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filterPrivacy="1" codeName="현재_통합_문서" defaultThemeVersion="166925"/>
  <xr:revisionPtr revIDLastSave="0" documentId="13_ncr:1_{12D91CCA-5D33-4144-AADB-444244AE2D09}" xr6:coauthVersionLast="47" xr6:coauthVersionMax="47" xr10:uidLastSave="{00000000-0000-0000-0000-000000000000}"/>
  <workbookProtection workbookAlgorithmName="SHA-512" workbookHashValue="DUyOAsVUCZJuRXOYz7m4zMS3a3+mAUsk9A66B2coEcejq90j/+oS+BJ1jJQ3D8Uu10IIVhSHLdqgBq7/7t6nTw==" workbookSaltValue="pTTX+YeCJnNO6fb7h9O4AA==" workbookSpinCount="100000" lockStructure="1"/>
  <bookViews>
    <workbookView xWindow="-120" yWindow="-120" windowWidth="29040" windowHeight="15840" tabRatio="729" activeTab="1" xr2:uid="{333EF654-F1C0-4C75-A1B5-746C5243B153}"/>
  </bookViews>
  <sheets>
    <sheet name="    2025학년도 입결 분석    " sheetId="25" r:id="rId1"/>
    <sheet name=" 본인점수 입력 " sheetId="24" r:id="rId2"/>
    <sheet name="       가 군       " sheetId="17" r:id="rId3"/>
    <sheet name="       나 군       " sheetId="22" r:id="rId4"/>
    <sheet name="       다 군      " sheetId="23" r:id="rId5"/>
    <sheet name="변환표준점수" sheetId="13" state="hidden" r:id="rId6"/>
    <sheet name="배치점수 계산기" sheetId="5" state="hidden" r:id="rId7"/>
    <sheet name="환산공식" sheetId="6" state="hidden" r:id="rId8"/>
  </sheets>
  <definedNames>
    <definedName name="_xlnm._FilterDatabase" localSheetId="2" hidden="1">'       가 군       '!$C$7:$K$7</definedName>
    <definedName name="_xlnm._FilterDatabase" localSheetId="3" hidden="1">'       나 군       '!$C$7:$K$7</definedName>
    <definedName name="_xlnm._FilterDatabase" localSheetId="4" hidden="1">'       다 군      '!$C$7:$K$7</definedName>
    <definedName name="_xlnm._FilterDatabase" localSheetId="0" hidden="1">'    2025학년도 입결 분석    '!$B$13:$AH$2121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5" i="23" l="1"/>
  <c r="R9" i="23"/>
  <c r="X11" i="23"/>
  <c r="R11" i="23"/>
  <c r="S11" i="23"/>
  <c r="X14" i="23"/>
  <c r="R15" i="23"/>
  <c r="S16" i="23"/>
  <c r="T17" i="23"/>
  <c r="S17" i="23"/>
  <c r="S19" i="23"/>
  <c r="R19" i="23"/>
  <c r="X22" i="23"/>
  <c r="X28" i="23"/>
  <c r="U30" i="23"/>
  <c r="V30" i="23"/>
  <c r="W30" i="23"/>
  <c r="X30" i="23"/>
  <c r="R35" i="23"/>
  <c r="U36" i="23"/>
  <c r="W36" i="23"/>
  <c r="R41" i="23"/>
  <c r="S41" i="23"/>
  <c r="V41" i="23"/>
  <c r="R96" i="23"/>
  <c r="S96" i="23"/>
  <c r="T96" i="23"/>
  <c r="X96" i="23"/>
  <c r="V98" i="23"/>
  <c r="W98" i="23"/>
  <c r="X98" i="23"/>
  <c r="W102" i="23"/>
  <c r="T104" i="23"/>
  <c r="R104" i="23"/>
  <c r="S104" i="23"/>
  <c r="X106" i="23"/>
  <c r="W108" i="23"/>
  <c r="W110" i="23"/>
  <c r="R112" i="23"/>
  <c r="S112" i="23"/>
  <c r="T112" i="23"/>
  <c r="X112" i="23"/>
  <c r="T114" i="23"/>
  <c r="S114" i="23"/>
  <c r="U114" i="23"/>
  <c r="V114" i="23"/>
  <c r="V120" i="23"/>
  <c r="U120" i="23"/>
  <c r="W120" i="23"/>
  <c r="S122" i="23"/>
  <c r="R125" i="23"/>
  <c r="S125" i="23"/>
  <c r="U125" i="23"/>
  <c r="W125" i="23"/>
  <c r="S129" i="23"/>
  <c r="T129" i="23"/>
  <c r="U129" i="23"/>
  <c r="R132" i="23"/>
  <c r="T134" i="23"/>
  <c r="U134" i="23"/>
  <c r="X136" i="23"/>
  <c r="S136" i="23"/>
  <c r="U136" i="23"/>
  <c r="V136" i="23"/>
  <c r="R140" i="23"/>
  <c r="S140" i="23"/>
  <c r="X140" i="23"/>
  <c r="S149" i="23"/>
  <c r="U149" i="23"/>
  <c r="V149" i="23"/>
  <c r="W149" i="23"/>
  <c r="X149" i="23"/>
  <c r="R153" i="23"/>
  <c r="T153" i="23"/>
  <c r="V153" i="23"/>
  <c r="W153" i="23"/>
  <c r="R161" i="23"/>
  <c r="S165" i="23"/>
  <c r="V165" i="23"/>
  <c r="W165" i="23"/>
  <c r="X165" i="23"/>
  <c r="T166" i="23"/>
  <c r="V166" i="23"/>
  <c r="W166" i="23"/>
  <c r="X166" i="23"/>
  <c r="R180" i="23"/>
  <c r="T180" i="23"/>
  <c r="V180" i="23"/>
  <c r="W180" i="23"/>
  <c r="R185" i="23"/>
  <c r="S185" i="23"/>
  <c r="T185" i="23"/>
  <c r="U185" i="23"/>
  <c r="V185" i="23"/>
  <c r="S187" i="23"/>
  <c r="T187" i="23"/>
  <c r="W187" i="23"/>
  <c r="X187" i="23"/>
  <c r="W193" i="23"/>
  <c r="U201" i="23"/>
  <c r="R205" i="23"/>
  <c r="S205" i="23"/>
  <c r="S213" i="23"/>
  <c r="R213" i="23"/>
  <c r="W213" i="23"/>
  <c r="X213" i="23"/>
  <c r="R214" i="23"/>
  <c r="S214" i="23"/>
  <c r="T214" i="23"/>
  <c r="W214" i="23"/>
  <c r="U217" i="23"/>
  <c r="R217" i="23"/>
  <c r="W217" i="23"/>
  <c r="T219" i="23"/>
  <c r="V219" i="23"/>
  <c r="T221" i="23"/>
  <c r="R221" i="23"/>
  <c r="S221" i="23"/>
  <c r="W221" i="23"/>
  <c r="X221" i="23"/>
  <c r="X222" i="23"/>
  <c r="R222" i="23"/>
  <c r="S222" i="23"/>
  <c r="T222" i="23"/>
  <c r="U222" i="23"/>
  <c r="W222" i="23"/>
  <c r="U225" i="23"/>
  <c r="S225" i="23"/>
  <c r="W225" i="23"/>
  <c r="X225" i="23"/>
  <c r="W228" i="23"/>
  <c r="X230" i="23"/>
  <c r="R230" i="23"/>
  <c r="T230" i="23"/>
  <c r="U230" i="23"/>
  <c r="W230" i="23"/>
  <c r="U232" i="23"/>
  <c r="U233" i="23"/>
  <c r="S233" i="23"/>
  <c r="W233" i="23"/>
  <c r="X233" i="23"/>
  <c r="W237" i="23"/>
  <c r="R237" i="23"/>
  <c r="S237" i="23"/>
  <c r="X237" i="23"/>
  <c r="X238" i="23"/>
  <c r="R238" i="23"/>
  <c r="T238" i="23"/>
  <c r="W238" i="23"/>
  <c r="U241" i="23"/>
  <c r="R241" i="23"/>
  <c r="S241" i="23"/>
  <c r="W241" i="23"/>
  <c r="X241" i="23"/>
  <c r="V244" i="23"/>
  <c r="W244" i="23"/>
  <c r="X244" i="23"/>
  <c r="R248" i="23"/>
  <c r="W248" i="23"/>
  <c r="U249" i="23"/>
  <c r="R249" i="23"/>
  <c r="S249" i="23"/>
  <c r="T249" i="23"/>
  <c r="W249" i="23"/>
  <c r="X249" i="23"/>
  <c r="R257" i="23"/>
  <c r="S257" i="23"/>
  <c r="T257" i="23"/>
  <c r="W257" i="23"/>
  <c r="X257" i="23"/>
  <c r="S268" i="23"/>
  <c r="U268" i="23"/>
  <c r="V268" i="23"/>
  <c r="X273" i="23"/>
  <c r="T276" i="23"/>
  <c r="R276" i="23"/>
  <c r="S276" i="23"/>
  <c r="U276" i="23"/>
  <c r="U284" i="23"/>
  <c r="R295" i="23"/>
  <c r="R298" i="23"/>
  <c r="W298" i="23"/>
  <c r="R299" i="23"/>
  <c r="V299" i="23"/>
  <c r="W300" i="23"/>
  <c r="X300" i="23"/>
  <c r="S302" i="23"/>
  <c r="U302" i="23"/>
  <c r="V302" i="23"/>
  <c r="X302" i="23"/>
  <c r="X307" i="23"/>
  <c r="R308" i="23"/>
  <c r="U308" i="23"/>
  <c r="W308" i="23"/>
  <c r="U312" i="23"/>
  <c r="V312" i="23"/>
  <c r="T313" i="23"/>
  <c r="X313" i="23"/>
  <c r="R316" i="23"/>
  <c r="U319" i="23"/>
  <c r="T320" i="23"/>
  <c r="U320" i="23"/>
  <c r="S323" i="23"/>
  <c r="V323" i="23"/>
  <c r="S331" i="23"/>
  <c r="T331" i="23"/>
  <c r="V331" i="23"/>
  <c r="X331" i="23"/>
  <c r="R339" i="23"/>
  <c r="S339" i="23"/>
  <c r="T339" i="23"/>
  <c r="V339" i="23"/>
  <c r="R347" i="23"/>
  <c r="S351" i="23"/>
  <c r="S355" i="23"/>
  <c r="T355" i="23"/>
  <c r="R10" i="22"/>
  <c r="S10" i="22"/>
  <c r="R11" i="22"/>
  <c r="S12" i="22"/>
  <c r="X12" i="22"/>
  <c r="R13" i="22"/>
  <c r="S13" i="22"/>
  <c r="W13" i="22"/>
  <c r="X13" i="22"/>
  <c r="S15" i="22"/>
  <c r="U15" i="22"/>
  <c r="V15" i="22"/>
  <c r="X15" i="22"/>
  <c r="W18" i="22"/>
  <c r="R18" i="22"/>
  <c r="S18" i="22"/>
  <c r="T18" i="22"/>
  <c r="U18" i="22"/>
  <c r="R20" i="22"/>
  <c r="S20" i="22"/>
  <c r="T20" i="22"/>
  <c r="V20" i="22"/>
  <c r="X20" i="22"/>
  <c r="R21" i="22"/>
  <c r="S21" i="22"/>
  <c r="S23" i="22"/>
  <c r="U23" i="22"/>
  <c r="V23" i="22"/>
  <c r="X23" i="22"/>
  <c r="W26" i="22"/>
  <c r="R26" i="22"/>
  <c r="S26" i="22"/>
  <c r="T26" i="22"/>
  <c r="U26" i="22"/>
  <c r="R28" i="22"/>
  <c r="S28" i="22"/>
  <c r="T28" i="22"/>
  <c r="V28" i="22"/>
  <c r="X28" i="22"/>
  <c r="R29" i="22"/>
  <c r="S29" i="22"/>
  <c r="S31" i="22"/>
  <c r="U31" i="22"/>
  <c r="V31" i="22"/>
  <c r="R36" i="22"/>
  <c r="S36" i="22"/>
  <c r="T36" i="22"/>
  <c r="V36" i="22"/>
  <c r="X36" i="22"/>
  <c r="R37" i="22"/>
  <c r="T37" i="22"/>
  <c r="V37" i="22"/>
  <c r="W37" i="22"/>
  <c r="X37" i="22"/>
  <c r="R40" i="22"/>
  <c r="T40" i="22"/>
  <c r="U40" i="22"/>
  <c r="V40" i="22"/>
  <c r="W40" i="22"/>
  <c r="S42" i="22"/>
  <c r="R42" i="22"/>
  <c r="T42" i="22"/>
  <c r="U42" i="22"/>
  <c r="W42" i="22"/>
  <c r="S44" i="22"/>
  <c r="V44" i="22"/>
  <c r="W44" i="22"/>
  <c r="R45" i="22"/>
  <c r="R47" i="22"/>
  <c r="S47" i="22"/>
  <c r="T47" i="22"/>
  <c r="V47" i="22"/>
  <c r="W47" i="22"/>
  <c r="W49" i="22"/>
  <c r="V49" i="22"/>
  <c r="U50" i="22"/>
  <c r="V50" i="22"/>
  <c r="W50" i="22"/>
  <c r="S53" i="22"/>
  <c r="T55" i="22"/>
  <c r="S55" i="22"/>
  <c r="T57" i="22"/>
  <c r="R57" i="22"/>
  <c r="S57" i="22"/>
  <c r="U57" i="22"/>
  <c r="V57" i="22"/>
  <c r="W57" i="22"/>
  <c r="X57" i="22"/>
  <c r="T59" i="22"/>
  <c r="W59" i="22"/>
  <c r="T61" i="22"/>
  <c r="X61" i="22"/>
  <c r="S62" i="22"/>
  <c r="U62" i="22"/>
  <c r="W62" i="22"/>
  <c r="U63" i="22"/>
  <c r="R63" i="22"/>
  <c r="S63" i="22"/>
  <c r="T63" i="22"/>
  <c r="V63" i="22"/>
  <c r="W63" i="22"/>
  <c r="X63" i="22"/>
  <c r="R64" i="22"/>
  <c r="S64" i="22"/>
  <c r="U64" i="22"/>
  <c r="V64" i="22"/>
  <c r="W64" i="22"/>
  <c r="U66" i="22"/>
  <c r="V66" i="22"/>
  <c r="W66" i="22"/>
  <c r="X66" i="22"/>
  <c r="R67" i="22"/>
  <c r="S67" i="22"/>
  <c r="T67" i="22"/>
  <c r="U67" i="22"/>
  <c r="R68" i="22"/>
  <c r="U68" i="22"/>
  <c r="U71" i="22"/>
  <c r="R71" i="22"/>
  <c r="S71" i="22"/>
  <c r="T71" i="22"/>
  <c r="V71" i="22"/>
  <c r="W71" i="22"/>
  <c r="X71" i="22"/>
  <c r="S72" i="22"/>
  <c r="R72" i="22"/>
  <c r="V72" i="22"/>
  <c r="W72" i="22"/>
  <c r="S74" i="22"/>
  <c r="X74" i="22"/>
  <c r="V75" i="22"/>
  <c r="S76" i="22"/>
  <c r="T76" i="22"/>
  <c r="U76" i="22"/>
  <c r="V76" i="22"/>
  <c r="R77" i="22"/>
  <c r="R78" i="22"/>
  <c r="S78" i="22"/>
  <c r="T78" i="22"/>
  <c r="U78" i="22"/>
  <c r="X78" i="22"/>
  <c r="T80" i="22"/>
  <c r="R80" i="22"/>
  <c r="S80" i="22"/>
  <c r="U80" i="22"/>
  <c r="V80" i="22"/>
  <c r="W80" i="22"/>
  <c r="X80" i="22"/>
  <c r="S82" i="22"/>
  <c r="T82" i="22"/>
  <c r="U82" i="22"/>
  <c r="W82" i="22"/>
  <c r="X82" i="22"/>
  <c r="R85" i="22"/>
  <c r="S85" i="22"/>
  <c r="U85" i="22"/>
  <c r="V85" i="22"/>
  <c r="U87" i="22"/>
  <c r="R87" i="22"/>
  <c r="S87" i="22"/>
  <c r="T87" i="22"/>
  <c r="V87" i="22"/>
  <c r="W87" i="22"/>
  <c r="R89" i="22"/>
  <c r="U89" i="22"/>
  <c r="V89" i="22"/>
  <c r="W89" i="22"/>
  <c r="U90" i="22"/>
  <c r="W90" i="22"/>
  <c r="R91" i="22"/>
  <c r="S91" i="22"/>
  <c r="T91" i="22"/>
  <c r="U91" i="22"/>
  <c r="V91" i="22"/>
  <c r="W91" i="22"/>
  <c r="T95" i="22"/>
  <c r="R95" i="22"/>
  <c r="S95" i="22"/>
  <c r="U95" i="22"/>
  <c r="W95" i="22"/>
  <c r="X95" i="22"/>
  <c r="X99" i="22"/>
  <c r="R99" i="22"/>
  <c r="S99" i="22"/>
  <c r="T99" i="22"/>
  <c r="U99" i="22"/>
  <c r="W99" i="22"/>
  <c r="W101" i="22"/>
  <c r="X101" i="22"/>
  <c r="T103" i="22"/>
  <c r="R103" i="22"/>
  <c r="S103" i="22"/>
  <c r="U103" i="22"/>
  <c r="W103" i="22"/>
  <c r="X103" i="22"/>
  <c r="T104" i="22"/>
  <c r="U104" i="22"/>
  <c r="V104" i="22"/>
  <c r="V105" i="22"/>
  <c r="X107" i="22"/>
  <c r="R107" i="22"/>
  <c r="S107" i="22"/>
  <c r="T107" i="22"/>
  <c r="U107" i="22"/>
  <c r="W107" i="22"/>
  <c r="T108" i="22"/>
  <c r="U108" i="22"/>
  <c r="V108" i="22"/>
  <c r="X108" i="22"/>
  <c r="T109" i="22"/>
  <c r="U109" i="22"/>
  <c r="W109" i="22"/>
  <c r="X109" i="22"/>
  <c r="T111" i="22"/>
  <c r="R111" i="22"/>
  <c r="S111" i="22"/>
  <c r="U111" i="22"/>
  <c r="W111" i="22"/>
  <c r="X111" i="22"/>
  <c r="U118" i="22"/>
  <c r="V118" i="22"/>
  <c r="W118" i="22"/>
  <c r="X118" i="22"/>
  <c r="R119" i="22"/>
  <c r="W119" i="22"/>
  <c r="X119" i="22"/>
  <c r="S121" i="22"/>
  <c r="R123" i="22"/>
  <c r="S123" i="22"/>
  <c r="X123" i="22"/>
  <c r="S124" i="22"/>
  <c r="T124" i="22"/>
  <c r="U124" i="22"/>
  <c r="U129" i="22"/>
  <c r="V129" i="22"/>
  <c r="U130" i="22"/>
  <c r="V130" i="22"/>
  <c r="W130" i="22"/>
  <c r="R131" i="22"/>
  <c r="X131" i="22"/>
  <c r="T132" i="22"/>
  <c r="R132" i="22"/>
  <c r="S132" i="22"/>
  <c r="U134" i="22"/>
  <c r="R135" i="22"/>
  <c r="W135" i="22"/>
  <c r="U137" i="22"/>
  <c r="V137" i="22"/>
  <c r="W137" i="22"/>
  <c r="R139" i="22"/>
  <c r="S139" i="22"/>
  <c r="S140" i="22"/>
  <c r="T140" i="22"/>
  <c r="U140" i="22"/>
  <c r="S142" i="22"/>
  <c r="U142" i="22"/>
  <c r="V142" i="22"/>
  <c r="W142" i="22"/>
  <c r="X142" i="22"/>
  <c r="R143" i="22"/>
  <c r="V143" i="22"/>
  <c r="W143" i="22"/>
  <c r="X143" i="22"/>
  <c r="T146" i="22"/>
  <c r="R147" i="22"/>
  <c r="S150" i="22"/>
  <c r="U150" i="22"/>
  <c r="V150" i="22"/>
  <c r="W150" i="22"/>
  <c r="X150" i="22"/>
  <c r="R151" i="22"/>
  <c r="V151" i="22"/>
  <c r="W151" i="22"/>
  <c r="X151" i="22"/>
  <c r="R152" i="22"/>
  <c r="S152" i="22"/>
  <c r="T152" i="22"/>
  <c r="U152" i="22"/>
  <c r="W152" i="22"/>
  <c r="X152" i="22"/>
  <c r="R153" i="22"/>
  <c r="S153" i="22"/>
  <c r="W153" i="22"/>
  <c r="V154" i="22"/>
  <c r="R156" i="22"/>
  <c r="X156" i="22"/>
  <c r="U157" i="22"/>
  <c r="R157" i="22"/>
  <c r="S157" i="22"/>
  <c r="T157" i="22"/>
  <c r="V157" i="22"/>
  <c r="W157" i="22"/>
  <c r="X157" i="22"/>
  <c r="S158" i="22"/>
  <c r="U158" i="22"/>
  <c r="V158" i="22"/>
  <c r="W158" i="22"/>
  <c r="X158" i="22"/>
  <c r="X159" i="22"/>
  <c r="R160" i="22"/>
  <c r="S160" i="22"/>
  <c r="T160" i="22"/>
  <c r="U160" i="22"/>
  <c r="W160" i="22"/>
  <c r="X160" i="22"/>
  <c r="R163" i="22"/>
  <c r="V163" i="22"/>
  <c r="X163" i="22"/>
  <c r="R164" i="22"/>
  <c r="S164" i="22"/>
  <c r="T164" i="22"/>
  <c r="X164" i="22"/>
  <c r="U166" i="22"/>
  <c r="V166" i="22"/>
  <c r="W166" i="22"/>
  <c r="X166" i="22"/>
  <c r="R168" i="22"/>
  <c r="S168" i="22"/>
  <c r="T168" i="22"/>
  <c r="W168" i="22"/>
  <c r="X168" i="22"/>
  <c r="R172" i="22"/>
  <c r="S172" i="22"/>
  <c r="T172" i="22"/>
  <c r="X172" i="22"/>
  <c r="X174" i="22"/>
  <c r="R176" i="22"/>
  <c r="S176" i="22"/>
  <c r="T176" i="22"/>
  <c r="W176" i="22"/>
  <c r="X176" i="22"/>
  <c r="R179" i="22"/>
  <c r="X180" i="22"/>
  <c r="R181" i="22"/>
  <c r="S181" i="22"/>
  <c r="T181" i="22"/>
  <c r="W181" i="22"/>
  <c r="X181" i="22"/>
  <c r="R183" i="22"/>
  <c r="U183" i="22"/>
  <c r="V183" i="22"/>
  <c r="T184" i="22"/>
  <c r="U184" i="22"/>
  <c r="U186" i="22"/>
  <c r="V186" i="22"/>
  <c r="W186" i="22"/>
  <c r="R189" i="22"/>
  <c r="S189" i="22"/>
  <c r="T189" i="22"/>
  <c r="W189" i="22"/>
  <c r="X189" i="22"/>
  <c r="T191" i="22"/>
  <c r="R191" i="22"/>
  <c r="S191" i="22"/>
  <c r="U191" i="22"/>
  <c r="V191" i="22"/>
  <c r="W191" i="22"/>
  <c r="U192" i="22"/>
  <c r="V192" i="22"/>
  <c r="W192" i="22"/>
  <c r="X192" i="22"/>
  <c r="W193" i="22"/>
  <c r="X193" i="22"/>
  <c r="U194" i="22"/>
  <c r="R194" i="22"/>
  <c r="S194" i="22"/>
  <c r="T194" i="22"/>
  <c r="W194" i="22"/>
  <c r="X194" i="22"/>
  <c r="U196" i="22"/>
  <c r="R197" i="22"/>
  <c r="W197" i="22"/>
  <c r="X197" i="22"/>
  <c r="U198" i="22"/>
  <c r="R198" i="22"/>
  <c r="S198" i="22"/>
  <c r="T198" i="22"/>
  <c r="V198" i="22"/>
  <c r="W198" i="22"/>
  <c r="X198" i="22"/>
  <c r="T199" i="22"/>
  <c r="R199" i="22"/>
  <c r="S199" i="22"/>
  <c r="U199" i="22"/>
  <c r="V199" i="22"/>
  <c r="W199" i="22"/>
  <c r="W201" i="22"/>
  <c r="X201" i="22"/>
  <c r="U202" i="22"/>
  <c r="R202" i="22"/>
  <c r="S202" i="22"/>
  <c r="T202" i="22"/>
  <c r="W202" i="22"/>
  <c r="X202" i="22"/>
  <c r="R205" i="22"/>
  <c r="W205" i="22"/>
  <c r="X205" i="22"/>
  <c r="U206" i="22"/>
  <c r="R206" i="22"/>
  <c r="S206" i="22"/>
  <c r="T206" i="22"/>
  <c r="W206" i="22"/>
  <c r="X206" i="22"/>
  <c r="T207" i="22"/>
  <c r="R207" i="22"/>
  <c r="S207" i="22"/>
  <c r="U207" i="22"/>
  <c r="V207" i="22"/>
  <c r="W207" i="22"/>
  <c r="U208" i="22"/>
  <c r="V208" i="22"/>
  <c r="W208" i="22"/>
  <c r="X208" i="22"/>
  <c r="U210" i="22"/>
  <c r="R210" i="22"/>
  <c r="S210" i="22"/>
  <c r="T210" i="22"/>
  <c r="W210" i="22"/>
  <c r="X210" i="22"/>
  <c r="T212" i="22"/>
  <c r="U212" i="22"/>
  <c r="V212" i="22"/>
  <c r="X212" i="22"/>
  <c r="X213" i="22"/>
  <c r="U214" i="22"/>
  <c r="R214" i="22"/>
  <c r="S214" i="22"/>
  <c r="T214" i="22"/>
  <c r="W214" i="22"/>
  <c r="X214" i="22"/>
  <c r="T215" i="22"/>
  <c r="R215" i="22"/>
  <c r="S215" i="22"/>
  <c r="U215" i="22"/>
  <c r="V215" i="22"/>
  <c r="W215" i="22"/>
  <c r="X215" i="22"/>
  <c r="X217" i="22"/>
  <c r="S218" i="22"/>
  <c r="R218" i="22"/>
  <c r="U218" i="22"/>
  <c r="V218" i="22"/>
  <c r="W218" i="22"/>
  <c r="X218" i="22"/>
  <c r="U219" i="22"/>
  <c r="V219" i="22"/>
  <c r="W219" i="22"/>
  <c r="T220" i="22"/>
  <c r="U220" i="22"/>
  <c r="V220" i="22"/>
  <c r="W220" i="22"/>
  <c r="S221" i="22"/>
  <c r="T221" i="22"/>
  <c r="U221" i="22"/>
  <c r="V221" i="22"/>
  <c r="W221" i="22"/>
  <c r="S223" i="22"/>
  <c r="T223" i="22"/>
  <c r="U223" i="22"/>
  <c r="R224" i="22"/>
  <c r="S224" i="22"/>
  <c r="T224" i="22"/>
  <c r="X224" i="22"/>
  <c r="T225" i="22"/>
  <c r="R225" i="22"/>
  <c r="S225" i="22"/>
  <c r="U225" i="22"/>
  <c r="V225" i="22"/>
  <c r="W225" i="22"/>
  <c r="X225" i="22"/>
  <c r="S226" i="22"/>
  <c r="R226" i="22"/>
  <c r="U226" i="22"/>
  <c r="V226" i="22"/>
  <c r="W226" i="22"/>
  <c r="X226" i="22"/>
  <c r="V227" i="22"/>
  <c r="T227" i="22"/>
  <c r="U227" i="22"/>
  <c r="S228" i="22"/>
  <c r="X228" i="22"/>
  <c r="R232" i="22"/>
  <c r="S232" i="22"/>
  <c r="T232" i="22"/>
  <c r="W232" i="22"/>
  <c r="X232" i="22"/>
  <c r="T233" i="22"/>
  <c r="R233" i="22"/>
  <c r="S233" i="22"/>
  <c r="U233" i="22"/>
  <c r="V233" i="22"/>
  <c r="W233" i="22"/>
  <c r="X233" i="22"/>
  <c r="R234" i="22"/>
  <c r="U234" i="22"/>
  <c r="V234" i="22"/>
  <c r="W234" i="22"/>
  <c r="W236" i="22"/>
  <c r="X238" i="22"/>
  <c r="R239" i="22"/>
  <c r="S239" i="22"/>
  <c r="T239" i="22"/>
  <c r="U239" i="22"/>
  <c r="X239" i="22"/>
  <c r="U241" i="22"/>
  <c r="V241" i="22"/>
  <c r="W241" i="22"/>
  <c r="X241" i="22"/>
  <c r="R242" i="22"/>
  <c r="W242" i="22"/>
  <c r="X242" i="22"/>
  <c r="R243" i="22"/>
  <c r="S243" i="22"/>
  <c r="T243" i="22"/>
  <c r="U243" i="22"/>
  <c r="W243" i="22"/>
  <c r="S244" i="22"/>
  <c r="U244" i="22"/>
  <c r="V244" i="22"/>
  <c r="W244" i="22"/>
  <c r="S246" i="22"/>
  <c r="R247" i="22"/>
  <c r="S247" i="22"/>
  <c r="T247" i="22"/>
  <c r="U247" i="22"/>
  <c r="X247" i="22"/>
  <c r="W249" i="22"/>
  <c r="U249" i="22"/>
  <c r="V249" i="22"/>
  <c r="R250" i="22"/>
  <c r="U250" i="22"/>
  <c r="W250" i="22"/>
  <c r="X250" i="22"/>
  <c r="U251" i="22"/>
  <c r="S251" i="22"/>
  <c r="T251" i="22"/>
  <c r="U254" i="22"/>
  <c r="T255" i="22"/>
  <c r="R255" i="22"/>
  <c r="S255" i="22"/>
  <c r="U255" i="22"/>
  <c r="X255" i="22"/>
  <c r="U258" i="22"/>
  <c r="S259" i="22"/>
  <c r="T259" i="22"/>
  <c r="W261" i="22"/>
  <c r="V262" i="22"/>
  <c r="R265" i="22"/>
  <c r="U267" i="22"/>
  <c r="T268" i="22"/>
  <c r="W268" i="22"/>
  <c r="R269" i="22"/>
  <c r="S269" i="22"/>
  <c r="T269" i="22"/>
  <c r="U269" i="22"/>
  <c r="W269" i="22"/>
  <c r="R270" i="22"/>
  <c r="X270" i="22"/>
  <c r="S273" i="22"/>
  <c r="W273" i="22"/>
  <c r="X273" i="22"/>
  <c r="V275" i="22"/>
  <c r="U276" i="22"/>
  <c r="V276" i="22"/>
  <c r="W276" i="22"/>
  <c r="U278" i="22"/>
  <c r="V278" i="22"/>
  <c r="X278" i="22"/>
  <c r="W281" i="22"/>
  <c r="R281" i="22"/>
  <c r="U283" i="22"/>
  <c r="W283" i="22"/>
  <c r="U284" i="22"/>
  <c r="W284" i="22"/>
  <c r="R285" i="22"/>
  <c r="S285" i="22"/>
  <c r="X285" i="22"/>
  <c r="T286" i="22"/>
  <c r="U286" i="22"/>
  <c r="U288" i="22"/>
  <c r="R289" i="22"/>
  <c r="W289" i="22"/>
  <c r="U291" i="22"/>
  <c r="S294" i="22"/>
  <c r="T294" i="22"/>
  <c r="U296" i="22"/>
  <c r="V296" i="22"/>
  <c r="W296" i="22"/>
  <c r="X296" i="22"/>
  <c r="W297" i="22"/>
  <c r="X297" i="22"/>
  <c r="U299" i="22"/>
  <c r="V299" i="22"/>
  <c r="W299" i="22"/>
  <c r="U300" i="22"/>
  <c r="R301" i="22"/>
  <c r="S301" i="22"/>
  <c r="S302" i="22"/>
  <c r="T302" i="22"/>
  <c r="U302" i="22"/>
  <c r="U304" i="22"/>
  <c r="V304" i="22"/>
  <c r="W304" i="22"/>
  <c r="X304" i="22"/>
  <c r="R305" i="22"/>
  <c r="T305" i="22"/>
  <c r="W305" i="22"/>
  <c r="X305" i="22"/>
  <c r="R309" i="22"/>
  <c r="S309" i="22"/>
  <c r="U312" i="22"/>
  <c r="X312" i="22"/>
  <c r="R313" i="22"/>
  <c r="T313" i="22"/>
  <c r="W313" i="22"/>
  <c r="X313" i="22"/>
  <c r="R317" i="22"/>
  <c r="X320" i="22"/>
  <c r="W320" i="22"/>
  <c r="R321" i="22"/>
  <c r="T321" i="22"/>
  <c r="W321" i="22"/>
  <c r="X321" i="22"/>
  <c r="R325" i="22"/>
  <c r="S328" i="22"/>
  <c r="U328" i="22"/>
  <c r="V328" i="22"/>
  <c r="X328" i="22"/>
  <c r="W329" i="22"/>
  <c r="R333" i="22"/>
  <c r="S333" i="22"/>
  <c r="T333" i="22"/>
  <c r="V333" i="22"/>
  <c r="R340" i="22"/>
  <c r="T340" i="22"/>
  <c r="U340" i="22"/>
  <c r="V340" i="22"/>
  <c r="X341" i="22"/>
  <c r="R342" i="22"/>
  <c r="S342" i="22"/>
  <c r="T342" i="22"/>
  <c r="U342" i="22"/>
  <c r="W342" i="22"/>
  <c r="V344" i="22"/>
  <c r="U344" i="22"/>
  <c r="X345" i="22"/>
  <c r="R347" i="22"/>
  <c r="S347" i="22"/>
  <c r="U347" i="22"/>
  <c r="V347" i="22"/>
  <c r="R348" i="22"/>
  <c r="T352" i="22"/>
  <c r="R352" i="22"/>
  <c r="S352" i="22"/>
  <c r="U352" i="22"/>
  <c r="V352" i="22"/>
  <c r="X352" i="22"/>
  <c r="U353" i="22"/>
  <c r="T354" i="22"/>
  <c r="S354" i="22"/>
  <c r="W354" i="22"/>
  <c r="X354" i="22"/>
  <c r="R358" i="22"/>
  <c r="S358" i="22"/>
  <c r="T358" i="22"/>
  <c r="X358" i="22"/>
  <c r="S360" i="22"/>
  <c r="U360" i="22"/>
  <c r="V360" i="22"/>
  <c r="W360" i="22"/>
  <c r="V364" i="22"/>
  <c r="W364" i="22"/>
  <c r="V365" i="22"/>
  <c r="X365" i="22"/>
  <c r="R367" i="22"/>
  <c r="S367" i="22"/>
  <c r="T367" i="22"/>
  <c r="V367" i="22"/>
  <c r="W367" i="22"/>
  <c r="S368" i="22"/>
  <c r="U368" i="22"/>
  <c r="V368" i="22"/>
  <c r="W368" i="22"/>
  <c r="T369" i="22"/>
  <c r="V369" i="22"/>
  <c r="W369" i="22"/>
  <c r="T373" i="22"/>
  <c r="R376" i="22"/>
  <c r="S376" i="22"/>
  <c r="U376" i="22"/>
  <c r="W376" i="22"/>
  <c r="X376" i="22"/>
  <c r="T377" i="22"/>
  <c r="U377" i="22"/>
  <c r="V377" i="22"/>
  <c r="X377" i="22"/>
  <c r="S378" i="22"/>
  <c r="V378" i="22"/>
  <c r="R384" i="22"/>
  <c r="U384" i="22"/>
  <c r="V384" i="22"/>
  <c r="W384" i="22"/>
  <c r="X384" i="22"/>
  <c r="S388" i="22"/>
  <c r="T388" i="22"/>
  <c r="R389" i="22"/>
  <c r="R392" i="22"/>
  <c r="S392" i="22"/>
  <c r="U392" i="22"/>
  <c r="V392" i="22"/>
  <c r="W392" i="22"/>
  <c r="X392" i="22"/>
  <c r="T393" i="22"/>
  <c r="X393" i="22"/>
  <c r="T394" i="22"/>
  <c r="V394" i="22"/>
  <c r="W394" i="22"/>
  <c r="X394" i="22"/>
  <c r="R396" i="22"/>
  <c r="T396" i="22"/>
  <c r="R400" i="22"/>
  <c r="S400" i="22"/>
  <c r="U400" i="22"/>
  <c r="V400" i="22"/>
  <c r="W400" i="22"/>
  <c r="T401" i="22"/>
  <c r="V401" i="22"/>
  <c r="W401" i="22"/>
  <c r="X401" i="22"/>
  <c r="T402" i="22"/>
  <c r="V402" i="22"/>
  <c r="W402" i="22"/>
  <c r="R404" i="22"/>
  <c r="T404" i="22"/>
  <c r="R406" i="22"/>
  <c r="T406" i="22"/>
  <c r="W406" i="22"/>
  <c r="X406" i="22"/>
  <c r="T407" i="22"/>
  <c r="R407" i="22"/>
  <c r="S407" i="22"/>
  <c r="T408" i="22"/>
  <c r="S408" i="22"/>
  <c r="U408" i="22"/>
  <c r="V408" i="22"/>
  <c r="W408" i="22"/>
  <c r="X408" i="22"/>
  <c r="V409" i="22"/>
  <c r="T413" i="22"/>
  <c r="U413" i="22"/>
  <c r="R414" i="22"/>
  <c r="S414" i="22"/>
  <c r="T414" i="22"/>
  <c r="T416" i="22"/>
  <c r="R416" i="22"/>
  <c r="S416" i="22"/>
  <c r="U416" i="22"/>
  <c r="V416" i="22"/>
  <c r="W416" i="22"/>
  <c r="X417" i="22"/>
  <c r="U420" i="22"/>
  <c r="R420" i="22"/>
  <c r="R421" i="22"/>
  <c r="T421" i="22"/>
  <c r="U421" i="22"/>
  <c r="V421" i="22"/>
  <c r="X421" i="22"/>
  <c r="S424" i="22"/>
  <c r="R424" i="22"/>
  <c r="X424" i="22"/>
  <c r="S426" i="22"/>
  <c r="T426" i="22"/>
  <c r="V426" i="22"/>
  <c r="W426" i="22"/>
  <c r="X430" i="22"/>
  <c r="R431" i="22"/>
  <c r="S431" i="22"/>
  <c r="T431" i="22"/>
  <c r="V431" i="22"/>
  <c r="W431" i="22"/>
  <c r="R432" i="22"/>
  <c r="W432" i="22"/>
  <c r="X432" i="22"/>
  <c r="S436" i="22"/>
  <c r="T436" i="22"/>
  <c r="V437" i="22"/>
  <c r="X437" i="22"/>
  <c r="T438" i="22"/>
  <c r="S438" i="22"/>
  <c r="X438" i="22"/>
  <c r="U440" i="22"/>
  <c r="S440" i="22"/>
  <c r="V440" i="22"/>
  <c r="T441" i="22"/>
  <c r="U441" i="22"/>
  <c r="V441" i="22"/>
  <c r="T444" i="22"/>
  <c r="W444" i="22"/>
  <c r="V448" i="22"/>
  <c r="S450" i="22"/>
  <c r="T450" i="22"/>
  <c r="X450" i="22"/>
  <c r="R452" i="22"/>
  <c r="V452" i="22"/>
  <c r="W452" i="22"/>
  <c r="R453" i="22"/>
  <c r="T453" i="22"/>
  <c r="V453" i="22"/>
  <c r="X453" i="22"/>
  <c r="T454" i="22"/>
  <c r="R455" i="22"/>
  <c r="T455" i="22"/>
  <c r="V455" i="22"/>
  <c r="S456" i="22"/>
  <c r="V457" i="22"/>
  <c r="W457" i="22"/>
  <c r="T461" i="22"/>
  <c r="V461" i="22"/>
  <c r="W462" i="22"/>
  <c r="X462" i="22"/>
  <c r="R463" i="22"/>
  <c r="S463" i="22"/>
  <c r="U463" i="22"/>
  <c r="V463" i="22"/>
  <c r="X463" i="22"/>
  <c r="T464" i="22"/>
  <c r="U464" i="22"/>
  <c r="X464" i="22"/>
  <c r="T466" i="22"/>
  <c r="R466" i="22"/>
  <c r="S466" i="22"/>
  <c r="U466" i="22"/>
  <c r="V466" i="22"/>
  <c r="W466" i="22"/>
  <c r="X466" i="22"/>
  <c r="T468" i="22"/>
  <c r="S469" i="22"/>
  <c r="W469" i="22"/>
  <c r="V471" i="22"/>
  <c r="U471" i="22"/>
  <c r="T472" i="22"/>
  <c r="U472" i="22"/>
  <c r="X472" i="22"/>
  <c r="T474" i="22"/>
  <c r="R474" i="22"/>
  <c r="S474" i="22"/>
  <c r="U474" i="22"/>
  <c r="V474" i="22"/>
  <c r="W474" i="22"/>
  <c r="X474" i="22"/>
  <c r="T480" i="22"/>
  <c r="R480" i="22"/>
  <c r="X480" i="22"/>
  <c r="S481" i="22"/>
  <c r="R481" i="22"/>
  <c r="W481" i="22"/>
  <c r="X481" i="22"/>
  <c r="T482" i="22"/>
  <c r="R482" i="22"/>
  <c r="S482" i="22"/>
  <c r="U482" i="22"/>
  <c r="V482" i="22"/>
  <c r="W482" i="22"/>
  <c r="X482" i="22"/>
  <c r="U487" i="22"/>
  <c r="R487" i="22"/>
  <c r="S487" i="22"/>
  <c r="X487" i="22"/>
  <c r="R488" i="22"/>
  <c r="U488" i="22"/>
  <c r="X488" i="22"/>
  <c r="T489" i="22"/>
  <c r="W489" i="22"/>
  <c r="X489" i="22"/>
  <c r="T490" i="22"/>
  <c r="R490" i="22"/>
  <c r="S490" i="22"/>
  <c r="U490" i="22"/>
  <c r="V490" i="22"/>
  <c r="W490" i="22"/>
  <c r="X490" i="22"/>
  <c r="S491" i="22"/>
  <c r="U491" i="22"/>
  <c r="V491" i="22"/>
  <c r="W491" i="22"/>
  <c r="T492" i="22"/>
  <c r="T496" i="22"/>
  <c r="R496" i="22"/>
  <c r="U496" i="22"/>
  <c r="W496" i="22"/>
  <c r="X496" i="22"/>
  <c r="T498" i="22"/>
  <c r="R498" i="22"/>
  <c r="S498" i="22"/>
  <c r="U498" i="22"/>
  <c r="V498" i="22"/>
  <c r="W498" i="22"/>
  <c r="X498" i="22"/>
  <c r="R499" i="22"/>
  <c r="W499" i="22"/>
  <c r="R501" i="22"/>
  <c r="T501" i="22"/>
  <c r="W503" i="22"/>
  <c r="R503" i="22"/>
  <c r="T503" i="22"/>
  <c r="U503" i="22"/>
  <c r="V503" i="22"/>
  <c r="U504" i="22"/>
  <c r="T506" i="22"/>
  <c r="R506" i="22"/>
  <c r="S506" i="22"/>
  <c r="U506" i="22"/>
  <c r="V506" i="22"/>
  <c r="W506" i="22"/>
  <c r="X506" i="22"/>
  <c r="U507" i="22"/>
  <c r="V507" i="22"/>
  <c r="W507" i="22"/>
  <c r="W509" i="22"/>
  <c r="X509" i="22"/>
  <c r="V511" i="22"/>
  <c r="R512" i="22"/>
  <c r="U512" i="22"/>
  <c r="W512" i="22"/>
  <c r="X512" i="22"/>
  <c r="T514" i="22"/>
  <c r="R514" i="22"/>
  <c r="S514" i="22"/>
  <c r="U514" i="22"/>
  <c r="V514" i="22"/>
  <c r="W514" i="22"/>
  <c r="X514" i="22"/>
  <c r="U515" i="22"/>
  <c r="W515" i="22"/>
  <c r="T519" i="22"/>
  <c r="U519" i="22"/>
  <c r="V519" i="22"/>
  <c r="R520" i="22"/>
  <c r="U520" i="22"/>
  <c r="W520" i="22"/>
  <c r="X520" i="22"/>
  <c r="T522" i="22"/>
  <c r="R522" i="22"/>
  <c r="S522" i="22"/>
  <c r="U522" i="22"/>
  <c r="V522" i="22"/>
  <c r="W522" i="22"/>
  <c r="X522" i="22"/>
  <c r="R523" i="22"/>
  <c r="U523" i="22"/>
  <c r="V523" i="22"/>
  <c r="W523" i="22"/>
  <c r="R528" i="22"/>
  <c r="U528" i="22"/>
  <c r="T530" i="22"/>
  <c r="R530" i="22"/>
  <c r="S530" i="22"/>
  <c r="U530" i="22"/>
  <c r="V530" i="22"/>
  <c r="W530" i="22"/>
  <c r="X530" i="22"/>
  <c r="R531" i="22"/>
  <c r="U531" i="22"/>
  <c r="V531" i="22"/>
  <c r="W531" i="22"/>
  <c r="T535" i="22"/>
  <c r="U535" i="22"/>
  <c r="V535" i="22"/>
  <c r="U536" i="22"/>
  <c r="R536" i="22"/>
  <c r="W536" i="22"/>
  <c r="X536" i="22"/>
  <c r="T538" i="22"/>
  <c r="R538" i="22"/>
  <c r="S538" i="22"/>
  <c r="U538" i="22"/>
  <c r="V538" i="22"/>
  <c r="W538" i="22"/>
  <c r="X538" i="22"/>
  <c r="R539" i="22"/>
  <c r="U539" i="22"/>
  <c r="V539" i="22"/>
  <c r="W539" i="22"/>
  <c r="X542" i="22"/>
  <c r="R542" i="22"/>
  <c r="S542" i="22"/>
  <c r="T542" i="22"/>
  <c r="U542" i="22"/>
  <c r="V542" i="22"/>
  <c r="U543" i="22"/>
  <c r="X543" i="22"/>
  <c r="X544" i="22"/>
  <c r="U545" i="22"/>
  <c r="R545" i="22"/>
  <c r="S545" i="22"/>
  <c r="T545" i="22"/>
  <c r="W545" i="22"/>
  <c r="T546" i="22"/>
  <c r="R546" i="22"/>
  <c r="S546" i="22"/>
  <c r="U546" i="22"/>
  <c r="V546" i="22"/>
  <c r="W546" i="22"/>
  <c r="X546" i="22"/>
  <c r="U547" i="22"/>
  <c r="X547" i="22"/>
  <c r="X548" i="22"/>
  <c r="S551" i="22"/>
  <c r="U551" i="22"/>
  <c r="V551" i="22"/>
  <c r="W551" i="22"/>
  <c r="X551" i="22"/>
  <c r="S552" i="22"/>
  <c r="T552" i="22"/>
  <c r="U552" i="22"/>
  <c r="W553" i="22"/>
  <c r="W554" i="22"/>
  <c r="S554" i="22"/>
  <c r="T554" i="22"/>
  <c r="U554" i="22"/>
  <c r="V554" i="22"/>
  <c r="X554" i="22"/>
  <c r="R555" i="22"/>
  <c r="T555" i="22"/>
  <c r="X556" i="22"/>
  <c r="R557" i="22"/>
  <c r="S557" i="22"/>
  <c r="U557" i="22"/>
  <c r="W557" i="22"/>
  <c r="S559" i="22"/>
  <c r="U559" i="22"/>
  <c r="V559" i="22"/>
  <c r="W559" i="22"/>
  <c r="X559" i="22"/>
  <c r="S560" i="22"/>
  <c r="T560" i="22"/>
  <c r="U560" i="22"/>
  <c r="W561" i="22"/>
  <c r="W562" i="22"/>
  <c r="S562" i="22"/>
  <c r="T562" i="22"/>
  <c r="U562" i="22"/>
  <c r="V562" i="22"/>
  <c r="X562" i="22"/>
  <c r="R563" i="22"/>
  <c r="T563" i="22"/>
  <c r="X564" i="22"/>
  <c r="R565" i="22"/>
  <c r="S565" i="22"/>
  <c r="U565" i="22"/>
  <c r="W565" i="22"/>
  <c r="X565" i="22"/>
  <c r="S567" i="22"/>
  <c r="U567" i="22"/>
  <c r="V567" i="22"/>
  <c r="W567" i="22"/>
  <c r="X567" i="22"/>
  <c r="S568" i="22"/>
  <c r="T568" i="22"/>
  <c r="U568" i="22"/>
  <c r="W569" i="22"/>
  <c r="W570" i="22"/>
  <c r="S570" i="22"/>
  <c r="T570" i="22"/>
  <c r="U570" i="22"/>
  <c r="V570" i="22"/>
  <c r="X570" i="22"/>
  <c r="R571" i="22"/>
  <c r="T571" i="22"/>
  <c r="X572" i="22"/>
  <c r="R573" i="22"/>
  <c r="S573" i="22"/>
  <c r="U573" i="22"/>
  <c r="W573" i="22"/>
  <c r="X573" i="22"/>
  <c r="S575" i="22"/>
  <c r="U575" i="22"/>
  <c r="V575" i="22"/>
  <c r="W575" i="22"/>
  <c r="X575" i="22"/>
  <c r="S576" i="22"/>
  <c r="T576" i="22"/>
  <c r="U576" i="22"/>
  <c r="W577" i="22"/>
  <c r="W578" i="22"/>
  <c r="S578" i="22"/>
  <c r="T578" i="22"/>
  <c r="U578" i="22"/>
  <c r="V578" i="22"/>
  <c r="X578" i="22"/>
  <c r="R579" i="22"/>
  <c r="T579" i="22"/>
  <c r="X580" i="22"/>
  <c r="R581" i="22"/>
  <c r="S581" i="22"/>
  <c r="U581" i="22"/>
  <c r="W581" i="22"/>
  <c r="X581" i="22"/>
  <c r="S583" i="22"/>
  <c r="U583" i="22"/>
  <c r="V583" i="22"/>
  <c r="W583" i="22"/>
  <c r="X583" i="22"/>
  <c r="S584" i="22"/>
  <c r="T584" i="22"/>
  <c r="U584" i="22"/>
  <c r="W585" i="22"/>
  <c r="W586" i="22"/>
  <c r="S586" i="22"/>
  <c r="T586" i="22"/>
  <c r="U586" i="22"/>
  <c r="V586" i="22"/>
  <c r="X586" i="22"/>
  <c r="R587" i="22"/>
  <c r="T587" i="22"/>
  <c r="R589" i="22"/>
  <c r="S589" i="22"/>
  <c r="U589" i="22"/>
  <c r="W589" i="22"/>
  <c r="X589" i="22"/>
  <c r="S591" i="22"/>
  <c r="U591" i="22"/>
  <c r="V591" i="22"/>
  <c r="W591" i="22"/>
  <c r="X591" i="22"/>
  <c r="S592" i="22"/>
  <c r="R592" i="22"/>
  <c r="T592" i="22"/>
  <c r="U592" i="22"/>
  <c r="W594" i="22"/>
  <c r="S594" i="22"/>
  <c r="T594" i="22"/>
  <c r="U594" i="22"/>
  <c r="V594" i="22"/>
  <c r="X594" i="22"/>
  <c r="R595" i="22"/>
  <c r="S595" i="22"/>
  <c r="T595" i="22"/>
  <c r="R597" i="22"/>
  <c r="S597" i="22"/>
  <c r="U597" i="22"/>
  <c r="W597" i="22"/>
  <c r="X597" i="22"/>
  <c r="S599" i="22"/>
  <c r="U599" i="22"/>
  <c r="V599" i="22"/>
  <c r="W599" i="22"/>
  <c r="X599" i="22"/>
  <c r="S600" i="22"/>
  <c r="R600" i="22"/>
  <c r="T600" i="22"/>
  <c r="U600" i="22"/>
  <c r="W602" i="22"/>
  <c r="S602" i="22"/>
  <c r="T602" i="22"/>
  <c r="U602" i="22"/>
  <c r="V602" i="22"/>
  <c r="X602" i="22"/>
  <c r="R603" i="22"/>
  <c r="S603" i="22"/>
  <c r="T603" i="22"/>
  <c r="R605" i="22"/>
  <c r="S605" i="22"/>
  <c r="U605" i="22"/>
  <c r="W605" i="22"/>
  <c r="X605" i="22"/>
  <c r="S607" i="22"/>
  <c r="U607" i="22"/>
  <c r="V607" i="22"/>
  <c r="W607" i="22"/>
  <c r="X607" i="22"/>
  <c r="S608" i="22"/>
  <c r="R608" i="22"/>
  <c r="T608" i="22"/>
  <c r="U608" i="22"/>
  <c r="R611" i="22"/>
  <c r="S611" i="22"/>
  <c r="T611" i="22"/>
  <c r="R613" i="22"/>
  <c r="S613" i="22"/>
  <c r="U613" i="22"/>
  <c r="W613" i="22"/>
  <c r="X613" i="22"/>
  <c r="S615" i="22"/>
  <c r="U615" i="22"/>
  <c r="V615" i="22"/>
  <c r="W615" i="22"/>
  <c r="X615" i="22"/>
  <c r="S616" i="22"/>
  <c r="R616" i="22"/>
  <c r="T616" i="22"/>
  <c r="U616" i="22"/>
  <c r="R619" i="22"/>
  <c r="S619" i="22"/>
  <c r="U620" i="22"/>
  <c r="R620" i="22"/>
  <c r="S620" i="22"/>
  <c r="T620" i="22"/>
  <c r="V620" i="22"/>
  <c r="W620" i="22"/>
  <c r="W621" i="22"/>
  <c r="R623" i="22"/>
  <c r="S623" i="22"/>
  <c r="W623" i="22"/>
  <c r="X623" i="22"/>
  <c r="R627" i="22"/>
  <c r="S627" i="22"/>
  <c r="X627" i="22"/>
  <c r="T629" i="22"/>
  <c r="R629" i="22"/>
  <c r="S629" i="22"/>
  <c r="U629" i="22"/>
  <c r="V629" i="22"/>
  <c r="W629" i="22"/>
  <c r="X629" i="22"/>
  <c r="R630" i="22"/>
  <c r="U630" i="22"/>
  <c r="W633" i="22"/>
  <c r="R633" i="22"/>
  <c r="U633" i="22"/>
  <c r="V633" i="22"/>
  <c r="U634" i="22"/>
  <c r="S636" i="22"/>
  <c r="T637" i="22"/>
  <c r="R637" i="22"/>
  <c r="S637" i="22"/>
  <c r="U637" i="22"/>
  <c r="V637" i="22"/>
  <c r="W637" i="22"/>
  <c r="X637" i="22"/>
  <c r="R638" i="22"/>
  <c r="U638" i="22"/>
  <c r="W641" i="22"/>
  <c r="R641" i="22"/>
  <c r="U641" i="22"/>
  <c r="V641" i="22"/>
  <c r="U642" i="22"/>
  <c r="S644" i="22"/>
  <c r="T645" i="22"/>
  <c r="R645" i="22"/>
  <c r="S645" i="22"/>
  <c r="U645" i="22"/>
  <c r="V645" i="22"/>
  <c r="W645" i="22"/>
  <c r="X645" i="22"/>
  <c r="R646" i="22"/>
  <c r="U646" i="22"/>
  <c r="X646" i="22"/>
  <c r="W649" i="22"/>
  <c r="U649" i="22"/>
  <c r="V649" i="22"/>
  <c r="U650" i="22"/>
  <c r="S652" i="22"/>
  <c r="S653" i="22"/>
  <c r="R653" i="22"/>
  <c r="U653" i="22"/>
  <c r="V653" i="22"/>
  <c r="W653" i="22"/>
  <c r="X653" i="22"/>
  <c r="R654" i="22"/>
  <c r="U654" i="22"/>
  <c r="X654" i="22"/>
  <c r="W657" i="22"/>
  <c r="U657" i="22"/>
  <c r="V657" i="22"/>
  <c r="S660" i="22"/>
  <c r="S661" i="22"/>
  <c r="R661" i="22"/>
  <c r="U661" i="22"/>
  <c r="V661" i="22"/>
  <c r="W661" i="22"/>
  <c r="X661" i="22"/>
  <c r="R662" i="22"/>
  <c r="U662" i="22"/>
  <c r="X662" i="22"/>
  <c r="W665" i="22"/>
  <c r="U665" i="22"/>
  <c r="V665" i="22"/>
  <c r="U666" i="22"/>
  <c r="S668" i="22"/>
  <c r="S669" i="22"/>
  <c r="R669" i="22"/>
  <c r="U669" i="22"/>
  <c r="V669" i="22"/>
  <c r="W669" i="22"/>
  <c r="X669" i="22"/>
  <c r="R670" i="22"/>
  <c r="U670" i="22"/>
  <c r="X670" i="22"/>
  <c r="U673" i="22"/>
  <c r="T677" i="22"/>
  <c r="R677" i="22"/>
  <c r="S677" i="22"/>
  <c r="U677" i="22"/>
  <c r="V677" i="22"/>
  <c r="W677" i="22"/>
  <c r="X677" i="22"/>
  <c r="R678" i="22"/>
  <c r="U678" i="22"/>
  <c r="X678" i="22"/>
  <c r="U681" i="22"/>
  <c r="V681" i="22"/>
  <c r="R684" i="22"/>
  <c r="S684" i="22"/>
  <c r="X684" i="22"/>
  <c r="T685" i="22"/>
  <c r="R685" i="22"/>
  <c r="S685" i="22"/>
  <c r="U685" i="22"/>
  <c r="V685" i="22"/>
  <c r="W685" i="22"/>
  <c r="X685" i="22"/>
  <c r="R686" i="22"/>
  <c r="U686" i="22"/>
  <c r="V686" i="22"/>
  <c r="X686" i="22"/>
  <c r="U687" i="22"/>
  <c r="X687" i="22"/>
  <c r="U689" i="22"/>
  <c r="R692" i="22"/>
  <c r="S692" i="22"/>
  <c r="W692" i="22"/>
  <c r="X692" i="22"/>
  <c r="T693" i="22"/>
  <c r="R693" i="22"/>
  <c r="S693" i="22"/>
  <c r="U693" i="22"/>
  <c r="V693" i="22"/>
  <c r="W693" i="22"/>
  <c r="X693" i="22"/>
  <c r="X695" i="22"/>
  <c r="U697" i="22"/>
  <c r="U698" i="22"/>
  <c r="R700" i="22"/>
  <c r="S700" i="22"/>
  <c r="W700" i="22"/>
  <c r="X700" i="22"/>
  <c r="T701" i="22"/>
  <c r="R701" i="22"/>
  <c r="S701" i="22"/>
  <c r="U701" i="22"/>
  <c r="V701" i="22"/>
  <c r="W701" i="22"/>
  <c r="X701" i="22"/>
  <c r="X703" i="22"/>
  <c r="U705" i="22"/>
  <c r="U706" i="22"/>
  <c r="R708" i="22"/>
  <c r="S708" i="22"/>
  <c r="W708" i="22"/>
  <c r="X708" i="22"/>
  <c r="T709" i="22"/>
  <c r="R709" i="22"/>
  <c r="S709" i="22"/>
  <c r="U709" i="22"/>
  <c r="V709" i="22"/>
  <c r="W709" i="22"/>
  <c r="X709" i="22"/>
  <c r="X711" i="22"/>
  <c r="U713" i="22"/>
  <c r="U714" i="22"/>
  <c r="R716" i="22"/>
  <c r="S716" i="22"/>
  <c r="W716" i="22"/>
  <c r="X716" i="22"/>
  <c r="T717" i="22"/>
  <c r="R717" i="22"/>
  <c r="S717" i="22"/>
  <c r="U717" i="22"/>
  <c r="V717" i="22"/>
  <c r="W717" i="22"/>
  <c r="X717" i="22"/>
  <c r="R724" i="22"/>
  <c r="S724" i="22"/>
  <c r="W724" i="22"/>
  <c r="X724" i="22"/>
  <c r="T725" i="22"/>
  <c r="R725" i="22"/>
  <c r="S725" i="22"/>
  <c r="U725" i="22"/>
  <c r="V725" i="22"/>
  <c r="W725" i="22"/>
  <c r="X725" i="22"/>
  <c r="V726" i="22"/>
  <c r="W726" i="22"/>
  <c r="W728" i="22"/>
  <c r="T729" i="22"/>
  <c r="S731" i="22"/>
  <c r="R731" i="22"/>
  <c r="T731" i="22"/>
  <c r="R732" i="22"/>
  <c r="S732" i="22"/>
  <c r="X732" i="22"/>
  <c r="T733" i="22"/>
  <c r="R733" i="22"/>
  <c r="S733" i="22"/>
  <c r="U733" i="22"/>
  <c r="V733" i="22"/>
  <c r="W733" i="22"/>
  <c r="X733" i="22"/>
  <c r="W734" i="22"/>
  <c r="T741" i="22"/>
  <c r="R741" i="22"/>
  <c r="S741" i="22"/>
  <c r="U741" i="22"/>
  <c r="V741" i="22"/>
  <c r="W741" i="22"/>
  <c r="X741" i="22"/>
  <c r="U742" i="22"/>
  <c r="T749" i="22"/>
  <c r="R749" i="22"/>
  <c r="S749" i="22"/>
  <c r="U749" i="22"/>
  <c r="V749" i="22"/>
  <c r="W749" i="22"/>
  <c r="X749" i="22"/>
  <c r="U750" i="22"/>
  <c r="W750" i="22"/>
  <c r="X750" i="22"/>
  <c r="X751" i="22"/>
  <c r="U752" i="22"/>
  <c r="U753" i="22"/>
  <c r="S755" i="22"/>
  <c r="R755" i="22"/>
  <c r="X755" i="22"/>
  <c r="R756" i="22"/>
  <c r="W756" i="22"/>
  <c r="T757" i="22"/>
  <c r="R757" i="22"/>
  <c r="S757" i="22"/>
  <c r="U757" i="22"/>
  <c r="V757" i="22"/>
  <c r="W757" i="22"/>
  <c r="X757" i="22"/>
  <c r="X758" i="22"/>
  <c r="X759" i="22"/>
  <c r="S761" i="22"/>
  <c r="S762" i="22"/>
  <c r="R763" i="22"/>
  <c r="S763" i="22"/>
  <c r="R764" i="22"/>
  <c r="T765" i="22"/>
  <c r="R765" i="22"/>
  <c r="S765" i="22"/>
  <c r="V765" i="22"/>
  <c r="W765" i="22"/>
  <c r="X765" i="22"/>
  <c r="U766" i="22"/>
  <c r="V766" i="22"/>
  <c r="W766" i="22"/>
  <c r="X766" i="22"/>
  <c r="U767" i="22"/>
  <c r="T767" i="22"/>
  <c r="V767" i="22"/>
  <c r="W767" i="22"/>
  <c r="U768" i="22"/>
  <c r="S768" i="22"/>
  <c r="T768" i="22"/>
  <c r="V768" i="22"/>
  <c r="W768" i="22"/>
  <c r="U769" i="22"/>
  <c r="S769" i="22"/>
  <c r="T769" i="22"/>
  <c r="V769" i="22"/>
  <c r="U770" i="22"/>
  <c r="S770" i="22"/>
  <c r="T770" i="22"/>
  <c r="X771" i="22"/>
  <c r="R771" i="22"/>
  <c r="S771" i="22"/>
  <c r="T771" i="22"/>
  <c r="W772" i="22"/>
  <c r="R772" i="22"/>
  <c r="S772" i="22"/>
  <c r="X772" i="22"/>
  <c r="T773" i="22"/>
  <c r="R773" i="22"/>
  <c r="S773" i="22"/>
  <c r="V773" i="22"/>
  <c r="W773" i="22"/>
  <c r="X773" i="22"/>
  <c r="X774" i="22"/>
  <c r="X775" i="22"/>
  <c r="S777" i="22"/>
  <c r="S778" i="22"/>
  <c r="R779" i="22"/>
  <c r="S779" i="22"/>
  <c r="R780" i="22"/>
  <c r="S781" i="22"/>
  <c r="R781" i="22"/>
  <c r="V781" i="22"/>
  <c r="W781" i="22"/>
  <c r="X781" i="22"/>
  <c r="U782" i="22"/>
  <c r="W782" i="22"/>
  <c r="X782" i="22"/>
  <c r="U783" i="22"/>
  <c r="U784" i="22"/>
  <c r="S787" i="22"/>
  <c r="R787" i="22"/>
  <c r="T787" i="22"/>
  <c r="X787" i="22"/>
  <c r="R788" i="22"/>
  <c r="S788" i="22"/>
  <c r="W788" i="22"/>
  <c r="T789" i="22"/>
  <c r="R789" i="22"/>
  <c r="S789" i="22"/>
  <c r="U789" i="22"/>
  <c r="V789" i="22"/>
  <c r="W789" i="22"/>
  <c r="X789" i="22"/>
  <c r="X790" i="22"/>
  <c r="X791" i="22"/>
  <c r="S792" i="22"/>
  <c r="S794" i="22"/>
  <c r="R795" i="22"/>
  <c r="S795" i="22"/>
  <c r="R796" i="22"/>
  <c r="S797" i="22"/>
  <c r="R797" i="22"/>
  <c r="U797" i="22"/>
  <c r="V797" i="22"/>
  <c r="W797" i="22"/>
  <c r="X797" i="22"/>
  <c r="T798" i="22"/>
  <c r="U798" i="22"/>
  <c r="R799" i="22"/>
  <c r="W799" i="22"/>
  <c r="X800" i="22"/>
  <c r="S800" i="22"/>
  <c r="T800" i="22"/>
  <c r="V800" i="22"/>
  <c r="W800" i="22"/>
  <c r="T801" i="22"/>
  <c r="T803" i="22"/>
  <c r="R803" i="22"/>
  <c r="S803" i="22"/>
  <c r="W803" i="22"/>
  <c r="X803" i="22"/>
  <c r="U805" i="22"/>
  <c r="R805" i="22"/>
  <c r="V805" i="22"/>
  <c r="W805" i="22"/>
  <c r="X805" i="22"/>
  <c r="T806" i="22"/>
  <c r="V807" i="22"/>
  <c r="R811" i="22"/>
  <c r="S811" i="22"/>
  <c r="X811" i="22"/>
  <c r="U812" i="22"/>
  <c r="R812" i="22"/>
  <c r="T812" i="22"/>
  <c r="V812" i="22"/>
  <c r="W812" i="22"/>
  <c r="X812" i="22"/>
  <c r="S813" i="22"/>
  <c r="W813" i="22"/>
  <c r="R815" i="22"/>
  <c r="S815" i="22"/>
  <c r="W815" i="22"/>
  <c r="X815" i="22"/>
  <c r="V816" i="22"/>
  <c r="R816" i="22"/>
  <c r="T816" i="22"/>
  <c r="U816" i="22"/>
  <c r="W816" i="22"/>
  <c r="T817" i="22"/>
  <c r="W817" i="22"/>
  <c r="R819" i="22"/>
  <c r="S819" i="22"/>
  <c r="X819" i="22"/>
  <c r="U820" i="22"/>
  <c r="R820" i="22"/>
  <c r="T820" i="22"/>
  <c r="V820" i="22"/>
  <c r="W820" i="22"/>
  <c r="X820" i="22"/>
  <c r="S821" i="22"/>
  <c r="W821" i="22"/>
  <c r="R823" i="22"/>
  <c r="S823" i="22"/>
  <c r="W823" i="22"/>
  <c r="X823" i="22"/>
  <c r="R827" i="22"/>
  <c r="S827" i="22"/>
  <c r="X827" i="22"/>
  <c r="U828" i="22"/>
  <c r="R828" i="22"/>
  <c r="T828" i="22"/>
  <c r="V828" i="22"/>
  <c r="W828" i="22"/>
  <c r="S829" i="22"/>
  <c r="V829" i="22"/>
  <c r="W829" i="22"/>
  <c r="R831" i="22"/>
  <c r="S831" i="22"/>
  <c r="W831" i="22"/>
  <c r="X831" i="22"/>
  <c r="T833" i="22"/>
  <c r="V833" i="22"/>
  <c r="W833" i="22"/>
  <c r="R835" i="22"/>
  <c r="S835" i="22"/>
  <c r="X835" i="22"/>
  <c r="U836" i="22"/>
  <c r="R836" i="22"/>
  <c r="T836" i="22"/>
  <c r="V836" i="22"/>
  <c r="W836" i="22"/>
  <c r="V837" i="22"/>
  <c r="W837" i="22"/>
  <c r="R839" i="22"/>
  <c r="S839" i="22"/>
  <c r="W839" i="22"/>
  <c r="X839" i="22"/>
  <c r="T841" i="22"/>
  <c r="V841" i="22"/>
  <c r="R843" i="22"/>
  <c r="S843" i="22"/>
  <c r="X843" i="22"/>
  <c r="U844" i="22"/>
  <c r="R844" i="22"/>
  <c r="T844" i="22"/>
  <c r="V844" i="22"/>
  <c r="W844" i="22"/>
  <c r="W845" i="22"/>
  <c r="V845" i="22"/>
  <c r="R847" i="22"/>
  <c r="S847" i="22"/>
  <c r="W847" i="22"/>
  <c r="X847" i="22"/>
  <c r="R851" i="22"/>
  <c r="S851" i="22"/>
  <c r="X851" i="22"/>
  <c r="U852" i="22"/>
  <c r="R852" i="22"/>
  <c r="T852" i="22"/>
  <c r="V852" i="22"/>
  <c r="W852" i="22"/>
  <c r="S853" i="22"/>
  <c r="V853" i="22"/>
  <c r="W853" i="22"/>
  <c r="R855" i="22"/>
  <c r="S855" i="22"/>
  <c r="W855" i="22"/>
  <c r="X855" i="22"/>
  <c r="R859" i="22"/>
  <c r="S859" i="22"/>
  <c r="X859" i="22"/>
  <c r="U860" i="22"/>
  <c r="R860" i="22"/>
  <c r="T860" i="22"/>
  <c r="V860" i="22"/>
  <c r="W860" i="22"/>
  <c r="W861" i="22"/>
  <c r="R863" i="22"/>
  <c r="S863" i="22"/>
  <c r="W863" i="22"/>
  <c r="X863" i="22"/>
  <c r="R867" i="22"/>
  <c r="S867" i="22"/>
  <c r="X867" i="22"/>
  <c r="U868" i="22"/>
  <c r="R868" i="22"/>
  <c r="T868" i="22"/>
  <c r="V868" i="22"/>
  <c r="W868" i="22"/>
  <c r="W869" i="22"/>
  <c r="S869" i="22"/>
  <c r="V869" i="22"/>
  <c r="R871" i="22"/>
  <c r="S871" i="22"/>
  <c r="W871" i="22"/>
  <c r="X871" i="22"/>
  <c r="S873" i="22"/>
  <c r="T873" i="22"/>
  <c r="W873" i="22"/>
  <c r="R875" i="22"/>
  <c r="S875" i="22"/>
  <c r="U876" i="22"/>
  <c r="R876" i="22"/>
  <c r="T876" i="22"/>
  <c r="V876" i="22"/>
  <c r="W876" i="22"/>
  <c r="S9" i="17"/>
  <c r="R10" i="17"/>
  <c r="X13" i="17"/>
  <c r="W13" i="17"/>
  <c r="V14" i="17"/>
  <c r="W14" i="17"/>
  <c r="X14" i="17"/>
  <c r="U15" i="17"/>
  <c r="V15" i="17"/>
  <c r="W15" i="17"/>
  <c r="X15" i="17"/>
  <c r="U16" i="17"/>
  <c r="S17" i="17"/>
  <c r="U17" i="17"/>
  <c r="U18" i="17"/>
  <c r="U20" i="17"/>
  <c r="R21" i="17"/>
  <c r="S21" i="17"/>
  <c r="T21" i="17"/>
  <c r="W21" i="17"/>
  <c r="U22" i="17"/>
  <c r="S22" i="17"/>
  <c r="T22" i="17"/>
  <c r="V22" i="17"/>
  <c r="W22" i="17"/>
  <c r="X22" i="17"/>
  <c r="T23" i="17"/>
  <c r="R23" i="17"/>
  <c r="W23" i="17"/>
  <c r="X23" i="17"/>
  <c r="S24" i="17"/>
  <c r="T24" i="17"/>
  <c r="U24" i="17"/>
  <c r="W24" i="17"/>
  <c r="X27" i="17"/>
  <c r="R27" i="17"/>
  <c r="S27" i="17"/>
  <c r="W27" i="17"/>
  <c r="W28" i="17"/>
  <c r="R28" i="17"/>
  <c r="T28" i="17"/>
  <c r="U28" i="17"/>
  <c r="X28" i="17"/>
  <c r="T31" i="17"/>
  <c r="R31" i="17"/>
  <c r="W31" i="17"/>
  <c r="X31" i="17"/>
  <c r="S32" i="17"/>
  <c r="T32" i="17"/>
  <c r="U32" i="17"/>
  <c r="W32" i="17"/>
  <c r="X35" i="17"/>
  <c r="R35" i="17"/>
  <c r="S35" i="17"/>
  <c r="W35" i="17"/>
  <c r="W36" i="17"/>
  <c r="R36" i="17"/>
  <c r="T36" i="17"/>
  <c r="U36" i="17"/>
  <c r="X36" i="17"/>
  <c r="R38" i="17"/>
  <c r="T45" i="17"/>
  <c r="R45" i="17"/>
  <c r="S45" i="17"/>
  <c r="U45" i="17"/>
  <c r="V45" i="17"/>
  <c r="W45" i="17"/>
  <c r="X45" i="17"/>
  <c r="W50" i="17"/>
  <c r="S50" i="17"/>
  <c r="X50" i="17"/>
  <c r="T51" i="17"/>
  <c r="R51" i="17"/>
  <c r="S51" i="17"/>
  <c r="U51" i="17"/>
  <c r="X51" i="17"/>
  <c r="U52" i="17"/>
  <c r="R52" i="17"/>
  <c r="S52" i="17"/>
  <c r="T52" i="17"/>
  <c r="V52" i="17"/>
  <c r="W52" i="17"/>
  <c r="X52" i="17"/>
  <c r="V53" i="17"/>
  <c r="W53" i="17"/>
  <c r="S54" i="17"/>
  <c r="R54" i="17"/>
  <c r="W54" i="17"/>
  <c r="X54" i="17"/>
  <c r="R55" i="17"/>
  <c r="S55" i="17"/>
  <c r="U55" i="17"/>
  <c r="W55" i="17"/>
  <c r="W56" i="17"/>
  <c r="S56" i="17"/>
  <c r="U56" i="17"/>
  <c r="W57" i="17"/>
  <c r="S58" i="17"/>
  <c r="X58" i="17"/>
  <c r="T59" i="17"/>
  <c r="R59" i="17"/>
  <c r="S59" i="17"/>
  <c r="U59" i="17"/>
  <c r="X59" i="17"/>
  <c r="U60" i="17"/>
  <c r="R60" i="17"/>
  <c r="S60" i="17"/>
  <c r="T60" i="17"/>
  <c r="V60" i="17"/>
  <c r="W60" i="17"/>
  <c r="X60" i="17"/>
  <c r="R61" i="17"/>
  <c r="S61" i="17"/>
  <c r="U61" i="17"/>
  <c r="V61" i="17"/>
  <c r="X63" i="17"/>
  <c r="S64" i="17"/>
  <c r="R64" i="17"/>
  <c r="U64" i="17"/>
  <c r="U65" i="17"/>
  <c r="W65" i="17"/>
  <c r="S66" i="17"/>
  <c r="U66" i="17"/>
  <c r="T70" i="17"/>
  <c r="R70" i="17"/>
  <c r="U70" i="17"/>
  <c r="W70" i="17"/>
  <c r="X70" i="17"/>
  <c r="S71" i="17"/>
  <c r="T71" i="17"/>
  <c r="W71" i="17"/>
  <c r="X74" i="17"/>
  <c r="R74" i="17"/>
  <c r="S74" i="17"/>
  <c r="T74" i="17"/>
  <c r="U74" i="17"/>
  <c r="W74" i="17"/>
  <c r="R75" i="17"/>
  <c r="V76" i="17"/>
  <c r="S76" i="17"/>
  <c r="U76" i="17"/>
  <c r="W76" i="17"/>
  <c r="U77" i="17"/>
  <c r="W77" i="17"/>
  <c r="W84" i="17"/>
  <c r="V84" i="17"/>
  <c r="U85" i="17"/>
  <c r="T86" i="17"/>
  <c r="U86" i="17"/>
  <c r="W86" i="17"/>
  <c r="T92" i="17"/>
  <c r="R92" i="17"/>
  <c r="S92" i="17"/>
  <c r="V92" i="17"/>
  <c r="W92" i="17"/>
  <c r="X92" i="17"/>
  <c r="U94" i="17"/>
  <c r="X94" i="17"/>
  <c r="T95" i="17"/>
  <c r="R98" i="17"/>
  <c r="T100" i="17"/>
  <c r="R100" i="17"/>
  <c r="S100" i="17"/>
  <c r="V100" i="17"/>
  <c r="W100" i="17"/>
  <c r="X100" i="17"/>
  <c r="T103" i="17"/>
  <c r="U103" i="17"/>
  <c r="T104" i="17"/>
  <c r="V104" i="17"/>
  <c r="R105" i="17"/>
  <c r="S105" i="17"/>
  <c r="T105" i="17"/>
  <c r="U105" i="17"/>
  <c r="V105" i="17"/>
  <c r="R106" i="17"/>
  <c r="S106" i="17"/>
  <c r="U106" i="17"/>
  <c r="W106" i="17"/>
  <c r="U107" i="17"/>
  <c r="R107" i="17"/>
  <c r="S107" i="17"/>
  <c r="T107" i="17"/>
  <c r="V107" i="17"/>
  <c r="W107" i="17"/>
  <c r="X107" i="17"/>
  <c r="V111" i="17"/>
  <c r="R111" i="17"/>
  <c r="S111" i="17"/>
  <c r="T111" i="17"/>
  <c r="U111" i="17"/>
  <c r="W111" i="17"/>
  <c r="X111" i="17"/>
  <c r="T112" i="17"/>
  <c r="R112" i="17"/>
  <c r="U112" i="17"/>
  <c r="V112" i="17"/>
  <c r="W112" i="17"/>
  <c r="T113" i="17"/>
  <c r="V113" i="17"/>
  <c r="X113" i="17"/>
  <c r="R115" i="17"/>
  <c r="T115" i="17"/>
  <c r="T117" i="17"/>
  <c r="R117" i="17"/>
  <c r="S117" i="17"/>
  <c r="U117" i="17"/>
  <c r="V117" i="17"/>
  <c r="R122" i="17"/>
  <c r="S122" i="17"/>
  <c r="U122" i="17"/>
  <c r="V122" i="17"/>
  <c r="X122" i="17"/>
  <c r="T123" i="17"/>
  <c r="R123" i="17"/>
  <c r="X123" i="17"/>
  <c r="S130" i="17"/>
  <c r="R130" i="17"/>
  <c r="U130" i="17"/>
  <c r="V130" i="17"/>
  <c r="X130" i="17"/>
  <c r="R131" i="17"/>
  <c r="T131" i="17"/>
  <c r="W131" i="17"/>
  <c r="R133" i="17"/>
  <c r="S133" i="17"/>
  <c r="U133" i="17"/>
  <c r="X133" i="17"/>
  <c r="R134" i="17"/>
  <c r="R137" i="17"/>
  <c r="S137" i="17"/>
  <c r="T137" i="17"/>
  <c r="V137" i="17"/>
  <c r="W137" i="17"/>
  <c r="T138" i="17"/>
  <c r="R138" i="17"/>
  <c r="S138" i="17"/>
  <c r="V138" i="17"/>
  <c r="X138" i="17"/>
  <c r="X142" i="17"/>
  <c r="U142" i="17"/>
  <c r="V142" i="17"/>
  <c r="R145" i="17"/>
  <c r="S145" i="17"/>
  <c r="T145" i="17"/>
  <c r="V145" i="17"/>
  <c r="U147" i="17"/>
  <c r="V147" i="17"/>
  <c r="R150" i="17"/>
  <c r="X150" i="17"/>
  <c r="R151" i="17"/>
  <c r="S151" i="17"/>
  <c r="T151" i="17"/>
  <c r="X151" i="17"/>
  <c r="R153" i="17"/>
  <c r="U153" i="17"/>
  <c r="W153" i="17"/>
  <c r="X153" i="17"/>
  <c r="W154" i="17"/>
  <c r="U154" i="17"/>
  <c r="S155" i="17"/>
  <c r="T155" i="17"/>
  <c r="W155" i="17"/>
  <c r="T159" i="17"/>
  <c r="S159" i="17"/>
  <c r="U161" i="17"/>
  <c r="S163" i="17"/>
  <c r="T163" i="17"/>
  <c r="V163" i="17"/>
  <c r="W163" i="17"/>
  <c r="R166" i="17"/>
  <c r="X166" i="17"/>
  <c r="S167" i="17"/>
  <c r="R167" i="17"/>
  <c r="W167" i="17"/>
  <c r="U174" i="17"/>
  <c r="S174" i="17"/>
  <c r="V174" i="17"/>
  <c r="W174" i="17"/>
  <c r="W175" i="17"/>
  <c r="T176" i="17"/>
  <c r="W176" i="17"/>
  <c r="W179" i="17"/>
  <c r="R180" i="17"/>
  <c r="T180" i="17"/>
  <c r="X180" i="17"/>
  <c r="U183" i="17"/>
  <c r="W183" i="17"/>
  <c r="X183" i="17"/>
  <c r="T184" i="17"/>
  <c r="R187" i="17"/>
  <c r="U187" i="17"/>
  <c r="W187" i="17"/>
  <c r="R188" i="17"/>
  <c r="S188" i="17"/>
  <c r="T188" i="17"/>
  <c r="W188" i="17"/>
  <c r="T189" i="17"/>
  <c r="R189" i="17"/>
  <c r="S189" i="17"/>
  <c r="U189" i="17"/>
  <c r="V189" i="17"/>
  <c r="X189" i="17"/>
  <c r="R190" i="17"/>
  <c r="T190" i="17"/>
  <c r="U190" i="17"/>
  <c r="W190" i="17"/>
  <c r="T192" i="17"/>
  <c r="R192" i="17"/>
  <c r="S192" i="17"/>
  <c r="U192" i="17"/>
  <c r="V192" i="17"/>
  <c r="W192" i="17"/>
  <c r="X192" i="17"/>
  <c r="T193" i="17"/>
  <c r="R195" i="17"/>
  <c r="S195" i="17"/>
  <c r="T195" i="17"/>
  <c r="U195" i="17"/>
  <c r="W195" i="17"/>
  <c r="R197" i="17"/>
  <c r="S197" i="17"/>
  <c r="U197" i="17"/>
  <c r="V197" i="17"/>
  <c r="X197" i="17"/>
  <c r="T198" i="17"/>
  <c r="R198" i="17"/>
  <c r="U198" i="17"/>
  <c r="T200" i="17"/>
  <c r="R200" i="17"/>
  <c r="S200" i="17"/>
  <c r="U200" i="17"/>
  <c r="W200" i="17"/>
  <c r="X200" i="17"/>
  <c r="U202" i="17"/>
  <c r="W202" i="17"/>
  <c r="W203" i="17"/>
  <c r="X204" i="17"/>
  <c r="R204" i="17"/>
  <c r="S204" i="17"/>
  <c r="T204" i="17"/>
  <c r="U204" i="17"/>
  <c r="W204" i="17"/>
  <c r="V205" i="17"/>
  <c r="U205" i="17"/>
  <c r="X205" i="17"/>
  <c r="U206" i="17"/>
  <c r="U207" i="17"/>
  <c r="R207" i="17"/>
  <c r="S207" i="17"/>
  <c r="W207" i="17"/>
  <c r="X207" i="17"/>
  <c r="T208" i="17"/>
  <c r="R208" i="17"/>
  <c r="S208" i="17"/>
  <c r="U208" i="17"/>
  <c r="W208" i="17"/>
  <c r="X208" i="17"/>
  <c r="U210" i="17"/>
  <c r="X211" i="17"/>
  <c r="R211" i="17"/>
  <c r="S211" i="17"/>
  <c r="W211" i="17"/>
  <c r="X212" i="17"/>
  <c r="R212" i="17"/>
  <c r="S212" i="17"/>
  <c r="T212" i="17"/>
  <c r="U212" i="17"/>
  <c r="W212" i="17"/>
  <c r="X213" i="17"/>
  <c r="U213" i="17"/>
  <c r="V213" i="17"/>
  <c r="U215" i="17"/>
  <c r="R215" i="17"/>
  <c r="S215" i="17"/>
  <c r="W215" i="17"/>
  <c r="X215" i="17"/>
  <c r="T216" i="17"/>
  <c r="R216" i="17"/>
  <c r="S216" i="17"/>
  <c r="U216" i="17"/>
  <c r="W216" i="17"/>
  <c r="X216" i="17"/>
  <c r="U217" i="17"/>
  <c r="V217" i="17"/>
  <c r="W217" i="17"/>
  <c r="U218" i="17"/>
  <c r="R219" i="17"/>
  <c r="X220" i="17"/>
  <c r="R220" i="17"/>
  <c r="S220" i="17"/>
  <c r="T220" i="17"/>
  <c r="U220" i="17"/>
  <c r="W220" i="17"/>
  <c r="W222" i="17"/>
  <c r="U222" i="17"/>
  <c r="X222" i="17"/>
  <c r="T224" i="17"/>
  <c r="R224" i="17"/>
  <c r="S224" i="17"/>
  <c r="U224" i="17"/>
  <c r="W224" i="17"/>
  <c r="X224" i="17"/>
  <c r="X228" i="17"/>
  <c r="R228" i="17"/>
  <c r="S228" i="17"/>
  <c r="T228" i="17"/>
  <c r="U228" i="17"/>
  <c r="W228" i="17"/>
  <c r="X230" i="17"/>
  <c r="U232" i="17"/>
  <c r="W232" i="17"/>
  <c r="X232" i="17"/>
  <c r="R236" i="17"/>
  <c r="S236" i="17"/>
  <c r="V237" i="17"/>
  <c r="T238" i="17"/>
  <c r="S238" i="17"/>
  <c r="U238" i="17"/>
  <c r="R240" i="17"/>
  <c r="S240" i="17"/>
  <c r="U240" i="17"/>
  <c r="X240" i="17"/>
  <c r="R242" i="17"/>
  <c r="S242" i="17"/>
  <c r="T242" i="17"/>
  <c r="U242" i="17"/>
  <c r="V242" i="17"/>
  <c r="W242" i="17"/>
  <c r="T243" i="17"/>
  <c r="S243" i="17"/>
  <c r="R244" i="17"/>
  <c r="S244" i="17"/>
  <c r="T244" i="17"/>
  <c r="U244" i="17"/>
  <c r="W244" i="17"/>
  <c r="R245" i="17"/>
  <c r="T245" i="17"/>
  <c r="U248" i="17"/>
  <c r="W248" i="17"/>
  <c r="X248" i="17"/>
  <c r="R252" i="17"/>
  <c r="S252" i="17"/>
  <c r="T254" i="17"/>
  <c r="U254" i="17"/>
  <c r="R256" i="17"/>
  <c r="S256" i="17"/>
  <c r="U256" i="17"/>
  <c r="X256" i="17"/>
  <c r="R258" i="17"/>
  <c r="S258" i="17"/>
  <c r="T258" i="17"/>
  <c r="U258" i="17"/>
  <c r="V258" i="17"/>
  <c r="W258" i="17"/>
  <c r="R260" i="17"/>
  <c r="S260" i="17"/>
  <c r="T260" i="17"/>
  <c r="U260" i="17"/>
  <c r="W260" i="17"/>
  <c r="T261" i="17"/>
  <c r="U262" i="17"/>
  <c r="X262" i="17"/>
  <c r="R264" i="17"/>
  <c r="U264" i="17"/>
  <c r="W264" i="17"/>
  <c r="X264" i="17"/>
  <c r="R268" i="17"/>
  <c r="T268" i="17"/>
  <c r="V268" i="17"/>
  <c r="W272" i="17"/>
  <c r="X272" i="17"/>
  <c r="V275" i="17"/>
  <c r="W275" i="17"/>
  <c r="X275" i="17"/>
  <c r="S276" i="17"/>
  <c r="R276" i="17"/>
  <c r="T276" i="17"/>
  <c r="U276" i="17"/>
  <c r="V276" i="17"/>
  <c r="W276" i="17"/>
  <c r="R279" i="17"/>
  <c r="S279" i="17"/>
  <c r="T279" i="17"/>
  <c r="U279" i="17"/>
  <c r="W279" i="17"/>
  <c r="R281" i="17"/>
  <c r="S281" i="17"/>
  <c r="U281" i="17"/>
  <c r="W281" i="17"/>
  <c r="X281" i="17"/>
  <c r="X284" i="17"/>
  <c r="V284" i="17"/>
  <c r="V285" i="17"/>
  <c r="W286" i="17"/>
  <c r="R286" i="17"/>
  <c r="S286" i="17"/>
  <c r="T286" i="17"/>
  <c r="U286" i="17"/>
  <c r="X286" i="17"/>
  <c r="X287" i="17"/>
  <c r="W287" i="17"/>
  <c r="W289" i="17"/>
  <c r="X289" i="17"/>
  <c r="R290" i="17"/>
  <c r="W290" i="17"/>
  <c r="X291" i="17"/>
  <c r="R291" i="17"/>
  <c r="S291" i="17"/>
  <c r="T291" i="17"/>
  <c r="U291" i="17"/>
  <c r="W291" i="17"/>
  <c r="V292" i="17"/>
  <c r="T295" i="17"/>
  <c r="R295" i="17"/>
  <c r="S295" i="17"/>
  <c r="U295" i="17"/>
  <c r="W295" i="17"/>
  <c r="X295" i="17"/>
  <c r="R297" i="17"/>
  <c r="V297" i="17"/>
  <c r="T298" i="17"/>
  <c r="R298" i="17"/>
  <c r="S298" i="17"/>
  <c r="U298" i="17"/>
  <c r="V298" i="17"/>
  <c r="W299" i="17"/>
  <c r="R300" i="17"/>
  <c r="S300" i="17"/>
  <c r="T300" i="17"/>
  <c r="U300" i="17"/>
  <c r="V300" i="17"/>
  <c r="T305" i="17"/>
  <c r="U305" i="17"/>
  <c r="U306" i="17"/>
  <c r="U307" i="17"/>
  <c r="R307" i="17"/>
  <c r="T307" i="17"/>
  <c r="R308" i="17"/>
  <c r="X308" i="17"/>
  <c r="T311" i="17"/>
  <c r="R311" i="17"/>
  <c r="S311" i="17"/>
  <c r="U311" i="17"/>
  <c r="V311" i="17"/>
  <c r="W311" i="17"/>
  <c r="S313" i="17"/>
  <c r="U313" i="17"/>
  <c r="W313" i="17"/>
  <c r="X313" i="17"/>
  <c r="S314" i="17"/>
  <c r="R314" i="17"/>
  <c r="T314" i="17"/>
  <c r="U314" i="17"/>
  <c r="W314" i="17"/>
  <c r="S317" i="17"/>
  <c r="U318" i="17"/>
  <c r="R318" i="17"/>
  <c r="S318" i="17"/>
  <c r="T318" i="17"/>
  <c r="V318" i="17"/>
  <c r="W318" i="17"/>
  <c r="X318" i="17"/>
  <c r="S319" i="17"/>
  <c r="R319" i="17"/>
  <c r="U319" i="17"/>
  <c r="V319" i="17"/>
  <c r="W319" i="17"/>
  <c r="V320" i="17"/>
  <c r="W320" i="17"/>
  <c r="X320" i="17"/>
  <c r="S321" i="17"/>
  <c r="U321" i="17"/>
  <c r="W321" i="17"/>
  <c r="X321" i="17"/>
  <c r="U322" i="17"/>
  <c r="S325" i="17"/>
  <c r="R325" i="17"/>
  <c r="U326" i="17"/>
  <c r="R326" i="17"/>
  <c r="S326" i="17"/>
  <c r="T326" i="17"/>
  <c r="V326" i="17"/>
  <c r="W326" i="17"/>
  <c r="X326" i="17"/>
  <c r="T327" i="17"/>
  <c r="S327" i="17"/>
  <c r="S329" i="17"/>
  <c r="V329" i="17"/>
  <c r="X331" i="17"/>
  <c r="U331" i="17"/>
  <c r="W331" i="17"/>
  <c r="R332" i="17"/>
  <c r="T332" i="17"/>
  <c r="T334" i="17"/>
  <c r="R334" i="17"/>
  <c r="S334" i="17"/>
  <c r="V334" i="17"/>
  <c r="T335" i="17"/>
  <c r="R335" i="17"/>
  <c r="S335" i="17"/>
  <c r="U335" i="17"/>
  <c r="W335" i="17"/>
  <c r="X335" i="17"/>
  <c r="T336" i="17"/>
  <c r="U336" i="17"/>
  <c r="W336" i="17"/>
  <c r="S337" i="17"/>
  <c r="R341" i="17"/>
  <c r="S341" i="17"/>
  <c r="T341" i="17"/>
  <c r="X341" i="17"/>
  <c r="R342" i="17"/>
  <c r="S342" i="17"/>
  <c r="T343" i="17"/>
  <c r="R343" i="17"/>
  <c r="U343" i="17"/>
  <c r="V343" i="17"/>
  <c r="X343" i="17"/>
  <c r="S347" i="17"/>
  <c r="R350" i="17"/>
  <c r="S350" i="17"/>
  <c r="T350" i="17"/>
  <c r="V350" i="17"/>
  <c r="W350" i="17"/>
  <c r="T351" i="17"/>
  <c r="R351" i="17"/>
  <c r="S351" i="17"/>
  <c r="V351" i="17"/>
  <c r="T355" i="17"/>
  <c r="W355" i="17"/>
  <c r="V356" i="17"/>
  <c r="S358" i="17"/>
  <c r="R358" i="17"/>
  <c r="T358" i="17"/>
  <c r="V358" i="17"/>
  <c r="W359" i="17"/>
  <c r="W360" i="17"/>
  <c r="V360" i="17"/>
  <c r="S361" i="17"/>
  <c r="V361" i="17"/>
  <c r="X361" i="17"/>
  <c r="W363" i="17"/>
  <c r="T363" i="17"/>
  <c r="U363" i="17"/>
  <c r="X364" i="17"/>
  <c r="R364" i="17"/>
  <c r="T364" i="17"/>
  <c r="U364" i="17"/>
  <c r="V364" i="17"/>
  <c r="R365" i="17"/>
  <c r="S366" i="17"/>
  <c r="R366" i="17"/>
  <c r="X367" i="17"/>
  <c r="S369" i="17"/>
  <c r="T369" i="17"/>
  <c r="V369" i="17"/>
  <c r="W369" i="17"/>
  <c r="U372" i="17"/>
  <c r="R372" i="17"/>
  <c r="T372" i="17"/>
  <c r="T375" i="17"/>
  <c r="R375" i="17"/>
  <c r="S375" i="17"/>
  <c r="U375" i="17"/>
  <c r="V375" i="17"/>
  <c r="W375" i="17"/>
  <c r="X375" i="17"/>
  <c r="U378" i="17"/>
  <c r="R378" i="17"/>
  <c r="S378" i="17"/>
  <c r="T378" i="17"/>
  <c r="W378" i="17"/>
  <c r="X378" i="17"/>
  <c r="T379" i="17"/>
  <c r="R379" i="17"/>
  <c r="S379" i="17"/>
  <c r="U379" i="17"/>
  <c r="V379" i="17"/>
  <c r="W379" i="17"/>
  <c r="T382" i="17"/>
  <c r="R382" i="17"/>
  <c r="S382" i="17"/>
  <c r="W382" i="17"/>
  <c r="X382" i="17"/>
  <c r="X384" i="17"/>
  <c r="X385" i="17"/>
  <c r="U386" i="17"/>
  <c r="R386" i="17"/>
  <c r="S386" i="17"/>
  <c r="T386" i="17"/>
  <c r="W386" i="17"/>
  <c r="X386" i="17"/>
  <c r="T387" i="17"/>
  <c r="R387" i="17"/>
  <c r="S387" i="17"/>
  <c r="U387" i="17"/>
  <c r="V387" i="17"/>
  <c r="W387" i="17"/>
  <c r="X387" i="17"/>
  <c r="U390" i="17"/>
  <c r="R390" i="17"/>
  <c r="S390" i="17"/>
  <c r="T390" i="17"/>
  <c r="W390" i="17"/>
  <c r="X390" i="17"/>
  <c r="X393" i="17"/>
  <c r="U394" i="17"/>
  <c r="R394" i="17"/>
  <c r="S394" i="17"/>
  <c r="T394" i="17"/>
  <c r="W394" i="17"/>
  <c r="X394" i="17"/>
  <c r="T395" i="17"/>
  <c r="R395" i="17"/>
  <c r="S395" i="17"/>
  <c r="U395" i="17"/>
  <c r="V395" i="17"/>
  <c r="W395" i="17"/>
  <c r="X395" i="17"/>
  <c r="U398" i="17"/>
  <c r="R398" i="17"/>
  <c r="S398" i="17"/>
  <c r="T398" i="17"/>
  <c r="W398" i="17"/>
  <c r="X398" i="17"/>
  <c r="W401" i="17"/>
  <c r="R401" i="17"/>
  <c r="U402" i="17"/>
  <c r="R402" i="17"/>
  <c r="S402" i="17"/>
  <c r="T402" i="17"/>
  <c r="W402" i="17"/>
  <c r="T403" i="17"/>
  <c r="R403" i="17"/>
  <c r="S403" i="17"/>
  <c r="U403" i="17"/>
  <c r="V403" i="17"/>
  <c r="W403" i="17"/>
  <c r="X403" i="17"/>
  <c r="U404" i="17"/>
  <c r="X405" i="17"/>
  <c r="R408" i="17"/>
  <c r="V408" i="17"/>
  <c r="R409" i="17"/>
  <c r="W409" i="17"/>
  <c r="R410" i="17"/>
  <c r="T410" i="17"/>
  <c r="T411" i="17"/>
  <c r="R411" i="17"/>
  <c r="S411" i="17"/>
  <c r="U411" i="17"/>
  <c r="V411" i="17"/>
  <c r="W411" i="17"/>
  <c r="X411" i="17"/>
  <c r="R418" i="17"/>
  <c r="S418" i="17"/>
  <c r="T419" i="17"/>
  <c r="R419" i="17"/>
  <c r="S419" i="17"/>
  <c r="U419" i="17"/>
  <c r="V419" i="17"/>
  <c r="W419" i="17"/>
  <c r="X419" i="17"/>
  <c r="T420" i="17"/>
  <c r="U420" i="17"/>
  <c r="V420" i="17"/>
  <c r="T421" i="17"/>
  <c r="V421" i="17"/>
  <c r="R426" i="17"/>
  <c r="W426" i="17"/>
  <c r="T427" i="17"/>
  <c r="R427" i="17"/>
  <c r="S427" i="17"/>
  <c r="U427" i="17"/>
  <c r="V427" i="17"/>
  <c r="W427" i="17"/>
  <c r="X427" i="17"/>
  <c r="T434" i="17"/>
  <c r="T435" i="17"/>
  <c r="S435" i="17"/>
  <c r="V435" i="17"/>
  <c r="T440" i="17"/>
  <c r="U440" i="17"/>
  <c r="V440" i="17"/>
  <c r="S442" i="17"/>
  <c r="R442" i="17"/>
  <c r="T442" i="17"/>
  <c r="V442" i="17"/>
  <c r="W442" i="17"/>
  <c r="T443" i="17"/>
  <c r="R443" i="17"/>
  <c r="S443" i="17"/>
  <c r="W443" i="17"/>
  <c r="T444" i="17"/>
  <c r="S445" i="17"/>
  <c r="R448" i="17"/>
  <c r="T448" i="17"/>
  <c r="X448" i="17"/>
  <c r="U451" i="17"/>
  <c r="X451" i="17"/>
  <c r="T452" i="17"/>
  <c r="U452" i="17"/>
  <c r="W452" i="17"/>
  <c r="S454" i="17"/>
  <c r="T454" i="17"/>
  <c r="W454" i="17"/>
  <c r="U456" i="17"/>
  <c r="W456" i="17"/>
  <c r="R457" i="17"/>
  <c r="X457" i="17"/>
  <c r="R458" i="17"/>
  <c r="S458" i="17"/>
  <c r="T458" i="17"/>
  <c r="X458" i="17"/>
  <c r="S460" i="17"/>
  <c r="V460" i="17"/>
  <c r="S464" i="17"/>
  <c r="T464" i="17"/>
  <c r="U464" i="17"/>
  <c r="W464" i="17"/>
  <c r="V465" i="17"/>
  <c r="R467" i="17"/>
  <c r="S467" i="17"/>
  <c r="T467" i="17"/>
  <c r="V467" i="17"/>
  <c r="W468" i="17"/>
  <c r="S470" i="17"/>
  <c r="V470" i="17"/>
  <c r="R472" i="17"/>
  <c r="S472" i="17"/>
  <c r="U472" i="17"/>
  <c r="W472" i="17"/>
  <c r="T473" i="17"/>
  <c r="X474" i="17"/>
  <c r="S474" i="17"/>
  <c r="T474" i="17"/>
  <c r="W474" i="17"/>
  <c r="T476" i="17"/>
  <c r="R476" i="17"/>
  <c r="S476" i="17"/>
  <c r="U476" i="17"/>
  <c r="V476" i="17"/>
  <c r="W476" i="17"/>
  <c r="X476" i="17"/>
  <c r="U477" i="17"/>
  <c r="W477" i="17"/>
  <c r="X478" i="17"/>
  <c r="U480" i="17"/>
  <c r="W480" i="17"/>
  <c r="R482" i="17"/>
  <c r="S482" i="17"/>
  <c r="T482" i="17"/>
  <c r="X482" i="17"/>
  <c r="T484" i="17"/>
  <c r="R484" i="17"/>
  <c r="S484" i="17"/>
  <c r="U484" i="17"/>
  <c r="V484" i="17"/>
  <c r="X484" i="17"/>
  <c r="R491" i="17"/>
  <c r="S491" i="17"/>
  <c r="T491" i="17"/>
  <c r="V491" i="17"/>
  <c r="W491" i="17"/>
  <c r="R492" i="17"/>
  <c r="W496" i="17"/>
  <c r="R499" i="17"/>
  <c r="S499" i="17"/>
  <c r="T499" i="17"/>
  <c r="V499" i="17"/>
  <c r="S500" i="17"/>
  <c r="X500" i="17"/>
  <c r="T501" i="17"/>
  <c r="U501" i="17"/>
  <c r="S502" i="17"/>
  <c r="V502" i="17"/>
  <c r="X502" i="17"/>
  <c r="S504" i="17"/>
  <c r="W504" i="17"/>
  <c r="V505" i="17"/>
  <c r="T506" i="17"/>
  <c r="R506" i="17"/>
  <c r="S506" i="17"/>
  <c r="W506" i="17"/>
  <c r="T508" i="17"/>
  <c r="R508" i="17"/>
  <c r="S508" i="17"/>
  <c r="U508" i="17"/>
  <c r="V508" i="17"/>
  <c r="W508" i="17"/>
  <c r="X508" i="17"/>
  <c r="S514" i="17"/>
  <c r="R514" i="17"/>
  <c r="T514" i="17"/>
  <c r="T516" i="17"/>
  <c r="R516" i="17"/>
  <c r="S516" i="17"/>
  <c r="U516" i="17"/>
  <c r="V516" i="17"/>
  <c r="X516" i="17"/>
  <c r="U517" i="17"/>
  <c r="W517" i="17"/>
  <c r="X521" i="17"/>
  <c r="U522" i="17"/>
  <c r="R522" i="17"/>
  <c r="S522" i="17"/>
  <c r="V522" i="17"/>
  <c r="W522" i="17"/>
  <c r="X522" i="17"/>
  <c r="R523" i="17"/>
  <c r="S523" i="17"/>
  <c r="U526" i="17"/>
  <c r="R527" i="17"/>
  <c r="S527" i="17"/>
  <c r="T527" i="17"/>
  <c r="U527" i="17"/>
  <c r="W527" i="17"/>
  <c r="S528" i="17"/>
  <c r="V528" i="17"/>
  <c r="X528" i="17"/>
  <c r="W529" i="17"/>
  <c r="X529" i="17"/>
  <c r="U530" i="17"/>
  <c r="R530" i="17"/>
  <c r="S530" i="17"/>
  <c r="V530" i="17"/>
  <c r="W530" i="17"/>
  <c r="X530" i="17"/>
  <c r="W531" i="17"/>
  <c r="R531" i="17"/>
  <c r="S534" i="17"/>
  <c r="W534" i="17"/>
  <c r="X534" i="17"/>
  <c r="U538" i="17"/>
  <c r="R538" i="17"/>
  <c r="S538" i="17"/>
  <c r="V538" i="17"/>
  <c r="W538" i="17"/>
  <c r="X538" i="17"/>
  <c r="U539" i="17"/>
  <c r="R542" i="17"/>
  <c r="S542" i="17"/>
  <c r="U542" i="17"/>
  <c r="W542" i="17"/>
  <c r="X542" i="17"/>
  <c r="R543" i="17"/>
  <c r="S543" i="17"/>
  <c r="T543" i="17"/>
  <c r="U543" i="17"/>
  <c r="W543" i="17"/>
  <c r="S544" i="17"/>
  <c r="T544" i="17"/>
  <c r="U544" i="17"/>
  <c r="V544" i="17"/>
  <c r="S545" i="17"/>
  <c r="U545" i="17"/>
  <c r="W545" i="17"/>
  <c r="U546" i="17"/>
  <c r="R546" i="17"/>
  <c r="S546" i="17"/>
  <c r="V546" i="17"/>
  <c r="W546" i="17"/>
  <c r="X546" i="17"/>
  <c r="R547" i="17"/>
  <c r="S547" i="17"/>
  <c r="W547" i="17"/>
  <c r="T548" i="17"/>
  <c r="W548" i="17"/>
  <c r="W549" i="17"/>
  <c r="X549" i="17"/>
  <c r="U550" i="17"/>
  <c r="W550" i="17"/>
  <c r="R551" i="17"/>
  <c r="S551" i="17"/>
  <c r="T551" i="17"/>
  <c r="U551" i="17"/>
  <c r="U552" i="17"/>
  <c r="S553" i="17"/>
  <c r="U553" i="17"/>
  <c r="U554" i="17"/>
  <c r="R554" i="17"/>
  <c r="S554" i="17"/>
  <c r="V554" i="17"/>
  <c r="W554" i="17"/>
  <c r="X554" i="17"/>
  <c r="R555" i="17"/>
  <c r="S555" i="17"/>
  <c r="U555" i="17"/>
  <c r="W555" i="17"/>
  <c r="V556" i="17"/>
  <c r="V557" i="17"/>
  <c r="W557" i="17"/>
  <c r="R558" i="17"/>
  <c r="S558" i="17"/>
  <c r="U558" i="17"/>
  <c r="W558" i="17"/>
  <c r="X558" i="17"/>
  <c r="T559" i="17"/>
  <c r="R559" i="17"/>
  <c r="S560" i="17"/>
  <c r="T560" i="17"/>
  <c r="S561" i="17"/>
  <c r="U562" i="17"/>
  <c r="R562" i="17"/>
  <c r="S562" i="17"/>
  <c r="V562" i="17"/>
  <c r="W562" i="17"/>
  <c r="X562" i="17"/>
  <c r="R563" i="17"/>
  <c r="S563" i="17"/>
  <c r="W563" i="17"/>
  <c r="T567" i="17"/>
  <c r="R568" i="17"/>
  <c r="U568" i="17"/>
  <c r="S571" i="17"/>
  <c r="U571" i="17"/>
  <c r="W571" i="17"/>
  <c r="X571" i="17"/>
  <c r="R572" i="17"/>
  <c r="T572" i="17"/>
  <c r="W572" i="17"/>
  <c r="V574" i="17"/>
  <c r="T575" i="17"/>
  <c r="U576" i="17"/>
  <c r="S577" i="17"/>
  <c r="R579" i="17"/>
  <c r="W579" i="17"/>
  <c r="W582" i="17"/>
  <c r="U583" i="17"/>
  <c r="T583" i="17"/>
  <c r="R584" i="17"/>
  <c r="X584" i="17"/>
  <c r="S587" i="17"/>
  <c r="U587" i="17"/>
  <c r="W587" i="17"/>
  <c r="X587" i="17"/>
  <c r="R588" i="17"/>
  <c r="U588" i="17"/>
  <c r="V589" i="17"/>
  <c r="X589" i="17"/>
  <c r="U590" i="17"/>
  <c r="R590" i="17"/>
  <c r="S590" i="17"/>
  <c r="V590" i="17"/>
  <c r="W590" i="17"/>
  <c r="T591" i="17"/>
  <c r="W591" i="17"/>
  <c r="S592" i="17"/>
  <c r="T592" i="17"/>
  <c r="U592" i="17"/>
  <c r="V592" i="17"/>
  <c r="X592" i="17"/>
  <c r="U593" i="17"/>
  <c r="U594" i="17"/>
  <c r="R594" i="17"/>
  <c r="S594" i="17"/>
  <c r="T594" i="17"/>
  <c r="V594" i="17"/>
  <c r="W594" i="17"/>
  <c r="X594" i="17"/>
  <c r="R595" i="17"/>
  <c r="S597" i="17"/>
  <c r="X597" i="17"/>
  <c r="S598" i="17"/>
  <c r="R598" i="17"/>
  <c r="U598" i="17"/>
  <c r="W598" i="17"/>
  <c r="U600" i="17"/>
  <c r="R601" i="17"/>
  <c r="S601" i="17"/>
  <c r="U601" i="17"/>
  <c r="X601" i="17"/>
  <c r="U602" i="17"/>
  <c r="R602" i="17"/>
  <c r="S602" i="17"/>
  <c r="T602" i="17"/>
  <c r="V602" i="17"/>
  <c r="W602" i="17"/>
  <c r="X602" i="17"/>
  <c r="R603" i="17"/>
  <c r="S603" i="17"/>
  <c r="W603" i="17"/>
  <c r="W604" i="17"/>
  <c r="U605" i="17"/>
  <c r="W605" i="17"/>
  <c r="X605" i="17"/>
  <c r="R606" i="17"/>
  <c r="S606" i="17"/>
  <c r="T606" i="17"/>
  <c r="U606" i="17"/>
  <c r="W606" i="17"/>
  <c r="S607" i="17"/>
  <c r="U608" i="17"/>
  <c r="R609" i="17"/>
  <c r="U610" i="17"/>
  <c r="R610" i="17"/>
  <c r="S610" i="17"/>
  <c r="T610" i="17"/>
  <c r="V610" i="17"/>
  <c r="W610" i="17"/>
  <c r="X610" i="17"/>
  <c r="R611" i="17"/>
  <c r="U611" i="17"/>
  <c r="V611" i="17"/>
  <c r="W611" i="17"/>
  <c r="U612" i="17"/>
  <c r="V612" i="17"/>
  <c r="W612" i="17"/>
  <c r="S613" i="17"/>
  <c r="U613" i="17"/>
  <c r="W613" i="17"/>
  <c r="S615" i="17"/>
  <c r="R617" i="17"/>
  <c r="S617" i="17"/>
  <c r="U618" i="17"/>
  <c r="R618" i="17"/>
  <c r="S618" i="17"/>
  <c r="T618" i="17"/>
  <c r="V618" i="17"/>
  <c r="W618" i="17"/>
  <c r="X618" i="17"/>
  <c r="R619" i="17"/>
  <c r="S619" i="17"/>
  <c r="U619" i="17"/>
  <c r="V619" i="17"/>
  <c r="R620" i="17"/>
  <c r="U620" i="17"/>
  <c r="X620" i="17"/>
  <c r="U621" i="17"/>
  <c r="T622" i="17"/>
  <c r="R622" i="17"/>
  <c r="S622" i="17"/>
  <c r="U622" i="17"/>
  <c r="W622" i="17"/>
  <c r="R625" i="17"/>
  <c r="S625" i="17"/>
  <c r="U625" i="17"/>
  <c r="X625" i="17"/>
  <c r="U626" i="17"/>
  <c r="R626" i="17"/>
  <c r="S626" i="17"/>
  <c r="T626" i="17"/>
  <c r="V626" i="17"/>
  <c r="W626" i="17"/>
  <c r="X626" i="17"/>
  <c r="R627" i="17"/>
  <c r="S627" i="17"/>
  <c r="W627" i="17"/>
  <c r="S629" i="17"/>
  <c r="U629" i="17"/>
  <c r="R630" i="17"/>
  <c r="S630" i="17"/>
  <c r="T630" i="17"/>
  <c r="U634" i="17"/>
  <c r="R634" i="17"/>
  <c r="S634" i="17"/>
  <c r="T634" i="17"/>
  <c r="V634" i="17"/>
  <c r="W634" i="17"/>
  <c r="X634" i="17"/>
  <c r="R635" i="17"/>
  <c r="S635" i="17"/>
  <c r="U635" i="17"/>
  <c r="V635" i="17"/>
  <c r="X636" i="17"/>
  <c r="U637" i="17"/>
  <c r="R638" i="17"/>
  <c r="S638" i="17"/>
  <c r="T638" i="17"/>
  <c r="U638" i="17"/>
  <c r="W638" i="17"/>
  <c r="R641" i="17"/>
  <c r="S641" i="17"/>
  <c r="U641" i="17"/>
  <c r="X641" i="17"/>
  <c r="U642" i="17"/>
  <c r="R642" i="17"/>
  <c r="S642" i="17"/>
  <c r="T642" i="17"/>
  <c r="V642" i="17"/>
  <c r="W642" i="17"/>
  <c r="X642" i="17"/>
  <c r="R643" i="17"/>
  <c r="S643" i="17"/>
  <c r="W643" i="17"/>
  <c r="T645" i="17"/>
  <c r="U645" i="17"/>
  <c r="S646" i="17"/>
  <c r="V646" i="17"/>
  <c r="R650" i="17"/>
  <c r="S650" i="17"/>
  <c r="U650" i="17"/>
  <c r="W650" i="17"/>
  <c r="X650" i="17"/>
  <c r="V652" i="17"/>
  <c r="W652" i="17"/>
  <c r="R656" i="17"/>
  <c r="S656" i="17"/>
  <c r="T656" i="17"/>
  <c r="U656" i="17"/>
  <c r="S658" i="17"/>
  <c r="U660" i="17"/>
  <c r="V660" i="17"/>
  <c r="W660" i="17"/>
  <c r="X660" i="17"/>
  <c r="S661" i="17"/>
  <c r="R661" i="17"/>
  <c r="T661" i="17"/>
  <c r="U661" i="17"/>
  <c r="W661" i="17"/>
  <c r="T662" i="17"/>
  <c r="W662" i="17"/>
  <c r="T663" i="17"/>
  <c r="U663" i="17"/>
  <c r="V663" i="17"/>
  <c r="S664" i="17"/>
  <c r="W664" i="17"/>
  <c r="R666" i="17"/>
  <c r="S666" i="17"/>
  <c r="U666" i="17"/>
  <c r="W666" i="17"/>
  <c r="S668" i="17"/>
  <c r="U668" i="17"/>
  <c r="V668" i="17"/>
  <c r="W668" i="17"/>
  <c r="X668" i="17"/>
  <c r="R669" i="17"/>
  <c r="V669" i="17"/>
  <c r="R673" i="17"/>
  <c r="V673" i="17"/>
  <c r="X673" i="17"/>
  <c r="R674" i="17"/>
  <c r="S674" i="17"/>
  <c r="U674" i="17"/>
  <c r="X674" i="17"/>
  <c r="S676" i="17"/>
  <c r="U676" i="17"/>
  <c r="V676" i="17"/>
  <c r="U677" i="17"/>
  <c r="W679" i="17"/>
  <c r="R679" i="17"/>
  <c r="S679" i="17"/>
  <c r="T679" i="17"/>
  <c r="U679" i="17"/>
  <c r="X679" i="17"/>
  <c r="R681" i="17"/>
  <c r="S681" i="17"/>
  <c r="T681" i="17"/>
  <c r="V681" i="17"/>
  <c r="X681" i="17"/>
  <c r="R682" i="17"/>
  <c r="W682" i="17"/>
  <c r="T684" i="17"/>
  <c r="R684" i="17"/>
  <c r="S684" i="17"/>
  <c r="V684" i="17"/>
  <c r="W684" i="17"/>
  <c r="X684" i="17"/>
  <c r="R687" i="17"/>
  <c r="W687" i="17"/>
  <c r="U690" i="17"/>
  <c r="U691" i="17"/>
  <c r="R691" i="17"/>
  <c r="T691" i="17"/>
  <c r="W691" i="17"/>
  <c r="X691" i="17"/>
  <c r="T692" i="17"/>
  <c r="R692" i="17"/>
  <c r="S692" i="17"/>
  <c r="V692" i="17"/>
  <c r="W692" i="17"/>
  <c r="X692" i="17"/>
  <c r="U694" i="17"/>
  <c r="R695" i="17"/>
  <c r="W695" i="17"/>
  <c r="X695" i="17"/>
  <c r="U698" i="17"/>
  <c r="X698" i="17"/>
  <c r="U699" i="17"/>
  <c r="R699" i="17"/>
  <c r="T699" i="17"/>
  <c r="W699" i="17"/>
  <c r="X699" i="17"/>
  <c r="T700" i="17"/>
  <c r="R700" i="17"/>
  <c r="S700" i="17"/>
  <c r="V700" i="17"/>
  <c r="W700" i="17"/>
  <c r="X700" i="17"/>
  <c r="T706" i="17"/>
  <c r="R706" i="17"/>
  <c r="W706" i="17"/>
  <c r="T708" i="17"/>
  <c r="R708" i="17"/>
  <c r="S708" i="17"/>
  <c r="V708" i="17"/>
  <c r="W708" i="17"/>
  <c r="X708" i="17"/>
  <c r="X714" i="17"/>
  <c r="T716" i="17"/>
  <c r="R716" i="17"/>
  <c r="S716" i="17"/>
  <c r="V716" i="17"/>
  <c r="W716" i="17"/>
  <c r="X716" i="17"/>
  <c r="T724" i="17"/>
  <c r="R724" i="17"/>
  <c r="S724" i="17"/>
  <c r="V724" i="17"/>
  <c r="W724" i="17"/>
  <c r="X724" i="17"/>
  <c r="U726" i="17"/>
  <c r="R730" i="17"/>
  <c r="T732" i="17"/>
  <c r="R732" i="17"/>
  <c r="S732" i="17"/>
  <c r="V732" i="17"/>
  <c r="W732" i="17"/>
  <c r="X732" i="17"/>
  <c r="T734" i="17"/>
  <c r="U734" i="17"/>
  <c r="V734" i="17"/>
  <c r="T740" i="17"/>
  <c r="R740" i="17"/>
  <c r="S740" i="17"/>
  <c r="V740" i="17"/>
  <c r="W740" i="17"/>
  <c r="X740" i="17"/>
  <c r="T743" i="17"/>
  <c r="V743" i="17"/>
  <c r="W743" i="17"/>
  <c r="R746" i="17"/>
  <c r="U746" i="17"/>
  <c r="T748" i="17"/>
  <c r="R748" i="17"/>
  <c r="S748" i="17"/>
  <c r="V748" i="17"/>
  <c r="W748" i="17"/>
  <c r="X748" i="17"/>
  <c r="U751" i="17"/>
  <c r="V751" i="17"/>
  <c r="W751" i="17"/>
  <c r="R756" i="17"/>
  <c r="S756" i="17"/>
  <c r="V756" i="17"/>
  <c r="W756" i="17"/>
  <c r="X756" i="17"/>
  <c r="S759" i="17"/>
  <c r="R759" i="17"/>
  <c r="T759" i="17"/>
  <c r="U759" i="17"/>
  <c r="V759" i="17"/>
  <c r="W759" i="17"/>
  <c r="W760" i="17"/>
  <c r="T761" i="17"/>
  <c r="R761" i="17"/>
  <c r="U761" i="17"/>
  <c r="W761" i="17"/>
  <c r="X761" i="17"/>
  <c r="U762" i="17"/>
  <c r="T762" i="17"/>
  <c r="W762" i="17"/>
  <c r="X765" i="17"/>
  <c r="R765" i="17"/>
  <c r="S765" i="17"/>
  <c r="U765" i="17"/>
  <c r="W765" i="17"/>
  <c r="T766" i="17"/>
  <c r="S766" i="17"/>
  <c r="T769" i="17"/>
  <c r="R769" i="17"/>
  <c r="U769" i="17"/>
  <c r="W769" i="17"/>
  <c r="X769" i="17"/>
  <c r="R770" i="17"/>
  <c r="T770" i="17"/>
  <c r="U770" i="17"/>
  <c r="W770" i="17"/>
  <c r="U771" i="17"/>
  <c r="V771" i="17"/>
  <c r="W771" i="17"/>
  <c r="S772" i="17"/>
  <c r="X773" i="17"/>
  <c r="R773" i="17"/>
  <c r="S773" i="17"/>
  <c r="U773" i="17"/>
  <c r="W773" i="17"/>
  <c r="T774" i="17"/>
  <c r="R774" i="17"/>
  <c r="S774" i="17"/>
  <c r="X774" i="17"/>
  <c r="W775" i="17"/>
  <c r="U775" i="17"/>
  <c r="T777" i="17"/>
  <c r="R777" i="17"/>
  <c r="U777" i="17"/>
  <c r="W777" i="17"/>
  <c r="X777" i="17"/>
  <c r="T778" i="17"/>
  <c r="V779" i="17"/>
  <c r="U779" i="17"/>
  <c r="W779" i="17"/>
  <c r="X781" i="17"/>
  <c r="R781" i="17"/>
  <c r="S781" i="17"/>
  <c r="U781" i="17"/>
  <c r="W781" i="17"/>
  <c r="R782" i="17"/>
  <c r="S782" i="17"/>
  <c r="T782" i="17"/>
  <c r="U782" i="17"/>
  <c r="X782" i="17"/>
  <c r="T785" i="17"/>
  <c r="R785" i="17"/>
  <c r="U785" i="17"/>
  <c r="W785" i="17"/>
  <c r="X785" i="17"/>
  <c r="U786" i="17"/>
  <c r="R786" i="17"/>
  <c r="T786" i="17"/>
  <c r="V787" i="17"/>
  <c r="X789" i="17"/>
  <c r="R789" i="17"/>
  <c r="S789" i="17"/>
  <c r="U789" i="17"/>
  <c r="W789" i="17"/>
  <c r="S790" i="17"/>
  <c r="T790" i="17"/>
  <c r="U790" i="17"/>
  <c r="X790" i="17"/>
  <c r="T793" i="17"/>
  <c r="R793" i="17"/>
  <c r="U793" i="17"/>
  <c r="W793" i="17"/>
  <c r="X793" i="17"/>
  <c r="W794" i="17"/>
  <c r="R794" i="17"/>
  <c r="T794" i="17"/>
  <c r="U794" i="17"/>
  <c r="U795" i="17"/>
  <c r="S796" i="17"/>
  <c r="V796" i="17"/>
  <c r="W796" i="17"/>
  <c r="X796" i="17"/>
  <c r="X797" i="17"/>
  <c r="R797" i="17"/>
  <c r="S797" i="17"/>
  <c r="U797" i="17"/>
  <c r="W797" i="17"/>
  <c r="T798" i="17"/>
  <c r="S798" i="17"/>
  <c r="U798" i="17"/>
  <c r="U799" i="17"/>
  <c r="W799" i="17"/>
  <c r="X799" i="17"/>
  <c r="T801" i="17"/>
  <c r="R801" i="17"/>
  <c r="U801" i="17"/>
  <c r="W801" i="17"/>
  <c r="X801" i="17"/>
  <c r="U802" i="17"/>
  <c r="T802" i="17"/>
  <c r="S804" i="17"/>
  <c r="W804" i="17"/>
  <c r="X805" i="17"/>
  <c r="R805" i="17"/>
  <c r="S805" i="17"/>
  <c r="U805" i="17"/>
  <c r="W805" i="17"/>
  <c r="R806" i="17"/>
  <c r="S806" i="17"/>
  <c r="T806" i="17"/>
  <c r="W807" i="17"/>
  <c r="U807" i="17"/>
  <c r="X807" i="17"/>
  <c r="T809" i="17"/>
  <c r="R809" i="17"/>
  <c r="U809" i="17"/>
  <c r="W809" i="17"/>
  <c r="X809" i="17"/>
  <c r="R810" i="17"/>
  <c r="T810" i="17"/>
  <c r="U810" i="17"/>
  <c r="W810" i="17"/>
  <c r="X813" i="17"/>
  <c r="R813" i="17"/>
  <c r="S813" i="17"/>
  <c r="U813" i="17"/>
  <c r="W813" i="17"/>
  <c r="R814" i="17"/>
  <c r="R817" i="17"/>
  <c r="U817" i="17"/>
  <c r="W817" i="17"/>
  <c r="X817" i="17"/>
  <c r="R818" i="17"/>
  <c r="T818" i="17"/>
  <c r="U818" i="17"/>
  <c r="W818" i="17"/>
  <c r="T819" i="17"/>
  <c r="S819" i="17"/>
  <c r="U819" i="17"/>
  <c r="V819" i="17"/>
  <c r="U820" i="17"/>
  <c r="V820" i="17"/>
  <c r="R821" i="17"/>
  <c r="U821" i="17"/>
  <c r="T822" i="17"/>
  <c r="R822" i="17"/>
  <c r="S822" i="17"/>
  <c r="U822" i="17"/>
  <c r="X822" i="17"/>
  <c r="T823" i="17"/>
  <c r="S823" i="17"/>
  <c r="W823" i="17"/>
  <c r="R825" i="17"/>
  <c r="U825" i="17"/>
  <c r="W825" i="17"/>
  <c r="X825" i="17"/>
  <c r="R826" i="17"/>
  <c r="T826" i="17"/>
  <c r="W826" i="17"/>
  <c r="S827" i="17"/>
  <c r="T827" i="17"/>
  <c r="S830" i="17"/>
  <c r="R830" i="17"/>
  <c r="U830" i="17"/>
  <c r="R833" i="17"/>
  <c r="S833" i="17"/>
  <c r="W833" i="17"/>
  <c r="X837" i="17"/>
  <c r="U838" i="17"/>
  <c r="R838" i="17"/>
  <c r="T838" i="17"/>
  <c r="W838" i="17"/>
  <c r="X838" i="17"/>
  <c r="T839" i="17"/>
  <c r="R839" i="17"/>
  <c r="S839" i="17"/>
  <c r="U839" i="17"/>
  <c r="V839" i="17"/>
  <c r="W839" i="17"/>
  <c r="X839" i="17"/>
  <c r="W841" i="17"/>
  <c r="S842" i="17"/>
  <c r="R842" i="17"/>
  <c r="W842" i="17"/>
  <c r="X845" i="17"/>
  <c r="U846" i="17"/>
  <c r="R846" i="17"/>
  <c r="W846" i="17"/>
  <c r="X846" i="17"/>
  <c r="T847" i="17"/>
  <c r="R847" i="17"/>
  <c r="S847" i="17"/>
  <c r="U847" i="17"/>
  <c r="V847" i="17"/>
  <c r="W847" i="17"/>
  <c r="X847" i="17"/>
  <c r="W849" i="17"/>
  <c r="X849" i="17"/>
  <c r="S850" i="17"/>
  <c r="R850" i="17"/>
  <c r="W850" i="17"/>
  <c r="X853" i="17"/>
  <c r="U854" i="17"/>
  <c r="R854" i="17"/>
  <c r="W854" i="17"/>
  <c r="X854" i="17"/>
  <c r="T855" i="17"/>
  <c r="R855" i="17"/>
  <c r="S855" i="17"/>
  <c r="U855" i="17"/>
  <c r="V855" i="17"/>
  <c r="W855" i="17"/>
  <c r="X855" i="17"/>
  <c r="U857" i="17"/>
  <c r="W857" i="17"/>
  <c r="U861" i="17"/>
  <c r="X861" i="17"/>
  <c r="U862" i="17"/>
  <c r="R862" i="17"/>
  <c r="W862" i="17"/>
  <c r="X862" i="17"/>
  <c r="T863" i="17"/>
  <c r="R863" i="17"/>
  <c r="S863" i="17"/>
  <c r="U863" i="17"/>
  <c r="V863" i="17"/>
  <c r="W863" i="17"/>
  <c r="X863" i="17"/>
  <c r="U865" i="17"/>
  <c r="W865" i="17"/>
  <c r="X865" i="17"/>
  <c r="R866" i="17"/>
  <c r="U869" i="17"/>
  <c r="X869" i="17"/>
  <c r="U870" i="17"/>
  <c r="R870" i="17"/>
  <c r="X870" i="17"/>
  <c r="T871" i="17"/>
  <c r="R871" i="17"/>
  <c r="S871" i="17"/>
  <c r="U871" i="17"/>
  <c r="V871" i="17"/>
  <c r="W871" i="17"/>
  <c r="X871" i="17"/>
  <c r="R874" i="17"/>
  <c r="U877" i="17"/>
  <c r="X877" i="17"/>
  <c r="U878" i="17"/>
  <c r="R878" i="17"/>
  <c r="X878" i="17"/>
  <c r="T879" i="17"/>
  <c r="R879" i="17"/>
  <c r="S879" i="17"/>
  <c r="U879" i="17"/>
  <c r="V879" i="17"/>
  <c r="W879" i="17"/>
  <c r="X879" i="17"/>
  <c r="W881" i="17"/>
  <c r="X881" i="17"/>
  <c r="W882" i="17"/>
  <c r="U886" i="17"/>
  <c r="R886" i="17"/>
  <c r="X886" i="17"/>
  <c r="T887" i="17"/>
  <c r="R887" i="17"/>
  <c r="S887" i="17"/>
  <c r="V887" i="17"/>
  <c r="W887" i="17"/>
  <c r="X887" i="17"/>
  <c r="R890" i="17"/>
  <c r="W890" i="17"/>
  <c r="X893" i="17"/>
  <c r="U894" i="17"/>
  <c r="R894" i="17"/>
  <c r="X894" i="17"/>
  <c r="T895" i="17"/>
  <c r="R895" i="17"/>
  <c r="S895" i="17"/>
  <c r="V895" i="17"/>
  <c r="W895" i="17"/>
  <c r="X895" i="17"/>
  <c r="R898" i="17"/>
  <c r="W898" i="17"/>
  <c r="X898" i="17"/>
  <c r="T906" i="17"/>
  <c r="R906" i="17"/>
  <c r="S906" i="17"/>
  <c r="W906" i="17"/>
  <c r="X906" i="17"/>
  <c r="R908" i="17"/>
  <c r="V908" i="17"/>
  <c r="W908" i="17"/>
  <c r="X908" i="17"/>
  <c r="U909" i="17"/>
  <c r="T910" i="17"/>
  <c r="W910" i="17"/>
  <c r="T912" i="17"/>
  <c r="T914" i="17"/>
  <c r="R914" i="17"/>
  <c r="S914" i="17"/>
  <c r="U914" i="17"/>
  <c r="W914" i="17"/>
  <c r="X914" i="17"/>
  <c r="R916" i="17"/>
  <c r="S916" i="17"/>
  <c r="U916" i="17"/>
  <c r="V916" i="17"/>
  <c r="W916" i="17"/>
  <c r="X916" i="17"/>
  <c r="V917" i="17"/>
  <c r="X919" i="17"/>
  <c r="R924" i="17"/>
  <c r="S924" i="17"/>
  <c r="U924" i="17"/>
  <c r="V924" i="17"/>
  <c r="W924" i="17"/>
  <c r="X924" i="17"/>
  <c r="R925" i="17"/>
  <c r="U925" i="17"/>
  <c r="V925" i="17"/>
  <c r="W925" i="17"/>
  <c r="X925" i="17"/>
  <c r="R930" i="17"/>
  <c r="S930" i="17"/>
  <c r="U930" i="17"/>
  <c r="X930" i="17"/>
  <c r="R932" i="17"/>
  <c r="S932" i="17"/>
  <c r="U932" i="17"/>
  <c r="V932" i="17"/>
  <c r="W932" i="17"/>
  <c r="X932" i="17"/>
  <c r="AG9" i="6"/>
  <c r="AH9" i="6"/>
  <c r="AI9" i="6"/>
  <c r="AJ9" i="6"/>
  <c r="AF9" i="6"/>
  <c r="FU310" i="6"/>
  <c r="FV310" i="6"/>
  <c r="FU311" i="6"/>
  <c r="FV311" i="6"/>
  <c r="FU312" i="6"/>
  <c r="FV312" i="6"/>
  <c r="FU313" i="6"/>
  <c r="FV313" i="6"/>
  <c r="FU314" i="6"/>
  <c r="FV314" i="6"/>
  <c r="FU315" i="6"/>
  <c r="FV315" i="6"/>
  <c r="FU316" i="6"/>
  <c r="FV316" i="6"/>
  <c r="FU317" i="6"/>
  <c r="FV317" i="6"/>
  <c r="FZ310" i="6"/>
  <c r="FW310" i="6" s="1"/>
  <c r="FZ311" i="6"/>
  <c r="FW311" i="6" s="1"/>
  <c r="FZ312" i="6"/>
  <c r="FW312" i="6" s="1"/>
  <c r="FZ313" i="6"/>
  <c r="FW313" i="6" s="1"/>
  <c r="FZ314" i="6"/>
  <c r="FW314" i="6" s="1"/>
  <c r="FZ315" i="6"/>
  <c r="FW315" i="6" s="1"/>
  <c r="FZ316" i="6"/>
  <c r="FW316" i="6" s="1"/>
  <c r="FZ317" i="6"/>
  <c r="FW317" i="6" s="1"/>
  <c r="X350" i="23" l="1"/>
  <c r="S350" i="23"/>
  <c r="U350" i="23"/>
  <c r="T347" i="23"/>
  <c r="S342" i="23"/>
  <c r="U342" i="23"/>
  <c r="W330" i="23"/>
  <c r="R371" i="23"/>
  <c r="R362" i="23"/>
  <c r="T319" i="23"/>
  <c r="R366" i="23"/>
  <c r="X366" i="23"/>
  <c r="R310" i="23"/>
  <c r="W268" i="23"/>
  <c r="T268" i="23"/>
  <c r="R268" i="23"/>
  <c r="X358" i="23"/>
  <c r="U371" i="23"/>
  <c r="S359" i="23"/>
  <c r="S343" i="23"/>
  <c r="X253" i="23"/>
  <c r="U358" i="23"/>
  <c r="X339" i="23"/>
  <c r="R326" i="23"/>
  <c r="U292" i="23"/>
  <c r="S358" i="23"/>
  <c r="U370" i="23"/>
  <c r="R331" i="23"/>
  <c r="W302" i="23"/>
  <c r="R300" i="23"/>
  <c r="U300" i="23"/>
  <c r="X294" i="23"/>
  <c r="R255" i="23"/>
  <c r="U244" i="23"/>
  <c r="S238" i="23"/>
  <c r="U238" i="23"/>
  <c r="V238" i="23"/>
  <c r="X347" i="23"/>
  <c r="V355" i="23"/>
  <c r="X355" i="23"/>
  <c r="R323" i="23"/>
  <c r="S313" i="23"/>
  <c r="U313" i="23"/>
  <c r="S307" i="23"/>
  <c r="V307" i="23"/>
  <c r="W284" i="23"/>
  <c r="X284" i="23"/>
  <c r="V347" i="23"/>
  <c r="U363" i="23"/>
  <c r="R363" i="23"/>
  <c r="S335" i="23"/>
  <c r="S347" i="23"/>
  <c r="S327" i="23"/>
  <c r="V276" i="23"/>
  <c r="W276" i="23"/>
  <c r="U252" i="23"/>
  <c r="U155" i="23"/>
  <c r="R114" i="23"/>
  <c r="U248" i="23"/>
  <c r="T241" i="23"/>
  <c r="T149" i="23"/>
  <c r="V140" i="23"/>
  <c r="W316" i="23"/>
  <c r="X308" i="23"/>
  <c r="U290" i="23"/>
  <c r="X269" i="23"/>
  <c r="X218" i="23"/>
  <c r="X197" i="23"/>
  <c r="U316" i="23"/>
  <c r="W201" i="23"/>
  <c r="S312" i="23"/>
  <c r="X299" i="23"/>
  <c r="X185" i="23"/>
  <c r="R225" i="23"/>
  <c r="R233" i="23"/>
  <c r="S230" i="23"/>
  <c r="X217" i="23"/>
  <c r="S180" i="23"/>
  <c r="U165" i="23"/>
  <c r="T125" i="23"/>
  <c r="X214" i="23"/>
  <c r="V127" i="23"/>
  <c r="W95" i="23"/>
  <c r="X59" i="23"/>
  <c r="V169" i="23"/>
  <c r="U153" i="23"/>
  <c r="W136" i="23"/>
  <c r="V55" i="23"/>
  <c r="S227" i="23"/>
  <c r="X227" i="23"/>
  <c r="V227" i="23"/>
  <c r="W227" i="23"/>
  <c r="R227" i="23"/>
  <c r="T227" i="23"/>
  <c r="U227" i="23"/>
  <c r="X360" i="23"/>
  <c r="R360" i="23"/>
  <c r="U360" i="23"/>
  <c r="W360" i="23"/>
  <c r="S360" i="23"/>
  <c r="V360" i="23"/>
  <c r="T360" i="23"/>
  <c r="X344" i="23"/>
  <c r="R344" i="23"/>
  <c r="U344" i="23"/>
  <c r="V344" i="23"/>
  <c r="W344" i="23"/>
  <c r="S344" i="23"/>
  <c r="T344" i="23"/>
  <c r="X328" i="23"/>
  <c r="R328" i="23"/>
  <c r="W328" i="23"/>
  <c r="S328" i="23"/>
  <c r="T328" i="23"/>
  <c r="U328" i="23"/>
  <c r="V328" i="23"/>
  <c r="W304" i="23"/>
  <c r="X304" i="23"/>
  <c r="R304" i="23"/>
  <c r="S304" i="23"/>
  <c r="T304" i="23"/>
  <c r="U304" i="23"/>
  <c r="V304" i="23"/>
  <c r="X303" i="23"/>
  <c r="S303" i="23"/>
  <c r="V303" i="23"/>
  <c r="W303" i="23"/>
  <c r="R303" i="23"/>
  <c r="T303" i="23"/>
  <c r="U303" i="23"/>
  <c r="W287" i="23"/>
  <c r="X287" i="23"/>
  <c r="S287" i="23"/>
  <c r="R287" i="23"/>
  <c r="T287" i="23"/>
  <c r="U287" i="23"/>
  <c r="V287" i="23"/>
  <c r="W281" i="23"/>
  <c r="R281" i="23"/>
  <c r="S281" i="23"/>
  <c r="U281" i="23"/>
  <c r="T281" i="23"/>
  <c r="V281" i="23"/>
  <c r="X281" i="23"/>
  <c r="W369" i="23"/>
  <c r="X369" i="23"/>
  <c r="T369" i="23"/>
  <c r="R369" i="23"/>
  <c r="U369" i="23"/>
  <c r="S369" i="23"/>
  <c r="V369" i="23"/>
  <c r="X352" i="23"/>
  <c r="R352" i="23"/>
  <c r="V352" i="23"/>
  <c r="U352" i="23"/>
  <c r="W352" i="23"/>
  <c r="S352" i="23"/>
  <c r="T352" i="23"/>
  <c r="X336" i="23"/>
  <c r="R336" i="23"/>
  <c r="W336" i="23"/>
  <c r="U336" i="23"/>
  <c r="V336" i="23"/>
  <c r="S336" i="23"/>
  <c r="T336" i="23"/>
  <c r="V296" i="23"/>
  <c r="W296" i="23"/>
  <c r="X296" i="23"/>
  <c r="R296" i="23"/>
  <c r="S296" i="23"/>
  <c r="T296" i="23"/>
  <c r="U296" i="23"/>
  <c r="V288" i="23"/>
  <c r="W288" i="23"/>
  <c r="X288" i="23"/>
  <c r="R288" i="23"/>
  <c r="U277" i="23"/>
  <c r="U253" i="23"/>
  <c r="R253" i="23"/>
  <c r="S253" i="23"/>
  <c r="T253" i="23"/>
  <c r="V253" i="23"/>
  <c r="W253" i="23"/>
  <c r="R220" i="23"/>
  <c r="S220" i="23"/>
  <c r="T220" i="23"/>
  <c r="U220" i="23"/>
  <c r="X220" i="23"/>
  <c r="S190" i="23"/>
  <c r="R190" i="23"/>
  <c r="W190" i="23"/>
  <c r="X190" i="23"/>
  <c r="U190" i="23"/>
  <c r="V190" i="23"/>
  <c r="T190" i="23"/>
  <c r="U295" i="23"/>
  <c r="U288" i="23"/>
  <c r="X370" i="23"/>
  <c r="X362" i="23"/>
  <c r="X351" i="23"/>
  <c r="T340" i="23"/>
  <c r="V340" i="23"/>
  <c r="X319" i="23"/>
  <c r="S319" i="23"/>
  <c r="S298" i="23"/>
  <c r="R292" i="23"/>
  <c r="S292" i="23"/>
  <c r="T292" i="23"/>
  <c r="V292" i="23"/>
  <c r="S288" i="23"/>
  <c r="X286" i="23"/>
  <c r="R286" i="23"/>
  <c r="T286" i="23"/>
  <c r="S235" i="23"/>
  <c r="X235" i="23"/>
  <c r="W235" i="23"/>
  <c r="R235" i="23"/>
  <c r="T235" i="23"/>
  <c r="U235" i="23"/>
  <c r="V235" i="23"/>
  <c r="X371" i="23"/>
  <c r="U366" i="23"/>
  <c r="X363" i="23"/>
  <c r="U362" i="23"/>
  <c r="W359" i="23"/>
  <c r="W354" i="23"/>
  <c r="W351" i="23"/>
  <c r="W346" i="23"/>
  <c r="W343" i="23"/>
  <c r="W338" i="23"/>
  <c r="W335" i="23"/>
  <c r="W327" i="23"/>
  <c r="T323" i="23"/>
  <c r="U323" i="23"/>
  <c r="W323" i="23"/>
  <c r="R321" i="23"/>
  <c r="R318" i="23"/>
  <c r="T318" i="23"/>
  <c r="T312" i="23"/>
  <c r="T311" i="23"/>
  <c r="S310" i="23"/>
  <c r="S286" i="23"/>
  <c r="R342" i="23"/>
  <c r="T342" i="23"/>
  <c r="X340" i="23"/>
  <c r="U338" i="23"/>
  <c r="V335" i="23"/>
  <c r="R334" i="23"/>
  <c r="T334" i="23"/>
  <c r="X332" i="23"/>
  <c r="V327" i="23"/>
  <c r="X324" i="23"/>
  <c r="S316" i="23"/>
  <c r="T316" i="23"/>
  <c r="V316" i="23"/>
  <c r="V313" i="23"/>
  <c r="W313" i="23"/>
  <c r="W312" i="23"/>
  <c r="X312" i="23"/>
  <c r="R312" i="23"/>
  <c r="X311" i="23"/>
  <c r="S311" i="23"/>
  <c r="W273" i="23"/>
  <c r="R273" i="23"/>
  <c r="S273" i="23"/>
  <c r="U273" i="23"/>
  <c r="W255" i="23"/>
  <c r="T255" i="23"/>
  <c r="U255" i="23"/>
  <c r="V255" i="23"/>
  <c r="X255" i="23"/>
  <c r="V370" i="23"/>
  <c r="T295" i="23"/>
  <c r="T288" i="23"/>
  <c r="R228" i="23"/>
  <c r="S228" i="23"/>
  <c r="T228" i="23"/>
  <c r="U228" i="23"/>
  <c r="V228" i="23"/>
  <c r="V366" i="23"/>
  <c r="X359" i="23"/>
  <c r="T348" i="23"/>
  <c r="V348" i="23"/>
  <c r="X327" i="23"/>
  <c r="W320" i="23"/>
  <c r="X320" i="23"/>
  <c r="R320" i="23"/>
  <c r="R319" i="23"/>
  <c r="T298" i="23"/>
  <c r="U298" i="23"/>
  <c r="V298" i="23"/>
  <c r="X298" i="23"/>
  <c r="W371" i="23"/>
  <c r="T366" i="23"/>
  <c r="W363" i="23"/>
  <c r="V359" i="23"/>
  <c r="U354" i="23"/>
  <c r="V351" i="23"/>
  <c r="X348" i="23"/>
  <c r="V371" i="23"/>
  <c r="S370" i="23"/>
  <c r="S366" i="23"/>
  <c r="V363" i="23"/>
  <c r="S362" i="23"/>
  <c r="U359" i="23"/>
  <c r="W356" i="23"/>
  <c r="T354" i="23"/>
  <c r="U351" i="23"/>
  <c r="W348" i="23"/>
  <c r="T346" i="23"/>
  <c r="U343" i="23"/>
  <c r="X342" i="23"/>
  <c r="W340" i="23"/>
  <c r="T338" i="23"/>
  <c r="U335" i="23"/>
  <c r="X334" i="23"/>
  <c r="W332" i="23"/>
  <c r="U327" i="23"/>
  <c r="X318" i="23"/>
  <c r="T315" i="23"/>
  <c r="U315" i="23"/>
  <c r="W315" i="23"/>
  <c r="R313" i="23"/>
  <c r="S308" i="23"/>
  <c r="T308" i="23"/>
  <c r="V308" i="23"/>
  <c r="R307" i="23"/>
  <c r="R302" i="23"/>
  <c r="T302" i="23"/>
  <c r="S299" i="23"/>
  <c r="T299" i="23"/>
  <c r="U299" i="23"/>
  <c r="W299" i="23"/>
  <c r="U294" i="23"/>
  <c r="S283" i="23"/>
  <c r="T283" i="23"/>
  <c r="U283" i="23"/>
  <c r="W283" i="23"/>
  <c r="V273" i="23"/>
  <c r="U245" i="23"/>
  <c r="V245" i="23"/>
  <c r="R245" i="23"/>
  <c r="S245" i="23"/>
  <c r="T245" i="23"/>
  <c r="W295" i="23"/>
  <c r="X295" i="23"/>
  <c r="S295" i="23"/>
  <c r="W366" i="23"/>
  <c r="W362" i="23"/>
  <c r="X335" i="23"/>
  <c r="T324" i="23"/>
  <c r="V324" i="23"/>
  <c r="T370" i="23"/>
  <c r="T362" i="23"/>
  <c r="R358" i="23"/>
  <c r="T358" i="23"/>
  <c r="X356" i="23"/>
  <c r="R350" i="23"/>
  <c r="T350" i="23"/>
  <c r="T371" i="23"/>
  <c r="R370" i="23"/>
  <c r="T363" i="23"/>
  <c r="T359" i="23"/>
  <c r="W358" i="23"/>
  <c r="U355" i="23"/>
  <c r="W355" i="23"/>
  <c r="T351" i="23"/>
  <c r="W350" i="23"/>
  <c r="U348" i="23"/>
  <c r="U347" i="23"/>
  <c r="W347" i="23"/>
  <c r="T343" i="23"/>
  <c r="W342" i="23"/>
  <c r="U340" i="23"/>
  <c r="U339" i="23"/>
  <c r="W339" i="23"/>
  <c r="T335" i="23"/>
  <c r="W334" i="23"/>
  <c r="U331" i="23"/>
  <c r="W331" i="23"/>
  <c r="T327" i="23"/>
  <c r="U324" i="23"/>
  <c r="W319" i="23"/>
  <c r="W318" i="23"/>
  <c r="T307" i="23"/>
  <c r="U307" i="23"/>
  <c r="W307" i="23"/>
  <c r="S300" i="23"/>
  <c r="T300" i="23"/>
  <c r="V300" i="23"/>
  <c r="X292" i="23"/>
  <c r="R284" i="23"/>
  <c r="S284" i="23"/>
  <c r="T284" i="23"/>
  <c r="V284" i="23"/>
  <c r="T273" i="23"/>
  <c r="W220" i="23"/>
  <c r="V362" i="23"/>
  <c r="V354" i="23"/>
  <c r="X354" i="23"/>
  <c r="V346" i="23"/>
  <c r="X346" i="23"/>
  <c r="V338" i="23"/>
  <c r="X338" i="23"/>
  <c r="W291" i="23"/>
  <c r="W370" i="23"/>
  <c r="T356" i="23"/>
  <c r="V356" i="23"/>
  <c r="X343" i="23"/>
  <c r="T332" i="23"/>
  <c r="V332" i="23"/>
  <c r="V321" i="23"/>
  <c r="W321" i="23"/>
  <c r="S320" i="23"/>
  <c r="U346" i="23"/>
  <c r="V343" i="23"/>
  <c r="S371" i="23"/>
  <c r="S363" i="23"/>
  <c r="R359" i="23"/>
  <c r="V358" i="23"/>
  <c r="S356" i="23"/>
  <c r="R354" i="23"/>
  <c r="R351" i="23"/>
  <c r="V350" i="23"/>
  <c r="S348" i="23"/>
  <c r="R346" i="23"/>
  <c r="R343" i="23"/>
  <c r="V342" i="23"/>
  <c r="S340" i="23"/>
  <c r="R338" i="23"/>
  <c r="R335" i="23"/>
  <c r="V334" i="23"/>
  <c r="S332" i="23"/>
  <c r="R327" i="23"/>
  <c r="S324" i="23"/>
  <c r="X323" i="23"/>
  <c r="X321" i="23"/>
  <c r="V320" i="23"/>
  <c r="V319" i="23"/>
  <c r="V318" i="23"/>
  <c r="X316" i="23"/>
  <c r="V295" i="23"/>
  <c r="W292" i="23"/>
  <c r="T290" i="23"/>
  <c r="S255" i="23"/>
  <c r="V232" i="23"/>
  <c r="R232" i="23"/>
  <c r="S232" i="23"/>
  <c r="T232" i="23"/>
  <c r="W232" i="23"/>
  <c r="X232" i="23"/>
  <c r="X228" i="23"/>
  <c r="V220" i="23"/>
  <c r="W247" i="23"/>
  <c r="R247" i="23"/>
  <c r="X247" i="23"/>
  <c r="V216" i="23"/>
  <c r="R216" i="23"/>
  <c r="S216" i="23"/>
  <c r="T216" i="23"/>
  <c r="U216" i="23"/>
  <c r="X216" i="23"/>
  <c r="W210" i="23"/>
  <c r="S210" i="23"/>
  <c r="V210" i="23"/>
  <c r="R210" i="23"/>
  <c r="T210" i="23"/>
  <c r="U210" i="23"/>
  <c r="X210" i="23"/>
  <c r="S206" i="23"/>
  <c r="R206" i="23"/>
  <c r="T206" i="23"/>
  <c r="X206" i="23"/>
  <c r="U206" i="23"/>
  <c r="V206" i="23"/>
  <c r="R199" i="23"/>
  <c r="U199" i="23"/>
  <c r="X199" i="23"/>
  <c r="S199" i="23"/>
  <c r="W199" i="23"/>
  <c r="R252" i="23"/>
  <c r="S252" i="23"/>
  <c r="T252" i="23"/>
  <c r="U247" i="23"/>
  <c r="R191" i="23"/>
  <c r="S191" i="23"/>
  <c r="T247" i="23"/>
  <c r="S219" i="23"/>
  <c r="X219" i="23"/>
  <c r="R219" i="23"/>
  <c r="U219" i="23"/>
  <c r="X177" i="23"/>
  <c r="R177" i="23"/>
  <c r="S177" i="23"/>
  <c r="T177" i="23"/>
  <c r="U177" i="23"/>
  <c r="V177" i="23"/>
  <c r="W177" i="23"/>
  <c r="S142" i="23"/>
  <c r="R142" i="23"/>
  <c r="U142" i="23"/>
  <c r="V142" i="23"/>
  <c r="W142" i="23"/>
  <c r="X142" i="23"/>
  <c r="T142" i="23"/>
  <c r="X267" i="23"/>
  <c r="U257" i="23"/>
  <c r="V257" i="23"/>
  <c r="X252" i="23"/>
  <c r="S247" i="23"/>
  <c r="X276" i="23"/>
  <c r="X268" i="23"/>
  <c r="W252" i="23"/>
  <c r="W231" i="23"/>
  <c r="R231" i="23"/>
  <c r="S231" i="23"/>
  <c r="T231" i="23"/>
  <c r="V231" i="23"/>
  <c r="T229" i="23"/>
  <c r="W216" i="23"/>
  <c r="V199" i="23"/>
  <c r="S198" i="23"/>
  <c r="R198" i="23"/>
  <c r="U198" i="23"/>
  <c r="V198" i="23"/>
  <c r="W198" i="23"/>
  <c r="X198" i="23"/>
  <c r="T198" i="23"/>
  <c r="V252" i="23"/>
  <c r="V248" i="23"/>
  <c r="S248" i="23"/>
  <c r="T248" i="23"/>
  <c r="X248" i="23"/>
  <c r="W219" i="23"/>
  <c r="W206" i="23"/>
  <c r="T199" i="23"/>
  <c r="V179" i="23"/>
  <c r="U179" i="23"/>
  <c r="R179" i="23"/>
  <c r="S179" i="23"/>
  <c r="T179" i="23"/>
  <c r="W179" i="23"/>
  <c r="X179" i="23"/>
  <c r="V138" i="23"/>
  <c r="R138" i="23"/>
  <c r="X123" i="23"/>
  <c r="R123" i="23"/>
  <c r="S123" i="23"/>
  <c r="T123" i="23"/>
  <c r="V123" i="23"/>
  <c r="W123" i="23"/>
  <c r="U123" i="23"/>
  <c r="U243" i="23"/>
  <c r="T205" i="23"/>
  <c r="V205" i="23"/>
  <c r="W205" i="23"/>
  <c r="U205" i="23"/>
  <c r="X205" i="23"/>
  <c r="T181" i="23"/>
  <c r="S181" i="23"/>
  <c r="U181" i="23"/>
  <c r="V181" i="23"/>
  <c r="R181" i="23"/>
  <c r="W181" i="23"/>
  <c r="X181" i="23"/>
  <c r="T173" i="23"/>
  <c r="R173" i="23"/>
  <c r="S173" i="23"/>
  <c r="U173" i="23"/>
  <c r="V173" i="23"/>
  <c r="W173" i="23"/>
  <c r="X173" i="23"/>
  <c r="W170" i="23"/>
  <c r="S170" i="23"/>
  <c r="U170" i="23"/>
  <c r="X170" i="23"/>
  <c r="R170" i="23"/>
  <c r="W146" i="23"/>
  <c r="S146" i="23"/>
  <c r="U146" i="23"/>
  <c r="X146" i="23"/>
  <c r="R146" i="23"/>
  <c r="T146" i="23"/>
  <c r="V146" i="23"/>
  <c r="R244" i="23"/>
  <c r="S244" i="23"/>
  <c r="T244" i="23"/>
  <c r="T237" i="23"/>
  <c r="U237" i="23"/>
  <c r="V237" i="23"/>
  <c r="T189" i="23"/>
  <c r="R189" i="23"/>
  <c r="U189" i="23"/>
  <c r="V189" i="23"/>
  <c r="W189" i="23"/>
  <c r="X189" i="23"/>
  <c r="X193" i="23"/>
  <c r="U193" i="23"/>
  <c r="V193" i="23"/>
  <c r="R193" i="23"/>
  <c r="S193" i="23"/>
  <c r="T193" i="23"/>
  <c r="S189" i="23"/>
  <c r="X94" i="23"/>
  <c r="R94" i="23"/>
  <c r="T94" i="23"/>
  <c r="U94" i="23"/>
  <c r="V94" i="23"/>
  <c r="W94" i="23"/>
  <c r="S94" i="23"/>
  <c r="S174" i="23"/>
  <c r="R174" i="23"/>
  <c r="U174" i="23"/>
  <c r="T174" i="23"/>
  <c r="V174" i="23"/>
  <c r="X169" i="23"/>
  <c r="S169" i="23"/>
  <c r="W169" i="23"/>
  <c r="U162" i="23"/>
  <c r="T162" i="23"/>
  <c r="W124" i="23"/>
  <c r="U124" i="23"/>
  <c r="V124" i="23"/>
  <c r="R124" i="23"/>
  <c r="S124" i="23"/>
  <c r="T124" i="23"/>
  <c r="X242" i="23"/>
  <c r="X226" i="23"/>
  <c r="V221" i="23"/>
  <c r="V213" i="23"/>
  <c r="V201" i="23"/>
  <c r="W186" i="23"/>
  <c r="S186" i="23"/>
  <c r="T186" i="23"/>
  <c r="U186" i="23"/>
  <c r="X174" i="23"/>
  <c r="U169" i="23"/>
  <c r="R121" i="23"/>
  <c r="S121" i="23"/>
  <c r="X121" i="23"/>
  <c r="T121" i="23"/>
  <c r="U121" i="23"/>
  <c r="V121" i="23"/>
  <c r="W121" i="23"/>
  <c r="V249" i="23"/>
  <c r="V241" i="23"/>
  <c r="V233" i="23"/>
  <c r="V225" i="23"/>
  <c r="U221" i="23"/>
  <c r="V217" i="23"/>
  <c r="U213" i="23"/>
  <c r="X201" i="23"/>
  <c r="S201" i="23"/>
  <c r="T201" i="23"/>
  <c r="W194" i="23"/>
  <c r="S194" i="23"/>
  <c r="R194" i="23"/>
  <c r="R183" i="23"/>
  <c r="U183" i="23"/>
  <c r="V183" i="23"/>
  <c r="W183" i="23"/>
  <c r="X183" i="23"/>
  <c r="W174" i="23"/>
  <c r="T169" i="23"/>
  <c r="X161" i="23"/>
  <c r="S161" i="23"/>
  <c r="T161" i="23"/>
  <c r="U161" i="23"/>
  <c r="V161" i="23"/>
  <c r="S158" i="23"/>
  <c r="R158" i="23"/>
  <c r="U158" i="23"/>
  <c r="V158" i="23"/>
  <c r="W158" i="23"/>
  <c r="X158" i="23"/>
  <c r="T106" i="23"/>
  <c r="U106" i="23"/>
  <c r="V106" i="23"/>
  <c r="W106" i="23"/>
  <c r="X102" i="23"/>
  <c r="R102" i="23"/>
  <c r="T102" i="23"/>
  <c r="S102" i="23"/>
  <c r="V102" i="23"/>
  <c r="U102" i="23"/>
  <c r="T233" i="23"/>
  <c r="V230" i="23"/>
  <c r="V226" i="23"/>
  <c r="T225" i="23"/>
  <c r="V222" i="23"/>
  <c r="T217" i="23"/>
  <c r="V214" i="23"/>
  <c r="T213" i="23"/>
  <c r="R201" i="23"/>
  <c r="T194" i="23"/>
  <c r="V187" i="23"/>
  <c r="U187" i="23"/>
  <c r="W178" i="23"/>
  <c r="S178" i="23"/>
  <c r="V178" i="23"/>
  <c r="X178" i="23"/>
  <c r="R169" i="23"/>
  <c r="T158" i="23"/>
  <c r="R122" i="23"/>
  <c r="U122" i="23"/>
  <c r="V122" i="23"/>
  <c r="W122" i="23"/>
  <c r="X122" i="23"/>
  <c r="T122" i="23"/>
  <c r="S106" i="23"/>
  <c r="T95" i="23"/>
  <c r="S217" i="23"/>
  <c r="U214" i="23"/>
  <c r="V195" i="23"/>
  <c r="U195" i="23"/>
  <c r="X195" i="23"/>
  <c r="R187" i="23"/>
  <c r="R178" i="23"/>
  <c r="W161" i="23"/>
  <c r="T132" i="23"/>
  <c r="U132" i="23"/>
  <c r="V132" i="23"/>
  <c r="W132" i="23"/>
  <c r="X132" i="23"/>
  <c r="S132" i="23"/>
  <c r="R106" i="23"/>
  <c r="S85" i="23"/>
  <c r="T85" i="23"/>
  <c r="U85" i="23"/>
  <c r="V85" i="23"/>
  <c r="R85" i="23"/>
  <c r="W85" i="23"/>
  <c r="X85" i="23"/>
  <c r="T157" i="23"/>
  <c r="R157" i="23"/>
  <c r="U133" i="23"/>
  <c r="X110" i="23"/>
  <c r="R110" i="23"/>
  <c r="S110" i="23"/>
  <c r="T110" i="23"/>
  <c r="V110" i="23"/>
  <c r="U110" i="23"/>
  <c r="S166" i="23"/>
  <c r="R166" i="23"/>
  <c r="U166" i="23"/>
  <c r="X157" i="23"/>
  <c r="V155" i="23"/>
  <c r="W154" i="23"/>
  <c r="S154" i="23"/>
  <c r="U154" i="23"/>
  <c r="X153" i="23"/>
  <c r="S153" i="23"/>
  <c r="R135" i="23"/>
  <c r="S135" i="23"/>
  <c r="T135" i="23"/>
  <c r="U135" i="23"/>
  <c r="W135" i="23"/>
  <c r="W129" i="23"/>
  <c r="X129" i="23"/>
  <c r="V129" i="23"/>
  <c r="R129" i="23"/>
  <c r="V93" i="23"/>
  <c r="W93" i="23"/>
  <c r="X93" i="23"/>
  <c r="R93" i="23"/>
  <c r="S93" i="23"/>
  <c r="U93" i="23"/>
  <c r="R207" i="23"/>
  <c r="U207" i="23"/>
  <c r="S202" i="23"/>
  <c r="U180" i="23"/>
  <c r="X180" i="23"/>
  <c r="T165" i="23"/>
  <c r="R165" i="23"/>
  <c r="W157" i="23"/>
  <c r="X135" i="23"/>
  <c r="R100" i="23"/>
  <c r="U100" i="23"/>
  <c r="V100" i="23"/>
  <c r="X100" i="23"/>
  <c r="T100" i="23"/>
  <c r="W100" i="23"/>
  <c r="S100" i="23"/>
  <c r="X207" i="23"/>
  <c r="W185" i="23"/>
  <c r="V157" i="23"/>
  <c r="R134" i="23"/>
  <c r="S134" i="23"/>
  <c r="V134" i="23"/>
  <c r="W134" i="23"/>
  <c r="X134" i="23"/>
  <c r="U88" i="23"/>
  <c r="W88" i="23"/>
  <c r="S50" i="23"/>
  <c r="R50" i="23"/>
  <c r="V50" i="23"/>
  <c r="W50" i="23"/>
  <c r="X50" i="23"/>
  <c r="T50" i="23"/>
  <c r="U50" i="23"/>
  <c r="R149" i="23"/>
  <c r="R141" i="23"/>
  <c r="T140" i="23"/>
  <c r="U140" i="23"/>
  <c r="T136" i="23"/>
  <c r="T131" i="23"/>
  <c r="V125" i="23"/>
  <c r="X125" i="23"/>
  <c r="X120" i="23"/>
  <c r="W89" i="23"/>
  <c r="T89" i="23"/>
  <c r="U89" i="23"/>
  <c r="R89" i="23"/>
  <c r="S89" i="23"/>
  <c r="V89" i="23"/>
  <c r="X89" i="23"/>
  <c r="W140" i="23"/>
  <c r="R136" i="23"/>
  <c r="R108" i="23"/>
  <c r="U108" i="23"/>
  <c r="V108" i="23"/>
  <c r="S108" i="23"/>
  <c r="T108" i="23"/>
  <c r="X108" i="23"/>
  <c r="T65" i="23"/>
  <c r="W65" i="23"/>
  <c r="S65" i="23"/>
  <c r="X65" i="23"/>
  <c r="V65" i="23"/>
  <c r="U139" i="23"/>
  <c r="V139" i="23"/>
  <c r="X115" i="23"/>
  <c r="T115" i="23"/>
  <c r="U115" i="23"/>
  <c r="W115" i="23"/>
  <c r="S107" i="23"/>
  <c r="R107" i="23"/>
  <c r="T107" i="23"/>
  <c r="U107" i="23"/>
  <c r="V107" i="23"/>
  <c r="W107" i="23"/>
  <c r="X79" i="23"/>
  <c r="R79" i="23"/>
  <c r="S79" i="23"/>
  <c r="V79" i="23"/>
  <c r="W79" i="23"/>
  <c r="T79" i="23"/>
  <c r="U79" i="23"/>
  <c r="U55" i="23"/>
  <c r="U131" i="23"/>
  <c r="V131" i="23"/>
  <c r="S120" i="23"/>
  <c r="T120" i="23"/>
  <c r="R120" i="23"/>
  <c r="V117" i="23"/>
  <c r="W117" i="23"/>
  <c r="X117" i="23"/>
  <c r="S115" i="23"/>
  <c r="V96" i="23"/>
  <c r="U96" i="23"/>
  <c r="W96" i="23"/>
  <c r="X80" i="23"/>
  <c r="R80" i="23"/>
  <c r="W80" i="23"/>
  <c r="V80" i="23"/>
  <c r="V71" i="23"/>
  <c r="U71" i="23"/>
  <c r="W71" i="23"/>
  <c r="S71" i="23"/>
  <c r="T71" i="23"/>
  <c r="R71" i="23"/>
  <c r="W70" i="23"/>
  <c r="S70" i="23"/>
  <c r="X70" i="23"/>
  <c r="T70" i="23"/>
  <c r="U70" i="23"/>
  <c r="R70" i="23"/>
  <c r="V70" i="23"/>
  <c r="X114" i="23"/>
  <c r="V112" i="23"/>
  <c r="U112" i="23"/>
  <c r="W112" i="23"/>
  <c r="X104" i="23"/>
  <c r="U103" i="23"/>
  <c r="W99" i="23"/>
  <c r="U98" i="23"/>
  <c r="R91" i="23"/>
  <c r="S91" i="23"/>
  <c r="T91" i="23"/>
  <c r="U91" i="23"/>
  <c r="V91" i="23"/>
  <c r="X91" i="23"/>
  <c r="S80" i="23"/>
  <c r="W114" i="23"/>
  <c r="W103" i="23"/>
  <c r="S103" i="23"/>
  <c r="T103" i="23"/>
  <c r="V103" i="23"/>
  <c r="U99" i="23"/>
  <c r="R98" i="23"/>
  <c r="V104" i="23"/>
  <c r="U104" i="23"/>
  <c r="W104" i="23"/>
  <c r="S99" i="23"/>
  <c r="R99" i="23"/>
  <c r="T99" i="23"/>
  <c r="V99" i="23"/>
  <c r="T98" i="23"/>
  <c r="S98" i="23"/>
  <c r="S66" i="23"/>
  <c r="R66" i="23"/>
  <c r="T66" i="23"/>
  <c r="U66" i="23"/>
  <c r="V66" i="23"/>
  <c r="X66" i="23"/>
  <c r="R43" i="23"/>
  <c r="U43" i="23"/>
  <c r="V43" i="23"/>
  <c r="W43" i="23"/>
  <c r="X43" i="23"/>
  <c r="S74" i="23"/>
  <c r="R74" i="23"/>
  <c r="T74" i="23"/>
  <c r="S90" i="23"/>
  <c r="T90" i="23"/>
  <c r="X53" i="23"/>
  <c r="T53" i="23"/>
  <c r="U53" i="23"/>
  <c r="V53" i="23"/>
  <c r="S53" i="23"/>
  <c r="V47" i="23"/>
  <c r="U47" i="23"/>
  <c r="S47" i="23"/>
  <c r="T47" i="23"/>
  <c r="W47" i="23"/>
  <c r="R47" i="23"/>
  <c r="X47" i="23"/>
  <c r="T43" i="23"/>
  <c r="S43" i="23"/>
  <c r="S28" i="23"/>
  <c r="T28" i="23"/>
  <c r="V28" i="23"/>
  <c r="R28" i="23"/>
  <c r="U28" i="23"/>
  <c r="W28" i="23"/>
  <c r="V82" i="23"/>
  <c r="W82" i="23"/>
  <c r="R73" i="23"/>
  <c r="V63" i="23"/>
  <c r="U63" i="23"/>
  <c r="T63" i="23"/>
  <c r="W63" i="23"/>
  <c r="V25" i="23"/>
  <c r="W25" i="23"/>
  <c r="T25" i="23"/>
  <c r="U25" i="23"/>
  <c r="X25" i="23"/>
  <c r="R25" i="23"/>
  <c r="S25" i="23"/>
  <c r="R86" i="23"/>
  <c r="V86" i="23"/>
  <c r="T73" i="23"/>
  <c r="W73" i="23"/>
  <c r="X23" i="23"/>
  <c r="S23" i="23"/>
  <c r="T23" i="23"/>
  <c r="U23" i="23"/>
  <c r="V23" i="23"/>
  <c r="W23" i="23"/>
  <c r="R23" i="23"/>
  <c r="T41" i="23"/>
  <c r="U41" i="23"/>
  <c r="W41" i="23"/>
  <c r="X41" i="23"/>
  <c r="T35" i="23"/>
  <c r="U35" i="23"/>
  <c r="W35" i="23"/>
  <c r="S35" i="23"/>
  <c r="V35" i="23"/>
  <c r="X35" i="23"/>
  <c r="X31" i="23"/>
  <c r="S31" i="23"/>
  <c r="T31" i="23"/>
  <c r="V31" i="23"/>
  <c r="W31" i="23"/>
  <c r="W32" i="23"/>
  <c r="X32" i="23"/>
  <c r="R32" i="23"/>
  <c r="T32" i="23"/>
  <c r="S32" i="23"/>
  <c r="W62" i="23"/>
  <c r="S62" i="23"/>
  <c r="R49" i="23"/>
  <c r="X57" i="23"/>
  <c r="W24" i="23"/>
  <c r="X24" i="23"/>
  <c r="R24" i="23"/>
  <c r="T24" i="23"/>
  <c r="U24" i="23"/>
  <c r="V24" i="23"/>
  <c r="S24" i="23"/>
  <c r="V32" i="23"/>
  <c r="U31" i="23"/>
  <c r="S36" i="23"/>
  <c r="T36" i="23"/>
  <c r="V36" i="23"/>
  <c r="R36" i="23"/>
  <c r="X36" i="23"/>
  <c r="U32" i="23"/>
  <c r="R31" i="23"/>
  <c r="R22" i="23"/>
  <c r="T22" i="23"/>
  <c r="S22" i="23"/>
  <c r="U22" i="23"/>
  <c r="V22" i="23"/>
  <c r="W22" i="23"/>
  <c r="S20" i="23"/>
  <c r="T20" i="23"/>
  <c r="V20" i="23"/>
  <c r="R20" i="23"/>
  <c r="U20" i="23"/>
  <c r="W20" i="23"/>
  <c r="X20" i="23"/>
  <c r="T10" i="23"/>
  <c r="U10" i="23"/>
  <c r="V10" i="23"/>
  <c r="W10" i="23"/>
  <c r="X10" i="23"/>
  <c r="R10" i="23"/>
  <c r="S10" i="23"/>
  <c r="R30" i="23"/>
  <c r="T30" i="23"/>
  <c r="S30" i="23"/>
  <c r="X27" i="23"/>
  <c r="R27" i="23"/>
  <c r="T27" i="23"/>
  <c r="U27" i="23"/>
  <c r="W27" i="23"/>
  <c r="S27" i="23"/>
  <c r="V27" i="23"/>
  <c r="W15" i="23"/>
  <c r="W14" i="23"/>
  <c r="X19" i="23"/>
  <c r="X17" i="23"/>
  <c r="V16" i="23"/>
  <c r="V15" i="23"/>
  <c r="V14" i="23"/>
  <c r="S9" i="23"/>
  <c r="V19" i="23"/>
  <c r="U17" i="23"/>
  <c r="U16" i="23"/>
  <c r="U15" i="23"/>
  <c r="U14" i="23"/>
  <c r="T16" i="23"/>
  <c r="T15" i="23"/>
  <c r="S14" i="23"/>
  <c r="V17" i="23"/>
  <c r="W17" i="23"/>
  <c r="W16" i="23"/>
  <c r="X16" i="23"/>
  <c r="R16" i="23"/>
  <c r="X15" i="23"/>
  <c r="S15" i="23"/>
  <c r="R14" i="23"/>
  <c r="T14" i="23"/>
  <c r="T11" i="23"/>
  <c r="U11" i="23"/>
  <c r="V11" i="23"/>
  <c r="W11" i="23"/>
  <c r="T19" i="23"/>
  <c r="U19" i="23"/>
  <c r="W19" i="23"/>
  <c r="R17" i="23"/>
  <c r="T9" i="23"/>
  <c r="U9" i="23"/>
  <c r="V9" i="23"/>
  <c r="W9" i="23"/>
  <c r="X9" i="23"/>
  <c r="X865" i="22"/>
  <c r="R865" i="22"/>
  <c r="S865" i="22"/>
  <c r="U865" i="22"/>
  <c r="T865" i="22"/>
  <c r="V865" i="22"/>
  <c r="W865" i="22"/>
  <c r="X849" i="22"/>
  <c r="R849" i="22"/>
  <c r="S849" i="22"/>
  <c r="U849" i="22"/>
  <c r="V849" i="22"/>
  <c r="W849" i="22"/>
  <c r="T849" i="22"/>
  <c r="W721" i="22"/>
  <c r="X721" i="22"/>
  <c r="T721" i="22"/>
  <c r="V721" i="22"/>
  <c r="R721" i="22"/>
  <c r="S721" i="22"/>
  <c r="V674" i="22"/>
  <c r="W674" i="22"/>
  <c r="X674" i="22"/>
  <c r="R674" i="22"/>
  <c r="S674" i="22"/>
  <c r="T674" i="22"/>
  <c r="U674" i="22"/>
  <c r="T821" i="22"/>
  <c r="X821" i="22"/>
  <c r="R821" i="22"/>
  <c r="U821" i="22"/>
  <c r="V821" i="22"/>
  <c r="T813" i="22"/>
  <c r="X813" i="22"/>
  <c r="R813" i="22"/>
  <c r="U813" i="22"/>
  <c r="V813" i="22"/>
  <c r="W793" i="22"/>
  <c r="X793" i="22"/>
  <c r="T793" i="22"/>
  <c r="U793" i="22"/>
  <c r="V793" i="22"/>
  <c r="R793" i="22"/>
  <c r="W785" i="22"/>
  <c r="X785" i="22"/>
  <c r="R785" i="22"/>
  <c r="S785" i="22"/>
  <c r="T785" i="22"/>
  <c r="V785" i="22"/>
  <c r="R751" i="22"/>
  <c r="S751" i="22"/>
  <c r="T751" i="22"/>
  <c r="V751" i="22"/>
  <c r="W751" i="22"/>
  <c r="T728" i="22"/>
  <c r="R695" i="22"/>
  <c r="S695" i="22"/>
  <c r="V695" i="22"/>
  <c r="T695" i="22"/>
  <c r="U695" i="22"/>
  <c r="W695" i="22"/>
  <c r="V682" i="22"/>
  <c r="W682" i="22"/>
  <c r="X682" i="22"/>
  <c r="S682" i="22"/>
  <c r="R682" i="22"/>
  <c r="T682" i="22"/>
  <c r="U682" i="22"/>
  <c r="V875" i="22"/>
  <c r="T875" i="22"/>
  <c r="U875" i="22"/>
  <c r="W875" i="22"/>
  <c r="V802" i="22"/>
  <c r="W802" i="22"/>
  <c r="R802" i="22"/>
  <c r="S802" i="22"/>
  <c r="T802" i="22"/>
  <c r="U802" i="22"/>
  <c r="X776" i="22"/>
  <c r="R776" i="22"/>
  <c r="T776" i="22"/>
  <c r="U776" i="22"/>
  <c r="V776" i="22"/>
  <c r="W776" i="22"/>
  <c r="X760" i="22"/>
  <c r="R760" i="22"/>
  <c r="T760" i="22"/>
  <c r="U760" i="22"/>
  <c r="V760" i="22"/>
  <c r="W760" i="22"/>
  <c r="T869" i="22"/>
  <c r="X869" i="22"/>
  <c r="R869" i="22"/>
  <c r="U869" i="22"/>
  <c r="X808" i="22"/>
  <c r="W808" i="22"/>
  <c r="R808" i="22"/>
  <c r="T808" i="22"/>
  <c r="U808" i="22"/>
  <c r="T804" i="22"/>
  <c r="U804" i="22"/>
  <c r="S804" i="22"/>
  <c r="V804" i="22"/>
  <c r="W804" i="22"/>
  <c r="X804" i="22"/>
  <c r="T748" i="22"/>
  <c r="U748" i="22"/>
  <c r="V748" i="22"/>
  <c r="X748" i="22"/>
  <c r="R748" i="22"/>
  <c r="S748" i="22"/>
  <c r="T740" i="22"/>
  <c r="U740" i="22"/>
  <c r="V740" i="22"/>
  <c r="R740" i="22"/>
  <c r="S740" i="22"/>
  <c r="W740" i="22"/>
  <c r="X740" i="22"/>
  <c r="V722" i="22"/>
  <c r="W722" i="22"/>
  <c r="X722" i="22"/>
  <c r="S722" i="22"/>
  <c r="R722" i="22"/>
  <c r="T722" i="22"/>
  <c r="R711" i="22"/>
  <c r="S711" i="22"/>
  <c r="V711" i="22"/>
  <c r="T711" i="22"/>
  <c r="U711" i="22"/>
  <c r="W711" i="22"/>
  <c r="T861" i="22"/>
  <c r="X861" i="22"/>
  <c r="R861" i="22"/>
  <c r="U861" i="22"/>
  <c r="X857" i="22"/>
  <c r="R857" i="22"/>
  <c r="S857" i="22"/>
  <c r="U857" i="22"/>
  <c r="R791" i="22"/>
  <c r="S791" i="22"/>
  <c r="T791" i="22"/>
  <c r="U791" i="22"/>
  <c r="V791" i="22"/>
  <c r="W791" i="22"/>
  <c r="R783" i="22"/>
  <c r="S783" i="22"/>
  <c r="T783" i="22"/>
  <c r="V783" i="22"/>
  <c r="W783" i="22"/>
  <c r="W777" i="22"/>
  <c r="X777" i="22"/>
  <c r="T777" i="22"/>
  <c r="U777" i="22"/>
  <c r="V777" i="22"/>
  <c r="R777" i="22"/>
  <c r="W761" i="22"/>
  <c r="X761" i="22"/>
  <c r="T761" i="22"/>
  <c r="U761" i="22"/>
  <c r="V761" i="22"/>
  <c r="R761" i="22"/>
  <c r="R727" i="22"/>
  <c r="S727" i="22"/>
  <c r="X727" i="22"/>
  <c r="U727" i="22"/>
  <c r="V727" i="22"/>
  <c r="W713" i="22"/>
  <c r="X713" i="22"/>
  <c r="T713" i="22"/>
  <c r="V713" i="22"/>
  <c r="R713" i="22"/>
  <c r="S713" i="22"/>
  <c r="R702" i="22"/>
  <c r="S702" i="22"/>
  <c r="T702" i="22"/>
  <c r="W702" i="22"/>
  <c r="U702" i="22"/>
  <c r="V702" i="22"/>
  <c r="X702" i="22"/>
  <c r="W697" i="22"/>
  <c r="X697" i="22"/>
  <c r="T697" i="22"/>
  <c r="V697" i="22"/>
  <c r="R697" i="22"/>
  <c r="S697" i="22"/>
  <c r="W689" i="22"/>
  <c r="X689" i="22"/>
  <c r="T689" i="22"/>
  <c r="V689" i="22"/>
  <c r="R689" i="22"/>
  <c r="S689" i="22"/>
  <c r="S861" i="22"/>
  <c r="T853" i="22"/>
  <c r="X853" i="22"/>
  <c r="R853" i="22"/>
  <c r="U853" i="22"/>
  <c r="R804" i="22"/>
  <c r="V794" i="22"/>
  <c r="W794" i="22"/>
  <c r="X794" i="22"/>
  <c r="T794" i="22"/>
  <c r="U794" i="22"/>
  <c r="R794" i="22"/>
  <c r="X752" i="22"/>
  <c r="R752" i="22"/>
  <c r="S752" i="22"/>
  <c r="T752" i="22"/>
  <c r="V752" i="22"/>
  <c r="W752" i="22"/>
  <c r="W748" i="22"/>
  <c r="R742" i="22"/>
  <c r="S742" i="22"/>
  <c r="T742" i="22"/>
  <c r="V742" i="22"/>
  <c r="W742" i="22"/>
  <c r="X742" i="22"/>
  <c r="R734" i="22"/>
  <c r="S734" i="22"/>
  <c r="T734" i="22"/>
  <c r="U734" i="22"/>
  <c r="V734" i="22"/>
  <c r="X734" i="22"/>
  <c r="U721" i="22"/>
  <c r="T676" i="22"/>
  <c r="U676" i="22"/>
  <c r="V676" i="22"/>
  <c r="W676" i="22"/>
  <c r="X676" i="22"/>
  <c r="R676" i="22"/>
  <c r="S676" i="22"/>
  <c r="W857" i="22"/>
  <c r="T845" i="22"/>
  <c r="X845" i="22"/>
  <c r="R845" i="22"/>
  <c r="U845" i="22"/>
  <c r="X841" i="22"/>
  <c r="R841" i="22"/>
  <c r="S841" i="22"/>
  <c r="U841" i="22"/>
  <c r="X817" i="22"/>
  <c r="R817" i="22"/>
  <c r="S817" i="22"/>
  <c r="U817" i="22"/>
  <c r="V817" i="22"/>
  <c r="V808" i="22"/>
  <c r="R806" i="22"/>
  <c r="S806" i="22"/>
  <c r="U806" i="22"/>
  <c r="V806" i="22"/>
  <c r="W806" i="22"/>
  <c r="X806" i="22"/>
  <c r="X802" i="22"/>
  <c r="R775" i="22"/>
  <c r="S775" i="22"/>
  <c r="T775" i="22"/>
  <c r="U775" i="22"/>
  <c r="V775" i="22"/>
  <c r="W775" i="22"/>
  <c r="R759" i="22"/>
  <c r="S759" i="22"/>
  <c r="T759" i="22"/>
  <c r="U759" i="22"/>
  <c r="V759" i="22"/>
  <c r="W759" i="22"/>
  <c r="X728" i="22"/>
  <c r="R728" i="22"/>
  <c r="S728" i="22"/>
  <c r="U728" i="22"/>
  <c r="V728" i="22"/>
  <c r="T628" i="22"/>
  <c r="U628" i="22"/>
  <c r="V628" i="22"/>
  <c r="W628" i="22"/>
  <c r="X628" i="22"/>
  <c r="R628" i="22"/>
  <c r="S628" i="22"/>
  <c r="X873" i="22"/>
  <c r="R873" i="22"/>
  <c r="U873" i="22"/>
  <c r="V857" i="22"/>
  <c r="S845" i="22"/>
  <c r="T837" i="22"/>
  <c r="X837" i="22"/>
  <c r="R837" i="22"/>
  <c r="U837" i="22"/>
  <c r="X833" i="22"/>
  <c r="R833" i="22"/>
  <c r="S833" i="22"/>
  <c r="U833" i="22"/>
  <c r="S808" i="22"/>
  <c r="X792" i="22"/>
  <c r="R792" i="22"/>
  <c r="T792" i="22"/>
  <c r="U792" i="22"/>
  <c r="V792" i="22"/>
  <c r="W792" i="22"/>
  <c r="U785" i="22"/>
  <c r="X784" i="22"/>
  <c r="R784" i="22"/>
  <c r="S784" i="22"/>
  <c r="T784" i="22"/>
  <c r="V784" i="22"/>
  <c r="W784" i="22"/>
  <c r="V778" i="22"/>
  <c r="W778" i="22"/>
  <c r="X778" i="22"/>
  <c r="T778" i="22"/>
  <c r="U778" i="22"/>
  <c r="R778" i="22"/>
  <c r="S776" i="22"/>
  <c r="V762" i="22"/>
  <c r="W762" i="22"/>
  <c r="X762" i="22"/>
  <c r="T762" i="22"/>
  <c r="U762" i="22"/>
  <c r="R762" i="22"/>
  <c r="S760" i="22"/>
  <c r="U751" i="22"/>
  <c r="W727" i="22"/>
  <c r="R703" i="22"/>
  <c r="S703" i="22"/>
  <c r="V703" i="22"/>
  <c r="T703" i="22"/>
  <c r="U703" i="22"/>
  <c r="W703" i="22"/>
  <c r="R694" i="22"/>
  <c r="S694" i="22"/>
  <c r="T694" i="22"/>
  <c r="W694" i="22"/>
  <c r="U694" i="22"/>
  <c r="V694" i="22"/>
  <c r="X694" i="22"/>
  <c r="V861" i="22"/>
  <c r="X875" i="22"/>
  <c r="V873" i="22"/>
  <c r="T857" i="22"/>
  <c r="W841" i="22"/>
  <c r="S837" i="22"/>
  <c r="T829" i="22"/>
  <c r="X829" i="22"/>
  <c r="R829" i="22"/>
  <c r="U829" i="22"/>
  <c r="R807" i="22"/>
  <c r="S807" i="22"/>
  <c r="T807" i="22"/>
  <c r="U807" i="22"/>
  <c r="W807" i="22"/>
  <c r="X807" i="22"/>
  <c r="W801" i="22"/>
  <c r="X801" i="22"/>
  <c r="U801" i="22"/>
  <c r="V801" i="22"/>
  <c r="R801" i="22"/>
  <c r="S801" i="22"/>
  <c r="S793" i="22"/>
  <c r="X783" i="22"/>
  <c r="W753" i="22"/>
  <c r="X753" i="22"/>
  <c r="R753" i="22"/>
  <c r="S753" i="22"/>
  <c r="T753" i="22"/>
  <c r="V753" i="22"/>
  <c r="W729" i="22"/>
  <c r="X729" i="22"/>
  <c r="R729" i="22"/>
  <c r="S729" i="22"/>
  <c r="U729" i="22"/>
  <c r="V729" i="22"/>
  <c r="T727" i="22"/>
  <c r="U722" i="22"/>
  <c r="R718" i="22"/>
  <c r="S718" i="22"/>
  <c r="T718" i="22"/>
  <c r="W718" i="22"/>
  <c r="U718" i="22"/>
  <c r="V718" i="22"/>
  <c r="X718" i="22"/>
  <c r="R710" i="22"/>
  <c r="S710" i="22"/>
  <c r="T710" i="22"/>
  <c r="W710" i="22"/>
  <c r="U710" i="22"/>
  <c r="V710" i="22"/>
  <c r="X710" i="22"/>
  <c r="W705" i="22"/>
  <c r="X705" i="22"/>
  <c r="T705" i="22"/>
  <c r="V705" i="22"/>
  <c r="R705" i="22"/>
  <c r="S705" i="22"/>
  <c r="V690" i="22"/>
  <c r="W690" i="22"/>
  <c r="X690" i="22"/>
  <c r="S690" i="22"/>
  <c r="R690" i="22"/>
  <c r="T690" i="22"/>
  <c r="U690" i="22"/>
  <c r="T796" i="22"/>
  <c r="U796" i="22"/>
  <c r="V796" i="22"/>
  <c r="U795" i="22"/>
  <c r="V795" i="22"/>
  <c r="W795" i="22"/>
  <c r="R790" i="22"/>
  <c r="S790" i="22"/>
  <c r="T790" i="22"/>
  <c r="T780" i="22"/>
  <c r="U780" i="22"/>
  <c r="V780" i="22"/>
  <c r="U779" i="22"/>
  <c r="V779" i="22"/>
  <c r="W779" i="22"/>
  <c r="R774" i="22"/>
  <c r="S774" i="22"/>
  <c r="T774" i="22"/>
  <c r="T764" i="22"/>
  <c r="U764" i="22"/>
  <c r="V764" i="22"/>
  <c r="U763" i="22"/>
  <c r="V763" i="22"/>
  <c r="W763" i="22"/>
  <c r="R758" i="22"/>
  <c r="S758" i="22"/>
  <c r="T758" i="22"/>
  <c r="V658" i="22"/>
  <c r="W658" i="22"/>
  <c r="X658" i="22"/>
  <c r="R658" i="22"/>
  <c r="S658" i="22"/>
  <c r="T658" i="22"/>
  <c r="X625" i="22"/>
  <c r="R625" i="22"/>
  <c r="S625" i="22"/>
  <c r="T625" i="22"/>
  <c r="U625" i="22"/>
  <c r="V625" i="22"/>
  <c r="S876" i="22"/>
  <c r="S868" i="22"/>
  <c r="S860" i="22"/>
  <c r="S852" i="22"/>
  <c r="S844" i="22"/>
  <c r="S836" i="22"/>
  <c r="S828" i="22"/>
  <c r="S820" i="22"/>
  <c r="S816" i="22"/>
  <c r="S812" i="22"/>
  <c r="U800" i="22"/>
  <c r="X799" i="22"/>
  <c r="X788" i="22"/>
  <c r="V782" i="22"/>
  <c r="X756" i="22"/>
  <c r="V750" i="22"/>
  <c r="W732" i="22"/>
  <c r="X731" i="22"/>
  <c r="U726" i="22"/>
  <c r="T724" i="22"/>
  <c r="U724" i="22"/>
  <c r="V724" i="22"/>
  <c r="T716" i="22"/>
  <c r="U716" i="22"/>
  <c r="V716" i="22"/>
  <c r="T708" i="22"/>
  <c r="U708" i="22"/>
  <c r="V708" i="22"/>
  <c r="T700" i="22"/>
  <c r="U700" i="22"/>
  <c r="V700" i="22"/>
  <c r="T692" i="22"/>
  <c r="U692" i="22"/>
  <c r="V692" i="22"/>
  <c r="T660" i="22"/>
  <c r="U660" i="22"/>
  <c r="V660" i="22"/>
  <c r="W660" i="22"/>
  <c r="X660" i="22"/>
  <c r="R660" i="22"/>
  <c r="V714" i="22"/>
  <c r="W714" i="22"/>
  <c r="X714" i="22"/>
  <c r="S714" i="22"/>
  <c r="V706" i="22"/>
  <c r="W706" i="22"/>
  <c r="X706" i="22"/>
  <c r="S706" i="22"/>
  <c r="V698" i="22"/>
  <c r="W698" i="22"/>
  <c r="X698" i="22"/>
  <c r="S698" i="22"/>
  <c r="U525" i="22"/>
  <c r="V525" i="22"/>
  <c r="R525" i="22"/>
  <c r="S525" i="22"/>
  <c r="T525" i="22"/>
  <c r="W525" i="22"/>
  <c r="X525" i="22"/>
  <c r="V867" i="22"/>
  <c r="V859" i="22"/>
  <c r="V851" i="22"/>
  <c r="V843" i="22"/>
  <c r="V835" i="22"/>
  <c r="V827" i="22"/>
  <c r="V819" i="22"/>
  <c r="V811" i="22"/>
  <c r="V799" i="22"/>
  <c r="R798" i="22"/>
  <c r="S798" i="22"/>
  <c r="W790" i="22"/>
  <c r="W774" i="22"/>
  <c r="V770" i="22"/>
  <c r="W770" i="22"/>
  <c r="X770" i="22"/>
  <c r="W769" i="22"/>
  <c r="X769" i="22"/>
  <c r="X768" i="22"/>
  <c r="R768" i="22"/>
  <c r="R767" i="22"/>
  <c r="S767" i="22"/>
  <c r="W758" i="22"/>
  <c r="S756" i="22"/>
  <c r="T755" i="22"/>
  <c r="T714" i="22"/>
  <c r="T706" i="22"/>
  <c r="T698" i="22"/>
  <c r="R687" i="22"/>
  <c r="S687" i="22"/>
  <c r="T687" i="22"/>
  <c r="V687" i="22"/>
  <c r="V666" i="22"/>
  <c r="W666" i="22"/>
  <c r="X666" i="22"/>
  <c r="R666" i="22"/>
  <c r="S666" i="22"/>
  <c r="T666" i="22"/>
  <c r="V871" i="22"/>
  <c r="W867" i="22"/>
  <c r="V863" i="22"/>
  <c r="W859" i="22"/>
  <c r="V855" i="22"/>
  <c r="W851" i="22"/>
  <c r="V847" i="22"/>
  <c r="W843" i="22"/>
  <c r="V839" i="22"/>
  <c r="W835" i="22"/>
  <c r="V831" i="22"/>
  <c r="W827" i="22"/>
  <c r="V823" i="22"/>
  <c r="W819" i="22"/>
  <c r="X816" i="22"/>
  <c r="V815" i="22"/>
  <c r="W811" i="22"/>
  <c r="R800" i="22"/>
  <c r="U799" i="22"/>
  <c r="X798" i="22"/>
  <c r="X796" i="22"/>
  <c r="V790" i="22"/>
  <c r="X780" i="22"/>
  <c r="V774" i="22"/>
  <c r="T772" i="22"/>
  <c r="U772" i="22"/>
  <c r="V772" i="22"/>
  <c r="U771" i="22"/>
  <c r="V771" i="22"/>
  <c r="W771" i="22"/>
  <c r="R770" i="22"/>
  <c r="R769" i="22"/>
  <c r="R766" i="22"/>
  <c r="S766" i="22"/>
  <c r="T766" i="22"/>
  <c r="X764" i="22"/>
  <c r="V758" i="22"/>
  <c r="T732" i="22"/>
  <c r="U732" i="22"/>
  <c r="V732" i="22"/>
  <c r="U731" i="22"/>
  <c r="V731" i="22"/>
  <c r="W731" i="22"/>
  <c r="R726" i="22"/>
  <c r="S726" i="22"/>
  <c r="T726" i="22"/>
  <c r="R714" i="22"/>
  <c r="R706" i="22"/>
  <c r="R698" i="22"/>
  <c r="W687" i="22"/>
  <c r="W681" i="22"/>
  <c r="X681" i="22"/>
  <c r="R681" i="22"/>
  <c r="T681" i="22"/>
  <c r="T668" i="22"/>
  <c r="U668" i="22"/>
  <c r="V668" i="22"/>
  <c r="W668" i="22"/>
  <c r="X668" i="22"/>
  <c r="R668" i="22"/>
  <c r="T621" i="22"/>
  <c r="X621" i="22"/>
  <c r="R621" i="22"/>
  <c r="S621" i="22"/>
  <c r="U621" i="22"/>
  <c r="V621" i="22"/>
  <c r="X593" i="22"/>
  <c r="R593" i="22"/>
  <c r="S593" i="22"/>
  <c r="T593" i="22"/>
  <c r="U593" i="22"/>
  <c r="V593" i="22"/>
  <c r="W593" i="22"/>
  <c r="W527" i="22"/>
  <c r="S527" i="22"/>
  <c r="X527" i="22"/>
  <c r="V527" i="22"/>
  <c r="R527" i="22"/>
  <c r="T527" i="22"/>
  <c r="U527" i="22"/>
  <c r="X876" i="22"/>
  <c r="U871" i="22"/>
  <c r="X868" i="22"/>
  <c r="U867" i="22"/>
  <c r="U863" i="22"/>
  <c r="X860" i="22"/>
  <c r="U859" i="22"/>
  <c r="U855" i="22"/>
  <c r="X852" i="22"/>
  <c r="U851" i="22"/>
  <c r="U847" i="22"/>
  <c r="X844" i="22"/>
  <c r="U843" i="22"/>
  <c r="U839" i="22"/>
  <c r="X836" i="22"/>
  <c r="U835" i="22"/>
  <c r="U831" i="22"/>
  <c r="X828" i="22"/>
  <c r="U827" i="22"/>
  <c r="U823" i="22"/>
  <c r="U819" i="22"/>
  <c r="U815" i="22"/>
  <c r="U811" i="22"/>
  <c r="U803" i="22"/>
  <c r="V803" i="22"/>
  <c r="T799" i="22"/>
  <c r="W798" i="22"/>
  <c r="W796" i="22"/>
  <c r="X795" i="22"/>
  <c r="U790" i="22"/>
  <c r="T788" i="22"/>
  <c r="U788" i="22"/>
  <c r="V788" i="22"/>
  <c r="U787" i="22"/>
  <c r="V787" i="22"/>
  <c r="W787" i="22"/>
  <c r="R782" i="22"/>
  <c r="S782" i="22"/>
  <c r="T782" i="22"/>
  <c r="W780" i="22"/>
  <c r="X779" i="22"/>
  <c r="U774" i="22"/>
  <c r="W764" i="22"/>
  <c r="X763" i="22"/>
  <c r="U758" i="22"/>
  <c r="T756" i="22"/>
  <c r="U756" i="22"/>
  <c r="V756" i="22"/>
  <c r="U755" i="22"/>
  <c r="V755" i="22"/>
  <c r="W755" i="22"/>
  <c r="R750" i="22"/>
  <c r="S750" i="22"/>
  <c r="T750" i="22"/>
  <c r="W673" i="22"/>
  <c r="X673" i="22"/>
  <c r="R673" i="22"/>
  <c r="S673" i="22"/>
  <c r="T673" i="22"/>
  <c r="V650" i="22"/>
  <c r="W650" i="22"/>
  <c r="X650" i="22"/>
  <c r="R650" i="22"/>
  <c r="S650" i="22"/>
  <c r="T650" i="22"/>
  <c r="T644" i="22"/>
  <c r="U644" i="22"/>
  <c r="V644" i="22"/>
  <c r="W644" i="22"/>
  <c r="X644" i="22"/>
  <c r="R644" i="22"/>
  <c r="V642" i="22"/>
  <c r="W642" i="22"/>
  <c r="X642" i="22"/>
  <c r="R642" i="22"/>
  <c r="S642" i="22"/>
  <c r="T642" i="22"/>
  <c r="T636" i="22"/>
  <c r="U636" i="22"/>
  <c r="V636" i="22"/>
  <c r="W636" i="22"/>
  <c r="X636" i="22"/>
  <c r="R636" i="22"/>
  <c r="V634" i="22"/>
  <c r="W634" i="22"/>
  <c r="X634" i="22"/>
  <c r="R634" i="22"/>
  <c r="S634" i="22"/>
  <c r="T634" i="22"/>
  <c r="T871" i="22"/>
  <c r="T867" i="22"/>
  <c r="T863" i="22"/>
  <c r="T859" i="22"/>
  <c r="T855" i="22"/>
  <c r="T851" i="22"/>
  <c r="T847" i="22"/>
  <c r="T843" i="22"/>
  <c r="T839" i="22"/>
  <c r="T835" i="22"/>
  <c r="T831" i="22"/>
  <c r="T827" i="22"/>
  <c r="T823" i="22"/>
  <c r="T819" i="22"/>
  <c r="T815" i="22"/>
  <c r="T811" i="22"/>
  <c r="S805" i="22"/>
  <c r="T805" i="22"/>
  <c r="S799" i="22"/>
  <c r="V798" i="22"/>
  <c r="S796" i="22"/>
  <c r="T795" i="22"/>
  <c r="S780" i="22"/>
  <c r="T779" i="22"/>
  <c r="X767" i="22"/>
  <c r="S764" i="22"/>
  <c r="T763" i="22"/>
  <c r="X726" i="22"/>
  <c r="T684" i="22"/>
  <c r="U684" i="22"/>
  <c r="V684" i="22"/>
  <c r="W684" i="22"/>
  <c r="S681" i="22"/>
  <c r="V673" i="22"/>
  <c r="U658" i="22"/>
  <c r="T652" i="22"/>
  <c r="U652" i="22"/>
  <c r="V652" i="22"/>
  <c r="W652" i="22"/>
  <c r="X652" i="22"/>
  <c r="R652" i="22"/>
  <c r="W625" i="22"/>
  <c r="R541" i="22"/>
  <c r="S541" i="22"/>
  <c r="T541" i="22"/>
  <c r="U541" i="22"/>
  <c r="V541" i="22"/>
  <c r="W541" i="22"/>
  <c r="X541" i="22"/>
  <c r="X638" i="22"/>
  <c r="X630" i="22"/>
  <c r="X617" i="22"/>
  <c r="R617" i="22"/>
  <c r="U612" i="22"/>
  <c r="W612" i="22"/>
  <c r="X609" i="22"/>
  <c r="R609" i="22"/>
  <c r="U604" i="22"/>
  <c r="W604" i="22"/>
  <c r="X601" i="22"/>
  <c r="R601" i="22"/>
  <c r="U596" i="22"/>
  <c r="W596" i="22"/>
  <c r="U588" i="22"/>
  <c r="W588" i="22"/>
  <c r="S587" i="22"/>
  <c r="X585" i="22"/>
  <c r="R585" i="22"/>
  <c r="U580" i="22"/>
  <c r="W580" i="22"/>
  <c r="S579" i="22"/>
  <c r="X577" i="22"/>
  <c r="R577" i="22"/>
  <c r="U572" i="22"/>
  <c r="W572" i="22"/>
  <c r="S571" i="22"/>
  <c r="X569" i="22"/>
  <c r="R569" i="22"/>
  <c r="U564" i="22"/>
  <c r="W564" i="22"/>
  <c r="S563" i="22"/>
  <c r="X561" i="22"/>
  <c r="R561" i="22"/>
  <c r="U556" i="22"/>
  <c r="W556" i="22"/>
  <c r="S555" i="22"/>
  <c r="X553" i="22"/>
  <c r="R553" i="22"/>
  <c r="W547" i="22"/>
  <c r="W543" i="22"/>
  <c r="R543" i="22"/>
  <c r="S543" i="22"/>
  <c r="T543" i="22"/>
  <c r="V528" i="22"/>
  <c r="S528" i="22"/>
  <c r="T528" i="22"/>
  <c r="W528" i="22"/>
  <c r="X528" i="22"/>
  <c r="W686" i="22"/>
  <c r="W678" i="22"/>
  <c r="W670" i="22"/>
  <c r="T665" i="22"/>
  <c r="W662" i="22"/>
  <c r="T657" i="22"/>
  <c r="W654" i="22"/>
  <c r="T649" i="22"/>
  <c r="W646" i="22"/>
  <c r="T641" i="22"/>
  <c r="W638" i="22"/>
  <c r="T633" i="22"/>
  <c r="W630" i="22"/>
  <c r="R584" i="22"/>
  <c r="R576" i="22"/>
  <c r="R568" i="22"/>
  <c r="R560" i="22"/>
  <c r="R552" i="22"/>
  <c r="V547" i="22"/>
  <c r="V543" i="22"/>
  <c r="U517" i="22"/>
  <c r="V517" i="22"/>
  <c r="X517" i="22"/>
  <c r="T517" i="22"/>
  <c r="U493" i="22"/>
  <c r="R493" i="22"/>
  <c r="S493" i="22"/>
  <c r="T493" i="22"/>
  <c r="V493" i="22"/>
  <c r="W493" i="22"/>
  <c r="X493" i="22"/>
  <c r="V678" i="22"/>
  <c r="V670" i="22"/>
  <c r="S665" i="22"/>
  <c r="V662" i="22"/>
  <c r="S657" i="22"/>
  <c r="V654" i="22"/>
  <c r="S649" i="22"/>
  <c r="V646" i="22"/>
  <c r="S641" i="22"/>
  <c r="V638" i="22"/>
  <c r="S633" i="22"/>
  <c r="V630" i="22"/>
  <c r="V619" i="22"/>
  <c r="W617" i="22"/>
  <c r="X612" i="22"/>
  <c r="V611" i="22"/>
  <c r="X611" i="22"/>
  <c r="W609" i="22"/>
  <c r="X604" i="22"/>
  <c r="V603" i="22"/>
  <c r="X603" i="22"/>
  <c r="W601" i="22"/>
  <c r="X596" i="22"/>
  <c r="V595" i="22"/>
  <c r="X595" i="22"/>
  <c r="X588" i="22"/>
  <c r="V587" i="22"/>
  <c r="X587" i="22"/>
  <c r="V579" i="22"/>
  <c r="X579" i="22"/>
  <c r="V571" i="22"/>
  <c r="X571" i="22"/>
  <c r="V563" i="22"/>
  <c r="X563" i="22"/>
  <c r="V555" i="22"/>
  <c r="X555" i="22"/>
  <c r="S547" i="22"/>
  <c r="R547" i="22"/>
  <c r="V504" i="22"/>
  <c r="S504" i="22"/>
  <c r="T504" i="22"/>
  <c r="W504" i="22"/>
  <c r="R504" i="22"/>
  <c r="X504" i="22"/>
  <c r="R665" i="22"/>
  <c r="R657" i="22"/>
  <c r="R649" i="22"/>
  <c r="V627" i="22"/>
  <c r="X619" i="22"/>
  <c r="V617" i="22"/>
  <c r="V612" i="22"/>
  <c r="V609" i="22"/>
  <c r="V604" i="22"/>
  <c r="V601" i="22"/>
  <c r="V596" i="22"/>
  <c r="V588" i="22"/>
  <c r="V585" i="22"/>
  <c r="V580" i="22"/>
  <c r="V577" i="22"/>
  <c r="V572" i="22"/>
  <c r="V569" i="22"/>
  <c r="V564" i="22"/>
  <c r="V561" i="22"/>
  <c r="V556" i="22"/>
  <c r="V553" i="22"/>
  <c r="W548" i="22"/>
  <c r="T547" i="22"/>
  <c r="U781" i="22"/>
  <c r="T686" i="22"/>
  <c r="T678" i="22"/>
  <c r="T670" i="22"/>
  <c r="T662" i="22"/>
  <c r="T654" i="22"/>
  <c r="T646" i="22"/>
  <c r="T638" i="22"/>
  <c r="T630" i="22"/>
  <c r="W627" i="22"/>
  <c r="V623" i="22"/>
  <c r="W619" i="22"/>
  <c r="U617" i="22"/>
  <c r="X616" i="22"/>
  <c r="T613" i="22"/>
  <c r="V613" i="22"/>
  <c r="T612" i="22"/>
  <c r="U609" i="22"/>
  <c r="X608" i="22"/>
  <c r="T605" i="22"/>
  <c r="V605" i="22"/>
  <c r="T604" i="22"/>
  <c r="R602" i="22"/>
  <c r="U601" i="22"/>
  <c r="X600" i="22"/>
  <c r="T597" i="22"/>
  <c r="V597" i="22"/>
  <c r="T596" i="22"/>
  <c r="R594" i="22"/>
  <c r="X592" i="22"/>
  <c r="T589" i="22"/>
  <c r="V589" i="22"/>
  <c r="T588" i="22"/>
  <c r="R586" i="22"/>
  <c r="U585" i="22"/>
  <c r="X584" i="22"/>
  <c r="T581" i="22"/>
  <c r="V581" i="22"/>
  <c r="T580" i="22"/>
  <c r="R578" i="22"/>
  <c r="U577" i="22"/>
  <c r="X576" i="22"/>
  <c r="T573" i="22"/>
  <c r="V573" i="22"/>
  <c r="T572" i="22"/>
  <c r="R570" i="22"/>
  <c r="U569" i="22"/>
  <c r="X568" i="22"/>
  <c r="T565" i="22"/>
  <c r="V565" i="22"/>
  <c r="T564" i="22"/>
  <c r="R562" i="22"/>
  <c r="U561" i="22"/>
  <c r="X560" i="22"/>
  <c r="T557" i="22"/>
  <c r="V557" i="22"/>
  <c r="T556" i="22"/>
  <c r="R554" i="22"/>
  <c r="U553" i="22"/>
  <c r="X552" i="22"/>
  <c r="V548" i="22"/>
  <c r="W517" i="22"/>
  <c r="R476" i="22"/>
  <c r="V476" i="22"/>
  <c r="S476" i="22"/>
  <c r="T476" i="22"/>
  <c r="U476" i="22"/>
  <c r="W476" i="22"/>
  <c r="X476" i="22"/>
  <c r="U773" i="22"/>
  <c r="U765" i="22"/>
  <c r="T797" i="22"/>
  <c r="T781" i="22"/>
  <c r="S686" i="22"/>
  <c r="S678" i="22"/>
  <c r="S670" i="22"/>
  <c r="T669" i="22"/>
  <c r="X665" i="22"/>
  <c r="S662" i="22"/>
  <c r="T661" i="22"/>
  <c r="X657" i="22"/>
  <c r="S654" i="22"/>
  <c r="T653" i="22"/>
  <c r="X649" i="22"/>
  <c r="S646" i="22"/>
  <c r="X641" i="22"/>
  <c r="S638" i="22"/>
  <c r="X633" i="22"/>
  <c r="S630" i="22"/>
  <c r="U627" i="22"/>
  <c r="U623" i="22"/>
  <c r="X620" i="22"/>
  <c r="U619" i="22"/>
  <c r="T617" i="22"/>
  <c r="W616" i="22"/>
  <c r="S612" i="22"/>
  <c r="W611" i="22"/>
  <c r="T609" i="22"/>
  <c r="W608" i="22"/>
  <c r="S604" i="22"/>
  <c r="W603" i="22"/>
  <c r="T601" i="22"/>
  <c r="W600" i="22"/>
  <c r="S596" i="22"/>
  <c r="W595" i="22"/>
  <c r="W592" i="22"/>
  <c r="S588" i="22"/>
  <c r="W587" i="22"/>
  <c r="T585" i="22"/>
  <c r="W584" i="22"/>
  <c r="S580" i="22"/>
  <c r="W579" i="22"/>
  <c r="T577" i="22"/>
  <c r="W576" i="22"/>
  <c r="S572" i="22"/>
  <c r="W571" i="22"/>
  <c r="T569" i="22"/>
  <c r="W568" i="22"/>
  <c r="S564" i="22"/>
  <c r="W563" i="22"/>
  <c r="T561" i="22"/>
  <c r="W560" i="22"/>
  <c r="S556" i="22"/>
  <c r="W555" i="22"/>
  <c r="T553" i="22"/>
  <c r="W552" i="22"/>
  <c r="R548" i="22"/>
  <c r="S548" i="22"/>
  <c r="T548" i="22"/>
  <c r="U548" i="22"/>
  <c r="V544" i="22"/>
  <c r="S544" i="22"/>
  <c r="T544" i="22"/>
  <c r="U544" i="22"/>
  <c r="W544" i="22"/>
  <c r="S517" i="22"/>
  <c r="X460" i="22"/>
  <c r="V460" i="22"/>
  <c r="R460" i="22"/>
  <c r="S460" i="22"/>
  <c r="T460" i="22"/>
  <c r="W460" i="22"/>
  <c r="U460" i="22"/>
  <c r="T627" i="22"/>
  <c r="T623" i="22"/>
  <c r="T619" i="22"/>
  <c r="S617" i="22"/>
  <c r="V616" i="22"/>
  <c r="R615" i="22"/>
  <c r="T615" i="22"/>
  <c r="R612" i="22"/>
  <c r="U611" i="22"/>
  <c r="S609" i="22"/>
  <c r="V608" i="22"/>
  <c r="R607" i="22"/>
  <c r="T607" i="22"/>
  <c r="R604" i="22"/>
  <c r="U603" i="22"/>
  <c r="S601" i="22"/>
  <c r="V600" i="22"/>
  <c r="R599" i="22"/>
  <c r="T599" i="22"/>
  <c r="R596" i="22"/>
  <c r="U595" i="22"/>
  <c r="V592" i="22"/>
  <c r="R591" i="22"/>
  <c r="T591" i="22"/>
  <c r="R588" i="22"/>
  <c r="U587" i="22"/>
  <c r="S585" i="22"/>
  <c r="V584" i="22"/>
  <c r="R583" i="22"/>
  <c r="T583" i="22"/>
  <c r="R580" i="22"/>
  <c r="U579" i="22"/>
  <c r="S577" i="22"/>
  <c r="V576" i="22"/>
  <c r="R575" i="22"/>
  <c r="T575" i="22"/>
  <c r="R572" i="22"/>
  <c r="U571" i="22"/>
  <c r="S569" i="22"/>
  <c r="V568" i="22"/>
  <c r="R567" i="22"/>
  <c r="T567" i="22"/>
  <c r="R564" i="22"/>
  <c r="U563" i="22"/>
  <c r="S561" i="22"/>
  <c r="V560" i="22"/>
  <c r="R559" i="22"/>
  <c r="T559" i="22"/>
  <c r="X557" i="22"/>
  <c r="R556" i="22"/>
  <c r="U555" i="22"/>
  <c r="S553" i="22"/>
  <c r="V552" i="22"/>
  <c r="R551" i="22"/>
  <c r="T551" i="22"/>
  <c r="R544" i="22"/>
  <c r="R517" i="22"/>
  <c r="S515" i="22"/>
  <c r="T515" i="22"/>
  <c r="V515" i="22"/>
  <c r="X515" i="22"/>
  <c r="R515" i="22"/>
  <c r="S499" i="22"/>
  <c r="T499" i="22"/>
  <c r="U499" i="22"/>
  <c r="V499" i="22"/>
  <c r="X499" i="22"/>
  <c r="R492" i="22"/>
  <c r="S492" i="22"/>
  <c r="U492" i="22"/>
  <c r="V492" i="22"/>
  <c r="W492" i="22"/>
  <c r="X492" i="22"/>
  <c r="V454" i="22"/>
  <c r="U454" i="22"/>
  <c r="R454" i="22"/>
  <c r="S454" i="22"/>
  <c r="W454" i="22"/>
  <c r="X454" i="22"/>
  <c r="W511" i="22"/>
  <c r="S511" i="22"/>
  <c r="U511" i="22"/>
  <c r="X511" i="22"/>
  <c r="S483" i="22"/>
  <c r="T483" i="22"/>
  <c r="U483" i="22"/>
  <c r="V483" i="22"/>
  <c r="W483" i="22"/>
  <c r="X483" i="22"/>
  <c r="S539" i="22"/>
  <c r="T539" i="22"/>
  <c r="S523" i="22"/>
  <c r="X523" i="22"/>
  <c r="T523" i="22"/>
  <c r="T511" i="22"/>
  <c r="U509" i="22"/>
  <c r="S509" i="22"/>
  <c r="V509" i="22"/>
  <c r="U501" i="22"/>
  <c r="V501" i="22"/>
  <c r="W501" i="22"/>
  <c r="X501" i="22"/>
  <c r="R484" i="22"/>
  <c r="V484" i="22"/>
  <c r="S484" i="22"/>
  <c r="T484" i="22"/>
  <c r="U484" i="22"/>
  <c r="W484" i="22"/>
  <c r="X484" i="22"/>
  <c r="X469" i="22"/>
  <c r="T469" i="22"/>
  <c r="U469" i="22"/>
  <c r="R469" i="22"/>
  <c r="V469" i="22"/>
  <c r="R442" i="22"/>
  <c r="U442" i="22"/>
  <c r="S442" i="22"/>
  <c r="T442" i="22"/>
  <c r="V442" i="22"/>
  <c r="W442" i="22"/>
  <c r="X442" i="22"/>
  <c r="X545" i="22"/>
  <c r="W535" i="22"/>
  <c r="X535" i="22"/>
  <c r="S535" i="22"/>
  <c r="W519" i="22"/>
  <c r="X519" i="22"/>
  <c r="S519" i="22"/>
  <c r="R511" i="22"/>
  <c r="T509" i="22"/>
  <c r="S507" i="22"/>
  <c r="X507" i="22"/>
  <c r="T507" i="22"/>
  <c r="V536" i="22"/>
  <c r="S536" i="22"/>
  <c r="T536" i="22"/>
  <c r="R535" i="22"/>
  <c r="V520" i="22"/>
  <c r="S520" i="22"/>
  <c r="T520" i="22"/>
  <c r="R519" i="22"/>
  <c r="V512" i="22"/>
  <c r="S512" i="22"/>
  <c r="T512" i="22"/>
  <c r="R509" i="22"/>
  <c r="R507" i="22"/>
  <c r="S501" i="22"/>
  <c r="V545" i="22"/>
  <c r="W542" i="22"/>
  <c r="X539" i="22"/>
  <c r="S531" i="22"/>
  <c r="T531" i="22"/>
  <c r="X531" i="22"/>
  <c r="R483" i="22"/>
  <c r="V398" i="22"/>
  <c r="U398" i="22"/>
  <c r="X398" i="22"/>
  <c r="S398" i="22"/>
  <c r="T398" i="22"/>
  <c r="W398" i="22"/>
  <c r="R398" i="22"/>
  <c r="V422" i="22"/>
  <c r="U422" i="22"/>
  <c r="T422" i="22"/>
  <c r="W422" i="22"/>
  <c r="R422" i="22"/>
  <c r="S274" i="22"/>
  <c r="X274" i="22"/>
  <c r="V274" i="22"/>
  <c r="W274" i="22"/>
  <c r="R274" i="22"/>
  <c r="T274" i="22"/>
  <c r="U274" i="22"/>
  <c r="R468" i="22"/>
  <c r="V468" i="22"/>
  <c r="S468" i="22"/>
  <c r="V464" i="22"/>
  <c r="W464" i="22"/>
  <c r="R464" i="22"/>
  <c r="S464" i="22"/>
  <c r="V462" i="22"/>
  <c r="U462" i="22"/>
  <c r="S462" i="22"/>
  <c r="T462" i="22"/>
  <c r="W389" i="22"/>
  <c r="S389" i="22"/>
  <c r="T389" i="22"/>
  <c r="U389" i="22"/>
  <c r="V389" i="22"/>
  <c r="X389" i="22"/>
  <c r="S503" i="22"/>
  <c r="T491" i="22"/>
  <c r="S489" i="22"/>
  <c r="T488" i="22"/>
  <c r="V487" i="22"/>
  <c r="T481" i="22"/>
  <c r="U480" i="22"/>
  <c r="X471" i="22"/>
  <c r="R462" i="22"/>
  <c r="V456" i="22"/>
  <c r="V430" i="22"/>
  <c r="U430" i="22"/>
  <c r="R430" i="22"/>
  <c r="S430" i="22"/>
  <c r="T430" i="22"/>
  <c r="W430" i="22"/>
  <c r="W413" i="22"/>
  <c r="S413" i="22"/>
  <c r="R413" i="22"/>
  <c r="V413" i="22"/>
  <c r="X413" i="22"/>
  <c r="R410" i="22"/>
  <c r="U410" i="22"/>
  <c r="S410" i="22"/>
  <c r="T410" i="22"/>
  <c r="V410" i="22"/>
  <c r="W410" i="22"/>
  <c r="X410" i="22"/>
  <c r="R491" i="22"/>
  <c r="R489" i="22"/>
  <c r="T456" i="22"/>
  <c r="R456" i="22"/>
  <c r="U456" i="22"/>
  <c r="W456" i="22"/>
  <c r="X456" i="22"/>
  <c r="S425" i="22"/>
  <c r="R425" i="22"/>
  <c r="T425" i="22"/>
  <c r="U425" i="22"/>
  <c r="V425" i="22"/>
  <c r="W425" i="22"/>
  <c r="X425" i="22"/>
  <c r="X422" i="22"/>
  <c r="W397" i="22"/>
  <c r="S397" i="22"/>
  <c r="U397" i="22"/>
  <c r="V397" i="22"/>
  <c r="X397" i="22"/>
  <c r="R397" i="22"/>
  <c r="T397" i="22"/>
  <c r="U489" i="22"/>
  <c r="V489" i="22"/>
  <c r="V488" i="22"/>
  <c r="W488" i="22"/>
  <c r="S488" i="22"/>
  <c r="W471" i="22"/>
  <c r="T471" i="22"/>
  <c r="X468" i="22"/>
  <c r="S422" i="22"/>
  <c r="W381" i="22"/>
  <c r="S381" i="22"/>
  <c r="V381" i="22"/>
  <c r="T381" i="22"/>
  <c r="U381" i="22"/>
  <c r="X381" i="22"/>
  <c r="R381" i="22"/>
  <c r="V496" i="22"/>
  <c r="S496" i="22"/>
  <c r="W487" i="22"/>
  <c r="T487" i="22"/>
  <c r="U481" i="22"/>
  <c r="V481" i="22"/>
  <c r="V480" i="22"/>
  <c r="W480" i="22"/>
  <c r="S480" i="22"/>
  <c r="S471" i="22"/>
  <c r="W468" i="22"/>
  <c r="W461" i="22"/>
  <c r="S461" i="22"/>
  <c r="R461" i="22"/>
  <c r="U461" i="22"/>
  <c r="X461" i="22"/>
  <c r="X452" i="22"/>
  <c r="S452" i="22"/>
  <c r="T452" i="22"/>
  <c r="U452" i="22"/>
  <c r="X444" i="22"/>
  <c r="U444" i="22"/>
  <c r="V444" i="22"/>
  <c r="R444" i="22"/>
  <c r="S444" i="22"/>
  <c r="X436" i="22"/>
  <c r="W436" i="22"/>
  <c r="U436" i="22"/>
  <c r="V436" i="22"/>
  <c r="R436" i="22"/>
  <c r="X420" i="22"/>
  <c r="S420" i="22"/>
  <c r="T420" i="22"/>
  <c r="V420" i="22"/>
  <c r="W420" i="22"/>
  <c r="X503" i="22"/>
  <c r="X491" i="22"/>
  <c r="V472" i="22"/>
  <c r="W472" i="22"/>
  <c r="R472" i="22"/>
  <c r="S472" i="22"/>
  <c r="R471" i="22"/>
  <c r="U468" i="22"/>
  <c r="S457" i="22"/>
  <c r="R457" i="22"/>
  <c r="X457" i="22"/>
  <c r="T457" i="22"/>
  <c r="U457" i="22"/>
  <c r="T448" i="22"/>
  <c r="X448" i="22"/>
  <c r="R448" i="22"/>
  <c r="S448" i="22"/>
  <c r="U448" i="22"/>
  <c r="W448" i="22"/>
  <c r="W437" i="22"/>
  <c r="S437" i="22"/>
  <c r="T437" i="22"/>
  <c r="U437" i="22"/>
  <c r="R437" i="22"/>
  <c r="R386" i="22"/>
  <c r="U386" i="22"/>
  <c r="V386" i="22"/>
  <c r="X386" i="22"/>
  <c r="V382" i="22"/>
  <c r="U382" i="22"/>
  <c r="R382" i="22"/>
  <c r="S382" i="22"/>
  <c r="T382" i="22"/>
  <c r="W382" i="22"/>
  <c r="X372" i="22"/>
  <c r="V372" i="22"/>
  <c r="S372" i="22"/>
  <c r="R372" i="22"/>
  <c r="T372" i="22"/>
  <c r="W372" i="22"/>
  <c r="S455" i="22"/>
  <c r="W450" i="22"/>
  <c r="X440" i="22"/>
  <c r="W438" i="22"/>
  <c r="V432" i="22"/>
  <c r="U424" i="22"/>
  <c r="W417" i="22"/>
  <c r="V414" i="22"/>
  <c r="U414" i="22"/>
  <c r="X414" i="22"/>
  <c r="U409" i="22"/>
  <c r="V406" i="22"/>
  <c r="U406" i="22"/>
  <c r="S406" i="22"/>
  <c r="R388" i="22"/>
  <c r="W386" i="22"/>
  <c r="R370" i="22"/>
  <c r="U370" i="22"/>
  <c r="T370" i="22"/>
  <c r="X370" i="22"/>
  <c r="S370" i="22"/>
  <c r="V370" i="22"/>
  <c r="V366" i="22"/>
  <c r="U366" i="22"/>
  <c r="W366" i="22"/>
  <c r="X366" i="22"/>
  <c r="R366" i="22"/>
  <c r="T366" i="22"/>
  <c r="W463" i="22"/>
  <c r="W453" i="22"/>
  <c r="S453" i="22"/>
  <c r="V450" i="22"/>
  <c r="W440" i="22"/>
  <c r="T417" i="22"/>
  <c r="T409" i="22"/>
  <c r="T386" i="22"/>
  <c r="V438" i="22"/>
  <c r="U438" i="22"/>
  <c r="S417" i="22"/>
  <c r="R417" i="22"/>
  <c r="U417" i="22"/>
  <c r="V417" i="22"/>
  <c r="S409" i="22"/>
  <c r="R409" i="22"/>
  <c r="W409" i="22"/>
  <c r="X409" i="22"/>
  <c r="W405" i="22"/>
  <c r="S405" i="22"/>
  <c r="X405" i="22"/>
  <c r="R405" i="22"/>
  <c r="T405" i="22"/>
  <c r="U405" i="22"/>
  <c r="X396" i="22"/>
  <c r="U396" i="22"/>
  <c r="V396" i="22"/>
  <c r="W396" i="22"/>
  <c r="S393" i="22"/>
  <c r="R393" i="22"/>
  <c r="W393" i="22"/>
  <c r="U393" i="22"/>
  <c r="S386" i="22"/>
  <c r="X382" i="22"/>
  <c r="U455" i="22"/>
  <c r="X455" i="22"/>
  <c r="R438" i="22"/>
  <c r="T432" i="22"/>
  <c r="S432" i="22"/>
  <c r="U432" i="22"/>
  <c r="T424" i="22"/>
  <c r="V424" i="22"/>
  <c r="W424" i="22"/>
  <c r="X404" i="22"/>
  <c r="S404" i="22"/>
  <c r="V404" i="22"/>
  <c r="W404" i="22"/>
  <c r="V393" i="22"/>
  <c r="S366" i="22"/>
  <c r="R450" i="22"/>
  <c r="U450" i="22"/>
  <c r="T440" i="22"/>
  <c r="R440" i="22"/>
  <c r="V405" i="22"/>
  <c r="X388" i="22"/>
  <c r="W388" i="22"/>
  <c r="U388" i="22"/>
  <c r="V388" i="22"/>
  <c r="R378" i="22"/>
  <c r="U378" i="22"/>
  <c r="X378" i="22"/>
  <c r="W378" i="22"/>
  <c r="U372" i="22"/>
  <c r="W370" i="22"/>
  <c r="T463" i="22"/>
  <c r="W455" i="22"/>
  <c r="U453" i="22"/>
  <c r="S441" i="22"/>
  <c r="R441" i="22"/>
  <c r="W441" i="22"/>
  <c r="X441" i="22"/>
  <c r="W414" i="22"/>
  <c r="U404" i="22"/>
  <c r="R402" i="22"/>
  <c r="U402" i="22"/>
  <c r="S402" i="22"/>
  <c r="X402" i="22"/>
  <c r="S396" i="22"/>
  <c r="T378" i="22"/>
  <c r="U431" i="22"/>
  <c r="X431" i="22"/>
  <c r="R426" i="22"/>
  <c r="U426" i="22"/>
  <c r="W421" i="22"/>
  <c r="S421" i="22"/>
  <c r="R408" i="22"/>
  <c r="W407" i="22"/>
  <c r="S401" i="22"/>
  <c r="R401" i="22"/>
  <c r="U401" i="22"/>
  <c r="R394" i="22"/>
  <c r="U394" i="22"/>
  <c r="S394" i="22"/>
  <c r="S377" i="22"/>
  <c r="R377" i="22"/>
  <c r="X373" i="22"/>
  <c r="S369" i="22"/>
  <c r="R369" i="22"/>
  <c r="X369" i="22"/>
  <c r="U369" i="22"/>
  <c r="T368" i="22"/>
  <c r="R368" i="22"/>
  <c r="X368" i="22"/>
  <c r="X364" i="22"/>
  <c r="R364" i="22"/>
  <c r="U364" i="22"/>
  <c r="X362" i="22"/>
  <c r="X426" i="22"/>
  <c r="X416" i="22"/>
  <c r="V407" i="22"/>
  <c r="T400" i="22"/>
  <c r="X400" i="22"/>
  <c r="T392" i="22"/>
  <c r="T384" i="22"/>
  <c r="S384" i="22"/>
  <c r="V373" i="22"/>
  <c r="T364" i="22"/>
  <c r="T362" i="22"/>
  <c r="S353" i="22"/>
  <c r="R353" i="22"/>
  <c r="T353" i="22"/>
  <c r="V353" i="22"/>
  <c r="W353" i="22"/>
  <c r="X332" i="22"/>
  <c r="S332" i="22"/>
  <c r="R332" i="22"/>
  <c r="T332" i="22"/>
  <c r="U332" i="22"/>
  <c r="V332" i="22"/>
  <c r="W332" i="22"/>
  <c r="T376" i="22"/>
  <c r="V376" i="22"/>
  <c r="U373" i="22"/>
  <c r="S364" i="22"/>
  <c r="S362" i="22"/>
  <c r="X353" i="22"/>
  <c r="S345" i="22"/>
  <c r="U345" i="22"/>
  <c r="V345" i="22"/>
  <c r="W345" i="22"/>
  <c r="T345" i="22"/>
  <c r="R362" i="22"/>
  <c r="U362" i="22"/>
  <c r="V362" i="22"/>
  <c r="W362" i="22"/>
  <c r="W377" i="22"/>
  <c r="R373" i="22"/>
  <c r="W365" i="22"/>
  <c r="S365" i="22"/>
  <c r="T365" i="22"/>
  <c r="U365" i="22"/>
  <c r="S329" i="22"/>
  <c r="U329" i="22"/>
  <c r="R329" i="22"/>
  <c r="T329" i="22"/>
  <c r="V329" i="22"/>
  <c r="X329" i="22"/>
  <c r="W293" i="22"/>
  <c r="T293" i="22"/>
  <c r="U293" i="22"/>
  <c r="V293" i="22"/>
  <c r="S293" i="22"/>
  <c r="X293" i="22"/>
  <c r="R293" i="22"/>
  <c r="W373" i="22"/>
  <c r="S373" i="22"/>
  <c r="R365" i="22"/>
  <c r="T360" i="22"/>
  <c r="R360" i="22"/>
  <c r="X360" i="22"/>
  <c r="R345" i="22"/>
  <c r="X300" i="22"/>
  <c r="R300" i="22"/>
  <c r="S300" i="22"/>
  <c r="T300" i="22"/>
  <c r="V300" i="22"/>
  <c r="W300" i="22"/>
  <c r="U407" i="22"/>
  <c r="X407" i="22"/>
  <c r="T336" i="22"/>
  <c r="R336" i="22"/>
  <c r="S336" i="22"/>
  <c r="U336" i="22"/>
  <c r="V336" i="22"/>
  <c r="W336" i="22"/>
  <c r="X336" i="22"/>
  <c r="X277" i="22"/>
  <c r="V277" i="22"/>
  <c r="S277" i="22"/>
  <c r="T277" i="22"/>
  <c r="U277" i="22"/>
  <c r="R277" i="22"/>
  <c r="W277" i="22"/>
  <c r="U367" i="22"/>
  <c r="X367" i="22"/>
  <c r="V358" i="22"/>
  <c r="U358" i="22"/>
  <c r="W358" i="22"/>
  <c r="W352" i="22"/>
  <c r="W348" i="22"/>
  <c r="T347" i="22"/>
  <c r="S317" i="22"/>
  <c r="T312" i="22"/>
  <c r="R312" i="22"/>
  <c r="S312" i="22"/>
  <c r="V312" i="22"/>
  <c r="W312" i="22"/>
  <c r="V348" i="22"/>
  <c r="W347" i="22"/>
  <c r="X347" i="22"/>
  <c r="X344" i="22"/>
  <c r="W317" i="22"/>
  <c r="U317" i="22"/>
  <c r="V317" i="22"/>
  <c r="T317" i="22"/>
  <c r="X317" i="22"/>
  <c r="S297" i="22"/>
  <c r="T297" i="22"/>
  <c r="U297" i="22"/>
  <c r="V297" i="22"/>
  <c r="R297" i="22"/>
  <c r="R275" i="22"/>
  <c r="S275" i="22"/>
  <c r="T275" i="22"/>
  <c r="U275" i="22"/>
  <c r="W275" i="22"/>
  <c r="X275" i="22"/>
  <c r="X348" i="22"/>
  <c r="S348" i="22"/>
  <c r="T348" i="22"/>
  <c r="U348" i="22"/>
  <c r="W344" i="22"/>
  <c r="R354" i="22"/>
  <c r="U354" i="22"/>
  <c r="V354" i="22"/>
  <c r="S325" i="22"/>
  <c r="X291" i="22"/>
  <c r="R291" i="22"/>
  <c r="S291" i="22"/>
  <c r="T291" i="22"/>
  <c r="V291" i="22"/>
  <c r="W291" i="22"/>
  <c r="T344" i="22"/>
  <c r="R344" i="22"/>
  <c r="W341" i="22"/>
  <c r="U341" i="22"/>
  <c r="S341" i="22"/>
  <c r="T341" i="22"/>
  <c r="V341" i="22"/>
  <c r="W325" i="22"/>
  <c r="U325" i="22"/>
  <c r="V325" i="22"/>
  <c r="T325" i="22"/>
  <c r="X325" i="22"/>
  <c r="T320" i="22"/>
  <c r="R320" i="22"/>
  <c r="S320" i="22"/>
  <c r="V320" i="22"/>
  <c r="S344" i="22"/>
  <c r="R341" i="22"/>
  <c r="U320" i="22"/>
  <c r="V294" i="22"/>
  <c r="W294" i="22"/>
  <c r="X294" i="22"/>
  <c r="U294" i="22"/>
  <c r="R294" i="22"/>
  <c r="T288" i="22"/>
  <c r="R288" i="22"/>
  <c r="S288" i="22"/>
  <c r="V288" i="22"/>
  <c r="W288" i="22"/>
  <c r="X288" i="22"/>
  <c r="X178" i="22"/>
  <c r="R178" i="22"/>
  <c r="U178" i="22"/>
  <c r="V178" i="22"/>
  <c r="W178" i="22"/>
  <c r="T178" i="22"/>
  <c r="S178" i="22"/>
  <c r="W309" i="22"/>
  <c r="U309" i="22"/>
  <c r="V309" i="22"/>
  <c r="V302" i="22"/>
  <c r="W302" i="22"/>
  <c r="X302" i="22"/>
  <c r="W301" i="22"/>
  <c r="T301" i="22"/>
  <c r="U301" i="22"/>
  <c r="V301" i="22"/>
  <c r="X283" i="22"/>
  <c r="R283" i="22"/>
  <c r="T283" i="22"/>
  <c r="R260" i="22"/>
  <c r="T260" i="22"/>
  <c r="V260" i="22"/>
  <c r="W260" i="22"/>
  <c r="X260" i="22"/>
  <c r="S260" i="22"/>
  <c r="X252" i="22"/>
  <c r="R252" i="22"/>
  <c r="V252" i="22"/>
  <c r="W252" i="22"/>
  <c r="S252" i="22"/>
  <c r="T252" i="22"/>
  <c r="U252" i="22"/>
  <c r="R235" i="22"/>
  <c r="S235" i="22"/>
  <c r="U235" i="22"/>
  <c r="V235" i="22"/>
  <c r="W235" i="22"/>
  <c r="T235" i="22"/>
  <c r="X235" i="22"/>
  <c r="R302" i="22"/>
  <c r="S289" i="22"/>
  <c r="T289" i="22"/>
  <c r="U289" i="22"/>
  <c r="V289" i="22"/>
  <c r="W285" i="22"/>
  <c r="T285" i="22"/>
  <c r="U285" i="22"/>
  <c r="V285" i="22"/>
  <c r="V283" i="22"/>
  <c r="W278" i="22"/>
  <c r="R278" i="22"/>
  <c r="T278" i="22"/>
  <c r="S281" i="22"/>
  <c r="T281" i="22"/>
  <c r="U281" i="22"/>
  <c r="V281" i="22"/>
  <c r="X281" i="22"/>
  <c r="T257" i="22"/>
  <c r="W257" i="22"/>
  <c r="S257" i="22"/>
  <c r="U257" i="22"/>
  <c r="V257" i="22"/>
  <c r="X257" i="22"/>
  <c r="V231" i="22"/>
  <c r="W231" i="22"/>
  <c r="S231" i="22"/>
  <c r="T231" i="22"/>
  <c r="U231" i="22"/>
  <c r="R231" i="22"/>
  <c r="X231" i="22"/>
  <c r="X340" i="22"/>
  <c r="S340" i="22"/>
  <c r="W333" i="22"/>
  <c r="U333" i="22"/>
  <c r="S321" i="22"/>
  <c r="U321" i="22"/>
  <c r="V321" i="22"/>
  <c r="S313" i="22"/>
  <c r="U313" i="22"/>
  <c r="V313" i="22"/>
  <c r="S305" i="22"/>
  <c r="U305" i="22"/>
  <c r="V305" i="22"/>
  <c r="X299" i="22"/>
  <c r="R299" i="22"/>
  <c r="T296" i="22"/>
  <c r="R296" i="22"/>
  <c r="S296" i="22"/>
  <c r="S283" i="22"/>
  <c r="S278" i="22"/>
  <c r="T276" i="22"/>
  <c r="X276" i="22"/>
  <c r="S276" i="22"/>
  <c r="T182" i="22"/>
  <c r="U182" i="22"/>
  <c r="V182" i="22"/>
  <c r="W182" i="22"/>
  <c r="X182" i="22"/>
  <c r="R182" i="22"/>
  <c r="S182" i="22"/>
  <c r="T328" i="22"/>
  <c r="R328" i="22"/>
  <c r="X309" i="22"/>
  <c r="T304" i="22"/>
  <c r="R304" i="22"/>
  <c r="S304" i="22"/>
  <c r="T299" i="22"/>
  <c r="V286" i="22"/>
  <c r="W286" i="22"/>
  <c r="X286" i="22"/>
  <c r="R286" i="22"/>
  <c r="W262" i="22"/>
  <c r="X262" i="22"/>
  <c r="R262" i="22"/>
  <c r="S262" i="22"/>
  <c r="T262" i="22"/>
  <c r="U262" i="22"/>
  <c r="S200" i="22"/>
  <c r="R200" i="22"/>
  <c r="T200" i="22"/>
  <c r="U200" i="22"/>
  <c r="V200" i="22"/>
  <c r="W200" i="22"/>
  <c r="X200" i="22"/>
  <c r="V342" i="22"/>
  <c r="X342" i="22"/>
  <c r="W340" i="22"/>
  <c r="X333" i="22"/>
  <c r="W328" i="22"/>
  <c r="T309" i="22"/>
  <c r="X301" i="22"/>
  <c r="S299" i="22"/>
  <c r="X289" i="22"/>
  <c r="S286" i="22"/>
  <c r="X284" i="22"/>
  <c r="R284" i="22"/>
  <c r="S284" i="22"/>
  <c r="T284" i="22"/>
  <c r="V284" i="22"/>
  <c r="R276" i="22"/>
  <c r="R257" i="22"/>
  <c r="X253" i="22"/>
  <c r="R253" i="22"/>
  <c r="T253" i="22"/>
  <c r="V253" i="22"/>
  <c r="W253" i="22"/>
  <c r="S253" i="22"/>
  <c r="U253" i="22"/>
  <c r="R267" i="22"/>
  <c r="V267" i="22"/>
  <c r="W267" i="22"/>
  <c r="X267" i="22"/>
  <c r="S267" i="22"/>
  <c r="T267" i="22"/>
  <c r="U260" i="22"/>
  <c r="W270" i="22"/>
  <c r="X261" i="22"/>
  <c r="V261" i="22"/>
  <c r="R259" i="22"/>
  <c r="V259" i="22"/>
  <c r="X259" i="22"/>
  <c r="S258" i="22"/>
  <c r="T258" i="22"/>
  <c r="R258" i="22"/>
  <c r="V258" i="22"/>
  <c r="W246" i="22"/>
  <c r="T246" i="22"/>
  <c r="U246" i="22"/>
  <c r="V246" i="22"/>
  <c r="X246" i="22"/>
  <c r="W238" i="22"/>
  <c r="T238" i="22"/>
  <c r="U238" i="22"/>
  <c r="V238" i="22"/>
  <c r="W230" i="22"/>
  <c r="X230" i="22"/>
  <c r="V230" i="22"/>
  <c r="R230" i="22"/>
  <c r="U273" i="22"/>
  <c r="X268" i="22"/>
  <c r="R246" i="22"/>
  <c r="S238" i="22"/>
  <c r="U230" i="22"/>
  <c r="W228" i="22"/>
  <c r="T265" i="22"/>
  <c r="V265" i="22"/>
  <c r="R238" i="22"/>
  <c r="T230" i="22"/>
  <c r="W222" i="22"/>
  <c r="X222" i="22"/>
  <c r="R222" i="22"/>
  <c r="S222" i="22"/>
  <c r="T222" i="22"/>
  <c r="U222" i="22"/>
  <c r="W196" i="22"/>
  <c r="R196" i="22"/>
  <c r="S196" i="22"/>
  <c r="X196" i="22"/>
  <c r="V196" i="22"/>
  <c r="T196" i="22"/>
  <c r="R273" i="22"/>
  <c r="V270" i="22"/>
  <c r="V268" i="22"/>
  <c r="X265" i="22"/>
  <c r="U261" i="22"/>
  <c r="R254" i="22"/>
  <c r="S230" i="22"/>
  <c r="V223" i="22"/>
  <c r="W223" i="22"/>
  <c r="X223" i="22"/>
  <c r="R223" i="22"/>
  <c r="R217" i="22"/>
  <c r="S217" i="22"/>
  <c r="T217" i="22"/>
  <c r="U217" i="22"/>
  <c r="V217" i="22"/>
  <c r="W217" i="22"/>
  <c r="U270" i="22"/>
  <c r="X269" i="22"/>
  <c r="V269" i="22"/>
  <c r="U268" i="22"/>
  <c r="W265" i="22"/>
  <c r="T261" i="22"/>
  <c r="W254" i="22"/>
  <c r="T254" i="22"/>
  <c r="V254" i="22"/>
  <c r="S254" i="22"/>
  <c r="X254" i="22"/>
  <c r="X249" i="22"/>
  <c r="V188" i="22"/>
  <c r="W188" i="22"/>
  <c r="R188" i="22"/>
  <c r="S188" i="22"/>
  <c r="T188" i="22"/>
  <c r="U188" i="22"/>
  <c r="X188" i="22"/>
  <c r="T270" i="22"/>
  <c r="S268" i="22"/>
  <c r="U265" i="22"/>
  <c r="S261" i="22"/>
  <c r="W259" i="22"/>
  <c r="X258" i="22"/>
  <c r="R251" i="22"/>
  <c r="V251" i="22"/>
  <c r="X251" i="22"/>
  <c r="W251" i="22"/>
  <c r="R228" i="22"/>
  <c r="T228" i="22"/>
  <c r="U228" i="22"/>
  <c r="V228" i="22"/>
  <c r="W171" i="22"/>
  <c r="S171" i="22"/>
  <c r="T171" i="22"/>
  <c r="U171" i="22"/>
  <c r="R171" i="22"/>
  <c r="V171" i="22"/>
  <c r="X171" i="22"/>
  <c r="X145" i="22"/>
  <c r="U145" i="22"/>
  <c r="V145" i="22"/>
  <c r="W145" i="22"/>
  <c r="R145" i="22"/>
  <c r="S145" i="22"/>
  <c r="T145" i="22"/>
  <c r="T273" i="22"/>
  <c r="V273" i="22"/>
  <c r="S270" i="22"/>
  <c r="R268" i="22"/>
  <c r="S265" i="22"/>
  <c r="R261" i="22"/>
  <c r="U259" i="22"/>
  <c r="W258" i="22"/>
  <c r="T249" i="22"/>
  <c r="S249" i="22"/>
  <c r="R249" i="22"/>
  <c r="X236" i="22"/>
  <c r="R236" i="22"/>
  <c r="S236" i="22"/>
  <c r="T236" i="22"/>
  <c r="U236" i="22"/>
  <c r="V236" i="22"/>
  <c r="V222" i="22"/>
  <c r="X170" i="22"/>
  <c r="R170" i="22"/>
  <c r="S170" i="22"/>
  <c r="T170" i="22"/>
  <c r="U170" i="22"/>
  <c r="V170" i="22"/>
  <c r="W170" i="22"/>
  <c r="X162" i="22"/>
  <c r="R162" i="22"/>
  <c r="S162" i="22"/>
  <c r="V162" i="22"/>
  <c r="W162" i="22"/>
  <c r="T106" i="22"/>
  <c r="U106" i="22"/>
  <c r="W106" i="22"/>
  <c r="S106" i="22"/>
  <c r="V106" i="22"/>
  <c r="X106" i="22"/>
  <c r="R106" i="22"/>
  <c r="X244" i="22"/>
  <c r="R244" i="22"/>
  <c r="S242" i="22"/>
  <c r="T242" i="22"/>
  <c r="U242" i="22"/>
  <c r="V242" i="22"/>
  <c r="R190" i="22"/>
  <c r="W179" i="22"/>
  <c r="S179" i="22"/>
  <c r="T179" i="22"/>
  <c r="U179" i="22"/>
  <c r="V179" i="22"/>
  <c r="X179" i="22"/>
  <c r="U94" i="22"/>
  <c r="T94" i="22"/>
  <c r="V94" i="22"/>
  <c r="W94" i="22"/>
  <c r="X94" i="22"/>
  <c r="R94" i="22"/>
  <c r="S94" i="22"/>
  <c r="S250" i="22"/>
  <c r="T250" i="22"/>
  <c r="V250" i="22"/>
  <c r="T244" i="22"/>
  <c r="T241" i="22"/>
  <c r="R241" i="22"/>
  <c r="S241" i="22"/>
  <c r="X186" i="22"/>
  <c r="R186" i="22"/>
  <c r="S186" i="22"/>
  <c r="T186" i="22"/>
  <c r="S183" i="22"/>
  <c r="T183" i="22"/>
  <c r="W183" i="22"/>
  <c r="X183" i="22"/>
  <c r="W212" i="22"/>
  <c r="R212" i="22"/>
  <c r="S212" i="22"/>
  <c r="T190" i="22"/>
  <c r="U190" i="22"/>
  <c r="S190" i="22"/>
  <c r="V190" i="22"/>
  <c r="W190" i="22"/>
  <c r="X190" i="22"/>
  <c r="V180" i="22"/>
  <c r="U180" i="22"/>
  <c r="W180" i="22"/>
  <c r="R180" i="22"/>
  <c r="S180" i="22"/>
  <c r="T180" i="22"/>
  <c r="T174" i="22"/>
  <c r="R174" i="22"/>
  <c r="S174" i="22"/>
  <c r="U174" i="22"/>
  <c r="V174" i="22"/>
  <c r="W174" i="22"/>
  <c r="U162" i="22"/>
  <c r="V255" i="22"/>
  <c r="W255" i="22"/>
  <c r="R227" i="22"/>
  <c r="S227" i="22"/>
  <c r="W227" i="22"/>
  <c r="X227" i="22"/>
  <c r="V213" i="22"/>
  <c r="S213" i="22"/>
  <c r="T213" i="22"/>
  <c r="U213" i="22"/>
  <c r="R213" i="22"/>
  <c r="W213" i="22"/>
  <c r="S192" i="22"/>
  <c r="R192" i="22"/>
  <c r="T192" i="22"/>
  <c r="T162" i="22"/>
  <c r="V116" i="22"/>
  <c r="W116" i="22"/>
  <c r="X116" i="22"/>
  <c r="U116" i="22"/>
  <c r="R116" i="22"/>
  <c r="S116" i="22"/>
  <c r="T116" i="22"/>
  <c r="X221" i="22"/>
  <c r="R221" i="22"/>
  <c r="R220" i="22"/>
  <c r="S220" i="22"/>
  <c r="R219" i="22"/>
  <c r="S219" i="22"/>
  <c r="T219" i="22"/>
  <c r="S208" i="22"/>
  <c r="R208" i="22"/>
  <c r="V205" i="22"/>
  <c r="S205" i="22"/>
  <c r="T205" i="22"/>
  <c r="U205" i="22"/>
  <c r="V197" i="22"/>
  <c r="S197" i="22"/>
  <c r="T197" i="22"/>
  <c r="U197" i="22"/>
  <c r="R184" i="22"/>
  <c r="S184" i="22"/>
  <c r="V184" i="22"/>
  <c r="W184" i="22"/>
  <c r="X184" i="22"/>
  <c r="X146" i="22"/>
  <c r="R146" i="22"/>
  <c r="S146" i="22"/>
  <c r="U146" i="22"/>
  <c r="V146" i="22"/>
  <c r="W146" i="22"/>
  <c r="X129" i="22"/>
  <c r="R129" i="22"/>
  <c r="W129" i="22"/>
  <c r="S129" i="22"/>
  <c r="T129" i="22"/>
  <c r="T126" i="22"/>
  <c r="R126" i="22"/>
  <c r="S126" i="22"/>
  <c r="U126" i="22"/>
  <c r="V126" i="22"/>
  <c r="W126" i="22"/>
  <c r="W115" i="22"/>
  <c r="T115" i="22"/>
  <c r="U115" i="22"/>
  <c r="V115" i="22"/>
  <c r="S115" i="22"/>
  <c r="X115" i="22"/>
  <c r="R115" i="22"/>
  <c r="V101" i="22"/>
  <c r="R101" i="22"/>
  <c r="S101" i="22"/>
  <c r="T101" i="22"/>
  <c r="U101" i="22"/>
  <c r="V86" i="22"/>
  <c r="W86" i="22"/>
  <c r="R86" i="22"/>
  <c r="S86" i="22"/>
  <c r="X86" i="22"/>
  <c r="T86" i="22"/>
  <c r="U86" i="22"/>
  <c r="X243" i="22"/>
  <c r="U224" i="22"/>
  <c r="V224" i="22"/>
  <c r="W224" i="22"/>
  <c r="T208" i="22"/>
  <c r="V201" i="22"/>
  <c r="V193" i="22"/>
  <c r="S159" i="22"/>
  <c r="R159" i="22"/>
  <c r="T159" i="22"/>
  <c r="U159" i="22"/>
  <c r="V159" i="22"/>
  <c r="W159" i="22"/>
  <c r="W139" i="22"/>
  <c r="T139" i="22"/>
  <c r="U139" i="22"/>
  <c r="V139" i="22"/>
  <c r="X139" i="22"/>
  <c r="X126" i="22"/>
  <c r="V247" i="22"/>
  <c r="V239" i="22"/>
  <c r="S234" i="22"/>
  <c r="T234" i="22"/>
  <c r="R201" i="22"/>
  <c r="S201" i="22"/>
  <c r="T201" i="22"/>
  <c r="U201" i="22"/>
  <c r="R193" i="22"/>
  <c r="S193" i="22"/>
  <c r="T193" i="22"/>
  <c r="U193" i="22"/>
  <c r="X153" i="22"/>
  <c r="T153" i="22"/>
  <c r="U153" i="22"/>
  <c r="V153" i="22"/>
  <c r="V140" i="22"/>
  <c r="W140" i="22"/>
  <c r="X140" i="22"/>
  <c r="R140" i="22"/>
  <c r="W100" i="22"/>
  <c r="T100" i="22"/>
  <c r="X100" i="22"/>
  <c r="R100" i="22"/>
  <c r="S100" i="22"/>
  <c r="U100" i="22"/>
  <c r="V100" i="22"/>
  <c r="T98" i="22"/>
  <c r="U98" i="22"/>
  <c r="R98" i="22"/>
  <c r="S98" i="22"/>
  <c r="V98" i="22"/>
  <c r="W98" i="22"/>
  <c r="X98" i="22"/>
  <c r="W247" i="22"/>
  <c r="V243" i="22"/>
  <c r="W239" i="22"/>
  <c r="X234" i="22"/>
  <c r="U232" i="22"/>
  <c r="V232" i="22"/>
  <c r="X220" i="22"/>
  <c r="X219" i="22"/>
  <c r="W163" i="22"/>
  <c r="S163" i="22"/>
  <c r="T163" i="22"/>
  <c r="U163" i="22"/>
  <c r="W147" i="22"/>
  <c r="T147" i="22"/>
  <c r="U147" i="22"/>
  <c r="S147" i="22"/>
  <c r="V147" i="22"/>
  <c r="X147" i="22"/>
  <c r="X114" i="22"/>
  <c r="R114" i="22"/>
  <c r="S114" i="22"/>
  <c r="T114" i="22"/>
  <c r="U114" i="22"/>
  <c r="V114" i="22"/>
  <c r="W114" i="22"/>
  <c r="X92" i="22"/>
  <c r="R92" i="22"/>
  <c r="U92" i="22"/>
  <c r="V92" i="22"/>
  <c r="T92" i="22"/>
  <c r="S92" i="22"/>
  <c r="W92" i="22"/>
  <c r="S81" i="22"/>
  <c r="T81" i="22"/>
  <c r="U81" i="22"/>
  <c r="V81" i="22"/>
  <c r="R81" i="22"/>
  <c r="W81" i="22"/>
  <c r="X81" i="22"/>
  <c r="T88" i="22"/>
  <c r="R88" i="22"/>
  <c r="S88" i="22"/>
  <c r="V88" i="22"/>
  <c r="X88" i="22"/>
  <c r="U88" i="22"/>
  <c r="W88" i="22"/>
  <c r="V156" i="22"/>
  <c r="W156" i="22"/>
  <c r="S156" i="22"/>
  <c r="T156" i="22"/>
  <c r="U156" i="22"/>
  <c r="X154" i="22"/>
  <c r="R154" i="22"/>
  <c r="S154" i="22"/>
  <c r="T154" i="22"/>
  <c r="U154" i="22"/>
  <c r="V148" i="22"/>
  <c r="W148" i="22"/>
  <c r="X148" i="22"/>
  <c r="R148" i="22"/>
  <c r="S148" i="22"/>
  <c r="T148" i="22"/>
  <c r="U148" i="22"/>
  <c r="T226" i="22"/>
  <c r="T218" i="22"/>
  <c r="V210" i="22"/>
  <c r="X207" i="22"/>
  <c r="V202" i="22"/>
  <c r="X199" i="22"/>
  <c r="V194" i="22"/>
  <c r="X191" i="22"/>
  <c r="U189" i="22"/>
  <c r="V189" i="22"/>
  <c r="S166" i="22"/>
  <c r="T158" i="22"/>
  <c r="R158" i="22"/>
  <c r="W154" i="22"/>
  <c r="V214" i="22"/>
  <c r="V206" i="22"/>
  <c r="U181" i="22"/>
  <c r="V181" i="22"/>
  <c r="T166" i="22"/>
  <c r="R166" i="22"/>
  <c r="X121" i="22"/>
  <c r="R121" i="22"/>
  <c r="T121" i="22"/>
  <c r="U121" i="22"/>
  <c r="V121" i="22"/>
  <c r="W121" i="22"/>
  <c r="R90" i="22"/>
  <c r="V90" i="22"/>
  <c r="S90" i="22"/>
  <c r="T90" i="22"/>
  <c r="S135" i="22"/>
  <c r="T135" i="22"/>
  <c r="U135" i="22"/>
  <c r="V135" i="22"/>
  <c r="X135" i="22"/>
  <c r="X90" i="22"/>
  <c r="T134" i="22"/>
  <c r="R134" i="22"/>
  <c r="S134" i="22"/>
  <c r="W123" i="22"/>
  <c r="T123" i="22"/>
  <c r="U123" i="22"/>
  <c r="V123" i="22"/>
  <c r="R97" i="22"/>
  <c r="S97" i="22"/>
  <c r="W97" i="22"/>
  <c r="X97" i="22"/>
  <c r="S96" i="22"/>
  <c r="X96" i="22"/>
  <c r="U96" i="22"/>
  <c r="V96" i="22"/>
  <c r="W96" i="22"/>
  <c r="T74" i="22"/>
  <c r="T49" i="22"/>
  <c r="R49" i="22"/>
  <c r="U49" i="22"/>
  <c r="S49" i="22"/>
  <c r="X49" i="22"/>
  <c r="V172" i="22"/>
  <c r="V164" i="22"/>
  <c r="S151" i="22"/>
  <c r="T151" i="22"/>
  <c r="U151" i="22"/>
  <c r="S143" i="22"/>
  <c r="T143" i="22"/>
  <c r="U143" i="22"/>
  <c r="X137" i="22"/>
  <c r="R137" i="22"/>
  <c r="X130" i="22"/>
  <c r="R130" i="22"/>
  <c r="S130" i="22"/>
  <c r="T130" i="22"/>
  <c r="X127" i="22"/>
  <c r="V124" i="22"/>
  <c r="W124" i="22"/>
  <c r="X124" i="22"/>
  <c r="S119" i="22"/>
  <c r="T119" i="22"/>
  <c r="U119" i="22"/>
  <c r="V119" i="22"/>
  <c r="R105" i="22"/>
  <c r="S105" i="22"/>
  <c r="W105" i="22"/>
  <c r="T105" i="22"/>
  <c r="U105" i="22"/>
  <c r="V97" i="22"/>
  <c r="V176" i="22"/>
  <c r="W172" i="22"/>
  <c r="V168" i="22"/>
  <c r="W164" i="22"/>
  <c r="V160" i="22"/>
  <c r="T137" i="22"/>
  <c r="X134" i="22"/>
  <c r="U132" i="22"/>
  <c r="S131" i="22"/>
  <c r="W127" i="22"/>
  <c r="R124" i="22"/>
  <c r="T118" i="22"/>
  <c r="R118" i="22"/>
  <c r="S118" i="22"/>
  <c r="X105" i="22"/>
  <c r="U97" i="22"/>
  <c r="X53" i="22"/>
  <c r="V53" i="22"/>
  <c r="U53" i="22"/>
  <c r="W53" i="22"/>
  <c r="R53" i="22"/>
  <c r="T53" i="22"/>
  <c r="U176" i="22"/>
  <c r="U172" i="22"/>
  <c r="U168" i="22"/>
  <c r="U164" i="22"/>
  <c r="T150" i="22"/>
  <c r="R150" i="22"/>
  <c r="T142" i="22"/>
  <c r="R142" i="22"/>
  <c r="S137" i="22"/>
  <c r="W134" i="22"/>
  <c r="W131" i="22"/>
  <c r="T131" i="22"/>
  <c r="U131" i="22"/>
  <c r="V131" i="22"/>
  <c r="R127" i="22"/>
  <c r="S104" i="22"/>
  <c r="X104" i="22"/>
  <c r="W104" i="22"/>
  <c r="R104" i="22"/>
  <c r="T97" i="22"/>
  <c r="T96" i="22"/>
  <c r="V134" i="22"/>
  <c r="V132" i="22"/>
  <c r="W132" i="22"/>
  <c r="X132" i="22"/>
  <c r="S127" i="22"/>
  <c r="T127" i="22"/>
  <c r="U127" i="22"/>
  <c r="V127" i="22"/>
  <c r="R96" i="22"/>
  <c r="W77" i="22"/>
  <c r="T77" i="22"/>
  <c r="S77" i="22"/>
  <c r="U77" i="22"/>
  <c r="V77" i="22"/>
  <c r="X77" i="22"/>
  <c r="R74" i="22"/>
  <c r="V74" i="22"/>
  <c r="U74" i="22"/>
  <c r="W74" i="22"/>
  <c r="W108" i="22"/>
  <c r="R108" i="22"/>
  <c r="X75" i="22"/>
  <c r="R75" i="22"/>
  <c r="S75" i="22"/>
  <c r="T75" i="22"/>
  <c r="U75" i="22"/>
  <c r="V70" i="22"/>
  <c r="T70" i="22"/>
  <c r="W70" i="22"/>
  <c r="S70" i="22"/>
  <c r="U70" i="22"/>
  <c r="R70" i="22"/>
  <c r="X70" i="22"/>
  <c r="V62" i="22"/>
  <c r="T62" i="22"/>
  <c r="R62" i="22"/>
  <c r="X62" i="22"/>
  <c r="V55" i="22"/>
  <c r="U55" i="22"/>
  <c r="W55" i="22"/>
  <c r="X55" i="22"/>
  <c r="S45" i="22"/>
  <c r="U45" i="22"/>
  <c r="W45" i="22"/>
  <c r="T45" i="22"/>
  <c r="V152" i="22"/>
  <c r="V109" i="22"/>
  <c r="R109" i="22"/>
  <c r="S109" i="22"/>
  <c r="S108" i="22"/>
  <c r="W85" i="22"/>
  <c r="T85" i="22"/>
  <c r="X85" i="22"/>
  <c r="W75" i="22"/>
  <c r="R55" i="22"/>
  <c r="X45" i="22"/>
  <c r="V45" i="22"/>
  <c r="V67" i="22"/>
  <c r="X67" i="22"/>
  <c r="W67" i="22"/>
  <c r="U61" i="22"/>
  <c r="V59" i="22"/>
  <c r="S50" i="22"/>
  <c r="R50" i="22"/>
  <c r="X50" i="22"/>
  <c r="U44" i="22"/>
  <c r="T72" i="22"/>
  <c r="X72" i="22"/>
  <c r="U72" i="22"/>
  <c r="X68" i="22"/>
  <c r="T68" i="22"/>
  <c r="V68" i="22"/>
  <c r="W68" i="22"/>
  <c r="W61" i="22"/>
  <c r="R61" i="22"/>
  <c r="V61" i="22"/>
  <c r="R59" i="22"/>
  <c r="U59" i="22"/>
  <c r="X59" i="22"/>
  <c r="T44" i="22"/>
  <c r="R44" i="22"/>
  <c r="X44" i="22"/>
  <c r="X76" i="22"/>
  <c r="R76" i="22"/>
  <c r="W76" i="22"/>
  <c r="S68" i="22"/>
  <c r="S61" i="22"/>
  <c r="S59" i="22"/>
  <c r="T50" i="22"/>
  <c r="V35" i="22"/>
  <c r="X35" i="22"/>
  <c r="S35" i="22"/>
  <c r="T35" i="22"/>
  <c r="W35" i="22"/>
  <c r="X91" i="22"/>
  <c r="S89" i="22"/>
  <c r="T89" i="22"/>
  <c r="V78" i="22"/>
  <c r="W78" i="22"/>
  <c r="R66" i="22"/>
  <c r="T66" i="22"/>
  <c r="S66" i="22"/>
  <c r="S32" i="22"/>
  <c r="T32" i="22"/>
  <c r="U32" i="22"/>
  <c r="V32" i="22"/>
  <c r="W32" i="22"/>
  <c r="R32" i="22"/>
  <c r="X32" i="22"/>
  <c r="V111" i="22"/>
  <c r="V107" i="22"/>
  <c r="V103" i="22"/>
  <c r="V99" i="22"/>
  <c r="V95" i="22"/>
  <c r="X89" i="22"/>
  <c r="X87" i="22"/>
  <c r="R82" i="22"/>
  <c r="V82" i="22"/>
  <c r="T64" i="22"/>
  <c r="X64" i="22"/>
  <c r="U35" i="22"/>
  <c r="R35" i="22"/>
  <c r="X47" i="22"/>
  <c r="U47" i="22"/>
  <c r="V19" i="22"/>
  <c r="X19" i="22"/>
  <c r="S19" i="22"/>
  <c r="T19" i="22"/>
  <c r="U19" i="22"/>
  <c r="W19" i="22"/>
  <c r="R19" i="22"/>
  <c r="T29" i="22"/>
  <c r="V29" i="22"/>
  <c r="U29" i="22"/>
  <c r="W29" i="22"/>
  <c r="X29" i="22"/>
  <c r="S37" i="22"/>
  <c r="U37" i="22"/>
  <c r="V42" i="22"/>
  <c r="X42" i="22"/>
  <c r="S16" i="22"/>
  <c r="T16" i="22"/>
  <c r="U16" i="22"/>
  <c r="V16" i="22"/>
  <c r="W16" i="22"/>
  <c r="X16" i="22"/>
  <c r="R16" i="22"/>
  <c r="X40" i="22"/>
  <c r="S40" i="22"/>
  <c r="V27" i="22"/>
  <c r="X27" i="22"/>
  <c r="S27" i="22"/>
  <c r="T27" i="22"/>
  <c r="U27" i="22"/>
  <c r="W27" i="22"/>
  <c r="R27" i="22"/>
  <c r="S24" i="22"/>
  <c r="T24" i="22"/>
  <c r="U24" i="22"/>
  <c r="V24" i="22"/>
  <c r="W24" i="22"/>
  <c r="X24" i="22"/>
  <c r="R24" i="22"/>
  <c r="T9" i="22"/>
  <c r="U9" i="22"/>
  <c r="V9" i="22"/>
  <c r="W9" i="22"/>
  <c r="X9" i="22"/>
  <c r="R9" i="22"/>
  <c r="S9" i="22"/>
  <c r="T21" i="22"/>
  <c r="V21" i="22"/>
  <c r="T12" i="22"/>
  <c r="U12" i="22"/>
  <c r="V12" i="22"/>
  <c r="W12" i="22"/>
  <c r="R12" i="22"/>
  <c r="T10" i="22"/>
  <c r="U10" i="22"/>
  <c r="V10" i="22"/>
  <c r="W10" i="22"/>
  <c r="X10" i="22"/>
  <c r="R31" i="22"/>
  <c r="T31" i="22"/>
  <c r="R23" i="22"/>
  <c r="T23" i="22"/>
  <c r="X21" i="22"/>
  <c r="R15" i="22"/>
  <c r="T15" i="22"/>
  <c r="T11" i="22"/>
  <c r="U11" i="22"/>
  <c r="V11" i="22"/>
  <c r="W11" i="22"/>
  <c r="X11" i="22"/>
  <c r="X31" i="22"/>
  <c r="X26" i="22"/>
  <c r="W21" i="22"/>
  <c r="X18" i="22"/>
  <c r="T13" i="22"/>
  <c r="U13" i="22"/>
  <c r="V13" i="22"/>
  <c r="U36" i="22"/>
  <c r="W36" i="22"/>
  <c r="W31" i="22"/>
  <c r="U28" i="22"/>
  <c r="W28" i="22"/>
  <c r="V26" i="22"/>
  <c r="W23" i="22"/>
  <c r="U21" i="22"/>
  <c r="U20" i="22"/>
  <c r="W20" i="22"/>
  <c r="V18" i="22"/>
  <c r="W15" i="22"/>
  <c r="S11" i="22"/>
  <c r="X926" i="17"/>
  <c r="R926" i="17"/>
  <c r="S926" i="17"/>
  <c r="V926" i="17"/>
  <c r="T926" i="17"/>
  <c r="U926" i="17"/>
  <c r="W926" i="17"/>
  <c r="V904" i="17"/>
  <c r="W904" i="17"/>
  <c r="X904" i="17"/>
  <c r="R904" i="17"/>
  <c r="S904" i="17"/>
  <c r="T904" i="17"/>
  <c r="U904" i="17"/>
  <c r="R889" i="17"/>
  <c r="S889" i="17"/>
  <c r="T889" i="17"/>
  <c r="V889" i="17"/>
  <c r="U889" i="17"/>
  <c r="W889" i="17"/>
  <c r="X889" i="17"/>
  <c r="W903" i="17"/>
  <c r="X903" i="17"/>
  <c r="R903" i="17"/>
  <c r="S903" i="17"/>
  <c r="T903" i="17"/>
  <c r="V903" i="17"/>
  <c r="U903" i="17"/>
  <c r="V885" i="17"/>
  <c r="R885" i="17"/>
  <c r="S885" i="17"/>
  <c r="T885" i="17"/>
  <c r="U885" i="17"/>
  <c r="W885" i="17"/>
  <c r="X885" i="17"/>
  <c r="V928" i="17"/>
  <c r="X928" i="17"/>
  <c r="R928" i="17"/>
  <c r="S928" i="17"/>
  <c r="T928" i="17"/>
  <c r="W928" i="17"/>
  <c r="U928" i="17"/>
  <c r="X902" i="17"/>
  <c r="R902" i="17"/>
  <c r="S902" i="17"/>
  <c r="T902" i="17"/>
  <c r="U902" i="17"/>
  <c r="V902" i="17"/>
  <c r="W902" i="17"/>
  <c r="S834" i="17"/>
  <c r="X834" i="17"/>
  <c r="R834" i="17"/>
  <c r="T834" i="17"/>
  <c r="U834" i="17"/>
  <c r="V834" i="17"/>
  <c r="W834" i="17"/>
  <c r="W911" i="17"/>
  <c r="X911" i="17"/>
  <c r="R911" i="17"/>
  <c r="S911" i="17"/>
  <c r="T911" i="17"/>
  <c r="U911" i="17"/>
  <c r="V911" i="17"/>
  <c r="R901" i="17"/>
  <c r="S901" i="17"/>
  <c r="T901" i="17"/>
  <c r="V901" i="17"/>
  <c r="U901" i="17"/>
  <c r="X901" i="17"/>
  <c r="W901" i="17"/>
  <c r="W927" i="17"/>
  <c r="R927" i="17"/>
  <c r="S927" i="17"/>
  <c r="T927" i="17"/>
  <c r="U927" i="17"/>
  <c r="V927" i="17"/>
  <c r="X927" i="17"/>
  <c r="V920" i="17"/>
  <c r="X920" i="17"/>
  <c r="S919" i="17"/>
  <c r="R873" i="17"/>
  <c r="S873" i="17"/>
  <c r="T873" i="17"/>
  <c r="V873" i="17"/>
  <c r="V910" i="17"/>
  <c r="R882" i="17"/>
  <c r="W874" i="17"/>
  <c r="X873" i="17"/>
  <c r="R865" i="17"/>
  <c r="S865" i="17"/>
  <c r="T865" i="17"/>
  <c r="V865" i="17"/>
  <c r="V853" i="17"/>
  <c r="R853" i="17"/>
  <c r="S853" i="17"/>
  <c r="T853" i="17"/>
  <c r="U853" i="17"/>
  <c r="W853" i="17"/>
  <c r="S828" i="17"/>
  <c r="R763" i="17"/>
  <c r="X763" i="17"/>
  <c r="S763" i="17"/>
  <c r="T763" i="17"/>
  <c r="U763" i="17"/>
  <c r="V763" i="17"/>
  <c r="W763" i="17"/>
  <c r="W866" i="17"/>
  <c r="S858" i="17"/>
  <c r="T858" i="17"/>
  <c r="U858" i="17"/>
  <c r="V858" i="17"/>
  <c r="X858" i="17"/>
  <c r="R795" i="17"/>
  <c r="X795" i="17"/>
  <c r="S795" i="17"/>
  <c r="V795" i="17"/>
  <c r="W795" i="17"/>
  <c r="T795" i="17"/>
  <c r="R780" i="17"/>
  <c r="T780" i="17"/>
  <c r="U780" i="17"/>
  <c r="S780" i="17"/>
  <c r="V780" i="17"/>
  <c r="W780" i="17"/>
  <c r="X780" i="17"/>
  <c r="S727" i="17"/>
  <c r="U727" i="17"/>
  <c r="V727" i="17"/>
  <c r="W727" i="17"/>
  <c r="X727" i="17"/>
  <c r="R727" i="17"/>
  <c r="T727" i="17"/>
  <c r="T922" i="17"/>
  <c r="V922" i="17"/>
  <c r="W922" i="17"/>
  <c r="S920" i="17"/>
  <c r="X918" i="17"/>
  <c r="R918" i="17"/>
  <c r="S918" i="17"/>
  <c r="R920" i="17"/>
  <c r="V912" i="17"/>
  <c r="W912" i="17"/>
  <c r="X912" i="17"/>
  <c r="R811" i="17"/>
  <c r="X811" i="17"/>
  <c r="S811" i="17"/>
  <c r="T811" i="17"/>
  <c r="U811" i="17"/>
  <c r="V811" i="17"/>
  <c r="W811" i="17"/>
  <c r="W918" i="17"/>
  <c r="W917" i="17"/>
  <c r="R912" i="17"/>
  <c r="V893" i="17"/>
  <c r="R893" i="17"/>
  <c r="S893" i="17"/>
  <c r="T893" i="17"/>
  <c r="R881" i="17"/>
  <c r="S881" i="17"/>
  <c r="T881" i="17"/>
  <c r="V877" i="17"/>
  <c r="R877" i="17"/>
  <c r="S877" i="17"/>
  <c r="T877" i="17"/>
  <c r="W877" i="17"/>
  <c r="U873" i="17"/>
  <c r="R841" i="17"/>
  <c r="S841" i="17"/>
  <c r="T841" i="17"/>
  <c r="U841" i="17"/>
  <c r="V841" i="17"/>
  <c r="R827" i="17"/>
  <c r="X827" i="17"/>
  <c r="U827" i="17"/>
  <c r="V827" i="17"/>
  <c r="W827" i="17"/>
  <c r="R788" i="17"/>
  <c r="T788" i="17"/>
  <c r="U788" i="17"/>
  <c r="S788" i="17"/>
  <c r="V788" i="17"/>
  <c r="W788" i="17"/>
  <c r="X788" i="17"/>
  <c r="S532" i="17"/>
  <c r="X532" i="17"/>
  <c r="T532" i="17"/>
  <c r="U532" i="17"/>
  <c r="W532" i="17"/>
  <c r="R532" i="17"/>
  <c r="V532" i="17"/>
  <c r="W919" i="17"/>
  <c r="R919" i="17"/>
  <c r="S866" i="17"/>
  <c r="T866" i="17"/>
  <c r="U866" i="17"/>
  <c r="V866" i="17"/>
  <c r="X866" i="17"/>
  <c r="X917" i="17"/>
  <c r="X910" i="17"/>
  <c r="R910" i="17"/>
  <c r="S910" i="17"/>
  <c r="W873" i="17"/>
  <c r="X922" i="17"/>
  <c r="W920" i="17"/>
  <c r="V919" i="17"/>
  <c r="V918" i="17"/>
  <c r="X909" i="17"/>
  <c r="S898" i="17"/>
  <c r="T898" i="17"/>
  <c r="U898" i="17"/>
  <c r="V898" i="17"/>
  <c r="W893" i="17"/>
  <c r="V881" i="17"/>
  <c r="V869" i="17"/>
  <c r="R869" i="17"/>
  <c r="S869" i="17"/>
  <c r="T869" i="17"/>
  <c r="W869" i="17"/>
  <c r="W858" i="17"/>
  <c r="X857" i="17"/>
  <c r="V837" i="17"/>
  <c r="R837" i="17"/>
  <c r="S837" i="17"/>
  <c r="T837" i="17"/>
  <c r="U837" i="17"/>
  <c r="W837" i="17"/>
  <c r="V812" i="17"/>
  <c r="S778" i="17"/>
  <c r="V778" i="17"/>
  <c r="X778" i="17"/>
  <c r="U778" i="17"/>
  <c r="W778" i="17"/>
  <c r="R778" i="17"/>
  <c r="S917" i="17"/>
  <c r="T917" i="17"/>
  <c r="T930" i="17"/>
  <c r="V930" i="17"/>
  <c r="W930" i="17"/>
  <c r="S925" i="17"/>
  <c r="T925" i="17"/>
  <c r="U922" i="17"/>
  <c r="U920" i="17"/>
  <c r="U919" i="17"/>
  <c r="U918" i="17"/>
  <c r="U917" i="17"/>
  <c r="W909" i="17"/>
  <c r="U893" i="17"/>
  <c r="X890" i="17"/>
  <c r="U881" i="17"/>
  <c r="R858" i="17"/>
  <c r="R857" i="17"/>
  <c r="S857" i="17"/>
  <c r="T857" i="17"/>
  <c r="V857" i="17"/>
  <c r="X841" i="17"/>
  <c r="R828" i="17"/>
  <c r="T828" i="17"/>
  <c r="U828" i="17"/>
  <c r="V828" i="17"/>
  <c r="W828" i="17"/>
  <c r="X828" i="17"/>
  <c r="R742" i="17"/>
  <c r="S742" i="17"/>
  <c r="X742" i="17"/>
  <c r="T742" i="17"/>
  <c r="U742" i="17"/>
  <c r="V742" i="17"/>
  <c r="W742" i="17"/>
  <c r="V633" i="17"/>
  <c r="T633" i="17"/>
  <c r="W633" i="17"/>
  <c r="R633" i="17"/>
  <c r="U633" i="17"/>
  <c r="X633" i="17"/>
  <c r="S633" i="17"/>
  <c r="R922" i="17"/>
  <c r="U912" i="17"/>
  <c r="S882" i="17"/>
  <c r="T882" i="17"/>
  <c r="U882" i="17"/>
  <c r="V882" i="17"/>
  <c r="S912" i="17"/>
  <c r="U910" i="17"/>
  <c r="S922" i="17"/>
  <c r="T920" i="17"/>
  <c r="T919" i="17"/>
  <c r="T918" i="17"/>
  <c r="R917" i="17"/>
  <c r="V909" i="17"/>
  <c r="S890" i="17"/>
  <c r="T890" i="17"/>
  <c r="U890" i="17"/>
  <c r="V890" i="17"/>
  <c r="V861" i="17"/>
  <c r="R861" i="17"/>
  <c r="S861" i="17"/>
  <c r="T861" i="17"/>
  <c r="W861" i="17"/>
  <c r="R849" i="17"/>
  <c r="S849" i="17"/>
  <c r="T849" i="17"/>
  <c r="U849" i="17"/>
  <c r="V849" i="17"/>
  <c r="V845" i="17"/>
  <c r="R845" i="17"/>
  <c r="S845" i="17"/>
  <c r="T845" i="17"/>
  <c r="U845" i="17"/>
  <c r="W845" i="17"/>
  <c r="R812" i="17"/>
  <c r="T812" i="17"/>
  <c r="U812" i="17"/>
  <c r="W812" i="17"/>
  <c r="X812" i="17"/>
  <c r="S812" i="17"/>
  <c r="V791" i="17"/>
  <c r="R791" i="17"/>
  <c r="S791" i="17"/>
  <c r="T791" i="17"/>
  <c r="U791" i="17"/>
  <c r="W791" i="17"/>
  <c r="X791" i="17"/>
  <c r="R787" i="17"/>
  <c r="X787" i="17"/>
  <c r="S787" i="17"/>
  <c r="W787" i="17"/>
  <c r="T787" i="17"/>
  <c r="U787" i="17"/>
  <c r="V783" i="17"/>
  <c r="R783" i="17"/>
  <c r="S783" i="17"/>
  <c r="T783" i="17"/>
  <c r="U783" i="17"/>
  <c r="W783" i="17"/>
  <c r="X783" i="17"/>
  <c r="R686" i="17"/>
  <c r="S686" i="17"/>
  <c r="T686" i="17"/>
  <c r="V686" i="17"/>
  <c r="W686" i="17"/>
  <c r="X686" i="17"/>
  <c r="U686" i="17"/>
  <c r="R909" i="17"/>
  <c r="S909" i="17"/>
  <c r="T909" i="17"/>
  <c r="X882" i="17"/>
  <c r="S874" i="17"/>
  <c r="T874" i="17"/>
  <c r="U874" i="17"/>
  <c r="V874" i="17"/>
  <c r="X874" i="17"/>
  <c r="X829" i="17"/>
  <c r="T829" i="17"/>
  <c r="V829" i="17"/>
  <c r="R829" i="17"/>
  <c r="S829" i="17"/>
  <c r="U829" i="17"/>
  <c r="W829" i="17"/>
  <c r="W814" i="17"/>
  <c r="V814" i="17"/>
  <c r="S814" i="17"/>
  <c r="T814" i="17"/>
  <c r="U814" i="17"/>
  <c r="X814" i="17"/>
  <c r="X850" i="17"/>
  <c r="X842" i="17"/>
  <c r="X830" i="17"/>
  <c r="S826" i="17"/>
  <c r="V826" i="17"/>
  <c r="X826" i="17"/>
  <c r="X823" i="17"/>
  <c r="X821" i="17"/>
  <c r="T821" i="17"/>
  <c r="V821" i="17"/>
  <c r="S820" i="17"/>
  <c r="W806" i="17"/>
  <c r="V806" i="17"/>
  <c r="V804" i="17"/>
  <c r="S770" i="17"/>
  <c r="V770" i="17"/>
  <c r="X770" i="17"/>
  <c r="X760" i="17"/>
  <c r="V746" i="17"/>
  <c r="S746" i="17"/>
  <c r="W746" i="17"/>
  <c r="X746" i="17"/>
  <c r="S743" i="17"/>
  <c r="U743" i="17"/>
  <c r="X743" i="17"/>
  <c r="R743" i="17"/>
  <c r="R734" i="17"/>
  <c r="S734" i="17"/>
  <c r="W734" i="17"/>
  <c r="X734" i="17"/>
  <c r="W694" i="17"/>
  <c r="T682" i="17"/>
  <c r="V682" i="17"/>
  <c r="U682" i="17"/>
  <c r="X682" i="17"/>
  <c r="S682" i="17"/>
  <c r="R820" i="17"/>
  <c r="T820" i="17"/>
  <c r="R819" i="17"/>
  <c r="X819" i="17"/>
  <c r="V807" i="17"/>
  <c r="R807" i="17"/>
  <c r="S807" i="17"/>
  <c r="R804" i="17"/>
  <c r="T804" i="17"/>
  <c r="U804" i="17"/>
  <c r="W798" i="17"/>
  <c r="V798" i="17"/>
  <c r="R779" i="17"/>
  <c r="X779" i="17"/>
  <c r="S779" i="17"/>
  <c r="S762" i="17"/>
  <c r="V762" i="17"/>
  <c r="X762" i="17"/>
  <c r="U760" i="17"/>
  <c r="R760" i="17"/>
  <c r="T760" i="17"/>
  <c r="V760" i="17"/>
  <c r="V738" i="17"/>
  <c r="S738" i="17"/>
  <c r="U738" i="17"/>
  <c r="W738" i="17"/>
  <c r="X738" i="17"/>
  <c r="S735" i="17"/>
  <c r="U735" i="17"/>
  <c r="W735" i="17"/>
  <c r="X735" i="17"/>
  <c r="U908" i="17"/>
  <c r="W870" i="17"/>
  <c r="V850" i="17"/>
  <c r="V842" i="17"/>
  <c r="T833" i="17"/>
  <c r="V833" i="17"/>
  <c r="T830" i="17"/>
  <c r="U823" i="17"/>
  <c r="S818" i="17"/>
  <c r="V818" i="17"/>
  <c r="X818" i="17"/>
  <c r="T807" i="17"/>
  <c r="W802" i="17"/>
  <c r="V799" i="17"/>
  <c r="R799" i="17"/>
  <c r="S799" i="17"/>
  <c r="R798" i="17"/>
  <c r="R796" i="17"/>
  <c r="T796" i="17"/>
  <c r="U796" i="17"/>
  <c r="W790" i="17"/>
  <c r="V790" i="17"/>
  <c r="T779" i="17"/>
  <c r="U774" i="17"/>
  <c r="X772" i="17"/>
  <c r="R771" i="17"/>
  <c r="X771" i="17"/>
  <c r="S771" i="17"/>
  <c r="X766" i="17"/>
  <c r="R762" i="17"/>
  <c r="S760" i="17"/>
  <c r="V735" i="17"/>
  <c r="R710" i="17"/>
  <c r="S710" i="17"/>
  <c r="T710" i="17"/>
  <c r="U710" i="17"/>
  <c r="V710" i="17"/>
  <c r="W710" i="17"/>
  <c r="X710" i="17"/>
  <c r="V690" i="17"/>
  <c r="S690" i="17"/>
  <c r="T690" i="17"/>
  <c r="W690" i="17"/>
  <c r="X690" i="17"/>
  <c r="R690" i="17"/>
  <c r="X654" i="17"/>
  <c r="R654" i="17"/>
  <c r="S654" i="17"/>
  <c r="T654" i="17"/>
  <c r="V654" i="17"/>
  <c r="W654" i="17"/>
  <c r="U654" i="17"/>
  <c r="S636" i="17"/>
  <c r="T636" i="17"/>
  <c r="V636" i="17"/>
  <c r="W636" i="17"/>
  <c r="R636" i="17"/>
  <c r="U636" i="17"/>
  <c r="W632" i="17"/>
  <c r="R632" i="17"/>
  <c r="T632" i="17"/>
  <c r="U632" i="17"/>
  <c r="V632" i="17"/>
  <c r="S632" i="17"/>
  <c r="X632" i="17"/>
  <c r="X535" i="17"/>
  <c r="V535" i="17"/>
  <c r="S535" i="17"/>
  <c r="T535" i="17"/>
  <c r="R535" i="17"/>
  <c r="U535" i="17"/>
  <c r="W535" i="17"/>
  <c r="W894" i="17"/>
  <c r="W886" i="17"/>
  <c r="W878" i="17"/>
  <c r="T932" i="17"/>
  <c r="T924" i="17"/>
  <c r="T916" i="17"/>
  <c r="V914" i="17"/>
  <c r="T908" i="17"/>
  <c r="V906" i="17"/>
  <c r="V894" i="17"/>
  <c r="V886" i="17"/>
  <c r="V878" i="17"/>
  <c r="V870" i="17"/>
  <c r="V862" i="17"/>
  <c r="V854" i="17"/>
  <c r="U850" i="17"/>
  <c r="V846" i="17"/>
  <c r="U842" i="17"/>
  <c r="V838" i="17"/>
  <c r="X833" i="17"/>
  <c r="T825" i="17"/>
  <c r="S825" i="17"/>
  <c r="V825" i="17"/>
  <c r="W821" i="17"/>
  <c r="S810" i="17"/>
  <c r="V810" i="17"/>
  <c r="X810" i="17"/>
  <c r="T799" i="17"/>
  <c r="R790" i="17"/>
  <c r="W782" i="17"/>
  <c r="V782" i="17"/>
  <c r="X775" i="17"/>
  <c r="W772" i="17"/>
  <c r="T771" i="17"/>
  <c r="U766" i="17"/>
  <c r="T746" i="17"/>
  <c r="T735" i="17"/>
  <c r="R694" i="17"/>
  <c r="S694" i="17"/>
  <c r="T694" i="17"/>
  <c r="X694" i="17"/>
  <c r="V694" i="17"/>
  <c r="S687" i="17"/>
  <c r="U687" i="17"/>
  <c r="V687" i="17"/>
  <c r="X687" i="17"/>
  <c r="T687" i="17"/>
  <c r="U906" i="17"/>
  <c r="T894" i="17"/>
  <c r="T886" i="17"/>
  <c r="T878" i="17"/>
  <c r="T870" i="17"/>
  <c r="T862" i="17"/>
  <c r="T854" i="17"/>
  <c r="T850" i="17"/>
  <c r="T846" i="17"/>
  <c r="T842" i="17"/>
  <c r="W830" i="17"/>
  <c r="V830" i="17"/>
  <c r="V823" i="17"/>
  <c r="R823" i="17"/>
  <c r="X820" i="17"/>
  <c r="S802" i="17"/>
  <c r="V802" i="17"/>
  <c r="X802" i="17"/>
  <c r="W786" i="17"/>
  <c r="W774" i="17"/>
  <c r="V774" i="17"/>
  <c r="V772" i="17"/>
  <c r="S751" i="17"/>
  <c r="X751" i="17"/>
  <c r="R751" i="17"/>
  <c r="T751" i="17"/>
  <c r="R735" i="17"/>
  <c r="T658" i="17"/>
  <c r="V658" i="17"/>
  <c r="X658" i="17"/>
  <c r="R658" i="17"/>
  <c r="U658" i="17"/>
  <c r="S644" i="17"/>
  <c r="T644" i="17"/>
  <c r="U644" i="17"/>
  <c r="V644" i="17"/>
  <c r="R644" i="17"/>
  <c r="W644" i="17"/>
  <c r="X644" i="17"/>
  <c r="X631" i="17"/>
  <c r="R631" i="17"/>
  <c r="U631" i="17"/>
  <c r="V631" i="17"/>
  <c r="S631" i="17"/>
  <c r="T631" i="17"/>
  <c r="W631" i="17"/>
  <c r="S628" i="17"/>
  <c r="T628" i="17"/>
  <c r="U628" i="17"/>
  <c r="V628" i="17"/>
  <c r="R628" i="17"/>
  <c r="W628" i="17"/>
  <c r="X628" i="17"/>
  <c r="S908" i="17"/>
  <c r="U895" i="17"/>
  <c r="S894" i="17"/>
  <c r="U887" i="17"/>
  <c r="S886" i="17"/>
  <c r="S878" i="17"/>
  <c r="S870" i="17"/>
  <c r="S862" i="17"/>
  <c r="S854" i="17"/>
  <c r="S846" i="17"/>
  <c r="S838" i="17"/>
  <c r="U833" i="17"/>
  <c r="U826" i="17"/>
  <c r="W822" i="17"/>
  <c r="V822" i="17"/>
  <c r="S821" i="17"/>
  <c r="W820" i="17"/>
  <c r="W819" i="17"/>
  <c r="T817" i="17"/>
  <c r="S817" i="17"/>
  <c r="V817" i="17"/>
  <c r="X806" i="17"/>
  <c r="R802" i="17"/>
  <c r="S794" i="17"/>
  <c r="V794" i="17"/>
  <c r="X794" i="17"/>
  <c r="V775" i="17"/>
  <c r="R775" i="17"/>
  <c r="S775" i="17"/>
  <c r="R772" i="17"/>
  <c r="T772" i="17"/>
  <c r="U772" i="17"/>
  <c r="W766" i="17"/>
  <c r="V766" i="17"/>
  <c r="T738" i="17"/>
  <c r="R726" i="17"/>
  <c r="S726" i="17"/>
  <c r="V726" i="17"/>
  <c r="W726" i="17"/>
  <c r="X726" i="17"/>
  <c r="T726" i="17"/>
  <c r="S711" i="17"/>
  <c r="U711" i="17"/>
  <c r="R711" i="17"/>
  <c r="T711" i="17"/>
  <c r="V711" i="17"/>
  <c r="W711" i="17"/>
  <c r="X711" i="17"/>
  <c r="X615" i="17"/>
  <c r="R615" i="17"/>
  <c r="T615" i="17"/>
  <c r="U615" i="17"/>
  <c r="V615" i="17"/>
  <c r="W615" i="17"/>
  <c r="U806" i="17"/>
  <c r="X804" i="17"/>
  <c r="X798" i="17"/>
  <c r="S786" i="17"/>
  <c r="V786" i="17"/>
  <c r="X786" i="17"/>
  <c r="T775" i="17"/>
  <c r="R766" i="17"/>
  <c r="R738" i="17"/>
  <c r="V730" i="17"/>
  <c r="S730" i="17"/>
  <c r="T730" i="17"/>
  <c r="U730" i="17"/>
  <c r="W730" i="17"/>
  <c r="X730" i="17"/>
  <c r="V714" i="17"/>
  <c r="S714" i="17"/>
  <c r="R714" i="17"/>
  <c r="T714" i="17"/>
  <c r="U714" i="17"/>
  <c r="W714" i="17"/>
  <c r="V698" i="17"/>
  <c r="S698" i="17"/>
  <c r="T698" i="17"/>
  <c r="R698" i="17"/>
  <c r="W698" i="17"/>
  <c r="W658" i="17"/>
  <c r="W640" i="17"/>
  <c r="R640" i="17"/>
  <c r="T640" i="17"/>
  <c r="S640" i="17"/>
  <c r="U640" i="17"/>
  <c r="V640" i="17"/>
  <c r="X640" i="17"/>
  <c r="W624" i="17"/>
  <c r="R624" i="17"/>
  <c r="T624" i="17"/>
  <c r="S624" i="17"/>
  <c r="U624" i="17"/>
  <c r="V624" i="17"/>
  <c r="X624" i="17"/>
  <c r="X706" i="17"/>
  <c r="R676" i="17"/>
  <c r="T676" i="17"/>
  <c r="W676" i="17"/>
  <c r="V664" i="17"/>
  <c r="X664" i="17"/>
  <c r="T664" i="17"/>
  <c r="U664" i="17"/>
  <c r="R652" i="17"/>
  <c r="T652" i="17"/>
  <c r="S652" i="17"/>
  <c r="U652" i="17"/>
  <c r="S596" i="17"/>
  <c r="T596" i="17"/>
  <c r="R596" i="17"/>
  <c r="U596" i="17"/>
  <c r="V596" i="17"/>
  <c r="W596" i="17"/>
  <c r="X596" i="17"/>
  <c r="R589" i="17"/>
  <c r="S589" i="17"/>
  <c r="U589" i="17"/>
  <c r="T589" i="17"/>
  <c r="W589" i="17"/>
  <c r="W576" i="17"/>
  <c r="X576" i="17"/>
  <c r="R576" i="17"/>
  <c r="S576" i="17"/>
  <c r="T576" i="17"/>
  <c r="V576" i="17"/>
  <c r="X639" i="17"/>
  <c r="R639" i="17"/>
  <c r="T639" i="17"/>
  <c r="U639" i="17"/>
  <c r="X623" i="17"/>
  <c r="R623" i="17"/>
  <c r="T623" i="17"/>
  <c r="U623" i="17"/>
  <c r="X599" i="17"/>
  <c r="R599" i="17"/>
  <c r="S599" i="17"/>
  <c r="T599" i="17"/>
  <c r="V599" i="17"/>
  <c r="W584" i="17"/>
  <c r="S584" i="17"/>
  <c r="T584" i="17"/>
  <c r="V584" i="17"/>
  <c r="U584" i="17"/>
  <c r="T566" i="17"/>
  <c r="R566" i="17"/>
  <c r="S566" i="17"/>
  <c r="V566" i="17"/>
  <c r="W566" i="17"/>
  <c r="U566" i="17"/>
  <c r="X566" i="17"/>
  <c r="U706" i="17"/>
  <c r="T695" i="17"/>
  <c r="R664" i="17"/>
  <c r="W639" i="17"/>
  <c r="W623" i="17"/>
  <c r="X607" i="17"/>
  <c r="R607" i="17"/>
  <c r="V607" i="17"/>
  <c r="W607" i="17"/>
  <c r="T607" i="17"/>
  <c r="R573" i="17"/>
  <c r="S573" i="17"/>
  <c r="U573" i="17"/>
  <c r="V573" i="17"/>
  <c r="T573" i="17"/>
  <c r="W573" i="17"/>
  <c r="X573" i="17"/>
  <c r="V813" i="17"/>
  <c r="V809" i="17"/>
  <c r="V805" i="17"/>
  <c r="V801" i="17"/>
  <c r="V797" i="17"/>
  <c r="V793" i="17"/>
  <c r="V789" i="17"/>
  <c r="V785" i="17"/>
  <c r="V781" i="17"/>
  <c r="V777" i="17"/>
  <c r="V773" i="17"/>
  <c r="V769" i="17"/>
  <c r="V765" i="17"/>
  <c r="V761" i="17"/>
  <c r="X759" i="17"/>
  <c r="S695" i="17"/>
  <c r="U695" i="17"/>
  <c r="V695" i="17"/>
  <c r="X677" i="17"/>
  <c r="W663" i="17"/>
  <c r="X663" i="17"/>
  <c r="R663" i="17"/>
  <c r="S663" i="17"/>
  <c r="X646" i="17"/>
  <c r="R646" i="17"/>
  <c r="T646" i="17"/>
  <c r="U646" i="17"/>
  <c r="W646" i="17"/>
  <c r="V639" i="17"/>
  <c r="V630" i="17"/>
  <c r="X630" i="17"/>
  <c r="U630" i="17"/>
  <c r="W630" i="17"/>
  <c r="V623" i="17"/>
  <c r="S604" i="17"/>
  <c r="T604" i="17"/>
  <c r="R604" i="17"/>
  <c r="U604" i="17"/>
  <c r="V604" i="17"/>
  <c r="X604" i="17"/>
  <c r="W600" i="17"/>
  <c r="R600" i="17"/>
  <c r="T600" i="17"/>
  <c r="S600" i="17"/>
  <c r="V600" i="17"/>
  <c r="X567" i="17"/>
  <c r="V567" i="17"/>
  <c r="W567" i="17"/>
  <c r="R567" i="17"/>
  <c r="S567" i="17"/>
  <c r="U567" i="17"/>
  <c r="W552" i="17"/>
  <c r="R552" i="17"/>
  <c r="V552" i="17"/>
  <c r="X552" i="17"/>
  <c r="S552" i="17"/>
  <c r="T552" i="17"/>
  <c r="V498" i="17"/>
  <c r="U498" i="17"/>
  <c r="S498" i="17"/>
  <c r="W498" i="17"/>
  <c r="X498" i="17"/>
  <c r="R498" i="17"/>
  <c r="T498" i="17"/>
  <c r="V706" i="17"/>
  <c r="S706" i="17"/>
  <c r="S677" i="17"/>
  <c r="T677" i="17"/>
  <c r="V677" i="17"/>
  <c r="W677" i="17"/>
  <c r="S639" i="17"/>
  <c r="S623" i="17"/>
  <c r="R621" i="17"/>
  <c r="T621" i="17"/>
  <c r="V621" i="17"/>
  <c r="S621" i="17"/>
  <c r="W621" i="17"/>
  <c r="X621" i="17"/>
  <c r="W616" i="17"/>
  <c r="R616" i="17"/>
  <c r="T616" i="17"/>
  <c r="S616" i="17"/>
  <c r="U616" i="17"/>
  <c r="V616" i="17"/>
  <c r="X616" i="17"/>
  <c r="V614" i="17"/>
  <c r="X614" i="17"/>
  <c r="T614" i="17"/>
  <c r="U614" i="17"/>
  <c r="W614" i="17"/>
  <c r="W608" i="17"/>
  <c r="R608" i="17"/>
  <c r="T608" i="17"/>
  <c r="V608" i="17"/>
  <c r="X608" i="17"/>
  <c r="S608" i="17"/>
  <c r="W599" i="17"/>
  <c r="R533" i="17"/>
  <c r="T533" i="17"/>
  <c r="S533" i="17"/>
  <c r="U533" i="17"/>
  <c r="W533" i="17"/>
  <c r="X533" i="17"/>
  <c r="V533" i="17"/>
  <c r="T813" i="17"/>
  <c r="S809" i="17"/>
  <c r="T805" i="17"/>
  <c r="S801" i="17"/>
  <c r="T797" i="17"/>
  <c r="S793" i="17"/>
  <c r="T789" i="17"/>
  <c r="S785" i="17"/>
  <c r="T781" i="17"/>
  <c r="S777" i="17"/>
  <c r="T773" i="17"/>
  <c r="S769" i="17"/>
  <c r="T765" i="17"/>
  <c r="S761" i="17"/>
  <c r="T756" i="17"/>
  <c r="U756" i="17"/>
  <c r="R677" i="17"/>
  <c r="X662" i="17"/>
  <c r="R662" i="17"/>
  <c r="S662" i="17"/>
  <c r="U662" i="17"/>
  <c r="V662" i="17"/>
  <c r="S645" i="17"/>
  <c r="W645" i="17"/>
  <c r="X645" i="17"/>
  <c r="R645" i="17"/>
  <c r="R637" i="17"/>
  <c r="T637" i="17"/>
  <c r="V637" i="17"/>
  <c r="S637" i="17"/>
  <c r="W637" i="17"/>
  <c r="X637" i="17"/>
  <c r="R629" i="17"/>
  <c r="T629" i="17"/>
  <c r="V629" i="17"/>
  <c r="X629" i="17"/>
  <c r="S614" i="17"/>
  <c r="U599" i="17"/>
  <c r="V593" i="17"/>
  <c r="T593" i="17"/>
  <c r="W593" i="17"/>
  <c r="R593" i="17"/>
  <c r="S593" i="17"/>
  <c r="X593" i="17"/>
  <c r="X559" i="17"/>
  <c r="V559" i="17"/>
  <c r="U559" i="17"/>
  <c r="W559" i="17"/>
  <c r="S559" i="17"/>
  <c r="T526" i="17"/>
  <c r="V526" i="17"/>
  <c r="R526" i="17"/>
  <c r="S526" i="17"/>
  <c r="W526" i="17"/>
  <c r="X526" i="17"/>
  <c r="S493" i="17"/>
  <c r="R493" i="17"/>
  <c r="T493" i="17"/>
  <c r="W493" i="17"/>
  <c r="X493" i="17"/>
  <c r="U493" i="17"/>
  <c r="V493" i="17"/>
  <c r="R478" i="17"/>
  <c r="U478" i="17"/>
  <c r="T478" i="17"/>
  <c r="V478" i="17"/>
  <c r="W478" i="17"/>
  <c r="S478" i="17"/>
  <c r="X676" i="17"/>
  <c r="S669" i="17"/>
  <c r="T669" i="17"/>
  <c r="U669" i="17"/>
  <c r="W669" i="17"/>
  <c r="X669" i="17"/>
  <c r="X652" i="17"/>
  <c r="V645" i="17"/>
  <c r="W629" i="17"/>
  <c r="S620" i="17"/>
  <c r="T620" i="17"/>
  <c r="V620" i="17"/>
  <c r="W620" i="17"/>
  <c r="R614" i="17"/>
  <c r="S612" i="17"/>
  <c r="T612" i="17"/>
  <c r="X612" i="17"/>
  <c r="R612" i="17"/>
  <c r="U607" i="17"/>
  <c r="X600" i="17"/>
  <c r="S588" i="17"/>
  <c r="X588" i="17"/>
  <c r="V588" i="17"/>
  <c r="W588" i="17"/>
  <c r="T588" i="17"/>
  <c r="T582" i="17"/>
  <c r="R582" i="17"/>
  <c r="S582" i="17"/>
  <c r="V582" i="17"/>
  <c r="U582" i="17"/>
  <c r="X582" i="17"/>
  <c r="S556" i="17"/>
  <c r="X556" i="17"/>
  <c r="T556" i="17"/>
  <c r="U556" i="17"/>
  <c r="R556" i="17"/>
  <c r="W556" i="17"/>
  <c r="V609" i="17"/>
  <c r="T609" i="17"/>
  <c r="W609" i="17"/>
  <c r="T595" i="17"/>
  <c r="X595" i="17"/>
  <c r="T574" i="17"/>
  <c r="W574" i="17"/>
  <c r="X574" i="17"/>
  <c r="R574" i="17"/>
  <c r="R549" i="17"/>
  <c r="T549" i="17"/>
  <c r="U549" i="17"/>
  <c r="V549" i="17"/>
  <c r="T539" i="17"/>
  <c r="V539" i="17"/>
  <c r="X539" i="17"/>
  <c r="R539" i="17"/>
  <c r="S539" i="17"/>
  <c r="W539" i="17"/>
  <c r="S509" i="17"/>
  <c r="R509" i="17"/>
  <c r="V509" i="17"/>
  <c r="X509" i="17"/>
  <c r="T509" i="17"/>
  <c r="U509" i="17"/>
  <c r="X496" i="17"/>
  <c r="R496" i="17"/>
  <c r="S496" i="17"/>
  <c r="U496" i="17"/>
  <c r="V496" i="17"/>
  <c r="X488" i="17"/>
  <c r="R488" i="17"/>
  <c r="T488" i="17"/>
  <c r="S488" i="17"/>
  <c r="V488" i="17"/>
  <c r="W488" i="17"/>
  <c r="T674" i="17"/>
  <c r="V674" i="17"/>
  <c r="T673" i="17"/>
  <c r="S660" i="17"/>
  <c r="V656" i="17"/>
  <c r="X656" i="17"/>
  <c r="V643" i="17"/>
  <c r="T635" i="17"/>
  <c r="X635" i="17"/>
  <c r="V627" i="17"/>
  <c r="T619" i="17"/>
  <c r="X619" i="17"/>
  <c r="X617" i="17"/>
  <c r="R613" i="17"/>
  <c r="T613" i="17"/>
  <c r="V613" i="17"/>
  <c r="S611" i="17"/>
  <c r="V606" i="17"/>
  <c r="X606" i="17"/>
  <c r="S605" i="17"/>
  <c r="V603" i="17"/>
  <c r="V601" i="17"/>
  <c r="T601" i="17"/>
  <c r="W601" i="17"/>
  <c r="T598" i="17"/>
  <c r="W597" i="17"/>
  <c r="W592" i="17"/>
  <c r="R592" i="17"/>
  <c r="R591" i="17"/>
  <c r="U574" i="17"/>
  <c r="S549" i="17"/>
  <c r="S548" i="17"/>
  <c r="X548" i="17"/>
  <c r="R548" i="17"/>
  <c r="U548" i="17"/>
  <c r="V548" i="17"/>
  <c r="V529" i="17"/>
  <c r="R529" i="17"/>
  <c r="T529" i="17"/>
  <c r="S529" i="17"/>
  <c r="U529" i="17"/>
  <c r="V521" i="17"/>
  <c r="R521" i="17"/>
  <c r="T521" i="17"/>
  <c r="U521" i="17"/>
  <c r="W521" i="17"/>
  <c r="W509" i="17"/>
  <c r="S501" i="17"/>
  <c r="R501" i="17"/>
  <c r="X501" i="17"/>
  <c r="V501" i="17"/>
  <c r="W501" i="17"/>
  <c r="T496" i="17"/>
  <c r="U488" i="17"/>
  <c r="R470" i="17"/>
  <c r="U470" i="17"/>
  <c r="T470" i="17"/>
  <c r="W470" i="17"/>
  <c r="X470" i="17"/>
  <c r="S469" i="17"/>
  <c r="R469" i="17"/>
  <c r="X469" i="17"/>
  <c r="U469" i="17"/>
  <c r="V469" i="17"/>
  <c r="V699" i="17"/>
  <c r="V691" i="17"/>
  <c r="S673" i="17"/>
  <c r="T666" i="17"/>
  <c r="V666" i="17"/>
  <c r="X661" i="17"/>
  <c r="U643" i="17"/>
  <c r="V641" i="17"/>
  <c r="T641" i="17"/>
  <c r="W641" i="17"/>
  <c r="U627" i="17"/>
  <c r="V625" i="17"/>
  <c r="T625" i="17"/>
  <c r="W625" i="17"/>
  <c r="U617" i="17"/>
  <c r="U603" i="17"/>
  <c r="U597" i="17"/>
  <c r="W595" i="17"/>
  <c r="T590" i="17"/>
  <c r="X590" i="17"/>
  <c r="S574" i="17"/>
  <c r="T531" i="17"/>
  <c r="V531" i="17"/>
  <c r="X531" i="17"/>
  <c r="S531" i="17"/>
  <c r="U531" i="17"/>
  <c r="T523" i="17"/>
  <c r="V523" i="17"/>
  <c r="X523" i="17"/>
  <c r="U523" i="17"/>
  <c r="W523" i="17"/>
  <c r="X492" i="17"/>
  <c r="V466" i="17"/>
  <c r="U466" i="17"/>
  <c r="S466" i="17"/>
  <c r="R466" i="17"/>
  <c r="T466" i="17"/>
  <c r="X466" i="17"/>
  <c r="T611" i="17"/>
  <c r="X611" i="17"/>
  <c r="X609" i="17"/>
  <c r="R605" i="17"/>
  <c r="T605" i="17"/>
  <c r="V605" i="17"/>
  <c r="V598" i="17"/>
  <c r="X598" i="17"/>
  <c r="V595" i="17"/>
  <c r="X591" i="17"/>
  <c r="V591" i="17"/>
  <c r="S591" i="17"/>
  <c r="U591" i="17"/>
  <c r="X583" i="17"/>
  <c r="V583" i="17"/>
  <c r="W583" i="17"/>
  <c r="V561" i="17"/>
  <c r="R561" i="17"/>
  <c r="T561" i="17"/>
  <c r="U561" i="17"/>
  <c r="W561" i="17"/>
  <c r="W560" i="17"/>
  <c r="R560" i="17"/>
  <c r="U560" i="17"/>
  <c r="V560" i="17"/>
  <c r="W505" i="17"/>
  <c r="S505" i="17"/>
  <c r="R505" i="17"/>
  <c r="U505" i="17"/>
  <c r="T505" i="17"/>
  <c r="X505" i="17"/>
  <c r="T492" i="17"/>
  <c r="U492" i="17"/>
  <c r="W492" i="17"/>
  <c r="S492" i="17"/>
  <c r="V492" i="17"/>
  <c r="W469" i="17"/>
  <c r="U748" i="17"/>
  <c r="U740" i="17"/>
  <c r="U732" i="17"/>
  <c r="U724" i="17"/>
  <c r="U716" i="17"/>
  <c r="U708" i="17"/>
  <c r="U700" i="17"/>
  <c r="S699" i="17"/>
  <c r="U692" i="17"/>
  <c r="S691" i="17"/>
  <c r="U684" i="17"/>
  <c r="U681" i="17"/>
  <c r="W681" i="17"/>
  <c r="V679" i="17"/>
  <c r="W674" i="17"/>
  <c r="R668" i="17"/>
  <c r="T668" i="17"/>
  <c r="X666" i="17"/>
  <c r="V661" i="17"/>
  <c r="W656" i="17"/>
  <c r="T650" i="17"/>
  <c r="V650" i="17"/>
  <c r="V638" i="17"/>
  <c r="X638" i="17"/>
  <c r="W635" i="17"/>
  <c r="V622" i="17"/>
  <c r="X622" i="17"/>
  <c r="W619" i="17"/>
  <c r="X613" i="17"/>
  <c r="U609" i="17"/>
  <c r="U595" i="17"/>
  <c r="S583" i="17"/>
  <c r="V577" i="17"/>
  <c r="R577" i="17"/>
  <c r="T577" i="17"/>
  <c r="U577" i="17"/>
  <c r="X577" i="17"/>
  <c r="W568" i="17"/>
  <c r="S568" i="17"/>
  <c r="T568" i="17"/>
  <c r="V568" i="17"/>
  <c r="X568" i="17"/>
  <c r="R557" i="17"/>
  <c r="T557" i="17"/>
  <c r="S557" i="17"/>
  <c r="U557" i="17"/>
  <c r="T550" i="17"/>
  <c r="V550" i="17"/>
  <c r="R550" i="17"/>
  <c r="S550" i="17"/>
  <c r="W528" i="17"/>
  <c r="R528" i="17"/>
  <c r="T528" i="17"/>
  <c r="U528" i="17"/>
  <c r="S521" i="17"/>
  <c r="X504" i="17"/>
  <c r="V504" i="17"/>
  <c r="R504" i="17"/>
  <c r="T504" i="17"/>
  <c r="U504" i="17"/>
  <c r="T500" i="17"/>
  <c r="R500" i="17"/>
  <c r="U500" i="17"/>
  <c r="V500" i="17"/>
  <c r="W500" i="17"/>
  <c r="W473" i="17"/>
  <c r="S473" i="17"/>
  <c r="R473" i="17"/>
  <c r="U473" i="17"/>
  <c r="V473" i="17"/>
  <c r="X473" i="17"/>
  <c r="T469" i="17"/>
  <c r="W466" i="17"/>
  <c r="S461" i="17"/>
  <c r="R461" i="17"/>
  <c r="T461" i="17"/>
  <c r="W461" i="17"/>
  <c r="X461" i="17"/>
  <c r="U461" i="17"/>
  <c r="V461" i="17"/>
  <c r="U673" i="17"/>
  <c r="W673" i="17"/>
  <c r="R660" i="17"/>
  <c r="T660" i="17"/>
  <c r="T643" i="17"/>
  <c r="X643" i="17"/>
  <c r="T627" i="17"/>
  <c r="X627" i="17"/>
  <c r="V617" i="17"/>
  <c r="T617" i="17"/>
  <c r="W617" i="17"/>
  <c r="S609" i="17"/>
  <c r="T603" i="17"/>
  <c r="X603" i="17"/>
  <c r="R597" i="17"/>
  <c r="T597" i="17"/>
  <c r="V597" i="17"/>
  <c r="S595" i="17"/>
  <c r="R583" i="17"/>
  <c r="W577" i="17"/>
  <c r="X575" i="17"/>
  <c r="V575" i="17"/>
  <c r="R575" i="17"/>
  <c r="S575" i="17"/>
  <c r="U575" i="17"/>
  <c r="W575" i="17"/>
  <c r="X561" i="17"/>
  <c r="X560" i="17"/>
  <c r="X557" i="17"/>
  <c r="V553" i="17"/>
  <c r="R553" i="17"/>
  <c r="T553" i="17"/>
  <c r="W553" i="17"/>
  <c r="X553" i="17"/>
  <c r="X550" i="17"/>
  <c r="S517" i="17"/>
  <c r="R517" i="17"/>
  <c r="T517" i="17"/>
  <c r="V517" i="17"/>
  <c r="X517" i="17"/>
  <c r="X480" i="17"/>
  <c r="T480" i="17"/>
  <c r="V480" i="17"/>
  <c r="R480" i="17"/>
  <c r="S480" i="17"/>
  <c r="T468" i="17"/>
  <c r="R468" i="17"/>
  <c r="U468" i="17"/>
  <c r="S468" i="17"/>
  <c r="V468" i="17"/>
  <c r="X468" i="17"/>
  <c r="W465" i="17"/>
  <c r="S465" i="17"/>
  <c r="U465" i="17"/>
  <c r="X465" i="17"/>
  <c r="R465" i="17"/>
  <c r="S453" i="17"/>
  <c r="R453" i="17"/>
  <c r="T453" i="17"/>
  <c r="V453" i="17"/>
  <c r="U453" i="17"/>
  <c r="W453" i="17"/>
  <c r="X453" i="17"/>
  <c r="W424" i="17"/>
  <c r="S424" i="17"/>
  <c r="U424" i="17"/>
  <c r="V424" i="17"/>
  <c r="X424" i="17"/>
  <c r="R424" i="17"/>
  <c r="T424" i="17"/>
  <c r="T579" i="17"/>
  <c r="V579" i="17"/>
  <c r="S572" i="17"/>
  <c r="X572" i="17"/>
  <c r="T563" i="17"/>
  <c r="V563" i="17"/>
  <c r="X551" i="17"/>
  <c r="V551" i="17"/>
  <c r="V545" i="17"/>
  <c r="R545" i="17"/>
  <c r="T545" i="17"/>
  <c r="W544" i="17"/>
  <c r="R544" i="17"/>
  <c r="R502" i="17"/>
  <c r="U502" i="17"/>
  <c r="T502" i="17"/>
  <c r="W502" i="17"/>
  <c r="T472" i="17"/>
  <c r="T465" i="17"/>
  <c r="R587" i="17"/>
  <c r="X579" i="17"/>
  <c r="R571" i="17"/>
  <c r="X563" i="17"/>
  <c r="T558" i="17"/>
  <c r="V558" i="17"/>
  <c r="U547" i="17"/>
  <c r="X543" i="17"/>
  <c r="V543" i="17"/>
  <c r="U534" i="17"/>
  <c r="X514" i="17"/>
  <c r="X506" i="17"/>
  <c r="X472" i="17"/>
  <c r="V472" i="17"/>
  <c r="U579" i="17"/>
  <c r="V572" i="17"/>
  <c r="U563" i="17"/>
  <c r="T555" i="17"/>
  <c r="V555" i="17"/>
  <c r="X555" i="17"/>
  <c r="T542" i="17"/>
  <c r="V542" i="17"/>
  <c r="R534" i="17"/>
  <c r="X527" i="17"/>
  <c r="V527" i="17"/>
  <c r="V482" i="17"/>
  <c r="U482" i="17"/>
  <c r="W482" i="17"/>
  <c r="T477" i="17"/>
  <c r="V474" i="17"/>
  <c r="U474" i="17"/>
  <c r="X464" i="17"/>
  <c r="R464" i="17"/>
  <c r="V464" i="17"/>
  <c r="T587" i="17"/>
  <c r="V587" i="17"/>
  <c r="S579" i="17"/>
  <c r="U572" i="17"/>
  <c r="T571" i="17"/>
  <c r="V571" i="17"/>
  <c r="W551" i="17"/>
  <c r="T547" i="17"/>
  <c r="V547" i="17"/>
  <c r="X547" i="17"/>
  <c r="X545" i="17"/>
  <c r="X544" i="17"/>
  <c r="T534" i="17"/>
  <c r="V534" i="17"/>
  <c r="V514" i="17"/>
  <c r="U514" i="17"/>
  <c r="W514" i="17"/>
  <c r="V506" i="17"/>
  <c r="U506" i="17"/>
  <c r="S477" i="17"/>
  <c r="R477" i="17"/>
  <c r="V477" i="17"/>
  <c r="X477" i="17"/>
  <c r="R474" i="17"/>
  <c r="T460" i="17"/>
  <c r="U460" i="17"/>
  <c r="W460" i="17"/>
  <c r="X460" i="17"/>
  <c r="R460" i="17"/>
  <c r="W444" i="17"/>
  <c r="R454" i="17"/>
  <c r="U454" i="17"/>
  <c r="V454" i="17"/>
  <c r="X454" i="17"/>
  <c r="V441" i="17"/>
  <c r="U441" i="17"/>
  <c r="S441" i="17"/>
  <c r="T441" i="17"/>
  <c r="W441" i="17"/>
  <c r="X441" i="17"/>
  <c r="X439" i="17"/>
  <c r="R439" i="17"/>
  <c r="S439" i="17"/>
  <c r="T439" i="17"/>
  <c r="U439" i="17"/>
  <c r="V439" i="17"/>
  <c r="R413" i="17"/>
  <c r="U413" i="17"/>
  <c r="S413" i="17"/>
  <c r="T413" i="17"/>
  <c r="V413" i="17"/>
  <c r="W413" i="17"/>
  <c r="X413" i="17"/>
  <c r="U499" i="17"/>
  <c r="X499" i="17"/>
  <c r="U467" i="17"/>
  <c r="X467" i="17"/>
  <c r="U457" i="17"/>
  <c r="V456" i="17"/>
  <c r="T451" i="17"/>
  <c r="R451" i="17"/>
  <c r="S451" i="17"/>
  <c r="V451" i="17"/>
  <c r="W451" i="17"/>
  <c r="X431" i="17"/>
  <c r="T431" i="17"/>
  <c r="U431" i="17"/>
  <c r="V431" i="17"/>
  <c r="W431" i="17"/>
  <c r="R431" i="17"/>
  <c r="S431" i="17"/>
  <c r="S412" i="17"/>
  <c r="R412" i="17"/>
  <c r="U412" i="17"/>
  <c r="V412" i="17"/>
  <c r="W412" i="17"/>
  <c r="X412" i="17"/>
  <c r="T412" i="17"/>
  <c r="R397" i="17"/>
  <c r="U397" i="17"/>
  <c r="S397" i="17"/>
  <c r="T397" i="17"/>
  <c r="V397" i="17"/>
  <c r="W397" i="17"/>
  <c r="X397" i="17"/>
  <c r="X456" i="17"/>
  <c r="R456" i="17"/>
  <c r="T456" i="17"/>
  <c r="R445" i="17"/>
  <c r="U445" i="17"/>
  <c r="W445" i="17"/>
  <c r="X445" i="17"/>
  <c r="T445" i="17"/>
  <c r="S444" i="17"/>
  <c r="R444" i="17"/>
  <c r="U444" i="17"/>
  <c r="V444" i="17"/>
  <c r="X444" i="17"/>
  <c r="R381" i="17"/>
  <c r="U381" i="17"/>
  <c r="S381" i="17"/>
  <c r="T381" i="17"/>
  <c r="X381" i="17"/>
  <c r="V381" i="17"/>
  <c r="W381" i="17"/>
  <c r="T562" i="17"/>
  <c r="T554" i="17"/>
  <c r="T546" i="17"/>
  <c r="T538" i="17"/>
  <c r="T530" i="17"/>
  <c r="T522" i="17"/>
  <c r="W516" i="17"/>
  <c r="W499" i="17"/>
  <c r="U491" i="17"/>
  <c r="X491" i="17"/>
  <c r="W484" i="17"/>
  <c r="W467" i="17"/>
  <c r="V458" i="17"/>
  <c r="U458" i="17"/>
  <c r="W458" i="17"/>
  <c r="S456" i="17"/>
  <c r="V452" i="17"/>
  <c r="S436" i="17"/>
  <c r="R436" i="17"/>
  <c r="T436" i="17"/>
  <c r="U436" i="17"/>
  <c r="V436" i="17"/>
  <c r="W436" i="17"/>
  <c r="X436" i="17"/>
  <c r="S396" i="17"/>
  <c r="R396" i="17"/>
  <c r="X396" i="17"/>
  <c r="V396" i="17"/>
  <c r="W396" i="17"/>
  <c r="T396" i="17"/>
  <c r="U396" i="17"/>
  <c r="S388" i="17"/>
  <c r="R388" i="17"/>
  <c r="X388" i="17"/>
  <c r="T388" i="17"/>
  <c r="U388" i="17"/>
  <c r="V388" i="17"/>
  <c r="W388" i="17"/>
  <c r="W457" i="17"/>
  <c r="S457" i="17"/>
  <c r="T457" i="17"/>
  <c r="V457" i="17"/>
  <c r="S452" i="17"/>
  <c r="R452" i="17"/>
  <c r="X452" i="17"/>
  <c r="V445" i="17"/>
  <c r="R441" i="17"/>
  <c r="W439" i="17"/>
  <c r="S428" i="17"/>
  <c r="R428" i="17"/>
  <c r="V428" i="17"/>
  <c r="W428" i="17"/>
  <c r="X428" i="17"/>
  <c r="T428" i="17"/>
  <c r="U428" i="17"/>
  <c r="W404" i="17"/>
  <c r="X401" i="17"/>
  <c r="V385" i="17"/>
  <c r="U385" i="17"/>
  <c r="R385" i="17"/>
  <c r="S385" i="17"/>
  <c r="T385" i="17"/>
  <c r="S352" i="17"/>
  <c r="R352" i="17"/>
  <c r="T352" i="17"/>
  <c r="U352" i="17"/>
  <c r="V352" i="17"/>
  <c r="W352" i="17"/>
  <c r="X352" i="17"/>
  <c r="U435" i="17"/>
  <c r="U434" i="17"/>
  <c r="X434" i="17"/>
  <c r="U426" i="17"/>
  <c r="X426" i="17"/>
  <c r="V426" i="17"/>
  <c r="W410" i="17"/>
  <c r="X409" i="17"/>
  <c r="X408" i="17"/>
  <c r="V404" i="17"/>
  <c r="W385" i="17"/>
  <c r="S404" i="17"/>
  <c r="R404" i="17"/>
  <c r="V401" i="17"/>
  <c r="U401" i="17"/>
  <c r="S401" i="17"/>
  <c r="T401" i="17"/>
  <c r="W384" i="17"/>
  <c r="S384" i="17"/>
  <c r="R384" i="17"/>
  <c r="V377" i="17"/>
  <c r="U377" i="17"/>
  <c r="W377" i="17"/>
  <c r="R377" i="17"/>
  <c r="S377" i="17"/>
  <c r="T377" i="17"/>
  <c r="W448" i="17"/>
  <c r="S448" i="17"/>
  <c r="R440" i="17"/>
  <c r="R435" i="17"/>
  <c r="W434" i="17"/>
  <c r="R421" i="17"/>
  <c r="U421" i="17"/>
  <c r="S421" i="17"/>
  <c r="S420" i="17"/>
  <c r="R420" i="17"/>
  <c r="W418" i="17"/>
  <c r="S410" i="17"/>
  <c r="T409" i="17"/>
  <c r="U408" i="17"/>
  <c r="W405" i="17"/>
  <c r="T404" i="17"/>
  <c r="V384" i="17"/>
  <c r="X443" i="17"/>
  <c r="V434" i="17"/>
  <c r="T418" i="17"/>
  <c r="T408" i="17"/>
  <c r="V405" i="17"/>
  <c r="U384" i="17"/>
  <c r="W440" i="17"/>
  <c r="S440" i="17"/>
  <c r="U410" i="17"/>
  <c r="X410" i="17"/>
  <c r="V410" i="17"/>
  <c r="V409" i="17"/>
  <c r="U409" i="17"/>
  <c r="S409" i="17"/>
  <c r="W408" i="17"/>
  <c r="S408" i="17"/>
  <c r="R405" i="17"/>
  <c r="U405" i="17"/>
  <c r="S405" i="17"/>
  <c r="T405" i="17"/>
  <c r="V393" i="17"/>
  <c r="U393" i="17"/>
  <c r="R393" i="17"/>
  <c r="S393" i="17"/>
  <c r="T393" i="17"/>
  <c r="T384" i="17"/>
  <c r="V373" i="17"/>
  <c r="U373" i="17"/>
  <c r="R373" i="17"/>
  <c r="S373" i="17"/>
  <c r="T373" i="17"/>
  <c r="W373" i="17"/>
  <c r="X373" i="17"/>
  <c r="V448" i="17"/>
  <c r="V443" i="17"/>
  <c r="X435" i="17"/>
  <c r="S434" i="17"/>
  <c r="T426" i="17"/>
  <c r="X421" i="17"/>
  <c r="X420" i="17"/>
  <c r="W393" i="17"/>
  <c r="X377" i="17"/>
  <c r="U448" i="17"/>
  <c r="U443" i="17"/>
  <c r="U442" i="17"/>
  <c r="X442" i="17"/>
  <c r="X440" i="17"/>
  <c r="W435" i="17"/>
  <c r="R434" i="17"/>
  <c r="S426" i="17"/>
  <c r="W421" i="17"/>
  <c r="W420" i="17"/>
  <c r="U418" i="17"/>
  <c r="X418" i="17"/>
  <c r="V418" i="17"/>
  <c r="X404" i="17"/>
  <c r="S368" i="17"/>
  <c r="R368" i="17"/>
  <c r="V368" i="17"/>
  <c r="W368" i="17"/>
  <c r="X368" i="17"/>
  <c r="T368" i="17"/>
  <c r="U368" i="17"/>
  <c r="V398" i="17"/>
  <c r="V390" i="17"/>
  <c r="V382" i="17"/>
  <c r="X379" i="17"/>
  <c r="U367" i="17"/>
  <c r="V359" i="17"/>
  <c r="W356" i="17"/>
  <c r="S356" i="17"/>
  <c r="X356" i="17"/>
  <c r="U356" i="17"/>
  <c r="U344" i="17"/>
  <c r="V402" i="17"/>
  <c r="V394" i="17"/>
  <c r="V386" i="17"/>
  <c r="U382" i="17"/>
  <c r="V378" i="17"/>
  <c r="R369" i="17"/>
  <c r="U369" i="17"/>
  <c r="X369" i="17"/>
  <c r="S367" i="17"/>
  <c r="W366" i="17"/>
  <c r="S359" i="17"/>
  <c r="T356" i="17"/>
  <c r="X372" i="17"/>
  <c r="R367" i="17"/>
  <c r="V366" i="17"/>
  <c r="X365" i="17"/>
  <c r="T359" i="17"/>
  <c r="U359" i="17"/>
  <c r="X359" i="17"/>
  <c r="R359" i="17"/>
  <c r="R356" i="17"/>
  <c r="T366" i="17"/>
  <c r="W365" i="17"/>
  <c r="S360" i="17"/>
  <c r="R360" i="17"/>
  <c r="U360" i="17"/>
  <c r="X360" i="17"/>
  <c r="X355" i="17"/>
  <c r="R355" i="17"/>
  <c r="S355" i="17"/>
  <c r="U355" i="17"/>
  <c r="T367" i="17"/>
  <c r="V367" i="17"/>
  <c r="S365" i="17"/>
  <c r="T360" i="17"/>
  <c r="V355" i="17"/>
  <c r="U366" i="17"/>
  <c r="X366" i="17"/>
  <c r="W372" i="17"/>
  <c r="S372" i="17"/>
  <c r="V372" i="17"/>
  <c r="V365" i="17"/>
  <c r="U365" i="17"/>
  <c r="T365" i="17"/>
  <c r="X363" i="17"/>
  <c r="S363" i="17"/>
  <c r="V363" i="17"/>
  <c r="X347" i="17"/>
  <c r="T347" i="17"/>
  <c r="U347" i="17"/>
  <c r="V347" i="17"/>
  <c r="W347" i="17"/>
  <c r="R347" i="17"/>
  <c r="S344" i="17"/>
  <c r="R344" i="17"/>
  <c r="V344" i="17"/>
  <c r="W344" i="17"/>
  <c r="X344" i="17"/>
  <c r="T344" i="17"/>
  <c r="X402" i="17"/>
  <c r="W367" i="17"/>
  <c r="W364" i="17"/>
  <c r="S364" i="17"/>
  <c r="R363" i="17"/>
  <c r="R361" i="17"/>
  <c r="U361" i="17"/>
  <c r="W361" i="17"/>
  <c r="T361" i="17"/>
  <c r="V333" i="17"/>
  <c r="U333" i="17"/>
  <c r="S328" i="17"/>
  <c r="R328" i="17"/>
  <c r="W358" i="17"/>
  <c r="U351" i="17"/>
  <c r="U350" i="17"/>
  <c r="X350" i="17"/>
  <c r="W343" i="17"/>
  <c r="W341" i="17"/>
  <c r="V336" i="17"/>
  <c r="V331" i="17"/>
  <c r="T329" i="17"/>
  <c r="X328" i="17"/>
  <c r="R327" i="17"/>
  <c r="X333" i="17"/>
  <c r="W328" i="17"/>
  <c r="W316" i="17"/>
  <c r="R316" i="17"/>
  <c r="T316" i="17"/>
  <c r="U316" i="17"/>
  <c r="V316" i="17"/>
  <c r="X316" i="17"/>
  <c r="S316" i="17"/>
  <c r="U342" i="17"/>
  <c r="X342" i="17"/>
  <c r="R337" i="17"/>
  <c r="U337" i="17"/>
  <c r="W333" i="17"/>
  <c r="W332" i="17"/>
  <c r="S332" i="17"/>
  <c r="T331" i="17"/>
  <c r="V328" i="17"/>
  <c r="V322" i="17"/>
  <c r="X322" i="17"/>
  <c r="S322" i="17"/>
  <c r="W322" i="17"/>
  <c r="S343" i="17"/>
  <c r="X337" i="17"/>
  <c r="V335" i="17"/>
  <c r="T333" i="17"/>
  <c r="S331" i="17"/>
  <c r="U328" i="17"/>
  <c r="X327" i="17"/>
  <c r="W342" i="17"/>
  <c r="W337" i="17"/>
  <c r="U334" i="17"/>
  <c r="X334" i="17"/>
  <c r="S333" i="17"/>
  <c r="X332" i="17"/>
  <c r="R331" i="17"/>
  <c r="R329" i="17"/>
  <c r="U329" i="17"/>
  <c r="T328" i="17"/>
  <c r="W327" i="17"/>
  <c r="V325" i="17"/>
  <c r="T325" i="17"/>
  <c r="U325" i="17"/>
  <c r="W325" i="17"/>
  <c r="X325" i="17"/>
  <c r="X315" i="17"/>
  <c r="R315" i="17"/>
  <c r="U315" i="17"/>
  <c r="V315" i="17"/>
  <c r="W315" i="17"/>
  <c r="S315" i="17"/>
  <c r="T315" i="17"/>
  <c r="X351" i="17"/>
  <c r="V342" i="17"/>
  <c r="V341" i="17"/>
  <c r="U341" i="17"/>
  <c r="V337" i="17"/>
  <c r="S336" i="17"/>
  <c r="R336" i="17"/>
  <c r="R333" i="17"/>
  <c r="V332" i="17"/>
  <c r="X329" i="17"/>
  <c r="V327" i="17"/>
  <c r="T322" i="17"/>
  <c r="U358" i="17"/>
  <c r="X358" i="17"/>
  <c r="W351" i="17"/>
  <c r="T342" i="17"/>
  <c r="T337" i="17"/>
  <c r="X336" i="17"/>
  <c r="W334" i="17"/>
  <c r="U332" i="17"/>
  <c r="W329" i="17"/>
  <c r="U327" i="17"/>
  <c r="R322" i="17"/>
  <c r="V317" i="17"/>
  <c r="T317" i="17"/>
  <c r="W317" i="17"/>
  <c r="X312" i="17"/>
  <c r="T303" i="17"/>
  <c r="V303" i="17"/>
  <c r="R303" i="17"/>
  <c r="S303" i="17"/>
  <c r="U303" i="17"/>
  <c r="W303" i="17"/>
  <c r="X303" i="17"/>
  <c r="U320" i="17"/>
  <c r="W312" i="17"/>
  <c r="S296" i="17"/>
  <c r="X296" i="17"/>
  <c r="T296" i="17"/>
  <c r="U296" i="17"/>
  <c r="V296" i="17"/>
  <c r="W296" i="17"/>
  <c r="R296" i="17"/>
  <c r="W292" i="17"/>
  <c r="R292" i="17"/>
  <c r="S292" i="17"/>
  <c r="T292" i="17"/>
  <c r="U292" i="17"/>
  <c r="X292" i="17"/>
  <c r="R321" i="17"/>
  <c r="T321" i="17"/>
  <c r="V321" i="17"/>
  <c r="R320" i="17"/>
  <c r="V314" i="17"/>
  <c r="X314" i="17"/>
  <c r="V312" i="17"/>
  <c r="S320" i="17"/>
  <c r="T320" i="17"/>
  <c r="U312" i="17"/>
  <c r="X307" i="17"/>
  <c r="V307" i="17"/>
  <c r="W307" i="17"/>
  <c r="T319" i="17"/>
  <c r="X319" i="17"/>
  <c r="X317" i="17"/>
  <c r="R313" i="17"/>
  <c r="T313" i="17"/>
  <c r="V313" i="17"/>
  <c r="R312" i="17"/>
  <c r="S307" i="17"/>
  <c r="U317" i="17"/>
  <c r="S312" i="17"/>
  <c r="T312" i="17"/>
  <c r="V293" i="17"/>
  <c r="S293" i="17"/>
  <c r="R293" i="17"/>
  <c r="T293" i="17"/>
  <c r="U293" i="17"/>
  <c r="W293" i="17"/>
  <c r="X293" i="17"/>
  <c r="W308" i="17"/>
  <c r="S308" i="17"/>
  <c r="T308" i="17"/>
  <c r="V308" i="17"/>
  <c r="T306" i="17"/>
  <c r="R306" i="17"/>
  <c r="S306" i="17"/>
  <c r="V306" i="17"/>
  <c r="X306" i="17"/>
  <c r="R317" i="17"/>
  <c r="U308" i="17"/>
  <c r="W306" i="17"/>
  <c r="R305" i="17"/>
  <c r="V305" i="17"/>
  <c r="W305" i="17"/>
  <c r="X305" i="17"/>
  <c r="S305" i="17"/>
  <c r="X299" i="17"/>
  <c r="V299" i="17"/>
  <c r="X297" i="17"/>
  <c r="V289" i="17"/>
  <c r="W278" i="17"/>
  <c r="R278" i="17"/>
  <c r="S278" i="17"/>
  <c r="T278" i="17"/>
  <c r="U278" i="17"/>
  <c r="V278" i="17"/>
  <c r="X278" i="17"/>
  <c r="W297" i="17"/>
  <c r="X290" i="17"/>
  <c r="U289" i="17"/>
  <c r="S257" i="17"/>
  <c r="X257" i="17"/>
  <c r="R257" i="17"/>
  <c r="T257" i="17"/>
  <c r="U257" i="17"/>
  <c r="V257" i="17"/>
  <c r="W257" i="17"/>
  <c r="U299" i="17"/>
  <c r="U297" i="17"/>
  <c r="S290" i="17"/>
  <c r="W300" i="17"/>
  <c r="T299" i="17"/>
  <c r="T297" i="17"/>
  <c r="U290" i="17"/>
  <c r="V290" i="17"/>
  <c r="T290" i="17"/>
  <c r="R289" i="17"/>
  <c r="S289" i="17"/>
  <c r="T289" i="17"/>
  <c r="X311" i="17"/>
  <c r="S299" i="17"/>
  <c r="X298" i="17"/>
  <c r="S297" i="17"/>
  <c r="X300" i="17"/>
  <c r="R299" i="17"/>
  <c r="W298" i="17"/>
  <c r="R284" i="17"/>
  <c r="S284" i="17"/>
  <c r="T284" i="17"/>
  <c r="U284" i="17"/>
  <c r="W284" i="17"/>
  <c r="V287" i="17"/>
  <c r="T287" i="17"/>
  <c r="U287" i="17"/>
  <c r="R287" i="17"/>
  <c r="S287" i="17"/>
  <c r="X285" i="17"/>
  <c r="T285" i="17"/>
  <c r="U285" i="17"/>
  <c r="R285" i="17"/>
  <c r="S285" i="17"/>
  <c r="W285" i="17"/>
  <c r="V295" i="17"/>
  <c r="V291" i="17"/>
  <c r="S201" i="17"/>
  <c r="X201" i="17"/>
  <c r="T201" i="17"/>
  <c r="R201" i="17"/>
  <c r="U201" i="17"/>
  <c r="V201" i="17"/>
  <c r="W201" i="17"/>
  <c r="V262" i="17"/>
  <c r="R262" i="17"/>
  <c r="S262" i="17"/>
  <c r="T262" i="17"/>
  <c r="R275" i="17"/>
  <c r="T275" i="17"/>
  <c r="T272" i="17"/>
  <c r="R272" i="17"/>
  <c r="U272" i="17"/>
  <c r="W262" i="17"/>
  <c r="T219" i="17"/>
  <c r="U219" i="17"/>
  <c r="V219" i="17"/>
  <c r="X219" i="17"/>
  <c r="S219" i="17"/>
  <c r="W219" i="17"/>
  <c r="V272" i="17"/>
  <c r="X268" i="17"/>
  <c r="S268" i="17"/>
  <c r="U268" i="17"/>
  <c r="V254" i="17"/>
  <c r="R254" i="17"/>
  <c r="W254" i="17"/>
  <c r="X254" i="17"/>
  <c r="V246" i="17"/>
  <c r="R246" i="17"/>
  <c r="S246" i="17"/>
  <c r="T246" i="17"/>
  <c r="U246" i="17"/>
  <c r="R210" i="17"/>
  <c r="S210" i="17"/>
  <c r="T210" i="17"/>
  <c r="X210" i="17"/>
  <c r="V210" i="17"/>
  <c r="W210" i="17"/>
  <c r="V279" i="17"/>
  <c r="X279" i="17"/>
  <c r="U275" i="17"/>
  <c r="S272" i="17"/>
  <c r="W261" i="17"/>
  <c r="U261" i="17"/>
  <c r="V261" i="17"/>
  <c r="X261" i="17"/>
  <c r="S254" i="17"/>
  <c r="W245" i="17"/>
  <c r="U245" i="17"/>
  <c r="V245" i="17"/>
  <c r="X245" i="17"/>
  <c r="S245" i="17"/>
  <c r="R234" i="17"/>
  <c r="T234" i="17"/>
  <c r="U234" i="17"/>
  <c r="V234" i="17"/>
  <c r="W234" i="17"/>
  <c r="X234" i="17"/>
  <c r="S234" i="17"/>
  <c r="S275" i="17"/>
  <c r="S261" i="17"/>
  <c r="X246" i="17"/>
  <c r="W237" i="17"/>
  <c r="R237" i="17"/>
  <c r="S237" i="17"/>
  <c r="T237" i="17"/>
  <c r="U237" i="17"/>
  <c r="X237" i="17"/>
  <c r="V286" i="17"/>
  <c r="T281" i="17"/>
  <c r="V281" i="17"/>
  <c r="X276" i="17"/>
  <c r="W268" i="17"/>
  <c r="T264" i="17"/>
  <c r="V264" i="17"/>
  <c r="S264" i="17"/>
  <c r="R261" i="17"/>
  <c r="X252" i="17"/>
  <c r="V252" i="17"/>
  <c r="T252" i="17"/>
  <c r="U252" i="17"/>
  <c r="W252" i="17"/>
  <c r="W246" i="17"/>
  <c r="V214" i="17"/>
  <c r="R214" i="17"/>
  <c r="S214" i="17"/>
  <c r="T214" i="17"/>
  <c r="U214" i="17"/>
  <c r="W214" i="17"/>
  <c r="X214" i="17"/>
  <c r="V230" i="17"/>
  <c r="R230" i="17"/>
  <c r="R218" i="17"/>
  <c r="S218" i="17"/>
  <c r="T218" i="17"/>
  <c r="V206" i="17"/>
  <c r="R206" i="17"/>
  <c r="S206" i="17"/>
  <c r="T206" i="17"/>
  <c r="W194" i="17"/>
  <c r="R194" i="17"/>
  <c r="S194" i="17"/>
  <c r="T194" i="17"/>
  <c r="U194" i="17"/>
  <c r="V194" i="17"/>
  <c r="X194" i="17"/>
  <c r="T248" i="17"/>
  <c r="V248" i="17"/>
  <c r="R243" i="17"/>
  <c r="T232" i="17"/>
  <c r="V232" i="17"/>
  <c r="X236" i="17"/>
  <c r="V236" i="17"/>
  <c r="W230" i="17"/>
  <c r="W213" i="17"/>
  <c r="R213" i="17"/>
  <c r="T203" i="17"/>
  <c r="U203" i="17"/>
  <c r="V203" i="17"/>
  <c r="X203" i="17"/>
  <c r="X243" i="17"/>
  <c r="V238" i="17"/>
  <c r="R238" i="17"/>
  <c r="U230" i="17"/>
  <c r="V222" i="17"/>
  <c r="R222" i="17"/>
  <c r="S222" i="17"/>
  <c r="T222" i="17"/>
  <c r="T213" i="17"/>
  <c r="T211" i="17"/>
  <c r="U211" i="17"/>
  <c r="V211" i="17"/>
  <c r="S203" i="17"/>
  <c r="X193" i="17"/>
  <c r="S193" i="17"/>
  <c r="U193" i="17"/>
  <c r="V193" i="17"/>
  <c r="W193" i="17"/>
  <c r="R193" i="17"/>
  <c r="T256" i="17"/>
  <c r="V256" i="17"/>
  <c r="S248" i="17"/>
  <c r="W243" i="17"/>
  <c r="T240" i="17"/>
  <c r="V240" i="17"/>
  <c r="W236" i="17"/>
  <c r="S232" i="17"/>
  <c r="T230" i="17"/>
  <c r="X218" i="17"/>
  <c r="S217" i="17"/>
  <c r="X217" i="17"/>
  <c r="S213" i="17"/>
  <c r="W205" i="17"/>
  <c r="R205" i="17"/>
  <c r="R203" i="17"/>
  <c r="R248" i="17"/>
  <c r="V243" i="17"/>
  <c r="X238" i="17"/>
  <c r="U236" i="17"/>
  <c r="R232" i="17"/>
  <c r="S230" i="17"/>
  <c r="W218" i="17"/>
  <c r="T217" i="17"/>
  <c r="X206" i="17"/>
  <c r="T205" i="17"/>
  <c r="X202" i="17"/>
  <c r="X260" i="17"/>
  <c r="V260" i="17"/>
  <c r="X258" i="17"/>
  <c r="W256" i="17"/>
  <c r="X244" i="17"/>
  <c r="V244" i="17"/>
  <c r="U243" i="17"/>
  <c r="X242" i="17"/>
  <c r="W240" i="17"/>
  <c r="W238" i="17"/>
  <c r="T236" i="17"/>
  <c r="V218" i="17"/>
  <c r="R217" i="17"/>
  <c r="W206" i="17"/>
  <c r="S205" i="17"/>
  <c r="R202" i="17"/>
  <c r="S202" i="17"/>
  <c r="T202" i="17"/>
  <c r="V202" i="17"/>
  <c r="S184" i="17"/>
  <c r="R184" i="17"/>
  <c r="U184" i="17"/>
  <c r="V184" i="17"/>
  <c r="X184" i="17"/>
  <c r="W184" i="17"/>
  <c r="W180" i="17"/>
  <c r="S180" i="17"/>
  <c r="U180" i="17"/>
  <c r="V180" i="17"/>
  <c r="S176" i="17"/>
  <c r="R176" i="17"/>
  <c r="U176" i="17"/>
  <c r="V176" i="17"/>
  <c r="X176" i="17"/>
  <c r="X165" i="17"/>
  <c r="T165" i="17"/>
  <c r="S165" i="17"/>
  <c r="U165" i="17"/>
  <c r="V165" i="17"/>
  <c r="W165" i="17"/>
  <c r="X157" i="17"/>
  <c r="R157" i="17"/>
  <c r="T157" i="17"/>
  <c r="S157" i="17"/>
  <c r="U157" i="17"/>
  <c r="V157" i="17"/>
  <c r="W157" i="17"/>
  <c r="T146" i="17"/>
  <c r="R146" i="17"/>
  <c r="S146" i="17"/>
  <c r="U146" i="17"/>
  <c r="V146" i="17"/>
  <c r="W146" i="17"/>
  <c r="X146" i="17"/>
  <c r="S198" i="17"/>
  <c r="V198" i="17"/>
  <c r="X179" i="17"/>
  <c r="S179" i="17"/>
  <c r="T179" i="17"/>
  <c r="V179" i="17"/>
  <c r="T175" i="17"/>
  <c r="X175" i="17"/>
  <c r="R175" i="17"/>
  <c r="S175" i="17"/>
  <c r="V175" i="17"/>
  <c r="W172" i="17"/>
  <c r="R172" i="17"/>
  <c r="S172" i="17"/>
  <c r="T172" i="17"/>
  <c r="U172" i="17"/>
  <c r="V172" i="17"/>
  <c r="S162" i="17"/>
  <c r="R162" i="17"/>
  <c r="T162" i="17"/>
  <c r="V162" i="17"/>
  <c r="U162" i="17"/>
  <c r="W162" i="17"/>
  <c r="X162" i="17"/>
  <c r="V195" i="17"/>
  <c r="S190" i="17"/>
  <c r="V190" i="17"/>
  <c r="X187" i="17"/>
  <c r="S187" i="17"/>
  <c r="T187" i="17"/>
  <c r="V187" i="17"/>
  <c r="U179" i="17"/>
  <c r="U175" i="17"/>
  <c r="X172" i="17"/>
  <c r="R165" i="17"/>
  <c r="V136" i="17"/>
  <c r="U136" i="17"/>
  <c r="R136" i="17"/>
  <c r="S136" i="17"/>
  <c r="T136" i="17"/>
  <c r="W136" i="17"/>
  <c r="X136" i="17"/>
  <c r="V215" i="17"/>
  <c r="V207" i="17"/>
  <c r="X198" i="17"/>
  <c r="T183" i="17"/>
  <c r="R183" i="17"/>
  <c r="S183" i="17"/>
  <c r="V183" i="17"/>
  <c r="R179" i="17"/>
  <c r="V228" i="17"/>
  <c r="V224" i="17"/>
  <c r="V220" i="17"/>
  <c r="V216" i="17"/>
  <c r="T215" i="17"/>
  <c r="V212" i="17"/>
  <c r="V208" i="17"/>
  <c r="T207" i="17"/>
  <c r="V204" i="17"/>
  <c r="V200" i="17"/>
  <c r="W198" i="17"/>
  <c r="T197" i="17"/>
  <c r="W197" i="17"/>
  <c r="X195" i="17"/>
  <c r="X190" i="17"/>
  <c r="U188" i="17"/>
  <c r="V188" i="17"/>
  <c r="X188" i="17"/>
  <c r="W189" i="17"/>
  <c r="T174" i="17"/>
  <c r="X167" i="17"/>
  <c r="R163" i="17"/>
  <c r="U163" i="17"/>
  <c r="X163" i="17"/>
  <c r="R161" i="17"/>
  <c r="R155" i="17"/>
  <c r="U155" i="17"/>
  <c r="V155" i="17"/>
  <c r="X155" i="17"/>
  <c r="T161" i="17"/>
  <c r="S161" i="17"/>
  <c r="X118" i="17"/>
  <c r="S118" i="17"/>
  <c r="T118" i="17"/>
  <c r="U118" i="17"/>
  <c r="V118" i="17"/>
  <c r="W118" i="17"/>
  <c r="R118" i="17"/>
  <c r="R174" i="17"/>
  <c r="T167" i="17"/>
  <c r="U166" i="17"/>
  <c r="X158" i="17"/>
  <c r="T166" i="17"/>
  <c r="X159" i="17"/>
  <c r="U158" i="17"/>
  <c r="T153" i="17"/>
  <c r="S153" i="17"/>
  <c r="V153" i="17"/>
  <c r="V167" i="17"/>
  <c r="U167" i="17"/>
  <c r="X161" i="17"/>
  <c r="R158" i="17"/>
  <c r="X174" i="17"/>
  <c r="W161" i="17"/>
  <c r="V159" i="17"/>
  <c r="U159" i="17"/>
  <c r="W159" i="17"/>
  <c r="S154" i="17"/>
  <c r="R154" i="17"/>
  <c r="T154" i="17"/>
  <c r="V154" i="17"/>
  <c r="X154" i="17"/>
  <c r="T125" i="17"/>
  <c r="W125" i="17"/>
  <c r="R125" i="17"/>
  <c r="S125" i="17"/>
  <c r="U125" i="17"/>
  <c r="V125" i="17"/>
  <c r="X125" i="17"/>
  <c r="W166" i="17"/>
  <c r="S166" i="17"/>
  <c r="V166" i="17"/>
  <c r="V161" i="17"/>
  <c r="R159" i="17"/>
  <c r="W158" i="17"/>
  <c r="S158" i="17"/>
  <c r="T158" i="17"/>
  <c r="V158" i="17"/>
  <c r="W150" i="17"/>
  <c r="S150" i="17"/>
  <c r="T150" i="17"/>
  <c r="U150" i="17"/>
  <c r="V150" i="17"/>
  <c r="X134" i="17"/>
  <c r="S134" i="17"/>
  <c r="T134" i="17"/>
  <c r="T147" i="17"/>
  <c r="T142" i="17"/>
  <c r="T133" i="17"/>
  <c r="W133" i="17"/>
  <c r="S142" i="17"/>
  <c r="S131" i="17"/>
  <c r="V131" i="17"/>
  <c r="U131" i="17"/>
  <c r="U145" i="17"/>
  <c r="X145" i="17"/>
  <c r="R142" i="17"/>
  <c r="W138" i="17"/>
  <c r="T130" i="17"/>
  <c r="W130" i="17"/>
  <c r="V151" i="17"/>
  <c r="S147" i="17"/>
  <c r="R147" i="17"/>
  <c r="W134" i="17"/>
  <c r="S123" i="17"/>
  <c r="V123" i="17"/>
  <c r="U123" i="17"/>
  <c r="W123" i="17"/>
  <c r="W151" i="17"/>
  <c r="X147" i="17"/>
  <c r="W145" i="17"/>
  <c r="U138" i="17"/>
  <c r="U137" i="17"/>
  <c r="X137" i="17"/>
  <c r="V134" i="17"/>
  <c r="V133" i="17"/>
  <c r="U151" i="17"/>
  <c r="W147" i="17"/>
  <c r="W142" i="17"/>
  <c r="U134" i="17"/>
  <c r="X131" i="17"/>
  <c r="S115" i="17"/>
  <c r="V115" i="17"/>
  <c r="U115" i="17"/>
  <c r="W115" i="17"/>
  <c r="X115" i="17"/>
  <c r="T108" i="17"/>
  <c r="X108" i="17"/>
  <c r="R108" i="17"/>
  <c r="S108" i="17"/>
  <c r="U108" i="17"/>
  <c r="V108" i="17"/>
  <c r="W108" i="17"/>
  <c r="S113" i="17"/>
  <c r="X104" i="17"/>
  <c r="U104" i="17"/>
  <c r="S104" i="17"/>
  <c r="W104" i="17"/>
  <c r="W98" i="17"/>
  <c r="W113" i="17"/>
  <c r="R113" i="17"/>
  <c r="U113" i="17"/>
  <c r="X112" i="17"/>
  <c r="S112" i="17"/>
  <c r="R104" i="17"/>
  <c r="T122" i="17"/>
  <c r="W122" i="17"/>
  <c r="X117" i="17"/>
  <c r="S103" i="17"/>
  <c r="W103" i="17"/>
  <c r="X103" i="17"/>
  <c r="R103" i="17"/>
  <c r="W117" i="17"/>
  <c r="V103" i="17"/>
  <c r="R87" i="17"/>
  <c r="S87" i="17"/>
  <c r="T87" i="17"/>
  <c r="U87" i="17"/>
  <c r="V87" i="17"/>
  <c r="W87" i="17"/>
  <c r="X87" i="17"/>
  <c r="V98" i="17"/>
  <c r="S98" i="17"/>
  <c r="T98" i="17"/>
  <c r="U98" i="17"/>
  <c r="X98" i="17"/>
  <c r="W78" i="17"/>
  <c r="X78" i="17"/>
  <c r="R78" i="17"/>
  <c r="S78" i="17"/>
  <c r="T78" i="17"/>
  <c r="V78" i="17"/>
  <c r="U78" i="17"/>
  <c r="R95" i="17"/>
  <c r="T94" i="17"/>
  <c r="S95" i="17"/>
  <c r="U95" i="17"/>
  <c r="R94" i="17"/>
  <c r="S94" i="17"/>
  <c r="S85" i="17"/>
  <c r="V85" i="17"/>
  <c r="W85" i="17"/>
  <c r="X85" i="17"/>
  <c r="W75" i="17"/>
  <c r="S75" i="17"/>
  <c r="V75" i="17"/>
  <c r="X75" i="17"/>
  <c r="T75" i="17"/>
  <c r="V106" i="17"/>
  <c r="T85" i="17"/>
  <c r="X84" i="17"/>
  <c r="T81" i="17"/>
  <c r="W81" i="17"/>
  <c r="R81" i="17"/>
  <c r="S81" i="17"/>
  <c r="U81" i="17"/>
  <c r="V81" i="17"/>
  <c r="X81" i="17"/>
  <c r="X106" i="17"/>
  <c r="R85" i="17"/>
  <c r="X95" i="17"/>
  <c r="T84" i="17"/>
  <c r="R84" i="17"/>
  <c r="S84" i="17"/>
  <c r="X46" i="17"/>
  <c r="S46" i="17"/>
  <c r="W46" i="17"/>
  <c r="U46" i="17"/>
  <c r="R46" i="17"/>
  <c r="T46" i="17"/>
  <c r="V46" i="17"/>
  <c r="W95" i="17"/>
  <c r="W94" i="17"/>
  <c r="R86" i="17"/>
  <c r="X86" i="17"/>
  <c r="S86" i="17"/>
  <c r="U84" i="17"/>
  <c r="X77" i="17"/>
  <c r="S77" i="17"/>
  <c r="R77" i="17"/>
  <c r="T77" i="17"/>
  <c r="V77" i="17"/>
  <c r="T106" i="17"/>
  <c r="W105" i="17"/>
  <c r="X105" i="17"/>
  <c r="V95" i="17"/>
  <c r="V94" i="17"/>
  <c r="V86" i="17"/>
  <c r="U75" i="17"/>
  <c r="R76" i="17"/>
  <c r="T76" i="17"/>
  <c r="X49" i="17"/>
  <c r="R49" i="17"/>
  <c r="S49" i="17"/>
  <c r="T49" i="17"/>
  <c r="U49" i="17"/>
  <c r="V49" i="17"/>
  <c r="W49" i="17"/>
  <c r="X65" i="17"/>
  <c r="R65" i="17"/>
  <c r="S65" i="17"/>
  <c r="T65" i="17"/>
  <c r="V65" i="17"/>
  <c r="U100" i="17"/>
  <c r="U92" i="17"/>
  <c r="X76" i="17"/>
  <c r="R66" i="17"/>
  <c r="X66" i="17"/>
  <c r="V66" i="17"/>
  <c r="W66" i="17"/>
  <c r="T66" i="17"/>
  <c r="S62" i="17"/>
  <c r="T62" i="17"/>
  <c r="R62" i="17"/>
  <c r="U62" i="17"/>
  <c r="V62" i="17"/>
  <c r="W62" i="17"/>
  <c r="X62" i="17"/>
  <c r="W47" i="17"/>
  <c r="R47" i="17"/>
  <c r="T47" i="17"/>
  <c r="U47" i="17"/>
  <c r="V47" i="17"/>
  <c r="X47" i="17"/>
  <c r="S47" i="17"/>
  <c r="R71" i="17"/>
  <c r="W64" i="17"/>
  <c r="T61" i="17"/>
  <c r="X61" i="17"/>
  <c r="X57" i="17"/>
  <c r="R57" i="17"/>
  <c r="S57" i="17"/>
  <c r="T57" i="17"/>
  <c r="T53" i="17"/>
  <c r="R53" i="17"/>
  <c r="S53" i="17"/>
  <c r="U53" i="17"/>
  <c r="X53" i="17"/>
  <c r="T40" i="17"/>
  <c r="V40" i="17"/>
  <c r="W40" i="17"/>
  <c r="X40" i="17"/>
  <c r="S40" i="17"/>
  <c r="U40" i="17"/>
  <c r="V38" i="17"/>
  <c r="X38" i="17"/>
  <c r="S38" i="17"/>
  <c r="W38" i="17"/>
  <c r="T38" i="17"/>
  <c r="U38" i="17"/>
  <c r="T64" i="17"/>
  <c r="W63" i="17"/>
  <c r="V57" i="17"/>
  <c r="V74" i="17"/>
  <c r="X71" i="17"/>
  <c r="V70" i="17"/>
  <c r="U63" i="17"/>
  <c r="W61" i="17"/>
  <c r="U57" i="17"/>
  <c r="X64" i="17"/>
  <c r="V64" i="17"/>
  <c r="S63" i="17"/>
  <c r="R40" i="17"/>
  <c r="V71" i="17"/>
  <c r="S70" i="17"/>
  <c r="X56" i="17"/>
  <c r="R56" i="17"/>
  <c r="V56" i="17"/>
  <c r="U71" i="17"/>
  <c r="R63" i="17"/>
  <c r="V63" i="17"/>
  <c r="T63" i="17"/>
  <c r="W58" i="17"/>
  <c r="T58" i="17"/>
  <c r="U58" i="17"/>
  <c r="V58" i="17"/>
  <c r="R58" i="17"/>
  <c r="T56" i="17"/>
  <c r="T42" i="17"/>
  <c r="W42" i="17"/>
  <c r="S42" i="17"/>
  <c r="U42" i="17"/>
  <c r="V42" i="17"/>
  <c r="X42" i="17"/>
  <c r="R42" i="17"/>
  <c r="T55" i="17"/>
  <c r="R50" i="17"/>
  <c r="X18" i="17"/>
  <c r="V18" i="17"/>
  <c r="W18" i="17"/>
  <c r="R18" i="17"/>
  <c r="T18" i="17"/>
  <c r="R12" i="17"/>
  <c r="S12" i="17"/>
  <c r="T12" i="17"/>
  <c r="U12" i="17"/>
  <c r="V12" i="17"/>
  <c r="W12" i="17"/>
  <c r="X12" i="17"/>
  <c r="X55" i="17"/>
  <c r="V54" i="17"/>
  <c r="V50" i="17"/>
  <c r="R16" i="17"/>
  <c r="S16" i="17"/>
  <c r="V16" i="17"/>
  <c r="W16" i="17"/>
  <c r="X16" i="17"/>
  <c r="T16" i="17"/>
  <c r="V59" i="17"/>
  <c r="U54" i="17"/>
  <c r="V51" i="17"/>
  <c r="U50" i="17"/>
  <c r="V20" i="17"/>
  <c r="W20" i="17"/>
  <c r="R20" i="17"/>
  <c r="S20" i="17"/>
  <c r="T20" i="17"/>
  <c r="X20" i="17"/>
  <c r="S18" i="17"/>
  <c r="W59" i="17"/>
  <c r="V55" i="17"/>
  <c r="T54" i="17"/>
  <c r="W51" i="17"/>
  <c r="T50" i="17"/>
  <c r="X17" i="17"/>
  <c r="R17" i="17"/>
  <c r="V17" i="17"/>
  <c r="W17" i="17"/>
  <c r="T17" i="17"/>
  <c r="S36" i="17"/>
  <c r="R32" i="17"/>
  <c r="S28" i="17"/>
  <c r="R24" i="17"/>
  <c r="S10" i="17"/>
  <c r="T10" i="17"/>
  <c r="U10" i="17"/>
  <c r="V10" i="17"/>
  <c r="W10" i="17"/>
  <c r="X10" i="17"/>
  <c r="V35" i="17"/>
  <c r="X32" i="17"/>
  <c r="V31" i="17"/>
  <c r="V27" i="17"/>
  <c r="X24" i="17"/>
  <c r="V23" i="17"/>
  <c r="U21" i="17"/>
  <c r="V21" i="17"/>
  <c r="R15" i="17"/>
  <c r="S15" i="17"/>
  <c r="T15" i="17"/>
  <c r="R14" i="17"/>
  <c r="S14" i="17"/>
  <c r="T14" i="17"/>
  <c r="U14" i="17"/>
  <c r="U35" i="17"/>
  <c r="U31" i="17"/>
  <c r="U27" i="17"/>
  <c r="U23" i="17"/>
  <c r="V36" i="17"/>
  <c r="T35" i="17"/>
  <c r="V32" i="17"/>
  <c r="S31" i="17"/>
  <c r="V28" i="17"/>
  <c r="T27" i="17"/>
  <c r="V24" i="17"/>
  <c r="S23" i="17"/>
  <c r="R22" i="17"/>
  <c r="X21" i="17"/>
  <c r="R11" i="17"/>
  <c r="S11" i="17"/>
  <c r="T11" i="17"/>
  <c r="U11" i="17"/>
  <c r="V11" i="17"/>
  <c r="W11" i="17"/>
  <c r="X11" i="17"/>
  <c r="R13" i="17"/>
  <c r="S13" i="17"/>
  <c r="T13" i="17"/>
  <c r="U13" i="17"/>
  <c r="V13" i="17"/>
  <c r="T9" i="17"/>
  <c r="U9" i="17"/>
  <c r="V9" i="17"/>
  <c r="W9" i="17"/>
  <c r="X9" i="17"/>
  <c r="R9" i="17"/>
  <c r="FY316" i="6"/>
  <c r="FY314" i="6"/>
  <c r="FY312" i="6"/>
  <c r="FY310" i="6"/>
  <c r="FX316" i="6"/>
  <c r="FX314" i="6"/>
  <c r="FX312" i="6"/>
  <c r="FX310" i="6"/>
  <c r="FY317" i="6"/>
  <c r="FY315" i="6"/>
  <c r="FY313" i="6"/>
  <c r="FY311" i="6"/>
  <c r="FX317" i="6"/>
  <c r="FX315" i="6"/>
  <c r="FX313" i="6"/>
  <c r="FX311" i="6"/>
  <c r="R55" i="23" l="1"/>
  <c r="R59" i="23"/>
  <c r="X155" i="23"/>
  <c r="T127" i="23"/>
  <c r="R95" i="23"/>
  <c r="V290" i="23"/>
  <c r="R269" i="23"/>
  <c r="X330" i="23"/>
  <c r="W290" i="23"/>
  <c r="T269" i="23"/>
  <c r="V84" i="23"/>
  <c r="X84" i="23"/>
  <c r="T84" i="23"/>
  <c r="R84" i="23"/>
  <c r="S84" i="23"/>
  <c r="U84" i="23"/>
  <c r="W84" i="23"/>
  <c r="X87" i="23"/>
  <c r="V87" i="23"/>
  <c r="R87" i="23"/>
  <c r="W87" i="23"/>
  <c r="X119" i="23"/>
  <c r="S119" i="23"/>
  <c r="V119" i="23"/>
  <c r="W119" i="23"/>
  <c r="T119" i="23"/>
  <c r="R119" i="23"/>
  <c r="U119" i="23"/>
  <c r="X162" i="23"/>
  <c r="R229" i="23"/>
  <c r="W229" i="23"/>
  <c r="V191" i="23"/>
  <c r="X133" i="23"/>
  <c r="W133" i="23"/>
  <c r="R133" i="23"/>
  <c r="V133" i="23"/>
  <c r="T266" i="23"/>
  <c r="V266" i="23"/>
  <c r="W266" i="23"/>
  <c r="U266" i="23"/>
  <c r="X266" i="23"/>
  <c r="S266" i="23"/>
  <c r="R266" i="23"/>
  <c r="W277" i="23"/>
  <c r="X202" i="23"/>
  <c r="R202" i="23"/>
  <c r="T202" i="23"/>
  <c r="U202" i="23"/>
  <c r="V202" i="23"/>
  <c r="X291" i="23"/>
  <c r="R291" i="23"/>
  <c r="T267" i="23"/>
  <c r="U267" i="23"/>
  <c r="R267" i="23"/>
  <c r="S267" i="23"/>
  <c r="V267" i="23"/>
  <c r="W267" i="23"/>
  <c r="X55" i="23"/>
  <c r="W202" i="23"/>
  <c r="R127" i="23"/>
  <c r="V95" i="23"/>
  <c r="V218" i="23"/>
  <c r="R162" i="23"/>
  <c r="W138" i="23"/>
  <c r="U191" i="23"/>
  <c r="R330" i="23"/>
  <c r="S269" i="23"/>
  <c r="V330" i="23"/>
  <c r="U73" i="23"/>
  <c r="X73" i="23"/>
  <c r="S73" i="23"/>
  <c r="V73" i="23"/>
  <c r="W74" i="23"/>
  <c r="U74" i="23"/>
  <c r="X74" i="23"/>
  <c r="V74" i="23"/>
  <c r="R57" i="23"/>
  <c r="S57" i="23"/>
  <c r="V57" i="23"/>
  <c r="W57" i="23"/>
  <c r="T57" i="23"/>
  <c r="U57" i="23"/>
  <c r="T154" i="23"/>
  <c r="X154" i="23"/>
  <c r="V154" i="23"/>
  <c r="R154" i="23"/>
  <c r="V186" i="23"/>
  <c r="R186" i="23"/>
  <c r="X186" i="23"/>
  <c r="V242" i="23"/>
  <c r="T242" i="23"/>
  <c r="R242" i="23"/>
  <c r="S242" i="23"/>
  <c r="U242" i="23"/>
  <c r="W242" i="23"/>
  <c r="S315" i="23"/>
  <c r="R315" i="23"/>
  <c r="V315" i="23"/>
  <c r="X315" i="23"/>
  <c r="T141" i="23"/>
  <c r="U141" i="23"/>
  <c r="V141" i="23"/>
  <c r="S141" i="23"/>
  <c r="W141" i="23"/>
  <c r="X141" i="23"/>
  <c r="U318" i="23"/>
  <c r="S318" i="23"/>
  <c r="R364" i="23"/>
  <c r="S364" i="23"/>
  <c r="U364" i="23"/>
  <c r="V364" i="23"/>
  <c r="W364" i="23"/>
  <c r="X364" i="23"/>
  <c r="T364" i="23"/>
  <c r="T88" i="23"/>
  <c r="T133" i="23"/>
  <c r="S95" i="23"/>
  <c r="S162" i="23"/>
  <c r="V291" i="23"/>
  <c r="U291" i="23"/>
  <c r="W326" i="23"/>
  <c r="T310" i="23"/>
  <c r="T326" i="23"/>
  <c r="R277" i="23"/>
  <c r="R90" i="23"/>
  <c r="U90" i="23"/>
  <c r="X90" i="23"/>
  <c r="V90" i="23"/>
  <c r="W90" i="23"/>
  <c r="W91" i="23"/>
  <c r="R65" i="23"/>
  <c r="U65" i="23"/>
  <c r="V135" i="23"/>
  <c r="T170" i="23"/>
  <c r="V170" i="23"/>
  <c r="U286" i="23"/>
  <c r="V286" i="23"/>
  <c r="W286" i="23"/>
  <c r="R340" i="23"/>
  <c r="W195" i="23"/>
  <c r="R195" i="23"/>
  <c r="S195" i="23"/>
  <c r="T195" i="23"/>
  <c r="S59" i="23"/>
  <c r="U234" i="23"/>
  <c r="W234" i="23"/>
  <c r="T234" i="23"/>
  <c r="R234" i="23"/>
  <c r="S234" i="23"/>
  <c r="W275" i="23"/>
  <c r="R275" i="23"/>
  <c r="S275" i="23"/>
  <c r="U275" i="23"/>
  <c r="T275" i="23"/>
  <c r="V275" i="23"/>
  <c r="U87" i="23"/>
  <c r="V59" i="23"/>
  <c r="S88" i="23"/>
  <c r="S133" i="23"/>
  <c r="W162" i="23"/>
  <c r="U138" i="23"/>
  <c r="T291" i="23"/>
  <c r="T294" i="23"/>
  <c r="X326" i="23"/>
  <c r="S277" i="23"/>
  <c r="W53" i="23"/>
  <c r="R53" i="23"/>
  <c r="X103" i="23"/>
  <c r="R103" i="23"/>
  <c r="S63" i="23"/>
  <c r="X63" i="23"/>
  <c r="R63" i="23"/>
  <c r="U194" i="23"/>
  <c r="V194" i="23"/>
  <c r="X194" i="23"/>
  <c r="V115" i="23"/>
  <c r="R115" i="23"/>
  <c r="T243" i="23"/>
  <c r="V243" i="23"/>
  <c r="R243" i="23"/>
  <c r="W243" i="23"/>
  <c r="X243" i="23"/>
  <c r="S243" i="23"/>
  <c r="X107" i="23"/>
  <c r="T321" i="23"/>
  <c r="U321" i="23"/>
  <c r="S321" i="23"/>
  <c r="T117" i="23"/>
  <c r="R117" i="23"/>
  <c r="S117" i="23"/>
  <c r="U117" i="23"/>
  <c r="S346" i="23"/>
  <c r="X245" i="23"/>
  <c r="W245" i="23"/>
  <c r="S354" i="23"/>
  <c r="U95" i="23"/>
  <c r="U197" i="23"/>
  <c r="W197" i="23"/>
  <c r="T197" i="23"/>
  <c r="R197" i="23"/>
  <c r="S197" i="23"/>
  <c r="V197" i="23"/>
  <c r="W218" i="23"/>
  <c r="T218" i="23"/>
  <c r="R218" i="23"/>
  <c r="S218" i="23"/>
  <c r="U218" i="23"/>
  <c r="S290" i="23"/>
  <c r="R290" i="23"/>
  <c r="T330" i="23"/>
  <c r="T87" i="23"/>
  <c r="T59" i="23"/>
  <c r="R88" i="23"/>
  <c r="X127" i="23"/>
  <c r="X138" i="23"/>
  <c r="X229" i="23"/>
  <c r="S229" i="23"/>
  <c r="W191" i="23"/>
  <c r="X277" i="23"/>
  <c r="S291" i="23"/>
  <c r="R294" i="23"/>
  <c r="S330" i="23"/>
  <c r="S207" i="23"/>
  <c r="T207" i="23"/>
  <c r="W207" i="23"/>
  <c r="V207" i="23"/>
  <c r="T250" i="23"/>
  <c r="S250" i="23"/>
  <c r="U250" i="23"/>
  <c r="V250" i="23"/>
  <c r="W250" i="23"/>
  <c r="X250" i="23"/>
  <c r="R250" i="23"/>
  <c r="T80" i="23"/>
  <c r="U80" i="23"/>
  <c r="T178" i="23"/>
  <c r="U178" i="23"/>
  <c r="S139" i="23"/>
  <c r="T139" i="23"/>
  <c r="W139" i="23"/>
  <c r="R139" i="23"/>
  <c r="X139" i="23"/>
  <c r="X124" i="23"/>
  <c r="R283" i="23"/>
  <c r="V283" i="23"/>
  <c r="X283" i="23"/>
  <c r="R348" i="23"/>
  <c r="S334" i="23"/>
  <c r="U334" i="23"/>
  <c r="W324" i="23"/>
  <c r="R324" i="23"/>
  <c r="S55" i="23"/>
  <c r="R258" i="23"/>
  <c r="S258" i="23"/>
  <c r="U258" i="23"/>
  <c r="T258" i="23"/>
  <c r="V258" i="23"/>
  <c r="W258" i="23"/>
  <c r="X258" i="23"/>
  <c r="S155" i="23"/>
  <c r="R155" i="23"/>
  <c r="T155" i="23"/>
  <c r="W155" i="23"/>
  <c r="W310" i="23"/>
  <c r="V310" i="23"/>
  <c r="U310" i="23"/>
  <c r="S87" i="23"/>
  <c r="W55" i="23"/>
  <c r="W59" i="23"/>
  <c r="X88" i="23"/>
  <c r="X234" i="23"/>
  <c r="T138" i="23"/>
  <c r="V229" i="23"/>
  <c r="X191" i="23"/>
  <c r="X310" i="23"/>
  <c r="U330" i="23"/>
  <c r="V277" i="23"/>
  <c r="X71" i="23"/>
  <c r="T183" i="23"/>
  <c r="S183" i="23"/>
  <c r="S226" i="23"/>
  <c r="T226" i="23"/>
  <c r="R226" i="23"/>
  <c r="U226" i="23"/>
  <c r="W226" i="23"/>
  <c r="V247" i="23"/>
  <c r="X231" i="23"/>
  <c r="U231" i="23"/>
  <c r="R131" i="23"/>
  <c r="S131" i="23"/>
  <c r="W131" i="23"/>
  <c r="X131" i="23"/>
  <c r="U356" i="23"/>
  <c r="R356" i="23"/>
  <c r="U332" i="23"/>
  <c r="R332" i="23"/>
  <c r="W127" i="23"/>
  <c r="S127" i="23"/>
  <c r="W269" i="23"/>
  <c r="S294" i="23"/>
  <c r="V294" i="23"/>
  <c r="W294" i="23"/>
  <c r="U326" i="23"/>
  <c r="S326" i="23"/>
  <c r="T55" i="23"/>
  <c r="U59" i="23"/>
  <c r="V88" i="23"/>
  <c r="U127" i="23"/>
  <c r="X95" i="23"/>
  <c r="V234" i="23"/>
  <c r="V162" i="23"/>
  <c r="S138" i="23"/>
  <c r="U229" i="23"/>
  <c r="X275" i="23"/>
  <c r="T191" i="23"/>
  <c r="X290" i="23"/>
  <c r="V326" i="23"/>
  <c r="U269" i="23"/>
  <c r="T277" i="23"/>
  <c r="V269" i="23"/>
  <c r="U49" i="23"/>
  <c r="S49" i="23"/>
  <c r="W49" i="23"/>
  <c r="X49" i="23"/>
  <c r="T49" i="23"/>
  <c r="V49" i="23"/>
  <c r="T93" i="23"/>
  <c r="X82" i="23"/>
  <c r="R82" i="23"/>
  <c r="T82" i="23"/>
  <c r="U82" i="23"/>
  <c r="S82" i="23"/>
  <c r="U62" i="23"/>
  <c r="X62" i="23"/>
  <c r="V62" i="23"/>
  <c r="R62" i="23"/>
  <c r="T62" i="23"/>
  <c r="W66" i="23"/>
  <c r="S86" i="23"/>
  <c r="T86" i="23"/>
  <c r="U86" i="23"/>
  <c r="W86" i="23"/>
  <c r="X86" i="23"/>
  <c r="S157" i="23"/>
  <c r="U157" i="23"/>
  <c r="R311" i="23"/>
  <c r="U311" i="23"/>
  <c r="V311" i="23"/>
  <c r="W311" i="23"/>
  <c r="S338" i="23"/>
  <c r="X99" i="23"/>
  <c r="U18" i="23"/>
  <c r="V18" i="23"/>
  <c r="X18" i="23"/>
  <c r="R18" i="23"/>
  <c r="T18" i="23"/>
  <c r="W18" i="23"/>
  <c r="S18" i="23"/>
  <c r="W111" i="23"/>
  <c r="S111" i="23"/>
  <c r="T111" i="23"/>
  <c r="R111" i="23"/>
  <c r="V111" i="23"/>
  <c r="U111" i="23"/>
  <c r="X111" i="23"/>
  <c r="X61" i="23"/>
  <c r="S61" i="23"/>
  <c r="T61" i="23"/>
  <c r="U61" i="23"/>
  <c r="R61" i="23"/>
  <c r="V61" i="23"/>
  <c r="W61" i="23"/>
  <c r="W223" i="23"/>
  <c r="R223" i="23"/>
  <c r="S223" i="23"/>
  <c r="U223" i="23"/>
  <c r="T223" i="23"/>
  <c r="V223" i="23"/>
  <c r="X223" i="23"/>
  <c r="W239" i="23"/>
  <c r="R239" i="23"/>
  <c r="S239" i="23"/>
  <c r="T239" i="23"/>
  <c r="U239" i="23"/>
  <c r="V239" i="23"/>
  <c r="X239" i="23"/>
  <c r="X37" i="23"/>
  <c r="U37" i="23"/>
  <c r="R37" i="23"/>
  <c r="S37" i="23"/>
  <c r="T37" i="23"/>
  <c r="W37" i="23"/>
  <c r="V37" i="23"/>
  <c r="W46" i="23"/>
  <c r="X46" i="23"/>
  <c r="S46" i="23"/>
  <c r="T46" i="23"/>
  <c r="U46" i="23"/>
  <c r="V46" i="23"/>
  <c r="R46" i="23"/>
  <c r="R51" i="23"/>
  <c r="U51" i="23"/>
  <c r="S51" i="23"/>
  <c r="T51" i="23"/>
  <c r="W51" i="23"/>
  <c r="X51" i="23"/>
  <c r="V51" i="23"/>
  <c r="R92" i="23"/>
  <c r="S92" i="23"/>
  <c r="U92" i="23"/>
  <c r="T92" i="23"/>
  <c r="W92" i="23"/>
  <c r="V92" i="23"/>
  <c r="X92" i="23"/>
  <c r="W81" i="23"/>
  <c r="T81" i="23"/>
  <c r="S81" i="23"/>
  <c r="U81" i="23"/>
  <c r="R81" i="23"/>
  <c r="V81" i="23"/>
  <c r="X81" i="23"/>
  <c r="R167" i="23"/>
  <c r="U167" i="23"/>
  <c r="W167" i="23"/>
  <c r="X167" i="23"/>
  <c r="S167" i="23"/>
  <c r="T167" i="23"/>
  <c r="V167" i="23"/>
  <c r="U172" i="23"/>
  <c r="X172" i="23"/>
  <c r="V172" i="23"/>
  <c r="W172" i="23"/>
  <c r="R172" i="23"/>
  <c r="S172" i="23"/>
  <c r="T172" i="23"/>
  <c r="V203" i="23"/>
  <c r="U203" i="23"/>
  <c r="T203" i="23"/>
  <c r="W203" i="23"/>
  <c r="R203" i="23"/>
  <c r="S203" i="23"/>
  <c r="X203" i="23"/>
  <c r="V163" i="23"/>
  <c r="U163" i="23"/>
  <c r="X163" i="23"/>
  <c r="R163" i="23"/>
  <c r="S163" i="23"/>
  <c r="T163" i="23"/>
  <c r="W163" i="23"/>
  <c r="V224" i="23"/>
  <c r="R224" i="23"/>
  <c r="S224" i="23"/>
  <c r="T224" i="23"/>
  <c r="U224" i="23"/>
  <c r="W224" i="23"/>
  <c r="X224" i="23"/>
  <c r="W263" i="23"/>
  <c r="R263" i="23"/>
  <c r="T263" i="23"/>
  <c r="V263" i="23"/>
  <c r="S263" i="23"/>
  <c r="U263" i="23"/>
  <c r="X263" i="23"/>
  <c r="R270" i="23"/>
  <c r="S270" i="23"/>
  <c r="T270" i="23"/>
  <c r="U270" i="23"/>
  <c r="W270" i="23"/>
  <c r="V270" i="23"/>
  <c r="X270" i="23"/>
  <c r="U297" i="23"/>
  <c r="V297" i="23"/>
  <c r="W297" i="23"/>
  <c r="T297" i="23"/>
  <c r="X297" i="23"/>
  <c r="R297" i="23"/>
  <c r="S297" i="23"/>
  <c r="X280" i="23"/>
  <c r="W280" i="23"/>
  <c r="S280" i="23"/>
  <c r="U280" i="23"/>
  <c r="V280" i="23"/>
  <c r="R280" i="23"/>
  <c r="T280" i="23"/>
  <c r="U306" i="23"/>
  <c r="V306" i="23"/>
  <c r="X306" i="23"/>
  <c r="R306" i="23"/>
  <c r="S306" i="23"/>
  <c r="T306" i="23"/>
  <c r="W306" i="23"/>
  <c r="V282" i="23"/>
  <c r="S282" i="23"/>
  <c r="T282" i="23"/>
  <c r="U282" i="23"/>
  <c r="X282" i="23"/>
  <c r="W282" i="23"/>
  <c r="R282" i="23"/>
  <c r="S325" i="23"/>
  <c r="U325" i="23"/>
  <c r="R325" i="23"/>
  <c r="W325" i="23"/>
  <c r="X325" i="23"/>
  <c r="T325" i="23"/>
  <c r="V325" i="23"/>
  <c r="R175" i="23"/>
  <c r="U175" i="23"/>
  <c r="W175" i="23"/>
  <c r="S175" i="23"/>
  <c r="T175" i="23"/>
  <c r="V175" i="23"/>
  <c r="X175" i="23"/>
  <c r="S259" i="23"/>
  <c r="U259" i="23"/>
  <c r="V259" i="23"/>
  <c r="W259" i="23"/>
  <c r="R259" i="23"/>
  <c r="T259" i="23"/>
  <c r="X259" i="23"/>
  <c r="R13" i="23"/>
  <c r="S13" i="23"/>
  <c r="T13" i="23"/>
  <c r="U13" i="23"/>
  <c r="V13" i="23"/>
  <c r="W13" i="23"/>
  <c r="X13" i="23"/>
  <c r="W52" i="23"/>
  <c r="X52" i="23"/>
  <c r="S52" i="23"/>
  <c r="T52" i="23"/>
  <c r="R52" i="23"/>
  <c r="U52" i="23"/>
  <c r="V52" i="23"/>
  <c r="W68" i="23"/>
  <c r="U68" i="23"/>
  <c r="R68" i="23"/>
  <c r="S68" i="23"/>
  <c r="T68" i="23"/>
  <c r="V68" i="23"/>
  <c r="X68" i="23"/>
  <c r="W60" i="23"/>
  <c r="V60" i="23"/>
  <c r="X60" i="23"/>
  <c r="S60" i="23"/>
  <c r="T60" i="23"/>
  <c r="R60" i="23"/>
  <c r="U60" i="23"/>
  <c r="X69" i="23"/>
  <c r="R69" i="23"/>
  <c r="S69" i="23"/>
  <c r="T69" i="23"/>
  <c r="U69" i="23"/>
  <c r="V69" i="23"/>
  <c r="W69" i="23"/>
  <c r="U72" i="23"/>
  <c r="X72" i="23"/>
  <c r="R72" i="23"/>
  <c r="S72" i="23"/>
  <c r="T72" i="23"/>
  <c r="V72" i="23"/>
  <c r="W72" i="23"/>
  <c r="S42" i="23"/>
  <c r="W42" i="23"/>
  <c r="R42" i="23"/>
  <c r="V42" i="23"/>
  <c r="X42" i="23"/>
  <c r="T42" i="23"/>
  <c r="U42" i="23"/>
  <c r="W200" i="23"/>
  <c r="V200" i="23"/>
  <c r="X200" i="23"/>
  <c r="R200" i="23"/>
  <c r="S200" i="23"/>
  <c r="T200" i="23"/>
  <c r="U200" i="23"/>
  <c r="V147" i="23"/>
  <c r="S147" i="23"/>
  <c r="U147" i="23"/>
  <c r="X147" i="23"/>
  <c r="T147" i="23"/>
  <c r="W147" i="23"/>
  <c r="R147" i="23"/>
  <c r="U188" i="23"/>
  <c r="X188" i="23"/>
  <c r="V188" i="23"/>
  <c r="W188" i="23"/>
  <c r="S188" i="23"/>
  <c r="T188" i="23"/>
  <c r="R188" i="23"/>
  <c r="X209" i="23"/>
  <c r="T209" i="23"/>
  <c r="U209" i="23"/>
  <c r="V209" i="23"/>
  <c r="W209" i="23"/>
  <c r="R209" i="23"/>
  <c r="S209" i="23"/>
  <c r="U261" i="23"/>
  <c r="W261" i="23"/>
  <c r="X261" i="23"/>
  <c r="R261" i="23"/>
  <c r="T261" i="23"/>
  <c r="V261" i="23"/>
  <c r="S261" i="23"/>
  <c r="U265" i="23"/>
  <c r="V265" i="23"/>
  <c r="R265" i="23"/>
  <c r="S265" i="23"/>
  <c r="W265" i="23"/>
  <c r="T265" i="23"/>
  <c r="X265" i="23"/>
  <c r="V305" i="23"/>
  <c r="W305" i="23"/>
  <c r="R305" i="23"/>
  <c r="S305" i="23"/>
  <c r="X305" i="23"/>
  <c r="T305" i="23"/>
  <c r="U305" i="23"/>
  <c r="U314" i="23"/>
  <c r="V314" i="23"/>
  <c r="X314" i="23"/>
  <c r="W314" i="23"/>
  <c r="R314" i="23"/>
  <c r="S314" i="23"/>
  <c r="T314" i="23"/>
  <c r="X368" i="23"/>
  <c r="U368" i="23"/>
  <c r="R368" i="23"/>
  <c r="V368" i="23"/>
  <c r="W368" i="23"/>
  <c r="S368" i="23"/>
  <c r="T368" i="23"/>
  <c r="U289" i="23"/>
  <c r="V289" i="23"/>
  <c r="W289" i="23"/>
  <c r="R289" i="23"/>
  <c r="S289" i="23"/>
  <c r="T289" i="23"/>
  <c r="X289" i="23"/>
  <c r="W329" i="23"/>
  <c r="U329" i="23"/>
  <c r="S329" i="23"/>
  <c r="V329" i="23"/>
  <c r="T329" i="23"/>
  <c r="X329" i="23"/>
  <c r="R329" i="23"/>
  <c r="W345" i="23"/>
  <c r="U345" i="23"/>
  <c r="T345" i="23"/>
  <c r="V345" i="23"/>
  <c r="R345" i="23"/>
  <c r="S345" i="23"/>
  <c r="X345" i="23"/>
  <c r="S367" i="23"/>
  <c r="X367" i="23"/>
  <c r="R367" i="23"/>
  <c r="T367" i="23"/>
  <c r="V367" i="23"/>
  <c r="U367" i="23"/>
  <c r="W367" i="23"/>
  <c r="U48" i="23"/>
  <c r="S48" i="23"/>
  <c r="X48" i="23"/>
  <c r="R48" i="23"/>
  <c r="T48" i="23"/>
  <c r="V48" i="23"/>
  <c r="W48" i="23"/>
  <c r="U144" i="23"/>
  <c r="W144" i="23"/>
  <c r="R144" i="23"/>
  <c r="S144" i="23"/>
  <c r="V144" i="23"/>
  <c r="T144" i="23"/>
  <c r="X144" i="23"/>
  <c r="V39" i="23"/>
  <c r="U39" i="23"/>
  <c r="R39" i="23"/>
  <c r="S39" i="23"/>
  <c r="T39" i="23"/>
  <c r="X39" i="23"/>
  <c r="W39" i="23"/>
  <c r="W54" i="23"/>
  <c r="S54" i="23"/>
  <c r="R54" i="23"/>
  <c r="V54" i="23"/>
  <c r="X54" i="23"/>
  <c r="U54" i="23"/>
  <c r="T54" i="23"/>
  <c r="W109" i="23"/>
  <c r="X109" i="23"/>
  <c r="R109" i="23"/>
  <c r="S109" i="23"/>
  <c r="T109" i="23"/>
  <c r="V109" i="23"/>
  <c r="U109" i="23"/>
  <c r="U83" i="23"/>
  <c r="T83" i="23"/>
  <c r="V83" i="23"/>
  <c r="S83" i="23"/>
  <c r="X83" i="23"/>
  <c r="R83" i="23"/>
  <c r="W83" i="23"/>
  <c r="U97" i="23"/>
  <c r="X97" i="23"/>
  <c r="R97" i="23"/>
  <c r="S97" i="23"/>
  <c r="T97" i="23"/>
  <c r="W97" i="23"/>
  <c r="V97" i="23"/>
  <c r="U113" i="23"/>
  <c r="X113" i="23"/>
  <c r="S113" i="23"/>
  <c r="V113" i="23"/>
  <c r="W113" i="23"/>
  <c r="T113" i="23"/>
  <c r="R113" i="23"/>
  <c r="W192" i="23"/>
  <c r="X192" i="23"/>
  <c r="R192" i="23"/>
  <c r="S192" i="23"/>
  <c r="V192" i="23"/>
  <c r="T192" i="23"/>
  <c r="U192" i="23"/>
  <c r="U148" i="23"/>
  <c r="V148" i="23"/>
  <c r="X148" i="23"/>
  <c r="R148" i="23"/>
  <c r="S148" i="23"/>
  <c r="T148" i="23"/>
  <c r="W148" i="23"/>
  <c r="U156" i="23"/>
  <c r="X156" i="23"/>
  <c r="S156" i="23"/>
  <c r="R156" i="23"/>
  <c r="T156" i="23"/>
  <c r="V156" i="23"/>
  <c r="W156" i="23"/>
  <c r="S182" i="23"/>
  <c r="R182" i="23"/>
  <c r="X182" i="23"/>
  <c r="T182" i="23"/>
  <c r="W182" i="23"/>
  <c r="U182" i="23"/>
  <c r="V182" i="23"/>
  <c r="W184" i="23"/>
  <c r="R184" i="23"/>
  <c r="S184" i="23"/>
  <c r="T184" i="23"/>
  <c r="X184" i="23"/>
  <c r="V184" i="23"/>
  <c r="U184" i="23"/>
  <c r="W208" i="23"/>
  <c r="T208" i="23"/>
  <c r="U208" i="23"/>
  <c r="V208" i="23"/>
  <c r="X208" i="23"/>
  <c r="R208" i="23"/>
  <c r="S208" i="23"/>
  <c r="S251" i="23"/>
  <c r="T251" i="23"/>
  <c r="W251" i="23"/>
  <c r="X251" i="23"/>
  <c r="R251" i="23"/>
  <c r="U251" i="23"/>
  <c r="V251" i="23"/>
  <c r="S333" i="23"/>
  <c r="U333" i="23"/>
  <c r="W333" i="23"/>
  <c r="X333" i="23"/>
  <c r="R333" i="23"/>
  <c r="T333" i="23"/>
  <c r="V333" i="23"/>
  <c r="X262" i="23"/>
  <c r="W262" i="23"/>
  <c r="S262" i="23"/>
  <c r="T262" i="23"/>
  <c r="U262" i="23"/>
  <c r="R262" i="23"/>
  <c r="V262" i="23"/>
  <c r="U322" i="23"/>
  <c r="V322" i="23"/>
  <c r="X322" i="23"/>
  <c r="T322" i="23"/>
  <c r="W322" i="23"/>
  <c r="S322" i="23"/>
  <c r="R322" i="23"/>
  <c r="W361" i="23"/>
  <c r="U361" i="23"/>
  <c r="V361" i="23"/>
  <c r="R361" i="23"/>
  <c r="S361" i="23"/>
  <c r="X361" i="23"/>
  <c r="T361" i="23"/>
  <c r="R285" i="23"/>
  <c r="S285" i="23"/>
  <c r="U285" i="23"/>
  <c r="V285" i="23"/>
  <c r="W285" i="23"/>
  <c r="X285" i="23"/>
  <c r="T285" i="23"/>
  <c r="U64" i="23"/>
  <c r="X64" i="23"/>
  <c r="R64" i="23"/>
  <c r="T64" i="23"/>
  <c r="W64" i="23"/>
  <c r="S64" i="23"/>
  <c r="V64" i="23"/>
  <c r="U126" i="23"/>
  <c r="R126" i="23"/>
  <c r="W126" i="23"/>
  <c r="X126" i="23"/>
  <c r="T126" i="23"/>
  <c r="V126" i="23"/>
  <c r="S126" i="23"/>
  <c r="R143" i="23"/>
  <c r="S143" i="23"/>
  <c r="U143" i="23"/>
  <c r="W143" i="23"/>
  <c r="T143" i="23"/>
  <c r="V143" i="23"/>
  <c r="X143" i="23"/>
  <c r="V130" i="23"/>
  <c r="W130" i="23"/>
  <c r="S130" i="23"/>
  <c r="T130" i="23"/>
  <c r="U130" i="23"/>
  <c r="R130" i="23"/>
  <c r="X130" i="23"/>
  <c r="U56" i="23"/>
  <c r="X56" i="23"/>
  <c r="S56" i="23"/>
  <c r="T56" i="23"/>
  <c r="R56" i="23"/>
  <c r="V56" i="23"/>
  <c r="W56" i="23"/>
  <c r="R75" i="23"/>
  <c r="U75" i="23"/>
  <c r="S75" i="23"/>
  <c r="T75" i="23"/>
  <c r="W75" i="23"/>
  <c r="V75" i="23"/>
  <c r="X75" i="23"/>
  <c r="U164" i="23"/>
  <c r="X164" i="23"/>
  <c r="R164" i="23"/>
  <c r="S164" i="23"/>
  <c r="T164" i="23"/>
  <c r="V164" i="23"/>
  <c r="W164" i="23"/>
  <c r="W101" i="23"/>
  <c r="X101" i="23"/>
  <c r="R101" i="23"/>
  <c r="S101" i="23"/>
  <c r="T101" i="23"/>
  <c r="V101" i="23"/>
  <c r="U101" i="23"/>
  <c r="W168" i="23"/>
  <c r="X168" i="23"/>
  <c r="T168" i="23"/>
  <c r="U168" i="23"/>
  <c r="V168" i="23"/>
  <c r="R168" i="23"/>
  <c r="S168" i="23"/>
  <c r="W116" i="23"/>
  <c r="X116" i="23"/>
  <c r="R116" i="23"/>
  <c r="T116" i="23"/>
  <c r="U116" i="23"/>
  <c r="S116" i="23"/>
  <c r="V116" i="23"/>
  <c r="U196" i="23"/>
  <c r="X196" i="23"/>
  <c r="S196" i="23"/>
  <c r="T196" i="23"/>
  <c r="V196" i="23"/>
  <c r="W196" i="23"/>
  <c r="R196" i="23"/>
  <c r="W160" i="23"/>
  <c r="T160" i="23"/>
  <c r="U160" i="23"/>
  <c r="V160" i="23"/>
  <c r="R160" i="23"/>
  <c r="S160" i="23"/>
  <c r="X160" i="23"/>
  <c r="R260" i="23"/>
  <c r="S260" i="23"/>
  <c r="T260" i="23"/>
  <c r="V260" i="23"/>
  <c r="W260" i="23"/>
  <c r="U260" i="23"/>
  <c r="X260" i="23"/>
  <c r="S365" i="23"/>
  <c r="W365" i="23"/>
  <c r="U365" i="23"/>
  <c r="X365" i="23"/>
  <c r="V365" i="23"/>
  <c r="R365" i="23"/>
  <c r="T365" i="23"/>
  <c r="R278" i="23"/>
  <c r="S278" i="23"/>
  <c r="T278" i="23"/>
  <c r="U278" i="23"/>
  <c r="W278" i="23"/>
  <c r="V278" i="23"/>
  <c r="X278" i="23"/>
  <c r="R236" i="23"/>
  <c r="S236" i="23"/>
  <c r="T236" i="23"/>
  <c r="U236" i="23"/>
  <c r="V236" i="23"/>
  <c r="W236" i="23"/>
  <c r="X236" i="23"/>
  <c r="R293" i="23"/>
  <c r="S293" i="23"/>
  <c r="U293" i="23"/>
  <c r="W293" i="23"/>
  <c r="T293" i="23"/>
  <c r="V293" i="23"/>
  <c r="X293" i="23"/>
  <c r="V274" i="23"/>
  <c r="S274" i="23"/>
  <c r="T274" i="23"/>
  <c r="U274" i="23"/>
  <c r="X274" i="23"/>
  <c r="R274" i="23"/>
  <c r="W274" i="23"/>
  <c r="R151" i="23"/>
  <c r="U151" i="23"/>
  <c r="W151" i="23"/>
  <c r="S151" i="23"/>
  <c r="V151" i="23"/>
  <c r="T151" i="23"/>
  <c r="X151" i="23"/>
  <c r="R301" i="23"/>
  <c r="S301" i="23"/>
  <c r="U301" i="23"/>
  <c r="X301" i="23"/>
  <c r="W301" i="23"/>
  <c r="T301" i="23"/>
  <c r="V301" i="23"/>
  <c r="R309" i="23"/>
  <c r="S309" i="23"/>
  <c r="U309" i="23"/>
  <c r="W309" i="23"/>
  <c r="X309" i="23"/>
  <c r="T309" i="23"/>
  <c r="V309" i="23"/>
  <c r="U26" i="23"/>
  <c r="V26" i="23"/>
  <c r="X26" i="23"/>
  <c r="T26" i="23"/>
  <c r="W26" i="23"/>
  <c r="R26" i="23"/>
  <c r="S26" i="23"/>
  <c r="U40" i="23"/>
  <c r="S40" i="23"/>
  <c r="X40" i="23"/>
  <c r="R40" i="23"/>
  <c r="T40" i="23"/>
  <c r="V40" i="23"/>
  <c r="W40" i="23"/>
  <c r="R21" i="23"/>
  <c r="S21" i="23"/>
  <c r="U21" i="23"/>
  <c r="T21" i="23"/>
  <c r="V21" i="23"/>
  <c r="W21" i="23"/>
  <c r="X21" i="23"/>
  <c r="W76" i="23"/>
  <c r="U76" i="23"/>
  <c r="V76" i="23"/>
  <c r="X76" i="23"/>
  <c r="S76" i="23"/>
  <c r="T76" i="23"/>
  <c r="R76" i="23"/>
  <c r="W176" i="23"/>
  <c r="R176" i="23"/>
  <c r="S176" i="23"/>
  <c r="T176" i="23"/>
  <c r="U176" i="23"/>
  <c r="V176" i="23"/>
  <c r="X176" i="23"/>
  <c r="S150" i="23"/>
  <c r="R150" i="23"/>
  <c r="U150" i="23"/>
  <c r="T150" i="23"/>
  <c r="W150" i="23"/>
  <c r="V150" i="23"/>
  <c r="X150" i="23"/>
  <c r="X246" i="23"/>
  <c r="W246" i="23"/>
  <c r="R246" i="23"/>
  <c r="T246" i="23"/>
  <c r="U246" i="23"/>
  <c r="V246" i="23"/>
  <c r="S246" i="23"/>
  <c r="U271" i="23"/>
  <c r="V271" i="23"/>
  <c r="W271" i="23"/>
  <c r="R271" i="23"/>
  <c r="S271" i="23"/>
  <c r="T271" i="23"/>
  <c r="X271" i="23"/>
  <c r="V264" i="23"/>
  <c r="S264" i="23"/>
  <c r="U264" i="23"/>
  <c r="W264" i="23"/>
  <c r="X264" i="23"/>
  <c r="R264" i="23"/>
  <c r="T264" i="23"/>
  <c r="S341" i="23"/>
  <c r="U341" i="23"/>
  <c r="W341" i="23"/>
  <c r="R341" i="23"/>
  <c r="X341" i="23"/>
  <c r="T341" i="23"/>
  <c r="V341" i="23"/>
  <c r="U34" i="23"/>
  <c r="V34" i="23"/>
  <c r="X34" i="23"/>
  <c r="T34" i="23"/>
  <c r="S34" i="23"/>
  <c r="W34" i="23"/>
  <c r="R34" i="23"/>
  <c r="V33" i="23"/>
  <c r="W33" i="23"/>
  <c r="T33" i="23"/>
  <c r="R33" i="23"/>
  <c r="U33" i="23"/>
  <c r="X33" i="23"/>
  <c r="S33" i="23"/>
  <c r="R29" i="23"/>
  <c r="S29" i="23"/>
  <c r="U29" i="23"/>
  <c r="T29" i="23"/>
  <c r="V29" i="23"/>
  <c r="W29" i="23"/>
  <c r="X29" i="23"/>
  <c r="X45" i="23"/>
  <c r="U45" i="23"/>
  <c r="T45" i="23"/>
  <c r="V45" i="23"/>
  <c r="W45" i="23"/>
  <c r="S45" i="23"/>
  <c r="R45" i="23"/>
  <c r="X77" i="23"/>
  <c r="R77" i="23"/>
  <c r="W77" i="23"/>
  <c r="S77" i="23"/>
  <c r="U77" i="23"/>
  <c r="T77" i="23"/>
  <c r="V77" i="23"/>
  <c r="R78" i="23"/>
  <c r="V78" i="23"/>
  <c r="U78" i="23"/>
  <c r="W78" i="23"/>
  <c r="S78" i="23"/>
  <c r="T78" i="23"/>
  <c r="X78" i="23"/>
  <c r="X128" i="23"/>
  <c r="R128" i="23"/>
  <c r="S128" i="23"/>
  <c r="U128" i="23"/>
  <c r="V128" i="23"/>
  <c r="W128" i="23"/>
  <c r="T128" i="23"/>
  <c r="X145" i="23"/>
  <c r="W145" i="23"/>
  <c r="S145" i="23"/>
  <c r="T145" i="23"/>
  <c r="U145" i="23"/>
  <c r="V145" i="23"/>
  <c r="R145" i="23"/>
  <c r="U105" i="23"/>
  <c r="X105" i="23"/>
  <c r="R105" i="23"/>
  <c r="W105" i="23"/>
  <c r="S105" i="23"/>
  <c r="T105" i="23"/>
  <c r="V105" i="23"/>
  <c r="W152" i="23"/>
  <c r="R152" i="23"/>
  <c r="S152" i="23"/>
  <c r="U152" i="23"/>
  <c r="T152" i="23"/>
  <c r="V152" i="23"/>
  <c r="X152" i="23"/>
  <c r="V171" i="23"/>
  <c r="U171" i="23"/>
  <c r="X171" i="23"/>
  <c r="W171" i="23"/>
  <c r="T171" i="23"/>
  <c r="R171" i="23"/>
  <c r="S171" i="23"/>
  <c r="S211" i="23"/>
  <c r="W211" i="23"/>
  <c r="X211" i="23"/>
  <c r="R211" i="23"/>
  <c r="U211" i="23"/>
  <c r="V211" i="23"/>
  <c r="T211" i="23"/>
  <c r="U204" i="23"/>
  <c r="X204" i="23"/>
  <c r="R204" i="23"/>
  <c r="V204" i="23"/>
  <c r="W204" i="23"/>
  <c r="S204" i="23"/>
  <c r="T204" i="23"/>
  <c r="X254" i="23"/>
  <c r="W254" i="23"/>
  <c r="R254" i="23"/>
  <c r="S254" i="23"/>
  <c r="U254" i="23"/>
  <c r="V254" i="23"/>
  <c r="T254" i="23"/>
  <c r="X272" i="23"/>
  <c r="W272" i="23"/>
  <c r="S272" i="23"/>
  <c r="V272" i="23"/>
  <c r="T272" i="23"/>
  <c r="R272" i="23"/>
  <c r="U272" i="23"/>
  <c r="V240" i="23"/>
  <c r="S240" i="23"/>
  <c r="T240" i="23"/>
  <c r="R240" i="23"/>
  <c r="U240" i="23"/>
  <c r="W240" i="23"/>
  <c r="X240" i="23"/>
  <c r="V256" i="23"/>
  <c r="S256" i="23"/>
  <c r="R256" i="23"/>
  <c r="T256" i="23"/>
  <c r="U256" i="23"/>
  <c r="X256" i="23"/>
  <c r="W256" i="23"/>
  <c r="W337" i="23"/>
  <c r="U337" i="23"/>
  <c r="S337" i="23"/>
  <c r="V337" i="23"/>
  <c r="X337" i="23"/>
  <c r="R337" i="23"/>
  <c r="T337" i="23"/>
  <c r="W353" i="23"/>
  <c r="U353" i="23"/>
  <c r="T353" i="23"/>
  <c r="V353" i="23"/>
  <c r="R353" i="23"/>
  <c r="X353" i="23"/>
  <c r="S353" i="23"/>
  <c r="W215" i="23"/>
  <c r="X215" i="23"/>
  <c r="R215" i="23"/>
  <c r="S215" i="23"/>
  <c r="V215" i="23"/>
  <c r="T215" i="23"/>
  <c r="U215" i="23"/>
  <c r="W38" i="23"/>
  <c r="X38" i="23"/>
  <c r="S38" i="23"/>
  <c r="R38" i="23"/>
  <c r="U38" i="23"/>
  <c r="V38" i="23"/>
  <c r="T38" i="23"/>
  <c r="W137" i="23"/>
  <c r="X137" i="23"/>
  <c r="U137" i="23"/>
  <c r="V137" i="23"/>
  <c r="S137" i="23"/>
  <c r="R137" i="23"/>
  <c r="T137" i="23"/>
  <c r="U279" i="23"/>
  <c r="V279" i="23"/>
  <c r="W279" i="23"/>
  <c r="X279" i="23"/>
  <c r="R279" i="23"/>
  <c r="S279" i="23"/>
  <c r="T279" i="23"/>
  <c r="S12" i="23"/>
  <c r="T12" i="23"/>
  <c r="U12" i="23"/>
  <c r="V12" i="23"/>
  <c r="X12" i="23"/>
  <c r="R12" i="23"/>
  <c r="W12" i="23"/>
  <c r="S58" i="23"/>
  <c r="R58" i="23"/>
  <c r="U58" i="23"/>
  <c r="V58" i="23"/>
  <c r="T58" i="23"/>
  <c r="W58" i="23"/>
  <c r="X58" i="23"/>
  <c r="S44" i="23"/>
  <c r="W44" i="23"/>
  <c r="U44" i="23"/>
  <c r="V44" i="23"/>
  <c r="X44" i="23"/>
  <c r="T44" i="23"/>
  <c r="R44" i="23"/>
  <c r="R67" i="23"/>
  <c r="U67" i="23"/>
  <c r="T67" i="23"/>
  <c r="S67" i="23"/>
  <c r="V67" i="23"/>
  <c r="W67" i="23"/>
  <c r="X67" i="23"/>
  <c r="R159" i="23"/>
  <c r="U159" i="23"/>
  <c r="W159" i="23"/>
  <c r="T159" i="23"/>
  <c r="V159" i="23"/>
  <c r="X159" i="23"/>
  <c r="S159" i="23"/>
  <c r="U118" i="23"/>
  <c r="V118" i="23"/>
  <c r="S118" i="23"/>
  <c r="T118" i="23"/>
  <c r="R118" i="23"/>
  <c r="W118" i="23"/>
  <c r="X118" i="23"/>
  <c r="S349" i="23"/>
  <c r="U349" i="23"/>
  <c r="R349" i="23"/>
  <c r="T349" i="23"/>
  <c r="V349" i="23"/>
  <c r="W349" i="23"/>
  <c r="X349" i="23"/>
  <c r="R317" i="23"/>
  <c r="S317" i="23"/>
  <c r="U317" i="23"/>
  <c r="X317" i="23"/>
  <c r="V317" i="23"/>
  <c r="W317" i="23"/>
  <c r="T317" i="23"/>
  <c r="R212" i="23"/>
  <c r="S212" i="23"/>
  <c r="T212" i="23"/>
  <c r="U212" i="23"/>
  <c r="V212" i="23"/>
  <c r="W212" i="23"/>
  <c r="X212" i="23"/>
  <c r="S357" i="23"/>
  <c r="U357" i="23"/>
  <c r="T357" i="23"/>
  <c r="R357" i="23"/>
  <c r="W357" i="23"/>
  <c r="V357" i="23"/>
  <c r="X357" i="23"/>
  <c r="U102" i="22"/>
  <c r="T102" i="22"/>
  <c r="V102" i="22"/>
  <c r="R102" i="22"/>
  <c r="S102" i="22"/>
  <c r="W102" i="22"/>
  <c r="X102" i="22"/>
  <c r="X203" i="22"/>
  <c r="W203" i="22"/>
  <c r="T203" i="22"/>
  <c r="U203" i="22"/>
  <c r="V203" i="22"/>
  <c r="R203" i="22"/>
  <c r="S203" i="22"/>
  <c r="U264" i="22"/>
  <c r="T264" i="22"/>
  <c r="R264" i="22"/>
  <c r="S264" i="22"/>
  <c r="V264" i="22"/>
  <c r="W264" i="22"/>
  <c r="X264" i="22"/>
  <c r="X720" i="22"/>
  <c r="R720" i="22"/>
  <c r="U720" i="22"/>
  <c r="S720" i="22"/>
  <c r="T720" i="22"/>
  <c r="V720" i="22"/>
  <c r="W720" i="22"/>
  <c r="R209" i="22"/>
  <c r="S209" i="22"/>
  <c r="T209" i="22"/>
  <c r="U209" i="22"/>
  <c r="V209" i="22"/>
  <c r="W209" i="22"/>
  <c r="X209" i="22"/>
  <c r="X486" i="22"/>
  <c r="R486" i="22"/>
  <c r="W486" i="22"/>
  <c r="S486" i="22"/>
  <c r="T486" i="22"/>
  <c r="U486" i="22"/>
  <c r="V486" i="22"/>
  <c r="R458" i="22"/>
  <c r="U458" i="22"/>
  <c r="T458" i="22"/>
  <c r="W458" i="22"/>
  <c r="S458" i="22"/>
  <c r="V458" i="22"/>
  <c r="X458" i="22"/>
  <c r="S467" i="22"/>
  <c r="T467" i="22"/>
  <c r="X467" i="22"/>
  <c r="U467" i="22"/>
  <c r="V467" i="22"/>
  <c r="W467" i="22"/>
  <c r="R467" i="22"/>
  <c r="V848" i="22"/>
  <c r="W848" i="22"/>
  <c r="X848" i="22"/>
  <c r="S848" i="22"/>
  <c r="U848" i="22"/>
  <c r="T848" i="22"/>
  <c r="R848" i="22"/>
  <c r="S846" i="22"/>
  <c r="R846" i="22"/>
  <c r="T846" i="22"/>
  <c r="U846" i="22"/>
  <c r="W846" i="22"/>
  <c r="V846" i="22"/>
  <c r="X846" i="22"/>
  <c r="V746" i="22"/>
  <c r="W746" i="22"/>
  <c r="X746" i="22"/>
  <c r="S746" i="22"/>
  <c r="T746" i="22"/>
  <c r="U746" i="22"/>
  <c r="R746" i="22"/>
  <c r="W93" i="22"/>
  <c r="T93" i="22"/>
  <c r="R93" i="22"/>
  <c r="X93" i="22"/>
  <c r="V93" i="22"/>
  <c r="S93" i="22"/>
  <c r="U93" i="22"/>
  <c r="U173" i="22"/>
  <c r="X173" i="22"/>
  <c r="S173" i="22"/>
  <c r="T173" i="22"/>
  <c r="V173" i="22"/>
  <c r="W173" i="22"/>
  <c r="R173" i="22"/>
  <c r="U133" i="22"/>
  <c r="R133" i="22"/>
  <c r="W133" i="22"/>
  <c r="X133" i="22"/>
  <c r="S133" i="22"/>
  <c r="T133" i="22"/>
  <c r="V133" i="22"/>
  <c r="R282" i="22"/>
  <c r="V282" i="22"/>
  <c r="W282" i="22"/>
  <c r="X282" i="22"/>
  <c r="S282" i="22"/>
  <c r="T282" i="22"/>
  <c r="U282" i="22"/>
  <c r="X292" i="22"/>
  <c r="R292" i="22"/>
  <c r="S292" i="22"/>
  <c r="T292" i="22"/>
  <c r="U292" i="22"/>
  <c r="V292" i="22"/>
  <c r="W292" i="22"/>
  <c r="W451" i="22"/>
  <c r="V451" i="22"/>
  <c r="R451" i="22"/>
  <c r="T451" i="22"/>
  <c r="U451" i="22"/>
  <c r="X451" i="22"/>
  <c r="S451" i="22"/>
  <c r="X428" i="22"/>
  <c r="R428" i="22"/>
  <c r="U428" i="22"/>
  <c r="V428" i="22"/>
  <c r="W428" i="22"/>
  <c r="S428" i="22"/>
  <c r="T428" i="22"/>
  <c r="V824" i="22"/>
  <c r="W824" i="22"/>
  <c r="X824" i="22"/>
  <c r="S824" i="22"/>
  <c r="R824" i="22"/>
  <c r="T824" i="22"/>
  <c r="U824" i="22"/>
  <c r="U739" i="22"/>
  <c r="V739" i="22"/>
  <c r="W739" i="22"/>
  <c r="S739" i="22"/>
  <c r="T739" i="22"/>
  <c r="X739" i="22"/>
  <c r="R739" i="22"/>
  <c r="X736" i="22"/>
  <c r="R736" i="22"/>
  <c r="S736" i="22"/>
  <c r="T736" i="22"/>
  <c r="U736" i="22"/>
  <c r="V736" i="22"/>
  <c r="W736" i="22"/>
  <c r="X17" i="22"/>
  <c r="R17" i="22"/>
  <c r="S17" i="22"/>
  <c r="T17" i="22"/>
  <c r="U17" i="22"/>
  <c r="V17" i="22"/>
  <c r="W17" i="22"/>
  <c r="R46" i="22"/>
  <c r="W46" i="22"/>
  <c r="S46" i="22"/>
  <c r="X46" i="22"/>
  <c r="T46" i="22"/>
  <c r="U46" i="22"/>
  <c r="V46" i="22"/>
  <c r="U56" i="22"/>
  <c r="X56" i="22"/>
  <c r="T56" i="22"/>
  <c r="V56" i="22"/>
  <c r="S56" i="22"/>
  <c r="W56" i="22"/>
  <c r="R56" i="22"/>
  <c r="X48" i="22"/>
  <c r="S48" i="22"/>
  <c r="U48" i="22"/>
  <c r="T48" i="22"/>
  <c r="R48" i="22"/>
  <c r="W48" i="22"/>
  <c r="V48" i="22"/>
  <c r="U141" i="22"/>
  <c r="R141" i="22"/>
  <c r="S141" i="22"/>
  <c r="T141" i="22"/>
  <c r="V141" i="22"/>
  <c r="W141" i="22"/>
  <c r="X141" i="22"/>
  <c r="X83" i="22"/>
  <c r="U83" i="22"/>
  <c r="V83" i="22"/>
  <c r="T83" i="22"/>
  <c r="W83" i="22"/>
  <c r="R83" i="22"/>
  <c r="S83" i="22"/>
  <c r="W161" i="22"/>
  <c r="X161" i="22"/>
  <c r="S161" i="22"/>
  <c r="T161" i="22"/>
  <c r="U161" i="22"/>
  <c r="V161" i="22"/>
  <c r="R161" i="22"/>
  <c r="U165" i="22"/>
  <c r="X165" i="22"/>
  <c r="R165" i="22"/>
  <c r="S165" i="22"/>
  <c r="T165" i="22"/>
  <c r="V165" i="22"/>
  <c r="W165" i="22"/>
  <c r="X195" i="22"/>
  <c r="W195" i="22"/>
  <c r="T195" i="22"/>
  <c r="U195" i="22"/>
  <c r="V195" i="22"/>
  <c r="S195" i="22"/>
  <c r="R195" i="22"/>
  <c r="U256" i="22"/>
  <c r="R256" i="22"/>
  <c r="T256" i="22"/>
  <c r="S256" i="22"/>
  <c r="V256" i="22"/>
  <c r="W256" i="22"/>
  <c r="X256" i="22"/>
  <c r="X122" i="22"/>
  <c r="R122" i="22"/>
  <c r="S122" i="22"/>
  <c r="T122" i="22"/>
  <c r="W122" i="22"/>
  <c r="U122" i="22"/>
  <c r="V122" i="22"/>
  <c r="V271" i="22"/>
  <c r="R271" i="22"/>
  <c r="S271" i="22"/>
  <c r="U271" i="22"/>
  <c r="W271" i="22"/>
  <c r="T271" i="22"/>
  <c r="X271" i="22"/>
  <c r="U272" i="22"/>
  <c r="T272" i="22"/>
  <c r="V272" i="22"/>
  <c r="W272" i="22"/>
  <c r="X272" i="22"/>
  <c r="R272" i="22"/>
  <c r="S272" i="22"/>
  <c r="R330" i="22"/>
  <c r="W330" i="22"/>
  <c r="S330" i="22"/>
  <c r="T330" i="22"/>
  <c r="U330" i="22"/>
  <c r="V330" i="22"/>
  <c r="X330" i="22"/>
  <c r="V310" i="22"/>
  <c r="X310" i="22"/>
  <c r="T310" i="22"/>
  <c r="U310" i="22"/>
  <c r="W310" i="22"/>
  <c r="R310" i="22"/>
  <c r="S310" i="22"/>
  <c r="R306" i="22"/>
  <c r="W306" i="22"/>
  <c r="X306" i="22"/>
  <c r="S306" i="22"/>
  <c r="T306" i="22"/>
  <c r="U306" i="22"/>
  <c r="V306" i="22"/>
  <c r="U343" i="22"/>
  <c r="V343" i="22"/>
  <c r="W343" i="22"/>
  <c r="X343" i="22"/>
  <c r="R343" i="22"/>
  <c r="S343" i="22"/>
  <c r="T343" i="22"/>
  <c r="U351" i="22"/>
  <c r="X351" i="22"/>
  <c r="S351" i="22"/>
  <c r="V351" i="22"/>
  <c r="R351" i="22"/>
  <c r="T351" i="22"/>
  <c r="W351" i="22"/>
  <c r="W427" i="22"/>
  <c r="T427" i="22"/>
  <c r="U427" i="22"/>
  <c r="R427" i="22"/>
  <c r="S427" i="22"/>
  <c r="V427" i="22"/>
  <c r="X427" i="22"/>
  <c r="X380" i="22"/>
  <c r="U380" i="22"/>
  <c r="V380" i="22"/>
  <c r="W380" i="22"/>
  <c r="R380" i="22"/>
  <c r="S380" i="22"/>
  <c r="T380" i="22"/>
  <c r="U423" i="22"/>
  <c r="X423" i="22"/>
  <c r="R423" i="22"/>
  <c r="S423" i="22"/>
  <c r="T423" i="22"/>
  <c r="V423" i="22"/>
  <c r="W423" i="22"/>
  <c r="U399" i="22"/>
  <c r="X399" i="22"/>
  <c r="S399" i="22"/>
  <c r="R399" i="22"/>
  <c r="T399" i="22"/>
  <c r="V399" i="22"/>
  <c r="W399" i="22"/>
  <c r="W429" i="22"/>
  <c r="S429" i="22"/>
  <c r="V429" i="22"/>
  <c r="X429" i="22"/>
  <c r="R429" i="22"/>
  <c r="T429" i="22"/>
  <c r="U429" i="22"/>
  <c r="U383" i="22"/>
  <c r="X383" i="22"/>
  <c r="W383" i="22"/>
  <c r="R383" i="22"/>
  <c r="S383" i="22"/>
  <c r="T383" i="22"/>
  <c r="V383" i="22"/>
  <c r="R434" i="22"/>
  <c r="U434" i="22"/>
  <c r="V434" i="22"/>
  <c r="W434" i="22"/>
  <c r="S434" i="22"/>
  <c r="T434" i="22"/>
  <c r="X434" i="22"/>
  <c r="S449" i="22"/>
  <c r="R449" i="22"/>
  <c r="U449" i="22"/>
  <c r="T449" i="22"/>
  <c r="W449" i="22"/>
  <c r="X449" i="22"/>
  <c r="V449" i="22"/>
  <c r="U465" i="22"/>
  <c r="R465" i="22"/>
  <c r="T465" i="22"/>
  <c r="V465" i="22"/>
  <c r="S465" i="22"/>
  <c r="W465" i="22"/>
  <c r="X465" i="22"/>
  <c r="X478" i="22"/>
  <c r="R478" i="22"/>
  <c r="W478" i="22"/>
  <c r="S478" i="22"/>
  <c r="T478" i="22"/>
  <c r="U478" i="22"/>
  <c r="V478" i="22"/>
  <c r="W419" i="22"/>
  <c r="V419" i="22"/>
  <c r="X419" i="22"/>
  <c r="S419" i="22"/>
  <c r="T419" i="22"/>
  <c r="U419" i="22"/>
  <c r="R419" i="22"/>
  <c r="R508" i="22"/>
  <c r="S508" i="22"/>
  <c r="U508" i="22"/>
  <c r="W508" i="22"/>
  <c r="X508" i="22"/>
  <c r="T508" i="22"/>
  <c r="V508" i="22"/>
  <c r="S574" i="22"/>
  <c r="U574" i="22"/>
  <c r="T574" i="22"/>
  <c r="V574" i="22"/>
  <c r="W574" i="22"/>
  <c r="X574" i="22"/>
  <c r="R574" i="22"/>
  <c r="S606" i="22"/>
  <c r="U606" i="22"/>
  <c r="T606" i="22"/>
  <c r="V606" i="22"/>
  <c r="W606" i="22"/>
  <c r="X606" i="22"/>
  <c r="R606" i="22"/>
  <c r="R671" i="22"/>
  <c r="S671" i="22"/>
  <c r="T671" i="22"/>
  <c r="U671" i="22"/>
  <c r="V671" i="22"/>
  <c r="W671" i="22"/>
  <c r="X671" i="22"/>
  <c r="U521" i="22"/>
  <c r="V521" i="22"/>
  <c r="T521" i="22"/>
  <c r="S521" i="22"/>
  <c r="W521" i="22"/>
  <c r="X521" i="22"/>
  <c r="R521" i="22"/>
  <c r="X640" i="22"/>
  <c r="R640" i="22"/>
  <c r="S640" i="22"/>
  <c r="T640" i="22"/>
  <c r="U640" i="22"/>
  <c r="V640" i="22"/>
  <c r="W640" i="22"/>
  <c r="U675" i="22"/>
  <c r="V675" i="22"/>
  <c r="W675" i="22"/>
  <c r="X675" i="22"/>
  <c r="R675" i="22"/>
  <c r="S675" i="22"/>
  <c r="T675" i="22"/>
  <c r="V864" i="22"/>
  <c r="W864" i="22"/>
  <c r="X864" i="22"/>
  <c r="S864" i="22"/>
  <c r="R864" i="22"/>
  <c r="T864" i="22"/>
  <c r="U864" i="22"/>
  <c r="V754" i="22"/>
  <c r="W754" i="22"/>
  <c r="X754" i="22"/>
  <c r="R754" i="22"/>
  <c r="S754" i="22"/>
  <c r="T754" i="22"/>
  <c r="U754" i="22"/>
  <c r="U529" i="22"/>
  <c r="V529" i="22"/>
  <c r="T529" i="22"/>
  <c r="R529" i="22"/>
  <c r="S529" i="22"/>
  <c r="W529" i="22"/>
  <c r="X529" i="22"/>
  <c r="U643" i="22"/>
  <c r="V643" i="22"/>
  <c r="W643" i="22"/>
  <c r="X643" i="22"/>
  <c r="R643" i="22"/>
  <c r="S643" i="22"/>
  <c r="T643" i="22"/>
  <c r="W737" i="22"/>
  <c r="X737" i="22"/>
  <c r="S737" i="22"/>
  <c r="T737" i="22"/>
  <c r="U737" i="22"/>
  <c r="V737" i="22"/>
  <c r="R737" i="22"/>
  <c r="R743" i="22"/>
  <c r="S743" i="22"/>
  <c r="V743" i="22"/>
  <c r="W743" i="22"/>
  <c r="X743" i="22"/>
  <c r="T743" i="22"/>
  <c r="U743" i="22"/>
  <c r="W858" i="22"/>
  <c r="R858" i="22"/>
  <c r="S858" i="22"/>
  <c r="T858" i="22"/>
  <c r="U858" i="22"/>
  <c r="X858" i="22"/>
  <c r="V858" i="22"/>
  <c r="X744" i="22"/>
  <c r="R744" i="22"/>
  <c r="V744" i="22"/>
  <c r="W744" i="22"/>
  <c r="S744" i="22"/>
  <c r="T744" i="22"/>
  <c r="U744" i="22"/>
  <c r="S814" i="22"/>
  <c r="R814" i="22"/>
  <c r="T814" i="22"/>
  <c r="U814" i="22"/>
  <c r="W814" i="22"/>
  <c r="X814" i="22"/>
  <c r="V814" i="22"/>
  <c r="X84" i="22"/>
  <c r="R84" i="22"/>
  <c r="S84" i="22"/>
  <c r="W84" i="22"/>
  <c r="U84" i="22"/>
  <c r="V84" i="22"/>
  <c r="T84" i="22"/>
  <c r="W363" i="22"/>
  <c r="X363" i="22"/>
  <c r="U363" i="22"/>
  <c r="S363" i="22"/>
  <c r="T363" i="22"/>
  <c r="V363" i="22"/>
  <c r="R363" i="22"/>
  <c r="S385" i="22"/>
  <c r="R385" i="22"/>
  <c r="T385" i="22"/>
  <c r="X385" i="22"/>
  <c r="U385" i="22"/>
  <c r="V385" i="22"/>
  <c r="W385" i="22"/>
  <c r="S622" i="22"/>
  <c r="R622" i="22"/>
  <c r="T622" i="22"/>
  <c r="U622" i="22"/>
  <c r="V622" i="22"/>
  <c r="W622" i="22"/>
  <c r="X622" i="22"/>
  <c r="X680" i="22"/>
  <c r="R680" i="22"/>
  <c r="S680" i="22"/>
  <c r="T680" i="22"/>
  <c r="U680" i="22"/>
  <c r="W680" i="22"/>
  <c r="V680" i="22"/>
  <c r="X704" i="22"/>
  <c r="R704" i="22"/>
  <c r="U704" i="22"/>
  <c r="S704" i="22"/>
  <c r="T704" i="22"/>
  <c r="V704" i="22"/>
  <c r="W704" i="22"/>
  <c r="S14" i="22"/>
  <c r="T14" i="22"/>
  <c r="U14" i="22"/>
  <c r="R14" i="22"/>
  <c r="V14" i="22"/>
  <c r="X14" i="22"/>
  <c r="W14" i="22"/>
  <c r="X25" i="22"/>
  <c r="R25" i="22"/>
  <c r="S25" i="22"/>
  <c r="T25" i="22"/>
  <c r="U25" i="22"/>
  <c r="V25" i="22"/>
  <c r="W25" i="22"/>
  <c r="R38" i="22"/>
  <c r="W38" i="22"/>
  <c r="V38" i="22"/>
  <c r="X38" i="22"/>
  <c r="S38" i="22"/>
  <c r="T38" i="22"/>
  <c r="U38" i="22"/>
  <c r="U43" i="22"/>
  <c r="W43" i="22"/>
  <c r="R43" i="22"/>
  <c r="V43" i="22"/>
  <c r="X43" i="22"/>
  <c r="S43" i="22"/>
  <c r="T43" i="22"/>
  <c r="W52" i="22"/>
  <c r="T52" i="22"/>
  <c r="U52" i="22"/>
  <c r="S52" i="22"/>
  <c r="V52" i="22"/>
  <c r="X52" i="22"/>
  <c r="R52" i="22"/>
  <c r="S65" i="22"/>
  <c r="W65" i="22"/>
  <c r="R65" i="22"/>
  <c r="X65" i="22"/>
  <c r="V65" i="22"/>
  <c r="T65" i="22"/>
  <c r="U65" i="22"/>
  <c r="S112" i="22"/>
  <c r="X112" i="22"/>
  <c r="T112" i="22"/>
  <c r="U112" i="22"/>
  <c r="V112" i="22"/>
  <c r="W112" i="22"/>
  <c r="R112" i="22"/>
  <c r="R290" i="22"/>
  <c r="V290" i="22"/>
  <c r="W290" i="22"/>
  <c r="X290" i="22"/>
  <c r="S290" i="22"/>
  <c r="T290" i="22"/>
  <c r="U290" i="22"/>
  <c r="X237" i="22"/>
  <c r="R237" i="22"/>
  <c r="S237" i="22"/>
  <c r="T237" i="22"/>
  <c r="V237" i="22"/>
  <c r="W237" i="22"/>
  <c r="U237" i="22"/>
  <c r="U295" i="22"/>
  <c r="R295" i="22"/>
  <c r="T295" i="22"/>
  <c r="V295" i="22"/>
  <c r="S295" i="22"/>
  <c r="W295" i="22"/>
  <c r="X295" i="22"/>
  <c r="R307" i="22"/>
  <c r="W307" i="22"/>
  <c r="X307" i="22"/>
  <c r="S307" i="22"/>
  <c r="T307" i="22"/>
  <c r="U307" i="22"/>
  <c r="V307" i="22"/>
  <c r="U319" i="22"/>
  <c r="R319" i="22"/>
  <c r="T319" i="22"/>
  <c r="V319" i="22"/>
  <c r="W319" i="22"/>
  <c r="S319" i="22"/>
  <c r="X319" i="22"/>
  <c r="U359" i="22"/>
  <c r="X359" i="22"/>
  <c r="T359" i="22"/>
  <c r="W359" i="22"/>
  <c r="R359" i="22"/>
  <c r="S359" i="22"/>
  <c r="V359" i="22"/>
  <c r="R322" i="22"/>
  <c r="W322" i="22"/>
  <c r="X322" i="22"/>
  <c r="S322" i="22"/>
  <c r="T322" i="22"/>
  <c r="U322" i="22"/>
  <c r="V322" i="22"/>
  <c r="W443" i="22"/>
  <c r="U443" i="22"/>
  <c r="V443" i="22"/>
  <c r="X443" i="22"/>
  <c r="R443" i="22"/>
  <c r="T443" i="22"/>
  <c r="S443" i="22"/>
  <c r="V334" i="22"/>
  <c r="X334" i="22"/>
  <c r="S334" i="22"/>
  <c r="T334" i="22"/>
  <c r="U334" i="22"/>
  <c r="R334" i="22"/>
  <c r="W334" i="22"/>
  <c r="R339" i="22"/>
  <c r="S339" i="22"/>
  <c r="T339" i="22"/>
  <c r="W339" i="22"/>
  <c r="X339" i="22"/>
  <c r="U339" i="22"/>
  <c r="V339" i="22"/>
  <c r="W403" i="22"/>
  <c r="V403" i="22"/>
  <c r="R403" i="22"/>
  <c r="X403" i="22"/>
  <c r="S403" i="22"/>
  <c r="T403" i="22"/>
  <c r="U403" i="22"/>
  <c r="V390" i="22"/>
  <c r="U390" i="22"/>
  <c r="S390" i="22"/>
  <c r="T390" i="22"/>
  <c r="W390" i="22"/>
  <c r="X390" i="22"/>
  <c r="R390" i="22"/>
  <c r="U375" i="22"/>
  <c r="X375" i="22"/>
  <c r="S375" i="22"/>
  <c r="T375" i="22"/>
  <c r="V375" i="22"/>
  <c r="R375" i="22"/>
  <c r="W375" i="22"/>
  <c r="W445" i="22"/>
  <c r="S445" i="22"/>
  <c r="X445" i="22"/>
  <c r="R445" i="22"/>
  <c r="T445" i="22"/>
  <c r="U445" i="22"/>
  <c r="V445" i="22"/>
  <c r="U447" i="22"/>
  <c r="X447" i="22"/>
  <c r="S447" i="22"/>
  <c r="V447" i="22"/>
  <c r="W447" i="22"/>
  <c r="T447" i="22"/>
  <c r="R447" i="22"/>
  <c r="X470" i="22"/>
  <c r="R470" i="22"/>
  <c r="V470" i="22"/>
  <c r="W470" i="22"/>
  <c r="S470" i="22"/>
  <c r="T470" i="22"/>
  <c r="U470" i="22"/>
  <c r="R516" i="22"/>
  <c r="S516" i="22"/>
  <c r="U516" i="22"/>
  <c r="V516" i="22"/>
  <c r="W516" i="22"/>
  <c r="X516" i="22"/>
  <c r="T516" i="22"/>
  <c r="T549" i="22"/>
  <c r="U549" i="22"/>
  <c r="V549" i="22"/>
  <c r="R549" i="22"/>
  <c r="S549" i="22"/>
  <c r="W549" i="22"/>
  <c r="X549" i="22"/>
  <c r="X518" i="22"/>
  <c r="W518" i="22"/>
  <c r="R518" i="22"/>
  <c r="V518" i="22"/>
  <c r="S518" i="22"/>
  <c r="T518" i="22"/>
  <c r="U518" i="22"/>
  <c r="S598" i="22"/>
  <c r="U598" i="22"/>
  <c r="T598" i="22"/>
  <c r="V598" i="22"/>
  <c r="W598" i="22"/>
  <c r="X598" i="22"/>
  <c r="R598" i="22"/>
  <c r="R647" i="22"/>
  <c r="S647" i="22"/>
  <c r="T647" i="22"/>
  <c r="U647" i="22"/>
  <c r="V647" i="22"/>
  <c r="W647" i="22"/>
  <c r="X647" i="22"/>
  <c r="W626" i="22"/>
  <c r="R626" i="22"/>
  <c r="S626" i="22"/>
  <c r="T626" i="22"/>
  <c r="U626" i="22"/>
  <c r="V626" i="22"/>
  <c r="X626" i="22"/>
  <c r="U691" i="22"/>
  <c r="V691" i="22"/>
  <c r="W691" i="22"/>
  <c r="R691" i="22"/>
  <c r="T691" i="22"/>
  <c r="X691" i="22"/>
  <c r="S691" i="22"/>
  <c r="U723" i="22"/>
  <c r="V723" i="22"/>
  <c r="W723" i="22"/>
  <c r="R723" i="22"/>
  <c r="T723" i="22"/>
  <c r="X723" i="22"/>
  <c r="S723" i="22"/>
  <c r="U659" i="22"/>
  <c r="V659" i="22"/>
  <c r="W659" i="22"/>
  <c r="X659" i="22"/>
  <c r="R659" i="22"/>
  <c r="S659" i="22"/>
  <c r="T659" i="22"/>
  <c r="V840" i="22"/>
  <c r="W840" i="22"/>
  <c r="X840" i="22"/>
  <c r="S840" i="22"/>
  <c r="R840" i="22"/>
  <c r="U840" i="22"/>
  <c r="T840" i="22"/>
  <c r="V810" i="22"/>
  <c r="W810" i="22"/>
  <c r="R810" i="22"/>
  <c r="S810" i="22"/>
  <c r="T810" i="22"/>
  <c r="X810" i="22"/>
  <c r="U810" i="22"/>
  <c r="S830" i="22"/>
  <c r="R830" i="22"/>
  <c r="T830" i="22"/>
  <c r="U830" i="22"/>
  <c r="W830" i="22"/>
  <c r="V830" i="22"/>
  <c r="X830" i="22"/>
  <c r="S870" i="22"/>
  <c r="R870" i="22"/>
  <c r="T870" i="22"/>
  <c r="U870" i="22"/>
  <c r="W870" i="22"/>
  <c r="V870" i="22"/>
  <c r="X870" i="22"/>
  <c r="W69" i="22"/>
  <c r="R69" i="22"/>
  <c r="U69" i="22"/>
  <c r="V69" i="22"/>
  <c r="X69" i="22"/>
  <c r="S69" i="22"/>
  <c r="T69" i="22"/>
  <c r="U110" i="22"/>
  <c r="T110" i="22"/>
  <c r="V110" i="22"/>
  <c r="R110" i="22"/>
  <c r="S110" i="22"/>
  <c r="W110" i="22"/>
  <c r="X110" i="22"/>
  <c r="U287" i="22"/>
  <c r="R287" i="22"/>
  <c r="W287" i="22"/>
  <c r="X287" i="22"/>
  <c r="S287" i="22"/>
  <c r="T287" i="22"/>
  <c r="V287" i="22"/>
  <c r="R418" i="22"/>
  <c r="U418" i="22"/>
  <c r="S418" i="22"/>
  <c r="T418" i="22"/>
  <c r="V418" i="22"/>
  <c r="W418" i="22"/>
  <c r="X418" i="22"/>
  <c r="X494" i="22"/>
  <c r="W494" i="22"/>
  <c r="V494" i="22"/>
  <c r="R494" i="22"/>
  <c r="S494" i="22"/>
  <c r="T494" i="22"/>
  <c r="U494" i="22"/>
  <c r="W459" i="22"/>
  <c r="S459" i="22"/>
  <c r="U459" i="22"/>
  <c r="V459" i="22"/>
  <c r="R459" i="22"/>
  <c r="T459" i="22"/>
  <c r="X459" i="22"/>
  <c r="V326" i="22"/>
  <c r="X326" i="22"/>
  <c r="T326" i="22"/>
  <c r="U326" i="22"/>
  <c r="W326" i="22"/>
  <c r="R326" i="22"/>
  <c r="S326" i="22"/>
  <c r="W809" i="22"/>
  <c r="X809" i="22"/>
  <c r="T809" i="22"/>
  <c r="U809" i="22"/>
  <c r="V809" i="22"/>
  <c r="R809" i="22"/>
  <c r="S809" i="22"/>
  <c r="W818" i="22"/>
  <c r="R818" i="22"/>
  <c r="S818" i="22"/>
  <c r="T818" i="22"/>
  <c r="U818" i="22"/>
  <c r="X818" i="22"/>
  <c r="V818" i="22"/>
  <c r="R120" i="22"/>
  <c r="V120" i="22"/>
  <c r="W120" i="22"/>
  <c r="X120" i="22"/>
  <c r="S120" i="22"/>
  <c r="T120" i="22"/>
  <c r="U120" i="22"/>
  <c r="W54" i="22"/>
  <c r="S54" i="22"/>
  <c r="R54" i="22"/>
  <c r="X54" i="22"/>
  <c r="V54" i="22"/>
  <c r="U54" i="22"/>
  <c r="T54" i="22"/>
  <c r="S73" i="22"/>
  <c r="W73" i="22"/>
  <c r="X73" i="22"/>
  <c r="V73" i="22"/>
  <c r="R73" i="22"/>
  <c r="T73" i="22"/>
  <c r="U73" i="22"/>
  <c r="S58" i="22"/>
  <c r="R58" i="22"/>
  <c r="V58" i="22"/>
  <c r="X58" i="22"/>
  <c r="T58" i="22"/>
  <c r="U58" i="22"/>
  <c r="W58" i="22"/>
  <c r="W187" i="22"/>
  <c r="X187" i="22"/>
  <c r="U187" i="22"/>
  <c r="V187" i="22"/>
  <c r="T187" i="22"/>
  <c r="S187" i="22"/>
  <c r="R187" i="22"/>
  <c r="R298" i="22"/>
  <c r="V298" i="22"/>
  <c r="W298" i="22"/>
  <c r="X298" i="22"/>
  <c r="T298" i="22"/>
  <c r="U298" i="22"/>
  <c r="S298" i="22"/>
  <c r="W177" i="22"/>
  <c r="X177" i="22"/>
  <c r="U177" i="22"/>
  <c r="V177" i="22"/>
  <c r="R177" i="22"/>
  <c r="S177" i="22"/>
  <c r="T177" i="22"/>
  <c r="R314" i="22"/>
  <c r="W314" i="22"/>
  <c r="X314" i="22"/>
  <c r="S314" i="22"/>
  <c r="U314" i="22"/>
  <c r="V314" i="22"/>
  <c r="T314" i="22"/>
  <c r="U303" i="22"/>
  <c r="R303" i="22"/>
  <c r="S303" i="22"/>
  <c r="V303" i="22"/>
  <c r="W303" i="22"/>
  <c r="T303" i="22"/>
  <c r="X303" i="22"/>
  <c r="R323" i="22"/>
  <c r="W323" i="22"/>
  <c r="X323" i="22"/>
  <c r="S323" i="22"/>
  <c r="T323" i="22"/>
  <c r="U323" i="22"/>
  <c r="V323" i="22"/>
  <c r="W355" i="22"/>
  <c r="X355" i="22"/>
  <c r="S355" i="22"/>
  <c r="T355" i="22"/>
  <c r="V355" i="22"/>
  <c r="R355" i="22"/>
  <c r="U355" i="22"/>
  <c r="W371" i="22"/>
  <c r="V371" i="22"/>
  <c r="R371" i="22"/>
  <c r="T371" i="22"/>
  <c r="U371" i="22"/>
  <c r="X371" i="22"/>
  <c r="S371" i="22"/>
  <c r="U415" i="22"/>
  <c r="X415" i="22"/>
  <c r="S415" i="22"/>
  <c r="T415" i="22"/>
  <c r="R415" i="22"/>
  <c r="V415" i="22"/>
  <c r="W415" i="22"/>
  <c r="V446" i="22"/>
  <c r="U446" i="22"/>
  <c r="X446" i="22"/>
  <c r="W446" i="22"/>
  <c r="R446" i="22"/>
  <c r="S446" i="22"/>
  <c r="T446" i="22"/>
  <c r="X412" i="22"/>
  <c r="U412" i="22"/>
  <c r="V412" i="22"/>
  <c r="S412" i="22"/>
  <c r="T412" i="22"/>
  <c r="W412" i="22"/>
  <c r="R412" i="22"/>
  <c r="X510" i="22"/>
  <c r="W510" i="22"/>
  <c r="V510" i="22"/>
  <c r="R510" i="22"/>
  <c r="U510" i="22"/>
  <c r="S510" i="22"/>
  <c r="T510" i="22"/>
  <c r="U473" i="22"/>
  <c r="T473" i="22"/>
  <c r="V473" i="22"/>
  <c r="W473" i="22"/>
  <c r="X473" i="22"/>
  <c r="S473" i="22"/>
  <c r="R473" i="22"/>
  <c r="S550" i="22"/>
  <c r="T550" i="22"/>
  <c r="U550" i="22"/>
  <c r="R550" i="22"/>
  <c r="V550" i="22"/>
  <c r="W550" i="22"/>
  <c r="X550" i="22"/>
  <c r="X485" i="22"/>
  <c r="U485" i="22"/>
  <c r="R485" i="22"/>
  <c r="S485" i="22"/>
  <c r="T485" i="22"/>
  <c r="V485" i="22"/>
  <c r="W485" i="22"/>
  <c r="X534" i="22"/>
  <c r="W534" i="22"/>
  <c r="R534" i="22"/>
  <c r="V534" i="22"/>
  <c r="S534" i="22"/>
  <c r="T534" i="22"/>
  <c r="U534" i="22"/>
  <c r="R540" i="22"/>
  <c r="X540" i="22"/>
  <c r="V540" i="22"/>
  <c r="W540" i="22"/>
  <c r="S540" i="22"/>
  <c r="T540" i="22"/>
  <c r="U540" i="22"/>
  <c r="X656" i="22"/>
  <c r="R656" i="22"/>
  <c r="S656" i="22"/>
  <c r="T656" i="22"/>
  <c r="U656" i="22"/>
  <c r="V656" i="22"/>
  <c r="W656" i="22"/>
  <c r="R735" i="22"/>
  <c r="S735" i="22"/>
  <c r="T735" i="22"/>
  <c r="U735" i="22"/>
  <c r="V735" i="22"/>
  <c r="X735" i="22"/>
  <c r="W735" i="22"/>
  <c r="R719" i="22"/>
  <c r="S719" i="22"/>
  <c r="V719" i="22"/>
  <c r="U719" i="22"/>
  <c r="W719" i="22"/>
  <c r="T719" i="22"/>
  <c r="X719" i="22"/>
  <c r="U149" i="22"/>
  <c r="R149" i="22"/>
  <c r="S149" i="22"/>
  <c r="T149" i="22"/>
  <c r="V149" i="22"/>
  <c r="X149" i="22"/>
  <c r="W149" i="22"/>
  <c r="X229" i="22"/>
  <c r="R229" i="22"/>
  <c r="S229" i="22"/>
  <c r="U229" i="22"/>
  <c r="V229" i="22"/>
  <c r="W229" i="22"/>
  <c r="T229" i="22"/>
  <c r="U240" i="22"/>
  <c r="R240" i="22"/>
  <c r="S240" i="22"/>
  <c r="W240" i="22"/>
  <c r="X240" i="22"/>
  <c r="T240" i="22"/>
  <c r="V240" i="22"/>
  <c r="W387" i="22"/>
  <c r="R387" i="22"/>
  <c r="V387" i="22"/>
  <c r="X387" i="22"/>
  <c r="S387" i="22"/>
  <c r="T387" i="22"/>
  <c r="U387" i="22"/>
  <c r="U331" i="22"/>
  <c r="V331" i="22"/>
  <c r="W331" i="22"/>
  <c r="T331" i="22"/>
  <c r="X331" i="22"/>
  <c r="R331" i="22"/>
  <c r="S331" i="22"/>
  <c r="S558" i="22"/>
  <c r="U558" i="22"/>
  <c r="T558" i="22"/>
  <c r="V558" i="22"/>
  <c r="W558" i="22"/>
  <c r="X558" i="22"/>
  <c r="R558" i="22"/>
  <c r="U513" i="22"/>
  <c r="V513" i="22"/>
  <c r="T513" i="22"/>
  <c r="X513" i="22"/>
  <c r="W513" i="22"/>
  <c r="S513" i="22"/>
  <c r="R513" i="22"/>
  <c r="W866" i="22"/>
  <c r="R866" i="22"/>
  <c r="S866" i="22"/>
  <c r="T866" i="22"/>
  <c r="U866" i="22"/>
  <c r="X866" i="22"/>
  <c r="V866" i="22"/>
  <c r="S854" i="22"/>
  <c r="R854" i="22"/>
  <c r="T854" i="22"/>
  <c r="U854" i="22"/>
  <c r="W854" i="22"/>
  <c r="X854" i="22"/>
  <c r="V854" i="22"/>
  <c r="S22" i="22"/>
  <c r="U22" i="22"/>
  <c r="R22" i="22"/>
  <c r="T22" i="22"/>
  <c r="V22" i="22"/>
  <c r="W22" i="22"/>
  <c r="X22" i="22"/>
  <c r="X113" i="22"/>
  <c r="R113" i="22"/>
  <c r="S113" i="22"/>
  <c r="T113" i="22"/>
  <c r="U113" i="22"/>
  <c r="V113" i="22"/>
  <c r="W113" i="22"/>
  <c r="R346" i="22"/>
  <c r="W346" i="22"/>
  <c r="S346" i="22"/>
  <c r="X346" i="22"/>
  <c r="T346" i="22"/>
  <c r="U346" i="22"/>
  <c r="V346" i="22"/>
  <c r="W357" i="22"/>
  <c r="S357" i="22"/>
  <c r="T357" i="22"/>
  <c r="X357" i="22"/>
  <c r="R357" i="22"/>
  <c r="V357" i="22"/>
  <c r="U357" i="22"/>
  <c r="U439" i="22"/>
  <c r="X439" i="22"/>
  <c r="V439" i="22"/>
  <c r="W439" i="22"/>
  <c r="R439" i="22"/>
  <c r="S439" i="22"/>
  <c r="T439" i="22"/>
  <c r="U391" i="22"/>
  <c r="X391" i="22"/>
  <c r="V391" i="22"/>
  <c r="R391" i="22"/>
  <c r="S391" i="22"/>
  <c r="T391" i="22"/>
  <c r="W391" i="22"/>
  <c r="W610" i="22"/>
  <c r="R610" i="22"/>
  <c r="S610" i="22"/>
  <c r="T610" i="22"/>
  <c r="U610" i="22"/>
  <c r="V610" i="22"/>
  <c r="X610" i="22"/>
  <c r="S614" i="22"/>
  <c r="U614" i="22"/>
  <c r="T614" i="22"/>
  <c r="V614" i="22"/>
  <c r="W614" i="22"/>
  <c r="X614" i="22"/>
  <c r="R614" i="22"/>
  <c r="X664" i="22"/>
  <c r="R664" i="22"/>
  <c r="S664" i="22"/>
  <c r="T664" i="22"/>
  <c r="U664" i="22"/>
  <c r="V664" i="22"/>
  <c r="W664" i="22"/>
  <c r="U715" i="22"/>
  <c r="V715" i="22"/>
  <c r="W715" i="22"/>
  <c r="R715" i="22"/>
  <c r="T715" i="22"/>
  <c r="X715" i="22"/>
  <c r="S715" i="22"/>
  <c r="S39" i="22"/>
  <c r="T39" i="22"/>
  <c r="U39" i="22"/>
  <c r="V39" i="22"/>
  <c r="W39" i="22"/>
  <c r="X39" i="22"/>
  <c r="R39" i="22"/>
  <c r="R128" i="22"/>
  <c r="V128" i="22"/>
  <c r="W128" i="22"/>
  <c r="X128" i="22"/>
  <c r="T128" i="22"/>
  <c r="U128" i="22"/>
  <c r="S128" i="22"/>
  <c r="U79" i="22"/>
  <c r="T79" i="22"/>
  <c r="V79" i="22"/>
  <c r="W79" i="22"/>
  <c r="X79" i="22"/>
  <c r="S79" i="22"/>
  <c r="R79" i="22"/>
  <c r="W155" i="22"/>
  <c r="T155" i="22"/>
  <c r="X155" i="22"/>
  <c r="R155" i="22"/>
  <c r="S155" i="22"/>
  <c r="U155" i="22"/>
  <c r="V155" i="22"/>
  <c r="X138" i="22"/>
  <c r="R138" i="22"/>
  <c r="S138" i="22"/>
  <c r="T138" i="22"/>
  <c r="U138" i="22"/>
  <c r="V138" i="22"/>
  <c r="W138" i="22"/>
  <c r="W204" i="22"/>
  <c r="R204" i="22"/>
  <c r="S204" i="22"/>
  <c r="X204" i="22"/>
  <c r="T204" i="22"/>
  <c r="U204" i="22"/>
  <c r="V204" i="22"/>
  <c r="T280" i="22"/>
  <c r="R280" i="22"/>
  <c r="S280" i="22"/>
  <c r="V280" i="22"/>
  <c r="W280" i="22"/>
  <c r="X280" i="22"/>
  <c r="U280" i="22"/>
  <c r="W395" i="22"/>
  <c r="R395" i="22"/>
  <c r="V395" i="22"/>
  <c r="X395" i="22"/>
  <c r="U395" i="22"/>
  <c r="S395" i="22"/>
  <c r="T395" i="22"/>
  <c r="S337" i="22"/>
  <c r="U337" i="22"/>
  <c r="W337" i="22"/>
  <c r="X337" i="22"/>
  <c r="R337" i="22"/>
  <c r="T337" i="22"/>
  <c r="V337" i="22"/>
  <c r="X324" i="22"/>
  <c r="S324" i="22"/>
  <c r="T324" i="22"/>
  <c r="W324" i="22"/>
  <c r="R324" i="22"/>
  <c r="U324" i="22"/>
  <c r="V324" i="22"/>
  <c r="S475" i="22"/>
  <c r="T475" i="22"/>
  <c r="X475" i="22"/>
  <c r="U475" i="22"/>
  <c r="V475" i="22"/>
  <c r="W475" i="22"/>
  <c r="R475" i="22"/>
  <c r="U497" i="22"/>
  <c r="V497" i="22"/>
  <c r="T497" i="22"/>
  <c r="W497" i="22"/>
  <c r="X497" i="22"/>
  <c r="S497" i="22"/>
  <c r="R497" i="22"/>
  <c r="W495" i="22"/>
  <c r="S495" i="22"/>
  <c r="T495" i="22"/>
  <c r="U495" i="22"/>
  <c r="V495" i="22"/>
  <c r="X495" i="22"/>
  <c r="R495" i="22"/>
  <c r="S566" i="22"/>
  <c r="U566" i="22"/>
  <c r="T566" i="22"/>
  <c r="V566" i="22"/>
  <c r="W566" i="22"/>
  <c r="X566" i="22"/>
  <c r="R566" i="22"/>
  <c r="S590" i="22"/>
  <c r="U590" i="22"/>
  <c r="T590" i="22"/>
  <c r="V590" i="22"/>
  <c r="W590" i="22"/>
  <c r="X590" i="22"/>
  <c r="R590" i="22"/>
  <c r="R663" i="22"/>
  <c r="S663" i="22"/>
  <c r="T663" i="22"/>
  <c r="U663" i="22"/>
  <c r="V663" i="22"/>
  <c r="W663" i="22"/>
  <c r="X663" i="22"/>
  <c r="R679" i="22"/>
  <c r="S679" i="22"/>
  <c r="T679" i="22"/>
  <c r="U679" i="22"/>
  <c r="V679" i="22"/>
  <c r="X679" i="22"/>
  <c r="W679" i="22"/>
  <c r="X632" i="22"/>
  <c r="R632" i="22"/>
  <c r="S632" i="22"/>
  <c r="T632" i="22"/>
  <c r="U632" i="22"/>
  <c r="V632" i="22"/>
  <c r="W632" i="22"/>
  <c r="U699" i="22"/>
  <c r="V699" i="22"/>
  <c r="W699" i="22"/>
  <c r="R699" i="22"/>
  <c r="T699" i="22"/>
  <c r="X699" i="22"/>
  <c r="S699" i="22"/>
  <c r="X696" i="22"/>
  <c r="R696" i="22"/>
  <c r="U696" i="22"/>
  <c r="S696" i="22"/>
  <c r="T696" i="22"/>
  <c r="V696" i="22"/>
  <c r="W696" i="22"/>
  <c r="X712" i="22"/>
  <c r="R712" i="22"/>
  <c r="U712" i="22"/>
  <c r="S712" i="22"/>
  <c r="T712" i="22"/>
  <c r="V712" i="22"/>
  <c r="W712" i="22"/>
  <c r="V856" i="22"/>
  <c r="W856" i="22"/>
  <c r="X856" i="22"/>
  <c r="S856" i="22"/>
  <c r="T856" i="22"/>
  <c r="U856" i="22"/>
  <c r="R856" i="22"/>
  <c r="V730" i="22"/>
  <c r="W730" i="22"/>
  <c r="X730" i="22"/>
  <c r="R730" i="22"/>
  <c r="S730" i="22"/>
  <c r="U730" i="22"/>
  <c r="T730" i="22"/>
  <c r="U651" i="22"/>
  <c r="V651" i="22"/>
  <c r="W651" i="22"/>
  <c r="X651" i="22"/>
  <c r="R651" i="22"/>
  <c r="S651" i="22"/>
  <c r="T651" i="22"/>
  <c r="X688" i="22"/>
  <c r="R688" i="22"/>
  <c r="S688" i="22"/>
  <c r="U688" i="22"/>
  <c r="T688" i="22"/>
  <c r="V688" i="22"/>
  <c r="W688" i="22"/>
  <c r="U635" i="22"/>
  <c r="V635" i="22"/>
  <c r="W635" i="22"/>
  <c r="X635" i="22"/>
  <c r="R635" i="22"/>
  <c r="S635" i="22"/>
  <c r="T635" i="22"/>
  <c r="U667" i="22"/>
  <c r="V667" i="22"/>
  <c r="W667" i="22"/>
  <c r="X667" i="22"/>
  <c r="R667" i="22"/>
  <c r="S667" i="22"/>
  <c r="T667" i="22"/>
  <c r="X825" i="22"/>
  <c r="R825" i="22"/>
  <c r="S825" i="22"/>
  <c r="U825" i="22"/>
  <c r="T825" i="22"/>
  <c r="V825" i="22"/>
  <c r="W825" i="22"/>
  <c r="W842" i="22"/>
  <c r="R842" i="22"/>
  <c r="S842" i="22"/>
  <c r="T842" i="22"/>
  <c r="U842" i="22"/>
  <c r="X842" i="22"/>
  <c r="V842" i="22"/>
  <c r="W850" i="22"/>
  <c r="R850" i="22"/>
  <c r="S850" i="22"/>
  <c r="T850" i="22"/>
  <c r="U850" i="22"/>
  <c r="X850" i="22"/>
  <c r="V850" i="22"/>
  <c r="S838" i="22"/>
  <c r="R838" i="22"/>
  <c r="T838" i="22"/>
  <c r="U838" i="22"/>
  <c r="W838" i="22"/>
  <c r="V838" i="22"/>
  <c r="X838" i="22"/>
  <c r="W826" i="22"/>
  <c r="R826" i="22"/>
  <c r="S826" i="22"/>
  <c r="T826" i="22"/>
  <c r="U826" i="22"/>
  <c r="X826" i="22"/>
  <c r="V826" i="22"/>
  <c r="V279" i="22"/>
  <c r="R279" i="22"/>
  <c r="U279" i="22"/>
  <c r="W279" i="22"/>
  <c r="X279" i="22"/>
  <c r="S279" i="22"/>
  <c r="T279" i="22"/>
  <c r="X526" i="22"/>
  <c r="W526" i="22"/>
  <c r="V526" i="22"/>
  <c r="R526" i="22"/>
  <c r="T526" i="22"/>
  <c r="U526" i="22"/>
  <c r="S526" i="22"/>
  <c r="R655" i="22"/>
  <c r="S655" i="22"/>
  <c r="T655" i="22"/>
  <c r="U655" i="22"/>
  <c r="V655" i="22"/>
  <c r="W655" i="22"/>
  <c r="X655" i="22"/>
  <c r="U683" i="22"/>
  <c r="V683" i="22"/>
  <c r="W683" i="22"/>
  <c r="X683" i="22"/>
  <c r="R683" i="22"/>
  <c r="S683" i="22"/>
  <c r="T683" i="22"/>
  <c r="V738" i="22"/>
  <c r="W738" i="22"/>
  <c r="X738" i="22"/>
  <c r="S738" i="22"/>
  <c r="T738" i="22"/>
  <c r="U738" i="22"/>
  <c r="R738" i="22"/>
  <c r="S862" i="22"/>
  <c r="R862" i="22"/>
  <c r="T862" i="22"/>
  <c r="U862" i="22"/>
  <c r="W862" i="22"/>
  <c r="V862" i="22"/>
  <c r="X862" i="22"/>
  <c r="U248" i="22"/>
  <c r="R248" i="22"/>
  <c r="T248" i="22"/>
  <c r="V248" i="22"/>
  <c r="W248" i="22"/>
  <c r="X248" i="22"/>
  <c r="S248" i="22"/>
  <c r="X316" i="22"/>
  <c r="S316" i="22"/>
  <c r="T316" i="22"/>
  <c r="W316" i="22"/>
  <c r="U316" i="22"/>
  <c r="V316" i="22"/>
  <c r="R316" i="22"/>
  <c r="S361" i="22"/>
  <c r="R361" i="22"/>
  <c r="T361" i="22"/>
  <c r="X361" i="22"/>
  <c r="U361" i="22"/>
  <c r="V361" i="22"/>
  <c r="W361" i="22"/>
  <c r="W618" i="22"/>
  <c r="R618" i="22"/>
  <c r="S618" i="22"/>
  <c r="T618" i="22"/>
  <c r="U618" i="22"/>
  <c r="V618" i="22"/>
  <c r="X618" i="22"/>
  <c r="R631" i="22"/>
  <c r="S631" i="22"/>
  <c r="T631" i="22"/>
  <c r="U631" i="22"/>
  <c r="V631" i="22"/>
  <c r="W631" i="22"/>
  <c r="X631" i="22"/>
  <c r="S30" i="22"/>
  <c r="U30" i="22"/>
  <c r="R30" i="22"/>
  <c r="T30" i="22"/>
  <c r="V30" i="22"/>
  <c r="X30" i="22"/>
  <c r="W30" i="22"/>
  <c r="X33" i="22"/>
  <c r="R33" i="22"/>
  <c r="S33" i="22"/>
  <c r="T33" i="22"/>
  <c r="W33" i="22"/>
  <c r="V33" i="22"/>
  <c r="U33" i="22"/>
  <c r="R51" i="22"/>
  <c r="U51" i="22"/>
  <c r="T51" i="22"/>
  <c r="S51" i="22"/>
  <c r="V51" i="22"/>
  <c r="W51" i="22"/>
  <c r="X51" i="22"/>
  <c r="W41" i="22"/>
  <c r="U41" i="22"/>
  <c r="T41" i="22"/>
  <c r="R41" i="22"/>
  <c r="S41" i="22"/>
  <c r="V41" i="22"/>
  <c r="X41" i="22"/>
  <c r="R136" i="22"/>
  <c r="V136" i="22"/>
  <c r="W136" i="22"/>
  <c r="X136" i="22"/>
  <c r="S136" i="22"/>
  <c r="T136" i="22"/>
  <c r="U136" i="22"/>
  <c r="W60" i="22"/>
  <c r="X60" i="22"/>
  <c r="R60" i="22"/>
  <c r="S60" i="22"/>
  <c r="T60" i="22"/>
  <c r="U60" i="22"/>
  <c r="V60" i="22"/>
  <c r="U125" i="22"/>
  <c r="R125" i="22"/>
  <c r="S125" i="22"/>
  <c r="T125" i="22"/>
  <c r="V125" i="22"/>
  <c r="W125" i="22"/>
  <c r="X125" i="22"/>
  <c r="U117" i="22"/>
  <c r="R117" i="22"/>
  <c r="S117" i="22"/>
  <c r="T117" i="22"/>
  <c r="V117" i="22"/>
  <c r="W117" i="22"/>
  <c r="X117" i="22"/>
  <c r="S175" i="22"/>
  <c r="R175" i="22"/>
  <c r="T175" i="22"/>
  <c r="U175" i="22"/>
  <c r="W175" i="22"/>
  <c r="X175" i="22"/>
  <c r="V175" i="22"/>
  <c r="U335" i="22"/>
  <c r="R335" i="22"/>
  <c r="S335" i="22"/>
  <c r="T335" i="22"/>
  <c r="V335" i="22"/>
  <c r="W335" i="22"/>
  <c r="X335" i="22"/>
  <c r="S266" i="22"/>
  <c r="X266" i="22"/>
  <c r="R266" i="22"/>
  <c r="T266" i="22"/>
  <c r="U266" i="22"/>
  <c r="V266" i="22"/>
  <c r="W266" i="22"/>
  <c r="V318" i="22"/>
  <c r="X318" i="22"/>
  <c r="T318" i="22"/>
  <c r="U318" i="22"/>
  <c r="W318" i="22"/>
  <c r="R318" i="22"/>
  <c r="S318" i="22"/>
  <c r="R315" i="22"/>
  <c r="W315" i="22"/>
  <c r="X315" i="22"/>
  <c r="S315" i="22"/>
  <c r="U315" i="22"/>
  <c r="V315" i="22"/>
  <c r="T315" i="22"/>
  <c r="U327" i="22"/>
  <c r="S327" i="22"/>
  <c r="T327" i="22"/>
  <c r="V327" i="22"/>
  <c r="X327" i="22"/>
  <c r="R327" i="22"/>
  <c r="W327" i="22"/>
  <c r="W379" i="22"/>
  <c r="T379" i="22"/>
  <c r="V379" i="22"/>
  <c r="X379" i="22"/>
  <c r="R379" i="22"/>
  <c r="S379" i="22"/>
  <c r="U379" i="22"/>
  <c r="X356" i="22"/>
  <c r="R356" i="22"/>
  <c r="W356" i="22"/>
  <c r="S356" i="22"/>
  <c r="T356" i="22"/>
  <c r="V356" i="22"/>
  <c r="U356" i="22"/>
  <c r="W349" i="22"/>
  <c r="U349" i="22"/>
  <c r="R349" i="22"/>
  <c r="T349" i="22"/>
  <c r="X349" i="22"/>
  <c r="S349" i="22"/>
  <c r="V349" i="22"/>
  <c r="V374" i="22"/>
  <c r="U374" i="22"/>
  <c r="T374" i="22"/>
  <c r="S374" i="22"/>
  <c r="W374" i="22"/>
  <c r="X374" i="22"/>
  <c r="R374" i="22"/>
  <c r="W435" i="22"/>
  <c r="R435" i="22"/>
  <c r="S435" i="22"/>
  <c r="U435" i="22"/>
  <c r="V435" i="22"/>
  <c r="X435" i="22"/>
  <c r="T435" i="22"/>
  <c r="R524" i="22"/>
  <c r="S524" i="22"/>
  <c r="U524" i="22"/>
  <c r="T524" i="22"/>
  <c r="V524" i="22"/>
  <c r="W524" i="22"/>
  <c r="X524" i="22"/>
  <c r="U537" i="22"/>
  <c r="V537" i="22"/>
  <c r="T537" i="22"/>
  <c r="S537" i="22"/>
  <c r="W537" i="22"/>
  <c r="X537" i="22"/>
  <c r="R537" i="22"/>
  <c r="R639" i="22"/>
  <c r="S639" i="22"/>
  <c r="T639" i="22"/>
  <c r="U639" i="22"/>
  <c r="V639" i="22"/>
  <c r="W639" i="22"/>
  <c r="X639" i="22"/>
  <c r="X477" i="22"/>
  <c r="U477" i="22"/>
  <c r="S477" i="22"/>
  <c r="T477" i="22"/>
  <c r="V477" i="22"/>
  <c r="W477" i="22"/>
  <c r="R477" i="22"/>
  <c r="X672" i="22"/>
  <c r="R672" i="22"/>
  <c r="S672" i="22"/>
  <c r="T672" i="22"/>
  <c r="U672" i="22"/>
  <c r="V672" i="22"/>
  <c r="W672" i="22"/>
  <c r="V832" i="22"/>
  <c r="W832" i="22"/>
  <c r="X832" i="22"/>
  <c r="S832" i="22"/>
  <c r="R832" i="22"/>
  <c r="T832" i="22"/>
  <c r="U832" i="22"/>
  <c r="W834" i="22"/>
  <c r="R834" i="22"/>
  <c r="S834" i="22"/>
  <c r="T834" i="22"/>
  <c r="U834" i="22"/>
  <c r="X834" i="22"/>
  <c r="V834" i="22"/>
  <c r="U747" i="22"/>
  <c r="V747" i="22"/>
  <c r="W747" i="22"/>
  <c r="S747" i="22"/>
  <c r="T747" i="22"/>
  <c r="R747" i="22"/>
  <c r="X747" i="22"/>
  <c r="U533" i="22"/>
  <c r="V533" i="22"/>
  <c r="X533" i="22"/>
  <c r="R533" i="22"/>
  <c r="S533" i="22"/>
  <c r="T533" i="22"/>
  <c r="W533" i="22"/>
  <c r="W34" i="22"/>
  <c r="V34" i="22"/>
  <c r="X34" i="22"/>
  <c r="T34" i="22"/>
  <c r="R34" i="22"/>
  <c r="S34" i="22"/>
  <c r="U34" i="22"/>
  <c r="R144" i="22"/>
  <c r="V144" i="22"/>
  <c r="W144" i="22"/>
  <c r="U144" i="22"/>
  <c r="X144" i="22"/>
  <c r="S144" i="22"/>
  <c r="T144" i="22"/>
  <c r="S167" i="22"/>
  <c r="R167" i="22"/>
  <c r="T167" i="22"/>
  <c r="U167" i="22"/>
  <c r="V167" i="22"/>
  <c r="W167" i="22"/>
  <c r="X167" i="22"/>
  <c r="X211" i="22"/>
  <c r="W211" i="22"/>
  <c r="U211" i="22"/>
  <c r="V211" i="22"/>
  <c r="R211" i="22"/>
  <c r="S211" i="22"/>
  <c r="T211" i="22"/>
  <c r="R185" i="22"/>
  <c r="S185" i="22"/>
  <c r="T185" i="22"/>
  <c r="U185" i="22"/>
  <c r="W185" i="22"/>
  <c r="X185" i="22"/>
  <c r="V185" i="22"/>
  <c r="V263" i="22"/>
  <c r="R263" i="22"/>
  <c r="T263" i="22"/>
  <c r="U263" i="22"/>
  <c r="W263" i="22"/>
  <c r="X263" i="22"/>
  <c r="S263" i="22"/>
  <c r="W169" i="22"/>
  <c r="X169" i="22"/>
  <c r="U169" i="22"/>
  <c r="V169" i="22"/>
  <c r="R169" i="22"/>
  <c r="S169" i="22"/>
  <c r="T169" i="22"/>
  <c r="S216" i="22"/>
  <c r="R216" i="22"/>
  <c r="X216" i="22"/>
  <c r="T216" i="22"/>
  <c r="U216" i="22"/>
  <c r="V216" i="22"/>
  <c r="W216" i="22"/>
  <c r="X245" i="22"/>
  <c r="R245" i="22"/>
  <c r="S245" i="22"/>
  <c r="T245" i="22"/>
  <c r="U245" i="22"/>
  <c r="V245" i="22"/>
  <c r="W245" i="22"/>
  <c r="R338" i="22"/>
  <c r="W338" i="22"/>
  <c r="U338" i="22"/>
  <c r="V338" i="22"/>
  <c r="X338" i="22"/>
  <c r="S338" i="22"/>
  <c r="T338" i="22"/>
  <c r="X308" i="22"/>
  <c r="S308" i="22"/>
  <c r="T308" i="22"/>
  <c r="W308" i="22"/>
  <c r="R308" i="22"/>
  <c r="U308" i="22"/>
  <c r="V308" i="22"/>
  <c r="U311" i="22"/>
  <c r="R311" i="22"/>
  <c r="T311" i="22"/>
  <c r="V311" i="22"/>
  <c r="W311" i="22"/>
  <c r="S311" i="22"/>
  <c r="X311" i="22"/>
  <c r="V350" i="22"/>
  <c r="U350" i="22"/>
  <c r="W350" i="22"/>
  <c r="S350" i="22"/>
  <c r="X350" i="22"/>
  <c r="R350" i="22"/>
  <c r="T350" i="22"/>
  <c r="W411" i="22"/>
  <c r="R411" i="22"/>
  <c r="S411" i="22"/>
  <c r="T411" i="22"/>
  <c r="U411" i="22"/>
  <c r="V411" i="22"/>
  <c r="X411" i="22"/>
  <c r="S433" i="22"/>
  <c r="R433" i="22"/>
  <c r="T433" i="22"/>
  <c r="U433" i="22"/>
  <c r="V433" i="22"/>
  <c r="W433" i="22"/>
  <c r="X433" i="22"/>
  <c r="R500" i="22"/>
  <c r="S500" i="22"/>
  <c r="U500" i="22"/>
  <c r="W500" i="22"/>
  <c r="X500" i="22"/>
  <c r="T500" i="22"/>
  <c r="V500" i="22"/>
  <c r="U505" i="22"/>
  <c r="V505" i="22"/>
  <c r="R505" i="22"/>
  <c r="T505" i="22"/>
  <c r="S505" i="22"/>
  <c r="W505" i="22"/>
  <c r="X505" i="22"/>
  <c r="W479" i="22"/>
  <c r="T479" i="22"/>
  <c r="R479" i="22"/>
  <c r="S479" i="22"/>
  <c r="U479" i="22"/>
  <c r="V479" i="22"/>
  <c r="X479" i="22"/>
  <c r="R532" i="22"/>
  <c r="S532" i="22"/>
  <c r="U532" i="22"/>
  <c r="V532" i="22"/>
  <c r="W532" i="22"/>
  <c r="X532" i="22"/>
  <c r="T532" i="22"/>
  <c r="V624" i="22"/>
  <c r="W624" i="22"/>
  <c r="X624" i="22"/>
  <c r="R624" i="22"/>
  <c r="S624" i="22"/>
  <c r="T624" i="22"/>
  <c r="U624" i="22"/>
  <c r="S582" i="22"/>
  <c r="U582" i="22"/>
  <c r="T582" i="22"/>
  <c r="V582" i="22"/>
  <c r="W582" i="22"/>
  <c r="X582" i="22"/>
  <c r="R582" i="22"/>
  <c r="X648" i="22"/>
  <c r="R648" i="22"/>
  <c r="S648" i="22"/>
  <c r="T648" i="22"/>
  <c r="U648" i="22"/>
  <c r="V648" i="22"/>
  <c r="W648" i="22"/>
  <c r="X502" i="22"/>
  <c r="W502" i="22"/>
  <c r="R502" i="22"/>
  <c r="S502" i="22"/>
  <c r="T502" i="22"/>
  <c r="V502" i="22"/>
  <c r="U502" i="22"/>
  <c r="U707" i="22"/>
  <c r="V707" i="22"/>
  <c r="W707" i="22"/>
  <c r="R707" i="22"/>
  <c r="T707" i="22"/>
  <c r="X707" i="22"/>
  <c r="S707" i="22"/>
  <c r="V872" i="22"/>
  <c r="W872" i="22"/>
  <c r="X872" i="22"/>
  <c r="S872" i="22"/>
  <c r="T872" i="22"/>
  <c r="R872" i="22"/>
  <c r="U872" i="22"/>
  <c r="V786" i="22"/>
  <c r="W786" i="22"/>
  <c r="X786" i="22"/>
  <c r="R786" i="22"/>
  <c r="S786" i="22"/>
  <c r="T786" i="22"/>
  <c r="U786" i="22"/>
  <c r="W745" i="22"/>
  <c r="X745" i="22"/>
  <c r="V745" i="22"/>
  <c r="S745" i="22"/>
  <c r="T745" i="22"/>
  <c r="R745" i="22"/>
  <c r="U745" i="22"/>
  <c r="W874" i="22"/>
  <c r="R874" i="22"/>
  <c r="S874" i="22"/>
  <c r="T874" i="22"/>
  <c r="X874" i="22"/>
  <c r="U874" i="22"/>
  <c r="V874" i="22"/>
  <c r="S822" i="22"/>
  <c r="R822" i="22"/>
  <c r="T822" i="22"/>
  <c r="U822" i="22"/>
  <c r="W822" i="22"/>
  <c r="X822" i="22"/>
  <c r="V822" i="22"/>
  <c r="S109" i="17"/>
  <c r="U109" i="17"/>
  <c r="R109" i="17"/>
  <c r="T109" i="17"/>
  <c r="V109" i="17"/>
  <c r="W109" i="17"/>
  <c r="X109" i="17"/>
  <c r="U121" i="17"/>
  <c r="X121" i="17"/>
  <c r="S121" i="17"/>
  <c r="T121" i="17"/>
  <c r="W121" i="17"/>
  <c r="R121" i="17"/>
  <c r="V121" i="17"/>
  <c r="W229" i="17"/>
  <c r="U229" i="17"/>
  <c r="V229" i="17"/>
  <c r="X229" i="17"/>
  <c r="S229" i="17"/>
  <c r="T229" i="17"/>
  <c r="R229" i="17"/>
  <c r="S304" i="17"/>
  <c r="X304" i="17"/>
  <c r="R304" i="17"/>
  <c r="T304" i="17"/>
  <c r="V304" i="17"/>
  <c r="U304" i="17"/>
  <c r="W304" i="17"/>
  <c r="V537" i="17"/>
  <c r="R537" i="17"/>
  <c r="T537" i="17"/>
  <c r="S537" i="17"/>
  <c r="U537" i="17"/>
  <c r="W537" i="17"/>
  <c r="X537" i="17"/>
  <c r="R718" i="17"/>
  <c r="S718" i="17"/>
  <c r="U718" i="17"/>
  <c r="V718" i="17"/>
  <c r="W718" i="17"/>
  <c r="X718" i="17"/>
  <c r="T718" i="17"/>
  <c r="X88" i="17"/>
  <c r="U88" i="17"/>
  <c r="W88" i="17"/>
  <c r="S88" i="17"/>
  <c r="T88" i="17"/>
  <c r="V88" i="17"/>
  <c r="R88" i="17"/>
  <c r="W67" i="17"/>
  <c r="S67" i="17"/>
  <c r="T67" i="17"/>
  <c r="U67" i="17"/>
  <c r="V67" i="17"/>
  <c r="X67" i="17"/>
  <c r="R67" i="17"/>
  <c r="U168" i="17"/>
  <c r="X168" i="17"/>
  <c r="R168" i="17"/>
  <c r="S168" i="17"/>
  <c r="T168" i="17"/>
  <c r="W168" i="17"/>
  <c r="V168" i="17"/>
  <c r="V173" i="17"/>
  <c r="T173" i="17"/>
  <c r="U173" i="17"/>
  <c r="W173" i="17"/>
  <c r="X173" i="17"/>
  <c r="R173" i="17"/>
  <c r="S173" i="17"/>
  <c r="X126" i="17"/>
  <c r="S126" i="17"/>
  <c r="T126" i="17"/>
  <c r="R126" i="17"/>
  <c r="U126" i="17"/>
  <c r="V126" i="17"/>
  <c r="W126" i="17"/>
  <c r="W164" i="17"/>
  <c r="R164" i="17"/>
  <c r="T164" i="17"/>
  <c r="U164" i="17"/>
  <c r="V164" i="17"/>
  <c r="X164" i="17"/>
  <c r="S164" i="17"/>
  <c r="U247" i="17"/>
  <c r="T247" i="17"/>
  <c r="X247" i="17"/>
  <c r="V247" i="17"/>
  <c r="R247" i="17"/>
  <c r="S247" i="17"/>
  <c r="W247" i="17"/>
  <c r="T227" i="17"/>
  <c r="U227" i="17"/>
  <c r="S227" i="17"/>
  <c r="V227" i="17"/>
  <c r="W227" i="17"/>
  <c r="X227" i="17"/>
  <c r="R227" i="17"/>
  <c r="W253" i="17"/>
  <c r="R253" i="17"/>
  <c r="S253" i="17"/>
  <c r="X253" i="17"/>
  <c r="U253" i="17"/>
  <c r="V253" i="17"/>
  <c r="T253" i="17"/>
  <c r="S265" i="17"/>
  <c r="X265" i="17"/>
  <c r="W265" i="17"/>
  <c r="T265" i="17"/>
  <c r="U265" i="17"/>
  <c r="V265" i="17"/>
  <c r="R265" i="17"/>
  <c r="U271" i="17"/>
  <c r="S271" i="17"/>
  <c r="V271" i="17"/>
  <c r="W271" i="17"/>
  <c r="X271" i="17"/>
  <c r="R271" i="17"/>
  <c r="T271" i="17"/>
  <c r="W346" i="17"/>
  <c r="X346" i="17"/>
  <c r="R346" i="17"/>
  <c r="U346" i="17"/>
  <c r="S346" i="17"/>
  <c r="T346" i="17"/>
  <c r="V346" i="17"/>
  <c r="W340" i="17"/>
  <c r="S340" i="17"/>
  <c r="R340" i="17"/>
  <c r="T340" i="17"/>
  <c r="U340" i="17"/>
  <c r="V340" i="17"/>
  <c r="X340" i="17"/>
  <c r="V425" i="17"/>
  <c r="U425" i="17"/>
  <c r="S425" i="17"/>
  <c r="T425" i="17"/>
  <c r="W425" i="17"/>
  <c r="X425" i="17"/>
  <c r="R425" i="17"/>
  <c r="W376" i="17"/>
  <c r="S376" i="17"/>
  <c r="T376" i="17"/>
  <c r="X376" i="17"/>
  <c r="R376" i="17"/>
  <c r="U376" i="17"/>
  <c r="V376" i="17"/>
  <c r="W446" i="17"/>
  <c r="S446" i="17"/>
  <c r="T446" i="17"/>
  <c r="V446" i="17"/>
  <c r="X446" i="17"/>
  <c r="R446" i="17"/>
  <c r="U446" i="17"/>
  <c r="W520" i="17"/>
  <c r="R520" i="17"/>
  <c r="S520" i="17"/>
  <c r="U520" i="17"/>
  <c r="V520" i="17"/>
  <c r="T520" i="17"/>
  <c r="X520" i="17"/>
  <c r="S485" i="17"/>
  <c r="R485" i="17"/>
  <c r="T485" i="17"/>
  <c r="V485" i="17"/>
  <c r="W485" i="17"/>
  <c r="X485" i="17"/>
  <c r="U485" i="17"/>
  <c r="W495" i="17"/>
  <c r="S495" i="17"/>
  <c r="U495" i="17"/>
  <c r="T495" i="17"/>
  <c r="V495" i="17"/>
  <c r="R495" i="17"/>
  <c r="X495" i="17"/>
  <c r="S580" i="17"/>
  <c r="X580" i="17"/>
  <c r="T580" i="17"/>
  <c r="R580" i="17"/>
  <c r="U580" i="17"/>
  <c r="W580" i="17"/>
  <c r="V580" i="17"/>
  <c r="U649" i="17"/>
  <c r="W649" i="17"/>
  <c r="S649" i="17"/>
  <c r="T649" i="17"/>
  <c r="X649" i="17"/>
  <c r="R649" i="17"/>
  <c r="V649" i="17"/>
  <c r="S685" i="17"/>
  <c r="W685" i="17"/>
  <c r="R685" i="17"/>
  <c r="T685" i="17"/>
  <c r="U685" i="17"/>
  <c r="V685" i="17"/>
  <c r="X685" i="17"/>
  <c r="W745" i="17"/>
  <c r="X745" i="17"/>
  <c r="V745" i="17"/>
  <c r="R745" i="17"/>
  <c r="S745" i="17"/>
  <c r="T745" i="17"/>
  <c r="U745" i="17"/>
  <c r="R510" i="17"/>
  <c r="U510" i="17"/>
  <c r="T510" i="17"/>
  <c r="W510" i="17"/>
  <c r="X510" i="17"/>
  <c r="S510" i="17"/>
  <c r="V510" i="17"/>
  <c r="U731" i="17"/>
  <c r="S731" i="17"/>
  <c r="V731" i="17"/>
  <c r="R731" i="17"/>
  <c r="T731" i="17"/>
  <c r="W731" i="17"/>
  <c r="X731" i="17"/>
  <c r="U723" i="17"/>
  <c r="S723" i="17"/>
  <c r="V723" i="17"/>
  <c r="R723" i="17"/>
  <c r="T723" i="17"/>
  <c r="W723" i="17"/>
  <c r="X723" i="17"/>
  <c r="U800" i="17"/>
  <c r="R800" i="17"/>
  <c r="T800" i="17"/>
  <c r="V800" i="17"/>
  <c r="S800" i="17"/>
  <c r="W800" i="17"/>
  <c r="X800" i="17"/>
  <c r="U755" i="17"/>
  <c r="S755" i="17"/>
  <c r="T755" i="17"/>
  <c r="W755" i="17"/>
  <c r="X755" i="17"/>
  <c r="R755" i="17"/>
  <c r="V755" i="17"/>
  <c r="X851" i="17"/>
  <c r="U851" i="17"/>
  <c r="V851" i="17"/>
  <c r="W851" i="17"/>
  <c r="R851" i="17"/>
  <c r="S851" i="17"/>
  <c r="T851" i="17"/>
  <c r="X867" i="17"/>
  <c r="U867" i="17"/>
  <c r="V867" i="17"/>
  <c r="W867" i="17"/>
  <c r="R867" i="17"/>
  <c r="T867" i="17"/>
  <c r="S867" i="17"/>
  <c r="V722" i="17"/>
  <c r="S722" i="17"/>
  <c r="R722" i="17"/>
  <c r="T722" i="17"/>
  <c r="U722" i="17"/>
  <c r="W722" i="17"/>
  <c r="X722" i="17"/>
  <c r="S717" i="17"/>
  <c r="W717" i="17"/>
  <c r="U717" i="17"/>
  <c r="V717" i="17"/>
  <c r="X717" i="17"/>
  <c r="R717" i="17"/>
  <c r="T717" i="17"/>
  <c r="W852" i="17"/>
  <c r="X852" i="17"/>
  <c r="R852" i="17"/>
  <c r="S852" i="17"/>
  <c r="T852" i="17"/>
  <c r="U852" i="17"/>
  <c r="V852" i="17"/>
  <c r="W844" i="17"/>
  <c r="X844" i="17"/>
  <c r="R844" i="17"/>
  <c r="S844" i="17"/>
  <c r="T844" i="17"/>
  <c r="U844" i="17"/>
  <c r="V844" i="17"/>
  <c r="R148" i="17"/>
  <c r="U148" i="17"/>
  <c r="S148" i="17"/>
  <c r="T148" i="17"/>
  <c r="V148" i="17"/>
  <c r="W148" i="17"/>
  <c r="X148" i="17"/>
  <c r="S282" i="17"/>
  <c r="V282" i="17"/>
  <c r="W282" i="17"/>
  <c r="T282" i="17"/>
  <c r="U282" i="17"/>
  <c r="X282" i="17"/>
  <c r="R282" i="17"/>
  <c r="X407" i="17"/>
  <c r="W407" i="17"/>
  <c r="R407" i="17"/>
  <c r="S407" i="17"/>
  <c r="T407" i="17"/>
  <c r="U407" i="17"/>
  <c r="V407" i="17"/>
  <c r="S725" i="17"/>
  <c r="W725" i="17"/>
  <c r="V725" i="17"/>
  <c r="X725" i="17"/>
  <c r="T725" i="17"/>
  <c r="R725" i="17"/>
  <c r="U725" i="17"/>
  <c r="W876" i="17"/>
  <c r="X876" i="17"/>
  <c r="R876" i="17"/>
  <c r="T876" i="17"/>
  <c r="U876" i="17"/>
  <c r="V876" i="17"/>
  <c r="S876" i="17"/>
  <c r="S43" i="17"/>
  <c r="V43" i="17"/>
  <c r="R43" i="17"/>
  <c r="T43" i="17"/>
  <c r="X43" i="17"/>
  <c r="U43" i="17"/>
  <c r="W43" i="17"/>
  <c r="V29" i="17"/>
  <c r="X29" i="17"/>
  <c r="R29" i="17"/>
  <c r="S29" i="17"/>
  <c r="U29" i="17"/>
  <c r="T29" i="17"/>
  <c r="W29" i="17"/>
  <c r="W37" i="17"/>
  <c r="T37" i="17"/>
  <c r="V37" i="17"/>
  <c r="X37" i="17"/>
  <c r="S37" i="17"/>
  <c r="U37" i="17"/>
  <c r="R37" i="17"/>
  <c r="S41" i="17"/>
  <c r="U41" i="17"/>
  <c r="X41" i="17"/>
  <c r="W41" i="17"/>
  <c r="T41" i="17"/>
  <c r="V41" i="17"/>
  <c r="R41" i="17"/>
  <c r="X48" i="17"/>
  <c r="R48" i="17"/>
  <c r="S48" i="17"/>
  <c r="V48" i="17"/>
  <c r="T48" i="17"/>
  <c r="U48" i="17"/>
  <c r="W48" i="17"/>
  <c r="S82" i="17"/>
  <c r="V82" i="17"/>
  <c r="R82" i="17"/>
  <c r="T82" i="17"/>
  <c r="U82" i="17"/>
  <c r="W82" i="17"/>
  <c r="X82" i="17"/>
  <c r="S101" i="17"/>
  <c r="W101" i="17"/>
  <c r="U101" i="17"/>
  <c r="V101" i="17"/>
  <c r="R101" i="17"/>
  <c r="T101" i="17"/>
  <c r="X101" i="17"/>
  <c r="X96" i="17"/>
  <c r="U96" i="17"/>
  <c r="W96" i="17"/>
  <c r="T96" i="17"/>
  <c r="V96" i="17"/>
  <c r="R96" i="17"/>
  <c r="S96" i="17"/>
  <c r="V120" i="17"/>
  <c r="W120" i="17"/>
  <c r="X120" i="17"/>
  <c r="R120" i="17"/>
  <c r="S120" i="17"/>
  <c r="T120" i="17"/>
  <c r="U120" i="17"/>
  <c r="R124" i="17"/>
  <c r="U124" i="17"/>
  <c r="S124" i="17"/>
  <c r="T124" i="17"/>
  <c r="V124" i="17"/>
  <c r="W124" i="17"/>
  <c r="X124" i="17"/>
  <c r="V128" i="17"/>
  <c r="W128" i="17"/>
  <c r="R128" i="17"/>
  <c r="S128" i="17"/>
  <c r="T128" i="17"/>
  <c r="U128" i="17"/>
  <c r="X128" i="17"/>
  <c r="R132" i="17"/>
  <c r="U132" i="17"/>
  <c r="W132" i="17"/>
  <c r="X132" i="17"/>
  <c r="S132" i="17"/>
  <c r="T132" i="17"/>
  <c r="V132" i="17"/>
  <c r="V144" i="17"/>
  <c r="U144" i="17"/>
  <c r="R144" i="17"/>
  <c r="S144" i="17"/>
  <c r="T144" i="17"/>
  <c r="W144" i="17"/>
  <c r="X144" i="17"/>
  <c r="R185" i="17"/>
  <c r="U185" i="17"/>
  <c r="W185" i="17"/>
  <c r="X185" i="17"/>
  <c r="S185" i="17"/>
  <c r="T185" i="17"/>
  <c r="V185" i="17"/>
  <c r="W186" i="17"/>
  <c r="R186" i="17"/>
  <c r="T186" i="17"/>
  <c r="S186" i="17"/>
  <c r="U186" i="17"/>
  <c r="V186" i="17"/>
  <c r="X186" i="17"/>
  <c r="T251" i="17"/>
  <c r="R251" i="17"/>
  <c r="S251" i="17"/>
  <c r="U251" i="17"/>
  <c r="V251" i="17"/>
  <c r="X251" i="17"/>
  <c r="W251" i="17"/>
  <c r="T267" i="17"/>
  <c r="R267" i="17"/>
  <c r="X267" i="17"/>
  <c r="V267" i="17"/>
  <c r="W267" i="17"/>
  <c r="S267" i="17"/>
  <c r="U267" i="17"/>
  <c r="V309" i="17"/>
  <c r="R309" i="17"/>
  <c r="S309" i="17"/>
  <c r="T309" i="17"/>
  <c r="U309" i="17"/>
  <c r="W309" i="17"/>
  <c r="X309" i="17"/>
  <c r="X371" i="17"/>
  <c r="R371" i="17"/>
  <c r="S371" i="17"/>
  <c r="U371" i="17"/>
  <c r="V371" i="17"/>
  <c r="W371" i="17"/>
  <c r="T371" i="17"/>
  <c r="V357" i="17"/>
  <c r="U357" i="17"/>
  <c r="S357" i="17"/>
  <c r="X357" i="17"/>
  <c r="R357" i="17"/>
  <c r="T357" i="17"/>
  <c r="W357" i="17"/>
  <c r="W370" i="17"/>
  <c r="T370" i="17"/>
  <c r="R370" i="17"/>
  <c r="S370" i="17"/>
  <c r="U370" i="17"/>
  <c r="V370" i="17"/>
  <c r="X370" i="17"/>
  <c r="W432" i="17"/>
  <c r="S432" i="17"/>
  <c r="R432" i="17"/>
  <c r="T432" i="17"/>
  <c r="U432" i="17"/>
  <c r="X432" i="17"/>
  <c r="V432" i="17"/>
  <c r="V433" i="17"/>
  <c r="U433" i="17"/>
  <c r="W433" i="17"/>
  <c r="X433" i="17"/>
  <c r="S433" i="17"/>
  <c r="T433" i="17"/>
  <c r="R433" i="17"/>
  <c r="V449" i="17"/>
  <c r="U449" i="17"/>
  <c r="R449" i="17"/>
  <c r="T449" i="17"/>
  <c r="W449" i="17"/>
  <c r="X449" i="17"/>
  <c r="S449" i="17"/>
  <c r="W463" i="17"/>
  <c r="S463" i="17"/>
  <c r="U463" i="17"/>
  <c r="R463" i="17"/>
  <c r="T463" i="17"/>
  <c r="V463" i="17"/>
  <c r="X463" i="17"/>
  <c r="U483" i="17"/>
  <c r="X483" i="17"/>
  <c r="R483" i="17"/>
  <c r="T483" i="17"/>
  <c r="S483" i="17"/>
  <c r="V483" i="17"/>
  <c r="W483" i="17"/>
  <c r="R494" i="17"/>
  <c r="U494" i="17"/>
  <c r="W494" i="17"/>
  <c r="S494" i="17"/>
  <c r="T494" i="17"/>
  <c r="V494" i="17"/>
  <c r="X494" i="17"/>
  <c r="R541" i="17"/>
  <c r="T541" i="17"/>
  <c r="S541" i="17"/>
  <c r="V541" i="17"/>
  <c r="W541" i="17"/>
  <c r="U541" i="17"/>
  <c r="X541" i="17"/>
  <c r="S564" i="17"/>
  <c r="X564" i="17"/>
  <c r="T564" i="17"/>
  <c r="U564" i="17"/>
  <c r="W564" i="17"/>
  <c r="R564" i="17"/>
  <c r="V564" i="17"/>
  <c r="U515" i="17"/>
  <c r="X515" i="17"/>
  <c r="R515" i="17"/>
  <c r="T515" i="17"/>
  <c r="V515" i="17"/>
  <c r="W515" i="17"/>
  <c r="S515" i="17"/>
  <c r="U507" i="17"/>
  <c r="X507" i="17"/>
  <c r="T507" i="17"/>
  <c r="W507" i="17"/>
  <c r="V507" i="17"/>
  <c r="R507" i="17"/>
  <c r="S507" i="17"/>
  <c r="X512" i="17"/>
  <c r="T512" i="17"/>
  <c r="V512" i="17"/>
  <c r="S512" i="17"/>
  <c r="U512" i="17"/>
  <c r="R512" i="17"/>
  <c r="W512" i="17"/>
  <c r="S653" i="17"/>
  <c r="V653" i="17"/>
  <c r="W653" i="17"/>
  <c r="U653" i="17"/>
  <c r="X653" i="17"/>
  <c r="R653" i="17"/>
  <c r="T653" i="17"/>
  <c r="X744" i="17"/>
  <c r="U744" i="17"/>
  <c r="W744" i="17"/>
  <c r="R744" i="17"/>
  <c r="S744" i="17"/>
  <c r="T744" i="17"/>
  <c r="V744" i="17"/>
  <c r="U657" i="17"/>
  <c r="W657" i="17"/>
  <c r="R657" i="17"/>
  <c r="S657" i="17"/>
  <c r="V657" i="17"/>
  <c r="X657" i="17"/>
  <c r="T657" i="17"/>
  <c r="X678" i="17"/>
  <c r="R678" i="17"/>
  <c r="S678" i="17"/>
  <c r="T678" i="17"/>
  <c r="V678" i="17"/>
  <c r="U678" i="17"/>
  <c r="W678" i="17"/>
  <c r="X720" i="17"/>
  <c r="U720" i="17"/>
  <c r="W720" i="17"/>
  <c r="S720" i="17"/>
  <c r="T720" i="17"/>
  <c r="V720" i="17"/>
  <c r="R720" i="17"/>
  <c r="U808" i="17"/>
  <c r="R808" i="17"/>
  <c r="T808" i="17"/>
  <c r="V808" i="17"/>
  <c r="S808" i="17"/>
  <c r="W808" i="17"/>
  <c r="X808" i="17"/>
  <c r="V648" i="17"/>
  <c r="X648" i="17"/>
  <c r="W648" i="17"/>
  <c r="R648" i="17"/>
  <c r="S648" i="17"/>
  <c r="T648" i="17"/>
  <c r="U648" i="17"/>
  <c r="U739" i="17"/>
  <c r="S739" i="17"/>
  <c r="V739" i="17"/>
  <c r="T739" i="17"/>
  <c r="W739" i="17"/>
  <c r="X739" i="17"/>
  <c r="R739" i="17"/>
  <c r="W753" i="17"/>
  <c r="X753" i="17"/>
  <c r="R753" i="17"/>
  <c r="T753" i="17"/>
  <c r="U753" i="17"/>
  <c r="S753" i="17"/>
  <c r="V753" i="17"/>
  <c r="S701" i="17"/>
  <c r="W701" i="17"/>
  <c r="R701" i="17"/>
  <c r="T701" i="17"/>
  <c r="U701" i="17"/>
  <c r="V701" i="17"/>
  <c r="X701" i="17"/>
  <c r="X891" i="17"/>
  <c r="U891" i="17"/>
  <c r="V891" i="17"/>
  <c r="W891" i="17"/>
  <c r="T891" i="17"/>
  <c r="R891" i="17"/>
  <c r="S891" i="17"/>
  <c r="X728" i="17"/>
  <c r="U728" i="17"/>
  <c r="W728" i="17"/>
  <c r="T728" i="17"/>
  <c r="V728" i="17"/>
  <c r="R728" i="17"/>
  <c r="S728" i="17"/>
  <c r="S749" i="17"/>
  <c r="W749" i="17"/>
  <c r="V749" i="17"/>
  <c r="X749" i="17"/>
  <c r="R749" i="17"/>
  <c r="T749" i="17"/>
  <c r="U749" i="17"/>
  <c r="R750" i="17"/>
  <c r="S750" i="17"/>
  <c r="T750" i="17"/>
  <c r="V750" i="17"/>
  <c r="W750" i="17"/>
  <c r="U750" i="17"/>
  <c r="X750" i="17"/>
  <c r="S693" i="17"/>
  <c r="W693" i="17"/>
  <c r="U693" i="17"/>
  <c r="V693" i="17"/>
  <c r="X693" i="17"/>
  <c r="R693" i="17"/>
  <c r="T693" i="17"/>
  <c r="W400" i="17"/>
  <c r="S400" i="17"/>
  <c r="R400" i="17"/>
  <c r="U400" i="17"/>
  <c r="V400" i="17"/>
  <c r="X400" i="17"/>
  <c r="T400" i="17"/>
  <c r="X696" i="17"/>
  <c r="U696" i="17"/>
  <c r="W696" i="17"/>
  <c r="R696" i="17"/>
  <c r="S696" i="17"/>
  <c r="T696" i="17"/>
  <c r="V696" i="17"/>
  <c r="W489" i="17"/>
  <c r="S489" i="17"/>
  <c r="X489" i="17"/>
  <c r="T489" i="17"/>
  <c r="U489" i="17"/>
  <c r="R489" i="17"/>
  <c r="V489" i="17"/>
  <c r="X883" i="17"/>
  <c r="U883" i="17"/>
  <c r="V883" i="17"/>
  <c r="W883" i="17"/>
  <c r="R883" i="17"/>
  <c r="S883" i="17"/>
  <c r="T883" i="17"/>
  <c r="U784" i="17"/>
  <c r="R784" i="17"/>
  <c r="T784" i="17"/>
  <c r="V784" i="17"/>
  <c r="W784" i="17"/>
  <c r="X784" i="17"/>
  <c r="S784" i="17"/>
  <c r="W19" i="17"/>
  <c r="X19" i="17"/>
  <c r="S19" i="17"/>
  <c r="T19" i="17"/>
  <c r="U19" i="17"/>
  <c r="V19" i="17"/>
  <c r="R19" i="17"/>
  <c r="U39" i="17"/>
  <c r="W39" i="17"/>
  <c r="R39" i="17"/>
  <c r="X39" i="17"/>
  <c r="T39" i="17"/>
  <c r="V39" i="17"/>
  <c r="S39" i="17"/>
  <c r="U69" i="17"/>
  <c r="R69" i="17"/>
  <c r="S69" i="17"/>
  <c r="T69" i="17"/>
  <c r="V69" i="17"/>
  <c r="X69" i="17"/>
  <c r="W69" i="17"/>
  <c r="R25" i="17"/>
  <c r="W25" i="17"/>
  <c r="X25" i="17"/>
  <c r="S25" i="17"/>
  <c r="U25" i="17"/>
  <c r="T25" i="17"/>
  <c r="V25" i="17"/>
  <c r="R72" i="17"/>
  <c r="W72" i="17"/>
  <c r="X72" i="17"/>
  <c r="S72" i="17"/>
  <c r="U72" i="17"/>
  <c r="T72" i="17"/>
  <c r="V72" i="17"/>
  <c r="S93" i="17"/>
  <c r="W93" i="17"/>
  <c r="V93" i="17"/>
  <c r="X93" i="17"/>
  <c r="R93" i="17"/>
  <c r="T93" i="17"/>
  <c r="U93" i="17"/>
  <c r="U99" i="17"/>
  <c r="S99" i="17"/>
  <c r="V99" i="17"/>
  <c r="R99" i="17"/>
  <c r="T99" i="17"/>
  <c r="X99" i="17"/>
  <c r="W99" i="17"/>
  <c r="X171" i="17"/>
  <c r="R171" i="17"/>
  <c r="S171" i="17"/>
  <c r="T171" i="17"/>
  <c r="V171" i="17"/>
  <c r="U171" i="17"/>
  <c r="W171" i="17"/>
  <c r="W156" i="17"/>
  <c r="X156" i="17"/>
  <c r="R156" i="17"/>
  <c r="S156" i="17"/>
  <c r="T156" i="17"/>
  <c r="U156" i="17"/>
  <c r="V156" i="17"/>
  <c r="V170" i="17"/>
  <c r="S170" i="17"/>
  <c r="T170" i="17"/>
  <c r="U170" i="17"/>
  <c r="W170" i="17"/>
  <c r="X170" i="17"/>
  <c r="R170" i="17"/>
  <c r="S274" i="17"/>
  <c r="U274" i="17"/>
  <c r="W274" i="17"/>
  <c r="X274" i="17"/>
  <c r="T274" i="17"/>
  <c r="V274" i="17"/>
  <c r="R274" i="17"/>
  <c r="T259" i="17"/>
  <c r="U259" i="17"/>
  <c r="V259" i="17"/>
  <c r="W259" i="17"/>
  <c r="S259" i="17"/>
  <c r="X259" i="17"/>
  <c r="R259" i="17"/>
  <c r="U280" i="17"/>
  <c r="W280" i="17"/>
  <c r="T280" i="17"/>
  <c r="V280" i="17"/>
  <c r="X280" i="17"/>
  <c r="R280" i="17"/>
  <c r="S280" i="17"/>
  <c r="U310" i="17"/>
  <c r="T310" i="17"/>
  <c r="V310" i="17"/>
  <c r="W310" i="17"/>
  <c r="R310" i="17"/>
  <c r="S310" i="17"/>
  <c r="X310" i="17"/>
  <c r="X339" i="17"/>
  <c r="V339" i="17"/>
  <c r="W339" i="17"/>
  <c r="R339" i="17"/>
  <c r="T339" i="17"/>
  <c r="U339" i="17"/>
  <c r="S339" i="17"/>
  <c r="W330" i="17"/>
  <c r="S330" i="17"/>
  <c r="T330" i="17"/>
  <c r="U330" i="17"/>
  <c r="V330" i="17"/>
  <c r="X330" i="17"/>
  <c r="R330" i="17"/>
  <c r="W406" i="17"/>
  <c r="U406" i="17"/>
  <c r="R406" i="17"/>
  <c r="S406" i="17"/>
  <c r="T406" i="17"/>
  <c r="V406" i="17"/>
  <c r="X406" i="17"/>
  <c r="R389" i="17"/>
  <c r="U389" i="17"/>
  <c r="S389" i="17"/>
  <c r="T389" i="17"/>
  <c r="W389" i="17"/>
  <c r="X389" i="17"/>
  <c r="V389" i="17"/>
  <c r="W416" i="17"/>
  <c r="S416" i="17"/>
  <c r="R416" i="17"/>
  <c r="T416" i="17"/>
  <c r="U416" i="17"/>
  <c r="V416" i="17"/>
  <c r="X416" i="17"/>
  <c r="S380" i="17"/>
  <c r="R380" i="17"/>
  <c r="W380" i="17"/>
  <c r="X380" i="17"/>
  <c r="T380" i="17"/>
  <c r="U380" i="17"/>
  <c r="V380" i="17"/>
  <c r="W430" i="17"/>
  <c r="X430" i="17"/>
  <c r="R430" i="17"/>
  <c r="S430" i="17"/>
  <c r="U430" i="17"/>
  <c r="V430" i="17"/>
  <c r="T430" i="17"/>
  <c r="U374" i="17"/>
  <c r="V374" i="17"/>
  <c r="W374" i="17"/>
  <c r="X374" i="17"/>
  <c r="R374" i="17"/>
  <c r="S374" i="17"/>
  <c r="T374" i="17"/>
  <c r="X415" i="17"/>
  <c r="W415" i="17"/>
  <c r="S415" i="17"/>
  <c r="T415" i="17"/>
  <c r="U415" i="17"/>
  <c r="V415" i="17"/>
  <c r="R415" i="17"/>
  <c r="R437" i="17"/>
  <c r="U437" i="17"/>
  <c r="S437" i="17"/>
  <c r="T437" i="17"/>
  <c r="W437" i="17"/>
  <c r="V437" i="17"/>
  <c r="X437" i="17"/>
  <c r="R581" i="17"/>
  <c r="V581" i="17"/>
  <c r="W581" i="17"/>
  <c r="T581" i="17"/>
  <c r="U581" i="17"/>
  <c r="X581" i="17"/>
  <c r="S581" i="17"/>
  <c r="R565" i="17"/>
  <c r="V565" i="17"/>
  <c r="W565" i="17"/>
  <c r="T565" i="17"/>
  <c r="U565" i="17"/>
  <c r="X565" i="17"/>
  <c r="S565" i="17"/>
  <c r="X704" i="17"/>
  <c r="U704" i="17"/>
  <c r="W704" i="17"/>
  <c r="R704" i="17"/>
  <c r="S704" i="17"/>
  <c r="T704" i="17"/>
  <c r="V704" i="17"/>
  <c r="U715" i="17"/>
  <c r="S715" i="17"/>
  <c r="V715" i="17"/>
  <c r="R715" i="17"/>
  <c r="T715" i="17"/>
  <c r="W715" i="17"/>
  <c r="X715" i="17"/>
  <c r="W705" i="17"/>
  <c r="X705" i="17"/>
  <c r="R705" i="17"/>
  <c r="S705" i="17"/>
  <c r="T705" i="17"/>
  <c r="U705" i="17"/>
  <c r="V705" i="17"/>
  <c r="X688" i="17"/>
  <c r="U688" i="17"/>
  <c r="W688" i="17"/>
  <c r="R688" i="17"/>
  <c r="S688" i="17"/>
  <c r="T688" i="17"/>
  <c r="V688" i="17"/>
  <c r="S667" i="17"/>
  <c r="U667" i="17"/>
  <c r="R667" i="17"/>
  <c r="T667" i="17"/>
  <c r="W667" i="17"/>
  <c r="X667" i="17"/>
  <c r="V667" i="17"/>
  <c r="V672" i="17"/>
  <c r="X672" i="17"/>
  <c r="S672" i="17"/>
  <c r="T672" i="17"/>
  <c r="W672" i="17"/>
  <c r="R672" i="17"/>
  <c r="U672" i="17"/>
  <c r="V831" i="17"/>
  <c r="R831" i="17"/>
  <c r="S831" i="17"/>
  <c r="T831" i="17"/>
  <c r="U831" i="17"/>
  <c r="W831" i="17"/>
  <c r="X831" i="17"/>
  <c r="X843" i="17"/>
  <c r="U843" i="17"/>
  <c r="V843" i="17"/>
  <c r="W843" i="17"/>
  <c r="R843" i="17"/>
  <c r="S843" i="17"/>
  <c r="T843" i="17"/>
  <c r="U768" i="17"/>
  <c r="R768" i="17"/>
  <c r="T768" i="17"/>
  <c r="V768" i="17"/>
  <c r="S768" i="17"/>
  <c r="W768" i="17"/>
  <c r="X768" i="17"/>
  <c r="S719" i="17"/>
  <c r="U719" i="17"/>
  <c r="T719" i="17"/>
  <c r="V719" i="17"/>
  <c r="W719" i="17"/>
  <c r="X719" i="17"/>
  <c r="R719" i="17"/>
  <c r="U816" i="17"/>
  <c r="R816" i="17"/>
  <c r="T816" i="17"/>
  <c r="S816" i="17"/>
  <c r="V816" i="17"/>
  <c r="W816" i="17"/>
  <c r="X816" i="17"/>
  <c r="S856" i="17"/>
  <c r="W856" i="17"/>
  <c r="X856" i="17"/>
  <c r="T856" i="17"/>
  <c r="R856" i="17"/>
  <c r="U856" i="17"/>
  <c r="V856" i="17"/>
  <c r="R803" i="17"/>
  <c r="X803" i="17"/>
  <c r="S803" i="17"/>
  <c r="U803" i="17"/>
  <c r="V803" i="17"/>
  <c r="W803" i="17"/>
  <c r="T803" i="17"/>
  <c r="S896" i="17"/>
  <c r="W896" i="17"/>
  <c r="X896" i="17"/>
  <c r="R896" i="17"/>
  <c r="T896" i="17"/>
  <c r="U896" i="17"/>
  <c r="V896" i="17"/>
  <c r="U792" i="17"/>
  <c r="R792" i="17"/>
  <c r="T792" i="17"/>
  <c r="V792" i="17"/>
  <c r="S792" i="17"/>
  <c r="W792" i="17"/>
  <c r="X792" i="17"/>
  <c r="S139" i="17"/>
  <c r="R139" i="17"/>
  <c r="T139" i="17"/>
  <c r="U139" i="17"/>
  <c r="V139" i="17"/>
  <c r="W139" i="17"/>
  <c r="X139" i="17"/>
  <c r="U223" i="17"/>
  <c r="T223" i="17"/>
  <c r="V223" i="17"/>
  <c r="R223" i="17"/>
  <c r="S223" i="17"/>
  <c r="W223" i="17"/>
  <c r="X223" i="17"/>
  <c r="S683" i="17"/>
  <c r="U683" i="17"/>
  <c r="T683" i="17"/>
  <c r="V683" i="17"/>
  <c r="R683" i="17"/>
  <c r="W683" i="17"/>
  <c r="X683" i="17"/>
  <c r="U30" i="17"/>
  <c r="R30" i="17"/>
  <c r="S30" i="17"/>
  <c r="T30" i="17"/>
  <c r="V30" i="17"/>
  <c r="X30" i="17"/>
  <c r="W30" i="17"/>
  <c r="V90" i="17"/>
  <c r="S90" i="17"/>
  <c r="R90" i="17"/>
  <c r="T90" i="17"/>
  <c r="U90" i="17"/>
  <c r="W90" i="17"/>
  <c r="X90" i="17"/>
  <c r="W127" i="17"/>
  <c r="R127" i="17"/>
  <c r="S127" i="17"/>
  <c r="T127" i="17"/>
  <c r="U127" i="17"/>
  <c r="V127" i="17"/>
  <c r="X127" i="17"/>
  <c r="W135" i="17"/>
  <c r="R135" i="17"/>
  <c r="T135" i="17"/>
  <c r="U135" i="17"/>
  <c r="V135" i="17"/>
  <c r="X135" i="17"/>
  <c r="S135" i="17"/>
  <c r="U160" i="17"/>
  <c r="X160" i="17"/>
  <c r="R160" i="17"/>
  <c r="V160" i="17"/>
  <c r="W160" i="17"/>
  <c r="S160" i="17"/>
  <c r="T160" i="17"/>
  <c r="R191" i="17"/>
  <c r="U191" i="17"/>
  <c r="T191" i="17"/>
  <c r="V191" i="17"/>
  <c r="W191" i="17"/>
  <c r="X191" i="17"/>
  <c r="S191" i="17"/>
  <c r="T235" i="17"/>
  <c r="R235" i="17"/>
  <c r="S235" i="17"/>
  <c r="U235" i="17"/>
  <c r="W235" i="17"/>
  <c r="X235" i="17"/>
  <c r="V235" i="17"/>
  <c r="S233" i="17"/>
  <c r="X233" i="17"/>
  <c r="W233" i="17"/>
  <c r="R233" i="17"/>
  <c r="U233" i="17"/>
  <c r="V233" i="17"/>
  <c r="T233" i="17"/>
  <c r="R199" i="17"/>
  <c r="U199" i="17"/>
  <c r="S199" i="17"/>
  <c r="T199" i="17"/>
  <c r="V199" i="17"/>
  <c r="W199" i="17"/>
  <c r="X199" i="17"/>
  <c r="W269" i="17"/>
  <c r="U269" i="17"/>
  <c r="X269" i="17"/>
  <c r="V269" i="17"/>
  <c r="S269" i="17"/>
  <c r="T269" i="17"/>
  <c r="R269" i="17"/>
  <c r="R266" i="17"/>
  <c r="T266" i="17"/>
  <c r="V266" i="17"/>
  <c r="W266" i="17"/>
  <c r="X266" i="17"/>
  <c r="S266" i="17"/>
  <c r="U266" i="17"/>
  <c r="U294" i="17"/>
  <c r="V294" i="17"/>
  <c r="T294" i="17"/>
  <c r="R294" i="17"/>
  <c r="S294" i="17"/>
  <c r="W294" i="17"/>
  <c r="X294" i="17"/>
  <c r="R345" i="17"/>
  <c r="U345" i="17"/>
  <c r="S345" i="17"/>
  <c r="T345" i="17"/>
  <c r="V345" i="17"/>
  <c r="W345" i="17"/>
  <c r="X345" i="17"/>
  <c r="W362" i="17"/>
  <c r="S362" i="17"/>
  <c r="V362" i="17"/>
  <c r="R362" i="17"/>
  <c r="T362" i="17"/>
  <c r="U362" i="17"/>
  <c r="X362" i="17"/>
  <c r="X383" i="17"/>
  <c r="V383" i="17"/>
  <c r="W383" i="17"/>
  <c r="T383" i="17"/>
  <c r="U383" i="17"/>
  <c r="R383" i="17"/>
  <c r="S383" i="17"/>
  <c r="W392" i="17"/>
  <c r="S392" i="17"/>
  <c r="R392" i="17"/>
  <c r="X392" i="17"/>
  <c r="T392" i="17"/>
  <c r="U392" i="17"/>
  <c r="V392" i="17"/>
  <c r="V417" i="17"/>
  <c r="U417" i="17"/>
  <c r="S417" i="17"/>
  <c r="R417" i="17"/>
  <c r="T417" i="17"/>
  <c r="W417" i="17"/>
  <c r="X417" i="17"/>
  <c r="U450" i="17"/>
  <c r="X450" i="17"/>
  <c r="W450" i="17"/>
  <c r="R450" i="17"/>
  <c r="V450" i="17"/>
  <c r="S450" i="17"/>
  <c r="T450" i="17"/>
  <c r="W513" i="17"/>
  <c r="S513" i="17"/>
  <c r="R513" i="17"/>
  <c r="T513" i="17"/>
  <c r="V513" i="17"/>
  <c r="X513" i="17"/>
  <c r="U513" i="17"/>
  <c r="V585" i="17"/>
  <c r="R585" i="17"/>
  <c r="S585" i="17"/>
  <c r="T585" i="17"/>
  <c r="U585" i="17"/>
  <c r="W585" i="17"/>
  <c r="X585" i="17"/>
  <c r="R462" i="17"/>
  <c r="U462" i="17"/>
  <c r="W462" i="17"/>
  <c r="S462" i="17"/>
  <c r="T462" i="17"/>
  <c r="X462" i="17"/>
  <c r="V462" i="17"/>
  <c r="R518" i="17"/>
  <c r="U518" i="17"/>
  <c r="S518" i="17"/>
  <c r="T518" i="17"/>
  <c r="X518" i="17"/>
  <c r="V518" i="17"/>
  <c r="W518" i="17"/>
  <c r="U586" i="17"/>
  <c r="T586" i="17"/>
  <c r="V586" i="17"/>
  <c r="W586" i="17"/>
  <c r="R586" i="17"/>
  <c r="S586" i="17"/>
  <c r="X586" i="17"/>
  <c r="S651" i="17"/>
  <c r="U651" i="17"/>
  <c r="V651" i="17"/>
  <c r="W651" i="17"/>
  <c r="R651" i="17"/>
  <c r="T651" i="17"/>
  <c r="X651" i="17"/>
  <c r="S524" i="17"/>
  <c r="X524" i="17"/>
  <c r="U524" i="17"/>
  <c r="V524" i="17"/>
  <c r="R524" i="17"/>
  <c r="T524" i="17"/>
  <c r="W524" i="17"/>
  <c r="S733" i="17"/>
  <c r="W733" i="17"/>
  <c r="X733" i="17"/>
  <c r="R733" i="17"/>
  <c r="U733" i="17"/>
  <c r="T733" i="17"/>
  <c r="V733" i="17"/>
  <c r="W671" i="17"/>
  <c r="V671" i="17"/>
  <c r="X671" i="17"/>
  <c r="R671" i="17"/>
  <c r="S671" i="17"/>
  <c r="T671" i="17"/>
  <c r="U671" i="17"/>
  <c r="W487" i="17"/>
  <c r="U487" i="17"/>
  <c r="X487" i="17"/>
  <c r="S487" i="17"/>
  <c r="T487" i="17"/>
  <c r="R487" i="17"/>
  <c r="V487" i="17"/>
  <c r="S709" i="17"/>
  <c r="W709" i="17"/>
  <c r="T709" i="17"/>
  <c r="U709" i="17"/>
  <c r="V709" i="17"/>
  <c r="X709" i="17"/>
  <c r="R709" i="17"/>
  <c r="W721" i="17"/>
  <c r="X721" i="17"/>
  <c r="S721" i="17"/>
  <c r="T721" i="17"/>
  <c r="U721" i="17"/>
  <c r="V721" i="17"/>
  <c r="R721" i="17"/>
  <c r="U832" i="17"/>
  <c r="R832" i="17"/>
  <c r="T832" i="17"/>
  <c r="S832" i="17"/>
  <c r="V832" i="17"/>
  <c r="W832" i="17"/>
  <c r="X832" i="17"/>
  <c r="X899" i="17"/>
  <c r="U899" i="17"/>
  <c r="V899" i="17"/>
  <c r="W899" i="17"/>
  <c r="R899" i="17"/>
  <c r="T899" i="17"/>
  <c r="S899" i="17"/>
  <c r="S915" i="17"/>
  <c r="T915" i="17"/>
  <c r="U915" i="17"/>
  <c r="V915" i="17"/>
  <c r="W915" i="17"/>
  <c r="X915" i="17"/>
  <c r="R915" i="17"/>
  <c r="V754" i="17"/>
  <c r="X754" i="17"/>
  <c r="R754" i="17"/>
  <c r="S754" i="17"/>
  <c r="T754" i="17"/>
  <c r="U754" i="17"/>
  <c r="W754" i="17"/>
  <c r="R702" i="17"/>
  <c r="S702" i="17"/>
  <c r="T702" i="17"/>
  <c r="U702" i="17"/>
  <c r="V702" i="17"/>
  <c r="W702" i="17"/>
  <c r="X702" i="17"/>
  <c r="V680" i="17"/>
  <c r="X680" i="17"/>
  <c r="S680" i="17"/>
  <c r="U680" i="17"/>
  <c r="W680" i="17"/>
  <c r="R680" i="17"/>
  <c r="T680" i="17"/>
  <c r="V767" i="17"/>
  <c r="R767" i="17"/>
  <c r="S767" i="17"/>
  <c r="U767" i="17"/>
  <c r="W767" i="17"/>
  <c r="X767" i="17"/>
  <c r="T767" i="17"/>
  <c r="U921" i="17"/>
  <c r="W921" i="17"/>
  <c r="X921" i="17"/>
  <c r="T921" i="17"/>
  <c r="R921" i="17"/>
  <c r="V921" i="17"/>
  <c r="S921" i="17"/>
  <c r="W836" i="17"/>
  <c r="X836" i="17"/>
  <c r="R836" i="17"/>
  <c r="S836" i="17"/>
  <c r="T836" i="17"/>
  <c r="U836" i="17"/>
  <c r="V836" i="17"/>
  <c r="R33" i="17"/>
  <c r="W33" i="17"/>
  <c r="X33" i="17"/>
  <c r="S33" i="17"/>
  <c r="U33" i="17"/>
  <c r="T33" i="17"/>
  <c r="V33" i="17"/>
  <c r="U80" i="17"/>
  <c r="X80" i="17"/>
  <c r="W80" i="17"/>
  <c r="R80" i="17"/>
  <c r="S80" i="17"/>
  <c r="T80" i="17"/>
  <c r="V80" i="17"/>
  <c r="V79" i="17"/>
  <c r="W79" i="17"/>
  <c r="R79" i="17"/>
  <c r="S79" i="17"/>
  <c r="T79" i="17"/>
  <c r="X79" i="17"/>
  <c r="U79" i="17"/>
  <c r="R73" i="17"/>
  <c r="T73" i="17"/>
  <c r="U73" i="17"/>
  <c r="W73" i="17"/>
  <c r="S73" i="17"/>
  <c r="V73" i="17"/>
  <c r="X73" i="17"/>
  <c r="U129" i="17"/>
  <c r="X129" i="17"/>
  <c r="S129" i="17"/>
  <c r="R129" i="17"/>
  <c r="T129" i="17"/>
  <c r="V129" i="17"/>
  <c r="W129" i="17"/>
  <c r="R116" i="17"/>
  <c r="U116" i="17"/>
  <c r="S116" i="17"/>
  <c r="T116" i="17"/>
  <c r="V116" i="17"/>
  <c r="W116" i="17"/>
  <c r="X116" i="17"/>
  <c r="R140" i="17"/>
  <c r="U140" i="17"/>
  <c r="V140" i="17"/>
  <c r="W140" i="17"/>
  <c r="X140" i="17"/>
  <c r="S140" i="17"/>
  <c r="T140" i="17"/>
  <c r="R102" i="17"/>
  <c r="S102" i="17"/>
  <c r="U102" i="17"/>
  <c r="V102" i="17"/>
  <c r="T102" i="17"/>
  <c r="W102" i="17"/>
  <c r="X102" i="17"/>
  <c r="V178" i="17"/>
  <c r="W178" i="17"/>
  <c r="R178" i="17"/>
  <c r="T178" i="17"/>
  <c r="X178" i="17"/>
  <c r="S178" i="17"/>
  <c r="U178" i="17"/>
  <c r="U182" i="17"/>
  <c r="X182" i="17"/>
  <c r="R182" i="17"/>
  <c r="T182" i="17"/>
  <c r="S182" i="17"/>
  <c r="V182" i="17"/>
  <c r="W182" i="17"/>
  <c r="U263" i="17"/>
  <c r="T263" i="17"/>
  <c r="X263" i="17"/>
  <c r="R263" i="17"/>
  <c r="S263" i="17"/>
  <c r="V263" i="17"/>
  <c r="W263" i="17"/>
  <c r="S225" i="17"/>
  <c r="X225" i="17"/>
  <c r="U225" i="17"/>
  <c r="V225" i="17"/>
  <c r="W225" i="17"/>
  <c r="R225" i="17"/>
  <c r="T225" i="17"/>
  <c r="R283" i="17"/>
  <c r="X283" i="17"/>
  <c r="T283" i="17"/>
  <c r="U283" i="17"/>
  <c r="W283" i="17"/>
  <c r="S283" i="17"/>
  <c r="V283" i="17"/>
  <c r="U302" i="17"/>
  <c r="T302" i="17"/>
  <c r="R302" i="17"/>
  <c r="S302" i="17"/>
  <c r="W302" i="17"/>
  <c r="V302" i="17"/>
  <c r="X302" i="17"/>
  <c r="V349" i="17"/>
  <c r="U349" i="17"/>
  <c r="W349" i="17"/>
  <c r="X349" i="17"/>
  <c r="S349" i="17"/>
  <c r="R349" i="17"/>
  <c r="T349" i="17"/>
  <c r="W348" i="17"/>
  <c r="S348" i="17"/>
  <c r="R348" i="17"/>
  <c r="T348" i="17"/>
  <c r="X348" i="17"/>
  <c r="U348" i="17"/>
  <c r="V348" i="17"/>
  <c r="R353" i="17"/>
  <c r="U353" i="17"/>
  <c r="S353" i="17"/>
  <c r="W353" i="17"/>
  <c r="T353" i="17"/>
  <c r="V353" i="17"/>
  <c r="X353" i="17"/>
  <c r="X447" i="17"/>
  <c r="S447" i="17"/>
  <c r="T447" i="17"/>
  <c r="V447" i="17"/>
  <c r="U447" i="17"/>
  <c r="W447" i="17"/>
  <c r="R447" i="17"/>
  <c r="X423" i="17"/>
  <c r="W423" i="17"/>
  <c r="U423" i="17"/>
  <c r="V423" i="17"/>
  <c r="R423" i="17"/>
  <c r="S423" i="17"/>
  <c r="T423" i="17"/>
  <c r="W471" i="17"/>
  <c r="S471" i="17"/>
  <c r="R471" i="17"/>
  <c r="T471" i="17"/>
  <c r="U471" i="17"/>
  <c r="V471" i="17"/>
  <c r="X471" i="17"/>
  <c r="W655" i="17"/>
  <c r="S655" i="17"/>
  <c r="T655" i="17"/>
  <c r="R655" i="17"/>
  <c r="U655" i="17"/>
  <c r="V655" i="17"/>
  <c r="X655" i="17"/>
  <c r="W497" i="17"/>
  <c r="S497" i="17"/>
  <c r="U497" i="17"/>
  <c r="X497" i="17"/>
  <c r="R497" i="17"/>
  <c r="T497" i="17"/>
  <c r="V497" i="17"/>
  <c r="U747" i="17"/>
  <c r="S747" i="17"/>
  <c r="V747" i="17"/>
  <c r="W747" i="17"/>
  <c r="X747" i="17"/>
  <c r="R747" i="17"/>
  <c r="T747" i="17"/>
  <c r="R525" i="17"/>
  <c r="T525" i="17"/>
  <c r="U525" i="17"/>
  <c r="V525" i="17"/>
  <c r="X525" i="17"/>
  <c r="S525" i="17"/>
  <c r="W525" i="17"/>
  <c r="W647" i="17"/>
  <c r="R647" i="17"/>
  <c r="T647" i="17"/>
  <c r="U647" i="17"/>
  <c r="S647" i="17"/>
  <c r="V647" i="17"/>
  <c r="X647" i="17"/>
  <c r="W729" i="17"/>
  <c r="X729" i="17"/>
  <c r="T729" i="17"/>
  <c r="U729" i="17"/>
  <c r="V729" i="17"/>
  <c r="R729" i="17"/>
  <c r="S729" i="17"/>
  <c r="R758" i="17"/>
  <c r="S758" i="17"/>
  <c r="T758" i="17"/>
  <c r="U758" i="17"/>
  <c r="V758" i="17"/>
  <c r="W758" i="17"/>
  <c r="X758" i="17"/>
  <c r="X835" i="17"/>
  <c r="U835" i="17"/>
  <c r="V835" i="17"/>
  <c r="W835" i="17"/>
  <c r="R835" i="17"/>
  <c r="S835" i="17"/>
  <c r="T835" i="17"/>
  <c r="X859" i="17"/>
  <c r="U859" i="17"/>
  <c r="V859" i="17"/>
  <c r="W859" i="17"/>
  <c r="R859" i="17"/>
  <c r="S859" i="17"/>
  <c r="T859" i="17"/>
  <c r="X875" i="17"/>
  <c r="U875" i="17"/>
  <c r="V875" i="17"/>
  <c r="W875" i="17"/>
  <c r="R875" i="17"/>
  <c r="T875" i="17"/>
  <c r="S875" i="17"/>
  <c r="X712" i="17"/>
  <c r="U712" i="17"/>
  <c r="W712" i="17"/>
  <c r="R712" i="17"/>
  <c r="S712" i="17"/>
  <c r="T712" i="17"/>
  <c r="V712" i="17"/>
  <c r="W860" i="17"/>
  <c r="X860" i="17"/>
  <c r="R860" i="17"/>
  <c r="T860" i="17"/>
  <c r="S860" i="17"/>
  <c r="U860" i="17"/>
  <c r="V860" i="17"/>
  <c r="W892" i="17"/>
  <c r="X892" i="17"/>
  <c r="R892" i="17"/>
  <c r="U892" i="17"/>
  <c r="V892" i="17"/>
  <c r="S892" i="17"/>
  <c r="T892" i="17"/>
  <c r="U929" i="17"/>
  <c r="W929" i="17"/>
  <c r="X929" i="17"/>
  <c r="R929" i="17"/>
  <c r="S929" i="17"/>
  <c r="T929" i="17"/>
  <c r="V929" i="17"/>
  <c r="S848" i="17"/>
  <c r="W848" i="17"/>
  <c r="X848" i="17"/>
  <c r="R848" i="17"/>
  <c r="T848" i="17"/>
  <c r="U848" i="17"/>
  <c r="V848" i="17"/>
  <c r="W884" i="17"/>
  <c r="X884" i="17"/>
  <c r="R884" i="17"/>
  <c r="V884" i="17"/>
  <c r="S884" i="17"/>
  <c r="T884" i="17"/>
  <c r="U884" i="17"/>
  <c r="S923" i="17"/>
  <c r="U923" i="17"/>
  <c r="V923" i="17"/>
  <c r="T923" i="17"/>
  <c r="R923" i="17"/>
  <c r="W923" i="17"/>
  <c r="X923" i="17"/>
  <c r="S872" i="17"/>
  <c r="W872" i="17"/>
  <c r="X872" i="17"/>
  <c r="T872" i="17"/>
  <c r="R872" i="17"/>
  <c r="U872" i="17"/>
  <c r="V872" i="17"/>
  <c r="U459" i="17"/>
  <c r="X459" i="17"/>
  <c r="R459" i="17"/>
  <c r="W459" i="17"/>
  <c r="S459" i="17"/>
  <c r="T459" i="17"/>
  <c r="V459" i="17"/>
  <c r="R486" i="17"/>
  <c r="U486" i="17"/>
  <c r="X486" i="17"/>
  <c r="S486" i="17"/>
  <c r="T486" i="17"/>
  <c r="V486" i="17"/>
  <c r="W486" i="17"/>
  <c r="S880" i="17"/>
  <c r="W880" i="17"/>
  <c r="X880" i="17"/>
  <c r="U880" i="17"/>
  <c r="V880" i="17"/>
  <c r="T880" i="17"/>
  <c r="R880" i="17"/>
  <c r="R26" i="17"/>
  <c r="S26" i="17"/>
  <c r="T26" i="17"/>
  <c r="U26" i="17"/>
  <c r="W26" i="17"/>
  <c r="V26" i="17"/>
  <c r="X26" i="17"/>
  <c r="R44" i="17"/>
  <c r="U44" i="17"/>
  <c r="W44" i="17"/>
  <c r="X44" i="17"/>
  <c r="T44" i="17"/>
  <c r="S44" i="17"/>
  <c r="V44" i="17"/>
  <c r="V68" i="17"/>
  <c r="X68" i="17"/>
  <c r="R68" i="17"/>
  <c r="S68" i="17"/>
  <c r="U68" i="17"/>
  <c r="T68" i="17"/>
  <c r="W68" i="17"/>
  <c r="W89" i="17"/>
  <c r="X89" i="17"/>
  <c r="S89" i="17"/>
  <c r="T89" i="17"/>
  <c r="U89" i="17"/>
  <c r="V89" i="17"/>
  <c r="R89" i="17"/>
  <c r="W143" i="17"/>
  <c r="S143" i="17"/>
  <c r="T143" i="17"/>
  <c r="U143" i="17"/>
  <c r="V143" i="17"/>
  <c r="X143" i="17"/>
  <c r="R143" i="17"/>
  <c r="W141" i="17"/>
  <c r="R141" i="17"/>
  <c r="S141" i="17"/>
  <c r="T141" i="17"/>
  <c r="U141" i="17"/>
  <c r="V141" i="17"/>
  <c r="X141" i="17"/>
  <c r="R177" i="17"/>
  <c r="T177" i="17"/>
  <c r="U177" i="17"/>
  <c r="W177" i="17"/>
  <c r="X177" i="17"/>
  <c r="S177" i="17"/>
  <c r="V177" i="17"/>
  <c r="S209" i="17"/>
  <c r="X209" i="17"/>
  <c r="U209" i="17"/>
  <c r="V209" i="17"/>
  <c r="W209" i="17"/>
  <c r="R209" i="17"/>
  <c r="T209" i="17"/>
  <c r="U231" i="17"/>
  <c r="T231" i="17"/>
  <c r="X231" i="17"/>
  <c r="R231" i="17"/>
  <c r="V231" i="17"/>
  <c r="W231" i="17"/>
  <c r="S231" i="17"/>
  <c r="R250" i="17"/>
  <c r="T250" i="17"/>
  <c r="U250" i="17"/>
  <c r="V250" i="17"/>
  <c r="W250" i="17"/>
  <c r="X250" i="17"/>
  <c r="S250" i="17"/>
  <c r="T273" i="17"/>
  <c r="V273" i="17"/>
  <c r="R273" i="17"/>
  <c r="X273" i="17"/>
  <c r="S273" i="17"/>
  <c r="U273" i="17"/>
  <c r="W273" i="17"/>
  <c r="U239" i="17"/>
  <c r="T239" i="17"/>
  <c r="R239" i="17"/>
  <c r="S239" i="17"/>
  <c r="V239" i="17"/>
  <c r="W239" i="17"/>
  <c r="X239" i="17"/>
  <c r="W221" i="17"/>
  <c r="R221" i="17"/>
  <c r="X221" i="17"/>
  <c r="S221" i="17"/>
  <c r="U221" i="17"/>
  <c r="V221" i="17"/>
  <c r="T221" i="17"/>
  <c r="R226" i="17"/>
  <c r="S226" i="17"/>
  <c r="U226" i="17"/>
  <c r="V226" i="17"/>
  <c r="W226" i="17"/>
  <c r="X226" i="17"/>
  <c r="T226" i="17"/>
  <c r="U255" i="17"/>
  <c r="T255" i="17"/>
  <c r="R255" i="17"/>
  <c r="S255" i="17"/>
  <c r="V255" i="17"/>
  <c r="X255" i="17"/>
  <c r="W255" i="17"/>
  <c r="V270" i="17"/>
  <c r="X270" i="17"/>
  <c r="U270" i="17"/>
  <c r="W270" i="17"/>
  <c r="S270" i="17"/>
  <c r="T270" i="17"/>
  <c r="R270" i="17"/>
  <c r="X277" i="17"/>
  <c r="R277" i="17"/>
  <c r="U277" i="17"/>
  <c r="V277" i="17"/>
  <c r="W277" i="17"/>
  <c r="T277" i="17"/>
  <c r="S277" i="17"/>
  <c r="W324" i="17"/>
  <c r="R324" i="17"/>
  <c r="T324" i="17"/>
  <c r="V324" i="17"/>
  <c r="X324" i="17"/>
  <c r="S324" i="17"/>
  <c r="U324" i="17"/>
  <c r="X323" i="17"/>
  <c r="R323" i="17"/>
  <c r="S323" i="17"/>
  <c r="V323" i="17"/>
  <c r="W323" i="17"/>
  <c r="U323" i="17"/>
  <c r="T323" i="17"/>
  <c r="X399" i="17"/>
  <c r="W399" i="17"/>
  <c r="R399" i="17"/>
  <c r="S399" i="17"/>
  <c r="T399" i="17"/>
  <c r="U399" i="17"/>
  <c r="V399" i="17"/>
  <c r="W438" i="17"/>
  <c r="U438" i="17"/>
  <c r="V438" i="17"/>
  <c r="X438" i="17"/>
  <c r="S438" i="17"/>
  <c r="R438" i="17"/>
  <c r="T438" i="17"/>
  <c r="W414" i="17"/>
  <c r="U414" i="17"/>
  <c r="S414" i="17"/>
  <c r="T414" i="17"/>
  <c r="V414" i="17"/>
  <c r="X414" i="17"/>
  <c r="R414" i="17"/>
  <c r="W455" i="17"/>
  <c r="X455" i="17"/>
  <c r="R455" i="17"/>
  <c r="S455" i="17"/>
  <c r="T455" i="17"/>
  <c r="V455" i="17"/>
  <c r="U455" i="17"/>
  <c r="V569" i="17"/>
  <c r="R569" i="17"/>
  <c r="S569" i="17"/>
  <c r="T569" i="17"/>
  <c r="U569" i="17"/>
  <c r="W569" i="17"/>
  <c r="X569" i="17"/>
  <c r="W511" i="17"/>
  <c r="X511" i="17"/>
  <c r="R511" i="17"/>
  <c r="S511" i="17"/>
  <c r="T511" i="17"/>
  <c r="U511" i="17"/>
  <c r="V511" i="17"/>
  <c r="W479" i="17"/>
  <c r="X479" i="17"/>
  <c r="V479" i="17"/>
  <c r="R479" i="17"/>
  <c r="S479" i="17"/>
  <c r="U479" i="17"/>
  <c r="T479" i="17"/>
  <c r="S540" i="17"/>
  <c r="X540" i="17"/>
  <c r="R540" i="17"/>
  <c r="T540" i="17"/>
  <c r="V540" i="17"/>
  <c r="W540" i="17"/>
  <c r="U540" i="17"/>
  <c r="U475" i="17"/>
  <c r="X475" i="17"/>
  <c r="T475" i="17"/>
  <c r="W475" i="17"/>
  <c r="S475" i="17"/>
  <c r="V475" i="17"/>
  <c r="R475" i="17"/>
  <c r="W536" i="17"/>
  <c r="R536" i="17"/>
  <c r="S536" i="17"/>
  <c r="T536" i="17"/>
  <c r="U536" i="17"/>
  <c r="V536" i="17"/>
  <c r="X536" i="17"/>
  <c r="U665" i="17"/>
  <c r="W665" i="17"/>
  <c r="R665" i="17"/>
  <c r="T665" i="17"/>
  <c r="V665" i="17"/>
  <c r="S665" i="17"/>
  <c r="X665" i="17"/>
  <c r="W689" i="17"/>
  <c r="X689" i="17"/>
  <c r="R689" i="17"/>
  <c r="S689" i="17"/>
  <c r="T689" i="17"/>
  <c r="U689" i="17"/>
  <c r="V689" i="17"/>
  <c r="S741" i="17"/>
  <c r="W741" i="17"/>
  <c r="R741" i="17"/>
  <c r="T741" i="17"/>
  <c r="U741" i="17"/>
  <c r="V741" i="17"/>
  <c r="X741" i="17"/>
  <c r="X736" i="17"/>
  <c r="U736" i="17"/>
  <c r="W736" i="17"/>
  <c r="V736" i="17"/>
  <c r="R736" i="17"/>
  <c r="S736" i="17"/>
  <c r="T736" i="17"/>
  <c r="V490" i="17"/>
  <c r="U490" i="17"/>
  <c r="S490" i="17"/>
  <c r="W490" i="17"/>
  <c r="X490" i="17"/>
  <c r="R490" i="17"/>
  <c r="T490" i="17"/>
  <c r="S703" i="17"/>
  <c r="U703" i="17"/>
  <c r="R703" i="17"/>
  <c r="T703" i="17"/>
  <c r="V703" i="17"/>
  <c r="W703" i="17"/>
  <c r="X703" i="17"/>
  <c r="W697" i="17"/>
  <c r="X697" i="17"/>
  <c r="R697" i="17"/>
  <c r="U697" i="17"/>
  <c r="V697" i="17"/>
  <c r="S697" i="17"/>
  <c r="T697" i="17"/>
  <c r="U776" i="17"/>
  <c r="R776" i="17"/>
  <c r="T776" i="17"/>
  <c r="V776" i="17"/>
  <c r="X776" i="17"/>
  <c r="S776" i="17"/>
  <c r="W776" i="17"/>
  <c r="R897" i="17"/>
  <c r="S897" i="17"/>
  <c r="T897" i="17"/>
  <c r="W897" i="17"/>
  <c r="X897" i="17"/>
  <c r="V897" i="17"/>
  <c r="U897" i="17"/>
  <c r="S931" i="17"/>
  <c r="U931" i="17"/>
  <c r="V931" i="17"/>
  <c r="R931" i="17"/>
  <c r="T931" i="17"/>
  <c r="W931" i="17"/>
  <c r="X931" i="17"/>
  <c r="W868" i="17"/>
  <c r="X868" i="17"/>
  <c r="R868" i="17"/>
  <c r="T868" i="17"/>
  <c r="V868" i="17"/>
  <c r="U868" i="17"/>
  <c r="S868" i="17"/>
  <c r="U913" i="17"/>
  <c r="V913" i="17"/>
  <c r="W913" i="17"/>
  <c r="X913" i="17"/>
  <c r="R913" i="17"/>
  <c r="S913" i="17"/>
  <c r="T913" i="17"/>
  <c r="S840" i="17"/>
  <c r="W840" i="17"/>
  <c r="X840" i="17"/>
  <c r="R840" i="17"/>
  <c r="T840" i="17"/>
  <c r="U840" i="17"/>
  <c r="V840" i="17"/>
  <c r="R34" i="17"/>
  <c r="S34" i="17"/>
  <c r="T34" i="17"/>
  <c r="U34" i="17"/>
  <c r="W34" i="17"/>
  <c r="V34" i="17"/>
  <c r="X34" i="17"/>
  <c r="U91" i="17"/>
  <c r="S91" i="17"/>
  <c r="V91" i="17"/>
  <c r="R91" i="17"/>
  <c r="T91" i="17"/>
  <c r="W91" i="17"/>
  <c r="X91" i="17"/>
  <c r="W169" i="17"/>
  <c r="R169" i="17"/>
  <c r="V169" i="17"/>
  <c r="X169" i="17"/>
  <c r="T169" i="17"/>
  <c r="S169" i="17"/>
  <c r="U169" i="17"/>
  <c r="S888" i="17"/>
  <c r="W888" i="17"/>
  <c r="X888" i="17"/>
  <c r="R888" i="17"/>
  <c r="T888" i="17"/>
  <c r="U888" i="17"/>
  <c r="V888" i="17"/>
  <c r="R83" i="17"/>
  <c r="U83" i="17"/>
  <c r="V83" i="17"/>
  <c r="W83" i="17"/>
  <c r="X83" i="17"/>
  <c r="S83" i="17"/>
  <c r="T83" i="17"/>
  <c r="W97" i="17"/>
  <c r="X97" i="17"/>
  <c r="T97" i="17"/>
  <c r="U97" i="17"/>
  <c r="R97" i="17"/>
  <c r="S97" i="17"/>
  <c r="V97" i="17"/>
  <c r="R110" i="17"/>
  <c r="T110" i="17"/>
  <c r="W110" i="17"/>
  <c r="S110" i="17"/>
  <c r="U110" i="17"/>
  <c r="V110" i="17"/>
  <c r="X110" i="17"/>
  <c r="T114" i="17"/>
  <c r="W114" i="17"/>
  <c r="X114" i="17"/>
  <c r="R114" i="17"/>
  <c r="S114" i="17"/>
  <c r="U114" i="17"/>
  <c r="V114" i="17"/>
  <c r="W149" i="17"/>
  <c r="R149" i="17"/>
  <c r="S149" i="17"/>
  <c r="U149" i="17"/>
  <c r="T149" i="17"/>
  <c r="V149" i="17"/>
  <c r="X149" i="17"/>
  <c r="W119" i="17"/>
  <c r="R119" i="17"/>
  <c r="S119" i="17"/>
  <c r="T119" i="17"/>
  <c r="X119" i="17"/>
  <c r="U119" i="17"/>
  <c r="V119" i="17"/>
  <c r="V181" i="17"/>
  <c r="U181" i="17"/>
  <c r="X181" i="17"/>
  <c r="R181" i="17"/>
  <c r="S181" i="17"/>
  <c r="T181" i="17"/>
  <c r="W181" i="17"/>
  <c r="U196" i="17"/>
  <c r="X196" i="17"/>
  <c r="T196" i="17"/>
  <c r="V196" i="17"/>
  <c r="W196" i="17"/>
  <c r="R196" i="17"/>
  <c r="S196" i="17"/>
  <c r="U152" i="17"/>
  <c r="X152" i="17"/>
  <c r="R152" i="17"/>
  <c r="T152" i="17"/>
  <c r="S152" i="17"/>
  <c r="V152" i="17"/>
  <c r="W152" i="17"/>
  <c r="S249" i="17"/>
  <c r="X249" i="17"/>
  <c r="W249" i="17"/>
  <c r="R249" i="17"/>
  <c r="T249" i="17"/>
  <c r="U249" i="17"/>
  <c r="V249" i="17"/>
  <c r="S241" i="17"/>
  <c r="X241" i="17"/>
  <c r="R241" i="17"/>
  <c r="T241" i="17"/>
  <c r="U241" i="17"/>
  <c r="V241" i="17"/>
  <c r="W241" i="17"/>
  <c r="U288" i="17"/>
  <c r="R288" i="17"/>
  <c r="X288" i="17"/>
  <c r="V288" i="17"/>
  <c r="W288" i="17"/>
  <c r="S288" i="17"/>
  <c r="T288" i="17"/>
  <c r="V301" i="17"/>
  <c r="R301" i="17"/>
  <c r="S301" i="17"/>
  <c r="T301" i="17"/>
  <c r="U301" i="17"/>
  <c r="W301" i="17"/>
  <c r="X301" i="17"/>
  <c r="W354" i="17"/>
  <c r="U354" i="17"/>
  <c r="V354" i="17"/>
  <c r="X354" i="17"/>
  <c r="S354" i="17"/>
  <c r="T354" i="17"/>
  <c r="R354" i="17"/>
  <c r="W338" i="17"/>
  <c r="R338" i="17"/>
  <c r="S338" i="17"/>
  <c r="T338" i="17"/>
  <c r="U338" i="17"/>
  <c r="V338" i="17"/>
  <c r="X338" i="17"/>
  <c r="X391" i="17"/>
  <c r="V391" i="17"/>
  <c r="W391" i="17"/>
  <c r="R391" i="17"/>
  <c r="S391" i="17"/>
  <c r="T391" i="17"/>
  <c r="U391" i="17"/>
  <c r="W422" i="17"/>
  <c r="U422" i="17"/>
  <c r="V422" i="17"/>
  <c r="X422" i="17"/>
  <c r="R422" i="17"/>
  <c r="S422" i="17"/>
  <c r="T422" i="17"/>
  <c r="R429" i="17"/>
  <c r="U429" i="17"/>
  <c r="S429" i="17"/>
  <c r="T429" i="17"/>
  <c r="V429" i="17"/>
  <c r="W429" i="17"/>
  <c r="X429" i="17"/>
  <c r="W519" i="17"/>
  <c r="U519" i="17"/>
  <c r="X519" i="17"/>
  <c r="R519" i="17"/>
  <c r="T519" i="17"/>
  <c r="V519" i="17"/>
  <c r="S519" i="17"/>
  <c r="W503" i="17"/>
  <c r="S503" i="17"/>
  <c r="T503" i="17"/>
  <c r="U503" i="17"/>
  <c r="R503" i="17"/>
  <c r="X503" i="17"/>
  <c r="V503" i="17"/>
  <c r="U570" i="17"/>
  <c r="T570" i="17"/>
  <c r="V570" i="17"/>
  <c r="W570" i="17"/>
  <c r="R570" i="17"/>
  <c r="X570" i="17"/>
  <c r="S570" i="17"/>
  <c r="W481" i="17"/>
  <c r="S481" i="17"/>
  <c r="R481" i="17"/>
  <c r="U481" i="17"/>
  <c r="V481" i="17"/>
  <c r="T481" i="17"/>
  <c r="X481" i="17"/>
  <c r="U578" i="17"/>
  <c r="T578" i="17"/>
  <c r="S578" i="17"/>
  <c r="V578" i="17"/>
  <c r="R578" i="17"/>
  <c r="W578" i="17"/>
  <c r="X578" i="17"/>
  <c r="S659" i="17"/>
  <c r="U659" i="17"/>
  <c r="T659" i="17"/>
  <c r="V659" i="17"/>
  <c r="X659" i="17"/>
  <c r="R659" i="17"/>
  <c r="W659" i="17"/>
  <c r="S675" i="17"/>
  <c r="U675" i="17"/>
  <c r="R675" i="17"/>
  <c r="V675" i="17"/>
  <c r="W675" i="17"/>
  <c r="T675" i="17"/>
  <c r="X675" i="17"/>
  <c r="W713" i="17"/>
  <c r="X713" i="17"/>
  <c r="R713" i="17"/>
  <c r="S713" i="17"/>
  <c r="T713" i="17"/>
  <c r="U713" i="17"/>
  <c r="V713" i="17"/>
  <c r="U707" i="17"/>
  <c r="S707" i="17"/>
  <c r="V707" i="17"/>
  <c r="R707" i="17"/>
  <c r="T707" i="17"/>
  <c r="X707" i="17"/>
  <c r="W707" i="17"/>
  <c r="X670" i="17"/>
  <c r="R670" i="17"/>
  <c r="T670" i="17"/>
  <c r="U670" i="17"/>
  <c r="S670" i="17"/>
  <c r="V670" i="17"/>
  <c r="W670" i="17"/>
  <c r="X752" i="17"/>
  <c r="U752" i="17"/>
  <c r="V752" i="17"/>
  <c r="R752" i="17"/>
  <c r="S752" i="17"/>
  <c r="T752" i="17"/>
  <c r="W752" i="17"/>
  <c r="U824" i="17"/>
  <c r="R824" i="17"/>
  <c r="T824" i="17"/>
  <c r="S824" i="17"/>
  <c r="V824" i="17"/>
  <c r="W824" i="17"/>
  <c r="X824" i="17"/>
  <c r="S907" i="17"/>
  <c r="T907" i="17"/>
  <c r="U907" i="17"/>
  <c r="V907" i="17"/>
  <c r="R907" i="17"/>
  <c r="W907" i="17"/>
  <c r="X907" i="17"/>
  <c r="S757" i="17"/>
  <c r="W757" i="17"/>
  <c r="T757" i="17"/>
  <c r="V757" i="17"/>
  <c r="X757" i="17"/>
  <c r="R757" i="17"/>
  <c r="U757" i="17"/>
  <c r="W737" i="17"/>
  <c r="X737" i="17"/>
  <c r="U737" i="17"/>
  <c r="V737" i="17"/>
  <c r="R737" i="17"/>
  <c r="S737" i="17"/>
  <c r="T737" i="17"/>
  <c r="R764" i="17"/>
  <c r="T764" i="17"/>
  <c r="U764" i="17"/>
  <c r="S764" i="17"/>
  <c r="V764" i="17"/>
  <c r="W764" i="17"/>
  <c r="X764" i="17"/>
  <c r="W900" i="17"/>
  <c r="X900" i="17"/>
  <c r="R900" i="17"/>
  <c r="S900" i="17"/>
  <c r="T900" i="17"/>
  <c r="U900" i="17"/>
  <c r="V900" i="17"/>
  <c r="U905" i="17"/>
  <c r="V905" i="17"/>
  <c r="W905" i="17"/>
  <c r="X905" i="17"/>
  <c r="T905" i="17"/>
  <c r="R905" i="17"/>
  <c r="S905" i="17"/>
  <c r="S864" i="17"/>
  <c r="W864" i="17"/>
  <c r="X864" i="17"/>
  <c r="T864" i="17"/>
  <c r="R864" i="17"/>
  <c r="U864" i="17"/>
  <c r="V864" i="17"/>
  <c r="V815" i="17"/>
  <c r="R815" i="17"/>
  <c r="S815" i="17"/>
  <c r="T815" i="17"/>
  <c r="U815" i="17"/>
  <c r="W815" i="17"/>
  <c r="X815" i="17"/>
  <c r="Y861" i="22" l="1"/>
  <c r="Z861" i="22"/>
  <c r="AA861" i="22"/>
  <c r="AA862" i="22" l="1"/>
  <c r="Z862" i="22"/>
  <c r="Y862" i="22"/>
  <c r="BA7" i="25" l="1"/>
  <c r="BA6" i="25"/>
  <c r="BA5" i="25"/>
  <c r="BA4" i="25"/>
  <c r="BA2" i="25"/>
  <c r="BA1" i="25"/>
  <c r="FU17" i="6" l="1"/>
  <c r="FV17" i="6"/>
  <c r="FU18" i="6"/>
  <c r="FU19" i="6"/>
  <c r="FU20" i="6"/>
  <c r="FU21" i="6"/>
  <c r="FU22" i="6"/>
  <c r="FU23" i="6"/>
  <c r="FU24" i="6"/>
  <c r="FU25" i="6"/>
  <c r="FU26" i="6"/>
  <c r="FU27" i="6"/>
  <c r="FU28" i="6"/>
  <c r="FU29" i="6"/>
  <c r="FU30" i="6"/>
  <c r="FU31" i="6"/>
  <c r="FU32" i="6"/>
  <c r="FU41" i="6"/>
  <c r="FU43" i="6"/>
  <c r="FU44" i="6"/>
  <c r="FU45" i="6"/>
  <c r="FU46" i="6"/>
  <c r="FU47" i="6"/>
  <c r="FU48" i="6"/>
  <c r="FU49" i="6"/>
  <c r="FU50" i="6"/>
  <c r="FU51" i="6"/>
  <c r="FU53" i="6"/>
  <c r="FU54" i="6"/>
  <c r="FU55" i="6"/>
  <c r="FU56" i="6"/>
  <c r="FU57" i="6"/>
  <c r="FU58" i="6"/>
  <c r="FU59" i="6"/>
  <c r="FU60" i="6"/>
  <c r="FU61" i="6"/>
  <c r="FU62" i="6"/>
  <c r="FU63" i="6"/>
  <c r="FU64" i="6"/>
  <c r="FU65" i="6"/>
  <c r="FU66" i="6"/>
  <c r="FU67" i="6"/>
  <c r="FU68" i="6"/>
  <c r="FU69" i="6"/>
  <c r="FU70" i="6"/>
  <c r="FU71" i="6"/>
  <c r="FU72" i="6"/>
  <c r="FU77" i="6"/>
  <c r="FU78" i="6"/>
  <c r="FU79" i="6"/>
  <c r="FU82" i="6"/>
  <c r="FU83" i="6"/>
  <c r="FU84" i="6"/>
  <c r="FU85" i="6"/>
  <c r="FU88" i="6"/>
  <c r="FU89" i="6"/>
  <c r="FU90" i="6"/>
  <c r="FU91" i="6"/>
  <c r="FU92" i="6"/>
  <c r="FU93" i="6"/>
  <c r="FU94" i="6"/>
  <c r="FU95" i="6"/>
  <c r="FU96" i="6"/>
  <c r="FU97" i="6"/>
  <c r="FU98" i="6"/>
  <c r="FU99" i="6"/>
  <c r="FU100" i="6"/>
  <c r="FU101" i="6"/>
  <c r="FU103" i="6"/>
  <c r="FU104" i="6"/>
  <c r="FU105" i="6"/>
  <c r="FU106" i="6"/>
  <c r="FU107" i="6"/>
  <c r="FU108" i="6"/>
  <c r="FU109" i="6"/>
  <c r="FU110" i="6"/>
  <c r="FU111" i="6"/>
  <c r="FU112" i="6"/>
  <c r="FU113" i="6"/>
  <c r="FU114" i="6"/>
  <c r="FU115" i="6"/>
  <c r="FU116" i="6"/>
  <c r="FU117" i="6"/>
  <c r="FU118" i="6"/>
  <c r="FU119" i="6"/>
  <c r="FU120" i="6"/>
  <c r="FU121" i="6"/>
  <c r="FU122" i="6"/>
  <c r="FU123" i="6"/>
  <c r="FU124" i="6"/>
  <c r="FU125" i="6"/>
  <c r="FU126" i="6"/>
  <c r="FU127" i="6"/>
  <c r="FU128" i="6"/>
  <c r="FU129" i="6"/>
  <c r="FU130" i="6"/>
  <c r="FU131" i="6"/>
  <c r="FU132" i="6"/>
  <c r="FU133" i="6"/>
  <c r="FU134" i="6"/>
  <c r="FU135" i="6"/>
  <c r="FU136" i="6"/>
  <c r="FU137" i="6"/>
  <c r="FU138" i="6"/>
  <c r="FU139" i="6"/>
  <c r="FU140" i="6"/>
  <c r="FU141" i="6"/>
  <c r="FU142" i="6"/>
  <c r="FU143" i="6"/>
  <c r="FU144" i="6"/>
  <c r="FU145" i="6"/>
  <c r="FU147" i="6"/>
  <c r="FU148" i="6"/>
  <c r="FU149" i="6"/>
  <c r="FU150" i="6"/>
  <c r="FU151" i="6"/>
  <c r="FU152" i="6"/>
  <c r="FU153" i="6"/>
  <c r="FU154" i="6"/>
  <c r="FU155" i="6"/>
  <c r="FU156" i="6"/>
  <c r="FU157" i="6"/>
  <c r="FU158" i="6"/>
  <c r="FU159" i="6"/>
  <c r="FU160" i="6"/>
  <c r="FU161" i="6"/>
  <c r="FU162" i="6"/>
  <c r="FU163" i="6"/>
  <c r="FU164" i="6"/>
  <c r="FU165" i="6"/>
  <c r="FU166" i="6"/>
  <c r="FU167" i="6"/>
  <c r="FU168" i="6"/>
  <c r="FU169" i="6"/>
  <c r="FU170" i="6"/>
  <c r="FU171" i="6"/>
  <c r="FU172" i="6"/>
  <c r="FU173" i="6"/>
  <c r="FU174" i="6"/>
  <c r="FU175" i="6"/>
  <c r="FU176" i="6"/>
  <c r="FU177" i="6"/>
  <c r="FU178" i="6"/>
  <c r="FU179" i="6"/>
  <c r="FU180" i="6"/>
  <c r="FU181" i="6"/>
  <c r="FU182" i="6"/>
  <c r="FU183" i="6"/>
  <c r="FU184" i="6"/>
  <c r="FU185" i="6"/>
  <c r="FU186" i="6"/>
  <c r="FU187" i="6"/>
  <c r="FU188" i="6"/>
  <c r="FU189" i="6"/>
  <c r="FU190" i="6"/>
  <c r="FU191" i="6"/>
  <c r="FU192" i="6"/>
  <c r="FU193" i="6"/>
  <c r="FU194" i="6"/>
  <c r="FU196" i="6"/>
  <c r="FU197" i="6"/>
  <c r="FU198" i="6"/>
  <c r="FU199" i="6"/>
  <c r="FU200" i="6"/>
  <c r="FU201" i="6"/>
  <c r="FU202" i="6"/>
  <c r="FU203" i="6"/>
  <c r="FU204" i="6"/>
  <c r="FU205" i="6"/>
  <c r="FU206" i="6"/>
  <c r="FU207" i="6"/>
  <c r="FU208" i="6"/>
  <c r="FU209" i="6"/>
  <c r="FU210" i="6"/>
  <c r="FU211" i="6"/>
  <c r="FU212" i="6"/>
  <c r="FU218" i="6"/>
  <c r="FU219" i="6"/>
  <c r="FU220" i="6"/>
  <c r="FU221" i="6"/>
  <c r="FU222" i="6"/>
  <c r="FU223" i="6"/>
  <c r="FU224" i="6"/>
  <c r="FU225" i="6"/>
  <c r="FU226" i="6"/>
  <c r="FU227" i="6"/>
  <c r="FU228" i="6"/>
  <c r="FU229" i="6"/>
  <c r="FU230" i="6"/>
  <c r="FU231" i="6"/>
  <c r="FU232" i="6"/>
  <c r="FU233" i="6"/>
  <c r="FU234" i="6"/>
  <c r="FU235" i="6"/>
  <c r="FU236" i="6"/>
  <c r="FU237" i="6"/>
  <c r="FU238" i="6"/>
  <c r="FU239" i="6"/>
  <c r="FU240" i="6"/>
  <c r="FU241" i="6"/>
  <c r="FU242" i="6"/>
  <c r="FU243" i="6"/>
  <c r="FU244" i="6"/>
  <c r="FU245" i="6"/>
  <c r="FU246" i="6"/>
  <c r="FU247" i="6"/>
  <c r="FU248" i="6"/>
  <c r="FU249" i="6"/>
  <c r="FU250" i="6"/>
  <c r="FU251" i="6"/>
  <c r="FU252" i="6"/>
  <c r="FU253" i="6"/>
  <c r="FU254" i="6"/>
  <c r="FU255" i="6"/>
  <c r="FU256" i="6"/>
  <c r="FU257" i="6"/>
  <c r="FU258" i="6"/>
  <c r="FU259" i="6"/>
  <c r="FU260" i="6"/>
  <c r="FU261" i="6"/>
  <c r="FU262" i="6"/>
  <c r="FU263" i="6"/>
  <c r="FU264" i="6"/>
  <c r="FU265" i="6"/>
  <c r="FU266" i="6"/>
  <c r="FU267" i="6"/>
  <c r="FU268" i="6"/>
  <c r="FU269" i="6"/>
  <c r="FU270" i="6"/>
  <c r="FU271" i="6"/>
  <c r="FU272" i="6"/>
  <c r="FU273" i="6"/>
  <c r="FU274" i="6"/>
  <c r="FU275" i="6"/>
  <c r="FU276" i="6"/>
  <c r="FU277" i="6"/>
  <c r="FU278" i="6"/>
  <c r="FU280" i="6"/>
  <c r="FU281" i="6"/>
  <c r="FU282" i="6"/>
  <c r="FU283" i="6"/>
  <c r="FU284" i="6"/>
  <c r="FU285" i="6"/>
  <c r="FU286" i="6"/>
  <c r="FU287" i="6"/>
  <c r="FU288" i="6"/>
  <c r="FU289" i="6"/>
  <c r="FU290" i="6"/>
  <c r="FU291" i="6"/>
  <c r="FU292" i="6"/>
  <c r="FU293" i="6"/>
  <c r="FU294" i="6"/>
  <c r="FU295" i="6"/>
  <c r="FU296" i="6"/>
  <c r="FU297" i="6"/>
  <c r="FU298" i="6"/>
  <c r="FU299" i="6"/>
  <c r="FU300" i="6"/>
  <c r="FU301" i="6"/>
  <c r="FU302" i="6"/>
  <c r="FU303" i="6"/>
  <c r="FU304" i="6"/>
  <c r="FU305" i="6"/>
  <c r="FU306" i="6"/>
  <c r="FU307" i="6"/>
  <c r="FU308" i="6"/>
  <c r="FU309" i="6"/>
  <c r="FU16" i="6"/>
  <c r="EY309" i="6" l="1"/>
  <c r="EW309" i="6"/>
  <c r="EU309" i="6"/>
  <c r="ET309" i="6"/>
  <c r="EO309" i="6"/>
  <c r="FB309" i="6" s="1"/>
  <c r="EG309" i="6"/>
  <c r="EF309" i="6"/>
  <c r="EB309" i="6"/>
  <c r="EA309" i="6"/>
  <c r="BJ309" i="6"/>
  <c r="BA309" i="6"/>
  <c r="AJ309" i="6"/>
  <c r="AI309" i="6"/>
  <c r="AB309" i="6" s="1"/>
  <c r="AH309" i="6"/>
  <c r="AG309" i="6"/>
  <c r="AF309" i="6"/>
  <c r="AA309" i="6" s="1"/>
  <c r="AE309" i="6"/>
  <c r="Z309" i="6" s="1"/>
  <c r="AD309" i="6"/>
  <c r="Y309" i="6" s="1"/>
  <c r="W309" i="6"/>
  <c r="S309" i="6"/>
  <c r="AP309" i="6" s="1"/>
  <c r="P309" i="6"/>
  <c r="CH309" i="6" s="1"/>
  <c r="C309" i="6"/>
  <c r="EU308" i="6"/>
  <c r="EO308" i="6"/>
  <c r="FB308" i="6" s="1"/>
  <c r="EB308" i="6"/>
  <c r="EA308" i="6"/>
  <c r="BJ308" i="6"/>
  <c r="BA308" i="6"/>
  <c r="FV308" i="6" s="1"/>
  <c r="AJ308" i="6"/>
  <c r="AI308" i="6"/>
  <c r="AB308" i="6" s="1"/>
  <c r="AH308" i="6"/>
  <c r="W308" i="6"/>
  <c r="S308" i="6"/>
  <c r="AP308" i="6" s="1"/>
  <c r="J308" i="6"/>
  <c r="AG308" i="6" s="1"/>
  <c r="I308" i="6"/>
  <c r="AF308" i="6" s="1"/>
  <c r="AA308" i="6" s="1"/>
  <c r="H308" i="6"/>
  <c r="AE308" i="6" s="1"/>
  <c r="G308" i="6"/>
  <c r="AD308" i="6" s="1"/>
  <c r="Y308" i="6" s="1"/>
  <c r="C308" i="6"/>
  <c r="EU307" i="6"/>
  <c r="EO307" i="6"/>
  <c r="FB307" i="6" s="1"/>
  <c r="EB307" i="6"/>
  <c r="EA307" i="6"/>
  <c r="BJ307" i="6"/>
  <c r="BA307" i="6"/>
  <c r="FV307" i="6" s="1"/>
  <c r="AJ307" i="6"/>
  <c r="AI307" i="6"/>
  <c r="AB307" i="6" s="1"/>
  <c r="AH307" i="6"/>
  <c r="W307" i="6"/>
  <c r="S307" i="6"/>
  <c r="AP307" i="6" s="1"/>
  <c r="J307" i="6"/>
  <c r="AG307" i="6" s="1"/>
  <c r="BG307" i="6" s="1"/>
  <c r="I307" i="6"/>
  <c r="AF307" i="6" s="1"/>
  <c r="BF307" i="6" s="1"/>
  <c r="H307" i="6"/>
  <c r="AE307" i="6" s="1"/>
  <c r="G307" i="6"/>
  <c r="AD307" i="6" s="1"/>
  <c r="Y307" i="6" s="1"/>
  <c r="C307" i="6"/>
  <c r="EU306" i="6"/>
  <c r="EO306" i="6"/>
  <c r="FB306" i="6" s="1"/>
  <c r="EB306" i="6"/>
  <c r="EA306" i="6"/>
  <c r="BJ306" i="6"/>
  <c r="BA306" i="6"/>
  <c r="AJ306" i="6"/>
  <c r="AI306" i="6"/>
  <c r="AB306" i="6" s="1"/>
  <c r="BG306" i="6" s="1"/>
  <c r="AH306" i="6"/>
  <c r="AG306" i="6"/>
  <c r="AF306" i="6"/>
  <c r="AA306" i="6" s="1"/>
  <c r="AE306" i="6"/>
  <c r="AD306" i="6"/>
  <c r="Y306" i="6" s="1"/>
  <c r="W306" i="6"/>
  <c r="S306" i="6"/>
  <c r="AP306" i="6" s="1"/>
  <c r="P306" i="6"/>
  <c r="CH306" i="6" s="1"/>
  <c r="C306" i="6"/>
  <c r="EU305" i="6"/>
  <c r="EO305" i="6"/>
  <c r="FB305" i="6" s="1"/>
  <c r="EB305" i="6"/>
  <c r="EA305" i="6"/>
  <c r="BJ305" i="6"/>
  <c r="BA305" i="6"/>
  <c r="AJ305" i="6"/>
  <c r="AI305" i="6"/>
  <c r="AB305" i="6" s="1"/>
  <c r="AH305" i="6"/>
  <c r="W305" i="6"/>
  <c r="S305" i="6"/>
  <c r="AP305" i="6" s="1"/>
  <c r="J305" i="6"/>
  <c r="AG305" i="6" s="1"/>
  <c r="BG305" i="6" s="1"/>
  <c r="I305" i="6"/>
  <c r="AF305" i="6" s="1"/>
  <c r="AA305" i="6" s="1"/>
  <c r="H305" i="6"/>
  <c r="AE305" i="6" s="1"/>
  <c r="Z305" i="6" s="1"/>
  <c r="G305" i="6"/>
  <c r="C305" i="6"/>
  <c r="EU304" i="6"/>
  <c r="EO304" i="6"/>
  <c r="FB304" i="6" s="1"/>
  <c r="EB304" i="6"/>
  <c r="EA304" i="6"/>
  <c r="BJ304" i="6"/>
  <c r="BA304" i="6"/>
  <c r="AJ304" i="6"/>
  <c r="AI304" i="6"/>
  <c r="AB304" i="6" s="1"/>
  <c r="AH304" i="6"/>
  <c r="AG304" i="6"/>
  <c r="AF304" i="6"/>
  <c r="AA304" i="6" s="1"/>
  <c r="AE304" i="6"/>
  <c r="Z304" i="6" s="1"/>
  <c r="AD304" i="6"/>
  <c r="Y304" i="6" s="1"/>
  <c r="W304" i="6"/>
  <c r="S304" i="6"/>
  <c r="AP304" i="6" s="1"/>
  <c r="P304" i="6"/>
  <c r="CH304" i="6" s="1"/>
  <c r="C304" i="6"/>
  <c r="EU303" i="6"/>
  <c r="EO303" i="6"/>
  <c r="FB303" i="6" s="1"/>
  <c r="EB303" i="6"/>
  <c r="EA303" i="6"/>
  <c r="BJ303" i="6"/>
  <c r="BA303" i="6"/>
  <c r="AJ303" i="6"/>
  <c r="AI303" i="6"/>
  <c r="AB303" i="6" s="1"/>
  <c r="AH303" i="6"/>
  <c r="AG303" i="6"/>
  <c r="BG303" i="6" s="1"/>
  <c r="AF303" i="6"/>
  <c r="AA303" i="6" s="1"/>
  <c r="AE303" i="6"/>
  <c r="Z303" i="6" s="1"/>
  <c r="AD303" i="6"/>
  <c r="W303" i="6"/>
  <c r="S303" i="6"/>
  <c r="AP303" i="6" s="1"/>
  <c r="P303" i="6"/>
  <c r="CH303" i="6" s="1"/>
  <c r="C303" i="6"/>
  <c r="EU302" i="6"/>
  <c r="EO302" i="6"/>
  <c r="FB302" i="6" s="1"/>
  <c r="EB302" i="6"/>
  <c r="EA302" i="6"/>
  <c r="BJ302" i="6"/>
  <c r="BA302" i="6"/>
  <c r="AL302" i="6"/>
  <c r="AJ302" i="6"/>
  <c r="AI302" i="6"/>
  <c r="AB302" i="6" s="1"/>
  <c r="AH302" i="6"/>
  <c r="AG302" i="6"/>
  <c r="AF302" i="6"/>
  <c r="AA302" i="6" s="1"/>
  <c r="AC302" i="6" s="1"/>
  <c r="AE302" i="6"/>
  <c r="Z302" i="6" s="1"/>
  <c r="AD302" i="6"/>
  <c r="Y302" i="6" s="1"/>
  <c r="W302" i="6"/>
  <c r="S302" i="6"/>
  <c r="AP302" i="6" s="1"/>
  <c r="P302" i="6"/>
  <c r="CH302" i="6" s="1"/>
  <c r="C302" i="6"/>
  <c r="EU301" i="6"/>
  <c r="EO301" i="6"/>
  <c r="FB301" i="6" s="1"/>
  <c r="EB301" i="6"/>
  <c r="EA301" i="6"/>
  <c r="BJ301" i="6"/>
  <c r="BA301" i="6"/>
  <c r="AJ301" i="6"/>
  <c r="AI301" i="6"/>
  <c r="AB301" i="6" s="1"/>
  <c r="AH301" i="6"/>
  <c r="AG301" i="6"/>
  <c r="AF301" i="6"/>
  <c r="AA301" i="6" s="1"/>
  <c r="AE301" i="6"/>
  <c r="Z301" i="6" s="1"/>
  <c r="AD301" i="6"/>
  <c r="Y301" i="6" s="1"/>
  <c r="W301" i="6"/>
  <c r="S301" i="6"/>
  <c r="AP301" i="6" s="1"/>
  <c r="P301" i="6"/>
  <c r="CH301" i="6" s="1"/>
  <c r="C301" i="6"/>
  <c r="EU300" i="6"/>
  <c r="EO300" i="6"/>
  <c r="FB300" i="6" s="1"/>
  <c r="EB300" i="6"/>
  <c r="EA300" i="6"/>
  <c r="BJ300" i="6"/>
  <c r="BA300" i="6"/>
  <c r="FV300" i="6" s="1"/>
  <c r="AJ300" i="6"/>
  <c r="AI300" i="6"/>
  <c r="AB300" i="6" s="1"/>
  <c r="AH300" i="6"/>
  <c r="AG300" i="6"/>
  <c r="AF300" i="6"/>
  <c r="AA300" i="6" s="1"/>
  <c r="AE300" i="6"/>
  <c r="Z300" i="6" s="1"/>
  <c r="AD300" i="6"/>
  <c r="W300" i="6"/>
  <c r="S300" i="6"/>
  <c r="AP300" i="6" s="1"/>
  <c r="P300" i="6"/>
  <c r="CH300" i="6" s="1"/>
  <c r="C300" i="6"/>
  <c r="EU299" i="6"/>
  <c r="EO299" i="6"/>
  <c r="FB299" i="6" s="1"/>
  <c r="EB299" i="6"/>
  <c r="EA299" i="6"/>
  <c r="BJ299" i="6"/>
  <c r="BA299" i="6"/>
  <c r="AJ299" i="6"/>
  <c r="AI299" i="6"/>
  <c r="AB299" i="6" s="1"/>
  <c r="AC299" i="6" s="1"/>
  <c r="AH299" i="6"/>
  <c r="AG299" i="6"/>
  <c r="AF299" i="6"/>
  <c r="AE299" i="6"/>
  <c r="Z299" i="6" s="1"/>
  <c r="AD299" i="6"/>
  <c r="Y299" i="6" s="1"/>
  <c r="W299" i="6"/>
  <c r="S299" i="6"/>
  <c r="AP299" i="6" s="1"/>
  <c r="P299" i="6"/>
  <c r="CH299" i="6" s="1"/>
  <c r="C299" i="6"/>
  <c r="EU298" i="6"/>
  <c r="EO298" i="6"/>
  <c r="FB298" i="6" s="1"/>
  <c r="EB298" i="6"/>
  <c r="EA298" i="6"/>
  <c r="BJ298" i="6"/>
  <c r="BA298" i="6"/>
  <c r="AJ298" i="6"/>
  <c r="AI298" i="6"/>
  <c r="AB298" i="6" s="1"/>
  <c r="AH298" i="6"/>
  <c r="AG298" i="6"/>
  <c r="AF298" i="6"/>
  <c r="AA298" i="6" s="1"/>
  <c r="AE298" i="6"/>
  <c r="Z298" i="6" s="1"/>
  <c r="AD298" i="6"/>
  <c r="Y298" i="6" s="1"/>
  <c r="W298" i="6"/>
  <c r="S298" i="6"/>
  <c r="AP298" i="6" s="1"/>
  <c r="P298" i="6"/>
  <c r="CH298" i="6" s="1"/>
  <c r="C298" i="6"/>
  <c r="EY297" i="6"/>
  <c r="EW297" i="6"/>
  <c r="EU297" i="6"/>
  <c r="ET297" i="6"/>
  <c r="EO297" i="6"/>
  <c r="FB297" i="6" s="1"/>
  <c r="EB297" i="6"/>
  <c r="EA297" i="6"/>
  <c r="BJ297" i="6"/>
  <c r="BA297" i="6"/>
  <c r="FV297" i="6" s="1"/>
  <c r="AH297" i="6"/>
  <c r="W297" i="6"/>
  <c r="S297" i="6"/>
  <c r="AP297" i="6" s="1"/>
  <c r="C297" i="6"/>
  <c r="EY296" i="6"/>
  <c r="EW296" i="6"/>
  <c r="EU296" i="6"/>
  <c r="ET296" i="6"/>
  <c r="EO296" i="6"/>
  <c r="FB296" i="6" s="1"/>
  <c r="EB296" i="6"/>
  <c r="EA296" i="6"/>
  <c r="BJ296" i="6"/>
  <c r="BA296" i="6"/>
  <c r="FV296" i="6" s="1"/>
  <c r="AH296" i="6"/>
  <c r="W296" i="6"/>
  <c r="S296" i="6"/>
  <c r="C296" i="6"/>
  <c r="EU295" i="6"/>
  <c r="EO295" i="6"/>
  <c r="FB295" i="6" s="1"/>
  <c r="EB295" i="6"/>
  <c r="EA295" i="6"/>
  <c r="BJ295" i="6"/>
  <c r="BA295" i="6"/>
  <c r="AH295" i="6"/>
  <c r="W295" i="6"/>
  <c r="S295" i="6"/>
  <c r="AP295" i="6" s="1"/>
  <c r="C295" i="6"/>
  <c r="EU294" i="6"/>
  <c r="EO294" i="6"/>
  <c r="FB294" i="6" s="1"/>
  <c r="EB294" i="6"/>
  <c r="EA294" i="6"/>
  <c r="BJ294" i="6"/>
  <c r="BA294" i="6"/>
  <c r="FV294" i="6" s="1"/>
  <c r="AH294" i="6"/>
  <c r="W294" i="6"/>
  <c r="S294" i="6"/>
  <c r="AP294" i="6" s="1"/>
  <c r="C294" i="6"/>
  <c r="EY293" i="6"/>
  <c r="EW293" i="6"/>
  <c r="EU293" i="6"/>
  <c r="ET293" i="6"/>
  <c r="EO293" i="6"/>
  <c r="FB293" i="6" s="1"/>
  <c r="EB293" i="6"/>
  <c r="EA293" i="6"/>
  <c r="BJ293" i="6"/>
  <c r="BA293" i="6"/>
  <c r="AJ293" i="6"/>
  <c r="AH293" i="6"/>
  <c r="AG293" i="6"/>
  <c r="W293" i="6"/>
  <c r="S293" i="6"/>
  <c r="AP293" i="6" s="1"/>
  <c r="C293" i="6"/>
  <c r="EU292" i="6"/>
  <c r="EO292" i="6"/>
  <c r="FB292" i="6" s="1"/>
  <c r="EB292" i="6"/>
  <c r="EA292" i="6"/>
  <c r="BJ292" i="6"/>
  <c r="BA292" i="6"/>
  <c r="AH292" i="6"/>
  <c r="W292" i="6"/>
  <c r="S292" i="6"/>
  <c r="AP292" i="6" s="1"/>
  <c r="C292" i="6"/>
  <c r="EU291" i="6"/>
  <c r="EO291" i="6"/>
  <c r="FB291" i="6" s="1"/>
  <c r="EB291" i="6"/>
  <c r="EA291" i="6"/>
  <c r="BJ291" i="6"/>
  <c r="BA291" i="6"/>
  <c r="AH291" i="6"/>
  <c r="W291" i="6"/>
  <c r="S291" i="6"/>
  <c r="AP291" i="6" s="1"/>
  <c r="C291" i="6"/>
  <c r="EY290" i="6"/>
  <c r="EW290" i="6"/>
  <c r="EU290" i="6"/>
  <c r="ET290" i="6"/>
  <c r="EO290" i="6"/>
  <c r="FB290" i="6" s="1"/>
  <c r="EB290" i="6"/>
  <c r="EA290" i="6"/>
  <c r="BJ290" i="6"/>
  <c r="BA290" i="6"/>
  <c r="FV290" i="6" s="1"/>
  <c r="AJ290" i="6"/>
  <c r="AH290" i="6"/>
  <c r="AG290" i="6"/>
  <c r="W290" i="6"/>
  <c r="S290" i="6"/>
  <c r="AP290" i="6" s="1"/>
  <c r="C290" i="6"/>
  <c r="EU289" i="6"/>
  <c r="EO289" i="6"/>
  <c r="FB289" i="6" s="1"/>
  <c r="EB289" i="6"/>
  <c r="EA289" i="6"/>
  <c r="BJ289" i="6"/>
  <c r="BA289" i="6"/>
  <c r="FV289" i="6" s="1"/>
  <c r="AH289" i="6"/>
  <c r="W289" i="6"/>
  <c r="S289" i="6"/>
  <c r="AP289" i="6" s="1"/>
  <c r="C289" i="6"/>
  <c r="EU288" i="6"/>
  <c r="EO288" i="6"/>
  <c r="FB288" i="6" s="1"/>
  <c r="EB288" i="6"/>
  <c r="EA288" i="6"/>
  <c r="BJ288" i="6"/>
  <c r="BA288" i="6"/>
  <c r="FV288" i="6" s="1"/>
  <c r="AH288" i="6"/>
  <c r="W288" i="6"/>
  <c r="S288" i="6"/>
  <c r="AP288" i="6" s="1"/>
  <c r="C288" i="6"/>
  <c r="EU287" i="6"/>
  <c r="EO287" i="6"/>
  <c r="FB287" i="6" s="1"/>
  <c r="EN287" i="6"/>
  <c r="FA287" i="6" s="1"/>
  <c r="EM287" i="6"/>
  <c r="EZ287" i="6" s="1"/>
  <c r="DJ287" i="6" s="1"/>
  <c r="EB287" i="6"/>
  <c r="EA287" i="6"/>
  <c r="BJ287" i="6"/>
  <c r="BA287" i="6"/>
  <c r="AJ287" i="6"/>
  <c r="AI287" i="6"/>
  <c r="AB287" i="6" s="1"/>
  <c r="AH287" i="6"/>
  <c r="AG287" i="6"/>
  <c r="AF287" i="6"/>
  <c r="AA287" i="6" s="1"/>
  <c r="AE287" i="6"/>
  <c r="Z287" i="6" s="1"/>
  <c r="AD287" i="6"/>
  <c r="Y287" i="6" s="1"/>
  <c r="W287" i="6"/>
  <c r="S287" i="6"/>
  <c r="AP287" i="6" s="1"/>
  <c r="P287" i="6"/>
  <c r="CH287" i="6" s="1"/>
  <c r="C287" i="6"/>
  <c r="EU286" i="6"/>
  <c r="EO286" i="6"/>
  <c r="FB286" i="6" s="1"/>
  <c r="EN286" i="6"/>
  <c r="FA286" i="6" s="1"/>
  <c r="EM286" i="6"/>
  <c r="EZ286" i="6" s="1"/>
  <c r="DJ286" i="6" s="1"/>
  <c r="EB286" i="6"/>
  <c r="EA286" i="6"/>
  <c r="BJ286" i="6"/>
  <c r="BA286" i="6"/>
  <c r="AJ286" i="6"/>
  <c r="AI286" i="6"/>
  <c r="AB286" i="6" s="1"/>
  <c r="AH286" i="6"/>
  <c r="AG286" i="6"/>
  <c r="AF286" i="6"/>
  <c r="AA286" i="6" s="1"/>
  <c r="AE286" i="6"/>
  <c r="Z286" i="6" s="1"/>
  <c r="AD286" i="6"/>
  <c r="Y286" i="6" s="1"/>
  <c r="W286" i="6"/>
  <c r="S286" i="6"/>
  <c r="P286" i="6"/>
  <c r="CH286" i="6" s="1"/>
  <c r="C286" i="6"/>
  <c r="EU285" i="6"/>
  <c r="EO285" i="6"/>
  <c r="FB285" i="6" s="1"/>
  <c r="EN285" i="6"/>
  <c r="FA285" i="6" s="1"/>
  <c r="EM285" i="6"/>
  <c r="EZ285" i="6" s="1"/>
  <c r="EB285" i="6"/>
  <c r="EA285" i="6"/>
  <c r="BJ285" i="6"/>
  <c r="BA285" i="6"/>
  <c r="FV285" i="6" s="1"/>
  <c r="AJ285" i="6"/>
  <c r="AI285" i="6"/>
  <c r="AB285" i="6" s="1"/>
  <c r="AH285" i="6"/>
  <c r="AG285" i="6"/>
  <c r="BG285" i="6" s="1"/>
  <c r="AF285" i="6"/>
  <c r="AE285" i="6"/>
  <c r="Z285" i="6" s="1"/>
  <c r="AD285" i="6"/>
  <c r="Y285" i="6" s="1"/>
  <c r="W285" i="6"/>
  <c r="S285" i="6"/>
  <c r="AP285" i="6" s="1"/>
  <c r="P285" i="6"/>
  <c r="CH285" i="6" s="1"/>
  <c r="C285" i="6"/>
  <c r="EU284" i="6"/>
  <c r="EO284" i="6"/>
  <c r="FB284" i="6" s="1"/>
  <c r="EN284" i="6"/>
  <c r="FA284" i="6" s="1"/>
  <c r="EM284" i="6"/>
  <c r="EZ284" i="6" s="1"/>
  <c r="DJ284" i="6" s="1"/>
  <c r="EB284" i="6"/>
  <c r="EA284" i="6"/>
  <c r="BJ284" i="6"/>
  <c r="BA284" i="6"/>
  <c r="AJ284" i="6"/>
  <c r="AI284" i="6"/>
  <c r="AB284" i="6" s="1"/>
  <c r="AH284" i="6"/>
  <c r="AG284" i="6"/>
  <c r="BG284" i="6" s="1"/>
  <c r="AF284" i="6"/>
  <c r="BF284" i="6" s="1"/>
  <c r="AE284" i="6"/>
  <c r="Z284" i="6" s="1"/>
  <c r="AD284" i="6"/>
  <c r="W284" i="6"/>
  <c r="S284" i="6"/>
  <c r="AP284" i="6" s="1"/>
  <c r="P284" i="6"/>
  <c r="CH284" i="6" s="1"/>
  <c r="C284" i="6"/>
  <c r="EU283" i="6"/>
  <c r="EO283" i="6"/>
  <c r="FB283" i="6" s="1"/>
  <c r="EB283" i="6"/>
  <c r="EA283" i="6"/>
  <c r="CQ283" i="6"/>
  <c r="CP283" i="6"/>
  <c r="CO283" i="6"/>
  <c r="CN283" i="6"/>
  <c r="CM283" i="6"/>
  <c r="CL283" i="6"/>
  <c r="CK283" i="6"/>
  <c r="CJ283" i="6"/>
  <c r="CI283" i="6"/>
  <c r="BJ283" i="6"/>
  <c r="BA283" i="6"/>
  <c r="FV283" i="6" s="1"/>
  <c r="AH283" i="6"/>
  <c r="W283" i="6"/>
  <c r="S283" i="6"/>
  <c r="AP283" i="6" s="1"/>
  <c r="M283" i="6"/>
  <c r="AJ283" i="6" s="1"/>
  <c r="L283" i="6"/>
  <c r="AI283" i="6" s="1"/>
  <c r="AB283" i="6" s="1"/>
  <c r="J283" i="6"/>
  <c r="AG283" i="6" s="1"/>
  <c r="I283" i="6"/>
  <c r="AF283" i="6" s="1"/>
  <c r="AA283" i="6" s="1"/>
  <c r="H283" i="6"/>
  <c r="AE283" i="6" s="1"/>
  <c r="Z283" i="6" s="1"/>
  <c r="G283" i="6"/>
  <c r="C283" i="6"/>
  <c r="EY282" i="6"/>
  <c r="EW282" i="6"/>
  <c r="EU282" i="6"/>
  <c r="ET282" i="6"/>
  <c r="EO282" i="6"/>
  <c r="FB282" i="6" s="1"/>
  <c r="EB282" i="6"/>
  <c r="EA282" i="6"/>
  <c r="BJ282" i="6"/>
  <c r="BA282" i="6"/>
  <c r="AJ282" i="6"/>
  <c r="AH282" i="6"/>
  <c r="AG282" i="6"/>
  <c r="W282" i="6"/>
  <c r="S282" i="6"/>
  <c r="AP282" i="6" s="1"/>
  <c r="C282" i="6"/>
  <c r="EY281" i="6"/>
  <c r="EW281" i="6"/>
  <c r="EU281" i="6"/>
  <c r="ET281" i="6"/>
  <c r="EO281" i="6"/>
  <c r="FB281" i="6" s="1"/>
  <c r="EB281" i="6"/>
  <c r="EA281" i="6"/>
  <c r="BJ281" i="6"/>
  <c r="BA281" i="6"/>
  <c r="AJ281" i="6"/>
  <c r="AH281" i="6"/>
  <c r="AG281" i="6"/>
  <c r="W281" i="6"/>
  <c r="S281" i="6"/>
  <c r="AP281" i="6" s="1"/>
  <c r="C281" i="6"/>
  <c r="EY280" i="6"/>
  <c r="EW280" i="6"/>
  <c r="EU280" i="6"/>
  <c r="ET280" i="6"/>
  <c r="EO280" i="6"/>
  <c r="FB280" i="6" s="1"/>
  <c r="EB280" i="6"/>
  <c r="EA280" i="6"/>
  <c r="BJ280" i="6"/>
  <c r="BA280" i="6"/>
  <c r="AJ280" i="6"/>
  <c r="AH280" i="6"/>
  <c r="AG280" i="6"/>
  <c r="W280" i="6"/>
  <c r="S280" i="6"/>
  <c r="AP280" i="6" s="1"/>
  <c r="C280" i="6"/>
  <c r="EY278" i="6"/>
  <c r="EW278" i="6"/>
  <c r="EU278" i="6"/>
  <c r="ET278" i="6"/>
  <c r="EO278" i="6"/>
  <c r="FB278" i="6" s="1"/>
  <c r="EB278" i="6"/>
  <c r="EA278" i="6"/>
  <c r="BJ278" i="6"/>
  <c r="BA278" i="6"/>
  <c r="AJ278" i="6"/>
  <c r="AH278" i="6"/>
  <c r="AG278" i="6"/>
  <c r="AF278" i="6"/>
  <c r="AA278" i="6" s="1"/>
  <c r="W278" i="6"/>
  <c r="S278" i="6"/>
  <c r="AP278" i="6" s="1"/>
  <c r="I278" i="6"/>
  <c r="L278" i="6" s="1"/>
  <c r="AI278" i="6" s="1"/>
  <c r="AB278" i="6" s="1"/>
  <c r="H278" i="6"/>
  <c r="AE278" i="6" s="1"/>
  <c r="Z278" i="6" s="1"/>
  <c r="G278" i="6"/>
  <c r="C278" i="6"/>
  <c r="EY277" i="6"/>
  <c r="EW277" i="6"/>
  <c r="EU277" i="6"/>
  <c r="ET277" i="6"/>
  <c r="EO277" i="6"/>
  <c r="FB277" i="6" s="1"/>
  <c r="EB277" i="6"/>
  <c r="EA277" i="6"/>
  <c r="BJ277" i="6"/>
  <c r="BA277" i="6"/>
  <c r="AJ277" i="6"/>
  <c r="AH277" i="6"/>
  <c r="AG277" i="6"/>
  <c r="AE277" i="6"/>
  <c r="Z277" i="6" s="1"/>
  <c r="W277" i="6"/>
  <c r="S277" i="6"/>
  <c r="AP277" i="6" s="1"/>
  <c r="L277" i="6"/>
  <c r="AI277" i="6" s="1"/>
  <c r="AB277" i="6" s="1"/>
  <c r="I277" i="6"/>
  <c r="AF277" i="6" s="1"/>
  <c r="AA277" i="6" s="1"/>
  <c r="H277" i="6"/>
  <c r="G277" i="6"/>
  <c r="AD277" i="6" s="1"/>
  <c r="Y277" i="6" s="1"/>
  <c r="C277" i="6"/>
  <c r="EY276" i="6"/>
  <c r="EW276" i="6"/>
  <c r="EU276" i="6"/>
  <c r="ET276" i="6"/>
  <c r="EO276" i="6"/>
  <c r="FB276" i="6" s="1"/>
  <c r="EB276" i="6"/>
  <c r="EA276" i="6"/>
  <c r="BJ276" i="6"/>
  <c r="BA276" i="6"/>
  <c r="AJ276" i="6"/>
  <c r="AI276" i="6"/>
  <c r="AB276" i="6" s="1"/>
  <c r="AH276" i="6"/>
  <c r="AG276" i="6"/>
  <c r="W276" i="6"/>
  <c r="S276" i="6"/>
  <c r="AP276" i="6" s="1"/>
  <c r="I276" i="6"/>
  <c r="AF276" i="6" s="1"/>
  <c r="AA276" i="6" s="1"/>
  <c r="H276" i="6"/>
  <c r="AE276" i="6" s="1"/>
  <c r="G276" i="6"/>
  <c r="AD276" i="6" s="1"/>
  <c r="Y276" i="6" s="1"/>
  <c r="C276" i="6"/>
  <c r="EY275" i="6"/>
  <c r="EW275" i="6"/>
  <c r="EU275" i="6"/>
  <c r="ET275" i="6"/>
  <c r="EO275" i="6"/>
  <c r="FB275" i="6" s="1"/>
  <c r="EB275" i="6"/>
  <c r="EA275" i="6"/>
  <c r="BJ275" i="6"/>
  <c r="BA275" i="6"/>
  <c r="AJ275" i="6"/>
  <c r="AI275" i="6"/>
  <c r="AB275" i="6" s="1"/>
  <c r="AH275" i="6"/>
  <c r="AG275" i="6"/>
  <c r="AF275" i="6"/>
  <c r="AA275" i="6" s="1"/>
  <c r="AE275" i="6"/>
  <c r="Z275" i="6" s="1"/>
  <c r="AD275" i="6"/>
  <c r="Y275" i="6" s="1"/>
  <c r="W275" i="6"/>
  <c r="S275" i="6"/>
  <c r="AP275" i="6" s="1"/>
  <c r="P275" i="6"/>
  <c r="CH275" i="6" s="1"/>
  <c r="C275" i="6"/>
  <c r="EY274" i="6"/>
  <c r="EW274" i="6"/>
  <c r="EU274" i="6"/>
  <c r="ET274" i="6"/>
  <c r="EO274" i="6"/>
  <c r="FB274" i="6" s="1"/>
  <c r="EB274" i="6"/>
  <c r="EA274" i="6"/>
  <c r="BJ274" i="6"/>
  <c r="BA274" i="6"/>
  <c r="FV274" i="6" s="1"/>
  <c r="AJ274" i="6"/>
  <c r="AI274" i="6"/>
  <c r="AB274" i="6" s="1"/>
  <c r="AH274" i="6"/>
  <c r="AG274" i="6"/>
  <c r="AF274" i="6"/>
  <c r="AA274" i="6" s="1"/>
  <c r="AE274" i="6"/>
  <c r="Z274" i="6" s="1"/>
  <c r="BD274" i="6" s="1"/>
  <c r="AD274" i="6"/>
  <c r="Y274" i="6" s="1"/>
  <c r="W274" i="6"/>
  <c r="S274" i="6"/>
  <c r="AP274" i="6" s="1"/>
  <c r="P274" i="6"/>
  <c r="CH274" i="6" s="1"/>
  <c r="C274" i="6"/>
  <c r="EU273" i="6"/>
  <c r="EO273" i="6"/>
  <c r="FB273" i="6" s="1"/>
  <c r="EB273" i="6"/>
  <c r="EA273" i="6"/>
  <c r="BJ273" i="6"/>
  <c r="BA273" i="6"/>
  <c r="AJ273" i="6"/>
  <c r="AI273" i="6"/>
  <c r="AB273" i="6" s="1"/>
  <c r="AH273" i="6"/>
  <c r="AG273" i="6"/>
  <c r="AF273" i="6"/>
  <c r="AA273" i="6" s="1"/>
  <c r="AE273" i="6"/>
  <c r="Z273" i="6" s="1"/>
  <c r="AD273" i="6"/>
  <c r="Y273" i="6" s="1"/>
  <c r="W273" i="6"/>
  <c r="S273" i="6"/>
  <c r="AP273" i="6" s="1"/>
  <c r="P273" i="6"/>
  <c r="CH273" i="6" s="1"/>
  <c r="C273" i="6"/>
  <c r="EU272" i="6"/>
  <c r="EO272" i="6"/>
  <c r="FB272" i="6" s="1"/>
  <c r="EB272" i="6"/>
  <c r="EA272" i="6"/>
  <c r="BJ272" i="6"/>
  <c r="BA272" i="6"/>
  <c r="AJ272" i="6"/>
  <c r="AI272" i="6"/>
  <c r="AB272" i="6" s="1"/>
  <c r="AH272" i="6"/>
  <c r="AG272" i="6"/>
  <c r="AF272" i="6"/>
  <c r="AA272" i="6" s="1"/>
  <c r="AE272" i="6"/>
  <c r="Z272" i="6" s="1"/>
  <c r="AD272" i="6"/>
  <c r="Y272" i="6" s="1"/>
  <c r="W272" i="6"/>
  <c r="S272" i="6"/>
  <c r="AP272" i="6" s="1"/>
  <c r="P272" i="6"/>
  <c r="CH272" i="6" s="1"/>
  <c r="C272" i="6"/>
  <c r="EU271" i="6"/>
  <c r="EO271" i="6"/>
  <c r="FB271" i="6" s="1"/>
  <c r="EB271" i="6"/>
  <c r="EA271" i="6"/>
  <c r="BJ271" i="6"/>
  <c r="BA271" i="6"/>
  <c r="AJ271" i="6"/>
  <c r="AI271" i="6"/>
  <c r="AB271" i="6" s="1"/>
  <c r="AH271" i="6"/>
  <c r="AG271" i="6"/>
  <c r="AF271" i="6"/>
  <c r="AA271" i="6" s="1"/>
  <c r="AE271" i="6"/>
  <c r="Z271" i="6" s="1"/>
  <c r="AD271" i="6"/>
  <c r="Y271" i="6" s="1"/>
  <c r="W271" i="6"/>
  <c r="S271" i="6"/>
  <c r="AP271" i="6" s="1"/>
  <c r="P271" i="6"/>
  <c r="CH271" i="6" s="1"/>
  <c r="C271" i="6"/>
  <c r="EU270" i="6"/>
  <c r="EO270" i="6"/>
  <c r="FB270" i="6" s="1"/>
  <c r="EB270" i="6"/>
  <c r="EA270" i="6"/>
  <c r="BJ270" i="6"/>
  <c r="BA270" i="6"/>
  <c r="FV270" i="6" s="1"/>
  <c r="AJ270" i="6"/>
  <c r="AI270" i="6"/>
  <c r="AB270" i="6" s="1"/>
  <c r="AH270" i="6"/>
  <c r="AG270" i="6"/>
  <c r="AF270" i="6"/>
  <c r="AA270" i="6" s="1"/>
  <c r="AE270" i="6"/>
  <c r="Z270" i="6" s="1"/>
  <c r="AD270" i="6"/>
  <c r="W270" i="6"/>
  <c r="S270" i="6"/>
  <c r="AP270" i="6" s="1"/>
  <c r="P270" i="6"/>
  <c r="CH270" i="6" s="1"/>
  <c r="C270" i="6"/>
  <c r="EU269" i="6"/>
  <c r="EO269" i="6"/>
  <c r="FB269" i="6" s="1"/>
  <c r="EB269" i="6"/>
  <c r="EA269" i="6"/>
  <c r="BJ269" i="6"/>
  <c r="BA269" i="6"/>
  <c r="AJ269" i="6"/>
  <c r="AI269" i="6"/>
  <c r="AB269" i="6" s="1"/>
  <c r="AH269" i="6"/>
  <c r="AG269" i="6"/>
  <c r="AF269" i="6"/>
  <c r="AA269" i="6" s="1"/>
  <c r="AE269" i="6"/>
  <c r="Z269" i="6" s="1"/>
  <c r="AD269" i="6"/>
  <c r="Y269" i="6" s="1"/>
  <c r="W269" i="6"/>
  <c r="S269" i="6"/>
  <c r="AP269" i="6" s="1"/>
  <c r="P269" i="6"/>
  <c r="CH269" i="6" s="1"/>
  <c r="C269" i="6"/>
  <c r="EU268" i="6"/>
  <c r="EO268" i="6"/>
  <c r="FB268" i="6" s="1"/>
  <c r="EB268" i="6"/>
  <c r="EA268" i="6"/>
  <c r="BJ268" i="6"/>
  <c r="BA268" i="6"/>
  <c r="AJ268" i="6"/>
  <c r="AI268" i="6"/>
  <c r="AB268" i="6" s="1"/>
  <c r="AH268" i="6"/>
  <c r="AG268" i="6"/>
  <c r="AF268" i="6"/>
  <c r="AA268" i="6" s="1"/>
  <c r="AE268" i="6"/>
  <c r="Z268" i="6" s="1"/>
  <c r="AD268" i="6"/>
  <c r="Y268" i="6" s="1"/>
  <c r="W268" i="6"/>
  <c r="S268" i="6"/>
  <c r="AP268" i="6" s="1"/>
  <c r="P268" i="6"/>
  <c r="CH268" i="6" s="1"/>
  <c r="C268" i="6"/>
  <c r="EU267" i="6"/>
  <c r="EO267" i="6"/>
  <c r="FB267" i="6" s="1"/>
  <c r="EB267" i="6"/>
  <c r="EA267" i="6"/>
  <c r="BJ267" i="6"/>
  <c r="BA267" i="6"/>
  <c r="AJ267" i="6"/>
  <c r="AI267" i="6"/>
  <c r="AB267" i="6" s="1"/>
  <c r="AH267" i="6"/>
  <c r="AG267" i="6"/>
  <c r="AF267" i="6"/>
  <c r="AA267" i="6" s="1"/>
  <c r="AE267" i="6"/>
  <c r="Z267" i="6" s="1"/>
  <c r="AD267" i="6"/>
  <c r="Y267" i="6" s="1"/>
  <c r="W267" i="6"/>
  <c r="S267" i="6"/>
  <c r="AP267" i="6" s="1"/>
  <c r="P267" i="6"/>
  <c r="CH267" i="6" s="1"/>
  <c r="C267" i="6"/>
  <c r="EU266" i="6"/>
  <c r="EO266" i="6"/>
  <c r="FB266" i="6" s="1"/>
  <c r="EB266" i="6"/>
  <c r="EA266" i="6"/>
  <c r="BJ266" i="6"/>
  <c r="BA266" i="6"/>
  <c r="AJ266" i="6"/>
  <c r="AI266" i="6"/>
  <c r="AB266" i="6" s="1"/>
  <c r="AH266" i="6"/>
  <c r="AG266" i="6"/>
  <c r="AF266" i="6"/>
  <c r="AA266" i="6" s="1"/>
  <c r="AE266" i="6"/>
  <c r="Z266" i="6" s="1"/>
  <c r="AD266" i="6"/>
  <c r="Y266" i="6" s="1"/>
  <c r="W266" i="6"/>
  <c r="S266" i="6"/>
  <c r="AP266" i="6" s="1"/>
  <c r="P266" i="6"/>
  <c r="CH266" i="6" s="1"/>
  <c r="C266" i="6"/>
  <c r="EU265" i="6"/>
  <c r="EO265" i="6"/>
  <c r="FB265" i="6" s="1"/>
  <c r="EB265" i="6"/>
  <c r="EA265" i="6"/>
  <c r="BJ265" i="6"/>
  <c r="BA265" i="6"/>
  <c r="FV265" i="6" s="1"/>
  <c r="AJ265" i="6"/>
  <c r="AI265" i="6"/>
  <c r="AB265" i="6" s="1"/>
  <c r="AH265" i="6"/>
  <c r="AG265" i="6"/>
  <c r="AF265" i="6"/>
  <c r="AA265" i="6" s="1"/>
  <c r="AE265" i="6"/>
  <c r="Z265" i="6" s="1"/>
  <c r="AD265" i="6"/>
  <c r="Y265" i="6" s="1"/>
  <c r="W265" i="6"/>
  <c r="S265" i="6"/>
  <c r="AP265" i="6" s="1"/>
  <c r="P265" i="6"/>
  <c r="CH265" i="6" s="1"/>
  <c r="C265" i="6"/>
  <c r="EU264" i="6"/>
  <c r="EO264" i="6"/>
  <c r="FB264" i="6" s="1"/>
  <c r="EB264" i="6"/>
  <c r="EA264" i="6"/>
  <c r="BJ264" i="6"/>
  <c r="BA264" i="6"/>
  <c r="AJ264" i="6"/>
  <c r="AI264" i="6"/>
  <c r="AB264" i="6" s="1"/>
  <c r="AH264" i="6"/>
  <c r="AG264" i="6"/>
  <c r="AF264" i="6"/>
  <c r="AA264" i="6" s="1"/>
  <c r="AE264" i="6"/>
  <c r="Z264" i="6" s="1"/>
  <c r="AD264" i="6"/>
  <c r="Y264" i="6" s="1"/>
  <c r="W264" i="6"/>
  <c r="S264" i="6"/>
  <c r="AP264" i="6" s="1"/>
  <c r="P264" i="6"/>
  <c r="CH264" i="6" s="1"/>
  <c r="C264" i="6"/>
  <c r="EY263" i="6"/>
  <c r="EW263" i="6"/>
  <c r="EU263" i="6"/>
  <c r="ET263" i="6"/>
  <c r="EO263" i="6"/>
  <c r="FB263" i="6" s="1"/>
  <c r="EB263" i="6"/>
  <c r="EA263" i="6"/>
  <c r="BJ263" i="6"/>
  <c r="BA263" i="6"/>
  <c r="FV263" i="6" s="1"/>
  <c r="AJ263" i="6"/>
  <c r="AI263" i="6"/>
  <c r="AB263" i="6" s="1"/>
  <c r="AH263" i="6"/>
  <c r="AG263" i="6"/>
  <c r="AF263" i="6"/>
  <c r="AA263" i="6" s="1"/>
  <c r="W263" i="6"/>
  <c r="S263" i="6"/>
  <c r="AP263" i="6" s="1"/>
  <c r="C263" i="6"/>
  <c r="EY262" i="6"/>
  <c r="EW262" i="6"/>
  <c r="EU262" i="6"/>
  <c r="ET262" i="6"/>
  <c r="EO262" i="6"/>
  <c r="FB262" i="6" s="1"/>
  <c r="EB262" i="6"/>
  <c r="EA262" i="6"/>
  <c r="BJ262" i="6"/>
  <c r="BA262" i="6"/>
  <c r="AJ262" i="6"/>
  <c r="AI262" i="6"/>
  <c r="AB262" i="6" s="1"/>
  <c r="AH262" i="6"/>
  <c r="AG262" i="6"/>
  <c r="AF262" i="6"/>
  <c r="AA262" i="6" s="1"/>
  <c r="AE262" i="6"/>
  <c r="Z262" i="6" s="1"/>
  <c r="AD262" i="6"/>
  <c r="Y262" i="6" s="1"/>
  <c r="W262" i="6"/>
  <c r="S262" i="6"/>
  <c r="AP262" i="6" s="1"/>
  <c r="P262" i="6"/>
  <c r="CH262" i="6" s="1"/>
  <c r="C262" i="6"/>
  <c r="EY261" i="6"/>
  <c r="EW261" i="6"/>
  <c r="EU261" i="6"/>
  <c r="ET261" i="6"/>
  <c r="EO261" i="6"/>
  <c r="FB261" i="6" s="1"/>
  <c r="EB261" i="6"/>
  <c r="EA261" i="6"/>
  <c r="BJ261" i="6"/>
  <c r="BA261" i="6"/>
  <c r="AL261" i="6" s="1"/>
  <c r="AJ261" i="6"/>
  <c r="AI261" i="6"/>
  <c r="AB261" i="6" s="1"/>
  <c r="AH261" i="6"/>
  <c r="AG261" i="6"/>
  <c r="AF261" i="6"/>
  <c r="AA261" i="6" s="1"/>
  <c r="AE261" i="6"/>
  <c r="Z261" i="6" s="1"/>
  <c r="AD261" i="6"/>
  <c r="W261" i="6"/>
  <c r="S261" i="6"/>
  <c r="AP261" i="6" s="1"/>
  <c r="P261" i="6"/>
  <c r="CH261" i="6" s="1"/>
  <c r="C261" i="6"/>
  <c r="EY260" i="6"/>
  <c r="EW260" i="6"/>
  <c r="EU260" i="6"/>
  <c r="ET260" i="6"/>
  <c r="EO260" i="6"/>
  <c r="FB260" i="6" s="1"/>
  <c r="EB260" i="6"/>
  <c r="EA260" i="6"/>
  <c r="CQ260" i="6"/>
  <c r="CP260" i="6"/>
  <c r="CO260" i="6"/>
  <c r="CN260" i="6"/>
  <c r="CM260" i="6"/>
  <c r="CL260" i="6"/>
  <c r="CK260" i="6"/>
  <c r="CJ260" i="6"/>
  <c r="CI260" i="6"/>
  <c r="BJ260" i="6"/>
  <c r="BA260" i="6"/>
  <c r="AN260" i="6"/>
  <c r="AJ260" i="6"/>
  <c r="AI260" i="6"/>
  <c r="AB260" i="6" s="1"/>
  <c r="AH260" i="6"/>
  <c r="AG260" i="6"/>
  <c r="AF260" i="6"/>
  <c r="AA260" i="6" s="1"/>
  <c r="W260" i="6"/>
  <c r="S260" i="6"/>
  <c r="AP260" i="6" s="1"/>
  <c r="C260" i="6"/>
  <c r="EY259" i="6"/>
  <c r="EW259" i="6"/>
  <c r="EU259" i="6"/>
  <c r="ET259" i="6"/>
  <c r="EO259" i="6"/>
  <c r="FB259" i="6" s="1"/>
  <c r="EB259" i="6"/>
  <c r="EA259" i="6"/>
  <c r="CQ259" i="6"/>
  <c r="CP259" i="6"/>
  <c r="CO259" i="6"/>
  <c r="CN259" i="6"/>
  <c r="CM259" i="6"/>
  <c r="CL259" i="6"/>
  <c r="CK259" i="6"/>
  <c r="CJ259" i="6"/>
  <c r="CI259" i="6"/>
  <c r="BJ259" i="6"/>
  <c r="BA259" i="6"/>
  <c r="AJ259" i="6"/>
  <c r="AI259" i="6"/>
  <c r="AB259" i="6" s="1"/>
  <c r="AH259" i="6"/>
  <c r="AG259" i="6"/>
  <c r="AF259" i="6"/>
  <c r="AA259" i="6" s="1"/>
  <c r="W259" i="6"/>
  <c r="S259" i="6"/>
  <c r="AP259" i="6" s="1"/>
  <c r="C259" i="6"/>
  <c r="EU258" i="6"/>
  <c r="EO258" i="6"/>
  <c r="FB258" i="6" s="1"/>
  <c r="EB258" i="6"/>
  <c r="EA258" i="6"/>
  <c r="BJ258" i="6"/>
  <c r="BA258" i="6"/>
  <c r="FV258" i="6" s="1"/>
  <c r="AJ258" i="6"/>
  <c r="AI258" i="6"/>
  <c r="AB258" i="6" s="1"/>
  <c r="AC258" i="6" s="1"/>
  <c r="AH258" i="6"/>
  <c r="AG258" i="6"/>
  <c r="AE258" i="6"/>
  <c r="Z258" i="6" s="1"/>
  <c r="BD258" i="6" s="1"/>
  <c r="W258" i="6"/>
  <c r="S258" i="6"/>
  <c r="AP258" i="6" s="1"/>
  <c r="I258" i="6"/>
  <c r="AF258" i="6" s="1"/>
  <c r="AA258" i="6" s="1"/>
  <c r="G258" i="6"/>
  <c r="C258" i="6"/>
  <c r="EY257" i="6"/>
  <c r="EW257" i="6"/>
  <c r="EU257" i="6"/>
  <c r="ET257" i="6"/>
  <c r="EO257" i="6"/>
  <c r="FB257" i="6" s="1"/>
  <c r="EB257" i="6"/>
  <c r="EA257" i="6"/>
  <c r="BJ257" i="6"/>
  <c r="BA257" i="6"/>
  <c r="FV257" i="6" s="1"/>
  <c r="AJ257" i="6"/>
  <c r="AH257" i="6"/>
  <c r="AG257" i="6"/>
  <c r="W257" i="6"/>
  <c r="S257" i="6"/>
  <c r="AP257" i="6" s="1"/>
  <c r="I257" i="6"/>
  <c r="H257" i="6"/>
  <c r="AE257" i="6" s="1"/>
  <c r="Z257" i="6" s="1"/>
  <c r="G257" i="6"/>
  <c r="AD257" i="6" s="1"/>
  <c r="C257" i="6"/>
  <c r="EU256" i="6"/>
  <c r="EO256" i="6"/>
  <c r="FB256" i="6" s="1"/>
  <c r="EB256" i="6"/>
  <c r="EA256" i="6"/>
  <c r="BJ256" i="6"/>
  <c r="BA256" i="6"/>
  <c r="FV256" i="6" s="1"/>
  <c r="AJ256" i="6"/>
  <c r="AI256" i="6"/>
  <c r="AB256" i="6" s="1"/>
  <c r="AC256" i="6" s="1"/>
  <c r="AH256" i="6"/>
  <c r="AG256" i="6"/>
  <c r="AF256" i="6"/>
  <c r="AA256" i="6" s="1"/>
  <c r="AE256" i="6"/>
  <c r="Z256" i="6" s="1"/>
  <c r="AD256" i="6"/>
  <c r="Y256" i="6" s="1"/>
  <c r="W256" i="6"/>
  <c r="S256" i="6"/>
  <c r="AP256" i="6" s="1"/>
  <c r="P256" i="6"/>
  <c r="CH256" i="6" s="1"/>
  <c r="C256" i="6"/>
  <c r="EU255" i="6"/>
  <c r="EO255" i="6"/>
  <c r="FB255" i="6" s="1"/>
  <c r="EB255" i="6"/>
  <c r="EA255" i="6"/>
  <c r="BJ255" i="6"/>
  <c r="BA255" i="6"/>
  <c r="AJ255" i="6"/>
  <c r="AI255" i="6"/>
  <c r="AB255" i="6" s="1"/>
  <c r="AH255" i="6"/>
  <c r="AG255" i="6"/>
  <c r="AF255" i="6"/>
  <c r="AA255" i="6" s="1"/>
  <c r="AE255" i="6"/>
  <c r="Z255" i="6" s="1"/>
  <c r="AD255" i="6"/>
  <c r="W255" i="6"/>
  <c r="S255" i="6"/>
  <c r="AP255" i="6" s="1"/>
  <c r="P255" i="6"/>
  <c r="CH255" i="6" s="1"/>
  <c r="C255" i="6"/>
  <c r="EU254" i="6"/>
  <c r="EO254" i="6"/>
  <c r="FB254" i="6" s="1"/>
  <c r="EB254" i="6"/>
  <c r="EA254" i="6"/>
  <c r="BJ254" i="6"/>
  <c r="BA254" i="6"/>
  <c r="AJ254" i="6"/>
  <c r="AI254" i="6"/>
  <c r="AB254" i="6" s="1"/>
  <c r="AH254" i="6"/>
  <c r="AG254" i="6"/>
  <c r="AF254" i="6"/>
  <c r="AA254" i="6" s="1"/>
  <c r="AE254" i="6"/>
  <c r="Z254" i="6" s="1"/>
  <c r="AD254" i="6"/>
  <c r="Y254" i="6" s="1"/>
  <c r="W254" i="6"/>
  <c r="S254" i="6"/>
  <c r="AP254" i="6" s="1"/>
  <c r="P254" i="6"/>
  <c r="CH254" i="6" s="1"/>
  <c r="C254" i="6"/>
  <c r="EU253" i="6"/>
  <c r="EO253" i="6"/>
  <c r="FB253" i="6" s="1"/>
  <c r="EB253" i="6"/>
  <c r="EA253" i="6"/>
  <c r="BJ253" i="6"/>
  <c r="BA253" i="6"/>
  <c r="AH253" i="6"/>
  <c r="AG253" i="6"/>
  <c r="AJ253" i="6" s="1"/>
  <c r="AF253" i="6"/>
  <c r="AI253" i="6" s="1"/>
  <c r="AE253" i="6"/>
  <c r="AD253" i="6"/>
  <c r="AC253" i="6"/>
  <c r="AB253" i="6"/>
  <c r="AA253" i="6"/>
  <c r="Z253" i="6"/>
  <c r="Y253" i="6"/>
  <c r="W253" i="6"/>
  <c r="S253" i="6"/>
  <c r="AP253" i="6" s="1"/>
  <c r="M253" i="6"/>
  <c r="L253" i="6"/>
  <c r="J253" i="6"/>
  <c r="I253" i="6"/>
  <c r="H253" i="6"/>
  <c r="G253" i="6"/>
  <c r="C253" i="6"/>
  <c r="EU252" i="6"/>
  <c r="EO252" i="6"/>
  <c r="FB252" i="6" s="1"/>
  <c r="EB252" i="6"/>
  <c r="EA252" i="6"/>
  <c r="BJ252" i="6"/>
  <c r="BA252" i="6"/>
  <c r="AJ252" i="6"/>
  <c r="AI252" i="6"/>
  <c r="AB252" i="6" s="1"/>
  <c r="AH252" i="6"/>
  <c r="AG252" i="6"/>
  <c r="AF252" i="6"/>
  <c r="AA252" i="6" s="1"/>
  <c r="AE252" i="6"/>
  <c r="Z252" i="6" s="1"/>
  <c r="AD252" i="6"/>
  <c r="Y252" i="6" s="1"/>
  <c r="W252" i="6"/>
  <c r="S252" i="6"/>
  <c r="AP252" i="6" s="1"/>
  <c r="P252" i="6"/>
  <c r="CH252" i="6" s="1"/>
  <c r="C252" i="6"/>
  <c r="EU251" i="6"/>
  <c r="EO251" i="6"/>
  <c r="FB251" i="6" s="1"/>
  <c r="EB251" i="6"/>
  <c r="EA251" i="6"/>
  <c r="BJ251" i="6"/>
  <c r="BA251" i="6"/>
  <c r="AL251" i="6"/>
  <c r="AH251" i="6"/>
  <c r="W251" i="6"/>
  <c r="S251" i="6"/>
  <c r="AP251" i="6" s="1"/>
  <c r="P251" i="6"/>
  <c r="CH251" i="6" s="1"/>
  <c r="C251" i="6"/>
  <c r="EU250" i="6"/>
  <c r="EO250" i="6"/>
  <c r="FB250" i="6" s="1"/>
  <c r="EB250" i="6"/>
  <c r="EA250" i="6"/>
  <c r="BJ250" i="6"/>
  <c r="BA250" i="6"/>
  <c r="FV250" i="6" s="1"/>
  <c r="AJ250" i="6"/>
  <c r="AI250" i="6"/>
  <c r="AB250" i="6" s="1"/>
  <c r="AH250" i="6"/>
  <c r="AG250" i="6"/>
  <c r="AF250" i="6"/>
  <c r="AA250" i="6" s="1"/>
  <c r="AE250" i="6"/>
  <c r="Z250" i="6" s="1"/>
  <c r="AD250" i="6"/>
  <c r="Y250" i="6" s="1"/>
  <c r="W250" i="6"/>
  <c r="S250" i="6"/>
  <c r="AP250" i="6" s="1"/>
  <c r="P250" i="6"/>
  <c r="CH250" i="6" s="1"/>
  <c r="C250" i="6"/>
  <c r="EU249" i="6"/>
  <c r="EO249" i="6"/>
  <c r="FB249" i="6" s="1"/>
  <c r="EB249" i="6"/>
  <c r="EA249" i="6"/>
  <c r="BJ249" i="6"/>
  <c r="BA249" i="6"/>
  <c r="AJ249" i="6"/>
  <c r="AI249" i="6"/>
  <c r="AB249" i="6" s="1"/>
  <c r="AH249" i="6"/>
  <c r="AG249" i="6"/>
  <c r="AF249" i="6"/>
  <c r="AA249" i="6" s="1"/>
  <c r="AE249" i="6"/>
  <c r="Z249" i="6" s="1"/>
  <c r="AD249" i="6"/>
  <c r="Y249" i="6" s="1"/>
  <c r="W249" i="6"/>
  <c r="S249" i="6"/>
  <c r="AP249" i="6" s="1"/>
  <c r="P249" i="6"/>
  <c r="CH249" i="6" s="1"/>
  <c r="C249" i="6"/>
  <c r="EU248" i="6"/>
  <c r="EO248" i="6"/>
  <c r="FB248" i="6" s="1"/>
  <c r="EB248" i="6"/>
  <c r="EA248" i="6"/>
  <c r="BJ248" i="6"/>
  <c r="BA248" i="6"/>
  <c r="AJ248" i="6"/>
  <c r="AI248" i="6"/>
  <c r="AB248" i="6" s="1"/>
  <c r="AH248" i="6"/>
  <c r="AG248" i="6"/>
  <c r="AF248" i="6"/>
  <c r="AA248" i="6" s="1"/>
  <c r="AE248" i="6"/>
  <c r="Z248" i="6" s="1"/>
  <c r="AD248" i="6"/>
  <c r="Y248" i="6" s="1"/>
  <c r="W248" i="6"/>
  <c r="S248" i="6"/>
  <c r="AP248" i="6" s="1"/>
  <c r="P248" i="6"/>
  <c r="CH248" i="6" s="1"/>
  <c r="C248" i="6"/>
  <c r="EU247" i="6"/>
  <c r="EO247" i="6"/>
  <c r="FB247" i="6" s="1"/>
  <c r="EB247" i="6"/>
  <c r="EA247" i="6"/>
  <c r="BJ247" i="6"/>
  <c r="BA247" i="6"/>
  <c r="AJ247" i="6"/>
  <c r="AI247" i="6"/>
  <c r="AB247" i="6" s="1"/>
  <c r="AH247" i="6"/>
  <c r="AG247" i="6"/>
  <c r="AF247" i="6"/>
  <c r="AA247" i="6" s="1"/>
  <c r="AE247" i="6"/>
  <c r="Z247" i="6" s="1"/>
  <c r="BD247" i="6" s="1"/>
  <c r="AD247" i="6"/>
  <c r="Y247" i="6" s="1"/>
  <c r="W247" i="6"/>
  <c r="S247" i="6"/>
  <c r="AP247" i="6" s="1"/>
  <c r="P247" i="6"/>
  <c r="CH247" i="6" s="1"/>
  <c r="C247" i="6"/>
  <c r="EU246" i="6"/>
  <c r="EO246" i="6"/>
  <c r="FB246" i="6" s="1"/>
  <c r="EB246" i="6"/>
  <c r="EA246" i="6"/>
  <c r="BJ246" i="6"/>
  <c r="BA246" i="6"/>
  <c r="FV246" i="6" s="1"/>
  <c r="AL246" i="6"/>
  <c r="AJ246" i="6"/>
  <c r="AI246" i="6"/>
  <c r="AB246" i="6" s="1"/>
  <c r="AH246" i="6"/>
  <c r="W246" i="6"/>
  <c r="S246" i="6"/>
  <c r="AP246" i="6" s="1"/>
  <c r="P246" i="6"/>
  <c r="CH246" i="6" s="1"/>
  <c r="C246" i="6"/>
  <c r="EU245" i="6"/>
  <c r="EO245" i="6"/>
  <c r="FB245" i="6" s="1"/>
  <c r="EB245" i="6"/>
  <c r="EA245" i="6"/>
  <c r="BJ245" i="6"/>
  <c r="BA245" i="6"/>
  <c r="AL245" i="6"/>
  <c r="AJ245" i="6"/>
  <c r="AI245" i="6"/>
  <c r="AB245" i="6" s="1"/>
  <c r="AH245" i="6"/>
  <c r="W245" i="6"/>
  <c r="S245" i="6"/>
  <c r="AP245" i="6" s="1"/>
  <c r="P245" i="6"/>
  <c r="CH245" i="6" s="1"/>
  <c r="C245" i="6"/>
  <c r="EU244" i="6"/>
  <c r="EO244" i="6"/>
  <c r="FB244" i="6" s="1"/>
  <c r="EB244" i="6"/>
  <c r="EA244" i="6"/>
  <c r="BJ244" i="6"/>
  <c r="BA244" i="6"/>
  <c r="AL244" i="6"/>
  <c r="AJ244" i="6"/>
  <c r="AI244" i="6"/>
  <c r="AB244" i="6" s="1"/>
  <c r="AH244" i="6"/>
  <c r="W244" i="6"/>
  <c r="S244" i="6"/>
  <c r="AP244" i="6" s="1"/>
  <c r="P244" i="6"/>
  <c r="CH244" i="6" s="1"/>
  <c r="C244" i="6"/>
  <c r="EU243" i="6"/>
  <c r="EO243" i="6"/>
  <c r="FB243" i="6" s="1"/>
  <c r="EB243" i="6"/>
  <c r="EA243" i="6"/>
  <c r="BJ243" i="6"/>
  <c r="BA243" i="6"/>
  <c r="AL243" i="6"/>
  <c r="AH243" i="6"/>
  <c r="W243" i="6"/>
  <c r="S243" i="6"/>
  <c r="AP243" i="6" s="1"/>
  <c r="P243" i="6"/>
  <c r="CH243" i="6" s="1"/>
  <c r="C243" i="6"/>
  <c r="EU242" i="6"/>
  <c r="EO242" i="6"/>
  <c r="FB242" i="6" s="1"/>
  <c r="EB242" i="6"/>
  <c r="EA242" i="6"/>
  <c r="BJ242" i="6"/>
  <c r="BA242" i="6"/>
  <c r="AL242" i="6"/>
  <c r="AH242" i="6"/>
  <c r="W242" i="6"/>
  <c r="S242" i="6"/>
  <c r="AP242" i="6" s="1"/>
  <c r="P242" i="6"/>
  <c r="CH242" i="6" s="1"/>
  <c r="C242" i="6"/>
  <c r="EU241" i="6"/>
  <c r="EO241" i="6"/>
  <c r="FB241" i="6" s="1"/>
  <c r="EB241" i="6"/>
  <c r="EA241" i="6"/>
  <c r="BJ241" i="6"/>
  <c r="BA241" i="6"/>
  <c r="AJ241" i="6"/>
  <c r="AI241" i="6"/>
  <c r="AB241" i="6" s="1"/>
  <c r="AH241" i="6"/>
  <c r="AG241" i="6"/>
  <c r="AF241" i="6"/>
  <c r="AA241" i="6" s="1"/>
  <c r="AE241" i="6"/>
  <c r="Z241" i="6" s="1"/>
  <c r="AD241" i="6"/>
  <c r="W241" i="6"/>
  <c r="S241" i="6"/>
  <c r="AP241" i="6" s="1"/>
  <c r="P241" i="6"/>
  <c r="CH241" i="6" s="1"/>
  <c r="C241" i="6"/>
  <c r="EU240" i="6"/>
  <c r="EO240" i="6"/>
  <c r="FB240" i="6" s="1"/>
  <c r="EB240" i="6"/>
  <c r="EA240" i="6"/>
  <c r="BJ240" i="6"/>
  <c r="BA240" i="6"/>
  <c r="FV240" i="6" s="1"/>
  <c r="AJ240" i="6"/>
  <c r="AI240" i="6"/>
  <c r="AB240" i="6" s="1"/>
  <c r="AH240" i="6"/>
  <c r="AG240" i="6"/>
  <c r="AF240" i="6"/>
  <c r="AA240" i="6" s="1"/>
  <c r="AE240" i="6"/>
  <c r="Z240" i="6" s="1"/>
  <c r="AD240" i="6"/>
  <c r="Y240" i="6" s="1"/>
  <c r="W240" i="6"/>
  <c r="S240" i="6"/>
  <c r="AP240" i="6" s="1"/>
  <c r="P240" i="6"/>
  <c r="CH240" i="6" s="1"/>
  <c r="C240" i="6"/>
  <c r="EU239" i="6"/>
  <c r="EO239" i="6"/>
  <c r="FB239" i="6" s="1"/>
  <c r="EB239" i="6"/>
  <c r="EA239" i="6"/>
  <c r="BJ239" i="6"/>
  <c r="BA239" i="6"/>
  <c r="AJ239" i="6"/>
  <c r="AI239" i="6"/>
  <c r="AB239" i="6" s="1"/>
  <c r="AH239" i="6"/>
  <c r="AG239" i="6"/>
  <c r="AF239" i="6"/>
  <c r="AA239" i="6" s="1"/>
  <c r="AE239" i="6"/>
  <c r="Z239" i="6" s="1"/>
  <c r="AD239" i="6"/>
  <c r="Y239" i="6" s="1"/>
  <c r="W239" i="6"/>
  <c r="S239" i="6"/>
  <c r="AP239" i="6" s="1"/>
  <c r="P239" i="6"/>
  <c r="CH239" i="6" s="1"/>
  <c r="C239" i="6"/>
  <c r="EU238" i="6"/>
  <c r="EO238" i="6"/>
  <c r="FB238" i="6" s="1"/>
  <c r="EB238" i="6"/>
  <c r="EA238" i="6"/>
  <c r="BJ238" i="6"/>
  <c r="BA238" i="6"/>
  <c r="AJ238" i="6"/>
  <c r="AI238" i="6"/>
  <c r="AB238" i="6" s="1"/>
  <c r="BG238" i="6" s="1"/>
  <c r="AH238" i="6"/>
  <c r="AG238" i="6"/>
  <c r="AF238" i="6"/>
  <c r="AA238" i="6" s="1"/>
  <c r="AE238" i="6"/>
  <c r="Z238" i="6" s="1"/>
  <c r="AD238" i="6"/>
  <c r="W238" i="6"/>
  <c r="S238" i="6"/>
  <c r="AP238" i="6" s="1"/>
  <c r="P238" i="6"/>
  <c r="CH238" i="6" s="1"/>
  <c r="C238" i="6"/>
  <c r="EU237" i="6"/>
  <c r="EO237" i="6"/>
  <c r="FB237" i="6" s="1"/>
  <c r="EB237" i="6"/>
  <c r="EA237" i="6"/>
  <c r="BJ237" i="6"/>
  <c r="BA237" i="6"/>
  <c r="AJ237" i="6"/>
  <c r="AI237" i="6"/>
  <c r="AB237" i="6" s="1"/>
  <c r="AH237" i="6"/>
  <c r="AG237" i="6"/>
  <c r="AF237" i="6"/>
  <c r="AA237" i="6" s="1"/>
  <c r="AE237" i="6"/>
  <c r="Z237" i="6" s="1"/>
  <c r="AD237" i="6"/>
  <c r="Y237" i="6" s="1"/>
  <c r="W237" i="6"/>
  <c r="S237" i="6"/>
  <c r="AP237" i="6" s="1"/>
  <c r="P237" i="6"/>
  <c r="CH237" i="6" s="1"/>
  <c r="C237" i="6"/>
  <c r="EU236" i="6"/>
  <c r="EO236" i="6"/>
  <c r="FB236" i="6" s="1"/>
  <c r="EB236" i="6"/>
  <c r="EA236" i="6"/>
  <c r="BJ236" i="6"/>
  <c r="BA236" i="6"/>
  <c r="FV236" i="6" s="1"/>
  <c r="AJ236" i="6"/>
  <c r="AI236" i="6"/>
  <c r="AB236" i="6" s="1"/>
  <c r="AH236" i="6"/>
  <c r="AG236" i="6"/>
  <c r="AF236" i="6"/>
  <c r="AA236" i="6" s="1"/>
  <c r="AE236" i="6"/>
  <c r="Z236" i="6" s="1"/>
  <c r="AD236" i="6"/>
  <c r="Y236" i="6" s="1"/>
  <c r="W236" i="6"/>
  <c r="S236" i="6"/>
  <c r="AP236" i="6" s="1"/>
  <c r="P236" i="6"/>
  <c r="CH236" i="6" s="1"/>
  <c r="C236" i="6"/>
  <c r="EU235" i="6"/>
  <c r="EO235" i="6"/>
  <c r="FB235" i="6" s="1"/>
  <c r="EB235" i="6"/>
  <c r="EA235" i="6"/>
  <c r="BJ235" i="6"/>
  <c r="BA235" i="6"/>
  <c r="FV235" i="6" s="1"/>
  <c r="AJ235" i="6"/>
  <c r="AI235" i="6"/>
  <c r="AB235" i="6" s="1"/>
  <c r="AH235" i="6"/>
  <c r="AG235" i="6"/>
  <c r="AF235" i="6"/>
  <c r="AA235" i="6" s="1"/>
  <c r="AE235" i="6"/>
  <c r="Z235" i="6" s="1"/>
  <c r="AD235" i="6"/>
  <c r="W235" i="6"/>
  <c r="S235" i="6"/>
  <c r="AP235" i="6" s="1"/>
  <c r="P235" i="6"/>
  <c r="CH235" i="6" s="1"/>
  <c r="C235" i="6"/>
  <c r="EU234" i="6"/>
  <c r="EO234" i="6"/>
  <c r="FB234" i="6" s="1"/>
  <c r="EB234" i="6"/>
  <c r="EA234" i="6"/>
  <c r="BJ234" i="6"/>
  <c r="BA234" i="6"/>
  <c r="AJ234" i="6"/>
  <c r="AI234" i="6"/>
  <c r="AB234" i="6" s="1"/>
  <c r="AH234" i="6"/>
  <c r="AG234" i="6"/>
  <c r="AF234" i="6"/>
  <c r="AA234" i="6" s="1"/>
  <c r="BF234" i="6" s="1"/>
  <c r="AE234" i="6"/>
  <c r="Z234" i="6" s="1"/>
  <c r="BD234" i="6" s="1"/>
  <c r="AD234" i="6"/>
  <c r="Y234" i="6" s="1"/>
  <c r="W234" i="6"/>
  <c r="S234" i="6"/>
  <c r="AP234" i="6" s="1"/>
  <c r="P234" i="6"/>
  <c r="CH234" i="6" s="1"/>
  <c r="C234" i="6"/>
  <c r="EU233" i="6"/>
  <c r="EO233" i="6"/>
  <c r="FB233" i="6" s="1"/>
  <c r="EB233" i="6"/>
  <c r="EA233" i="6"/>
  <c r="BJ233" i="6"/>
  <c r="BA233" i="6"/>
  <c r="AJ233" i="6"/>
  <c r="AI233" i="6"/>
  <c r="AB233" i="6" s="1"/>
  <c r="AH233" i="6"/>
  <c r="AG233" i="6"/>
  <c r="AF233" i="6"/>
  <c r="AA233" i="6" s="1"/>
  <c r="AE233" i="6"/>
  <c r="Z233" i="6" s="1"/>
  <c r="BD233" i="6" s="1"/>
  <c r="AD233" i="6"/>
  <c r="Y233" i="6" s="1"/>
  <c r="W233" i="6"/>
  <c r="S233" i="6"/>
  <c r="AP233" i="6" s="1"/>
  <c r="P233" i="6"/>
  <c r="CH233" i="6" s="1"/>
  <c r="C233" i="6"/>
  <c r="EU232" i="6"/>
  <c r="EO232" i="6"/>
  <c r="FB232" i="6" s="1"/>
  <c r="EB232" i="6"/>
  <c r="EA232" i="6"/>
  <c r="BJ232" i="6"/>
  <c r="BA232" i="6"/>
  <c r="AJ232" i="6"/>
  <c r="AI232" i="6"/>
  <c r="AB232" i="6" s="1"/>
  <c r="AH232" i="6"/>
  <c r="AG232" i="6"/>
  <c r="AF232" i="6"/>
  <c r="AA232" i="6" s="1"/>
  <c r="AE232" i="6"/>
  <c r="Z232" i="6" s="1"/>
  <c r="AD232" i="6"/>
  <c r="Y232" i="6" s="1"/>
  <c r="W232" i="6"/>
  <c r="S232" i="6"/>
  <c r="AP232" i="6" s="1"/>
  <c r="P232" i="6"/>
  <c r="CH232" i="6" s="1"/>
  <c r="C232" i="6"/>
  <c r="EU231" i="6"/>
  <c r="EO231" i="6"/>
  <c r="FB231" i="6" s="1"/>
  <c r="EB231" i="6"/>
  <c r="EA231" i="6"/>
  <c r="BJ231" i="6"/>
  <c r="BA231" i="6"/>
  <c r="AJ231" i="6"/>
  <c r="AI231" i="6"/>
  <c r="AB231" i="6" s="1"/>
  <c r="AH231" i="6"/>
  <c r="AG231" i="6"/>
  <c r="AF231" i="6"/>
  <c r="AA231" i="6" s="1"/>
  <c r="AE231" i="6"/>
  <c r="Z231" i="6" s="1"/>
  <c r="AD231" i="6"/>
  <c r="Y231" i="6" s="1"/>
  <c r="W231" i="6"/>
  <c r="S231" i="6"/>
  <c r="AP231" i="6" s="1"/>
  <c r="P231" i="6"/>
  <c r="CH231" i="6" s="1"/>
  <c r="C231" i="6"/>
  <c r="EU230" i="6"/>
  <c r="EO230" i="6"/>
  <c r="FB230" i="6" s="1"/>
  <c r="EB230" i="6"/>
  <c r="EA230" i="6"/>
  <c r="BJ230" i="6"/>
  <c r="BA230" i="6"/>
  <c r="FV230" i="6" s="1"/>
  <c r="AJ230" i="6"/>
  <c r="AI230" i="6"/>
  <c r="AB230" i="6" s="1"/>
  <c r="AH230" i="6"/>
  <c r="AG230" i="6"/>
  <c r="AF230" i="6"/>
  <c r="AA230" i="6" s="1"/>
  <c r="AE230" i="6"/>
  <c r="Z230" i="6" s="1"/>
  <c r="BD230" i="6" s="1"/>
  <c r="AD230" i="6"/>
  <c r="Y230" i="6" s="1"/>
  <c r="W230" i="6"/>
  <c r="S230" i="6"/>
  <c r="AP230" i="6" s="1"/>
  <c r="P230" i="6"/>
  <c r="CH230" i="6" s="1"/>
  <c r="C230" i="6"/>
  <c r="EU229" i="6"/>
  <c r="EO229" i="6"/>
  <c r="FB229" i="6" s="1"/>
  <c r="EB229" i="6"/>
  <c r="EA229" i="6"/>
  <c r="BJ229" i="6"/>
  <c r="BA229" i="6"/>
  <c r="FV229" i="6" s="1"/>
  <c r="AJ229" i="6"/>
  <c r="AI229" i="6"/>
  <c r="AB229" i="6" s="1"/>
  <c r="AH229" i="6"/>
  <c r="AG229" i="6"/>
  <c r="AF229" i="6"/>
  <c r="AA229" i="6" s="1"/>
  <c r="AE229" i="6"/>
  <c r="Z229" i="6" s="1"/>
  <c r="BD229" i="6" s="1"/>
  <c r="AD229" i="6"/>
  <c r="W229" i="6"/>
  <c r="S229" i="6"/>
  <c r="AP229" i="6" s="1"/>
  <c r="P229" i="6"/>
  <c r="CH229" i="6" s="1"/>
  <c r="C229" i="6"/>
  <c r="EU228" i="6"/>
  <c r="EO228" i="6"/>
  <c r="FB228" i="6" s="1"/>
  <c r="EB228" i="6"/>
  <c r="EA228" i="6"/>
  <c r="BJ228" i="6"/>
  <c r="BA228" i="6"/>
  <c r="AJ228" i="6"/>
  <c r="AI228" i="6"/>
  <c r="AB228" i="6" s="1"/>
  <c r="AH228" i="6"/>
  <c r="AG228" i="6"/>
  <c r="AF228" i="6"/>
  <c r="AA228" i="6" s="1"/>
  <c r="AE228" i="6"/>
  <c r="Z228" i="6" s="1"/>
  <c r="BD228" i="6" s="1"/>
  <c r="AD228" i="6"/>
  <c r="Y228" i="6" s="1"/>
  <c r="W228" i="6"/>
  <c r="S228" i="6"/>
  <c r="AP228" i="6" s="1"/>
  <c r="P228" i="6"/>
  <c r="CH228" i="6" s="1"/>
  <c r="C228" i="6"/>
  <c r="EU227" i="6"/>
  <c r="EO227" i="6"/>
  <c r="FB227" i="6" s="1"/>
  <c r="EB227" i="6"/>
  <c r="EA227" i="6"/>
  <c r="BJ227" i="6"/>
  <c r="BA227" i="6"/>
  <c r="AJ227" i="6"/>
  <c r="AI227" i="6"/>
  <c r="AB227" i="6" s="1"/>
  <c r="AH227" i="6"/>
  <c r="AG227" i="6"/>
  <c r="AF227" i="6"/>
  <c r="AA227" i="6" s="1"/>
  <c r="AE227" i="6"/>
  <c r="Z227" i="6" s="1"/>
  <c r="AD227" i="6"/>
  <c r="W227" i="6"/>
  <c r="S227" i="6"/>
  <c r="AP227" i="6" s="1"/>
  <c r="P227" i="6"/>
  <c r="CH227" i="6" s="1"/>
  <c r="C227" i="6"/>
  <c r="EU226" i="6"/>
  <c r="EO226" i="6"/>
  <c r="FB226" i="6" s="1"/>
  <c r="EB226" i="6"/>
  <c r="EA226" i="6"/>
  <c r="BJ226" i="6"/>
  <c r="BA226" i="6"/>
  <c r="AJ226" i="6"/>
  <c r="AI226" i="6"/>
  <c r="AB226" i="6" s="1"/>
  <c r="AH226" i="6"/>
  <c r="AG226" i="6"/>
  <c r="AF226" i="6"/>
  <c r="AA226" i="6" s="1"/>
  <c r="AE226" i="6"/>
  <c r="Z226" i="6" s="1"/>
  <c r="AD226" i="6"/>
  <c r="Y226" i="6" s="1"/>
  <c r="W226" i="6"/>
  <c r="S226" i="6"/>
  <c r="AP226" i="6" s="1"/>
  <c r="P226" i="6"/>
  <c r="CH226" i="6" s="1"/>
  <c r="C226" i="6"/>
  <c r="EU225" i="6"/>
  <c r="EO225" i="6"/>
  <c r="FB225" i="6" s="1"/>
  <c r="EB225" i="6"/>
  <c r="EA225" i="6"/>
  <c r="BJ225" i="6"/>
  <c r="BA225" i="6"/>
  <c r="AJ225" i="6"/>
  <c r="AI225" i="6"/>
  <c r="AB225" i="6" s="1"/>
  <c r="AH225" i="6"/>
  <c r="AG225" i="6"/>
  <c r="AF225" i="6"/>
  <c r="AA225" i="6" s="1"/>
  <c r="AE225" i="6"/>
  <c r="Z225" i="6" s="1"/>
  <c r="AD225" i="6"/>
  <c r="W225" i="6"/>
  <c r="S225" i="6"/>
  <c r="AP225" i="6" s="1"/>
  <c r="P225" i="6"/>
  <c r="CH225" i="6" s="1"/>
  <c r="C225" i="6"/>
  <c r="EU224" i="6"/>
  <c r="EO224" i="6"/>
  <c r="FB224" i="6" s="1"/>
  <c r="EB224" i="6"/>
  <c r="EA224" i="6"/>
  <c r="BJ224" i="6"/>
  <c r="BA224" i="6"/>
  <c r="AJ224" i="6"/>
  <c r="AI224" i="6"/>
  <c r="AB224" i="6" s="1"/>
  <c r="AH224" i="6"/>
  <c r="AG224" i="6"/>
  <c r="AF224" i="6"/>
  <c r="AA224" i="6" s="1"/>
  <c r="AE224" i="6"/>
  <c r="Z224" i="6" s="1"/>
  <c r="AD224" i="6"/>
  <c r="Y224" i="6" s="1"/>
  <c r="W224" i="6"/>
  <c r="S224" i="6"/>
  <c r="AP224" i="6" s="1"/>
  <c r="P224" i="6"/>
  <c r="CH224" i="6" s="1"/>
  <c r="C224" i="6"/>
  <c r="EU223" i="6"/>
  <c r="EO223" i="6"/>
  <c r="FB223" i="6" s="1"/>
  <c r="EB223" i="6"/>
  <c r="EA223" i="6"/>
  <c r="BJ223" i="6"/>
  <c r="BA223" i="6"/>
  <c r="AJ223" i="6"/>
  <c r="AI223" i="6"/>
  <c r="AB223" i="6" s="1"/>
  <c r="AH223" i="6"/>
  <c r="AG223" i="6"/>
  <c r="BG223" i="6" s="1"/>
  <c r="AF223" i="6"/>
  <c r="AA223" i="6" s="1"/>
  <c r="AE223" i="6"/>
  <c r="Z223" i="6" s="1"/>
  <c r="AD223" i="6"/>
  <c r="Y223" i="6" s="1"/>
  <c r="W223" i="6"/>
  <c r="S223" i="6"/>
  <c r="AP223" i="6" s="1"/>
  <c r="P223" i="6"/>
  <c r="CH223" i="6" s="1"/>
  <c r="C223" i="6"/>
  <c r="EU222" i="6"/>
  <c r="EO222" i="6"/>
  <c r="FB222" i="6" s="1"/>
  <c r="EB222" i="6"/>
  <c r="EA222" i="6"/>
  <c r="BJ222" i="6"/>
  <c r="BA222" i="6"/>
  <c r="AJ222" i="6"/>
  <c r="AI222" i="6"/>
  <c r="AB222" i="6" s="1"/>
  <c r="AH222" i="6"/>
  <c r="AG222" i="6"/>
  <c r="AF222" i="6"/>
  <c r="AA222" i="6" s="1"/>
  <c r="AE222" i="6"/>
  <c r="Z222" i="6" s="1"/>
  <c r="AD222" i="6"/>
  <c r="Y222" i="6" s="1"/>
  <c r="W222" i="6"/>
  <c r="S222" i="6"/>
  <c r="AP222" i="6" s="1"/>
  <c r="P222" i="6"/>
  <c r="CH222" i="6" s="1"/>
  <c r="C222" i="6"/>
  <c r="EU221" i="6"/>
  <c r="EO221" i="6"/>
  <c r="FB221" i="6" s="1"/>
  <c r="EB221" i="6"/>
  <c r="EA221" i="6"/>
  <c r="BJ221" i="6"/>
  <c r="BA221" i="6"/>
  <c r="AL221" i="6"/>
  <c r="AJ221" i="6"/>
  <c r="AI221" i="6"/>
  <c r="AB221" i="6" s="1"/>
  <c r="AH221" i="6"/>
  <c r="W221" i="6"/>
  <c r="S221" i="6"/>
  <c r="AP221" i="6" s="1"/>
  <c r="P221" i="6"/>
  <c r="CH221" i="6" s="1"/>
  <c r="C221" i="6"/>
  <c r="EU220" i="6"/>
  <c r="EO220" i="6"/>
  <c r="FB220" i="6" s="1"/>
  <c r="EB220" i="6"/>
  <c r="EA220" i="6"/>
  <c r="BJ220" i="6"/>
  <c r="BA220" i="6"/>
  <c r="AL220" i="6"/>
  <c r="AH220" i="6"/>
  <c r="W220" i="6"/>
  <c r="S220" i="6"/>
  <c r="AP220" i="6" s="1"/>
  <c r="P220" i="6"/>
  <c r="CH220" i="6" s="1"/>
  <c r="C220" i="6"/>
  <c r="EU219" i="6"/>
  <c r="EO219" i="6"/>
  <c r="FB219" i="6" s="1"/>
  <c r="EB219" i="6"/>
  <c r="EA219" i="6"/>
  <c r="BJ219" i="6"/>
  <c r="BA219" i="6"/>
  <c r="FV219" i="6" s="1"/>
  <c r="AL219" i="6"/>
  <c r="AH219" i="6"/>
  <c r="W219" i="6"/>
  <c r="S219" i="6"/>
  <c r="AP219" i="6" s="1"/>
  <c r="P219" i="6"/>
  <c r="CH219" i="6" s="1"/>
  <c r="C219" i="6"/>
  <c r="EU218" i="6"/>
  <c r="EO218" i="6"/>
  <c r="FB218" i="6" s="1"/>
  <c r="EB218" i="6"/>
  <c r="EA218" i="6"/>
  <c r="BJ218" i="6"/>
  <c r="BA218" i="6"/>
  <c r="AL218" i="6"/>
  <c r="AH218" i="6"/>
  <c r="W218" i="6"/>
  <c r="S218" i="6"/>
  <c r="AP218" i="6" s="1"/>
  <c r="P218" i="6"/>
  <c r="CH218" i="6" s="1"/>
  <c r="C218" i="6"/>
  <c r="EU212" i="6"/>
  <c r="EO212" i="6"/>
  <c r="FB212" i="6" s="1"/>
  <c r="EB212" i="6"/>
  <c r="EA212" i="6"/>
  <c r="BJ212" i="6"/>
  <c r="BA212" i="6"/>
  <c r="AJ212" i="6"/>
  <c r="AI212" i="6"/>
  <c r="AB212" i="6" s="1"/>
  <c r="AH212" i="6"/>
  <c r="AD212" i="6"/>
  <c r="Y212" i="6" s="1"/>
  <c r="W212" i="6"/>
  <c r="S212" i="6"/>
  <c r="I212" i="6"/>
  <c r="AF212" i="6" s="1"/>
  <c r="AA212" i="6" s="1"/>
  <c r="H212" i="6"/>
  <c r="AE212" i="6" s="1"/>
  <c r="Z212" i="6" s="1"/>
  <c r="C212" i="6"/>
  <c r="EU211" i="6"/>
  <c r="EO211" i="6"/>
  <c r="FB211" i="6" s="1"/>
  <c r="EB211" i="6"/>
  <c r="EA211" i="6"/>
  <c r="BJ211" i="6"/>
  <c r="BA211" i="6"/>
  <c r="AJ211" i="6"/>
  <c r="AI211" i="6"/>
  <c r="AB211" i="6" s="1"/>
  <c r="AH211" i="6"/>
  <c r="W211" i="6"/>
  <c r="S211" i="6"/>
  <c r="AP211" i="6" s="1"/>
  <c r="I211" i="6"/>
  <c r="J211" i="6" s="1"/>
  <c r="AG211" i="6" s="1"/>
  <c r="H211" i="6"/>
  <c r="G211" i="6"/>
  <c r="AD211" i="6" s="1"/>
  <c r="Y211" i="6" s="1"/>
  <c r="C211" i="6"/>
  <c r="EU210" i="6"/>
  <c r="EO210" i="6"/>
  <c r="FB210" i="6" s="1"/>
  <c r="EB210" i="6"/>
  <c r="EA210" i="6"/>
  <c r="BJ210" i="6"/>
  <c r="BA210" i="6"/>
  <c r="FV210" i="6" s="1"/>
  <c r="AJ210" i="6"/>
  <c r="AI210" i="6"/>
  <c r="AB210" i="6" s="1"/>
  <c r="AH210" i="6"/>
  <c r="W210" i="6"/>
  <c r="S210" i="6"/>
  <c r="AP210" i="6" s="1"/>
  <c r="I210" i="6"/>
  <c r="AF210" i="6" s="1"/>
  <c r="H210" i="6"/>
  <c r="AE210" i="6" s="1"/>
  <c r="Z210" i="6" s="1"/>
  <c r="G210" i="6"/>
  <c r="AD210" i="6" s="1"/>
  <c r="Y210" i="6" s="1"/>
  <c r="C210" i="6"/>
  <c r="EU209" i="6"/>
  <c r="EO209" i="6"/>
  <c r="FB209" i="6" s="1"/>
  <c r="EB209" i="6"/>
  <c r="EA209" i="6"/>
  <c r="BJ209" i="6"/>
  <c r="BA209" i="6"/>
  <c r="AJ209" i="6"/>
  <c r="AI209" i="6"/>
  <c r="AB209" i="6" s="1"/>
  <c r="AH209" i="6"/>
  <c r="W209" i="6"/>
  <c r="S209" i="6"/>
  <c r="AP209" i="6" s="1"/>
  <c r="I209" i="6"/>
  <c r="J209" i="6" s="1"/>
  <c r="AG209" i="6" s="1"/>
  <c r="H209" i="6"/>
  <c r="G209" i="6"/>
  <c r="AD209" i="6" s="1"/>
  <c r="Y209" i="6" s="1"/>
  <c r="C209" i="6"/>
  <c r="EU208" i="6"/>
  <c r="EO208" i="6"/>
  <c r="FB208" i="6" s="1"/>
  <c r="EB208" i="6"/>
  <c r="EA208" i="6"/>
  <c r="BJ208" i="6"/>
  <c r="BA208" i="6"/>
  <c r="AJ208" i="6"/>
  <c r="AI208" i="6"/>
  <c r="AB208" i="6" s="1"/>
  <c r="AH208" i="6"/>
  <c r="W208" i="6"/>
  <c r="S208" i="6"/>
  <c r="I208" i="6"/>
  <c r="AF208" i="6" s="1"/>
  <c r="AA208" i="6" s="1"/>
  <c r="H208" i="6"/>
  <c r="AE208" i="6" s="1"/>
  <c r="Z208" i="6" s="1"/>
  <c r="G208" i="6"/>
  <c r="C208" i="6"/>
  <c r="EO207" i="6"/>
  <c r="FB207" i="6" s="1"/>
  <c r="EB207" i="6"/>
  <c r="EA207" i="6"/>
  <c r="BJ207" i="6"/>
  <c r="BA207" i="6"/>
  <c r="AL207" i="6"/>
  <c r="AJ207" i="6"/>
  <c r="AI207" i="6"/>
  <c r="AB207" i="6" s="1"/>
  <c r="S207" i="6"/>
  <c r="AP207" i="6" s="1"/>
  <c r="P207" i="6"/>
  <c r="CH207" i="6" s="1"/>
  <c r="C207" i="6"/>
  <c r="EO206" i="6"/>
  <c r="FB206" i="6" s="1"/>
  <c r="EB206" i="6"/>
  <c r="EA206" i="6"/>
  <c r="BJ206" i="6"/>
  <c r="BA206" i="6"/>
  <c r="AL206" i="6"/>
  <c r="AJ206" i="6"/>
  <c r="AI206" i="6"/>
  <c r="AB206" i="6" s="1"/>
  <c r="S206" i="6"/>
  <c r="AP206" i="6" s="1"/>
  <c r="P206" i="6"/>
  <c r="CH206" i="6" s="1"/>
  <c r="C206" i="6"/>
  <c r="EO205" i="6"/>
  <c r="FB205" i="6" s="1"/>
  <c r="EB205" i="6"/>
  <c r="EA205" i="6"/>
  <c r="BJ205" i="6"/>
  <c r="BA205" i="6"/>
  <c r="AL205" i="6"/>
  <c r="S205" i="6"/>
  <c r="AP205" i="6" s="1"/>
  <c r="P205" i="6"/>
  <c r="CH205" i="6" s="1"/>
  <c r="C205" i="6"/>
  <c r="EU204" i="6"/>
  <c r="EO204" i="6"/>
  <c r="FB204" i="6" s="1"/>
  <c r="EB204" i="6"/>
  <c r="EA204" i="6"/>
  <c r="BJ204" i="6"/>
  <c r="BA204" i="6"/>
  <c r="AL204" i="6"/>
  <c r="AH204" i="6"/>
  <c r="W204" i="6"/>
  <c r="S204" i="6"/>
  <c r="AP204" i="6" s="1"/>
  <c r="P204" i="6"/>
  <c r="CH204" i="6" s="1"/>
  <c r="C204" i="6"/>
  <c r="EU203" i="6"/>
  <c r="EO203" i="6"/>
  <c r="FB203" i="6" s="1"/>
  <c r="EB203" i="6"/>
  <c r="EA203" i="6"/>
  <c r="BJ203" i="6"/>
  <c r="BA203" i="6"/>
  <c r="AJ203" i="6"/>
  <c r="AI203" i="6"/>
  <c r="AB203" i="6" s="1"/>
  <c r="AH203" i="6"/>
  <c r="AG203" i="6"/>
  <c r="AF203" i="6"/>
  <c r="AA203" i="6" s="1"/>
  <c r="AC203" i="6" s="1"/>
  <c r="AE203" i="6"/>
  <c r="Z203" i="6" s="1"/>
  <c r="AD203" i="6"/>
  <c r="W203" i="6"/>
  <c r="S203" i="6"/>
  <c r="AP203" i="6" s="1"/>
  <c r="P203" i="6"/>
  <c r="CH203" i="6" s="1"/>
  <c r="C203" i="6"/>
  <c r="EU202" i="6"/>
  <c r="EO202" i="6"/>
  <c r="FB202" i="6" s="1"/>
  <c r="EB202" i="6"/>
  <c r="EA202" i="6"/>
  <c r="BJ202" i="6"/>
  <c r="BA202" i="6"/>
  <c r="AJ202" i="6"/>
  <c r="AI202" i="6"/>
  <c r="AB202" i="6" s="1"/>
  <c r="AH202" i="6"/>
  <c r="AG202" i="6"/>
  <c r="AF202" i="6"/>
  <c r="AA202" i="6" s="1"/>
  <c r="AE202" i="6"/>
  <c r="Z202" i="6" s="1"/>
  <c r="BD202" i="6" s="1"/>
  <c r="AD202" i="6"/>
  <c r="Y202" i="6" s="1"/>
  <c r="W202" i="6"/>
  <c r="S202" i="6"/>
  <c r="AP202" i="6" s="1"/>
  <c r="P202" i="6"/>
  <c r="CH202" i="6" s="1"/>
  <c r="C202" i="6"/>
  <c r="EU201" i="6"/>
  <c r="EO201" i="6"/>
  <c r="FB201" i="6" s="1"/>
  <c r="EB201" i="6"/>
  <c r="EA201" i="6"/>
  <c r="BJ201" i="6"/>
  <c r="BA201" i="6"/>
  <c r="FV201" i="6" s="1"/>
  <c r="AJ201" i="6"/>
  <c r="AI201" i="6"/>
  <c r="AB201" i="6" s="1"/>
  <c r="BL200" i="6" s="1"/>
  <c r="AH201" i="6"/>
  <c r="AG201" i="6"/>
  <c r="AF201" i="6"/>
  <c r="AA201" i="6" s="1"/>
  <c r="AE201" i="6"/>
  <c r="AD201" i="6"/>
  <c r="W201" i="6"/>
  <c r="S201" i="6"/>
  <c r="AP201" i="6" s="1"/>
  <c r="P201" i="6"/>
  <c r="CH201" i="6" s="1"/>
  <c r="C201" i="6"/>
  <c r="EU200" i="6"/>
  <c r="EO200" i="6"/>
  <c r="FB200" i="6" s="1"/>
  <c r="EB200" i="6"/>
  <c r="EA200" i="6"/>
  <c r="BJ200" i="6"/>
  <c r="BA200" i="6"/>
  <c r="AJ200" i="6"/>
  <c r="AI200" i="6"/>
  <c r="AB200" i="6" s="1"/>
  <c r="AH200" i="6"/>
  <c r="AG200" i="6"/>
  <c r="AF200" i="6"/>
  <c r="AA200" i="6" s="1"/>
  <c r="AE200" i="6"/>
  <c r="Z200" i="6" s="1"/>
  <c r="AD200" i="6"/>
  <c r="Y200" i="6" s="1"/>
  <c r="W200" i="6"/>
  <c r="S200" i="6"/>
  <c r="AP200" i="6" s="1"/>
  <c r="P200" i="6"/>
  <c r="CH200" i="6" s="1"/>
  <c r="C200" i="6"/>
  <c r="EU199" i="6"/>
  <c r="EO199" i="6"/>
  <c r="FB199" i="6" s="1"/>
  <c r="EB199" i="6"/>
  <c r="EA199" i="6"/>
  <c r="BJ199" i="6"/>
  <c r="BA199" i="6"/>
  <c r="AL199" i="6"/>
  <c r="AJ199" i="6"/>
  <c r="AI199" i="6"/>
  <c r="AB199" i="6" s="1"/>
  <c r="AH199" i="6"/>
  <c r="W199" i="6"/>
  <c r="S199" i="6"/>
  <c r="AP199" i="6" s="1"/>
  <c r="P199" i="6"/>
  <c r="C199" i="6"/>
  <c r="EU198" i="6"/>
  <c r="EO198" i="6"/>
  <c r="FB198" i="6" s="1"/>
  <c r="EB198" i="6"/>
  <c r="EA198" i="6"/>
  <c r="BJ198" i="6"/>
  <c r="BA198" i="6"/>
  <c r="AL198" i="6"/>
  <c r="AJ198" i="6"/>
  <c r="AI198" i="6"/>
  <c r="AB198" i="6" s="1"/>
  <c r="AH198" i="6"/>
  <c r="W198" i="6"/>
  <c r="S198" i="6"/>
  <c r="AP198" i="6" s="1"/>
  <c r="P198" i="6"/>
  <c r="CH198" i="6" s="1"/>
  <c r="C198" i="6"/>
  <c r="EO197" i="6"/>
  <c r="FB197" i="6" s="1"/>
  <c r="EB197" i="6"/>
  <c r="EA197" i="6"/>
  <c r="BJ197" i="6"/>
  <c r="BA197" i="6"/>
  <c r="AJ197" i="6"/>
  <c r="AI197" i="6"/>
  <c r="AB197" i="6" s="1"/>
  <c r="S197" i="6"/>
  <c r="AP197" i="6" s="1"/>
  <c r="P197" i="6"/>
  <c r="CH197" i="6" s="1"/>
  <c r="C197" i="6"/>
  <c r="EY196" i="6"/>
  <c r="EW196" i="6"/>
  <c r="EU196" i="6"/>
  <c r="ET196" i="6"/>
  <c r="EO196" i="6"/>
  <c r="FB196" i="6" s="1"/>
  <c r="EB196" i="6"/>
  <c r="EA196" i="6"/>
  <c r="BJ196" i="6"/>
  <c r="BA196" i="6"/>
  <c r="AJ196" i="6"/>
  <c r="AI196" i="6"/>
  <c r="AB196" i="6" s="1"/>
  <c r="AH196" i="6"/>
  <c r="AG196" i="6"/>
  <c r="AF196" i="6"/>
  <c r="AA196" i="6" s="1"/>
  <c r="AE196" i="6"/>
  <c r="Z196" i="6" s="1"/>
  <c r="AD196" i="6"/>
  <c r="Y196" i="6" s="1"/>
  <c r="W196" i="6"/>
  <c r="S196" i="6"/>
  <c r="AP196" i="6" s="1"/>
  <c r="P196" i="6"/>
  <c r="CH196" i="6" s="1"/>
  <c r="C196" i="6"/>
  <c r="EU194" i="6"/>
  <c r="EO194" i="6"/>
  <c r="FB194" i="6" s="1"/>
  <c r="EB194" i="6"/>
  <c r="EA194" i="6"/>
  <c r="BJ194" i="6"/>
  <c r="BA194" i="6"/>
  <c r="AJ194" i="6"/>
  <c r="AI194" i="6"/>
  <c r="AB194" i="6" s="1"/>
  <c r="AH194" i="6"/>
  <c r="AG194" i="6"/>
  <c r="AF194" i="6"/>
  <c r="AA194" i="6" s="1"/>
  <c r="AC194" i="6" s="1"/>
  <c r="AE194" i="6"/>
  <c r="Z194" i="6" s="1"/>
  <c r="AD194" i="6"/>
  <c r="Y194" i="6" s="1"/>
  <c r="W194" i="6"/>
  <c r="S194" i="6"/>
  <c r="AP194" i="6" s="1"/>
  <c r="P194" i="6"/>
  <c r="CH194" i="6" s="1"/>
  <c r="C194" i="6"/>
  <c r="EU193" i="6"/>
  <c r="EO193" i="6"/>
  <c r="FB193" i="6" s="1"/>
  <c r="EB193" i="6"/>
  <c r="EA193" i="6"/>
  <c r="BJ193" i="6"/>
  <c r="BA193" i="6"/>
  <c r="FV193" i="6" s="1"/>
  <c r="AJ193" i="6"/>
  <c r="AI193" i="6"/>
  <c r="AB193" i="6" s="1"/>
  <c r="AH193" i="6"/>
  <c r="AG193" i="6"/>
  <c r="AF193" i="6"/>
  <c r="AA193" i="6" s="1"/>
  <c r="AE193" i="6"/>
  <c r="Z193" i="6" s="1"/>
  <c r="AD193" i="6"/>
  <c r="Y193" i="6" s="1"/>
  <c r="W193" i="6"/>
  <c r="S193" i="6"/>
  <c r="AP193" i="6" s="1"/>
  <c r="P193" i="6"/>
  <c r="CH193" i="6" s="1"/>
  <c r="C193" i="6"/>
  <c r="EU192" i="6"/>
  <c r="EO192" i="6"/>
  <c r="FB192" i="6" s="1"/>
  <c r="EB192" i="6"/>
  <c r="EA192" i="6"/>
  <c r="BJ192" i="6"/>
  <c r="BA192" i="6"/>
  <c r="AJ192" i="6"/>
  <c r="AI192" i="6"/>
  <c r="AB192" i="6" s="1"/>
  <c r="AH192" i="6"/>
  <c r="AG192" i="6"/>
  <c r="AF192" i="6"/>
  <c r="AA192" i="6" s="1"/>
  <c r="AE192" i="6"/>
  <c r="Z192" i="6" s="1"/>
  <c r="AD192" i="6"/>
  <c r="Y192" i="6" s="1"/>
  <c r="W192" i="6"/>
  <c r="S192" i="6"/>
  <c r="AP192" i="6" s="1"/>
  <c r="P192" i="6"/>
  <c r="CH192" i="6" s="1"/>
  <c r="C192" i="6"/>
  <c r="EU191" i="6"/>
  <c r="EO191" i="6"/>
  <c r="FB191" i="6" s="1"/>
  <c r="EB191" i="6"/>
  <c r="EA191" i="6"/>
  <c r="BJ191" i="6"/>
  <c r="BA191" i="6"/>
  <c r="FV191" i="6" s="1"/>
  <c r="AJ191" i="6"/>
  <c r="AI191" i="6"/>
  <c r="AB191" i="6" s="1"/>
  <c r="AH191" i="6"/>
  <c r="AG191" i="6"/>
  <c r="AF191" i="6"/>
  <c r="AA191" i="6" s="1"/>
  <c r="W191" i="6"/>
  <c r="S191" i="6"/>
  <c r="AP191" i="6" s="1"/>
  <c r="H191" i="6"/>
  <c r="AE191" i="6" s="1"/>
  <c r="Z191" i="6" s="1"/>
  <c r="G191" i="6"/>
  <c r="AD191" i="6" s="1"/>
  <c r="C191" i="6"/>
  <c r="EU190" i="6"/>
  <c r="EO190" i="6"/>
  <c r="FB190" i="6" s="1"/>
  <c r="EB190" i="6"/>
  <c r="EA190" i="6"/>
  <c r="BJ190" i="6"/>
  <c r="BA190" i="6"/>
  <c r="AJ190" i="6"/>
  <c r="AI190" i="6"/>
  <c r="AB190" i="6" s="1"/>
  <c r="AH190" i="6"/>
  <c r="W190" i="6"/>
  <c r="S190" i="6"/>
  <c r="AP190" i="6" s="1"/>
  <c r="I190" i="6"/>
  <c r="J190" i="6" s="1"/>
  <c r="AG190" i="6" s="1"/>
  <c r="H190" i="6"/>
  <c r="AE190" i="6" s="1"/>
  <c r="G190" i="6"/>
  <c r="AD190" i="6" s="1"/>
  <c r="Y190" i="6" s="1"/>
  <c r="C190" i="6"/>
  <c r="EU189" i="6"/>
  <c r="EO189" i="6"/>
  <c r="FB189" i="6" s="1"/>
  <c r="EB189" i="6"/>
  <c r="EA189" i="6"/>
  <c r="BJ189" i="6"/>
  <c r="BA189" i="6"/>
  <c r="FV189" i="6" s="1"/>
  <c r="AL189" i="6"/>
  <c r="AJ189" i="6"/>
  <c r="AI189" i="6"/>
  <c r="AB189" i="6" s="1"/>
  <c r="AH189" i="6"/>
  <c r="W189" i="6"/>
  <c r="S189" i="6"/>
  <c r="AP189" i="6" s="1"/>
  <c r="P189" i="6"/>
  <c r="CH189" i="6" s="1"/>
  <c r="C189" i="6"/>
  <c r="EU188" i="6"/>
  <c r="EO188" i="6"/>
  <c r="FB188" i="6" s="1"/>
  <c r="EB188" i="6"/>
  <c r="EA188" i="6"/>
  <c r="BJ188" i="6"/>
  <c r="BA188" i="6"/>
  <c r="AJ188" i="6"/>
  <c r="AI188" i="6"/>
  <c r="AB188" i="6" s="1"/>
  <c r="AH188" i="6"/>
  <c r="AG188" i="6"/>
  <c r="AF188" i="6"/>
  <c r="AA188" i="6" s="1"/>
  <c r="AE188" i="6"/>
  <c r="Z188" i="6" s="1"/>
  <c r="AD188" i="6"/>
  <c r="Y188" i="6" s="1"/>
  <c r="W188" i="6"/>
  <c r="S188" i="6"/>
  <c r="AP188" i="6" s="1"/>
  <c r="P188" i="6"/>
  <c r="CH188" i="6" s="1"/>
  <c r="C188" i="6"/>
  <c r="EU187" i="6"/>
  <c r="EO187" i="6"/>
  <c r="FB187" i="6" s="1"/>
  <c r="EB187" i="6"/>
  <c r="EA187" i="6"/>
  <c r="BJ187" i="6"/>
  <c r="BA187" i="6"/>
  <c r="AJ187" i="6"/>
  <c r="AI187" i="6"/>
  <c r="AB187" i="6" s="1"/>
  <c r="AH187" i="6"/>
  <c r="AG187" i="6"/>
  <c r="AF187" i="6"/>
  <c r="AA187" i="6" s="1"/>
  <c r="AE187" i="6"/>
  <c r="Z187" i="6" s="1"/>
  <c r="AD187" i="6"/>
  <c r="Y187" i="6" s="1"/>
  <c r="W187" i="6"/>
  <c r="S187" i="6"/>
  <c r="AP187" i="6" s="1"/>
  <c r="P187" i="6"/>
  <c r="CH187" i="6" s="1"/>
  <c r="C187" i="6"/>
  <c r="EU186" i="6"/>
  <c r="EO186" i="6"/>
  <c r="FB186" i="6" s="1"/>
  <c r="EB186" i="6"/>
  <c r="EA186" i="6"/>
  <c r="BJ186" i="6"/>
  <c r="BA186" i="6"/>
  <c r="AJ186" i="6"/>
  <c r="AI186" i="6"/>
  <c r="AB186" i="6" s="1"/>
  <c r="AH186" i="6"/>
  <c r="W186" i="6"/>
  <c r="S186" i="6"/>
  <c r="AP186" i="6" s="1"/>
  <c r="J186" i="6"/>
  <c r="AG186" i="6" s="1"/>
  <c r="I186" i="6"/>
  <c r="AF186" i="6" s="1"/>
  <c r="AA186" i="6" s="1"/>
  <c r="H186" i="6"/>
  <c r="AE186" i="6" s="1"/>
  <c r="G186" i="6"/>
  <c r="AD186" i="6" s="1"/>
  <c r="Y186" i="6" s="1"/>
  <c r="C186" i="6"/>
  <c r="EU185" i="6"/>
  <c r="EO185" i="6"/>
  <c r="FB185" i="6" s="1"/>
  <c r="EB185" i="6"/>
  <c r="EA185" i="6"/>
  <c r="BJ185" i="6"/>
  <c r="BA185" i="6"/>
  <c r="AJ185" i="6"/>
  <c r="AI185" i="6"/>
  <c r="AB185" i="6" s="1"/>
  <c r="AH185" i="6"/>
  <c r="W185" i="6"/>
  <c r="S185" i="6"/>
  <c r="J185" i="6"/>
  <c r="AG185" i="6" s="1"/>
  <c r="I185" i="6"/>
  <c r="AF185" i="6" s="1"/>
  <c r="AA185" i="6" s="1"/>
  <c r="H185" i="6"/>
  <c r="AE185" i="6" s="1"/>
  <c r="Z185" i="6" s="1"/>
  <c r="G185" i="6"/>
  <c r="AD185" i="6" s="1"/>
  <c r="Y185" i="6" s="1"/>
  <c r="C185" i="6"/>
  <c r="EU184" i="6"/>
  <c r="EO184" i="6"/>
  <c r="FB184" i="6" s="1"/>
  <c r="EB184" i="6"/>
  <c r="EA184" i="6"/>
  <c r="BJ184" i="6"/>
  <c r="BA184" i="6"/>
  <c r="AJ184" i="6"/>
  <c r="AI184" i="6"/>
  <c r="AB184" i="6" s="1"/>
  <c r="AH184" i="6"/>
  <c r="AG184" i="6"/>
  <c r="AF184" i="6"/>
  <c r="AA184" i="6" s="1"/>
  <c r="AE184" i="6"/>
  <c r="Z184" i="6" s="1"/>
  <c r="AD184" i="6"/>
  <c r="Y184" i="6" s="1"/>
  <c r="W184" i="6"/>
  <c r="S184" i="6"/>
  <c r="AP184" i="6" s="1"/>
  <c r="P184" i="6"/>
  <c r="CH184" i="6" s="1"/>
  <c r="C184" i="6"/>
  <c r="EU183" i="6"/>
  <c r="EO183" i="6"/>
  <c r="FB183" i="6" s="1"/>
  <c r="EB183" i="6"/>
  <c r="EA183" i="6"/>
  <c r="BJ183" i="6"/>
  <c r="BA183" i="6"/>
  <c r="AJ183" i="6"/>
  <c r="AI183" i="6"/>
  <c r="AB183" i="6" s="1"/>
  <c r="AH183" i="6"/>
  <c r="W183" i="6"/>
  <c r="S183" i="6"/>
  <c r="AP183" i="6" s="1"/>
  <c r="J183" i="6"/>
  <c r="AG183" i="6" s="1"/>
  <c r="I183" i="6"/>
  <c r="H183" i="6"/>
  <c r="AE183" i="6" s="1"/>
  <c r="Z183" i="6" s="1"/>
  <c r="G183" i="6"/>
  <c r="AD183" i="6" s="1"/>
  <c r="Y183" i="6" s="1"/>
  <c r="C183" i="6"/>
  <c r="EU182" i="6"/>
  <c r="EO182" i="6"/>
  <c r="FB182" i="6" s="1"/>
  <c r="EB182" i="6"/>
  <c r="EA182" i="6"/>
  <c r="BJ182" i="6"/>
  <c r="BA182" i="6"/>
  <c r="AL182" i="6" s="1"/>
  <c r="AJ182" i="6"/>
  <c r="AI182" i="6"/>
  <c r="AB182" i="6" s="1"/>
  <c r="AH182" i="6"/>
  <c r="AG182" i="6"/>
  <c r="BG182" i="6" s="1"/>
  <c r="AF182" i="6"/>
  <c r="BF182" i="6" s="1"/>
  <c r="AE182" i="6"/>
  <c r="Z182" i="6" s="1"/>
  <c r="BD182" i="6" s="1"/>
  <c r="AD182" i="6"/>
  <c r="Y182" i="6" s="1"/>
  <c r="W182" i="6"/>
  <c r="S182" i="6"/>
  <c r="AP182" i="6" s="1"/>
  <c r="P182" i="6"/>
  <c r="CH182" i="6" s="1"/>
  <c r="C182" i="6"/>
  <c r="EU181" i="6"/>
  <c r="EO181" i="6"/>
  <c r="FB181" i="6" s="1"/>
  <c r="EB181" i="6"/>
  <c r="EA181" i="6"/>
  <c r="BJ181" i="6"/>
  <c r="BA181" i="6"/>
  <c r="FV181" i="6" s="1"/>
  <c r="AJ181" i="6"/>
  <c r="AI181" i="6"/>
  <c r="AB181" i="6" s="1"/>
  <c r="AH181" i="6"/>
  <c r="AG181" i="6"/>
  <c r="AF181" i="6"/>
  <c r="AA181" i="6" s="1"/>
  <c r="AE181" i="6"/>
  <c r="Z181" i="6" s="1"/>
  <c r="AD181" i="6"/>
  <c r="Y181" i="6" s="1"/>
  <c r="W181" i="6"/>
  <c r="S181" i="6"/>
  <c r="AP181" i="6" s="1"/>
  <c r="P181" i="6"/>
  <c r="CH181" i="6" s="1"/>
  <c r="C181" i="6"/>
  <c r="EU180" i="6"/>
  <c r="EO180" i="6"/>
  <c r="FB180" i="6" s="1"/>
  <c r="EB180" i="6"/>
  <c r="EA180" i="6"/>
  <c r="BJ180" i="6"/>
  <c r="BA180" i="6"/>
  <c r="FV180" i="6" s="1"/>
  <c r="AJ180" i="6"/>
  <c r="AI180" i="6"/>
  <c r="AB180" i="6" s="1"/>
  <c r="AH180" i="6"/>
  <c r="AG180" i="6"/>
  <c r="AF180" i="6"/>
  <c r="AA180" i="6" s="1"/>
  <c r="AE180" i="6"/>
  <c r="Z180" i="6" s="1"/>
  <c r="AD180" i="6"/>
  <c r="Y180" i="6" s="1"/>
  <c r="W180" i="6"/>
  <c r="S180" i="6"/>
  <c r="AP180" i="6" s="1"/>
  <c r="P180" i="6"/>
  <c r="CH180" i="6" s="1"/>
  <c r="C180" i="6"/>
  <c r="EU179" i="6"/>
  <c r="EO179" i="6"/>
  <c r="FB179" i="6" s="1"/>
  <c r="EB179" i="6"/>
  <c r="EA179" i="6"/>
  <c r="BJ179" i="6"/>
  <c r="BA179" i="6"/>
  <c r="FV179" i="6" s="1"/>
  <c r="AJ179" i="6"/>
  <c r="AI179" i="6"/>
  <c r="AB179" i="6" s="1"/>
  <c r="AH179" i="6"/>
  <c r="AG179" i="6"/>
  <c r="AF179" i="6"/>
  <c r="AA179" i="6" s="1"/>
  <c r="BG179" i="6" s="1"/>
  <c r="AE179" i="6"/>
  <c r="Z179" i="6" s="1"/>
  <c r="BD179" i="6" s="1"/>
  <c r="AD179" i="6"/>
  <c r="Y179" i="6" s="1"/>
  <c r="W179" i="6"/>
  <c r="S179" i="6"/>
  <c r="AP179" i="6" s="1"/>
  <c r="P179" i="6"/>
  <c r="CH179" i="6" s="1"/>
  <c r="C179" i="6"/>
  <c r="EU178" i="6"/>
  <c r="EO178" i="6"/>
  <c r="FB178" i="6" s="1"/>
  <c r="EB178" i="6"/>
  <c r="EA178" i="6"/>
  <c r="BJ178" i="6"/>
  <c r="BA178" i="6"/>
  <c r="AJ178" i="6"/>
  <c r="AI178" i="6"/>
  <c r="AB178" i="6" s="1"/>
  <c r="AH178" i="6"/>
  <c r="AG178" i="6"/>
  <c r="AF178" i="6"/>
  <c r="AA178" i="6" s="1"/>
  <c r="BG178" i="6" s="1"/>
  <c r="AE178" i="6"/>
  <c r="Z178" i="6" s="1"/>
  <c r="BD178" i="6" s="1"/>
  <c r="W178" i="6"/>
  <c r="S178" i="6"/>
  <c r="AP178" i="6" s="1"/>
  <c r="G178" i="6"/>
  <c r="AD178" i="6" s="1"/>
  <c r="Y178" i="6" s="1"/>
  <c r="C178" i="6"/>
  <c r="EU177" i="6"/>
  <c r="EO177" i="6"/>
  <c r="FB177" i="6" s="1"/>
  <c r="EB177" i="6"/>
  <c r="EA177" i="6"/>
  <c r="BJ177" i="6"/>
  <c r="BA177" i="6"/>
  <c r="AJ177" i="6"/>
  <c r="AI177" i="6"/>
  <c r="AB177" i="6" s="1"/>
  <c r="AH177" i="6"/>
  <c r="AG177" i="6"/>
  <c r="AF177" i="6"/>
  <c r="AA177" i="6" s="1"/>
  <c r="AE177" i="6"/>
  <c r="Z177" i="6" s="1"/>
  <c r="AD177" i="6"/>
  <c r="Y177" i="6" s="1"/>
  <c r="W177" i="6"/>
  <c r="S177" i="6"/>
  <c r="P177" i="6"/>
  <c r="CH177" i="6" s="1"/>
  <c r="C177" i="6"/>
  <c r="EU176" i="6"/>
  <c r="EO176" i="6"/>
  <c r="FB176" i="6" s="1"/>
  <c r="EB176" i="6"/>
  <c r="EA176" i="6"/>
  <c r="BJ176" i="6"/>
  <c r="BA176" i="6"/>
  <c r="AJ176" i="6"/>
  <c r="AI176" i="6"/>
  <c r="AB176" i="6" s="1"/>
  <c r="AH176" i="6"/>
  <c r="AG176" i="6"/>
  <c r="AF176" i="6"/>
  <c r="AA176" i="6" s="1"/>
  <c r="AE176" i="6"/>
  <c r="Z176" i="6" s="1"/>
  <c r="AD176" i="6"/>
  <c r="Y176" i="6" s="1"/>
  <c r="W176" i="6"/>
  <c r="S176" i="6"/>
  <c r="AP176" i="6" s="1"/>
  <c r="P176" i="6"/>
  <c r="CH176" i="6" s="1"/>
  <c r="C176" i="6"/>
  <c r="EU175" i="6"/>
  <c r="EO175" i="6"/>
  <c r="FB175" i="6" s="1"/>
  <c r="EB175" i="6"/>
  <c r="EA175" i="6"/>
  <c r="BJ175" i="6"/>
  <c r="BA175" i="6"/>
  <c r="AJ175" i="6"/>
  <c r="AI175" i="6"/>
  <c r="AB175" i="6" s="1"/>
  <c r="AH175" i="6"/>
  <c r="AG175" i="6"/>
  <c r="AF175" i="6"/>
  <c r="AA175" i="6" s="1"/>
  <c r="AE175" i="6"/>
  <c r="Z175" i="6" s="1"/>
  <c r="AD175" i="6"/>
  <c r="Y175" i="6" s="1"/>
  <c r="W175" i="6"/>
  <c r="S175" i="6"/>
  <c r="AP175" i="6" s="1"/>
  <c r="P175" i="6"/>
  <c r="CH175" i="6" s="1"/>
  <c r="C175" i="6"/>
  <c r="EY174" i="6"/>
  <c r="EW174" i="6"/>
  <c r="EU174" i="6"/>
  <c r="ET174" i="6"/>
  <c r="EO174" i="6"/>
  <c r="FB174" i="6" s="1"/>
  <c r="EB174" i="6"/>
  <c r="EA174" i="6"/>
  <c r="BJ174" i="6"/>
  <c r="BA174" i="6"/>
  <c r="AJ174" i="6"/>
  <c r="AI174" i="6"/>
  <c r="AB174" i="6" s="1"/>
  <c r="AH174" i="6"/>
  <c r="AG174" i="6"/>
  <c r="AF174" i="6"/>
  <c r="AA174" i="6" s="1"/>
  <c r="AE174" i="6"/>
  <c r="BC174" i="6" s="1"/>
  <c r="AD174" i="6"/>
  <c r="Y174" i="6" s="1"/>
  <c r="W174" i="6"/>
  <c r="S174" i="6"/>
  <c r="AP174" i="6" s="1"/>
  <c r="P174" i="6"/>
  <c r="CH174" i="6" s="1"/>
  <c r="C174" i="6"/>
  <c r="EU173" i="6"/>
  <c r="EO173" i="6"/>
  <c r="FB173" i="6" s="1"/>
  <c r="EB173" i="6"/>
  <c r="EA173" i="6"/>
  <c r="BJ173" i="6"/>
  <c r="BA173" i="6"/>
  <c r="AJ173" i="6"/>
  <c r="AI173" i="6"/>
  <c r="AB173" i="6" s="1"/>
  <c r="AH173" i="6"/>
  <c r="AG173" i="6"/>
  <c r="AF173" i="6"/>
  <c r="AA173" i="6" s="1"/>
  <c r="AE173" i="6"/>
  <c r="Z173" i="6" s="1"/>
  <c r="AD173" i="6"/>
  <c r="Y173" i="6" s="1"/>
  <c r="W173" i="6"/>
  <c r="S173" i="6"/>
  <c r="AP173" i="6" s="1"/>
  <c r="P173" i="6"/>
  <c r="CH173" i="6" s="1"/>
  <c r="C173" i="6"/>
  <c r="EU172" i="6"/>
  <c r="EO172" i="6"/>
  <c r="FB172" i="6" s="1"/>
  <c r="EB172" i="6"/>
  <c r="EA172" i="6"/>
  <c r="BJ172" i="6"/>
  <c r="BA172" i="6"/>
  <c r="AN172" i="6"/>
  <c r="AJ172" i="6"/>
  <c r="AI172" i="6"/>
  <c r="AB172" i="6" s="1"/>
  <c r="AH172" i="6"/>
  <c r="AG172" i="6"/>
  <c r="AF172" i="6"/>
  <c r="AA172" i="6" s="1"/>
  <c r="AE172" i="6"/>
  <c r="Z172" i="6" s="1"/>
  <c r="AD172" i="6"/>
  <c r="Y172" i="6"/>
  <c r="W172" i="6"/>
  <c r="S172" i="6"/>
  <c r="AP172" i="6" s="1"/>
  <c r="P172" i="6"/>
  <c r="CH172" i="6" s="1"/>
  <c r="C172" i="6"/>
  <c r="EU171" i="6"/>
  <c r="EO171" i="6"/>
  <c r="FB171" i="6" s="1"/>
  <c r="EB171" i="6"/>
  <c r="EA171" i="6"/>
  <c r="BJ171" i="6"/>
  <c r="BA171" i="6"/>
  <c r="AL171" i="6" s="1"/>
  <c r="AJ171" i="6"/>
  <c r="AI171" i="6"/>
  <c r="AB171" i="6" s="1"/>
  <c r="AH171" i="6"/>
  <c r="AG171" i="6"/>
  <c r="AF171" i="6"/>
  <c r="AA171" i="6" s="1"/>
  <c r="AE171" i="6"/>
  <c r="Z171" i="6" s="1"/>
  <c r="AD171" i="6"/>
  <c r="Y171" i="6" s="1"/>
  <c r="W171" i="6"/>
  <c r="S171" i="6"/>
  <c r="AP171" i="6" s="1"/>
  <c r="P171" i="6"/>
  <c r="CH171" i="6" s="1"/>
  <c r="C171" i="6"/>
  <c r="EO170" i="6"/>
  <c r="FB170" i="6" s="1"/>
  <c r="EB170" i="6"/>
  <c r="EA170" i="6"/>
  <c r="BJ170" i="6"/>
  <c r="BA170" i="6"/>
  <c r="AN170" i="6" s="1"/>
  <c r="AJ170" i="6"/>
  <c r="AI170" i="6"/>
  <c r="AB170" i="6" s="1"/>
  <c r="AH170" i="6"/>
  <c r="AG170" i="6"/>
  <c r="AF170" i="6"/>
  <c r="BH170" i="6" s="1"/>
  <c r="W170" i="6" s="1"/>
  <c r="AE170" i="6"/>
  <c r="Z170" i="6" s="1"/>
  <c r="AD170" i="6"/>
  <c r="Y170" i="6" s="1"/>
  <c r="S170" i="6"/>
  <c r="AP170" i="6" s="1"/>
  <c r="P170" i="6"/>
  <c r="CH170" i="6" s="1"/>
  <c r="C170" i="6"/>
  <c r="EU169" i="6"/>
  <c r="EO169" i="6"/>
  <c r="FB169" i="6" s="1"/>
  <c r="EB169" i="6"/>
  <c r="EA169" i="6"/>
  <c r="BJ169" i="6"/>
  <c r="BA169" i="6"/>
  <c r="AJ169" i="6"/>
  <c r="AI169" i="6"/>
  <c r="AB169" i="6" s="1"/>
  <c r="AH169" i="6"/>
  <c r="AG169" i="6"/>
  <c r="AF169" i="6"/>
  <c r="AA169" i="6" s="1"/>
  <c r="AE169" i="6"/>
  <c r="Z169" i="6" s="1"/>
  <c r="AD169" i="6"/>
  <c r="Y169" i="6" s="1"/>
  <c r="W169" i="6"/>
  <c r="S169" i="6"/>
  <c r="AP169" i="6" s="1"/>
  <c r="P169" i="6"/>
  <c r="CH169" i="6" s="1"/>
  <c r="C169" i="6"/>
  <c r="EU168" i="6"/>
  <c r="EO168" i="6"/>
  <c r="FB168" i="6" s="1"/>
  <c r="EB168" i="6"/>
  <c r="EA168" i="6"/>
  <c r="BJ168" i="6"/>
  <c r="BA168" i="6"/>
  <c r="AJ168" i="6"/>
  <c r="AI168" i="6"/>
  <c r="AB168" i="6" s="1"/>
  <c r="AH168" i="6"/>
  <c r="AG168" i="6"/>
  <c r="AF168" i="6"/>
  <c r="AA168" i="6" s="1"/>
  <c r="AE168" i="6"/>
  <c r="Z168" i="6" s="1"/>
  <c r="AD168" i="6"/>
  <c r="Y168" i="6" s="1"/>
  <c r="W168" i="6"/>
  <c r="S168" i="6"/>
  <c r="AP168" i="6" s="1"/>
  <c r="P168" i="6"/>
  <c r="CH168" i="6" s="1"/>
  <c r="C168" i="6"/>
  <c r="EU167" i="6"/>
  <c r="EO167" i="6"/>
  <c r="FB167" i="6" s="1"/>
  <c r="EB167" i="6"/>
  <c r="EA167" i="6"/>
  <c r="BJ167" i="6"/>
  <c r="BA167" i="6"/>
  <c r="AJ167" i="6"/>
  <c r="AI167" i="6"/>
  <c r="AB167" i="6" s="1"/>
  <c r="AH167" i="6"/>
  <c r="AG167" i="6"/>
  <c r="AF167" i="6"/>
  <c r="AA167" i="6" s="1"/>
  <c r="AE167" i="6"/>
  <c r="Z167" i="6" s="1"/>
  <c r="AD167" i="6"/>
  <c r="W167" i="6"/>
  <c r="S167" i="6"/>
  <c r="AP167" i="6" s="1"/>
  <c r="P167" i="6"/>
  <c r="CH167" i="6" s="1"/>
  <c r="C167" i="6"/>
  <c r="EU166" i="6"/>
  <c r="EO166" i="6"/>
  <c r="FB166" i="6" s="1"/>
  <c r="EB166" i="6"/>
  <c r="EA166" i="6"/>
  <c r="BJ166" i="6"/>
  <c r="BA166" i="6"/>
  <c r="EL166" i="6" s="1"/>
  <c r="AL166" i="6"/>
  <c r="AJ166" i="6"/>
  <c r="AI166" i="6"/>
  <c r="AB166" i="6" s="1"/>
  <c r="AH166" i="6"/>
  <c r="AE166" i="6"/>
  <c r="Z166" i="6" s="1"/>
  <c r="AD166" i="6"/>
  <c r="Y166" i="6" s="1"/>
  <c r="W166" i="6"/>
  <c r="S166" i="6"/>
  <c r="AP166" i="6" s="1"/>
  <c r="I166" i="6"/>
  <c r="J166" i="6" s="1"/>
  <c r="C166" i="6"/>
  <c r="EU165" i="6"/>
  <c r="EO165" i="6"/>
  <c r="FB165" i="6" s="1"/>
  <c r="EB165" i="6"/>
  <c r="EA165" i="6"/>
  <c r="CJ165" i="6"/>
  <c r="CK165" i="6" s="1"/>
  <c r="CL165" i="6" s="1"/>
  <c r="CM165" i="6" s="1"/>
  <c r="CN165" i="6" s="1"/>
  <c r="CO165" i="6" s="1"/>
  <c r="CP165" i="6" s="1"/>
  <c r="CQ165" i="6" s="1"/>
  <c r="BJ165" i="6"/>
  <c r="BA165" i="6"/>
  <c r="AL165" i="6"/>
  <c r="AJ165" i="6"/>
  <c r="AI165" i="6"/>
  <c r="AB165" i="6" s="1"/>
  <c r="AH165" i="6"/>
  <c r="AE165" i="6"/>
  <c r="Z165" i="6" s="1"/>
  <c r="AD165" i="6"/>
  <c r="Y165" i="6" s="1"/>
  <c r="W165" i="6"/>
  <c r="S165" i="6"/>
  <c r="AP165" i="6" s="1"/>
  <c r="I165" i="6"/>
  <c r="C165" i="6"/>
  <c r="EU164" i="6"/>
  <c r="EO164" i="6"/>
  <c r="FB164" i="6" s="1"/>
  <c r="EB164" i="6"/>
  <c r="EA164" i="6"/>
  <c r="BJ164" i="6"/>
  <c r="BA164" i="6"/>
  <c r="AJ164" i="6"/>
  <c r="AI164" i="6"/>
  <c r="AB164" i="6" s="1"/>
  <c r="AH164" i="6"/>
  <c r="AG164" i="6"/>
  <c r="AF164" i="6"/>
  <c r="AA164" i="6" s="1"/>
  <c r="AE164" i="6"/>
  <c r="Z164" i="6" s="1"/>
  <c r="AD164" i="6"/>
  <c r="Y164" i="6" s="1"/>
  <c r="W164" i="6"/>
  <c r="S164" i="6"/>
  <c r="AP164" i="6" s="1"/>
  <c r="P164" i="6"/>
  <c r="CH164" i="6" s="1"/>
  <c r="C164" i="6"/>
  <c r="EO163" i="6"/>
  <c r="FB163" i="6" s="1"/>
  <c r="EB163" i="6"/>
  <c r="EA163" i="6"/>
  <c r="BJ163" i="6"/>
  <c r="BA163" i="6"/>
  <c r="AJ163" i="6"/>
  <c r="AI163" i="6"/>
  <c r="AB163" i="6" s="1"/>
  <c r="AH163" i="6"/>
  <c r="AG163" i="6"/>
  <c r="AF163" i="6"/>
  <c r="AA163" i="6" s="1"/>
  <c r="S163" i="6"/>
  <c r="AP163" i="6" s="1"/>
  <c r="P163" i="6"/>
  <c r="CH163" i="6" s="1"/>
  <c r="C163" i="6"/>
  <c r="EO162" i="6"/>
  <c r="FB162" i="6" s="1"/>
  <c r="EB162" i="6"/>
  <c r="EA162" i="6"/>
  <c r="BJ162" i="6"/>
  <c r="BA162" i="6"/>
  <c r="AJ162" i="6"/>
  <c r="AI162" i="6"/>
  <c r="AB162" i="6" s="1"/>
  <c r="AH162" i="6"/>
  <c r="AG162" i="6"/>
  <c r="BG162" i="6" s="1"/>
  <c r="AF162" i="6"/>
  <c r="BF162" i="6" s="1"/>
  <c r="AE162" i="6"/>
  <c r="Z162" i="6" s="1"/>
  <c r="AD162" i="6"/>
  <c r="Y162" i="6" s="1"/>
  <c r="S162" i="6"/>
  <c r="AP162" i="6" s="1"/>
  <c r="P162" i="6"/>
  <c r="CH162" i="6" s="1"/>
  <c r="C162" i="6"/>
  <c r="EU161" i="6"/>
  <c r="EO161" i="6"/>
  <c r="FB161" i="6" s="1"/>
  <c r="EB161" i="6"/>
  <c r="EA161" i="6"/>
  <c r="BJ161" i="6"/>
  <c r="BA161" i="6"/>
  <c r="AJ161" i="6"/>
  <c r="AI161" i="6"/>
  <c r="AB161" i="6" s="1"/>
  <c r="AH161" i="6"/>
  <c r="AG161" i="6"/>
  <c r="AF161" i="6"/>
  <c r="AA161" i="6" s="1"/>
  <c r="AE161" i="6"/>
  <c r="Z161" i="6" s="1"/>
  <c r="AD161" i="6"/>
  <c r="Y161" i="6" s="1"/>
  <c r="W161" i="6"/>
  <c r="S161" i="6"/>
  <c r="AP161" i="6" s="1"/>
  <c r="P161" i="6"/>
  <c r="CH161" i="6" s="1"/>
  <c r="C161" i="6"/>
  <c r="EU160" i="6"/>
  <c r="EO160" i="6"/>
  <c r="FB160" i="6" s="1"/>
  <c r="EB160" i="6"/>
  <c r="EA160" i="6"/>
  <c r="BJ160" i="6"/>
  <c r="BA160" i="6"/>
  <c r="AJ160" i="6"/>
  <c r="AI160" i="6"/>
  <c r="AB160" i="6" s="1"/>
  <c r="AH160" i="6"/>
  <c r="AG160" i="6"/>
  <c r="AF160" i="6"/>
  <c r="AA160" i="6" s="1"/>
  <c r="AE160" i="6"/>
  <c r="Z160" i="6" s="1"/>
  <c r="AD160" i="6"/>
  <c r="Y160" i="6" s="1"/>
  <c r="W160" i="6"/>
  <c r="S160" i="6"/>
  <c r="AP160" i="6" s="1"/>
  <c r="P160" i="6"/>
  <c r="CH160" i="6" s="1"/>
  <c r="C160" i="6"/>
  <c r="EO159" i="6"/>
  <c r="FB159" i="6" s="1"/>
  <c r="EN159" i="6"/>
  <c r="FA159" i="6" s="1"/>
  <c r="EB159" i="6"/>
  <c r="EA159" i="6"/>
  <c r="BJ159" i="6"/>
  <c r="BA159" i="6"/>
  <c r="AJ159" i="6"/>
  <c r="AI159" i="6"/>
  <c r="AB159" i="6" s="1"/>
  <c r="AH159" i="6"/>
  <c r="AG159" i="6"/>
  <c r="AF159" i="6"/>
  <c r="AA159" i="6" s="1"/>
  <c r="AE159" i="6"/>
  <c r="Z159" i="6" s="1"/>
  <c r="AD159" i="6"/>
  <c r="Y159" i="6" s="1"/>
  <c r="W159" i="6"/>
  <c r="S159" i="6"/>
  <c r="AP159" i="6" s="1"/>
  <c r="P159" i="6"/>
  <c r="CH159" i="6" s="1"/>
  <c r="C159" i="6"/>
  <c r="EU158" i="6"/>
  <c r="EO158" i="6"/>
  <c r="FB158" i="6" s="1"/>
  <c r="EB158" i="6"/>
  <c r="EA158" i="6"/>
  <c r="BJ158" i="6"/>
  <c r="BA158" i="6"/>
  <c r="AJ158" i="6"/>
  <c r="AI158" i="6"/>
  <c r="AB158" i="6" s="1"/>
  <c r="AH158" i="6"/>
  <c r="AG158" i="6"/>
  <c r="AF158" i="6"/>
  <c r="AA158" i="6" s="1"/>
  <c r="AE158" i="6"/>
  <c r="Z158" i="6" s="1"/>
  <c r="AD158" i="6"/>
  <c r="Y158" i="6" s="1"/>
  <c r="W158" i="6"/>
  <c r="S158" i="6"/>
  <c r="AP158" i="6" s="1"/>
  <c r="P158" i="6"/>
  <c r="CH158" i="6" s="1"/>
  <c r="C158" i="6"/>
  <c r="EU157" i="6"/>
  <c r="EO157" i="6"/>
  <c r="FB157" i="6" s="1"/>
  <c r="EB157" i="6"/>
  <c r="EA157" i="6"/>
  <c r="BJ157" i="6"/>
  <c r="BA157" i="6"/>
  <c r="AL157" i="6"/>
  <c r="AJ157" i="6"/>
  <c r="AI157" i="6"/>
  <c r="AB157" i="6" s="1"/>
  <c r="AH157" i="6"/>
  <c r="W157" i="6"/>
  <c r="S157" i="6"/>
  <c r="AP157" i="6" s="1"/>
  <c r="P157" i="6"/>
  <c r="CH157" i="6" s="1"/>
  <c r="C157" i="6"/>
  <c r="EU156" i="6"/>
  <c r="EO156" i="6"/>
  <c r="FB156" i="6" s="1"/>
  <c r="EB156" i="6"/>
  <c r="EA156" i="6"/>
  <c r="BJ156" i="6"/>
  <c r="BA156" i="6"/>
  <c r="AJ156" i="6"/>
  <c r="AI156" i="6"/>
  <c r="AB156" i="6" s="1"/>
  <c r="AH156" i="6"/>
  <c r="AG156" i="6"/>
  <c r="AF156" i="6"/>
  <c r="AA156" i="6" s="1"/>
  <c r="AE156" i="6"/>
  <c r="Z156" i="6" s="1"/>
  <c r="AD156" i="6"/>
  <c r="Y156" i="6" s="1"/>
  <c r="W156" i="6"/>
  <c r="S156" i="6"/>
  <c r="AP156" i="6" s="1"/>
  <c r="P156" i="6"/>
  <c r="CH156" i="6" s="1"/>
  <c r="C156" i="6"/>
  <c r="EU155" i="6"/>
  <c r="EO155" i="6"/>
  <c r="FB155" i="6" s="1"/>
  <c r="EB155" i="6"/>
  <c r="EA155" i="6"/>
  <c r="BJ155" i="6"/>
  <c r="BA155" i="6"/>
  <c r="AJ155" i="6"/>
  <c r="AI155" i="6"/>
  <c r="AB155" i="6" s="1"/>
  <c r="AH155" i="6"/>
  <c r="AG155" i="6"/>
  <c r="AF155" i="6"/>
  <c r="AA155" i="6" s="1"/>
  <c r="AE155" i="6"/>
  <c r="Z155" i="6" s="1"/>
  <c r="AD155" i="6"/>
  <c r="Y155" i="6" s="1"/>
  <c r="W155" i="6"/>
  <c r="S155" i="6"/>
  <c r="AP155" i="6" s="1"/>
  <c r="P155" i="6"/>
  <c r="CH155" i="6" s="1"/>
  <c r="C155" i="6"/>
  <c r="EU154" i="6"/>
  <c r="EO154" i="6"/>
  <c r="FB154" i="6" s="1"/>
  <c r="EB154" i="6"/>
  <c r="EA154" i="6"/>
  <c r="BJ154" i="6"/>
  <c r="BA154" i="6"/>
  <c r="FV154" i="6" s="1"/>
  <c r="AJ154" i="6"/>
  <c r="AI154" i="6"/>
  <c r="AB154" i="6" s="1"/>
  <c r="AH154" i="6"/>
  <c r="AG154" i="6"/>
  <c r="AF154" i="6"/>
  <c r="AA154" i="6" s="1"/>
  <c r="AE154" i="6"/>
  <c r="Z154" i="6" s="1"/>
  <c r="AD154" i="6"/>
  <c r="Y154" i="6" s="1"/>
  <c r="W154" i="6"/>
  <c r="S154" i="6"/>
  <c r="AP154" i="6" s="1"/>
  <c r="P154" i="6"/>
  <c r="CH154" i="6" s="1"/>
  <c r="C154" i="6"/>
  <c r="EU153" i="6"/>
  <c r="EO153" i="6"/>
  <c r="FB153" i="6" s="1"/>
  <c r="EB153" i="6"/>
  <c r="EA153" i="6"/>
  <c r="BJ153" i="6"/>
  <c r="BA153" i="6"/>
  <c r="FV153" i="6" s="1"/>
  <c r="AH153" i="6"/>
  <c r="W153" i="6"/>
  <c r="S153" i="6"/>
  <c r="P153" i="6"/>
  <c r="CH153" i="6" s="1"/>
  <c r="C153" i="6"/>
  <c r="EU152" i="6"/>
  <c r="EO152" i="6"/>
  <c r="FB152" i="6" s="1"/>
  <c r="EB152" i="6"/>
  <c r="EA152" i="6"/>
  <c r="BJ152" i="6"/>
  <c r="BA152" i="6"/>
  <c r="AH152" i="6"/>
  <c r="W152" i="6"/>
  <c r="S152" i="6"/>
  <c r="AP152" i="6" s="1"/>
  <c r="P152" i="6"/>
  <c r="CH152" i="6" s="1"/>
  <c r="C152" i="6"/>
  <c r="EU151" i="6"/>
  <c r="EO151" i="6"/>
  <c r="FB151" i="6" s="1"/>
  <c r="EB151" i="6"/>
  <c r="EA151" i="6"/>
  <c r="BJ151" i="6"/>
  <c r="BA151" i="6"/>
  <c r="FV151" i="6" s="1"/>
  <c r="AH151" i="6"/>
  <c r="W151" i="6"/>
  <c r="S151" i="6"/>
  <c r="P151" i="6"/>
  <c r="CH151" i="6" s="1"/>
  <c r="C151" i="6"/>
  <c r="EU150" i="6"/>
  <c r="EO150" i="6"/>
  <c r="FB150" i="6" s="1"/>
  <c r="EB150" i="6"/>
  <c r="EA150" i="6"/>
  <c r="BJ150" i="6"/>
  <c r="BA150" i="6"/>
  <c r="AJ150" i="6"/>
  <c r="AI150" i="6"/>
  <c r="AB150" i="6" s="1"/>
  <c r="AH150" i="6"/>
  <c r="W150" i="6"/>
  <c r="S150" i="6"/>
  <c r="AP150" i="6" s="1"/>
  <c r="P150" i="6"/>
  <c r="CH150" i="6" s="1"/>
  <c r="C150" i="6"/>
  <c r="EU149" i="6"/>
  <c r="EO149" i="6"/>
  <c r="FB149" i="6" s="1"/>
  <c r="EB149" i="6"/>
  <c r="EA149" i="6"/>
  <c r="BJ149" i="6"/>
  <c r="BA149" i="6"/>
  <c r="FV149" i="6" s="1"/>
  <c r="AJ149" i="6"/>
  <c r="AI149" i="6"/>
  <c r="AB149" i="6" s="1"/>
  <c r="AH149" i="6"/>
  <c r="W149" i="6"/>
  <c r="S149" i="6"/>
  <c r="P149" i="6"/>
  <c r="CH149" i="6" s="1"/>
  <c r="C149" i="6"/>
  <c r="EU148" i="6"/>
  <c r="EO148" i="6"/>
  <c r="FB148" i="6" s="1"/>
  <c r="EB148" i="6"/>
  <c r="EA148" i="6"/>
  <c r="BJ148" i="6"/>
  <c r="BA148" i="6"/>
  <c r="AH148" i="6"/>
  <c r="W148" i="6"/>
  <c r="S148" i="6"/>
  <c r="AP148" i="6" s="1"/>
  <c r="P148" i="6"/>
  <c r="CH148" i="6" s="1"/>
  <c r="C148" i="6"/>
  <c r="EU147" i="6"/>
  <c r="EO147" i="6"/>
  <c r="FB147" i="6" s="1"/>
  <c r="EB147" i="6"/>
  <c r="EA147" i="6"/>
  <c r="BJ147" i="6"/>
  <c r="BA147" i="6"/>
  <c r="FV147" i="6" s="1"/>
  <c r="AJ147" i="6"/>
  <c r="AI147" i="6"/>
  <c r="AB147" i="6" s="1"/>
  <c r="AH147" i="6"/>
  <c r="AG147" i="6"/>
  <c r="AF147" i="6"/>
  <c r="AA147" i="6" s="1"/>
  <c r="AE147" i="6"/>
  <c r="Z147" i="6" s="1"/>
  <c r="AD147" i="6"/>
  <c r="Y147" i="6" s="1"/>
  <c r="W147" i="6"/>
  <c r="S147" i="6"/>
  <c r="AP147" i="6" s="1"/>
  <c r="P147" i="6"/>
  <c r="CH147" i="6" s="1"/>
  <c r="C147" i="6"/>
  <c r="EU145" i="6"/>
  <c r="EO145" i="6"/>
  <c r="FB145" i="6" s="1"/>
  <c r="EB145" i="6"/>
  <c r="EA145" i="6"/>
  <c r="BJ145" i="6"/>
  <c r="BA145" i="6"/>
  <c r="AO145" i="6"/>
  <c r="AJ145" i="6"/>
  <c r="AI145" i="6"/>
  <c r="AB145" i="6" s="1"/>
  <c r="AH145" i="6"/>
  <c r="AG145" i="6"/>
  <c r="AF145" i="6"/>
  <c r="AA145" i="6" s="1"/>
  <c r="AE145" i="6"/>
  <c r="Z145" i="6" s="1"/>
  <c r="AD145" i="6"/>
  <c r="Y145" i="6" s="1"/>
  <c r="W145" i="6"/>
  <c r="S145" i="6"/>
  <c r="AP145" i="6" s="1"/>
  <c r="P145" i="6"/>
  <c r="CH145" i="6" s="1"/>
  <c r="C145" i="6"/>
  <c r="EU144" i="6"/>
  <c r="EO144" i="6"/>
  <c r="FB144" i="6" s="1"/>
  <c r="EB144" i="6"/>
  <c r="EA144" i="6"/>
  <c r="BJ144" i="6"/>
  <c r="BA144" i="6"/>
  <c r="FV144" i="6" s="1"/>
  <c r="AJ144" i="6"/>
  <c r="AI144" i="6"/>
  <c r="AB144" i="6" s="1"/>
  <c r="AH144" i="6"/>
  <c r="AG144" i="6"/>
  <c r="AF144" i="6"/>
  <c r="AA144" i="6" s="1"/>
  <c r="AE144" i="6"/>
  <c r="Z144" i="6" s="1"/>
  <c r="AD144" i="6"/>
  <c r="Y144" i="6" s="1"/>
  <c r="W144" i="6"/>
  <c r="S144" i="6"/>
  <c r="AP144" i="6" s="1"/>
  <c r="P144" i="6"/>
  <c r="CH144" i="6" s="1"/>
  <c r="C144" i="6"/>
  <c r="EU143" i="6"/>
  <c r="EO143" i="6"/>
  <c r="FB143" i="6" s="1"/>
  <c r="EB143" i="6"/>
  <c r="EA143" i="6"/>
  <c r="BJ143" i="6"/>
  <c r="BA143" i="6"/>
  <c r="FV143" i="6" s="1"/>
  <c r="AH143" i="6"/>
  <c r="W143" i="6"/>
  <c r="S143" i="6"/>
  <c r="AP143" i="6" s="1"/>
  <c r="P143" i="6"/>
  <c r="CH143" i="6" s="1"/>
  <c r="C143" i="6"/>
  <c r="EU142" i="6"/>
  <c r="EO142" i="6"/>
  <c r="FB142" i="6" s="1"/>
  <c r="EB142" i="6"/>
  <c r="EA142" i="6"/>
  <c r="BJ142" i="6"/>
  <c r="BA142" i="6"/>
  <c r="FV142" i="6" s="1"/>
  <c r="AH142" i="6"/>
  <c r="W142" i="6"/>
  <c r="S142" i="6"/>
  <c r="AP142" i="6" s="1"/>
  <c r="P142" i="6"/>
  <c r="CH142" i="6" s="1"/>
  <c r="C142" i="6"/>
  <c r="EU141" i="6"/>
  <c r="EO141" i="6"/>
  <c r="FB141" i="6" s="1"/>
  <c r="EB141" i="6"/>
  <c r="EA141" i="6"/>
  <c r="BJ141" i="6"/>
  <c r="BA141" i="6"/>
  <c r="AH141" i="6"/>
  <c r="W141" i="6"/>
  <c r="S141" i="6"/>
  <c r="P141" i="6"/>
  <c r="CH141" i="6" s="1"/>
  <c r="C141" i="6"/>
  <c r="EU140" i="6"/>
  <c r="EO140" i="6"/>
  <c r="FB140" i="6" s="1"/>
  <c r="EB140" i="6"/>
  <c r="EA140" i="6"/>
  <c r="BJ140" i="6"/>
  <c r="BA140" i="6"/>
  <c r="FV140" i="6" s="1"/>
  <c r="AH140" i="6"/>
  <c r="W140" i="6"/>
  <c r="S140" i="6"/>
  <c r="AP140" i="6" s="1"/>
  <c r="P140" i="6"/>
  <c r="CH140" i="6" s="1"/>
  <c r="C140" i="6"/>
  <c r="EU139" i="6"/>
  <c r="EO139" i="6"/>
  <c r="FB139" i="6" s="1"/>
  <c r="EB139" i="6"/>
  <c r="EA139" i="6"/>
  <c r="BJ139" i="6"/>
  <c r="BA139" i="6"/>
  <c r="AH139" i="6"/>
  <c r="W139" i="6"/>
  <c r="S139" i="6"/>
  <c r="AP139" i="6" s="1"/>
  <c r="P139" i="6"/>
  <c r="CH139" i="6" s="1"/>
  <c r="C139" i="6"/>
  <c r="EU138" i="6"/>
  <c r="EO138" i="6"/>
  <c r="FB138" i="6" s="1"/>
  <c r="EB138" i="6"/>
  <c r="EA138" i="6"/>
  <c r="BJ138" i="6"/>
  <c r="BA138" i="6"/>
  <c r="FV138" i="6" s="1"/>
  <c r="AH138" i="6"/>
  <c r="W138" i="6"/>
  <c r="S138" i="6"/>
  <c r="AP138" i="6" s="1"/>
  <c r="P138" i="6"/>
  <c r="CH138" i="6" s="1"/>
  <c r="C138" i="6"/>
  <c r="EU137" i="6"/>
  <c r="EO137" i="6"/>
  <c r="FB137" i="6" s="1"/>
  <c r="EB137" i="6"/>
  <c r="EA137" i="6"/>
  <c r="BJ137" i="6"/>
  <c r="BA137" i="6"/>
  <c r="FV137" i="6" s="1"/>
  <c r="AH137" i="6"/>
  <c r="W137" i="6"/>
  <c r="S137" i="6"/>
  <c r="P137" i="6"/>
  <c r="CH137" i="6" s="1"/>
  <c r="C137" i="6"/>
  <c r="EU136" i="6"/>
  <c r="EO136" i="6"/>
  <c r="FB136" i="6" s="1"/>
  <c r="EB136" i="6"/>
  <c r="EA136" i="6"/>
  <c r="BJ136" i="6"/>
  <c r="BA136" i="6"/>
  <c r="FV136" i="6" s="1"/>
  <c r="AH136" i="6"/>
  <c r="W136" i="6"/>
  <c r="S136" i="6"/>
  <c r="P136" i="6"/>
  <c r="CH136" i="6" s="1"/>
  <c r="C136" i="6"/>
  <c r="EU135" i="6"/>
  <c r="EO135" i="6"/>
  <c r="FB135" i="6" s="1"/>
  <c r="EB135" i="6"/>
  <c r="EA135" i="6"/>
  <c r="BJ135" i="6"/>
  <c r="BA135" i="6"/>
  <c r="FV135" i="6" s="1"/>
  <c r="AH135" i="6"/>
  <c r="W135" i="6"/>
  <c r="S135" i="6"/>
  <c r="AP135" i="6" s="1"/>
  <c r="P135" i="6"/>
  <c r="CH135" i="6" s="1"/>
  <c r="C135" i="6"/>
  <c r="EU134" i="6"/>
  <c r="EO134" i="6"/>
  <c r="FB134" i="6" s="1"/>
  <c r="EB134" i="6"/>
  <c r="EA134" i="6"/>
  <c r="BJ134" i="6"/>
  <c r="BA134" i="6"/>
  <c r="AH134" i="6"/>
  <c r="W134" i="6"/>
  <c r="S134" i="6"/>
  <c r="AP134" i="6" s="1"/>
  <c r="P134" i="6"/>
  <c r="CH134" i="6" s="1"/>
  <c r="C134" i="6"/>
  <c r="EU133" i="6"/>
  <c r="EO133" i="6"/>
  <c r="FB133" i="6" s="1"/>
  <c r="EB133" i="6"/>
  <c r="EA133" i="6"/>
  <c r="BJ133" i="6"/>
  <c r="BA133" i="6"/>
  <c r="AH133" i="6"/>
  <c r="W133" i="6"/>
  <c r="S133" i="6"/>
  <c r="AP133" i="6" s="1"/>
  <c r="P133" i="6"/>
  <c r="CH133" i="6" s="1"/>
  <c r="C133" i="6"/>
  <c r="EU132" i="6"/>
  <c r="EO132" i="6"/>
  <c r="FB132" i="6" s="1"/>
  <c r="EB132" i="6"/>
  <c r="EA132" i="6"/>
  <c r="BJ132" i="6"/>
  <c r="BA132" i="6"/>
  <c r="FV132" i="6" s="1"/>
  <c r="AH132" i="6"/>
  <c r="W132" i="6"/>
  <c r="S132" i="6"/>
  <c r="AP132" i="6" s="1"/>
  <c r="P132" i="6"/>
  <c r="CH132" i="6" s="1"/>
  <c r="C132" i="6"/>
  <c r="EU131" i="6"/>
  <c r="EO131" i="6"/>
  <c r="FB131" i="6" s="1"/>
  <c r="EB131" i="6"/>
  <c r="EA131" i="6"/>
  <c r="BJ131" i="6"/>
  <c r="BA131" i="6"/>
  <c r="AH131" i="6"/>
  <c r="W131" i="6"/>
  <c r="S131" i="6"/>
  <c r="AP131" i="6" s="1"/>
  <c r="P131" i="6"/>
  <c r="CH131" i="6" s="1"/>
  <c r="C131" i="6"/>
  <c r="EU130" i="6"/>
  <c r="EO130" i="6"/>
  <c r="FB130" i="6" s="1"/>
  <c r="EB130" i="6"/>
  <c r="EA130" i="6"/>
  <c r="BJ130" i="6"/>
  <c r="BA130" i="6"/>
  <c r="FV130" i="6" s="1"/>
  <c r="AH130" i="6"/>
  <c r="W130" i="6"/>
  <c r="S130" i="6"/>
  <c r="AP130" i="6" s="1"/>
  <c r="P130" i="6"/>
  <c r="CH130" i="6" s="1"/>
  <c r="C130" i="6"/>
  <c r="EU129" i="6"/>
  <c r="EO129" i="6"/>
  <c r="FB129" i="6" s="1"/>
  <c r="EB129" i="6"/>
  <c r="EA129" i="6"/>
  <c r="BJ129" i="6"/>
  <c r="BA129" i="6"/>
  <c r="FV129" i="6" s="1"/>
  <c r="AH129" i="6"/>
  <c r="W129" i="6"/>
  <c r="S129" i="6"/>
  <c r="P129" i="6"/>
  <c r="CH129" i="6" s="1"/>
  <c r="C129" i="6"/>
  <c r="EU128" i="6"/>
  <c r="EO128" i="6"/>
  <c r="FB128" i="6" s="1"/>
  <c r="EB128" i="6"/>
  <c r="EA128" i="6"/>
  <c r="BJ128" i="6"/>
  <c r="BA128" i="6"/>
  <c r="AH128" i="6"/>
  <c r="W128" i="6"/>
  <c r="S128" i="6"/>
  <c r="AP128" i="6" s="1"/>
  <c r="P128" i="6"/>
  <c r="CH128" i="6" s="1"/>
  <c r="C128" i="6"/>
  <c r="EU127" i="6"/>
  <c r="EO127" i="6"/>
  <c r="FB127" i="6" s="1"/>
  <c r="EB127" i="6"/>
  <c r="EA127" i="6"/>
  <c r="BJ127" i="6"/>
  <c r="BA127" i="6"/>
  <c r="FV127" i="6" s="1"/>
  <c r="AH127" i="6"/>
  <c r="W127" i="6"/>
  <c r="S127" i="6"/>
  <c r="AP127" i="6" s="1"/>
  <c r="P127" i="6"/>
  <c r="CH127" i="6" s="1"/>
  <c r="C127" i="6"/>
  <c r="EU126" i="6"/>
  <c r="EO126" i="6"/>
  <c r="FB126" i="6" s="1"/>
  <c r="EB126" i="6"/>
  <c r="EA126" i="6"/>
  <c r="BJ126" i="6"/>
  <c r="BA126" i="6"/>
  <c r="FV126" i="6" s="1"/>
  <c r="AH126" i="6"/>
  <c r="W126" i="6"/>
  <c r="S126" i="6"/>
  <c r="AP126" i="6" s="1"/>
  <c r="P126" i="6"/>
  <c r="CH126" i="6" s="1"/>
  <c r="C126" i="6"/>
  <c r="EU125" i="6"/>
  <c r="EO125" i="6"/>
  <c r="FB125" i="6" s="1"/>
  <c r="EB125" i="6"/>
  <c r="EA125" i="6"/>
  <c r="BJ125" i="6"/>
  <c r="BA125" i="6"/>
  <c r="AJ125" i="6"/>
  <c r="AI125" i="6"/>
  <c r="AB125" i="6" s="1"/>
  <c r="AH125" i="6"/>
  <c r="AG125" i="6"/>
  <c r="AF125" i="6"/>
  <c r="AA125" i="6" s="1"/>
  <c r="AE125" i="6"/>
  <c r="Z125" i="6" s="1"/>
  <c r="AD125" i="6"/>
  <c r="Y125" i="6" s="1"/>
  <c r="W125" i="6"/>
  <c r="S125" i="6"/>
  <c r="P125" i="6"/>
  <c r="CH125" i="6" s="1"/>
  <c r="C125" i="6"/>
  <c r="EU124" i="6"/>
  <c r="EO124" i="6"/>
  <c r="FB124" i="6" s="1"/>
  <c r="EB124" i="6"/>
  <c r="EA124" i="6"/>
  <c r="BJ124" i="6"/>
  <c r="BA124" i="6"/>
  <c r="FV124" i="6" s="1"/>
  <c r="AJ124" i="6"/>
  <c r="AI124" i="6"/>
  <c r="AB124" i="6" s="1"/>
  <c r="AH124" i="6"/>
  <c r="AG124" i="6"/>
  <c r="BG124" i="6" s="1"/>
  <c r="AF124" i="6"/>
  <c r="AA124" i="6" s="1"/>
  <c r="AE124" i="6"/>
  <c r="Z124" i="6" s="1"/>
  <c r="AD124" i="6"/>
  <c r="Y124" i="6" s="1"/>
  <c r="W124" i="6"/>
  <c r="S124" i="6"/>
  <c r="AP124" i="6" s="1"/>
  <c r="P124" i="6"/>
  <c r="CH124" i="6" s="1"/>
  <c r="C124" i="6"/>
  <c r="EU123" i="6"/>
  <c r="EO123" i="6"/>
  <c r="FB123" i="6" s="1"/>
  <c r="EB123" i="6"/>
  <c r="EA123" i="6"/>
  <c r="BJ123" i="6"/>
  <c r="BA123" i="6"/>
  <c r="AJ123" i="6"/>
  <c r="AI123" i="6"/>
  <c r="AB123" i="6" s="1"/>
  <c r="AH123" i="6"/>
  <c r="AG123" i="6"/>
  <c r="BG123" i="6" s="1"/>
  <c r="AF123" i="6"/>
  <c r="AA123" i="6" s="1"/>
  <c r="AE123" i="6"/>
  <c r="Z123" i="6" s="1"/>
  <c r="AD123" i="6"/>
  <c r="Y123" i="6" s="1"/>
  <c r="W123" i="6"/>
  <c r="S123" i="6"/>
  <c r="AP123" i="6" s="1"/>
  <c r="P123" i="6"/>
  <c r="CH123" i="6" s="1"/>
  <c r="C123" i="6"/>
  <c r="EY122" i="6"/>
  <c r="EW122" i="6"/>
  <c r="EU122" i="6"/>
  <c r="ET122" i="6"/>
  <c r="EO122" i="6"/>
  <c r="FB122" i="6" s="1"/>
  <c r="EB122" i="6"/>
  <c r="EA122" i="6"/>
  <c r="BJ122" i="6"/>
  <c r="BA122" i="6"/>
  <c r="AJ122" i="6"/>
  <c r="AI122" i="6"/>
  <c r="AB122" i="6" s="1"/>
  <c r="AH122" i="6"/>
  <c r="AG122" i="6"/>
  <c r="AF122" i="6"/>
  <c r="AA122" i="6" s="1"/>
  <c r="W122" i="6"/>
  <c r="S122" i="6"/>
  <c r="AP122" i="6" s="1"/>
  <c r="C122" i="6"/>
  <c r="EY121" i="6"/>
  <c r="EW121" i="6"/>
  <c r="EU121" i="6"/>
  <c r="ET121" i="6"/>
  <c r="EO121" i="6"/>
  <c r="FB121" i="6" s="1"/>
  <c r="EB121" i="6"/>
  <c r="EA121" i="6"/>
  <c r="BJ121" i="6"/>
  <c r="BA121" i="6"/>
  <c r="AJ121" i="6"/>
  <c r="AI121" i="6"/>
  <c r="AB121" i="6" s="1"/>
  <c r="AH121" i="6"/>
  <c r="AG121" i="6"/>
  <c r="AF121" i="6"/>
  <c r="AA121" i="6" s="1"/>
  <c r="AE121" i="6"/>
  <c r="AD121" i="6"/>
  <c r="Y121" i="6" s="1"/>
  <c r="W121" i="6"/>
  <c r="S121" i="6"/>
  <c r="AP121" i="6" s="1"/>
  <c r="P121" i="6"/>
  <c r="CH121" i="6" s="1"/>
  <c r="C121" i="6"/>
  <c r="EY120" i="6"/>
  <c r="EW120" i="6"/>
  <c r="EU120" i="6"/>
  <c r="ET120" i="6"/>
  <c r="EO120" i="6"/>
  <c r="FB120" i="6" s="1"/>
  <c r="EB120" i="6"/>
  <c r="EA120" i="6"/>
  <c r="BJ120" i="6"/>
  <c r="BA120" i="6"/>
  <c r="AN120" i="6"/>
  <c r="AJ120" i="6"/>
  <c r="AI120" i="6"/>
  <c r="AB120" i="6" s="1"/>
  <c r="AH120" i="6"/>
  <c r="AG120" i="6"/>
  <c r="AF120" i="6"/>
  <c r="AA120" i="6" s="1"/>
  <c r="AE120" i="6"/>
  <c r="Z120" i="6" s="1"/>
  <c r="AD120" i="6"/>
  <c r="Y120" i="6" s="1"/>
  <c r="W120" i="6"/>
  <c r="S120" i="6"/>
  <c r="AP120" i="6" s="1"/>
  <c r="P120" i="6"/>
  <c r="CH120" i="6" s="1"/>
  <c r="C120" i="6"/>
  <c r="EY119" i="6"/>
  <c r="EW119" i="6"/>
  <c r="EU119" i="6"/>
  <c r="ET119" i="6"/>
  <c r="EO119" i="6"/>
  <c r="FB119" i="6" s="1"/>
  <c r="EB119" i="6"/>
  <c r="EA119" i="6"/>
  <c r="BJ119" i="6"/>
  <c r="BA119" i="6"/>
  <c r="AJ119" i="6"/>
  <c r="AI119" i="6"/>
  <c r="AB119" i="6" s="1"/>
  <c r="AH119" i="6"/>
  <c r="AG119" i="6"/>
  <c r="AF119" i="6"/>
  <c r="AA119" i="6" s="1"/>
  <c r="AE119" i="6"/>
  <c r="Z119" i="6" s="1"/>
  <c r="AD119" i="6"/>
  <c r="Y119" i="6" s="1"/>
  <c r="W119" i="6"/>
  <c r="S119" i="6"/>
  <c r="AP119" i="6" s="1"/>
  <c r="P119" i="6"/>
  <c r="CH119" i="6" s="1"/>
  <c r="C119" i="6"/>
  <c r="EY118" i="6"/>
  <c r="EW118" i="6"/>
  <c r="EU118" i="6"/>
  <c r="ET118" i="6"/>
  <c r="EO118" i="6"/>
  <c r="FB118" i="6" s="1"/>
  <c r="EB118" i="6"/>
  <c r="EA118" i="6"/>
  <c r="BJ118" i="6"/>
  <c r="BA118" i="6"/>
  <c r="AJ118" i="6"/>
  <c r="AI118" i="6"/>
  <c r="AB118" i="6" s="1"/>
  <c r="AH118" i="6"/>
  <c r="AG118" i="6"/>
  <c r="AF118" i="6"/>
  <c r="BF118" i="6" s="1"/>
  <c r="AE118" i="6"/>
  <c r="AD118" i="6"/>
  <c r="Y118" i="6" s="1"/>
  <c r="W118" i="6"/>
  <c r="S118" i="6"/>
  <c r="AP118" i="6" s="1"/>
  <c r="P118" i="6"/>
  <c r="CH118" i="6" s="1"/>
  <c r="C118" i="6"/>
  <c r="EY117" i="6"/>
  <c r="EW117" i="6"/>
  <c r="EU117" i="6"/>
  <c r="ET117" i="6"/>
  <c r="EO117" i="6"/>
  <c r="FB117" i="6" s="1"/>
  <c r="EI117" i="6"/>
  <c r="EB117" i="6"/>
  <c r="EA117" i="6"/>
  <c r="BJ117" i="6"/>
  <c r="BA117" i="6"/>
  <c r="AN117" i="6"/>
  <c r="AL117" i="6"/>
  <c r="AJ117" i="6"/>
  <c r="AI117" i="6"/>
  <c r="AB117" i="6" s="1"/>
  <c r="AH117" i="6"/>
  <c r="AG117" i="6"/>
  <c r="AF117" i="6"/>
  <c r="AA117" i="6" s="1"/>
  <c r="AE117" i="6"/>
  <c r="Z117" i="6" s="1"/>
  <c r="AD117" i="6"/>
  <c r="Y117" i="6" s="1"/>
  <c r="W117" i="6"/>
  <c r="S117" i="6"/>
  <c r="AP117" i="6" s="1"/>
  <c r="P117" i="6"/>
  <c r="CH117" i="6" s="1"/>
  <c r="C117" i="6"/>
  <c r="EY116" i="6"/>
  <c r="EW116" i="6"/>
  <c r="EU116" i="6"/>
  <c r="ET116" i="6"/>
  <c r="EO116" i="6"/>
  <c r="FB116" i="6" s="1"/>
  <c r="EB116" i="6"/>
  <c r="EA116" i="6"/>
  <c r="BJ116" i="6"/>
  <c r="BA116" i="6"/>
  <c r="AJ116" i="6"/>
  <c r="AI116" i="6"/>
  <c r="AB116" i="6" s="1"/>
  <c r="AH116" i="6"/>
  <c r="AG116" i="6"/>
  <c r="AF116" i="6"/>
  <c r="BF116" i="6" s="1"/>
  <c r="AE116" i="6"/>
  <c r="Z116" i="6" s="1"/>
  <c r="AD116" i="6"/>
  <c r="Y116" i="6" s="1"/>
  <c r="W116" i="6"/>
  <c r="S116" i="6"/>
  <c r="AP116" i="6" s="1"/>
  <c r="P116" i="6"/>
  <c r="CH116" i="6" s="1"/>
  <c r="C116" i="6"/>
  <c r="EY115" i="6"/>
  <c r="EW115" i="6"/>
  <c r="EU115" i="6"/>
  <c r="ET115" i="6"/>
  <c r="EO115" i="6"/>
  <c r="FB115" i="6" s="1"/>
  <c r="EB115" i="6"/>
  <c r="EA115" i="6"/>
  <c r="BJ115" i="6"/>
  <c r="BA115" i="6"/>
  <c r="AJ115" i="6"/>
  <c r="AI115" i="6"/>
  <c r="AB115" i="6" s="1"/>
  <c r="AH115" i="6"/>
  <c r="AG115" i="6"/>
  <c r="AF115" i="6"/>
  <c r="AA115" i="6" s="1"/>
  <c r="AE115" i="6"/>
  <c r="Z115" i="6" s="1"/>
  <c r="AD115" i="6"/>
  <c r="Y115" i="6" s="1"/>
  <c r="W115" i="6"/>
  <c r="S115" i="6"/>
  <c r="AP115" i="6" s="1"/>
  <c r="P115" i="6"/>
  <c r="CH115" i="6" s="1"/>
  <c r="C115" i="6"/>
  <c r="EU114" i="6"/>
  <c r="EO114" i="6"/>
  <c r="FB114" i="6" s="1"/>
  <c r="EB114" i="6"/>
  <c r="EA114" i="6"/>
  <c r="BJ114" i="6"/>
  <c r="BA114" i="6"/>
  <c r="FV114" i="6" s="1"/>
  <c r="AJ114" i="6"/>
  <c r="AI114" i="6"/>
  <c r="AB114" i="6" s="1"/>
  <c r="AH114" i="6"/>
  <c r="AG114" i="6"/>
  <c r="AF114" i="6"/>
  <c r="AA114" i="6" s="1"/>
  <c r="AE114" i="6"/>
  <c r="Z114" i="6" s="1"/>
  <c r="AD114" i="6"/>
  <c r="Y114" i="6" s="1"/>
  <c r="W114" i="6"/>
  <c r="S114" i="6"/>
  <c r="AP114" i="6" s="1"/>
  <c r="P114" i="6"/>
  <c r="CH114" i="6" s="1"/>
  <c r="C114" i="6"/>
  <c r="EU113" i="6"/>
  <c r="EO113" i="6"/>
  <c r="FB113" i="6" s="1"/>
  <c r="EB113" i="6"/>
  <c r="EA113" i="6"/>
  <c r="BJ113" i="6"/>
  <c r="BA113" i="6"/>
  <c r="AJ113" i="6"/>
  <c r="AI113" i="6"/>
  <c r="AB113" i="6" s="1"/>
  <c r="AH113" i="6"/>
  <c r="AG113" i="6"/>
  <c r="AF113" i="6"/>
  <c r="AA113" i="6" s="1"/>
  <c r="AE113" i="6"/>
  <c r="AD113" i="6"/>
  <c r="Y113" i="6" s="1"/>
  <c r="W113" i="6"/>
  <c r="S113" i="6"/>
  <c r="AP113" i="6" s="1"/>
  <c r="P113" i="6"/>
  <c r="CH113" i="6" s="1"/>
  <c r="C113" i="6"/>
  <c r="EU112" i="6"/>
  <c r="EO112" i="6"/>
  <c r="FB112" i="6" s="1"/>
  <c r="EB112" i="6"/>
  <c r="EA112" i="6"/>
  <c r="BJ112" i="6"/>
  <c r="BA112" i="6"/>
  <c r="AJ112" i="6"/>
  <c r="AI112" i="6"/>
  <c r="AB112" i="6" s="1"/>
  <c r="AH112" i="6"/>
  <c r="AG112" i="6"/>
  <c r="AF112" i="6"/>
  <c r="AA112" i="6" s="1"/>
  <c r="AE112" i="6"/>
  <c r="Z112" i="6" s="1"/>
  <c r="AD112" i="6"/>
  <c r="Y112" i="6" s="1"/>
  <c r="W112" i="6"/>
  <c r="S112" i="6"/>
  <c r="P112" i="6"/>
  <c r="CH112" i="6" s="1"/>
  <c r="C112" i="6"/>
  <c r="EU111" i="6"/>
  <c r="EO111" i="6"/>
  <c r="FB111" i="6" s="1"/>
  <c r="EB111" i="6"/>
  <c r="EA111" i="6"/>
  <c r="BJ111" i="6"/>
  <c r="BD111" i="6"/>
  <c r="BA111" i="6"/>
  <c r="AJ111" i="6"/>
  <c r="AI111" i="6"/>
  <c r="AB111" i="6" s="1"/>
  <c r="AH111" i="6"/>
  <c r="AG111" i="6"/>
  <c r="BG111" i="6" s="1"/>
  <c r="AF111" i="6"/>
  <c r="BF111" i="6" s="1"/>
  <c r="AE111" i="6"/>
  <c r="BC111" i="6" s="1"/>
  <c r="AD111" i="6"/>
  <c r="Y111" i="6" s="1"/>
  <c r="Z111" i="6"/>
  <c r="W111" i="6"/>
  <c r="S111" i="6"/>
  <c r="AP111" i="6" s="1"/>
  <c r="P111" i="6"/>
  <c r="CH111" i="6" s="1"/>
  <c r="C111" i="6"/>
  <c r="EU110" i="6"/>
  <c r="EO110" i="6"/>
  <c r="FB110" i="6" s="1"/>
  <c r="EB110" i="6"/>
  <c r="EA110" i="6"/>
  <c r="BJ110" i="6"/>
  <c r="BA110" i="6"/>
  <c r="AJ110" i="6"/>
  <c r="AI110" i="6"/>
  <c r="AB110" i="6" s="1"/>
  <c r="AH110" i="6"/>
  <c r="AG110" i="6"/>
  <c r="AF110" i="6"/>
  <c r="AA110" i="6" s="1"/>
  <c r="AE110" i="6"/>
  <c r="Z110" i="6" s="1"/>
  <c r="AD110" i="6"/>
  <c r="Y110" i="6" s="1"/>
  <c r="W110" i="6"/>
  <c r="S110" i="6"/>
  <c r="AP110" i="6" s="1"/>
  <c r="P110" i="6"/>
  <c r="CH110" i="6" s="1"/>
  <c r="C110" i="6"/>
  <c r="EU109" i="6"/>
  <c r="EO109" i="6"/>
  <c r="FB109" i="6" s="1"/>
  <c r="EB109" i="6"/>
  <c r="EA109" i="6"/>
  <c r="BJ109" i="6"/>
  <c r="BA109" i="6"/>
  <c r="FV109" i="6" s="1"/>
  <c r="AJ109" i="6"/>
  <c r="AI109" i="6"/>
  <c r="AB109" i="6" s="1"/>
  <c r="AH109" i="6"/>
  <c r="AG109" i="6"/>
  <c r="AF109" i="6"/>
  <c r="AA109" i="6" s="1"/>
  <c r="AE109" i="6"/>
  <c r="Z109" i="6" s="1"/>
  <c r="AD109" i="6"/>
  <c r="Y109" i="6" s="1"/>
  <c r="W109" i="6"/>
  <c r="S109" i="6"/>
  <c r="AP109" i="6" s="1"/>
  <c r="P109" i="6"/>
  <c r="CH109" i="6" s="1"/>
  <c r="C109" i="6"/>
  <c r="EU108" i="6"/>
  <c r="EO108" i="6"/>
  <c r="FB108" i="6" s="1"/>
  <c r="EB108" i="6"/>
  <c r="EA108" i="6"/>
  <c r="BJ108" i="6"/>
  <c r="BA108" i="6"/>
  <c r="AO108" i="6"/>
  <c r="AJ108" i="6"/>
  <c r="AI108" i="6"/>
  <c r="AB108" i="6" s="1"/>
  <c r="AH108" i="6"/>
  <c r="AG108" i="6"/>
  <c r="AF108" i="6"/>
  <c r="AA108" i="6" s="1"/>
  <c r="AE108" i="6"/>
  <c r="AD108" i="6"/>
  <c r="Y108" i="6" s="1"/>
  <c r="W108" i="6"/>
  <c r="S108" i="6"/>
  <c r="AP108" i="6" s="1"/>
  <c r="P108" i="6"/>
  <c r="CH108" i="6" s="1"/>
  <c r="C108" i="6"/>
  <c r="EU107" i="6"/>
  <c r="EO107" i="6"/>
  <c r="FB107" i="6" s="1"/>
  <c r="EB107" i="6"/>
  <c r="EA107" i="6"/>
  <c r="BJ107" i="6"/>
  <c r="BA107" i="6"/>
  <c r="AJ107" i="6"/>
  <c r="AI107" i="6"/>
  <c r="AB107" i="6" s="1"/>
  <c r="AH107" i="6"/>
  <c r="AG107" i="6"/>
  <c r="AF107" i="6"/>
  <c r="AA107" i="6" s="1"/>
  <c r="AE107" i="6"/>
  <c r="Z107" i="6" s="1"/>
  <c r="AD107" i="6"/>
  <c r="Y107" i="6" s="1"/>
  <c r="W107" i="6"/>
  <c r="S107" i="6"/>
  <c r="AP107" i="6" s="1"/>
  <c r="P107" i="6"/>
  <c r="CH107" i="6" s="1"/>
  <c r="C107" i="6"/>
  <c r="EU106" i="6"/>
  <c r="EO106" i="6"/>
  <c r="FB106" i="6" s="1"/>
  <c r="EB106" i="6"/>
  <c r="EA106" i="6"/>
  <c r="BJ106" i="6"/>
  <c r="BA106" i="6"/>
  <c r="FV106" i="6" s="1"/>
  <c r="AL106" i="6"/>
  <c r="AJ106" i="6"/>
  <c r="AI106" i="6"/>
  <c r="AB106" i="6" s="1"/>
  <c r="AH106" i="6"/>
  <c r="AG106" i="6"/>
  <c r="BG106" i="6" s="1"/>
  <c r="AF106" i="6"/>
  <c r="BF106" i="6" s="1"/>
  <c r="AE106" i="6"/>
  <c r="BD106" i="6" s="1"/>
  <c r="AD106" i="6"/>
  <c r="Y106" i="6" s="1"/>
  <c r="W106" i="6"/>
  <c r="S106" i="6"/>
  <c r="AP106" i="6" s="1"/>
  <c r="P106" i="6"/>
  <c r="CH106" i="6" s="1"/>
  <c r="C106" i="6"/>
  <c r="EU105" i="6"/>
  <c r="EO105" i="6"/>
  <c r="FB105" i="6" s="1"/>
  <c r="EB105" i="6"/>
  <c r="EA105" i="6"/>
  <c r="BJ105" i="6"/>
  <c r="BA105" i="6"/>
  <c r="AH105" i="6"/>
  <c r="W105" i="6"/>
  <c r="S105" i="6"/>
  <c r="AP105" i="6" s="1"/>
  <c r="C105" i="6"/>
  <c r="EU104" i="6"/>
  <c r="EO104" i="6"/>
  <c r="FB104" i="6" s="1"/>
  <c r="EB104" i="6"/>
  <c r="EA104" i="6"/>
  <c r="BJ104" i="6"/>
  <c r="BA104" i="6"/>
  <c r="AH104" i="6"/>
  <c r="W104" i="6"/>
  <c r="S104" i="6"/>
  <c r="AP104" i="6" s="1"/>
  <c r="P104" i="6"/>
  <c r="CH104" i="6" s="1"/>
  <c r="C104" i="6"/>
  <c r="EU103" i="6"/>
  <c r="EO103" i="6"/>
  <c r="FB103" i="6" s="1"/>
  <c r="EB103" i="6"/>
  <c r="EA103" i="6"/>
  <c r="BJ103" i="6"/>
  <c r="BA103" i="6"/>
  <c r="AH103" i="6"/>
  <c r="W103" i="6"/>
  <c r="S103" i="6"/>
  <c r="AP103" i="6" s="1"/>
  <c r="P103" i="6"/>
  <c r="CH103" i="6" s="1"/>
  <c r="C103" i="6"/>
  <c r="EU101" i="6"/>
  <c r="EO101" i="6"/>
  <c r="FB101" i="6" s="1"/>
  <c r="EB101" i="6"/>
  <c r="EA101" i="6"/>
  <c r="BJ101" i="6"/>
  <c r="BA101" i="6"/>
  <c r="AL101" i="6"/>
  <c r="AH101" i="6"/>
  <c r="W101" i="6"/>
  <c r="S101" i="6"/>
  <c r="AP101" i="6" s="1"/>
  <c r="P101" i="6"/>
  <c r="CH101" i="6" s="1"/>
  <c r="C101" i="6"/>
  <c r="EU100" i="6"/>
  <c r="EO100" i="6"/>
  <c r="FB100" i="6" s="1"/>
  <c r="EB100" i="6"/>
  <c r="EA100" i="6"/>
  <c r="BJ100" i="6"/>
  <c r="BA100" i="6"/>
  <c r="FV100" i="6" s="1"/>
  <c r="AL100" i="6"/>
  <c r="AH100" i="6"/>
  <c r="W100" i="6"/>
  <c r="S100" i="6"/>
  <c r="AP100" i="6" s="1"/>
  <c r="P100" i="6"/>
  <c r="CH100" i="6" s="1"/>
  <c r="C100" i="6"/>
  <c r="EU99" i="6"/>
  <c r="EO99" i="6"/>
  <c r="FB99" i="6" s="1"/>
  <c r="EB99" i="6"/>
  <c r="EA99" i="6"/>
  <c r="BJ99" i="6"/>
  <c r="BA99" i="6"/>
  <c r="FV99" i="6" s="1"/>
  <c r="AL99" i="6"/>
  <c r="AH99" i="6"/>
  <c r="W99" i="6"/>
  <c r="S99" i="6"/>
  <c r="AP99" i="6" s="1"/>
  <c r="P99" i="6"/>
  <c r="CH99" i="6" s="1"/>
  <c r="C99" i="6"/>
  <c r="EU98" i="6"/>
  <c r="EO98" i="6"/>
  <c r="FB98" i="6" s="1"/>
  <c r="EB98" i="6"/>
  <c r="EA98" i="6"/>
  <c r="BJ98" i="6"/>
  <c r="BA98" i="6"/>
  <c r="AJ98" i="6"/>
  <c r="AI98" i="6"/>
  <c r="AB98" i="6" s="1"/>
  <c r="AH98" i="6"/>
  <c r="AG98" i="6"/>
  <c r="AF98" i="6"/>
  <c r="AA98" i="6" s="1"/>
  <c r="AE98" i="6"/>
  <c r="Z98" i="6" s="1"/>
  <c r="AD98" i="6"/>
  <c r="Y98" i="6" s="1"/>
  <c r="W98" i="6"/>
  <c r="S98" i="6"/>
  <c r="AP98" i="6" s="1"/>
  <c r="P98" i="6"/>
  <c r="CH98" i="6" s="1"/>
  <c r="C98" i="6"/>
  <c r="EU97" i="6"/>
  <c r="EO97" i="6"/>
  <c r="FB97" i="6" s="1"/>
  <c r="EB97" i="6"/>
  <c r="EA97" i="6"/>
  <c r="BJ97" i="6"/>
  <c r="BA97" i="6"/>
  <c r="AJ97" i="6"/>
  <c r="AI97" i="6"/>
  <c r="AB97" i="6" s="1"/>
  <c r="AH97" i="6"/>
  <c r="AG97" i="6"/>
  <c r="AF97" i="6"/>
  <c r="AA97" i="6" s="1"/>
  <c r="AE97" i="6"/>
  <c r="Z97" i="6" s="1"/>
  <c r="AD97" i="6"/>
  <c r="Y97" i="6" s="1"/>
  <c r="W97" i="6"/>
  <c r="S97" i="6"/>
  <c r="AP97" i="6" s="1"/>
  <c r="P97" i="6"/>
  <c r="CH97" i="6" s="1"/>
  <c r="C97" i="6"/>
  <c r="EU96" i="6"/>
  <c r="EO96" i="6"/>
  <c r="FB96" i="6" s="1"/>
  <c r="EB96" i="6"/>
  <c r="EA96" i="6"/>
  <c r="BJ96" i="6"/>
  <c r="BA96" i="6"/>
  <c r="AN96" i="6" s="1"/>
  <c r="AJ96" i="6"/>
  <c r="AI96" i="6"/>
  <c r="AB96" i="6" s="1"/>
  <c r="AH96" i="6"/>
  <c r="AG96" i="6"/>
  <c r="AF96" i="6"/>
  <c r="AA96" i="6" s="1"/>
  <c r="AC96" i="6" s="1"/>
  <c r="AE96" i="6"/>
  <c r="Z96" i="6" s="1"/>
  <c r="AD96" i="6"/>
  <c r="Y96" i="6" s="1"/>
  <c r="W96" i="6"/>
  <c r="S96" i="6"/>
  <c r="AP96" i="6" s="1"/>
  <c r="P96" i="6"/>
  <c r="CH96" i="6" s="1"/>
  <c r="C96" i="6"/>
  <c r="EU95" i="6"/>
  <c r="EO95" i="6"/>
  <c r="FB95" i="6" s="1"/>
  <c r="EB95" i="6"/>
  <c r="EA95" i="6"/>
  <c r="BJ95" i="6"/>
  <c r="BA95" i="6"/>
  <c r="AJ95" i="6"/>
  <c r="AI95" i="6"/>
  <c r="AB95" i="6" s="1"/>
  <c r="AH95" i="6"/>
  <c r="AG95" i="6"/>
  <c r="AF95" i="6"/>
  <c r="AA95" i="6" s="1"/>
  <c r="AE95" i="6"/>
  <c r="Z95" i="6" s="1"/>
  <c r="AD95" i="6"/>
  <c r="Y95" i="6" s="1"/>
  <c r="W95" i="6"/>
  <c r="S95" i="6"/>
  <c r="AP95" i="6" s="1"/>
  <c r="P95" i="6"/>
  <c r="CH95" i="6" s="1"/>
  <c r="C95" i="6"/>
  <c r="EU94" i="6"/>
  <c r="EO94" i="6"/>
  <c r="FB94" i="6" s="1"/>
  <c r="EB94" i="6"/>
  <c r="EA94" i="6"/>
  <c r="BJ94" i="6"/>
  <c r="BA94" i="6"/>
  <c r="FV94" i="6" s="1"/>
  <c r="AJ94" i="6"/>
  <c r="AI94" i="6"/>
  <c r="AB94" i="6" s="1"/>
  <c r="AH94" i="6"/>
  <c r="AG94" i="6"/>
  <c r="BG94" i="6" s="1"/>
  <c r="AF94" i="6"/>
  <c r="AA94" i="6" s="1"/>
  <c r="AE94" i="6"/>
  <c r="BD94" i="6" s="1"/>
  <c r="AD94" i="6"/>
  <c r="Y94" i="6" s="1"/>
  <c r="W94" i="6"/>
  <c r="S94" i="6"/>
  <c r="AP94" i="6" s="1"/>
  <c r="P94" i="6"/>
  <c r="CH94" i="6" s="1"/>
  <c r="C94" i="6"/>
  <c r="EU93" i="6"/>
  <c r="EO93" i="6"/>
  <c r="FB93" i="6" s="1"/>
  <c r="EB93" i="6"/>
  <c r="EA93" i="6"/>
  <c r="BJ93" i="6"/>
  <c r="BA93" i="6"/>
  <c r="AJ93" i="6"/>
  <c r="AI93" i="6"/>
  <c r="AB93" i="6" s="1"/>
  <c r="AH93" i="6"/>
  <c r="AG93" i="6"/>
  <c r="BG93" i="6" s="1"/>
  <c r="AF93" i="6"/>
  <c r="BF93" i="6" s="1"/>
  <c r="AE93" i="6"/>
  <c r="BD93" i="6" s="1"/>
  <c r="AD93" i="6"/>
  <c r="Y93" i="6" s="1"/>
  <c r="W93" i="6"/>
  <c r="S93" i="6"/>
  <c r="P93" i="6"/>
  <c r="CH93" i="6" s="1"/>
  <c r="C93" i="6"/>
  <c r="EU92" i="6"/>
  <c r="EO92" i="6"/>
  <c r="FB92" i="6" s="1"/>
  <c r="EB92" i="6"/>
  <c r="EA92" i="6"/>
  <c r="BJ92" i="6"/>
  <c r="BA92" i="6"/>
  <c r="AH92" i="6"/>
  <c r="W92" i="6"/>
  <c r="S92" i="6"/>
  <c r="AP92" i="6" s="1"/>
  <c r="P92" i="6"/>
  <c r="CH92" i="6" s="1"/>
  <c r="C92" i="6"/>
  <c r="EU91" i="6"/>
  <c r="EO91" i="6"/>
  <c r="FB91" i="6" s="1"/>
  <c r="EB91" i="6"/>
  <c r="EA91" i="6"/>
  <c r="BJ91" i="6"/>
  <c r="BA91" i="6"/>
  <c r="FV91" i="6" s="1"/>
  <c r="AH91" i="6"/>
  <c r="W91" i="6"/>
  <c r="S91" i="6"/>
  <c r="AP91" i="6" s="1"/>
  <c r="P91" i="6"/>
  <c r="CH91" i="6" s="1"/>
  <c r="C91" i="6"/>
  <c r="EU90" i="6"/>
  <c r="EO90" i="6"/>
  <c r="FB90" i="6" s="1"/>
  <c r="EB90" i="6"/>
  <c r="EA90" i="6"/>
  <c r="BJ90" i="6"/>
  <c r="BA90" i="6"/>
  <c r="AH90" i="6"/>
  <c r="W90" i="6"/>
  <c r="S90" i="6"/>
  <c r="AP90" i="6" s="1"/>
  <c r="P90" i="6"/>
  <c r="CH90" i="6" s="1"/>
  <c r="C90" i="6"/>
  <c r="EU89" i="6"/>
  <c r="EO89" i="6"/>
  <c r="FB89" i="6" s="1"/>
  <c r="EB89" i="6"/>
  <c r="EA89" i="6"/>
  <c r="BJ89" i="6"/>
  <c r="BA89" i="6"/>
  <c r="AH89" i="6"/>
  <c r="W89" i="6"/>
  <c r="S89" i="6"/>
  <c r="AP89" i="6" s="1"/>
  <c r="P89" i="6"/>
  <c r="CH89" i="6" s="1"/>
  <c r="C89" i="6"/>
  <c r="EU88" i="6"/>
  <c r="EO88" i="6"/>
  <c r="FB88" i="6" s="1"/>
  <c r="EB88" i="6"/>
  <c r="EA88" i="6"/>
  <c r="BJ88" i="6"/>
  <c r="BA88" i="6"/>
  <c r="AH88" i="6"/>
  <c r="W88" i="6"/>
  <c r="S88" i="6"/>
  <c r="P88" i="6"/>
  <c r="CH88" i="6" s="1"/>
  <c r="C88" i="6"/>
  <c r="EU85" i="6"/>
  <c r="EO85" i="6"/>
  <c r="FB85" i="6" s="1"/>
  <c r="EB85" i="6"/>
  <c r="EA85" i="6"/>
  <c r="BJ85" i="6"/>
  <c r="BA85" i="6"/>
  <c r="FV85" i="6" s="1"/>
  <c r="AJ85" i="6"/>
  <c r="AI85" i="6"/>
  <c r="AB85" i="6" s="1"/>
  <c r="AH85" i="6"/>
  <c r="AG85" i="6"/>
  <c r="AF85" i="6"/>
  <c r="AA85" i="6" s="1"/>
  <c r="AE85" i="6"/>
  <c r="Z85" i="6" s="1"/>
  <c r="AD85" i="6"/>
  <c r="Y85" i="6" s="1"/>
  <c r="W85" i="6"/>
  <c r="S85" i="6"/>
  <c r="AP85" i="6" s="1"/>
  <c r="P85" i="6"/>
  <c r="CH85" i="6" s="1"/>
  <c r="C85" i="6"/>
  <c r="EU84" i="6"/>
  <c r="EO84" i="6"/>
  <c r="FB84" i="6" s="1"/>
  <c r="EB84" i="6"/>
  <c r="EA84" i="6"/>
  <c r="BJ84" i="6"/>
  <c r="BA84" i="6"/>
  <c r="FV84" i="6" s="1"/>
  <c r="AJ84" i="6"/>
  <c r="AI84" i="6"/>
  <c r="AB84" i="6" s="1"/>
  <c r="AH84" i="6"/>
  <c r="AG84" i="6"/>
  <c r="BG84" i="6" s="1"/>
  <c r="AF84" i="6"/>
  <c r="BF84" i="6" s="1"/>
  <c r="AE84" i="6"/>
  <c r="BD84" i="6" s="1"/>
  <c r="AD84" i="6"/>
  <c r="Y84" i="6" s="1"/>
  <c r="W84" i="6"/>
  <c r="S84" i="6"/>
  <c r="AP84" i="6" s="1"/>
  <c r="P84" i="6"/>
  <c r="CH84" i="6" s="1"/>
  <c r="C84" i="6"/>
  <c r="EU83" i="6"/>
  <c r="EO83" i="6"/>
  <c r="FB83" i="6" s="1"/>
  <c r="EB83" i="6"/>
  <c r="EA83" i="6"/>
  <c r="BJ83" i="6"/>
  <c r="BA83" i="6"/>
  <c r="AJ83" i="6"/>
  <c r="AI83" i="6"/>
  <c r="AB83" i="6" s="1"/>
  <c r="AH83" i="6"/>
  <c r="AG83" i="6"/>
  <c r="AF83" i="6"/>
  <c r="AA83" i="6" s="1"/>
  <c r="AE83" i="6"/>
  <c r="Z83" i="6" s="1"/>
  <c r="AD83" i="6"/>
  <c r="Y83" i="6" s="1"/>
  <c r="W83" i="6"/>
  <c r="S83" i="6"/>
  <c r="AP83" i="6" s="1"/>
  <c r="P83" i="6"/>
  <c r="CH83" i="6" s="1"/>
  <c r="C83" i="6"/>
  <c r="EU82" i="6"/>
  <c r="EO82" i="6"/>
  <c r="FB82" i="6" s="1"/>
  <c r="EB82" i="6"/>
  <c r="EA82" i="6"/>
  <c r="BJ82" i="6"/>
  <c r="BA82" i="6"/>
  <c r="AJ82" i="6"/>
  <c r="AI82" i="6"/>
  <c r="AB82" i="6" s="1"/>
  <c r="AH82" i="6"/>
  <c r="AG82" i="6"/>
  <c r="BG82" i="6" s="1"/>
  <c r="AF82" i="6"/>
  <c r="BF82" i="6" s="1"/>
  <c r="AE82" i="6"/>
  <c r="AD82" i="6"/>
  <c r="Y82" i="6" s="1"/>
  <c r="W82" i="6"/>
  <c r="S82" i="6"/>
  <c r="AP82" i="6" s="1"/>
  <c r="P82" i="6"/>
  <c r="CH82" i="6" s="1"/>
  <c r="C82" i="6"/>
  <c r="S81" i="6"/>
  <c r="P81" i="6"/>
  <c r="C81" i="6"/>
  <c r="S80" i="6"/>
  <c r="P80" i="6"/>
  <c r="C80" i="6"/>
  <c r="EU79" i="6"/>
  <c r="EO79" i="6"/>
  <c r="FB79" i="6" s="1"/>
  <c r="EB79" i="6"/>
  <c r="EA79" i="6"/>
  <c r="BJ79" i="6"/>
  <c r="BA79" i="6"/>
  <c r="FV79" i="6" s="1"/>
  <c r="AH79" i="6"/>
  <c r="W79" i="6"/>
  <c r="S79" i="6"/>
  <c r="AP79" i="6" s="1"/>
  <c r="P79" i="6"/>
  <c r="CH79" i="6" s="1"/>
  <c r="C79" i="6"/>
  <c r="EU78" i="6"/>
  <c r="EO78" i="6"/>
  <c r="FB78" i="6" s="1"/>
  <c r="EB78" i="6"/>
  <c r="EA78" i="6"/>
  <c r="BJ78" i="6"/>
  <c r="BA78" i="6"/>
  <c r="AH78" i="6"/>
  <c r="W78" i="6"/>
  <c r="S78" i="6"/>
  <c r="AP78" i="6" s="1"/>
  <c r="P78" i="6"/>
  <c r="CH78" i="6" s="1"/>
  <c r="C78" i="6"/>
  <c r="EU77" i="6"/>
  <c r="EO77" i="6"/>
  <c r="FB77" i="6" s="1"/>
  <c r="EB77" i="6"/>
  <c r="EA77" i="6"/>
  <c r="BJ77" i="6"/>
  <c r="BA77" i="6"/>
  <c r="AH77" i="6"/>
  <c r="W77" i="6"/>
  <c r="S77" i="6"/>
  <c r="AP77" i="6" s="1"/>
  <c r="P77" i="6"/>
  <c r="CH77" i="6" s="1"/>
  <c r="C77" i="6"/>
  <c r="EU72" i="6"/>
  <c r="EO72" i="6"/>
  <c r="FB72" i="6" s="1"/>
  <c r="EB72" i="6"/>
  <c r="EA72" i="6"/>
  <c r="BJ72" i="6"/>
  <c r="BA72" i="6"/>
  <c r="AJ72" i="6"/>
  <c r="AI72" i="6"/>
  <c r="AB72" i="6" s="1"/>
  <c r="AH72" i="6"/>
  <c r="AG72" i="6"/>
  <c r="AF72" i="6"/>
  <c r="AA72" i="6" s="1"/>
  <c r="AE72" i="6"/>
  <c r="Z72" i="6" s="1"/>
  <c r="AD72" i="6"/>
  <c r="Y72" i="6" s="1"/>
  <c r="W72" i="6"/>
  <c r="S72" i="6"/>
  <c r="AP72" i="6" s="1"/>
  <c r="P72" i="6"/>
  <c r="CH72" i="6" s="1"/>
  <c r="C72" i="6"/>
  <c r="EU71" i="6"/>
  <c r="EO71" i="6"/>
  <c r="FB71" i="6" s="1"/>
  <c r="EB71" i="6"/>
  <c r="EA71" i="6"/>
  <c r="BJ71" i="6"/>
  <c r="BA71" i="6"/>
  <c r="AJ71" i="6"/>
  <c r="AI71" i="6"/>
  <c r="AB71" i="6" s="1"/>
  <c r="AH71" i="6"/>
  <c r="AG71" i="6"/>
  <c r="BG71" i="6" s="1"/>
  <c r="AF71" i="6"/>
  <c r="BF71" i="6" s="1"/>
  <c r="AE71" i="6"/>
  <c r="BD71" i="6" s="1"/>
  <c r="AD71" i="6"/>
  <c r="Y71" i="6" s="1"/>
  <c r="W71" i="6"/>
  <c r="S71" i="6"/>
  <c r="AP71" i="6" s="1"/>
  <c r="P71" i="6"/>
  <c r="CH71" i="6" s="1"/>
  <c r="C71" i="6"/>
  <c r="EU70" i="6"/>
  <c r="EO70" i="6"/>
  <c r="FB70" i="6" s="1"/>
  <c r="EB70" i="6"/>
  <c r="EA70" i="6"/>
  <c r="BJ70" i="6"/>
  <c r="BA70" i="6"/>
  <c r="AJ70" i="6"/>
  <c r="BM70" i="6" s="1"/>
  <c r="AI70" i="6"/>
  <c r="BL70" i="6" s="1"/>
  <c r="AH70" i="6"/>
  <c r="AG70" i="6"/>
  <c r="AF70" i="6"/>
  <c r="AA70" i="6" s="1"/>
  <c r="AE70" i="6"/>
  <c r="Z70" i="6" s="1"/>
  <c r="AD70" i="6"/>
  <c r="Y70" i="6" s="1"/>
  <c r="W70" i="6"/>
  <c r="S70" i="6"/>
  <c r="P70" i="6"/>
  <c r="CH70" i="6" s="1"/>
  <c r="C70" i="6"/>
  <c r="EU69" i="6"/>
  <c r="EO69" i="6"/>
  <c r="FB69" i="6" s="1"/>
  <c r="EB69" i="6"/>
  <c r="EA69" i="6"/>
  <c r="BJ69" i="6"/>
  <c r="BA69" i="6"/>
  <c r="AJ69" i="6"/>
  <c r="AI69" i="6"/>
  <c r="AB69" i="6" s="1"/>
  <c r="AH69" i="6"/>
  <c r="AG69" i="6"/>
  <c r="AF69" i="6"/>
  <c r="AA69" i="6" s="1"/>
  <c r="AE69" i="6"/>
  <c r="Z69" i="6" s="1"/>
  <c r="AD69" i="6"/>
  <c r="Y69" i="6" s="1"/>
  <c r="W69" i="6"/>
  <c r="S69" i="6"/>
  <c r="AP69" i="6" s="1"/>
  <c r="P69" i="6"/>
  <c r="CH69" i="6" s="1"/>
  <c r="C69" i="6"/>
  <c r="EU68" i="6"/>
  <c r="EO68" i="6"/>
  <c r="FB68" i="6" s="1"/>
  <c r="EB68" i="6"/>
  <c r="EA68" i="6"/>
  <c r="BJ68" i="6"/>
  <c r="BA68" i="6"/>
  <c r="AJ68" i="6"/>
  <c r="AI68" i="6"/>
  <c r="AB68" i="6" s="1"/>
  <c r="AH68" i="6"/>
  <c r="AG68" i="6"/>
  <c r="BG68" i="6" s="1"/>
  <c r="AF68" i="6"/>
  <c r="BF68" i="6" s="1"/>
  <c r="AE68" i="6"/>
  <c r="BC68" i="6" s="1"/>
  <c r="AD68" i="6"/>
  <c r="Y68" i="6" s="1"/>
  <c r="W68" i="6"/>
  <c r="S68" i="6"/>
  <c r="AP68" i="6" s="1"/>
  <c r="P68" i="6"/>
  <c r="CH68" i="6" s="1"/>
  <c r="C68" i="6"/>
  <c r="EU67" i="6"/>
  <c r="EO67" i="6"/>
  <c r="FB67" i="6" s="1"/>
  <c r="EB67" i="6"/>
  <c r="EA67" i="6"/>
  <c r="BJ67" i="6"/>
  <c r="BA67" i="6"/>
  <c r="AL67" i="6"/>
  <c r="AJ67" i="6"/>
  <c r="AI67" i="6"/>
  <c r="AB67" i="6" s="1"/>
  <c r="AH67" i="6"/>
  <c r="AG67" i="6"/>
  <c r="BG67" i="6" s="1"/>
  <c r="AF67" i="6"/>
  <c r="BF67" i="6" s="1"/>
  <c r="AE67" i="6"/>
  <c r="Z67" i="6" s="1"/>
  <c r="AD67" i="6"/>
  <c r="Y67" i="6" s="1"/>
  <c r="W67" i="6"/>
  <c r="S67" i="6"/>
  <c r="AP67" i="6" s="1"/>
  <c r="P67" i="6"/>
  <c r="CH67" i="6" s="1"/>
  <c r="C67" i="6"/>
  <c r="EU66" i="6"/>
  <c r="EO66" i="6"/>
  <c r="FB66" i="6" s="1"/>
  <c r="EB66" i="6"/>
  <c r="EA66" i="6"/>
  <c r="BJ66" i="6"/>
  <c r="BA66" i="6"/>
  <c r="AJ66" i="6"/>
  <c r="AI66" i="6"/>
  <c r="AB66" i="6" s="1"/>
  <c r="AH66" i="6"/>
  <c r="AG66" i="6"/>
  <c r="AF66" i="6"/>
  <c r="AA66" i="6" s="1"/>
  <c r="AE66" i="6"/>
  <c r="BD66" i="6" s="1"/>
  <c r="AD66" i="6"/>
  <c r="Y66" i="6" s="1"/>
  <c r="W66" i="6"/>
  <c r="S66" i="6"/>
  <c r="P66" i="6"/>
  <c r="CH66" i="6" s="1"/>
  <c r="C66" i="6"/>
  <c r="EU65" i="6"/>
  <c r="EO65" i="6"/>
  <c r="FB65" i="6" s="1"/>
  <c r="EB65" i="6"/>
  <c r="EA65" i="6"/>
  <c r="BJ65" i="6"/>
  <c r="BA65" i="6"/>
  <c r="AH65" i="6"/>
  <c r="W65" i="6"/>
  <c r="S65" i="6"/>
  <c r="AP65" i="6" s="1"/>
  <c r="C65" i="6"/>
  <c r="EU64" i="6"/>
  <c r="EO64" i="6"/>
  <c r="FB64" i="6" s="1"/>
  <c r="EB64" i="6"/>
  <c r="EA64" i="6"/>
  <c r="BJ64" i="6"/>
  <c r="BA64" i="6"/>
  <c r="AO64" i="6" s="1"/>
  <c r="AJ64" i="6"/>
  <c r="AI64" i="6"/>
  <c r="AB64" i="6" s="1"/>
  <c r="AH64" i="6"/>
  <c r="AG64" i="6"/>
  <c r="AF64" i="6"/>
  <c r="AA64" i="6" s="1"/>
  <c r="AE64" i="6"/>
  <c r="Z64" i="6" s="1"/>
  <c r="AD64" i="6"/>
  <c r="Y64" i="6" s="1"/>
  <c r="W64" i="6"/>
  <c r="S64" i="6"/>
  <c r="AP64" i="6" s="1"/>
  <c r="P64" i="6"/>
  <c r="CH64" i="6" s="1"/>
  <c r="C64" i="6"/>
  <c r="EU63" i="6"/>
  <c r="EO63" i="6"/>
  <c r="FB63" i="6" s="1"/>
  <c r="EB63" i="6"/>
  <c r="EA63" i="6"/>
  <c r="BJ63" i="6"/>
  <c r="BA63" i="6"/>
  <c r="AJ63" i="6"/>
  <c r="AI63" i="6"/>
  <c r="AB63" i="6" s="1"/>
  <c r="AH63" i="6"/>
  <c r="AG63" i="6"/>
  <c r="AF63" i="6"/>
  <c r="AA63" i="6" s="1"/>
  <c r="AE63" i="6"/>
  <c r="Z63" i="6" s="1"/>
  <c r="AD63" i="6"/>
  <c r="W63" i="6"/>
  <c r="S63" i="6"/>
  <c r="AP63" i="6" s="1"/>
  <c r="P63" i="6"/>
  <c r="CH63" i="6" s="1"/>
  <c r="C63" i="6"/>
  <c r="EU62" i="6"/>
  <c r="EO62" i="6"/>
  <c r="FB62" i="6" s="1"/>
  <c r="EB62" i="6"/>
  <c r="EA62" i="6"/>
  <c r="BJ62" i="6"/>
  <c r="BA62" i="6"/>
  <c r="AJ62" i="6"/>
  <c r="AI62" i="6"/>
  <c r="AB62" i="6" s="1"/>
  <c r="AH62" i="6"/>
  <c r="AG62" i="6"/>
  <c r="AF62" i="6"/>
  <c r="AA62" i="6" s="1"/>
  <c r="AE62" i="6"/>
  <c r="Z62" i="6" s="1"/>
  <c r="AD62" i="6"/>
  <c r="Y62" i="6" s="1"/>
  <c r="W62" i="6"/>
  <c r="S62" i="6"/>
  <c r="AP62" i="6" s="1"/>
  <c r="P62" i="6"/>
  <c r="CH62" i="6" s="1"/>
  <c r="C62" i="6"/>
  <c r="EU61" i="6"/>
  <c r="EO61" i="6"/>
  <c r="FB61" i="6" s="1"/>
  <c r="EB61" i="6"/>
  <c r="EA61" i="6"/>
  <c r="BJ61" i="6"/>
  <c r="BA61" i="6"/>
  <c r="FV61" i="6" s="1"/>
  <c r="AH61" i="6"/>
  <c r="W61" i="6"/>
  <c r="S61" i="6"/>
  <c r="AP61" i="6" s="1"/>
  <c r="P61" i="6"/>
  <c r="CH61" i="6" s="1"/>
  <c r="C61" i="6"/>
  <c r="EU60" i="6"/>
  <c r="EO60" i="6"/>
  <c r="FB60" i="6" s="1"/>
  <c r="EB60" i="6"/>
  <c r="EA60" i="6"/>
  <c r="BJ60" i="6"/>
  <c r="BA60" i="6"/>
  <c r="FV60" i="6" s="1"/>
  <c r="AH60" i="6"/>
  <c r="W60" i="6"/>
  <c r="S60" i="6"/>
  <c r="P60" i="6"/>
  <c r="CH60" i="6" s="1"/>
  <c r="C60" i="6"/>
  <c r="EU59" i="6"/>
  <c r="EO59" i="6"/>
  <c r="FB59" i="6" s="1"/>
  <c r="EB59" i="6"/>
  <c r="EA59" i="6"/>
  <c r="BJ59" i="6"/>
  <c r="BA59" i="6"/>
  <c r="FV59" i="6" s="1"/>
  <c r="AH59" i="6"/>
  <c r="W59" i="6"/>
  <c r="S59" i="6"/>
  <c r="AP59" i="6" s="1"/>
  <c r="P59" i="6"/>
  <c r="CH59" i="6" s="1"/>
  <c r="C59" i="6"/>
  <c r="EU58" i="6"/>
  <c r="EO58" i="6"/>
  <c r="FB58" i="6" s="1"/>
  <c r="EB58" i="6"/>
  <c r="EA58" i="6"/>
  <c r="BJ58" i="6"/>
  <c r="BA58" i="6"/>
  <c r="AH58" i="6"/>
  <c r="W58" i="6"/>
  <c r="S58" i="6"/>
  <c r="AP58" i="6" s="1"/>
  <c r="P58" i="6"/>
  <c r="CH58" i="6" s="1"/>
  <c r="C58" i="6"/>
  <c r="EU57" i="6"/>
  <c r="EO57" i="6"/>
  <c r="FB57" i="6" s="1"/>
  <c r="EB57" i="6"/>
  <c r="EA57" i="6"/>
  <c r="BJ57" i="6"/>
  <c r="BA57" i="6"/>
  <c r="AH57" i="6"/>
  <c r="W57" i="6"/>
  <c r="S57" i="6"/>
  <c r="AP57" i="6" s="1"/>
  <c r="P57" i="6"/>
  <c r="CH57" i="6" s="1"/>
  <c r="C57" i="6"/>
  <c r="EU56" i="6"/>
  <c r="EO56" i="6"/>
  <c r="FB56" i="6" s="1"/>
  <c r="EB56" i="6"/>
  <c r="EA56" i="6"/>
  <c r="BJ56" i="6"/>
  <c r="BA56" i="6"/>
  <c r="FV56" i="6" s="1"/>
  <c r="AH56" i="6"/>
  <c r="W56" i="6"/>
  <c r="S56" i="6"/>
  <c r="P56" i="6"/>
  <c r="CH56" i="6" s="1"/>
  <c r="C56" i="6"/>
  <c r="EU55" i="6"/>
  <c r="EO55" i="6"/>
  <c r="FB55" i="6" s="1"/>
  <c r="EB55" i="6"/>
  <c r="EA55" i="6"/>
  <c r="BJ55" i="6"/>
  <c r="BA55" i="6"/>
  <c r="AH55" i="6"/>
  <c r="W55" i="6"/>
  <c r="S55" i="6"/>
  <c r="AP55" i="6" s="1"/>
  <c r="P55" i="6"/>
  <c r="CH55" i="6" s="1"/>
  <c r="C55" i="6"/>
  <c r="EU54" i="6"/>
  <c r="EO54" i="6"/>
  <c r="FB54" i="6" s="1"/>
  <c r="EB54" i="6"/>
  <c r="EA54" i="6"/>
  <c r="BJ54" i="6"/>
  <c r="BA54" i="6"/>
  <c r="AH54" i="6"/>
  <c r="W54" i="6"/>
  <c r="S54" i="6"/>
  <c r="AP54" i="6" s="1"/>
  <c r="P54" i="6"/>
  <c r="CH54" i="6" s="1"/>
  <c r="C54" i="6"/>
  <c r="EU53" i="6"/>
  <c r="EO53" i="6"/>
  <c r="FB53" i="6" s="1"/>
  <c r="EB53" i="6"/>
  <c r="EA53" i="6"/>
  <c r="BJ53" i="6"/>
  <c r="BA53" i="6"/>
  <c r="FV53" i="6" s="1"/>
  <c r="AH53" i="6"/>
  <c r="W53" i="6"/>
  <c r="S53" i="6"/>
  <c r="AP53" i="6" s="1"/>
  <c r="P53" i="6"/>
  <c r="CH53" i="6" s="1"/>
  <c r="C53" i="6"/>
  <c r="EU51" i="6"/>
  <c r="EO51" i="6"/>
  <c r="FB51" i="6" s="1"/>
  <c r="EB51" i="6"/>
  <c r="EA51" i="6"/>
  <c r="BJ51" i="6"/>
  <c r="BA51" i="6"/>
  <c r="AJ51" i="6"/>
  <c r="AI51" i="6"/>
  <c r="AB51" i="6" s="1"/>
  <c r="AH51" i="6"/>
  <c r="AG51" i="6"/>
  <c r="AF51" i="6"/>
  <c r="AA51" i="6" s="1"/>
  <c r="AE51" i="6"/>
  <c r="Z51" i="6" s="1"/>
  <c r="AD51" i="6"/>
  <c r="Y51" i="6" s="1"/>
  <c r="W51" i="6"/>
  <c r="S51" i="6"/>
  <c r="AP51" i="6" s="1"/>
  <c r="P51" i="6"/>
  <c r="CH51" i="6" s="1"/>
  <c r="C51" i="6"/>
  <c r="EU50" i="6"/>
  <c r="EO50" i="6"/>
  <c r="FB50" i="6" s="1"/>
  <c r="EB50" i="6"/>
  <c r="EA50" i="6"/>
  <c r="BJ50" i="6"/>
  <c r="BA50" i="6"/>
  <c r="AJ50" i="6"/>
  <c r="AI50" i="6"/>
  <c r="AB50" i="6" s="1"/>
  <c r="AH50" i="6"/>
  <c r="AG50" i="6"/>
  <c r="AF50" i="6"/>
  <c r="AA50" i="6" s="1"/>
  <c r="AE50" i="6"/>
  <c r="Z50" i="6" s="1"/>
  <c r="AD50" i="6"/>
  <c r="Y50" i="6" s="1"/>
  <c r="W50" i="6"/>
  <c r="S50" i="6"/>
  <c r="AP50" i="6" s="1"/>
  <c r="P50" i="6"/>
  <c r="CH50" i="6" s="1"/>
  <c r="C50" i="6"/>
  <c r="EU49" i="6"/>
  <c r="EO49" i="6"/>
  <c r="FB49" i="6" s="1"/>
  <c r="EB49" i="6"/>
  <c r="EA49" i="6"/>
  <c r="BJ49" i="6"/>
  <c r="BA49" i="6"/>
  <c r="FV49" i="6" s="1"/>
  <c r="AJ49" i="6"/>
  <c r="AI49" i="6"/>
  <c r="AB49" i="6" s="1"/>
  <c r="AH49" i="6"/>
  <c r="AG49" i="6"/>
  <c r="AF49" i="6"/>
  <c r="AA49" i="6" s="1"/>
  <c r="AE49" i="6"/>
  <c r="Z49" i="6" s="1"/>
  <c r="AD49" i="6"/>
  <c r="Y49" i="6" s="1"/>
  <c r="W49" i="6"/>
  <c r="S49" i="6"/>
  <c r="AP49" i="6" s="1"/>
  <c r="P49" i="6"/>
  <c r="CH49" i="6" s="1"/>
  <c r="C49" i="6"/>
  <c r="EU48" i="6"/>
  <c r="EO48" i="6"/>
  <c r="FB48" i="6" s="1"/>
  <c r="EB48" i="6"/>
  <c r="EA48" i="6"/>
  <c r="BJ48" i="6"/>
  <c r="BA48" i="6"/>
  <c r="AJ48" i="6"/>
  <c r="AI48" i="6"/>
  <c r="AB48" i="6" s="1"/>
  <c r="AH48" i="6"/>
  <c r="AG48" i="6"/>
  <c r="AF48" i="6"/>
  <c r="AA48" i="6" s="1"/>
  <c r="AE48" i="6"/>
  <c r="Z48" i="6" s="1"/>
  <c r="AD48" i="6"/>
  <c r="Y48" i="6" s="1"/>
  <c r="W48" i="6"/>
  <c r="S48" i="6"/>
  <c r="AP48" i="6" s="1"/>
  <c r="P48" i="6"/>
  <c r="CH48" i="6" s="1"/>
  <c r="C48" i="6"/>
  <c r="EU47" i="6"/>
  <c r="EO47" i="6"/>
  <c r="FB47" i="6" s="1"/>
  <c r="EB47" i="6"/>
  <c r="EA47" i="6"/>
  <c r="BJ47" i="6"/>
  <c r="BA47" i="6"/>
  <c r="AJ47" i="6"/>
  <c r="AI47" i="6"/>
  <c r="AB47" i="6" s="1"/>
  <c r="AH47" i="6"/>
  <c r="AG47" i="6"/>
  <c r="AF47" i="6"/>
  <c r="AA47" i="6" s="1"/>
  <c r="AE47" i="6"/>
  <c r="Z47" i="6" s="1"/>
  <c r="AD47" i="6"/>
  <c r="Y47" i="6" s="1"/>
  <c r="W47" i="6"/>
  <c r="S47" i="6"/>
  <c r="AP47" i="6" s="1"/>
  <c r="P47" i="6"/>
  <c r="CH47" i="6" s="1"/>
  <c r="C47" i="6"/>
  <c r="EU46" i="6"/>
  <c r="EO46" i="6"/>
  <c r="FB46" i="6" s="1"/>
  <c r="EB46" i="6"/>
  <c r="EA46" i="6"/>
  <c r="BJ46" i="6"/>
  <c r="BA46" i="6"/>
  <c r="AJ46" i="6"/>
  <c r="BM46" i="6" s="1"/>
  <c r="AI46" i="6"/>
  <c r="BL46" i="6" s="1"/>
  <c r="AH46" i="6"/>
  <c r="AG46" i="6"/>
  <c r="AF46" i="6"/>
  <c r="AA46" i="6" s="1"/>
  <c r="AE46" i="6"/>
  <c r="Z46" i="6" s="1"/>
  <c r="AD46" i="6"/>
  <c r="Y46" i="6" s="1"/>
  <c r="W46" i="6"/>
  <c r="S46" i="6"/>
  <c r="AP46" i="6" s="1"/>
  <c r="P46" i="6"/>
  <c r="CH46" i="6" s="1"/>
  <c r="C46" i="6"/>
  <c r="EU45" i="6"/>
  <c r="EO45" i="6"/>
  <c r="FB45" i="6" s="1"/>
  <c r="EB45" i="6"/>
  <c r="EA45" i="6"/>
  <c r="BJ45" i="6"/>
  <c r="BA45" i="6"/>
  <c r="AJ45" i="6"/>
  <c r="AI45" i="6"/>
  <c r="AB45" i="6" s="1"/>
  <c r="AH45" i="6"/>
  <c r="AG45" i="6"/>
  <c r="BG45" i="6" s="1"/>
  <c r="AF45" i="6"/>
  <c r="AA45" i="6" s="1"/>
  <c r="AE45" i="6"/>
  <c r="Z45" i="6" s="1"/>
  <c r="AD45" i="6"/>
  <c r="Y45" i="6" s="1"/>
  <c r="W45" i="6"/>
  <c r="S45" i="6"/>
  <c r="AP45" i="6" s="1"/>
  <c r="P45" i="6"/>
  <c r="CH45" i="6" s="1"/>
  <c r="C45" i="6"/>
  <c r="EU44" i="6"/>
  <c r="EO44" i="6"/>
  <c r="FB44" i="6" s="1"/>
  <c r="EB44" i="6"/>
  <c r="EA44" i="6"/>
  <c r="BJ44" i="6"/>
  <c r="BA44" i="6"/>
  <c r="FV44" i="6" s="1"/>
  <c r="AH44" i="6"/>
  <c r="W44" i="6"/>
  <c r="S44" i="6"/>
  <c r="AP44" i="6" s="1"/>
  <c r="P44" i="6"/>
  <c r="CH44" i="6" s="1"/>
  <c r="C44" i="6"/>
  <c r="EU43" i="6"/>
  <c r="EO43" i="6"/>
  <c r="FB43" i="6" s="1"/>
  <c r="EB43" i="6"/>
  <c r="EA43" i="6"/>
  <c r="BJ43" i="6"/>
  <c r="BA43" i="6"/>
  <c r="FV43" i="6" s="1"/>
  <c r="AH43" i="6"/>
  <c r="W43" i="6"/>
  <c r="S43" i="6"/>
  <c r="AP43" i="6" s="1"/>
  <c r="P43" i="6"/>
  <c r="CH43" i="6" s="1"/>
  <c r="C43" i="6"/>
  <c r="EU41" i="6"/>
  <c r="EO41" i="6"/>
  <c r="FB41" i="6" s="1"/>
  <c r="EB41" i="6"/>
  <c r="EA41" i="6"/>
  <c r="BJ41" i="6"/>
  <c r="BA41" i="6"/>
  <c r="AH41" i="6"/>
  <c r="W41" i="6"/>
  <c r="S41" i="6"/>
  <c r="AP41" i="6" s="1"/>
  <c r="P41" i="6"/>
  <c r="CH41" i="6" s="1"/>
  <c r="C41" i="6"/>
  <c r="EU32" i="6"/>
  <c r="EO32" i="6"/>
  <c r="FB32" i="6" s="1"/>
  <c r="EB32" i="6"/>
  <c r="EA32" i="6"/>
  <c r="BJ32" i="6"/>
  <c r="BA32" i="6"/>
  <c r="AH32" i="6"/>
  <c r="W32" i="6"/>
  <c r="S32" i="6"/>
  <c r="AP32" i="6" s="1"/>
  <c r="J32" i="6"/>
  <c r="AG32" i="6" s="1"/>
  <c r="I32" i="6"/>
  <c r="AF32" i="6" s="1"/>
  <c r="AA32" i="6" s="1"/>
  <c r="H32" i="6"/>
  <c r="AE32" i="6" s="1"/>
  <c r="Z32" i="6" s="1"/>
  <c r="G32" i="6"/>
  <c r="AD32" i="6" s="1"/>
  <c r="Y32" i="6" s="1"/>
  <c r="C32" i="6"/>
  <c r="EU31" i="6"/>
  <c r="EO31" i="6"/>
  <c r="FB31" i="6" s="1"/>
  <c r="EB31" i="6"/>
  <c r="EA31" i="6"/>
  <c r="BJ31" i="6"/>
  <c r="BA31" i="6"/>
  <c r="AH31" i="6"/>
  <c r="W31" i="6"/>
  <c r="S31" i="6"/>
  <c r="AP31" i="6" s="1"/>
  <c r="J31" i="6"/>
  <c r="M31" i="6" s="1"/>
  <c r="AJ31" i="6" s="1"/>
  <c r="I31" i="6"/>
  <c r="H31" i="6"/>
  <c r="G31" i="6"/>
  <c r="AD31" i="6" s="1"/>
  <c r="Y31" i="6" s="1"/>
  <c r="C31" i="6"/>
  <c r="EU30" i="6"/>
  <c r="EO30" i="6"/>
  <c r="FB30" i="6" s="1"/>
  <c r="EB30" i="6"/>
  <c r="EA30" i="6"/>
  <c r="BJ30" i="6"/>
  <c r="BA30" i="6"/>
  <c r="AH30" i="6"/>
  <c r="W30" i="6"/>
  <c r="S30" i="6"/>
  <c r="C30" i="6"/>
  <c r="EU29" i="6"/>
  <c r="EO29" i="6"/>
  <c r="FB29" i="6" s="1"/>
  <c r="EB29" i="6"/>
  <c r="EA29" i="6"/>
  <c r="BJ29" i="6"/>
  <c r="BA29" i="6"/>
  <c r="AH29" i="6"/>
  <c r="W29" i="6"/>
  <c r="S29" i="6"/>
  <c r="AP29" i="6" s="1"/>
  <c r="C29" i="6"/>
  <c r="EU28" i="6"/>
  <c r="EO28" i="6"/>
  <c r="FB28" i="6" s="1"/>
  <c r="EB28" i="6"/>
  <c r="EA28" i="6"/>
  <c r="BJ28" i="6"/>
  <c r="BA28" i="6"/>
  <c r="FV28" i="6" s="1"/>
  <c r="AH28" i="6"/>
  <c r="W28" i="6"/>
  <c r="S28" i="6"/>
  <c r="J28" i="6"/>
  <c r="I28" i="6"/>
  <c r="L28" i="6" s="1"/>
  <c r="AI28" i="6" s="1"/>
  <c r="AB28" i="6" s="1"/>
  <c r="H28" i="6"/>
  <c r="AE28" i="6" s="1"/>
  <c r="Z28" i="6" s="1"/>
  <c r="G28" i="6"/>
  <c r="C28" i="6"/>
  <c r="EU27" i="6"/>
  <c r="EO27" i="6"/>
  <c r="FB27" i="6" s="1"/>
  <c r="EB27" i="6"/>
  <c r="EA27" i="6"/>
  <c r="BJ27" i="6"/>
  <c r="BA27" i="6"/>
  <c r="AH27" i="6"/>
  <c r="W27" i="6"/>
  <c r="S27" i="6"/>
  <c r="AP27" i="6" s="1"/>
  <c r="J27" i="6"/>
  <c r="AG27" i="6" s="1"/>
  <c r="I27" i="6"/>
  <c r="H27" i="6"/>
  <c r="AE27" i="6" s="1"/>
  <c r="Z27" i="6" s="1"/>
  <c r="G27" i="6"/>
  <c r="AD27" i="6" s="1"/>
  <c r="Y27" i="6" s="1"/>
  <c r="C27" i="6"/>
  <c r="EU26" i="6"/>
  <c r="EO26" i="6"/>
  <c r="FB26" i="6" s="1"/>
  <c r="EB26" i="6"/>
  <c r="EA26" i="6"/>
  <c r="BJ26" i="6"/>
  <c r="BA26" i="6"/>
  <c r="AH26" i="6"/>
  <c r="W26" i="6"/>
  <c r="S26" i="6"/>
  <c r="M26" i="6"/>
  <c r="AJ26" i="6" s="1"/>
  <c r="L26" i="6"/>
  <c r="AI26" i="6" s="1"/>
  <c r="AB26" i="6" s="1"/>
  <c r="J26" i="6"/>
  <c r="AG26" i="6" s="1"/>
  <c r="I26" i="6"/>
  <c r="AF26" i="6" s="1"/>
  <c r="AA26" i="6" s="1"/>
  <c r="H26" i="6"/>
  <c r="AE26" i="6" s="1"/>
  <c r="Z26" i="6" s="1"/>
  <c r="G26" i="6"/>
  <c r="C26" i="6"/>
  <c r="EU25" i="6"/>
  <c r="EO25" i="6"/>
  <c r="FB25" i="6" s="1"/>
  <c r="EB25" i="6"/>
  <c r="EA25" i="6"/>
  <c r="BJ25" i="6"/>
  <c r="BA25" i="6"/>
  <c r="AJ25" i="6"/>
  <c r="AI25" i="6"/>
  <c r="AB25" i="6" s="1"/>
  <c r="AH25" i="6"/>
  <c r="W25" i="6"/>
  <c r="S25" i="6"/>
  <c r="AP25" i="6" s="1"/>
  <c r="J25" i="6"/>
  <c r="AG25" i="6" s="1"/>
  <c r="I25" i="6"/>
  <c r="AF25" i="6" s="1"/>
  <c r="AA25" i="6" s="1"/>
  <c r="H25" i="6"/>
  <c r="AE25" i="6" s="1"/>
  <c r="Z25" i="6" s="1"/>
  <c r="G25" i="6"/>
  <c r="AD25" i="6" s="1"/>
  <c r="Y25" i="6" s="1"/>
  <c r="C25" i="6"/>
  <c r="EU24" i="6"/>
  <c r="EO24" i="6"/>
  <c r="FB24" i="6" s="1"/>
  <c r="EB24" i="6"/>
  <c r="EA24" i="6"/>
  <c r="BJ24" i="6"/>
  <c r="BA24" i="6"/>
  <c r="AJ24" i="6"/>
  <c r="AI24" i="6"/>
  <c r="AH24" i="6"/>
  <c r="AB24" i="6"/>
  <c r="W24" i="6"/>
  <c r="S24" i="6"/>
  <c r="J24" i="6"/>
  <c r="AG24" i="6" s="1"/>
  <c r="I24" i="6"/>
  <c r="AF24" i="6" s="1"/>
  <c r="AA24" i="6" s="1"/>
  <c r="H24" i="6"/>
  <c r="G24" i="6"/>
  <c r="AD24" i="6" s="1"/>
  <c r="Y24" i="6" s="1"/>
  <c r="C24" i="6"/>
  <c r="EU23" i="6"/>
  <c r="EO23" i="6"/>
  <c r="FB23" i="6" s="1"/>
  <c r="EB23" i="6"/>
  <c r="EA23" i="6"/>
  <c r="BJ23" i="6"/>
  <c r="BA23" i="6"/>
  <c r="AH23" i="6"/>
  <c r="W23" i="6"/>
  <c r="S23" i="6"/>
  <c r="AP23" i="6" s="1"/>
  <c r="M23" i="6"/>
  <c r="AJ23" i="6" s="1"/>
  <c r="L23" i="6"/>
  <c r="AI23" i="6" s="1"/>
  <c r="AB23" i="6" s="1"/>
  <c r="AC23" i="6" s="1"/>
  <c r="J23" i="6"/>
  <c r="AG23" i="6" s="1"/>
  <c r="I23" i="6"/>
  <c r="AF23" i="6" s="1"/>
  <c r="AA23" i="6" s="1"/>
  <c r="H23" i="6"/>
  <c r="AE23" i="6" s="1"/>
  <c r="G23" i="6"/>
  <c r="AD23" i="6" s="1"/>
  <c r="Y23" i="6" s="1"/>
  <c r="C23" i="6"/>
  <c r="EU22" i="6"/>
  <c r="EO22" i="6"/>
  <c r="FB22" i="6" s="1"/>
  <c r="EB22" i="6"/>
  <c r="EA22" i="6"/>
  <c r="BJ22" i="6"/>
  <c r="BA22" i="6"/>
  <c r="AJ22" i="6"/>
  <c r="AI22" i="6"/>
  <c r="AB22" i="6" s="1"/>
  <c r="AH22" i="6"/>
  <c r="W22" i="6"/>
  <c r="S22" i="6"/>
  <c r="AP22" i="6" s="1"/>
  <c r="J22" i="6"/>
  <c r="AG22" i="6" s="1"/>
  <c r="I22" i="6"/>
  <c r="AF22" i="6" s="1"/>
  <c r="AA22" i="6" s="1"/>
  <c r="H22" i="6"/>
  <c r="AE22" i="6" s="1"/>
  <c r="Z22" i="6" s="1"/>
  <c r="G22" i="6"/>
  <c r="C22" i="6"/>
  <c r="EU21" i="6"/>
  <c r="EO21" i="6"/>
  <c r="FB21" i="6" s="1"/>
  <c r="EB21" i="6"/>
  <c r="EA21" i="6"/>
  <c r="CQ21" i="6"/>
  <c r="CP21" i="6"/>
  <c r="CO21" i="6"/>
  <c r="CN21" i="6"/>
  <c r="CM21" i="6"/>
  <c r="CL21" i="6"/>
  <c r="CK21" i="6"/>
  <c r="CJ21" i="6"/>
  <c r="CI21" i="6"/>
  <c r="BJ21" i="6"/>
  <c r="BA21" i="6"/>
  <c r="AH21" i="6"/>
  <c r="W21" i="6"/>
  <c r="S21" i="6"/>
  <c r="AP21" i="6" s="1"/>
  <c r="M21" i="6"/>
  <c r="AJ21" i="6" s="1"/>
  <c r="L21" i="6"/>
  <c r="AI21" i="6" s="1"/>
  <c r="AB21" i="6" s="1"/>
  <c r="J21" i="6"/>
  <c r="AG21" i="6" s="1"/>
  <c r="I21" i="6"/>
  <c r="AF21" i="6" s="1"/>
  <c r="AA21" i="6" s="1"/>
  <c r="H21" i="6"/>
  <c r="AE21" i="6" s="1"/>
  <c r="Z21" i="6" s="1"/>
  <c r="G21" i="6"/>
  <c r="AD21" i="6" s="1"/>
  <c r="Y21" i="6" s="1"/>
  <c r="C21" i="6"/>
  <c r="EU20" i="6"/>
  <c r="EO20" i="6"/>
  <c r="FB20" i="6" s="1"/>
  <c r="EB20" i="6"/>
  <c r="EA20" i="6"/>
  <c r="CQ20" i="6"/>
  <c r="CP20" i="6"/>
  <c r="CO20" i="6"/>
  <c r="CN20" i="6"/>
  <c r="CM20" i="6"/>
  <c r="CL20" i="6"/>
  <c r="CK20" i="6"/>
  <c r="CJ20" i="6"/>
  <c r="CI20" i="6"/>
  <c r="BJ20" i="6"/>
  <c r="BA20" i="6"/>
  <c r="AJ20" i="6"/>
  <c r="AI20" i="6"/>
  <c r="AB20" i="6" s="1"/>
  <c r="AH20" i="6"/>
  <c r="W20" i="6"/>
  <c r="S20" i="6"/>
  <c r="AP20" i="6" s="1"/>
  <c r="J20" i="6"/>
  <c r="AG20" i="6" s="1"/>
  <c r="I20" i="6"/>
  <c r="AF20" i="6" s="1"/>
  <c r="AA20" i="6" s="1"/>
  <c r="H20" i="6"/>
  <c r="AE20" i="6" s="1"/>
  <c r="Z20" i="6" s="1"/>
  <c r="G20" i="6"/>
  <c r="AD20" i="6" s="1"/>
  <c r="C20" i="6"/>
  <c r="EU19" i="6"/>
  <c r="EO19" i="6"/>
  <c r="FB19" i="6" s="1"/>
  <c r="EB19" i="6"/>
  <c r="EA19" i="6"/>
  <c r="BJ19" i="6"/>
  <c r="BA19" i="6"/>
  <c r="AJ19" i="6"/>
  <c r="AI19" i="6"/>
  <c r="AB19" i="6" s="1"/>
  <c r="AH19" i="6"/>
  <c r="AA19" i="6"/>
  <c r="Z19" i="6"/>
  <c r="Y19" i="6"/>
  <c r="W19" i="6"/>
  <c r="S19" i="6"/>
  <c r="AP19" i="6" s="1"/>
  <c r="P19" i="6"/>
  <c r="CH19" i="6" s="1"/>
  <c r="C19" i="6"/>
  <c r="EU18" i="6"/>
  <c r="EB18" i="6"/>
  <c r="EA18" i="6"/>
  <c r="BJ18" i="6"/>
  <c r="BA18" i="6"/>
  <c r="FV18" i="6" s="1"/>
  <c r="AJ18" i="6"/>
  <c r="AI18" i="6"/>
  <c r="AB18" i="6" s="1"/>
  <c r="AH18" i="6"/>
  <c r="AA18" i="6"/>
  <c r="Z18" i="6"/>
  <c r="Y18" i="6"/>
  <c r="W18" i="6"/>
  <c r="S18" i="6"/>
  <c r="AP18" i="6" s="1"/>
  <c r="P18" i="6"/>
  <c r="CH18" i="6" s="1"/>
  <c r="C18" i="6"/>
  <c r="EO17" i="6"/>
  <c r="FB17" i="6" s="1"/>
  <c r="EL17" i="6"/>
  <c r="EK17" i="6"/>
  <c r="EB17" i="6"/>
  <c r="EA17" i="6"/>
  <c r="CH17" i="6"/>
  <c r="BJ17" i="6"/>
  <c r="AO17" i="6"/>
  <c r="AN17" i="6"/>
  <c r="AL17" i="6"/>
  <c r="AJ17" i="6"/>
  <c r="AI17" i="6"/>
  <c r="AB17" i="6" s="1"/>
  <c r="AH17" i="6"/>
  <c r="AA17" i="6"/>
  <c r="Z17" i="6"/>
  <c r="Y17" i="6"/>
  <c r="W17" i="6"/>
  <c r="S17" i="6"/>
  <c r="AP17" i="6" s="1"/>
  <c r="P17" i="6"/>
  <c r="C17" i="6"/>
  <c r="EO16" i="6"/>
  <c r="FB16" i="6" s="1"/>
  <c r="EB16" i="6"/>
  <c r="EA16" i="6"/>
  <c r="BJ16" i="6"/>
  <c r="BA16" i="6"/>
  <c r="AJ16" i="6"/>
  <c r="AI16" i="6"/>
  <c r="AB16" i="6" s="1"/>
  <c r="AH16" i="6"/>
  <c r="AA16" i="6"/>
  <c r="Z16" i="6"/>
  <c r="Y16" i="6"/>
  <c r="W16" i="6"/>
  <c r="S16" i="6"/>
  <c r="AP16" i="6" s="1"/>
  <c r="I16" i="6"/>
  <c r="H16" i="6"/>
  <c r="G16" i="6"/>
  <c r="AC94" i="6" l="1"/>
  <c r="AO160" i="6"/>
  <c r="FV160" i="6"/>
  <c r="AN163" i="6"/>
  <c r="FV163" i="6"/>
  <c r="AN164" i="6"/>
  <c r="FV164" i="6"/>
  <c r="EK165" i="6"/>
  <c r="EV165" i="6" s="1"/>
  <c r="FV165" i="6"/>
  <c r="EL192" i="6"/>
  <c r="EW192" i="6" s="1"/>
  <c r="FV192" i="6"/>
  <c r="AL197" i="6"/>
  <c r="FV197" i="6"/>
  <c r="AO202" i="6"/>
  <c r="FV202" i="6"/>
  <c r="AN207" i="6"/>
  <c r="FV207" i="6"/>
  <c r="AN222" i="6"/>
  <c r="FV222" i="6"/>
  <c r="EL232" i="6"/>
  <c r="EW232" i="6" s="1"/>
  <c r="FV232" i="6"/>
  <c r="AN242" i="6"/>
  <c r="FV242" i="6"/>
  <c r="AL249" i="6"/>
  <c r="FV249" i="6"/>
  <c r="AO251" i="6"/>
  <c r="FV251" i="6"/>
  <c r="AO254" i="6"/>
  <c r="FV254" i="6"/>
  <c r="EL262" i="6"/>
  <c r="FV262" i="6"/>
  <c r="AO269" i="6"/>
  <c r="FV269" i="6"/>
  <c r="AN272" i="6"/>
  <c r="FV272" i="6"/>
  <c r="EL275" i="6"/>
  <c r="FV275" i="6"/>
  <c r="AO303" i="6"/>
  <c r="FV303" i="6"/>
  <c r="AL131" i="6"/>
  <c r="FV131" i="6"/>
  <c r="EK16" i="6"/>
  <c r="EV16" i="6" s="1"/>
  <c r="FV16" i="6"/>
  <c r="AO24" i="6"/>
  <c r="FV24" i="6"/>
  <c r="AO25" i="6"/>
  <c r="FV25" i="6"/>
  <c r="AO26" i="6"/>
  <c r="FV26" i="6"/>
  <c r="AO47" i="6"/>
  <c r="FV47" i="6"/>
  <c r="AO67" i="6"/>
  <c r="FV67" i="6"/>
  <c r="AO72" i="6"/>
  <c r="FV72" i="6"/>
  <c r="AL89" i="6"/>
  <c r="FV89" i="6"/>
  <c r="AC98" i="6"/>
  <c r="AL104" i="6"/>
  <c r="FV104" i="6"/>
  <c r="EI119" i="6"/>
  <c r="FV119" i="6"/>
  <c r="EL120" i="6"/>
  <c r="FV120" i="6"/>
  <c r="EL122" i="6"/>
  <c r="FV122" i="6"/>
  <c r="AL127" i="6"/>
  <c r="AL134" i="6"/>
  <c r="FV134" i="6"/>
  <c r="AO168" i="6"/>
  <c r="FV168" i="6"/>
  <c r="AN180" i="6"/>
  <c r="AL184" i="6"/>
  <c r="FV184" i="6"/>
  <c r="AL185" i="6"/>
  <c r="FV185" i="6"/>
  <c r="EK196" i="6"/>
  <c r="EV196" i="6" s="1"/>
  <c r="FV196" i="6"/>
  <c r="AN227" i="6"/>
  <c r="FV227" i="6"/>
  <c r="EK237" i="6"/>
  <c r="EV237" i="6" s="1"/>
  <c r="FV237" i="6"/>
  <c r="AO277" i="6"/>
  <c r="FV277" i="6"/>
  <c r="AN304" i="6"/>
  <c r="FV304" i="6"/>
  <c r="AO51" i="6"/>
  <c r="FV51" i="6"/>
  <c r="AL58" i="6"/>
  <c r="FV58" i="6"/>
  <c r="AN64" i="6"/>
  <c r="FV64" i="6"/>
  <c r="AO68" i="6"/>
  <c r="FV68" i="6"/>
  <c r="AO96" i="6"/>
  <c r="FV96" i="6"/>
  <c r="AL111" i="6"/>
  <c r="FV111" i="6"/>
  <c r="EI115" i="6"/>
  <c r="FV115" i="6"/>
  <c r="AO125" i="6"/>
  <c r="FV125" i="6"/>
  <c r="AL150" i="6"/>
  <c r="FV150" i="6"/>
  <c r="AL152" i="6"/>
  <c r="FV152" i="6"/>
  <c r="AO155" i="6"/>
  <c r="FV155" i="6"/>
  <c r="EL161" i="6"/>
  <c r="EW161" i="6" s="1"/>
  <c r="FV161" i="6"/>
  <c r="EL186" i="6"/>
  <c r="EW186" i="6" s="1"/>
  <c r="FV186" i="6"/>
  <c r="EK203" i="6"/>
  <c r="EV203" i="6" s="1"/>
  <c r="FV203" i="6"/>
  <c r="AN205" i="6"/>
  <c r="FV205" i="6"/>
  <c r="AL223" i="6"/>
  <c r="FV223" i="6"/>
  <c r="AL233" i="6"/>
  <c r="FV233" i="6"/>
  <c r="AL252" i="6"/>
  <c r="FV252" i="6"/>
  <c r="AN255" i="6"/>
  <c r="FV255" i="6"/>
  <c r="EL261" i="6"/>
  <c r="FV261" i="6"/>
  <c r="AN266" i="6"/>
  <c r="FV266" i="6"/>
  <c r="AO273" i="6"/>
  <c r="FV273" i="6"/>
  <c r="AN292" i="6"/>
  <c r="FV292" i="6"/>
  <c r="EK301" i="6"/>
  <c r="EV301" i="6" s="1"/>
  <c r="FV301" i="6"/>
  <c r="AO305" i="6"/>
  <c r="FV305" i="6"/>
  <c r="AL77" i="6"/>
  <c r="FV77" i="6"/>
  <c r="AO107" i="6"/>
  <c r="FV107" i="6"/>
  <c r="AL29" i="6"/>
  <c r="FV29" i="6"/>
  <c r="AN48" i="6"/>
  <c r="FV48" i="6"/>
  <c r="AN69" i="6"/>
  <c r="FV69" i="6"/>
  <c r="AL78" i="6"/>
  <c r="FV78" i="6"/>
  <c r="AL92" i="6"/>
  <c r="FV92" i="6"/>
  <c r="AO101" i="6"/>
  <c r="FV101" i="6"/>
  <c r="AL108" i="6"/>
  <c r="FV108" i="6"/>
  <c r="AL141" i="6"/>
  <c r="FV141" i="6"/>
  <c r="AC154" i="6"/>
  <c r="EL157" i="6"/>
  <c r="EW157" i="6" s="1"/>
  <c r="FV157" i="6"/>
  <c r="AO162" i="6"/>
  <c r="FV162" i="6"/>
  <c r="AC163" i="6"/>
  <c r="AO166" i="6"/>
  <c r="FV166" i="6"/>
  <c r="EL169" i="6"/>
  <c r="EW169" i="6" s="1"/>
  <c r="FV169" i="6"/>
  <c r="AL172" i="6"/>
  <c r="FV172" i="6"/>
  <c r="AO175" i="6"/>
  <c r="FV175" i="6"/>
  <c r="EL190" i="6"/>
  <c r="EW190" i="6" s="1"/>
  <c r="FV190" i="6"/>
  <c r="AO224" i="6"/>
  <c r="FV224" i="6"/>
  <c r="AO228" i="6"/>
  <c r="FV228" i="6"/>
  <c r="AN234" i="6"/>
  <c r="FV234" i="6"/>
  <c r="AO241" i="6"/>
  <c r="FV241" i="6"/>
  <c r="EL260" i="6"/>
  <c r="FV260" i="6"/>
  <c r="AL267" i="6"/>
  <c r="FV267" i="6"/>
  <c r="AL286" i="6"/>
  <c r="FV286" i="6"/>
  <c r="AN306" i="6"/>
  <c r="FV306" i="6"/>
  <c r="AL41" i="6"/>
  <c r="FV41" i="6"/>
  <c r="AL55" i="6"/>
  <c r="FV55" i="6"/>
  <c r="AO123" i="6"/>
  <c r="FV123" i="6"/>
  <c r="AO19" i="6"/>
  <c r="FV19" i="6"/>
  <c r="AL32" i="6"/>
  <c r="FV32" i="6"/>
  <c r="AL54" i="6"/>
  <c r="FV54" i="6"/>
  <c r="AL90" i="6"/>
  <c r="FV90" i="6"/>
  <c r="AO97" i="6"/>
  <c r="FV97" i="6"/>
  <c r="AL105" i="6"/>
  <c r="FV105" i="6"/>
  <c r="AL112" i="6"/>
  <c r="FV112" i="6"/>
  <c r="AL139" i="6"/>
  <c r="FV139" i="6"/>
  <c r="EK156" i="6"/>
  <c r="EV156" i="6" s="1"/>
  <c r="FV156" i="6"/>
  <c r="AL176" i="6"/>
  <c r="FV176" i="6"/>
  <c r="EK187" i="6"/>
  <c r="EV187" i="6" s="1"/>
  <c r="FV187" i="6"/>
  <c r="EK199" i="6"/>
  <c r="EV199" i="6" s="1"/>
  <c r="FV199" i="6"/>
  <c r="AC208" i="6"/>
  <c r="AO238" i="6"/>
  <c r="FV238" i="6"/>
  <c r="AO245" i="6"/>
  <c r="FV245" i="6"/>
  <c r="AL253" i="6"/>
  <c r="FV253" i="6"/>
  <c r="EK269" i="6"/>
  <c r="EV269" i="6" s="1"/>
  <c r="AN276" i="6"/>
  <c r="FV276" i="6"/>
  <c r="AN298" i="6"/>
  <c r="FV298" i="6"/>
  <c r="AO20" i="6"/>
  <c r="FV20" i="6"/>
  <c r="AO31" i="6"/>
  <c r="FV31" i="6"/>
  <c r="AO62" i="6"/>
  <c r="FV62" i="6"/>
  <c r="AN65" i="6"/>
  <c r="FV65" i="6"/>
  <c r="AO93" i="6"/>
  <c r="FV93" i="6"/>
  <c r="EL118" i="6"/>
  <c r="FV118" i="6"/>
  <c r="EI120" i="6"/>
  <c r="AL128" i="6"/>
  <c r="FV128" i="6"/>
  <c r="EL158" i="6"/>
  <c r="EW158" i="6" s="1"/>
  <c r="FV158" i="6"/>
  <c r="EK170" i="6"/>
  <c r="EV170" i="6" s="1"/>
  <c r="FV170" i="6"/>
  <c r="AO173" i="6"/>
  <c r="FV173" i="6"/>
  <c r="AO188" i="6"/>
  <c r="FV188" i="6"/>
  <c r="EK194" i="6"/>
  <c r="EV194" i="6" s="1"/>
  <c r="FV194" i="6"/>
  <c r="AN198" i="6"/>
  <c r="FV198" i="6"/>
  <c r="EK206" i="6"/>
  <c r="EV206" i="6" s="1"/>
  <c r="FV206" i="6"/>
  <c r="AN211" i="6"/>
  <c r="FV211" i="6"/>
  <c r="AO212" i="6"/>
  <c r="FV212" i="6"/>
  <c r="AO218" i="6"/>
  <c r="FV218" i="6"/>
  <c r="AN225" i="6"/>
  <c r="FV225" i="6"/>
  <c r="AO239" i="6"/>
  <c r="FV239" i="6"/>
  <c r="EL244" i="6"/>
  <c r="EW244" i="6" s="1"/>
  <c r="FV244" i="6"/>
  <c r="AO268" i="6"/>
  <c r="FV268" i="6"/>
  <c r="AO278" i="6"/>
  <c r="FV278" i="6"/>
  <c r="AN284" i="6"/>
  <c r="FV284" i="6"/>
  <c r="EK302" i="6"/>
  <c r="EV302" i="6" s="1"/>
  <c r="FV302" i="6"/>
  <c r="EL309" i="6"/>
  <c r="FV309" i="6"/>
  <c r="AN27" i="6"/>
  <c r="FV27" i="6"/>
  <c r="AN21" i="6"/>
  <c r="FV21" i="6"/>
  <c r="AO30" i="6"/>
  <c r="FV30" i="6"/>
  <c r="AN45" i="6"/>
  <c r="FV45" i="6"/>
  <c r="AL50" i="6"/>
  <c r="FV50" i="6"/>
  <c r="AO70" i="6"/>
  <c r="FV70" i="6"/>
  <c r="AO82" i="6"/>
  <c r="FV82" i="6"/>
  <c r="AL88" i="6"/>
  <c r="FV88" i="6"/>
  <c r="AO98" i="6"/>
  <c r="FV98" i="6"/>
  <c r="AL103" i="6"/>
  <c r="FV103" i="6"/>
  <c r="AO106" i="6"/>
  <c r="AO113" i="6"/>
  <c r="FV113" i="6"/>
  <c r="EL117" i="6"/>
  <c r="FV117" i="6"/>
  <c r="AL133" i="6"/>
  <c r="FV133" i="6"/>
  <c r="AO177" i="6"/>
  <c r="FV177" i="6"/>
  <c r="AO200" i="6"/>
  <c r="FV200" i="6"/>
  <c r="AL208" i="6"/>
  <c r="FV208" i="6"/>
  <c r="AN209" i="6"/>
  <c r="FV209" i="6"/>
  <c r="EK221" i="6"/>
  <c r="EV221" i="6" s="1"/>
  <c r="FV221" i="6"/>
  <c r="AC222" i="6"/>
  <c r="AO243" i="6"/>
  <c r="FV243" i="6"/>
  <c r="AN247" i="6"/>
  <c r="FV247" i="6"/>
  <c r="EI261" i="6"/>
  <c r="AO271" i="6"/>
  <c r="FV271" i="6"/>
  <c r="EI280" i="6"/>
  <c r="FV280" i="6"/>
  <c r="EI281" i="6"/>
  <c r="FV281" i="6"/>
  <c r="EL282" i="6"/>
  <c r="FV282" i="6"/>
  <c r="AO299" i="6"/>
  <c r="FV299" i="6"/>
  <c r="AN46" i="6"/>
  <c r="FV46" i="6"/>
  <c r="AO22" i="6"/>
  <c r="FV22" i="6"/>
  <c r="AN23" i="6"/>
  <c r="FV23" i="6"/>
  <c r="AO28" i="6"/>
  <c r="AL57" i="6"/>
  <c r="FV57" i="6"/>
  <c r="AL63" i="6"/>
  <c r="FV63" i="6"/>
  <c r="AO66" i="6"/>
  <c r="FV66" i="6"/>
  <c r="AL71" i="6"/>
  <c r="FV71" i="6"/>
  <c r="AN83" i="6"/>
  <c r="FV83" i="6"/>
  <c r="AO95" i="6"/>
  <c r="FV95" i="6"/>
  <c r="AO110" i="6"/>
  <c r="FV110" i="6"/>
  <c r="AO116" i="6"/>
  <c r="FV116" i="6"/>
  <c r="AL120" i="6"/>
  <c r="EI121" i="6"/>
  <c r="FV121" i="6"/>
  <c r="AN145" i="6"/>
  <c r="FV145" i="6"/>
  <c r="AL148" i="6"/>
  <c r="FV148" i="6"/>
  <c r="EL159" i="6"/>
  <c r="EW159" i="6" s="1"/>
  <c r="FV159" i="6"/>
  <c r="EK166" i="6"/>
  <c r="EV166" i="6" s="1"/>
  <c r="EL167" i="6"/>
  <c r="EW167" i="6" s="1"/>
  <c r="FV167" i="6"/>
  <c r="EL171" i="6"/>
  <c r="EW171" i="6" s="1"/>
  <c r="FV171" i="6"/>
  <c r="AL174" i="6"/>
  <c r="FV174" i="6"/>
  <c r="EL178" i="6"/>
  <c r="EW178" i="6" s="1"/>
  <c r="FV178" i="6"/>
  <c r="AN182" i="6"/>
  <c r="FV182" i="6"/>
  <c r="EK183" i="6"/>
  <c r="EV183" i="6" s="1"/>
  <c r="FV183" i="6"/>
  <c r="AO204" i="6"/>
  <c r="FV204" i="6"/>
  <c r="AN220" i="6"/>
  <c r="FV220" i="6"/>
  <c r="AN226" i="6"/>
  <c r="FV226" i="6"/>
  <c r="AC227" i="6"/>
  <c r="AL231" i="6"/>
  <c r="FV231" i="6"/>
  <c r="AO240" i="6"/>
  <c r="AO248" i="6"/>
  <c r="FV248" i="6"/>
  <c r="EL259" i="6"/>
  <c r="FV259" i="6"/>
  <c r="AN264" i="6"/>
  <c r="FV264" i="6"/>
  <c r="AO287" i="6"/>
  <c r="FV287" i="6"/>
  <c r="AO291" i="6"/>
  <c r="FV291" i="6"/>
  <c r="AO293" i="6"/>
  <c r="FV293" i="6"/>
  <c r="AN295" i="6"/>
  <c r="FV295" i="6"/>
  <c r="AC185" i="6"/>
  <c r="EL269" i="6"/>
  <c r="EW269" i="6" s="1"/>
  <c r="AC63" i="6"/>
  <c r="AO120" i="6"/>
  <c r="AL298" i="6"/>
  <c r="EL194" i="6"/>
  <c r="EW194" i="6" s="1"/>
  <c r="AO117" i="6"/>
  <c r="AC174" i="6"/>
  <c r="AO237" i="6"/>
  <c r="AN261" i="6"/>
  <c r="AN286" i="6"/>
  <c r="EW17" i="6"/>
  <c r="AL30" i="6"/>
  <c r="AL51" i="6"/>
  <c r="AO118" i="6"/>
  <c r="AL170" i="6"/>
  <c r="AL188" i="6"/>
  <c r="AO225" i="6"/>
  <c r="AO261" i="6"/>
  <c r="AO286" i="6"/>
  <c r="AC50" i="6"/>
  <c r="AA111" i="6"/>
  <c r="AC111" i="6" s="1"/>
  <c r="AC117" i="6"/>
  <c r="AO199" i="6"/>
  <c r="AO249" i="6"/>
  <c r="AL254" i="6"/>
  <c r="AC265" i="6"/>
  <c r="AC24" i="6"/>
  <c r="AL93" i="6"/>
  <c r="AO171" i="6"/>
  <c r="EI174" i="6"/>
  <c r="AC187" i="6"/>
  <c r="AC285" i="6"/>
  <c r="AC304" i="6"/>
  <c r="AC308" i="6"/>
  <c r="Z71" i="6"/>
  <c r="AN71" i="6"/>
  <c r="AN98" i="6"/>
  <c r="AN108" i="6"/>
  <c r="AN157" i="6"/>
  <c r="AN194" i="6"/>
  <c r="AN241" i="6"/>
  <c r="AC250" i="6"/>
  <c r="AL303" i="6"/>
  <c r="Z174" i="6"/>
  <c r="AL224" i="6"/>
  <c r="P258" i="6"/>
  <c r="CH258" i="6" s="1"/>
  <c r="AN275" i="6"/>
  <c r="EL302" i="6"/>
  <c r="EW302" i="6" s="1"/>
  <c r="AN224" i="6"/>
  <c r="AC272" i="6"/>
  <c r="AA67" i="6"/>
  <c r="AC67" i="6" s="1"/>
  <c r="AL116" i="6"/>
  <c r="AA170" i="6"/>
  <c r="AC170" i="6" s="1"/>
  <c r="BD174" i="6"/>
  <c r="AO45" i="6"/>
  <c r="AN67" i="6"/>
  <c r="AB70" i="6"/>
  <c r="AL70" i="6"/>
  <c r="BC94" i="6"/>
  <c r="AC108" i="6"/>
  <c r="AO112" i="6"/>
  <c r="AN116" i="6"/>
  <c r="AC255" i="6"/>
  <c r="AN302" i="6"/>
  <c r="AO50" i="6"/>
  <c r="AC51" i="6"/>
  <c r="AL65" i="6"/>
  <c r="AC167" i="6"/>
  <c r="EL196" i="6"/>
  <c r="AN231" i="6"/>
  <c r="AO252" i="6"/>
  <c r="AC267" i="6"/>
  <c r="BG184" i="6"/>
  <c r="BF184" i="6"/>
  <c r="AC16" i="6"/>
  <c r="BD68" i="6"/>
  <c r="AC120" i="6"/>
  <c r="AC160" i="6"/>
  <c r="AL163" i="6"/>
  <c r="AO170" i="6"/>
  <c r="EL183" i="6"/>
  <c r="EW183" i="6" s="1"/>
  <c r="EL187" i="6"/>
  <c r="EW187" i="6" s="1"/>
  <c r="AN188" i="6"/>
  <c r="AL211" i="6"/>
  <c r="AC236" i="6"/>
  <c r="AL239" i="6"/>
  <c r="AL247" i="6"/>
  <c r="AC270" i="6"/>
  <c r="AL273" i="6"/>
  <c r="AC298" i="6"/>
  <c r="AC17" i="6"/>
  <c r="AL21" i="6"/>
  <c r="AN62" i="6"/>
  <c r="AL72" i="6"/>
  <c r="AC144" i="6"/>
  <c r="AC156" i="6"/>
  <c r="AO163" i="6"/>
  <c r="AL183" i="6"/>
  <c r="AN200" i="6"/>
  <c r="AN218" i="6"/>
  <c r="AN239" i="6"/>
  <c r="AO247" i="6"/>
  <c r="AD258" i="6"/>
  <c r="Y258" i="6" s="1"/>
  <c r="EI260" i="6"/>
  <c r="AN262" i="6"/>
  <c r="AN273" i="6"/>
  <c r="AL278" i="6"/>
  <c r="AN291" i="6"/>
  <c r="AN50" i="6"/>
  <c r="AL69" i="6"/>
  <c r="AC115" i="6"/>
  <c r="AL169" i="6"/>
  <c r="AN183" i="6"/>
  <c r="AL187" i="6"/>
  <c r="AF190" i="6"/>
  <c r="AA190" i="6" s="1"/>
  <c r="AC190" i="6" s="1"/>
  <c r="AN223" i="6"/>
  <c r="AC249" i="6"/>
  <c r="AC252" i="6"/>
  <c r="AL260" i="6"/>
  <c r="AC274" i="6"/>
  <c r="EI275" i="6"/>
  <c r="AC278" i="6"/>
  <c r="AN278" i="6"/>
  <c r="AC309" i="6"/>
  <c r="AC95" i="6"/>
  <c r="AC119" i="6"/>
  <c r="EW166" i="6"/>
  <c r="EL203" i="6"/>
  <c r="EW203" i="6" s="1"/>
  <c r="AF209" i="6"/>
  <c r="AA209" i="6" s="1"/>
  <c r="AL238" i="6"/>
  <c r="AL277" i="6"/>
  <c r="AC307" i="6"/>
  <c r="AC19" i="6"/>
  <c r="AC47" i="6"/>
  <c r="AC112" i="6"/>
  <c r="AC122" i="6"/>
  <c r="AL164" i="6"/>
  <c r="AC172" i="6"/>
  <c r="EL173" i="6"/>
  <c r="EW173" i="6" s="1"/>
  <c r="AC184" i="6"/>
  <c r="AL203" i="6"/>
  <c r="AL222" i="6"/>
  <c r="AL228" i="6"/>
  <c r="AN238" i="6"/>
  <c r="AO275" i="6"/>
  <c r="AA284" i="6"/>
  <c r="AL293" i="6"/>
  <c r="AL299" i="6"/>
  <c r="AL309" i="6"/>
  <c r="L32" i="6"/>
  <c r="AI32" i="6" s="1"/>
  <c r="AB32" i="6" s="1"/>
  <c r="AC32" i="6" s="1"/>
  <c r="BF45" i="6"/>
  <c r="AC49" i="6"/>
  <c r="AL66" i="6"/>
  <c r="AC124" i="6"/>
  <c r="AC155" i="6"/>
  <c r="AC158" i="6"/>
  <c r="AO164" i="6"/>
  <c r="AC176" i="6"/>
  <c r="AN203" i="6"/>
  <c r="J208" i="6"/>
  <c r="AG208" i="6" s="1"/>
  <c r="AO222" i="6"/>
  <c r="AN228" i="6"/>
  <c r="AN233" i="6"/>
  <c r="AN293" i="6"/>
  <c r="AN299" i="6"/>
  <c r="AC18" i="6"/>
  <c r="M32" i="6"/>
  <c r="AJ32" i="6" s="1"/>
  <c r="AN63" i="6"/>
  <c r="AN66" i="6"/>
  <c r="BC71" i="6"/>
  <c r="AA82" i="6"/>
  <c r="AC82" i="6" s="1"/>
  <c r="AC83" i="6"/>
  <c r="AA106" i="6"/>
  <c r="AC106" i="6" s="1"/>
  <c r="AC107" i="6"/>
  <c r="AN112" i="6"/>
  <c r="AO203" i="6"/>
  <c r="AC223" i="6"/>
  <c r="AC230" i="6"/>
  <c r="AO231" i="6"/>
  <c r="AC248" i="6"/>
  <c r="P276" i="6"/>
  <c r="CH276" i="6" s="1"/>
  <c r="DL284" i="6"/>
  <c r="L27" i="6"/>
  <c r="AI27" i="6" s="1"/>
  <c r="AB27" i="6" s="1"/>
  <c r="AF27" i="6"/>
  <c r="AA27" i="6" s="1"/>
  <c r="AC27" i="6" s="1"/>
  <c r="P16" i="6"/>
  <c r="CH16" i="6" s="1"/>
  <c r="EL16" i="6"/>
  <c r="EW16" i="6" s="1"/>
  <c r="P20" i="6"/>
  <c r="CH20" i="6" s="1"/>
  <c r="AD22" i="6"/>
  <c r="Y22" i="6" s="1"/>
  <c r="P22" i="6"/>
  <c r="CH22" i="6" s="1"/>
  <c r="AO16" i="6"/>
  <c r="AN20" i="6"/>
  <c r="P24" i="6"/>
  <c r="CH24" i="6" s="1"/>
  <c r="AE24" i="6"/>
  <c r="Z24" i="6" s="1"/>
  <c r="EV17" i="6"/>
  <c r="AL18" i="6"/>
  <c r="AO27" i="6"/>
  <c r="AL45" i="6"/>
  <c r="AB46" i="6"/>
  <c r="AC46" i="6" s="1"/>
  <c r="AA71" i="6"/>
  <c r="AC71" i="6" s="1"/>
  <c r="AA68" i="6"/>
  <c r="AC85" i="6"/>
  <c r="P23" i="6"/>
  <c r="CH23" i="6" s="1"/>
  <c r="AC64" i="6"/>
  <c r="AL83" i="6"/>
  <c r="AO84" i="6"/>
  <c r="AL84" i="6"/>
  <c r="AL24" i="6"/>
  <c r="AC25" i="6"/>
  <c r="AF28" i="6"/>
  <c r="AA28" i="6" s="1"/>
  <c r="AN30" i="6"/>
  <c r="AC69" i="6"/>
  <c r="AN22" i="6"/>
  <c r="AN24" i="6"/>
  <c r="AL27" i="6"/>
  <c r="AG31" i="6"/>
  <c r="AC48" i="6"/>
  <c r="BC82" i="6"/>
  <c r="BD82" i="6"/>
  <c r="AC45" i="6"/>
  <c r="AC72" i="6"/>
  <c r="AC113" i="6"/>
  <c r="EI116" i="6"/>
  <c r="EL121" i="6"/>
  <c r="BF123" i="6"/>
  <c r="AC125" i="6"/>
  <c r="BF94" i="6"/>
  <c r="AC97" i="6"/>
  <c r="BC106" i="6"/>
  <c r="AC109" i="6"/>
  <c r="EL116" i="6"/>
  <c r="AL119" i="6"/>
  <c r="AC121" i="6"/>
  <c r="AL123" i="6"/>
  <c r="Z94" i="6"/>
  <c r="Z106" i="6"/>
  <c r="AA116" i="6"/>
  <c r="AC116" i="6" s="1"/>
  <c r="AN123" i="6"/>
  <c r="AC123" i="6"/>
  <c r="AN125" i="6"/>
  <c r="AL144" i="6"/>
  <c r="AL109" i="6"/>
  <c r="AL115" i="6"/>
  <c r="AO122" i="6"/>
  <c r="AO147" i="6"/>
  <c r="AN147" i="6"/>
  <c r="AO109" i="6"/>
  <c r="AO121" i="6"/>
  <c r="AC164" i="6"/>
  <c r="EK178" i="6"/>
  <c r="EV178" i="6" s="1"/>
  <c r="AL201" i="6"/>
  <c r="AO201" i="6"/>
  <c r="AN201" i="6"/>
  <c r="AN155" i="6"/>
  <c r="AC159" i="6"/>
  <c r="EK159" i="6"/>
  <c r="EV159" i="6" s="1"/>
  <c r="AC169" i="6"/>
  <c r="EK171" i="6"/>
  <c r="EV171" i="6" s="1"/>
  <c r="EK157" i="6"/>
  <c r="EV157" i="6" s="1"/>
  <c r="AL159" i="6"/>
  <c r="AL160" i="6"/>
  <c r="AL161" i="6"/>
  <c r="AL167" i="6"/>
  <c r="AC179" i="6"/>
  <c r="AO185" i="6"/>
  <c r="AN185" i="6"/>
  <c r="AC192" i="6"/>
  <c r="AL156" i="6"/>
  <c r="AN159" i="6"/>
  <c r="AN161" i="6"/>
  <c r="AN167" i="6"/>
  <c r="AC180" i="6"/>
  <c r="AL181" i="6"/>
  <c r="AC186" i="6"/>
  <c r="BF201" i="6"/>
  <c r="BG201" i="6"/>
  <c r="AO159" i="6"/>
  <c r="AO161" i="6"/>
  <c r="AO167" i="6"/>
  <c r="EL170" i="6"/>
  <c r="EW170" i="6" s="1"/>
  <c r="EK173" i="6"/>
  <c r="EV173" i="6" s="1"/>
  <c r="AN193" i="6"/>
  <c r="AN181" i="6"/>
  <c r="AO189" i="6"/>
  <c r="AN189" i="6"/>
  <c r="EK189" i="6"/>
  <c r="EV189" i="6" s="1"/>
  <c r="EK160" i="6"/>
  <c r="EV160" i="6" s="1"/>
  <c r="EK161" i="6"/>
  <c r="EV161" i="6" s="1"/>
  <c r="EK167" i="6"/>
  <c r="EV167" i="6" s="1"/>
  <c r="BF179" i="6"/>
  <c r="AC181" i="6"/>
  <c r="AC188" i="6"/>
  <c r="AO157" i="6"/>
  <c r="EL160" i="6"/>
  <c r="EW160" i="6" s="1"/>
  <c r="AC161" i="6"/>
  <c r="EL165" i="6"/>
  <c r="EW165" i="6" s="1"/>
  <c r="AC200" i="6"/>
  <c r="AN206" i="6"/>
  <c r="AN208" i="6"/>
  <c r="AO208" i="6"/>
  <c r="AN229" i="6"/>
  <c r="AC235" i="6"/>
  <c r="AO229" i="6"/>
  <c r="AO182" i="6"/>
  <c r="AN187" i="6"/>
  <c r="AC191" i="6"/>
  <c r="EL199" i="6"/>
  <c r="EW199" i="6" s="1"/>
  <c r="AC209" i="6"/>
  <c r="AN230" i="6"/>
  <c r="EL230" i="6"/>
  <c r="EW230" i="6" s="1"/>
  <c r="AL232" i="6"/>
  <c r="AN240" i="6"/>
  <c r="AL240" i="6"/>
  <c r="EL240" i="6"/>
  <c r="EW240" i="6" s="1"/>
  <c r="EK240" i="6"/>
  <c r="EV240" i="6" s="1"/>
  <c r="EK244" i="6"/>
  <c r="EV244" i="6" s="1"/>
  <c r="AO244" i="6"/>
  <c r="AN244" i="6"/>
  <c r="EK246" i="6"/>
  <c r="EV246" i="6" s="1"/>
  <c r="EL246" i="6"/>
  <c r="EW246" i="6" s="1"/>
  <c r="AN250" i="6"/>
  <c r="AO187" i="6"/>
  <c r="AC193" i="6"/>
  <c r="AO227" i="6"/>
  <c r="AL227" i="6"/>
  <c r="AO232" i="6"/>
  <c r="AN232" i="6"/>
  <c r="EK232" i="6"/>
  <c r="EV232" i="6" s="1"/>
  <c r="BM200" i="6"/>
  <c r="AL209" i="6"/>
  <c r="AL194" i="6"/>
  <c r="AN199" i="6"/>
  <c r="AC202" i="6"/>
  <c r="AF211" i="6"/>
  <c r="AA211" i="6" s="1"/>
  <c r="AC211" i="6" s="1"/>
  <c r="AL212" i="6"/>
  <c r="AN237" i="6"/>
  <c r="AL237" i="6"/>
  <c r="EL237" i="6"/>
  <c r="EW237" i="6" s="1"/>
  <c r="L257" i="6"/>
  <c r="AI257" i="6" s="1"/>
  <c r="AB257" i="6" s="1"/>
  <c r="AC257" i="6" s="1"/>
  <c r="AF257" i="6"/>
  <c r="AA257" i="6" s="1"/>
  <c r="P257" i="6"/>
  <c r="CH257" i="6" s="1"/>
  <c r="AN257" i="6"/>
  <c r="AC201" i="6"/>
  <c r="AO235" i="6"/>
  <c r="AN235" i="6"/>
  <c r="AN245" i="6"/>
  <c r="EL245" i="6"/>
  <c r="EW245" i="6" s="1"/>
  <c r="EK245" i="6"/>
  <c r="EV245" i="6" s="1"/>
  <c r="AN221" i="6"/>
  <c r="AO223" i="6"/>
  <c r="AL234" i="6"/>
  <c r="AC237" i="6"/>
  <c r="AC240" i="6"/>
  <c r="AN254" i="6"/>
  <c r="AC229" i="6"/>
  <c r="AO233" i="6"/>
  <c r="AO234" i="6"/>
  <c r="AN243" i="6"/>
  <c r="AO253" i="6"/>
  <c r="AC286" i="6"/>
  <c r="AN256" i="6"/>
  <c r="AC239" i="6"/>
  <c r="Z276" i="6"/>
  <c r="EL221" i="6"/>
  <c r="EW221" i="6" s="1"/>
  <c r="AC224" i="6"/>
  <c r="AC226" i="6"/>
  <c r="AC232" i="6"/>
  <c r="EL233" i="6"/>
  <c r="EW233" i="6" s="1"/>
  <c r="AN236" i="6"/>
  <c r="AC241" i="6"/>
  <c r="AC247" i="6"/>
  <c r="P278" i="6"/>
  <c r="CH278" i="6" s="1"/>
  <c r="AC287" i="6"/>
  <c r="AC261" i="6"/>
  <c r="AC262" i="6"/>
  <c r="EL301" i="6"/>
  <c r="EW301" i="6" s="1"/>
  <c r="AC303" i="6"/>
  <c r="AL304" i="6"/>
  <c r="EH309" i="6"/>
  <c r="ES309" i="6" s="1"/>
  <c r="AN259" i="6"/>
  <c r="AO260" i="6"/>
  <c r="AN271" i="6"/>
  <c r="AL292" i="6"/>
  <c r="AO263" i="6"/>
  <c r="AN281" i="6"/>
  <c r="AC300" i="6"/>
  <c r="AA307" i="6"/>
  <c r="AL308" i="6"/>
  <c r="AC268" i="6"/>
  <c r="AO281" i="6"/>
  <c r="AL291" i="6"/>
  <c r="EL281" i="6"/>
  <c r="AL270" i="6"/>
  <c r="AC275" i="6"/>
  <c r="EI282" i="6"/>
  <c r="AN300" i="6"/>
  <c r="AN258" i="6"/>
  <c r="AC259" i="6"/>
  <c r="EI262" i="6"/>
  <c r="AC264" i="6"/>
  <c r="AL268" i="6"/>
  <c r="AN270" i="6"/>
  <c r="AL275" i="6"/>
  <c r="AO300" i="6"/>
  <c r="AN303" i="6"/>
  <c r="AO306" i="6"/>
  <c r="EQ309" i="6"/>
  <c r="DL287" i="6"/>
  <c r="DL286" i="6"/>
  <c r="DL285" i="6"/>
  <c r="AC22" i="6"/>
  <c r="BG22" i="6"/>
  <c r="BF22" i="6"/>
  <c r="BF25" i="6"/>
  <c r="BG25" i="6"/>
  <c r="AC20" i="6"/>
  <c r="BG20" i="6"/>
  <c r="BF20" i="6"/>
  <c r="AC21" i="6"/>
  <c r="BM21" i="6"/>
  <c r="BL21" i="6"/>
  <c r="Z23" i="6"/>
  <c r="BG24" i="6"/>
  <c r="BF24" i="6"/>
  <c r="AO21" i="6"/>
  <c r="AD26" i="6"/>
  <c r="P26" i="6"/>
  <c r="CH26" i="6" s="1"/>
  <c r="AC26" i="6"/>
  <c r="AC28" i="6"/>
  <c r="AO29" i="6"/>
  <c r="Y20" i="6"/>
  <c r="AN31" i="6"/>
  <c r="AL31" i="6"/>
  <c r="AN18" i="6"/>
  <c r="AP24" i="6"/>
  <c r="AP30" i="6"/>
  <c r="AL16" i="6"/>
  <c r="AO18" i="6"/>
  <c r="AL19" i="6"/>
  <c r="AL25" i="6"/>
  <c r="AP26" i="6"/>
  <c r="AD28" i="6"/>
  <c r="AP28" i="6"/>
  <c r="AN16" i="6"/>
  <c r="AN19" i="6"/>
  <c r="AN25" i="6"/>
  <c r="AL26" i="6"/>
  <c r="AN26" i="6"/>
  <c r="M27" i="6"/>
  <c r="AJ27" i="6" s="1"/>
  <c r="AL20" i="6"/>
  <c r="AL22" i="6"/>
  <c r="AL23" i="6"/>
  <c r="P25" i="6"/>
  <c r="CH25" i="6" s="1"/>
  <c r="AE31" i="6"/>
  <c r="M28" i="6"/>
  <c r="AJ28" i="6" s="1"/>
  <c r="AG28" i="6"/>
  <c r="L31" i="6"/>
  <c r="AI31" i="6" s="1"/>
  <c r="AB31" i="6" s="1"/>
  <c r="AF31" i="6"/>
  <c r="AA31" i="6" s="1"/>
  <c r="AC31" i="6" s="1"/>
  <c r="P21" i="6"/>
  <c r="CH21" i="6" s="1"/>
  <c r="AO23" i="6"/>
  <c r="AN29" i="6"/>
  <c r="AN28" i="6"/>
  <c r="AL43" i="6"/>
  <c r="AO46" i="6"/>
  <c r="AL47" i="6"/>
  <c r="AO48" i="6"/>
  <c r="AO49" i="6"/>
  <c r="AL56" i="6"/>
  <c r="AL60" i="6"/>
  <c r="Y63" i="6"/>
  <c r="AO65" i="6"/>
  <c r="AP66" i="6"/>
  <c r="AC68" i="6"/>
  <c r="AC70" i="6"/>
  <c r="AN47" i="6"/>
  <c r="AN51" i="6"/>
  <c r="AP56" i="6"/>
  <c r="AP60" i="6"/>
  <c r="AL61" i="6"/>
  <c r="P32" i="6"/>
  <c r="CH32" i="6" s="1"/>
  <c r="AN32" i="6"/>
  <c r="AL44" i="6"/>
  <c r="AL46" i="6"/>
  <c r="AL48" i="6"/>
  <c r="AL49" i="6"/>
  <c r="AL53" i="6"/>
  <c r="AL59" i="6"/>
  <c r="AC62" i="6"/>
  <c r="AO63" i="6"/>
  <c r="AL28" i="6"/>
  <c r="AO32" i="6"/>
  <c r="AN49" i="6"/>
  <c r="BC66" i="6"/>
  <c r="Z66" i="6"/>
  <c r="AC66" i="6"/>
  <c r="AP70" i="6"/>
  <c r="AL64" i="6"/>
  <c r="AN68" i="6"/>
  <c r="AN82" i="6"/>
  <c r="Z84" i="6"/>
  <c r="BC84" i="6"/>
  <c r="Z93" i="6"/>
  <c r="BC93" i="6"/>
  <c r="AL98" i="6"/>
  <c r="AN100" i="6"/>
  <c r="AL79" i="6"/>
  <c r="AA84" i="6"/>
  <c r="AC84" i="6" s="1"/>
  <c r="AL85" i="6"/>
  <c r="AA93" i="6"/>
  <c r="AC93" i="6" s="1"/>
  <c r="AL94" i="6"/>
  <c r="AN99" i="6"/>
  <c r="AO100" i="6"/>
  <c r="AN85" i="6"/>
  <c r="AN94" i="6"/>
  <c r="AN95" i="6"/>
  <c r="AO85" i="6"/>
  <c r="AO94" i="6"/>
  <c r="AL97" i="6"/>
  <c r="AL62" i="6"/>
  <c r="Z68" i="6"/>
  <c r="AN70" i="6"/>
  <c r="AN72" i="6"/>
  <c r="Z82" i="6"/>
  <c r="AN84" i="6"/>
  <c r="AN93" i="6"/>
  <c r="AL96" i="6"/>
  <c r="AP88" i="6"/>
  <c r="AP93" i="6"/>
  <c r="AN97" i="6"/>
  <c r="AL68" i="6"/>
  <c r="AO69" i="6"/>
  <c r="AO71" i="6"/>
  <c r="AL82" i="6"/>
  <c r="AO83" i="6"/>
  <c r="AL91" i="6"/>
  <c r="AL95" i="6"/>
  <c r="AO99" i="6"/>
  <c r="AN107" i="6"/>
  <c r="AN110" i="6"/>
  <c r="AL110" i="6"/>
  <c r="AC114" i="6"/>
  <c r="AN106" i="6"/>
  <c r="BC118" i="6"/>
  <c r="Z118" i="6"/>
  <c r="BD118" i="6"/>
  <c r="Z121" i="6"/>
  <c r="AC110" i="6"/>
  <c r="AN101" i="6"/>
  <c r="Z113" i="6"/>
  <c r="AN113" i="6"/>
  <c r="AL113" i="6"/>
  <c r="AN109" i="6"/>
  <c r="AP112" i="6"/>
  <c r="AO114" i="6"/>
  <c r="AN114" i="6"/>
  <c r="AL114" i="6"/>
  <c r="AL107" i="6"/>
  <c r="Z108" i="6"/>
  <c r="AN111" i="6"/>
  <c r="AO111" i="6"/>
  <c r="AO115" i="6"/>
  <c r="AA118" i="6"/>
  <c r="AC118" i="6" s="1"/>
  <c r="AO119" i="6"/>
  <c r="AL142" i="6"/>
  <c r="AC147" i="6"/>
  <c r="AP149" i="6"/>
  <c r="AP151" i="6"/>
  <c r="DL159" i="6"/>
  <c r="O915" i="17" s="1"/>
  <c r="EL115" i="6"/>
  <c r="EI118" i="6"/>
  <c r="EL119" i="6"/>
  <c r="AL124" i="6"/>
  <c r="AL126" i="6"/>
  <c r="AL130" i="6"/>
  <c r="AL132" i="6"/>
  <c r="AL135" i="6"/>
  <c r="AC145" i="6"/>
  <c r="AL118" i="6"/>
  <c r="AL121" i="6"/>
  <c r="AL122" i="6"/>
  <c r="EI122" i="6"/>
  <c r="AN124" i="6"/>
  <c r="AL137" i="6"/>
  <c r="AP141" i="6"/>
  <c r="AN118" i="6"/>
  <c r="AN121" i="6"/>
  <c r="AN122" i="6"/>
  <c r="AO124" i="6"/>
  <c r="AL125" i="6"/>
  <c r="AL129" i="6"/>
  <c r="AL136" i="6"/>
  <c r="AO144" i="6"/>
  <c r="AN144" i="6"/>
  <c r="AP137" i="6"/>
  <c r="AP153" i="6"/>
  <c r="BF124" i="6"/>
  <c r="AP125" i="6"/>
  <c r="AP129" i="6"/>
  <c r="AP136" i="6"/>
  <c r="EL154" i="6"/>
  <c r="EW154" i="6" s="1"/>
  <c r="EK154" i="6"/>
  <c r="EV154" i="6" s="1"/>
  <c r="AO154" i="6"/>
  <c r="AN154" i="6"/>
  <c r="AL154" i="6"/>
  <c r="BF175" i="6"/>
  <c r="BG175" i="6"/>
  <c r="AN115" i="6"/>
  <c r="AN119" i="6"/>
  <c r="AL138" i="6"/>
  <c r="AL140" i="6"/>
  <c r="EL156" i="6"/>
  <c r="EW156" i="6" s="1"/>
  <c r="AA162" i="6"/>
  <c r="AC162" i="6" s="1"/>
  <c r="AC171" i="6"/>
  <c r="EL174" i="6"/>
  <c r="AO174" i="6"/>
  <c r="AN174" i="6"/>
  <c r="AC175" i="6"/>
  <c r="BF178" i="6"/>
  <c r="P183" i="6"/>
  <c r="CH183" i="6" s="1"/>
  <c r="AF183" i="6"/>
  <c r="AA183" i="6" s="1"/>
  <c r="AC183" i="6" s="1"/>
  <c r="AC196" i="6"/>
  <c r="AL158" i="6"/>
  <c r="BH162" i="6"/>
  <c r="W162" i="6" s="1"/>
  <c r="AN158" i="6"/>
  <c r="AL162" i="6"/>
  <c r="EK163" i="6"/>
  <c r="EV163" i="6" s="1"/>
  <c r="J165" i="6"/>
  <c r="Y167" i="6"/>
  <c r="EH168" i="6"/>
  <c r="ES168" i="6" s="1"/>
  <c r="AL168" i="6"/>
  <c r="BD184" i="6"/>
  <c r="BC184" i="6"/>
  <c r="AL143" i="6"/>
  <c r="AL147" i="6"/>
  <c r="AL149" i="6"/>
  <c r="AL153" i="6"/>
  <c r="AO158" i="6"/>
  <c r="EK158" i="6"/>
  <c r="EV158" i="6" s="1"/>
  <c r="AN162" i="6"/>
  <c r="BH163" i="6"/>
  <c r="EL163" i="6"/>
  <c r="EW163" i="6" s="1"/>
  <c r="P165" i="6"/>
  <c r="CH165" i="6" s="1"/>
  <c r="AN165" i="6"/>
  <c r="EI168" i="6"/>
  <c r="ET168" i="6" s="1"/>
  <c r="EK169" i="6"/>
  <c r="EV169" i="6" s="1"/>
  <c r="AO169" i="6"/>
  <c r="AN169" i="6"/>
  <c r="AC177" i="6"/>
  <c r="Z186" i="6"/>
  <c r="Z190" i="6"/>
  <c r="AO165" i="6"/>
  <c r="AP177" i="6"/>
  <c r="Y191" i="6"/>
  <c r="AN156" i="6"/>
  <c r="AC168" i="6"/>
  <c r="AO172" i="6"/>
  <c r="AC173" i="6"/>
  <c r="AO176" i="6"/>
  <c r="AN176" i="6"/>
  <c r="AC178" i="6"/>
  <c r="AL145" i="6"/>
  <c r="AL151" i="6"/>
  <c r="AL155" i="6"/>
  <c r="AO156" i="6"/>
  <c r="AN160" i="6"/>
  <c r="P166" i="6"/>
  <c r="CH166" i="6" s="1"/>
  <c r="AN168" i="6"/>
  <c r="BC182" i="6"/>
  <c r="AL186" i="6"/>
  <c r="AL190" i="6"/>
  <c r="AL192" i="6"/>
  <c r="BC202" i="6"/>
  <c r="AE209" i="6"/>
  <c r="Z209" i="6" s="1"/>
  <c r="P209" i="6"/>
  <c r="CH209" i="6" s="1"/>
  <c r="Y225" i="6"/>
  <c r="BG231" i="6"/>
  <c r="BF231" i="6"/>
  <c r="AL178" i="6"/>
  <c r="AL179" i="6"/>
  <c r="AO180" i="6"/>
  <c r="EK180" i="6"/>
  <c r="EV180" i="6" s="1"/>
  <c r="AA182" i="6"/>
  <c r="AC182" i="6" s="1"/>
  <c r="AP185" i="6"/>
  <c r="P186" i="6"/>
  <c r="CH186" i="6" s="1"/>
  <c r="AN186" i="6"/>
  <c r="EL189" i="6"/>
  <c r="EW189" i="6" s="1"/>
  <c r="P190" i="6"/>
  <c r="CH190" i="6" s="1"/>
  <c r="AN190" i="6"/>
  <c r="AL191" i="6"/>
  <c r="AN192" i="6"/>
  <c r="AO193" i="6"/>
  <c r="EK193" i="6"/>
  <c r="EV193" i="6" s="1"/>
  <c r="AL196" i="6"/>
  <c r="AO198" i="6"/>
  <c r="EK198" i="6"/>
  <c r="EV198" i="6" s="1"/>
  <c r="Z201" i="6"/>
  <c r="AD208" i="6"/>
  <c r="AO210" i="6"/>
  <c r="AL210" i="6"/>
  <c r="AL173" i="6"/>
  <c r="AL175" i="6"/>
  <c r="AL177" i="6"/>
  <c r="P178" i="6"/>
  <c r="CH178" i="6" s="1"/>
  <c r="AN178" i="6"/>
  <c r="AN179" i="6"/>
  <c r="EL180" i="6"/>
  <c r="EW180" i="6" s="1"/>
  <c r="AO186" i="6"/>
  <c r="EK186" i="6"/>
  <c r="EV186" i="6" s="1"/>
  <c r="AO190" i="6"/>
  <c r="EK190" i="6"/>
  <c r="EV190" i="6" s="1"/>
  <c r="P191" i="6"/>
  <c r="CH191" i="6" s="1"/>
  <c r="AN191" i="6"/>
  <c r="AO192" i="6"/>
  <c r="EL193" i="6"/>
  <c r="EW193" i="6" s="1"/>
  <c r="AN196" i="6"/>
  <c r="EI196" i="6"/>
  <c r="EL198" i="6"/>
  <c r="EW198" i="6" s="1"/>
  <c r="AN204" i="6"/>
  <c r="AC212" i="6"/>
  <c r="Y227" i="6"/>
  <c r="AN173" i="6"/>
  <c r="AN175" i="6"/>
  <c r="AN177" i="6"/>
  <c r="AO178" i="6"/>
  <c r="AO179" i="6"/>
  <c r="AO191" i="6"/>
  <c r="EK192" i="6"/>
  <c r="EV192" i="6" s="1"/>
  <c r="AO196" i="6"/>
  <c r="Y203" i="6"/>
  <c r="AO206" i="6"/>
  <c r="Y201" i="6"/>
  <c r="AP212" i="6"/>
  <c r="AN184" i="6"/>
  <c r="AO207" i="6"/>
  <c r="EL207" i="6"/>
  <c r="EW207" i="6" s="1"/>
  <c r="AA210" i="6"/>
  <c r="AC210" i="6" s="1"/>
  <c r="BF210" i="6"/>
  <c r="BC178" i="6"/>
  <c r="BC179" i="6"/>
  <c r="AO184" i="6"/>
  <c r="AL200" i="6"/>
  <c r="EL206" i="6"/>
  <c r="EW206" i="6" s="1"/>
  <c r="EK207" i="6"/>
  <c r="EV207" i="6" s="1"/>
  <c r="AN166" i="6"/>
  <c r="AN171" i="6"/>
  <c r="AL180" i="6"/>
  <c r="AO181" i="6"/>
  <c r="AO183" i="6"/>
  <c r="P185" i="6"/>
  <c r="CH185" i="6" s="1"/>
  <c r="AL193" i="6"/>
  <c r="AO194" i="6"/>
  <c r="AN202" i="6"/>
  <c r="AL202" i="6"/>
  <c r="EK202" i="6"/>
  <c r="EV202" i="6" s="1"/>
  <c r="EL202" i="6"/>
  <c r="EW202" i="6" s="1"/>
  <c r="AO205" i="6"/>
  <c r="AN210" i="6"/>
  <c r="AE211" i="6"/>
  <c r="Z211" i="6" s="1"/>
  <c r="P211" i="6"/>
  <c r="CH211" i="6" s="1"/>
  <c r="AO219" i="6"/>
  <c r="AN219" i="6"/>
  <c r="Y238" i="6"/>
  <c r="BG228" i="6"/>
  <c r="AC228" i="6"/>
  <c r="AC231" i="6"/>
  <c r="AC233" i="6"/>
  <c r="AP208" i="6"/>
  <c r="J212" i="6"/>
  <c r="AG212" i="6" s="1"/>
  <c r="AO220" i="6"/>
  <c r="BF223" i="6"/>
  <c r="AC225" i="6"/>
  <c r="BF228" i="6"/>
  <c r="BG234" i="6"/>
  <c r="AC234" i="6"/>
  <c r="AO209" i="6"/>
  <c r="J210" i="6"/>
  <c r="AO211" i="6"/>
  <c r="AN212" i="6"/>
  <c r="Y229" i="6"/>
  <c r="Y235" i="6"/>
  <c r="Y241" i="6"/>
  <c r="BD248" i="6"/>
  <c r="BC248" i="6"/>
  <c r="BG229" i="6"/>
  <c r="BF229" i="6"/>
  <c r="BC230" i="6"/>
  <c r="BC229" i="6"/>
  <c r="AC238" i="6"/>
  <c r="BF238" i="6"/>
  <c r="EK230" i="6"/>
  <c r="EV230" i="6" s="1"/>
  <c r="AO250" i="6"/>
  <c r="AN252" i="6"/>
  <c r="P253" i="6"/>
  <c r="CH253" i="6" s="1"/>
  <c r="Y255" i="6"/>
  <c r="EL263" i="6"/>
  <c r="EI263" i="6"/>
  <c r="AN263" i="6"/>
  <c r="AL263" i="6"/>
  <c r="BC233" i="6"/>
  <c r="AN251" i="6"/>
  <c r="Y261" i="6"/>
  <c r="AO221" i="6"/>
  <c r="AL226" i="6"/>
  <c r="AL230" i="6"/>
  <c r="EK233" i="6"/>
  <c r="EV233" i="6" s="1"/>
  <c r="AL236" i="6"/>
  <c r="AC263" i="6"/>
  <c r="AC269" i="6"/>
  <c r="BC228" i="6"/>
  <c r="BC234" i="6"/>
  <c r="AN246" i="6"/>
  <c r="AL248" i="6"/>
  <c r="AC254" i="6"/>
  <c r="Y257" i="6"/>
  <c r="AL225" i="6"/>
  <c r="AO226" i="6"/>
  <c r="AL229" i="6"/>
  <c r="AO230" i="6"/>
  <c r="AL235" i="6"/>
  <c r="AO236" i="6"/>
  <c r="AL241" i="6"/>
  <c r="AO242" i="6"/>
  <c r="AO246" i="6"/>
  <c r="AN248" i="6"/>
  <c r="AN253" i="6"/>
  <c r="AC266" i="6"/>
  <c r="BC247" i="6"/>
  <c r="BC258" i="6"/>
  <c r="AO265" i="6"/>
  <c r="AN265" i="6"/>
  <c r="AL265" i="6"/>
  <c r="AN249" i="6"/>
  <c r="AL250" i="6"/>
  <c r="AC260" i="6"/>
  <c r="AO272" i="6"/>
  <c r="AO274" i="6"/>
  <c r="AN274" i="6"/>
  <c r="EI274" i="6"/>
  <c r="DJ285" i="6"/>
  <c r="AL289" i="6"/>
  <c r="AO289" i="6"/>
  <c r="AN289" i="6"/>
  <c r="AL256" i="6"/>
  <c r="AL259" i="6"/>
  <c r="AL266" i="6"/>
  <c r="AN267" i="6"/>
  <c r="Y270" i="6"/>
  <c r="AC283" i="6"/>
  <c r="AO267" i="6"/>
  <c r="EL274" i="6"/>
  <c r="AL276" i="6"/>
  <c r="AO276" i="6"/>
  <c r="AD278" i="6"/>
  <c r="Y278" i="6" s="1"/>
  <c r="AL255" i="6"/>
  <c r="AO256" i="6"/>
  <c r="AL257" i="6"/>
  <c r="AL258" i="6"/>
  <c r="AO259" i="6"/>
  <c r="EI259" i="6"/>
  <c r="AL262" i="6"/>
  <c r="AL264" i="6"/>
  <c r="AO266" i="6"/>
  <c r="AC273" i="6"/>
  <c r="AL285" i="6"/>
  <c r="AO285" i="6"/>
  <c r="AN285" i="6"/>
  <c r="AC277" i="6"/>
  <c r="AO255" i="6"/>
  <c r="AO257" i="6"/>
  <c r="AO258" i="6"/>
  <c r="AO262" i="6"/>
  <c r="AO264" i="6"/>
  <c r="AL272" i="6"/>
  <c r="AC276" i="6"/>
  <c r="AA285" i="6"/>
  <c r="BF285" i="6"/>
  <c r="AN283" i="6"/>
  <c r="AL283" i="6"/>
  <c r="AO283" i="6"/>
  <c r="Y284" i="6"/>
  <c r="AN294" i="6"/>
  <c r="AO294" i="6"/>
  <c r="AL294" i="6"/>
  <c r="AN268" i="6"/>
  <c r="AO270" i="6"/>
  <c r="AC271" i="6"/>
  <c r="AL274" i="6"/>
  <c r="BC274" i="6"/>
  <c r="EL280" i="6"/>
  <c r="AN287" i="6"/>
  <c r="AL271" i="6"/>
  <c r="P277" i="6"/>
  <c r="CH277" i="6" s="1"/>
  <c r="AN277" i="6"/>
  <c r="AL281" i="6"/>
  <c r="AL287" i="6"/>
  <c r="AL280" i="6"/>
  <c r="AL282" i="6"/>
  <c r="AL284" i="6"/>
  <c r="AO284" i="6"/>
  <c r="AC284" i="6"/>
  <c r="AL269" i="6"/>
  <c r="AN280" i="6"/>
  <c r="AN282" i="6"/>
  <c r="AN290" i="6"/>
  <c r="AL290" i="6"/>
  <c r="AO290" i="6"/>
  <c r="AA299" i="6"/>
  <c r="AN269" i="6"/>
  <c r="AO280" i="6"/>
  <c r="AO282" i="6"/>
  <c r="AD283" i="6"/>
  <c r="P283" i="6"/>
  <c r="CH283" i="6" s="1"/>
  <c r="AP296" i="6"/>
  <c r="AP286" i="6"/>
  <c r="AN288" i="6"/>
  <c r="AL288" i="6"/>
  <c r="AO288" i="6"/>
  <c r="AL295" i="6"/>
  <c r="AN296" i="6"/>
  <c r="AC305" i="6"/>
  <c r="AO307" i="6"/>
  <c r="AN307" i="6"/>
  <c r="AL307" i="6"/>
  <c r="AC301" i="6"/>
  <c r="AO292" i="6"/>
  <c r="Y300" i="6"/>
  <c r="BF305" i="6"/>
  <c r="Z307" i="6"/>
  <c r="Z308" i="6"/>
  <c r="Z306" i="6"/>
  <c r="AO295" i="6"/>
  <c r="AL296" i="6"/>
  <c r="AD305" i="6"/>
  <c r="Y305" i="6" s="1"/>
  <c r="P305" i="6"/>
  <c r="CH305" i="6" s="1"/>
  <c r="AC306" i="6"/>
  <c r="BF306" i="6"/>
  <c r="AO296" i="6"/>
  <c r="Y303" i="6"/>
  <c r="AL297" i="6"/>
  <c r="AO298" i="6"/>
  <c r="AL301" i="6"/>
  <c r="AO302" i="6"/>
  <c r="AO304" i="6"/>
  <c r="AL305" i="6"/>
  <c r="P308" i="6"/>
  <c r="CH308" i="6" s="1"/>
  <c r="AN308" i="6"/>
  <c r="AN309" i="6"/>
  <c r="EI309" i="6"/>
  <c r="AN297" i="6"/>
  <c r="AN301" i="6"/>
  <c r="BF303" i="6"/>
  <c r="AN305" i="6"/>
  <c r="AO308" i="6"/>
  <c r="AO309" i="6"/>
  <c r="EK309" i="6"/>
  <c r="EV309" i="6" s="1"/>
  <c r="AO297" i="6"/>
  <c r="AL300" i="6"/>
  <c r="AO301" i="6"/>
  <c r="P307" i="6"/>
  <c r="CH307" i="6" s="1"/>
  <c r="AL306" i="6"/>
  <c r="FZ308" i="6" l="1"/>
  <c r="FZ304" i="6"/>
  <c r="FZ305" i="6"/>
  <c r="FY305" i="6" s="1"/>
  <c r="FZ303" i="6"/>
  <c r="FY303" i="6" s="1"/>
  <c r="FZ306" i="6"/>
  <c r="FZ307" i="6"/>
  <c r="FY307" i="6" s="1"/>
  <c r="FZ309" i="6"/>
  <c r="P208" i="6"/>
  <c r="CH208" i="6" s="1"/>
  <c r="EX309" i="6"/>
  <c r="P28" i="6"/>
  <c r="CH28" i="6" s="1"/>
  <c r="Y208" i="6"/>
  <c r="BE307" i="6"/>
  <c r="BD307" i="6"/>
  <c r="BC307" i="6"/>
  <c r="BD201" i="6"/>
  <c r="BC201" i="6"/>
  <c r="W163" i="6"/>
  <c r="Z31" i="6"/>
  <c r="P212" i="6"/>
  <c r="CH212" i="6" s="1"/>
  <c r="P31" i="6"/>
  <c r="CH31" i="6" s="1"/>
  <c r="Y28" i="6"/>
  <c r="Y283" i="6"/>
  <c r="P27" i="6"/>
  <c r="CH27" i="6" s="1"/>
  <c r="Y26" i="6"/>
  <c r="P210" i="6"/>
  <c r="CH210" i="6" s="1"/>
  <c r="AG210" i="6"/>
  <c r="BG210" i="6" s="1"/>
  <c r="AA511" i="22" l="1"/>
  <c r="AA311" i="23"/>
  <c r="AA503" i="22"/>
  <c r="AA602" i="17"/>
  <c r="AA506" i="22"/>
  <c r="AA315" i="23"/>
  <c r="AA316" i="23"/>
  <c r="AA313" i="23"/>
  <c r="AA509" i="22"/>
  <c r="AA504" i="22"/>
  <c r="AA601" i="17"/>
  <c r="AA505" i="22"/>
  <c r="AA502" i="22"/>
  <c r="AA508" i="22"/>
  <c r="AA510" i="22"/>
  <c r="AA692" i="17"/>
  <c r="AA906" i="17"/>
  <c r="AA635" i="22"/>
  <c r="AA905" i="17"/>
  <c r="AA688" i="17"/>
  <c r="AA705" i="17"/>
  <c r="AA777" i="22"/>
  <c r="AA802" i="22"/>
  <c r="AA776" i="22"/>
  <c r="FX303" i="6"/>
  <c r="FW303" i="6"/>
  <c r="FW308" i="6"/>
  <c r="FX308" i="6"/>
  <c r="FW309" i="6"/>
  <c r="FX309" i="6"/>
  <c r="FW304" i="6"/>
  <c r="FX304" i="6"/>
  <c r="FW306" i="6"/>
  <c r="FX306" i="6"/>
  <c r="FY309" i="6"/>
  <c r="FX305" i="6"/>
  <c r="FW305" i="6"/>
  <c r="FY304" i="6"/>
  <c r="FX307" i="6"/>
  <c r="FW307" i="6"/>
  <c r="FY306" i="6"/>
  <c r="FY308" i="6"/>
  <c r="AF24" i="24"/>
  <c r="AF30" i="24" s="1"/>
  <c r="AF25" i="24"/>
  <c r="AF31" i="24" s="1"/>
  <c r="AF26" i="24"/>
  <c r="AF32" i="24" s="1"/>
  <c r="AF27" i="24"/>
  <c r="AH26" i="24"/>
  <c r="AI26" i="24"/>
  <c r="AJ26" i="24"/>
  <c r="AK26" i="24"/>
  <c r="AH27" i="24"/>
  <c r="AI27" i="24"/>
  <c r="AJ27" i="24"/>
  <c r="AK27" i="24"/>
  <c r="AG26" i="24"/>
  <c r="AG27" i="24"/>
  <c r="AI32" i="24"/>
  <c r="AJ32" i="24"/>
  <c r="AK32" i="24" s="1"/>
  <c r="AG32" i="24"/>
  <c r="AH32" i="24" s="1"/>
  <c r="AA312" i="23" l="1"/>
  <c r="AA507" i="22"/>
  <c r="AA317" i="23"/>
  <c r="AA314" i="23"/>
  <c r="Z714" i="22"/>
  <c r="Z718" i="22"/>
  <c r="Y692" i="17"/>
  <c r="Y906" i="17"/>
  <c r="Y635" i="22"/>
  <c r="Y688" i="17"/>
  <c r="Y705" i="17"/>
  <c r="Y905" i="17"/>
  <c r="AA714" i="22"/>
  <c r="AA718" i="22"/>
  <c r="Y714" i="22"/>
  <c r="Y718" i="22"/>
  <c r="Z692" i="17"/>
  <c r="Z906" i="17"/>
  <c r="Z635" i="22"/>
  <c r="Z905" i="17"/>
  <c r="Z688" i="17"/>
  <c r="Z705" i="17"/>
  <c r="Y311" i="23"/>
  <c r="Y511" i="22"/>
  <c r="Y506" i="22"/>
  <c r="Y503" i="22"/>
  <c r="Y602" i="17"/>
  <c r="Y315" i="23"/>
  <c r="Y313" i="23"/>
  <c r="Y316" i="23"/>
  <c r="Y509" i="22"/>
  <c r="Y504" i="22"/>
  <c r="Y601" i="17"/>
  <c r="Y502" i="22"/>
  <c r="Y508" i="22"/>
  <c r="Y510" i="22"/>
  <c r="Y505" i="22"/>
  <c r="Z681" i="17"/>
  <c r="Z703" i="17"/>
  <c r="Z685" i="17"/>
  <c r="Z503" i="22"/>
  <c r="Z311" i="23"/>
  <c r="Z506" i="22"/>
  <c r="Z511" i="22"/>
  <c r="Z602" i="17"/>
  <c r="Z315" i="23"/>
  <c r="Z313" i="23"/>
  <c r="Z316" i="23"/>
  <c r="Z509" i="22"/>
  <c r="Z504" i="22"/>
  <c r="Z601" i="17"/>
  <c r="Z508" i="22"/>
  <c r="Z502" i="22"/>
  <c r="Z510" i="22"/>
  <c r="Z505" i="22"/>
  <c r="Y681" i="17"/>
  <c r="Y685" i="17"/>
  <c r="Y703" i="17"/>
  <c r="AA681" i="17"/>
  <c r="AA703" i="17"/>
  <c r="AA685" i="17"/>
  <c r="Z312" i="23"/>
  <c r="Z507" i="22"/>
  <c r="Z314" i="23"/>
  <c r="Z317" i="23"/>
  <c r="Y312" i="23"/>
  <c r="Y507" i="22"/>
  <c r="Y314" i="23"/>
  <c r="Y317" i="23"/>
  <c r="Y776" i="22"/>
  <c r="Y802" i="22"/>
  <c r="Y777" i="22"/>
  <c r="Z776" i="22"/>
  <c r="Z802" i="22"/>
  <c r="Z777" i="22"/>
  <c r="AF23" i="24"/>
  <c r="AF29" i="24" s="1"/>
  <c r="AF22" i="24"/>
  <c r="AF28" i="24" s="1"/>
  <c r="O198" i="13"/>
  <c r="N198" i="13"/>
  <c r="D198" i="13" s="1"/>
  <c r="M198" i="13"/>
  <c r="C198" i="13" s="1"/>
  <c r="L198" i="13"/>
  <c r="O197" i="13"/>
  <c r="N197" i="13"/>
  <c r="D197" i="13" s="1"/>
  <c r="M197" i="13"/>
  <c r="C197" i="13" s="1"/>
  <c r="L197" i="13"/>
  <c r="O196" i="13"/>
  <c r="N196" i="13"/>
  <c r="D196" i="13" s="1"/>
  <c r="M196" i="13"/>
  <c r="C196" i="13" s="1"/>
  <c r="L196" i="13"/>
  <c r="O195" i="13"/>
  <c r="N195" i="13"/>
  <c r="D195" i="13" s="1"/>
  <c r="M195" i="13"/>
  <c r="C195" i="13" s="1"/>
  <c r="L195" i="13"/>
  <c r="O194" i="13"/>
  <c r="N194" i="13"/>
  <c r="D194" i="13" s="1"/>
  <c r="M194" i="13"/>
  <c r="C194" i="13" s="1"/>
  <c r="L194" i="13"/>
  <c r="O193" i="13"/>
  <c r="N193" i="13"/>
  <c r="D193" i="13" s="1"/>
  <c r="M193" i="13"/>
  <c r="C193" i="13" s="1"/>
  <c r="L193" i="13"/>
  <c r="O192" i="13"/>
  <c r="N192" i="13"/>
  <c r="D192" i="13" s="1"/>
  <c r="M192" i="13"/>
  <c r="C192" i="13" s="1"/>
  <c r="L192" i="13"/>
  <c r="O191" i="13"/>
  <c r="N191" i="13"/>
  <c r="D191" i="13" s="1"/>
  <c r="M191" i="13"/>
  <c r="C191" i="13" s="1"/>
  <c r="L191" i="13"/>
  <c r="O190" i="13"/>
  <c r="N190" i="13"/>
  <c r="D190" i="13" s="1"/>
  <c r="M190" i="13"/>
  <c r="C190" i="13" s="1"/>
  <c r="L190" i="13"/>
  <c r="O189" i="13"/>
  <c r="N189" i="13"/>
  <c r="D189" i="13" s="1"/>
  <c r="M189" i="13"/>
  <c r="L189" i="13"/>
  <c r="C189" i="13"/>
  <c r="O188" i="13"/>
  <c r="N188" i="13"/>
  <c r="D188" i="13" s="1"/>
  <c r="M188" i="13"/>
  <c r="C188" i="13" s="1"/>
  <c r="L188" i="13"/>
  <c r="O187" i="13"/>
  <c r="N187" i="13"/>
  <c r="D187" i="13" s="1"/>
  <c r="M187" i="13"/>
  <c r="C187" i="13" s="1"/>
  <c r="L187" i="13"/>
  <c r="O186" i="13"/>
  <c r="N186" i="13"/>
  <c r="D186" i="13" s="1"/>
  <c r="M186" i="13"/>
  <c r="C186" i="13" s="1"/>
  <c r="L186" i="13"/>
  <c r="O185" i="13"/>
  <c r="N185" i="13"/>
  <c r="D185" i="13" s="1"/>
  <c r="M185" i="13"/>
  <c r="C185" i="13" s="1"/>
  <c r="L185" i="13"/>
  <c r="O184" i="13"/>
  <c r="N184" i="13"/>
  <c r="D184" i="13" s="1"/>
  <c r="M184" i="13"/>
  <c r="C184" i="13" s="1"/>
  <c r="L184" i="13"/>
  <c r="O183" i="13"/>
  <c r="N183" i="13"/>
  <c r="D183" i="13" s="1"/>
  <c r="M183" i="13"/>
  <c r="C183" i="13" s="1"/>
  <c r="L183" i="13"/>
  <c r="O182" i="13"/>
  <c r="N182" i="13"/>
  <c r="D182" i="13" s="1"/>
  <c r="M182" i="13"/>
  <c r="C182" i="13" s="1"/>
  <c r="L182" i="13"/>
  <c r="O181" i="13"/>
  <c r="N181" i="13"/>
  <c r="D181" i="13" s="1"/>
  <c r="M181" i="13"/>
  <c r="C181" i="13" s="1"/>
  <c r="L181" i="13"/>
  <c r="O180" i="13"/>
  <c r="N180" i="13"/>
  <c r="D180" i="13" s="1"/>
  <c r="M180" i="13"/>
  <c r="C180" i="13" s="1"/>
  <c r="L180" i="13"/>
  <c r="O179" i="13"/>
  <c r="N179" i="13"/>
  <c r="D179" i="13" s="1"/>
  <c r="M179" i="13"/>
  <c r="C179" i="13" s="1"/>
  <c r="L179" i="13"/>
  <c r="O178" i="13"/>
  <c r="N178" i="13"/>
  <c r="D178" i="13" s="1"/>
  <c r="M178" i="13"/>
  <c r="C178" i="13" s="1"/>
  <c r="L178" i="13"/>
  <c r="O177" i="13"/>
  <c r="N177" i="13"/>
  <c r="D177" i="13" s="1"/>
  <c r="M177" i="13"/>
  <c r="C177" i="13" s="1"/>
  <c r="L177" i="13"/>
  <c r="O176" i="13"/>
  <c r="N176" i="13"/>
  <c r="D176" i="13" s="1"/>
  <c r="M176" i="13"/>
  <c r="C176" i="13" s="1"/>
  <c r="L176" i="13"/>
  <c r="O175" i="13"/>
  <c r="N175" i="13"/>
  <c r="D175" i="13" s="1"/>
  <c r="M175" i="13"/>
  <c r="C175" i="13" s="1"/>
  <c r="L175" i="13"/>
  <c r="O174" i="13"/>
  <c r="N174" i="13"/>
  <c r="D174" i="13" s="1"/>
  <c r="M174" i="13"/>
  <c r="C174" i="13" s="1"/>
  <c r="L174" i="13"/>
  <c r="O173" i="13"/>
  <c r="N173" i="13"/>
  <c r="M173" i="13"/>
  <c r="L173" i="13"/>
  <c r="D173" i="13"/>
  <c r="C173" i="13"/>
  <c r="O172" i="13"/>
  <c r="N172" i="13"/>
  <c r="D172" i="13" s="1"/>
  <c r="M172" i="13"/>
  <c r="C172" i="13" s="1"/>
  <c r="L172" i="13"/>
  <c r="O171" i="13"/>
  <c r="N171" i="13"/>
  <c r="D171" i="13" s="1"/>
  <c r="M171" i="13"/>
  <c r="C171" i="13" s="1"/>
  <c r="L171" i="13"/>
  <c r="O170" i="13"/>
  <c r="N170" i="13"/>
  <c r="D170" i="13" s="1"/>
  <c r="M170" i="13"/>
  <c r="C170" i="13" s="1"/>
  <c r="L170" i="13"/>
  <c r="O169" i="13"/>
  <c r="N169" i="13"/>
  <c r="D169" i="13" s="1"/>
  <c r="M169" i="13"/>
  <c r="C169" i="13" s="1"/>
  <c r="L169" i="13"/>
  <c r="O168" i="13"/>
  <c r="N168" i="13"/>
  <c r="D168" i="13" s="1"/>
  <c r="M168" i="13"/>
  <c r="C168" i="13" s="1"/>
  <c r="L168" i="13"/>
  <c r="O167" i="13"/>
  <c r="N167" i="13"/>
  <c r="D167" i="13" s="1"/>
  <c r="M167" i="13"/>
  <c r="C167" i="13" s="1"/>
  <c r="L167" i="13"/>
  <c r="O166" i="13"/>
  <c r="N166" i="13"/>
  <c r="D166" i="13" s="1"/>
  <c r="AO197" i="6" s="1"/>
  <c r="M166" i="13"/>
  <c r="C166" i="13" s="1"/>
  <c r="AN197" i="6" s="1"/>
  <c r="L166" i="13"/>
  <c r="O165" i="13"/>
  <c r="N165" i="13"/>
  <c r="M165" i="13"/>
  <c r="C165" i="13" s="1"/>
  <c r="L165" i="13"/>
  <c r="D165" i="13"/>
  <c r="O164" i="13"/>
  <c r="N164" i="13"/>
  <c r="D164" i="13" s="1"/>
  <c r="M164" i="13"/>
  <c r="C164" i="13" s="1"/>
  <c r="L164" i="13"/>
  <c r="O163" i="13"/>
  <c r="N163" i="13"/>
  <c r="D163" i="13" s="1"/>
  <c r="M163" i="13"/>
  <c r="C163" i="13" s="1"/>
  <c r="L163" i="13"/>
  <c r="O162" i="13"/>
  <c r="N162" i="13"/>
  <c r="D162" i="13" s="1"/>
  <c r="M162" i="13"/>
  <c r="C162" i="13" s="1"/>
  <c r="L162" i="13"/>
  <c r="O161" i="13"/>
  <c r="N161" i="13"/>
  <c r="M161" i="13"/>
  <c r="C161" i="13" s="1"/>
  <c r="L161" i="13"/>
  <c r="D161" i="13"/>
  <c r="O160" i="13"/>
  <c r="N160" i="13"/>
  <c r="D160" i="13" s="1"/>
  <c r="M160" i="13"/>
  <c r="C160" i="13" s="1"/>
  <c r="L160" i="13"/>
  <c r="O159" i="13"/>
  <c r="N159" i="13"/>
  <c r="D159" i="13" s="1"/>
  <c r="M159" i="13"/>
  <c r="C159" i="13" s="1"/>
  <c r="L159" i="13"/>
  <c r="O158" i="13"/>
  <c r="N158" i="13"/>
  <c r="M158" i="13"/>
  <c r="C158" i="13" s="1"/>
  <c r="L158" i="13"/>
  <c r="D158" i="13"/>
  <c r="O157" i="13"/>
  <c r="N157" i="13"/>
  <c r="D157" i="13" s="1"/>
  <c r="M157" i="13"/>
  <c r="C157" i="13" s="1"/>
  <c r="L157" i="13"/>
  <c r="O156" i="13"/>
  <c r="N156" i="13"/>
  <c r="D156" i="13" s="1"/>
  <c r="M156" i="13"/>
  <c r="C156" i="13" s="1"/>
  <c r="L156" i="13"/>
  <c r="O155" i="13"/>
  <c r="N155" i="13"/>
  <c r="D155" i="13" s="1"/>
  <c r="M155" i="13"/>
  <c r="C155" i="13" s="1"/>
  <c r="L155" i="13"/>
  <c r="O154" i="13"/>
  <c r="N154" i="13"/>
  <c r="D154" i="13" s="1"/>
  <c r="M154" i="13"/>
  <c r="C154" i="13" s="1"/>
  <c r="L154" i="13"/>
  <c r="O153" i="13"/>
  <c r="N153" i="13"/>
  <c r="D153" i="13" s="1"/>
  <c r="M153" i="13"/>
  <c r="C153" i="13" s="1"/>
  <c r="L153" i="13"/>
  <c r="O152" i="13"/>
  <c r="N152" i="13"/>
  <c r="D152" i="13" s="1"/>
  <c r="M152" i="13"/>
  <c r="C152" i="13" s="1"/>
  <c r="L152" i="13"/>
  <c r="O151" i="13"/>
  <c r="N151" i="13"/>
  <c r="D151" i="13" s="1"/>
  <c r="M151" i="13"/>
  <c r="C151" i="13" s="1"/>
  <c r="L151" i="13"/>
  <c r="O150" i="13"/>
  <c r="N150" i="13"/>
  <c r="D150" i="13" s="1"/>
  <c r="M150" i="13"/>
  <c r="C150" i="13" s="1"/>
  <c r="L150" i="13"/>
  <c r="O149" i="13"/>
  <c r="N149" i="13"/>
  <c r="D149" i="13" s="1"/>
  <c r="M149" i="13"/>
  <c r="C149" i="13" s="1"/>
  <c r="L149" i="13"/>
  <c r="O148" i="13"/>
  <c r="N148" i="13"/>
  <c r="D148" i="13" s="1"/>
  <c r="M148" i="13"/>
  <c r="C148" i="13" s="1"/>
  <c r="L148" i="13"/>
  <c r="O147" i="13"/>
  <c r="N147" i="13"/>
  <c r="D147" i="13" s="1"/>
  <c r="M147" i="13"/>
  <c r="C147" i="13" s="1"/>
  <c r="L147" i="13"/>
  <c r="O146" i="13"/>
  <c r="N146" i="13"/>
  <c r="D146" i="13" s="1"/>
  <c r="M146" i="13"/>
  <c r="C146" i="13" s="1"/>
  <c r="L146" i="13"/>
  <c r="O145" i="13"/>
  <c r="N145" i="13"/>
  <c r="D145" i="13" s="1"/>
  <c r="M145" i="13"/>
  <c r="C145" i="13" s="1"/>
  <c r="L145" i="13"/>
  <c r="O144" i="13"/>
  <c r="N144" i="13"/>
  <c r="D144" i="13" s="1"/>
  <c r="M144" i="13"/>
  <c r="C144" i="13" s="1"/>
  <c r="L144" i="13"/>
  <c r="O143" i="13"/>
  <c r="N143" i="13"/>
  <c r="D143" i="13" s="1"/>
  <c r="M143" i="13"/>
  <c r="C143" i="13" s="1"/>
  <c r="L143" i="13"/>
  <c r="O142" i="13"/>
  <c r="N142" i="13"/>
  <c r="D142" i="13" s="1"/>
  <c r="M142" i="13"/>
  <c r="C142" i="13" s="1"/>
  <c r="L142" i="13"/>
  <c r="O141" i="13"/>
  <c r="N141" i="13"/>
  <c r="D141" i="13" s="1"/>
  <c r="M141" i="13"/>
  <c r="C141" i="13" s="1"/>
  <c r="L141" i="13"/>
  <c r="O140" i="13"/>
  <c r="N140" i="13"/>
  <c r="D140" i="13" s="1"/>
  <c r="M140" i="13"/>
  <c r="C140" i="13" s="1"/>
  <c r="L140" i="13"/>
  <c r="O139" i="13"/>
  <c r="N139" i="13"/>
  <c r="D139" i="13" s="1"/>
  <c r="M139" i="13"/>
  <c r="L139" i="13"/>
  <c r="C139" i="13"/>
  <c r="O138" i="13"/>
  <c r="N138" i="13"/>
  <c r="D138" i="13" s="1"/>
  <c r="M138" i="13"/>
  <c r="C138" i="13" s="1"/>
  <c r="L138" i="13"/>
  <c r="O137" i="13"/>
  <c r="N137" i="13"/>
  <c r="D137" i="13" s="1"/>
  <c r="M137" i="13"/>
  <c r="C137" i="13" s="1"/>
  <c r="L137" i="13"/>
  <c r="O136" i="13"/>
  <c r="N136" i="13"/>
  <c r="D136" i="13" s="1"/>
  <c r="M136" i="13"/>
  <c r="C136" i="13" s="1"/>
  <c r="L136" i="13"/>
  <c r="O135" i="13"/>
  <c r="N135" i="13"/>
  <c r="D135" i="13" s="1"/>
  <c r="M135" i="13"/>
  <c r="C135" i="13" s="1"/>
  <c r="L135" i="13"/>
  <c r="O134" i="13"/>
  <c r="N134" i="13"/>
  <c r="D134" i="13" s="1"/>
  <c r="M134" i="13"/>
  <c r="C134" i="13" s="1"/>
  <c r="L134" i="13"/>
  <c r="O133" i="13"/>
  <c r="N133" i="13"/>
  <c r="D133" i="13" s="1"/>
  <c r="M133" i="13"/>
  <c r="C133" i="13" s="1"/>
  <c r="L133" i="13"/>
  <c r="O132" i="13"/>
  <c r="N132" i="13"/>
  <c r="D132" i="13" s="1"/>
  <c r="M132" i="13"/>
  <c r="C132" i="13" s="1"/>
  <c r="L132" i="13"/>
  <c r="O131" i="13"/>
  <c r="N131" i="13"/>
  <c r="D131" i="13" s="1"/>
  <c r="M131" i="13"/>
  <c r="C131" i="13" s="1"/>
  <c r="L131" i="13"/>
  <c r="O130" i="13"/>
  <c r="N130" i="13"/>
  <c r="D130" i="13" s="1"/>
  <c r="M130" i="13"/>
  <c r="C130" i="13" s="1"/>
  <c r="L130" i="13"/>
  <c r="O129" i="13"/>
  <c r="N129" i="13"/>
  <c r="D129" i="13" s="1"/>
  <c r="M129" i="13"/>
  <c r="C129" i="13" s="1"/>
  <c r="L129" i="13"/>
  <c r="O128" i="13"/>
  <c r="N128" i="13"/>
  <c r="D128" i="13" s="1"/>
  <c r="M128" i="13"/>
  <c r="C128" i="13" s="1"/>
  <c r="L128" i="13"/>
  <c r="O127" i="13"/>
  <c r="N127" i="13"/>
  <c r="D127" i="13" s="1"/>
  <c r="M127" i="13"/>
  <c r="C127" i="13" s="1"/>
  <c r="L127" i="13"/>
  <c r="O126" i="13"/>
  <c r="N126" i="13"/>
  <c r="D126" i="13" s="1"/>
  <c r="M126" i="13"/>
  <c r="C126" i="13" s="1"/>
  <c r="L126" i="13"/>
  <c r="O125" i="13"/>
  <c r="N125" i="13"/>
  <c r="M125" i="13"/>
  <c r="L125" i="13"/>
  <c r="D125" i="13"/>
  <c r="C125" i="13"/>
  <c r="O124" i="13"/>
  <c r="N124" i="13"/>
  <c r="D124" i="13" s="1"/>
  <c r="M124" i="13"/>
  <c r="C124" i="13" s="1"/>
  <c r="L124" i="13"/>
  <c r="O123" i="13"/>
  <c r="N123" i="13"/>
  <c r="D123" i="13" s="1"/>
  <c r="M123" i="13"/>
  <c r="C123" i="13" s="1"/>
  <c r="L123" i="13"/>
  <c r="O122" i="13"/>
  <c r="N122" i="13"/>
  <c r="D122" i="13" s="1"/>
  <c r="M122" i="13"/>
  <c r="C122" i="13" s="1"/>
  <c r="L122" i="13"/>
  <c r="O121" i="13"/>
  <c r="N121" i="13"/>
  <c r="D121" i="13" s="1"/>
  <c r="M121" i="13"/>
  <c r="C121" i="13" s="1"/>
  <c r="L121" i="13"/>
  <c r="O120" i="13"/>
  <c r="N120" i="13"/>
  <c r="D120" i="13" s="1"/>
  <c r="M120" i="13"/>
  <c r="C120" i="13" s="1"/>
  <c r="L120" i="13"/>
  <c r="O119" i="13"/>
  <c r="N119" i="13"/>
  <c r="D119" i="13" s="1"/>
  <c r="M119" i="13"/>
  <c r="C119" i="13" s="1"/>
  <c r="L119" i="13"/>
  <c r="O118" i="13"/>
  <c r="N118" i="13"/>
  <c r="M118" i="13"/>
  <c r="L118" i="13"/>
  <c r="AN41" i="6" l="1"/>
  <c r="AN43" i="6"/>
  <c r="AN44" i="6"/>
  <c r="AN55" i="6"/>
  <c r="AN53" i="6"/>
  <c r="AN54" i="6"/>
  <c r="AN59" i="6"/>
  <c r="AN58" i="6"/>
  <c r="AN57" i="6"/>
  <c r="AN61" i="6"/>
  <c r="AN60" i="6"/>
  <c r="AN56" i="6"/>
  <c r="AH197" i="6"/>
  <c r="AG197" i="6"/>
  <c r="AF197" i="6"/>
  <c r="AA197" i="6" s="1"/>
  <c r="AO41" i="6"/>
  <c r="AO43" i="6"/>
  <c r="AO44" i="6"/>
  <c r="AO54" i="6"/>
  <c r="AO55" i="6"/>
  <c r="AO53" i="6"/>
  <c r="AO58" i="6"/>
  <c r="AO61" i="6"/>
  <c r="AO57" i="6"/>
  <c r="AO59" i="6"/>
  <c r="AO60" i="6"/>
  <c r="AO56" i="6"/>
  <c r="AN79" i="6"/>
  <c r="AN77" i="6"/>
  <c r="AN78" i="6"/>
  <c r="AN92" i="6"/>
  <c r="AN89" i="6"/>
  <c r="AN91" i="6"/>
  <c r="AN90" i="6"/>
  <c r="AN88" i="6"/>
  <c r="AN104" i="6"/>
  <c r="AN105" i="6"/>
  <c r="AN103" i="6"/>
  <c r="AO79" i="6"/>
  <c r="AO78" i="6"/>
  <c r="AO77" i="6"/>
  <c r="AO92" i="6"/>
  <c r="AO91" i="6"/>
  <c r="AO89" i="6"/>
  <c r="AO90" i="6"/>
  <c r="AO88" i="6"/>
  <c r="AO103" i="6"/>
  <c r="AO105" i="6"/>
  <c r="AO104" i="6"/>
  <c r="AO143" i="6"/>
  <c r="AO140" i="6"/>
  <c r="AO142" i="6"/>
  <c r="AO141" i="6"/>
  <c r="AN128" i="6"/>
  <c r="AN126" i="6"/>
  <c r="AN127" i="6"/>
  <c r="AN129" i="6"/>
  <c r="AN134" i="6"/>
  <c r="AN130" i="6"/>
  <c r="AN139" i="6"/>
  <c r="AN131" i="6"/>
  <c r="AN132" i="6"/>
  <c r="AN138" i="6"/>
  <c r="AN135" i="6"/>
  <c r="AN133" i="6"/>
  <c r="AN136" i="6"/>
  <c r="AN137" i="6"/>
  <c r="AO127" i="6"/>
  <c r="AO126" i="6"/>
  <c r="AO128" i="6"/>
  <c r="AO129" i="6"/>
  <c r="AO139" i="6"/>
  <c r="AO135" i="6"/>
  <c r="AO131" i="6"/>
  <c r="AO134" i="6"/>
  <c r="AO130" i="6"/>
  <c r="AO133" i="6"/>
  <c r="AO138" i="6"/>
  <c r="AO132" i="6"/>
  <c r="AO136" i="6"/>
  <c r="AO137" i="6"/>
  <c r="AN140" i="6"/>
  <c r="AN143" i="6"/>
  <c r="AN142" i="6"/>
  <c r="AN141" i="6"/>
  <c r="AN152" i="6"/>
  <c r="AN150" i="6"/>
  <c r="AN148" i="6"/>
  <c r="AN151" i="6"/>
  <c r="AN153" i="6"/>
  <c r="AN149" i="6"/>
  <c r="AO150" i="6"/>
  <c r="AO148" i="6"/>
  <c r="AO152" i="6"/>
  <c r="AO151" i="6"/>
  <c r="AO153" i="6"/>
  <c r="AO149" i="6"/>
  <c r="AG153" i="6" l="1"/>
  <c r="AF153" i="6"/>
  <c r="AA153" i="6" s="1"/>
  <c r="AG140" i="6"/>
  <c r="AF140" i="6"/>
  <c r="AA140" i="6" s="1"/>
  <c r="AJ131" i="6"/>
  <c r="AI131" i="6"/>
  <c r="AB131" i="6" s="1"/>
  <c r="AG136" i="6"/>
  <c r="AF136" i="6"/>
  <c r="AA136" i="6" s="1"/>
  <c r="AC136" i="6" s="1"/>
  <c r="AG134" i="6"/>
  <c r="AF134" i="6"/>
  <c r="AA134" i="6" s="1"/>
  <c r="AJ143" i="6"/>
  <c r="AI143" i="6"/>
  <c r="AB143" i="6" s="1"/>
  <c r="AJ92" i="6"/>
  <c r="AI92" i="6"/>
  <c r="AB92" i="6" s="1"/>
  <c r="AC92" i="6" s="1"/>
  <c r="AI79" i="6"/>
  <c r="AB79" i="6" s="1"/>
  <c r="AC79" i="6" s="1"/>
  <c r="AJ79" i="6"/>
  <c r="AG89" i="6"/>
  <c r="AF89" i="6"/>
  <c r="AA89" i="6" s="1"/>
  <c r="AC89" i="6" s="1"/>
  <c r="AJ58" i="6"/>
  <c r="BM58" i="6" s="1"/>
  <c r="AI58" i="6"/>
  <c r="BH197" i="6"/>
  <c r="W197" i="6" s="1"/>
  <c r="AC197" i="6"/>
  <c r="AG59" i="6"/>
  <c r="BG59" i="6" s="1"/>
  <c r="AF59" i="6"/>
  <c r="AG151" i="6"/>
  <c r="AF151" i="6"/>
  <c r="AA151" i="6" s="1"/>
  <c r="AC151" i="6" s="1"/>
  <c r="AJ137" i="6"/>
  <c r="AI137" i="6"/>
  <c r="AB137" i="6" s="1"/>
  <c r="AI135" i="6"/>
  <c r="AJ135" i="6"/>
  <c r="BM135" i="6" s="1"/>
  <c r="AF133" i="6"/>
  <c r="AA133" i="6" s="1"/>
  <c r="AG133" i="6"/>
  <c r="AG129" i="6"/>
  <c r="AF129" i="6"/>
  <c r="AA129" i="6" s="1"/>
  <c r="AI104" i="6"/>
  <c r="AB104" i="6" s="1"/>
  <c r="AC104" i="6" s="1"/>
  <c r="AJ104" i="6"/>
  <c r="AJ77" i="6"/>
  <c r="BM77" i="6" s="1"/>
  <c r="AI77" i="6"/>
  <c r="AG92" i="6"/>
  <c r="AF92" i="6"/>
  <c r="AA92" i="6" s="1"/>
  <c r="AG79" i="6"/>
  <c r="AF79" i="6"/>
  <c r="AA79" i="6" s="1"/>
  <c r="AJ53" i="6"/>
  <c r="AI53" i="6"/>
  <c r="AB53" i="6" s="1"/>
  <c r="AC53" i="6" s="1"/>
  <c r="AF54" i="6"/>
  <c r="AA54" i="6" s="1"/>
  <c r="AG54" i="6"/>
  <c r="AJ153" i="6"/>
  <c r="AI153" i="6"/>
  <c r="AB153" i="6" s="1"/>
  <c r="AC153" i="6" s="1"/>
  <c r="AF148" i="6"/>
  <c r="AG148" i="6"/>
  <c r="BG148" i="6" s="1"/>
  <c r="AJ136" i="6"/>
  <c r="AI136" i="6"/>
  <c r="AB136" i="6" s="1"/>
  <c r="AJ139" i="6"/>
  <c r="AI139" i="6"/>
  <c r="AB139" i="6" s="1"/>
  <c r="AG135" i="6"/>
  <c r="AF135" i="6"/>
  <c r="AA135" i="6" s="1"/>
  <c r="AG127" i="6"/>
  <c r="BG127" i="6" s="1"/>
  <c r="AF127" i="6"/>
  <c r="AG103" i="6"/>
  <c r="BG103" i="6" s="1"/>
  <c r="AF103" i="6"/>
  <c r="AG78" i="6"/>
  <c r="BG78" i="6" s="1"/>
  <c r="AF78" i="6"/>
  <c r="AJ55" i="6"/>
  <c r="AI55" i="6"/>
  <c r="AB55" i="6" s="1"/>
  <c r="AG53" i="6"/>
  <c r="AF53" i="6"/>
  <c r="AA53" i="6" s="1"/>
  <c r="AJ151" i="6"/>
  <c r="AI151" i="6"/>
  <c r="AB151" i="6" s="1"/>
  <c r="AF150" i="6"/>
  <c r="AA150" i="6" s="1"/>
  <c r="AC150" i="6" s="1"/>
  <c r="AG150" i="6"/>
  <c r="AI132" i="6"/>
  <c r="AB132" i="6" s="1"/>
  <c r="AJ132" i="6"/>
  <c r="AJ129" i="6"/>
  <c r="AI129" i="6"/>
  <c r="AB129" i="6" s="1"/>
  <c r="AC129" i="6" s="1"/>
  <c r="AF138" i="6"/>
  <c r="AA138" i="6" s="1"/>
  <c r="AC138" i="6" s="1"/>
  <c r="AG138" i="6"/>
  <c r="AG126" i="6"/>
  <c r="BG126" i="6" s="1"/>
  <c r="AF126" i="6"/>
  <c r="AJ103" i="6"/>
  <c r="AI103" i="6"/>
  <c r="AB103" i="6" s="1"/>
  <c r="AJ56" i="6"/>
  <c r="BM56" i="6" s="1"/>
  <c r="AI56" i="6"/>
  <c r="AJ54" i="6"/>
  <c r="AI54" i="6"/>
  <c r="AB54" i="6" s="1"/>
  <c r="AC54" i="6" s="1"/>
  <c r="AG56" i="6"/>
  <c r="AF56" i="6"/>
  <c r="AA56" i="6" s="1"/>
  <c r="AG55" i="6"/>
  <c r="AF55" i="6"/>
  <c r="AA55" i="6" s="1"/>
  <c r="AC55" i="6" s="1"/>
  <c r="AJ152" i="6"/>
  <c r="AI152" i="6"/>
  <c r="AB152" i="6" s="1"/>
  <c r="AC152" i="6" s="1"/>
  <c r="AF152" i="6"/>
  <c r="AA152" i="6" s="1"/>
  <c r="AG152" i="6"/>
  <c r="AJ138" i="6"/>
  <c r="AI138" i="6"/>
  <c r="AB138" i="6" s="1"/>
  <c r="AJ128" i="6"/>
  <c r="AI128" i="6"/>
  <c r="AB128" i="6" s="1"/>
  <c r="AC128" i="6" s="1"/>
  <c r="AG132" i="6"/>
  <c r="BG132" i="6" s="1"/>
  <c r="AF132" i="6"/>
  <c r="AG128" i="6"/>
  <c r="AF128" i="6"/>
  <c r="AA128" i="6" s="1"/>
  <c r="AJ88" i="6"/>
  <c r="AI88" i="6"/>
  <c r="AB88" i="6" s="1"/>
  <c r="AC88" i="6" s="1"/>
  <c r="AG104" i="6"/>
  <c r="AF104" i="6"/>
  <c r="AA104" i="6" s="1"/>
  <c r="AJ60" i="6"/>
  <c r="AI60" i="6"/>
  <c r="AB60" i="6" s="1"/>
  <c r="AJ44" i="6"/>
  <c r="AI44" i="6"/>
  <c r="AB44" i="6" s="1"/>
  <c r="AC44" i="6" s="1"/>
  <c r="AG60" i="6"/>
  <c r="BG60" i="6" s="1"/>
  <c r="AF60" i="6"/>
  <c r="AG44" i="6"/>
  <c r="AF44" i="6"/>
  <c r="AA44" i="6" s="1"/>
  <c r="AI148" i="6"/>
  <c r="AB148" i="6" s="1"/>
  <c r="AJ148" i="6"/>
  <c r="AG141" i="6"/>
  <c r="BG141" i="6" s="1"/>
  <c r="AF141" i="6"/>
  <c r="AJ133" i="6"/>
  <c r="BM133" i="6" s="1"/>
  <c r="AI133" i="6"/>
  <c r="AI126" i="6"/>
  <c r="AB126" i="6" s="1"/>
  <c r="AJ126" i="6"/>
  <c r="AG131" i="6"/>
  <c r="BG131" i="6" s="1"/>
  <c r="AF131" i="6"/>
  <c r="AJ141" i="6"/>
  <c r="AI141" i="6"/>
  <c r="AB141" i="6" s="1"/>
  <c r="AJ90" i="6"/>
  <c r="AI90" i="6"/>
  <c r="AB90" i="6" s="1"/>
  <c r="AJ78" i="6"/>
  <c r="AI78" i="6"/>
  <c r="AB78" i="6" s="1"/>
  <c r="AG88" i="6"/>
  <c r="AF88" i="6"/>
  <c r="AA88" i="6" s="1"/>
  <c r="AJ59" i="6"/>
  <c r="AI59" i="6"/>
  <c r="AB59" i="6" s="1"/>
  <c r="AF61" i="6"/>
  <c r="AG61" i="6"/>
  <c r="BG61" i="6" s="1"/>
  <c r="AG142" i="6"/>
  <c r="AF142" i="6"/>
  <c r="AA142" i="6" s="1"/>
  <c r="AC142" i="6" s="1"/>
  <c r="AI130" i="6"/>
  <c r="AB130" i="6" s="1"/>
  <c r="AJ130" i="6"/>
  <c r="AJ127" i="6"/>
  <c r="AI127" i="6"/>
  <c r="AB127" i="6" s="1"/>
  <c r="AG139" i="6"/>
  <c r="AF139" i="6"/>
  <c r="AA139" i="6" s="1"/>
  <c r="AC139" i="6" s="1"/>
  <c r="AI142" i="6"/>
  <c r="AB142" i="6" s="1"/>
  <c r="AJ142" i="6"/>
  <c r="AJ89" i="6"/>
  <c r="AI89" i="6"/>
  <c r="AB89" i="6" s="1"/>
  <c r="AG90" i="6"/>
  <c r="AF90" i="6"/>
  <c r="AA90" i="6" s="1"/>
  <c r="AC90" i="6" s="1"/>
  <c r="AG77" i="6"/>
  <c r="AF77" i="6"/>
  <c r="AA77" i="6" s="1"/>
  <c r="AJ57" i="6"/>
  <c r="BM57" i="6" s="1"/>
  <c r="AI57" i="6"/>
  <c r="AJ43" i="6"/>
  <c r="AI43" i="6"/>
  <c r="AB43" i="6" s="1"/>
  <c r="AC43" i="6" s="1"/>
  <c r="AG57" i="6"/>
  <c r="AF57" i="6"/>
  <c r="AA57" i="6" s="1"/>
  <c r="AG43" i="6"/>
  <c r="AF43" i="6"/>
  <c r="AA43" i="6" s="1"/>
  <c r="AG149" i="6"/>
  <c r="AF149" i="6"/>
  <c r="AA149" i="6" s="1"/>
  <c r="AC149" i="6" s="1"/>
  <c r="AG143" i="6"/>
  <c r="AF143" i="6"/>
  <c r="AA143" i="6" s="1"/>
  <c r="AC143" i="6" s="1"/>
  <c r="AJ134" i="6"/>
  <c r="BM134" i="6" s="1"/>
  <c r="AI134" i="6"/>
  <c r="AG137" i="6"/>
  <c r="AF137" i="6"/>
  <c r="AA137" i="6" s="1"/>
  <c r="AC137" i="6" s="1"/>
  <c r="AG130" i="6"/>
  <c r="BG130" i="6" s="1"/>
  <c r="AF130" i="6"/>
  <c r="AI140" i="6"/>
  <c r="AJ140" i="6"/>
  <c r="BM140" i="6" s="1"/>
  <c r="AJ91" i="6"/>
  <c r="AI91" i="6"/>
  <c r="AB91" i="6" s="1"/>
  <c r="AC91" i="6" s="1"/>
  <c r="AG91" i="6"/>
  <c r="AF91" i="6"/>
  <c r="AA91" i="6" s="1"/>
  <c r="AI61" i="6"/>
  <c r="AB61" i="6" s="1"/>
  <c r="AJ61" i="6"/>
  <c r="AJ41" i="6"/>
  <c r="AI41" i="6"/>
  <c r="AB41" i="6" s="1"/>
  <c r="AF58" i="6"/>
  <c r="AA58" i="6" s="1"/>
  <c r="AG58" i="6"/>
  <c r="AF41" i="6"/>
  <c r="AA41" i="6" s="1"/>
  <c r="AC41" i="6" s="1"/>
  <c r="AG41" i="6"/>
  <c r="AA130" i="6" l="1"/>
  <c r="AC130" i="6" s="1"/>
  <c r="BF130" i="6"/>
  <c r="AB57" i="6"/>
  <c r="AC57" i="6" s="1"/>
  <c r="BL57" i="6"/>
  <c r="AB77" i="6"/>
  <c r="AC77" i="6" s="1"/>
  <c r="BL77" i="6"/>
  <c r="BL135" i="6"/>
  <c r="AB135" i="6"/>
  <c r="AC135" i="6" s="1"/>
  <c r="AB133" i="6"/>
  <c r="AC133" i="6" s="1"/>
  <c r="BL133" i="6"/>
  <c r="AA60" i="6"/>
  <c r="AC60" i="6" s="1"/>
  <c r="BF60" i="6"/>
  <c r="AA132" i="6"/>
  <c r="AC132" i="6" s="1"/>
  <c r="BF132" i="6"/>
  <c r="AB56" i="6"/>
  <c r="AC56" i="6" s="1"/>
  <c r="BL56" i="6"/>
  <c r="AA126" i="6"/>
  <c r="AC126" i="6" s="1"/>
  <c r="BF126" i="6"/>
  <c r="BF127" i="6"/>
  <c r="AA127" i="6"/>
  <c r="AC127" i="6" s="1"/>
  <c r="AB58" i="6"/>
  <c r="AC58" i="6" s="1"/>
  <c r="BL58" i="6"/>
  <c r="AA148" i="6"/>
  <c r="AC148" i="6" s="1"/>
  <c r="BF148" i="6"/>
  <c r="AB134" i="6"/>
  <c r="AC134" i="6" s="1"/>
  <c r="BL134" i="6"/>
  <c r="AA141" i="6"/>
  <c r="AC141" i="6" s="1"/>
  <c r="BF141" i="6"/>
  <c r="AA78" i="6"/>
  <c r="AC78" i="6" s="1"/>
  <c r="BF78" i="6"/>
  <c r="AA131" i="6"/>
  <c r="AC131" i="6" s="1"/>
  <c r="BF131" i="6"/>
  <c r="BF103" i="6"/>
  <c r="AA103" i="6"/>
  <c r="AC103" i="6" s="1"/>
  <c r="AA59" i="6"/>
  <c r="AC59" i="6" s="1"/>
  <c r="BF59" i="6"/>
  <c r="BL140" i="6"/>
  <c r="AB140" i="6"/>
  <c r="AC140" i="6" s="1"/>
  <c r="BF61" i="6"/>
  <c r="AA61" i="6"/>
  <c r="AC61" i="6" s="1"/>
  <c r="D17" i="24"/>
  <c r="C17" i="24"/>
  <c r="B17" i="24"/>
  <c r="W10" i="24" l="1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FZ276" i="6" l="1"/>
  <c r="FW276" i="6" s="1"/>
  <c r="FZ277" i="6"/>
  <c r="FW277" i="6" s="1"/>
  <c r="FZ278" i="6"/>
  <c r="FW278" i="6" s="1"/>
  <c r="FZ283" i="6"/>
  <c r="FW283" i="6" s="1"/>
  <c r="FZ284" i="6"/>
  <c r="FW284" i="6" s="1"/>
  <c r="FZ285" i="6"/>
  <c r="FW285" i="6" s="1"/>
  <c r="FZ286" i="6"/>
  <c r="FW286" i="6" s="1"/>
  <c r="FZ287" i="6"/>
  <c r="FW287" i="6" s="1"/>
  <c r="FZ298" i="6"/>
  <c r="FW298" i="6" s="1"/>
  <c r="FZ299" i="6"/>
  <c r="FW299" i="6" s="1"/>
  <c r="FZ300" i="6"/>
  <c r="FW300" i="6" s="1"/>
  <c r="FZ301" i="6"/>
  <c r="FW301" i="6" s="1"/>
  <c r="FZ302" i="6"/>
  <c r="FW302" i="6" s="1"/>
  <c r="Y571" i="17" l="1"/>
  <c r="Y466" i="22"/>
  <c r="Y573" i="17"/>
  <c r="Y574" i="17"/>
  <c r="Y572" i="17"/>
  <c r="Y570" i="17"/>
  <c r="Y566" i="17"/>
  <c r="Y567" i="17"/>
  <c r="Y568" i="17"/>
  <c r="Y569" i="17"/>
  <c r="Y565" i="17"/>
  <c r="Y564" i="17"/>
  <c r="Y645" i="22"/>
  <c r="Y724" i="17"/>
  <c r="Y716" i="17"/>
  <c r="Y732" i="17"/>
  <c r="Y641" i="22"/>
  <c r="Y649" i="22"/>
  <c r="Y644" i="22"/>
  <c r="Y646" i="22"/>
  <c r="Y650" i="22"/>
  <c r="Y652" i="22"/>
  <c r="Y642" i="22"/>
  <c r="Y710" i="17"/>
  <c r="Y711" i="17"/>
  <c r="Y638" i="22"/>
  <c r="Y714" i="17"/>
  <c r="Y730" i="17"/>
  <c r="Y727" i="17"/>
  <c r="Y726" i="17"/>
  <c r="Y719" i="17"/>
  <c r="Y648" i="22"/>
  <c r="Y643" i="22"/>
  <c r="Y639" i="22"/>
  <c r="Y723" i="17"/>
  <c r="Y651" i="22"/>
  <c r="Y712" i="17"/>
  <c r="Y640" i="22"/>
  <c r="Y647" i="22"/>
  <c r="Y729" i="17"/>
  <c r="Y717" i="17"/>
  <c r="Y715" i="17"/>
  <c r="Y721" i="17"/>
  <c r="Y728" i="17"/>
  <c r="Y722" i="17"/>
  <c r="Y720" i="17"/>
  <c r="Y725" i="17"/>
  <c r="Y718" i="17"/>
  <c r="Y713" i="17"/>
  <c r="Y733" i="17"/>
  <c r="Y731" i="17"/>
  <c r="Y145" i="22"/>
  <c r="Y146" i="22"/>
  <c r="Y699" i="17"/>
  <c r="Y630" i="22"/>
  <c r="Y922" i="17"/>
  <c r="Y682" i="17"/>
  <c r="Y631" i="22"/>
  <c r="Y629" i="22"/>
  <c r="Y695" i="17"/>
  <c r="Y319" i="23"/>
  <c r="Y684" i="17"/>
  <c r="Y623" i="22"/>
  <c r="Y637" i="22"/>
  <c r="Y708" i="17"/>
  <c r="Y320" i="23"/>
  <c r="Y633" i="22"/>
  <c r="Y700" i="17"/>
  <c r="Y679" i="17"/>
  <c r="Y691" i="17"/>
  <c r="Y321" i="23"/>
  <c r="Y634" i="22"/>
  <c r="Y636" i="22"/>
  <c r="Y627" i="22"/>
  <c r="Y628" i="22"/>
  <c r="Y687" i="17"/>
  <c r="Y698" i="17"/>
  <c r="Y625" i="22"/>
  <c r="Y694" i="17"/>
  <c r="Y686" i="17"/>
  <c r="Y706" i="17"/>
  <c r="Y690" i="17"/>
  <c r="Y632" i="22"/>
  <c r="Y626" i="22"/>
  <c r="Y624" i="22"/>
  <c r="Y702" i="17"/>
  <c r="Y678" i="17"/>
  <c r="Y683" i="17"/>
  <c r="Y709" i="17"/>
  <c r="Y704" i="17"/>
  <c r="Y697" i="17"/>
  <c r="Y701" i="17"/>
  <c r="Y689" i="17"/>
  <c r="Y693" i="17"/>
  <c r="Y707" i="17"/>
  <c r="Y696" i="17"/>
  <c r="Y680" i="17"/>
  <c r="Y27" i="17"/>
  <c r="Y45" i="17"/>
  <c r="Y64" i="17"/>
  <c r="Y47" i="17"/>
  <c r="Y49" i="17"/>
  <c r="Y43" i="17"/>
  <c r="FX302" i="6"/>
  <c r="FY302" i="6"/>
  <c r="FY286" i="6"/>
  <c r="FX286" i="6"/>
  <c r="FX299" i="6"/>
  <c r="FY299" i="6"/>
  <c r="FY300" i="6"/>
  <c r="FX300" i="6"/>
  <c r="FY301" i="6"/>
  <c r="FX301" i="6"/>
  <c r="FX285" i="6"/>
  <c r="FY285" i="6"/>
  <c r="FX298" i="6"/>
  <c r="FY298" i="6"/>
  <c r="FX287" i="6"/>
  <c r="FY287" i="6"/>
  <c r="FY284" i="6"/>
  <c r="FX284" i="6"/>
  <c r="FX283" i="6"/>
  <c r="FY283" i="6"/>
  <c r="FX277" i="6"/>
  <c r="FY277" i="6"/>
  <c r="FX278" i="6"/>
  <c r="FY278" i="6"/>
  <c r="FX276" i="6"/>
  <c r="FY276" i="6"/>
  <c r="FZ262" i="6"/>
  <c r="FW262" i="6" s="1"/>
  <c r="FZ274" i="6"/>
  <c r="FW274" i="6" s="1"/>
  <c r="FZ266" i="6"/>
  <c r="FW266" i="6" s="1"/>
  <c r="Y527" i="17" s="1"/>
  <c r="FZ257" i="6"/>
  <c r="FW257" i="6" s="1"/>
  <c r="FZ265" i="6"/>
  <c r="FW265" i="6" s="1"/>
  <c r="FZ264" i="6"/>
  <c r="FW264" i="6" s="1"/>
  <c r="FZ275" i="6"/>
  <c r="FW275" i="6" s="1"/>
  <c r="FZ252" i="6"/>
  <c r="FW252" i="6" s="1"/>
  <c r="FZ255" i="6"/>
  <c r="FW255" i="6" s="1"/>
  <c r="FZ254" i="6"/>
  <c r="FW254" i="6" s="1"/>
  <c r="FZ258" i="6"/>
  <c r="FW258" i="6" s="1"/>
  <c r="Y932" i="17" s="1"/>
  <c r="FZ261" i="6"/>
  <c r="FW261" i="6" s="1"/>
  <c r="AA571" i="17" l="1"/>
  <c r="AA466" i="22"/>
  <c r="AA574" i="17"/>
  <c r="AA573" i="17"/>
  <c r="AA572" i="17"/>
  <c r="AA570" i="17"/>
  <c r="Z145" i="22"/>
  <c r="Z146" i="22"/>
  <c r="Y863" i="22"/>
  <c r="Y865" i="22"/>
  <c r="Y864" i="22"/>
  <c r="AA27" i="17"/>
  <c r="AA45" i="17"/>
  <c r="AA47" i="17"/>
  <c r="AA64" i="17"/>
  <c r="AA49" i="17"/>
  <c r="AA43" i="17"/>
  <c r="Y384" i="22"/>
  <c r="Y376" i="22"/>
  <c r="Y377" i="22"/>
  <c r="Y378" i="22"/>
  <c r="Y382" i="22"/>
  <c r="Y383" i="22"/>
  <c r="Y379" i="22"/>
  <c r="Y380" i="22"/>
  <c r="Y525" i="17"/>
  <c r="Y876" i="22"/>
  <c r="Y875" i="22"/>
  <c r="Y873" i="22"/>
  <c r="Y874" i="22"/>
  <c r="Y273" i="23"/>
  <c r="Y276" i="23"/>
  <c r="Y275" i="23"/>
  <c r="Y281" i="23"/>
  <c r="Y277" i="23"/>
  <c r="Y269" i="23"/>
  <c r="Y452" i="22"/>
  <c r="Y555" i="17"/>
  <c r="Y280" i="23"/>
  <c r="Y279" i="23"/>
  <c r="Y274" i="23"/>
  <c r="Y278" i="23"/>
  <c r="Y270" i="23"/>
  <c r="Y272" i="23"/>
  <c r="Y271" i="23"/>
  <c r="AA145" i="22"/>
  <c r="AA146" i="22"/>
  <c r="Y867" i="22"/>
  <c r="Y868" i="22"/>
  <c r="Y869" i="22"/>
  <c r="Y294" i="23"/>
  <c r="Y296" i="23"/>
  <c r="Y295" i="23"/>
  <c r="Y291" i="23"/>
  <c r="Y298" i="23"/>
  <c r="Y283" i="23"/>
  <c r="Y287" i="23"/>
  <c r="Y292" i="23"/>
  <c r="Y286" i="23"/>
  <c r="Y288" i="23"/>
  <c r="Y284" i="23"/>
  <c r="Y290" i="23"/>
  <c r="Y455" i="22"/>
  <c r="Y454" i="22"/>
  <c r="Y556" i="17"/>
  <c r="Y285" i="23"/>
  <c r="Y282" i="23"/>
  <c r="Y293" i="23"/>
  <c r="Y289" i="23"/>
  <c r="Y297" i="23"/>
  <c r="Z45" i="17"/>
  <c r="Z27" i="17"/>
  <c r="Z49" i="17"/>
  <c r="Z64" i="17"/>
  <c r="Z47" i="17"/>
  <c r="Z43" i="17"/>
  <c r="Y859" i="22"/>
  <c r="Y860" i="22"/>
  <c r="Y858" i="22"/>
  <c r="AA566" i="17"/>
  <c r="AA568" i="17"/>
  <c r="AA567" i="17"/>
  <c r="AA565" i="17"/>
  <c r="AA564" i="17"/>
  <c r="AA569" i="17"/>
  <c r="Z699" i="17"/>
  <c r="Z630" i="22"/>
  <c r="Z922" i="17"/>
  <c r="Z682" i="17"/>
  <c r="Z631" i="22"/>
  <c r="AA708" i="17"/>
  <c r="AA684" i="17"/>
  <c r="AA319" i="23"/>
  <c r="AA695" i="17"/>
  <c r="AA637" i="22"/>
  <c r="AA629" i="22"/>
  <c r="AA623" i="22"/>
  <c r="AA320" i="23"/>
  <c r="AA633" i="22"/>
  <c r="AA691" i="17"/>
  <c r="AA700" i="17"/>
  <c r="AA679" i="17"/>
  <c r="AA321" i="23"/>
  <c r="AA636" i="22"/>
  <c r="AA627" i="22"/>
  <c r="AA634" i="22"/>
  <c r="AA628" i="22"/>
  <c r="AA698" i="17"/>
  <c r="AA687" i="17"/>
  <c r="AA625" i="22"/>
  <c r="AA706" i="17"/>
  <c r="AA694" i="17"/>
  <c r="AA686" i="17"/>
  <c r="AA690" i="17"/>
  <c r="AA626" i="22"/>
  <c r="AA632" i="22"/>
  <c r="AA678" i="17"/>
  <c r="AA624" i="22"/>
  <c r="AA697" i="17"/>
  <c r="AA683" i="17"/>
  <c r="AA709" i="17"/>
  <c r="AA696" i="17"/>
  <c r="AA680" i="17"/>
  <c r="AA702" i="17"/>
  <c r="AA701" i="17"/>
  <c r="AA704" i="17"/>
  <c r="AA689" i="17"/>
  <c r="AA693" i="17"/>
  <c r="AA707" i="17"/>
  <c r="Z566" i="17"/>
  <c r="Z568" i="17"/>
  <c r="Z567" i="17"/>
  <c r="Z569" i="17"/>
  <c r="Z565" i="17"/>
  <c r="Z564" i="17"/>
  <c r="AA699" i="17"/>
  <c r="AA922" i="17"/>
  <c r="AA630" i="22"/>
  <c r="AA682" i="17"/>
  <c r="AA631" i="22"/>
  <c r="Z637" i="22"/>
  <c r="Z695" i="17"/>
  <c r="Z629" i="22"/>
  <c r="Z623" i="22"/>
  <c r="Z319" i="23"/>
  <c r="Z684" i="17"/>
  <c r="Z708" i="17"/>
  <c r="Z320" i="23"/>
  <c r="Z633" i="22"/>
  <c r="Z691" i="17"/>
  <c r="Z700" i="17"/>
  <c r="Z679" i="17"/>
  <c r="Z321" i="23"/>
  <c r="Z627" i="22"/>
  <c r="Z636" i="22"/>
  <c r="Z628" i="22"/>
  <c r="Z634" i="22"/>
  <c r="Z687" i="17"/>
  <c r="Z625" i="22"/>
  <c r="Z698" i="17"/>
  <c r="Z706" i="17"/>
  <c r="Z694" i="17"/>
  <c r="Z686" i="17"/>
  <c r="Z690" i="17"/>
  <c r="Z632" i="22"/>
  <c r="Z678" i="17"/>
  <c r="Z626" i="22"/>
  <c r="Z624" i="22"/>
  <c r="Z697" i="17"/>
  <c r="Z696" i="17"/>
  <c r="Z680" i="17"/>
  <c r="Z704" i="17"/>
  <c r="Z683" i="17"/>
  <c r="Z689" i="17"/>
  <c r="Z709" i="17"/>
  <c r="Z707" i="17"/>
  <c r="Z701" i="17"/>
  <c r="Z693" i="17"/>
  <c r="Z702" i="17"/>
  <c r="Y526" i="17"/>
  <c r="Y524" i="17"/>
  <c r="AA732" i="17"/>
  <c r="AA645" i="22"/>
  <c r="AA716" i="17"/>
  <c r="AA724" i="17"/>
  <c r="AA649" i="22"/>
  <c r="AA641" i="22"/>
  <c r="AA642" i="22"/>
  <c r="AA650" i="22"/>
  <c r="AA644" i="22"/>
  <c r="AA652" i="22"/>
  <c r="AA646" i="22"/>
  <c r="AA710" i="17"/>
  <c r="AA638" i="22"/>
  <c r="AA711" i="17"/>
  <c r="AA726" i="17"/>
  <c r="AA714" i="17"/>
  <c r="AA730" i="17"/>
  <c r="AA727" i="17"/>
  <c r="AA648" i="22"/>
  <c r="AA643" i="22"/>
  <c r="AA723" i="17"/>
  <c r="AA719" i="17"/>
  <c r="AA639" i="22"/>
  <c r="AA651" i="22"/>
  <c r="AA640" i="22"/>
  <c r="AA647" i="22"/>
  <c r="AA718" i="17"/>
  <c r="AA731" i="17"/>
  <c r="AA729" i="17"/>
  <c r="AA722" i="17"/>
  <c r="AA721" i="17"/>
  <c r="AA725" i="17"/>
  <c r="AA728" i="17"/>
  <c r="AA713" i="17"/>
  <c r="AA712" i="17"/>
  <c r="AA720" i="17"/>
  <c r="AA733" i="17"/>
  <c r="AA717" i="17"/>
  <c r="AA715" i="17"/>
  <c r="Z571" i="17"/>
  <c r="Z466" i="22"/>
  <c r="Z573" i="17"/>
  <c r="Z574" i="17"/>
  <c r="Z572" i="17"/>
  <c r="Z570" i="17"/>
  <c r="Z645" i="22"/>
  <c r="Z732" i="17"/>
  <c r="Z724" i="17"/>
  <c r="Z716" i="17"/>
  <c r="Z649" i="22"/>
  <c r="Z641" i="22"/>
  <c r="Z642" i="22"/>
  <c r="Z650" i="22"/>
  <c r="Z644" i="22"/>
  <c r="Z652" i="22"/>
  <c r="Z646" i="22"/>
  <c r="Z710" i="17"/>
  <c r="Z726" i="17"/>
  <c r="Z638" i="22"/>
  <c r="Z711" i="17"/>
  <c r="Z730" i="17"/>
  <c r="Z727" i="17"/>
  <c r="Z714" i="17"/>
  <c r="Z723" i="17"/>
  <c r="Z648" i="22"/>
  <c r="Z643" i="22"/>
  <c r="Z719" i="17"/>
  <c r="Z639" i="22"/>
  <c r="Z651" i="22"/>
  <c r="Z640" i="22"/>
  <c r="Z647" i="22"/>
  <c r="Z712" i="17"/>
  <c r="Z733" i="17"/>
  <c r="Z731" i="17"/>
  <c r="Z715" i="17"/>
  <c r="Z717" i="17"/>
  <c r="Z728" i="17"/>
  <c r="Z713" i="17"/>
  <c r="Z718" i="17"/>
  <c r="Z720" i="17"/>
  <c r="Z725" i="17"/>
  <c r="Z729" i="17"/>
  <c r="Z721" i="17"/>
  <c r="Z722" i="17"/>
  <c r="FX264" i="6"/>
  <c r="FY264" i="6"/>
  <c r="FX265" i="6"/>
  <c r="FY265" i="6"/>
  <c r="FX261" i="6"/>
  <c r="FY261" i="6"/>
  <c r="FX257" i="6"/>
  <c r="FY257" i="6"/>
  <c r="FX275" i="6"/>
  <c r="FY275" i="6"/>
  <c r="FX262" i="6"/>
  <c r="FY262" i="6"/>
  <c r="FX258" i="6"/>
  <c r="Z932" i="17" s="1"/>
  <c r="FY258" i="6"/>
  <c r="AA932" i="17" s="1"/>
  <c r="FX266" i="6"/>
  <c r="Z527" i="17" s="1"/>
  <c r="FY266" i="6"/>
  <c r="AA527" i="17" s="1"/>
  <c r="FX254" i="6"/>
  <c r="FY254" i="6"/>
  <c r="FX274" i="6"/>
  <c r="FY274" i="6"/>
  <c r="FX255" i="6"/>
  <c r="FY255" i="6"/>
  <c r="FX252" i="6"/>
  <c r="FY252" i="6"/>
  <c r="FZ256" i="6"/>
  <c r="FW256" i="6" s="1"/>
  <c r="FZ253" i="6"/>
  <c r="FW253" i="6" s="1"/>
  <c r="FZ269" i="6"/>
  <c r="FW269" i="6" s="1"/>
  <c r="Y523" i="17" s="1"/>
  <c r="FZ270" i="6"/>
  <c r="FW270" i="6" s="1"/>
  <c r="Y528" i="17" s="1"/>
  <c r="FZ267" i="6"/>
  <c r="FW267" i="6" s="1"/>
  <c r="AA863" i="22" l="1"/>
  <c r="AA865" i="22"/>
  <c r="AA864" i="22"/>
  <c r="Z863" i="22"/>
  <c r="Z865" i="22"/>
  <c r="Z864" i="22"/>
  <c r="AA860" i="22"/>
  <c r="AA859" i="22"/>
  <c r="AA858" i="22"/>
  <c r="AA876" i="22"/>
  <c r="AA875" i="22"/>
  <c r="AA873" i="22"/>
  <c r="AA874" i="22"/>
  <c r="Z876" i="22"/>
  <c r="Z875" i="22"/>
  <c r="Z873" i="22"/>
  <c r="Z874" i="22"/>
  <c r="Y871" i="22"/>
  <c r="Y870" i="22"/>
  <c r="Y872" i="22"/>
  <c r="Z860" i="22"/>
  <c r="Z859" i="22"/>
  <c r="Z858" i="22"/>
  <c r="AA868" i="22"/>
  <c r="AA867" i="22"/>
  <c r="AA869" i="22"/>
  <c r="Y396" i="22"/>
  <c r="Y394" i="22"/>
  <c r="Y389" i="22"/>
  <c r="Y398" i="22"/>
  <c r="Y387" i="22"/>
  <c r="Y395" i="22"/>
  <c r="Y390" i="22"/>
  <c r="Y391" i="22"/>
  <c r="Z868" i="22"/>
  <c r="Z867" i="22"/>
  <c r="Z869" i="22"/>
  <c r="Z273" i="23"/>
  <c r="Z275" i="23"/>
  <c r="Z281" i="23"/>
  <c r="Z276" i="23"/>
  <c r="Z277" i="23"/>
  <c r="Z269" i="23"/>
  <c r="Z452" i="22"/>
  <c r="Z555" i="17"/>
  <c r="Z272" i="23"/>
  <c r="Z271" i="23"/>
  <c r="Z278" i="23"/>
  <c r="Z280" i="23"/>
  <c r="Z270" i="23"/>
  <c r="Z279" i="23"/>
  <c r="Z274" i="23"/>
  <c r="AA526" i="17"/>
  <c r="AA524" i="17"/>
  <c r="Z526" i="17"/>
  <c r="Z524" i="17"/>
  <c r="AA273" i="23"/>
  <c r="AA276" i="23"/>
  <c r="AA281" i="23"/>
  <c r="AA275" i="23"/>
  <c r="AA277" i="23"/>
  <c r="AA269" i="23"/>
  <c r="AA452" i="22"/>
  <c r="AA555" i="17"/>
  <c r="AA272" i="23"/>
  <c r="AA271" i="23"/>
  <c r="AA274" i="23"/>
  <c r="AA280" i="23"/>
  <c r="AA278" i="23"/>
  <c r="AA279" i="23"/>
  <c r="AA270" i="23"/>
  <c r="AA294" i="23"/>
  <c r="AA286" i="23"/>
  <c r="AA298" i="23"/>
  <c r="AA290" i="23"/>
  <c r="AA296" i="23"/>
  <c r="AA295" i="23"/>
  <c r="AA292" i="23"/>
  <c r="AA283" i="23"/>
  <c r="AA284" i="23"/>
  <c r="AA287" i="23"/>
  <c r="AA291" i="23"/>
  <c r="AA288" i="23"/>
  <c r="AA455" i="22"/>
  <c r="AA454" i="22"/>
  <c r="AA556" i="17"/>
  <c r="AA297" i="23"/>
  <c r="AA282" i="23"/>
  <c r="AA285" i="23"/>
  <c r="AA289" i="23"/>
  <c r="AA293" i="23"/>
  <c r="AA377" i="22"/>
  <c r="AA384" i="22"/>
  <c r="AA376" i="22"/>
  <c r="AA378" i="22"/>
  <c r="AA382" i="22"/>
  <c r="AA380" i="22"/>
  <c r="AA383" i="22"/>
  <c r="AA379" i="22"/>
  <c r="AA525" i="17"/>
  <c r="Z294" i="23"/>
  <c r="Z291" i="23"/>
  <c r="Z290" i="23"/>
  <c r="Z292" i="23"/>
  <c r="Z283" i="23"/>
  <c r="Z295" i="23"/>
  <c r="Z284" i="23"/>
  <c r="Z288" i="23"/>
  <c r="Z287" i="23"/>
  <c r="Z286" i="23"/>
  <c r="Z296" i="23"/>
  <c r="Z298" i="23"/>
  <c r="Z455" i="22"/>
  <c r="Z454" i="22"/>
  <c r="Z556" i="17"/>
  <c r="Z282" i="23"/>
  <c r="Z285" i="23"/>
  <c r="Z293" i="23"/>
  <c r="Z289" i="23"/>
  <c r="Z297" i="23"/>
  <c r="Z377" i="22"/>
  <c r="Z384" i="22"/>
  <c r="Z376" i="22"/>
  <c r="Z378" i="22"/>
  <c r="Z382" i="22"/>
  <c r="Z380" i="22"/>
  <c r="Z383" i="22"/>
  <c r="Z379" i="22"/>
  <c r="Z525" i="17"/>
  <c r="FX253" i="6"/>
  <c r="FY253" i="6"/>
  <c r="FX269" i="6"/>
  <c r="Z523" i="17" s="1"/>
  <c r="FY269" i="6"/>
  <c r="AA523" i="17" s="1"/>
  <c r="FX270" i="6"/>
  <c r="Z528" i="17" s="1"/>
  <c r="FY270" i="6"/>
  <c r="AA528" i="17" s="1"/>
  <c r="FX256" i="6"/>
  <c r="FY256" i="6"/>
  <c r="FX267" i="6"/>
  <c r="FY267" i="6"/>
  <c r="FZ268" i="6"/>
  <c r="FW268" i="6" s="1"/>
  <c r="AA396" i="22" l="1"/>
  <c r="AA394" i="22"/>
  <c r="AA389" i="22"/>
  <c r="AA398" i="22"/>
  <c r="AA387" i="22"/>
  <c r="AA395" i="22"/>
  <c r="AA390" i="22"/>
  <c r="AA391" i="22"/>
  <c r="Z396" i="22"/>
  <c r="Z394" i="22"/>
  <c r="Z389" i="22"/>
  <c r="Z398" i="22"/>
  <c r="Z395" i="22"/>
  <c r="Z387" i="22"/>
  <c r="Z390" i="22"/>
  <c r="Z391" i="22"/>
  <c r="AA871" i="22"/>
  <c r="AA872" i="22"/>
  <c r="AA870" i="22"/>
  <c r="Z871" i="22"/>
  <c r="Z872" i="22"/>
  <c r="Z870" i="22"/>
  <c r="Y388" i="22"/>
  <c r="Y400" i="22"/>
  <c r="Y401" i="22"/>
  <c r="Y393" i="22"/>
  <c r="Y392" i="22"/>
  <c r="Y386" i="22"/>
  <c r="Y397" i="22"/>
  <c r="Y402" i="22"/>
  <c r="Y385" i="22"/>
  <c r="Y399" i="22"/>
  <c r="FX268" i="6"/>
  <c r="FY268" i="6"/>
  <c r="AA388" i="22" l="1"/>
  <c r="AA400" i="22"/>
  <c r="AA401" i="22"/>
  <c r="AA392" i="22"/>
  <c r="AA393" i="22"/>
  <c r="AA386" i="22"/>
  <c r="AA402" i="22"/>
  <c r="AA397" i="22"/>
  <c r="AA399" i="22"/>
  <c r="AA385" i="22"/>
  <c r="Z388" i="22"/>
  <c r="Z400" i="22"/>
  <c r="Z401" i="22"/>
  <c r="Z392" i="22"/>
  <c r="Z393" i="22"/>
  <c r="Z386" i="22"/>
  <c r="Z402" i="22"/>
  <c r="Z397" i="22"/>
  <c r="Z385" i="22"/>
  <c r="Z399" i="22"/>
  <c r="Z32" i="24"/>
  <c r="Y32" i="24"/>
  <c r="X32" i="24"/>
  <c r="C8" i="22"/>
  <c r="D8" i="22" s="1"/>
  <c r="E8" i="22" s="1"/>
  <c r="F8" i="22" s="1"/>
  <c r="H8" i="22"/>
  <c r="I8" i="22"/>
  <c r="J8" i="22"/>
  <c r="K8" i="22"/>
  <c r="H58" i="24"/>
  <c r="I58" i="24"/>
  <c r="J58" i="24"/>
  <c r="K58" i="24"/>
  <c r="L58" i="24"/>
  <c r="M58" i="24"/>
  <c r="N58" i="24"/>
  <c r="O58" i="24"/>
  <c r="P58" i="24"/>
  <c r="Q58" i="24"/>
  <c r="R58" i="24"/>
  <c r="S58" i="24"/>
  <c r="T58" i="24"/>
  <c r="U58" i="24"/>
  <c r="V58" i="24"/>
  <c r="W58" i="24"/>
  <c r="X58" i="24"/>
  <c r="Y58" i="24"/>
  <c r="Z58" i="24"/>
  <c r="G58" i="24"/>
  <c r="C58" i="24"/>
  <c r="D58" i="24"/>
  <c r="E58" i="24"/>
  <c r="F58" i="24"/>
  <c r="B58" i="24"/>
  <c r="C33" i="24" l="1"/>
  <c r="D33" i="24"/>
  <c r="E33" i="24"/>
  <c r="F33" i="24"/>
  <c r="G33" i="24"/>
  <c r="H33" i="24"/>
  <c r="I33" i="24"/>
  <c r="J33" i="24"/>
  <c r="K33" i="24"/>
  <c r="L33" i="24"/>
  <c r="M33" i="24"/>
  <c r="N33" i="24"/>
  <c r="O33" i="24"/>
  <c r="P33" i="24"/>
  <c r="Q33" i="24"/>
  <c r="R33" i="24"/>
  <c r="S33" i="24"/>
  <c r="T33" i="24"/>
  <c r="U33" i="24"/>
  <c r="V33" i="24"/>
  <c r="W33" i="24"/>
  <c r="W38" i="24" s="1"/>
  <c r="B33" i="24"/>
  <c r="AL9" i="24"/>
  <c r="AM9" i="24"/>
  <c r="AN9" i="24"/>
  <c r="AL10" i="24"/>
  <c r="AM10" i="24"/>
  <c r="AN10" i="24"/>
  <c r="C38" i="24" l="1"/>
  <c r="F38" i="24"/>
  <c r="N38" i="24"/>
  <c r="L38" i="24"/>
  <c r="K38" i="24"/>
  <c r="V38" i="24"/>
  <c r="U38" i="24"/>
  <c r="S38" i="24"/>
  <c r="T38" i="24"/>
  <c r="R38" i="24"/>
  <c r="Q38" i="24"/>
  <c r="P38" i="24"/>
  <c r="O38" i="24"/>
  <c r="M38" i="24"/>
  <c r="I38" i="24"/>
  <c r="G38" i="24"/>
  <c r="J38" i="24"/>
  <c r="H38" i="24"/>
  <c r="E38" i="24"/>
  <c r="D38" i="24"/>
  <c r="B38" i="24"/>
  <c r="FZ249" i="6" l="1"/>
  <c r="FW249" i="6" s="1"/>
  <c r="Y849" i="22" l="1"/>
  <c r="Y848" i="22"/>
  <c r="Y850" i="22"/>
  <c r="FX249" i="6"/>
  <c r="FY249" i="6"/>
  <c r="T11" i="5"/>
  <c r="C4" i="23"/>
  <c r="C4" i="22"/>
  <c r="C4" i="17"/>
  <c r="Z849" i="22" l="1"/>
  <c r="Z850" i="22"/>
  <c r="Z848" i="22"/>
  <c r="AA849" i="22"/>
  <c r="AA848" i="22"/>
  <c r="AA850" i="22"/>
  <c r="C8" i="23"/>
  <c r="C5" i="23"/>
  <c r="C5" i="22"/>
  <c r="C5" i="17"/>
  <c r="U11" i="5" l="1"/>
  <c r="V11" i="5"/>
  <c r="AC11" i="5" l="1"/>
  <c r="AE11" i="5" s="1"/>
  <c r="D8" i="23" l="1"/>
  <c r="I8" i="23"/>
  <c r="H8" i="23"/>
  <c r="K8" i="23"/>
  <c r="J8" i="23"/>
  <c r="AD11" i="5"/>
  <c r="AF11" i="5" s="1"/>
  <c r="X8" i="22" l="1"/>
  <c r="W8" i="22"/>
  <c r="T8" i="22"/>
  <c r="U8" i="22"/>
  <c r="V8" i="22"/>
  <c r="R8" i="22"/>
  <c r="S8" i="22"/>
  <c r="E8" i="23"/>
  <c r="F8" i="23" s="1"/>
  <c r="T8" i="23"/>
  <c r="U8" i="23"/>
  <c r="W8" i="23"/>
  <c r="S8" i="23"/>
  <c r="X8" i="23"/>
  <c r="R8" i="23"/>
  <c r="V8" i="23"/>
  <c r="FZ154" i="6"/>
  <c r="FW154" i="6" s="1"/>
  <c r="X11" i="5"/>
  <c r="FZ187" i="6"/>
  <c r="FW187" i="6" s="1"/>
  <c r="Y828" i="22" s="1"/>
  <c r="FZ177" i="6"/>
  <c r="FW177" i="6" s="1"/>
  <c r="Y835" i="22" s="1"/>
  <c r="FZ200" i="6"/>
  <c r="FW200" i="6" s="1"/>
  <c r="FZ16" i="6"/>
  <c r="FW16" i="6" s="1"/>
  <c r="FZ170" i="6"/>
  <c r="FW170" i="6" s="1"/>
  <c r="Y359" i="23" s="1"/>
  <c r="Y11" i="5"/>
  <c r="FZ186" i="6"/>
  <c r="FW186" i="6" s="1"/>
  <c r="FZ26" i="6"/>
  <c r="FW26" i="6" s="1"/>
  <c r="FZ179" i="6"/>
  <c r="FW179" i="6" s="1"/>
  <c r="Y826" i="22" s="1"/>
  <c r="FZ180" i="6"/>
  <c r="FW180" i="6" s="1"/>
  <c r="Y369" i="23" s="1"/>
  <c r="FZ156" i="6"/>
  <c r="FW156" i="6" s="1"/>
  <c r="FZ124" i="6"/>
  <c r="FW124" i="6" s="1"/>
  <c r="Y903" i="17" s="1"/>
  <c r="FZ20" i="6"/>
  <c r="FW20" i="6" s="1"/>
  <c r="FZ208" i="6"/>
  <c r="FW208" i="6" s="1"/>
  <c r="BR8" i="6"/>
  <c r="BQ8" i="6"/>
  <c r="BP8" i="6"/>
  <c r="BO8" i="6"/>
  <c r="BN8" i="6"/>
  <c r="BY4" i="6"/>
  <c r="BX4" i="6"/>
  <c r="BW4" i="6"/>
  <c r="BV4" i="6"/>
  <c r="BU4" i="6"/>
  <c r="BT4" i="6"/>
  <c r="BS4" i="6"/>
  <c r="BR4" i="6"/>
  <c r="BQ4" i="6"/>
  <c r="BP4" i="6"/>
  <c r="BO4" i="6"/>
  <c r="BN4" i="6"/>
  <c r="F12" i="6"/>
  <c r="F10" i="6"/>
  <c r="F9" i="6"/>
  <c r="CL8" i="6"/>
  <c r="CK8" i="6"/>
  <c r="CJ8" i="6"/>
  <c r="BM8" i="6"/>
  <c r="F8" i="6"/>
  <c r="BM7" i="6"/>
  <c r="F7" i="6"/>
  <c r="CL6" i="6"/>
  <c r="CK6" i="6"/>
  <c r="CJ6" i="6"/>
  <c r="BM6" i="6"/>
  <c r="P6" i="6"/>
  <c r="O6" i="6"/>
  <c r="N6" i="6"/>
  <c r="M6" i="6"/>
  <c r="L6" i="6"/>
  <c r="K6" i="6"/>
  <c r="J6" i="6"/>
  <c r="I6" i="6"/>
  <c r="H6" i="6"/>
  <c r="G6" i="6"/>
  <c r="CL5" i="6"/>
  <c r="CK5" i="6"/>
  <c r="CJ5" i="6"/>
  <c r="BM5" i="6"/>
  <c r="P5" i="6"/>
  <c r="O5" i="6"/>
  <c r="N5" i="6"/>
  <c r="M5" i="6"/>
  <c r="L5" i="6"/>
  <c r="K5" i="6"/>
  <c r="J5" i="6"/>
  <c r="I5" i="6"/>
  <c r="H5" i="6"/>
  <c r="G5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M4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P3" i="6"/>
  <c r="O3" i="6"/>
  <c r="N3" i="6"/>
  <c r="M3" i="6"/>
  <c r="L3" i="6"/>
  <c r="K3" i="6"/>
  <c r="J3" i="6"/>
  <c r="I3" i="6"/>
  <c r="H3" i="6"/>
  <c r="G3" i="6"/>
  <c r="CL2" i="6"/>
  <c r="CK2" i="6"/>
  <c r="CJ2" i="6"/>
  <c r="CA2" i="6"/>
  <c r="BS2" i="6"/>
  <c r="BP2" i="6"/>
  <c r="BN2" i="6"/>
  <c r="P2" i="6"/>
  <c r="O2" i="6"/>
  <c r="N2" i="6"/>
  <c r="M2" i="6"/>
  <c r="L2" i="6"/>
  <c r="K2" i="6"/>
  <c r="J2" i="6"/>
  <c r="I2" i="6"/>
  <c r="H2" i="6"/>
  <c r="G2" i="6"/>
  <c r="Z43" i="24"/>
  <c r="DX8" i="6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DR8" i="6" s="1"/>
  <c r="E43" i="24"/>
  <c r="D43" i="24"/>
  <c r="C43" i="24"/>
  <c r="B43" i="24"/>
  <c r="DV8" i="6" s="1"/>
  <c r="B31" i="24"/>
  <c r="AE20" i="24"/>
  <c r="AN17" i="24"/>
  <c r="P12" i="6" s="1"/>
  <c r="AM17" i="24"/>
  <c r="O12" i="6" s="1"/>
  <c r="AL17" i="24"/>
  <c r="N12" i="6" s="1"/>
  <c r="AN16" i="24"/>
  <c r="AM16" i="24"/>
  <c r="AL16" i="24"/>
  <c r="P9" i="6"/>
  <c r="O9" i="6"/>
  <c r="N9" i="6"/>
  <c r="P8" i="6"/>
  <c r="O8" i="6"/>
  <c r="N8" i="6"/>
  <c r="AN8" i="24"/>
  <c r="P7" i="6" s="1"/>
  <c r="AM8" i="24"/>
  <c r="O7" i="6" s="1"/>
  <c r="AL8" i="24"/>
  <c r="N7" i="6" s="1"/>
  <c r="AI8" i="24"/>
  <c r="Y789" i="22" l="1"/>
  <c r="Y820" i="22"/>
  <c r="Y790" i="22"/>
  <c r="Y821" i="22"/>
  <c r="Y249" i="23"/>
  <c r="Y911" i="17"/>
  <c r="Y883" i="17"/>
  <c r="Y637" i="17"/>
  <c r="Y552" i="22"/>
  <c r="Y546" i="22"/>
  <c r="Y551" i="22"/>
  <c r="Y547" i="22"/>
  <c r="Y543" i="22"/>
  <c r="Y553" i="22"/>
  <c r="Y548" i="22"/>
  <c r="Y642" i="17"/>
  <c r="Y632" i="17"/>
  <c r="Y634" i="17"/>
  <c r="Y555" i="22"/>
  <c r="Y545" i="22"/>
  <c r="Y542" i="22"/>
  <c r="Y554" i="22"/>
  <c r="Y544" i="22"/>
  <c r="Y641" i="17"/>
  <c r="Y628" i="17"/>
  <c r="Y630" i="17"/>
  <c r="Y541" i="22"/>
  <c r="Y654" i="17"/>
  <c r="Y633" i="17"/>
  <c r="Y635" i="17"/>
  <c r="Y629" i="17"/>
  <c r="Y638" i="17"/>
  <c r="Y640" i="17"/>
  <c r="Y636" i="17"/>
  <c r="Y643" i="17"/>
  <c r="Y631" i="17"/>
  <c r="Y639" i="17"/>
  <c r="Y540" i="22"/>
  <c r="Y549" i="22"/>
  <c r="Y550" i="22"/>
  <c r="Y22" i="17"/>
  <c r="Y15" i="17"/>
  <c r="Y14" i="17"/>
  <c r="Y31" i="17"/>
  <c r="Y35" i="17"/>
  <c r="Y23" i="17"/>
  <c r="Y784" i="22"/>
  <c r="Y13" i="17"/>
  <c r="Y40" i="17"/>
  <c r="Y20" i="17"/>
  <c r="Y36" i="17"/>
  <c r="Y10" i="17"/>
  <c r="Y21" i="17"/>
  <c r="Y18" i="17"/>
  <c r="Y893" i="17"/>
  <c r="Y32" i="17"/>
  <c r="Y9" i="17"/>
  <c r="Y12" i="17"/>
  <c r="Y11" i="17"/>
  <c r="Y16" i="17"/>
  <c r="Y24" i="17"/>
  <c r="Y38" i="17"/>
  <c r="Y17" i="17"/>
  <c r="Y28" i="17"/>
  <c r="Y902" i="17"/>
  <c r="Y25" i="17"/>
  <c r="Y39" i="17"/>
  <c r="Y29" i="17"/>
  <c r="Y19" i="17"/>
  <c r="Y33" i="17"/>
  <c r="Y26" i="17"/>
  <c r="Y37" i="17"/>
  <c r="Y30" i="17"/>
  <c r="Y34" i="17"/>
  <c r="Y40" i="22"/>
  <c r="Y32" i="22"/>
  <c r="Y18" i="22"/>
  <c r="Y21" i="22"/>
  <c r="Y13" i="22"/>
  <c r="Y771" i="22"/>
  <c r="Y12" i="22"/>
  <c r="Y33" i="22"/>
  <c r="Y34" i="22"/>
  <c r="Y17" i="22"/>
  <c r="Y39" i="22"/>
  <c r="Y22" i="22"/>
  <c r="Y14" i="22"/>
  <c r="Y30" i="22"/>
  <c r="Y41" i="22"/>
  <c r="Y133" i="17"/>
  <c r="Y107" i="17"/>
  <c r="Y130" i="17"/>
  <c r="Y113" i="17"/>
  <c r="Y122" i="17"/>
  <c r="Y134" i="17"/>
  <c r="Y111" i="17"/>
  <c r="Y137" i="17"/>
  <c r="Y106" i="17"/>
  <c r="Y115" i="17"/>
  <c r="Y108" i="17"/>
  <c r="Y136" i="17"/>
  <c r="Y118" i="17"/>
  <c r="Y117" i="17"/>
  <c r="Y125" i="17"/>
  <c r="Y112" i="17"/>
  <c r="Y123" i="17"/>
  <c r="Y131" i="17"/>
  <c r="Y109" i="17"/>
  <c r="Y110" i="17"/>
  <c r="Y119" i="17"/>
  <c r="Y129" i="17"/>
  <c r="Y120" i="17"/>
  <c r="Y128" i="17"/>
  <c r="Y116" i="17"/>
  <c r="Y127" i="17"/>
  <c r="Y124" i="17"/>
  <c r="Y132" i="17"/>
  <c r="Y135" i="17"/>
  <c r="Y126" i="17"/>
  <c r="Y114" i="17"/>
  <c r="Y121" i="17"/>
  <c r="Y362" i="23"/>
  <c r="Y361" i="23"/>
  <c r="Y498" i="22"/>
  <c r="Y499" i="22"/>
  <c r="Y492" i="22"/>
  <c r="Y591" i="17"/>
  <c r="Y597" i="17"/>
  <c r="Y594" i="17"/>
  <c r="Y491" i="22"/>
  <c r="Y589" i="17"/>
  <c r="Y501" i="22"/>
  <c r="Y496" i="22"/>
  <c r="Y493" i="22"/>
  <c r="Y596" i="17"/>
  <c r="Y598" i="17"/>
  <c r="Y599" i="17"/>
  <c r="Y592" i="17"/>
  <c r="Y595" i="17"/>
  <c r="Y600" i="17"/>
  <c r="Y593" i="17"/>
  <c r="Y590" i="17"/>
  <c r="Y497" i="22"/>
  <c r="Y500" i="22"/>
  <c r="Y495" i="22"/>
  <c r="Y494" i="22"/>
  <c r="K7" i="6"/>
  <c r="AI22" i="24"/>
  <c r="AI28" i="24"/>
  <c r="FX20" i="6"/>
  <c r="FY20" i="6"/>
  <c r="FX16" i="6"/>
  <c r="FY16" i="6"/>
  <c r="FX26" i="6"/>
  <c r="FY26" i="6"/>
  <c r="FX170" i="6"/>
  <c r="Z359" i="23" s="1"/>
  <c r="FY170" i="6"/>
  <c r="AA359" i="23" s="1"/>
  <c r="FX124" i="6"/>
  <c r="Z903" i="17" s="1"/>
  <c r="FY124" i="6"/>
  <c r="AA903" i="17" s="1"/>
  <c r="FX156" i="6"/>
  <c r="FY156" i="6"/>
  <c r="FX200" i="6"/>
  <c r="FY200" i="6"/>
  <c r="FX179" i="6"/>
  <c r="Z826" i="22" s="1"/>
  <c r="FY179" i="6"/>
  <c r="AA826" i="22" s="1"/>
  <c r="FX180" i="6"/>
  <c r="Z369" i="23" s="1"/>
  <c r="FY180" i="6"/>
  <c r="AA369" i="23" s="1"/>
  <c r="FX177" i="6"/>
  <c r="Z835" i="22" s="1"/>
  <c r="FY177" i="6"/>
  <c r="AA835" i="22" s="1"/>
  <c r="FX154" i="6"/>
  <c r="FY154" i="6"/>
  <c r="FX208" i="6"/>
  <c r="FY208" i="6"/>
  <c r="FX186" i="6"/>
  <c r="FY186" i="6"/>
  <c r="FX187" i="6"/>
  <c r="Z828" i="22" s="1"/>
  <c r="FY187" i="6"/>
  <c r="AA828" i="22" s="1"/>
  <c r="E32" i="24"/>
  <c r="M32" i="24"/>
  <c r="U32" i="24"/>
  <c r="L11" i="24"/>
  <c r="BX7" i="6" s="1"/>
  <c r="T11" i="24"/>
  <c r="F32" i="24"/>
  <c r="N32" i="24"/>
  <c r="V32" i="24"/>
  <c r="M11" i="24"/>
  <c r="BY7" i="6" s="1"/>
  <c r="U11" i="24"/>
  <c r="C11" i="24"/>
  <c r="G32" i="24"/>
  <c r="O32" i="24"/>
  <c r="W32" i="24"/>
  <c r="N11" i="24"/>
  <c r="V11" i="24"/>
  <c r="CH7" i="6" s="1"/>
  <c r="D11" i="24"/>
  <c r="BP7" i="6" s="1"/>
  <c r="H32" i="24"/>
  <c r="P32" i="24"/>
  <c r="B32" i="24"/>
  <c r="O11" i="24"/>
  <c r="W11" i="24"/>
  <c r="CI7" i="6" s="1"/>
  <c r="E11" i="24"/>
  <c r="I32" i="24"/>
  <c r="Q32" i="24"/>
  <c r="H11" i="24"/>
  <c r="BT7" i="6" s="1"/>
  <c r="P11" i="24"/>
  <c r="CB7" i="6" s="1"/>
  <c r="G11" i="24"/>
  <c r="BS7" i="6" s="1"/>
  <c r="F11" i="24"/>
  <c r="S32" i="24"/>
  <c r="R11" i="24"/>
  <c r="CD7" i="6" s="1"/>
  <c r="D32" i="24"/>
  <c r="T32" i="24"/>
  <c r="K11" i="24"/>
  <c r="BW7" i="6" s="1"/>
  <c r="S11" i="24"/>
  <c r="CK7" i="6"/>
  <c r="J32" i="24"/>
  <c r="R32" i="24"/>
  <c r="I11" i="24"/>
  <c r="BU7" i="6" s="1"/>
  <c r="Q11" i="24"/>
  <c r="CC7" i="6" s="1"/>
  <c r="B11" i="24"/>
  <c r="C32" i="24"/>
  <c r="K32" i="24"/>
  <c r="J11" i="24"/>
  <c r="L32" i="24"/>
  <c r="N9" i="24"/>
  <c r="BZ5" i="6" s="1"/>
  <c r="L9" i="24"/>
  <c r="K9" i="24"/>
  <c r="BW5" i="6" s="1"/>
  <c r="D9" i="24"/>
  <c r="BP5" i="6" s="1"/>
  <c r="P9" i="24"/>
  <c r="CB5" i="6" s="1"/>
  <c r="U9" i="24"/>
  <c r="CG5" i="6" s="1"/>
  <c r="H9" i="24"/>
  <c r="M9" i="24"/>
  <c r="R9" i="24"/>
  <c r="CD5" i="6" s="1"/>
  <c r="F9" i="24"/>
  <c r="BR5" i="6" s="1"/>
  <c r="C9" i="24"/>
  <c r="V9" i="24"/>
  <c r="CH5" i="6" s="1"/>
  <c r="G9" i="24"/>
  <c r="BS5" i="6" s="1"/>
  <c r="T9" i="24"/>
  <c r="CF5" i="6" s="1"/>
  <c r="W9" i="24"/>
  <c r="CI5" i="6" s="1"/>
  <c r="E9" i="24"/>
  <c r="Q9" i="24"/>
  <c r="S9" i="24"/>
  <c r="O9" i="24"/>
  <c r="CA5" i="6" s="1"/>
  <c r="I9" i="24"/>
  <c r="BU5" i="6" s="1"/>
  <c r="B9" i="24"/>
  <c r="BN5" i="6" s="1"/>
  <c r="J9" i="24"/>
  <c r="M34" i="24"/>
  <c r="U34" i="24"/>
  <c r="M35" i="24"/>
  <c r="U36" i="24"/>
  <c r="E36" i="24"/>
  <c r="V34" i="24"/>
  <c r="BZ6" i="6"/>
  <c r="V35" i="24"/>
  <c r="N36" i="24"/>
  <c r="V36" i="24"/>
  <c r="F34" i="24"/>
  <c r="F36" i="24"/>
  <c r="L34" i="24"/>
  <c r="CF6" i="6"/>
  <c r="T36" i="24"/>
  <c r="U35" i="24"/>
  <c r="O35" i="24"/>
  <c r="W35" i="24"/>
  <c r="CA7" i="6"/>
  <c r="C35" i="24"/>
  <c r="B36" i="24"/>
  <c r="H34" i="24"/>
  <c r="P34" i="24"/>
  <c r="H35" i="24"/>
  <c r="H36" i="24"/>
  <c r="P36" i="24"/>
  <c r="D35" i="24"/>
  <c r="B35" i="24"/>
  <c r="L35" i="24"/>
  <c r="I34" i="24"/>
  <c r="Q34" i="24"/>
  <c r="I35" i="24"/>
  <c r="Q35" i="24"/>
  <c r="G35" i="24"/>
  <c r="E35" i="24"/>
  <c r="L36" i="24"/>
  <c r="E34" i="24"/>
  <c r="P35" i="24"/>
  <c r="J34" i="24"/>
  <c r="R34" i="24"/>
  <c r="J35" i="24"/>
  <c r="R35" i="24"/>
  <c r="J36" i="24"/>
  <c r="R36" i="24"/>
  <c r="F35" i="24"/>
  <c r="M36" i="24"/>
  <c r="N34" i="24"/>
  <c r="S34" i="24"/>
  <c r="K35" i="24"/>
  <c r="S35" i="24"/>
  <c r="K36" i="24"/>
  <c r="S36" i="24"/>
  <c r="C34" i="24"/>
  <c r="C36" i="24"/>
  <c r="X36" i="24"/>
  <c r="Y36" i="24"/>
  <c r="Z36" i="24"/>
  <c r="FZ239" i="6"/>
  <c r="FW239" i="6" s="1"/>
  <c r="Y795" i="17" s="1"/>
  <c r="FZ162" i="6"/>
  <c r="FW162" i="6" s="1"/>
  <c r="Y358" i="23" s="1"/>
  <c r="W11" i="5"/>
  <c r="Z11" i="5" s="1"/>
  <c r="FZ17" i="6"/>
  <c r="FW17" i="6" s="1"/>
  <c r="FZ19" i="6"/>
  <c r="FW19" i="6" s="1"/>
  <c r="FZ164" i="6"/>
  <c r="FW164" i="6" s="1"/>
  <c r="FZ94" i="6"/>
  <c r="FW94" i="6" s="1"/>
  <c r="FZ95" i="6"/>
  <c r="FW95" i="6" s="1"/>
  <c r="FZ201" i="6"/>
  <c r="FW201" i="6" s="1"/>
  <c r="FZ224" i="6"/>
  <c r="FW224" i="6" s="1"/>
  <c r="Y779" i="17" s="1"/>
  <c r="FZ190" i="6"/>
  <c r="FW190" i="6" s="1"/>
  <c r="FZ72" i="6"/>
  <c r="FW72" i="6" s="1"/>
  <c r="FZ172" i="6"/>
  <c r="FW172" i="6" s="1"/>
  <c r="Y368" i="23" s="1"/>
  <c r="FZ168" i="6"/>
  <c r="FW168" i="6" s="1"/>
  <c r="Y837" i="22" s="1"/>
  <c r="FZ145" i="6"/>
  <c r="FW145" i="6" s="1"/>
  <c r="FZ191" i="6"/>
  <c r="FW191" i="6" s="1"/>
  <c r="FZ169" i="6"/>
  <c r="FW169" i="6" s="1"/>
  <c r="Y921" i="17" s="1"/>
  <c r="FZ93" i="6"/>
  <c r="FW93" i="6" s="1"/>
  <c r="FZ225" i="6"/>
  <c r="FW225" i="6" s="1"/>
  <c r="FZ25" i="6"/>
  <c r="FW25" i="6" s="1"/>
  <c r="Y78" i="17" s="1"/>
  <c r="FZ203" i="6"/>
  <c r="FW203" i="6" s="1"/>
  <c r="FZ159" i="6"/>
  <c r="FW159" i="6" s="1"/>
  <c r="Y915" i="17" s="1"/>
  <c r="FZ202" i="6"/>
  <c r="FW202" i="6" s="1"/>
  <c r="FZ210" i="6"/>
  <c r="FW210" i="6" s="1"/>
  <c r="FZ231" i="6"/>
  <c r="FW231" i="6" s="1"/>
  <c r="Y322" i="23" s="1"/>
  <c r="FZ229" i="6"/>
  <c r="FW229" i="6" s="1"/>
  <c r="FZ230" i="6"/>
  <c r="FW230" i="6" s="1"/>
  <c r="FZ232" i="6"/>
  <c r="FW232" i="6" s="1"/>
  <c r="FZ185" i="6"/>
  <c r="FW185" i="6" s="1"/>
  <c r="Y783" i="22" s="1"/>
  <c r="FZ188" i="6"/>
  <c r="FW188" i="6" s="1"/>
  <c r="Y839" i="22" s="1"/>
  <c r="FZ233" i="6"/>
  <c r="FW233" i="6" s="1"/>
  <c r="FZ209" i="6"/>
  <c r="FW209" i="6" s="1"/>
  <c r="Y539" i="22" s="1"/>
  <c r="FZ167" i="6"/>
  <c r="FW167" i="6" s="1"/>
  <c r="Y836" i="22" s="1"/>
  <c r="FZ196" i="6"/>
  <c r="FW196" i="6" s="1"/>
  <c r="FZ64" i="6"/>
  <c r="FW64" i="6" s="1"/>
  <c r="FZ223" i="6"/>
  <c r="FW223" i="6" s="1"/>
  <c r="FZ63" i="6"/>
  <c r="FW63" i="6" s="1"/>
  <c r="FZ32" i="6"/>
  <c r="FW32" i="6" s="1"/>
  <c r="FZ155" i="6"/>
  <c r="FW155" i="6" s="1"/>
  <c r="Y923" i="17" s="1"/>
  <c r="FZ160" i="6"/>
  <c r="FW160" i="6" s="1"/>
  <c r="FZ147" i="6"/>
  <c r="FW147" i="6" s="1"/>
  <c r="FZ23" i="6"/>
  <c r="FW23" i="6" s="1"/>
  <c r="FZ173" i="6"/>
  <c r="FW173" i="6" s="1"/>
  <c r="Y829" i="22" s="1"/>
  <c r="FZ123" i="6"/>
  <c r="FW123" i="6" s="1"/>
  <c r="Y876" i="17" s="1"/>
  <c r="FZ18" i="6"/>
  <c r="FW18" i="6" s="1"/>
  <c r="FZ24" i="6"/>
  <c r="FW24" i="6" s="1"/>
  <c r="FZ241" i="6"/>
  <c r="FW241" i="6" s="1"/>
  <c r="Y791" i="17" s="1"/>
  <c r="FZ31" i="6"/>
  <c r="FW31" i="6" s="1"/>
  <c r="FZ97" i="6"/>
  <c r="FW97" i="6" s="1"/>
  <c r="FZ178" i="6"/>
  <c r="FW178" i="6" s="1"/>
  <c r="Y827" i="22" s="1"/>
  <c r="FZ27" i="6"/>
  <c r="FW27" i="6" s="1"/>
  <c r="FZ22" i="6"/>
  <c r="FW22" i="6" s="1"/>
  <c r="Y874" i="17" s="1"/>
  <c r="FZ98" i="6"/>
  <c r="FW98" i="6" s="1"/>
  <c r="Y106" i="23" s="1"/>
  <c r="FZ171" i="6"/>
  <c r="FW171" i="6" s="1"/>
  <c r="Y367" i="23" s="1"/>
  <c r="FZ28" i="6"/>
  <c r="FW28" i="6" s="1"/>
  <c r="FZ62" i="6"/>
  <c r="FW62" i="6" s="1"/>
  <c r="FZ96" i="6"/>
  <c r="FW96" i="6" s="1"/>
  <c r="FZ226" i="6"/>
  <c r="FW226" i="6" s="1"/>
  <c r="Y777" i="17" s="1"/>
  <c r="FZ21" i="6"/>
  <c r="FW21" i="6" s="1"/>
  <c r="FZ222" i="6"/>
  <c r="FW222" i="6" s="1"/>
  <c r="FZ107" i="6"/>
  <c r="FW107" i="6" s="1"/>
  <c r="Y356" i="22" s="1"/>
  <c r="FZ106" i="6"/>
  <c r="FW106" i="6" s="1"/>
  <c r="FZ240" i="6"/>
  <c r="FW240" i="6" s="1"/>
  <c r="FZ158" i="6"/>
  <c r="FW158" i="6" s="1"/>
  <c r="Y892" i="17" s="1"/>
  <c r="FZ161" i="6"/>
  <c r="FW161" i="6" s="1"/>
  <c r="AH8" i="24"/>
  <c r="DS8" i="6"/>
  <c r="DN8" i="6"/>
  <c r="DT8" i="6"/>
  <c r="CC5" i="6"/>
  <c r="CB8" i="6"/>
  <c r="CF8" i="6"/>
  <c r="BU6" i="6"/>
  <c r="CC6" i="6"/>
  <c r="BZ7" i="6"/>
  <c r="BN6" i="6"/>
  <c r="CD6" i="6"/>
  <c r="DQ8" i="6"/>
  <c r="DP8" i="6"/>
  <c r="CH6" i="6"/>
  <c r="BW6" i="6"/>
  <c r="BP6" i="6"/>
  <c r="BX6" i="6"/>
  <c r="AE8" i="24"/>
  <c r="G7" i="6" s="1"/>
  <c r="CE6" i="6"/>
  <c r="BY5" i="6"/>
  <c r="BY6" i="6"/>
  <c r="CG6" i="6"/>
  <c r="BV7" i="6"/>
  <c r="BR6" i="6"/>
  <c r="CA6" i="6"/>
  <c r="CF7" i="6"/>
  <c r="CB6" i="6"/>
  <c r="DM8" i="6"/>
  <c r="DU8" i="6"/>
  <c r="DO8" i="6"/>
  <c r="AF16" i="24"/>
  <c r="AE16" i="24"/>
  <c r="AF8" i="24"/>
  <c r="H7" i="6" s="1"/>
  <c r="AA53" i="24"/>
  <c r="AJ8" i="24"/>
  <c r="AI18" i="24"/>
  <c r="K13" i="6" s="1"/>
  <c r="AK8" i="24"/>
  <c r="Z53" i="24"/>
  <c r="Y328" i="22" l="1"/>
  <c r="Y421" i="17"/>
  <c r="Y325" i="22"/>
  <c r="Y420" i="17"/>
  <c r="Y329" i="22"/>
  <c r="Y424" i="17"/>
  <c r="Y331" i="22"/>
  <c r="Y327" i="22"/>
  <c r="Y324" i="22"/>
  <c r="Y326" i="22"/>
  <c r="Y330" i="22"/>
  <c r="Y323" i="22"/>
  <c r="Y425" i="17"/>
  <c r="AA249" i="23"/>
  <c r="AA911" i="17"/>
  <c r="AA883" i="17"/>
  <c r="Y63" i="22"/>
  <c r="Y59" i="22"/>
  <c r="Y61" i="22"/>
  <c r="Y47" i="22"/>
  <c r="Y53" i="22"/>
  <c r="Y44" i="22"/>
  <c r="Y57" i="22"/>
  <c r="Y45" i="22"/>
  <c r="Y49" i="22"/>
  <c r="Y64" i="22"/>
  <c r="Y37" i="22"/>
  <c r="Y50" i="22"/>
  <c r="Y55" i="22"/>
  <c r="Y62" i="22"/>
  <c r="Y46" i="22"/>
  <c r="Y58" i="22"/>
  <c r="Y56" i="22"/>
  <c r="Y52" i="22"/>
  <c r="Y43" i="22"/>
  <c r="Y51" i="22"/>
  <c r="Y54" i="22"/>
  <c r="Y48" i="22"/>
  <c r="Y60" i="22"/>
  <c r="Y261" i="22"/>
  <c r="Y259" i="22"/>
  <c r="Y257" i="22"/>
  <c r="Y260" i="22"/>
  <c r="Y255" i="22"/>
  <c r="Y296" i="17"/>
  <c r="Y48" i="23"/>
  <c r="Y263" i="22"/>
  <c r="Y256" i="22"/>
  <c r="Y11" i="22"/>
  <c r="Y42" i="22"/>
  <c r="Z249" i="23"/>
  <c r="Z911" i="17"/>
  <c r="Z883" i="17"/>
  <c r="Z498" i="22"/>
  <c r="Z492" i="22"/>
  <c r="Z499" i="22"/>
  <c r="Z491" i="22"/>
  <c r="Z597" i="17"/>
  <c r="Z589" i="17"/>
  <c r="Z594" i="17"/>
  <c r="Z591" i="17"/>
  <c r="Z501" i="22"/>
  <c r="Z496" i="22"/>
  <c r="Z596" i="17"/>
  <c r="Z493" i="22"/>
  <c r="Z598" i="17"/>
  <c r="Z599" i="17"/>
  <c r="Z590" i="17"/>
  <c r="Z595" i="17"/>
  <c r="Z592" i="17"/>
  <c r="Z593" i="17"/>
  <c r="Z600" i="17"/>
  <c r="Z497" i="22"/>
  <c r="Z494" i="22"/>
  <c r="Z495" i="22"/>
  <c r="Z500" i="22"/>
  <c r="Z133" i="17"/>
  <c r="Z107" i="17"/>
  <c r="Z130" i="17"/>
  <c r="Z111" i="17"/>
  <c r="Z113" i="17"/>
  <c r="Z122" i="17"/>
  <c r="Z134" i="17"/>
  <c r="Z137" i="17"/>
  <c r="Z106" i="17"/>
  <c r="Z123" i="17"/>
  <c r="Z125" i="17"/>
  <c r="Z131" i="17"/>
  <c r="Z115" i="17"/>
  <c r="Z108" i="17"/>
  <c r="Z136" i="17"/>
  <c r="Z118" i="17"/>
  <c r="Z117" i="17"/>
  <c r="Z112" i="17"/>
  <c r="Z109" i="17"/>
  <c r="Z127" i="17"/>
  <c r="Z124" i="17"/>
  <c r="Z135" i="17"/>
  <c r="Z116" i="17"/>
  <c r="Z129" i="17"/>
  <c r="Z132" i="17"/>
  <c r="Z121" i="17"/>
  <c r="Z128" i="17"/>
  <c r="Z120" i="17"/>
  <c r="Z110" i="17"/>
  <c r="Z126" i="17"/>
  <c r="Z114" i="17"/>
  <c r="Z119" i="17"/>
  <c r="Y233" i="23"/>
  <c r="Y234" i="23"/>
  <c r="Y925" i="17"/>
  <c r="Y924" i="17"/>
  <c r="AA133" i="17"/>
  <c r="AA107" i="17"/>
  <c r="AA130" i="17"/>
  <c r="AA134" i="17"/>
  <c r="AA111" i="17"/>
  <c r="AA122" i="17"/>
  <c r="AA113" i="17"/>
  <c r="AA106" i="17"/>
  <c r="AA108" i="17"/>
  <c r="AA137" i="17"/>
  <c r="AA112" i="17"/>
  <c r="AA125" i="17"/>
  <c r="AA118" i="17"/>
  <c r="AA136" i="17"/>
  <c r="AA123" i="17"/>
  <c r="AA131" i="17"/>
  <c r="AA115" i="17"/>
  <c r="AA117" i="17"/>
  <c r="AA109" i="17"/>
  <c r="AA129" i="17"/>
  <c r="AA114" i="17"/>
  <c r="AA119" i="17"/>
  <c r="AA110" i="17"/>
  <c r="AA127" i="17"/>
  <c r="AA135" i="17"/>
  <c r="AA126" i="17"/>
  <c r="AA116" i="17"/>
  <c r="AA120" i="17"/>
  <c r="AA124" i="17"/>
  <c r="AA121" i="17"/>
  <c r="AA128" i="17"/>
  <c r="AA132" i="17"/>
  <c r="Y789" i="17"/>
  <c r="Y785" i="17"/>
  <c r="Y788" i="17"/>
  <c r="Y692" i="22"/>
  <c r="Y690" i="22"/>
  <c r="Y786" i="17"/>
  <c r="Y783" i="17"/>
  <c r="Y787" i="17"/>
  <c r="Y691" i="22"/>
  <c r="Y784" i="17"/>
  <c r="Y781" i="17"/>
  <c r="Y686" i="22"/>
  <c r="Y689" i="22"/>
  <c r="Y687" i="22"/>
  <c r="Y782" i="17"/>
  <c r="Y780" i="17"/>
  <c r="Y778" i="17"/>
  <c r="Y688" i="22"/>
  <c r="Y798" i="22"/>
  <c r="Y366" i="23"/>
  <c r="Y799" i="22"/>
  <c r="Y371" i="23"/>
  <c r="Y73" i="23"/>
  <c r="Y66" i="23"/>
  <c r="Y71" i="23"/>
  <c r="Y74" i="23"/>
  <c r="Y70" i="23"/>
  <c r="Y77" i="23"/>
  <c r="Y76" i="23"/>
  <c r="Y75" i="23"/>
  <c r="Y72" i="23"/>
  <c r="Y67" i="23"/>
  <c r="Y68" i="23"/>
  <c r="Y69" i="23"/>
  <c r="Y26" i="22"/>
  <c r="Y31" i="22"/>
  <c r="Y23" i="22"/>
  <c r="Y28" i="22"/>
  <c r="Y20" i="22"/>
  <c r="Y15" i="22"/>
  <c r="Y16" i="22"/>
  <c r="Y24" i="22"/>
  <c r="Y36" i="22"/>
  <c r="Y27" i="22"/>
  <c r="Y29" i="22"/>
  <c r="Y10" i="22"/>
  <c r="Y800" i="22"/>
  <c r="Y9" i="22"/>
  <c r="Y35" i="22"/>
  <c r="Y19" i="22"/>
  <c r="Y807" i="22"/>
  <c r="Y840" i="22"/>
  <c r="Y38" i="22"/>
  <c r="Y25" i="22"/>
  <c r="AA362" i="23"/>
  <c r="AA361" i="23"/>
  <c r="AA40" i="22"/>
  <c r="AA18" i="22"/>
  <c r="AA32" i="22"/>
  <c r="AA21" i="22"/>
  <c r="AA13" i="22"/>
  <c r="AA771" i="22"/>
  <c r="AA12" i="22"/>
  <c r="AA17" i="22"/>
  <c r="AA41" i="22"/>
  <c r="AA22" i="22"/>
  <c r="AA14" i="22"/>
  <c r="AA34" i="22"/>
  <c r="AA30" i="22"/>
  <c r="AA39" i="22"/>
  <c r="AA33" i="22"/>
  <c r="Z637" i="17"/>
  <c r="Z546" i="22"/>
  <c r="Z552" i="22"/>
  <c r="Z551" i="22"/>
  <c r="Z553" i="22"/>
  <c r="Z548" i="22"/>
  <c r="Z547" i="22"/>
  <c r="Z543" i="22"/>
  <c r="Z634" i="17"/>
  <c r="Z632" i="17"/>
  <c r="Z642" i="17"/>
  <c r="Z555" i="22"/>
  <c r="Z545" i="22"/>
  <c r="Z542" i="22"/>
  <c r="Z554" i="22"/>
  <c r="Z544" i="22"/>
  <c r="Z633" i="17"/>
  <c r="Z654" i="17"/>
  <c r="Z641" i="17"/>
  <c r="Z630" i="17"/>
  <c r="Z541" i="22"/>
  <c r="Z628" i="17"/>
  <c r="Z643" i="17"/>
  <c r="Z638" i="17"/>
  <c r="Z639" i="17"/>
  <c r="Z636" i="17"/>
  <c r="Z635" i="17"/>
  <c r="Z629" i="17"/>
  <c r="Z640" i="17"/>
  <c r="Z631" i="17"/>
  <c r="Z549" i="22"/>
  <c r="Z540" i="22"/>
  <c r="Z550" i="22"/>
  <c r="Y81" i="17"/>
  <c r="Y95" i="17"/>
  <c r="Y104" i="17"/>
  <c r="Y92" i="17"/>
  <c r="Y100" i="17"/>
  <c r="Y85" i="17"/>
  <c r="Y105" i="17"/>
  <c r="Y94" i="17"/>
  <c r="Y98" i="17"/>
  <c r="Y103" i="17"/>
  <c r="Y84" i="17"/>
  <c r="Y87" i="17"/>
  <c r="Y86" i="17"/>
  <c r="Y877" i="17"/>
  <c r="Y80" i="17"/>
  <c r="Y83" i="17"/>
  <c r="Y99" i="17"/>
  <c r="Y102" i="17"/>
  <c r="Y101" i="17"/>
  <c r="Y93" i="17"/>
  <c r="Y88" i="17"/>
  <c r="Y91" i="17"/>
  <c r="Y97" i="17"/>
  <c r="Y96" i="17"/>
  <c r="Y82" i="17"/>
  <c r="Y90" i="17"/>
  <c r="Y79" i="17"/>
  <c r="Y89" i="17"/>
  <c r="AA498" i="22"/>
  <c r="AA499" i="22"/>
  <c r="AA492" i="22"/>
  <c r="AA594" i="17"/>
  <c r="AA591" i="17"/>
  <c r="AA597" i="17"/>
  <c r="AA491" i="22"/>
  <c r="AA589" i="17"/>
  <c r="AA501" i="22"/>
  <c r="AA496" i="22"/>
  <c r="AA493" i="22"/>
  <c r="AA598" i="17"/>
  <c r="AA599" i="17"/>
  <c r="AA596" i="17"/>
  <c r="AA600" i="17"/>
  <c r="AA593" i="17"/>
  <c r="AA595" i="17"/>
  <c r="AA592" i="17"/>
  <c r="AA590" i="17"/>
  <c r="AA494" i="22"/>
  <c r="AA497" i="22"/>
  <c r="AA500" i="22"/>
  <c r="AA495" i="22"/>
  <c r="Y50" i="17"/>
  <c r="Y58" i="17"/>
  <c r="Y54" i="17"/>
  <c r="Y63" i="17"/>
  <c r="Y74" i="17"/>
  <c r="Y60" i="17"/>
  <c r="Y52" i="17"/>
  <c r="Y53" i="17"/>
  <c r="Y61" i="17"/>
  <c r="Y55" i="17"/>
  <c r="Y62" i="17"/>
  <c r="Y77" i="17"/>
  <c r="Y66" i="17"/>
  <c r="Y42" i="17"/>
  <c r="Y76" i="17"/>
  <c r="Y56" i="17"/>
  <c r="Y65" i="17"/>
  <c r="Y46" i="17"/>
  <c r="Y75" i="17"/>
  <c r="Y59" i="17"/>
  <c r="Y51" i="17"/>
  <c r="Y71" i="17"/>
  <c r="Y73" i="17"/>
  <c r="Y72" i="17"/>
  <c r="Y68" i="17"/>
  <c r="Y41" i="17"/>
  <c r="Y69" i="17"/>
  <c r="Y67" i="17"/>
  <c r="Y48" i="17"/>
  <c r="Y694" i="22"/>
  <c r="Y325" i="23"/>
  <c r="Y787" i="22"/>
  <c r="Y845" i="22"/>
  <c r="Y788" i="22"/>
  <c r="Y822" i="22"/>
  <c r="Y786" i="22"/>
  <c r="Y896" i="17"/>
  <c r="Y897" i="17"/>
  <c r="Y823" i="22"/>
  <c r="Y804" i="22"/>
  <c r="Y795" i="22"/>
  <c r="Y832" i="22"/>
  <c r="Z362" i="23"/>
  <c r="Z361" i="23"/>
  <c r="Z40" i="22"/>
  <c r="Z32" i="22"/>
  <c r="Z18" i="22"/>
  <c r="Z771" i="22"/>
  <c r="Z21" i="22"/>
  <c r="Z13" i="22"/>
  <c r="Z12" i="22"/>
  <c r="Z30" i="22"/>
  <c r="Z22" i="22"/>
  <c r="Z14" i="22"/>
  <c r="Z34" i="22"/>
  <c r="Z39" i="22"/>
  <c r="Z33" i="22"/>
  <c r="Z17" i="22"/>
  <c r="Z41" i="22"/>
  <c r="Y70" i="17"/>
  <c r="Y57" i="17"/>
  <c r="Y44" i="17"/>
  <c r="AA14" i="17"/>
  <c r="AA22" i="17"/>
  <c r="AA15" i="17"/>
  <c r="AA35" i="17"/>
  <c r="AA23" i="17"/>
  <c r="AA31" i="17"/>
  <c r="AA784" i="22"/>
  <c r="AA13" i="17"/>
  <c r="AA38" i="17"/>
  <c r="AA18" i="17"/>
  <c r="AA20" i="17"/>
  <c r="AA12" i="17"/>
  <c r="AA40" i="17"/>
  <c r="AA32" i="17"/>
  <c r="AA893" i="17"/>
  <c r="AA21" i="17"/>
  <c r="AA36" i="17"/>
  <c r="AA902" i="17"/>
  <c r="AA28" i="17"/>
  <c r="AA24" i="17"/>
  <c r="AA9" i="17"/>
  <c r="AA16" i="17"/>
  <c r="AA10" i="17"/>
  <c r="AA11" i="17"/>
  <c r="AA17" i="17"/>
  <c r="AA25" i="17"/>
  <c r="AA39" i="17"/>
  <c r="AA29" i="17"/>
  <c r="AA37" i="17"/>
  <c r="AA34" i="17"/>
  <c r="AA19" i="17"/>
  <c r="AA30" i="17"/>
  <c r="AA33" i="17"/>
  <c r="AA26" i="17"/>
  <c r="Y356" i="23"/>
  <c r="Y357" i="23"/>
  <c r="Y225" i="23"/>
  <c r="Y492" i="17"/>
  <c r="Y502" i="17"/>
  <c r="Y500" i="17"/>
  <c r="Y222" i="23"/>
  <c r="Y227" i="23"/>
  <c r="Y228" i="23"/>
  <c r="Y231" i="23"/>
  <c r="Y229" i="23"/>
  <c r="Y226" i="23"/>
  <c r="Y232" i="23"/>
  <c r="Y230" i="23"/>
  <c r="Y501" i="17"/>
  <c r="Y498" i="17"/>
  <c r="Y496" i="17"/>
  <c r="Y504" i="17"/>
  <c r="Y493" i="17"/>
  <c r="Y499" i="17"/>
  <c r="Y223" i="23"/>
  <c r="Y495" i="17"/>
  <c r="Y503" i="17"/>
  <c r="Y224" i="23"/>
  <c r="Y374" i="22"/>
  <c r="Y497" i="17"/>
  <c r="Y494" i="17"/>
  <c r="Y487" i="22"/>
  <c r="Y481" i="22"/>
  <c r="Y489" i="22"/>
  <c r="Y483" i="22"/>
  <c r="Y484" i="22"/>
  <c r="Y583" i="17"/>
  <c r="Y470" i="22"/>
  <c r="Y486" i="22"/>
  <c r="Y479" i="22"/>
  <c r="Y485" i="22"/>
  <c r="Y473" i="22"/>
  <c r="Y475" i="22"/>
  <c r="Y467" i="22"/>
  <c r="Y578" i="17"/>
  <c r="Y586" i="17"/>
  <c r="Z820" i="22"/>
  <c r="Z789" i="22"/>
  <c r="Z790" i="22"/>
  <c r="Z821" i="22"/>
  <c r="Z14" i="17"/>
  <c r="Z22" i="17"/>
  <c r="Z15" i="17"/>
  <c r="Z23" i="17"/>
  <c r="Z31" i="17"/>
  <c r="Z35" i="17"/>
  <c r="Z784" i="22"/>
  <c r="Z32" i="17"/>
  <c r="Z18" i="17"/>
  <c r="Z20" i="17"/>
  <c r="Z40" i="17"/>
  <c r="Z38" i="17"/>
  <c r="Z893" i="17"/>
  <c r="Z36" i="17"/>
  <c r="Z21" i="17"/>
  <c r="Z13" i="17"/>
  <c r="Z12" i="17"/>
  <c r="Z902" i="17"/>
  <c r="Z9" i="17"/>
  <c r="Z16" i="17"/>
  <c r="Z24" i="17"/>
  <c r="Z10" i="17"/>
  <c r="Z11" i="17"/>
  <c r="Z17" i="17"/>
  <c r="Z28" i="17"/>
  <c r="Z39" i="17"/>
  <c r="Z29" i="17"/>
  <c r="Z37" i="17"/>
  <c r="Z34" i="17"/>
  <c r="Z25" i="17"/>
  <c r="Z30" i="17"/>
  <c r="Z33" i="17"/>
  <c r="Z19" i="17"/>
  <c r="Z26" i="17"/>
  <c r="Y908" i="17"/>
  <c r="Y804" i="17"/>
  <c r="Y781" i="22"/>
  <c r="Y782" i="22"/>
  <c r="Y841" i="22"/>
  <c r="Y842" i="22"/>
  <c r="Y907" i="17"/>
  <c r="Y474" i="22"/>
  <c r="Y490" i="22"/>
  <c r="Y482" i="22"/>
  <c r="Y468" i="22"/>
  <c r="Y575" i="17"/>
  <c r="Y587" i="17"/>
  <c r="Y579" i="17"/>
  <c r="Y488" i="22"/>
  <c r="Y472" i="22"/>
  <c r="Y476" i="22"/>
  <c r="Y469" i="22"/>
  <c r="Y480" i="22"/>
  <c r="Y471" i="22"/>
  <c r="Y577" i="17"/>
  <c r="Y588" i="17"/>
  <c r="Y584" i="17"/>
  <c r="Y576" i="17"/>
  <c r="Y928" i="17"/>
  <c r="Y582" i="17"/>
  <c r="Y912" i="17"/>
  <c r="Y889" i="17"/>
  <c r="Y478" i="22"/>
  <c r="Y477" i="22"/>
  <c r="Y581" i="17"/>
  <c r="Y580" i="17"/>
  <c r="Y888" i="17"/>
  <c r="Y585" i="17"/>
  <c r="Y170" i="23"/>
  <c r="Y173" i="23"/>
  <c r="Y169" i="23"/>
  <c r="Y178" i="23"/>
  <c r="Y177" i="23"/>
  <c r="Y360" i="22"/>
  <c r="Y174" i="23"/>
  <c r="Y358" i="22"/>
  <c r="Y466" i="17"/>
  <c r="Y467" i="17"/>
  <c r="Y172" i="23"/>
  <c r="Y359" i="22"/>
  <c r="Y171" i="23"/>
  <c r="Y357" i="22"/>
  <c r="Y175" i="23"/>
  <c r="Y176" i="23"/>
  <c r="Y797" i="22"/>
  <c r="Y898" i="17"/>
  <c r="Y796" i="22"/>
  <c r="Y914" i="17"/>
  <c r="Y899" i="17"/>
  <c r="Y913" i="17"/>
  <c r="Y327" i="23"/>
  <c r="Y693" i="22"/>
  <c r="Y331" i="23"/>
  <c r="Y334" i="23"/>
  <c r="Y324" i="23"/>
  <c r="Y328" i="23"/>
  <c r="Y695" i="22"/>
  <c r="Y329" i="23"/>
  <c r="Y696" i="22"/>
  <c r="Y426" i="17"/>
  <c r="Y423" i="17"/>
  <c r="Y422" i="17"/>
  <c r="AA790" i="22"/>
  <c r="AA820" i="22"/>
  <c r="AA789" i="22"/>
  <c r="AA821" i="22"/>
  <c r="Y250" i="22"/>
  <c r="Y290" i="17"/>
  <c r="Y291" i="17"/>
  <c r="Y289" i="17"/>
  <c r="Y254" i="22"/>
  <c r="Y258" i="22"/>
  <c r="Y265" i="22"/>
  <c r="Y286" i="17"/>
  <c r="Y246" i="22"/>
  <c r="Y47" i="23"/>
  <c r="Y262" i="22"/>
  <c r="Y267" i="22"/>
  <c r="Y253" i="22"/>
  <c r="Y247" i="22"/>
  <c r="Y249" i="22"/>
  <c r="Y293" i="17"/>
  <c r="Y297" i="17"/>
  <c r="Y285" i="17"/>
  <c r="Y252" i="22"/>
  <c r="Y251" i="22"/>
  <c r="Y927" i="17"/>
  <c r="Y298" i="17"/>
  <c r="Y287" i="17"/>
  <c r="Y292" i="17"/>
  <c r="Y46" i="23"/>
  <c r="Y45" i="23"/>
  <c r="Y264" i="22"/>
  <c r="Y266" i="22"/>
  <c r="Y248" i="22"/>
  <c r="Y288" i="17"/>
  <c r="Y294" i="17"/>
  <c r="Y363" i="23"/>
  <c r="Y354" i="23"/>
  <c r="Y530" i="22"/>
  <c r="Y538" i="22"/>
  <c r="Y519" i="22"/>
  <c r="Y522" i="22"/>
  <c r="Y535" i="22"/>
  <c r="Y613" i="17"/>
  <c r="Y620" i="17"/>
  <c r="Y515" i="22"/>
  <c r="Y523" i="22"/>
  <c r="Y514" i="22"/>
  <c r="Y531" i="22"/>
  <c r="Y610" i="17"/>
  <c r="Y626" i="17"/>
  <c r="Y621" i="17"/>
  <c r="Y605" i="17"/>
  <c r="Y618" i="17"/>
  <c r="Y536" i="22"/>
  <c r="Y525" i="22"/>
  <c r="Y843" i="22"/>
  <c r="Y528" i="22"/>
  <c r="Y517" i="22"/>
  <c r="Y512" i="22"/>
  <c r="Y527" i="22"/>
  <c r="Y611" i="17"/>
  <c r="Y608" i="17"/>
  <c r="Y803" i="22"/>
  <c r="Y617" i="17"/>
  <c r="Y624" i="17"/>
  <c r="Y604" i="17"/>
  <c r="Y619" i="17"/>
  <c r="Y606" i="17"/>
  <c r="Y616" i="17"/>
  <c r="Y520" i="22"/>
  <c r="Y615" i="17"/>
  <c r="Y612" i="17"/>
  <c r="Y623" i="17"/>
  <c r="Y622" i="17"/>
  <c r="Y609" i="17"/>
  <c r="Y614" i="17"/>
  <c r="Y625" i="17"/>
  <c r="Y607" i="17"/>
  <c r="Y910" i="17"/>
  <c r="Y627" i="17"/>
  <c r="Y534" i="22"/>
  <c r="Y526" i="22"/>
  <c r="Y516" i="22"/>
  <c r="Y524" i="22"/>
  <c r="Y529" i="22"/>
  <c r="Y537" i="22"/>
  <c r="Y518" i="22"/>
  <c r="Y532" i="22"/>
  <c r="Y521" i="22"/>
  <c r="Y533" i="22"/>
  <c r="Y513" i="22"/>
  <c r="Y805" i="22"/>
  <c r="Y833" i="22"/>
  <c r="Y333" i="22"/>
  <c r="Y427" i="17"/>
  <c r="Y332" i="22"/>
  <c r="Y428" i="17"/>
  <c r="AA637" i="17"/>
  <c r="AA551" i="22"/>
  <c r="AA552" i="22"/>
  <c r="AA546" i="22"/>
  <c r="AA553" i="22"/>
  <c r="AA548" i="22"/>
  <c r="AA543" i="22"/>
  <c r="AA547" i="22"/>
  <c r="AA642" i="17"/>
  <c r="AA634" i="17"/>
  <c r="AA632" i="17"/>
  <c r="AA555" i="22"/>
  <c r="AA545" i="22"/>
  <c r="AA542" i="22"/>
  <c r="AA554" i="22"/>
  <c r="AA544" i="22"/>
  <c r="AA641" i="17"/>
  <c r="AA633" i="17"/>
  <c r="AA630" i="17"/>
  <c r="AA541" i="22"/>
  <c r="AA654" i="17"/>
  <c r="AA628" i="17"/>
  <c r="AA629" i="17"/>
  <c r="AA636" i="17"/>
  <c r="AA638" i="17"/>
  <c r="AA640" i="17"/>
  <c r="AA643" i="17"/>
  <c r="AA631" i="17"/>
  <c r="AA635" i="17"/>
  <c r="AA639" i="17"/>
  <c r="AA540" i="22"/>
  <c r="AA550" i="22"/>
  <c r="AA549" i="22"/>
  <c r="AK22" i="24"/>
  <c r="AJ22" i="24"/>
  <c r="AJ28" i="24"/>
  <c r="AK28" i="24" s="1"/>
  <c r="AH22" i="24"/>
  <c r="BP164" i="6"/>
  <c r="EC307" i="6"/>
  <c r="EC305" i="6"/>
  <c r="EC303" i="6"/>
  <c r="EC293" i="6"/>
  <c r="EC284" i="6"/>
  <c r="EC273" i="6"/>
  <c r="EC261" i="6"/>
  <c r="EC309" i="6"/>
  <c r="EC296" i="6"/>
  <c r="EC286" i="6"/>
  <c r="EC280" i="6"/>
  <c r="EC268" i="6"/>
  <c r="EC265" i="6"/>
  <c r="EC258" i="6"/>
  <c r="EC306" i="6"/>
  <c r="EC301" i="6"/>
  <c r="EC300" i="6"/>
  <c r="EC295" i="6"/>
  <c r="EC290" i="6"/>
  <c r="EC270" i="6"/>
  <c r="EC302" i="6"/>
  <c r="EC298" i="6"/>
  <c r="EC294" i="6"/>
  <c r="EC291" i="6"/>
  <c r="EC277" i="6"/>
  <c r="EC276" i="6"/>
  <c r="EC269" i="6"/>
  <c r="EC266" i="6"/>
  <c r="EC299" i="6"/>
  <c r="EC283" i="6"/>
  <c r="EC278" i="6"/>
  <c r="EC272" i="6"/>
  <c r="EC262" i="6"/>
  <c r="EC297" i="6"/>
  <c r="EC289" i="6"/>
  <c r="EC288" i="6"/>
  <c r="EC287" i="6"/>
  <c r="EC282" i="6"/>
  <c r="EC255" i="6"/>
  <c r="EC253" i="6"/>
  <c r="EC292" i="6"/>
  <c r="EC285" i="6"/>
  <c r="EC281" i="6"/>
  <c r="EC271" i="6"/>
  <c r="EC267" i="6"/>
  <c r="EC264" i="6"/>
  <c r="EC260" i="6"/>
  <c r="EC259" i="6"/>
  <c r="EC257" i="6"/>
  <c r="EC308" i="6"/>
  <c r="EC304" i="6"/>
  <c r="EC275" i="6"/>
  <c r="EC274" i="6"/>
  <c r="EC263" i="6"/>
  <c r="EC252" i="6"/>
  <c r="EC248" i="6"/>
  <c r="EC246" i="6"/>
  <c r="EC223" i="6"/>
  <c r="EC250" i="6"/>
  <c r="EC245" i="6"/>
  <c r="EC240" i="6"/>
  <c r="EC237" i="6"/>
  <c r="EC230" i="6"/>
  <c r="EC254" i="6"/>
  <c r="EC242" i="6"/>
  <c r="EC236" i="6"/>
  <c r="EC232" i="6"/>
  <c r="EC231" i="6"/>
  <c r="EC251" i="6"/>
  <c r="EC244" i="6"/>
  <c r="EC238" i="6"/>
  <c r="EC234" i="6"/>
  <c r="EC225" i="6"/>
  <c r="EC247" i="6"/>
  <c r="EC241" i="6"/>
  <c r="EC227" i="6"/>
  <c r="EC239" i="6"/>
  <c r="EC229" i="6"/>
  <c r="EC219" i="6"/>
  <c r="EC204" i="6"/>
  <c r="EC222" i="6"/>
  <c r="EC210" i="6"/>
  <c r="EC208" i="6"/>
  <c r="EC198" i="6"/>
  <c r="EC193" i="6"/>
  <c r="EC186" i="6"/>
  <c r="EC256" i="6"/>
  <c r="EC224" i="6"/>
  <c r="BU207" i="6"/>
  <c r="BU206" i="6"/>
  <c r="EC199" i="6"/>
  <c r="EC197" i="6"/>
  <c r="EC194" i="6"/>
  <c r="EC191" i="6"/>
  <c r="EC243" i="6"/>
  <c r="EC228" i="6"/>
  <c r="EC212" i="6"/>
  <c r="EC209" i="6"/>
  <c r="EC196" i="6"/>
  <c r="EC192" i="6"/>
  <c r="EC189" i="6"/>
  <c r="EC235" i="6"/>
  <c r="EC233" i="6"/>
  <c r="EC220" i="6"/>
  <c r="EC205" i="6"/>
  <c r="EC190" i="6"/>
  <c r="EC187" i="6"/>
  <c r="EC249" i="6"/>
  <c r="EC221" i="6"/>
  <c r="EC218" i="6"/>
  <c r="EC211" i="6"/>
  <c r="EC201" i="6"/>
  <c r="EC200" i="6"/>
  <c r="EC185" i="6"/>
  <c r="EC226" i="6"/>
  <c r="EC207" i="6"/>
  <c r="EC206" i="6"/>
  <c r="BU205" i="6"/>
  <c r="EC203" i="6"/>
  <c r="EC182" i="6"/>
  <c r="EC168" i="6"/>
  <c r="EC144" i="6"/>
  <c r="EC133" i="6"/>
  <c r="EC188" i="6"/>
  <c r="EC170" i="6"/>
  <c r="EC163" i="6"/>
  <c r="EC158" i="6"/>
  <c r="EC180" i="6"/>
  <c r="EC178" i="6"/>
  <c r="EC176" i="6"/>
  <c r="EC172" i="6"/>
  <c r="EC169" i="6"/>
  <c r="EC157" i="6"/>
  <c r="EC154" i="6"/>
  <c r="EC179" i="6"/>
  <c r="EC171" i="6"/>
  <c r="EC165" i="6"/>
  <c r="EC150" i="6"/>
  <c r="EC148" i="6"/>
  <c r="EC137" i="6"/>
  <c r="EC174" i="6"/>
  <c r="EC159" i="6"/>
  <c r="EC202" i="6"/>
  <c r="EC162" i="6"/>
  <c r="EC160" i="6"/>
  <c r="EC152" i="6"/>
  <c r="EC138" i="6"/>
  <c r="EC183" i="6"/>
  <c r="EC181" i="6"/>
  <c r="EC177" i="6"/>
  <c r="EC175" i="6"/>
  <c r="EC173" i="6"/>
  <c r="EC167" i="6"/>
  <c r="EC164" i="6"/>
  <c r="EC161" i="6"/>
  <c r="EC156" i="6"/>
  <c r="EC151" i="6"/>
  <c r="EC149" i="6"/>
  <c r="EC147" i="6"/>
  <c r="EC140" i="6"/>
  <c r="EC139" i="6"/>
  <c r="EC184" i="6"/>
  <c r="EC166" i="6"/>
  <c r="EC155" i="6"/>
  <c r="EC153" i="6"/>
  <c r="EC143" i="6"/>
  <c r="EC145" i="6"/>
  <c r="EC131" i="6"/>
  <c r="EC124" i="6"/>
  <c r="EC110" i="6"/>
  <c r="EC106" i="6"/>
  <c r="EC103" i="6"/>
  <c r="EC134" i="6"/>
  <c r="EC123" i="6"/>
  <c r="EC95" i="6"/>
  <c r="EC94" i="6"/>
  <c r="EC135" i="6"/>
  <c r="EC127" i="6"/>
  <c r="EC117" i="6"/>
  <c r="EC114" i="6"/>
  <c r="EC112" i="6"/>
  <c r="EC90" i="6"/>
  <c r="EC88" i="6"/>
  <c r="EC84" i="6"/>
  <c r="EC141" i="6"/>
  <c r="EC121" i="6"/>
  <c r="EC116" i="6"/>
  <c r="EC115" i="6"/>
  <c r="EC107" i="6"/>
  <c r="EC104" i="6"/>
  <c r="EC97" i="6"/>
  <c r="EC85" i="6"/>
  <c r="EC142" i="6"/>
  <c r="EC136" i="6"/>
  <c r="EC128" i="6"/>
  <c r="EC126" i="6"/>
  <c r="EC109" i="6"/>
  <c r="EC101" i="6"/>
  <c r="EC91" i="6"/>
  <c r="EC130" i="6"/>
  <c r="EC125" i="6"/>
  <c r="EC122" i="6"/>
  <c r="EC118" i="6"/>
  <c r="EC113" i="6"/>
  <c r="EC111" i="6"/>
  <c r="EC99" i="6"/>
  <c r="EC98" i="6"/>
  <c r="EC132" i="6"/>
  <c r="EC108" i="6"/>
  <c r="EC100" i="6"/>
  <c r="EC96" i="6"/>
  <c r="EC129" i="6"/>
  <c r="EC120" i="6"/>
  <c r="EC119" i="6"/>
  <c r="EC105" i="6"/>
  <c r="EC93" i="6"/>
  <c r="EC92" i="6"/>
  <c r="EC47" i="6"/>
  <c r="EC32" i="6"/>
  <c r="EC29" i="6"/>
  <c r="EC25" i="6"/>
  <c r="EC79" i="6"/>
  <c r="EC49" i="6"/>
  <c r="EC21" i="6"/>
  <c r="EC89" i="6"/>
  <c r="EC77" i="6"/>
  <c r="EC69" i="6"/>
  <c r="EC67" i="6"/>
  <c r="EC64" i="6"/>
  <c r="EC53" i="6"/>
  <c r="EC46" i="6"/>
  <c r="EC27" i="6"/>
  <c r="EC70" i="6"/>
  <c r="EC41" i="6"/>
  <c r="EC31" i="6"/>
  <c r="EC30" i="6"/>
  <c r="EC82" i="6"/>
  <c r="EC71" i="6"/>
  <c r="EC68" i="6"/>
  <c r="EC62" i="6"/>
  <c r="EC59" i="6"/>
  <c r="EC58" i="6"/>
  <c r="EC55" i="6"/>
  <c r="EC54" i="6"/>
  <c r="EC50" i="6"/>
  <c r="EC44" i="6"/>
  <c r="EC78" i="6"/>
  <c r="EC60" i="6"/>
  <c r="EC43" i="6"/>
  <c r="EC72" i="6"/>
  <c r="EC66" i="6"/>
  <c r="EC65" i="6"/>
  <c r="EC61" i="6"/>
  <c r="EC51" i="6"/>
  <c r="EC45" i="6"/>
  <c r="EC83" i="6"/>
  <c r="EC63" i="6"/>
  <c r="EC57" i="6"/>
  <c r="EC56" i="6"/>
  <c r="EC48" i="6"/>
  <c r="EC26" i="6"/>
  <c r="EC23" i="6"/>
  <c r="EC16" i="6"/>
  <c r="EC20" i="6"/>
  <c r="EC28" i="6"/>
  <c r="EC22" i="6"/>
  <c r="EC18" i="6"/>
  <c r="EC24" i="6"/>
  <c r="EC19" i="6"/>
  <c r="EC17" i="6"/>
  <c r="BU17" i="6"/>
  <c r="BU16" i="6"/>
  <c r="M7" i="6"/>
  <c r="L7" i="6"/>
  <c r="J7" i="6"/>
  <c r="AI7" i="6"/>
  <c r="AI8" i="6" s="1"/>
  <c r="AJ7" i="6"/>
  <c r="AJ8" i="6" s="1"/>
  <c r="AH7" i="6"/>
  <c r="AH8" i="6" s="1"/>
  <c r="AF7" i="6"/>
  <c r="AF8" i="6" s="1"/>
  <c r="AG7" i="6"/>
  <c r="AG8" i="6" s="1"/>
  <c r="AI9" i="24"/>
  <c r="FX171" i="6"/>
  <c r="Z367" i="23" s="1"/>
  <c r="FY171" i="6"/>
  <c r="AA367" i="23" s="1"/>
  <c r="FX32" i="6"/>
  <c r="FY32" i="6"/>
  <c r="FX233" i="6"/>
  <c r="FY233" i="6"/>
  <c r="FX202" i="6"/>
  <c r="FY202" i="6"/>
  <c r="FX169" i="6"/>
  <c r="Z921" i="17" s="1"/>
  <c r="FY169" i="6"/>
  <c r="AA921" i="17" s="1"/>
  <c r="FX201" i="6"/>
  <c r="FY201" i="6"/>
  <c r="FX239" i="6"/>
  <c r="Z795" i="17" s="1"/>
  <c r="FY239" i="6"/>
  <c r="AA795" i="17" s="1"/>
  <c r="FX21" i="6"/>
  <c r="FY21" i="6"/>
  <c r="FX98" i="6"/>
  <c r="Z106" i="23" s="1"/>
  <c r="FY98" i="6"/>
  <c r="AA106" i="23" s="1"/>
  <c r="FX18" i="6"/>
  <c r="FY18" i="6"/>
  <c r="FX188" i="6"/>
  <c r="Z839" i="22" s="1"/>
  <c r="FY188" i="6"/>
  <c r="AA839" i="22" s="1"/>
  <c r="FX159" i="6"/>
  <c r="Z915" i="17" s="1"/>
  <c r="FY159" i="6"/>
  <c r="AA915" i="17" s="1"/>
  <c r="FX191" i="6"/>
  <c r="FY191" i="6"/>
  <c r="FX95" i="6"/>
  <c r="FY95" i="6"/>
  <c r="FX161" i="6"/>
  <c r="FY161" i="6"/>
  <c r="FX173" i="6"/>
  <c r="Z829" i="22" s="1"/>
  <c r="FY173" i="6"/>
  <c r="AA829" i="22" s="1"/>
  <c r="FX223" i="6"/>
  <c r="FY223" i="6"/>
  <c r="FX232" i="6"/>
  <c r="FY232" i="6"/>
  <c r="FX203" i="6"/>
  <c r="FY203" i="6"/>
  <c r="FX168" i="6"/>
  <c r="Z837" i="22" s="1"/>
  <c r="FY168" i="6"/>
  <c r="AA837" i="22" s="1"/>
  <c r="FX164" i="6"/>
  <c r="FY164" i="6"/>
  <c r="FX123" i="6"/>
  <c r="Z876" i="17" s="1"/>
  <c r="FY123" i="6"/>
  <c r="AA876" i="17" s="1"/>
  <c r="FX96" i="6"/>
  <c r="FY96" i="6"/>
  <c r="FX23" i="6"/>
  <c r="FY23" i="6"/>
  <c r="FX230" i="6"/>
  <c r="FY230" i="6"/>
  <c r="FX172" i="6"/>
  <c r="Z368" i="23" s="1"/>
  <c r="FY172" i="6"/>
  <c r="AA368" i="23" s="1"/>
  <c r="FX19" i="6"/>
  <c r="FY19" i="6"/>
  <c r="FX185" i="6"/>
  <c r="Z783" i="22" s="1"/>
  <c r="FY185" i="6"/>
  <c r="AA783" i="22" s="1"/>
  <c r="FX27" i="6"/>
  <c r="FY27" i="6"/>
  <c r="FX97" i="6"/>
  <c r="FY97" i="6"/>
  <c r="FX25" i="6"/>
  <c r="Z78" i="17" s="1"/>
  <c r="FY25" i="6"/>
  <c r="AA78" i="17" s="1"/>
  <c r="FX17" i="6"/>
  <c r="FY17" i="6"/>
  <c r="FX24" i="6"/>
  <c r="FY24" i="6"/>
  <c r="FX63" i="6"/>
  <c r="FY63" i="6"/>
  <c r="FX145" i="6"/>
  <c r="FY145" i="6"/>
  <c r="FX226" i="6"/>
  <c r="Z777" i="17" s="1"/>
  <c r="FY226" i="6"/>
  <c r="AA777" i="17" s="1"/>
  <c r="FX158" i="6"/>
  <c r="Z892" i="17" s="1"/>
  <c r="FY158" i="6"/>
  <c r="AA892" i="17" s="1"/>
  <c r="FX178" i="6"/>
  <c r="Z827" i="22" s="1"/>
  <c r="FY178" i="6"/>
  <c r="AA827" i="22" s="1"/>
  <c r="FX64" i="6"/>
  <c r="FY64" i="6"/>
  <c r="FX240" i="6"/>
  <c r="FY240" i="6"/>
  <c r="FX62" i="6"/>
  <c r="FY62" i="6"/>
  <c r="FX147" i="6"/>
  <c r="FY147" i="6"/>
  <c r="FX196" i="6"/>
  <c r="FY196" i="6"/>
  <c r="FX229" i="6"/>
  <c r="FY229" i="6"/>
  <c r="FX72" i="6"/>
  <c r="FY72" i="6"/>
  <c r="FX106" i="6"/>
  <c r="FY106" i="6"/>
  <c r="FX31" i="6"/>
  <c r="FY31" i="6"/>
  <c r="FX160" i="6"/>
  <c r="FY160" i="6"/>
  <c r="FX167" i="6"/>
  <c r="Z836" i="22" s="1"/>
  <c r="FY167" i="6"/>
  <c r="AA836" i="22" s="1"/>
  <c r="FX231" i="6"/>
  <c r="Z322" i="23" s="1"/>
  <c r="FY231" i="6"/>
  <c r="AA322" i="23" s="1"/>
  <c r="FX225" i="6"/>
  <c r="FY225" i="6"/>
  <c r="FX190" i="6"/>
  <c r="FY190" i="6"/>
  <c r="FX222" i="6"/>
  <c r="FY222" i="6"/>
  <c r="FX22" i="6"/>
  <c r="Z874" i="17" s="1"/>
  <c r="FY22" i="6"/>
  <c r="AA874" i="17" s="1"/>
  <c r="FX94" i="6"/>
  <c r="FY94" i="6"/>
  <c r="FX107" i="6"/>
  <c r="Z356" i="22" s="1"/>
  <c r="FY107" i="6"/>
  <c r="AA356" i="22" s="1"/>
  <c r="FX28" i="6"/>
  <c r="FY28" i="6"/>
  <c r="FX241" i="6"/>
  <c r="Z791" i="17" s="1"/>
  <c r="FY241" i="6"/>
  <c r="AA791" i="17" s="1"/>
  <c r="FX155" i="6"/>
  <c r="Z923" i="17" s="1"/>
  <c r="FY155" i="6"/>
  <c r="AA923" i="17" s="1"/>
  <c r="FX209" i="6"/>
  <c r="Z539" i="22" s="1"/>
  <c r="FY209" i="6"/>
  <c r="AA539" i="22" s="1"/>
  <c r="FX210" i="6"/>
  <c r="FY210" i="6"/>
  <c r="FX93" i="6"/>
  <c r="FY93" i="6"/>
  <c r="FX224" i="6"/>
  <c r="Z779" i="17" s="1"/>
  <c r="FY224" i="6"/>
  <c r="AA779" i="17" s="1"/>
  <c r="FX162" i="6"/>
  <c r="Z358" i="23" s="1"/>
  <c r="FY162" i="6"/>
  <c r="AA358" i="23" s="1"/>
  <c r="BX5" i="6"/>
  <c r="C41" i="24"/>
  <c r="F40" i="24"/>
  <c r="CE7" i="6"/>
  <c r="CG7" i="6"/>
  <c r="CI6" i="6"/>
  <c r="BQ7" i="6"/>
  <c r="C40" i="24"/>
  <c r="BR7" i="6"/>
  <c r="G34" i="24"/>
  <c r="BS6" i="6"/>
  <c r="W34" i="24"/>
  <c r="CE5" i="6"/>
  <c r="E40" i="24"/>
  <c r="D40" i="24"/>
  <c r="D36" i="24"/>
  <c r="D41" i="24" s="1"/>
  <c r="D34" i="24"/>
  <c r="D39" i="24" s="1"/>
  <c r="B40" i="24"/>
  <c r="B41" i="24"/>
  <c r="B34" i="24"/>
  <c r="B39" i="24" s="1"/>
  <c r="BN7" i="6"/>
  <c r="T35" i="24"/>
  <c r="T40" i="24" s="1"/>
  <c r="N35" i="24"/>
  <c r="N40" i="24" s="1"/>
  <c r="AI10" i="24"/>
  <c r="AI11" i="24"/>
  <c r="BO7" i="6"/>
  <c r="K34" i="24"/>
  <c r="T34" i="24"/>
  <c r="W36" i="24"/>
  <c r="Q36" i="24"/>
  <c r="O36" i="24"/>
  <c r="O34" i="24"/>
  <c r="I36" i="24"/>
  <c r="G36" i="24"/>
  <c r="AG8" i="24"/>
  <c r="AG22" i="24" s="1"/>
  <c r="AB11" i="5"/>
  <c r="AA11" i="5"/>
  <c r="FZ125" i="6"/>
  <c r="FW125" i="6" s="1"/>
  <c r="Y403" i="22" s="1"/>
  <c r="BV5" i="6"/>
  <c r="AF17" i="24"/>
  <c r="H12" i="6" s="1"/>
  <c r="BQ5" i="6"/>
  <c r="BT6" i="6"/>
  <c r="BQ6" i="6"/>
  <c r="BT5" i="6"/>
  <c r="BV6" i="6"/>
  <c r="CG8" i="6"/>
  <c r="CD8" i="6"/>
  <c r="CC8" i="6"/>
  <c r="BO6" i="6"/>
  <c r="CH8" i="6"/>
  <c r="AE17" i="24"/>
  <c r="G12" i="6" s="1"/>
  <c r="BX8" i="6"/>
  <c r="BY8" i="6"/>
  <c r="BV8" i="6"/>
  <c r="BU8" i="6"/>
  <c r="BT8" i="6"/>
  <c r="BZ8" i="6"/>
  <c r="BS8" i="6"/>
  <c r="CE8" i="6"/>
  <c r="BW8" i="6"/>
  <c r="CJ7" i="6"/>
  <c r="AL11" i="24"/>
  <c r="N10" i="6" s="1"/>
  <c r="CI8" i="6"/>
  <c r="CA8" i="6"/>
  <c r="AG19" i="24"/>
  <c r="AI16" i="24"/>
  <c r="AM11" i="24"/>
  <c r="O10" i="6" s="1"/>
  <c r="AD15" i="6"/>
  <c r="AE15" i="6"/>
  <c r="AF15" i="6"/>
  <c r="AG15" i="6"/>
  <c r="AI15" i="6"/>
  <c r="AJ15" i="6"/>
  <c r="AA798" i="22" l="1"/>
  <c r="AA799" i="22"/>
  <c r="AA366" i="23"/>
  <c r="AA371" i="23"/>
  <c r="AA538" i="22"/>
  <c r="AA530" i="22"/>
  <c r="AA535" i="22"/>
  <c r="AA620" i="17"/>
  <c r="AA613" i="17"/>
  <c r="AA522" i="22"/>
  <c r="AA519" i="22"/>
  <c r="AA514" i="22"/>
  <c r="AA515" i="22"/>
  <c r="AA523" i="22"/>
  <c r="AA531" i="22"/>
  <c r="AA618" i="17"/>
  <c r="AA621" i="17"/>
  <c r="AA610" i="17"/>
  <c r="AA626" i="17"/>
  <c r="AA605" i="17"/>
  <c r="AA517" i="22"/>
  <c r="AA512" i="22"/>
  <c r="AA536" i="22"/>
  <c r="AA843" i="22"/>
  <c r="AA525" i="22"/>
  <c r="AA528" i="22"/>
  <c r="AA624" i="17"/>
  <c r="AA606" i="17"/>
  <c r="AA604" i="17"/>
  <c r="AA527" i="22"/>
  <c r="AA520" i="22"/>
  <c r="AA611" i="17"/>
  <c r="AA803" i="22"/>
  <c r="AA619" i="17"/>
  <c r="AA615" i="17"/>
  <c r="AA617" i="17"/>
  <c r="AA616" i="17"/>
  <c r="AA608" i="17"/>
  <c r="AA625" i="17"/>
  <c r="AA607" i="17"/>
  <c r="AA627" i="17"/>
  <c r="AA910" i="17"/>
  <c r="AA623" i="17"/>
  <c r="AA622" i="17"/>
  <c r="AA609" i="17"/>
  <c r="AA614" i="17"/>
  <c r="AA612" i="17"/>
  <c r="AA521" i="22"/>
  <c r="AA533" i="22"/>
  <c r="AA526" i="22"/>
  <c r="AA518" i="22"/>
  <c r="AA529" i="22"/>
  <c r="AA537" i="22"/>
  <c r="AA516" i="22"/>
  <c r="AA524" i="22"/>
  <c r="AA513" i="22"/>
  <c r="AA534" i="22"/>
  <c r="AA532" i="22"/>
  <c r="AA789" i="17"/>
  <c r="AA785" i="17"/>
  <c r="AA690" i="22"/>
  <c r="AA788" i="17"/>
  <c r="AA692" i="22"/>
  <c r="AA786" i="17"/>
  <c r="AA783" i="17"/>
  <c r="AA787" i="17"/>
  <c r="AA691" i="22"/>
  <c r="AA784" i="17"/>
  <c r="AA694" i="22"/>
  <c r="AA325" i="23"/>
  <c r="AA925" i="17"/>
  <c r="AA924" i="17"/>
  <c r="AA781" i="17"/>
  <c r="AA686" i="22"/>
  <c r="AA689" i="22"/>
  <c r="AA687" i="22"/>
  <c r="AA782" i="17"/>
  <c r="AA778" i="17"/>
  <c r="AA780" i="17"/>
  <c r="AA688" i="22"/>
  <c r="AA805" i="22"/>
  <c r="AA833" i="22"/>
  <c r="AA169" i="23"/>
  <c r="AA173" i="23"/>
  <c r="AA170" i="23"/>
  <c r="AA174" i="23"/>
  <c r="AA178" i="23"/>
  <c r="AA177" i="23"/>
  <c r="AA358" i="22"/>
  <c r="AA360" i="22"/>
  <c r="AA466" i="17"/>
  <c r="AA467" i="17"/>
  <c r="AA172" i="23"/>
  <c r="AA359" i="22"/>
  <c r="AA357" i="22"/>
  <c r="AA175" i="23"/>
  <c r="AA171" i="23"/>
  <c r="AA176" i="23"/>
  <c r="AA261" i="22"/>
  <c r="AA259" i="22"/>
  <c r="AA260" i="22"/>
  <c r="AA257" i="22"/>
  <c r="AA255" i="22"/>
  <c r="AA296" i="17"/>
  <c r="AA48" i="23"/>
  <c r="AA263" i="22"/>
  <c r="AA256" i="22"/>
  <c r="AA63" i="22"/>
  <c r="AA44" i="22"/>
  <c r="AA47" i="22"/>
  <c r="AA61" i="22"/>
  <c r="AA59" i="22"/>
  <c r="AA57" i="22"/>
  <c r="AA45" i="22"/>
  <c r="AA53" i="22"/>
  <c r="AA49" i="22"/>
  <c r="AA62" i="22"/>
  <c r="AA37" i="22"/>
  <c r="AA50" i="22"/>
  <c r="AA64" i="22"/>
  <c r="AA55" i="22"/>
  <c r="AA54" i="22"/>
  <c r="AA46" i="22"/>
  <c r="AA48" i="22"/>
  <c r="AA56" i="22"/>
  <c r="AA43" i="22"/>
  <c r="AA52" i="22"/>
  <c r="AA51" i="22"/>
  <c r="AA60" i="22"/>
  <c r="AA58" i="22"/>
  <c r="Z426" i="17"/>
  <c r="Z423" i="17"/>
  <c r="Z422" i="17"/>
  <c r="Z170" i="23"/>
  <c r="Z173" i="23"/>
  <c r="Z169" i="23"/>
  <c r="Z360" i="22"/>
  <c r="Z178" i="23"/>
  <c r="Z177" i="23"/>
  <c r="Z174" i="23"/>
  <c r="Z358" i="22"/>
  <c r="Z466" i="17"/>
  <c r="Z467" i="17"/>
  <c r="Z175" i="23"/>
  <c r="Z357" i="22"/>
  <c r="Z171" i="23"/>
  <c r="Z359" i="22"/>
  <c r="Z176" i="23"/>
  <c r="Z172" i="23"/>
  <c r="Z261" i="22"/>
  <c r="Z259" i="22"/>
  <c r="Z257" i="22"/>
  <c r="Z260" i="22"/>
  <c r="Z255" i="22"/>
  <c r="Z296" i="17"/>
  <c r="Z256" i="22"/>
  <c r="Z48" i="23"/>
  <c r="Z263" i="22"/>
  <c r="Z487" i="22"/>
  <c r="Z483" i="22"/>
  <c r="Z481" i="22"/>
  <c r="Z489" i="22"/>
  <c r="Z484" i="22"/>
  <c r="Z583" i="17"/>
  <c r="Z485" i="22"/>
  <c r="Z475" i="22"/>
  <c r="Z467" i="22"/>
  <c r="Z586" i="17"/>
  <c r="Z479" i="22"/>
  <c r="Z470" i="22"/>
  <c r="Z486" i="22"/>
  <c r="Z473" i="22"/>
  <c r="Z578" i="17"/>
  <c r="AA73" i="23"/>
  <c r="AA66" i="23"/>
  <c r="AA74" i="23"/>
  <c r="AA71" i="23"/>
  <c r="AA70" i="23"/>
  <c r="AA68" i="23"/>
  <c r="AA77" i="23"/>
  <c r="AA75" i="23"/>
  <c r="AA76" i="23"/>
  <c r="AA69" i="23"/>
  <c r="AA72" i="23"/>
  <c r="AA67" i="23"/>
  <c r="AA291" i="17"/>
  <c r="AA250" i="22"/>
  <c r="AA290" i="17"/>
  <c r="AA289" i="17"/>
  <c r="AA265" i="22"/>
  <c r="AA246" i="22"/>
  <c r="AA258" i="22"/>
  <c r="AA254" i="22"/>
  <c r="AA286" i="17"/>
  <c r="AA47" i="23"/>
  <c r="AA247" i="22"/>
  <c r="AA267" i="22"/>
  <c r="AA253" i="22"/>
  <c r="AA252" i="22"/>
  <c r="AA262" i="22"/>
  <c r="AA249" i="22"/>
  <c r="AA297" i="17"/>
  <c r="AA285" i="17"/>
  <c r="AA293" i="17"/>
  <c r="AA251" i="22"/>
  <c r="AA927" i="17"/>
  <c r="AA287" i="17"/>
  <c r="AA298" i="17"/>
  <c r="AA292" i="17"/>
  <c r="AA46" i="23"/>
  <c r="AA45" i="23"/>
  <c r="AA264" i="22"/>
  <c r="AA266" i="22"/>
  <c r="AA248" i="22"/>
  <c r="AA288" i="17"/>
  <c r="AA294" i="17"/>
  <c r="AA100" i="17"/>
  <c r="AA81" i="17"/>
  <c r="AA104" i="17"/>
  <c r="AA92" i="17"/>
  <c r="AA85" i="17"/>
  <c r="AA95" i="17"/>
  <c r="AA105" i="17"/>
  <c r="AA94" i="17"/>
  <c r="AA103" i="17"/>
  <c r="AA84" i="17"/>
  <c r="AA98" i="17"/>
  <c r="AA877" i="17"/>
  <c r="AA87" i="17"/>
  <c r="AA86" i="17"/>
  <c r="AA101" i="17"/>
  <c r="AA90" i="17"/>
  <c r="AA79" i="17"/>
  <c r="AA80" i="17"/>
  <c r="AA93" i="17"/>
  <c r="AA89" i="17"/>
  <c r="AA83" i="17"/>
  <c r="AA99" i="17"/>
  <c r="AA102" i="17"/>
  <c r="AA82" i="17"/>
  <c r="AA88" i="17"/>
  <c r="AA91" i="17"/>
  <c r="AA97" i="17"/>
  <c r="AA96" i="17"/>
  <c r="Z535" i="22"/>
  <c r="Z538" i="22"/>
  <c r="Z522" i="22"/>
  <c r="Z519" i="22"/>
  <c r="Z613" i="17"/>
  <c r="Z620" i="17"/>
  <c r="Z530" i="22"/>
  <c r="Z523" i="22"/>
  <c r="Z515" i="22"/>
  <c r="Z514" i="22"/>
  <c r="Z618" i="17"/>
  <c r="Z621" i="17"/>
  <c r="Z610" i="17"/>
  <c r="Z531" i="22"/>
  <c r="Z626" i="17"/>
  <c r="Z605" i="17"/>
  <c r="Z843" i="22"/>
  <c r="Z517" i="22"/>
  <c r="Z512" i="22"/>
  <c r="Z803" i="22"/>
  <c r="Z536" i="22"/>
  <c r="Z528" i="22"/>
  <c r="Z525" i="22"/>
  <c r="Z520" i="22"/>
  <c r="Z606" i="17"/>
  <c r="Z611" i="17"/>
  <c r="Z624" i="17"/>
  <c r="Z608" i="17"/>
  <c r="Z604" i="17"/>
  <c r="Z619" i="17"/>
  <c r="Z617" i="17"/>
  <c r="Z625" i="17"/>
  <c r="Z612" i="17"/>
  <c r="Z527" i="22"/>
  <c r="Z616" i="17"/>
  <c r="Z910" i="17"/>
  <c r="Z615" i="17"/>
  <c r="Z607" i="17"/>
  <c r="Z622" i="17"/>
  <c r="Z609" i="17"/>
  <c r="Z614" i="17"/>
  <c r="Z623" i="17"/>
  <c r="Z627" i="17"/>
  <c r="Z534" i="22"/>
  <c r="Z516" i="22"/>
  <c r="Z526" i="22"/>
  <c r="Z524" i="22"/>
  <c r="Z533" i="22"/>
  <c r="Z529" i="22"/>
  <c r="Z537" i="22"/>
  <c r="Z532" i="22"/>
  <c r="Z518" i="22"/>
  <c r="Z513" i="22"/>
  <c r="Z521" i="22"/>
  <c r="Z789" i="17"/>
  <c r="Z785" i="17"/>
  <c r="Z692" i="22"/>
  <c r="Z690" i="22"/>
  <c r="Z788" i="17"/>
  <c r="Z786" i="17"/>
  <c r="Z787" i="17"/>
  <c r="Z783" i="17"/>
  <c r="Z691" i="22"/>
  <c r="Z784" i="17"/>
  <c r="Z73" i="23"/>
  <c r="Z74" i="23"/>
  <c r="Z66" i="23"/>
  <c r="Z70" i="23"/>
  <c r="Z71" i="23"/>
  <c r="Z75" i="23"/>
  <c r="Z67" i="23"/>
  <c r="Z76" i="23"/>
  <c r="Z72" i="23"/>
  <c r="Z69" i="23"/>
  <c r="Z68" i="23"/>
  <c r="Z77" i="23"/>
  <c r="Z289" i="17"/>
  <c r="Z250" i="22"/>
  <c r="Z291" i="17"/>
  <c r="Z290" i="17"/>
  <c r="Z258" i="22"/>
  <c r="Z265" i="22"/>
  <c r="Z246" i="22"/>
  <c r="Z254" i="22"/>
  <c r="Z286" i="17"/>
  <c r="Z47" i="23"/>
  <c r="Z247" i="22"/>
  <c r="Z262" i="22"/>
  <c r="Z253" i="22"/>
  <c r="Z249" i="22"/>
  <c r="Z267" i="22"/>
  <c r="Z252" i="22"/>
  <c r="Z297" i="17"/>
  <c r="Z251" i="22"/>
  <c r="Z285" i="17"/>
  <c r="Z293" i="17"/>
  <c r="Z927" i="17"/>
  <c r="Z298" i="17"/>
  <c r="Z292" i="17"/>
  <c r="Z287" i="17"/>
  <c r="Z45" i="23"/>
  <c r="Z264" i="22"/>
  <c r="Z248" i="22"/>
  <c r="Z266" i="22"/>
  <c r="Z46" i="23"/>
  <c r="Z288" i="17"/>
  <c r="Z294" i="17"/>
  <c r="Z81" i="17"/>
  <c r="Z92" i="17"/>
  <c r="Z95" i="17"/>
  <c r="Z104" i="17"/>
  <c r="Z100" i="17"/>
  <c r="Z85" i="17"/>
  <c r="Z94" i="17"/>
  <c r="Z105" i="17"/>
  <c r="Z103" i="17"/>
  <c r="Z84" i="17"/>
  <c r="Z98" i="17"/>
  <c r="Z86" i="17"/>
  <c r="Z87" i="17"/>
  <c r="Z877" i="17"/>
  <c r="Z83" i="17"/>
  <c r="Z80" i="17"/>
  <c r="Z102" i="17"/>
  <c r="Z79" i="17"/>
  <c r="Z97" i="17"/>
  <c r="Z101" i="17"/>
  <c r="Z99" i="17"/>
  <c r="Z88" i="17"/>
  <c r="Z93" i="17"/>
  <c r="Z90" i="17"/>
  <c r="Z91" i="17"/>
  <c r="Z96" i="17"/>
  <c r="Z82" i="17"/>
  <c r="Z89" i="17"/>
  <c r="Z694" i="22"/>
  <c r="Z325" i="23"/>
  <c r="Z925" i="17"/>
  <c r="Z924" i="17"/>
  <c r="Z781" i="17"/>
  <c r="Z686" i="22"/>
  <c r="Z689" i="22"/>
  <c r="Z687" i="22"/>
  <c r="Z778" i="17"/>
  <c r="Z780" i="17"/>
  <c r="Z782" i="17"/>
  <c r="Z688" i="22"/>
  <c r="Z805" i="22"/>
  <c r="Z833" i="22"/>
  <c r="Z63" i="22"/>
  <c r="Z47" i="22"/>
  <c r="Z53" i="22"/>
  <c r="Z61" i="22"/>
  <c r="Z59" i="22"/>
  <c r="Z57" i="22"/>
  <c r="Z45" i="22"/>
  <c r="Z44" i="22"/>
  <c r="Z64" i="22"/>
  <c r="Z62" i="22"/>
  <c r="Z49" i="22"/>
  <c r="Z37" i="22"/>
  <c r="Z50" i="22"/>
  <c r="Z55" i="22"/>
  <c r="Z54" i="22"/>
  <c r="Z48" i="22"/>
  <c r="Z56" i="22"/>
  <c r="Z43" i="22"/>
  <c r="Z60" i="22"/>
  <c r="Z58" i="22"/>
  <c r="Z51" i="22"/>
  <c r="Z52" i="22"/>
  <c r="Z46" i="22"/>
  <c r="AA58" i="17"/>
  <c r="AA54" i="17"/>
  <c r="AA50" i="17"/>
  <c r="AA63" i="17"/>
  <c r="AA74" i="17"/>
  <c r="AA60" i="17"/>
  <c r="AA52" i="17"/>
  <c r="AA62" i="17"/>
  <c r="AA61" i="17"/>
  <c r="AA42" i="17"/>
  <c r="AA77" i="17"/>
  <c r="AA66" i="17"/>
  <c r="AA53" i="17"/>
  <c r="AA75" i="17"/>
  <c r="AA51" i="17"/>
  <c r="AA59" i="17"/>
  <c r="AA65" i="17"/>
  <c r="AA46" i="17"/>
  <c r="AA71" i="17"/>
  <c r="AA56" i="17"/>
  <c r="AA55" i="17"/>
  <c r="AA76" i="17"/>
  <c r="AA73" i="17"/>
  <c r="AA41" i="17"/>
  <c r="AA69" i="17"/>
  <c r="AA48" i="17"/>
  <c r="AA68" i="17"/>
  <c r="AA67" i="17"/>
  <c r="AA72" i="17"/>
  <c r="AA333" i="22"/>
  <c r="AA427" i="17"/>
  <c r="AA332" i="22"/>
  <c r="AA428" i="17"/>
  <c r="AA363" i="23"/>
  <c r="AA354" i="23"/>
  <c r="AA70" i="17"/>
  <c r="AA57" i="17"/>
  <c r="AA44" i="17"/>
  <c r="Z363" i="23"/>
  <c r="Z354" i="23"/>
  <c r="Z908" i="17"/>
  <c r="Z804" i="17"/>
  <c r="Z781" i="22"/>
  <c r="Z782" i="22"/>
  <c r="Z841" i="22"/>
  <c r="Z842" i="22"/>
  <c r="Z907" i="17"/>
  <c r="Z26" i="22"/>
  <c r="Z28" i="22"/>
  <c r="Z23" i="22"/>
  <c r="Z15" i="22"/>
  <c r="Z31" i="22"/>
  <c r="Z20" i="22"/>
  <c r="Z36" i="22"/>
  <c r="Z24" i="22"/>
  <c r="Z16" i="22"/>
  <c r="Z27" i="22"/>
  <c r="Z10" i="22"/>
  <c r="Z800" i="22"/>
  <c r="Z29" i="22"/>
  <c r="Z9" i="22"/>
  <c r="Z35" i="22"/>
  <c r="Z19" i="22"/>
  <c r="Z807" i="22"/>
  <c r="Z38" i="22"/>
  <c r="Z840" i="22"/>
  <c r="Z25" i="22"/>
  <c r="Z50" i="17"/>
  <c r="Z58" i="17"/>
  <c r="Z54" i="17"/>
  <c r="Z63" i="17"/>
  <c r="Z74" i="17"/>
  <c r="Z60" i="17"/>
  <c r="Z52" i="17"/>
  <c r="Z61" i="17"/>
  <c r="Z62" i="17"/>
  <c r="Z66" i="17"/>
  <c r="Z42" i="17"/>
  <c r="Z53" i="17"/>
  <c r="Z77" i="17"/>
  <c r="Z55" i="17"/>
  <c r="Z76" i="17"/>
  <c r="Z56" i="17"/>
  <c r="Z65" i="17"/>
  <c r="Z46" i="17"/>
  <c r="Z75" i="17"/>
  <c r="Z59" i="17"/>
  <c r="Z51" i="17"/>
  <c r="Z71" i="17"/>
  <c r="Z73" i="17"/>
  <c r="Z72" i="17"/>
  <c r="Z48" i="17"/>
  <c r="Z68" i="17"/>
  <c r="Z41" i="17"/>
  <c r="Z67" i="17"/>
  <c r="Z69" i="17"/>
  <c r="AA426" i="17"/>
  <c r="AA423" i="17"/>
  <c r="AA422" i="17"/>
  <c r="AA487" i="22"/>
  <c r="AA489" i="22"/>
  <c r="AA481" i="22"/>
  <c r="AA483" i="22"/>
  <c r="AA484" i="22"/>
  <c r="AA583" i="17"/>
  <c r="AA473" i="22"/>
  <c r="AA470" i="22"/>
  <c r="AA486" i="22"/>
  <c r="AA586" i="17"/>
  <c r="AA475" i="22"/>
  <c r="AA479" i="22"/>
  <c r="AA467" i="22"/>
  <c r="AA485" i="22"/>
  <c r="AA578" i="17"/>
  <c r="Z333" i="22"/>
  <c r="Z427" i="17"/>
  <c r="Z332" i="22"/>
  <c r="Z428" i="17"/>
  <c r="AA823" i="22"/>
  <c r="AA804" i="22"/>
  <c r="AA795" i="22"/>
  <c r="AA832" i="22"/>
  <c r="AA474" i="22"/>
  <c r="AA482" i="22"/>
  <c r="AA490" i="22"/>
  <c r="AA468" i="22"/>
  <c r="AA587" i="17"/>
  <c r="AA579" i="17"/>
  <c r="AA575" i="17"/>
  <c r="AA472" i="22"/>
  <c r="AA471" i="22"/>
  <c r="AA469" i="22"/>
  <c r="AA480" i="22"/>
  <c r="AA488" i="22"/>
  <c r="AA476" i="22"/>
  <c r="AA577" i="17"/>
  <c r="AA588" i="17"/>
  <c r="AA582" i="17"/>
  <c r="AA889" i="17"/>
  <c r="AA928" i="17"/>
  <c r="AA584" i="17"/>
  <c r="AA576" i="17"/>
  <c r="AA912" i="17"/>
  <c r="AA477" i="22"/>
  <c r="AA478" i="22"/>
  <c r="AA888" i="17"/>
  <c r="AA585" i="17"/>
  <c r="AA581" i="17"/>
  <c r="AA580" i="17"/>
  <c r="Z823" i="22"/>
  <c r="Z804" i="22"/>
  <c r="Z795" i="22"/>
  <c r="Z832" i="22"/>
  <c r="Z70" i="17"/>
  <c r="Z57" i="17"/>
  <c r="Z44" i="17"/>
  <c r="AA328" i="22"/>
  <c r="AA421" i="17"/>
  <c r="AA325" i="22"/>
  <c r="AA420" i="17"/>
  <c r="AA329" i="22"/>
  <c r="AA424" i="17"/>
  <c r="AA323" i="22"/>
  <c r="AA327" i="22"/>
  <c r="AA331" i="22"/>
  <c r="AA326" i="22"/>
  <c r="AA324" i="22"/>
  <c r="AA330" i="22"/>
  <c r="AA425" i="17"/>
  <c r="AA787" i="22"/>
  <c r="AA845" i="22"/>
  <c r="AA788" i="22"/>
  <c r="AA786" i="22"/>
  <c r="AA822" i="22"/>
  <c r="AA897" i="17"/>
  <c r="AA896" i="17"/>
  <c r="AA898" i="17"/>
  <c r="AA797" i="22"/>
  <c r="AA796" i="22"/>
  <c r="AA914" i="17"/>
  <c r="AA913" i="17"/>
  <c r="AA899" i="17"/>
  <c r="AA233" i="23"/>
  <c r="AA234" i="23"/>
  <c r="AA11" i="22"/>
  <c r="AA42" i="22"/>
  <c r="AA356" i="23"/>
  <c r="AA357" i="23"/>
  <c r="AA225" i="23"/>
  <c r="AA492" i="17"/>
  <c r="AA502" i="17"/>
  <c r="AA500" i="17"/>
  <c r="AA229" i="23"/>
  <c r="AA227" i="23"/>
  <c r="AA228" i="23"/>
  <c r="AA230" i="23"/>
  <c r="AA222" i="23"/>
  <c r="AA232" i="23"/>
  <c r="AA231" i="23"/>
  <c r="AA226" i="23"/>
  <c r="AA498" i="17"/>
  <c r="AA499" i="17"/>
  <c r="AA493" i="17"/>
  <c r="AA496" i="17"/>
  <c r="AA501" i="17"/>
  <c r="AA504" i="17"/>
  <c r="AA374" i="22"/>
  <c r="AA494" i="17"/>
  <c r="AA223" i="23"/>
  <c r="AA224" i="23"/>
  <c r="AA503" i="17"/>
  <c r="AA495" i="17"/>
  <c r="AA497" i="17"/>
  <c r="Z225" i="23"/>
  <c r="Z492" i="17"/>
  <c r="Z502" i="17"/>
  <c r="Z500" i="17"/>
  <c r="Z228" i="23"/>
  <c r="Z230" i="23"/>
  <c r="Z227" i="23"/>
  <c r="Z222" i="23"/>
  <c r="Z232" i="23"/>
  <c r="Z231" i="23"/>
  <c r="Z226" i="23"/>
  <c r="Z229" i="23"/>
  <c r="Z498" i="17"/>
  <c r="Z496" i="17"/>
  <c r="Z504" i="17"/>
  <c r="Z493" i="17"/>
  <c r="Z499" i="17"/>
  <c r="Z501" i="17"/>
  <c r="Z223" i="23"/>
  <c r="Z495" i="17"/>
  <c r="Z374" i="22"/>
  <c r="Z494" i="17"/>
  <c r="Z224" i="23"/>
  <c r="Z503" i="17"/>
  <c r="Z497" i="17"/>
  <c r="Z799" i="22"/>
  <c r="Z366" i="23"/>
  <c r="Z798" i="22"/>
  <c r="Z371" i="23"/>
  <c r="AA327" i="23"/>
  <c r="AA693" i="22"/>
  <c r="AA334" i="23"/>
  <c r="AA331" i="23"/>
  <c r="AA324" i="23"/>
  <c r="AA328" i="23"/>
  <c r="AA695" i="22"/>
  <c r="AA696" i="22"/>
  <c r="AA329" i="23"/>
  <c r="AA781" i="22"/>
  <c r="AA804" i="17"/>
  <c r="AA908" i="17"/>
  <c r="AA782" i="22"/>
  <c r="AA841" i="22"/>
  <c r="AA842" i="22"/>
  <c r="AA907" i="17"/>
  <c r="AA28" i="22"/>
  <c r="AA20" i="22"/>
  <c r="AA31" i="22"/>
  <c r="AA26" i="22"/>
  <c r="AA23" i="22"/>
  <c r="AA15" i="22"/>
  <c r="AA16" i="22"/>
  <c r="AA24" i="22"/>
  <c r="AA36" i="22"/>
  <c r="AA27" i="22"/>
  <c r="AA29" i="22"/>
  <c r="AA10" i="22"/>
  <c r="AA800" i="22"/>
  <c r="AA9" i="22"/>
  <c r="AA807" i="22"/>
  <c r="AA35" i="22"/>
  <c r="AA19" i="22"/>
  <c r="AA38" i="22"/>
  <c r="AA840" i="22"/>
  <c r="AA25" i="22"/>
  <c r="Z693" i="22"/>
  <c r="Z327" i="23"/>
  <c r="Z331" i="23"/>
  <c r="Z334" i="23"/>
  <c r="Z324" i="23"/>
  <c r="Z328" i="23"/>
  <c r="Z695" i="22"/>
  <c r="Z696" i="22"/>
  <c r="Z329" i="23"/>
  <c r="Z474" i="22"/>
  <c r="Z490" i="22"/>
  <c r="Z482" i="22"/>
  <c r="Z468" i="22"/>
  <c r="Z579" i="17"/>
  <c r="Z575" i="17"/>
  <c r="Z587" i="17"/>
  <c r="Z472" i="22"/>
  <c r="Z488" i="22"/>
  <c r="Z469" i="22"/>
  <c r="Z588" i="17"/>
  <c r="Z480" i="22"/>
  <c r="Z471" i="22"/>
  <c r="Z577" i="17"/>
  <c r="Z476" i="22"/>
  <c r="Z912" i="17"/>
  <c r="Z584" i="17"/>
  <c r="Z576" i="17"/>
  <c r="Z928" i="17"/>
  <c r="Z889" i="17"/>
  <c r="Z582" i="17"/>
  <c r="Z478" i="22"/>
  <c r="Z477" i="22"/>
  <c r="Z888" i="17"/>
  <c r="Z581" i="17"/>
  <c r="Z585" i="17"/>
  <c r="Z580" i="17"/>
  <c r="Z328" i="22"/>
  <c r="Z325" i="22"/>
  <c r="Z420" i="17"/>
  <c r="Z421" i="17"/>
  <c r="Z329" i="22"/>
  <c r="Z424" i="17"/>
  <c r="Z327" i="22"/>
  <c r="Z331" i="22"/>
  <c r="Z330" i="22"/>
  <c r="Z324" i="22"/>
  <c r="Z326" i="22"/>
  <c r="Z323" i="22"/>
  <c r="Z425" i="17"/>
  <c r="Z787" i="22"/>
  <c r="Z845" i="22"/>
  <c r="Z788" i="22"/>
  <c r="Z786" i="22"/>
  <c r="Z822" i="22"/>
  <c r="Z897" i="17"/>
  <c r="Z896" i="17"/>
  <c r="Z797" i="22"/>
  <c r="Z898" i="17"/>
  <c r="Z796" i="22"/>
  <c r="Z914" i="17"/>
  <c r="Z913" i="17"/>
  <c r="Z899" i="17"/>
  <c r="Z233" i="23"/>
  <c r="Z234" i="23"/>
  <c r="Z11" i="22"/>
  <c r="Z42" i="22"/>
  <c r="Z356" i="23"/>
  <c r="Z357" i="23"/>
  <c r="EU205" i="6"/>
  <c r="EU206" i="6"/>
  <c r="EU207" i="6"/>
  <c r="N282" i="6"/>
  <c r="DW253" i="6"/>
  <c r="DW247" i="6"/>
  <c r="T260" i="6"/>
  <c r="T259" i="6"/>
  <c r="EU16" i="6"/>
  <c r="BQ164" i="6"/>
  <c r="EU17" i="6"/>
  <c r="AI29" i="24"/>
  <c r="AI23" i="24" s="1"/>
  <c r="AI25" i="24"/>
  <c r="AI31" i="24"/>
  <c r="AI30" i="24"/>
  <c r="AI24" i="24" s="1"/>
  <c r="K10" i="6"/>
  <c r="K9" i="6"/>
  <c r="K8" i="6"/>
  <c r="I7" i="6"/>
  <c r="AG28" i="24"/>
  <c r="AH28" i="24" s="1"/>
  <c r="FX125" i="6"/>
  <c r="Z403" i="22" s="1"/>
  <c r="FY125" i="6"/>
  <c r="AA403" i="22" s="1"/>
  <c r="K39" i="24"/>
  <c r="AE11" i="24"/>
  <c r="G10" i="6" s="1"/>
  <c r="U40" i="24"/>
  <c r="I41" i="24"/>
  <c r="V40" i="24"/>
  <c r="K41" i="24"/>
  <c r="L41" i="24"/>
  <c r="N41" i="24"/>
  <c r="N39" i="24"/>
  <c r="U39" i="24"/>
  <c r="L39" i="24"/>
  <c r="G39" i="24"/>
  <c r="J41" i="24"/>
  <c r="E39" i="24"/>
  <c r="H39" i="24"/>
  <c r="O41" i="24"/>
  <c r="W39" i="24"/>
  <c r="E41" i="24"/>
  <c r="C39" i="24"/>
  <c r="AE9" i="24" s="1"/>
  <c r="G8" i="6" s="1"/>
  <c r="W41" i="24"/>
  <c r="M39" i="24"/>
  <c r="T39" i="24"/>
  <c r="F39" i="24"/>
  <c r="F41" i="24"/>
  <c r="M41" i="24"/>
  <c r="U41" i="24"/>
  <c r="W40" i="24"/>
  <c r="T41" i="24"/>
  <c r="V39" i="24"/>
  <c r="S41" i="24"/>
  <c r="V41" i="24"/>
  <c r="S40" i="24"/>
  <c r="S39" i="24"/>
  <c r="O40" i="24"/>
  <c r="P39" i="24"/>
  <c r="Q40" i="24"/>
  <c r="P40" i="24"/>
  <c r="O39" i="24"/>
  <c r="R40" i="24"/>
  <c r="Q39" i="24"/>
  <c r="R41" i="24"/>
  <c r="Q41" i="24"/>
  <c r="R39" i="24"/>
  <c r="P41" i="24"/>
  <c r="G40" i="24"/>
  <c r="K40" i="24"/>
  <c r="H40" i="24"/>
  <c r="L40" i="24"/>
  <c r="I40" i="24"/>
  <c r="J40" i="24"/>
  <c r="M40" i="24"/>
  <c r="I39" i="24"/>
  <c r="J39" i="24"/>
  <c r="G41" i="24"/>
  <c r="H41" i="24"/>
  <c r="AF10" i="24"/>
  <c r="H9" i="6" s="1"/>
  <c r="BO5" i="6"/>
  <c r="AE10" i="24"/>
  <c r="G9" i="6" s="1"/>
  <c r="AJ16" i="24"/>
  <c r="AG16" i="24"/>
  <c r="AH16" i="24"/>
  <c r="AK16" i="24"/>
  <c r="T280" i="6" l="1"/>
  <c r="H122" i="6"/>
  <c r="AE122" i="6" s="1"/>
  <c r="Z122" i="6" s="1"/>
  <c r="G122" i="6"/>
  <c r="G260" i="6"/>
  <c r="G259" i="6"/>
  <c r="T281" i="6"/>
  <c r="H259" i="6"/>
  <c r="AE259" i="6" s="1"/>
  <c r="Z259" i="6" s="1"/>
  <c r="H260" i="6"/>
  <c r="AE260" i="6" s="1"/>
  <c r="Z260" i="6" s="1"/>
  <c r="N259" i="6"/>
  <c r="N260" i="6"/>
  <c r="AF9" i="24"/>
  <c r="H8" i="6" s="1"/>
  <c r="AF11" i="24"/>
  <c r="H10" i="6" s="1"/>
  <c r="AG11" i="24"/>
  <c r="AK10" i="24"/>
  <c r="AH10" i="24"/>
  <c r="AH9" i="24"/>
  <c r="AI17" i="24"/>
  <c r="K12" i="6" s="1"/>
  <c r="AG17" i="24"/>
  <c r="I12" i="6" s="1"/>
  <c r="AH17" i="24"/>
  <c r="J12" i="6" s="1"/>
  <c r="AH18" i="24"/>
  <c r="J13" i="6" s="1"/>
  <c r="AG18" i="24"/>
  <c r="I13" i="6" s="1"/>
  <c r="AG9" i="24"/>
  <c r="AK11" i="24"/>
  <c r="AJ10" i="24"/>
  <c r="AH11" i="24"/>
  <c r="AG10" i="24"/>
  <c r="AJ17" i="24"/>
  <c r="L12" i="6" s="1"/>
  <c r="AK9" i="24"/>
  <c r="AJ11" i="24"/>
  <c r="AK17" i="24"/>
  <c r="M12" i="6" s="1"/>
  <c r="AJ9" i="24"/>
  <c r="AD259" i="6" l="1"/>
  <c r="Y259" i="6" s="1"/>
  <c r="P259" i="6"/>
  <c r="CH259" i="6" s="1"/>
  <c r="AD260" i="6"/>
  <c r="Y260" i="6" s="1"/>
  <c r="P260" i="6"/>
  <c r="CH260" i="6" s="1"/>
  <c r="AD122" i="6"/>
  <c r="Y122" i="6" s="1"/>
  <c r="P122" i="6"/>
  <c r="DW192" i="6"/>
  <c r="BU159" i="6"/>
  <c r="DW178" i="6"/>
  <c r="DW16" i="6"/>
  <c r="AJ29" i="24"/>
  <c r="AJ23" i="24" s="1"/>
  <c r="AG29" i="24"/>
  <c r="AG23" i="24" s="1"/>
  <c r="AG30" i="24"/>
  <c r="AG24" i="24" s="1"/>
  <c r="AK25" i="24"/>
  <c r="AJ31" i="24"/>
  <c r="AK31" i="24" s="1"/>
  <c r="AJ25" i="24"/>
  <c r="AG25" i="24"/>
  <c r="AG31" i="24"/>
  <c r="AH31" i="24" s="1"/>
  <c r="AH25" i="24"/>
  <c r="AJ30" i="24"/>
  <c r="AK30" i="24" s="1"/>
  <c r="AK24" i="24" s="1"/>
  <c r="AH30" i="24"/>
  <c r="AH24" i="24" s="1"/>
  <c r="I8" i="6"/>
  <c r="BS48" i="6" s="1"/>
  <c r="M9" i="6"/>
  <c r="BW88" i="6" s="1"/>
  <c r="L10" i="6"/>
  <c r="I10" i="6"/>
  <c r="J10" i="6"/>
  <c r="L9" i="6"/>
  <c r="BV88" i="6" s="1"/>
  <c r="J8" i="6"/>
  <c r="BT48" i="6" s="1"/>
  <c r="M8" i="6"/>
  <c r="I9" i="6"/>
  <c r="L8" i="6"/>
  <c r="M10" i="6"/>
  <c r="J9" i="6"/>
  <c r="FZ227" i="6"/>
  <c r="FW227" i="6" s="1"/>
  <c r="FZ228" i="6"/>
  <c r="FW228" i="6" s="1"/>
  <c r="Y709" i="22" l="1"/>
  <c r="Y701" i="22"/>
  <c r="Y343" i="23"/>
  <c r="Y351" i="23"/>
  <c r="Y339" i="23"/>
  <c r="Y342" i="23"/>
  <c r="Y347" i="23"/>
  <c r="Y346" i="23"/>
  <c r="Y340" i="23"/>
  <c r="Y338" i="23"/>
  <c r="Y344" i="23"/>
  <c r="Y350" i="23"/>
  <c r="Y708" i="22"/>
  <c r="Y705" i="22"/>
  <c r="Y703" i="22"/>
  <c r="Y702" i="22"/>
  <c r="Y706" i="22"/>
  <c r="Y704" i="22"/>
  <c r="Y341" i="23"/>
  <c r="Y345" i="23"/>
  <c r="Y337" i="23"/>
  <c r="Y349" i="23"/>
  <c r="Y707" i="22"/>
  <c r="Y335" i="23"/>
  <c r="Y323" i="23"/>
  <c r="Y326" i="23"/>
  <c r="Y330" i="23"/>
  <c r="Y336" i="23"/>
  <c r="Y332" i="23"/>
  <c r="Y700" i="22"/>
  <c r="Y697" i="22"/>
  <c r="Y698" i="22"/>
  <c r="Y333" i="23"/>
  <c r="Y699" i="22"/>
  <c r="AH29" i="24"/>
  <c r="AH23" i="24" s="1"/>
  <c r="AK29" i="24"/>
  <c r="AK23" i="24" s="1"/>
  <c r="DW305" i="6"/>
  <c r="BS90" i="6"/>
  <c r="BS89" i="6"/>
  <c r="BT90" i="6"/>
  <c r="BT89" i="6"/>
  <c r="EU159" i="6"/>
  <c r="AJ24" i="24"/>
  <c r="FZ259" i="6"/>
  <c r="FW259" i="6" s="1"/>
  <c r="FZ260" i="6"/>
  <c r="FW260" i="6" s="1"/>
  <c r="FX227" i="6"/>
  <c r="FY227" i="6"/>
  <c r="FX228" i="6"/>
  <c r="FY228" i="6"/>
  <c r="FZ250" i="6"/>
  <c r="FW250" i="6" s="1"/>
  <c r="FZ122" i="6"/>
  <c r="FW122" i="6" s="1"/>
  <c r="AA323" i="23" l="1"/>
  <c r="AA326" i="23"/>
  <c r="AA335" i="23"/>
  <c r="AA697" i="22"/>
  <c r="AA336" i="23"/>
  <c r="AA332" i="23"/>
  <c r="AA330" i="23"/>
  <c r="AA700" i="22"/>
  <c r="AA698" i="22"/>
  <c r="AA699" i="22"/>
  <c r="AA333" i="23"/>
  <c r="Z323" i="23"/>
  <c r="Z335" i="23"/>
  <c r="Z326" i="23"/>
  <c r="Z700" i="22"/>
  <c r="Z336" i="23"/>
  <c r="Z332" i="23"/>
  <c r="Z330" i="23"/>
  <c r="Z697" i="22"/>
  <c r="Z698" i="22"/>
  <c r="Z333" i="23"/>
  <c r="Z699" i="22"/>
  <c r="AA351" i="23"/>
  <c r="AA709" i="22"/>
  <c r="AA343" i="23"/>
  <c r="AA701" i="22"/>
  <c r="AA339" i="23"/>
  <c r="AA342" i="23"/>
  <c r="AA347" i="23"/>
  <c r="AA340" i="23"/>
  <c r="AA350" i="23"/>
  <c r="AA346" i="23"/>
  <c r="AA705" i="22"/>
  <c r="AA708" i="22"/>
  <c r="AA344" i="23"/>
  <c r="AA338" i="23"/>
  <c r="AA703" i="22"/>
  <c r="AA702" i="22"/>
  <c r="AA706" i="22"/>
  <c r="AA707" i="22"/>
  <c r="AA345" i="23"/>
  <c r="AA341" i="23"/>
  <c r="AA337" i="23"/>
  <c r="AA704" i="22"/>
  <c r="AA349" i="23"/>
  <c r="Z343" i="23"/>
  <c r="Z351" i="23"/>
  <c r="Z709" i="22"/>
  <c r="Z701" i="22"/>
  <c r="Z342" i="23"/>
  <c r="Z339" i="23"/>
  <c r="Z347" i="23"/>
  <c r="Z346" i="23"/>
  <c r="Z338" i="23"/>
  <c r="Z344" i="23"/>
  <c r="Z705" i="22"/>
  <c r="Z708" i="22"/>
  <c r="Z350" i="23"/>
  <c r="Z340" i="23"/>
  <c r="Z703" i="22"/>
  <c r="Z706" i="22"/>
  <c r="Z702" i="22"/>
  <c r="Z345" i="23"/>
  <c r="Z337" i="23"/>
  <c r="Z704" i="22"/>
  <c r="Z341" i="23"/>
  <c r="Z349" i="23"/>
  <c r="Z707" i="22"/>
  <c r="Y853" i="22"/>
  <c r="Y851" i="22"/>
  <c r="Y852" i="22"/>
  <c r="Y245" i="23"/>
  <c r="Y406" i="22"/>
  <c r="Y537" i="17"/>
  <c r="Y257" i="23"/>
  <c r="Y252" i="23"/>
  <c r="Y250" i="23"/>
  <c r="Y258" i="23"/>
  <c r="Y255" i="23"/>
  <c r="Y253" i="23"/>
  <c r="Y260" i="23"/>
  <c r="Y264" i="23"/>
  <c r="Y262" i="23"/>
  <c r="Y261" i="23"/>
  <c r="Y256" i="23"/>
  <c r="Y263" i="23"/>
  <c r="Y259" i="23"/>
  <c r="Y251" i="23"/>
  <c r="Y254" i="23"/>
  <c r="Y266" i="23"/>
  <c r="Y267" i="23"/>
  <c r="Y268" i="23"/>
  <c r="Y265" i="23"/>
  <c r="Y441" i="22"/>
  <c r="Y444" i="22"/>
  <c r="Y442" i="22"/>
  <c r="Y446" i="22"/>
  <c r="Y447" i="22"/>
  <c r="Y445" i="22"/>
  <c r="Y443" i="22"/>
  <c r="Y450" i="22"/>
  <c r="Y448" i="22"/>
  <c r="Y449" i="22"/>
  <c r="Y451" i="22"/>
  <c r="Y546" i="17"/>
  <c r="Y544" i="17"/>
  <c r="Y548" i="17"/>
  <c r="Y545" i="17"/>
  <c r="Y547" i="17"/>
  <c r="Y543" i="17"/>
  <c r="Y554" i="17"/>
  <c r="Y549" i="17"/>
  <c r="Y551" i="17"/>
  <c r="Y552" i="17"/>
  <c r="Y550" i="17"/>
  <c r="Y553" i="17"/>
  <c r="FY259" i="6"/>
  <c r="FX259" i="6"/>
  <c r="FY260" i="6"/>
  <c r="FX260" i="6"/>
  <c r="FX122" i="6"/>
  <c r="FY122" i="6"/>
  <c r="FX250" i="6"/>
  <c r="FY250" i="6"/>
  <c r="D5" i="5"/>
  <c r="C31" i="24" s="1"/>
  <c r="AA245" i="23" l="1"/>
  <c r="AA406" i="22"/>
  <c r="AA537" i="17"/>
  <c r="Z245" i="23"/>
  <c r="Z406" i="22"/>
  <c r="Z537" i="17"/>
  <c r="Z853" i="22"/>
  <c r="Z852" i="22"/>
  <c r="Z851" i="22"/>
  <c r="AA851" i="22"/>
  <c r="AA853" i="22"/>
  <c r="AA852" i="22"/>
  <c r="AA266" i="23"/>
  <c r="AA267" i="23"/>
  <c r="AA268" i="23"/>
  <c r="AA265" i="23"/>
  <c r="Z258" i="23"/>
  <c r="Z252" i="23"/>
  <c r="Z250" i="23"/>
  <c r="Z257" i="23"/>
  <c r="Z255" i="23"/>
  <c r="Z253" i="23"/>
  <c r="Z251" i="23"/>
  <c r="Z254" i="23"/>
  <c r="Z264" i="23"/>
  <c r="Z259" i="23"/>
  <c r="Z261" i="23"/>
  <c r="Z256" i="23"/>
  <c r="Z263" i="23"/>
  <c r="Z260" i="23"/>
  <c r="Z262" i="23"/>
  <c r="AA258" i="23"/>
  <c r="AA257" i="23"/>
  <c r="AA250" i="23"/>
  <c r="AA252" i="23"/>
  <c r="AA255" i="23"/>
  <c r="AA253" i="23"/>
  <c r="AA254" i="23"/>
  <c r="AA261" i="23"/>
  <c r="AA264" i="23"/>
  <c r="AA256" i="23"/>
  <c r="AA259" i="23"/>
  <c r="AA262" i="23"/>
  <c r="AA251" i="23"/>
  <c r="AA263" i="23"/>
  <c r="AA260" i="23"/>
  <c r="Z266" i="23"/>
  <c r="Z267" i="23"/>
  <c r="Z268" i="23"/>
  <c r="Z265" i="23"/>
  <c r="AA441" i="22"/>
  <c r="AA444" i="22"/>
  <c r="AA442" i="22"/>
  <c r="AA443" i="22"/>
  <c r="AA446" i="22"/>
  <c r="AA447" i="22"/>
  <c r="AA445" i="22"/>
  <c r="Z448" i="22"/>
  <c r="Z450" i="22"/>
  <c r="Z449" i="22"/>
  <c r="Z451" i="22"/>
  <c r="AA448" i="22"/>
  <c r="AA450" i="22"/>
  <c r="AA451" i="22"/>
  <c r="AA449" i="22"/>
  <c r="Z441" i="22"/>
  <c r="Z444" i="22"/>
  <c r="Z442" i="22"/>
  <c r="Z446" i="22"/>
  <c r="Z447" i="22"/>
  <c r="Z445" i="22"/>
  <c r="Z443" i="22"/>
  <c r="AA546" i="17"/>
  <c r="AA547" i="17"/>
  <c r="AA545" i="17"/>
  <c r="AA544" i="17"/>
  <c r="AA543" i="17"/>
  <c r="AA548" i="17"/>
  <c r="Z546" i="17"/>
  <c r="Z543" i="17"/>
  <c r="Z544" i="17"/>
  <c r="Z548" i="17"/>
  <c r="Z545" i="17"/>
  <c r="Z547" i="17"/>
  <c r="Z554" i="17"/>
  <c r="Z549" i="17"/>
  <c r="Z552" i="17"/>
  <c r="Z551" i="17"/>
  <c r="Z553" i="17"/>
  <c r="Z550" i="17"/>
  <c r="AA554" i="17"/>
  <c r="AA549" i="17"/>
  <c r="AA550" i="17"/>
  <c r="AA553" i="17"/>
  <c r="AA552" i="17"/>
  <c r="AA551" i="17"/>
  <c r="AN11" i="24"/>
  <c r="P10" i="6" s="1"/>
  <c r="CL7" i="6"/>
  <c r="AP9" i="6"/>
  <c r="AQ9" i="6"/>
  <c r="AD220" i="6" l="1"/>
  <c r="Y220" i="6" s="1"/>
  <c r="AD219" i="6"/>
  <c r="Y219" i="6" s="1"/>
  <c r="AD244" i="6"/>
  <c r="Y244" i="6" s="1"/>
  <c r="AD243" i="6"/>
  <c r="Y243" i="6" s="1"/>
  <c r="AD251" i="6"/>
  <c r="Y251" i="6" s="1"/>
  <c r="AD242" i="6"/>
  <c r="Y242" i="6" s="1"/>
  <c r="AD218" i="6"/>
  <c r="Y218" i="6" s="1"/>
  <c r="AD205" i="6"/>
  <c r="Y205" i="6" s="1"/>
  <c r="AD246" i="6"/>
  <c r="Y246" i="6" s="1"/>
  <c r="AD221" i="6"/>
  <c r="Y221" i="6" s="1"/>
  <c r="AD207" i="6"/>
  <c r="Y207" i="6" s="1"/>
  <c r="AD204" i="6"/>
  <c r="Y204" i="6" s="1"/>
  <c r="AD197" i="6"/>
  <c r="Y197" i="6" s="1"/>
  <c r="AD206" i="6"/>
  <c r="Y206" i="6" s="1"/>
  <c r="AD245" i="6"/>
  <c r="Y245" i="6" s="1"/>
  <c r="AD199" i="6"/>
  <c r="Y199" i="6" s="1"/>
  <c r="AD189" i="6"/>
  <c r="Y189" i="6" s="1"/>
  <c r="AD163" i="6"/>
  <c r="Y163" i="6" s="1"/>
  <c r="AD157" i="6"/>
  <c r="Y157" i="6" s="1"/>
  <c r="AD149" i="6"/>
  <c r="Y149" i="6" s="1"/>
  <c r="AD136" i="6"/>
  <c r="Y136" i="6" s="1"/>
  <c r="AD133" i="6"/>
  <c r="Y133" i="6" s="1"/>
  <c r="AD198" i="6"/>
  <c r="Y198" i="6" s="1"/>
  <c r="AD148" i="6"/>
  <c r="Y148" i="6" s="1"/>
  <c r="AD134" i="6"/>
  <c r="Y134" i="6" s="1"/>
  <c r="AD150" i="6"/>
  <c r="Y150" i="6" s="1"/>
  <c r="AD138" i="6"/>
  <c r="Y138" i="6" s="1"/>
  <c r="AD135" i="6"/>
  <c r="Y135" i="6" s="1"/>
  <c r="AD152" i="6"/>
  <c r="Y152" i="6" s="1"/>
  <c r="AD151" i="6"/>
  <c r="Y151" i="6" s="1"/>
  <c r="AD140" i="6"/>
  <c r="Y140" i="6" s="1"/>
  <c r="AD153" i="6"/>
  <c r="Y153" i="6" s="1"/>
  <c r="AD143" i="6"/>
  <c r="Y143" i="6" s="1"/>
  <c r="AD139" i="6"/>
  <c r="Y139" i="6" s="1"/>
  <c r="AD131" i="6"/>
  <c r="Y131" i="6" s="1"/>
  <c r="AD103" i="6"/>
  <c r="Y103" i="6" s="1"/>
  <c r="AD99" i="6"/>
  <c r="Y99" i="6" s="1"/>
  <c r="AD130" i="6"/>
  <c r="Y130" i="6" s="1"/>
  <c r="AD101" i="6"/>
  <c r="Y101" i="6" s="1"/>
  <c r="AD142" i="6"/>
  <c r="Y142" i="6" s="1"/>
  <c r="AD141" i="6"/>
  <c r="Y141" i="6" s="1"/>
  <c r="AD137" i="6"/>
  <c r="AD104" i="6"/>
  <c r="Y104" i="6" s="1"/>
  <c r="AD132" i="6"/>
  <c r="Y132" i="6" s="1"/>
  <c r="AD128" i="6"/>
  <c r="Y128" i="6" s="1"/>
  <c r="AD91" i="6"/>
  <c r="Y91" i="6" s="1"/>
  <c r="AD90" i="6"/>
  <c r="Y90" i="6" s="1"/>
  <c r="AD89" i="6"/>
  <c r="Y89" i="6" s="1"/>
  <c r="AD88" i="6"/>
  <c r="Y88" i="6" s="1"/>
  <c r="AD129" i="6"/>
  <c r="Y129" i="6" s="1"/>
  <c r="AD127" i="6"/>
  <c r="Y127" i="6" s="1"/>
  <c r="AD126" i="6"/>
  <c r="Y126" i="6" s="1"/>
  <c r="AD100" i="6"/>
  <c r="Y100" i="6" s="1"/>
  <c r="AD92" i="6"/>
  <c r="Y92" i="6" s="1"/>
  <c r="AD79" i="6"/>
  <c r="Y79" i="6" s="1"/>
  <c r="AD61" i="6"/>
  <c r="Y61" i="6" s="1"/>
  <c r="AD60" i="6"/>
  <c r="Y60" i="6" s="1"/>
  <c r="AD57" i="6"/>
  <c r="Y57" i="6" s="1"/>
  <c r="AD77" i="6"/>
  <c r="Y77" i="6" s="1"/>
  <c r="AD53" i="6"/>
  <c r="Y53" i="6" s="1"/>
  <c r="AD41" i="6"/>
  <c r="Y41" i="6" s="1"/>
  <c r="AD58" i="6"/>
  <c r="Y58" i="6" s="1"/>
  <c r="AD43" i="6"/>
  <c r="Y43" i="6" s="1"/>
  <c r="AD55" i="6"/>
  <c r="Y55" i="6" s="1"/>
  <c r="AD54" i="6"/>
  <c r="Y54" i="6" s="1"/>
  <c r="AD44" i="6"/>
  <c r="Y44" i="6" s="1"/>
  <c r="AD78" i="6"/>
  <c r="Y78" i="6" s="1"/>
  <c r="AD59" i="6"/>
  <c r="Y59" i="6" s="1"/>
  <c r="AD56" i="6"/>
  <c r="Y56" i="6" s="1"/>
  <c r="EE3" i="6"/>
  <c r="EL2" i="6"/>
  <c r="EM2" i="6"/>
  <c r="EN2" i="6"/>
  <c r="EL4" i="6"/>
  <c r="EM4" i="6"/>
  <c r="EN4" i="6"/>
  <c r="EL5" i="6"/>
  <c r="EL8" i="6" s="1"/>
  <c r="EM5" i="6"/>
  <c r="EM8" i="6" s="1"/>
  <c r="EN5" i="6"/>
  <c r="EN8" i="6" s="1"/>
  <c r="EL6" i="6"/>
  <c r="EM6" i="6"/>
  <c r="EN6" i="6"/>
  <c r="AP5" i="6"/>
  <c r="EE5" i="6" s="1"/>
  <c r="AP6" i="6"/>
  <c r="EE6" i="6" s="1"/>
  <c r="AP7" i="6"/>
  <c r="EE7" i="6" s="1"/>
  <c r="AP4" i="6"/>
  <c r="EE4" i="6" s="1"/>
  <c r="Y137" i="6" l="1"/>
  <c r="AS3" i="6"/>
  <c r="EH3" i="6" s="1"/>
  <c r="AT3" i="6"/>
  <c r="EI3" i="6" s="1"/>
  <c r="AR3" i="6"/>
  <c r="EG3" i="6" s="1"/>
  <c r="AQ3" i="6"/>
  <c r="EF3" i="6" s="1"/>
  <c r="AW3" i="6"/>
  <c r="EK3" i="6" s="1"/>
  <c r="AV3" i="6"/>
  <c r="EJ3" i="6" s="1"/>
  <c r="AU3" i="6"/>
  <c r="EP3" i="6" s="1"/>
  <c r="AU4" i="6" l="1"/>
  <c r="EP4" i="6" s="1"/>
  <c r="EN7" i="6" l="1"/>
  <c r="EO18" i="6" s="1"/>
  <c r="FB18" i="6" s="1"/>
  <c r="EM7" i="6"/>
  <c r="EN304" i="6" l="1"/>
  <c r="FA304" i="6" s="1"/>
  <c r="DL304" i="6" s="1"/>
  <c r="EN303" i="6"/>
  <c r="FA303" i="6" s="1"/>
  <c r="DL303" i="6" s="1"/>
  <c r="O635" i="22" s="1"/>
  <c r="EN297" i="6"/>
  <c r="FA297" i="6" s="1"/>
  <c r="DL297" i="6" s="1"/>
  <c r="EN289" i="6"/>
  <c r="FA289" i="6" s="1"/>
  <c r="DL289" i="6" s="1"/>
  <c r="EN283" i="6"/>
  <c r="FA283" i="6" s="1"/>
  <c r="DL283" i="6" s="1"/>
  <c r="EN281" i="6"/>
  <c r="FA281" i="6" s="1"/>
  <c r="DL281" i="6" s="1"/>
  <c r="EN272" i="6"/>
  <c r="FA272" i="6" s="1"/>
  <c r="DL272" i="6" s="1"/>
  <c r="O534" i="17" s="1"/>
  <c r="EN264" i="6"/>
  <c r="FA264" i="6" s="1"/>
  <c r="DL264" i="6" s="1"/>
  <c r="EN259" i="6"/>
  <c r="FA259" i="6" s="1"/>
  <c r="DL259" i="6" s="1"/>
  <c r="EN288" i="6"/>
  <c r="FA288" i="6" s="1"/>
  <c r="DL288" i="6" s="1"/>
  <c r="EN267" i="6"/>
  <c r="FA267" i="6" s="1"/>
  <c r="DL267" i="6" s="1"/>
  <c r="EN308" i="6"/>
  <c r="FA308" i="6" s="1"/>
  <c r="DL308" i="6" s="1"/>
  <c r="EN305" i="6"/>
  <c r="FA305" i="6" s="1"/>
  <c r="DL305" i="6" s="1"/>
  <c r="EN300" i="6"/>
  <c r="FA300" i="6" s="1"/>
  <c r="DL300" i="6" s="1"/>
  <c r="EN292" i="6"/>
  <c r="FA292" i="6" s="1"/>
  <c r="DL292" i="6" s="1"/>
  <c r="EN307" i="6"/>
  <c r="FA307" i="6" s="1"/>
  <c r="DL307" i="6" s="1"/>
  <c r="EN302" i="6"/>
  <c r="FA302" i="6" s="1"/>
  <c r="DL302" i="6" s="1"/>
  <c r="EN299" i="6"/>
  <c r="FA299" i="6" s="1"/>
  <c r="DL299" i="6" s="1"/>
  <c r="EN293" i="6"/>
  <c r="FA293" i="6" s="1"/>
  <c r="DL293" i="6" s="1"/>
  <c r="O16" i="23" s="1"/>
  <c r="EN280" i="6"/>
  <c r="FA280" i="6" s="1"/>
  <c r="DL280" i="6" s="1"/>
  <c r="EN274" i="6"/>
  <c r="FA274" i="6" s="1"/>
  <c r="DL274" i="6" s="1"/>
  <c r="EN268" i="6"/>
  <c r="FA268" i="6" s="1"/>
  <c r="DL268" i="6" s="1"/>
  <c r="EN265" i="6"/>
  <c r="FA265" i="6" s="1"/>
  <c r="DL265" i="6" s="1"/>
  <c r="EN309" i="6"/>
  <c r="FA309" i="6" s="1"/>
  <c r="DL309" i="6" s="1"/>
  <c r="EN301" i="6"/>
  <c r="FA301" i="6" s="1"/>
  <c r="DL301" i="6" s="1"/>
  <c r="EN269" i="6"/>
  <c r="FA269" i="6" s="1"/>
  <c r="DL269" i="6" s="1"/>
  <c r="O523" i="17" s="1"/>
  <c r="EN296" i="6"/>
  <c r="FA296" i="6" s="1"/>
  <c r="DL296" i="6" s="1"/>
  <c r="EN290" i="6"/>
  <c r="FA290" i="6" s="1"/>
  <c r="DL290" i="6" s="1"/>
  <c r="EN270" i="6"/>
  <c r="FA270" i="6" s="1"/>
  <c r="DL270" i="6" s="1"/>
  <c r="O528" i="17" s="1"/>
  <c r="EN266" i="6"/>
  <c r="FA266" i="6" s="1"/>
  <c r="DL266" i="6" s="1"/>
  <c r="O527" i="17" s="1"/>
  <c r="EN262" i="6"/>
  <c r="FA262" i="6" s="1"/>
  <c r="DL262" i="6" s="1"/>
  <c r="EN254" i="6"/>
  <c r="FA254" i="6" s="1"/>
  <c r="DL254" i="6" s="1"/>
  <c r="EN306" i="6"/>
  <c r="FA306" i="6" s="1"/>
  <c r="DL306" i="6" s="1"/>
  <c r="EN298" i="6"/>
  <c r="FA298" i="6" s="1"/>
  <c r="DL298" i="6" s="1"/>
  <c r="EN295" i="6"/>
  <c r="FA295" i="6" s="1"/>
  <c r="DL295" i="6" s="1"/>
  <c r="EN291" i="6"/>
  <c r="FA291" i="6" s="1"/>
  <c r="DL291" i="6" s="1"/>
  <c r="EN276" i="6"/>
  <c r="FA276" i="6" s="1"/>
  <c r="DL276" i="6" s="1"/>
  <c r="EN275" i="6"/>
  <c r="FA275" i="6" s="1"/>
  <c r="DL275" i="6" s="1"/>
  <c r="EN271" i="6"/>
  <c r="FA271" i="6" s="1"/>
  <c r="DL271" i="6" s="1"/>
  <c r="EN294" i="6"/>
  <c r="FA294" i="6" s="1"/>
  <c r="DL294" i="6" s="1"/>
  <c r="O95" i="22" s="1"/>
  <c r="EN282" i="6"/>
  <c r="FA282" i="6" s="1"/>
  <c r="DL282" i="6" s="1"/>
  <c r="EN278" i="6"/>
  <c r="FA278" i="6" s="1"/>
  <c r="DL278" i="6" s="1"/>
  <c r="EN277" i="6"/>
  <c r="FA277" i="6" s="1"/>
  <c r="DL277" i="6" s="1"/>
  <c r="O466" i="22" s="1"/>
  <c r="EN273" i="6"/>
  <c r="FA273" i="6" s="1"/>
  <c r="DL273" i="6" s="1"/>
  <c r="O381" i="22" s="1"/>
  <c r="EN257" i="6"/>
  <c r="FA257" i="6" s="1"/>
  <c r="DL257" i="6" s="1"/>
  <c r="EN249" i="6"/>
  <c r="FA249" i="6" s="1"/>
  <c r="DL249" i="6" s="1"/>
  <c r="EN240" i="6"/>
  <c r="FA240" i="6" s="1"/>
  <c r="DL240" i="6" s="1"/>
  <c r="EN237" i="6"/>
  <c r="FA237" i="6" s="1"/>
  <c r="DL237" i="6" s="1"/>
  <c r="O807" i="17" s="1"/>
  <c r="EN226" i="6"/>
  <c r="FA226" i="6" s="1"/>
  <c r="DL226" i="6" s="1"/>
  <c r="O777" i="17" s="1"/>
  <c r="EN222" i="6"/>
  <c r="FA222" i="6" s="1"/>
  <c r="DL222" i="6" s="1"/>
  <c r="EN220" i="6"/>
  <c r="FA220" i="6" s="1"/>
  <c r="DL220" i="6" s="1"/>
  <c r="EN263" i="6"/>
  <c r="FA263" i="6" s="1"/>
  <c r="DL263" i="6" s="1"/>
  <c r="EN245" i="6"/>
  <c r="FA245" i="6" s="1"/>
  <c r="DL245" i="6" s="1"/>
  <c r="EN232" i="6"/>
  <c r="FA232" i="6" s="1"/>
  <c r="DL232" i="6" s="1"/>
  <c r="EN246" i="6"/>
  <c r="FA246" i="6" s="1"/>
  <c r="DL246" i="6" s="1"/>
  <c r="O758" i="22" s="1"/>
  <c r="EN255" i="6"/>
  <c r="FA255" i="6" s="1"/>
  <c r="DL255" i="6" s="1"/>
  <c r="EN253" i="6"/>
  <c r="FA253" i="6" s="1"/>
  <c r="DL253" i="6" s="1"/>
  <c r="EN244" i="6"/>
  <c r="FA244" i="6" s="1"/>
  <c r="DL244" i="6" s="1"/>
  <c r="EN242" i="6"/>
  <c r="FA242" i="6" s="1"/>
  <c r="DL242" i="6" s="1"/>
  <c r="EN252" i="6"/>
  <c r="FA252" i="6" s="1"/>
  <c r="DL252" i="6" s="1"/>
  <c r="EN248" i="6"/>
  <c r="FA248" i="6" s="1"/>
  <c r="DL248" i="6" s="1"/>
  <c r="O847" i="22" s="1"/>
  <c r="EN243" i="6"/>
  <c r="FA243" i="6" s="1"/>
  <c r="DL243" i="6" s="1"/>
  <c r="EN239" i="6"/>
  <c r="FA239" i="6" s="1"/>
  <c r="DL239" i="6" s="1"/>
  <c r="O795" i="17" s="1"/>
  <c r="EN260" i="6"/>
  <c r="FA260" i="6" s="1"/>
  <c r="DL260" i="6" s="1"/>
  <c r="EN247" i="6"/>
  <c r="FA247" i="6" s="1"/>
  <c r="DL247" i="6" s="1"/>
  <c r="O846" i="22" s="1"/>
  <c r="EN241" i="6"/>
  <c r="FA241" i="6" s="1"/>
  <c r="DL241" i="6" s="1"/>
  <c r="O791" i="17" s="1"/>
  <c r="EN233" i="6"/>
  <c r="FA233" i="6" s="1"/>
  <c r="DL233" i="6" s="1"/>
  <c r="EN227" i="6"/>
  <c r="FA227" i="6" s="1"/>
  <c r="DL227" i="6" s="1"/>
  <c r="EN224" i="6"/>
  <c r="FA224" i="6" s="1"/>
  <c r="DL224" i="6" s="1"/>
  <c r="O779" i="17" s="1"/>
  <c r="EN251" i="6"/>
  <c r="FA251" i="6" s="1"/>
  <c r="DL251" i="6" s="1"/>
  <c r="EN234" i="6"/>
  <c r="FA234" i="6" s="1"/>
  <c r="DL234" i="6" s="1"/>
  <c r="O866" i="22" s="1"/>
  <c r="EN256" i="6"/>
  <c r="FA256" i="6" s="1"/>
  <c r="DL256" i="6" s="1"/>
  <c r="EN235" i="6"/>
  <c r="FA235" i="6" s="1"/>
  <c r="DL235" i="6" s="1"/>
  <c r="O348" i="23" s="1"/>
  <c r="EN221" i="6"/>
  <c r="FA221" i="6" s="1"/>
  <c r="DL221" i="6" s="1"/>
  <c r="EN218" i="6"/>
  <c r="FA218" i="6" s="1"/>
  <c r="DL218" i="6" s="1"/>
  <c r="EN211" i="6"/>
  <c r="FA211" i="6" s="1"/>
  <c r="DL211" i="6" s="1"/>
  <c r="EN204" i="6"/>
  <c r="FA204" i="6" s="1"/>
  <c r="DL204" i="6" s="1"/>
  <c r="EN185" i="6"/>
  <c r="FA185" i="6" s="1"/>
  <c r="DL185" i="6" s="1"/>
  <c r="O783" i="22" s="1"/>
  <c r="EN261" i="6"/>
  <c r="FA261" i="6" s="1"/>
  <c r="DL261" i="6" s="1"/>
  <c r="EN236" i="6"/>
  <c r="FA236" i="6" s="1"/>
  <c r="DL236" i="6" s="1"/>
  <c r="EN206" i="6"/>
  <c r="FA206" i="6" s="1"/>
  <c r="DL206" i="6" s="1"/>
  <c r="EN199" i="6"/>
  <c r="FA199" i="6" s="1"/>
  <c r="DL199" i="6" s="1"/>
  <c r="EN231" i="6"/>
  <c r="FA231" i="6" s="1"/>
  <c r="DL231" i="6" s="1"/>
  <c r="O322" i="23" s="1"/>
  <c r="EN207" i="6"/>
  <c r="FA207" i="6" s="1"/>
  <c r="DL207" i="6" s="1"/>
  <c r="O930" i="17" s="1"/>
  <c r="EN198" i="6"/>
  <c r="FA198" i="6" s="1"/>
  <c r="DL198" i="6" s="1"/>
  <c r="O780" i="22" s="1"/>
  <c r="EN194" i="6"/>
  <c r="FA194" i="6" s="1"/>
  <c r="DL194" i="6" s="1"/>
  <c r="EN193" i="6"/>
  <c r="FA193" i="6" s="1"/>
  <c r="DL193" i="6" s="1"/>
  <c r="EN184" i="6"/>
  <c r="FA184" i="6" s="1"/>
  <c r="DL184" i="6" s="1"/>
  <c r="O353" i="23" s="1"/>
  <c r="EN230" i="6"/>
  <c r="FA230" i="6" s="1"/>
  <c r="DL230" i="6" s="1"/>
  <c r="O325" i="23" s="1"/>
  <c r="EN229" i="6"/>
  <c r="FA229" i="6" s="1"/>
  <c r="DL229" i="6" s="1"/>
  <c r="EN210" i="6"/>
  <c r="FA210" i="6" s="1"/>
  <c r="DL210" i="6" s="1"/>
  <c r="EN208" i="6"/>
  <c r="FA208" i="6" s="1"/>
  <c r="DL208" i="6" s="1"/>
  <c r="EN189" i="6"/>
  <c r="FA189" i="6" s="1"/>
  <c r="DL189" i="6" s="1"/>
  <c r="O878" i="17" s="1"/>
  <c r="EN182" i="6"/>
  <c r="FA182" i="6" s="1"/>
  <c r="DL182" i="6" s="1"/>
  <c r="O838" i="22" s="1"/>
  <c r="EN258" i="6"/>
  <c r="FA258" i="6" s="1"/>
  <c r="DL258" i="6" s="1"/>
  <c r="O932" i="17" s="1"/>
  <c r="EN228" i="6"/>
  <c r="FA228" i="6" s="1"/>
  <c r="DL228" i="6" s="1"/>
  <c r="EN225" i="6"/>
  <c r="FA225" i="6" s="1"/>
  <c r="DL225" i="6" s="1"/>
  <c r="EN219" i="6"/>
  <c r="FA219" i="6" s="1"/>
  <c r="DL219" i="6" s="1"/>
  <c r="EN212" i="6"/>
  <c r="FA212" i="6" s="1"/>
  <c r="DL212" i="6" s="1"/>
  <c r="EN209" i="6"/>
  <c r="FA209" i="6" s="1"/>
  <c r="DL209" i="6" s="1"/>
  <c r="O539" i="22" s="1"/>
  <c r="EN203" i="6"/>
  <c r="FA203" i="6" s="1"/>
  <c r="DL203" i="6" s="1"/>
  <c r="EN197" i="6"/>
  <c r="FA197" i="6" s="1"/>
  <c r="DL197" i="6" s="1"/>
  <c r="O825" i="22" s="1"/>
  <c r="EN196" i="6"/>
  <c r="FA196" i="6" s="1"/>
  <c r="DL196" i="6" s="1"/>
  <c r="EN187" i="6"/>
  <c r="FA187" i="6" s="1"/>
  <c r="DL187" i="6" s="1"/>
  <c r="O828" i="22" s="1"/>
  <c r="EN250" i="6"/>
  <c r="FA250" i="6" s="1"/>
  <c r="DL250" i="6" s="1"/>
  <c r="EN238" i="6"/>
  <c r="FA238" i="6" s="1"/>
  <c r="DL238" i="6" s="1"/>
  <c r="EN223" i="6"/>
  <c r="FA223" i="6" s="1"/>
  <c r="DL223" i="6" s="1"/>
  <c r="EN205" i="6"/>
  <c r="FA205" i="6" s="1"/>
  <c r="DL205" i="6" s="1"/>
  <c r="O318" i="23" s="1"/>
  <c r="EN202" i="6"/>
  <c r="FA202" i="6" s="1"/>
  <c r="DL202" i="6" s="1"/>
  <c r="EN200" i="6"/>
  <c r="FA200" i="6" s="1"/>
  <c r="DL200" i="6" s="1"/>
  <c r="EN192" i="6"/>
  <c r="FA192" i="6" s="1"/>
  <c r="DL192" i="6" s="1"/>
  <c r="O785" i="22" s="1"/>
  <c r="EN186" i="6"/>
  <c r="FA186" i="6" s="1"/>
  <c r="DL186" i="6" s="1"/>
  <c r="EN175" i="6"/>
  <c r="FA175" i="6" s="1"/>
  <c r="DL175" i="6" s="1"/>
  <c r="EN173" i="6"/>
  <c r="FA173" i="6" s="1"/>
  <c r="DL173" i="6" s="1"/>
  <c r="O829" i="22" s="1"/>
  <c r="EN164" i="6"/>
  <c r="FA164" i="6" s="1"/>
  <c r="DL164" i="6" s="1"/>
  <c r="EN142" i="6"/>
  <c r="FA142" i="6" s="1"/>
  <c r="DL142" i="6" s="1"/>
  <c r="EN183" i="6"/>
  <c r="FA183" i="6" s="1"/>
  <c r="DL183" i="6" s="1"/>
  <c r="EN181" i="6"/>
  <c r="FA181" i="6" s="1"/>
  <c r="DL181" i="6" s="1"/>
  <c r="O370" i="23" s="1"/>
  <c r="EN170" i="6"/>
  <c r="FA170" i="6" s="1"/>
  <c r="DL170" i="6" s="1"/>
  <c r="O359" i="23" s="1"/>
  <c r="EN156" i="6"/>
  <c r="FA156" i="6" s="1"/>
  <c r="DL156" i="6" s="1"/>
  <c r="EN152" i="6"/>
  <c r="FA152" i="6" s="1"/>
  <c r="DL152" i="6" s="1"/>
  <c r="EN151" i="6"/>
  <c r="FA151" i="6" s="1"/>
  <c r="DL151" i="6" s="1"/>
  <c r="O299" i="23" s="1"/>
  <c r="EN149" i="6"/>
  <c r="FA149" i="6" s="1"/>
  <c r="DL149" i="6" s="1"/>
  <c r="EN144" i="6"/>
  <c r="FA144" i="6" s="1"/>
  <c r="DL144" i="6" s="1"/>
  <c r="EN201" i="6"/>
  <c r="FA201" i="6" s="1"/>
  <c r="DL201" i="6" s="1"/>
  <c r="EN177" i="6"/>
  <c r="FA177" i="6" s="1"/>
  <c r="DL177" i="6" s="1"/>
  <c r="O835" i="22" s="1"/>
  <c r="EN168" i="6"/>
  <c r="FA168" i="6" s="1"/>
  <c r="DL168" i="6" s="1"/>
  <c r="O837" i="22" s="1"/>
  <c r="EN163" i="6"/>
  <c r="FA163" i="6" s="1"/>
  <c r="DL163" i="6" s="1"/>
  <c r="O355" i="23" s="1"/>
  <c r="EN157" i="6"/>
  <c r="FA157" i="6" s="1"/>
  <c r="DL157" i="6" s="1"/>
  <c r="EN153" i="6"/>
  <c r="FA153" i="6" s="1"/>
  <c r="DL153" i="6" s="1"/>
  <c r="EN171" i="6"/>
  <c r="FA171" i="6" s="1"/>
  <c r="DL171" i="6" s="1"/>
  <c r="O367" i="23" s="1"/>
  <c r="EN190" i="6"/>
  <c r="FA190" i="6" s="1"/>
  <c r="DL190" i="6" s="1"/>
  <c r="EN169" i="6"/>
  <c r="FA169" i="6" s="1"/>
  <c r="DL169" i="6" s="1"/>
  <c r="O921" i="17" s="1"/>
  <c r="EN178" i="6"/>
  <c r="FA178" i="6" s="1"/>
  <c r="DL178" i="6" s="1"/>
  <c r="O827" i="22" s="1"/>
  <c r="EN158" i="6"/>
  <c r="FA158" i="6" s="1"/>
  <c r="DL158" i="6" s="1"/>
  <c r="O892" i="17" s="1"/>
  <c r="EN141" i="6"/>
  <c r="FA141" i="6" s="1"/>
  <c r="DL141" i="6" s="1"/>
  <c r="EN136" i="6"/>
  <c r="FA136" i="6" s="1"/>
  <c r="DL136" i="6" s="1"/>
  <c r="O157" i="23" s="1"/>
  <c r="EN180" i="6"/>
  <c r="FA180" i="6" s="1"/>
  <c r="DL180" i="6" s="1"/>
  <c r="O369" i="23" s="1"/>
  <c r="EN176" i="6"/>
  <c r="FA176" i="6" s="1"/>
  <c r="DL176" i="6" s="1"/>
  <c r="O834" i="22" s="1"/>
  <c r="EN172" i="6"/>
  <c r="FA172" i="6" s="1"/>
  <c r="DL172" i="6" s="1"/>
  <c r="O368" i="23" s="1"/>
  <c r="EN165" i="6"/>
  <c r="FA165" i="6" s="1"/>
  <c r="DL165" i="6" s="1"/>
  <c r="O360" i="23" s="1"/>
  <c r="EN160" i="6"/>
  <c r="FA160" i="6" s="1"/>
  <c r="DL160" i="6" s="1"/>
  <c r="EN154" i="6"/>
  <c r="FA154" i="6" s="1"/>
  <c r="DL154" i="6" s="1"/>
  <c r="O249" i="23" s="1"/>
  <c r="EN147" i="6"/>
  <c r="FA147" i="6" s="1"/>
  <c r="DL147" i="6" s="1"/>
  <c r="EN134" i="6"/>
  <c r="FA134" i="6" s="1"/>
  <c r="DL134" i="6" s="1"/>
  <c r="EN191" i="6"/>
  <c r="FA191" i="6" s="1"/>
  <c r="DL191" i="6" s="1"/>
  <c r="EN188" i="6"/>
  <c r="FA188" i="6" s="1"/>
  <c r="DL188" i="6" s="1"/>
  <c r="O839" i="22" s="1"/>
  <c r="EN179" i="6"/>
  <c r="FA179" i="6" s="1"/>
  <c r="DL179" i="6" s="1"/>
  <c r="O826" i="22" s="1"/>
  <c r="EN174" i="6"/>
  <c r="FA174" i="6" s="1"/>
  <c r="DL174" i="6" s="1"/>
  <c r="O926" i="17" s="1"/>
  <c r="EN167" i="6"/>
  <c r="FA167" i="6" s="1"/>
  <c r="DL167" i="6" s="1"/>
  <c r="O836" i="22" s="1"/>
  <c r="EN166" i="6"/>
  <c r="FA166" i="6" s="1"/>
  <c r="DL166" i="6" s="1"/>
  <c r="O824" i="22" s="1"/>
  <c r="EN162" i="6"/>
  <c r="FA162" i="6" s="1"/>
  <c r="DL162" i="6" s="1"/>
  <c r="O358" i="23" s="1"/>
  <c r="EN161" i="6"/>
  <c r="FA161" i="6" s="1"/>
  <c r="DL161" i="6" s="1"/>
  <c r="EN155" i="6"/>
  <c r="FA155" i="6" s="1"/>
  <c r="DL155" i="6" s="1"/>
  <c r="O923" i="17" s="1"/>
  <c r="EN150" i="6"/>
  <c r="FA150" i="6" s="1"/>
  <c r="DL150" i="6" s="1"/>
  <c r="O909" i="17" s="1"/>
  <c r="EN148" i="6"/>
  <c r="FA148" i="6" s="1"/>
  <c r="DL148" i="6" s="1"/>
  <c r="EN137" i="6"/>
  <c r="FA137" i="6" s="1"/>
  <c r="DL137" i="6" s="1"/>
  <c r="EN135" i="6"/>
  <c r="FA135" i="6" s="1"/>
  <c r="DL135" i="6" s="1"/>
  <c r="EN132" i="6"/>
  <c r="FA132" i="6" s="1"/>
  <c r="DL132" i="6" s="1"/>
  <c r="O150" i="23" s="1"/>
  <c r="EN133" i="6"/>
  <c r="FA133" i="6" s="1"/>
  <c r="DL133" i="6" s="1"/>
  <c r="EN126" i="6"/>
  <c r="FA126" i="6" s="1"/>
  <c r="DL126" i="6" s="1"/>
  <c r="EN122" i="6"/>
  <c r="FA122" i="6" s="1"/>
  <c r="DL122" i="6" s="1"/>
  <c r="O245" i="23" s="1"/>
  <c r="EN139" i="6"/>
  <c r="FA139" i="6" s="1"/>
  <c r="DL139" i="6" s="1"/>
  <c r="EN130" i="6"/>
  <c r="FA130" i="6" s="1"/>
  <c r="DL130" i="6" s="1"/>
  <c r="EN125" i="6"/>
  <c r="FA125" i="6" s="1"/>
  <c r="DL125" i="6" s="1"/>
  <c r="O403" i="22" s="1"/>
  <c r="EN118" i="6"/>
  <c r="FA118" i="6" s="1"/>
  <c r="DL118" i="6" s="1"/>
  <c r="EN117" i="6"/>
  <c r="FA117" i="6" s="1"/>
  <c r="DL117" i="6" s="1"/>
  <c r="O248" i="23" s="1"/>
  <c r="EN113" i="6"/>
  <c r="FA113" i="6" s="1"/>
  <c r="DL113" i="6" s="1"/>
  <c r="EN111" i="6"/>
  <c r="FA111" i="6" s="1"/>
  <c r="DL111" i="6" s="1"/>
  <c r="EN100" i="6"/>
  <c r="FA100" i="6" s="1"/>
  <c r="DL100" i="6" s="1"/>
  <c r="O78" i="23" s="1"/>
  <c r="EN98" i="6"/>
  <c r="FA98" i="6" s="1"/>
  <c r="DL98" i="6" s="1"/>
  <c r="O106" i="23" s="1"/>
  <c r="EN140" i="6"/>
  <c r="FA140" i="6" s="1"/>
  <c r="DL140" i="6" s="1"/>
  <c r="EN119" i="6"/>
  <c r="FA119" i="6" s="1"/>
  <c r="DL119" i="6" s="1"/>
  <c r="EN110" i="6"/>
  <c r="FA110" i="6" s="1"/>
  <c r="DL110" i="6" s="1"/>
  <c r="EN106" i="6"/>
  <c r="FA106" i="6" s="1"/>
  <c r="DL106" i="6" s="1"/>
  <c r="EN96" i="6"/>
  <c r="FA96" i="6" s="1"/>
  <c r="DL96" i="6" s="1"/>
  <c r="EN92" i="6"/>
  <c r="FA92" i="6" s="1"/>
  <c r="DL92" i="6" s="1"/>
  <c r="EN82" i="6"/>
  <c r="FA82" i="6" s="1"/>
  <c r="DL82" i="6" s="1"/>
  <c r="EN143" i="6"/>
  <c r="FA143" i="6" s="1"/>
  <c r="DL143" i="6" s="1"/>
  <c r="O463" i="17" s="1"/>
  <c r="EN138" i="6"/>
  <c r="FA138" i="6" s="1"/>
  <c r="DL138" i="6" s="1"/>
  <c r="O143" i="23" s="1"/>
  <c r="EN129" i="6"/>
  <c r="FA129" i="6" s="1"/>
  <c r="DL129" i="6" s="1"/>
  <c r="EN124" i="6"/>
  <c r="FA124" i="6" s="1"/>
  <c r="DL124" i="6" s="1"/>
  <c r="O903" i="17" s="1"/>
  <c r="EN105" i="6"/>
  <c r="FA105" i="6" s="1"/>
  <c r="DL105" i="6" s="1"/>
  <c r="EN93" i="6"/>
  <c r="FA93" i="6" s="1"/>
  <c r="DL93" i="6" s="1"/>
  <c r="EN84" i="6"/>
  <c r="FA84" i="6" s="1"/>
  <c r="DL84" i="6" s="1"/>
  <c r="O414" i="17" s="1"/>
  <c r="EN116" i="6"/>
  <c r="FA116" i="6" s="1"/>
  <c r="DL116" i="6" s="1"/>
  <c r="EN103" i="6"/>
  <c r="FA103" i="6" s="1"/>
  <c r="DL103" i="6" s="1"/>
  <c r="O24" i="23" s="1"/>
  <c r="EN131" i="6"/>
  <c r="FA131" i="6" s="1"/>
  <c r="DL131" i="6" s="1"/>
  <c r="EN127" i="6"/>
  <c r="FA127" i="6" s="1"/>
  <c r="DL127" i="6" s="1"/>
  <c r="O775" i="22" s="1"/>
  <c r="EN123" i="6"/>
  <c r="FA123" i="6" s="1"/>
  <c r="DL123" i="6" s="1"/>
  <c r="O876" i="17" s="1"/>
  <c r="EN121" i="6"/>
  <c r="FA121" i="6" s="1"/>
  <c r="DL121" i="6" s="1"/>
  <c r="EN112" i="6"/>
  <c r="FA112" i="6" s="1"/>
  <c r="DL112" i="6" s="1"/>
  <c r="EN108" i="6"/>
  <c r="FA108" i="6" s="1"/>
  <c r="DL108" i="6" s="1"/>
  <c r="EN101" i="6"/>
  <c r="FA101" i="6" s="1"/>
  <c r="DL101" i="6" s="1"/>
  <c r="O302" i="22" s="1"/>
  <c r="EN95" i="6"/>
  <c r="FA95" i="6" s="1"/>
  <c r="DL95" i="6" s="1"/>
  <c r="EN94" i="6"/>
  <c r="FA94" i="6" s="1"/>
  <c r="DL94" i="6" s="1"/>
  <c r="EN89" i="6"/>
  <c r="FA89" i="6" s="1"/>
  <c r="DL89" i="6" s="1"/>
  <c r="EN88" i="6"/>
  <c r="FA88" i="6" s="1"/>
  <c r="DL88" i="6" s="1"/>
  <c r="O93" i="23" s="1"/>
  <c r="EN120" i="6"/>
  <c r="FA120" i="6" s="1"/>
  <c r="DL120" i="6" s="1"/>
  <c r="EN115" i="6"/>
  <c r="FA115" i="6" s="1"/>
  <c r="DL115" i="6" s="1"/>
  <c r="EN114" i="6"/>
  <c r="FA114" i="6" s="1"/>
  <c r="DL114" i="6" s="1"/>
  <c r="O186" i="23" s="1"/>
  <c r="EN107" i="6"/>
  <c r="FA107" i="6" s="1"/>
  <c r="DL107" i="6" s="1"/>
  <c r="O356" i="22" s="1"/>
  <c r="EN104" i="6"/>
  <c r="FA104" i="6" s="1"/>
  <c r="DL104" i="6" s="1"/>
  <c r="O25" i="23" s="1"/>
  <c r="EN90" i="6"/>
  <c r="FA90" i="6" s="1"/>
  <c r="DL90" i="6" s="1"/>
  <c r="EN145" i="6"/>
  <c r="FA145" i="6" s="1"/>
  <c r="DL145" i="6" s="1"/>
  <c r="EN128" i="6"/>
  <c r="FA128" i="6" s="1"/>
  <c r="DL128" i="6" s="1"/>
  <c r="EN109" i="6"/>
  <c r="FA109" i="6" s="1"/>
  <c r="DL109" i="6" s="1"/>
  <c r="O179" i="23" s="1"/>
  <c r="EN99" i="6"/>
  <c r="FA99" i="6" s="1"/>
  <c r="DL99" i="6" s="1"/>
  <c r="O301" i="22" s="1"/>
  <c r="EN97" i="6"/>
  <c r="FA97" i="6" s="1"/>
  <c r="DL97" i="6" s="1"/>
  <c r="EN85" i="6"/>
  <c r="FA85" i="6" s="1"/>
  <c r="DL85" i="6" s="1"/>
  <c r="O417" i="17" s="1"/>
  <c r="EN91" i="6"/>
  <c r="FA91" i="6" s="1"/>
  <c r="DL91" i="6" s="1"/>
  <c r="O94" i="23" s="1"/>
  <c r="EN68" i="6"/>
  <c r="FA68" i="6" s="1"/>
  <c r="DL68" i="6" s="1"/>
  <c r="EN60" i="6"/>
  <c r="FA60" i="6" s="1"/>
  <c r="DL60" i="6" s="1"/>
  <c r="O23" i="23" s="1"/>
  <c r="EN59" i="6"/>
  <c r="FA59" i="6" s="1"/>
  <c r="DL59" i="6" s="1"/>
  <c r="EN55" i="6"/>
  <c r="FA55" i="6" s="1"/>
  <c r="DL55" i="6" s="1"/>
  <c r="EN44" i="6"/>
  <c r="FA44" i="6" s="1"/>
  <c r="DL44" i="6" s="1"/>
  <c r="O17" i="23" s="1"/>
  <c r="EN43" i="6"/>
  <c r="FA43" i="6" s="1"/>
  <c r="DL43" i="6" s="1"/>
  <c r="EN78" i="6"/>
  <c r="FA78" i="6" s="1"/>
  <c r="DL78" i="6" s="1"/>
  <c r="EN45" i="6"/>
  <c r="FA45" i="6" s="1"/>
  <c r="DL45" i="6" s="1"/>
  <c r="EN66" i="6"/>
  <c r="FA66" i="6" s="1"/>
  <c r="DL66" i="6" s="1"/>
  <c r="EN65" i="6"/>
  <c r="FA65" i="6" s="1"/>
  <c r="DL65" i="6" s="1"/>
  <c r="O295" i="17" s="1"/>
  <c r="EN61" i="6"/>
  <c r="FA61" i="6" s="1"/>
  <c r="DL61" i="6" s="1"/>
  <c r="EN56" i="6"/>
  <c r="FA56" i="6" s="1"/>
  <c r="DL56" i="6" s="1"/>
  <c r="EN51" i="6"/>
  <c r="FA51" i="6" s="1"/>
  <c r="DL51" i="6" s="1"/>
  <c r="O199" i="17" s="1"/>
  <c r="EN48" i="6"/>
  <c r="FA48" i="6" s="1"/>
  <c r="DL48" i="6" s="1"/>
  <c r="EN63" i="6"/>
  <c r="FA63" i="6" s="1"/>
  <c r="DL63" i="6" s="1"/>
  <c r="O48" i="23" s="1"/>
  <c r="EN57" i="6"/>
  <c r="FA57" i="6" s="1"/>
  <c r="DL57" i="6" s="1"/>
  <c r="EN47" i="6"/>
  <c r="FA47" i="6" s="1"/>
  <c r="DL47" i="6" s="1"/>
  <c r="O20" i="23" s="1"/>
  <c r="EN29" i="6"/>
  <c r="FA29" i="6" s="1"/>
  <c r="DL29" i="6" s="1"/>
  <c r="EN83" i="6"/>
  <c r="FA83" i="6" s="1"/>
  <c r="DL83" i="6" s="1"/>
  <c r="EN32" i="6"/>
  <c r="FA32" i="6" s="1"/>
  <c r="DL32" i="6" s="1"/>
  <c r="EN25" i="6"/>
  <c r="FA25" i="6" s="1"/>
  <c r="DL25" i="6" s="1"/>
  <c r="O78" i="17" s="1"/>
  <c r="EN21" i="6"/>
  <c r="FA21" i="6" s="1"/>
  <c r="DL21" i="6" s="1"/>
  <c r="EN79" i="6"/>
  <c r="FA79" i="6" s="1"/>
  <c r="DL79" i="6" s="1"/>
  <c r="O290" i="22" s="1"/>
  <c r="EN71" i="6"/>
  <c r="FA71" i="6" s="1"/>
  <c r="DL71" i="6" s="1"/>
  <c r="EN69" i="6"/>
  <c r="FA69" i="6" s="1"/>
  <c r="DL69" i="6" s="1"/>
  <c r="EN64" i="6"/>
  <c r="FA64" i="6" s="1"/>
  <c r="DL64" i="6" s="1"/>
  <c r="EN49" i="6"/>
  <c r="FA49" i="6" s="1"/>
  <c r="DL49" i="6" s="1"/>
  <c r="EN77" i="6"/>
  <c r="FA77" i="6" s="1"/>
  <c r="DL77" i="6" s="1"/>
  <c r="EN67" i="6"/>
  <c r="FA67" i="6" s="1"/>
  <c r="DL67" i="6" s="1"/>
  <c r="EN53" i="6"/>
  <c r="FA53" i="6" s="1"/>
  <c r="DL53" i="6" s="1"/>
  <c r="EN46" i="6"/>
  <c r="FA46" i="6" s="1"/>
  <c r="DL46" i="6" s="1"/>
  <c r="EN41" i="6"/>
  <c r="FA41" i="6" s="1"/>
  <c r="DL41" i="6" s="1"/>
  <c r="EN28" i="6"/>
  <c r="FA28" i="6" s="1"/>
  <c r="DL28" i="6" s="1"/>
  <c r="EN27" i="6"/>
  <c r="FA27" i="6" s="1"/>
  <c r="DL27" i="6" s="1"/>
  <c r="EN24" i="6"/>
  <c r="FA24" i="6" s="1"/>
  <c r="DL24" i="6" s="1"/>
  <c r="EN72" i="6"/>
  <c r="FA72" i="6" s="1"/>
  <c r="DL72" i="6" s="1"/>
  <c r="EN70" i="6"/>
  <c r="FA70" i="6" s="1"/>
  <c r="DL70" i="6" s="1"/>
  <c r="EN62" i="6"/>
  <c r="FA62" i="6" s="1"/>
  <c r="DL62" i="6" s="1"/>
  <c r="EN58" i="6"/>
  <c r="FA58" i="6" s="1"/>
  <c r="DL58" i="6" s="1"/>
  <c r="EN54" i="6"/>
  <c r="FA54" i="6" s="1"/>
  <c r="DL54" i="6" s="1"/>
  <c r="EN50" i="6"/>
  <c r="FA50" i="6" s="1"/>
  <c r="DL50" i="6" s="1"/>
  <c r="EN31" i="6"/>
  <c r="FA31" i="6" s="1"/>
  <c r="DL31" i="6" s="1"/>
  <c r="EN30" i="6"/>
  <c r="FA30" i="6" s="1"/>
  <c r="DL30" i="6" s="1"/>
  <c r="EN23" i="6"/>
  <c r="FA23" i="6" s="1"/>
  <c r="DL23" i="6" s="1"/>
  <c r="EN22" i="6"/>
  <c r="FA22" i="6" s="1"/>
  <c r="DL22" i="6" s="1"/>
  <c r="O874" i="17" s="1"/>
  <c r="EN16" i="6"/>
  <c r="FA16" i="6" s="1"/>
  <c r="DL16" i="6" s="1"/>
  <c r="EN26" i="6"/>
  <c r="FA26" i="6" s="1"/>
  <c r="DL26" i="6" s="1"/>
  <c r="EN18" i="6"/>
  <c r="FA18" i="6" s="1"/>
  <c r="DL18" i="6" s="1"/>
  <c r="EN17" i="6"/>
  <c r="FA17" i="6" s="1"/>
  <c r="DL17" i="6" s="1"/>
  <c r="EN20" i="6"/>
  <c r="FA20" i="6" s="1"/>
  <c r="DL20" i="6" s="1"/>
  <c r="O784" i="22" s="1"/>
  <c r="EN19" i="6"/>
  <c r="FA19" i="6" s="1"/>
  <c r="DL19" i="6" s="1"/>
  <c r="EL7" i="6"/>
  <c r="AV4" i="6"/>
  <c r="EJ4" i="6" s="1"/>
  <c r="AR4" i="6"/>
  <c r="EG4" i="6" s="1"/>
  <c r="AS4" i="6"/>
  <c r="EH4" i="6" s="1"/>
  <c r="AQ4" i="6"/>
  <c r="EF4" i="6" s="1"/>
  <c r="AW4" i="6"/>
  <c r="EK4" i="6" s="1"/>
  <c r="O351" i="23" l="1"/>
  <c r="O343" i="23"/>
  <c r="O339" i="23"/>
  <c r="O347" i="23"/>
  <c r="O342" i="23"/>
  <c r="O344" i="23"/>
  <c r="O338" i="23"/>
  <c r="O346" i="23"/>
  <c r="O340" i="23"/>
  <c r="O350" i="23"/>
  <c r="O345" i="23"/>
  <c r="O341" i="23"/>
  <c r="O337" i="23"/>
  <c r="O349" i="23"/>
  <c r="O62" i="23"/>
  <c r="O65" i="23"/>
  <c r="O57" i="23"/>
  <c r="O59" i="23"/>
  <c r="O55" i="23"/>
  <c r="O63" i="23"/>
  <c r="O56" i="23"/>
  <c r="O61" i="23"/>
  <c r="O60" i="23"/>
  <c r="O64" i="23"/>
  <c r="O58" i="23"/>
  <c r="O19" i="23"/>
  <c r="O18" i="23"/>
  <c r="O302" i="23"/>
  <c r="O303" i="23"/>
  <c r="O304" i="23"/>
  <c r="O300" i="23"/>
  <c r="O301" i="23"/>
  <c r="O305" i="23"/>
  <c r="O312" i="23"/>
  <c r="O314" i="23"/>
  <c r="O317" i="23"/>
  <c r="O41" i="23"/>
  <c r="O36" i="23"/>
  <c r="O43" i="23"/>
  <c r="O39" i="23"/>
  <c r="O37" i="23"/>
  <c r="O44" i="23"/>
  <c r="O247" i="23"/>
  <c r="O246" i="23"/>
  <c r="O95" i="23"/>
  <c r="O96" i="23"/>
  <c r="O97" i="23"/>
  <c r="O307" i="23"/>
  <c r="O310" i="23"/>
  <c r="O309" i="23"/>
  <c r="O327" i="23"/>
  <c r="O334" i="23"/>
  <c r="O331" i="23"/>
  <c r="O324" i="23"/>
  <c r="O328" i="23"/>
  <c r="O329" i="23"/>
  <c r="O53" i="23"/>
  <c r="O54" i="23"/>
  <c r="O135" i="23"/>
  <c r="O140" i="23"/>
  <c r="O153" i="23"/>
  <c r="O146" i="23"/>
  <c r="O141" i="23"/>
  <c r="O149" i="23"/>
  <c r="O352" i="23"/>
  <c r="O138" i="23"/>
  <c r="O139" i="23"/>
  <c r="O136" i="23"/>
  <c r="O142" i="23"/>
  <c r="O147" i="23"/>
  <c r="O137" i="23"/>
  <c r="O151" i="23"/>
  <c r="O145" i="23"/>
  <c r="O144" i="23"/>
  <c r="O152" i="23"/>
  <c r="O148" i="23"/>
  <c r="O47" i="23"/>
  <c r="O45" i="23"/>
  <c r="O46" i="23"/>
  <c r="O35" i="23"/>
  <c r="O42" i="23"/>
  <c r="O38" i="23"/>
  <c r="O40" i="23"/>
  <c r="O185" i="23"/>
  <c r="O181" i="23"/>
  <c r="O182" i="23"/>
  <c r="O184" i="23"/>
  <c r="O197" i="23"/>
  <c r="O202" i="23"/>
  <c r="O201" i="23"/>
  <c r="O198" i="23"/>
  <c r="O199" i="23"/>
  <c r="O187" i="23"/>
  <c r="O189" i="23"/>
  <c r="O194" i="23"/>
  <c r="O193" i="23"/>
  <c r="O190" i="23"/>
  <c r="O195" i="23"/>
  <c r="O191" i="23"/>
  <c r="O196" i="23"/>
  <c r="O200" i="23"/>
  <c r="O203" i="23"/>
  <c r="O204" i="23"/>
  <c r="O192" i="23"/>
  <c r="O188" i="23"/>
  <c r="O120" i="23"/>
  <c r="O107" i="23"/>
  <c r="O115" i="23"/>
  <c r="O119" i="23"/>
  <c r="O114" i="23"/>
  <c r="O124" i="23"/>
  <c r="O112" i="23"/>
  <c r="O123" i="23"/>
  <c r="O110" i="23"/>
  <c r="O122" i="23"/>
  <c r="O108" i="23"/>
  <c r="O117" i="23"/>
  <c r="O121" i="23"/>
  <c r="O111" i="23"/>
  <c r="O118" i="23"/>
  <c r="O109" i="23"/>
  <c r="O113" i="23"/>
  <c r="O116" i="23"/>
  <c r="O356" i="23"/>
  <c r="O357" i="23"/>
  <c r="O166" i="23"/>
  <c r="O162" i="23"/>
  <c r="O308" i="23"/>
  <c r="O306" i="23"/>
  <c r="O319" i="23"/>
  <c r="O320" i="23"/>
  <c r="O321" i="23"/>
  <c r="O258" i="23"/>
  <c r="O250" i="23"/>
  <c r="O257" i="23"/>
  <c r="O252" i="23"/>
  <c r="O255" i="23"/>
  <c r="O253" i="23"/>
  <c r="O262" i="23"/>
  <c r="O259" i="23"/>
  <c r="O261" i="23"/>
  <c r="O263" i="23"/>
  <c r="O254" i="23"/>
  <c r="O251" i="23"/>
  <c r="O264" i="23"/>
  <c r="O260" i="23"/>
  <c r="O256" i="23"/>
  <c r="O221" i="23"/>
  <c r="O213" i="23"/>
  <c r="O217" i="23"/>
  <c r="O206" i="23"/>
  <c r="O205" i="23"/>
  <c r="O216" i="23"/>
  <c r="O219" i="23"/>
  <c r="O218" i="23"/>
  <c r="O214" i="23"/>
  <c r="O220" i="23"/>
  <c r="O215" i="23"/>
  <c r="O211" i="23"/>
  <c r="O209" i="23"/>
  <c r="O208" i="23"/>
  <c r="O212" i="23"/>
  <c r="O207" i="23"/>
  <c r="O210" i="23"/>
  <c r="O158" i="23"/>
  <c r="O154" i="23"/>
  <c r="O165" i="23"/>
  <c r="O161" i="23"/>
  <c r="O155" i="23"/>
  <c r="O160" i="23"/>
  <c r="O159" i="23"/>
  <c r="O156" i="23"/>
  <c r="O163" i="23"/>
  <c r="O168" i="23"/>
  <c r="O167" i="23"/>
  <c r="O164" i="23"/>
  <c r="O225" i="23"/>
  <c r="O222" i="23"/>
  <c r="O232" i="23"/>
  <c r="O228" i="23"/>
  <c r="O226" i="23"/>
  <c r="O230" i="23"/>
  <c r="O231" i="23"/>
  <c r="O227" i="23"/>
  <c r="O229" i="23"/>
  <c r="O223" i="23"/>
  <c r="O224" i="23"/>
  <c r="O362" i="23"/>
  <c r="O361" i="23"/>
  <c r="O323" i="23"/>
  <c r="O335" i="23"/>
  <c r="O326" i="23"/>
  <c r="O330" i="23"/>
  <c r="O332" i="23"/>
  <c r="O336" i="23"/>
  <c r="O333" i="23"/>
  <c r="O266" i="23"/>
  <c r="O268" i="23"/>
  <c r="O267" i="23"/>
  <c r="O265" i="23"/>
  <c r="O315" i="23"/>
  <c r="O311" i="23"/>
  <c r="O316" i="23"/>
  <c r="O313" i="23"/>
  <c r="O241" i="23"/>
  <c r="O237" i="23"/>
  <c r="O238" i="23"/>
  <c r="O235" i="23"/>
  <c r="O242" i="23"/>
  <c r="O236" i="23"/>
  <c r="O240" i="23"/>
  <c r="O239" i="23"/>
  <c r="O14" i="23"/>
  <c r="O15" i="23"/>
  <c r="O11" i="23"/>
  <c r="O12" i="23"/>
  <c r="O13" i="23"/>
  <c r="O27" i="23"/>
  <c r="O30" i="23"/>
  <c r="O31" i="23"/>
  <c r="O32" i="23"/>
  <c r="O28" i="23"/>
  <c r="O29" i="23"/>
  <c r="O33" i="23"/>
  <c r="O34" i="23"/>
  <c r="O26" i="23"/>
  <c r="O244" i="23"/>
  <c r="O243" i="23"/>
  <c r="O178" i="23"/>
  <c r="O170" i="23"/>
  <c r="O173" i="23"/>
  <c r="O169" i="23"/>
  <c r="O177" i="23"/>
  <c r="O174" i="23"/>
  <c r="O171" i="23"/>
  <c r="O175" i="23"/>
  <c r="O172" i="23"/>
  <c r="O176" i="23"/>
  <c r="O273" i="23"/>
  <c r="O269" i="23"/>
  <c r="O277" i="23"/>
  <c r="O275" i="23"/>
  <c r="O281" i="23"/>
  <c r="O276" i="23"/>
  <c r="O278" i="23"/>
  <c r="O280" i="23"/>
  <c r="O271" i="23"/>
  <c r="O274" i="23"/>
  <c r="O270" i="23"/>
  <c r="O279" i="23"/>
  <c r="O272" i="23"/>
  <c r="O283" i="23"/>
  <c r="O291" i="23"/>
  <c r="O286" i="23"/>
  <c r="O294" i="23"/>
  <c r="O287" i="23"/>
  <c r="O296" i="23"/>
  <c r="O295" i="23"/>
  <c r="O292" i="23"/>
  <c r="O298" i="23"/>
  <c r="O290" i="23"/>
  <c r="O288" i="23"/>
  <c r="O284" i="23"/>
  <c r="O297" i="23"/>
  <c r="O285" i="23"/>
  <c r="O293" i="23"/>
  <c r="O282" i="23"/>
  <c r="O289" i="23"/>
  <c r="O80" i="23"/>
  <c r="O87" i="23"/>
  <c r="O88" i="23"/>
  <c r="O79" i="23"/>
  <c r="O82" i="23"/>
  <c r="O74" i="23"/>
  <c r="O73" i="23"/>
  <c r="O70" i="23"/>
  <c r="O66" i="23"/>
  <c r="O71" i="23"/>
  <c r="O76" i="23"/>
  <c r="O67" i="23"/>
  <c r="O75" i="23"/>
  <c r="O72" i="23"/>
  <c r="O68" i="23"/>
  <c r="O69" i="23"/>
  <c r="O77" i="23"/>
  <c r="O98" i="23"/>
  <c r="O103" i="23"/>
  <c r="O99" i="23"/>
  <c r="O100" i="23"/>
  <c r="O102" i="23"/>
  <c r="O104" i="23"/>
  <c r="O105" i="23"/>
  <c r="O101" i="23"/>
  <c r="O22" i="23"/>
  <c r="O21" i="23"/>
  <c r="O129" i="23"/>
  <c r="O125" i="23"/>
  <c r="O133" i="23"/>
  <c r="O134" i="23"/>
  <c r="O183" i="23"/>
  <c r="O180" i="23"/>
  <c r="O363" i="23"/>
  <c r="O354" i="23"/>
  <c r="O366" i="23"/>
  <c r="O371" i="23"/>
  <c r="O50" i="23"/>
  <c r="O49" i="23"/>
  <c r="O51" i="23"/>
  <c r="O52" i="23"/>
  <c r="O9" i="23"/>
  <c r="O10" i="23"/>
  <c r="O233" i="23"/>
  <c r="O234" i="23"/>
  <c r="O89" i="23"/>
  <c r="O90" i="23"/>
  <c r="O86" i="23"/>
  <c r="O91" i="23"/>
  <c r="O85" i="23"/>
  <c r="O84" i="23"/>
  <c r="O92" i="23"/>
  <c r="O81" i="23"/>
  <c r="O83" i="23"/>
  <c r="O127" i="23"/>
  <c r="O131" i="23"/>
  <c r="O132" i="23"/>
  <c r="O126" i="23"/>
  <c r="O130" i="23"/>
  <c r="O128" i="23"/>
  <c r="O364" i="23"/>
  <c r="O365" i="23"/>
  <c r="O375" i="22"/>
  <c r="O406" i="22"/>
  <c r="O464" i="22"/>
  <c r="O348" i="22"/>
  <c r="O694" i="22"/>
  <c r="O507" i="22"/>
  <c r="O370" i="22"/>
  <c r="O374" i="22"/>
  <c r="O806" i="22"/>
  <c r="O343" i="22"/>
  <c r="O452" i="22"/>
  <c r="O335" i="22"/>
  <c r="O270" i="22"/>
  <c r="O272" i="22"/>
  <c r="O552" i="22"/>
  <c r="O551" i="22"/>
  <c r="O546" i="22"/>
  <c r="O547" i="22"/>
  <c r="O548" i="22"/>
  <c r="O553" i="22"/>
  <c r="O543" i="22"/>
  <c r="O545" i="22"/>
  <c r="O555" i="22"/>
  <c r="O554" i="22"/>
  <c r="O544" i="22"/>
  <c r="O542" i="22"/>
  <c r="O541" i="22"/>
  <c r="O540" i="22"/>
  <c r="O549" i="22"/>
  <c r="O550" i="22"/>
  <c r="O184" i="22"/>
  <c r="O190" i="22"/>
  <c r="O193" i="22"/>
  <c r="O192" i="22"/>
  <c r="O186" i="22"/>
  <c r="O188" i="22"/>
  <c r="O191" i="22"/>
  <c r="O189" i="22"/>
  <c r="O99" i="22"/>
  <c r="O100" i="22"/>
  <c r="O407" i="22"/>
  <c r="O408" i="22"/>
  <c r="O313" i="22"/>
  <c r="O309" i="22"/>
  <c r="O312" i="22"/>
  <c r="O314" i="22"/>
  <c r="O310" i="22"/>
  <c r="O311" i="22"/>
  <c r="O307" i="22"/>
  <c r="O308" i="22"/>
  <c r="O296" i="22"/>
  <c r="O294" i="22"/>
  <c r="O291" i="22"/>
  <c r="O300" i="22"/>
  <c r="O299" i="22"/>
  <c r="O297" i="22"/>
  <c r="O293" i="22"/>
  <c r="O295" i="22"/>
  <c r="O298" i="22"/>
  <c r="O292" i="22"/>
  <c r="O805" i="22"/>
  <c r="O833" i="22"/>
  <c r="O717" i="22"/>
  <c r="O722" i="22"/>
  <c r="O710" i="22"/>
  <c r="O713" i="22"/>
  <c r="O721" i="22"/>
  <c r="O711" i="22"/>
  <c r="O716" i="22"/>
  <c r="O715" i="22"/>
  <c r="O719" i="22"/>
  <c r="O712" i="22"/>
  <c r="O720" i="22"/>
  <c r="O669" i="22"/>
  <c r="O653" i="22"/>
  <c r="O665" i="22"/>
  <c r="O668" i="22"/>
  <c r="O662" i="22"/>
  <c r="O660" i="22"/>
  <c r="O670" i="22"/>
  <c r="O658" i="22"/>
  <c r="O667" i="22"/>
  <c r="O664" i="22"/>
  <c r="O693" i="22"/>
  <c r="O695" i="22"/>
  <c r="O696" i="22"/>
  <c r="O812" i="22"/>
  <c r="O844" i="22"/>
  <c r="O811" i="22"/>
  <c r="O666" i="22"/>
  <c r="O654" i="22"/>
  <c r="O656" i="22"/>
  <c r="O671" i="22"/>
  <c r="O663" i="22"/>
  <c r="O659" i="22"/>
  <c r="O655" i="22"/>
  <c r="O791" i="22"/>
  <c r="O792" i="22"/>
  <c r="O816" i="22"/>
  <c r="O819" i="22"/>
  <c r="O817" i="22"/>
  <c r="O818" i="22"/>
  <c r="O690" i="22"/>
  <c r="O692" i="22"/>
  <c r="O691" i="22"/>
  <c r="O145" i="22"/>
  <c r="O146" i="22"/>
  <c r="O645" i="22"/>
  <c r="O649" i="22"/>
  <c r="O641" i="22"/>
  <c r="O652" i="22"/>
  <c r="O642" i="22"/>
  <c r="O650" i="22"/>
  <c r="O646" i="22"/>
  <c r="O644" i="22"/>
  <c r="O638" i="22"/>
  <c r="O640" i="22"/>
  <c r="O651" i="22"/>
  <c r="O648" i="22"/>
  <c r="O643" i="22"/>
  <c r="O639" i="22"/>
  <c r="O647" i="22"/>
  <c r="O143" i="22"/>
  <c r="O142" i="22"/>
  <c r="O135" i="22"/>
  <c r="O139" i="22"/>
  <c r="O140" i="22"/>
  <c r="O137" i="22"/>
  <c r="O132" i="22"/>
  <c r="O144" i="22"/>
  <c r="O141" i="22"/>
  <c r="O457" i="22"/>
  <c r="O462" i="22"/>
  <c r="O860" i="22"/>
  <c r="O859" i="22"/>
  <c r="O858" i="22"/>
  <c r="O305" i="22"/>
  <c r="O306" i="22"/>
  <c r="O686" i="22"/>
  <c r="O689" i="22"/>
  <c r="O687" i="22"/>
  <c r="O688" i="22"/>
  <c r="O765" i="22"/>
  <c r="O766" i="22"/>
  <c r="O769" i="22"/>
  <c r="O767" i="22"/>
  <c r="O768" i="22"/>
  <c r="O761" i="22"/>
  <c r="O760" i="22"/>
  <c r="O762" i="22"/>
  <c r="O770" i="22"/>
  <c r="O764" i="22"/>
  <c r="O763" i="22"/>
  <c r="O396" i="22"/>
  <c r="O394" i="22"/>
  <c r="O389" i="22"/>
  <c r="O398" i="22"/>
  <c r="O391" i="22"/>
  <c r="O390" i="22"/>
  <c r="O387" i="22"/>
  <c r="O395" i="22"/>
  <c r="O134" i="22"/>
  <c r="O131" i="22"/>
  <c r="O136" i="22"/>
  <c r="O133" i="22"/>
  <c r="O138" i="22"/>
  <c r="O40" i="22"/>
  <c r="O32" i="22"/>
  <c r="O18" i="22"/>
  <c r="O12" i="22"/>
  <c r="O771" i="22"/>
  <c r="O13" i="22"/>
  <c r="O21" i="22"/>
  <c r="O17" i="22"/>
  <c r="O39" i="22"/>
  <c r="O34" i="22"/>
  <c r="O30" i="22"/>
  <c r="O14" i="22"/>
  <c r="O41" i="22"/>
  <c r="O22" i="22"/>
  <c r="O33" i="22"/>
  <c r="O226" i="22"/>
  <c r="O242" i="22"/>
  <c r="O225" i="22"/>
  <c r="O215" i="22"/>
  <c r="O220" i="22"/>
  <c r="O227" i="22"/>
  <c r="O221" i="22"/>
  <c r="O241" i="22"/>
  <c r="O238" i="22"/>
  <c r="O222" i="22"/>
  <c r="O228" i="22"/>
  <c r="O230" i="22"/>
  <c r="O235" i="22"/>
  <c r="O232" i="22"/>
  <c r="O231" i="22"/>
  <c r="O244" i="22"/>
  <c r="O236" i="22"/>
  <c r="O224" i="22"/>
  <c r="O223" i="22"/>
  <c r="O217" i="22"/>
  <c r="O213" i="22"/>
  <c r="O239" i="22"/>
  <c r="O243" i="22"/>
  <c r="O216" i="22"/>
  <c r="O245" i="22"/>
  <c r="O237" i="22"/>
  <c r="O229" i="22"/>
  <c r="O240" i="22"/>
  <c r="O152" i="22"/>
  <c r="O151" i="22"/>
  <c r="O773" i="22"/>
  <c r="O160" i="22"/>
  <c r="O150" i="22"/>
  <c r="O163" i="22"/>
  <c r="O158" i="22"/>
  <c r="O801" i="22"/>
  <c r="O159" i="22"/>
  <c r="O808" i="22"/>
  <c r="O156" i="22"/>
  <c r="O157" i="22"/>
  <c r="O154" i="22"/>
  <c r="O147" i="22"/>
  <c r="O148" i="22"/>
  <c r="O162" i="22"/>
  <c r="O153" i="22"/>
  <c r="O830" i="22"/>
  <c r="O155" i="22"/>
  <c r="O161" i="22"/>
  <c r="O149" i="22"/>
  <c r="O119" i="22"/>
  <c r="O121" i="22"/>
  <c r="O120" i="22"/>
  <c r="O117" i="22"/>
  <c r="O365" i="22"/>
  <c r="O364" i="22"/>
  <c r="O362" i="22"/>
  <c r="O367" i="22"/>
  <c r="O363" i="22"/>
  <c r="O810" i="22"/>
  <c r="O334" i="22"/>
  <c r="O794" i="22"/>
  <c r="O793" i="22"/>
  <c r="O463" i="22"/>
  <c r="O465" i="22"/>
  <c r="O851" i="22"/>
  <c r="O853" i="22"/>
  <c r="O852" i="22"/>
  <c r="O787" i="22"/>
  <c r="O845" i="22"/>
  <c r="O788" i="22"/>
  <c r="O822" i="22"/>
  <c r="O786" i="22"/>
  <c r="O861" i="22"/>
  <c r="O862" i="22"/>
  <c r="O714" i="22"/>
  <c r="O718" i="22"/>
  <c r="O630" i="22"/>
  <c r="O631" i="22"/>
  <c r="O629" i="22"/>
  <c r="O637" i="22"/>
  <c r="O623" i="22"/>
  <c r="O633" i="22"/>
  <c r="O636" i="22"/>
  <c r="O625" i="22"/>
  <c r="O634" i="22"/>
  <c r="O627" i="22"/>
  <c r="O628" i="22"/>
  <c r="O624" i="22"/>
  <c r="O626" i="22"/>
  <c r="O632" i="22"/>
  <c r="O441" i="22"/>
  <c r="O444" i="22"/>
  <c r="O442" i="22"/>
  <c r="O447" i="22"/>
  <c r="O446" i="22"/>
  <c r="O443" i="22"/>
  <c r="O445" i="22"/>
  <c r="O284" i="22"/>
  <c r="O278" i="22"/>
  <c r="O281" i="22"/>
  <c r="O288" i="22"/>
  <c r="O276" i="22"/>
  <c r="O285" i="22"/>
  <c r="O283" i="22"/>
  <c r="O277" i="22"/>
  <c r="O286" i="22"/>
  <c r="O279" i="22"/>
  <c r="O280" i="22"/>
  <c r="O287" i="22"/>
  <c r="O282" i="22"/>
  <c r="O328" i="22"/>
  <c r="O325" i="22"/>
  <c r="O329" i="22"/>
  <c r="O327" i="22"/>
  <c r="O326" i="22"/>
  <c r="O331" i="22"/>
  <c r="O324" i="22"/>
  <c r="O330" i="22"/>
  <c r="O323" i="22"/>
  <c r="O340" i="22"/>
  <c r="O341" i="22"/>
  <c r="O345" i="22"/>
  <c r="O336" i="22"/>
  <c r="O344" i="22"/>
  <c r="O342" i="22"/>
  <c r="O337" i="22"/>
  <c r="O338" i="22"/>
  <c r="O339" i="22"/>
  <c r="O210" i="22"/>
  <c r="O219" i="22"/>
  <c r="O214" i="22"/>
  <c r="O234" i="22"/>
  <c r="O218" i="22"/>
  <c r="O233" i="22"/>
  <c r="O212" i="22"/>
  <c r="O211" i="22"/>
  <c r="O209" i="22"/>
  <c r="O201" i="22"/>
  <c r="O199" i="22"/>
  <c r="O779" i="22"/>
  <c r="O200" i="22"/>
  <c r="O203" i="22"/>
  <c r="O333" i="22"/>
  <c r="O332" i="22"/>
  <c r="O461" i="22"/>
  <c r="O460" i="22"/>
  <c r="O459" i="22"/>
  <c r="O458" i="22"/>
  <c r="O530" i="22"/>
  <c r="O538" i="22"/>
  <c r="O535" i="22"/>
  <c r="O522" i="22"/>
  <c r="O519" i="22"/>
  <c r="O514" i="22"/>
  <c r="O515" i="22"/>
  <c r="O523" i="22"/>
  <c r="O531" i="22"/>
  <c r="O843" i="22"/>
  <c r="O527" i="22"/>
  <c r="O520" i="22"/>
  <c r="O525" i="22"/>
  <c r="O512" i="22"/>
  <c r="O517" i="22"/>
  <c r="O803" i="22"/>
  <c r="O528" i="22"/>
  <c r="O536" i="22"/>
  <c r="O518" i="22"/>
  <c r="O533" i="22"/>
  <c r="O513" i="22"/>
  <c r="O526" i="22"/>
  <c r="O524" i="22"/>
  <c r="O532" i="22"/>
  <c r="O534" i="22"/>
  <c r="O516" i="22"/>
  <c r="O521" i="22"/>
  <c r="O537" i="22"/>
  <c r="O529" i="22"/>
  <c r="O661" i="22"/>
  <c r="O657" i="22"/>
  <c r="O289" i="22"/>
  <c r="O815" i="22"/>
  <c r="O118" i="22"/>
  <c r="O115" i="22"/>
  <c r="O116" i="22"/>
  <c r="O409" i="22"/>
  <c r="O410" i="22"/>
  <c r="O411" i="22"/>
  <c r="O373" i="22"/>
  <c r="O369" i="22"/>
  <c r="O372" i="22"/>
  <c r="O368" i="22"/>
  <c r="O371" i="22"/>
  <c r="O354" i="22"/>
  <c r="O347" i="22"/>
  <c r="O352" i="22"/>
  <c r="O353" i="22"/>
  <c r="O349" i="22"/>
  <c r="O355" i="22"/>
  <c r="O346" i="22"/>
  <c r="O350" i="22"/>
  <c r="O351" i="22"/>
  <c r="O789" i="22"/>
  <c r="O790" i="22"/>
  <c r="O820" i="22"/>
  <c r="O821" i="22"/>
  <c r="O700" i="22"/>
  <c r="O698" i="22"/>
  <c r="O697" i="22"/>
  <c r="O699" i="22"/>
  <c r="O725" i="22"/>
  <c r="O733" i="22"/>
  <c r="O726" i="22"/>
  <c r="O729" i="22"/>
  <c r="O727" i="22"/>
  <c r="O728" i="22"/>
  <c r="O732" i="22"/>
  <c r="O731" i="22"/>
  <c r="O724" i="22"/>
  <c r="O734" i="22"/>
  <c r="O730" i="22"/>
  <c r="O735" i="22"/>
  <c r="O736" i="22"/>
  <c r="O739" i="22"/>
  <c r="O738" i="22"/>
  <c r="O737" i="22"/>
  <c r="O723" i="22"/>
  <c r="O871" i="22"/>
  <c r="O870" i="22"/>
  <c r="O872" i="22"/>
  <c r="O448" i="22"/>
  <c r="O450" i="22"/>
  <c r="O451" i="22"/>
  <c r="O449" i="22"/>
  <c r="O869" i="22"/>
  <c r="O868" i="22"/>
  <c r="O867" i="22"/>
  <c r="O863" i="22"/>
  <c r="O865" i="22"/>
  <c r="O864" i="22"/>
  <c r="O503" i="22"/>
  <c r="O506" i="22"/>
  <c r="O511" i="22"/>
  <c r="O504" i="22"/>
  <c r="O509" i="22"/>
  <c r="O508" i="22"/>
  <c r="O510" i="22"/>
  <c r="O502" i="22"/>
  <c r="O505" i="22"/>
  <c r="O268" i="22"/>
  <c r="O273" i="22"/>
  <c r="O269" i="22"/>
  <c r="O274" i="22"/>
  <c r="O275" i="22"/>
  <c r="O809" i="22"/>
  <c r="O271" i="22"/>
  <c r="O823" i="22"/>
  <c r="O795" i="22"/>
  <c r="O804" i="22"/>
  <c r="O832" i="22"/>
  <c r="O591" i="22"/>
  <c r="O607" i="22"/>
  <c r="O599" i="22"/>
  <c r="O600" i="22"/>
  <c r="O583" i="22"/>
  <c r="O567" i="22"/>
  <c r="O575" i="22"/>
  <c r="O608" i="22"/>
  <c r="O576" i="22"/>
  <c r="O584" i="22"/>
  <c r="O592" i="22"/>
  <c r="O568" i="22"/>
  <c r="O577" i="22"/>
  <c r="O601" i="22"/>
  <c r="O572" i="22"/>
  <c r="O604" i="22"/>
  <c r="O569" i="22"/>
  <c r="O585" i="22"/>
  <c r="O580" i="22"/>
  <c r="O588" i="22"/>
  <c r="O596" i="22"/>
  <c r="O593" i="22"/>
  <c r="O605" i="22"/>
  <c r="O587" i="22"/>
  <c r="O571" i="22"/>
  <c r="O603" i="22"/>
  <c r="O597" i="22"/>
  <c r="O565" i="22"/>
  <c r="O586" i="22"/>
  <c r="O581" i="22"/>
  <c r="O595" i="22"/>
  <c r="O589" i="22"/>
  <c r="O602" i="22"/>
  <c r="O579" i="22"/>
  <c r="O594" i="22"/>
  <c r="O570" i="22"/>
  <c r="O578" i="22"/>
  <c r="O573" i="22"/>
  <c r="O582" i="22"/>
  <c r="O574" i="22"/>
  <c r="O606" i="22"/>
  <c r="O598" i="22"/>
  <c r="O590" i="22"/>
  <c r="O566" i="22"/>
  <c r="O701" i="22"/>
  <c r="O709" i="22"/>
  <c r="O706" i="22"/>
  <c r="O705" i="22"/>
  <c r="O703" i="22"/>
  <c r="O708" i="22"/>
  <c r="O702" i="22"/>
  <c r="O704" i="22"/>
  <c r="O707" i="22"/>
  <c r="O63" i="22"/>
  <c r="O47" i="22"/>
  <c r="O53" i="22"/>
  <c r="O45" i="22"/>
  <c r="O61" i="22"/>
  <c r="O57" i="22"/>
  <c r="O44" i="22"/>
  <c r="O59" i="22"/>
  <c r="O62" i="22"/>
  <c r="O50" i="22"/>
  <c r="O49" i="22"/>
  <c r="O55" i="22"/>
  <c r="O37" i="22"/>
  <c r="O64" i="22"/>
  <c r="O58" i="22"/>
  <c r="O56" i="22"/>
  <c r="O43" i="22"/>
  <c r="O48" i="22"/>
  <c r="O54" i="22"/>
  <c r="O52" i="22"/>
  <c r="O60" i="22"/>
  <c r="O46" i="22"/>
  <c r="O51" i="22"/>
  <c r="O198" i="22"/>
  <c r="O196" i="22"/>
  <c r="O778" i="22"/>
  <c r="O197" i="22"/>
  <c r="O813" i="22"/>
  <c r="O195" i="22"/>
  <c r="O685" i="22"/>
  <c r="O677" i="22"/>
  <c r="O673" i="22"/>
  <c r="O681" i="22"/>
  <c r="O684" i="22"/>
  <c r="O678" i="22"/>
  <c r="O676" i="22"/>
  <c r="O682" i="22"/>
  <c r="O674" i="22"/>
  <c r="O683" i="22"/>
  <c r="O680" i="22"/>
  <c r="O679" i="22"/>
  <c r="O672" i="22"/>
  <c r="O675" i="22"/>
  <c r="O261" i="22"/>
  <c r="O260" i="22"/>
  <c r="O255" i="22"/>
  <c r="O257" i="22"/>
  <c r="O259" i="22"/>
  <c r="O263" i="22"/>
  <c r="O256" i="22"/>
  <c r="O250" i="22"/>
  <c r="O254" i="22"/>
  <c r="O246" i="22"/>
  <c r="O265" i="22"/>
  <c r="O258" i="22"/>
  <c r="O247" i="22"/>
  <c r="O249" i="22"/>
  <c r="O252" i="22"/>
  <c r="O251" i="22"/>
  <c r="O253" i="22"/>
  <c r="O262" i="22"/>
  <c r="O267" i="22"/>
  <c r="O266" i="22"/>
  <c r="O264" i="22"/>
  <c r="O248" i="22"/>
  <c r="O194" i="22"/>
  <c r="O183" i="22"/>
  <c r="O185" i="22"/>
  <c r="O187" i="22"/>
  <c r="O206" i="22"/>
  <c r="O208" i="22"/>
  <c r="O205" i="22"/>
  <c r="O207" i="22"/>
  <c r="O204" i="22"/>
  <c r="O366" i="22"/>
  <c r="O361" i="22"/>
  <c r="O405" i="22"/>
  <c r="O404" i="22"/>
  <c r="O202" i="22"/>
  <c r="O814" i="22"/>
  <c r="O360" i="22"/>
  <c r="O358" i="22"/>
  <c r="O357" i="22"/>
  <c r="O359" i="22"/>
  <c r="O797" i="22"/>
  <c r="O796" i="22"/>
  <c r="O781" i="22"/>
  <c r="O782" i="22"/>
  <c r="O841" i="22"/>
  <c r="O842" i="22"/>
  <c r="O455" i="22"/>
  <c r="O454" i="22"/>
  <c r="O377" i="22"/>
  <c r="O384" i="22"/>
  <c r="O376" i="22"/>
  <c r="O378" i="22"/>
  <c r="O382" i="22"/>
  <c r="O383" i="22"/>
  <c r="O380" i="22"/>
  <c r="O379" i="22"/>
  <c r="O97" i="22"/>
  <c r="O98" i="22"/>
  <c r="O101" i="22"/>
  <c r="O102" i="22"/>
  <c r="O31" i="22"/>
  <c r="O26" i="22"/>
  <c r="O15" i="22"/>
  <c r="O23" i="22"/>
  <c r="O20" i="22"/>
  <c r="O28" i="22"/>
  <c r="O24" i="22"/>
  <c r="O36" i="22"/>
  <c r="O16" i="22"/>
  <c r="O29" i="22"/>
  <c r="O10" i="22"/>
  <c r="O27" i="22"/>
  <c r="O800" i="22"/>
  <c r="O19" i="22"/>
  <c r="O9" i="22"/>
  <c r="O807" i="22"/>
  <c r="O35" i="22"/>
  <c r="O840" i="22"/>
  <c r="O25" i="22"/>
  <c r="O38" i="22"/>
  <c r="O127" i="22"/>
  <c r="O774" i="22"/>
  <c r="O130" i="22"/>
  <c r="O123" i="22"/>
  <c r="O126" i="22"/>
  <c r="O124" i="22"/>
  <c r="O129" i="22"/>
  <c r="O128" i="22"/>
  <c r="O125" i="22"/>
  <c r="O122" i="22"/>
  <c r="O76" i="22"/>
  <c r="O89" i="22"/>
  <c r="O88" i="22"/>
  <c r="O77" i="22"/>
  <c r="O321" i="22"/>
  <c r="O317" i="22"/>
  <c r="O320" i="22"/>
  <c r="O318" i="22"/>
  <c r="O315" i="22"/>
  <c r="O322" i="22"/>
  <c r="O316" i="22"/>
  <c r="O319" i="22"/>
  <c r="O168" i="22"/>
  <c r="O176" i="22"/>
  <c r="O166" i="22"/>
  <c r="O179" i="22"/>
  <c r="O180" i="22"/>
  <c r="O178" i="22"/>
  <c r="O172" i="22"/>
  <c r="O171" i="22"/>
  <c r="O170" i="22"/>
  <c r="O173" i="22"/>
  <c r="O165" i="22"/>
  <c r="O167" i="22"/>
  <c r="O175" i="22"/>
  <c r="O169" i="22"/>
  <c r="O177" i="22"/>
  <c r="O417" i="22"/>
  <c r="O424" i="22"/>
  <c r="O416" i="22"/>
  <c r="O421" i="22"/>
  <c r="O422" i="22"/>
  <c r="O425" i="22"/>
  <c r="O414" i="22"/>
  <c r="O420" i="22"/>
  <c r="O413" i="22"/>
  <c r="O415" i="22"/>
  <c r="O412" i="22"/>
  <c r="O423" i="22"/>
  <c r="O419" i="22"/>
  <c r="O418" i="22"/>
  <c r="O498" i="22"/>
  <c r="O492" i="22"/>
  <c r="O491" i="22"/>
  <c r="O499" i="22"/>
  <c r="O501" i="22"/>
  <c r="O493" i="22"/>
  <c r="O496" i="22"/>
  <c r="O497" i="22"/>
  <c r="O494" i="22"/>
  <c r="O495" i="22"/>
  <c r="O500" i="22"/>
  <c r="O855" i="22"/>
  <c r="O857" i="22"/>
  <c r="O856" i="22"/>
  <c r="O854" i="22"/>
  <c r="O749" i="22"/>
  <c r="O740" i="22"/>
  <c r="O742" i="22"/>
  <c r="O744" i="22"/>
  <c r="O799" i="22"/>
  <c r="O798" i="22"/>
  <c r="O849" i="22"/>
  <c r="O848" i="22"/>
  <c r="O850" i="22"/>
  <c r="O401" i="22"/>
  <c r="O388" i="22"/>
  <c r="O400" i="22"/>
  <c r="O402" i="22"/>
  <c r="O386" i="22"/>
  <c r="O393" i="22"/>
  <c r="O397" i="22"/>
  <c r="O392" i="22"/>
  <c r="O399" i="22"/>
  <c r="O385" i="22"/>
  <c r="O831" i="22"/>
  <c r="O164" i="22"/>
  <c r="O304" i="22"/>
  <c r="O303" i="22"/>
  <c r="O453" i="22"/>
  <c r="O456" i="22"/>
  <c r="O90" i="22"/>
  <c r="O96" i="22"/>
  <c r="O92" i="22"/>
  <c r="O91" i="22"/>
  <c r="O94" i="22"/>
  <c r="O93" i="22"/>
  <c r="O103" i="22"/>
  <c r="O111" i="22"/>
  <c r="O107" i="22"/>
  <c r="O105" i="22"/>
  <c r="O114" i="22"/>
  <c r="O106" i="22"/>
  <c r="O108" i="22"/>
  <c r="O109" i="22"/>
  <c r="O772" i="22"/>
  <c r="O104" i="22"/>
  <c r="O113" i="22"/>
  <c r="O110" i="22"/>
  <c r="O112" i="22"/>
  <c r="O559" i="22"/>
  <c r="O560" i="22"/>
  <c r="O556" i="22"/>
  <c r="O561" i="22"/>
  <c r="O564" i="22"/>
  <c r="O557" i="22"/>
  <c r="O562" i="22"/>
  <c r="O563" i="22"/>
  <c r="O558" i="22"/>
  <c r="O42" i="22"/>
  <c r="O11" i="22"/>
  <c r="O71" i="22"/>
  <c r="O80" i="22"/>
  <c r="O67" i="22"/>
  <c r="O82" i="22"/>
  <c r="O66" i="22"/>
  <c r="O87" i="22"/>
  <c r="O85" i="22"/>
  <c r="O74" i="22"/>
  <c r="O81" i="22"/>
  <c r="O75" i="22"/>
  <c r="O72" i="22"/>
  <c r="O68" i="22"/>
  <c r="O86" i="22"/>
  <c r="O70" i="22"/>
  <c r="O78" i="22"/>
  <c r="O65" i="22"/>
  <c r="O84" i="22"/>
  <c r="O73" i="22"/>
  <c r="O79" i="22"/>
  <c r="O83" i="22"/>
  <c r="O69" i="22"/>
  <c r="O181" i="22"/>
  <c r="O174" i="22"/>
  <c r="O182" i="22"/>
  <c r="O426" i="22"/>
  <c r="O432" i="22"/>
  <c r="O437" i="22"/>
  <c r="O436" i="22"/>
  <c r="O430" i="22"/>
  <c r="O440" i="22"/>
  <c r="O431" i="22"/>
  <c r="O438" i="22"/>
  <c r="O433" i="22"/>
  <c r="O439" i="22"/>
  <c r="O427" i="22"/>
  <c r="O429" i="22"/>
  <c r="O428" i="22"/>
  <c r="O435" i="22"/>
  <c r="O434" i="22"/>
  <c r="O487" i="22"/>
  <c r="O483" i="22"/>
  <c r="O481" i="22"/>
  <c r="O489" i="22"/>
  <c r="O484" i="22"/>
  <c r="O473" i="22"/>
  <c r="O486" i="22"/>
  <c r="O475" i="22"/>
  <c r="O467" i="22"/>
  <c r="O485" i="22"/>
  <c r="O479" i="22"/>
  <c r="O470" i="22"/>
  <c r="O474" i="22"/>
  <c r="O490" i="22"/>
  <c r="O482" i="22"/>
  <c r="O468" i="22"/>
  <c r="O488" i="22"/>
  <c r="O469" i="22"/>
  <c r="O471" i="22"/>
  <c r="O472" i="22"/>
  <c r="O480" i="22"/>
  <c r="O476" i="22"/>
  <c r="O477" i="22"/>
  <c r="O478" i="22"/>
  <c r="O616" i="22"/>
  <c r="O612" i="22"/>
  <c r="O615" i="22"/>
  <c r="O609" i="22"/>
  <c r="O617" i="22"/>
  <c r="O620" i="22"/>
  <c r="O621" i="22"/>
  <c r="O613" i="22"/>
  <c r="O611" i="22"/>
  <c r="O619" i="22"/>
  <c r="O618" i="22"/>
  <c r="O610" i="22"/>
  <c r="O622" i="22"/>
  <c r="O614" i="22"/>
  <c r="O757" i="22"/>
  <c r="O741" i="22"/>
  <c r="O750" i="22"/>
  <c r="O753" i="22"/>
  <c r="O755" i="22"/>
  <c r="O752" i="22"/>
  <c r="O756" i="22"/>
  <c r="O748" i="22"/>
  <c r="O759" i="22"/>
  <c r="O751" i="22"/>
  <c r="O754" i="22"/>
  <c r="O745" i="22"/>
  <c r="O746" i="22"/>
  <c r="O743" i="22"/>
  <c r="O747" i="22"/>
  <c r="O873" i="22"/>
  <c r="O876" i="22"/>
  <c r="O875" i="22"/>
  <c r="O874" i="22"/>
  <c r="O776" i="22"/>
  <c r="O777" i="22"/>
  <c r="O802" i="22"/>
  <c r="O249" i="17"/>
  <c r="O742" i="17"/>
  <c r="O302" i="17"/>
  <c r="O537" i="17"/>
  <c r="O542" i="17"/>
  <c r="O920" i="17"/>
  <c r="O140" i="17"/>
  <c r="O296" i="17"/>
  <c r="O248" i="17"/>
  <c r="O468" i="17"/>
  <c r="O555" i="17"/>
  <c r="O556" i="17"/>
  <c r="O525" i="17"/>
  <c r="O558" i="17"/>
  <c r="O224" i="17"/>
  <c r="O232" i="17"/>
  <c r="O216" i="17"/>
  <c r="O228" i="17"/>
  <c r="O236" i="17"/>
  <c r="O234" i="17"/>
  <c r="O230" i="17"/>
  <c r="O235" i="17"/>
  <c r="O231" i="17"/>
  <c r="O233" i="17"/>
  <c r="O225" i="17"/>
  <c r="O229" i="17"/>
  <c r="O226" i="17"/>
  <c r="O227" i="17"/>
  <c r="O223" i="17"/>
  <c r="O321" i="17"/>
  <c r="O312" i="17"/>
  <c r="O318" i="17"/>
  <c r="O313" i="17"/>
  <c r="O320" i="17"/>
  <c r="O319" i="17"/>
  <c r="O317" i="17"/>
  <c r="O315" i="17"/>
  <c r="O316" i="17"/>
  <c r="O322" i="17"/>
  <c r="O314" i="17"/>
  <c r="O311" i="17"/>
  <c r="O323" i="17"/>
  <c r="O310" i="17"/>
  <c r="O309" i="17"/>
  <c r="O189" i="17"/>
  <c r="O194" i="17"/>
  <c r="O193" i="17"/>
  <c r="O195" i="17"/>
  <c r="O196" i="17"/>
  <c r="O305" i="17"/>
  <c r="O299" i="17"/>
  <c r="O300" i="17"/>
  <c r="O303" i="17"/>
  <c r="O301" i="17"/>
  <c r="O386" i="17"/>
  <c r="O387" i="17"/>
  <c r="O388" i="17"/>
  <c r="O389" i="17"/>
  <c r="O421" i="17"/>
  <c r="O420" i="17"/>
  <c r="O424" i="17"/>
  <c r="O425" i="17"/>
  <c r="O465" i="17"/>
  <c r="O460" i="17"/>
  <c r="O461" i="17"/>
  <c r="O464" i="17"/>
  <c r="O462" i="17"/>
  <c r="O431" i="17"/>
  <c r="O429" i="17"/>
  <c r="O430" i="17"/>
  <c r="O432" i="17"/>
  <c r="O517" i="17"/>
  <c r="O505" i="17"/>
  <c r="O522" i="17"/>
  <c r="O516" i="17"/>
  <c r="O508" i="17"/>
  <c r="O521" i="17"/>
  <c r="O514" i="17"/>
  <c r="O506" i="17"/>
  <c r="O509" i="17"/>
  <c r="O510" i="17"/>
  <c r="O513" i="17"/>
  <c r="O507" i="17"/>
  <c r="O512" i="17"/>
  <c r="O518" i="17"/>
  <c r="O520" i="17"/>
  <c r="O511" i="17"/>
  <c r="O519" i="17"/>
  <c r="O515" i="17"/>
  <c r="O457" i="17"/>
  <c r="O451" i="17"/>
  <c r="O458" i="17"/>
  <c r="O441" i="17"/>
  <c r="O444" i="17"/>
  <c r="O434" i="17"/>
  <c r="O445" i="17"/>
  <c r="O447" i="17"/>
  <c r="O450" i="17"/>
  <c r="O433" i="17"/>
  <c r="O656" i="17"/>
  <c r="O658" i="17"/>
  <c r="O655" i="17"/>
  <c r="O657" i="17"/>
  <c r="O659" i="17"/>
  <c r="O637" i="17"/>
  <c r="O642" i="17"/>
  <c r="O632" i="17"/>
  <c r="O634" i="17"/>
  <c r="O633" i="17"/>
  <c r="O643" i="17"/>
  <c r="O629" i="17"/>
  <c r="O640" i="17"/>
  <c r="O635" i="17"/>
  <c r="O654" i="17"/>
  <c r="O630" i="17"/>
  <c r="O639" i="17"/>
  <c r="O636" i="17"/>
  <c r="O638" i="17"/>
  <c r="O631" i="17"/>
  <c r="O641" i="17"/>
  <c r="O628" i="17"/>
  <c r="O879" i="17"/>
  <c r="O603" i="17"/>
  <c r="O880" i="17"/>
  <c r="O142" i="17"/>
  <c r="O145" i="17"/>
  <c r="O143" i="17"/>
  <c r="O144" i="17"/>
  <c r="O260" i="17"/>
  <c r="O261" i="17"/>
  <c r="O259" i="17"/>
  <c r="O263" i="17"/>
  <c r="O158" i="17"/>
  <c r="O147" i="17"/>
  <c r="O153" i="17"/>
  <c r="O151" i="17"/>
  <c r="O157" i="17"/>
  <c r="O146" i="17"/>
  <c r="O159" i="17"/>
  <c r="O155" i="17"/>
  <c r="O150" i="17"/>
  <c r="O154" i="17"/>
  <c r="O156" i="17"/>
  <c r="O148" i="17"/>
  <c r="O152" i="17"/>
  <c r="O160" i="17"/>
  <c r="O149" i="17"/>
  <c r="O244" i="17"/>
  <c r="O247" i="17"/>
  <c r="O187" i="17"/>
  <c r="O183" i="17"/>
  <c r="O179" i="17"/>
  <c r="O184" i="17"/>
  <c r="O901" i="17"/>
  <c r="O180" i="17"/>
  <c r="O178" i="17"/>
  <c r="O177" i="17"/>
  <c r="O186" i="17"/>
  <c r="O181" i="17"/>
  <c r="O182" i="17"/>
  <c r="O185" i="17"/>
  <c r="O398" i="17"/>
  <c r="O403" i="17"/>
  <c r="O395" i="17"/>
  <c r="O404" i="17"/>
  <c r="O390" i="17"/>
  <c r="O402" i="17"/>
  <c r="O401" i="17"/>
  <c r="O392" i="17"/>
  <c r="O391" i="17"/>
  <c r="O406" i="17"/>
  <c r="O399" i="17"/>
  <c r="O400" i="17"/>
  <c r="O252" i="17"/>
  <c r="O254" i="17"/>
  <c r="O250" i="17"/>
  <c r="O931" i="17"/>
  <c r="O251" i="17"/>
  <c r="O253" i="17"/>
  <c r="O427" i="17"/>
  <c r="O428" i="17"/>
  <c r="O560" i="17"/>
  <c r="O557" i="17"/>
  <c r="O559" i="17"/>
  <c r="O925" i="17"/>
  <c r="O924" i="17"/>
  <c r="O781" i="17"/>
  <c r="O778" i="17"/>
  <c r="O780" i="17"/>
  <c r="O782" i="17"/>
  <c r="O646" i="17"/>
  <c r="O652" i="17"/>
  <c r="O644" i="17"/>
  <c r="O650" i="17"/>
  <c r="O645" i="17"/>
  <c r="O653" i="17"/>
  <c r="O647" i="17"/>
  <c r="O648" i="17"/>
  <c r="O651" i="17"/>
  <c r="O649" i="17"/>
  <c r="O620" i="17"/>
  <c r="O613" i="17"/>
  <c r="O618" i="17"/>
  <c r="O621" i="17"/>
  <c r="O610" i="17"/>
  <c r="O626" i="17"/>
  <c r="O605" i="17"/>
  <c r="O617" i="17"/>
  <c r="O624" i="17"/>
  <c r="O614" i="17"/>
  <c r="O616" i="17"/>
  <c r="O622" i="17"/>
  <c r="O625" i="17"/>
  <c r="O612" i="17"/>
  <c r="O615" i="17"/>
  <c r="O609" i="17"/>
  <c r="O607" i="17"/>
  <c r="O611" i="17"/>
  <c r="O619" i="17"/>
  <c r="O623" i="17"/>
  <c r="O627" i="17"/>
  <c r="O606" i="17"/>
  <c r="O608" i="17"/>
  <c r="O604" i="17"/>
  <c r="O910" i="17"/>
  <c r="O765" i="17"/>
  <c r="O761" i="17"/>
  <c r="O773" i="17"/>
  <c r="O769" i="17"/>
  <c r="O772" i="17"/>
  <c r="O775" i="17"/>
  <c r="O762" i="17"/>
  <c r="O771" i="17"/>
  <c r="O770" i="17"/>
  <c r="O774" i="17"/>
  <c r="O766" i="17"/>
  <c r="O763" i="17"/>
  <c r="O764" i="17"/>
  <c r="O768" i="17"/>
  <c r="O767" i="17"/>
  <c r="O776" i="17"/>
  <c r="O871" i="17"/>
  <c r="O863" i="17"/>
  <c r="O870" i="17"/>
  <c r="O862" i="17"/>
  <c r="O865" i="17"/>
  <c r="O869" i="17"/>
  <c r="O873" i="17"/>
  <c r="O866" i="17"/>
  <c r="O861" i="17"/>
  <c r="O868" i="17"/>
  <c r="O864" i="17"/>
  <c r="O872" i="17"/>
  <c r="O867" i="17"/>
  <c r="O571" i="17"/>
  <c r="O574" i="17"/>
  <c r="O573" i="17"/>
  <c r="O572" i="17"/>
  <c r="O570" i="17"/>
  <c r="O833" i="17"/>
  <c r="O838" i="17"/>
  <c r="O841" i="17"/>
  <c r="O849" i="17"/>
  <c r="O842" i="17"/>
  <c r="O834" i="17"/>
  <c r="O850" i="17"/>
  <c r="O858" i="17"/>
  <c r="O845" i="17"/>
  <c r="O848" i="17"/>
  <c r="O856" i="17"/>
  <c r="O836" i="17"/>
  <c r="O840" i="17"/>
  <c r="O859" i="17"/>
  <c r="O929" i="17"/>
  <c r="O851" i="17"/>
  <c r="O45" i="17"/>
  <c r="O27" i="17"/>
  <c r="O47" i="17"/>
  <c r="O49" i="17"/>
  <c r="O64" i="17"/>
  <c r="O43" i="17"/>
  <c r="O133" i="17"/>
  <c r="O107" i="17"/>
  <c r="O130" i="17"/>
  <c r="O111" i="17"/>
  <c r="O122" i="17"/>
  <c r="O134" i="17"/>
  <c r="O113" i="17"/>
  <c r="O125" i="17"/>
  <c r="O106" i="17"/>
  <c r="O118" i="17"/>
  <c r="O117" i="17"/>
  <c r="O112" i="17"/>
  <c r="O136" i="17"/>
  <c r="O115" i="17"/>
  <c r="O137" i="17"/>
  <c r="O131" i="17"/>
  <c r="O108" i="17"/>
  <c r="O123" i="17"/>
  <c r="O116" i="17"/>
  <c r="O110" i="17"/>
  <c r="O126" i="17"/>
  <c r="O129" i="17"/>
  <c r="O109" i="17"/>
  <c r="O132" i="17"/>
  <c r="O135" i="17"/>
  <c r="O127" i="17"/>
  <c r="O120" i="17"/>
  <c r="O128" i="17"/>
  <c r="O114" i="17"/>
  <c r="O119" i="17"/>
  <c r="O121" i="17"/>
  <c r="O124" i="17"/>
  <c r="O192" i="17"/>
  <c r="O188" i="17"/>
  <c r="O190" i="17"/>
  <c r="O191" i="17"/>
  <c r="O332" i="17"/>
  <c r="O326" i="17"/>
  <c r="O327" i="17"/>
  <c r="O329" i="17"/>
  <c r="O335" i="17"/>
  <c r="O331" i="17"/>
  <c r="O328" i="17"/>
  <c r="O325" i="17"/>
  <c r="O334" i="17"/>
  <c r="O333" i="17"/>
  <c r="O330" i="17"/>
  <c r="O324" i="17"/>
  <c r="O541" i="17"/>
  <c r="O540" i="17"/>
  <c r="O408" i="17"/>
  <c r="O411" i="17"/>
  <c r="O409" i="17"/>
  <c r="O410" i="17"/>
  <c r="O413" i="17"/>
  <c r="O412" i="17"/>
  <c r="O415" i="17"/>
  <c r="O378" i="17"/>
  <c r="O375" i="17"/>
  <c r="O364" i="17"/>
  <c r="O372" i="17"/>
  <c r="O367" i="17"/>
  <c r="O369" i="17"/>
  <c r="O363" i="17"/>
  <c r="O368" i="17"/>
  <c r="O373" i="17"/>
  <c r="O379" i="17"/>
  <c r="O366" i="17"/>
  <c r="O365" i="17"/>
  <c r="O377" i="17"/>
  <c r="O376" i="17"/>
  <c r="O374" i="17"/>
  <c r="O362" i="17"/>
  <c r="O370" i="17"/>
  <c r="O371" i="17"/>
  <c r="O563" i="17"/>
  <c r="O562" i="17"/>
  <c r="O561" i="17"/>
  <c r="O801" i="17"/>
  <c r="O813" i="17"/>
  <c r="O805" i="17"/>
  <c r="O797" i="17"/>
  <c r="O817" i="17"/>
  <c r="O793" i="17"/>
  <c r="O796" i="17"/>
  <c r="O812" i="17"/>
  <c r="O809" i="17"/>
  <c r="O794" i="17"/>
  <c r="O818" i="17"/>
  <c r="O790" i="17"/>
  <c r="O811" i="17"/>
  <c r="O814" i="17"/>
  <c r="O799" i="17"/>
  <c r="O798" i="17"/>
  <c r="O802" i="17"/>
  <c r="O806" i="17"/>
  <c r="O810" i="17"/>
  <c r="O815" i="17"/>
  <c r="O816" i="17"/>
  <c r="O800" i="17"/>
  <c r="O808" i="17"/>
  <c r="O803" i="17"/>
  <c r="O792" i="17"/>
  <c r="O759" i="17"/>
  <c r="O756" i="17"/>
  <c r="O760" i="17"/>
  <c r="O746" i="17"/>
  <c r="O754" i="17"/>
  <c r="O755" i="17"/>
  <c r="O745" i="17"/>
  <c r="O750" i="17"/>
  <c r="O747" i="17"/>
  <c r="O737" i="17"/>
  <c r="O749" i="17"/>
  <c r="O757" i="17"/>
  <c r="O736" i="17"/>
  <c r="O758" i="17"/>
  <c r="O894" i="17"/>
  <c r="O895" i="17"/>
  <c r="O885" i="17"/>
  <c r="O884" i="17"/>
  <c r="O740" i="17"/>
  <c r="O735" i="17"/>
  <c r="O751" i="17"/>
  <c r="O734" i="17"/>
  <c r="O748" i="17"/>
  <c r="O743" i="17"/>
  <c r="O738" i="17"/>
  <c r="O752" i="17"/>
  <c r="O753" i="17"/>
  <c r="O744" i="17"/>
  <c r="O739" i="17"/>
  <c r="O741" i="17"/>
  <c r="O789" i="17"/>
  <c r="O785" i="17"/>
  <c r="O787" i="17"/>
  <c r="O783" i="17"/>
  <c r="O786" i="17"/>
  <c r="O788" i="17"/>
  <c r="O784" i="17"/>
  <c r="O732" i="17"/>
  <c r="O724" i="17"/>
  <c r="O716" i="17"/>
  <c r="O727" i="17"/>
  <c r="O711" i="17"/>
  <c r="O726" i="17"/>
  <c r="O730" i="17"/>
  <c r="O714" i="17"/>
  <c r="O710" i="17"/>
  <c r="O721" i="17"/>
  <c r="O712" i="17"/>
  <c r="O713" i="17"/>
  <c r="O733" i="17"/>
  <c r="O715" i="17"/>
  <c r="O717" i="17"/>
  <c r="O720" i="17"/>
  <c r="O722" i="17"/>
  <c r="O718" i="17"/>
  <c r="O725" i="17"/>
  <c r="O729" i="17"/>
  <c r="O728" i="17"/>
  <c r="O723" i="17"/>
  <c r="O719" i="17"/>
  <c r="O731" i="17"/>
  <c r="O138" i="17"/>
  <c r="O141" i="17"/>
  <c r="O900" i="17"/>
  <c r="O875" i="17"/>
  <c r="O139" i="17"/>
  <c r="O692" i="17"/>
  <c r="O906" i="17"/>
  <c r="O705" i="17"/>
  <c r="O905" i="17"/>
  <c r="O688" i="17"/>
  <c r="O669" i="17"/>
  <c r="O660" i="17"/>
  <c r="O668" i="17"/>
  <c r="O677" i="17"/>
  <c r="O673" i="17"/>
  <c r="O661" i="17"/>
  <c r="O664" i="17"/>
  <c r="O676" i="17"/>
  <c r="O666" i="17"/>
  <c r="O662" i="17"/>
  <c r="O663" i="17"/>
  <c r="O674" i="17"/>
  <c r="O672" i="17"/>
  <c r="O671" i="17"/>
  <c r="O667" i="17"/>
  <c r="O670" i="17"/>
  <c r="O665" i="17"/>
  <c r="O675" i="17"/>
  <c r="O264" i="17"/>
  <c r="O275" i="17"/>
  <c r="O276" i="17"/>
  <c r="O268" i="17"/>
  <c r="O272" i="17"/>
  <c r="O262" i="17"/>
  <c r="O278" i="17"/>
  <c r="O279" i="17"/>
  <c r="O281" i="17"/>
  <c r="O284" i="17"/>
  <c r="O269" i="17"/>
  <c r="O274" i="17"/>
  <c r="O266" i="17"/>
  <c r="O270" i="17"/>
  <c r="O265" i="17"/>
  <c r="O271" i="17"/>
  <c r="O282" i="17"/>
  <c r="O277" i="17"/>
  <c r="O273" i="17"/>
  <c r="O280" i="17"/>
  <c r="O267" i="17"/>
  <c r="O283" i="17"/>
  <c r="O200" i="17"/>
  <c r="O212" i="17"/>
  <c r="O211" i="17"/>
  <c r="O197" i="17"/>
  <c r="O208" i="17"/>
  <c r="O204" i="17"/>
  <c r="O202" i="17"/>
  <c r="O207" i="17"/>
  <c r="O201" i="17"/>
  <c r="O205" i="17"/>
  <c r="O213" i="17"/>
  <c r="O206" i="17"/>
  <c r="O203" i="17"/>
  <c r="O210" i="17"/>
  <c r="O198" i="17"/>
  <c r="O209" i="17"/>
  <c r="O166" i="17"/>
  <c r="O161" i="17"/>
  <c r="O176" i="17"/>
  <c r="O167" i="17"/>
  <c r="O163" i="17"/>
  <c r="O172" i="17"/>
  <c r="O174" i="17"/>
  <c r="O175" i="17"/>
  <c r="O169" i="17"/>
  <c r="O168" i="17"/>
  <c r="O164" i="17"/>
  <c r="O171" i="17"/>
  <c r="O173" i="17"/>
  <c r="O472" i="17"/>
  <c r="O470" i="17"/>
  <c r="O473" i="17"/>
  <c r="O469" i="17"/>
  <c r="O471" i="17"/>
  <c r="O394" i="17"/>
  <c r="O405" i="17"/>
  <c r="O393" i="17"/>
  <c r="O397" i="17"/>
  <c r="O396" i="17"/>
  <c r="O407" i="17"/>
  <c r="O477" i="17"/>
  <c r="O484" i="17"/>
  <c r="O476" i="17"/>
  <c r="O480" i="17"/>
  <c r="O488" i="17"/>
  <c r="O482" i="17"/>
  <c r="O474" i="17"/>
  <c r="O478" i="17"/>
  <c r="O491" i="17"/>
  <c r="O486" i="17"/>
  <c r="O487" i="17"/>
  <c r="O481" i="17"/>
  <c r="O485" i="17"/>
  <c r="O489" i="17"/>
  <c r="O475" i="17"/>
  <c r="O490" i="17"/>
  <c r="O483" i="17"/>
  <c r="O479" i="17"/>
  <c r="O887" i="17"/>
  <c r="O886" i="17"/>
  <c r="O896" i="17"/>
  <c r="O897" i="17"/>
  <c r="O916" i="17"/>
  <c r="O890" i="17"/>
  <c r="O917" i="17"/>
  <c r="O891" i="17"/>
  <c r="O699" i="17"/>
  <c r="O922" i="17"/>
  <c r="O682" i="17"/>
  <c r="O695" i="17"/>
  <c r="O684" i="17"/>
  <c r="O708" i="17"/>
  <c r="O700" i="17"/>
  <c r="O679" i="17"/>
  <c r="O691" i="17"/>
  <c r="O690" i="17"/>
  <c r="O698" i="17"/>
  <c r="O687" i="17"/>
  <c r="O706" i="17"/>
  <c r="O686" i="17"/>
  <c r="O694" i="17"/>
  <c r="O683" i="17"/>
  <c r="O702" i="17"/>
  <c r="O704" i="17"/>
  <c r="O701" i="17"/>
  <c r="O696" i="17"/>
  <c r="O678" i="17"/>
  <c r="O709" i="17"/>
  <c r="O707" i="17"/>
  <c r="O693" i="17"/>
  <c r="O697" i="17"/>
  <c r="O689" i="17"/>
  <c r="O680" i="17"/>
  <c r="O546" i="17"/>
  <c r="O544" i="17"/>
  <c r="O547" i="17"/>
  <c r="O548" i="17"/>
  <c r="O545" i="17"/>
  <c r="O543" i="17"/>
  <c r="O681" i="17"/>
  <c r="O703" i="17"/>
  <c r="O685" i="17"/>
  <c r="O583" i="17"/>
  <c r="O586" i="17"/>
  <c r="O578" i="17"/>
  <c r="O290" i="17"/>
  <c r="O291" i="17"/>
  <c r="O289" i="17"/>
  <c r="O286" i="17"/>
  <c r="O298" i="17"/>
  <c r="O285" i="17"/>
  <c r="O292" i="17"/>
  <c r="O293" i="17"/>
  <c r="O287" i="17"/>
  <c r="O927" i="17"/>
  <c r="O297" i="17"/>
  <c r="O294" i="17"/>
  <c r="O288" i="17"/>
  <c r="O54" i="17"/>
  <c r="O58" i="17"/>
  <c r="O50" i="17"/>
  <c r="O74" i="17"/>
  <c r="O52" i="17"/>
  <c r="O60" i="17"/>
  <c r="O63" i="17"/>
  <c r="O66" i="17"/>
  <c r="O75" i="17"/>
  <c r="O59" i="17"/>
  <c r="O62" i="17"/>
  <c r="O53" i="17"/>
  <c r="O76" i="17"/>
  <c r="O71" i="17"/>
  <c r="O77" i="17"/>
  <c r="O55" i="17"/>
  <c r="O65" i="17"/>
  <c r="O42" i="17"/>
  <c r="O51" i="17"/>
  <c r="O46" i="17"/>
  <c r="O56" i="17"/>
  <c r="O61" i="17"/>
  <c r="O72" i="17"/>
  <c r="O48" i="17"/>
  <c r="O69" i="17"/>
  <c r="O67" i="17"/>
  <c r="O73" i="17"/>
  <c r="O68" i="17"/>
  <c r="O41" i="17"/>
  <c r="O306" i="17"/>
  <c r="O307" i="17"/>
  <c r="O308" i="17"/>
  <c r="O304" i="17"/>
  <c r="O165" i="17"/>
  <c r="O162" i="17"/>
  <c r="O170" i="17"/>
  <c r="O382" i="17"/>
  <c r="O384" i="17"/>
  <c r="O381" i="17"/>
  <c r="O385" i="17"/>
  <c r="O380" i="17"/>
  <c r="O383" i="17"/>
  <c r="O426" i="17"/>
  <c r="O423" i="17"/>
  <c r="O422" i="17"/>
  <c r="O502" i="17"/>
  <c r="O492" i="17"/>
  <c r="O500" i="17"/>
  <c r="O498" i="17"/>
  <c r="O496" i="17"/>
  <c r="O501" i="17"/>
  <c r="O493" i="17"/>
  <c r="O504" i="17"/>
  <c r="O499" i="17"/>
  <c r="O495" i="17"/>
  <c r="O494" i="17"/>
  <c r="O497" i="17"/>
  <c r="O503" i="17"/>
  <c r="O448" i="17"/>
  <c r="O443" i="17"/>
  <c r="O456" i="17"/>
  <c r="O452" i="17"/>
  <c r="O440" i="17"/>
  <c r="O904" i="17"/>
  <c r="O454" i="17"/>
  <c r="O435" i="17"/>
  <c r="O453" i="17"/>
  <c r="O436" i="17"/>
  <c r="O442" i="17"/>
  <c r="O439" i="17"/>
  <c r="O446" i="17"/>
  <c r="O449" i="17"/>
  <c r="O438" i="17"/>
  <c r="O459" i="17"/>
  <c r="O455" i="17"/>
  <c r="O437" i="17"/>
  <c r="O821" i="17"/>
  <c r="O825" i="17"/>
  <c r="O828" i="17"/>
  <c r="O820" i="17"/>
  <c r="O826" i="17"/>
  <c r="O823" i="17"/>
  <c r="O822" i="17"/>
  <c r="O827" i="17"/>
  <c r="O829" i="17"/>
  <c r="O819" i="17"/>
  <c r="O830" i="17"/>
  <c r="O832" i="17"/>
  <c r="O824" i="17"/>
  <c r="O831" i="17"/>
  <c r="O554" i="17"/>
  <c r="O549" i="17"/>
  <c r="O550" i="17"/>
  <c r="O552" i="17"/>
  <c r="O553" i="17"/>
  <c r="O551" i="17"/>
  <c r="O602" i="17"/>
  <c r="O601" i="17"/>
  <c r="O526" i="17"/>
  <c r="O524" i="17"/>
  <c r="O15" i="17"/>
  <c r="O14" i="17"/>
  <c r="O22" i="17"/>
  <c r="O31" i="17"/>
  <c r="O35" i="17"/>
  <c r="O23" i="17"/>
  <c r="O36" i="17"/>
  <c r="O11" i="17"/>
  <c r="O40" i="17"/>
  <c r="O17" i="17"/>
  <c r="O18" i="17"/>
  <c r="O20" i="17"/>
  <c r="O38" i="17"/>
  <c r="O13" i="17"/>
  <c r="O12" i="17"/>
  <c r="O16" i="17"/>
  <c r="O21" i="17"/>
  <c r="O24" i="17"/>
  <c r="O9" i="17"/>
  <c r="O893" i="17"/>
  <c r="O32" i="17"/>
  <c r="O28" i="17"/>
  <c r="O902" i="17"/>
  <c r="O10" i="17"/>
  <c r="O37" i="17"/>
  <c r="O39" i="17"/>
  <c r="O29" i="17"/>
  <c r="O33" i="17"/>
  <c r="O26" i="17"/>
  <c r="O34" i="17"/>
  <c r="O30" i="17"/>
  <c r="O19" i="17"/>
  <c r="O25" i="17"/>
  <c r="O575" i="17"/>
  <c r="O587" i="17"/>
  <c r="O579" i="17"/>
  <c r="O576" i="17"/>
  <c r="O912" i="17"/>
  <c r="O889" i="17"/>
  <c r="O577" i="17"/>
  <c r="O582" i="17"/>
  <c r="O588" i="17"/>
  <c r="O928" i="17"/>
  <c r="O584" i="17"/>
  <c r="O581" i="17"/>
  <c r="O585" i="17"/>
  <c r="O888" i="17"/>
  <c r="O580" i="17"/>
  <c r="O70" i="17"/>
  <c r="O57" i="17"/>
  <c r="O44" i="17"/>
  <c r="O337" i="17"/>
  <c r="O336" i="17"/>
  <c r="O343" i="17"/>
  <c r="O359" i="17"/>
  <c r="O344" i="17"/>
  <c r="O361" i="17"/>
  <c r="O350" i="17"/>
  <c r="O341" i="17"/>
  <c r="O355" i="17"/>
  <c r="O358" i="17"/>
  <c r="O352" i="17"/>
  <c r="O351" i="17"/>
  <c r="O356" i="17"/>
  <c r="O342" i="17"/>
  <c r="O347" i="17"/>
  <c r="O360" i="17"/>
  <c r="O354" i="17"/>
  <c r="O339" i="17"/>
  <c r="O353" i="17"/>
  <c r="O346" i="17"/>
  <c r="O340" i="17"/>
  <c r="O348" i="17"/>
  <c r="O338" i="17"/>
  <c r="O345" i="17"/>
  <c r="O349" i="17"/>
  <c r="O357" i="17"/>
  <c r="O256" i="17"/>
  <c r="O257" i="17"/>
  <c r="O258" i="17"/>
  <c r="O255" i="17"/>
  <c r="O535" i="17"/>
  <c r="O536" i="17"/>
  <c r="O538" i="17"/>
  <c r="O539" i="17"/>
  <c r="O466" i="17"/>
  <c r="O467" i="17"/>
  <c r="O911" i="17"/>
  <c r="O883" i="17"/>
  <c r="O898" i="17"/>
  <c r="O914" i="17"/>
  <c r="O899" i="17"/>
  <c r="O913" i="17"/>
  <c r="O881" i="17"/>
  <c r="O882" i="17"/>
  <c r="O854" i="17"/>
  <c r="O860" i="17"/>
  <c r="O908" i="17"/>
  <c r="O804" i="17"/>
  <c r="O907" i="17"/>
  <c r="O530" i="17"/>
  <c r="O532" i="17"/>
  <c r="O531" i="17"/>
  <c r="O533" i="17"/>
  <c r="O529" i="17"/>
  <c r="O566" i="17"/>
  <c r="O567" i="17"/>
  <c r="O568" i="17"/>
  <c r="O565" i="17"/>
  <c r="O564" i="17"/>
  <c r="O569" i="17"/>
  <c r="O104" i="17"/>
  <c r="O85" i="17"/>
  <c r="O100" i="17"/>
  <c r="O81" i="17"/>
  <c r="O95" i="17"/>
  <c r="O92" i="17"/>
  <c r="O105" i="17"/>
  <c r="O94" i="17"/>
  <c r="O103" i="17"/>
  <c r="O84" i="17"/>
  <c r="O87" i="17"/>
  <c r="O98" i="17"/>
  <c r="O86" i="17"/>
  <c r="O877" i="17"/>
  <c r="O80" i="17"/>
  <c r="O96" i="17"/>
  <c r="O89" i="17"/>
  <c r="O79" i="17"/>
  <c r="O83" i="17"/>
  <c r="O88" i="17"/>
  <c r="O97" i="17"/>
  <c r="O82" i="17"/>
  <c r="O93" i="17"/>
  <c r="O90" i="17"/>
  <c r="O99" i="17"/>
  <c r="O102" i="17"/>
  <c r="O101" i="17"/>
  <c r="O91" i="17"/>
  <c r="O215" i="17"/>
  <c r="O220" i="17"/>
  <c r="O240" i="17"/>
  <c r="O243" i="17"/>
  <c r="O242" i="17"/>
  <c r="O217" i="17"/>
  <c r="O238" i="17"/>
  <c r="O222" i="17"/>
  <c r="O218" i="17"/>
  <c r="O219" i="17"/>
  <c r="O237" i="17"/>
  <c r="O214" i="17"/>
  <c r="O241" i="17"/>
  <c r="O221" i="17"/>
  <c r="O239" i="17"/>
  <c r="O419" i="17"/>
  <c r="O418" i="17"/>
  <c r="O416" i="17"/>
  <c r="O245" i="17"/>
  <c r="O246" i="17"/>
  <c r="O591" i="17"/>
  <c r="O597" i="17"/>
  <c r="O594" i="17"/>
  <c r="O589" i="17"/>
  <c r="O590" i="17"/>
  <c r="O598" i="17"/>
  <c r="O596" i="17"/>
  <c r="O595" i="17"/>
  <c r="O600" i="17"/>
  <c r="O599" i="17"/>
  <c r="O592" i="17"/>
  <c r="O593" i="17"/>
  <c r="O918" i="17"/>
  <c r="O919" i="17"/>
  <c r="O846" i="17"/>
  <c r="O839" i="17"/>
  <c r="O855" i="17"/>
  <c r="O847" i="17"/>
  <c r="O857" i="17"/>
  <c r="O837" i="17"/>
  <c r="O853" i="17"/>
  <c r="O852" i="17"/>
  <c r="O843" i="17"/>
  <c r="O844" i="17"/>
  <c r="O835" i="17"/>
  <c r="EM294" i="6"/>
  <c r="EZ294" i="6" s="1"/>
  <c r="DJ294" i="6" s="1"/>
  <c r="M95" i="22" s="1"/>
  <c r="EM282" i="6"/>
  <c r="EZ282" i="6" s="1"/>
  <c r="DJ282" i="6" s="1"/>
  <c r="EM278" i="6"/>
  <c r="EZ278" i="6" s="1"/>
  <c r="DJ278" i="6" s="1"/>
  <c r="EM277" i="6"/>
  <c r="EZ277" i="6" s="1"/>
  <c r="DJ277" i="6" s="1"/>
  <c r="M466" i="22" s="1"/>
  <c r="EM273" i="6"/>
  <c r="EZ273" i="6" s="1"/>
  <c r="DJ273" i="6" s="1"/>
  <c r="M381" i="22" s="1"/>
  <c r="EM261" i="6"/>
  <c r="EZ261" i="6" s="1"/>
  <c r="EM260" i="6"/>
  <c r="EZ260" i="6" s="1"/>
  <c r="DJ260" i="6" s="1"/>
  <c r="EM257" i="6"/>
  <c r="EZ257" i="6" s="1"/>
  <c r="DJ257" i="6" s="1"/>
  <c r="EM256" i="6"/>
  <c r="EZ256" i="6" s="1"/>
  <c r="DJ256" i="6" s="1"/>
  <c r="EM304" i="6"/>
  <c r="EZ304" i="6" s="1"/>
  <c r="DJ304" i="6" s="1"/>
  <c r="EM303" i="6"/>
  <c r="EZ303" i="6" s="1"/>
  <c r="DJ303" i="6" s="1"/>
  <c r="M635" i="22" s="1"/>
  <c r="EM297" i="6"/>
  <c r="EZ297" i="6" s="1"/>
  <c r="DJ297" i="6" s="1"/>
  <c r="EM289" i="6"/>
  <c r="EZ289" i="6" s="1"/>
  <c r="DJ289" i="6" s="1"/>
  <c r="EM283" i="6"/>
  <c r="EZ283" i="6" s="1"/>
  <c r="DJ283" i="6" s="1"/>
  <c r="EM281" i="6"/>
  <c r="EM272" i="6"/>
  <c r="EZ272" i="6" s="1"/>
  <c r="DJ272" i="6" s="1"/>
  <c r="M534" i="17" s="1"/>
  <c r="EM264" i="6"/>
  <c r="EZ264" i="6" s="1"/>
  <c r="DJ264" i="6" s="1"/>
  <c r="EM259" i="6"/>
  <c r="EZ259" i="6" s="1"/>
  <c r="DJ259" i="6" s="1"/>
  <c r="EM253" i="6"/>
  <c r="EZ253" i="6" s="1"/>
  <c r="DJ253" i="6" s="1"/>
  <c r="EM288" i="6"/>
  <c r="EZ288" i="6" s="1"/>
  <c r="DJ288" i="6" s="1"/>
  <c r="EM308" i="6"/>
  <c r="EZ308" i="6" s="1"/>
  <c r="DJ308" i="6" s="1"/>
  <c r="EM305" i="6"/>
  <c r="EZ305" i="6" s="1"/>
  <c r="DJ305" i="6" s="1"/>
  <c r="EM300" i="6"/>
  <c r="EZ300" i="6" s="1"/>
  <c r="DJ300" i="6" s="1"/>
  <c r="EM292" i="6"/>
  <c r="EZ292" i="6" s="1"/>
  <c r="DJ292" i="6" s="1"/>
  <c r="EM263" i="6"/>
  <c r="EZ263" i="6" s="1"/>
  <c r="DJ263" i="6" s="1"/>
  <c r="EM258" i="6"/>
  <c r="EZ258" i="6" s="1"/>
  <c r="DJ258" i="6" s="1"/>
  <c r="M932" i="17" s="1"/>
  <c r="EM307" i="6"/>
  <c r="EZ307" i="6" s="1"/>
  <c r="DJ307" i="6" s="1"/>
  <c r="EM302" i="6"/>
  <c r="EZ302" i="6" s="1"/>
  <c r="DJ302" i="6" s="1"/>
  <c r="EM299" i="6"/>
  <c r="EZ299" i="6" s="1"/>
  <c r="DJ299" i="6" s="1"/>
  <c r="EM293" i="6"/>
  <c r="EZ293" i="6" s="1"/>
  <c r="DJ293" i="6" s="1"/>
  <c r="M16" i="23" s="1"/>
  <c r="EM280" i="6"/>
  <c r="EM274" i="6"/>
  <c r="EZ274" i="6" s="1"/>
  <c r="DJ274" i="6" s="1"/>
  <c r="EM268" i="6"/>
  <c r="EZ268" i="6" s="1"/>
  <c r="DJ268" i="6" s="1"/>
  <c r="EM265" i="6"/>
  <c r="EZ265" i="6" s="1"/>
  <c r="DJ265" i="6" s="1"/>
  <c r="EM309" i="6"/>
  <c r="EZ309" i="6" s="1"/>
  <c r="DJ309" i="6" s="1"/>
  <c r="EM301" i="6"/>
  <c r="EZ301" i="6" s="1"/>
  <c r="DJ301" i="6" s="1"/>
  <c r="EM269" i="6"/>
  <c r="EZ269" i="6" s="1"/>
  <c r="DJ269" i="6" s="1"/>
  <c r="M523" i="17" s="1"/>
  <c r="EM252" i="6"/>
  <c r="EZ252" i="6" s="1"/>
  <c r="DJ252" i="6" s="1"/>
  <c r="EM296" i="6"/>
  <c r="EZ296" i="6" s="1"/>
  <c r="DJ296" i="6" s="1"/>
  <c r="EM290" i="6"/>
  <c r="EZ290" i="6" s="1"/>
  <c r="DJ290" i="6" s="1"/>
  <c r="EM270" i="6"/>
  <c r="EZ270" i="6" s="1"/>
  <c r="DJ270" i="6" s="1"/>
  <c r="M528" i="17" s="1"/>
  <c r="EM266" i="6"/>
  <c r="EZ266" i="6" s="1"/>
  <c r="DJ266" i="6" s="1"/>
  <c r="M527" i="17" s="1"/>
  <c r="EM262" i="6"/>
  <c r="EZ262" i="6" s="1"/>
  <c r="DJ262" i="6" s="1"/>
  <c r="EM306" i="6"/>
  <c r="EZ306" i="6" s="1"/>
  <c r="DJ306" i="6" s="1"/>
  <c r="EM298" i="6"/>
  <c r="EZ298" i="6" s="1"/>
  <c r="DJ298" i="6" s="1"/>
  <c r="EM295" i="6"/>
  <c r="EZ295" i="6" s="1"/>
  <c r="DJ295" i="6" s="1"/>
  <c r="EM291" i="6"/>
  <c r="EZ291" i="6" s="1"/>
  <c r="DJ291" i="6" s="1"/>
  <c r="EM276" i="6"/>
  <c r="EZ276" i="6" s="1"/>
  <c r="DJ276" i="6" s="1"/>
  <c r="EM275" i="6"/>
  <c r="EZ275" i="6" s="1"/>
  <c r="DJ275" i="6" s="1"/>
  <c r="EM271" i="6"/>
  <c r="EZ271" i="6" s="1"/>
  <c r="DJ271" i="6" s="1"/>
  <c r="EM251" i="6"/>
  <c r="EZ251" i="6" s="1"/>
  <c r="DJ251" i="6" s="1"/>
  <c r="EM225" i="6"/>
  <c r="EZ225" i="6" s="1"/>
  <c r="DJ225" i="6" s="1"/>
  <c r="EM221" i="6"/>
  <c r="EZ221" i="6" s="1"/>
  <c r="DJ221" i="6" s="1"/>
  <c r="EM249" i="6"/>
  <c r="EZ249" i="6" s="1"/>
  <c r="DJ249" i="6" s="1"/>
  <c r="EM240" i="6"/>
  <c r="EZ240" i="6" s="1"/>
  <c r="DJ240" i="6" s="1"/>
  <c r="EM237" i="6"/>
  <c r="EZ237" i="6" s="1"/>
  <c r="DJ237" i="6" s="1"/>
  <c r="M807" i="17" s="1"/>
  <c r="EM226" i="6"/>
  <c r="EZ226" i="6" s="1"/>
  <c r="DJ226" i="6" s="1"/>
  <c r="M777" i="17" s="1"/>
  <c r="EM222" i="6"/>
  <c r="EZ222" i="6" s="1"/>
  <c r="DJ222" i="6" s="1"/>
  <c r="EM220" i="6"/>
  <c r="EZ220" i="6" s="1"/>
  <c r="DJ220" i="6" s="1"/>
  <c r="EM245" i="6"/>
  <c r="EZ245" i="6" s="1"/>
  <c r="DJ245" i="6" s="1"/>
  <c r="EM232" i="6"/>
  <c r="EZ232" i="6" s="1"/>
  <c r="DJ232" i="6" s="1"/>
  <c r="EM246" i="6"/>
  <c r="EZ246" i="6" s="1"/>
  <c r="DJ246" i="6" s="1"/>
  <c r="M758" i="22" s="1"/>
  <c r="EM255" i="6"/>
  <c r="EZ255" i="6" s="1"/>
  <c r="DJ255" i="6" s="1"/>
  <c r="EM244" i="6"/>
  <c r="EZ244" i="6" s="1"/>
  <c r="DJ244" i="6" s="1"/>
  <c r="EM242" i="6"/>
  <c r="EZ242" i="6" s="1"/>
  <c r="DJ242" i="6" s="1"/>
  <c r="EM236" i="6"/>
  <c r="EZ236" i="6" s="1"/>
  <c r="DJ236" i="6" s="1"/>
  <c r="EM235" i="6"/>
  <c r="EZ235" i="6" s="1"/>
  <c r="DJ235" i="6" s="1"/>
  <c r="M348" i="23" s="1"/>
  <c r="EM234" i="6"/>
  <c r="EZ234" i="6" s="1"/>
  <c r="DJ234" i="6" s="1"/>
  <c r="M866" i="22" s="1"/>
  <c r="EM231" i="6"/>
  <c r="EZ231" i="6" s="1"/>
  <c r="DJ231" i="6" s="1"/>
  <c r="M322" i="23" s="1"/>
  <c r="EM223" i="6"/>
  <c r="EZ223" i="6" s="1"/>
  <c r="DJ223" i="6" s="1"/>
  <c r="EM219" i="6"/>
  <c r="EZ219" i="6" s="1"/>
  <c r="DJ219" i="6" s="1"/>
  <c r="EM218" i="6"/>
  <c r="EZ218" i="6" s="1"/>
  <c r="DJ218" i="6" s="1"/>
  <c r="EM250" i="6"/>
  <c r="EZ250" i="6" s="1"/>
  <c r="DJ250" i="6" s="1"/>
  <c r="EM238" i="6"/>
  <c r="EZ238" i="6" s="1"/>
  <c r="DJ238" i="6" s="1"/>
  <c r="EM224" i="6"/>
  <c r="EZ224" i="6" s="1"/>
  <c r="DJ224" i="6" s="1"/>
  <c r="M779" i="17" s="1"/>
  <c r="EM205" i="6"/>
  <c r="EZ205" i="6" s="1"/>
  <c r="DJ205" i="6" s="1"/>
  <c r="M318" i="23" s="1"/>
  <c r="EM202" i="6"/>
  <c r="EZ202" i="6" s="1"/>
  <c r="DJ202" i="6" s="1"/>
  <c r="EM200" i="6"/>
  <c r="EZ200" i="6" s="1"/>
  <c r="DJ200" i="6" s="1"/>
  <c r="EM192" i="6"/>
  <c r="EZ192" i="6" s="1"/>
  <c r="DJ192" i="6" s="1"/>
  <c r="M785" i="22" s="1"/>
  <c r="EM243" i="6"/>
  <c r="EZ243" i="6" s="1"/>
  <c r="DJ243" i="6" s="1"/>
  <c r="EM190" i="6"/>
  <c r="EZ190" i="6" s="1"/>
  <c r="DJ190" i="6" s="1"/>
  <c r="EM248" i="6"/>
  <c r="EZ248" i="6" s="1"/>
  <c r="DJ248" i="6" s="1"/>
  <c r="M847" i="22" s="1"/>
  <c r="EM233" i="6"/>
  <c r="EZ233" i="6" s="1"/>
  <c r="DJ233" i="6" s="1"/>
  <c r="EM211" i="6"/>
  <c r="EZ211" i="6" s="1"/>
  <c r="DJ211" i="6" s="1"/>
  <c r="EM204" i="6"/>
  <c r="EZ204" i="6" s="1"/>
  <c r="DJ204" i="6" s="1"/>
  <c r="EM206" i="6"/>
  <c r="EZ206" i="6" s="1"/>
  <c r="DJ206" i="6" s="1"/>
  <c r="EM199" i="6"/>
  <c r="EZ199" i="6" s="1"/>
  <c r="DJ199" i="6" s="1"/>
  <c r="EM254" i="6"/>
  <c r="EZ254" i="6" s="1"/>
  <c r="DJ254" i="6" s="1"/>
  <c r="EM227" i="6"/>
  <c r="EZ227" i="6" s="1"/>
  <c r="DJ227" i="6" s="1"/>
  <c r="EM207" i="6"/>
  <c r="EZ207" i="6" s="1"/>
  <c r="DJ207" i="6" s="1"/>
  <c r="M930" i="17" s="1"/>
  <c r="EM198" i="6"/>
  <c r="EZ198" i="6" s="1"/>
  <c r="DJ198" i="6" s="1"/>
  <c r="M780" i="22" s="1"/>
  <c r="EM194" i="6"/>
  <c r="EZ194" i="6" s="1"/>
  <c r="DJ194" i="6" s="1"/>
  <c r="EM193" i="6"/>
  <c r="EZ193" i="6" s="1"/>
  <c r="DJ193" i="6" s="1"/>
  <c r="EM184" i="6"/>
  <c r="EZ184" i="6" s="1"/>
  <c r="DJ184" i="6" s="1"/>
  <c r="M353" i="23" s="1"/>
  <c r="EM267" i="6"/>
  <c r="EZ267" i="6" s="1"/>
  <c r="DJ267" i="6" s="1"/>
  <c r="EM239" i="6"/>
  <c r="EZ239" i="6" s="1"/>
  <c r="DJ239" i="6" s="1"/>
  <c r="M795" i="17" s="1"/>
  <c r="EM230" i="6"/>
  <c r="EZ230" i="6" s="1"/>
  <c r="DJ230" i="6" s="1"/>
  <c r="M325" i="23" s="1"/>
  <c r="EM229" i="6"/>
  <c r="EZ229" i="6" s="1"/>
  <c r="DJ229" i="6" s="1"/>
  <c r="EM210" i="6"/>
  <c r="EZ210" i="6" s="1"/>
  <c r="DJ210" i="6" s="1"/>
  <c r="EM208" i="6"/>
  <c r="EZ208" i="6" s="1"/>
  <c r="DJ208" i="6" s="1"/>
  <c r="EM241" i="6"/>
  <c r="EZ241" i="6" s="1"/>
  <c r="DJ241" i="6" s="1"/>
  <c r="M791" i="17" s="1"/>
  <c r="EM201" i="6"/>
  <c r="EZ201" i="6" s="1"/>
  <c r="DJ201" i="6" s="1"/>
  <c r="EM191" i="6"/>
  <c r="EZ191" i="6" s="1"/>
  <c r="DJ191" i="6" s="1"/>
  <c r="EM186" i="6"/>
  <c r="EZ186" i="6" s="1"/>
  <c r="DJ186" i="6" s="1"/>
  <c r="EM247" i="6"/>
  <c r="EZ247" i="6" s="1"/>
  <c r="DJ247" i="6" s="1"/>
  <c r="M846" i="22" s="1"/>
  <c r="EM228" i="6"/>
  <c r="EZ228" i="6" s="1"/>
  <c r="DJ228" i="6" s="1"/>
  <c r="EM212" i="6"/>
  <c r="EZ212" i="6" s="1"/>
  <c r="DJ212" i="6" s="1"/>
  <c r="EM209" i="6"/>
  <c r="EZ209" i="6" s="1"/>
  <c r="DJ209" i="6" s="1"/>
  <c r="M539" i="22" s="1"/>
  <c r="EM203" i="6"/>
  <c r="EZ203" i="6" s="1"/>
  <c r="DJ203" i="6" s="1"/>
  <c r="EM197" i="6"/>
  <c r="EZ197" i="6" s="1"/>
  <c r="DJ197" i="6" s="1"/>
  <c r="M825" i="22" s="1"/>
  <c r="EM196" i="6"/>
  <c r="EZ196" i="6" s="1"/>
  <c r="EM188" i="6"/>
  <c r="EZ188" i="6" s="1"/>
  <c r="DJ188" i="6" s="1"/>
  <c r="M839" i="22" s="1"/>
  <c r="EM187" i="6"/>
  <c r="EZ187" i="6" s="1"/>
  <c r="DJ187" i="6" s="1"/>
  <c r="M828" i="22" s="1"/>
  <c r="EM185" i="6"/>
  <c r="EZ185" i="6" s="1"/>
  <c r="DJ185" i="6" s="1"/>
  <c r="M783" i="22" s="1"/>
  <c r="EM179" i="6"/>
  <c r="EZ179" i="6" s="1"/>
  <c r="DJ179" i="6" s="1"/>
  <c r="M826" i="22" s="1"/>
  <c r="EM174" i="6"/>
  <c r="EZ174" i="6" s="1"/>
  <c r="DJ174" i="6" s="1"/>
  <c r="M926" i="17" s="1"/>
  <c r="EM167" i="6"/>
  <c r="EZ167" i="6" s="1"/>
  <c r="DJ167" i="6" s="1"/>
  <c r="M836" i="22" s="1"/>
  <c r="EM166" i="6"/>
  <c r="EZ166" i="6" s="1"/>
  <c r="DJ166" i="6" s="1"/>
  <c r="M824" i="22" s="1"/>
  <c r="EM162" i="6"/>
  <c r="EZ162" i="6" s="1"/>
  <c r="DJ162" i="6" s="1"/>
  <c r="M358" i="23" s="1"/>
  <c r="EM161" i="6"/>
  <c r="EZ161" i="6" s="1"/>
  <c r="DJ161" i="6" s="1"/>
  <c r="EM155" i="6"/>
  <c r="EZ155" i="6" s="1"/>
  <c r="DJ155" i="6" s="1"/>
  <c r="M923" i="17" s="1"/>
  <c r="EM150" i="6"/>
  <c r="EZ150" i="6" s="1"/>
  <c r="DJ150" i="6" s="1"/>
  <c r="M909" i="17" s="1"/>
  <c r="EM148" i="6"/>
  <c r="EZ148" i="6" s="1"/>
  <c r="DJ148" i="6" s="1"/>
  <c r="EM137" i="6"/>
  <c r="EZ137" i="6" s="1"/>
  <c r="DJ137" i="6" s="1"/>
  <c r="EM135" i="6"/>
  <c r="EZ135" i="6" s="1"/>
  <c r="DJ135" i="6" s="1"/>
  <c r="EM132" i="6"/>
  <c r="EZ132" i="6" s="1"/>
  <c r="DJ132" i="6" s="1"/>
  <c r="M150" i="23" s="1"/>
  <c r="EM175" i="6"/>
  <c r="EZ175" i="6" s="1"/>
  <c r="DJ175" i="6" s="1"/>
  <c r="EM173" i="6"/>
  <c r="EZ173" i="6" s="1"/>
  <c r="DJ173" i="6" s="1"/>
  <c r="M829" i="22" s="1"/>
  <c r="EM164" i="6"/>
  <c r="EZ164" i="6" s="1"/>
  <c r="DJ164" i="6" s="1"/>
  <c r="EM183" i="6"/>
  <c r="EZ183" i="6" s="1"/>
  <c r="DJ183" i="6" s="1"/>
  <c r="EM181" i="6"/>
  <c r="EZ181" i="6" s="1"/>
  <c r="DJ181" i="6" s="1"/>
  <c r="M370" i="23" s="1"/>
  <c r="EM170" i="6"/>
  <c r="EZ170" i="6" s="1"/>
  <c r="DJ170" i="6" s="1"/>
  <c r="M359" i="23" s="1"/>
  <c r="EM156" i="6"/>
  <c r="EZ156" i="6" s="1"/>
  <c r="DJ156" i="6" s="1"/>
  <c r="EM152" i="6"/>
  <c r="EZ152" i="6" s="1"/>
  <c r="DJ152" i="6" s="1"/>
  <c r="EM151" i="6"/>
  <c r="EZ151" i="6" s="1"/>
  <c r="DJ151" i="6" s="1"/>
  <c r="M299" i="23" s="1"/>
  <c r="EM149" i="6"/>
  <c r="EZ149" i="6" s="1"/>
  <c r="DJ149" i="6" s="1"/>
  <c r="EM189" i="6"/>
  <c r="EZ189" i="6" s="1"/>
  <c r="DJ189" i="6" s="1"/>
  <c r="M878" i="17" s="1"/>
  <c r="EM182" i="6"/>
  <c r="EZ182" i="6" s="1"/>
  <c r="DJ182" i="6" s="1"/>
  <c r="M838" i="22" s="1"/>
  <c r="EM177" i="6"/>
  <c r="EZ177" i="6" s="1"/>
  <c r="DJ177" i="6" s="1"/>
  <c r="M835" i="22" s="1"/>
  <c r="EM168" i="6"/>
  <c r="EZ168" i="6" s="1"/>
  <c r="DJ168" i="6" s="1"/>
  <c r="M837" i="22" s="1"/>
  <c r="EM163" i="6"/>
  <c r="EZ163" i="6" s="1"/>
  <c r="DJ163" i="6" s="1"/>
  <c r="M355" i="23" s="1"/>
  <c r="EM157" i="6"/>
  <c r="EZ157" i="6" s="1"/>
  <c r="DJ157" i="6" s="1"/>
  <c r="EM153" i="6"/>
  <c r="EZ153" i="6" s="1"/>
  <c r="DJ153" i="6" s="1"/>
  <c r="EM145" i="6"/>
  <c r="EZ145" i="6" s="1"/>
  <c r="DJ145" i="6" s="1"/>
  <c r="EM143" i="6"/>
  <c r="EZ143" i="6" s="1"/>
  <c r="DJ143" i="6" s="1"/>
  <c r="M463" i="17" s="1"/>
  <c r="EM140" i="6"/>
  <c r="EZ140" i="6" s="1"/>
  <c r="DJ140" i="6" s="1"/>
  <c r="EM171" i="6"/>
  <c r="EZ171" i="6" s="1"/>
  <c r="DJ171" i="6" s="1"/>
  <c r="M367" i="23" s="1"/>
  <c r="EM169" i="6"/>
  <c r="EZ169" i="6" s="1"/>
  <c r="DJ169" i="6" s="1"/>
  <c r="M921" i="17" s="1"/>
  <c r="EM159" i="6"/>
  <c r="EZ159" i="6" s="1"/>
  <c r="DJ159" i="6" s="1"/>
  <c r="M915" i="17" s="1"/>
  <c r="EM133" i="6"/>
  <c r="EZ133" i="6" s="1"/>
  <c r="DJ133" i="6" s="1"/>
  <c r="EM178" i="6"/>
  <c r="EZ178" i="6" s="1"/>
  <c r="DJ178" i="6" s="1"/>
  <c r="M827" i="22" s="1"/>
  <c r="EM158" i="6"/>
  <c r="EZ158" i="6" s="1"/>
  <c r="DJ158" i="6" s="1"/>
  <c r="M892" i="17" s="1"/>
  <c r="EM141" i="6"/>
  <c r="EZ141" i="6" s="1"/>
  <c r="DJ141" i="6" s="1"/>
  <c r="EM136" i="6"/>
  <c r="EZ136" i="6" s="1"/>
  <c r="DJ136" i="6" s="1"/>
  <c r="M157" i="23" s="1"/>
  <c r="EM180" i="6"/>
  <c r="EZ180" i="6" s="1"/>
  <c r="DJ180" i="6" s="1"/>
  <c r="M369" i="23" s="1"/>
  <c r="EM176" i="6"/>
  <c r="EZ176" i="6" s="1"/>
  <c r="DJ176" i="6" s="1"/>
  <c r="M834" i="22" s="1"/>
  <c r="EM172" i="6"/>
  <c r="EZ172" i="6" s="1"/>
  <c r="DJ172" i="6" s="1"/>
  <c r="M368" i="23" s="1"/>
  <c r="EM165" i="6"/>
  <c r="EZ165" i="6" s="1"/>
  <c r="DJ165" i="6" s="1"/>
  <c r="M360" i="23" s="1"/>
  <c r="EM160" i="6"/>
  <c r="EZ160" i="6" s="1"/>
  <c r="DJ160" i="6" s="1"/>
  <c r="EM154" i="6"/>
  <c r="EZ154" i="6" s="1"/>
  <c r="DJ154" i="6" s="1"/>
  <c r="M249" i="23" s="1"/>
  <c r="EM147" i="6"/>
  <c r="EZ147" i="6" s="1"/>
  <c r="DJ147" i="6" s="1"/>
  <c r="EM134" i="6"/>
  <c r="EZ134" i="6" s="1"/>
  <c r="DJ134" i="6" s="1"/>
  <c r="EM131" i="6"/>
  <c r="EZ131" i="6" s="1"/>
  <c r="DJ131" i="6" s="1"/>
  <c r="EM128" i="6"/>
  <c r="EZ128" i="6" s="1"/>
  <c r="DJ128" i="6" s="1"/>
  <c r="EM109" i="6"/>
  <c r="EZ109" i="6" s="1"/>
  <c r="DJ109" i="6" s="1"/>
  <c r="M179" i="23" s="1"/>
  <c r="EM99" i="6"/>
  <c r="EZ99" i="6" s="1"/>
  <c r="DJ99" i="6" s="1"/>
  <c r="M301" i="22" s="1"/>
  <c r="EM97" i="6"/>
  <c r="EZ97" i="6" s="1"/>
  <c r="DJ97" i="6" s="1"/>
  <c r="EM126" i="6"/>
  <c r="EZ126" i="6" s="1"/>
  <c r="DJ126" i="6" s="1"/>
  <c r="EM122" i="6"/>
  <c r="EZ122" i="6" s="1"/>
  <c r="DJ122" i="6" s="1"/>
  <c r="M245" i="23" s="1"/>
  <c r="EM91" i="6"/>
  <c r="EZ91" i="6" s="1"/>
  <c r="DJ91" i="6" s="1"/>
  <c r="M94" i="23" s="1"/>
  <c r="EM142" i="6"/>
  <c r="EZ142" i="6" s="1"/>
  <c r="DJ142" i="6" s="1"/>
  <c r="EM139" i="6"/>
  <c r="EZ139" i="6" s="1"/>
  <c r="DJ139" i="6" s="1"/>
  <c r="EM130" i="6"/>
  <c r="EZ130" i="6" s="1"/>
  <c r="DJ130" i="6" s="1"/>
  <c r="EM125" i="6"/>
  <c r="EZ125" i="6" s="1"/>
  <c r="DJ125" i="6" s="1"/>
  <c r="M403" i="22" s="1"/>
  <c r="EM118" i="6"/>
  <c r="EZ118" i="6" s="1"/>
  <c r="DJ118" i="6" s="1"/>
  <c r="EM117" i="6"/>
  <c r="EZ117" i="6" s="1"/>
  <c r="DJ117" i="6" s="1"/>
  <c r="M248" i="23" s="1"/>
  <c r="EM113" i="6"/>
  <c r="EZ113" i="6" s="1"/>
  <c r="DJ113" i="6" s="1"/>
  <c r="EM111" i="6"/>
  <c r="EZ111" i="6" s="1"/>
  <c r="DJ111" i="6" s="1"/>
  <c r="EM100" i="6"/>
  <c r="EZ100" i="6" s="1"/>
  <c r="DJ100" i="6" s="1"/>
  <c r="M78" i="23" s="1"/>
  <c r="EM98" i="6"/>
  <c r="EZ98" i="6" s="1"/>
  <c r="DJ98" i="6" s="1"/>
  <c r="M106" i="23" s="1"/>
  <c r="EM119" i="6"/>
  <c r="EZ119" i="6" s="1"/>
  <c r="DJ119" i="6" s="1"/>
  <c r="EM110" i="6"/>
  <c r="EZ110" i="6" s="1"/>
  <c r="DJ110" i="6" s="1"/>
  <c r="EM106" i="6"/>
  <c r="EZ106" i="6" s="1"/>
  <c r="DJ106" i="6" s="1"/>
  <c r="EM96" i="6"/>
  <c r="EZ96" i="6" s="1"/>
  <c r="DJ96" i="6" s="1"/>
  <c r="EM92" i="6"/>
  <c r="EZ92" i="6" s="1"/>
  <c r="DJ92" i="6" s="1"/>
  <c r="EM82" i="6"/>
  <c r="EZ82" i="6" s="1"/>
  <c r="DJ82" i="6" s="1"/>
  <c r="EM138" i="6"/>
  <c r="EZ138" i="6" s="1"/>
  <c r="DJ138" i="6" s="1"/>
  <c r="M143" i="23" s="1"/>
  <c r="EM129" i="6"/>
  <c r="EZ129" i="6" s="1"/>
  <c r="DJ129" i="6" s="1"/>
  <c r="EM124" i="6"/>
  <c r="EZ124" i="6" s="1"/>
  <c r="DJ124" i="6" s="1"/>
  <c r="M903" i="17" s="1"/>
  <c r="EM105" i="6"/>
  <c r="EZ105" i="6" s="1"/>
  <c r="DJ105" i="6" s="1"/>
  <c r="EM93" i="6"/>
  <c r="EZ93" i="6" s="1"/>
  <c r="DJ93" i="6" s="1"/>
  <c r="EM116" i="6"/>
  <c r="EZ116" i="6" s="1"/>
  <c r="DJ116" i="6" s="1"/>
  <c r="EM103" i="6"/>
  <c r="EZ103" i="6" s="1"/>
  <c r="DJ103" i="6" s="1"/>
  <c r="M24" i="23" s="1"/>
  <c r="EM144" i="6"/>
  <c r="EZ144" i="6" s="1"/>
  <c r="DJ144" i="6" s="1"/>
  <c r="EM127" i="6"/>
  <c r="EZ127" i="6" s="1"/>
  <c r="DJ127" i="6" s="1"/>
  <c r="M775" i="22" s="1"/>
  <c r="EM123" i="6"/>
  <c r="EZ123" i="6" s="1"/>
  <c r="DJ123" i="6" s="1"/>
  <c r="M876" i="17" s="1"/>
  <c r="EM121" i="6"/>
  <c r="EZ121" i="6" s="1"/>
  <c r="DJ121" i="6" s="1"/>
  <c r="EM112" i="6"/>
  <c r="EZ112" i="6" s="1"/>
  <c r="DJ112" i="6" s="1"/>
  <c r="EM108" i="6"/>
  <c r="EZ108" i="6" s="1"/>
  <c r="DJ108" i="6" s="1"/>
  <c r="EM101" i="6"/>
  <c r="EZ101" i="6" s="1"/>
  <c r="DJ101" i="6" s="1"/>
  <c r="M302" i="22" s="1"/>
  <c r="EM95" i="6"/>
  <c r="EZ95" i="6" s="1"/>
  <c r="DJ95" i="6" s="1"/>
  <c r="EM94" i="6"/>
  <c r="EZ94" i="6" s="1"/>
  <c r="DJ94" i="6" s="1"/>
  <c r="EM89" i="6"/>
  <c r="EZ89" i="6" s="1"/>
  <c r="DJ89" i="6" s="1"/>
  <c r="EM88" i="6"/>
  <c r="EZ88" i="6" s="1"/>
  <c r="DJ88" i="6" s="1"/>
  <c r="M93" i="23" s="1"/>
  <c r="EM83" i="6"/>
  <c r="EZ83" i="6" s="1"/>
  <c r="DJ83" i="6" s="1"/>
  <c r="EM120" i="6"/>
  <c r="EZ120" i="6" s="1"/>
  <c r="DJ120" i="6" s="1"/>
  <c r="EM115" i="6"/>
  <c r="EZ115" i="6" s="1"/>
  <c r="DJ115" i="6" s="1"/>
  <c r="EM114" i="6"/>
  <c r="EZ114" i="6" s="1"/>
  <c r="DJ114" i="6" s="1"/>
  <c r="M186" i="23" s="1"/>
  <c r="EM107" i="6"/>
  <c r="EZ107" i="6" s="1"/>
  <c r="DJ107" i="6" s="1"/>
  <c r="M356" i="22" s="1"/>
  <c r="EM104" i="6"/>
  <c r="EZ104" i="6" s="1"/>
  <c r="DJ104" i="6" s="1"/>
  <c r="M25" i="23" s="1"/>
  <c r="EM90" i="6"/>
  <c r="EZ90" i="6" s="1"/>
  <c r="DJ90" i="6" s="1"/>
  <c r="EM72" i="6"/>
  <c r="EZ72" i="6" s="1"/>
  <c r="DJ72" i="6" s="1"/>
  <c r="EM70" i="6"/>
  <c r="EZ70" i="6" s="1"/>
  <c r="DJ70" i="6" s="1"/>
  <c r="EM62" i="6"/>
  <c r="EZ62" i="6" s="1"/>
  <c r="DJ62" i="6" s="1"/>
  <c r="EM58" i="6"/>
  <c r="EZ58" i="6" s="1"/>
  <c r="DJ58" i="6" s="1"/>
  <c r="EM54" i="6"/>
  <c r="EZ54" i="6" s="1"/>
  <c r="DJ54" i="6" s="1"/>
  <c r="EM50" i="6"/>
  <c r="EZ50" i="6" s="1"/>
  <c r="DJ50" i="6" s="1"/>
  <c r="EM31" i="6"/>
  <c r="EZ31" i="6" s="1"/>
  <c r="DJ31" i="6" s="1"/>
  <c r="EM30" i="6"/>
  <c r="EZ30" i="6" s="1"/>
  <c r="DJ30" i="6" s="1"/>
  <c r="EM68" i="6"/>
  <c r="EZ68" i="6" s="1"/>
  <c r="DJ68" i="6" s="1"/>
  <c r="EM60" i="6"/>
  <c r="EZ60" i="6" s="1"/>
  <c r="DJ60" i="6" s="1"/>
  <c r="M23" i="23" s="1"/>
  <c r="EM59" i="6"/>
  <c r="EZ59" i="6" s="1"/>
  <c r="DJ59" i="6" s="1"/>
  <c r="EM55" i="6"/>
  <c r="EZ55" i="6" s="1"/>
  <c r="DJ55" i="6" s="1"/>
  <c r="EM44" i="6"/>
  <c r="EZ44" i="6" s="1"/>
  <c r="DJ44" i="6" s="1"/>
  <c r="M17" i="23" s="1"/>
  <c r="EM43" i="6"/>
  <c r="EZ43" i="6" s="1"/>
  <c r="DJ43" i="6" s="1"/>
  <c r="EM84" i="6"/>
  <c r="EZ84" i="6" s="1"/>
  <c r="DJ84" i="6" s="1"/>
  <c r="M414" i="17" s="1"/>
  <c r="EM78" i="6"/>
  <c r="EZ78" i="6" s="1"/>
  <c r="DJ78" i="6" s="1"/>
  <c r="EM45" i="6"/>
  <c r="EZ45" i="6" s="1"/>
  <c r="DJ45" i="6" s="1"/>
  <c r="EM85" i="6"/>
  <c r="EZ85" i="6" s="1"/>
  <c r="DJ85" i="6" s="1"/>
  <c r="M417" i="17" s="1"/>
  <c r="EM66" i="6"/>
  <c r="EZ66" i="6" s="1"/>
  <c r="DJ66" i="6" s="1"/>
  <c r="EM65" i="6"/>
  <c r="EZ65" i="6" s="1"/>
  <c r="DJ65" i="6" s="1"/>
  <c r="M295" i="17" s="1"/>
  <c r="EM61" i="6"/>
  <c r="EZ61" i="6" s="1"/>
  <c r="DJ61" i="6" s="1"/>
  <c r="EM56" i="6"/>
  <c r="EZ56" i="6" s="1"/>
  <c r="DJ56" i="6" s="1"/>
  <c r="EM51" i="6"/>
  <c r="EZ51" i="6" s="1"/>
  <c r="DJ51" i="6" s="1"/>
  <c r="M199" i="17" s="1"/>
  <c r="EM48" i="6"/>
  <c r="EZ48" i="6" s="1"/>
  <c r="DJ48" i="6" s="1"/>
  <c r="EM63" i="6"/>
  <c r="EZ63" i="6" s="1"/>
  <c r="DJ63" i="6" s="1"/>
  <c r="M48" i="23" s="1"/>
  <c r="EM57" i="6"/>
  <c r="EZ57" i="6" s="1"/>
  <c r="DJ57" i="6" s="1"/>
  <c r="EM47" i="6"/>
  <c r="EZ47" i="6" s="1"/>
  <c r="DJ47" i="6" s="1"/>
  <c r="M20" i="23" s="1"/>
  <c r="EM29" i="6"/>
  <c r="EZ29" i="6" s="1"/>
  <c r="DJ29" i="6" s="1"/>
  <c r="EM26" i="6"/>
  <c r="EZ26" i="6" s="1"/>
  <c r="DJ26" i="6" s="1"/>
  <c r="EM23" i="6"/>
  <c r="EZ23" i="6" s="1"/>
  <c r="DJ23" i="6" s="1"/>
  <c r="EM32" i="6"/>
  <c r="EZ32" i="6" s="1"/>
  <c r="DJ32" i="6" s="1"/>
  <c r="EM79" i="6"/>
  <c r="EZ79" i="6" s="1"/>
  <c r="DJ79" i="6" s="1"/>
  <c r="M290" i="22" s="1"/>
  <c r="EM71" i="6"/>
  <c r="EZ71" i="6" s="1"/>
  <c r="DJ71" i="6" s="1"/>
  <c r="EM69" i="6"/>
  <c r="EZ69" i="6" s="1"/>
  <c r="DJ69" i="6" s="1"/>
  <c r="EM64" i="6"/>
  <c r="EZ64" i="6" s="1"/>
  <c r="DJ64" i="6" s="1"/>
  <c r="EM49" i="6"/>
  <c r="EZ49" i="6" s="1"/>
  <c r="DJ49" i="6" s="1"/>
  <c r="EM77" i="6"/>
  <c r="EZ77" i="6" s="1"/>
  <c r="DJ77" i="6" s="1"/>
  <c r="EM67" i="6"/>
  <c r="EZ67" i="6" s="1"/>
  <c r="DJ67" i="6" s="1"/>
  <c r="EM53" i="6"/>
  <c r="EZ53" i="6" s="1"/>
  <c r="DJ53" i="6" s="1"/>
  <c r="EM46" i="6"/>
  <c r="EZ46" i="6" s="1"/>
  <c r="DJ46" i="6" s="1"/>
  <c r="EM41" i="6"/>
  <c r="EZ41" i="6" s="1"/>
  <c r="DJ41" i="6" s="1"/>
  <c r="EM28" i="6"/>
  <c r="EZ28" i="6" s="1"/>
  <c r="DJ28" i="6" s="1"/>
  <c r="EM27" i="6"/>
  <c r="EZ27" i="6" s="1"/>
  <c r="DJ27" i="6" s="1"/>
  <c r="EM24" i="6"/>
  <c r="EZ24" i="6" s="1"/>
  <c r="DJ24" i="6" s="1"/>
  <c r="EM22" i="6"/>
  <c r="EZ22" i="6" s="1"/>
  <c r="DJ22" i="6" s="1"/>
  <c r="M874" i="17" s="1"/>
  <c r="EM20" i="6"/>
  <c r="EZ20" i="6" s="1"/>
  <c r="DJ20" i="6" s="1"/>
  <c r="M784" i="22" s="1"/>
  <c r="EM25" i="6"/>
  <c r="EZ25" i="6" s="1"/>
  <c r="DJ25" i="6" s="1"/>
  <c r="M78" i="17" s="1"/>
  <c r="EM16" i="6"/>
  <c r="EZ16" i="6" s="1"/>
  <c r="DJ16" i="6" s="1"/>
  <c r="EM19" i="6"/>
  <c r="EZ19" i="6" s="1"/>
  <c r="DJ19" i="6" s="1"/>
  <c r="EM21" i="6"/>
  <c r="EZ21" i="6" s="1"/>
  <c r="DJ21" i="6" s="1"/>
  <c r="EM18" i="6"/>
  <c r="EZ18" i="6" s="1"/>
  <c r="DJ18" i="6" s="1"/>
  <c r="EM17" i="6"/>
  <c r="EZ17" i="6" s="1"/>
  <c r="DJ17" i="6" s="1"/>
  <c r="O8" i="22"/>
  <c r="O8" i="23"/>
  <c r="M80" i="23" l="1"/>
  <c r="M87" i="23"/>
  <c r="M88" i="23"/>
  <c r="M79" i="23"/>
  <c r="M82" i="23"/>
  <c r="M89" i="23"/>
  <c r="M90" i="23"/>
  <c r="M86" i="23"/>
  <c r="M91" i="23"/>
  <c r="M85" i="23"/>
  <c r="M84" i="23"/>
  <c r="M81" i="23"/>
  <c r="M83" i="23"/>
  <c r="M92" i="23"/>
  <c r="M283" i="23"/>
  <c r="M291" i="23"/>
  <c r="M286" i="23"/>
  <c r="M294" i="23"/>
  <c r="M295" i="23"/>
  <c r="M296" i="23"/>
  <c r="M284" i="23"/>
  <c r="M292" i="23"/>
  <c r="M288" i="23"/>
  <c r="M290" i="23"/>
  <c r="M298" i="23"/>
  <c r="M287" i="23"/>
  <c r="M293" i="23"/>
  <c r="M289" i="23"/>
  <c r="M282" i="23"/>
  <c r="M285" i="23"/>
  <c r="M297" i="23"/>
  <c r="M315" i="23"/>
  <c r="M311" i="23"/>
  <c r="M313" i="23"/>
  <c r="M316" i="23"/>
  <c r="M127" i="23"/>
  <c r="M131" i="23"/>
  <c r="M132" i="23"/>
  <c r="M126" i="23"/>
  <c r="M128" i="23"/>
  <c r="M130" i="23"/>
  <c r="M35" i="23"/>
  <c r="M42" i="23"/>
  <c r="M40" i="23"/>
  <c r="M38" i="23"/>
  <c r="M241" i="23"/>
  <c r="M237" i="23"/>
  <c r="M242" i="23"/>
  <c r="M238" i="23"/>
  <c r="M235" i="23"/>
  <c r="M239" i="23"/>
  <c r="M240" i="23"/>
  <c r="M236" i="23"/>
  <c r="M95" i="23"/>
  <c r="M96" i="23"/>
  <c r="M97" i="23"/>
  <c r="M202" i="23"/>
  <c r="M201" i="23"/>
  <c r="M198" i="23"/>
  <c r="M197" i="23"/>
  <c r="M190" i="23"/>
  <c r="M191" i="23"/>
  <c r="M194" i="23"/>
  <c r="M193" i="23"/>
  <c r="M195" i="23"/>
  <c r="M199" i="23"/>
  <c r="M189" i="23"/>
  <c r="M187" i="23"/>
  <c r="M192" i="23"/>
  <c r="M204" i="23"/>
  <c r="M196" i="23"/>
  <c r="M200" i="23"/>
  <c r="M188" i="23"/>
  <c r="M203" i="23"/>
  <c r="M166" i="23"/>
  <c r="M162" i="23"/>
  <c r="M364" i="23"/>
  <c r="M365" i="23"/>
  <c r="M335" i="23"/>
  <c r="M323" i="23"/>
  <c r="M326" i="23"/>
  <c r="M336" i="23"/>
  <c r="M332" i="23"/>
  <c r="M330" i="23"/>
  <c r="M333" i="23"/>
  <c r="M327" i="23"/>
  <c r="M331" i="23"/>
  <c r="M334" i="23"/>
  <c r="M328" i="23"/>
  <c r="M324" i="23"/>
  <c r="M329" i="23"/>
  <c r="M258" i="23"/>
  <c r="M257" i="23"/>
  <c r="M252" i="23"/>
  <c r="M250" i="23"/>
  <c r="M255" i="23"/>
  <c r="M253" i="23"/>
  <c r="M256" i="23"/>
  <c r="M264" i="23"/>
  <c r="M263" i="23"/>
  <c r="M251" i="23"/>
  <c r="M262" i="23"/>
  <c r="M260" i="23"/>
  <c r="M254" i="23"/>
  <c r="M259" i="23"/>
  <c r="M261" i="23"/>
  <c r="M50" i="23"/>
  <c r="M49" i="23"/>
  <c r="M52" i="23"/>
  <c r="M51" i="23"/>
  <c r="M207" i="23"/>
  <c r="M210" i="23"/>
  <c r="M225" i="23"/>
  <c r="M227" i="23"/>
  <c r="M230" i="23"/>
  <c r="M232" i="23"/>
  <c r="M228" i="23"/>
  <c r="M231" i="23"/>
  <c r="M229" i="23"/>
  <c r="M226" i="23"/>
  <c r="M222" i="23"/>
  <c r="M223" i="23"/>
  <c r="M224" i="23"/>
  <c r="M343" i="23"/>
  <c r="M351" i="23"/>
  <c r="M347" i="23"/>
  <c r="M342" i="23"/>
  <c r="M339" i="23"/>
  <c r="M344" i="23"/>
  <c r="M346" i="23"/>
  <c r="M350" i="23"/>
  <c r="M338" i="23"/>
  <c r="M340" i="23"/>
  <c r="M349" i="23"/>
  <c r="M345" i="23"/>
  <c r="M341" i="23"/>
  <c r="M337" i="23"/>
  <c r="M19" i="23"/>
  <c r="M18" i="23"/>
  <c r="M41" i="23"/>
  <c r="M43" i="23"/>
  <c r="M36" i="23"/>
  <c r="M44" i="23"/>
  <c r="M37" i="23"/>
  <c r="M39" i="23"/>
  <c r="M247" i="23"/>
  <c r="M246" i="23"/>
  <c r="M120" i="23"/>
  <c r="M115" i="23"/>
  <c r="M107" i="23"/>
  <c r="M114" i="23"/>
  <c r="M119" i="23"/>
  <c r="M121" i="23"/>
  <c r="M122" i="23"/>
  <c r="M124" i="23"/>
  <c r="M108" i="23"/>
  <c r="M112" i="23"/>
  <c r="M110" i="23"/>
  <c r="M117" i="23"/>
  <c r="M123" i="23"/>
  <c r="M116" i="23"/>
  <c r="M111" i="23"/>
  <c r="M113" i="23"/>
  <c r="M109" i="23"/>
  <c r="M118" i="23"/>
  <c r="M233" i="23"/>
  <c r="M234" i="23"/>
  <c r="M302" i="23"/>
  <c r="M304" i="23"/>
  <c r="M300" i="23"/>
  <c r="M303" i="23"/>
  <c r="M301" i="23"/>
  <c r="M305" i="23"/>
  <c r="M356" i="23"/>
  <c r="M357" i="23"/>
  <c r="M14" i="23"/>
  <c r="M15" i="23"/>
  <c r="M11" i="23"/>
  <c r="M12" i="23"/>
  <c r="M13" i="23"/>
  <c r="M74" i="23"/>
  <c r="M73" i="23"/>
  <c r="M70" i="23"/>
  <c r="M71" i="23"/>
  <c r="M66" i="23"/>
  <c r="M75" i="23"/>
  <c r="M68" i="23"/>
  <c r="M72" i="23"/>
  <c r="M77" i="23"/>
  <c r="M67" i="23"/>
  <c r="M76" i="23"/>
  <c r="M69" i="23"/>
  <c r="M319" i="23"/>
  <c r="M320" i="23"/>
  <c r="M321" i="23"/>
  <c r="M10" i="23"/>
  <c r="M9" i="23"/>
  <c r="M27" i="23"/>
  <c r="M32" i="23"/>
  <c r="M28" i="23"/>
  <c r="M31" i="23"/>
  <c r="M30" i="23"/>
  <c r="M26" i="23"/>
  <c r="M33" i="23"/>
  <c r="M29" i="23"/>
  <c r="M34" i="23"/>
  <c r="M185" i="23"/>
  <c r="M181" i="23"/>
  <c r="M182" i="23"/>
  <c r="M184" i="23"/>
  <c r="M178" i="23"/>
  <c r="M170" i="23"/>
  <c r="M169" i="23"/>
  <c r="M173" i="23"/>
  <c r="M174" i="23"/>
  <c r="M177" i="23"/>
  <c r="M171" i="23"/>
  <c r="M172" i="23"/>
  <c r="M176" i="23"/>
  <c r="M175" i="23"/>
  <c r="M354" i="23"/>
  <c r="M363" i="23"/>
  <c r="M310" i="23"/>
  <c r="M307" i="23"/>
  <c r="M309" i="23"/>
  <c r="M266" i="23"/>
  <c r="M268" i="23"/>
  <c r="M267" i="23"/>
  <c r="M265" i="23"/>
  <c r="M57" i="23"/>
  <c r="M65" i="23"/>
  <c r="M62" i="23"/>
  <c r="M55" i="23"/>
  <c r="M63" i="23"/>
  <c r="M59" i="23"/>
  <c r="M61" i="23"/>
  <c r="M60" i="23"/>
  <c r="M64" i="23"/>
  <c r="M58" i="23"/>
  <c r="M56" i="23"/>
  <c r="M133" i="23"/>
  <c r="M134" i="23"/>
  <c r="M125" i="23"/>
  <c r="M129" i="23"/>
  <c r="M22" i="23"/>
  <c r="M21" i="23"/>
  <c r="M47" i="23"/>
  <c r="M46" i="23"/>
  <c r="M45" i="23"/>
  <c r="M244" i="23"/>
  <c r="M243" i="23"/>
  <c r="M217" i="23"/>
  <c r="M221" i="23"/>
  <c r="M213" i="23"/>
  <c r="M205" i="23"/>
  <c r="M206" i="23"/>
  <c r="M216" i="23"/>
  <c r="M214" i="23"/>
  <c r="M219" i="23"/>
  <c r="M218" i="23"/>
  <c r="M220" i="23"/>
  <c r="M211" i="23"/>
  <c r="M212" i="23"/>
  <c r="M208" i="23"/>
  <c r="M209" i="23"/>
  <c r="M215" i="23"/>
  <c r="M183" i="23"/>
  <c r="M180" i="23"/>
  <c r="M158" i="23"/>
  <c r="M165" i="23"/>
  <c r="M154" i="23"/>
  <c r="M161" i="23"/>
  <c r="M155" i="23"/>
  <c r="M168" i="23"/>
  <c r="M167" i="23"/>
  <c r="M156" i="23"/>
  <c r="M164" i="23"/>
  <c r="M163" i="23"/>
  <c r="M159" i="23"/>
  <c r="M160" i="23"/>
  <c r="M308" i="23"/>
  <c r="M306" i="23"/>
  <c r="M53" i="23"/>
  <c r="M54" i="23"/>
  <c r="M99" i="23"/>
  <c r="M98" i="23"/>
  <c r="M103" i="23"/>
  <c r="M100" i="23"/>
  <c r="M104" i="23"/>
  <c r="M102" i="23"/>
  <c r="M105" i="23"/>
  <c r="M101" i="23"/>
  <c r="M135" i="23"/>
  <c r="M140" i="23"/>
  <c r="M146" i="23"/>
  <c r="M141" i="23"/>
  <c r="M153" i="23"/>
  <c r="M149" i="23"/>
  <c r="M136" i="23"/>
  <c r="M142" i="23"/>
  <c r="M352" i="23"/>
  <c r="M139" i="23"/>
  <c r="M138" i="23"/>
  <c r="M151" i="23"/>
  <c r="M145" i="23"/>
  <c r="M147" i="23"/>
  <c r="M137" i="23"/>
  <c r="M144" i="23"/>
  <c r="M148" i="23"/>
  <c r="M152" i="23"/>
  <c r="M362" i="23"/>
  <c r="M361" i="23"/>
  <c r="M366" i="23"/>
  <c r="M371" i="23"/>
  <c r="M312" i="23"/>
  <c r="M317" i="23"/>
  <c r="M314" i="23"/>
  <c r="M464" i="22"/>
  <c r="M343" i="22"/>
  <c r="M806" i="22"/>
  <c r="M507" i="22"/>
  <c r="M335" i="22"/>
  <c r="M375" i="22"/>
  <c r="M348" i="22"/>
  <c r="M370" i="22"/>
  <c r="M406" i="22"/>
  <c r="M374" i="22"/>
  <c r="M694" i="22"/>
  <c r="M831" i="22"/>
  <c r="M164" i="22"/>
  <c r="M194" i="22"/>
  <c r="M183" i="22"/>
  <c r="M187" i="22"/>
  <c r="M185" i="22"/>
  <c r="M198" i="22"/>
  <c r="M196" i="22"/>
  <c r="M778" i="22"/>
  <c r="M197" i="22"/>
  <c r="M813" i="22"/>
  <c r="M195" i="22"/>
  <c r="M765" i="22"/>
  <c r="M766" i="22"/>
  <c r="M767" i="22"/>
  <c r="M769" i="22"/>
  <c r="M768" i="22"/>
  <c r="M760" i="22"/>
  <c r="M764" i="22"/>
  <c r="M763" i="22"/>
  <c r="M762" i="22"/>
  <c r="M770" i="22"/>
  <c r="M761" i="22"/>
  <c r="M388" i="22"/>
  <c r="M401" i="22"/>
  <c r="M400" i="22"/>
  <c r="M386" i="22"/>
  <c r="M402" i="22"/>
  <c r="M393" i="22"/>
  <c r="M397" i="22"/>
  <c r="M392" i="22"/>
  <c r="M385" i="22"/>
  <c r="M399" i="22"/>
  <c r="M118" i="22"/>
  <c r="M115" i="22"/>
  <c r="M116" i="22"/>
  <c r="M234" i="22"/>
  <c r="M233" i="22"/>
  <c r="M218" i="22"/>
  <c r="M219" i="22"/>
  <c r="M214" i="22"/>
  <c r="M210" i="22"/>
  <c r="M212" i="22"/>
  <c r="M211" i="22"/>
  <c r="M209" i="22"/>
  <c r="M407" i="22"/>
  <c r="M408" i="22"/>
  <c r="M810" i="22"/>
  <c r="M334" i="22"/>
  <c r="M461" i="22"/>
  <c r="M460" i="22"/>
  <c r="M458" i="22"/>
  <c r="M459" i="22"/>
  <c r="M789" i="22"/>
  <c r="M790" i="22"/>
  <c r="M820" i="22"/>
  <c r="M821" i="22"/>
  <c r="M863" i="22"/>
  <c r="M865" i="22"/>
  <c r="M864" i="22"/>
  <c r="M749" i="22"/>
  <c r="M740" i="22"/>
  <c r="M742" i="22"/>
  <c r="M744" i="22"/>
  <c r="M677" i="22"/>
  <c r="M685" i="22"/>
  <c r="M681" i="22"/>
  <c r="M673" i="22"/>
  <c r="M678" i="22"/>
  <c r="M676" i="22"/>
  <c r="M682" i="22"/>
  <c r="M674" i="22"/>
  <c r="M684" i="22"/>
  <c r="M680" i="22"/>
  <c r="M679" i="22"/>
  <c r="M672" i="22"/>
  <c r="M675" i="22"/>
  <c r="M683" i="22"/>
  <c r="M791" i="22"/>
  <c r="M792" i="22"/>
  <c r="M816" i="22"/>
  <c r="M817" i="22"/>
  <c r="M819" i="22"/>
  <c r="M818" i="22"/>
  <c r="M97" i="22"/>
  <c r="M98" i="22"/>
  <c r="M101" i="22"/>
  <c r="M102" i="22"/>
  <c r="M875" i="22"/>
  <c r="M876" i="22"/>
  <c r="M873" i="22"/>
  <c r="M874" i="22"/>
  <c r="M333" i="22"/>
  <c r="M332" i="22"/>
  <c r="M871" i="22"/>
  <c r="M870" i="22"/>
  <c r="M872" i="22"/>
  <c r="M23" i="22"/>
  <c r="M26" i="22"/>
  <c r="M15" i="22"/>
  <c r="M31" i="22"/>
  <c r="M20" i="22"/>
  <c r="M28" i="22"/>
  <c r="M24" i="22"/>
  <c r="M36" i="22"/>
  <c r="M16" i="22"/>
  <c r="M19" i="22"/>
  <c r="M807" i="22"/>
  <c r="M27" i="22"/>
  <c r="M10" i="22"/>
  <c r="M35" i="22"/>
  <c r="M29" i="22"/>
  <c r="M9" i="22"/>
  <c r="M800" i="22"/>
  <c r="M38" i="22"/>
  <c r="M25" i="22"/>
  <c r="M840" i="22"/>
  <c r="M80" i="22"/>
  <c r="M67" i="22"/>
  <c r="M66" i="22"/>
  <c r="M82" i="22"/>
  <c r="M71" i="22"/>
  <c r="M85" i="22"/>
  <c r="M87" i="22"/>
  <c r="M70" i="22"/>
  <c r="M86" i="22"/>
  <c r="M68" i="22"/>
  <c r="M74" i="22"/>
  <c r="M81" i="22"/>
  <c r="M72" i="22"/>
  <c r="M78" i="22"/>
  <c r="M75" i="22"/>
  <c r="M69" i="22"/>
  <c r="M65" i="22"/>
  <c r="M84" i="22"/>
  <c r="M79" i="22"/>
  <c r="M83" i="22"/>
  <c r="M73" i="22"/>
  <c r="M206" i="22"/>
  <c r="M208" i="22"/>
  <c r="M207" i="22"/>
  <c r="M205" i="22"/>
  <c r="M204" i="22"/>
  <c r="M409" i="22"/>
  <c r="M410" i="22"/>
  <c r="M411" i="22"/>
  <c r="M365" i="22"/>
  <c r="M364" i="22"/>
  <c r="M362" i="22"/>
  <c r="M367" i="22"/>
  <c r="M363" i="22"/>
  <c r="M360" i="22"/>
  <c r="M358" i="22"/>
  <c r="M357" i="22"/>
  <c r="M359" i="22"/>
  <c r="M424" i="22"/>
  <c r="M417" i="22"/>
  <c r="M421" i="22"/>
  <c r="M416" i="22"/>
  <c r="M414" i="22"/>
  <c r="M425" i="22"/>
  <c r="M420" i="22"/>
  <c r="M413" i="22"/>
  <c r="M422" i="22"/>
  <c r="M415" i="22"/>
  <c r="M423" i="22"/>
  <c r="M418" i="22"/>
  <c r="M412" i="22"/>
  <c r="M419" i="22"/>
  <c r="M805" i="22"/>
  <c r="M833" i="22"/>
  <c r="M394" i="22"/>
  <c r="M396" i="22"/>
  <c r="M398" i="22"/>
  <c r="M389" i="22"/>
  <c r="M395" i="22"/>
  <c r="M391" i="22"/>
  <c r="M387" i="22"/>
  <c r="M390" i="22"/>
  <c r="M812" i="22"/>
  <c r="M844" i="22"/>
  <c r="M811" i="22"/>
  <c r="M653" i="22"/>
  <c r="M669" i="22"/>
  <c r="M665" i="22"/>
  <c r="M662" i="22"/>
  <c r="M660" i="22"/>
  <c r="M670" i="22"/>
  <c r="M658" i="22"/>
  <c r="M668" i="22"/>
  <c r="M664" i="22"/>
  <c r="M667" i="22"/>
  <c r="M868" i="22"/>
  <c r="M867" i="22"/>
  <c r="M869" i="22"/>
  <c r="M781" i="22"/>
  <c r="M782" i="22"/>
  <c r="M841" i="22"/>
  <c r="M842" i="22"/>
  <c r="M448" i="22"/>
  <c r="M450" i="22"/>
  <c r="M451" i="22"/>
  <c r="M449" i="22"/>
  <c r="M119" i="22"/>
  <c r="M121" i="22"/>
  <c r="M117" i="22"/>
  <c r="M120" i="22"/>
  <c r="M851" i="22"/>
  <c r="M853" i="22"/>
  <c r="M852" i="22"/>
  <c r="M63" i="22"/>
  <c r="M47" i="22"/>
  <c r="M61" i="22"/>
  <c r="M53" i="22"/>
  <c r="M59" i="22"/>
  <c r="M44" i="22"/>
  <c r="M45" i="22"/>
  <c r="M57" i="22"/>
  <c r="M62" i="22"/>
  <c r="M64" i="22"/>
  <c r="M50" i="22"/>
  <c r="M55" i="22"/>
  <c r="M49" i="22"/>
  <c r="M37" i="22"/>
  <c r="M60" i="22"/>
  <c r="M46" i="22"/>
  <c r="M54" i="22"/>
  <c r="M52" i="22"/>
  <c r="M48" i="22"/>
  <c r="M58" i="22"/>
  <c r="M51" i="22"/>
  <c r="M56" i="22"/>
  <c r="M43" i="22"/>
  <c r="M143" i="22"/>
  <c r="M135" i="22"/>
  <c r="M142" i="22"/>
  <c r="M132" i="22"/>
  <c r="M139" i="22"/>
  <c r="M137" i="22"/>
  <c r="M140" i="22"/>
  <c r="M141" i="22"/>
  <c r="M144" i="22"/>
  <c r="M270" i="22"/>
  <c r="M272" i="22"/>
  <c r="M168" i="22"/>
  <c r="M166" i="22"/>
  <c r="M176" i="22"/>
  <c r="M180" i="22"/>
  <c r="M178" i="22"/>
  <c r="M170" i="22"/>
  <c r="M171" i="22"/>
  <c r="M179" i="22"/>
  <c r="M172" i="22"/>
  <c r="M165" i="22"/>
  <c r="M167" i="22"/>
  <c r="M173" i="22"/>
  <c r="M177" i="22"/>
  <c r="M175" i="22"/>
  <c r="M169" i="22"/>
  <c r="M250" i="22"/>
  <c r="M258" i="22"/>
  <c r="M254" i="22"/>
  <c r="M265" i="22"/>
  <c r="M246" i="22"/>
  <c r="M247" i="22"/>
  <c r="M267" i="22"/>
  <c r="M249" i="22"/>
  <c r="M252" i="22"/>
  <c r="M262" i="22"/>
  <c r="M253" i="22"/>
  <c r="M251" i="22"/>
  <c r="M264" i="22"/>
  <c r="M266" i="22"/>
  <c r="M248" i="22"/>
  <c r="M405" i="22"/>
  <c r="M404" i="22"/>
  <c r="M372" i="22"/>
  <c r="M373" i="22"/>
  <c r="M368" i="22"/>
  <c r="M369" i="22"/>
  <c r="M371" i="22"/>
  <c r="M202" i="22"/>
  <c r="M814" i="22"/>
  <c r="M354" i="22"/>
  <c r="M347" i="22"/>
  <c r="M352" i="22"/>
  <c r="M353" i="22"/>
  <c r="M346" i="22"/>
  <c r="M349" i="22"/>
  <c r="M350" i="22"/>
  <c r="M355" i="22"/>
  <c r="M351" i="22"/>
  <c r="M793" i="22"/>
  <c r="M794" i="22"/>
  <c r="M463" i="22"/>
  <c r="M465" i="22"/>
  <c r="M487" i="22"/>
  <c r="M489" i="22"/>
  <c r="M481" i="22"/>
  <c r="M483" i="22"/>
  <c r="M484" i="22"/>
  <c r="M485" i="22"/>
  <c r="M486" i="22"/>
  <c r="M475" i="22"/>
  <c r="M479" i="22"/>
  <c r="M473" i="22"/>
  <c r="M470" i="22"/>
  <c r="M467" i="22"/>
  <c r="M498" i="22"/>
  <c r="M491" i="22"/>
  <c r="M499" i="22"/>
  <c r="M492" i="22"/>
  <c r="M493" i="22"/>
  <c r="M496" i="22"/>
  <c r="M501" i="22"/>
  <c r="M494" i="22"/>
  <c r="M500" i="22"/>
  <c r="M497" i="22"/>
  <c r="M495" i="22"/>
  <c r="M686" i="22"/>
  <c r="M689" i="22"/>
  <c r="M687" i="22"/>
  <c r="M688" i="22"/>
  <c r="M849" i="22"/>
  <c r="M850" i="22"/>
  <c r="M848" i="22"/>
  <c r="M99" i="22"/>
  <c r="M100" i="22"/>
  <c r="M860" i="22"/>
  <c r="M859" i="22"/>
  <c r="M858" i="22"/>
  <c r="M777" i="22"/>
  <c r="M776" i="22"/>
  <c r="M802" i="22"/>
  <c r="M284" i="22"/>
  <c r="M278" i="22"/>
  <c r="M277" i="22"/>
  <c r="M283" i="22"/>
  <c r="M276" i="22"/>
  <c r="M286" i="22"/>
  <c r="M285" i="22"/>
  <c r="M288" i="22"/>
  <c r="M281" i="22"/>
  <c r="M282" i="22"/>
  <c r="M280" i="22"/>
  <c r="M287" i="22"/>
  <c r="M279" i="22"/>
  <c r="M184" i="22"/>
  <c r="M193" i="22"/>
  <c r="M192" i="22"/>
  <c r="M190" i="22"/>
  <c r="M191" i="22"/>
  <c r="M188" i="22"/>
  <c r="M186" i="22"/>
  <c r="M189" i="22"/>
  <c r="M182" i="22"/>
  <c r="M174" i="22"/>
  <c r="M181" i="22"/>
  <c r="M321" i="22"/>
  <c r="M317" i="22"/>
  <c r="M320" i="22"/>
  <c r="M315" i="22"/>
  <c r="M318" i="22"/>
  <c r="M319" i="22"/>
  <c r="M316" i="22"/>
  <c r="M322" i="22"/>
  <c r="M426" i="22"/>
  <c r="M432" i="22"/>
  <c r="M436" i="22"/>
  <c r="M437" i="22"/>
  <c r="M431" i="22"/>
  <c r="M438" i="22"/>
  <c r="M440" i="22"/>
  <c r="M430" i="22"/>
  <c r="M434" i="22"/>
  <c r="M428" i="22"/>
  <c r="M435" i="22"/>
  <c r="M429" i="22"/>
  <c r="M439" i="22"/>
  <c r="M433" i="22"/>
  <c r="M427" i="22"/>
  <c r="M341" i="22"/>
  <c r="M340" i="22"/>
  <c r="M345" i="22"/>
  <c r="M344" i="22"/>
  <c r="M336" i="22"/>
  <c r="M342" i="22"/>
  <c r="M337" i="22"/>
  <c r="M339" i="22"/>
  <c r="M338" i="22"/>
  <c r="M366" i="22"/>
  <c r="M361" i="22"/>
  <c r="M616" i="22"/>
  <c r="M612" i="22"/>
  <c r="M615" i="22"/>
  <c r="M617" i="22"/>
  <c r="M609" i="22"/>
  <c r="M611" i="22"/>
  <c r="M613" i="22"/>
  <c r="M619" i="22"/>
  <c r="M620" i="22"/>
  <c r="M621" i="22"/>
  <c r="M614" i="22"/>
  <c r="M618" i="22"/>
  <c r="M610" i="22"/>
  <c r="M622" i="22"/>
  <c r="M474" i="22"/>
  <c r="M482" i="22"/>
  <c r="M490" i="22"/>
  <c r="M468" i="22"/>
  <c r="M472" i="22"/>
  <c r="M480" i="22"/>
  <c r="M469" i="22"/>
  <c r="M476" i="22"/>
  <c r="M488" i="22"/>
  <c r="M471" i="22"/>
  <c r="M477" i="22"/>
  <c r="M478" i="22"/>
  <c r="M798" i="22"/>
  <c r="M799" i="22"/>
  <c r="M666" i="22"/>
  <c r="M654" i="22"/>
  <c r="M659" i="22"/>
  <c r="M671" i="22"/>
  <c r="M655" i="22"/>
  <c r="M663" i="22"/>
  <c r="M656" i="22"/>
  <c r="M145" i="22"/>
  <c r="M146" i="22"/>
  <c r="M645" i="22"/>
  <c r="M649" i="22"/>
  <c r="M641" i="22"/>
  <c r="M652" i="22"/>
  <c r="M642" i="22"/>
  <c r="M644" i="22"/>
  <c r="M638" i="22"/>
  <c r="M650" i="22"/>
  <c r="M646" i="22"/>
  <c r="M648" i="22"/>
  <c r="M643" i="22"/>
  <c r="M647" i="22"/>
  <c r="M639" i="22"/>
  <c r="M640" i="22"/>
  <c r="M651" i="22"/>
  <c r="M90" i="22"/>
  <c r="M94" i="22"/>
  <c r="M96" i="22"/>
  <c r="M91" i="22"/>
  <c r="M92" i="22"/>
  <c r="M93" i="22"/>
  <c r="M551" i="22"/>
  <c r="M552" i="22"/>
  <c r="M546" i="22"/>
  <c r="M553" i="22"/>
  <c r="M547" i="22"/>
  <c r="M543" i="22"/>
  <c r="M548" i="22"/>
  <c r="M555" i="22"/>
  <c r="M544" i="22"/>
  <c r="M554" i="22"/>
  <c r="M542" i="22"/>
  <c r="M541" i="22"/>
  <c r="M545" i="22"/>
  <c r="M549" i="22"/>
  <c r="M550" i="22"/>
  <c r="M540" i="22"/>
  <c r="M575" i="22"/>
  <c r="M592" i="22"/>
  <c r="M608" i="22"/>
  <c r="M600" i="22"/>
  <c r="M576" i="22"/>
  <c r="M584" i="22"/>
  <c r="M591" i="22"/>
  <c r="M607" i="22"/>
  <c r="M599" i="22"/>
  <c r="M568" i="22"/>
  <c r="M583" i="22"/>
  <c r="M567" i="22"/>
  <c r="M585" i="22"/>
  <c r="M572" i="22"/>
  <c r="M604" i="22"/>
  <c r="M580" i="22"/>
  <c r="M588" i="22"/>
  <c r="M569" i="22"/>
  <c r="M593" i="22"/>
  <c r="M596" i="22"/>
  <c r="M601" i="22"/>
  <c r="M577" i="22"/>
  <c r="M597" i="22"/>
  <c r="M565" i="22"/>
  <c r="M586" i="22"/>
  <c r="M579" i="22"/>
  <c r="M589" i="22"/>
  <c r="M602" i="22"/>
  <c r="M605" i="22"/>
  <c r="M594" i="22"/>
  <c r="M570" i="22"/>
  <c r="M578" i="22"/>
  <c r="M573" i="22"/>
  <c r="M603" i="22"/>
  <c r="M595" i="22"/>
  <c r="M581" i="22"/>
  <c r="M587" i="22"/>
  <c r="M571" i="22"/>
  <c r="M590" i="22"/>
  <c r="M574" i="22"/>
  <c r="M566" i="22"/>
  <c r="M582" i="22"/>
  <c r="M606" i="22"/>
  <c r="M598" i="22"/>
  <c r="M757" i="22"/>
  <c r="M741" i="22"/>
  <c r="M750" i="22"/>
  <c r="M751" i="22"/>
  <c r="M753" i="22"/>
  <c r="M755" i="22"/>
  <c r="M748" i="22"/>
  <c r="M752" i="22"/>
  <c r="M759" i="22"/>
  <c r="M756" i="22"/>
  <c r="M745" i="22"/>
  <c r="M746" i="22"/>
  <c r="M743" i="22"/>
  <c r="M754" i="22"/>
  <c r="M747" i="22"/>
  <c r="M788" i="22"/>
  <c r="M787" i="22"/>
  <c r="M845" i="22"/>
  <c r="M786" i="22"/>
  <c r="M822" i="22"/>
  <c r="M714" i="22"/>
  <c r="M718" i="22"/>
  <c r="M630" i="22"/>
  <c r="M631" i="22"/>
  <c r="M637" i="22"/>
  <c r="M629" i="22"/>
  <c r="M623" i="22"/>
  <c r="M633" i="22"/>
  <c r="M625" i="22"/>
  <c r="M634" i="22"/>
  <c r="M636" i="22"/>
  <c r="M628" i="22"/>
  <c r="M627" i="22"/>
  <c r="M626" i="22"/>
  <c r="M632" i="22"/>
  <c r="M624" i="22"/>
  <c r="M701" i="22"/>
  <c r="M709" i="22"/>
  <c r="M705" i="22"/>
  <c r="M702" i="22"/>
  <c r="M703" i="22"/>
  <c r="M706" i="22"/>
  <c r="M708" i="22"/>
  <c r="M707" i="22"/>
  <c r="M704" i="22"/>
  <c r="M111" i="22"/>
  <c r="M103" i="22"/>
  <c r="M107" i="22"/>
  <c r="M106" i="22"/>
  <c r="M108" i="22"/>
  <c r="M105" i="22"/>
  <c r="M109" i="22"/>
  <c r="M772" i="22"/>
  <c r="M114" i="22"/>
  <c r="M104" i="22"/>
  <c r="M110" i="22"/>
  <c r="M112" i="22"/>
  <c r="M113" i="22"/>
  <c r="M774" i="22"/>
  <c r="M130" i="22"/>
  <c r="M127" i="22"/>
  <c r="M123" i="22"/>
  <c r="M126" i="22"/>
  <c r="M124" i="22"/>
  <c r="M129" i="22"/>
  <c r="M122" i="22"/>
  <c r="M125" i="22"/>
  <c r="M128" i="22"/>
  <c r="M134" i="22"/>
  <c r="M131" i="22"/>
  <c r="M138" i="22"/>
  <c r="M133" i="22"/>
  <c r="M136" i="22"/>
  <c r="M773" i="22"/>
  <c r="M160" i="22"/>
  <c r="M151" i="22"/>
  <c r="M152" i="22"/>
  <c r="M158" i="22"/>
  <c r="M163" i="22"/>
  <c r="M150" i="22"/>
  <c r="M159" i="22"/>
  <c r="M154" i="22"/>
  <c r="M801" i="22"/>
  <c r="M153" i="22"/>
  <c r="M157" i="22"/>
  <c r="M156" i="22"/>
  <c r="M162" i="22"/>
  <c r="M148" i="22"/>
  <c r="M808" i="22"/>
  <c r="M147" i="22"/>
  <c r="M149" i="22"/>
  <c r="M830" i="22"/>
  <c r="M161" i="22"/>
  <c r="M155" i="22"/>
  <c r="M89" i="22"/>
  <c r="M76" i="22"/>
  <c r="M88" i="22"/>
  <c r="M77" i="22"/>
  <c r="M304" i="22"/>
  <c r="M303" i="22"/>
  <c r="M296" i="22"/>
  <c r="M291" i="22"/>
  <c r="M293" i="22"/>
  <c r="M299" i="22"/>
  <c r="M297" i="22"/>
  <c r="M300" i="22"/>
  <c r="M294" i="22"/>
  <c r="M292" i="22"/>
  <c r="M298" i="22"/>
  <c r="M295" i="22"/>
  <c r="M462" i="22"/>
  <c r="M457" i="22"/>
  <c r="M559" i="22"/>
  <c r="M560" i="22"/>
  <c r="M564" i="22"/>
  <c r="M556" i="22"/>
  <c r="M561" i="22"/>
  <c r="M557" i="22"/>
  <c r="M562" i="22"/>
  <c r="M563" i="22"/>
  <c r="M558" i="22"/>
  <c r="M538" i="22"/>
  <c r="M530" i="22"/>
  <c r="M535" i="22"/>
  <c r="M519" i="22"/>
  <c r="M522" i="22"/>
  <c r="M523" i="22"/>
  <c r="M514" i="22"/>
  <c r="M531" i="22"/>
  <c r="M515" i="22"/>
  <c r="M512" i="22"/>
  <c r="M525" i="22"/>
  <c r="M843" i="22"/>
  <c r="M520" i="22"/>
  <c r="M528" i="22"/>
  <c r="M803" i="22"/>
  <c r="M527" i="22"/>
  <c r="M517" i="22"/>
  <c r="M536" i="22"/>
  <c r="M526" i="22"/>
  <c r="M529" i="22"/>
  <c r="M516" i="22"/>
  <c r="M534" i="22"/>
  <c r="M524" i="22"/>
  <c r="M537" i="22"/>
  <c r="M513" i="22"/>
  <c r="M521" i="22"/>
  <c r="M533" i="22"/>
  <c r="M532" i="22"/>
  <c r="M518" i="22"/>
  <c r="M661" i="22"/>
  <c r="M657" i="22"/>
  <c r="M855" i="22"/>
  <c r="M857" i="22"/>
  <c r="M854" i="22"/>
  <c r="M856" i="22"/>
  <c r="M454" i="22"/>
  <c r="M455" i="22"/>
  <c r="M511" i="22"/>
  <c r="M503" i="22"/>
  <c r="M506" i="22"/>
  <c r="M509" i="22"/>
  <c r="M504" i="22"/>
  <c r="M502" i="22"/>
  <c r="M508" i="22"/>
  <c r="M505" i="22"/>
  <c r="M510" i="22"/>
  <c r="M861" i="22"/>
  <c r="M862" i="22"/>
  <c r="M823" i="22"/>
  <c r="M795" i="22"/>
  <c r="M804" i="22"/>
  <c r="M832" i="22"/>
  <c r="M453" i="22"/>
  <c r="M456" i="22"/>
  <c r="M11" i="22"/>
  <c r="M42" i="22"/>
  <c r="M261" i="22"/>
  <c r="M259" i="22"/>
  <c r="M257" i="22"/>
  <c r="M260" i="22"/>
  <c r="M255" i="22"/>
  <c r="M256" i="22"/>
  <c r="M263" i="22"/>
  <c r="M268" i="22"/>
  <c r="M273" i="22"/>
  <c r="M269" i="22"/>
  <c r="M275" i="22"/>
  <c r="M274" i="22"/>
  <c r="M809" i="22"/>
  <c r="M271" i="22"/>
  <c r="M40" i="22"/>
  <c r="M32" i="22"/>
  <c r="M18" i="22"/>
  <c r="M13" i="22"/>
  <c r="M12" i="22"/>
  <c r="M771" i="22"/>
  <c r="M21" i="22"/>
  <c r="M41" i="22"/>
  <c r="M22" i="22"/>
  <c r="M33" i="22"/>
  <c r="M17" i="22"/>
  <c r="M30" i="22"/>
  <c r="M34" i="22"/>
  <c r="M14" i="22"/>
  <c r="M39" i="22"/>
  <c r="M289" i="22"/>
  <c r="M815" i="22"/>
  <c r="M215" i="22"/>
  <c r="M226" i="22"/>
  <c r="M241" i="22"/>
  <c r="M227" i="22"/>
  <c r="M242" i="22"/>
  <c r="M221" i="22"/>
  <c r="M220" i="22"/>
  <c r="M225" i="22"/>
  <c r="M238" i="22"/>
  <c r="M230" i="22"/>
  <c r="M228" i="22"/>
  <c r="M222" i="22"/>
  <c r="M232" i="22"/>
  <c r="M235" i="22"/>
  <c r="M224" i="22"/>
  <c r="M213" i="22"/>
  <c r="M243" i="22"/>
  <c r="M239" i="22"/>
  <c r="M223" i="22"/>
  <c r="M231" i="22"/>
  <c r="M236" i="22"/>
  <c r="M217" i="22"/>
  <c r="M244" i="22"/>
  <c r="M237" i="22"/>
  <c r="M229" i="22"/>
  <c r="M240" i="22"/>
  <c r="M216" i="22"/>
  <c r="M245" i="22"/>
  <c r="M201" i="22"/>
  <c r="M779" i="22"/>
  <c r="M200" i="22"/>
  <c r="M199" i="22"/>
  <c r="M203" i="22"/>
  <c r="M328" i="22"/>
  <c r="M325" i="22"/>
  <c r="M329" i="22"/>
  <c r="M331" i="22"/>
  <c r="M330" i="22"/>
  <c r="M326" i="22"/>
  <c r="M323" i="22"/>
  <c r="M327" i="22"/>
  <c r="M324" i="22"/>
  <c r="M309" i="22"/>
  <c r="M313" i="22"/>
  <c r="M312" i="22"/>
  <c r="M307" i="22"/>
  <c r="M310" i="22"/>
  <c r="M311" i="22"/>
  <c r="M308" i="22"/>
  <c r="M314" i="22"/>
  <c r="M305" i="22"/>
  <c r="M306" i="22"/>
  <c r="M697" i="22"/>
  <c r="M700" i="22"/>
  <c r="M698" i="22"/>
  <c r="M699" i="22"/>
  <c r="M693" i="22"/>
  <c r="M695" i="22"/>
  <c r="M696" i="22"/>
  <c r="M717" i="22"/>
  <c r="M713" i="22"/>
  <c r="M716" i="22"/>
  <c r="M722" i="22"/>
  <c r="M721" i="22"/>
  <c r="M710" i="22"/>
  <c r="M711" i="22"/>
  <c r="M720" i="22"/>
  <c r="M719" i="22"/>
  <c r="M712" i="22"/>
  <c r="M715" i="22"/>
  <c r="M733" i="22"/>
  <c r="M725" i="22"/>
  <c r="M726" i="22"/>
  <c r="M729" i="22"/>
  <c r="M728" i="22"/>
  <c r="M727" i="22"/>
  <c r="M731" i="22"/>
  <c r="M724" i="22"/>
  <c r="M732" i="22"/>
  <c r="M734" i="22"/>
  <c r="M737" i="22"/>
  <c r="M730" i="22"/>
  <c r="M723" i="22"/>
  <c r="M739" i="22"/>
  <c r="M735" i="22"/>
  <c r="M738" i="22"/>
  <c r="M736" i="22"/>
  <c r="M690" i="22"/>
  <c r="M692" i="22"/>
  <c r="M691" i="22"/>
  <c r="M376" i="22"/>
  <c r="M377" i="22"/>
  <c r="M384" i="22"/>
  <c r="M378" i="22"/>
  <c r="M382" i="22"/>
  <c r="M380" i="22"/>
  <c r="M383" i="22"/>
  <c r="M379" i="22"/>
  <c r="M441" i="22"/>
  <c r="M444" i="22"/>
  <c r="M442" i="22"/>
  <c r="M446" i="22"/>
  <c r="M443" i="22"/>
  <c r="M445" i="22"/>
  <c r="M447" i="22"/>
  <c r="M296" i="17"/>
  <c r="M558" i="17"/>
  <c r="M742" i="17"/>
  <c r="M556" i="17"/>
  <c r="M525" i="17"/>
  <c r="M920" i="17"/>
  <c r="M537" i="17"/>
  <c r="M140" i="17"/>
  <c r="M248" i="17"/>
  <c r="M249" i="17"/>
  <c r="M542" i="17"/>
  <c r="M468" i="17"/>
  <c r="M302" i="17"/>
  <c r="M192" i="17"/>
  <c r="M188" i="17"/>
  <c r="M190" i="17"/>
  <c r="M191" i="17"/>
  <c r="M275" i="17"/>
  <c r="M276" i="17"/>
  <c r="M272" i="17"/>
  <c r="M268" i="17"/>
  <c r="M264" i="17"/>
  <c r="M279" i="17"/>
  <c r="M281" i="17"/>
  <c r="M278" i="17"/>
  <c r="M284" i="17"/>
  <c r="M262" i="17"/>
  <c r="M277" i="17"/>
  <c r="M274" i="17"/>
  <c r="M267" i="17"/>
  <c r="M282" i="17"/>
  <c r="M273" i="17"/>
  <c r="M283" i="17"/>
  <c r="M265" i="17"/>
  <c r="M269" i="17"/>
  <c r="M271" i="17"/>
  <c r="M280" i="17"/>
  <c r="M266" i="17"/>
  <c r="M270" i="17"/>
  <c r="M252" i="17"/>
  <c r="M254" i="17"/>
  <c r="M253" i="17"/>
  <c r="M931" i="17"/>
  <c r="M251" i="17"/>
  <c r="M250" i="17"/>
  <c r="M420" i="17"/>
  <c r="M421" i="17"/>
  <c r="M424" i="17"/>
  <c r="M425" i="17"/>
  <c r="M517" i="17"/>
  <c r="M508" i="17"/>
  <c r="M505" i="17"/>
  <c r="M522" i="17"/>
  <c r="M516" i="17"/>
  <c r="M506" i="17"/>
  <c r="M509" i="17"/>
  <c r="M521" i="17"/>
  <c r="M514" i="17"/>
  <c r="M511" i="17"/>
  <c r="M507" i="17"/>
  <c r="M510" i="17"/>
  <c r="M520" i="17"/>
  <c r="M512" i="17"/>
  <c r="M513" i="17"/>
  <c r="M519" i="17"/>
  <c r="M518" i="17"/>
  <c r="M515" i="17"/>
  <c r="M408" i="17"/>
  <c r="M411" i="17"/>
  <c r="M410" i="17"/>
  <c r="M412" i="17"/>
  <c r="M409" i="17"/>
  <c r="M413" i="17"/>
  <c r="M415" i="17"/>
  <c r="M477" i="17"/>
  <c r="M476" i="17"/>
  <c r="M480" i="17"/>
  <c r="M484" i="17"/>
  <c r="M488" i="17"/>
  <c r="M491" i="17"/>
  <c r="M482" i="17"/>
  <c r="M474" i="17"/>
  <c r="M478" i="17"/>
  <c r="M487" i="17"/>
  <c r="M475" i="17"/>
  <c r="M485" i="17"/>
  <c r="M489" i="17"/>
  <c r="M486" i="17"/>
  <c r="M490" i="17"/>
  <c r="M479" i="17"/>
  <c r="M483" i="17"/>
  <c r="M481" i="17"/>
  <c r="M395" i="17"/>
  <c r="M398" i="17"/>
  <c r="M403" i="17"/>
  <c r="M404" i="17"/>
  <c r="M390" i="17"/>
  <c r="M401" i="17"/>
  <c r="M402" i="17"/>
  <c r="M391" i="17"/>
  <c r="M399" i="17"/>
  <c r="M406" i="17"/>
  <c r="M400" i="17"/>
  <c r="M392" i="17"/>
  <c r="M465" i="17"/>
  <c r="M461" i="17"/>
  <c r="M460" i="17"/>
  <c r="M464" i="17"/>
  <c r="M462" i="17"/>
  <c r="M797" i="17"/>
  <c r="M817" i="17"/>
  <c r="M793" i="17"/>
  <c r="M813" i="17"/>
  <c r="M805" i="17"/>
  <c r="M801" i="17"/>
  <c r="M809" i="17"/>
  <c r="M796" i="17"/>
  <c r="M812" i="17"/>
  <c r="M818" i="17"/>
  <c r="M806" i="17"/>
  <c r="M811" i="17"/>
  <c r="M799" i="17"/>
  <c r="M790" i="17"/>
  <c r="M814" i="17"/>
  <c r="M802" i="17"/>
  <c r="M798" i="17"/>
  <c r="M810" i="17"/>
  <c r="M794" i="17"/>
  <c r="M800" i="17"/>
  <c r="M792" i="17"/>
  <c r="M816" i="17"/>
  <c r="M803" i="17"/>
  <c r="M808" i="17"/>
  <c r="M815" i="17"/>
  <c r="M821" i="17"/>
  <c r="M825" i="17"/>
  <c r="M820" i="17"/>
  <c r="M828" i="17"/>
  <c r="M830" i="17"/>
  <c r="M823" i="17"/>
  <c r="M829" i="17"/>
  <c r="M827" i="17"/>
  <c r="M819" i="17"/>
  <c r="M822" i="17"/>
  <c r="M826" i="17"/>
  <c r="M831" i="17"/>
  <c r="M824" i="17"/>
  <c r="M832" i="17"/>
  <c r="M789" i="17"/>
  <c r="M785" i="17"/>
  <c r="M788" i="17"/>
  <c r="M783" i="17"/>
  <c r="M786" i="17"/>
  <c r="M787" i="17"/>
  <c r="M784" i="17"/>
  <c r="M530" i="17"/>
  <c r="M529" i="17"/>
  <c r="M533" i="17"/>
  <c r="M532" i="17"/>
  <c r="M531" i="17"/>
  <c r="M546" i="17"/>
  <c r="M547" i="17"/>
  <c r="M545" i="17"/>
  <c r="M544" i="17"/>
  <c r="M543" i="17"/>
  <c r="M548" i="17"/>
  <c r="M681" i="17"/>
  <c r="M703" i="17"/>
  <c r="M685" i="17"/>
  <c r="M387" i="17"/>
  <c r="M386" i="17"/>
  <c r="M388" i="17"/>
  <c r="M389" i="17"/>
  <c r="M15" i="17"/>
  <c r="M14" i="17"/>
  <c r="M22" i="17"/>
  <c r="M35" i="17"/>
  <c r="M31" i="17"/>
  <c r="M23" i="17"/>
  <c r="M20" i="17"/>
  <c r="M902" i="17"/>
  <c r="M13" i="17"/>
  <c r="M893" i="17"/>
  <c r="M36" i="17"/>
  <c r="M38" i="17"/>
  <c r="M28" i="17"/>
  <c r="M16" i="17"/>
  <c r="M40" i="17"/>
  <c r="M21" i="17"/>
  <c r="M12" i="17"/>
  <c r="M24" i="17"/>
  <c r="M9" i="17"/>
  <c r="M32" i="17"/>
  <c r="M10" i="17"/>
  <c r="M11" i="17"/>
  <c r="M18" i="17"/>
  <c r="M17" i="17"/>
  <c r="M29" i="17"/>
  <c r="M19" i="17"/>
  <c r="M39" i="17"/>
  <c r="M30" i="17"/>
  <c r="M37" i="17"/>
  <c r="M25" i="17"/>
  <c r="M33" i="17"/>
  <c r="M26" i="17"/>
  <c r="M34" i="17"/>
  <c r="M440" i="17"/>
  <c r="M448" i="17"/>
  <c r="M452" i="17"/>
  <c r="M443" i="17"/>
  <c r="M456" i="17"/>
  <c r="M454" i="17"/>
  <c r="M436" i="17"/>
  <c r="M904" i="17"/>
  <c r="M453" i="17"/>
  <c r="M442" i="17"/>
  <c r="M439" i="17"/>
  <c r="M435" i="17"/>
  <c r="M437" i="17"/>
  <c r="M449" i="17"/>
  <c r="M459" i="17"/>
  <c r="M446" i="17"/>
  <c r="M438" i="17"/>
  <c r="M455" i="17"/>
  <c r="M925" i="17"/>
  <c r="M924" i="17"/>
  <c r="M863" i="17"/>
  <c r="M871" i="17"/>
  <c r="M865" i="17"/>
  <c r="M870" i="17"/>
  <c r="M862" i="17"/>
  <c r="M873" i="17"/>
  <c r="M866" i="17"/>
  <c r="M861" i="17"/>
  <c r="M869" i="17"/>
  <c r="M872" i="17"/>
  <c r="M864" i="17"/>
  <c r="M867" i="17"/>
  <c r="M868" i="17"/>
  <c r="M526" i="17"/>
  <c r="M524" i="17"/>
  <c r="M197" i="17"/>
  <c r="M211" i="17"/>
  <c r="M208" i="17"/>
  <c r="M212" i="17"/>
  <c r="M204" i="17"/>
  <c r="M200" i="17"/>
  <c r="M202" i="17"/>
  <c r="M207" i="17"/>
  <c r="M205" i="17"/>
  <c r="M213" i="17"/>
  <c r="M201" i="17"/>
  <c r="M210" i="17"/>
  <c r="M206" i="17"/>
  <c r="M203" i="17"/>
  <c r="M198" i="17"/>
  <c r="M209" i="17"/>
  <c r="M70" i="17"/>
  <c r="M57" i="17"/>
  <c r="M44" i="17"/>
  <c r="M216" i="17"/>
  <c r="M232" i="17"/>
  <c r="M228" i="17"/>
  <c r="M224" i="17"/>
  <c r="M236" i="17"/>
  <c r="M234" i="17"/>
  <c r="M230" i="17"/>
  <c r="M233" i="17"/>
  <c r="M223" i="17"/>
  <c r="M227" i="17"/>
  <c r="M235" i="17"/>
  <c r="M226" i="17"/>
  <c r="M225" i="17"/>
  <c r="M229" i="17"/>
  <c r="M231" i="17"/>
  <c r="M502" i="17"/>
  <c r="M492" i="17"/>
  <c r="M500" i="17"/>
  <c r="M504" i="17"/>
  <c r="M501" i="17"/>
  <c r="M496" i="17"/>
  <c r="M493" i="17"/>
  <c r="M498" i="17"/>
  <c r="M499" i="17"/>
  <c r="M497" i="17"/>
  <c r="M494" i="17"/>
  <c r="M495" i="17"/>
  <c r="M503" i="17"/>
  <c r="M337" i="17"/>
  <c r="M344" i="17"/>
  <c r="M359" i="17"/>
  <c r="M343" i="17"/>
  <c r="M336" i="17"/>
  <c r="M351" i="17"/>
  <c r="M355" i="17"/>
  <c r="M358" i="17"/>
  <c r="M342" i="17"/>
  <c r="M347" i="17"/>
  <c r="M361" i="17"/>
  <c r="M356" i="17"/>
  <c r="M360" i="17"/>
  <c r="M341" i="17"/>
  <c r="M352" i="17"/>
  <c r="M350" i="17"/>
  <c r="M357" i="17"/>
  <c r="M346" i="17"/>
  <c r="M348" i="17"/>
  <c r="M338" i="17"/>
  <c r="M349" i="17"/>
  <c r="M354" i="17"/>
  <c r="M345" i="17"/>
  <c r="M340" i="17"/>
  <c r="M339" i="17"/>
  <c r="M353" i="17"/>
  <c r="M133" i="17"/>
  <c r="M130" i="17"/>
  <c r="M107" i="17"/>
  <c r="M134" i="17"/>
  <c r="M122" i="17"/>
  <c r="M113" i="17"/>
  <c r="M111" i="17"/>
  <c r="M117" i="17"/>
  <c r="M136" i="17"/>
  <c r="M108" i="17"/>
  <c r="M106" i="17"/>
  <c r="M115" i="17"/>
  <c r="M131" i="17"/>
  <c r="M137" i="17"/>
  <c r="M123" i="17"/>
  <c r="M125" i="17"/>
  <c r="M112" i="17"/>
  <c r="M118" i="17"/>
  <c r="M124" i="17"/>
  <c r="M120" i="17"/>
  <c r="M121" i="17"/>
  <c r="M110" i="17"/>
  <c r="M116" i="17"/>
  <c r="M128" i="17"/>
  <c r="M109" i="17"/>
  <c r="M119" i="17"/>
  <c r="M127" i="17"/>
  <c r="M126" i="17"/>
  <c r="M132" i="17"/>
  <c r="M129" i="17"/>
  <c r="M114" i="17"/>
  <c r="M135" i="17"/>
  <c r="M162" i="17"/>
  <c r="M165" i="17"/>
  <c r="M170" i="17"/>
  <c r="M260" i="17"/>
  <c r="M261" i="17"/>
  <c r="M263" i="17"/>
  <c r="M259" i="17"/>
  <c r="M540" i="17"/>
  <c r="M541" i="17"/>
  <c r="M911" i="17"/>
  <c r="M883" i="17"/>
  <c r="M559" i="17"/>
  <c r="M560" i="17"/>
  <c r="M557" i="17"/>
  <c r="M839" i="17"/>
  <c r="M855" i="17"/>
  <c r="M846" i="17"/>
  <c r="M847" i="17"/>
  <c r="M857" i="17"/>
  <c r="M837" i="17"/>
  <c r="M853" i="17"/>
  <c r="M835" i="17"/>
  <c r="M844" i="17"/>
  <c r="M843" i="17"/>
  <c r="M852" i="17"/>
  <c r="M761" i="17"/>
  <c r="M773" i="17"/>
  <c r="M765" i="17"/>
  <c r="M769" i="17"/>
  <c r="M772" i="17"/>
  <c r="M762" i="17"/>
  <c r="M770" i="17"/>
  <c r="M763" i="17"/>
  <c r="M771" i="17"/>
  <c r="M774" i="17"/>
  <c r="M766" i="17"/>
  <c r="M775" i="17"/>
  <c r="M776" i="17"/>
  <c r="M767" i="17"/>
  <c r="M764" i="17"/>
  <c r="M768" i="17"/>
  <c r="M566" i="17"/>
  <c r="M568" i="17"/>
  <c r="M567" i="17"/>
  <c r="M565" i="17"/>
  <c r="M564" i="17"/>
  <c r="M569" i="17"/>
  <c r="M427" i="17"/>
  <c r="M428" i="17"/>
  <c r="M394" i="17"/>
  <c r="M405" i="17"/>
  <c r="M393" i="17"/>
  <c r="M396" i="17"/>
  <c r="M397" i="17"/>
  <c r="M407" i="17"/>
  <c r="M100" i="17"/>
  <c r="M85" i="17"/>
  <c r="M104" i="17"/>
  <c r="M95" i="17"/>
  <c r="M92" i="17"/>
  <c r="M81" i="17"/>
  <c r="M94" i="17"/>
  <c r="M105" i="17"/>
  <c r="M98" i="17"/>
  <c r="M86" i="17"/>
  <c r="M87" i="17"/>
  <c r="M103" i="17"/>
  <c r="M84" i="17"/>
  <c r="M877" i="17"/>
  <c r="M99" i="17"/>
  <c r="M88" i="17"/>
  <c r="M91" i="17"/>
  <c r="M97" i="17"/>
  <c r="M101" i="17"/>
  <c r="M93" i="17"/>
  <c r="M90" i="17"/>
  <c r="M102" i="17"/>
  <c r="M80" i="17"/>
  <c r="M83" i="17"/>
  <c r="M79" i="17"/>
  <c r="M82" i="17"/>
  <c r="M96" i="17"/>
  <c r="M89" i="17"/>
  <c r="M240" i="17"/>
  <c r="M220" i="17"/>
  <c r="M215" i="17"/>
  <c r="M243" i="17"/>
  <c r="M214" i="17"/>
  <c r="M222" i="17"/>
  <c r="M238" i="17"/>
  <c r="M237" i="17"/>
  <c r="M218" i="17"/>
  <c r="M219" i="17"/>
  <c r="M242" i="17"/>
  <c r="M217" i="17"/>
  <c r="M221" i="17"/>
  <c r="M241" i="17"/>
  <c r="M239" i="17"/>
  <c r="M256" i="17"/>
  <c r="M258" i="17"/>
  <c r="M257" i="17"/>
  <c r="M255" i="17"/>
  <c r="M470" i="17"/>
  <c r="M472" i="17"/>
  <c r="M469" i="17"/>
  <c r="M473" i="17"/>
  <c r="M471" i="17"/>
  <c r="M426" i="17"/>
  <c r="M422" i="17"/>
  <c r="M423" i="17"/>
  <c r="M466" i="17"/>
  <c r="M467" i="17"/>
  <c r="M563" i="17"/>
  <c r="M562" i="17"/>
  <c r="M561" i="17"/>
  <c r="M887" i="17"/>
  <c r="M886" i="17"/>
  <c r="M895" i="17"/>
  <c r="M894" i="17"/>
  <c r="M885" i="17"/>
  <c r="M884" i="17"/>
  <c r="M759" i="17"/>
  <c r="M760" i="17"/>
  <c r="M756" i="17"/>
  <c r="M746" i="17"/>
  <c r="M737" i="17"/>
  <c r="M749" i="17"/>
  <c r="M758" i="17"/>
  <c r="M755" i="17"/>
  <c r="M757" i="17"/>
  <c r="M736" i="17"/>
  <c r="M754" i="17"/>
  <c r="M747" i="17"/>
  <c r="M750" i="17"/>
  <c r="M745" i="17"/>
  <c r="M804" i="17"/>
  <c r="M908" i="17"/>
  <c r="M907" i="17"/>
  <c r="M145" i="17"/>
  <c r="M142" i="17"/>
  <c r="M144" i="17"/>
  <c r="M143" i="17"/>
  <c r="M554" i="17"/>
  <c r="M549" i="17"/>
  <c r="M552" i="17"/>
  <c r="M550" i="17"/>
  <c r="M553" i="17"/>
  <c r="M551" i="17"/>
  <c r="M451" i="17"/>
  <c r="M457" i="17"/>
  <c r="M445" i="17"/>
  <c r="M441" i="17"/>
  <c r="M444" i="17"/>
  <c r="M458" i="17"/>
  <c r="M434" i="17"/>
  <c r="M447" i="17"/>
  <c r="M450" i="17"/>
  <c r="M433" i="17"/>
  <c r="M692" i="17"/>
  <c r="M906" i="17"/>
  <c r="M688" i="17"/>
  <c r="M705" i="17"/>
  <c r="M905" i="17"/>
  <c r="M306" i="17"/>
  <c r="M307" i="17"/>
  <c r="M308" i="17"/>
  <c r="M304" i="17"/>
  <c r="M166" i="17"/>
  <c r="M161" i="17"/>
  <c r="M175" i="17"/>
  <c r="M174" i="17"/>
  <c r="M163" i="17"/>
  <c r="M167" i="17"/>
  <c r="M172" i="17"/>
  <c r="M176" i="17"/>
  <c r="M168" i="17"/>
  <c r="M164" i="17"/>
  <c r="M169" i="17"/>
  <c r="M171" i="17"/>
  <c r="M173" i="17"/>
  <c r="M189" i="17"/>
  <c r="M194" i="17"/>
  <c r="M195" i="17"/>
  <c r="M193" i="17"/>
  <c r="M196" i="17"/>
  <c r="M246" i="17"/>
  <c r="M245" i="17"/>
  <c r="M289" i="17"/>
  <c r="M290" i="17"/>
  <c r="M291" i="17"/>
  <c r="M286" i="17"/>
  <c r="M927" i="17"/>
  <c r="M297" i="17"/>
  <c r="M287" i="17"/>
  <c r="M285" i="17"/>
  <c r="M293" i="17"/>
  <c r="M298" i="17"/>
  <c r="M292" i="17"/>
  <c r="M294" i="17"/>
  <c r="M288" i="17"/>
  <c r="M535" i="17"/>
  <c r="M536" i="17"/>
  <c r="M382" i="17"/>
  <c r="M385" i="17"/>
  <c r="M384" i="17"/>
  <c r="M381" i="17"/>
  <c r="M383" i="17"/>
  <c r="M380" i="17"/>
  <c r="M583" i="17"/>
  <c r="M578" i="17"/>
  <c r="M586" i="17"/>
  <c r="M916" i="17"/>
  <c r="M890" i="17"/>
  <c r="M917" i="17"/>
  <c r="M891" i="17"/>
  <c r="M589" i="17"/>
  <c r="M594" i="17"/>
  <c r="M591" i="17"/>
  <c r="M597" i="17"/>
  <c r="M598" i="17"/>
  <c r="M596" i="17"/>
  <c r="M599" i="17"/>
  <c r="M592" i="17"/>
  <c r="M593" i="17"/>
  <c r="M595" i="17"/>
  <c r="M600" i="17"/>
  <c r="M590" i="17"/>
  <c r="M781" i="17"/>
  <c r="M780" i="17"/>
  <c r="M778" i="17"/>
  <c r="M782" i="17"/>
  <c r="M854" i="17"/>
  <c r="M860" i="17"/>
  <c r="M45" i="17"/>
  <c r="M27" i="17"/>
  <c r="M47" i="17"/>
  <c r="M49" i="17"/>
  <c r="M64" i="17"/>
  <c r="M43" i="17"/>
  <c r="M326" i="17"/>
  <c r="M332" i="17"/>
  <c r="M327" i="17"/>
  <c r="M329" i="17"/>
  <c r="M335" i="17"/>
  <c r="M325" i="17"/>
  <c r="M328" i="17"/>
  <c r="M333" i="17"/>
  <c r="M331" i="17"/>
  <c r="M334" i="17"/>
  <c r="M330" i="17"/>
  <c r="M324" i="17"/>
  <c r="M378" i="17"/>
  <c r="M364" i="17"/>
  <c r="M375" i="17"/>
  <c r="M367" i="17"/>
  <c r="M369" i="17"/>
  <c r="M372" i="17"/>
  <c r="M363" i="17"/>
  <c r="M377" i="17"/>
  <c r="M379" i="17"/>
  <c r="M365" i="17"/>
  <c r="M373" i="17"/>
  <c r="M366" i="17"/>
  <c r="M368" i="17"/>
  <c r="M362" i="17"/>
  <c r="M370" i="17"/>
  <c r="M374" i="17"/>
  <c r="M376" i="17"/>
  <c r="M371" i="17"/>
  <c r="M620" i="17"/>
  <c r="M613" i="17"/>
  <c r="M605" i="17"/>
  <c r="M621" i="17"/>
  <c r="M626" i="17"/>
  <c r="M610" i="17"/>
  <c r="M618" i="17"/>
  <c r="M609" i="17"/>
  <c r="M622" i="17"/>
  <c r="M608" i="17"/>
  <c r="M619" i="17"/>
  <c r="M627" i="17"/>
  <c r="M617" i="17"/>
  <c r="M623" i="17"/>
  <c r="M616" i="17"/>
  <c r="M625" i="17"/>
  <c r="M910" i="17"/>
  <c r="M606" i="17"/>
  <c r="M624" i="17"/>
  <c r="M604" i="17"/>
  <c r="M611" i="17"/>
  <c r="M615" i="17"/>
  <c r="M612" i="17"/>
  <c r="M614" i="17"/>
  <c r="M607" i="17"/>
  <c r="M602" i="17"/>
  <c r="M601" i="17"/>
  <c r="M431" i="17"/>
  <c r="M432" i="17"/>
  <c r="M430" i="17"/>
  <c r="M429" i="17"/>
  <c r="M881" i="17"/>
  <c r="M882" i="17"/>
  <c r="M669" i="17"/>
  <c r="M660" i="17"/>
  <c r="M661" i="17"/>
  <c r="M677" i="17"/>
  <c r="M668" i="17"/>
  <c r="M673" i="17"/>
  <c r="M662" i="17"/>
  <c r="M674" i="17"/>
  <c r="M676" i="17"/>
  <c r="M663" i="17"/>
  <c r="M666" i="17"/>
  <c r="M664" i="17"/>
  <c r="M665" i="17"/>
  <c r="M671" i="17"/>
  <c r="M670" i="17"/>
  <c r="M675" i="17"/>
  <c r="M667" i="17"/>
  <c r="M672" i="17"/>
  <c r="M587" i="17"/>
  <c r="M579" i="17"/>
  <c r="M575" i="17"/>
  <c r="M889" i="17"/>
  <c r="M582" i="17"/>
  <c r="M588" i="17"/>
  <c r="M577" i="17"/>
  <c r="M584" i="17"/>
  <c r="M576" i="17"/>
  <c r="M928" i="17"/>
  <c r="M912" i="17"/>
  <c r="M580" i="17"/>
  <c r="M888" i="17"/>
  <c r="M585" i="17"/>
  <c r="M581" i="17"/>
  <c r="M740" i="17"/>
  <c r="M751" i="17"/>
  <c r="M735" i="17"/>
  <c r="M734" i="17"/>
  <c r="M748" i="17"/>
  <c r="M743" i="17"/>
  <c r="M738" i="17"/>
  <c r="M753" i="17"/>
  <c r="M739" i="17"/>
  <c r="M744" i="17"/>
  <c r="M752" i="17"/>
  <c r="M741" i="17"/>
  <c r="M732" i="17"/>
  <c r="M724" i="17"/>
  <c r="M716" i="17"/>
  <c r="M711" i="17"/>
  <c r="M730" i="17"/>
  <c r="M714" i="17"/>
  <c r="M710" i="17"/>
  <c r="M727" i="17"/>
  <c r="M726" i="17"/>
  <c r="M720" i="17"/>
  <c r="M717" i="17"/>
  <c r="M715" i="17"/>
  <c r="M733" i="17"/>
  <c r="M723" i="17"/>
  <c r="M719" i="17"/>
  <c r="M725" i="17"/>
  <c r="M729" i="17"/>
  <c r="M731" i="17"/>
  <c r="M718" i="17"/>
  <c r="M712" i="17"/>
  <c r="M722" i="17"/>
  <c r="M713" i="17"/>
  <c r="M728" i="17"/>
  <c r="M721" i="17"/>
  <c r="M646" i="17"/>
  <c r="M650" i="17"/>
  <c r="M652" i="17"/>
  <c r="M644" i="17"/>
  <c r="M645" i="17"/>
  <c r="M653" i="17"/>
  <c r="M651" i="17"/>
  <c r="M649" i="17"/>
  <c r="M648" i="17"/>
  <c r="M647" i="17"/>
  <c r="M50" i="17"/>
  <c r="M54" i="17"/>
  <c r="M58" i="17"/>
  <c r="M74" i="17"/>
  <c r="M52" i="17"/>
  <c r="M60" i="17"/>
  <c r="M63" i="17"/>
  <c r="M77" i="17"/>
  <c r="M56" i="17"/>
  <c r="M55" i="17"/>
  <c r="M71" i="17"/>
  <c r="M46" i="17"/>
  <c r="M61" i="17"/>
  <c r="M53" i="17"/>
  <c r="M51" i="17"/>
  <c r="M59" i="17"/>
  <c r="M42" i="17"/>
  <c r="M65" i="17"/>
  <c r="M62" i="17"/>
  <c r="M66" i="17"/>
  <c r="M75" i="17"/>
  <c r="M76" i="17"/>
  <c r="M68" i="17"/>
  <c r="M73" i="17"/>
  <c r="M48" i="17"/>
  <c r="M67" i="17"/>
  <c r="M69" i="17"/>
  <c r="M72" i="17"/>
  <c r="M41" i="17"/>
  <c r="M321" i="17"/>
  <c r="M320" i="17"/>
  <c r="M312" i="17"/>
  <c r="M313" i="17"/>
  <c r="M318" i="17"/>
  <c r="M316" i="17"/>
  <c r="M317" i="17"/>
  <c r="M311" i="17"/>
  <c r="M322" i="17"/>
  <c r="M319" i="17"/>
  <c r="M314" i="17"/>
  <c r="M315" i="17"/>
  <c r="M309" i="17"/>
  <c r="M323" i="17"/>
  <c r="M310" i="17"/>
  <c r="M244" i="17"/>
  <c r="M247" i="17"/>
  <c r="M419" i="17"/>
  <c r="M418" i="17"/>
  <c r="M416" i="17"/>
  <c r="M538" i="17"/>
  <c r="M539" i="17"/>
  <c r="M158" i="17"/>
  <c r="M153" i="17"/>
  <c r="M147" i="17"/>
  <c r="M146" i="17"/>
  <c r="M155" i="17"/>
  <c r="M151" i="17"/>
  <c r="M157" i="17"/>
  <c r="M154" i="17"/>
  <c r="M150" i="17"/>
  <c r="M159" i="17"/>
  <c r="M152" i="17"/>
  <c r="M149" i="17"/>
  <c r="M160" i="17"/>
  <c r="M148" i="17"/>
  <c r="M156" i="17"/>
  <c r="M187" i="17"/>
  <c r="M183" i="17"/>
  <c r="M180" i="17"/>
  <c r="M184" i="17"/>
  <c r="M179" i="17"/>
  <c r="M901" i="17"/>
  <c r="M181" i="17"/>
  <c r="M185" i="17"/>
  <c r="M186" i="17"/>
  <c r="M178" i="17"/>
  <c r="M177" i="17"/>
  <c r="M182" i="17"/>
  <c r="M299" i="17"/>
  <c r="M305" i="17"/>
  <c r="M303" i="17"/>
  <c r="M300" i="17"/>
  <c r="M301" i="17"/>
  <c r="M637" i="17"/>
  <c r="M632" i="17"/>
  <c r="M634" i="17"/>
  <c r="M642" i="17"/>
  <c r="M641" i="17"/>
  <c r="M628" i="17"/>
  <c r="M631" i="17"/>
  <c r="M639" i="17"/>
  <c r="M633" i="17"/>
  <c r="M629" i="17"/>
  <c r="M643" i="17"/>
  <c r="M638" i="17"/>
  <c r="M636" i="17"/>
  <c r="M654" i="17"/>
  <c r="M640" i="17"/>
  <c r="M630" i="17"/>
  <c r="M635" i="17"/>
  <c r="M919" i="17"/>
  <c r="M918" i="17"/>
  <c r="M879" i="17"/>
  <c r="M603" i="17"/>
  <c r="M880" i="17"/>
  <c r="M658" i="17"/>
  <c r="M656" i="17"/>
  <c r="M657" i="17"/>
  <c r="M659" i="17"/>
  <c r="M655" i="17"/>
  <c r="M833" i="17"/>
  <c r="M838" i="17"/>
  <c r="M841" i="17"/>
  <c r="M849" i="17"/>
  <c r="M858" i="17"/>
  <c r="M834" i="17"/>
  <c r="M845" i="17"/>
  <c r="M842" i="17"/>
  <c r="M850" i="17"/>
  <c r="M836" i="17"/>
  <c r="M859" i="17"/>
  <c r="M929" i="17"/>
  <c r="M856" i="17"/>
  <c r="M848" i="17"/>
  <c r="M851" i="17"/>
  <c r="M840" i="17"/>
  <c r="M897" i="17"/>
  <c r="M896" i="17"/>
  <c r="M699" i="17"/>
  <c r="M922" i="17"/>
  <c r="M682" i="17"/>
  <c r="M684" i="17"/>
  <c r="M708" i="17"/>
  <c r="M695" i="17"/>
  <c r="M700" i="17"/>
  <c r="M691" i="17"/>
  <c r="M679" i="17"/>
  <c r="M686" i="17"/>
  <c r="M694" i="17"/>
  <c r="M687" i="17"/>
  <c r="M690" i="17"/>
  <c r="M706" i="17"/>
  <c r="M698" i="17"/>
  <c r="M678" i="17"/>
  <c r="M702" i="17"/>
  <c r="M704" i="17"/>
  <c r="M709" i="17"/>
  <c r="M683" i="17"/>
  <c r="M707" i="17"/>
  <c r="M693" i="17"/>
  <c r="M697" i="17"/>
  <c r="M701" i="17"/>
  <c r="M689" i="17"/>
  <c r="M680" i="17"/>
  <c r="M696" i="17"/>
  <c r="M138" i="17"/>
  <c r="M875" i="17"/>
  <c r="M139" i="17"/>
  <c r="M141" i="17"/>
  <c r="M900" i="17"/>
  <c r="M571" i="17"/>
  <c r="M573" i="17"/>
  <c r="M574" i="17"/>
  <c r="M572" i="17"/>
  <c r="M570" i="17"/>
  <c r="DJ261" i="6"/>
  <c r="DJ196" i="6"/>
  <c r="M8" i="23"/>
  <c r="AR9" i="6"/>
  <c r="AT4" i="6"/>
  <c r="EI4" i="6" s="1"/>
  <c r="ET4" i="6" s="1"/>
  <c r="M273" i="23" l="1"/>
  <c r="M277" i="23"/>
  <c r="M276" i="23"/>
  <c r="M275" i="23"/>
  <c r="M269" i="23"/>
  <c r="M281" i="23"/>
  <c r="M279" i="23"/>
  <c r="M271" i="23"/>
  <c r="M272" i="23"/>
  <c r="M278" i="23"/>
  <c r="M270" i="23"/>
  <c r="M280" i="23"/>
  <c r="M274" i="23"/>
  <c r="M452" i="22"/>
  <c r="M797" i="22"/>
  <c r="M796" i="22"/>
  <c r="M555" i="17"/>
  <c r="M898" i="17"/>
  <c r="M914" i="17"/>
  <c r="M899" i="17"/>
  <c r="M913" i="17"/>
  <c r="AE244" i="6"/>
  <c r="Z244" i="6" s="1"/>
  <c r="AE243" i="6"/>
  <c r="Z243" i="6" s="1"/>
  <c r="AE251" i="6"/>
  <c r="Z251" i="6" s="1"/>
  <c r="AE242" i="6"/>
  <c r="Z242" i="6" s="1"/>
  <c r="AE246" i="6"/>
  <c r="Z246" i="6" s="1"/>
  <c r="AE221" i="6"/>
  <c r="Z221" i="6" s="1"/>
  <c r="AE245" i="6"/>
  <c r="Z245" i="6" s="1"/>
  <c r="AE207" i="6"/>
  <c r="Z207" i="6" s="1"/>
  <c r="AE204" i="6"/>
  <c r="Z204" i="6" s="1"/>
  <c r="AE197" i="6"/>
  <c r="Z197" i="6" s="1"/>
  <c r="AE220" i="6"/>
  <c r="Z220" i="6" s="1"/>
  <c r="AE198" i="6"/>
  <c r="Z198" i="6" s="1"/>
  <c r="AE206" i="6"/>
  <c r="Z206" i="6" s="1"/>
  <c r="AE218" i="6"/>
  <c r="Z218" i="6" s="1"/>
  <c r="AE199" i="6"/>
  <c r="Z199" i="6" s="1"/>
  <c r="AE219" i="6"/>
  <c r="Z219" i="6" s="1"/>
  <c r="AE205" i="6"/>
  <c r="Z205" i="6" s="1"/>
  <c r="AE142" i="6"/>
  <c r="Z142" i="6" s="1"/>
  <c r="AE132" i="6"/>
  <c r="Z132" i="6" s="1"/>
  <c r="AE131" i="6"/>
  <c r="Z131" i="6" s="1"/>
  <c r="AE150" i="6"/>
  <c r="Z150" i="6" s="1"/>
  <c r="AE152" i="6"/>
  <c r="Z152" i="6" s="1"/>
  <c r="AE151" i="6"/>
  <c r="Z151" i="6" s="1"/>
  <c r="AE140" i="6"/>
  <c r="Z140" i="6" s="1"/>
  <c r="AE153" i="6"/>
  <c r="Z153" i="6" s="1"/>
  <c r="AE143" i="6"/>
  <c r="Z143" i="6" s="1"/>
  <c r="AE139" i="6"/>
  <c r="Z139" i="6" s="1"/>
  <c r="AE189" i="6"/>
  <c r="Z189" i="6" s="1"/>
  <c r="AE163" i="6"/>
  <c r="Z163" i="6" s="1"/>
  <c r="AE157" i="6"/>
  <c r="Z157" i="6" s="1"/>
  <c r="AE149" i="6"/>
  <c r="Z149" i="6" s="1"/>
  <c r="AE136" i="6"/>
  <c r="Z136" i="6" s="1"/>
  <c r="AE133" i="6"/>
  <c r="Z133" i="6" s="1"/>
  <c r="AE134" i="6"/>
  <c r="Z134" i="6" s="1"/>
  <c r="AE130" i="6"/>
  <c r="AE101" i="6"/>
  <c r="Z101" i="6" s="1"/>
  <c r="AE135" i="6"/>
  <c r="Z135" i="6" s="1"/>
  <c r="AE141" i="6"/>
  <c r="Z141" i="6" s="1"/>
  <c r="AE137" i="6"/>
  <c r="Z137" i="6" s="1"/>
  <c r="AE104" i="6"/>
  <c r="Z104" i="6" s="1"/>
  <c r="AE138" i="6"/>
  <c r="Z138" i="6" s="1"/>
  <c r="AE128" i="6"/>
  <c r="Z128" i="6" s="1"/>
  <c r="AE91" i="6"/>
  <c r="Z91" i="6" s="1"/>
  <c r="AE90" i="6"/>
  <c r="Z90" i="6" s="1"/>
  <c r="AE89" i="6"/>
  <c r="Z89" i="6" s="1"/>
  <c r="AE148" i="6"/>
  <c r="Z148" i="6" s="1"/>
  <c r="AE129" i="6"/>
  <c r="Z129" i="6" s="1"/>
  <c r="AE127" i="6"/>
  <c r="AE126" i="6"/>
  <c r="AE100" i="6"/>
  <c r="Z100" i="6" s="1"/>
  <c r="AE92" i="6"/>
  <c r="Z92" i="6" s="1"/>
  <c r="AE103" i="6"/>
  <c r="Z103" i="6" s="1"/>
  <c r="AE99" i="6"/>
  <c r="Z99" i="6" s="1"/>
  <c r="AE57" i="6"/>
  <c r="Z57" i="6" s="1"/>
  <c r="AE77" i="6"/>
  <c r="Z77" i="6" s="1"/>
  <c r="AE53" i="6"/>
  <c r="Z53" i="6" s="1"/>
  <c r="AE41" i="6"/>
  <c r="Z41" i="6" s="1"/>
  <c r="AE58" i="6"/>
  <c r="Z58" i="6" s="1"/>
  <c r="AE43" i="6"/>
  <c r="Z43" i="6" s="1"/>
  <c r="AE55" i="6"/>
  <c r="Z55" i="6" s="1"/>
  <c r="AE54" i="6"/>
  <c r="Z54" i="6" s="1"/>
  <c r="AE44" i="6"/>
  <c r="Z44" i="6" s="1"/>
  <c r="AE88" i="6"/>
  <c r="Z88" i="6" s="1"/>
  <c r="AE78" i="6"/>
  <c r="Z78" i="6" s="1"/>
  <c r="AE59" i="6"/>
  <c r="Z59" i="6" s="1"/>
  <c r="AE56" i="6"/>
  <c r="Z56" i="6" s="1"/>
  <c r="AE79" i="6"/>
  <c r="Z79" i="6" s="1"/>
  <c r="AE61" i="6"/>
  <c r="Z61" i="6" s="1"/>
  <c r="AE60" i="6"/>
  <c r="Z60" i="6" s="1"/>
  <c r="M8" i="22"/>
  <c r="AU2" i="6"/>
  <c r="BU162" i="6" s="1"/>
  <c r="FZ148" i="6" l="1"/>
  <c r="FW148" i="6" s="1"/>
  <c r="Z130" i="6"/>
  <c r="BD130" i="6"/>
  <c r="BC130" i="6"/>
  <c r="EU162" i="6"/>
  <c r="Z126" i="6"/>
  <c r="BD126" i="6"/>
  <c r="BC126" i="6"/>
  <c r="BD127" i="6"/>
  <c r="Z127" i="6"/>
  <c r="BC127" i="6"/>
  <c r="FZ59" i="6"/>
  <c r="FW59" i="6" s="1"/>
  <c r="FZ131" i="6"/>
  <c r="FW131" i="6" s="1"/>
  <c r="FZ79" i="6"/>
  <c r="FW79" i="6" s="1"/>
  <c r="Y290" i="22" s="1"/>
  <c r="FZ138" i="6"/>
  <c r="FW138" i="6" s="1"/>
  <c r="Y143" i="23" s="1"/>
  <c r="FZ91" i="6"/>
  <c r="FW91" i="6" s="1"/>
  <c r="Y94" i="23" s="1"/>
  <c r="FZ92" i="6"/>
  <c r="FW92" i="6" s="1"/>
  <c r="FZ61" i="6"/>
  <c r="FW61" i="6" s="1"/>
  <c r="FZ56" i="6"/>
  <c r="FW56" i="6" s="1"/>
  <c r="FZ132" i="6"/>
  <c r="FW132" i="6" s="1"/>
  <c r="Y150" i="23" s="1"/>
  <c r="FZ141" i="6"/>
  <c r="FW141" i="6" s="1"/>
  <c r="FZ43" i="6"/>
  <c r="FW43" i="6" s="1"/>
  <c r="FZ90" i="6"/>
  <c r="FW90" i="6" s="1"/>
  <c r="FZ103" i="6"/>
  <c r="FW103" i="6" s="1"/>
  <c r="Y24" i="23" s="1"/>
  <c r="FZ152" i="6"/>
  <c r="FW152" i="6" s="1"/>
  <c r="FZ136" i="6"/>
  <c r="FW136" i="6" s="1"/>
  <c r="Y157" i="23" s="1"/>
  <c r="FZ41" i="6"/>
  <c r="FW41" i="6" s="1"/>
  <c r="FZ55" i="6"/>
  <c r="FW55" i="6" s="1"/>
  <c r="FZ58" i="6"/>
  <c r="FW58" i="6" s="1"/>
  <c r="FZ137" i="6"/>
  <c r="FW137" i="6" s="1"/>
  <c r="FZ153" i="6"/>
  <c r="FW153" i="6" s="1"/>
  <c r="FZ144" i="6"/>
  <c r="FW144" i="6" s="1"/>
  <c r="FZ89" i="6"/>
  <c r="FW89" i="6" s="1"/>
  <c r="FZ133" i="6"/>
  <c r="FW133" i="6" s="1"/>
  <c r="FZ163" i="6"/>
  <c r="FW163" i="6" s="1"/>
  <c r="FZ149" i="6"/>
  <c r="FW149" i="6" s="1"/>
  <c r="FZ44" i="6"/>
  <c r="FW44" i="6" s="1"/>
  <c r="Y17" i="23" s="1"/>
  <c r="FZ54" i="6"/>
  <c r="FW54" i="6" s="1"/>
  <c r="FZ57" i="6"/>
  <c r="FW57" i="6" s="1"/>
  <c r="FZ135" i="6"/>
  <c r="FW135" i="6" s="1"/>
  <c r="FZ151" i="6"/>
  <c r="FW151" i="6" s="1"/>
  <c r="Y299" i="23" s="1"/>
  <c r="FZ60" i="6"/>
  <c r="FW60" i="6" s="1"/>
  <c r="Y23" i="23" s="1"/>
  <c r="FZ139" i="6"/>
  <c r="FW139" i="6" s="1"/>
  <c r="Y517" i="17" l="1"/>
  <c r="Y241" i="23"/>
  <c r="Y237" i="23"/>
  <c r="Y516" i="17"/>
  <c r="Y505" i="17"/>
  <c r="Y508" i="17"/>
  <c r="Y522" i="17"/>
  <c r="Y235" i="23"/>
  <c r="Y238" i="23"/>
  <c r="Y242" i="23"/>
  <c r="Y506" i="17"/>
  <c r="Y509" i="17"/>
  <c r="Y514" i="17"/>
  <c r="Y521" i="17"/>
  <c r="Y239" i="23"/>
  <c r="Y375" i="22"/>
  <c r="Y240" i="23"/>
  <c r="Y236" i="23"/>
  <c r="Y519" i="17"/>
  <c r="Y515" i="17"/>
  <c r="Y513" i="17"/>
  <c r="Y518" i="17"/>
  <c r="Y520" i="17"/>
  <c r="Y507" i="17"/>
  <c r="Y510" i="17"/>
  <c r="Y512" i="17"/>
  <c r="Y511" i="17"/>
  <c r="Y355" i="23"/>
  <c r="Y806" i="22"/>
  <c r="Y920" i="17"/>
  <c r="Y90" i="23"/>
  <c r="Y89" i="23"/>
  <c r="Y91" i="23"/>
  <c r="Y86" i="23"/>
  <c r="Y85" i="23"/>
  <c r="Y84" i="23"/>
  <c r="Y92" i="23"/>
  <c r="Y83" i="23"/>
  <c r="Y81" i="23"/>
  <c r="Y308" i="23"/>
  <c r="Y306" i="23"/>
  <c r="Y158" i="23"/>
  <c r="Y165" i="23"/>
  <c r="Y154" i="23"/>
  <c r="Y155" i="23"/>
  <c r="Y161" i="23"/>
  <c r="Y164" i="23"/>
  <c r="Y160" i="23"/>
  <c r="Y167" i="23"/>
  <c r="Y163" i="23"/>
  <c r="Y156" i="23"/>
  <c r="Y159" i="23"/>
  <c r="Y168" i="23"/>
  <c r="Y307" i="23"/>
  <c r="Y310" i="23"/>
  <c r="Y309" i="23"/>
  <c r="Y80" i="23"/>
  <c r="Y87" i="23"/>
  <c r="Y88" i="23"/>
  <c r="Y82" i="23"/>
  <c r="Y79" i="23"/>
  <c r="Y41" i="23"/>
  <c r="Y36" i="23"/>
  <c r="Y43" i="23"/>
  <c r="Y44" i="23"/>
  <c r="Y37" i="23"/>
  <c r="Y39" i="23"/>
  <c r="Y302" i="23"/>
  <c r="Y304" i="23"/>
  <c r="Y300" i="23"/>
  <c r="Y303" i="23"/>
  <c r="Y305" i="23"/>
  <c r="Y301" i="23"/>
  <c r="Y27" i="23"/>
  <c r="Y30" i="23"/>
  <c r="Y31" i="23"/>
  <c r="Y28" i="23"/>
  <c r="Y32" i="23"/>
  <c r="Y34" i="23"/>
  <c r="Y33" i="23"/>
  <c r="Y26" i="23"/>
  <c r="Y29" i="23"/>
  <c r="Y22" i="23"/>
  <c r="Y21" i="23"/>
  <c r="Y464" i="22"/>
  <c r="Y343" i="22"/>
  <c r="Y352" i="22"/>
  <c r="Y354" i="22"/>
  <c r="Y347" i="22"/>
  <c r="Y353" i="22"/>
  <c r="Y355" i="22"/>
  <c r="Y351" i="22"/>
  <c r="Y350" i="22"/>
  <c r="Y346" i="22"/>
  <c r="Y349" i="22"/>
  <c r="Y463" i="22"/>
  <c r="Y465" i="22"/>
  <c r="Y198" i="22"/>
  <c r="Y196" i="22"/>
  <c r="Y778" i="22"/>
  <c r="Y813" i="22"/>
  <c r="Y197" i="22"/>
  <c r="Y195" i="22"/>
  <c r="Y305" i="22"/>
  <c r="Y306" i="22"/>
  <c r="Y181" i="22"/>
  <c r="Y182" i="22"/>
  <c r="Y174" i="22"/>
  <c r="Y457" i="22"/>
  <c r="Y462" i="22"/>
  <c r="Y184" i="22"/>
  <c r="Y192" i="22"/>
  <c r="Y193" i="22"/>
  <c r="Y190" i="22"/>
  <c r="Y188" i="22"/>
  <c r="Y186" i="22"/>
  <c r="Y191" i="22"/>
  <c r="Y189" i="22"/>
  <c r="Y304" i="22"/>
  <c r="Y303" i="22"/>
  <c r="Y214" i="22"/>
  <c r="Y233" i="22"/>
  <c r="Y218" i="22"/>
  <c r="Y219" i="22"/>
  <c r="Y234" i="22"/>
  <c r="Y210" i="22"/>
  <c r="Y212" i="22"/>
  <c r="Y209" i="22"/>
  <c r="Y211" i="22"/>
  <c r="Y119" i="22"/>
  <c r="Y121" i="22"/>
  <c r="Y117" i="22"/>
  <c r="Y120" i="22"/>
  <c r="Y118" i="22"/>
  <c r="Y115" i="22"/>
  <c r="Y116" i="22"/>
  <c r="Y461" i="22"/>
  <c r="Y460" i="22"/>
  <c r="Y458" i="22"/>
  <c r="Y459" i="22"/>
  <c r="Y206" i="22"/>
  <c r="Y208" i="22"/>
  <c r="Y207" i="22"/>
  <c r="Y205" i="22"/>
  <c r="Y204" i="22"/>
  <c r="Y168" i="22"/>
  <c r="Y166" i="22"/>
  <c r="Y176" i="22"/>
  <c r="Y171" i="22"/>
  <c r="Y172" i="22"/>
  <c r="Y170" i="22"/>
  <c r="Y179" i="22"/>
  <c r="Y178" i="22"/>
  <c r="Y180" i="22"/>
  <c r="Y169" i="22"/>
  <c r="Y177" i="22"/>
  <c r="Y173" i="22"/>
  <c r="Y165" i="22"/>
  <c r="Y167" i="22"/>
  <c r="Y175" i="22"/>
  <c r="Y103" i="22"/>
  <c r="Y111" i="22"/>
  <c r="Y107" i="22"/>
  <c r="Y114" i="22"/>
  <c r="Y772" i="22"/>
  <c r="Y105" i="22"/>
  <c r="Y109" i="22"/>
  <c r="Y106" i="22"/>
  <c r="Y104" i="22"/>
  <c r="Y108" i="22"/>
  <c r="Y113" i="22"/>
  <c r="Y112" i="22"/>
  <c r="Y110" i="22"/>
  <c r="Y194" i="22"/>
  <c r="Y183" i="22"/>
  <c r="Y187" i="22"/>
  <c r="Y185" i="22"/>
  <c r="Y558" i="17"/>
  <c r="Y249" i="17"/>
  <c r="Y248" i="17"/>
  <c r="Y245" i="17"/>
  <c r="Y246" i="17"/>
  <c r="Y256" i="17"/>
  <c r="Y257" i="17"/>
  <c r="Y258" i="17"/>
  <c r="Y255" i="17"/>
  <c r="Y394" i="17"/>
  <c r="Y405" i="17"/>
  <c r="Y396" i="17"/>
  <c r="Y393" i="17"/>
  <c r="Y397" i="17"/>
  <c r="Y407" i="17"/>
  <c r="Y162" i="17"/>
  <c r="Y165" i="17"/>
  <c r="Y170" i="17"/>
  <c r="Y147" i="17"/>
  <c r="Y153" i="17"/>
  <c r="Y158" i="17"/>
  <c r="Y159" i="17"/>
  <c r="Y150" i="17"/>
  <c r="Y154" i="17"/>
  <c r="Y155" i="17"/>
  <c r="Y157" i="17"/>
  <c r="Y151" i="17"/>
  <c r="Y146" i="17"/>
  <c r="Y148" i="17"/>
  <c r="Y152" i="17"/>
  <c r="Y149" i="17"/>
  <c r="Y160" i="17"/>
  <c r="Y156" i="17"/>
  <c r="Y395" i="17"/>
  <c r="Y403" i="17"/>
  <c r="Y398" i="17"/>
  <c r="Y390" i="17"/>
  <c r="Y404" i="17"/>
  <c r="Y401" i="17"/>
  <c r="Y402" i="17"/>
  <c r="Y392" i="17"/>
  <c r="Y406" i="17"/>
  <c r="Y391" i="17"/>
  <c r="Y400" i="17"/>
  <c r="Y399" i="17"/>
  <c r="Y557" i="17"/>
  <c r="Y560" i="17"/>
  <c r="Y559" i="17"/>
  <c r="Y456" i="17"/>
  <c r="Y440" i="17"/>
  <c r="Y443" i="17"/>
  <c r="Y452" i="17"/>
  <c r="Y448" i="17"/>
  <c r="Y442" i="17"/>
  <c r="Y454" i="17"/>
  <c r="Y904" i="17"/>
  <c r="Y439" i="17"/>
  <c r="Y453" i="17"/>
  <c r="Y436" i="17"/>
  <c r="Y435" i="17"/>
  <c r="Y455" i="17"/>
  <c r="Y449" i="17"/>
  <c r="Y446" i="17"/>
  <c r="Y438" i="17"/>
  <c r="Y459" i="17"/>
  <c r="Y437" i="17"/>
  <c r="Y244" i="17"/>
  <c r="Y247" i="17"/>
  <c r="Y563" i="17"/>
  <c r="Y562" i="17"/>
  <c r="Y561" i="17"/>
  <c r="Y387" i="17"/>
  <c r="Y386" i="17"/>
  <c r="Y388" i="17"/>
  <c r="Y389" i="17"/>
  <c r="Y260" i="17"/>
  <c r="Y261" i="17"/>
  <c r="Y259" i="17"/>
  <c r="Y263" i="17"/>
  <c r="Y161" i="17"/>
  <c r="Y166" i="17"/>
  <c r="Y167" i="17"/>
  <c r="Y176" i="17"/>
  <c r="Y163" i="17"/>
  <c r="Y174" i="17"/>
  <c r="Y175" i="17"/>
  <c r="Y172" i="17"/>
  <c r="Y169" i="17"/>
  <c r="Y164" i="17"/>
  <c r="Y168" i="17"/>
  <c r="Y171" i="17"/>
  <c r="Y173" i="17"/>
  <c r="FY148" i="6"/>
  <c r="FX148" i="6"/>
  <c r="FX54" i="6"/>
  <c r="FY54" i="6"/>
  <c r="FX149" i="6"/>
  <c r="FY149" i="6"/>
  <c r="FX58" i="6"/>
  <c r="FY58" i="6"/>
  <c r="FX163" i="6"/>
  <c r="FY163" i="6"/>
  <c r="FX55" i="6"/>
  <c r="FY55" i="6"/>
  <c r="FX141" i="6"/>
  <c r="FY141" i="6"/>
  <c r="FX79" i="6"/>
  <c r="Z290" i="22" s="1"/>
  <c r="FY79" i="6"/>
  <c r="AA290" i="22" s="1"/>
  <c r="FX41" i="6"/>
  <c r="FY41" i="6"/>
  <c r="FX132" i="6"/>
  <c r="Z150" i="23" s="1"/>
  <c r="FY132" i="6"/>
  <c r="AA150" i="23" s="1"/>
  <c r="FX151" i="6"/>
  <c r="Z299" i="23" s="1"/>
  <c r="FY151" i="6"/>
  <c r="AA299" i="23" s="1"/>
  <c r="FX59" i="6"/>
  <c r="FY59" i="6"/>
  <c r="FX136" i="6"/>
  <c r="Z157" i="23" s="1"/>
  <c r="FY136" i="6"/>
  <c r="AA157" i="23" s="1"/>
  <c r="FX56" i="6"/>
  <c r="FY56" i="6"/>
  <c r="FX131" i="6"/>
  <c r="FY131" i="6"/>
  <c r="FX60" i="6"/>
  <c r="Z23" i="23" s="1"/>
  <c r="FY60" i="6"/>
  <c r="AA23" i="23" s="1"/>
  <c r="FX152" i="6"/>
  <c r="FY152" i="6"/>
  <c r="FX61" i="6"/>
  <c r="FY61" i="6"/>
  <c r="FX133" i="6"/>
  <c r="FY133" i="6"/>
  <c r="FX135" i="6"/>
  <c r="FY135" i="6"/>
  <c r="FX89" i="6"/>
  <c r="FY89" i="6"/>
  <c r="FX57" i="6"/>
  <c r="FY57" i="6"/>
  <c r="FX144" i="6"/>
  <c r="FY144" i="6"/>
  <c r="FX103" i="6"/>
  <c r="Z24" i="23" s="1"/>
  <c r="FY103" i="6"/>
  <c r="AA24" i="23" s="1"/>
  <c r="FX92" i="6"/>
  <c r="FY92" i="6"/>
  <c r="FX153" i="6"/>
  <c r="FY153" i="6"/>
  <c r="FX90" i="6"/>
  <c r="FY90" i="6"/>
  <c r="FX139" i="6"/>
  <c r="FY139" i="6"/>
  <c r="FX44" i="6"/>
  <c r="Z17" i="23" s="1"/>
  <c r="FY44" i="6"/>
  <c r="AA17" i="23" s="1"/>
  <c r="FX137" i="6"/>
  <c r="FY137" i="6"/>
  <c r="FX43" i="6"/>
  <c r="FY43" i="6"/>
  <c r="FX91" i="6"/>
  <c r="Z94" i="23" s="1"/>
  <c r="FY91" i="6"/>
  <c r="AA94" i="23" s="1"/>
  <c r="FX138" i="6"/>
  <c r="Z143" i="23" s="1"/>
  <c r="FY138" i="6"/>
  <c r="AA143" i="23" s="1"/>
  <c r="FZ104" i="6"/>
  <c r="FW104" i="6" s="1"/>
  <c r="Y25" i="23" s="1"/>
  <c r="FZ197" i="6"/>
  <c r="FW197" i="6" s="1"/>
  <c r="Y825" i="22" s="1"/>
  <c r="FZ78" i="6"/>
  <c r="FW78" i="6" s="1"/>
  <c r="FZ150" i="6"/>
  <c r="FW150" i="6" s="1"/>
  <c r="Y909" i="17" s="1"/>
  <c r="FZ77" i="6"/>
  <c r="FW77" i="6" s="1"/>
  <c r="FZ67" i="6"/>
  <c r="FW67" i="6" s="1"/>
  <c r="FZ70" i="6"/>
  <c r="FW70" i="6" s="1"/>
  <c r="FZ50" i="6"/>
  <c r="FW50" i="6" s="1"/>
  <c r="FZ48" i="6"/>
  <c r="FW48" i="6" s="1"/>
  <c r="FZ111" i="6"/>
  <c r="FW111" i="6" s="1"/>
  <c r="FZ47" i="6"/>
  <c r="FW47" i="6" s="1"/>
  <c r="FZ49" i="6"/>
  <c r="FW49" i="6" s="1"/>
  <c r="FZ176" i="6"/>
  <c r="FW176" i="6" s="1"/>
  <c r="Y834" i="22" s="1"/>
  <c r="FZ130" i="6"/>
  <c r="FW130" i="6" s="1"/>
  <c r="FZ45" i="6"/>
  <c r="FW45" i="6" s="1"/>
  <c r="FZ51" i="6"/>
  <c r="FW51" i="6" s="1"/>
  <c r="Y199" i="17" s="1"/>
  <c r="FZ129" i="6"/>
  <c r="FW129" i="6" s="1"/>
  <c r="FZ114" i="6"/>
  <c r="FW114" i="6" s="1"/>
  <c r="Y186" i="23" s="1"/>
  <c r="FZ128" i="6"/>
  <c r="FW128" i="6" s="1"/>
  <c r="FZ88" i="6"/>
  <c r="FW88" i="6" s="1"/>
  <c r="Y93" i="23" s="1"/>
  <c r="FZ46" i="6"/>
  <c r="FW46" i="6" s="1"/>
  <c r="FZ112" i="6"/>
  <c r="FW112" i="6" s="1"/>
  <c r="FZ174" i="6"/>
  <c r="FW174" i="6" s="1"/>
  <c r="Y926" i="17" s="1"/>
  <c r="FZ118" i="6"/>
  <c r="FW118" i="6" s="1"/>
  <c r="FZ113" i="6"/>
  <c r="FW113" i="6" s="1"/>
  <c r="FZ68" i="6"/>
  <c r="FW68" i="6" s="1"/>
  <c r="FZ69" i="6"/>
  <c r="FW69" i="6" s="1"/>
  <c r="FZ108" i="6"/>
  <c r="FW108" i="6" s="1"/>
  <c r="FZ71" i="6"/>
  <c r="FW71" i="6" s="1"/>
  <c r="FZ127" i="6"/>
  <c r="FW127" i="6" s="1"/>
  <c r="Y775" i="22" s="1"/>
  <c r="FZ140" i="6"/>
  <c r="FW140" i="6" s="1"/>
  <c r="FZ53" i="6"/>
  <c r="FW53" i="6" s="1"/>
  <c r="FZ109" i="6"/>
  <c r="FW109" i="6" s="1"/>
  <c r="FZ119" i="6"/>
  <c r="FW119" i="6" s="1"/>
  <c r="FZ116" i="6"/>
  <c r="FW116" i="6" s="1"/>
  <c r="FZ121" i="6"/>
  <c r="FW121" i="6" s="1"/>
  <c r="FZ110" i="6"/>
  <c r="FW110" i="6" s="1"/>
  <c r="FZ120" i="6"/>
  <c r="FW120" i="6" s="1"/>
  <c r="FZ66" i="6"/>
  <c r="FW66" i="6" s="1"/>
  <c r="FZ115" i="6"/>
  <c r="FW115" i="6" s="1"/>
  <c r="FZ117" i="6"/>
  <c r="FW117" i="6" s="1"/>
  <c r="Y248" i="23" s="1"/>
  <c r="AU9" i="6"/>
  <c r="AU7" i="6"/>
  <c r="EP7" i="6" s="1"/>
  <c r="AU6" i="6"/>
  <c r="EP6" i="6" s="1"/>
  <c r="AU5" i="6"/>
  <c r="Y426" i="22" l="1"/>
  <c r="Y436" i="22"/>
  <c r="Y432" i="22"/>
  <c r="Y437" i="22"/>
  <c r="Y438" i="22"/>
  <c r="Y440" i="22"/>
  <c r="Y430" i="22"/>
  <c r="Y431" i="22"/>
  <c r="Y427" i="22"/>
  <c r="Y433" i="22"/>
  <c r="Y429" i="22"/>
  <c r="Y428" i="22"/>
  <c r="Y435" i="22"/>
  <c r="Y439" i="22"/>
  <c r="Y434" i="22"/>
  <c r="Y299" i="17"/>
  <c r="Y268" i="22"/>
  <c r="Y305" i="17"/>
  <c r="Y269" i="22"/>
  <c r="Y273" i="22"/>
  <c r="Y50" i="23"/>
  <c r="Y49" i="23"/>
  <c r="Y274" i="22"/>
  <c r="Y275" i="22"/>
  <c r="Y303" i="17"/>
  <c r="Y300" i="17"/>
  <c r="Y51" i="23"/>
  <c r="Y809" i="22"/>
  <c r="Y271" i="22"/>
  <c r="Y52" i="23"/>
  <c r="Y301" i="17"/>
  <c r="Y477" i="17"/>
  <c r="Y198" i="23"/>
  <c r="Y197" i="23"/>
  <c r="Y201" i="23"/>
  <c r="Y202" i="23"/>
  <c r="Y480" i="17"/>
  <c r="Y484" i="17"/>
  <c r="Y476" i="17"/>
  <c r="Y194" i="23"/>
  <c r="Y199" i="23"/>
  <c r="Y193" i="23"/>
  <c r="Y191" i="23"/>
  <c r="Y195" i="23"/>
  <c r="Y187" i="23"/>
  <c r="Y189" i="23"/>
  <c r="Y190" i="23"/>
  <c r="Y491" i="17"/>
  <c r="Y482" i="17"/>
  <c r="Y478" i="17"/>
  <c r="Y474" i="17"/>
  <c r="Y488" i="17"/>
  <c r="Y203" i="23"/>
  <c r="Y196" i="23"/>
  <c r="Y188" i="23"/>
  <c r="Y200" i="23"/>
  <c r="Y204" i="23"/>
  <c r="Y192" i="23"/>
  <c r="Y485" i="17"/>
  <c r="Y479" i="17"/>
  <c r="Y483" i="17"/>
  <c r="Y475" i="17"/>
  <c r="Y486" i="17"/>
  <c r="Y490" i="17"/>
  <c r="Y481" i="17"/>
  <c r="Y487" i="17"/>
  <c r="Y489" i="17"/>
  <c r="Y468" i="17"/>
  <c r="Y179" i="23"/>
  <c r="Y366" i="22"/>
  <c r="Y361" i="22"/>
  <c r="Y210" i="23"/>
  <c r="Y207" i="23"/>
  <c r="Y370" i="22"/>
  <c r="Y197" i="17"/>
  <c r="Y160" i="22"/>
  <c r="Y773" i="22"/>
  <c r="Y208" i="17"/>
  <c r="Y200" i="17"/>
  <c r="Y152" i="22"/>
  <c r="Y212" i="17"/>
  <c r="Y211" i="17"/>
  <c r="Y204" i="17"/>
  <c r="Y151" i="22"/>
  <c r="Y150" i="22"/>
  <c r="Y163" i="22"/>
  <c r="Y158" i="22"/>
  <c r="Y202" i="17"/>
  <c r="Y207" i="17"/>
  <c r="Y801" i="22"/>
  <c r="Y156" i="22"/>
  <c r="Y154" i="22"/>
  <c r="Y808" i="22"/>
  <c r="Y153" i="22"/>
  <c r="Y147" i="22"/>
  <c r="Y159" i="22"/>
  <c r="Y157" i="22"/>
  <c r="Y162" i="22"/>
  <c r="Y210" i="17"/>
  <c r="Y148" i="22"/>
  <c r="Y203" i="17"/>
  <c r="Y198" i="17"/>
  <c r="Y201" i="17"/>
  <c r="Y213" i="17"/>
  <c r="Y206" i="17"/>
  <c r="Y205" i="17"/>
  <c r="Y155" i="22"/>
  <c r="Y149" i="22"/>
  <c r="Y830" i="22"/>
  <c r="Y161" i="22"/>
  <c r="Y209" i="17"/>
  <c r="Y321" i="17"/>
  <c r="Y53" i="23"/>
  <c r="Y284" i="22"/>
  <c r="Y320" i="17"/>
  <c r="Y313" i="17"/>
  <c r="Y318" i="17"/>
  <c r="Y312" i="17"/>
  <c r="Y286" i="22"/>
  <c r="Y288" i="22"/>
  <c r="Y281" i="22"/>
  <c r="Y277" i="22"/>
  <c r="Y278" i="22"/>
  <c r="Y276" i="22"/>
  <c r="Y317" i="17"/>
  <c r="Y283" i="22"/>
  <c r="Y322" i="17"/>
  <c r="Y316" i="17"/>
  <c r="Y319" i="17"/>
  <c r="Y285" i="22"/>
  <c r="Y314" i="17"/>
  <c r="Y311" i="17"/>
  <c r="Y315" i="17"/>
  <c r="Y54" i="23"/>
  <c r="Y287" i="22"/>
  <c r="Y280" i="22"/>
  <c r="Y279" i="22"/>
  <c r="Y282" i="22"/>
  <c r="Y323" i="17"/>
  <c r="Y310" i="17"/>
  <c r="Y309" i="17"/>
  <c r="Y417" i="22"/>
  <c r="Y421" i="22"/>
  <c r="Y416" i="22"/>
  <c r="Y424" i="22"/>
  <c r="Y422" i="22"/>
  <c r="Y425" i="22"/>
  <c r="Y413" i="22"/>
  <c r="Y414" i="22"/>
  <c r="Y420" i="22"/>
  <c r="Y415" i="22"/>
  <c r="Y419" i="22"/>
  <c r="Y418" i="22"/>
  <c r="Y412" i="22"/>
  <c r="Y423" i="22"/>
  <c r="AA355" i="23"/>
  <c r="AA806" i="22"/>
  <c r="AA920" i="17"/>
  <c r="Y409" i="22"/>
  <c r="Y542" i="17"/>
  <c r="Y410" i="22"/>
  <c r="Y411" i="22"/>
  <c r="Y270" i="22"/>
  <c r="Y272" i="22"/>
  <c r="Y302" i="17"/>
  <c r="Y19" i="23"/>
  <c r="Y130" i="22"/>
  <c r="Y774" i="22"/>
  <c r="Y127" i="22"/>
  <c r="Y187" i="17"/>
  <c r="Y123" i="22"/>
  <c r="Y183" i="17"/>
  <c r="Y124" i="22"/>
  <c r="Y129" i="22"/>
  <c r="Y126" i="22"/>
  <c r="Y901" i="17"/>
  <c r="Y179" i="17"/>
  <c r="Y180" i="17"/>
  <c r="Y184" i="17"/>
  <c r="Y128" i="22"/>
  <c r="Y122" i="22"/>
  <c r="Y18" i="23"/>
  <c r="Y125" i="22"/>
  <c r="Y182" i="17"/>
  <c r="Y185" i="17"/>
  <c r="Y181" i="17"/>
  <c r="Y178" i="17"/>
  <c r="Y186" i="17"/>
  <c r="Y177" i="17"/>
  <c r="Z355" i="23"/>
  <c r="Z806" i="22"/>
  <c r="Z920" i="17"/>
  <c r="Y228" i="17"/>
  <c r="Y216" i="17"/>
  <c r="Y224" i="17"/>
  <c r="Y232" i="17"/>
  <c r="Y831" i="22"/>
  <c r="Y236" i="17"/>
  <c r="Y164" i="22"/>
  <c r="Y234" i="17"/>
  <c r="Y230" i="17"/>
  <c r="Y226" i="17"/>
  <c r="Y229" i="17"/>
  <c r="Y231" i="17"/>
  <c r="Y227" i="17"/>
  <c r="Y225" i="17"/>
  <c r="Y223" i="17"/>
  <c r="Y233" i="17"/>
  <c r="Y235" i="17"/>
  <c r="Y405" i="22"/>
  <c r="Y243" i="23"/>
  <c r="Y404" i="22"/>
  <c r="Y244" i="23"/>
  <c r="Y535" i="17"/>
  <c r="Y536" i="17"/>
  <c r="Y213" i="23"/>
  <c r="Y221" i="23"/>
  <c r="Y217" i="23"/>
  <c r="Y373" i="22"/>
  <c r="Y372" i="22"/>
  <c r="Y205" i="23"/>
  <c r="Y368" i="22"/>
  <c r="Y369" i="22"/>
  <c r="Y206" i="23"/>
  <c r="Y218" i="23"/>
  <c r="Y214" i="23"/>
  <c r="Y220" i="23"/>
  <c r="Y219" i="23"/>
  <c r="Y216" i="23"/>
  <c r="Y211" i="23"/>
  <c r="Y208" i="23"/>
  <c r="Y215" i="23"/>
  <c r="Y209" i="23"/>
  <c r="Y212" i="23"/>
  <c r="Y371" i="22"/>
  <c r="Y306" i="17"/>
  <c r="Y307" i="17"/>
  <c r="Y308" i="17"/>
  <c r="Y304" i="17"/>
  <c r="Y247" i="23"/>
  <c r="Y408" i="22"/>
  <c r="Y407" i="22"/>
  <c r="Y246" i="23"/>
  <c r="Y540" i="17"/>
  <c r="Y541" i="17"/>
  <c r="Y189" i="17"/>
  <c r="Y143" i="22"/>
  <c r="Y142" i="22"/>
  <c r="Y135" i="22"/>
  <c r="Y137" i="22"/>
  <c r="Y20" i="23"/>
  <c r="Y139" i="22"/>
  <c r="Y132" i="22"/>
  <c r="Y140" i="22"/>
  <c r="Y194" i="17"/>
  <c r="Y195" i="17"/>
  <c r="Y193" i="17"/>
  <c r="Y141" i="22"/>
  <c r="Y144" i="22"/>
  <c r="Y196" i="17"/>
  <c r="Z241" i="23"/>
  <c r="Z517" i="17"/>
  <c r="Z237" i="23"/>
  <c r="Z516" i="17"/>
  <c r="Z505" i="17"/>
  <c r="Z508" i="17"/>
  <c r="Z522" i="17"/>
  <c r="Z238" i="23"/>
  <c r="Z235" i="23"/>
  <c r="Z242" i="23"/>
  <c r="Z509" i="17"/>
  <c r="Z506" i="17"/>
  <c r="Z514" i="17"/>
  <c r="Z521" i="17"/>
  <c r="Z239" i="23"/>
  <c r="Z236" i="23"/>
  <c r="Z375" i="22"/>
  <c r="Z240" i="23"/>
  <c r="Z519" i="17"/>
  <c r="Z518" i="17"/>
  <c r="Z511" i="17"/>
  <c r="Z510" i="17"/>
  <c r="Z512" i="17"/>
  <c r="Z520" i="17"/>
  <c r="Z515" i="17"/>
  <c r="Z507" i="17"/>
  <c r="Z513" i="17"/>
  <c r="Y180" i="23"/>
  <c r="Y183" i="23"/>
  <c r="Y57" i="23"/>
  <c r="Y62" i="23"/>
  <c r="Y65" i="23"/>
  <c r="Y55" i="23"/>
  <c r="Y59" i="23"/>
  <c r="Y63" i="23"/>
  <c r="Y56" i="23"/>
  <c r="Y60" i="23"/>
  <c r="Y58" i="23"/>
  <c r="Y64" i="23"/>
  <c r="Y61" i="23"/>
  <c r="Y131" i="22"/>
  <c r="Y134" i="22"/>
  <c r="Y192" i="17"/>
  <c r="Y188" i="17"/>
  <c r="Y190" i="17"/>
  <c r="Y138" i="22"/>
  <c r="Y136" i="22"/>
  <c r="Y133" i="22"/>
  <c r="Y191" i="17"/>
  <c r="Y538" i="17"/>
  <c r="Y539" i="17"/>
  <c r="Y365" i="22"/>
  <c r="Y364" i="22"/>
  <c r="Y185" i="23"/>
  <c r="Y362" i="22"/>
  <c r="Y470" i="17"/>
  <c r="Y472" i="17"/>
  <c r="Y181" i="23"/>
  <c r="Y367" i="22"/>
  <c r="Y469" i="17"/>
  <c r="Y473" i="17"/>
  <c r="Y182" i="23"/>
  <c r="Y184" i="23"/>
  <c r="Y363" i="22"/>
  <c r="Y471" i="17"/>
  <c r="Y220" i="17"/>
  <c r="Y240" i="17"/>
  <c r="Y215" i="17"/>
  <c r="Y243" i="17"/>
  <c r="Y214" i="17"/>
  <c r="Y222" i="17"/>
  <c r="Y238" i="17"/>
  <c r="Y237" i="17"/>
  <c r="Y219" i="17"/>
  <c r="Y242" i="17"/>
  <c r="Y218" i="17"/>
  <c r="Y217" i="17"/>
  <c r="Y239" i="17"/>
  <c r="Y221" i="17"/>
  <c r="Y241" i="17"/>
  <c r="AA241" i="23"/>
  <c r="AA517" i="17"/>
  <c r="AA237" i="23"/>
  <c r="AA516" i="17"/>
  <c r="AA505" i="17"/>
  <c r="AA508" i="17"/>
  <c r="AA522" i="17"/>
  <c r="AA242" i="23"/>
  <c r="AA238" i="23"/>
  <c r="AA235" i="23"/>
  <c r="AA509" i="17"/>
  <c r="AA506" i="17"/>
  <c r="AA514" i="17"/>
  <c r="AA521" i="17"/>
  <c r="AA375" i="22"/>
  <c r="AA239" i="23"/>
  <c r="AA236" i="23"/>
  <c r="AA240" i="23"/>
  <c r="AA511" i="17"/>
  <c r="AA519" i="17"/>
  <c r="AA513" i="17"/>
  <c r="AA518" i="17"/>
  <c r="AA510" i="17"/>
  <c r="AA520" i="17"/>
  <c r="AA507" i="17"/>
  <c r="AA515" i="17"/>
  <c r="AA512" i="17"/>
  <c r="AA27" i="23"/>
  <c r="AA32" i="23"/>
  <c r="AA28" i="23"/>
  <c r="AA31" i="23"/>
  <c r="AA30" i="23"/>
  <c r="AA26" i="23"/>
  <c r="AA33" i="23"/>
  <c r="AA34" i="23"/>
  <c r="AA29" i="23"/>
  <c r="Y127" i="23"/>
  <c r="Y132" i="23"/>
  <c r="Y131" i="23"/>
  <c r="Y128" i="23"/>
  <c r="Y130" i="23"/>
  <c r="Y126" i="23"/>
  <c r="Z310" i="23"/>
  <c r="Z307" i="23"/>
  <c r="Z309" i="23"/>
  <c r="Z27" i="23"/>
  <c r="Z30" i="23"/>
  <c r="Z28" i="23"/>
  <c r="Z31" i="23"/>
  <c r="Z32" i="23"/>
  <c r="Z33" i="23"/>
  <c r="Z34" i="23"/>
  <c r="Z29" i="23"/>
  <c r="Z26" i="23"/>
  <c r="Z41" i="23"/>
  <c r="Z36" i="23"/>
  <c r="Z43" i="23"/>
  <c r="Z37" i="23"/>
  <c r="Z44" i="23"/>
  <c r="Z39" i="23"/>
  <c r="Y35" i="23"/>
  <c r="Y40" i="23"/>
  <c r="Y42" i="23"/>
  <c r="Y38" i="23"/>
  <c r="AA89" i="23"/>
  <c r="AA90" i="23"/>
  <c r="AA91" i="23"/>
  <c r="AA86" i="23"/>
  <c r="AA84" i="23"/>
  <c r="AA85" i="23"/>
  <c r="AA81" i="23"/>
  <c r="AA92" i="23"/>
  <c r="AA83" i="23"/>
  <c r="AA308" i="23"/>
  <c r="AA306" i="23"/>
  <c r="Z90" i="23"/>
  <c r="Z89" i="23"/>
  <c r="Z86" i="23"/>
  <c r="Z91" i="23"/>
  <c r="Z85" i="23"/>
  <c r="Z84" i="23"/>
  <c r="Z81" i="23"/>
  <c r="Z92" i="23"/>
  <c r="Z83" i="23"/>
  <c r="Z308" i="23"/>
  <c r="Z306" i="23"/>
  <c r="Y140" i="23"/>
  <c r="Y135" i="23"/>
  <c r="Y141" i="23"/>
  <c r="Y149" i="23"/>
  <c r="Y153" i="23"/>
  <c r="Y146" i="23"/>
  <c r="Y136" i="23"/>
  <c r="Y142" i="23"/>
  <c r="Y138" i="23"/>
  <c r="Y139" i="23"/>
  <c r="Y352" i="23"/>
  <c r="Y152" i="23"/>
  <c r="Y148" i="23"/>
  <c r="Y151" i="23"/>
  <c r="Y145" i="23"/>
  <c r="Y137" i="23"/>
  <c r="Y147" i="23"/>
  <c r="Y144" i="23"/>
  <c r="AA22" i="23"/>
  <c r="AA21" i="23"/>
  <c r="Z22" i="23"/>
  <c r="Z21" i="23"/>
  <c r="AA310" i="23"/>
  <c r="AA307" i="23"/>
  <c r="AA309" i="23"/>
  <c r="AA41" i="23"/>
  <c r="AA36" i="23"/>
  <c r="AA43" i="23"/>
  <c r="AA39" i="23"/>
  <c r="AA37" i="23"/>
  <c r="AA44" i="23"/>
  <c r="AA80" i="23"/>
  <c r="AA87" i="23"/>
  <c r="AA82" i="23"/>
  <c r="AA79" i="23"/>
  <c r="AA88" i="23"/>
  <c r="AA302" i="23"/>
  <c r="AA303" i="23"/>
  <c r="AA304" i="23"/>
  <c r="AA300" i="23"/>
  <c r="AA301" i="23"/>
  <c r="AA305" i="23"/>
  <c r="AA158" i="23"/>
  <c r="AA165" i="23"/>
  <c r="AA154" i="23"/>
  <c r="AA155" i="23"/>
  <c r="AA161" i="23"/>
  <c r="AA160" i="23"/>
  <c r="AA156" i="23"/>
  <c r="AA164" i="23"/>
  <c r="AA168" i="23"/>
  <c r="AA167" i="23"/>
  <c r="AA159" i="23"/>
  <c r="AA163" i="23"/>
  <c r="Y125" i="23"/>
  <c r="Y134" i="23"/>
  <c r="Y129" i="23"/>
  <c r="Y133" i="23"/>
  <c r="Z80" i="23"/>
  <c r="Z87" i="23"/>
  <c r="Z82" i="23"/>
  <c r="Z79" i="23"/>
  <c r="Z88" i="23"/>
  <c r="Z158" i="23"/>
  <c r="Z154" i="23"/>
  <c r="Z165" i="23"/>
  <c r="Z161" i="23"/>
  <c r="Z155" i="23"/>
  <c r="Z159" i="23"/>
  <c r="Z163" i="23"/>
  <c r="Z168" i="23"/>
  <c r="Z160" i="23"/>
  <c r="Z156" i="23"/>
  <c r="Z167" i="23"/>
  <c r="Z164" i="23"/>
  <c r="Z302" i="23"/>
  <c r="Z300" i="23"/>
  <c r="Z304" i="23"/>
  <c r="Z303" i="23"/>
  <c r="Z301" i="23"/>
  <c r="Z305" i="23"/>
  <c r="Z343" i="22"/>
  <c r="Y335" i="22"/>
  <c r="Z464" i="22"/>
  <c r="AA464" i="22"/>
  <c r="AA343" i="22"/>
  <c r="AA305" i="22"/>
  <c r="AA306" i="22"/>
  <c r="AA119" i="22"/>
  <c r="AA121" i="22"/>
  <c r="AA120" i="22"/>
  <c r="AA117" i="22"/>
  <c r="AA304" i="22"/>
  <c r="AA303" i="22"/>
  <c r="AA347" i="22"/>
  <c r="AA354" i="22"/>
  <c r="AA352" i="22"/>
  <c r="AA353" i="22"/>
  <c r="AA346" i="22"/>
  <c r="AA350" i="22"/>
  <c r="AA351" i="22"/>
  <c r="AA349" i="22"/>
  <c r="AA355" i="22"/>
  <c r="AA461" i="22"/>
  <c r="AA460" i="22"/>
  <c r="AA459" i="22"/>
  <c r="AA458" i="22"/>
  <c r="Z119" i="22"/>
  <c r="Z121" i="22"/>
  <c r="Z117" i="22"/>
  <c r="Z120" i="22"/>
  <c r="Z304" i="22"/>
  <c r="Z303" i="22"/>
  <c r="Z354" i="22"/>
  <c r="Z352" i="22"/>
  <c r="Z347" i="22"/>
  <c r="Z353" i="22"/>
  <c r="Z351" i="22"/>
  <c r="Z349" i="22"/>
  <c r="Z355" i="22"/>
  <c r="Z346" i="22"/>
  <c r="Z350" i="22"/>
  <c r="Z461" i="22"/>
  <c r="Z460" i="22"/>
  <c r="Z459" i="22"/>
  <c r="Z458" i="22"/>
  <c r="AA198" i="22"/>
  <c r="AA196" i="22"/>
  <c r="AA813" i="22"/>
  <c r="AA778" i="22"/>
  <c r="AA197" i="22"/>
  <c r="AA195" i="22"/>
  <c r="Z168" i="22"/>
  <c r="Z166" i="22"/>
  <c r="Z176" i="22"/>
  <c r="Z171" i="22"/>
  <c r="Z172" i="22"/>
  <c r="Z179" i="22"/>
  <c r="Z180" i="22"/>
  <c r="Z178" i="22"/>
  <c r="Z170" i="22"/>
  <c r="Z175" i="22"/>
  <c r="Z167" i="22"/>
  <c r="Z169" i="22"/>
  <c r="Z173" i="22"/>
  <c r="Z165" i="22"/>
  <c r="Z177" i="22"/>
  <c r="Y289" i="22"/>
  <c r="Y815" i="22"/>
  <c r="AA184" i="22"/>
  <c r="AA192" i="22"/>
  <c r="AA190" i="22"/>
  <c r="AA193" i="22"/>
  <c r="AA186" i="22"/>
  <c r="AA191" i="22"/>
  <c r="AA189" i="22"/>
  <c r="AA188" i="22"/>
  <c r="AA194" i="22"/>
  <c r="AA183" i="22"/>
  <c r="AA185" i="22"/>
  <c r="AA187" i="22"/>
  <c r="AA206" i="22"/>
  <c r="AA208" i="22"/>
  <c r="AA205" i="22"/>
  <c r="AA207" i="22"/>
  <c r="AA204" i="22"/>
  <c r="AA214" i="22"/>
  <c r="AA210" i="22"/>
  <c r="AA233" i="22"/>
  <c r="AA234" i="22"/>
  <c r="AA219" i="22"/>
  <c r="AA218" i="22"/>
  <c r="AA212" i="22"/>
  <c r="AA209" i="22"/>
  <c r="AA211" i="22"/>
  <c r="AA168" i="22"/>
  <c r="AA176" i="22"/>
  <c r="AA166" i="22"/>
  <c r="AA171" i="22"/>
  <c r="AA172" i="22"/>
  <c r="AA170" i="22"/>
  <c r="AA179" i="22"/>
  <c r="AA180" i="22"/>
  <c r="AA178" i="22"/>
  <c r="AA165" i="22"/>
  <c r="AA167" i="22"/>
  <c r="AA175" i="22"/>
  <c r="AA169" i="22"/>
  <c r="AA173" i="22"/>
  <c r="AA177" i="22"/>
  <c r="Z305" i="22"/>
  <c r="Z306" i="22"/>
  <c r="Z174" i="22"/>
  <c r="Z182" i="22"/>
  <c r="Z181" i="22"/>
  <c r="Y201" i="22"/>
  <c r="Y199" i="22"/>
  <c r="Y779" i="22"/>
  <c r="Y200" i="22"/>
  <c r="Y203" i="22"/>
  <c r="Z184" i="22"/>
  <c r="Z192" i="22"/>
  <c r="Z190" i="22"/>
  <c r="Z193" i="22"/>
  <c r="Z186" i="22"/>
  <c r="Z191" i="22"/>
  <c r="Z188" i="22"/>
  <c r="Z189" i="22"/>
  <c r="Z194" i="22"/>
  <c r="Z183" i="22"/>
  <c r="Z187" i="22"/>
  <c r="Z185" i="22"/>
  <c r="Z206" i="22"/>
  <c r="Z208" i="22"/>
  <c r="Z207" i="22"/>
  <c r="Z205" i="22"/>
  <c r="Z204" i="22"/>
  <c r="Z210" i="22"/>
  <c r="Z214" i="22"/>
  <c r="Z233" i="22"/>
  <c r="Z219" i="22"/>
  <c r="Z234" i="22"/>
  <c r="Z218" i="22"/>
  <c r="Z212" i="22"/>
  <c r="Z209" i="22"/>
  <c r="Z211" i="22"/>
  <c r="Y340" i="22"/>
  <c r="Y341" i="22"/>
  <c r="Y345" i="22"/>
  <c r="Y336" i="22"/>
  <c r="Y342" i="22"/>
  <c r="Y344" i="22"/>
  <c r="Y339" i="22"/>
  <c r="Y337" i="22"/>
  <c r="Y338" i="22"/>
  <c r="Z198" i="22"/>
  <c r="Z196" i="22"/>
  <c r="Z813" i="22"/>
  <c r="Z197" i="22"/>
  <c r="Z778" i="22"/>
  <c r="Z195" i="22"/>
  <c r="Y215" i="22"/>
  <c r="Y225" i="22"/>
  <c r="Y226" i="22"/>
  <c r="Y221" i="22"/>
  <c r="Y220" i="22"/>
  <c r="Y241" i="22"/>
  <c r="Y242" i="22"/>
  <c r="Y227" i="22"/>
  <c r="Y238" i="22"/>
  <c r="Y222" i="22"/>
  <c r="Y230" i="22"/>
  <c r="Y228" i="22"/>
  <c r="Y244" i="22"/>
  <c r="Y236" i="22"/>
  <c r="Y217" i="22"/>
  <c r="Y243" i="22"/>
  <c r="Y223" i="22"/>
  <c r="Y231" i="22"/>
  <c r="Y213" i="22"/>
  <c r="Y235" i="22"/>
  <c r="Y224" i="22"/>
  <c r="Y232" i="22"/>
  <c r="Y239" i="22"/>
  <c r="Y240" i="22"/>
  <c r="Y216" i="22"/>
  <c r="Y237" i="22"/>
  <c r="Y229" i="22"/>
  <c r="Y245" i="22"/>
  <c r="AA118" i="22"/>
  <c r="AA116" i="22"/>
  <c r="AA115" i="22"/>
  <c r="AA463" i="22"/>
  <c r="AA465" i="22"/>
  <c r="AA111" i="22"/>
  <c r="AA103" i="22"/>
  <c r="AA107" i="22"/>
  <c r="AA108" i="22"/>
  <c r="AA109" i="22"/>
  <c r="AA114" i="22"/>
  <c r="AA106" i="22"/>
  <c r="AA104" i="22"/>
  <c r="AA105" i="22"/>
  <c r="AA772" i="22"/>
  <c r="AA110" i="22"/>
  <c r="AA113" i="22"/>
  <c r="AA112" i="22"/>
  <c r="Z457" i="22"/>
  <c r="Z462" i="22"/>
  <c r="AA181" i="22"/>
  <c r="AA174" i="22"/>
  <c r="AA182" i="22"/>
  <c r="Z118" i="22"/>
  <c r="Z115" i="22"/>
  <c r="Z116" i="22"/>
  <c r="Z463" i="22"/>
  <c r="Z465" i="22"/>
  <c r="Z103" i="22"/>
  <c r="Z111" i="22"/>
  <c r="Z107" i="22"/>
  <c r="Z108" i="22"/>
  <c r="Z114" i="22"/>
  <c r="Z109" i="22"/>
  <c r="Z104" i="22"/>
  <c r="Z105" i="22"/>
  <c r="Z106" i="22"/>
  <c r="Z772" i="22"/>
  <c r="Z112" i="22"/>
  <c r="Z113" i="22"/>
  <c r="Z110" i="22"/>
  <c r="AA462" i="22"/>
  <c r="AA457" i="22"/>
  <c r="AA249" i="17"/>
  <c r="Z249" i="17"/>
  <c r="AA248" i="17"/>
  <c r="Z248" i="17"/>
  <c r="Z558" i="17"/>
  <c r="AA558" i="17"/>
  <c r="AA260" i="17"/>
  <c r="AA261" i="17"/>
  <c r="AA263" i="17"/>
  <c r="AA259" i="17"/>
  <c r="Y252" i="17"/>
  <c r="Y254" i="17"/>
  <c r="Y251" i="17"/>
  <c r="Y931" i="17"/>
  <c r="Y253" i="17"/>
  <c r="Y250" i="17"/>
  <c r="Z563" i="17"/>
  <c r="Z562" i="17"/>
  <c r="Z561" i="17"/>
  <c r="Z244" i="17"/>
  <c r="Z247" i="17"/>
  <c r="Z256" i="17"/>
  <c r="Z258" i="17"/>
  <c r="Z257" i="17"/>
  <c r="Z255" i="17"/>
  <c r="Z260" i="17"/>
  <c r="Z261" i="17"/>
  <c r="Z263" i="17"/>
  <c r="Z259" i="17"/>
  <c r="Y264" i="17"/>
  <c r="Y275" i="17"/>
  <c r="Y276" i="17"/>
  <c r="Y268" i="17"/>
  <c r="Y272" i="17"/>
  <c r="Y278" i="17"/>
  <c r="Y279" i="17"/>
  <c r="Y284" i="17"/>
  <c r="Y281" i="17"/>
  <c r="Y262" i="17"/>
  <c r="Y283" i="17"/>
  <c r="Y266" i="17"/>
  <c r="Y271" i="17"/>
  <c r="Y274" i="17"/>
  <c r="Y269" i="17"/>
  <c r="Y280" i="17"/>
  <c r="Y282" i="17"/>
  <c r="Y273" i="17"/>
  <c r="Y277" i="17"/>
  <c r="Y265" i="17"/>
  <c r="Y267" i="17"/>
  <c r="Y270" i="17"/>
  <c r="AA162" i="17"/>
  <c r="AA165" i="17"/>
  <c r="AA170" i="17"/>
  <c r="AA394" i="17"/>
  <c r="AA405" i="17"/>
  <c r="AA397" i="17"/>
  <c r="AA396" i="17"/>
  <c r="AA393" i="17"/>
  <c r="AA407" i="17"/>
  <c r="AA147" i="17"/>
  <c r="AA158" i="17"/>
  <c r="AA153" i="17"/>
  <c r="AA146" i="17"/>
  <c r="AA157" i="17"/>
  <c r="AA159" i="17"/>
  <c r="AA150" i="17"/>
  <c r="AA154" i="17"/>
  <c r="AA155" i="17"/>
  <c r="AA151" i="17"/>
  <c r="AA149" i="17"/>
  <c r="AA156" i="17"/>
  <c r="AA152" i="17"/>
  <c r="AA148" i="17"/>
  <c r="AA160" i="17"/>
  <c r="AA563" i="17"/>
  <c r="AA562" i="17"/>
  <c r="AA561" i="17"/>
  <c r="Y465" i="17"/>
  <c r="Y464" i="17"/>
  <c r="Y460" i="17"/>
  <c r="Y461" i="17"/>
  <c r="Y462" i="17"/>
  <c r="Z165" i="17"/>
  <c r="Z162" i="17"/>
  <c r="Z170" i="17"/>
  <c r="Z394" i="17"/>
  <c r="Z405" i="17"/>
  <c r="Z397" i="17"/>
  <c r="Z396" i="17"/>
  <c r="Z393" i="17"/>
  <c r="Z407" i="17"/>
  <c r="Z147" i="17"/>
  <c r="Z153" i="17"/>
  <c r="Z158" i="17"/>
  <c r="Z155" i="17"/>
  <c r="Z157" i="17"/>
  <c r="Z159" i="17"/>
  <c r="Z150" i="17"/>
  <c r="Z151" i="17"/>
  <c r="Z154" i="17"/>
  <c r="Z146" i="17"/>
  <c r="Z156" i="17"/>
  <c r="Z152" i="17"/>
  <c r="Z148" i="17"/>
  <c r="Z160" i="17"/>
  <c r="Z149" i="17"/>
  <c r="AA256" i="17"/>
  <c r="AA258" i="17"/>
  <c r="AA257" i="17"/>
  <c r="AA255" i="17"/>
  <c r="AA244" i="17"/>
  <c r="AA247" i="17"/>
  <c r="Y431" i="17"/>
  <c r="Y429" i="17"/>
  <c r="Y430" i="17"/>
  <c r="Y432" i="17"/>
  <c r="AA398" i="17"/>
  <c r="AA395" i="17"/>
  <c r="AA403" i="17"/>
  <c r="AA390" i="17"/>
  <c r="AA404" i="17"/>
  <c r="AA402" i="17"/>
  <c r="AA401" i="17"/>
  <c r="AA400" i="17"/>
  <c r="AA392" i="17"/>
  <c r="AA391" i="17"/>
  <c r="AA406" i="17"/>
  <c r="AA399" i="17"/>
  <c r="AA246" i="17"/>
  <c r="AA245" i="17"/>
  <c r="Y337" i="17"/>
  <c r="Y343" i="17"/>
  <c r="Y336" i="17"/>
  <c r="Y344" i="17"/>
  <c r="Y359" i="17"/>
  <c r="Y360" i="17"/>
  <c r="Y352" i="17"/>
  <c r="Y341" i="17"/>
  <c r="Y350" i="17"/>
  <c r="Y358" i="17"/>
  <c r="Y342" i="17"/>
  <c r="Y361" i="17"/>
  <c r="Y347" i="17"/>
  <c r="Y351" i="17"/>
  <c r="Y356" i="17"/>
  <c r="Y355" i="17"/>
  <c r="Y340" i="17"/>
  <c r="Y339" i="17"/>
  <c r="Y348" i="17"/>
  <c r="Y353" i="17"/>
  <c r="Y354" i="17"/>
  <c r="Y357" i="17"/>
  <c r="Y346" i="17"/>
  <c r="Y345" i="17"/>
  <c r="Y349" i="17"/>
  <c r="Y338" i="17"/>
  <c r="Z395" i="17"/>
  <c r="Z398" i="17"/>
  <c r="Z403" i="17"/>
  <c r="Z404" i="17"/>
  <c r="Z390" i="17"/>
  <c r="Z402" i="17"/>
  <c r="Z401" i="17"/>
  <c r="Z400" i="17"/>
  <c r="Z399" i="17"/>
  <c r="Z406" i="17"/>
  <c r="Z392" i="17"/>
  <c r="Z391" i="17"/>
  <c r="Z245" i="17"/>
  <c r="Z246" i="17"/>
  <c r="AA166" i="17"/>
  <c r="AA161" i="17"/>
  <c r="AA174" i="17"/>
  <c r="AA176" i="17"/>
  <c r="AA167" i="17"/>
  <c r="AA172" i="17"/>
  <c r="AA163" i="17"/>
  <c r="AA175" i="17"/>
  <c r="AA173" i="17"/>
  <c r="AA171" i="17"/>
  <c r="AA168" i="17"/>
  <c r="AA169" i="17"/>
  <c r="AA164" i="17"/>
  <c r="AA386" i="17"/>
  <c r="AA387" i="17"/>
  <c r="AA388" i="17"/>
  <c r="AA389" i="17"/>
  <c r="AA448" i="17"/>
  <c r="AA452" i="17"/>
  <c r="AA456" i="17"/>
  <c r="AA443" i="17"/>
  <c r="AA440" i="17"/>
  <c r="AA442" i="17"/>
  <c r="AA453" i="17"/>
  <c r="AA454" i="17"/>
  <c r="AA439" i="17"/>
  <c r="AA435" i="17"/>
  <c r="AA904" i="17"/>
  <c r="AA436" i="17"/>
  <c r="AA438" i="17"/>
  <c r="AA455" i="17"/>
  <c r="AA459" i="17"/>
  <c r="AA437" i="17"/>
  <c r="AA449" i="17"/>
  <c r="AA446" i="17"/>
  <c r="AA560" i="17"/>
  <c r="AA559" i="17"/>
  <c r="AA557" i="17"/>
  <c r="Y326" i="17"/>
  <c r="Y332" i="17"/>
  <c r="Y327" i="17"/>
  <c r="Y335" i="17"/>
  <c r="Y329" i="17"/>
  <c r="Y333" i="17"/>
  <c r="Y331" i="17"/>
  <c r="Y334" i="17"/>
  <c r="Y325" i="17"/>
  <c r="Y328" i="17"/>
  <c r="Y324" i="17"/>
  <c r="Y330" i="17"/>
  <c r="Z161" i="17"/>
  <c r="Z166" i="17"/>
  <c r="Z163" i="17"/>
  <c r="Z172" i="17"/>
  <c r="Z175" i="17"/>
  <c r="Z176" i="17"/>
  <c r="Z167" i="17"/>
  <c r="Z174" i="17"/>
  <c r="Z171" i="17"/>
  <c r="Z169" i="17"/>
  <c r="Z173" i="17"/>
  <c r="Z164" i="17"/>
  <c r="Z168" i="17"/>
  <c r="Z387" i="17"/>
  <c r="Z386" i="17"/>
  <c r="Z388" i="17"/>
  <c r="Z389" i="17"/>
  <c r="Z448" i="17"/>
  <c r="Z452" i="17"/>
  <c r="Z440" i="17"/>
  <c r="Z456" i="17"/>
  <c r="Z443" i="17"/>
  <c r="Z435" i="17"/>
  <c r="Z436" i="17"/>
  <c r="Z904" i="17"/>
  <c r="Z442" i="17"/>
  <c r="Z454" i="17"/>
  <c r="Z453" i="17"/>
  <c r="Z439" i="17"/>
  <c r="Z446" i="17"/>
  <c r="Z455" i="17"/>
  <c r="Z438" i="17"/>
  <c r="Z459" i="17"/>
  <c r="Z437" i="17"/>
  <c r="Z449" i="17"/>
  <c r="Z560" i="17"/>
  <c r="Z557" i="17"/>
  <c r="Z559" i="17"/>
  <c r="FX110" i="6"/>
  <c r="FY110" i="6"/>
  <c r="FX115" i="6"/>
  <c r="FY115" i="6"/>
  <c r="FX46" i="6"/>
  <c r="FY46" i="6"/>
  <c r="FX88" i="6"/>
  <c r="Z93" i="23" s="1"/>
  <c r="FY88" i="6"/>
  <c r="AA93" i="23" s="1"/>
  <c r="FX130" i="6"/>
  <c r="FY130" i="6"/>
  <c r="FX66" i="6"/>
  <c r="FY66" i="6"/>
  <c r="FX68" i="6"/>
  <c r="FY68" i="6"/>
  <c r="FX120" i="6"/>
  <c r="FY120" i="6"/>
  <c r="FX109" i="6"/>
  <c r="FY109" i="6"/>
  <c r="FX113" i="6"/>
  <c r="FY113" i="6"/>
  <c r="FX114" i="6"/>
  <c r="Z186" i="23" s="1"/>
  <c r="FY114" i="6"/>
  <c r="AA186" i="23" s="1"/>
  <c r="FX49" i="6"/>
  <c r="FY49" i="6"/>
  <c r="FX67" i="6"/>
  <c r="FY67" i="6"/>
  <c r="FX77" i="6"/>
  <c r="FY77" i="6"/>
  <c r="FX129" i="6"/>
  <c r="FY129" i="6"/>
  <c r="FX150" i="6"/>
  <c r="Z909" i="17" s="1"/>
  <c r="FY150" i="6"/>
  <c r="AA909" i="17" s="1"/>
  <c r="FX121" i="6"/>
  <c r="FY121" i="6"/>
  <c r="FX51" i="6"/>
  <c r="Z199" i="17" s="1"/>
  <c r="FY51" i="6"/>
  <c r="AA199" i="17" s="1"/>
  <c r="FX53" i="6"/>
  <c r="FY53" i="6"/>
  <c r="FX118" i="6"/>
  <c r="FY118" i="6"/>
  <c r="FX117" i="6"/>
  <c r="Z248" i="23" s="1"/>
  <c r="FY117" i="6"/>
  <c r="AA248" i="23" s="1"/>
  <c r="FX127" i="6"/>
  <c r="Z775" i="22" s="1"/>
  <c r="FY127" i="6"/>
  <c r="AA775" i="22" s="1"/>
  <c r="FX174" i="6"/>
  <c r="Z926" i="17" s="1"/>
  <c r="FY174" i="6"/>
  <c r="AA926" i="17" s="1"/>
  <c r="FX48" i="6"/>
  <c r="FY48" i="6"/>
  <c r="FX78" i="6"/>
  <c r="FY78" i="6"/>
  <c r="FX116" i="6"/>
  <c r="FY116" i="6"/>
  <c r="FX71" i="6"/>
  <c r="FY71" i="6"/>
  <c r="FX112" i="6"/>
  <c r="FY112" i="6"/>
  <c r="FX50" i="6"/>
  <c r="FY50" i="6"/>
  <c r="FX197" i="6"/>
  <c r="Z825" i="22" s="1"/>
  <c r="FY197" i="6"/>
  <c r="AA825" i="22" s="1"/>
  <c r="FX140" i="6"/>
  <c r="FY140" i="6"/>
  <c r="FX111" i="6"/>
  <c r="FY111" i="6"/>
  <c r="FX108" i="6"/>
  <c r="FY108" i="6"/>
  <c r="FX45" i="6"/>
  <c r="FY45" i="6"/>
  <c r="FX104" i="6"/>
  <c r="Z25" i="23" s="1"/>
  <c r="FY104" i="6"/>
  <c r="AA25" i="23" s="1"/>
  <c r="FX47" i="6"/>
  <c r="FY47" i="6"/>
  <c r="FX69" i="6"/>
  <c r="FY69" i="6"/>
  <c r="FX119" i="6"/>
  <c r="FY119" i="6"/>
  <c r="FX128" i="6"/>
  <c r="FY128" i="6"/>
  <c r="FX176" i="6"/>
  <c r="Z834" i="22" s="1"/>
  <c r="FY176" i="6"/>
  <c r="AA834" i="22" s="1"/>
  <c r="FX70" i="6"/>
  <c r="FY70" i="6"/>
  <c r="EP5" i="6"/>
  <c r="AW7" i="6"/>
  <c r="EK7" i="6" s="1"/>
  <c r="AV7" i="6"/>
  <c r="EJ7" i="6" s="1"/>
  <c r="AV5" i="6"/>
  <c r="EJ5" i="6" s="1"/>
  <c r="AW5" i="6"/>
  <c r="EK5" i="6" s="1"/>
  <c r="AV6" i="6"/>
  <c r="AV9" i="6" s="1"/>
  <c r="AW6" i="6"/>
  <c r="AW9" i="6" s="1"/>
  <c r="Z57" i="23" l="1"/>
  <c r="Z65" i="23"/>
  <c r="Z55" i="23"/>
  <c r="Z63" i="23"/>
  <c r="Z59" i="23"/>
  <c r="Z62" i="23"/>
  <c r="Z64" i="23"/>
  <c r="Z61" i="23"/>
  <c r="Z60" i="23"/>
  <c r="Z58" i="23"/>
  <c r="Z56" i="23"/>
  <c r="Z268" i="22"/>
  <c r="Z299" i="17"/>
  <c r="Z305" i="17"/>
  <c r="Z50" i="23"/>
  <c r="Z273" i="22"/>
  <c r="Z269" i="22"/>
  <c r="Z49" i="23"/>
  <c r="Z274" i="22"/>
  <c r="Z275" i="22"/>
  <c r="Z300" i="17"/>
  <c r="Z303" i="17"/>
  <c r="Z809" i="22"/>
  <c r="Z271" i="22"/>
  <c r="Z51" i="23"/>
  <c r="Z52" i="23"/>
  <c r="Z301" i="17"/>
  <c r="Z131" i="22"/>
  <c r="Z134" i="22"/>
  <c r="Z192" i="17"/>
  <c r="Z188" i="17"/>
  <c r="Z190" i="17"/>
  <c r="Z136" i="22"/>
  <c r="Z138" i="22"/>
  <c r="Z133" i="22"/>
  <c r="Z191" i="17"/>
  <c r="AA65" i="23"/>
  <c r="AA62" i="23"/>
  <c r="AA57" i="23"/>
  <c r="AA59" i="23"/>
  <c r="AA55" i="23"/>
  <c r="AA63" i="23"/>
  <c r="AA61" i="23"/>
  <c r="AA56" i="23"/>
  <c r="AA58" i="23"/>
  <c r="AA64" i="23"/>
  <c r="AA60" i="23"/>
  <c r="AA192" i="17"/>
  <c r="AA134" i="22"/>
  <c r="AA131" i="22"/>
  <c r="AA188" i="17"/>
  <c r="AA190" i="17"/>
  <c r="AA136" i="22"/>
  <c r="AA138" i="22"/>
  <c r="AA133" i="22"/>
  <c r="AA191" i="17"/>
  <c r="AA130" i="22"/>
  <c r="AA19" i="23"/>
  <c r="AA774" i="22"/>
  <c r="AA127" i="22"/>
  <c r="AA123" i="22"/>
  <c r="AA187" i="17"/>
  <c r="AA183" i="17"/>
  <c r="AA124" i="22"/>
  <c r="AA126" i="22"/>
  <c r="AA129" i="22"/>
  <c r="AA901" i="17"/>
  <c r="AA184" i="17"/>
  <c r="AA179" i="17"/>
  <c r="AA180" i="17"/>
  <c r="AA125" i="22"/>
  <c r="AA122" i="22"/>
  <c r="AA128" i="22"/>
  <c r="AA182" i="17"/>
  <c r="AA18" i="23"/>
  <c r="AA185" i="17"/>
  <c r="AA181" i="17"/>
  <c r="AA177" i="17"/>
  <c r="AA178" i="17"/>
  <c r="AA186" i="17"/>
  <c r="AA247" i="23"/>
  <c r="AA408" i="22"/>
  <c r="AA407" i="22"/>
  <c r="AA246" i="23"/>
  <c r="AA541" i="17"/>
  <c r="AA540" i="17"/>
  <c r="AA207" i="23"/>
  <c r="AA210" i="23"/>
  <c r="AA370" i="22"/>
  <c r="AA270" i="22"/>
  <c r="AA272" i="22"/>
  <c r="AA302" i="17"/>
  <c r="AA409" i="22"/>
  <c r="AA542" i="17"/>
  <c r="AA410" i="22"/>
  <c r="AA411" i="22"/>
  <c r="Z426" i="22"/>
  <c r="Z436" i="22"/>
  <c r="Z432" i="22"/>
  <c r="Z437" i="22"/>
  <c r="Z440" i="22"/>
  <c r="Z438" i="22"/>
  <c r="Z430" i="22"/>
  <c r="Z431" i="22"/>
  <c r="Z428" i="22"/>
  <c r="Z427" i="22"/>
  <c r="Z433" i="22"/>
  <c r="Z429" i="22"/>
  <c r="Z439" i="22"/>
  <c r="Z434" i="22"/>
  <c r="Z435" i="22"/>
  <c r="Z127" i="22"/>
  <c r="Z19" i="23"/>
  <c r="Z774" i="22"/>
  <c r="Z130" i="22"/>
  <c r="Z123" i="22"/>
  <c r="Z187" i="17"/>
  <c r="Z183" i="17"/>
  <c r="Z124" i="22"/>
  <c r="Z126" i="22"/>
  <c r="Z129" i="22"/>
  <c r="Z901" i="17"/>
  <c r="Z179" i="17"/>
  <c r="Z180" i="17"/>
  <c r="Z184" i="17"/>
  <c r="Z128" i="22"/>
  <c r="Z122" i="22"/>
  <c r="Z18" i="23"/>
  <c r="Z125" i="22"/>
  <c r="Z182" i="17"/>
  <c r="Z185" i="17"/>
  <c r="Z177" i="17"/>
  <c r="Z178" i="17"/>
  <c r="Z181" i="17"/>
  <c r="Z186" i="17"/>
  <c r="Z247" i="23"/>
  <c r="Z407" i="22"/>
  <c r="Z408" i="22"/>
  <c r="Z246" i="23"/>
  <c r="Z540" i="17"/>
  <c r="Z541" i="17"/>
  <c r="Z207" i="23"/>
  <c r="Z210" i="23"/>
  <c r="Z370" i="22"/>
  <c r="Z270" i="22"/>
  <c r="Z272" i="22"/>
  <c r="Z302" i="17"/>
  <c r="Z409" i="22"/>
  <c r="Z542" i="17"/>
  <c r="Z410" i="22"/>
  <c r="Z411" i="22"/>
  <c r="AA426" i="22"/>
  <c r="AA437" i="22"/>
  <c r="AA436" i="22"/>
  <c r="AA432" i="22"/>
  <c r="AA438" i="22"/>
  <c r="AA440" i="22"/>
  <c r="AA431" i="22"/>
  <c r="AA430" i="22"/>
  <c r="AA434" i="22"/>
  <c r="AA433" i="22"/>
  <c r="AA428" i="22"/>
  <c r="AA427" i="22"/>
  <c r="AA429" i="22"/>
  <c r="AA439" i="22"/>
  <c r="AA435" i="22"/>
  <c r="AA321" i="17"/>
  <c r="AA53" i="23"/>
  <c r="AA284" i="22"/>
  <c r="AA312" i="17"/>
  <c r="AA313" i="17"/>
  <c r="AA318" i="17"/>
  <c r="AA320" i="17"/>
  <c r="AA286" i="22"/>
  <c r="AA277" i="22"/>
  <c r="AA278" i="22"/>
  <c r="AA276" i="22"/>
  <c r="AA281" i="22"/>
  <c r="AA288" i="22"/>
  <c r="AA285" i="22"/>
  <c r="AA316" i="17"/>
  <c r="AA317" i="17"/>
  <c r="AA283" i="22"/>
  <c r="AA319" i="17"/>
  <c r="AA322" i="17"/>
  <c r="AA314" i="17"/>
  <c r="AA311" i="17"/>
  <c r="AA315" i="17"/>
  <c r="AA54" i="23"/>
  <c r="AA280" i="22"/>
  <c r="AA279" i="22"/>
  <c r="AA287" i="22"/>
  <c r="AA282" i="22"/>
  <c r="AA323" i="17"/>
  <c r="AA309" i="17"/>
  <c r="AA310" i="17"/>
  <c r="AA365" i="22"/>
  <c r="AA185" i="23"/>
  <c r="AA364" i="22"/>
  <c r="AA362" i="22"/>
  <c r="AA470" i="17"/>
  <c r="AA472" i="17"/>
  <c r="AA181" i="23"/>
  <c r="AA367" i="22"/>
  <c r="AA469" i="17"/>
  <c r="AA473" i="17"/>
  <c r="AA182" i="23"/>
  <c r="AA363" i="22"/>
  <c r="AA184" i="23"/>
  <c r="AA471" i="17"/>
  <c r="AA224" i="17"/>
  <c r="AA216" i="17"/>
  <c r="AA232" i="17"/>
  <c r="AA228" i="17"/>
  <c r="AA831" i="22"/>
  <c r="AA236" i="17"/>
  <c r="AA164" i="22"/>
  <c r="AA230" i="17"/>
  <c r="AA234" i="17"/>
  <c r="AA235" i="17"/>
  <c r="AA225" i="17"/>
  <c r="AA223" i="17"/>
  <c r="AA233" i="17"/>
  <c r="AA231" i="17"/>
  <c r="AA229" i="17"/>
  <c r="AA226" i="17"/>
  <c r="AA227" i="17"/>
  <c r="AA538" i="17"/>
  <c r="AA539" i="17"/>
  <c r="AA306" i="17"/>
  <c r="AA307" i="17"/>
  <c r="AA308" i="17"/>
  <c r="AA304" i="17"/>
  <c r="AA468" i="17"/>
  <c r="AA179" i="23"/>
  <c r="AA366" i="22"/>
  <c r="AA361" i="22"/>
  <c r="AA180" i="23"/>
  <c r="AA183" i="23"/>
  <c r="AA268" i="22"/>
  <c r="AA299" i="17"/>
  <c r="AA305" i="17"/>
  <c r="AA273" i="22"/>
  <c r="AA269" i="22"/>
  <c r="AA50" i="23"/>
  <c r="AA49" i="23"/>
  <c r="AA274" i="22"/>
  <c r="AA275" i="22"/>
  <c r="AA300" i="17"/>
  <c r="AA303" i="17"/>
  <c r="AA52" i="23"/>
  <c r="AA51" i="23"/>
  <c r="AA271" i="22"/>
  <c r="AA809" i="22"/>
  <c r="AA301" i="17"/>
  <c r="Z321" i="17"/>
  <c r="Z284" i="22"/>
  <c r="Z53" i="23"/>
  <c r="Z318" i="17"/>
  <c r="Z313" i="17"/>
  <c r="Z312" i="17"/>
  <c r="Z320" i="17"/>
  <c r="Z286" i="22"/>
  <c r="Z281" i="22"/>
  <c r="Z277" i="22"/>
  <c r="Z278" i="22"/>
  <c r="Z276" i="22"/>
  <c r="Z288" i="22"/>
  <c r="Z314" i="17"/>
  <c r="Z285" i="22"/>
  <c r="Z317" i="17"/>
  <c r="Z319" i="17"/>
  <c r="Z283" i="22"/>
  <c r="Z316" i="17"/>
  <c r="Z322" i="17"/>
  <c r="Z315" i="17"/>
  <c r="Z311" i="17"/>
  <c r="Z280" i="22"/>
  <c r="Z287" i="22"/>
  <c r="Z279" i="22"/>
  <c r="Z282" i="22"/>
  <c r="Z54" i="23"/>
  <c r="Z323" i="17"/>
  <c r="Z310" i="17"/>
  <c r="Z309" i="17"/>
  <c r="Z306" i="17"/>
  <c r="Z307" i="17"/>
  <c r="Z308" i="17"/>
  <c r="Z304" i="17"/>
  <c r="AA143" i="22"/>
  <c r="AA189" i="17"/>
  <c r="AA142" i="22"/>
  <c r="AA135" i="22"/>
  <c r="AA20" i="23"/>
  <c r="AA137" i="22"/>
  <c r="AA140" i="22"/>
  <c r="AA132" i="22"/>
  <c r="AA139" i="22"/>
  <c r="AA194" i="17"/>
  <c r="AA193" i="17"/>
  <c r="AA195" i="17"/>
  <c r="AA141" i="22"/>
  <c r="AA144" i="22"/>
  <c r="AA196" i="17"/>
  <c r="AA477" i="17"/>
  <c r="AA201" i="23"/>
  <c r="AA202" i="23"/>
  <c r="AA197" i="23"/>
  <c r="AA198" i="23"/>
  <c r="AA484" i="17"/>
  <c r="AA476" i="17"/>
  <c r="AA480" i="17"/>
  <c r="AA199" i="23"/>
  <c r="AA193" i="23"/>
  <c r="AA187" i="23"/>
  <c r="AA191" i="23"/>
  <c r="AA190" i="23"/>
  <c r="AA189" i="23"/>
  <c r="AA195" i="23"/>
  <c r="AA194" i="23"/>
  <c r="AA478" i="17"/>
  <c r="AA482" i="17"/>
  <c r="AA491" i="17"/>
  <c r="AA474" i="17"/>
  <c r="AA488" i="17"/>
  <c r="AA192" i="23"/>
  <c r="AA203" i="23"/>
  <c r="AA204" i="23"/>
  <c r="AA485" i="17"/>
  <c r="AA196" i="23"/>
  <c r="AA188" i="23"/>
  <c r="AA200" i="23"/>
  <c r="AA487" i="17"/>
  <c r="AA489" i="17"/>
  <c r="AA475" i="17"/>
  <c r="AA479" i="17"/>
  <c r="AA486" i="17"/>
  <c r="AA483" i="17"/>
  <c r="AA490" i="17"/>
  <c r="AA481" i="17"/>
  <c r="AA213" i="23"/>
  <c r="AA221" i="23"/>
  <c r="AA217" i="23"/>
  <c r="AA373" i="22"/>
  <c r="AA372" i="22"/>
  <c r="AA369" i="22"/>
  <c r="AA206" i="23"/>
  <c r="AA368" i="22"/>
  <c r="AA205" i="23"/>
  <c r="AA220" i="23"/>
  <c r="AA216" i="23"/>
  <c r="AA218" i="23"/>
  <c r="AA219" i="23"/>
  <c r="AA214" i="23"/>
  <c r="AA209" i="23"/>
  <c r="AA215" i="23"/>
  <c r="AA208" i="23"/>
  <c r="AA212" i="23"/>
  <c r="AA371" i="22"/>
  <c r="AA211" i="23"/>
  <c r="AA152" i="22"/>
  <c r="AA204" i="17"/>
  <c r="AA200" i="17"/>
  <c r="AA160" i="22"/>
  <c r="AA773" i="22"/>
  <c r="AA212" i="17"/>
  <c r="AA151" i="22"/>
  <c r="AA197" i="17"/>
  <c r="AA211" i="17"/>
  <c r="AA208" i="17"/>
  <c r="AA150" i="22"/>
  <c r="AA158" i="22"/>
  <c r="AA163" i="22"/>
  <c r="AA207" i="17"/>
  <c r="AA202" i="17"/>
  <c r="AA154" i="22"/>
  <c r="AA159" i="22"/>
  <c r="AA808" i="22"/>
  <c r="AA153" i="22"/>
  <c r="AA147" i="22"/>
  <c r="AA162" i="22"/>
  <c r="AA801" i="22"/>
  <c r="AA156" i="22"/>
  <c r="AA157" i="22"/>
  <c r="AA148" i="22"/>
  <c r="AA210" i="17"/>
  <c r="AA198" i="17"/>
  <c r="AA206" i="17"/>
  <c r="AA201" i="17"/>
  <c r="AA203" i="17"/>
  <c r="AA205" i="17"/>
  <c r="AA213" i="17"/>
  <c r="AA830" i="22"/>
  <c r="AA155" i="22"/>
  <c r="AA149" i="22"/>
  <c r="AA161" i="22"/>
  <c r="AA209" i="17"/>
  <c r="AA421" i="22"/>
  <c r="AA417" i="22"/>
  <c r="AA424" i="22"/>
  <c r="AA416" i="22"/>
  <c r="AA425" i="22"/>
  <c r="AA413" i="22"/>
  <c r="AA422" i="22"/>
  <c r="AA414" i="22"/>
  <c r="AA420" i="22"/>
  <c r="AA418" i="22"/>
  <c r="AA423" i="22"/>
  <c r="AA412" i="22"/>
  <c r="AA419" i="22"/>
  <c r="AA415" i="22"/>
  <c r="AA240" i="17"/>
  <c r="AA220" i="17"/>
  <c r="AA215" i="17"/>
  <c r="AA243" i="17"/>
  <c r="AA222" i="17"/>
  <c r="AA238" i="17"/>
  <c r="AA237" i="17"/>
  <c r="AA214" i="17"/>
  <c r="AA218" i="17"/>
  <c r="AA242" i="17"/>
  <c r="AA219" i="17"/>
  <c r="AA217" i="17"/>
  <c r="AA239" i="17"/>
  <c r="AA221" i="17"/>
  <c r="AA241" i="17"/>
  <c r="AA405" i="22"/>
  <c r="AA243" i="23"/>
  <c r="AA404" i="22"/>
  <c r="AA244" i="23"/>
  <c r="AA535" i="17"/>
  <c r="AA536" i="17"/>
  <c r="Z365" i="22"/>
  <c r="Z362" i="22"/>
  <c r="Z364" i="22"/>
  <c r="Z185" i="23"/>
  <c r="Z470" i="17"/>
  <c r="Z472" i="17"/>
  <c r="Z181" i="23"/>
  <c r="Z367" i="22"/>
  <c r="Z469" i="17"/>
  <c r="Z473" i="17"/>
  <c r="Z182" i="23"/>
  <c r="Z184" i="23"/>
  <c r="Z363" i="22"/>
  <c r="Z471" i="17"/>
  <c r="Z216" i="17"/>
  <c r="Z224" i="17"/>
  <c r="Z228" i="17"/>
  <c r="Z232" i="17"/>
  <c r="Z236" i="17"/>
  <c r="Z831" i="22"/>
  <c r="Z164" i="22"/>
  <c r="Z230" i="17"/>
  <c r="Z234" i="17"/>
  <c r="Z235" i="17"/>
  <c r="Z231" i="17"/>
  <c r="Z229" i="17"/>
  <c r="Z226" i="17"/>
  <c r="Z227" i="17"/>
  <c r="Z223" i="17"/>
  <c r="Z225" i="17"/>
  <c r="Z233" i="17"/>
  <c r="Z538" i="17"/>
  <c r="Z539" i="17"/>
  <c r="Z468" i="17"/>
  <c r="Z179" i="23"/>
  <c r="Z366" i="22"/>
  <c r="Z361" i="22"/>
  <c r="Z183" i="23"/>
  <c r="Z180" i="23"/>
  <c r="Z189" i="17"/>
  <c r="Z143" i="22"/>
  <c r="Z135" i="22"/>
  <c r="Z142" i="22"/>
  <c r="Z137" i="22"/>
  <c r="Z20" i="23"/>
  <c r="Z132" i="22"/>
  <c r="Z139" i="22"/>
  <c r="Z140" i="22"/>
  <c r="Z194" i="17"/>
  <c r="Z195" i="17"/>
  <c r="Z193" i="17"/>
  <c r="Z141" i="22"/>
  <c r="Z144" i="22"/>
  <c r="Z196" i="17"/>
  <c r="Z477" i="17"/>
  <c r="Z201" i="23"/>
  <c r="Z198" i="23"/>
  <c r="Z197" i="23"/>
  <c r="Z484" i="17"/>
  <c r="Z476" i="17"/>
  <c r="Z480" i="17"/>
  <c r="Z193" i="23"/>
  <c r="Z190" i="23"/>
  <c r="Z202" i="23"/>
  <c r="Z194" i="23"/>
  <c r="Z191" i="23"/>
  <c r="Z187" i="23"/>
  <c r="Z195" i="23"/>
  <c r="Z199" i="23"/>
  <c r="Z189" i="23"/>
  <c r="Z478" i="17"/>
  <c r="Z491" i="17"/>
  <c r="Z482" i="17"/>
  <c r="Z474" i="17"/>
  <c r="Z488" i="17"/>
  <c r="Z203" i="23"/>
  <c r="Z196" i="23"/>
  <c r="Z188" i="23"/>
  <c r="Z200" i="23"/>
  <c r="Z204" i="23"/>
  <c r="Z192" i="23"/>
  <c r="Z475" i="17"/>
  <c r="Z486" i="17"/>
  <c r="Z481" i="17"/>
  <c r="Z479" i="17"/>
  <c r="Z483" i="17"/>
  <c r="Z485" i="17"/>
  <c r="Z489" i="17"/>
  <c r="Z490" i="17"/>
  <c r="Z487" i="17"/>
  <c r="Z221" i="23"/>
  <c r="Z213" i="23"/>
  <c r="Z206" i="23"/>
  <c r="Z372" i="22"/>
  <c r="Z373" i="22"/>
  <c r="Z205" i="23"/>
  <c r="Z368" i="22"/>
  <c r="Z217" i="23"/>
  <c r="Z369" i="22"/>
  <c r="Z220" i="23"/>
  <c r="Z216" i="23"/>
  <c r="Z218" i="23"/>
  <c r="Z214" i="23"/>
  <c r="Z219" i="23"/>
  <c r="Z371" i="22"/>
  <c r="Z211" i="23"/>
  <c r="Z215" i="23"/>
  <c r="Z208" i="23"/>
  <c r="Z212" i="23"/>
  <c r="Z209" i="23"/>
  <c r="Z773" i="22"/>
  <c r="Z151" i="22"/>
  <c r="Z152" i="22"/>
  <c r="Z160" i="22"/>
  <c r="Z208" i="17"/>
  <c r="Z212" i="17"/>
  <c r="Z200" i="17"/>
  <c r="Z211" i="17"/>
  <c r="Z197" i="17"/>
  <c r="Z204" i="17"/>
  <c r="Z150" i="22"/>
  <c r="Z163" i="22"/>
  <c r="Z207" i="17"/>
  <c r="Z202" i="17"/>
  <c r="Z158" i="22"/>
  <c r="Z808" i="22"/>
  <c r="Z153" i="22"/>
  <c r="Z154" i="22"/>
  <c r="Z147" i="22"/>
  <c r="Z159" i="22"/>
  <c r="Z162" i="22"/>
  <c r="Z156" i="22"/>
  <c r="Z801" i="22"/>
  <c r="Z157" i="22"/>
  <c r="Z148" i="22"/>
  <c r="Z210" i="17"/>
  <c r="Z205" i="17"/>
  <c r="Z198" i="17"/>
  <c r="Z203" i="17"/>
  <c r="Z201" i="17"/>
  <c r="Z213" i="17"/>
  <c r="Z206" i="17"/>
  <c r="Z830" i="22"/>
  <c r="Z155" i="22"/>
  <c r="Z149" i="22"/>
  <c r="Z161" i="22"/>
  <c r="Z209" i="17"/>
  <c r="Z424" i="22"/>
  <c r="Z417" i="22"/>
  <c r="Z421" i="22"/>
  <c r="Z416" i="22"/>
  <c r="Z422" i="22"/>
  <c r="Z414" i="22"/>
  <c r="Z425" i="22"/>
  <c r="Z413" i="22"/>
  <c r="Z420" i="22"/>
  <c r="Z418" i="22"/>
  <c r="Z412" i="22"/>
  <c r="Z419" i="22"/>
  <c r="Z415" i="22"/>
  <c r="Z423" i="22"/>
  <c r="Z215" i="17"/>
  <c r="Z240" i="17"/>
  <c r="Z220" i="17"/>
  <c r="Z243" i="17"/>
  <c r="Z214" i="17"/>
  <c r="Z222" i="17"/>
  <c r="Z238" i="17"/>
  <c r="Z237" i="17"/>
  <c r="Z218" i="17"/>
  <c r="Z242" i="17"/>
  <c r="Z219" i="17"/>
  <c r="Z217" i="17"/>
  <c r="Z239" i="17"/>
  <c r="Z221" i="17"/>
  <c r="Z241" i="17"/>
  <c r="Z405" i="22"/>
  <c r="Z404" i="22"/>
  <c r="Z243" i="23"/>
  <c r="Z244" i="23"/>
  <c r="Z535" i="17"/>
  <c r="Z536" i="17"/>
  <c r="AA129" i="23"/>
  <c r="AA134" i="23"/>
  <c r="AA133" i="23"/>
  <c r="AA125" i="23"/>
  <c r="AA35" i="23"/>
  <c r="AA38" i="23"/>
  <c r="AA40" i="23"/>
  <c r="AA42" i="23"/>
  <c r="AA127" i="23"/>
  <c r="AA131" i="23"/>
  <c r="AA132" i="23"/>
  <c r="AA130" i="23"/>
  <c r="AA126" i="23"/>
  <c r="AA128" i="23"/>
  <c r="Z134" i="23"/>
  <c r="Z125" i="23"/>
  <c r="Z129" i="23"/>
  <c r="Z133" i="23"/>
  <c r="Z35" i="23"/>
  <c r="Z40" i="23"/>
  <c r="Z42" i="23"/>
  <c r="Z38" i="23"/>
  <c r="Z127" i="23"/>
  <c r="Z131" i="23"/>
  <c r="Z132" i="23"/>
  <c r="Z130" i="23"/>
  <c r="Z126" i="23"/>
  <c r="Z128" i="23"/>
  <c r="AA140" i="23"/>
  <c r="AA135" i="23"/>
  <c r="AA141" i="23"/>
  <c r="AA146" i="23"/>
  <c r="AA149" i="23"/>
  <c r="AA153" i="23"/>
  <c r="AA139" i="23"/>
  <c r="AA352" i="23"/>
  <c r="AA142" i="23"/>
  <c r="AA138" i="23"/>
  <c r="AA136" i="23"/>
  <c r="AA145" i="23"/>
  <c r="AA147" i="23"/>
  <c r="AA148" i="23"/>
  <c r="AA151" i="23"/>
  <c r="AA144" i="23"/>
  <c r="AA137" i="23"/>
  <c r="AA152" i="23"/>
  <c r="Z135" i="23"/>
  <c r="Z140" i="23"/>
  <c r="Z141" i="23"/>
  <c r="Z149" i="23"/>
  <c r="Z146" i="23"/>
  <c r="Z153" i="23"/>
  <c r="Z142" i="23"/>
  <c r="Z139" i="23"/>
  <c r="Z138" i="23"/>
  <c r="Z352" i="23"/>
  <c r="Z136" i="23"/>
  <c r="Z137" i="23"/>
  <c r="Z148" i="23"/>
  <c r="Z144" i="23"/>
  <c r="Z152" i="23"/>
  <c r="Z151" i="23"/>
  <c r="Z147" i="23"/>
  <c r="Z145" i="23"/>
  <c r="Z335" i="22"/>
  <c r="AA335" i="22"/>
  <c r="Z201" i="22"/>
  <c r="Z200" i="22"/>
  <c r="Z199" i="22"/>
  <c r="Z779" i="22"/>
  <c r="Z203" i="22"/>
  <c r="AA215" i="22"/>
  <c r="AA225" i="22"/>
  <c r="AA241" i="22"/>
  <c r="AA227" i="22"/>
  <c r="AA220" i="22"/>
  <c r="AA242" i="22"/>
  <c r="AA221" i="22"/>
  <c r="AA226" i="22"/>
  <c r="AA222" i="22"/>
  <c r="AA230" i="22"/>
  <c r="AA238" i="22"/>
  <c r="AA228" i="22"/>
  <c r="AA231" i="22"/>
  <c r="AA243" i="22"/>
  <c r="AA217" i="22"/>
  <c r="AA213" i="22"/>
  <c r="AA239" i="22"/>
  <c r="AA232" i="22"/>
  <c r="AA244" i="22"/>
  <c r="AA236" i="22"/>
  <c r="AA224" i="22"/>
  <c r="AA235" i="22"/>
  <c r="AA223" i="22"/>
  <c r="AA216" i="22"/>
  <c r="AA240" i="22"/>
  <c r="AA245" i="22"/>
  <c r="AA237" i="22"/>
  <c r="AA229" i="22"/>
  <c r="AA289" i="22"/>
  <c r="AA815" i="22"/>
  <c r="AA340" i="22"/>
  <c r="AA341" i="22"/>
  <c r="AA345" i="22"/>
  <c r="AA342" i="22"/>
  <c r="AA344" i="22"/>
  <c r="AA336" i="22"/>
  <c r="AA338" i="22"/>
  <c r="AA339" i="22"/>
  <c r="AA337" i="22"/>
  <c r="AA201" i="22"/>
  <c r="AA779" i="22"/>
  <c r="AA199" i="22"/>
  <c r="AA200" i="22"/>
  <c r="AA203" i="22"/>
  <c r="Z215" i="22"/>
  <c r="Z225" i="22"/>
  <c r="Z242" i="22"/>
  <c r="Z226" i="22"/>
  <c r="Z221" i="22"/>
  <c r="Z220" i="22"/>
  <c r="Z227" i="22"/>
  <c r="Z241" i="22"/>
  <c r="Z228" i="22"/>
  <c r="Z230" i="22"/>
  <c r="Z238" i="22"/>
  <c r="Z222" i="22"/>
  <c r="Z223" i="22"/>
  <c r="Z224" i="22"/>
  <c r="Z239" i="22"/>
  <c r="Z232" i="22"/>
  <c r="Z217" i="22"/>
  <c r="Z244" i="22"/>
  <c r="Z243" i="22"/>
  <c r="Z236" i="22"/>
  <c r="Z231" i="22"/>
  <c r="Z213" i="22"/>
  <c r="Z235" i="22"/>
  <c r="Z229" i="22"/>
  <c r="Z237" i="22"/>
  <c r="Z240" i="22"/>
  <c r="Z245" i="22"/>
  <c r="Z216" i="22"/>
  <c r="Z289" i="22"/>
  <c r="Z815" i="22"/>
  <c r="Z341" i="22"/>
  <c r="Z340" i="22"/>
  <c r="Z345" i="22"/>
  <c r="Z336" i="22"/>
  <c r="Z342" i="22"/>
  <c r="Z344" i="22"/>
  <c r="Z339" i="22"/>
  <c r="Z337" i="22"/>
  <c r="Z338" i="22"/>
  <c r="Z326" i="17"/>
  <c r="Z332" i="17"/>
  <c r="Z329" i="17"/>
  <c r="Z335" i="17"/>
  <c r="Z327" i="17"/>
  <c r="Z328" i="17"/>
  <c r="Z331" i="17"/>
  <c r="Z333" i="17"/>
  <c r="Z334" i="17"/>
  <c r="Z325" i="17"/>
  <c r="Z324" i="17"/>
  <c r="Z330" i="17"/>
  <c r="AA252" i="17"/>
  <c r="AA254" i="17"/>
  <c r="AA931" i="17"/>
  <c r="AA250" i="17"/>
  <c r="AA251" i="17"/>
  <c r="AA253" i="17"/>
  <c r="AA465" i="17"/>
  <c r="AA464" i="17"/>
  <c r="AA461" i="17"/>
  <c r="AA460" i="17"/>
  <c r="AA462" i="17"/>
  <c r="AA275" i="17"/>
  <c r="AA276" i="17"/>
  <c r="AA272" i="17"/>
  <c r="AA268" i="17"/>
  <c r="AA264" i="17"/>
  <c r="AA281" i="17"/>
  <c r="AA278" i="17"/>
  <c r="AA262" i="17"/>
  <c r="AA284" i="17"/>
  <c r="AA279" i="17"/>
  <c r="AA270" i="17"/>
  <c r="AA282" i="17"/>
  <c r="AA277" i="17"/>
  <c r="AA280" i="17"/>
  <c r="AA265" i="17"/>
  <c r="AA273" i="17"/>
  <c r="AA267" i="17"/>
  <c r="AA271" i="17"/>
  <c r="AA283" i="17"/>
  <c r="AA266" i="17"/>
  <c r="AA274" i="17"/>
  <c r="AA269" i="17"/>
  <c r="Z465" i="17"/>
  <c r="Z460" i="17"/>
  <c r="Z461" i="17"/>
  <c r="Z464" i="17"/>
  <c r="Z462" i="17"/>
  <c r="Z252" i="17"/>
  <c r="Z254" i="17"/>
  <c r="Z250" i="17"/>
  <c r="Z251" i="17"/>
  <c r="Z931" i="17"/>
  <c r="Z253" i="17"/>
  <c r="Z264" i="17"/>
  <c r="Z272" i="17"/>
  <c r="Z268" i="17"/>
  <c r="Z276" i="17"/>
  <c r="Z275" i="17"/>
  <c r="Z278" i="17"/>
  <c r="Z284" i="17"/>
  <c r="Z279" i="17"/>
  <c r="Z262" i="17"/>
  <c r="Z281" i="17"/>
  <c r="Z282" i="17"/>
  <c r="Z273" i="17"/>
  <c r="Z266" i="17"/>
  <c r="Z267" i="17"/>
  <c r="Z270" i="17"/>
  <c r="Z280" i="17"/>
  <c r="Z265" i="17"/>
  <c r="Z274" i="17"/>
  <c r="Z269" i="17"/>
  <c r="Z283" i="17"/>
  <c r="Z277" i="17"/>
  <c r="Z271" i="17"/>
  <c r="AA337" i="17"/>
  <c r="AA344" i="17"/>
  <c r="AA359" i="17"/>
  <c r="AA336" i="17"/>
  <c r="AA343" i="17"/>
  <c r="AA342" i="17"/>
  <c r="AA360" i="17"/>
  <c r="AA355" i="17"/>
  <c r="AA352" i="17"/>
  <c r="AA341" i="17"/>
  <c r="AA361" i="17"/>
  <c r="AA351" i="17"/>
  <c r="AA358" i="17"/>
  <c r="AA350" i="17"/>
  <c r="AA356" i="17"/>
  <c r="AA347" i="17"/>
  <c r="AA338" i="17"/>
  <c r="AA349" i="17"/>
  <c r="AA354" i="17"/>
  <c r="AA340" i="17"/>
  <c r="AA357" i="17"/>
  <c r="AA339" i="17"/>
  <c r="AA353" i="17"/>
  <c r="AA346" i="17"/>
  <c r="AA345" i="17"/>
  <c r="AA348" i="17"/>
  <c r="Z337" i="17"/>
  <c r="Z359" i="17"/>
  <c r="Z336" i="17"/>
  <c r="Z343" i="17"/>
  <c r="Z344" i="17"/>
  <c r="Z356" i="17"/>
  <c r="Z347" i="17"/>
  <c r="Z350" i="17"/>
  <c r="Z361" i="17"/>
  <c r="Z358" i="17"/>
  <c r="Z341" i="17"/>
  <c r="Z360" i="17"/>
  <c r="Z351" i="17"/>
  <c r="Z355" i="17"/>
  <c r="Z352" i="17"/>
  <c r="Z342" i="17"/>
  <c r="Z353" i="17"/>
  <c r="Z354" i="17"/>
  <c r="Z345" i="17"/>
  <c r="Z346" i="17"/>
  <c r="Z348" i="17"/>
  <c r="Z338" i="17"/>
  <c r="Z357" i="17"/>
  <c r="Z339" i="17"/>
  <c r="Z340" i="17"/>
  <c r="Z349" i="17"/>
  <c r="Z431" i="17"/>
  <c r="Z432" i="17"/>
  <c r="Z429" i="17"/>
  <c r="Z430" i="17"/>
  <c r="AA326" i="17"/>
  <c r="AA332" i="17"/>
  <c r="AA329" i="17"/>
  <c r="AA335" i="17"/>
  <c r="AA327" i="17"/>
  <c r="AA331" i="17"/>
  <c r="AA328" i="17"/>
  <c r="AA333" i="17"/>
  <c r="AA325" i="17"/>
  <c r="AA334" i="17"/>
  <c r="AA330" i="17"/>
  <c r="AA324" i="17"/>
  <c r="AA431" i="17"/>
  <c r="AA430" i="17"/>
  <c r="AA432" i="17"/>
  <c r="AA429" i="17"/>
  <c r="EL303" i="6"/>
  <c r="EW303" i="6" s="1"/>
  <c r="EL299" i="6"/>
  <c r="EW299" i="6" s="1"/>
  <c r="EL238" i="6"/>
  <c r="EW238" i="6" s="1"/>
  <c r="EL236" i="6"/>
  <c r="EW236" i="6" s="1"/>
  <c r="EL191" i="6"/>
  <c r="EW191" i="6" s="1"/>
  <c r="EL82" i="6"/>
  <c r="EW82" i="6" s="1"/>
  <c r="EL18" i="6"/>
  <c r="EW18" i="6" s="1"/>
  <c r="EL72" i="6"/>
  <c r="EW72" i="6" s="1"/>
  <c r="EL85" i="6"/>
  <c r="EW85" i="6" s="1"/>
  <c r="EL84" i="6"/>
  <c r="EW84" i="6" s="1"/>
  <c r="EL19" i="6"/>
  <c r="EW19" i="6" s="1"/>
  <c r="EL253" i="6"/>
  <c r="EW253" i="6" s="1"/>
  <c r="EL300" i="6"/>
  <c r="EW300" i="6" s="1"/>
  <c r="EL304" i="6"/>
  <c r="EW304" i="6" s="1"/>
  <c r="EL71" i="6"/>
  <c r="EW71" i="6" s="1"/>
  <c r="EL239" i="6"/>
  <c r="EW239" i="6" s="1"/>
  <c r="EL256" i="6"/>
  <c r="EW256" i="6" s="1"/>
  <c r="EL257" i="6"/>
  <c r="EL241" i="6"/>
  <c r="EW241" i="6" s="1"/>
  <c r="EL305" i="6"/>
  <c r="EW305" i="6" s="1"/>
  <c r="EL83" i="6"/>
  <c r="EW83" i="6" s="1"/>
  <c r="EL249" i="6"/>
  <c r="EW249" i="6" s="1"/>
  <c r="EL306" i="6"/>
  <c r="EW306" i="6" s="1"/>
  <c r="EL175" i="6"/>
  <c r="EW175" i="6" s="1"/>
  <c r="EK303" i="6"/>
  <c r="EV303" i="6" s="1"/>
  <c r="EK299" i="6"/>
  <c r="EV299" i="6" s="1"/>
  <c r="EK239" i="6"/>
  <c r="EV239" i="6" s="1"/>
  <c r="EK175" i="6"/>
  <c r="EV175" i="6" s="1"/>
  <c r="EK82" i="6"/>
  <c r="EV82" i="6" s="1"/>
  <c r="EK19" i="6"/>
  <c r="EV19" i="6" s="1"/>
  <c r="EK83" i="6"/>
  <c r="EV83" i="6" s="1"/>
  <c r="EK72" i="6"/>
  <c r="EV72" i="6" s="1"/>
  <c r="EK236" i="6"/>
  <c r="EV236" i="6" s="1"/>
  <c r="EK238" i="6"/>
  <c r="EV238" i="6" s="1"/>
  <c r="EK256" i="6"/>
  <c r="EV256" i="6" s="1"/>
  <c r="EK241" i="6"/>
  <c r="EV241" i="6" s="1"/>
  <c r="EK300" i="6"/>
  <c r="EV300" i="6" s="1"/>
  <c r="EK18" i="6"/>
  <c r="EV18" i="6" s="1"/>
  <c r="EK257" i="6"/>
  <c r="EV257" i="6" s="1"/>
  <c r="EK71" i="6"/>
  <c r="EV71" i="6" s="1"/>
  <c r="EK191" i="6"/>
  <c r="EV191" i="6" s="1"/>
  <c r="EK305" i="6"/>
  <c r="EV305" i="6" s="1"/>
  <c r="EK85" i="6"/>
  <c r="EV85" i="6" s="1"/>
  <c r="EK304" i="6"/>
  <c r="EV304" i="6" s="1"/>
  <c r="EK249" i="6"/>
  <c r="EV249" i="6" s="1"/>
  <c r="EK253" i="6"/>
  <c r="EV253" i="6" s="1"/>
  <c r="EK84" i="6"/>
  <c r="EV84" i="6" s="1"/>
  <c r="EK306" i="6"/>
  <c r="EV306" i="6" s="1"/>
  <c r="AA8" i="22"/>
  <c r="Z8" i="22"/>
  <c r="Y8" i="22"/>
  <c r="EK6" i="6"/>
  <c r="EJ6" i="6"/>
  <c r="EK8" i="6"/>
  <c r="EJ8" i="6"/>
  <c r="K116" i="13" l="1"/>
  <c r="K113" i="13" s="1"/>
  <c r="EL247" i="6"/>
  <c r="EW247" i="6" s="1"/>
  <c r="EL228" i="6"/>
  <c r="EW228" i="6" s="1"/>
  <c r="EL234" i="6"/>
  <c r="EW234" i="6" s="1"/>
  <c r="EL235" i="6"/>
  <c r="EW235" i="6" s="1"/>
  <c r="EL231" i="6"/>
  <c r="EW231" i="6" s="1"/>
  <c r="EL255" i="6"/>
  <c r="EW255" i="6" s="1"/>
  <c r="EL164" i="6"/>
  <c r="EW164" i="6" s="1"/>
  <c r="EL182" i="6"/>
  <c r="EW182" i="6" s="1"/>
  <c r="EL168" i="6"/>
  <c r="EW168" i="6" s="1"/>
  <c r="EL145" i="6"/>
  <c r="EW145" i="6" s="1"/>
  <c r="EL108" i="6"/>
  <c r="EW108" i="6" s="1"/>
  <c r="EL110" i="6"/>
  <c r="EW110" i="6" s="1"/>
  <c r="EL201" i="6"/>
  <c r="EW201" i="6" s="1"/>
  <c r="EL250" i="6"/>
  <c r="EW250" i="6" s="1"/>
  <c r="EL227" i="6"/>
  <c r="EW227" i="6" s="1"/>
  <c r="EL106" i="6"/>
  <c r="EW106" i="6" s="1"/>
  <c r="EL144" i="6"/>
  <c r="EW144" i="6" s="1"/>
  <c r="EL179" i="6"/>
  <c r="EW179" i="6" s="1"/>
  <c r="EL155" i="6"/>
  <c r="EW155" i="6" s="1"/>
  <c r="EL264" i="6"/>
  <c r="EW264" i="6" s="1"/>
  <c r="EL266" i="6"/>
  <c r="EW266" i="6" s="1"/>
  <c r="EL271" i="6"/>
  <c r="EW271" i="6" s="1"/>
  <c r="EL181" i="6"/>
  <c r="EW181" i="6" s="1"/>
  <c r="EL254" i="6"/>
  <c r="EW254" i="6" s="1"/>
  <c r="EL109" i="6"/>
  <c r="EW109" i="6" s="1"/>
  <c r="EL147" i="6"/>
  <c r="EW147" i="6" s="1"/>
  <c r="EL229" i="6"/>
  <c r="EW229" i="6" s="1"/>
  <c r="EL265" i="6"/>
  <c r="EW265" i="6" s="1"/>
  <c r="EL267" i="6"/>
  <c r="EW267" i="6" s="1"/>
  <c r="EL188" i="6"/>
  <c r="EW188" i="6" s="1"/>
  <c r="EL308" i="6"/>
  <c r="EW308" i="6" s="1"/>
  <c r="EL258" i="6"/>
  <c r="EW258" i="6" s="1"/>
  <c r="EL107" i="6"/>
  <c r="EW107" i="6" s="1"/>
  <c r="EL200" i="6"/>
  <c r="BW200" i="6" s="1"/>
  <c r="EW200" i="6" s="1"/>
  <c r="EL252" i="6"/>
  <c r="EW252" i="6" s="1"/>
  <c r="EL248" i="6"/>
  <c r="EW248" i="6" s="1"/>
  <c r="EL307" i="6"/>
  <c r="EW307" i="6" s="1"/>
  <c r="EL273" i="6"/>
  <c r="EW273" i="6" s="1"/>
  <c r="EL162" i="6"/>
  <c r="EW162" i="6" s="1"/>
  <c r="EL272" i="6"/>
  <c r="EW272" i="6" s="1"/>
  <c r="EL184" i="6"/>
  <c r="EW184" i="6" s="1"/>
  <c r="EL172" i="6"/>
  <c r="EW172" i="6" s="1"/>
  <c r="EL268" i="6"/>
  <c r="EW268" i="6" s="1"/>
  <c r="EL270" i="6"/>
  <c r="EW270" i="6" s="1"/>
  <c r="J116" i="13"/>
  <c r="J113" i="13" s="1"/>
  <c r="EK273" i="6"/>
  <c r="EV273" i="6" s="1"/>
  <c r="EK266" i="6"/>
  <c r="EV266" i="6" s="1"/>
  <c r="EK261" i="6"/>
  <c r="EV261" i="6" s="1"/>
  <c r="EK264" i="6"/>
  <c r="EV264" i="6" s="1"/>
  <c r="EK247" i="6"/>
  <c r="EV247" i="6" s="1"/>
  <c r="EK252" i="6"/>
  <c r="EV252" i="6" s="1"/>
  <c r="EK228" i="6"/>
  <c r="EV228" i="6" s="1"/>
  <c r="EK259" i="6"/>
  <c r="EV259" i="6" s="1"/>
  <c r="EK254" i="6"/>
  <c r="EV254" i="6" s="1"/>
  <c r="EK155" i="6"/>
  <c r="EV155" i="6" s="1"/>
  <c r="EK182" i="6"/>
  <c r="EV182" i="6" s="1"/>
  <c r="EK108" i="6"/>
  <c r="EV108" i="6" s="1"/>
  <c r="EK120" i="6"/>
  <c r="EV120" i="6" s="1"/>
  <c r="EK117" i="6"/>
  <c r="EV117" i="6" s="1"/>
  <c r="EK110" i="6"/>
  <c r="EV110" i="6" s="1"/>
  <c r="EK307" i="6"/>
  <c r="EV307" i="6" s="1"/>
  <c r="EK227" i="6"/>
  <c r="EV227" i="6" s="1"/>
  <c r="EK234" i="6"/>
  <c r="EV234" i="6" s="1"/>
  <c r="EK255" i="6"/>
  <c r="EV255" i="6" s="1"/>
  <c r="EK119" i="6"/>
  <c r="EV119" i="6" s="1"/>
  <c r="EK174" i="6"/>
  <c r="EV174" i="6" s="1"/>
  <c r="EK107" i="6"/>
  <c r="EV107" i="6" s="1"/>
  <c r="EK179" i="6"/>
  <c r="EV179" i="6" s="1"/>
  <c r="EK263" i="6"/>
  <c r="EV263" i="6" s="1"/>
  <c r="EK109" i="6"/>
  <c r="EV109" i="6" s="1"/>
  <c r="EK280" i="6"/>
  <c r="EK260" i="6"/>
  <c r="EV260" i="6" s="1"/>
  <c r="EK118" i="6"/>
  <c r="EV118" i="6" s="1"/>
  <c r="EK145" i="6"/>
  <c r="EV145" i="6" s="1"/>
  <c r="EK181" i="6"/>
  <c r="EV181" i="6" s="1"/>
  <c r="EK121" i="6"/>
  <c r="EV121" i="6" s="1"/>
  <c r="EK201" i="6"/>
  <c r="EV201" i="6" s="1"/>
  <c r="EK188" i="6"/>
  <c r="EV188" i="6" s="1"/>
  <c r="EK115" i="6"/>
  <c r="EV115" i="6" s="1"/>
  <c r="EK144" i="6"/>
  <c r="EV144" i="6" s="1"/>
  <c r="EK116" i="6"/>
  <c r="EV116" i="6" s="1"/>
  <c r="EK168" i="6"/>
  <c r="EV168" i="6" s="1"/>
  <c r="EK164" i="6"/>
  <c r="EV164" i="6" s="1"/>
  <c r="EK235" i="6"/>
  <c r="EV235" i="6" s="1"/>
  <c r="EK271" i="6"/>
  <c r="EV271" i="6" s="1"/>
  <c r="EK262" i="6"/>
  <c r="EV262" i="6" s="1"/>
  <c r="EK147" i="6"/>
  <c r="EV147" i="6" s="1"/>
  <c r="EK122" i="6"/>
  <c r="EV122" i="6" s="1"/>
  <c r="EK172" i="6"/>
  <c r="EV172" i="6" s="1"/>
  <c r="EK162" i="6"/>
  <c r="EV162" i="6" s="1"/>
  <c r="EK184" i="6"/>
  <c r="EV184" i="6" s="1"/>
  <c r="EK258" i="6"/>
  <c r="EV258" i="6" s="1"/>
  <c r="EK106" i="6"/>
  <c r="EV106" i="6" s="1"/>
  <c r="EK267" i="6"/>
  <c r="EV267" i="6" s="1"/>
  <c r="EK229" i="6"/>
  <c r="EV229" i="6" s="1"/>
  <c r="EK200" i="6"/>
  <c r="EK272" i="6"/>
  <c r="EV272" i="6" s="1"/>
  <c r="EK250" i="6"/>
  <c r="EV250" i="6" s="1"/>
  <c r="EK274" i="6"/>
  <c r="EV274" i="6" s="1"/>
  <c r="EK231" i="6"/>
  <c r="EV231" i="6" s="1"/>
  <c r="EK265" i="6"/>
  <c r="EV265" i="6" s="1"/>
  <c r="EK268" i="6"/>
  <c r="EV268" i="6" s="1"/>
  <c r="EK275" i="6"/>
  <c r="EV275" i="6" s="1"/>
  <c r="EK248" i="6"/>
  <c r="EV248" i="6" s="1"/>
  <c r="EK270" i="6"/>
  <c r="EV270" i="6" s="1"/>
  <c r="EK281" i="6"/>
  <c r="EK282" i="6"/>
  <c r="EK308" i="6"/>
  <c r="EV308" i="6" s="1"/>
  <c r="EL218" i="6"/>
  <c r="EL204" i="6"/>
  <c r="EL242" i="6"/>
  <c r="EL220" i="6"/>
  <c r="EL101" i="6"/>
  <c r="EL243" i="6"/>
  <c r="EL100" i="6"/>
  <c r="EL99" i="6"/>
  <c r="EL205" i="6"/>
  <c r="EL251" i="6"/>
  <c r="EL219" i="6"/>
  <c r="EK243" i="6"/>
  <c r="EK101" i="6"/>
  <c r="EK99" i="6"/>
  <c r="EK204" i="6"/>
  <c r="EK100" i="6"/>
  <c r="EK218" i="6"/>
  <c r="EK251" i="6"/>
  <c r="EK205" i="6"/>
  <c r="EK220" i="6"/>
  <c r="EK242" i="6"/>
  <c r="EK219" i="6"/>
  <c r="K185" i="13"/>
  <c r="K169" i="13"/>
  <c r="K153" i="13"/>
  <c r="K137" i="13"/>
  <c r="K121" i="13"/>
  <c r="K186" i="13"/>
  <c r="K170" i="13"/>
  <c r="K154" i="13"/>
  <c r="K138" i="13"/>
  <c r="K122" i="13"/>
  <c r="K183" i="13"/>
  <c r="K167" i="13"/>
  <c r="K151" i="13"/>
  <c r="K135" i="13"/>
  <c r="K119" i="13"/>
  <c r="K184" i="13"/>
  <c r="K168" i="13"/>
  <c r="K152" i="13"/>
  <c r="EL125" i="6" s="1"/>
  <c r="EW125" i="6" s="1"/>
  <c r="K136" i="13"/>
  <c r="K120" i="13"/>
  <c r="K197" i="13"/>
  <c r="K181" i="13"/>
  <c r="K165" i="13"/>
  <c r="K149" i="13"/>
  <c r="K133" i="13"/>
  <c r="K198" i="13"/>
  <c r="K182" i="13"/>
  <c r="K166" i="13"/>
  <c r="EL197" i="6" s="1"/>
  <c r="EW197" i="6" s="1"/>
  <c r="K150" i="13"/>
  <c r="K134" i="13"/>
  <c r="K195" i="13"/>
  <c r="K179" i="13"/>
  <c r="K163" i="13"/>
  <c r="K147" i="13"/>
  <c r="K131" i="13"/>
  <c r="K196" i="13"/>
  <c r="K180" i="13"/>
  <c r="K164" i="13"/>
  <c r="K148" i="13"/>
  <c r="K132" i="13"/>
  <c r="K193" i="13"/>
  <c r="K177" i="13"/>
  <c r="K161" i="13"/>
  <c r="K145" i="13"/>
  <c r="K129" i="13"/>
  <c r="K194" i="13"/>
  <c r="K178" i="13"/>
  <c r="K162" i="13"/>
  <c r="K146" i="13"/>
  <c r="K130" i="13"/>
  <c r="K191" i="13"/>
  <c r="K175" i="13"/>
  <c r="K159" i="13"/>
  <c r="K143" i="13"/>
  <c r="K127" i="13"/>
  <c r="K192" i="13"/>
  <c r="K176" i="13"/>
  <c r="K160" i="13"/>
  <c r="K144" i="13"/>
  <c r="K128" i="13"/>
  <c r="K189" i="13"/>
  <c r="K173" i="13"/>
  <c r="K157" i="13"/>
  <c r="K141" i="13"/>
  <c r="K125" i="13"/>
  <c r="K190" i="13"/>
  <c r="K174" i="13"/>
  <c r="K158" i="13"/>
  <c r="K142" i="13"/>
  <c r="K126" i="13"/>
  <c r="K187" i="13"/>
  <c r="K171" i="13"/>
  <c r="K155" i="13"/>
  <c r="K139" i="13"/>
  <c r="K123" i="13"/>
  <c r="K188" i="13"/>
  <c r="K172" i="13"/>
  <c r="K156" i="13"/>
  <c r="K140" i="13"/>
  <c r="K124" i="13"/>
  <c r="J134" i="13"/>
  <c r="J150" i="13"/>
  <c r="J166" i="13"/>
  <c r="EK197" i="6" s="1"/>
  <c r="EV197" i="6" s="1"/>
  <c r="J182" i="13"/>
  <c r="J198" i="13"/>
  <c r="J119" i="13"/>
  <c r="J135" i="13"/>
  <c r="J151" i="13"/>
  <c r="J167" i="13"/>
  <c r="J183" i="13"/>
  <c r="J120" i="13"/>
  <c r="J136" i="13"/>
  <c r="J152" i="13"/>
  <c r="EK125" i="6" s="1"/>
  <c r="EV125" i="6" s="1"/>
  <c r="J168" i="13"/>
  <c r="J184" i="13"/>
  <c r="J121" i="13"/>
  <c r="J137" i="13"/>
  <c r="J153" i="13"/>
  <c r="J169" i="13"/>
  <c r="J185" i="13"/>
  <c r="J122" i="13"/>
  <c r="J138" i="13"/>
  <c r="J154" i="13"/>
  <c r="J170" i="13"/>
  <c r="J186" i="13"/>
  <c r="J123" i="13"/>
  <c r="J139" i="13"/>
  <c r="J155" i="13"/>
  <c r="J171" i="13"/>
  <c r="J187" i="13"/>
  <c r="J124" i="13"/>
  <c r="J140" i="13"/>
  <c r="J156" i="13"/>
  <c r="J172" i="13"/>
  <c r="J188" i="13"/>
  <c r="J125" i="13"/>
  <c r="J141" i="13"/>
  <c r="J157" i="13"/>
  <c r="J173" i="13"/>
  <c r="J189" i="13"/>
  <c r="J126" i="13"/>
  <c r="J142" i="13"/>
  <c r="J158" i="13"/>
  <c r="J174" i="13"/>
  <c r="J190" i="13"/>
  <c r="J127" i="13"/>
  <c r="J143" i="13"/>
  <c r="J159" i="13"/>
  <c r="J175" i="13"/>
  <c r="J191" i="13"/>
  <c r="J128" i="13"/>
  <c r="J144" i="13"/>
  <c r="J160" i="13"/>
  <c r="J176" i="13"/>
  <c r="J192" i="13"/>
  <c r="J129" i="13"/>
  <c r="J145" i="13"/>
  <c r="J161" i="13"/>
  <c r="J177" i="13"/>
  <c r="J193" i="13"/>
  <c r="J130" i="13"/>
  <c r="J146" i="13"/>
  <c r="J162" i="13"/>
  <c r="J178" i="13"/>
  <c r="J194" i="13"/>
  <c r="J131" i="13"/>
  <c r="J147" i="13"/>
  <c r="J163" i="13"/>
  <c r="J179" i="13"/>
  <c r="J195" i="13"/>
  <c r="J197" i="13"/>
  <c r="J132" i="13"/>
  <c r="J148" i="13"/>
  <c r="J164" i="13"/>
  <c r="J180" i="13"/>
  <c r="J196" i="13"/>
  <c r="J133" i="13"/>
  <c r="J149" i="13"/>
  <c r="J165" i="13"/>
  <c r="J181" i="13"/>
  <c r="AQ6" i="6"/>
  <c r="EF6" i="6" s="1"/>
  <c r="AQ5" i="6"/>
  <c r="EF5" i="6" s="1"/>
  <c r="AQ7" i="6"/>
  <c r="EF7" i="6" s="1"/>
  <c r="EY168" i="6" l="1"/>
  <c r="EX168" i="6"/>
  <c r="BV200" i="6"/>
  <c r="EF268" i="6"/>
  <c r="EQ268" i="6" s="1"/>
  <c r="EF270" i="6"/>
  <c r="EQ270" i="6" s="1"/>
  <c r="EF269" i="6"/>
  <c r="EQ269" i="6" s="1"/>
  <c r="EF252" i="6"/>
  <c r="EQ252" i="6" s="1"/>
  <c r="EF272" i="6"/>
  <c r="EQ272" i="6" s="1"/>
  <c r="EF255" i="6"/>
  <c r="EQ255" i="6" s="1"/>
  <c r="EF282" i="6"/>
  <c r="EF271" i="6"/>
  <c r="EQ271" i="6" s="1"/>
  <c r="EF281" i="6"/>
  <c r="EF275" i="6"/>
  <c r="EQ275" i="6" s="1"/>
  <c r="EF267" i="6"/>
  <c r="EQ267" i="6" s="1"/>
  <c r="EF264" i="6"/>
  <c r="EQ264" i="6" s="1"/>
  <c r="EF260" i="6"/>
  <c r="EQ260" i="6" s="1"/>
  <c r="EF259" i="6"/>
  <c r="EQ259" i="6" s="1"/>
  <c r="EF308" i="6"/>
  <c r="EQ308" i="6" s="1"/>
  <c r="EF274" i="6"/>
  <c r="EQ274" i="6" s="1"/>
  <c r="EF273" i="6"/>
  <c r="EQ273" i="6" s="1"/>
  <c r="EF263" i="6"/>
  <c r="EF261" i="6"/>
  <c r="EQ261" i="6" s="1"/>
  <c r="EF307" i="6"/>
  <c r="EQ307" i="6" s="1"/>
  <c r="EF280" i="6"/>
  <c r="EF265" i="6"/>
  <c r="EQ265" i="6" s="1"/>
  <c r="EF258" i="6"/>
  <c r="EQ258" i="6" s="1"/>
  <c r="EF250" i="6"/>
  <c r="EQ250" i="6" s="1"/>
  <c r="EF232" i="6"/>
  <c r="EQ232" i="6" s="1"/>
  <c r="EF231" i="6"/>
  <c r="EQ231" i="6" s="1"/>
  <c r="EF229" i="6"/>
  <c r="EQ229" i="6" s="1"/>
  <c r="EF266" i="6"/>
  <c r="EQ266" i="6" s="1"/>
  <c r="EF254" i="6"/>
  <c r="EQ254" i="6" s="1"/>
  <c r="EF235" i="6"/>
  <c r="EQ235" i="6" s="1"/>
  <c r="EF228" i="6"/>
  <c r="EQ228" i="6" s="1"/>
  <c r="EF234" i="6"/>
  <c r="EQ234" i="6" s="1"/>
  <c r="EF227" i="6"/>
  <c r="EQ227" i="6" s="1"/>
  <c r="EF262" i="6"/>
  <c r="EQ262" i="6" s="1"/>
  <c r="EF247" i="6"/>
  <c r="EQ247" i="6" s="1"/>
  <c r="EF196" i="6"/>
  <c r="EQ196" i="6" s="1"/>
  <c r="EF192" i="6"/>
  <c r="EQ192" i="6" s="1"/>
  <c r="EF248" i="6"/>
  <c r="EQ248" i="6" s="1"/>
  <c r="EF233" i="6"/>
  <c r="EQ233" i="6" s="1"/>
  <c r="EF202" i="6"/>
  <c r="EQ202" i="6" s="1"/>
  <c r="EF187" i="6"/>
  <c r="EQ187" i="6" s="1"/>
  <c r="EF183" i="6"/>
  <c r="EQ183" i="6" s="1"/>
  <c r="EF182" i="6"/>
  <c r="EQ182" i="6" s="1"/>
  <c r="EF201" i="6"/>
  <c r="EQ201" i="6" s="1"/>
  <c r="EF200" i="6"/>
  <c r="EQ200" i="6" s="1"/>
  <c r="EF188" i="6"/>
  <c r="EQ188" i="6" s="1"/>
  <c r="EF203" i="6"/>
  <c r="EQ203" i="6" s="1"/>
  <c r="EF230" i="6"/>
  <c r="EQ230" i="6" s="1"/>
  <c r="EF158" i="6"/>
  <c r="EQ158" i="6" s="1"/>
  <c r="EF145" i="6"/>
  <c r="EQ145" i="6" s="1"/>
  <c r="EF180" i="6"/>
  <c r="EQ180" i="6" s="1"/>
  <c r="EF178" i="6"/>
  <c r="EQ178" i="6" s="1"/>
  <c r="EF172" i="6"/>
  <c r="EQ172" i="6" s="1"/>
  <c r="EF171" i="6"/>
  <c r="EQ171" i="6" s="1"/>
  <c r="EF169" i="6"/>
  <c r="EQ169" i="6" s="1"/>
  <c r="EF154" i="6"/>
  <c r="EQ154" i="6" s="1"/>
  <c r="EF186" i="6"/>
  <c r="EQ186" i="6" s="1"/>
  <c r="EF179" i="6"/>
  <c r="EQ179" i="6" s="1"/>
  <c r="EF174" i="6"/>
  <c r="EQ174" i="6" s="1"/>
  <c r="EF162" i="6"/>
  <c r="EQ162" i="6" s="1"/>
  <c r="EF160" i="6"/>
  <c r="EQ160" i="6" s="1"/>
  <c r="EF147" i="6"/>
  <c r="EQ147" i="6" s="1"/>
  <c r="EF181" i="6"/>
  <c r="EQ181" i="6" s="1"/>
  <c r="EF173" i="6"/>
  <c r="EQ173" i="6" s="1"/>
  <c r="EF167" i="6"/>
  <c r="EQ167" i="6" s="1"/>
  <c r="EF164" i="6"/>
  <c r="EQ164" i="6" s="1"/>
  <c r="EF156" i="6"/>
  <c r="EQ156" i="6" s="1"/>
  <c r="EF155" i="6"/>
  <c r="EQ155" i="6" s="1"/>
  <c r="EF184" i="6"/>
  <c r="EQ184" i="6" s="1"/>
  <c r="EF144" i="6"/>
  <c r="EQ144" i="6" s="1"/>
  <c r="EF170" i="6"/>
  <c r="EQ170" i="6" s="1"/>
  <c r="EF168" i="6"/>
  <c r="EQ168" i="6" s="1"/>
  <c r="EF117" i="6"/>
  <c r="EQ117" i="6" s="1"/>
  <c r="EF121" i="6"/>
  <c r="EQ121" i="6" s="1"/>
  <c r="EF116" i="6"/>
  <c r="EQ116" i="6" s="1"/>
  <c r="EF115" i="6"/>
  <c r="EQ115" i="6" s="1"/>
  <c r="EF107" i="6"/>
  <c r="EQ107" i="6" s="1"/>
  <c r="EF109" i="6"/>
  <c r="EQ109" i="6" s="1"/>
  <c r="EF122" i="6"/>
  <c r="EQ122" i="6" s="1"/>
  <c r="EF118" i="6"/>
  <c r="EQ118" i="6" s="1"/>
  <c r="EF108" i="6"/>
  <c r="EQ108" i="6" s="1"/>
  <c r="EF120" i="6"/>
  <c r="EQ120" i="6" s="1"/>
  <c r="EF119" i="6"/>
  <c r="EQ119" i="6" s="1"/>
  <c r="EF110" i="6"/>
  <c r="EQ110" i="6" s="1"/>
  <c r="EF106" i="6"/>
  <c r="EQ106" i="6" s="1"/>
  <c r="EF301" i="6"/>
  <c r="EQ301" i="6" s="1"/>
  <c r="EF300" i="6"/>
  <c r="EQ300" i="6" s="1"/>
  <c r="EF296" i="6"/>
  <c r="EF290" i="6"/>
  <c r="EF306" i="6"/>
  <c r="EQ306" i="6" s="1"/>
  <c r="EF302" i="6"/>
  <c r="EQ302" i="6" s="1"/>
  <c r="EF298" i="6"/>
  <c r="EQ298" i="6" s="1"/>
  <c r="EF295" i="6"/>
  <c r="EF291" i="6"/>
  <c r="EF276" i="6"/>
  <c r="EQ276" i="6" s="1"/>
  <c r="EF299" i="6"/>
  <c r="EQ299" i="6" s="1"/>
  <c r="EF294" i="6"/>
  <c r="EF278" i="6"/>
  <c r="EQ278" i="6" s="1"/>
  <c r="EF277" i="6"/>
  <c r="EQ277" i="6" s="1"/>
  <c r="EF297" i="6"/>
  <c r="EF289" i="6"/>
  <c r="EF283" i="6"/>
  <c r="EQ283" i="6" s="1"/>
  <c r="EF288" i="6"/>
  <c r="EF287" i="6"/>
  <c r="EQ287" i="6" s="1"/>
  <c r="EF285" i="6"/>
  <c r="EQ285" i="6" s="1"/>
  <c r="EF257" i="6"/>
  <c r="EQ257" i="6" s="1"/>
  <c r="EF256" i="6"/>
  <c r="EQ256" i="6" s="1"/>
  <c r="EF304" i="6"/>
  <c r="EQ304" i="6" s="1"/>
  <c r="EF292" i="6"/>
  <c r="EF303" i="6"/>
  <c r="EQ303" i="6" s="1"/>
  <c r="EF293" i="6"/>
  <c r="EF284" i="6"/>
  <c r="EQ284" i="6" s="1"/>
  <c r="EF305" i="6"/>
  <c r="EQ305" i="6" s="1"/>
  <c r="EF286" i="6"/>
  <c r="EQ286" i="6" s="1"/>
  <c r="EF236" i="6"/>
  <c r="EQ236" i="6" s="1"/>
  <c r="EF224" i="6"/>
  <c r="EQ224" i="6" s="1"/>
  <c r="EF238" i="6"/>
  <c r="EQ238" i="6" s="1"/>
  <c r="EF249" i="6"/>
  <c r="EQ249" i="6" s="1"/>
  <c r="EF241" i="6"/>
  <c r="EQ241" i="6" s="1"/>
  <c r="EF253" i="6"/>
  <c r="EQ253" i="6" s="1"/>
  <c r="EF223" i="6"/>
  <c r="EQ223" i="6" s="1"/>
  <c r="EF240" i="6"/>
  <c r="EQ240" i="6" s="1"/>
  <c r="EF222" i="6"/>
  <c r="EQ222" i="6" s="1"/>
  <c r="EF212" i="6"/>
  <c r="EQ212" i="6" s="1"/>
  <c r="EF209" i="6"/>
  <c r="EQ209" i="6" s="1"/>
  <c r="EF194" i="6"/>
  <c r="EQ194" i="6" s="1"/>
  <c r="EF191" i="6"/>
  <c r="EQ191" i="6" s="1"/>
  <c r="EF190" i="6"/>
  <c r="EQ190" i="6" s="1"/>
  <c r="EF211" i="6"/>
  <c r="EQ211" i="6" s="1"/>
  <c r="EF185" i="6"/>
  <c r="EQ185" i="6" s="1"/>
  <c r="EF237" i="6"/>
  <c r="EQ237" i="6" s="1"/>
  <c r="EF226" i="6"/>
  <c r="EQ226" i="6" s="1"/>
  <c r="EF239" i="6"/>
  <c r="EQ239" i="6" s="1"/>
  <c r="EF225" i="6"/>
  <c r="EQ225" i="6" s="1"/>
  <c r="EF210" i="6"/>
  <c r="EQ210" i="6" s="1"/>
  <c r="EF208" i="6"/>
  <c r="EQ208" i="6" s="1"/>
  <c r="EF193" i="6"/>
  <c r="EQ193" i="6" s="1"/>
  <c r="EF176" i="6"/>
  <c r="EQ176" i="6" s="1"/>
  <c r="EF165" i="6"/>
  <c r="EQ165" i="6" s="1"/>
  <c r="EF159" i="6"/>
  <c r="EQ159" i="6" s="1"/>
  <c r="EF175" i="6"/>
  <c r="EQ175" i="6" s="1"/>
  <c r="EF161" i="6"/>
  <c r="EQ161" i="6" s="1"/>
  <c r="EF177" i="6"/>
  <c r="EQ177" i="6" s="1"/>
  <c r="EF166" i="6"/>
  <c r="EQ166" i="6" s="1"/>
  <c r="EF123" i="6"/>
  <c r="EQ123" i="6" s="1"/>
  <c r="EF112" i="6"/>
  <c r="EQ112" i="6" s="1"/>
  <c r="EF95" i="6"/>
  <c r="EQ95" i="6" s="1"/>
  <c r="EF114" i="6"/>
  <c r="EQ114" i="6" s="1"/>
  <c r="EF97" i="6"/>
  <c r="EQ97" i="6" s="1"/>
  <c r="EF85" i="6"/>
  <c r="EQ85" i="6" s="1"/>
  <c r="EF83" i="6"/>
  <c r="EQ83" i="6" s="1"/>
  <c r="EF125" i="6"/>
  <c r="EQ125" i="6" s="1"/>
  <c r="EF113" i="6"/>
  <c r="EQ113" i="6" s="1"/>
  <c r="EF111" i="6"/>
  <c r="EQ111" i="6" s="1"/>
  <c r="EF98" i="6"/>
  <c r="EQ98" i="6" s="1"/>
  <c r="EF96" i="6"/>
  <c r="EQ96" i="6" s="1"/>
  <c r="EF124" i="6"/>
  <c r="EQ124" i="6" s="1"/>
  <c r="EF93" i="6"/>
  <c r="EQ93" i="6" s="1"/>
  <c r="EF82" i="6"/>
  <c r="EQ82" i="6" s="1"/>
  <c r="EF69" i="6"/>
  <c r="EQ69" i="6" s="1"/>
  <c r="EF64" i="6"/>
  <c r="EQ64" i="6" s="1"/>
  <c r="EF49" i="6"/>
  <c r="EQ49" i="6" s="1"/>
  <c r="EF67" i="6"/>
  <c r="EQ67" i="6" s="1"/>
  <c r="EF46" i="6"/>
  <c r="EQ46" i="6" s="1"/>
  <c r="EF28" i="6"/>
  <c r="EQ28" i="6" s="1"/>
  <c r="EF27" i="6"/>
  <c r="EQ27" i="6" s="1"/>
  <c r="EF24" i="6"/>
  <c r="EQ24" i="6" s="1"/>
  <c r="EF22" i="6"/>
  <c r="EQ22" i="6" s="1"/>
  <c r="EF71" i="6"/>
  <c r="EQ71" i="6" s="1"/>
  <c r="EF70" i="6"/>
  <c r="EQ70" i="6" s="1"/>
  <c r="EF62" i="6"/>
  <c r="EQ62" i="6" s="1"/>
  <c r="EF50" i="6"/>
  <c r="EQ50" i="6" s="1"/>
  <c r="EF31" i="6"/>
  <c r="EQ31" i="6" s="1"/>
  <c r="EF30" i="6"/>
  <c r="EF68" i="6"/>
  <c r="EQ68" i="6" s="1"/>
  <c r="EF45" i="6"/>
  <c r="EQ45" i="6" s="1"/>
  <c r="EF84" i="6"/>
  <c r="EQ84" i="6" s="1"/>
  <c r="EF72" i="6"/>
  <c r="EQ72" i="6" s="1"/>
  <c r="EF66" i="6"/>
  <c r="EQ66" i="6" s="1"/>
  <c r="EF65" i="6"/>
  <c r="EF51" i="6"/>
  <c r="EQ51" i="6" s="1"/>
  <c r="EF48" i="6"/>
  <c r="EQ48" i="6" s="1"/>
  <c r="EF94" i="6"/>
  <c r="EQ94" i="6" s="1"/>
  <c r="EF63" i="6"/>
  <c r="EQ63" i="6" s="1"/>
  <c r="EF47" i="6"/>
  <c r="EQ47" i="6" s="1"/>
  <c r="EF29" i="6"/>
  <c r="EF26" i="6"/>
  <c r="EQ26" i="6" s="1"/>
  <c r="EF23" i="6"/>
  <c r="EQ23" i="6" s="1"/>
  <c r="EF32" i="6"/>
  <c r="EQ32" i="6" s="1"/>
  <c r="EF25" i="6"/>
  <c r="EQ25" i="6" s="1"/>
  <c r="EF21" i="6"/>
  <c r="EQ21" i="6" s="1"/>
  <c r="EF16" i="6"/>
  <c r="EQ16" i="6" s="1"/>
  <c r="EF20" i="6"/>
  <c r="EQ20" i="6" s="1"/>
  <c r="EF18" i="6"/>
  <c r="EQ18" i="6" s="1"/>
  <c r="EF19" i="6"/>
  <c r="EQ19" i="6" s="1"/>
  <c r="EF17" i="6"/>
  <c r="EQ17" i="6" s="1"/>
  <c r="EK53" i="6"/>
  <c r="EV53" i="6" s="1"/>
  <c r="EK55" i="6"/>
  <c r="EV55" i="6" s="1"/>
  <c r="EK54" i="6"/>
  <c r="EV54" i="6" s="1"/>
  <c r="EK45" i="6"/>
  <c r="EV45" i="6" s="1"/>
  <c r="EK298" i="6"/>
  <c r="EV298" i="6" s="1"/>
  <c r="EK47" i="6"/>
  <c r="EV47" i="6" s="1"/>
  <c r="EK46" i="6"/>
  <c r="EK224" i="6"/>
  <c r="EV224" i="6" s="1"/>
  <c r="EK225" i="6"/>
  <c r="EV225" i="6" s="1"/>
  <c r="EK223" i="6"/>
  <c r="EV223" i="6" s="1"/>
  <c r="EK226" i="6"/>
  <c r="EV226" i="6" s="1"/>
  <c r="EK222" i="6"/>
  <c r="EV222" i="6" s="1"/>
  <c r="EK24" i="6"/>
  <c r="EV24" i="6" s="1"/>
  <c r="EK26" i="6"/>
  <c r="EV26" i="6" s="1"/>
  <c r="EK25" i="6"/>
  <c r="EV25" i="6" s="1"/>
  <c r="EK123" i="6"/>
  <c r="EV123" i="6" s="1"/>
  <c r="EK124" i="6"/>
  <c r="EV124" i="6" s="1"/>
  <c r="EL30" i="6"/>
  <c r="EL29" i="6"/>
  <c r="EL78" i="6"/>
  <c r="EW78" i="6" s="1"/>
  <c r="EL79" i="6"/>
  <c r="EW79" i="6" s="1"/>
  <c r="EL77" i="6"/>
  <c r="EL176" i="6"/>
  <c r="EW176" i="6" s="1"/>
  <c r="EL177" i="6"/>
  <c r="EW177" i="6" s="1"/>
  <c r="EL113" i="6"/>
  <c r="EW113" i="6" s="1"/>
  <c r="EL111" i="6"/>
  <c r="EW111" i="6" s="1"/>
  <c r="EL112" i="6"/>
  <c r="EW112" i="6" s="1"/>
  <c r="EL114" i="6"/>
  <c r="EW114" i="6" s="1"/>
  <c r="EL126" i="6"/>
  <c r="EW126" i="6" s="1"/>
  <c r="EL127" i="6"/>
  <c r="EW127" i="6" s="1"/>
  <c r="EL128" i="6"/>
  <c r="EW128" i="6" s="1"/>
  <c r="EL129" i="6"/>
  <c r="EW129" i="6" s="1"/>
  <c r="EK277" i="6"/>
  <c r="EV277" i="6" s="1"/>
  <c r="EK185" i="6"/>
  <c r="EV185" i="6" s="1"/>
  <c r="EK278" i="6"/>
  <c r="EV278" i="6" s="1"/>
  <c r="EK276" i="6"/>
  <c r="EV276" i="6" s="1"/>
  <c r="EK88" i="6"/>
  <c r="EV88" i="6" s="1"/>
  <c r="EK90" i="6"/>
  <c r="EV90" i="6" s="1"/>
  <c r="EK91" i="6"/>
  <c r="EV91" i="6" s="1"/>
  <c r="EK89" i="6"/>
  <c r="EV89" i="6" s="1"/>
  <c r="EK92" i="6"/>
  <c r="EV92" i="6" s="1"/>
  <c r="EK29" i="6"/>
  <c r="EK30" i="6"/>
  <c r="EK127" i="6"/>
  <c r="EV127" i="6" s="1"/>
  <c r="EK129" i="6"/>
  <c r="EV129" i="6" s="1"/>
  <c r="EK126" i="6"/>
  <c r="EV126" i="6" s="1"/>
  <c r="EK128" i="6"/>
  <c r="EV128" i="6" s="1"/>
  <c r="EK58" i="6"/>
  <c r="EK60" i="6"/>
  <c r="EV60" i="6" s="1"/>
  <c r="EK59" i="6"/>
  <c r="EV59" i="6" s="1"/>
  <c r="EK57" i="6"/>
  <c r="EK61" i="6"/>
  <c r="EV61" i="6" s="1"/>
  <c r="EK56" i="6"/>
  <c r="EL43" i="6"/>
  <c r="EW43" i="6" s="1"/>
  <c r="EL41" i="6"/>
  <c r="EW41" i="6" s="1"/>
  <c r="EL44" i="6"/>
  <c r="EW44" i="6" s="1"/>
  <c r="EL21" i="6"/>
  <c r="EL23" i="6"/>
  <c r="EW23" i="6" s="1"/>
  <c r="EL283" i="6"/>
  <c r="EW283" i="6" s="1"/>
  <c r="EL20" i="6"/>
  <c r="EW20" i="6" s="1"/>
  <c r="EL22" i="6"/>
  <c r="EW22" i="6" s="1"/>
  <c r="EL224" i="6"/>
  <c r="EW224" i="6" s="1"/>
  <c r="EL223" i="6"/>
  <c r="EW223" i="6" s="1"/>
  <c r="EL226" i="6"/>
  <c r="EW226" i="6" s="1"/>
  <c r="EL225" i="6"/>
  <c r="EW225" i="6" s="1"/>
  <c r="EL222" i="6"/>
  <c r="EW222" i="6" s="1"/>
  <c r="EK140" i="6"/>
  <c r="EK142" i="6"/>
  <c r="EV142" i="6" s="1"/>
  <c r="EK141" i="6"/>
  <c r="EV141" i="6" s="1"/>
  <c r="EK143" i="6"/>
  <c r="EV143" i="6" s="1"/>
  <c r="EK177" i="6"/>
  <c r="EV177" i="6" s="1"/>
  <c r="EK176" i="6"/>
  <c r="EV176" i="6" s="1"/>
  <c r="EK113" i="6"/>
  <c r="EV113" i="6" s="1"/>
  <c r="EK112" i="6"/>
  <c r="EV112" i="6" s="1"/>
  <c r="EK114" i="6"/>
  <c r="EV114" i="6" s="1"/>
  <c r="EK111" i="6"/>
  <c r="EV111" i="6" s="1"/>
  <c r="EK41" i="6"/>
  <c r="EV41" i="6" s="1"/>
  <c r="EK44" i="6"/>
  <c r="EV44" i="6" s="1"/>
  <c r="EK43" i="6"/>
  <c r="EV43" i="6" s="1"/>
  <c r="EK212" i="6"/>
  <c r="EV212" i="6" s="1"/>
  <c r="EK209" i="6"/>
  <c r="EV209" i="6" s="1"/>
  <c r="EK210" i="6"/>
  <c r="EV210" i="6" s="1"/>
  <c r="EK208" i="6"/>
  <c r="EV208" i="6" s="1"/>
  <c r="EK211" i="6"/>
  <c r="EV211" i="6" s="1"/>
  <c r="EK283" i="6"/>
  <c r="EV283" i="6" s="1"/>
  <c r="EK23" i="6"/>
  <c r="EV23" i="6" s="1"/>
  <c r="EK21" i="6"/>
  <c r="EK20" i="6"/>
  <c r="EV20" i="6" s="1"/>
  <c r="EK22" i="6"/>
  <c r="EV22" i="6" s="1"/>
  <c r="EL131" i="6"/>
  <c r="EW131" i="6" s="1"/>
  <c r="EL134" i="6"/>
  <c r="EL130" i="6"/>
  <c r="EW130" i="6" s="1"/>
  <c r="EL137" i="6"/>
  <c r="EW137" i="6" s="1"/>
  <c r="EL139" i="6"/>
  <c r="EW139" i="6" s="1"/>
  <c r="EL132" i="6"/>
  <c r="EW132" i="6" s="1"/>
  <c r="EL138" i="6"/>
  <c r="EW138" i="6" s="1"/>
  <c r="EL136" i="6"/>
  <c r="EW136" i="6" s="1"/>
  <c r="EL135" i="6"/>
  <c r="EL133" i="6"/>
  <c r="EL91" i="6"/>
  <c r="EW91" i="6" s="1"/>
  <c r="EL89" i="6"/>
  <c r="EW89" i="6" s="1"/>
  <c r="EL88" i="6"/>
  <c r="EW88" i="6" s="1"/>
  <c r="EL90" i="6"/>
  <c r="EW90" i="6" s="1"/>
  <c r="EL92" i="6"/>
  <c r="EW92" i="6" s="1"/>
  <c r="EL277" i="6"/>
  <c r="EL278" i="6"/>
  <c r="EL185" i="6"/>
  <c r="EW185" i="6" s="1"/>
  <c r="EL276" i="6"/>
  <c r="EL58" i="6"/>
  <c r="EL56" i="6"/>
  <c r="EL59" i="6"/>
  <c r="EW59" i="6" s="1"/>
  <c r="EL60" i="6"/>
  <c r="EW60" i="6" s="1"/>
  <c r="EL61" i="6"/>
  <c r="EW61" i="6" s="1"/>
  <c r="EL57" i="6"/>
  <c r="EK149" i="6"/>
  <c r="EV149" i="6" s="1"/>
  <c r="EK151" i="6"/>
  <c r="EV151" i="6" s="1"/>
  <c r="EK150" i="6"/>
  <c r="EV150" i="6" s="1"/>
  <c r="EK148" i="6"/>
  <c r="EV148" i="6" s="1"/>
  <c r="EK152" i="6"/>
  <c r="EV152" i="6" s="1"/>
  <c r="EK153" i="6"/>
  <c r="EV153" i="6" s="1"/>
  <c r="EK78" i="6"/>
  <c r="EV78" i="6" s="1"/>
  <c r="EK77" i="6"/>
  <c r="EK79" i="6"/>
  <c r="EV79" i="6" s="1"/>
  <c r="EK31" i="6"/>
  <c r="EV31" i="6" s="1"/>
  <c r="EK27" i="6"/>
  <c r="EV27" i="6" s="1"/>
  <c r="EL298" i="6"/>
  <c r="EW298" i="6" s="1"/>
  <c r="EL45" i="6"/>
  <c r="EW45" i="6" s="1"/>
  <c r="EL46" i="6"/>
  <c r="EL47" i="6"/>
  <c r="EW47" i="6" s="1"/>
  <c r="EL123" i="6"/>
  <c r="EW123" i="6" s="1"/>
  <c r="EL124" i="6"/>
  <c r="EW124" i="6" s="1"/>
  <c r="EL24" i="6"/>
  <c r="EW24" i="6" s="1"/>
  <c r="EL26" i="6"/>
  <c r="EW26" i="6" s="1"/>
  <c r="EL25" i="6"/>
  <c r="EW25" i="6" s="1"/>
  <c r="EL95" i="6"/>
  <c r="EW95" i="6" s="1"/>
  <c r="EL94" i="6"/>
  <c r="EW94" i="6" s="1"/>
  <c r="EL96" i="6"/>
  <c r="EW96" i="6" s="1"/>
  <c r="EL97" i="6"/>
  <c r="EW97" i="6" s="1"/>
  <c r="EL98" i="6"/>
  <c r="EW98" i="6" s="1"/>
  <c r="EL93" i="6"/>
  <c r="EW93" i="6" s="1"/>
  <c r="EL63" i="6"/>
  <c r="EW63" i="6" s="1"/>
  <c r="EL62" i="6"/>
  <c r="EW62" i="6" s="1"/>
  <c r="EL64" i="6"/>
  <c r="EW64" i="6" s="1"/>
  <c r="EL65" i="6"/>
  <c r="EL28" i="6"/>
  <c r="EW28" i="6" s="1"/>
  <c r="EL32" i="6"/>
  <c r="EW32" i="6" s="1"/>
  <c r="EL51" i="6"/>
  <c r="EW51" i="6" s="1"/>
  <c r="EL49" i="6"/>
  <c r="EW49" i="6" s="1"/>
  <c r="EL50" i="6"/>
  <c r="EW50" i="6" s="1"/>
  <c r="EL48" i="6"/>
  <c r="EW48" i="6" s="1"/>
  <c r="EK104" i="6"/>
  <c r="EV104" i="6" s="1"/>
  <c r="EK103" i="6"/>
  <c r="EV103" i="6" s="1"/>
  <c r="EK105" i="6"/>
  <c r="EK69" i="6"/>
  <c r="EV69" i="6" s="1"/>
  <c r="EK68" i="6"/>
  <c r="EV68" i="6" s="1"/>
  <c r="EK66" i="6"/>
  <c r="EV66" i="6" s="1"/>
  <c r="EK70" i="6"/>
  <c r="EK67" i="6"/>
  <c r="EV67" i="6" s="1"/>
  <c r="EK50" i="6"/>
  <c r="EV50" i="6" s="1"/>
  <c r="EK49" i="6"/>
  <c r="EV49" i="6" s="1"/>
  <c r="EK51" i="6"/>
  <c r="EV51" i="6" s="1"/>
  <c r="EK48" i="6"/>
  <c r="EV48" i="6" s="1"/>
  <c r="EL148" i="6"/>
  <c r="EW148" i="6" s="1"/>
  <c r="EL151" i="6"/>
  <c r="EW151" i="6" s="1"/>
  <c r="EL152" i="6"/>
  <c r="EW152" i="6" s="1"/>
  <c r="EL150" i="6"/>
  <c r="EW150" i="6" s="1"/>
  <c r="EL153" i="6"/>
  <c r="EW153" i="6" s="1"/>
  <c r="EL149" i="6"/>
  <c r="EW149" i="6" s="1"/>
  <c r="EL105" i="6"/>
  <c r="EL103" i="6"/>
  <c r="EW103" i="6" s="1"/>
  <c r="EL104" i="6"/>
  <c r="EW104" i="6" s="1"/>
  <c r="EL31" i="6"/>
  <c r="EW31" i="6" s="1"/>
  <c r="EL27" i="6"/>
  <c r="EW27" i="6" s="1"/>
  <c r="EK292" i="6"/>
  <c r="EK290" i="6"/>
  <c r="EK286" i="6"/>
  <c r="EV286" i="6" s="1"/>
  <c r="EK284" i="6"/>
  <c r="EV284" i="6" s="1"/>
  <c r="EK296" i="6"/>
  <c r="EK291" i="6"/>
  <c r="EK287" i="6"/>
  <c r="EV287" i="6" s="1"/>
  <c r="EK288" i="6"/>
  <c r="EK297" i="6"/>
  <c r="EK285" i="6"/>
  <c r="EV285" i="6" s="1"/>
  <c r="EK294" i="6"/>
  <c r="EK293" i="6"/>
  <c r="EK295" i="6"/>
  <c r="EK289" i="6"/>
  <c r="EL143" i="6"/>
  <c r="EW143" i="6" s="1"/>
  <c r="EL141" i="6"/>
  <c r="EW141" i="6" s="1"/>
  <c r="EL142" i="6"/>
  <c r="EW142" i="6" s="1"/>
  <c r="EL140" i="6"/>
  <c r="EK28" i="6"/>
  <c r="EV28" i="6" s="1"/>
  <c r="EK32" i="6"/>
  <c r="EV32" i="6" s="1"/>
  <c r="EL70" i="6"/>
  <c r="EL68" i="6"/>
  <c r="EW68" i="6" s="1"/>
  <c r="EL69" i="6"/>
  <c r="EW69" i="6" s="1"/>
  <c r="EL67" i="6"/>
  <c r="EW67" i="6" s="1"/>
  <c r="EL66" i="6"/>
  <c r="EW66" i="6" s="1"/>
  <c r="EK95" i="6"/>
  <c r="EV95" i="6" s="1"/>
  <c r="EK93" i="6"/>
  <c r="EV93" i="6" s="1"/>
  <c r="EK96" i="6"/>
  <c r="EV96" i="6" s="1"/>
  <c r="EK97" i="6"/>
  <c r="EV97" i="6" s="1"/>
  <c r="EK94" i="6"/>
  <c r="EV94" i="6" s="1"/>
  <c r="EK98" i="6"/>
  <c r="EV98" i="6" s="1"/>
  <c r="EK131" i="6"/>
  <c r="EV131" i="6" s="1"/>
  <c r="EK134" i="6"/>
  <c r="EK137" i="6"/>
  <c r="EV137" i="6" s="1"/>
  <c r="EK139" i="6"/>
  <c r="EV139" i="6" s="1"/>
  <c r="EK133" i="6"/>
  <c r="EK130" i="6"/>
  <c r="EV130" i="6" s="1"/>
  <c r="EK136" i="6"/>
  <c r="EV136" i="6" s="1"/>
  <c r="EK135" i="6"/>
  <c r="EK138" i="6"/>
  <c r="EV138" i="6" s="1"/>
  <c r="EK132" i="6"/>
  <c r="EV132" i="6" s="1"/>
  <c r="EK62" i="6"/>
  <c r="EV62" i="6" s="1"/>
  <c r="EK64" i="6"/>
  <c r="EV64" i="6" s="1"/>
  <c r="EK65" i="6"/>
  <c r="EK63" i="6"/>
  <c r="EV63" i="6" s="1"/>
  <c r="EL297" i="6"/>
  <c r="EL291" i="6"/>
  <c r="EL288" i="6"/>
  <c r="EL293" i="6"/>
  <c r="EL290" i="6"/>
  <c r="EL294" i="6"/>
  <c r="EL285" i="6"/>
  <c r="EW285" i="6" s="1"/>
  <c r="EL289" i="6"/>
  <c r="EL292" i="6"/>
  <c r="EL287" i="6"/>
  <c r="EW287" i="6" s="1"/>
  <c r="EL286" i="6"/>
  <c r="EW286" i="6" s="1"/>
  <c r="EL284" i="6"/>
  <c r="EW284" i="6" s="1"/>
  <c r="EL296" i="6"/>
  <c r="EL295" i="6"/>
  <c r="EL55" i="6"/>
  <c r="EW55" i="6" s="1"/>
  <c r="EL54" i="6"/>
  <c r="EW54" i="6" s="1"/>
  <c r="EL53" i="6"/>
  <c r="EW53" i="6" s="1"/>
  <c r="EL209" i="6"/>
  <c r="EW209" i="6" s="1"/>
  <c r="EL211" i="6"/>
  <c r="EW211" i="6" s="1"/>
  <c r="EL208" i="6"/>
  <c r="EW208" i="6" s="1"/>
  <c r="EL210" i="6"/>
  <c r="EW210" i="6" s="1"/>
  <c r="EL212" i="6"/>
  <c r="EW212" i="6" s="1"/>
  <c r="FZ211" i="6"/>
  <c r="FW211" i="6" s="1"/>
  <c r="FZ82" i="6"/>
  <c r="FW82" i="6" s="1"/>
  <c r="FZ83" i="6"/>
  <c r="FW83" i="6" s="1"/>
  <c r="FZ192" i="6"/>
  <c r="FW192" i="6" s="1"/>
  <c r="Y785" i="22" s="1"/>
  <c r="EF8" i="6"/>
  <c r="Y309" i="22" l="1"/>
  <c r="Y313" i="22"/>
  <c r="Y408" i="17"/>
  <c r="Y411" i="17"/>
  <c r="Y95" i="23"/>
  <c r="Y96" i="23"/>
  <c r="Y412" i="17"/>
  <c r="Y312" i="22"/>
  <c r="Y410" i="17"/>
  <c r="Y413" i="17"/>
  <c r="Y409" i="17"/>
  <c r="Y314" i="22"/>
  <c r="Y311" i="22"/>
  <c r="Y308" i="22"/>
  <c r="Y310" i="22"/>
  <c r="Y97" i="23"/>
  <c r="Y307" i="22"/>
  <c r="Y415" i="17"/>
  <c r="Y879" i="17"/>
  <c r="Y603" i="17"/>
  <c r="Y880" i="17"/>
  <c r="Y103" i="23"/>
  <c r="Y321" i="22"/>
  <c r="Y98" i="23"/>
  <c r="Y317" i="22"/>
  <c r="Y419" i="17"/>
  <c r="Y99" i="23"/>
  <c r="Y104" i="23"/>
  <c r="Y100" i="23"/>
  <c r="Y102" i="23"/>
  <c r="Y320" i="22"/>
  <c r="Y418" i="17"/>
  <c r="Y105" i="23"/>
  <c r="Y322" i="22"/>
  <c r="Y315" i="22"/>
  <c r="Y101" i="23"/>
  <c r="Y319" i="22"/>
  <c r="Y316" i="22"/>
  <c r="Y318" i="22"/>
  <c r="Y416" i="17"/>
  <c r="EV200" i="6"/>
  <c r="EF242" i="6"/>
  <c r="EQ242" i="6" s="1"/>
  <c r="EF244" i="6"/>
  <c r="EQ244" i="6" s="1"/>
  <c r="EF251" i="6"/>
  <c r="EQ251" i="6" s="1"/>
  <c r="EF243" i="6"/>
  <c r="EQ243" i="6" s="1"/>
  <c r="EF220" i="6"/>
  <c r="EQ220" i="6" s="1"/>
  <c r="EF246" i="6"/>
  <c r="EQ246" i="6" s="1"/>
  <c r="EF219" i="6"/>
  <c r="EQ219" i="6" s="1"/>
  <c r="EF199" i="6"/>
  <c r="EQ199" i="6" s="1"/>
  <c r="EF197" i="6"/>
  <c r="EQ197" i="6" s="1"/>
  <c r="EF189" i="6"/>
  <c r="EQ189" i="6" s="1"/>
  <c r="EF205" i="6"/>
  <c r="EQ205" i="6" s="1"/>
  <c r="EF245" i="6"/>
  <c r="EQ245" i="6" s="1"/>
  <c r="EF221" i="6"/>
  <c r="EQ221" i="6" s="1"/>
  <c r="EF218" i="6"/>
  <c r="EQ218" i="6" s="1"/>
  <c r="EF207" i="6"/>
  <c r="EQ207" i="6" s="1"/>
  <c r="EF206" i="6"/>
  <c r="EQ206" i="6" s="1"/>
  <c r="EF204" i="6"/>
  <c r="EQ204" i="6" s="1"/>
  <c r="EF198" i="6"/>
  <c r="EQ198" i="6" s="1"/>
  <c r="EF157" i="6"/>
  <c r="EQ157" i="6" s="1"/>
  <c r="EF141" i="6"/>
  <c r="EQ141" i="6" s="1"/>
  <c r="EF136" i="6"/>
  <c r="EQ136" i="6" s="1"/>
  <c r="EF150" i="6"/>
  <c r="EQ150" i="6" s="1"/>
  <c r="EF148" i="6"/>
  <c r="EQ148" i="6" s="1"/>
  <c r="EF142" i="6"/>
  <c r="EQ142" i="6" s="1"/>
  <c r="EF152" i="6"/>
  <c r="EQ152" i="6" s="1"/>
  <c r="EF151" i="6"/>
  <c r="EQ151" i="6" s="1"/>
  <c r="EF149" i="6"/>
  <c r="EQ149" i="6" s="1"/>
  <c r="EF153" i="6"/>
  <c r="EQ153" i="6" s="1"/>
  <c r="EF143" i="6"/>
  <c r="EQ143" i="6" s="1"/>
  <c r="EF140" i="6"/>
  <c r="EQ140" i="6" s="1"/>
  <c r="EF163" i="6"/>
  <c r="EQ163" i="6" s="1"/>
  <c r="EF133" i="6"/>
  <c r="EQ133" i="6" s="1"/>
  <c r="EF134" i="6"/>
  <c r="EQ134" i="6" s="1"/>
  <c r="EF127" i="6"/>
  <c r="EQ127" i="6" s="1"/>
  <c r="EF135" i="6"/>
  <c r="EQ135" i="6" s="1"/>
  <c r="EF104" i="6"/>
  <c r="EQ104" i="6" s="1"/>
  <c r="EF128" i="6"/>
  <c r="EQ128" i="6" s="1"/>
  <c r="EF139" i="6"/>
  <c r="EQ139" i="6" s="1"/>
  <c r="EF126" i="6"/>
  <c r="EQ126" i="6" s="1"/>
  <c r="EF101" i="6"/>
  <c r="EQ101" i="6" s="1"/>
  <c r="EF91" i="6"/>
  <c r="EQ91" i="6" s="1"/>
  <c r="EF137" i="6"/>
  <c r="EQ137" i="6" s="1"/>
  <c r="EF130" i="6"/>
  <c r="EQ130" i="6" s="1"/>
  <c r="EF100" i="6"/>
  <c r="EQ100" i="6" s="1"/>
  <c r="EF99" i="6"/>
  <c r="EQ99" i="6" s="1"/>
  <c r="EF138" i="6"/>
  <c r="EQ138" i="6" s="1"/>
  <c r="EF132" i="6"/>
  <c r="EQ132" i="6" s="1"/>
  <c r="EF92" i="6"/>
  <c r="EQ92" i="6" s="1"/>
  <c r="EF129" i="6"/>
  <c r="EQ129" i="6" s="1"/>
  <c r="EF105" i="6"/>
  <c r="EF131" i="6"/>
  <c r="EQ131" i="6" s="1"/>
  <c r="EF103" i="6"/>
  <c r="EQ103" i="6" s="1"/>
  <c r="EF79" i="6"/>
  <c r="EQ79" i="6" s="1"/>
  <c r="EF89" i="6"/>
  <c r="EQ89" i="6" s="1"/>
  <c r="EF77" i="6"/>
  <c r="EQ77" i="6" s="1"/>
  <c r="EF53" i="6"/>
  <c r="EQ53" i="6" s="1"/>
  <c r="EF41" i="6"/>
  <c r="EQ41" i="6" s="1"/>
  <c r="EF58" i="6"/>
  <c r="EQ58" i="6" s="1"/>
  <c r="EF54" i="6"/>
  <c r="EQ54" i="6" s="1"/>
  <c r="EF60" i="6"/>
  <c r="EQ60" i="6" s="1"/>
  <c r="EF59" i="6"/>
  <c r="EQ59" i="6" s="1"/>
  <c r="EF55" i="6"/>
  <c r="EQ55" i="6" s="1"/>
  <c r="EF44" i="6"/>
  <c r="EQ44" i="6" s="1"/>
  <c r="EF43" i="6"/>
  <c r="EQ43" i="6" s="1"/>
  <c r="EF78" i="6"/>
  <c r="EQ78" i="6" s="1"/>
  <c r="EF90" i="6"/>
  <c r="EQ90" i="6" s="1"/>
  <c r="EF61" i="6"/>
  <c r="EQ61" i="6" s="1"/>
  <c r="EF56" i="6"/>
  <c r="EQ56" i="6" s="1"/>
  <c r="EF88" i="6"/>
  <c r="EQ88" i="6" s="1"/>
  <c r="EF57" i="6"/>
  <c r="EQ57" i="6" s="1"/>
  <c r="BW21" i="6"/>
  <c r="EW21" i="6" s="1"/>
  <c r="BW140" i="6"/>
  <c r="EW140" i="6" s="1"/>
  <c r="BV21" i="6"/>
  <c r="BV46" i="6"/>
  <c r="EV46" i="6" s="1"/>
  <c r="BV134" i="6"/>
  <c r="BW46" i="6"/>
  <c r="EW46" i="6" s="1"/>
  <c r="BW56" i="6"/>
  <c r="EW56" i="6" s="1"/>
  <c r="BV58" i="6"/>
  <c r="BW58" i="6"/>
  <c r="EW58" i="6" s="1"/>
  <c r="BV135" i="6"/>
  <c r="EV135" i="6" s="1"/>
  <c r="BV70" i="6"/>
  <c r="BW77" i="6"/>
  <c r="EW77" i="6" s="1"/>
  <c r="BV77" i="6"/>
  <c r="BW133" i="6"/>
  <c r="EW133" i="6" s="1"/>
  <c r="BW134" i="6"/>
  <c r="EW134" i="6" s="1"/>
  <c r="BV56" i="6"/>
  <c r="BW70" i="6"/>
  <c r="EW70" i="6" s="1"/>
  <c r="BW57" i="6"/>
  <c r="EW57" i="6" s="1"/>
  <c r="BW135" i="6"/>
  <c r="EW135" i="6" s="1"/>
  <c r="BV140" i="6"/>
  <c r="BV133" i="6"/>
  <c r="BV57" i="6"/>
  <c r="FX82" i="6"/>
  <c r="FY82" i="6"/>
  <c r="FX211" i="6"/>
  <c r="FY211" i="6"/>
  <c r="FX192" i="6"/>
  <c r="Z785" i="22" s="1"/>
  <c r="FY192" i="6"/>
  <c r="AA785" i="22" s="1"/>
  <c r="FX83" i="6"/>
  <c r="FY83" i="6"/>
  <c r="FZ181" i="6"/>
  <c r="FW181" i="6" s="1"/>
  <c r="Y370" i="23" s="1"/>
  <c r="AR7" i="6"/>
  <c r="AR5" i="6"/>
  <c r="EG5" i="6" s="1"/>
  <c r="AR6" i="6"/>
  <c r="Z879" i="17" l="1"/>
  <c r="Z603" i="17"/>
  <c r="Z880" i="17"/>
  <c r="AA313" i="22"/>
  <c r="AA309" i="22"/>
  <c r="AA411" i="17"/>
  <c r="AA408" i="17"/>
  <c r="AA95" i="23"/>
  <c r="AA96" i="23"/>
  <c r="AA410" i="17"/>
  <c r="AA312" i="22"/>
  <c r="AA412" i="17"/>
  <c r="AA413" i="17"/>
  <c r="AA409" i="17"/>
  <c r="AA307" i="22"/>
  <c r="AA314" i="22"/>
  <c r="AA310" i="22"/>
  <c r="AA308" i="22"/>
  <c r="AA97" i="23"/>
  <c r="AA311" i="22"/>
  <c r="AA415" i="17"/>
  <c r="AA879" i="17"/>
  <c r="AA603" i="17"/>
  <c r="AA880" i="17"/>
  <c r="Z309" i="22"/>
  <c r="Z313" i="22"/>
  <c r="Z408" i="17"/>
  <c r="Z411" i="17"/>
  <c r="Z95" i="23"/>
  <c r="Z96" i="23"/>
  <c r="Z312" i="22"/>
  <c r="Z410" i="17"/>
  <c r="Z412" i="17"/>
  <c r="Z409" i="17"/>
  <c r="Z413" i="17"/>
  <c r="Z308" i="22"/>
  <c r="Z310" i="22"/>
  <c r="Z97" i="23"/>
  <c r="Z314" i="22"/>
  <c r="Z311" i="22"/>
  <c r="Z307" i="22"/>
  <c r="Z415" i="17"/>
  <c r="AA317" i="22"/>
  <c r="AA103" i="23"/>
  <c r="AA98" i="23"/>
  <c r="AA99" i="23"/>
  <c r="AA321" i="22"/>
  <c r="AA419" i="17"/>
  <c r="AA102" i="23"/>
  <c r="AA104" i="23"/>
  <c r="AA100" i="23"/>
  <c r="AA320" i="22"/>
  <c r="AA418" i="17"/>
  <c r="AA318" i="22"/>
  <c r="AA316" i="22"/>
  <c r="AA322" i="22"/>
  <c r="AA105" i="23"/>
  <c r="AA101" i="23"/>
  <c r="AA319" i="22"/>
  <c r="AA315" i="22"/>
  <c r="AA416" i="17"/>
  <c r="Z317" i="22"/>
  <c r="Z103" i="23"/>
  <c r="Z99" i="23"/>
  <c r="Z321" i="22"/>
  <c r="Z98" i="23"/>
  <c r="Z419" i="17"/>
  <c r="Z100" i="23"/>
  <c r="Z104" i="23"/>
  <c r="Z102" i="23"/>
  <c r="Z320" i="22"/>
  <c r="Z418" i="17"/>
  <c r="Z316" i="22"/>
  <c r="Z105" i="23"/>
  <c r="Z318" i="22"/>
  <c r="Z319" i="22"/>
  <c r="Z315" i="22"/>
  <c r="Z322" i="22"/>
  <c r="Z101" i="23"/>
  <c r="Z416" i="17"/>
  <c r="EG7" i="6"/>
  <c r="EG306" i="6"/>
  <c r="EG302" i="6"/>
  <c r="EG298" i="6"/>
  <c r="EG295" i="6"/>
  <c r="EG291" i="6"/>
  <c r="EG276" i="6"/>
  <c r="EG299" i="6"/>
  <c r="EG294" i="6"/>
  <c r="EG278" i="6"/>
  <c r="EG277" i="6"/>
  <c r="EG297" i="6"/>
  <c r="EG289" i="6"/>
  <c r="EG283" i="6"/>
  <c r="EG288" i="6"/>
  <c r="EG287" i="6"/>
  <c r="EG285" i="6"/>
  <c r="EG257" i="6"/>
  <c r="EG256" i="6"/>
  <c r="EG304" i="6"/>
  <c r="EG292" i="6"/>
  <c r="EG303" i="6"/>
  <c r="EG293" i="6"/>
  <c r="EG284" i="6"/>
  <c r="EG305" i="6"/>
  <c r="EG286" i="6"/>
  <c r="EG301" i="6"/>
  <c r="EG300" i="6"/>
  <c r="EG296" i="6"/>
  <c r="EG290" i="6"/>
  <c r="EG224" i="6"/>
  <c r="EG238" i="6"/>
  <c r="EG225" i="6"/>
  <c r="EG239" i="6"/>
  <c r="EG249" i="6"/>
  <c r="EG241" i="6"/>
  <c r="EG240" i="6"/>
  <c r="EG237" i="6"/>
  <c r="EG223" i="6"/>
  <c r="EG212" i="6"/>
  <c r="EG209" i="6"/>
  <c r="EG194" i="6"/>
  <c r="EG191" i="6"/>
  <c r="EG190" i="6"/>
  <c r="EG211" i="6"/>
  <c r="EG185" i="6"/>
  <c r="EG253" i="6"/>
  <c r="EG236" i="6"/>
  <c r="EG226" i="6"/>
  <c r="EG210" i="6"/>
  <c r="EG208" i="6"/>
  <c r="EG193" i="6"/>
  <c r="EG222" i="6"/>
  <c r="EG176" i="6"/>
  <c r="EG165" i="6"/>
  <c r="EG159" i="6"/>
  <c r="EG175" i="6"/>
  <c r="EG161" i="6"/>
  <c r="EG177" i="6"/>
  <c r="EG166" i="6"/>
  <c r="EG114" i="6"/>
  <c r="EG97" i="6"/>
  <c r="EG125" i="6"/>
  <c r="EG113" i="6"/>
  <c r="EG111" i="6"/>
  <c r="BP111" i="6" s="1"/>
  <c r="EG98" i="6"/>
  <c r="EG96" i="6"/>
  <c r="EG124" i="6"/>
  <c r="EG93" i="6"/>
  <c r="BP93" i="6" s="1"/>
  <c r="EG82" i="6"/>
  <c r="BP82" i="6" s="1"/>
  <c r="EG123" i="6"/>
  <c r="EG112" i="6"/>
  <c r="EG95" i="6"/>
  <c r="EG94" i="6"/>
  <c r="BP94" i="6" s="1"/>
  <c r="EG67" i="6"/>
  <c r="EG46" i="6"/>
  <c r="EG28" i="6"/>
  <c r="EG27" i="6"/>
  <c r="EG24" i="6"/>
  <c r="EG22" i="6"/>
  <c r="EG71" i="6"/>
  <c r="BP71" i="6" s="1"/>
  <c r="EG70" i="6"/>
  <c r="EG62" i="6"/>
  <c r="EG50" i="6"/>
  <c r="EG31" i="6"/>
  <c r="EG30" i="6"/>
  <c r="EG20" i="6"/>
  <c r="EG68" i="6"/>
  <c r="BP68" i="6" s="1"/>
  <c r="EG45" i="6"/>
  <c r="EG85" i="6"/>
  <c r="EG84" i="6"/>
  <c r="BP84" i="6" s="1"/>
  <c r="EG72" i="6"/>
  <c r="EG66" i="6"/>
  <c r="BP66" i="6" s="1"/>
  <c r="EG65" i="6"/>
  <c r="EG51" i="6"/>
  <c r="EG48" i="6"/>
  <c r="EG63" i="6"/>
  <c r="EG47" i="6"/>
  <c r="EG83" i="6"/>
  <c r="EG32" i="6"/>
  <c r="EG25" i="6"/>
  <c r="EG69" i="6"/>
  <c r="EG64" i="6"/>
  <c r="EG49" i="6"/>
  <c r="EG23" i="6"/>
  <c r="EG18" i="6"/>
  <c r="EG19" i="6"/>
  <c r="EG16" i="6"/>
  <c r="EG17" i="6"/>
  <c r="EG29" i="6"/>
  <c r="EG26" i="6"/>
  <c r="EG21" i="6"/>
  <c r="EV133" i="6"/>
  <c r="EV56" i="6"/>
  <c r="EV70" i="6"/>
  <c r="EV21" i="6"/>
  <c r="EV140" i="6"/>
  <c r="EV58" i="6"/>
  <c r="EV57" i="6"/>
  <c r="EV77" i="6"/>
  <c r="EV134" i="6"/>
  <c r="EG6" i="6"/>
  <c r="ER14" i="6"/>
  <c r="FX181" i="6"/>
  <c r="Z370" i="23" s="1"/>
  <c r="FY181" i="6"/>
  <c r="AA370" i="23" s="1"/>
  <c r="EG8" i="6"/>
  <c r="ER17" i="6" l="1"/>
  <c r="ER69" i="6"/>
  <c r="ER51" i="6"/>
  <c r="ER28" i="6"/>
  <c r="ER123" i="6"/>
  <c r="ER113" i="6"/>
  <c r="ER159" i="6"/>
  <c r="ER240" i="6"/>
  <c r="ER303" i="6"/>
  <c r="ER283" i="6"/>
  <c r="EG270" i="6"/>
  <c r="ER270" i="6" s="1"/>
  <c r="EG269" i="6"/>
  <c r="ER269" i="6" s="1"/>
  <c r="EG266" i="6"/>
  <c r="ER266" i="6" s="1"/>
  <c r="EG262" i="6"/>
  <c r="ER262" i="6" s="1"/>
  <c r="EG272" i="6"/>
  <c r="ER272" i="6" s="1"/>
  <c r="EG282" i="6"/>
  <c r="EG271" i="6"/>
  <c r="ER271" i="6" s="1"/>
  <c r="EG254" i="6"/>
  <c r="ER254" i="6" s="1"/>
  <c r="EG281" i="6"/>
  <c r="EG275" i="6"/>
  <c r="ER275" i="6" s="1"/>
  <c r="EG267" i="6"/>
  <c r="ER267" i="6" s="1"/>
  <c r="EG264" i="6"/>
  <c r="ER264" i="6" s="1"/>
  <c r="EG260" i="6"/>
  <c r="ER260" i="6" s="1"/>
  <c r="EG259" i="6"/>
  <c r="ER259" i="6" s="1"/>
  <c r="EG308" i="6"/>
  <c r="ER308" i="6" s="1"/>
  <c r="EG274" i="6"/>
  <c r="BP274" i="6" s="1"/>
  <c r="EG273" i="6"/>
  <c r="ER273" i="6" s="1"/>
  <c r="EG263" i="6"/>
  <c r="EG261" i="6"/>
  <c r="ER261" i="6" s="1"/>
  <c r="EG307" i="6"/>
  <c r="EG280" i="6"/>
  <c r="EG265" i="6"/>
  <c r="ER265" i="6" s="1"/>
  <c r="EG258" i="6"/>
  <c r="BP258" i="6" s="1"/>
  <c r="EG268" i="6"/>
  <c r="ER268" i="6" s="1"/>
  <c r="EG235" i="6"/>
  <c r="ER235" i="6" s="1"/>
  <c r="EG228" i="6"/>
  <c r="BP228" i="6" s="1"/>
  <c r="EG234" i="6"/>
  <c r="BP234" i="6" s="1"/>
  <c r="EG233" i="6"/>
  <c r="BP233" i="6" s="1"/>
  <c r="EG247" i="6"/>
  <c r="BP247" i="6" s="1"/>
  <c r="EG255" i="6"/>
  <c r="ER255" i="6" s="1"/>
  <c r="EG248" i="6"/>
  <c r="EG230" i="6"/>
  <c r="BP230" i="6" s="1"/>
  <c r="EG250" i="6"/>
  <c r="ER250" i="6" s="1"/>
  <c r="EG252" i="6"/>
  <c r="ER252" i="6" s="1"/>
  <c r="EG196" i="6"/>
  <c r="ER196" i="6" s="1"/>
  <c r="EG192" i="6"/>
  <c r="ER192" i="6" s="1"/>
  <c r="EG202" i="6"/>
  <c r="EG187" i="6"/>
  <c r="BP187" i="6" s="1"/>
  <c r="EG201" i="6"/>
  <c r="BP201" i="6" s="1"/>
  <c r="EG200" i="6"/>
  <c r="ER200" i="6" s="1"/>
  <c r="EG188" i="6"/>
  <c r="BP188" i="6" s="1"/>
  <c r="EG203" i="6"/>
  <c r="ER203" i="6" s="1"/>
  <c r="EG181" i="6"/>
  <c r="ER181" i="6" s="1"/>
  <c r="EG231" i="6"/>
  <c r="ER231" i="6" s="1"/>
  <c r="EG232" i="6"/>
  <c r="ER232" i="6" s="1"/>
  <c r="EG227" i="6"/>
  <c r="ER227" i="6" s="1"/>
  <c r="EG229" i="6"/>
  <c r="BP229" i="6" s="1"/>
  <c r="EG180" i="6"/>
  <c r="ER180" i="6" s="1"/>
  <c r="EG178" i="6"/>
  <c r="BP178" i="6" s="1"/>
  <c r="EG172" i="6"/>
  <c r="ER172" i="6" s="1"/>
  <c r="EG171" i="6"/>
  <c r="ER171" i="6" s="1"/>
  <c r="EG169" i="6"/>
  <c r="ER169" i="6" s="1"/>
  <c r="EG154" i="6"/>
  <c r="ER154" i="6" s="1"/>
  <c r="EG186" i="6"/>
  <c r="ER186" i="6" s="1"/>
  <c r="EG179" i="6"/>
  <c r="BP179" i="6" s="1"/>
  <c r="EG174" i="6"/>
  <c r="EG162" i="6"/>
  <c r="ER162" i="6" s="1"/>
  <c r="EG160" i="6"/>
  <c r="ER160" i="6" s="1"/>
  <c r="EG147" i="6"/>
  <c r="ER147" i="6" s="1"/>
  <c r="EG173" i="6"/>
  <c r="ER173" i="6" s="1"/>
  <c r="EG167" i="6"/>
  <c r="ER167" i="6" s="1"/>
  <c r="EG164" i="6"/>
  <c r="ER164" i="6" s="1"/>
  <c r="EG156" i="6"/>
  <c r="ER156" i="6" s="1"/>
  <c r="EG155" i="6"/>
  <c r="ER155" i="6" s="1"/>
  <c r="EG184" i="6"/>
  <c r="BP184" i="6" s="1"/>
  <c r="EG183" i="6"/>
  <c r="ER183" i="6" s="1"/>
  <c r="EG144" i="6"/>
  <c r="ER144" i="6" s="1"/>
  <c r="EG170" i="6"/>
  <c r="ER170" i="6" s="1"/>
  <c r="EG168" i="6"/>
  <c r="ER168" i="6" s="1"/>
  <c r="FG168" i="6" s="1"/>
  <c r="Q837" i="22" s="1"/>
  <c r="P837" i="22" s="1"/>
  <c r="EG182" i="6"/>
  <c r="BP182" i="6" s="1"/>
  <c r="EG158" i="6"/>
  <c r="ER158" i="6" s="1"/>
  <c r="EG145" i="6"/>
  <c r="ER145" i="6" s="1"/>
  <c r="EG121" i="6"/>
  <c r="ER121" i="6" s="1"/>
  <c r="EG116" i="6"/>
  <c r="ER116" i="6" s="1"/>
  <c r="EG115" i="6"/>
  <c r="ER115" i="6" s="1"/>
  <c r="EG107" i="6"/>
  <c r="ER107" i="6" s="1"/>
  <c r="EG109" i="6"/>
  <c r="ER109" i="6" s="1"/>
  <c r="EG122" i="6"/>
  <c r="ER122" i="6" s="1"/>
  <c r="EG118" i="6"/>
  <c r="EG108" i="6"/>
  <c r="ER108" i="6" s="1"/>
  <c r="EG120" i="6"/>
  <c r="ER120" i="6" s="1"/>
  <c r="EG119" i="6"/>
  <c r="ER119" i="6" s="1"/>
  <c r="EG110" i="6"/>
  <c r="ER110" i="6" s="1"/>
  <c r="EG106" i="6"/>
  <c r="EG117" i="6"/>
  <c r="ER117" i="6" s="1"/>
  <c r="ER16" i="6"/>
  <c r="ER25" i="6"/>
  <c r="ER50" i="6"/>
  <c r="BQ82" i="6"/>
  <c r="ER82" i="6" s="1"/>
  <c r="ER125" i="6"/>
  <c r="ER165" i="6"/>
  <c r="ER226" i="6"/>
  <c r="ER191" i="6"/>
  <c r="ER241" i="6"/>
  <c r="EG244" i="6"/>
  <c r="ER244" i="6" s="1"/>
  <c r="EG251" i="6"/>
  <c r="ER251" i="6" s="1"/>
  <c r="EG218" i="6"/>
  <c r="ER218" i="6" s="1"/>
  <c r="EG243" i="6"/>
  <c r="ER243" i="6" s="1"/>
  <c r="EG221" i="6"/>
  <c r="ER221" i="6" s="1"/>
  <c r="EG245" i="6"/>
  <c r="ER245" i="6" s="1"/>
  <c r="EG197" i="6"/>
  <c r="ER197" i="6" s="1"/>
  <c r="EG205" i="6"/>
  <c r="ER205" i="6" s="1"/>
  <c r="EG220" i="6"/>
  <c r="ER220" i="6" s="1"/>
  <c r="EG242" i="6"/>
  <c r="ER242" i="6" s="1"/>
  <c r="EG207" i="6"/>
  <c r="ER207" i="6" s="1"/>
  <c r="EG206" i="6"/>
  <c r="ER206" i="6" s="1"/>
  <c r="EG204" i="6"/>
  <c r="ER204" i="6" s="1"/>
  <c r="EG198" i="6"/>
  <c r="ER198" i="6" s="1"/>
  <c r="EG246" i="6"/>
  <c r="ER246" i="6" s="1"/>
  <c r="EG219" i="6"/>
  <c r="ER219" i="6" s="1"/>
  <c r="EG199" i="6"/>
  <c r="ER199" i="6" s="1"/>
  <c r="EG134" i="6"/>
  <c r="ER134" i="6" s="1"/>
  <c r="EG150" i="6"/>
  <c r="ER150" i="6" s="1"/>
  <c r="EG148" i="6"/>
  <c r="ER148" i="6" s="1"/>
  <c r="EG152" i="6"/>
  <c r="ER152" i="6" s="1"/>
  <c r="EG151" i="6"/>
  <c r="ER151" i="6" s="1"/>
  <c r="EG149" i="6"/>
  <c r="ER149" i="6" s="1"/>
  <c r="EG139" i="6"/>
  <c r="ER139" i="6" s="1"/>
  <c r="EG138" i="6"/>
  <c r="ER138" i="6" s="1"/>
  <c r="EG153" i="6"/>
  <c r="ER153" i="6" s="1"/>
  <c r="EG189" i="6"/>
  <c r="ER189" i="6" s="1"/>
  <c r="EG163" i="6"/>
  <c r="ER163" i="6" s="1"/>
  <c r="EG133" i="6"/>
  <c r="ER133" i="6" s="1"/>
  <c r="EG157" i="6"/>
  <c r="ER157" i="6" s="1"/>
  <c r="EG141" i="6"/>
  <c r="ER141" i="6" s="1"/>
  <c r="EG136" i="6"/>
  <c r="ER136" i="6" s="1"/>
  <c r="EG135" i="6"/>
  <c r="ER135" i="6" s="1"/>
  <c r="EG104" i="6"/>
  <c r="ER104" i="6" s="1"/>
  <c r="EG128" i="6"/>
  <c r="ER128" i="6" s="1"/>
  <c r="EG126" i="6"/>
  <c r="BP126" i="6" s="1"/>
  <c r="EG101" i="6"/>
  <c r="ER101" i="6" s="1"/>
  <c r="EG91" i="6"/>
  <c r="ER91" i="6" s="1"/>
  <c r="EG142" i="6"/>
  <c r="ER142" i="6" s="1"/>
  <c r="EG140" i="6"/>
  <c r="ER140" i="6" s="1"/>
  <c r="EG137" i="6"/>
  <c r="ER137" i="6" s="1"/>
  <c r="EG130" i="6"/>
  <c r="BP130" i="6" s="1"/>
  <c r="EG100" i="6"/>
  <c r="ER100" i="6" s="1"/>
  <c r="EG99" i="6"/>
  <c r="ER99" i="6" s="1"/>
  <c r="EG143" i="6"/>
  <c r="ER143" i="6" s="1"/>
  <c r="EG132" i="6"/>
  <c r="ER132" i="6" s="1"/>
  <c r="EG92" i="6"/>
  <c r="ER92" i="6" s="1"/>
  <c r="EG129" i="6"/>
  <c r="ER129" i="6" s="1"/>
  <c r="EG105" i="6"/>
  <c r="EG131" i="6"/>
  <c r="ER131" i="6" s="1"/>
  <c r="EG103" i="6"/>
  <c r="ER103" i="6" s="1"/>
  <c r="EG127" i="6"/>
  <c r="EG89" i="6"/>
  <c r="EG88" i="6"/>
  <c r="ER88" i="6" s="1"/>
  <c r="EG77" i="6"/>
  <c r="ER77" i="6" s="1"/>
  <c r="EG53" i="6"/>
  <c r="ER53" i="6" s="1"/>
  <c r="EG41" i="6"/>
  <c r="ER41" i="6" s="1"/>
  <c r="EG58" i="6"/>
  <c r="ER58" i="6" s="1"/>
  <c r="EG54" i="6"/>
  <c r="ER54" i="6" s="1"/>
  <c r="EG60" i="6"/>
  <c r="ER60" i="6" s="1"/>
  <c r="EG59" i="6"/>
  <c r="ER59" i="6" s="1"/>
  <c r="EG55" i="6"/>
  <c r="ER55" i="6" s="1"/>
  <c r="EG44" i="6"/>
  <c r="ER44" i="6" s="1"/>
  <c r="EG43" i="6"/>
  <c r="ER43" i="6" s="1"/>
  <c r="EG78" i="6"/>
  <c r="ER78" i="6" s="1"/>
  <c r="EG90" i="6"/>
  <c r="BP90" i="6" s="1"/>
  <c r="EG61" i="6"/>
  <c r="ER61" i="6" s="1"/>
  <c r="EG56" i="6"/>
  <c r="ER56" i="6" s="1"/>
  <c r="EG57" i="6"/>
  <c r="ER57" i="6" s="1"/>
  <c r="EG79" i="6"/>
  <c r="ER79" i="6" s="1"/>
  <c r="ER19" i="6"/>
  <c r="ER32" i="6"/>
  <c r="BQ66" i="6"/>
  <c r="ER62" i="6"/>
  <c r="ER46" i="6"/>
  <c r="BQ93" i="6"/>
  <c r="ER93" i="6" s="1"/>
  <c r="ER97" i="6"/>
  <c r="ER176" i="6"/>
  <c r="ER236" i="6"/>
  <c r="ER194" i="6"/>
  <c r="ER249" i="6"/>
  <c r="ER300" i="6"/>
  <c r="ER304" i="6"/>
  <c r="ER298" i="6"/>
  <c r="ER18" i="6"/>
  <c r="ER83" i="6"/>
  <c r="ER72" i="6"/>
  <c r="BQ68" i="6"/>
  <c r="ER68" i="6" s="1"/>
  <c r="ER70" i="6"/>
  <c r="ER124" i="6"/>
  <c r="ER114" i="6"/>
  <c r="ER253" i="6"/>
  <c r="ER209" i="6"/>
  <c r="ER239" i="6"/>
  <c r="ER301" i="6"/>
  <c r="ER256" i="6"/>
  <c r="ER277" i="6"/>
  <c r="ER302" i="6"/>
  <c r="ER23" i="6"/>
  <c r="BQ84" i="6"/>
  <c r="ER84" i="6" s="1"/>
  <c r="ER20" i="6"/>
  <c r="BQ71" i="6"/>
  <c r="ER71" i="6" s="1"/>
  <c r="ER67" i="6"/>
  <c r="ER96" i="6"/>
  <c r="ER166" i="6"/>
  <c r="ER222" i="6"/>
  <c r="ER185" i="6"/>
  <c r="ER212" i="6"/>
  <c r="ER225" i="6"/>
  <c r="ER286" i="6"/>
  <c r="ER257" i="6"/>
  <c r="ER278" i="6"/>
  <c r="ER306" i="6"/>
  <c r="ER21" i="6"/>
  <c r="ER47" i="6"/>
  <c r="ER85" i="6"/>
  <c r="ER22" i="6"/>
  <c r="BQ94" i="6"/>
  <c r="ER94" i="6" s="1"/>
  <c r="ER177" i="6"/>
  <c r="ER193" i="6"/>
  <c r="ER211" i="6"/>
  <c r="ER238" i="6"/>
  <c r="ER305" i="6"/>
  <c r="ER285" i="6"/>
  <c r="ER26" i="6"/>
  <c r="ER49" i="6"/>
  <c r="ER63" i="6"/>
  <c r="ER45" i="6"/>
  <c r="ER31" i="6"/>
  <c r="ER24" i="6"/>
  <c r="ER95" i="6"/>
  <c r="ER98" i="6"/>
  <c r="ER161" i="6"/>
  <c r="ER208" i="6"/>
  <c r="ER190" i="6"/>
  <c r="ER223" i="6"/>
  <c r="ER284" i="6"/>
  <c r="ER287" i="6"/>
  <c r="ER299" i="6"/>
  <c r="ER309" i="6"/>
  <c r="FG309" i="6" s="1"/>
  <c r="DK309" i="6" s="1"/>
  <c r="ER64" i="6"/>
  <c r="ER48" i="6"/>
  <c r="ER27" i="6"/>
  <c r="ER112" i="6"/>
  <c r="BQ111" i="6"/>
  <c r="ER111" i="6" s="1"/>
  <c r="ER175" i="6"/>
  <c r="ER210" i="6"/>
  <c r="ER237" i="6"/>
  <c r="ER224" i="6"/>
  <c r="ER276" i="6"/>
  <c r="AT7" i="6"/>
  <c r="EI7" i="6" s="1"/>
  <c r="AS7" i="6"/>
  <c r="DK168" i="6" l="1"/>
  <c r="N837" i="22" s="1"/>
  <c r="BP307" i="6"/>
  <c r="BR307" i="6"/>
  <c r="BQ174" i="6"/>
  <c r="BP174" i="6"/>
  <c r="ER174" i="6" s="1"/>
  <c r="BQ118" i="6"/>
  <c r="BP118" i="6"/>
  <c r="BQ89" i="6"/>
  <c r="BP89" i="6"/>
  <c r="BQ248" i="6"/>
  <c r="BP248" i="6"/>
  <c r="BQ127" i="6"/>
  <c r="BP127" i="6"/>
  <c r="BQ106" i="6"/>
  <c r="BP106" i="6"/>
  <c r="BQ202" i="6"/>
  <c r="BP202" i="6"/>
  <c r="ER66" i="6"/>
  <c r="BQ126" i="6"/>
  <c r="ER126" i="6" s="1"/>
  <c r="BQ182" i="6"/>
  <c r="ER182" i="6" s="1"/>
  <c r="BQ229" i="6"/>
  <c r="ER229" i="6" s="1"/>
  <c r="BQ201" i="6"/>
  <c r="BQ258" i="6"/>
  <c r="BQ179" i="6"/>
  <c r="BQ187" i="6"/>
  <c r="BQ130" i="6"/>
  <c r="ER130" i="6" s="1"/>
  <c r="BQ247" i="6"/>
  <c r="BQ233" i="6"/>
  <c r="BQ307" i="6"/>
  <c r="BQ274" i="6"/>
  <c r="BQ90" i="6"/>
  <c r="BQ234" i="6"/>
  <c r="ER234" i="6" s="1"/>
  <c r="BQ184" i="6"/>
  <c r="ER184" i="6" s="1"/>
  <c r="BQ228" i="6"/>
  <c r="ER228" i="6" s="1"/>
  <c r="BQ230" i="6"/>
  <c r="BQ178" i="6"/>
  <c r="ER178" i="6" s="1"/>
  <c r="BQ188" i="6"/>
  <c r="EH7" i="6"/>
  <c r="ET7" i="6" s="1"/>
  <c r="AY7" i="6"/>
  <c r="DW25" i="6" s="1"/>
  <c r="AX7" i="6"/>
  <c r="AS6" i="6"/>
  <c r="AT6" i="6"/>
  <c r="AS5" i="6"/>
  <c r="AT5" i="6"/>
  <c r="EI5" i="6" s="1"/>
  <c r="ER248" i="6" l="1"/>
  <c r="ER202" i="6"/>
  <c r="ER106" i="6"/>
  <c r="ER127" i="6"/>
  <c r="ER89" i="6"/>
  <c r="ER118" i="6"/>
  <c r="DW30" i="6"/>
  <c r="DW31" i="6" s="1"/>
  <c r="ER187" i="6"/>
  <c r="ER230" i="6"/>
  <c r="ER258" i="6"/>
  <c r="ER188" i="6"/>
  <c r="ER307" i="6"/>
  <c r="ER233" i="6"/>
  <c r="ER247" i="6"/>
  <c r="ER274" i="6"/>
  <c r="ER201" i="6"/>
  <c r="EI304" i="6"/>
  <c r="ET304" i="6" s="1"/>
  <c r="EI302" i="6"/>
  <c r="ET302" i="6" s="1"/>
  <c r="EI299" i="6"/>
  <c r="ET299" i="6" s="1"/>
  <c r="EI17" i="6"/>
  <c r="ET17" i="6" s="1"/>
  <c r="EI71" i="6"/>
  <c r="EI256" i="6"/>
  <c r="ET256" i="6" s="1"/>
  <c r="EI257" i="6"/>
  <c r="EI18" i="6"/>
  <c r="ET18" i="6" s="1"/>
  <c r="EI19" i="6"/>
  <c r="ET19" i="6" s="1"/>
  <c r="EI240" i="6"/>
  <c r="ET240" i="6" s="1"/>
  <c r="EI237" i="6"/>
  <c r="ET237" i="6" s="1"/>
  <c r="EI253" i="6"/>
  <c r="ET253" i="6" s="1"/>
  <c r="EI236" i="6"/>
  <c r="ET236" i="6" s="1"/>
  <c r="EI83" i="6"/>
  <c r="ET83" i="6" s="1"/>
  <c r="EI241" i="6"/>
  <c r="ET241" i="6" s="1"/>
  <c r="EI84" i="6"/>
  <c r="BT84" i="6" s="1"/>
  <c r="ET84" i="6" s="1"/>
  <c r="EI239" i="6"/>
  <c r="ET239" i="6" s="1"/>
  <c r="EI238" i="6"/>
  <c r="EI16" i="6"/>
  <c r="ET16" i="6" s="1"/>
  <c r="EI303" i="6"/>
  <c r="EI85" i="6"/>
  <c r="ET85" i="6" s="1"/>
  <c r="EI159" i="6"/>
  <c r="ET159" i="6" s="1"/>
  <c r="EI175" i="6"/>
  <c r="BT175" i="6" s="1"/>
  <c r="ET175" i="6" s="1"/>
  <c r="EI161" i="6"/>
  <c r="ET161" i="6" s="1"/>
  <c r="EI82" i="6"/>
  <c r="EI72" i="6"/>
  <c r="ET72" i="6" s="1"/>
  <c r="EI193" i="6"/>
  <c r="ET193" i="6" s="1"/>
  <c r="EI306" i="6"/>
  <c r="BT306" i="6" s="1"/>
  <c r="ET306" i="6" s="1"/>
  <c r="EI301" i="6"/>
  <c r="ET301" i="6" s="1"/>
  <c r="EI300" i="6"/>
  <c r="ET300" i="6" s="1"/>
  <c r="EI305" i="6"/>
  <c r="EI190" i="6"/>
  <c r="ET190" i="6" s="1"/>
  <c r="EI191" i="6"/>
  <c r="ET191" i="6" s="1"/>
  <c r="EI194" i="6"/>
  <c r="ET194" i="6" s="1"/>
  <c r="EI249" i="6"/>
  <c r="ET249" i="6" s="1"/>
  <c r="BS264" i="6"/>
  <c r="BS265" i="6"/>
  <c r="BS266" i="6"/>
  <c r="ER90" i="6"/>
  <c r="ER179" i="6"/>
  <c r="AY6" i="6"/>
  <c r="AX6" i="6"/>
  <c r="T282" i="6" s="1"/>
  <c r="EH5" i="6"/>
  <c r="AY5" i="6"/>
  <c r="AX5" i="6"/>
  <c r="AS9" i="6"/>
  <c r="AT9" i="6"/>
  <c r="EI8" i="6"/>
  <c r="DY8" i="6"/>
  <c r="ED30" i="6" s="1"/>
  <c r="EI6" i="6"/>
  <c r="EH6" i="6"/>
  <c r="L89" i="22" l="1"/>
  <c r="L76" i="22"/>
  <c r="L88" i="22"/>
  <c r="L77" i="22"/>
  <c r="H116" i="13"/>
  <c r="H113" i="13" s="1"/>
  <c r="EH266" i="6"/>
  <c r="ES266" i="6" s="1"/>
  <c r="EH282" i="6"/>
  <c r="EH275" i="6"/>
  <c r="ES275" i="6" s="1"/>
  <c r="EX275" i="6" s="1"/>
  <c r="FG275" i="6" s="1"/>
  <c r="DK275" i="6" s="1"/>
  <c r="EH261" i="6"/>
  <c r="ES261" i="6" s="1"/>
  <c r="EX261" i="6" s="1"/>
  <c r="FG261" i="6" s="1"/>
  <c r="EH270" i="6"/>
  <c r="ES270" i="6" s="1"/>
  <c r="EH254" i="6"/>
  <c r="ES254" i="6" s="1"/>
  <c r="EH247" i="6"/>
  <c r="ES247" i="6" s="1"/>
  <c r="EH252" i="6"/>
  <c r="ES252" i="6" s="1"/>
  <c r="EH228" i="6"/>
  <c r="BS228" i="6" s="1"/>
  <c r="EH200" i="6"/>
  <c r="ES200" i="6" s="1"/>
  <c r="EH188" i="6"/>
  <c r="ES188" i="6" s="1"/>
  <c r="EH227" i="6"/>
  <c r="ES227" i="6" s="1"/>
  <c r="BS164" i="6"/>
  <c r="EH184" i="6"/>
  <c r="BS184" i="6" s="1"/>
  <c r="ES184" i="6" s="1"/>
  <c r="EH116" i="6"/>
  <c r="EH106" i="6"/>
  <c r="BS106" i="6" s="1"/>
  <c r="ES106" i="6" s="1"/>
  <c r="EH144" i="6"/>
  <c r="ES144" i="6" s="1"/>
  <c r="EH119" i="6"/>
  <c r="ES119" i="6" s="1"/>
  <c r="EX119" i="6" s="1"/>
  <c r="FG119" i="6" s="1"/>
  <c r="EH107" i="6"/>
  <c r="ES107" i="6" s="1"/>
  <c r="EH169" i="6"/>
  <c r="ES169" i="6" s="1"/>
  <c r="EH182" i="6"/>
  <c r="BS182" i="6" s="1"/>
  <c r="ES182" i="6" s="1"/>
  <c r="EH230" i="6"/>
  <c r="ES230" i="6" s="1"/>
  <c r="EH232" i="6"/>
  <c r="ES232" i="6" s="1"/>
  <c r="EH271" i="6"/>
  <c r="ES271" i="6" s="1"/>
  <c r="EH174" i="6"/>
  <c r="ES174" i="6" s="1"/>
  <c r="EX174" i="6" s="1"/>
  <c r="FG174" i="6" s="1"/>
  <c r="Q926" i="17" s="1"/>
  <c r="EH192" i="6"/>
  <c r="ES192" i="6" s="1"/>
  <c r="EH156" i="6"/>
  <c r="ES156" i="6" s="1"/>
  <c r="EH167" i="6"/>
  <c r="ES167" i="6" s="1"/>
  <c r="EH308" i="6"/>
  <c r="ES308" i="6" s="1"/>
  <c r="EH180" i="6"/>
  <c r="ES180" i="6" s="1"/>
  <c r="EH234" i="6"/>
  <c r="BS234" i="6" s="1"/>
  <c r="ES234" i="6" s="1"/>
  <c r="EH273" i="6"/>
  <c r="ES273" i="6" s="1"/>
  <c r="EH259" i="6"/>
  <c r="ES259" i="6" s="1"/>
  <c r="EX259" i="6" s="1"/>
  <c r="FF259" i="6" s="1"/>
  <c r="FG259" i="6" s="1"/>
  <c r="EH108" i="6"/>
  <c r="ES108" i="6" s="1"/>
  <c r="EH171" i="6"/>
  <c r="ES171" i="6" s="1"/>
  <c r="EH163" i="6"/>
  <c r="EH235" i="6"/>
  <c r="ES235" i="6" s="1"/>
  <c r="EH268" i="6"/>
  <c r="ES268" i="6" s="1"/>
  <c r="EH260" i="6"/>
  <c r="ES260" i="6" s="1"/>
  <c r="EX260" i="6" s="1"/>
  <c r="FF260" i="6" s="1"/>
  <c r="FG260" i="6" s="1"/>
  <c r="EH281" i="6"/>
  <c r="EH122" i="6"/>
  <c r="ES122" i="6" s="1"/>
  <c r="EX122" i="6" s="1"/>
  <c r="FG122" i="6" s="1"/>
  <c r="Q245" i="23" s="1"/>
  <c r="EH154" i="6"/>
  <c r="ES154" i="6" s="1"/>
  <c r="EH158" i="6"/>
  <c r="ES158" i="6" s="1"/>
  <c r="EH115" i="6"/>
  <c r="ES115" i="6" s="1"/>
  <c r="EX115" i="6" s="1"/>
  <c r="FG115" i="6" s="1"/>
  <c r="EH155" i="6"/>
  <c r="ES155" i="6" s="1"/>
  <c r="EH181" i="6"/>
  <c r="ES181" i="6" s="1"/>
  <c r="EH229" i="6"/>
  <c r="BS229" i="6" s="1"/>
  <c r="EH110" i="6"/>
  <c r="ES110" i="6" s="1"/>
  <c r="EH147" i="6"/>
  <c r="ES147" i="6" s="1"/>
  <c r="EH183" i="6"/>
  <c r="ES183" i="6" s="1"/>
  <c r="EH264" i="6"/>
  <c r="ES264" i="6" s="1"/>
  <c r="EH121" i="6"/>
  <c r="ES121" i="6" s="1"/>
  <c r="EX121" i="6" s="1"/>
  <c r="FG121" i="6" s="1"/>
  <c r="EH117" i="6"/>
  <c r="ES117" i="6" s="1"/>
  <c r="EX117" i="6" s="1"/>
  <c r="FG117" i="6" s="1"/>
  <c r="Q248" i="23" s="1"/>
  <c r="EH170" i="6"/>
  <c r="EH160" i="6"/>
  <c r="ES160" i="6" s="1"/>
  <c r="EH187" i="6"/>
  <c r="ES187" i="6" s="1"/>
  <c r="EH202" i="6"/>
  <c r="ES202" i="6" s="1"/>
  <c r="EH120" i="6"/>
  <c r="ES120" i="6" s="1"/>
  <c r="EX120" i="6" s="1"/>
  <c r="FG120" i="6" s="1"/>
  <c r="EH258" i="6"/>
  <c r="ES258" i="6" s="1"/>
  <c r="EH267" i="6"/>
  <c r="ES267" i="6" s="1"/>
  <c r="EH109" i="6"/>
  <c r="ES109" i="6" s="1"/>
  <c r="EH118" i="6"/>
  <c r="EH179" i="6"/>
  <c r="BS179" i="6" s="1"/>
  <c r="EH233" i="6"/>
  <c r="ES233" i="6" s="1"/>
  <c r="EH265" i="6"/>
  <c r="ES265" i="6" s="1"/>
  <c r="EH272" i="6"/>
  <c r="ES272" i="6" s="1"/>
  <c r="EH255" i="6"/>
  <c r="ES255" i="6" s="1"/>
  <c r="EH262" i="6"/>
  <c r="ES262" i="6" s="1"/>
  <c r="EX262" i="6" s="1"/>
  <c r="FG262" i="6" s="1"/>
  <c r="EH248" i="6"/>
  <c r="ES248" i="6" s="1"/>
  <c r="EH274" i="6"/>
  <c r="ES274" i="6" s="1"/>
  <c r="EX274" i="6" s="1"/>
  <c r="FG274" i="6" s="1"/>
  <c r="DK274" i="6" s="1"/>
  <c r="EH250" i="6"/>
  <c r="ES250" i="6" s="1"/>
  <c r="EH162" i="6"/>
  <c r="EH164" i="6"/>
  <c r="ES164" i="6" s="1"/>
  <c r="EH178" i="6"/>
  <c r="EH196" i="6"/>
  <c r="ES196" i="6" s="1"/>
  <c r="EX196" i="6" s="1"/>
  <c r="FG196" i="6" s="1"/>
  <c r="EH269" i="6"/>
  <c r="ES269" i="6" s="1"/>
  <c r="EH201" i="6"/>
  <c r="BS201" i="6" s="1"/>
  <c r="EH203" i="6"/>
  <c r="ES203" i="6" s="1"/>
  <c r="EH172" i="6"/>
  <c r="ES172" i="6" s="1"/>
  <c r="EH186" i="6"/>
  <c r="ES186" i="6" s="1"/>
  <c r="EH173" i="6"/>
  <c r="ES173" i="6" s="1"/>
  <c r="EH280" i="6"/>
  <c r="EH231" i="6"/>
  <c r="EH307" i="6"/>
  <c r="BS307" i="6" s="1"/>
  <c r="EH263" i="6"/>
  <c r="ES263" i="6" s="1"/>
  <c r="EX263" i="6" s="1"/>
  <c r="EH145" i="6"/>
  <c r="ES145" i="6" s="1"/>
  <c r="I116" i="13"/>
  <c r="I113" i="13" s="1"/>
  <c r="EI271" i="6"/>
  <c r="ET271" i="6" s="1"/>
  <c r="EI273" i="6"/>
  <c r="ET273" i="6" s="1"/>
  <c r="EI247" i="6"/>
  <c r="ET247" i="6" s="1"/>
  <c r="EI234" i="6"/>
  <c r="EI203" i="6"/>
  <c r="ET203" i="6" s="1"/>
  <c r="EI232" i="6"/>
  <c r="ET232" i="6" s="1"/>
  <c r="EI230" i="6"/>
  <c r="ET230" i="6" s="1"/>
  <c r="EI162" i="6"/>
  <c r="BT164" i="6"/>
  <c r="EI183" i="6"/>
  <c r="ET183" i="6" s="1"/>
  <c r="EI170" i="6"/>
  <c r="ET170" i="6" s="1"/>
  <c r="EI163" i="6"/>
  <c r="ET163" i="6" s="1"/>
  <c r="EI182" i="6"/>
  <c r="EI108" i="6"/>
  <c r="ET108" i="6" s="1"/>
  <c r="EI145" i="6"/>
  <c r="ET145" i="6" s="1"/>
  <c r="EI155" i="6"/>
  <c r="ET155" i="6" s="1"/>
  <c r="EI109" i="6"/>
  <c r="ET109" i="6" s="1"/>
  <c r="EI154" i="6"/>
  <c r="ET154" i="6" s="1"/>
  <c r="EI164" i="6"/>
  <c r="EI233" i="6"/>
  <c r="ET233" i="6" s="1"/>
  <c r="EI268" i="6"/>
  <c r="ET268" i="6" s="1"/>
  <c r="EI255" i="6"/>
  <c r="ET255" i="6" s="1"/>
  <c r="EI269" i="6"/>
  <c r="ET269" i="6" s="1"/>
  <c r="EI110" i="6"/>
  <c r="ET110" i="6" s="1"/>
  <c r="EI181" i="6"/>
  <c r="ET181" i="6" s="1"/>
  <c r="EI200" i="6"/>
  <c r="ET200" i="6" s="1"/>
  <c r="EI171" i="6"/>
  <c r="ET171" i="6" s="1"/>
  <c r="EI227" i="6"/>
  <c r="ET227" i="6" s="1"/>
  <c r="EI180" i="6"/>
  <c r="ET180" i="6" s="1"/>
  <c r="EI254" i="6"/>
  <c r="ET254" i="6" s="1"/>
  <c r="EI156" i="6"/>
  <c r="ET156" i="6" s="1"/>
  <c r="EI228" i="6"/>
  <c r="BT228" i="6" s="1"/>
  <c r="ET228" i="6" s="1"/>
  <c r="EI235" i="6"/>
  <c r="ET235" i="6" s="1"/>
  <c r="EI173" i="6"/>
  <c r="ET173" i="6" s="1"/>
  <c r="EI160" i="6"/>
  <c r="ET160" i="6" s="1"/>
  <c r="EI270" i="6"/>
  <c r="ET270" i="6" s="1"/>
  <c r="EI258" i="6"/>
  <c r="ET258" i="6" s="1"/>
  <c r="EI106" i="6"/>
  <c r="EI147" i="6"/>
  <c r="ET147" i="6" s="1"/>
  <c r="EI201" i="6"/>
  <c r="EI229" i="6"/>
  <c r="BT229" i="6" s="1"/>
  <c r="ET229" i="6" s="1"/>
  <c r="EI202" i="6"/>
  <c r="ET202" i="6" s="1"/>
  <c r="EI231" i="6"/>
  <c r="EI144" i="6"/>
  <c r="ET144" i="6" s="1"/>
  <c r="EI172" i="6"/>
  <c r="ET172" i="6" s="1"/>
  <c r="EI187" i="6"/>
  <c r="ET187" i="6" s="1"/>
  <c r="EI188" i="6"/>
  <c r="ET188" i="6" s="1"/>
  <c r="EI184" i="6"/>
  <c r="EI272" i="6"/>
  <c r="ET272" i="6" s="1"/>
  <c r="EI248" i="6"/>
  <c r="ET248" i="6" s="1"/>
  <c r="EI107" i="6"/>
  <c r="ET107" i="6" s="1"/>
  <c r="EI178" i="6"/>
  <c r="BT178" i="6" s="1"/>
  <c r="ET178" i="6" s="1"/>
  <c r="EI250" i="6"/>
  <c r="ET250" i="6" s="1"/>
  <c r="EI264" i="6"/>
  <c r="ET264" i="6" s="1"/>
  <c r="EI167" i="6"/>
  <c r="ET167" i="6" s="1"/>
  <c r="EI266" i="6"/>
  <c r="ET266" i="6" s="1"/>
  <c r="EI179" i="6"/>
  <c r="BT179" i="6" s="1"/>
  <c r="ET179" i="6" s="1"/>
  <c r="EI252" i="6"/>
  <c r="ET252" i="6" s="1"/>
  <c r="EI267" i="6"/>
  <c r="ET267" i="6" s="1"/>
  <c r="EI169" i="6"/>
  <c r="ET169" i="6" s="1"/>
  <c r="EI308" i="6"/>
  <c r="ET308" i="6" s="1"/>
  <c r="EI186" i="6"/>
  <c r="ET186" i="6" s="1"/>
  <c r="EI158" i="6"/>
  <c r="ET158" i="6" s="1"/>
  <c r="EI192" i="6"/>
  <c r="ET192" i="6" s="1"/>
  <c r="EI265" i="6"/>
  <c r="ET265" i="6" s="1"/>
  <c r="EI307" i="6"/>
  <c r="L282" i="6"/>
  <c r="I282" i="6"/>
  <c r="G282" i="6"/>
  <c r="H282" i="6"/>
  <c r="BT305" i="6"/>
  <c r="ET305" i="6" s="1"/>
  <c r="DW32" i="6"/>
  <c r="ED32" i="6" s="1"/>
  <c r="ED31" i="6"/>
  <c r="EH237" i="6"/>
  <c r="ES237" i="6" s="1"/>
  <c r="EH240" i="6"/>
  <c r="ES240" i="6" s="1"/>
  <c r="EH194" i="6"/>
  <c r="ES194" i="6" s="1"/>
  <c r="EH71" i="6"/>
  <c r="EH83" i="6"/>
  <c r="ES83" i="6" s="1"/>
  <c r="EH17" i="6"/>
  <c r="ES17" i="6" s="1"/>
  <c r="EH72" i="6"/>
  <c r="ES72" i="6" s="1"/>
  <c r="EH84" i="6"/>
  <c r="BS84" i="6" s="1"/>
  <c r="EH16" i="6"/>
  <c r="ES16" i="6" s="1"/>
  <c r="EH241" i="6"/>
  <c r="ES241" i="6" s="1"/>
  <c r="EH239" i="6"/>
  <c r="ES239" i="6" s="1"/>
  <c r="EH85" i="6"/>
  <c r="ES85" i="6" s="1"/>
  <c r="EH18" i="6"/>
  <c r="ES18" i="6" s="1"/>
  <c r="EH249" i="6"/>
  <c r="ES249" i="6" s="1"/>
  <c r="EH302" i="6"/>
  <c r="ES302" i="6" s="1"/>
  <c r="EH161" i="6"/>
  <c r="ES161" i="6" s="1"/>
  <c r="EH159" i="6"/>
  <c r="ES159" i="6" s="1"/>
  <c r="EH299" i="6"/>
  <c r="ES299" i="6" s="1"/>
  <c r="EH303" i="6"/>
  <c r="EH304" i="6"/>
  <c r="ES304" i="6" s="1"/>
  <c r="EH300" i="6"/>
  <c r="ES300" i="6" s="1"/>
  <c r="EH305" i="6"/>
  <c r="EH19" i="6"/>
  <c r="ES19" i="6" s="1"/>
  <c r="EH191" i="6"/>
  <c r="ES191" i="6" s="1"/>
  <c r="EH190" i="6"/>
  <c r="ES190" i="6" s="1"/>
  <c r="EH238" i="6"/>
  <c r="EH306" i="6"/>
  <c r="EH193" i="6"/>
  <c r="ES193" i="6" s="1"/>
  <c r="EH236" i="6"/>
  <c r="ES236" i="6" s="1"/>
  <c r="EH257" i="6"/>
  <c r="ES257" i="6" s="1"/>
  <c r="EX257" i="6" s="1"/>
  <c r="FG257" i="6" s="1"/>
  <c r="EH175" i="6"/>
  <c r="EH301" i="6"/>
  <c r="ES301" i="6" s="1"/>
  <c r="EH253" i="6"/>
  <c r="ES253" i="6" s="1"/>
  <c r="EH256" i="6"/>
  <c r="ES256" i="6" s="1"/>
  <c r="EH82" i="6"/>
  <c r="BT82" i="6"/>
  <c r="BT303" i="6"/>
  <c r="ET303" i="6" s="1"/>
  <c r="ED300" i="6"/>
  <c r="ED278" i="6"/>
  <c r="ED256" i="6"/>
  <c r="ED245" i="6"/>
  <c r="ED229" i="6"/>
  <c r="ED222" i="6"/>
  <c r="ED193" i="6"/>
  <c r="ED189" i="6"/>
  <c r="L878" i="17" s="1"/>
  <c r="AD878" i="17" s="1"/>
  <c r="ED203" i="6"/>
  <c r="ED145" i="6"/>
  <c r="ED161" i="6"/>
  <c r="ED153" i="6"/>
  <c r="ED104" i="6"/>
  <c r="ED124" i="6"/>
  <c r="L903" i="17" s="1"/>
  <c r="ED50" i="6"/>
  <c r="ED45" i="6"/>
  <c r="ED19" i="6"/>
  <c r="ED290" i="6"/>
  <c r="ED262" i="6"/>
  <c r="ED254" i="6"/>
  <c r="ED240" i="6"/>
  <c r="ED261" i="6"/>
  <c r="ED221" i="6"/>
  <c r="ED238" i="6"/>
  <c r="ED234" i="6"/>
  <c r="L866" i="22" s="1"/>
  <c r="ED241" i="6"/>
  <c r="L791" i="17" s="1"/>
  <c r="ED171" i="6"/>
  <c r="L367" i="23" s="1"/>
  <c r="AD367" i="23" s="1"/>
  <c r="ED151" i="6"/>
  <c r="L299" i="23" s="1"/>
  <c r="ED143" i="6"/>
  <c r="L463" i="17" s="1"/>
  <c r="ED128" i="6"/>
  <c r="ED110" i="6"/>
  <c r="ED28" i="6"/>
  <c r="ED56" i="6"/>
  <c r="ED302" i="6"/>
  <c r="ED297" i="6"/>
  <c r="ED304" i="6"/>
  <c r="ED237" i="6"/>
  <c r="L807" i="17" s="1"/>
  <c r="AD807" i="17" s="1"/>
  <c r="ED244" i="6"/>
  <c r="ED246" i="6"/>
  <c r="ED224" i="6"/>
  <c r="L779" i="17" s="1"/>
  <c r="AD779" i="17" s="1"/>
  <c r="ED227" i="6"/>
  <c r="ED201" i="6"/>
  <c r="ED149" i="6"/>
  <c r="ED144" i="6"/>
  <c r="ED83" i="6"/>
  <c r="ED106" i="6"/>
  <c r="ED24" i="6"/>
  <c r="ED48" i="6"/>
  <c r="ED286" i="6"/>
  <c r="ED298" i="6"/>
  <c r="ED289" i="6"/>
  <c r="ED275" i="6"/>
  <c r="ED230" i="6"/>
  <c r="ED235" i="6"/>
  <c r="L348" i="23" s="1"/>
  <c r="ED225" i="6"/>
  <c r="ED223" i="6"/>
  <c r="ED202" i="6"/>
  <c r="ED204" i="6"/>
  <c r="ED159" i="6"/>
  <c r="L915" i="17" s="1"/>
  <c r="AD915" i="17" s="1"/>
  <c r="ED147" i="6"/>
  <c r="ED108" i="6"/>
  <c r="ED69" i="6"/>
  <c r="ED22" i="6"/>
  <c r="L874" i="17" s="1"/>
  <c r="ED60" i="6"/>
  <c r="ED88" i="6"/>
  <c r="L93" i="23" s="1"/>
  <c r="ED280" i="6"/>
  <c r="ED291" i="6"/>
  <c r="ED255" i="6"/>
  <c r="ED303" i="6"/>
  <c r="ED242" i="6"/>
  <c r="ED243" i="6"/>
  <c r="ED199" i="6"/>
  <c r="ED183" i="6"/>
  <c r="ED170" i="6"/>
  <c r="L359" i="23" s="1"/>
  <c r="AD359" i="23" s="1"/>
  <c r="ED135" i="6"/>
  <c r="ED139" i="6"/>
  <c r="ED127" i="6"/>
  <c r="L775" i="22" s="1"/>
  <c r="ED100" i="6"/>
  <c r="ED64" i="6"/>
  <c r="ED71" i="6"/>
  <c r="ED43" i="6"/>
  <c r="ED47" i="6"/>
  <c r="ED265" i="6"/>
  <c r="ED276" i="6"/>
  <c r="ED285" i="6"/>
  <c r="ED293" i="6"/>
  <c r="L16" i="23" s="1"/>
  <c r="ED236" i="6"/>
  <c r="ED239" i="6"/>
  <c r="L795" i="17" s="1"/>
  <c r="ED210" i="6"/>
  <c r="ED228" i="6"/>
  <c r="ED182" i="6"/>
  <c r="L838" i="22" s="1"/>
  <c r="ED163" i="6"/>
  <c r="ED132" i="6"/>
  <c r="ED200" i="6"/>
  <c r="ED117" i="6"/>
  <c r="L248" i="23" s="1"/>
  <c r="ED62" i="6"/>
  <c r="ED29" i="6"/>
  <c r="ED258" i="6"/>
  <c r="L932" i="17" s="1"/>
  <c r="ED269" i="6"/>
  <c r="L523" i="17" s="1"/>
  <c r="AD523" i="17" s="1"/>
  <c r="ED271" i="6"/>
  <c r="ED284" i="6"/>
  <c r="ED232" i="6"/>
  <c r="ED233" i="6"/>
  <c r="ED208" i="6"/>
  <c r="ED212" i="6"/>
  <c r="ED180" i="6"/>
  <c r="L369" i="23" s="1"/>
  <c r="AD369" i="23" s="1"/>
  <c r="ED185" i="6"/>
  <c r="L783" i="22" s="1"/>
  <c r="AD783" i="22" s="1"/>
  <c r="ED162" i="6"/>
  <c r="L358" i="23" s="1"/>
  <c r="ED166" i="6"/>
  <c r="L824" i="22" s="1"/>
  <c r="AD824" i="22" s="1"/>
  <c r="ED112" i="6"/>
  <c r="ED120" i="6"/>
  <c r="ED58" i="6"/>
  <c r="ED21" i="6"/>
  <c r="ED301" i="6"/>
  <c r="ED299" i="6"/>
  <c r="ED257" i="6"/>
  <c r="ED273" i="6"/>
  <c r="L381" i="22" s="1"/>
  <c r="ED231" i="6"/>
  <c r="L322" i="23" s="1"/>
  <c r="ED226" i="6"/>
  <c r="L777" i="17" s="1"/>
  <c r="ED198" i="6"/>
  <c r="L780" i="22" s="1"/>
  <c r="AD780" i="22" s="1"/>
  <c r="ED209" i="6"/>
  <c r="L539" i="22" s="1"/>
  <c r="ED211" i="6"/>
  <c r="ED157" i="6"/>
  <c r="ED175" i="6"/>
  <c r="ED155" i="6"/>
  <c r="L923" i="17" s="1"/>
  <c r="ED141" i="6"/>
  <c r="ED92" i="6"/>
  <c r="ED41" i="6"/>
  <c r="ED54" i="6"/>
  <c r="ED18" i="6"/>
  <c r="ED57" i="6"/>
  <c r="ED142" i="6"/>
  <c r="ED59" i="6"/>
  <c r="ED152" i="6"/>
  <c r="ED281" i="6"/>
  <c r="ED98" i="6"/>
  <c r="L106" i="23" s="1"/>
  <c r="ED207" i="6"/>
  <c r="L930" i="17" s="1"/>
  <c r="AD930" i="17" s="1"/>
  <c r="ED68" i="6"/>
  <c r="ED140" i="6"/>
  <c r="ED295" i="6"/>
  <c r="ED107" i="6"/>
  <c r="L356" i="22" s="1"/>
  <c r="ED272" i="6"/>
  <c r="L534" i="17" s="1"/>
  <c r="ED126" i="6"/>
  <c r="ED116" i="6"/>
  <c r="ED197" i="6"/>
  <c r="L825" i="22" s="1"/>
  <c r="AD825" i="22" s="1"/>
  <c r="ED274" i="6"/>
  <c r="ED66" i="6"/>
  <c r="ED138" i="6"/>
  <c r="L143" i="23" s="1"/>
  <c r="ED250" i="6"/>
  <c r="ED119" i="6"/>
  <c r="ED150" i="6"/>
  <c r="L909" i="17" s="1"/>
  <c r="AD909" i="17" s="1"/>
  <c r="ED270" i="6"/>
  <c r="L528" i="17" s="1"/>
  <c r="ED91" i="6"/>
  <c r="ED218" i="6"/>
  <c r="ED46" i="6"/>
  <c r="ED173" i="6"/>
  <c r="L829" i="22" s="1"/>
  <c r="AD829" i="22" s="1"/>
  <c r="ED123" i="6"/>
  <c r="L876" i="17" s="1"/>
  <c r="ED115" i="6"/>
  <c r="ED194" i="6"/>
  <c r="ED251" i="6"/>
  <c r="ED93" i="6"/>
  <c r="ED267" i="6"/>
  <c r="ED148" i="6"/>
  <c r="ED288" i="6"/>
  <c r="ED130" i="6"/>
  <c r="ED169" i="6"/>
  <c r="L921" i="17" s="1"/>
  <c r="AD921" i="17" s="1"/>
  <c r="ED268" i="6"/>
  <c r="ED63" i="6"/>
  <c r="ED97" i="6"/>
  <c r="ED89" i="6"/>
  <c r="ED165" i="6"/>
  <c r="L360" i="23" s="1"/>
  <c r="AD360" i="23" s="1"/>
  <c r="ED26" i="6"/>
  <c r="ED296" i="6"/>
  <c r="ED114" i="6"/>
  <c r="L186" i="23" s="1"/>
  <c r="ED186" i="6"/>
  <c r="ED61" i="6"/>
  <c r="ED181" i="6"/>
  <c r="L370" i="23" s="1"/>
  <c r="ED263" i="6"/>
  <c r="ED122" i="6"/>
  <c r="ED287" i="6"/>
  <c r="ED27" i="6"/>
  <c r="ED266" i="6"/>
  <c r="L527" i="17" s="1"/>
  <c r="ED85" i="6"/>
  <c r="L417" i="17" s="1"/>
  <c r="ED206" i="6"/>
  <c r="ED95" i="6"/>
  <c r="ED308" i="6"/>
  <c r="ED129" i="6"/>
  <c r="ED176" i="6"/>
  <c r="L834" i="22" s="1"/>
  <c r="ED44" i="6"/>
  <c r="ED249" i="6"/>
  <c r="ED307" i="6"/>
  <c r="ED51" i="6"/>
  <c r="L199" i="17" s="1"/>
  <c r="ED134" i="6"/>
  <c r="ED252" i="6"/>
  <c r="ED82" i="6"/>
  <c r="ED174" i="6"/>
  <c r="L926" i="17" s="1"/>
  <c r="ED264" i="6"/>
  <c r="ED136" i="6"/>
  <c r="L157" i="23" s="1"/>
  <c r="ED67" i="6"/>
  <c r="ED84" i="6"/>
  <c r="L414" i="17" s="1"/>
  <c r="ED220" i="6"/>
  <c r="ED78" i="6"/>
  <c r="ED167" i="6"/>
  <c r="L836" i="22" s="1"/>
  <c r="AD836" i="22" s="1"/>
  <c r="ED99" i="6"/>
  <c r="ED133" i="6"/>
  <c r="ED53" i="6"/>
  <c r="ED191" i="6"/>
  <c r="ED177" i="6"/>
  <c r="L835" i="22" s="1"/>
  <c r="AD835" i="22" s="1"/>
  <c r="ED260" i="6"/>
  <c r="ED70" i="6"/>
  <c r="ED154" i="6"/>
  <c r="ED282" i="6"/>
  <c r="ED121" i="6"/>
  <c r="ED79" i="6"/>
  <c r="L290" i="22" s="1"/>
  <c r="ED94" i="6"/>
  <c r="ED160" i="6"/>
  <c r="ED101" i="6"/>
  <c r="L302" i="22" s="1"/>
  <c r="ED219" i="6"/>
  <c r="ED49" i="6"/>
  <c r="ED179" i="6"/>
  <c r="L826" i="22" s="1"/>
  <c r="ED309" i="6"/>
  <c r="ED158" i="6"/>
  <c r="L892" i="17" s="1"/>
  <c r="AD892" i="17" s="1"/>
  <c r="ED283" i="6"/>
  <c r="ED65" i="6"/>
  <c r="L295" i="17" s="1"/>
  <c r="ED103" i="6"/>
  <c r="ED105" i="6"/>
  <c r="ED205" i="6"/>
  <c r="ED20" i="6"/>
  <c r="ED184" i="6"/>
  <c r="L353" i="23" s="1"/>
  <c r="ED172" i="6"/>
  <c r="L368" i="23" s="1"/>
  <c r="ED17" i="6"/>
  <c r="ED90" i="6"/>
  <c r="ED292" i="6"/>
  <c r="ED111" i="6"/>
  <c r="ED248" i="6"/>
  <c r="L847" i="22" s="1"/>
  <c r="ED168" i="6"/>
  <c r="L837" i="22" s="1"/>
  <c r="AD837" i="22" s="1"/>
  <c r="ED96" i="6"/>
  <c r="ED190" i="6"/>
  <c r="ED294" i="6"/>
  <c r="ED55" i="6"/>
  <c r="ED156" i="6"/>
  <c r="ED125" i="6"/>
  <c r="L403" i="22" s="1"/>
  <c r="ED72" i="6"/>
  <c r="ED164" i="6"/>
  <c r="ED77" i="6"/>
  <c r="ED188" i="6"/>
  <c r="L839" i="22" s="1"/>
  <c r="ED23" i="6"/>
  <c r="ED131" i="6"/>
  <c r="ED277" i="6"/>
  <c r="ED109" i="6"/>
  <c r="ED259" i="6"/>
  <c r="ED113" i="6"/>
  <c r="ED187" i="6"/>
  <c r="L828" i="22" s="1"/>
  <c r="AD828" i="22" s="1"/>
  <c r="ED118" i="6"/>
  <c r="ED196" i="6"/>
  <c r="ED306" i="6"/>
  <c r="ED137" i="6"/>
  <c r="ED247" i="6"/>
  <c r="L846" i="22" s="1"/>
  <c r="ED253" i="6"/>
  <c r="ED305" i="6"/>
  <c r="ED16" i="6"/>
  <c r="ED192" i="6"/>
  <c r="L785" i="22" s="1"/>
  <c r="AD785" i="22" s="1"/>
  <c r="ED178" i="6"/>
  <c r="L827" i="22" s="1"/>
  <c r="AD827" i="22" s="1"/>
  <c r="EI221" i="6"/>
  <c r="EI218" i="6"/>
  <c r="EI198" i="6"/>
  <c r="EI100" i="6"/>
  <c r="EI242" i="6"/>
  <c r="EI99" i="6"/>
  <c r="EI101" i="6"/>
  <c r="EI245" i="6"/>
  <c r="EI157" i="6"/>
  <c r="EI199" i="6"/>
  <c r="EI243" i="6"/>
  <c r="EI244" i="6"/>
  <c r="EI166" i="6"/>
  <c r="EI189" i="6"/>
  <c r="EI219" i="6"/>
  <c r="EI165" i="6"/>
  <c r="EI220" i="6"/>
  <c r="EI251" i="6"/>
  <c r="EI207" i="6"/>
  <c r="EI206" i="6"/>
  <c r="EI205" i="6"/>
  <c r="EI204" i="6"/>
  <c r="EI246" i="6"/>
  <c r="ED25" i="6"/>
  <c r="L78" i="17" s="1"/>
  <c r="BT238" i="6"/>
  <c r="ET238" i="6" s="1"/>
  <c r="BT71" i="6"/>
  <c r="ET71" i="6" s="1"/>
  <c r="I134" i="13"/>
  <c r="I150" i="13"/>
  <c r="I166" i="13"/>
  <c r="EI197" i="6" s="1"/>
  <c r="I182" i="13"/>
  <c r="I198" i="13"/>
  <c r="I133" i="13"/>
  <c r="I149" i="13"/>
  <c r="I165" i="13"/>
  <c r="I181" i="13"/>
  <c r="I120" i="13"/>
  <c r="I136" i="13"/>
  <c r="I152" i="13"/>
  <c r="EI125" i="6" s="1"/>
  <c r="ET125" i="6" s="1"/>
  <c r="I168" i="13"/>
  <c r="I184" i="13"/>
  <c r="I119" i="13"/>
  <c r="I135" i="13"/>
  <c r="I151" i="13"/>
  <c r="I167" i="13"/>
  <c r="I183" i="13"/>
  <c r="I122" i="13"/>
  <c r="I138" i="13"/>
  <c r="I154" i="13"/>
  <c r="I170" i="13"/>
  <c r="I186" i="13"/>
  <c r="I121" i="13"/>
  <c r="I137" i="13"/>
  <c r="I153" i="13"/>
  <c r="I169" i="13"/>
  <c r="I185" i="13"/>
  <c r="I124" i="13"/>
  <c r="I140" i="13"/>
  <c r="I156" i="13"/>
  <c r="I172" i="13"/>
  <c r="I188" i="13"/>
  <c r="I123" i="13"/>
  <c r="I139" i="13"/>
  <c r="I155" i="13"/>
  <c r="I171" i="13"/>
  <c r="I187" i="13"/>
  <c r="I126" i="13"/>
  <c r="I142" i="13"/>
  <c r="I158" i="13"/>
  <c r="I174" i="13"/>
  <c r="I190" i="13"/>
  <c r="I125" i="13"/>
  <c r="I141" i="13"/>
  <c r="I157" i="13"/>
  <c r="I173" i="13"/>
  <c r="I189" i="13"/>
  <c r="I128" i="13"/>
  <c r="I144" i="13"/>
  <c r="I160" i="13"/>
  <c r="I176" i="13"/>
  <c r="I192" i="13"/>
  <c r="I127" i="13"/>
  <c r="I143" i="13"/>
  <c r="I159" i="13"/>
  <c r="I175" i="13"/>
  <c r="I191" i="13"/>
  <c r="I197" i="13"/>
  <c r="I130" i="13"/>
  <c r="I146" i="13"/>
  <c r="I162" i="13"/>
  <c r="I178" i="13"/>
  <c r="I194" i="13"/>
  <c r="I129" i="13"/>
  <c r="I145" i="13"/>
  <c r="I161" i="13"/>
  <c r="I177" i="13"/>
  <c r="I193" i="13"/>
  <c r="I132" i="13"/>
  <c r="I148" i="13"/>
  <c r="I164" i="13"/>
  <c r="I180" i="13"/>
  <c r="I196" i="13"/>
  <c r="I131" i="13"/>
  <c r="I147" i="13"/>
  <c r="I163" i="13"/>
  <c r="I179" i="13"/>
  <c r="I195" i="13"/>
  <c r="H164" i="13"/>
  <c r="H120" i="13"/>
  <c r="H128" i="13"/>
  <c r="H192" i="13"/>
  <c r="H187" i="13"/>
  <c r="H171" i="13"/>
  <c r="H155" i="13"/>
  <c r="H139" i="13"/>
  <c r="H123" i="13"/>
  <c r="H198" i="13"/>
  <c r="H158" i="13"/>
  <c r="H146" i="13"/>
  <c r="H134" i="13"/>
  <c r="H156" i="13"/>
  <c r="H186" i="13"/>
  <c r="H185" i="13"/>
  <c r="H169" i="13"/>
  <c r="H153" i="13"/>
  <c r="H137" i="13"/>
  <c r="H121" i="13"/>
  <c r="H184" i="13"/>
  <c r="H162" i="13"/>
  <c r="H148" i="13"/>
  <c r="H160" i="13"/>
  <c r="H182" i="13"/>
  <c r="H183" i="13"/>
  <c r="H167" i="13"/>
  <c r="H151" i="13"/>
  <c r="H135" i="13"/>
  <c r="H119" i="13"/>
  <c r="H180" i="13"/>
  <c r="H122" i="13"/>
  <c r="H138" i="13"/>
  <c r="H196" i="13"/>
  <c r="H197" i="13"/>
  <c r="H181" i="13"/>
  <c r="H165" i="13"/>
  <c r="H149" i="13"/>
  <c r="H133" i="13"/>
  <c r="H194" i="13"/>
  <c r="H172" i="13"/>
  <c r="H126" i="13"/>
  <c r="H124" i="13"/>
  <c r="H190" i="13"/>
  <c r="H195" i="13"/>
  <c r="H179" i="13"/>
  <c r="H163" i="13"/>
  <c r="H147" i="13"/>
  <c r="H131" i="13"/>
  <c r="H188" i="13"/>
  <c r="H140" i="13"/>
  <c r="H150" i="13"/>
  <c r="H152" i="13"/>
  <c r="EH125" i="6" s="1"/>
  <c r="ES125" i="6" s="1"/>
  <c r="H178" i="13"/>
  <c r="H193" i="13"/>
  <c r="H177" i="13"/>
  <c r="H161" i="13"/>
  <c r="H145" i="13"/>
  <c r="H129" i="13"/>
  <c r="H174" i="13"/>
  <c r="H144" i="13"/>
  <c r="H154" i="13"/>
  <c r="H170" i="13"/>
  <c r="H191" i="13"/>
  <c r="H175" i="13"/>
  <c r="H159" i="13"/>
  <c r="H143" i="13"/>
  <c r="H127" i="13"/>
  <c r="H168" i="13"/>
  <c r="H130" i="13"/>
  <c r="H132" i="13"/>
  <c r="H166" i="13"/>
  <c r="EH197" i="6" s="1"/>
  <c r="ES197" i="6" s="1"/>
  <c r="H189" i="13"/>
  <c r="H173" i="13"/>
  <c r="H157" i="13"/>
  <c r="H141" i="13"/>
  <c r="H125" i="13"/>
  <c r="H176" i="13"/>
  <c r="H136" i="13"/>
  <c r="H142" i="13"/>
  <c r="AY9" i="6"/>
  <c r="AX9" i="6"/>
  <c r="EH8" i="6"/>
  <c r="ET5" i="6"/>
  <c r="ET6" i="6"/>
  <c r="L571" i="17" l="1"/>
  <c r="L466" i="22"/>
  <c r="L573" i="17"/>
  <c r="L574" i="17"/>
  <c r="L572" i="17"/>
  <c r="L570" i="17"/>
  <c r="L234" i="22"/>
  <c r="L218" i="22"/>
  <c r="L214" i="22"/>
  <c r="L233" i="22"/>
  <c r="L219" i="22"/>
  <c r="L210" i="22"/>
  <c r="L260" i="17"/>
  <c r="L41" i="23"/>
  <c r="L212" i="22"/>
  <c r="L36" i="23"/>
  <c r="L43" i="23"/>
  <c r="L261" i="17"/>
  <c r="L37" i="23"/>
  <c r="L44" i="23"/>
  <c r="L39" i="23"/>
  <c r="L209" i="22"/>
  <c r="L211" i="22"/>
  <c r="L259" i="17"/>
  <c r="L263" i="17"/>
  <c r="L535" i="22"/>
  <c r="L522" i="22"/>
  <c r="L538" i="22"/>
  <c r="L519" i="22"/>
  <c r="L530" i="22"/>
  <c r="L620" i="17"/>
  <c r="L613" i="17"/>
  <c r="L515" i="22"/>
  <c r="L514" i="22"/>
  <c r="L523" i="22"/>
  <c r="L605" i="17"/>
  <c r="L531" i="22"/>
  <c r="L621" i="17"/>
  <c r="L626" i="17"/>
  <c r="L618" i="17"/>
  <c r="L610" i="17"/>
  <c r="L843" i="22"/>
  <c r="L512" i="22"/>
  <c r="L525" i="22"/>
  <c r="L536" i="22"/>
  <c r="L528" i="22"/>
  <c r="L517" i="22"/>
  <c r="L608" i="17"/>
  <c r="L625" i="17"/>
  <c r="L527" i="22"/>
  <c r="L520" i="22"/>
  <c r="L619" i="17"/>
  <c r="L624" i="17"/>
  <c r="L604" i="17"/>
  <c r="L803" i="22"/>
  <c r="L615" i="17"/>
  <c r="L617" i="17"/>
  <c r="L616" i="17"/>
  <c r="L606" i="17"/>
  <c r="L611" i="17"/>
  <c r="L612" i="17"/>
  <c r="L609" i="17"/>
  <c r="L607" i="17"/>
  <c r="L910" i="17"/>
  <c r="L622" i="17"/>
  <c r="L614" i="17"/>
  <c r="L623" i="17"/>
  <c r="L627" i="17"/>
  <c r="L526" i="22"/>
  <c r="L533" i="22"/>
  <c r="L529" i="22"/>
  <c r="L537" i="22"/>
  <c r="L518" i="22"/>
  <c r="L516" i="22"/>
  <c r="L524" i="22"/>
  <c r="L513" i="22"/>
  <c r="L521" i="22"/>
  <c r="L534" i="22"/>
  <c r="L532" i="22"/>
  <c r="L714" i="22"/>
  <c r="L718" i="22"/>
  <c r="L206" i="22"/>
  <c r="L256" i="17"/>
  <c r="L27" i="23"/>
  <c r="L208" i="22"/>
  <c r="L32" i="23"/>
  <c r="L30" i="23"/>
  <c r="L31" i="23"/>
  <c r="L28" i="23"/>
  <c r="L205" i="22"/>
  <c r="L207" i="22"/>
  <c r="L257" i="17"/>
  <c r="L258" i="17"/>
  <c r="L34" i="23"/>
  <c r="L26" i="23"/>
  <c r="L204" i="22"/>
  <c r="L29" i="23"/>
  <c r="L33" i="23"/>
  <c r="L255" i="17"/>
  <c r="L387" i="17"/>
  <c r="L304" i="22"/>
  <c r="L386" i="17"/>
  <c r="L80" i="23"/>
  <c r="L87" i="23"/>
  <c r="L88" i="23"/>
  <c r="L82" i="23"/>
  <c r="L79" i="23"/>
  <c r="L388" i="17"/>
  <c r="L303" i="22"/>
  <c r="L389" i="17"/>
  <c r="L363" i="23"/>
  <c r="AD363" i="23" s="1"/>
  <c r="L354" i="23"/>
  <c r="AD354" i="23" s="1"/>
  <c r="L916" i="17"/>
  <c r="AD916" i="17" s="1"/>
  <c r="L890" i="17"/>
  <c r="AD890" i="17" s="1"/>
  <c r="L917" i="17"/>
  <c r="AD917" i="17" s="1"/>
  <c r="L891" i="17"/>
  <c r="AD891" i="17" s="1"/>
  <c r="L261" i="22"/>
  <c r="L257" i="22"/>
  <c r="L259" i="22"/>
  <c r="L260" i="22"/>
  <c r="L255" i="22"/>
  <c r="L296" i="17"/>
  <c r="L256" i="22"/>
  <c r="L263" i="22"/>
  <c r="L48" i="23"/>
  <c r="L855" i="22"/>
  <c r="L857" i="22"/>
  <c r="L856" i="22"/>
  <c r="L854" i="22"/>
  <c r="L247" i="23"/>
  <c r="L407" i="22"/>
  <c r="L408" i="22"/>
  <c r="L246" i="23"/>
  <c r="L541" i="17"/>
  <c r="L540" i="17"/>
  <c r="L103" i="22"/>
  <c r="L111" i="22"/>
  <c r="L107" i="22"/>
  <c r="L147" i="17"/>
  <c r="L153" i="17"/>
  <c r="L158" i="17"/>
  <c r="L105" i="22"/>
  <c r="L108" i="22"/>
  <c r="L106" i="22"/>
  <c r="L151" i="17"/>
  <c r="L114" i="22"/>
  <c r="L772" i="22"/>
  <c r="L146" i="17"/>
  <c r="L109" i="22"/>
  <c r="L104" i="22"/>
  <c r="L159" i="17"/>
  <c r="L154" i="17"/>
  <c r="L157" i="17"/>
  <c r="L150" i="17"/>
  <c r="L155" i="17"/>
  <c r="L112" i="22"/>
  <c r="L113" i="22"/>
  <c r="L110" i="22"/>
  <c r="L148" i="17"/>
  <c r="L160" i="17"/>
  <c r="L156" i="17"/>
  <c r="L149" i="17"/>
  <c r="L152" i="17"/>
  <c r="L546" i="22"/>
  <c r="L552" i="22"/>
  <c r="L637" i="17"/>
  <c r="L551" i="22"/>
  <c r="L553" i="22"/>
  <c r="L547" i="22"/>
  <c r="L543" i="22"/>
  <c r="L632" i="17"/>
  <c r="L634" i="17"/>
  <c r="L548" i="22"/>
  <c r="L642" i="17"/>
  <c r="L555" i="22"/>
  <c r="L545" i="22"/>
  <c r="L544" i="22"/>
  <c r="L542" i="22"/>
  <c r="L554" i="22"/>
  <c r="L654" i="17"/>
  <c r="L633" i="17"/>
  <c r="L630" i="17"/>
  <c r="L541" i="22"/>
  <c r="L641" i="17"/>
  <c r="L628" i="17"/>
  <c r="L631" i="17"/>
  <c r="L639" i="17"/>
  <c r="L638" i="17"/>
  <c r="L636" i="17"/>
  <c r="L643" i="17"/>
  <c r="L635" i="17"/>
  <c r="L629" i="17"/>
  <c r="L640" i="17"/>
  <c r="L549" i="22"/>
  <c r="L550" i="22"/>
  <c r="L540" i="22"/>
  <c r="L250" i="22"/>
  <c r="L290" i="17"/>
  <c r="L291" i="17"/>
  <c r="L289" i="17"/>
  <c r="L258" i="22"/>
  <c r="L265" i="22"/>
  <c r="L254" i="22"/>
  <c r="L246" i="22"/>
  <c r="L286" i="17"/>
  <c r="L47" i="23"/>
  <c r="L267" i="22"/>
  <c r="L253" i="22"/>
  <c r="L249" i="22"/>
  <c r="L262" i="22"/>
  <c r="L247" i="22"/>
  <c r="L285" i="17"/>
  <c r="L297" i="17"/>
  <c r="L251" i="22"/>
  <c r="L293" i="17"/>
  <c r="L252" i="22"/>
  <c r="L292" i="17"/>
  <c r="L298" i="17"/>
  <c r="L927" i="17"/>
  <c r="L287" i="17"/>
  <c r="L248" i="22"/>
  <c r="L264" i="22"/>
  <c r="L266" i="22"/>
  <c r="L46" i="23"/>
  <c r="L45" i="23"/>
  <c r="L294" i="17"/>
  <c r="L288" i="17"/>
  <c r="L57" i="23"/>
  <c r="L65" i="23"/>
  <c r="L55" i="23"/>
  <c r="L62" i="23"/>
  <c r="L63" i="23"/>
  <c r="L59" i="23"/>
  <c r="L56" i="23"/>
  <c r="L60" i="23"/>
  <c r="L58" i="23"/>
  <c r="L64" i="23"/>
  <c r="L61" i="23"/>
  <c r="L812" i="22"/>
  <c r="AD812" i="22" s="1"/>
  <c r="L894" i="17"/>
  <c r="AD894" i="17" s="1"/>
  <c r="L895" i="17"/>
  <c r="AD895" i="17" s="1"/>
  <c r="L844" i="22"/>
  <c r="AD844" i="22" s="1"/>
  <c r="L811" i="22"/>
  <c r="AD811" i="22" s="1"/>
  <c r="L885" i="17"/>
  <c r="AD885" i="17" s="1"/>
  <c r="L884" i="17"/>
  <c r="AD884" i="17" s="1"/>
  <c r="L23" i="23"/>
  <c r="L181" i="22"/>
  <c r="L182" i="22"/>
  <c r="L174" i="22"/>
  <c r="L781" i="17"/>
  <c r="L686" i="22"/>
  <c r="L689" i="22"/>
  <c r="L687" i="22"/>
  <c r="L780" i="17"/>
  <c r="L778" i="17"/>
  <c r="L782" i="17"/>
  <c r="L688" i="22"/>
  <c r="L152" i="22"/>
  <c r="L200" i="17"/>
  <c r="L160" i="22"/>
  <c r="L151" i="22"/>
  <c r="L204" i="17"/>
  <c r="L773" i="22"/>
  <c r="L212" i="17"/>
  <c r="L197" i="17"/>
  <c r="L211" i="17"/>
  <c r="L208" i="17"/>
  <c r="L150" i="22"/>
  <c r="L158" i="22"/>
  <c r="L163" i="22"/>
  <c r="L202" i="17"/>
  <c r="L207" i="17"/>
  <c r="L801" i="22"/>
  <c r="L157" i="22"/>
  <c r="L147" i="22"/>
  <c r="L159" i="22"/>
  <c r="L154" i="22"/>
  <c r="L808" i="22"/>
  <c r="L153" i="22"/>
  <c r="L156" i="22"/>
  <c r="L162" i="22"/>
  <c r="L210" i="17"/>
  <c r="L148" i="22"/>
  <c r="L198" i="17"/>
  <c r="L203" i="17"/>
  <c r="L206" i="17"/>
  <c r="L205" i="17"/>
  <c r="L201" i="17"/>
  <c r="L213" i="17"/>
  <c r="L830" i="22"/>
  <c r="L149" i="22"/>
  <c r="L155" i="22"/>
  <c r="L161" i="22"/>
  <c r="L209" i="17"/>
  <c r="L813" i="17"/>
  <c r="L801" i="17"/>
  <c r="L717" i="22"/>
  <c r="L805" i="17"/>
  <c r="L797" i="17"/>
  <c r="L817" i="17"/>
  <c r="L793" i="17"/>
  <c r="L809" i="17"/>
  <c r="L796" i="17"/>
  <c r="L812" i="17"/>
  <c r="L716" i="22"/>
  <c r="L710" i="22"/>
  <c r="L713" i="22"/>
  <c r="L721" i="22"/>
  <c r="L722" i="22"/>
  <c r="L818" i="17"/>
  <c r="L806" i="17"/>
  <c r="L711" i="22"/>
  <c r="L811" i="17"/>
  <c r="L790" i="17"/>
  <c r="L810" i="17"/>
  <c r="L814" i="17"/>
  <c r="L794" i="17"/>
  <c r="L802" i="17"/>
  <c r="L799" i="17"/>
  <c r="L798" i="17"/>
  <c r="L715" i="22"/>
  <c r="L712" i="22"/>
  <c r="L719" i="22"/>
  <c r="L720" i="22"/>
  <c r="L803" i="17"/>
  <c r="L792" i="17"/>
  <c r="L815" i="17"/>
  <c r="L808" i="17"/>
  <c r="L800" i="17"/>
  <c r="L816" i="17"/>
  <c r="L19" i="23"/>
  <c r="L130" i="22"/>
  <c r="L774" i="22"/>
  <c r="L127" i="22"/>
  <c r="L123" i="22"/>
  <c r="L183" i="17"/>
  <c r="L187" i="17"/>
  <c r="L124" i="22"/>
  <c r="L129" i="22"/>
  <c r="L126" i="22"/>
  <c r="L901" i="17"/>
  <c r="L180" i="17"/>
  <c r="L184" i="17"/>
  <c r="L179" i="17"/>
  <c r="L125" i="22"/>
  <c r="L122" i="22"/>
  <c r="L128" i="22"/>
  <c r="L18" i="23"/>
  <c r="L182" i="17"/>
  <c r="L186" i="17"/>
  <c r="L185" i="17"/>
  <c r="L181" i="17"/>
  <c r="L177" i="17"/>
  <c r="L178" i="17"/>
  <c r="L97" i="22"/>
  <c r="L98" i="22"/>
  <c r="L101" i="22"/>
  <c r="L102" i="22"/>
  <c r="L119" i="22"/>
  <c r="L161" i="17"/>
  <c r="L166" i="17"/>
  <c r="L163" i="17"/>
  <c r="L121" i="22"/>
  <c r="L167" i="17"/>
  <c r="L172" i="17"/>
  <c r="L175" i="17"/>
  <c r="L176" i="17"/>
  <c r="L174" i="17"/>
  <c r="L171" i="17"/>
  <c r="L120" i="22"/>
  <c r="L117" i="22"/>
  <c r="L168" i="17"/>
  <c r="L164" i="17"/>
  <c r="L169" i="17"/>
  <c r="L173" i="17"/>
  <c r="L194" i="22"/>
  <c r="L248" i="17"/>
  <c r="L183" i="22"/>
  <c r="L185" i="22"/>
  <c r="L187" i="22"/>
  <c r="L898" i="17"/>
  <c r="L797" i="22"/>
  <c r="L796" i="22"/>
  <c r="L914" i="17"/>
  <c r="L913" i="17"/>
  <c r="L899" i="17"/>
  <c r="L70" i="17"/>
  <c r="L57" i="17"/>
  <c r="L44" i="17"/>
  <c r="L95" i="22"/>
  <c r="L140" i="17"/>
  <c r="L20" i="22"/>
  <c r="AD20" i="22" s="1"/>
  <c r="L31" i="22"/>
  <c r="AD31" i="22" s="1"/>
  <c r="L28" i="22"/>
  <c r="AD28" i="22" s="1"/>
  <c r="L23" i="22"/>
  <c r="AD23" i="22" s="1"/>
  <c r="L26" i="22"/>
  <c r="AD26" i="22" s="1"/>
  <c r="L15" i="22"/>
  <c r="AD15" i="22" s="1"/>
  <c r="L16" i="22"/>
  <c r="AD16" i="22" s="1"/>
  <c r="L24" i="22"/>
  <c r="AD24" i="22" s="1"/>
  <c r="L36" i="22"/>
  <c r="AD36" i="22" s="1"/>
  <c r="L27" i="22"/>
  <c r="AD27" i="22" s="1"/>
  <c r="L9" i="22"/>
  <c r="AD9" i="22" s="1"/>
  <c r="L800" i="22"/>
  <c r="AD800" i="22" s="1"/>
  <c r="L29" i="22"/>
  <c r="AD29" i="22" s="1"/>
  <c r="L10" i="22"/>
  <c r="AD10" i="22" s="1"/>
  <c r="L19" i="22"/>
  <c r="AD19" i="22" s="1"/>
  <c r="L807" i="22"/>
  <c r="AD807" i="22" s="1"/>
  <c r="L35" i="22"/>
  <c r="AD35" i="22" s="1"/>
  <c r="L25" i="22"/>
  <c r="AD25" i="22" s="1"/>
  <c r="L38" i="22"/>
  <c r="AD38" i="22" s="1"/>
  <c r="L840" i="22"/>
  <c r="AD840" i="22" s="1"/>
  <c r="L27" i="17"/>
  <c r="L45" i="17"/>
  <c r="L64" i="17"/>
  <c r="L47" i="17"/>
  <c r="L49" i="17"/>
  <c r="L43" i="17"/>
  <c r="L328" i="22"/>
  <c r="L325" i="22"/>
  <c r="L420" i="17"/>
  <c r="L421" i="17"/>
  <c r="L329" i="22"/>
  <c r="L424" i="17"/>
  <c r="L330" i="22"/>
  <c r="L326" i="22"/>
  <c r="L323" i="22"/>
  <c r="L331" i="22"/>
  <c r="L324" i="22"/>
  <c r="L327" i="22"/>
  <c r="L425" i="17"/>
  <c r="L805" i="22"/>
  <c r="AD805" i="22" s="1"/>
  <c r="L833" i="22"/>
  <c r="AD833" i="22" s="1"/>
  <c r="L306" i="17"/>
  <c r="L307" i="17"/>
  <c r="L308" i="17"/>
  <c r="L304" i="17"/>
  <c r="L511" i="22"/>
  <c r="L311" i="23"/>
  <c r="L503" i="22"/>
  <c r="L506" i="22"/>
  <c r="L602" i="17"/>
  <c r="L315" i="23"/>
  <c r="L316" i="23"/>
  <c r="L509" i="22"/>
  <c r="L313" i="23"/>
  <c r="L504" i="22"/>
  <c r="L601" i="17"/>
  <c r="L502" i="22"/>
  <c r="L508" i="22"/>
  <c r="L510" i="22"/>
  <c r="L505" i="22"/>
  <c r="L820" i="22"/>
  <c r="AD820" i="22" s="1"/>
  <c r="L790" i="22"/>
  <c r="AD790" i="22" s="1"/>
  <c r="L789" i="22"/>
  <c r="AD789" i="22" s="1"/>
  <c r="L821" i="22"/>
  <c r="AD821" i="22" s="1"/>
  <c r="L401" i="22"/>
  <c r="L388" i="22"/>
  <c r="L400" i="22"/>
  <c r="L393" i="22"/>
  <c r="L392" i="22"/>
  <c r="L386" i="22"/>
  <c r="L402" i="22"/>
  <c r="L397" i="22"/>
  <c r="L385" i="22"/>
  <c r="L399" i="22"/>
  <c r="L918" i="17"/>
  <c r="AD918" i="17" s="1"/>
  <c r="L919" i="17"/>
  <c r="AD919" i="17" s="1"/>
  <c r="L120" i="23"/>
  <c r="L115" i="23"/>
  <c r="L114" i="23"/>
  <c r="L107" i="23"/>
  <c r="L119" i="23"/>
  <c r="L122" i="23"/>
  <c r="L121" i="23"/>
  <c r="L117" i="23"/>
  <c r="L123" i="23"/>
  <c r="L108" i="23"/>
  <c r="L112" i="23"/>
  <c r="L124" i="23"/>
  <c r="L110" i="23"/>
  <c r="L109" i="23"/>
  <c r="L810" i="22"/>
  <c r="L118" i="23"/>
  <c r="L111" i="23"/>
  <c r="L116" i="23"/>
  <c r="L113" i="23"/>
  <c r="L334" i="22"/>
  <c r="L394" i="17"/>
  <c r="L405" i="17"/>
  <c r="L396" i="17"/>
  <c r="L393" i="17"/>
  <c r="L397" i="17"/>
  <c r="L407" i="17"/>
  <c r="L405" i="22"/>
  <c r="L244" i="23"/>
  <c r="L404" i="22"/>
  <c r="L243" i="23"/>
  <c r="L535" i="17"/>
  <c r="L536" i="17"/>
  <c r="L725" i="22"/>
  <c r="L821" i="17"/>
  <c r="L726" i="22"/>
  <c r="L733" i="22"/>
  <c r="L825" i="17"/>
  <c r="L729" i="22"/>
  <c r="L728" i="22"/>
  <c r="L820" i="17"/>
  <c r="L828" i="17"/>
  <c r="L727" i="22"/>
  <c r="L731" i="22"/>
  <c r="L732" i="22"/>
  <c r="L734" i="22"/>
  <c r="L724" i="22"/>
  <c r="L830" i="17"/>
  <c r="L827" i="17"/>
  <c r="L823" i="17"/>
  <c r="L829" i="17"/>
  <c r="L819" i="17"/>
  <c r="L826" i="17"/>
  <c r="L822" i="17"/>
  <c r="L730" i="22"/>
  <c r="L736" i="22"/>
  <c r="L735" i="22"/>
  <c r="L723" i="22"/>
  <c r="L737" i="22"/>
  <c r="L739" i="22"/>
  <c r="L738" i="22"/>
  <c r="L832" i="17"/>
  <c r="L824" i="17"/>
  <c r="L831" i="17"/>
  <c r="L847" i="17"/>
  <c r="L855" i="17"/>
  <c r="L749" i="22"/>
  <c r="L839" i="17"/>
  <c r="L846" i="17"/>
  <c r="L857" i="17"/>
  <c r="L740" i="22"/>
  <c r="L742" i="22"/>
  <c r="L853" i="17"/>
  <c r="L837" i="17"/>
  <c r="L852" i="17"/>
  <c r="L744" i="22"/>
  <c r="L844" i="17"/>
  <c r="L843" i="17"/>
  <c r="L835" i="17"/>
  <c r="L787" i="22"/>
  <c r="AD787" i="22" s="1"/>
  <c r="L788" i="22"/>
  <c r="AD788" i="22" s="1"/>
  <c r="L845" i="22"/>
  <c r="AD845" i="22" s="1"/>
  <c r="L822" i="22"/>
  <c r="AD822" i="22" s="1"/>
  <c r="L786" i="22"/>
  <c r="AD786" i="22" s="1"/>
  <c r="L896" i="17"/>
  <c r="AD896" i="17" s="1"/>
  <c r="L897" i="17"/>
  <c r="AD897" i="17" s="1"/>
  <c r="L104" i="17"/>
  <c r="L92" i="17"/>
  <c r="L81" i="17"/>
  <c r="L95" i="17"/>
  <c r="L85" i="17"/>
  <c r="L100" i="17"/>
  <c r="L105" i="17"/>
  <c r="L94" i="17"/>
  <c r="L84" i="17"/>
  <c r="L103" i="17"/>
  <c r="L98" i="17"/>
  <c r="L877" i="17"/>
  <c r="L87" i="17"/>
  <c r="L86" i="17"/>
  <c r="L82" i="17"/>
  <c r="L83" i="17"/>
  <c r="L99" i="17"/>
  <c r="L79" i="17"/>
  <c r="L101" i="17"/>
  <c r="L88" i="17"/>
  <c r="L91" i="17"/>
  <c r="L102" i="17"/>
  <c r="L93" i="17"/>
  <c r="L97" i="17"/>
  <c r="L96" i="17"/>
  <c r="L90" i="17"/>
  <c r="L89" i="17"/>
  <c r="L80" i="17"/>
  <c r="L758" i="22"/>
  <c r="AD758" i="22" s="1"/>
  <c r="L854" i="17"/>
  <c r="AD854" i="17" s="1"/>
  <c r="L860" i="17"/>
  <c r="AD860" i="17" s="1"/>
  <c r="L183" i="23"/>
  <c r="L180" i="23"/>
  <c r="L751" i="17"/>
  <c r="AD751" i="17" s="1"/>
  <c r="L740" i="17"/>
  <c r="AD740" i="17" s="1"/>
  <c r="L735" i="17"/>
  <c r="AD735" i="17" s="1"/>
  <c r="L734" i="17"/>
  <c r="AD734" i="17" s="1"/>
  <c r="L748" i="17"/>
  <c r="AD748" i="17" s="1"/>
  <c r="L666" i="22"/>
  <c r="AD666" i="22" s="1"/>
  <c r="L654" i="22"/>
  <c r="AD654" i="22" s="1"/>
  <c r="L743" i="17"/>
  <c r="AD743" i="17" s="1"/>
  <c r="L738" i="17"/>
  <c r="AD738" i="17" s="1"/>
  <c r="L663" i="22"/>
  <c r="AD663" i="22" s="1"/>
  <c r="L671" i="22"/>
  <c r="AD671" i="22" s="1"/>
  <c r="L655" i="22"/>
  <c r="AD655" i="22" s="1"/>
  <c r="L656" i="22"/>
  <c r="AD656" i="22" s="1"/>
  <c r="L659" i="22"/>
  <c r="AD659" i="22" s="1"/>
  <c r="L752" i="17"/>
  <c r="AD752" i="17" s="1"/>
  <c r="L753" i="17"/>
  <c r="AD753" i="17" s="1"/>
  <c r="L739" i="17"/>
  <c r="AD739" i="17" s="1"/>
  <c r="L741" i="17"/>
  <c r="AD741" i="17" s="1"/>
  <c r="L744" i="17"/>
  <c r="AD744" i="17" s="1"/>
  <c r="L228" i="17"/>
  <c r="L232" i="17"/>
  <c r="L216" i="17"/>
  <c r="L224" i="17"/>
  <c r="L236" i="17"/>
  <c r="L831" i="22"/>
  <c r="L164" i="22"/>
  <c r="L230" i="17"/>
  <c r="L234" i="17"/>
  <c r="L235" i="17"/>
  <c r="L223" i="17"/>
  <c r="L229" i="17"/>
  <c r="L227" i="17"/>
  <c r="L225" i="17"/>
  <c r="L231" i="17"/>
  <c r="L226" i="17"/>
  <c r="L233" i="17"/>
  <c r="L881" i="17"/>
  <c r="AD881" i="17" s="1"/>
  <c r="L882" i="17"/>
  <c r="AD882" i="17" s="1"/>
  <c r="L333" i="22"/>
  <c r="L427" i="17"/>
  <c r="L332" i="22"/>
  <c r="L428" i="17"/>
  <c r="L395" i="17"/>
  <c r="L398" i="17"/>
  <c r="L403" i="17"/>
  <c r="L305" i="22"/>
  <c r="L404" i="17"/>
  <c r="L390" i="17"/>
  <c r="L94" i="23"/>
  <c r="L402" i="17"/>
  <c r="L401" i="17"/>
  <c r="L306" i="22"/>
  <c r="L400" i="17"/>
  <c r="L399" i="17"/>
  <c r="L392" i="17"/>
  <c r="L391" i="17"/>
  <c r="L406" i="17"/>
  <c r="L559" i="22"/>
  <c r="L560" i="22"/>
  <c r="L556" i="22"/>
  <c r="L564" i="22"/>
  <c r="L561" i="22"/>
  <c r="L646" i="17"/>
  <c r="L557" i="22"/>
  <c r="L562" i="22"/>
  <c r="L563" i="22"/>
  <c r="L652" i="17"/>
  <c r="L650" i="17"/>
  <c r="L645" i="17"/>
  <c r="L644" i="17"/>
  <c r="L558" i="22"/>
  <c r="L648" i="17"/>
  <c r="L653" i="17"/>
  <c r="L651" i="17"/>
  <c r="L649" i="17"/>
  <c r="L647" i="17"/>
  <c r="L421" i="22"/>
  <c r="L424" i="22"/>
  <c r="L417" i="22"/>
  <c r="L416" i="22"/>
  <c r="L425" i="22"/>
  <c r="L422" i="22"/>
  <c r="L413" i="22"/>
  <c r="L414" i="22"/>
  <c r="L420" i="22"/>
  <c r="L418" i="22"/>
  <c r="L412" i="22"/>
  <c r="L419" i="22"/>
  <c r="L415" i="22"/>
  <c r="L423" i="22"/>
  <c r="L823" i="22"/>
  <c r="AD823" i="22" s="1"/>
  <c r="L795" i="22"/>
  <c r="AD795" i="22" s="1"/>
  <c r="L804" i="22"/>
  <c r="AD804" i="22" s="1"/>
  <c r="L832" i="22"/>
  <c r="AD832" i="22" s="1"/>
  <c r="L221" i="22"/>
  <c r="L215" i="22"/>
  <c r="L276" i="17"/>
  <c r="L220" i="22"/>
  <c r="L227" i="22"/>
  <c r="L241" i="22"/>
  <c r="L226" i="22"/>
  <c r="L242" i="22"/>
  <c r="L268" i="17"/>
  <c r="L272" i="17"/>
  <c r="L225" i="22"/>
  <c r="L275" i="17"/>
  <c r="L264" i="17"/>
  <c r="L222" i="22"/>
  <c r="L238" i="22"/>
  <c r="L35" i="23"/>
  <c r="L228" i="22"/>
  <c r="L230" i="22"/>
  <c r="L231" i="22"/>
  <c r="L224" i="22"/>
  <c r="L244" i="22"/>
  <c r="L239" i="22"/>
  <c r="L235" i="22"/>
  <c r="L213" i="22"/>
  <c r="L243" i="22"/>
  <c r="L232" i="22"/>
  <c r="L236" i="22"/>
  <c r="L223" i="22"/>
  <c r="L284" i="17"/>
  <c r="L217" i="22"/>
  <c r="L279" i="17"/>
  <c r="L281" i="17"/>
  <c r="L262" i="17"/>
  <c r="L278" i="17"/>
  <c r="L40" i="23"/>
  <c r="L245" i="22"/>
  <c r="L42" i="23"/>
  <c r="L237" i="22"/>
  <c r="L38" i="23"/>
  <c r="L274" i="17"/>
  <c r="L216" i="22"/>
  <c r="L240" i="22"/>
  <c r="L229" i="22"/>
  <c r="L283" i="17"/>
  <c r="L270" i="17"/>
  <c r="L267" i="17"/>
  <c r="L271" i="17"/>
  <c r="L282" i="17"/>
  <c r="L266" i="17"/>
  <c r="L273" i="17"/>
  <c r="L280" i="17"/>
  <c r="L277" i="17"/>
  <c r="L269" i="17"/>
  <c r="L265" i="17"/>
  <c r="L849" i="22"/>
  <c r="L848" i="22"/>
  <c r="L850" i="22"/>
  <c r="L409" i="22"/>
  <c r="L542" i="17"/>
  <c r="L410" i="22"/>
  <c r="L411" i="22"/>
  <c r="L426" i="22"/>
  <c r="L436" i="22"/>
  <c r="L432" i="22"/>
  <c r="L437" i="22"/>
  <c r="L440" i="22"/>
  <c r="L438" i="22"/>
  <c r="L431" i="22"/>
  <c r="L430" i="22"/>
  <c r="L427" i="22"/>
  <c r="L429" i="22"/>
  <c r="L428" i="22"/>
  <c r="L439" i="22"/>
  <c r="L433" i="22"/>
  <c r="L435" i="22"/>
  <c r="L434" i="22"/>
  <c r="L308" i="23"/>
  <c r="L463" i="22"/>
  <c r="L306" i="23"/>
  <c r="L465" i="22"/>
  <c r="L448" i="17"/>
  <c r="L440" i="17"/>
  <c r="L452" i="17"/>
  <c r="L443" i="17"/>
  <c r="L456" i="17"/>
  <c r="L454" i="17"/>
  <c r="L442" i="17"/>
  <c r="L904" i="17"/>
  <c r="L435" i="17"/>
  <c r="L453" i="17"/>
  <c r="L436" i="17"/>
  <c r="L439" i="17"/>
  <c r="L446" i="17"/>
  <c r="L455" i="17"/>
  <c r="L449" i="17"/>
  <c r="L437" i="17"/>
  <c r="L459" i="17"/>
  <c r="L438" i="17"/>
  <c r="L217" i="23"/>
  <c r="L213" i="23"/>
  <c r="L221" i="23"/>
  <c r="L372" i="22"/>
  <c r="L205" i="23"/>
  <c r="L373" i="22"/>
  <c r="L368" i="22"/>
  <c r="L369" i="22"/>
  <c r="L206" i="23"/>
  <c r="L218" i="23"/>
  <c r="L214" i="23"/>
  <c r="L220" i="23"/>
  <c r="L216" i="23"/>
  <c r="L219" i="23"/>
  <c r="L209" i="23"/>
  <c r="L211" i="23"/>
  <c r="L208" i="23"/>
  <c r="L215" i="23"/>
  <c r="L212" i="23"/>
  <c r="L371" i="22"/>
  <c r="L366" i="23"/>
  <c r="AD366" i="23" s="1"/>
  <c r="L798" i="22"/>
  <c r="AD798" i="22" s="1"/>
  <c r="L799" i="22"/>
  <c r="AD799" i="22" s="1"/>
  <c r="L371" i="23"/>
  <c r="AD371" i="23" s="1"/>
  <c r="L498" i="22"/>
  <c r="L492" i="22"/>
  <c r="L499" i="22"/>
  <c r="L589" i="17"/>
  <c r="L491" i="22"/>
  <c r="L597" i="17"/>
  <c r="L594" i="17"/>
  <c r="L591" i="17"/>
  <c r="L501" i="22"/>
  <c r="L496" i="22"/>
  <c r="L596" i="17"/>
  <c r="L493" i="22"/>
  <c r="L598" i="17"/>
  <c r="L599" i="17"/>
  <c r="L595" i="17"/>
  <c r="L592" i="17"/>
  <c r="L593" i="17"/>
  <c r="L600" i="17"/>
  <c r="L590" i="17"/>
  <c r="L495" i="22"/>
  <c r="L500" i="22"/>
  <c r="L494" i="22"/>
  <c r="L497" i="22"/>
  <c r="L364" i="17"/>
  <c r="L378" i="17"/>
  <c r="L375" i="17"/>
  <c r="L296" i="22"/>
  <c r="L372" i="17"/>
  <c r="L363" i="17"/>
  <c r="L369" i="17"/>
  <c r="L367" i="17"/>
  <c r="L299" i="22"/>
  <c r="L291" i="22"/>
  <c r="L297" i="22"/>
  <c r="L294" i="22"/>
  <c r="L366" i="17"/>
  <c r="L300" i="22"/>
  <c r="L293" i="22"/>
  <c r="L373" i="17"/>
  <c r="L365" i="17"/>
  <c r="L368" i="17"/>
  <c r="L379" i="17"/>
  <c r="L377" i="17"/>
  <c r="L78" i="23"/>
  <c r="L295" i="22"/>
  <c r="L298" i="22"/>
  <c r="L292" i="22"/>
  <c r="L370" i="17"/>
  <c r="L376" i="17"/>
  <c r="L371" i="17"/>
  <c r="L362" i="17"/>
  <c r="L374" i="17"/>
  <c r="L871" i="17"/>
  <c r="L863" i="17"/>
  <c r="L766" i="22"/>
  <c r="L765" i="22"/>
  <c r="L769" i="22"/>
  <c r="L767" i="22"/>
  <c r="L768" i="22"/>
  <c r="L862" i="17"/>
  <c r="L865" i="17"/>
  <c r="L870" i="17"/>
  <c r="L762" i="22"/>
  <c r="L770" i="22"/>
  <c r="L763" i="22"/>
  <c r="L764" i="22"/>
  <c r="L760" i="22"/>
  <c r="L761" i="22"/>
  <c r="L873" i="17"/>
  <c r="L866" i="17"/>
  <c r="L861" i="17"/>
  <c r="L869" i="17"/>
  <c r="L868" i="17"/>
  <c r="L872" i="17"/>
  <c r="L867" i="17"/>
  <c r="L864" i="17"/>
  <c r="L321" i="17"/>
  <c r="L284" i="22"/>
  <c r="L53" i="23"/>
  <c r="L320" i="17"/>
  <c r="L313" i="17"/>
  <c r="L312" i="17"/>
  <c r="L318" i="17"/>
  <c r="L286" i="22"/>
  <c r="L278" i="22"/>
  <c r="L276" i="22"/>
  <c r="L281" i="22"/>
  <c r="L277" i="22"/>
  <c r="L288" i="22"/>
  <c r="L317" i="17"/>
  <c r="L319" i="17"/>
  <c r="L316" i="17"/>
  <c r="L322" i="17"/>
  <c r="L285" i="22"/>
  <c r="L283" i="22"/>
  <c r="L314" i="17"/>
  <c r="L311" i="17"/>
  <c r="L315" i="17"/>
  <c r="L54" i="23"/>
  <c r="L280" i="22"/>
  <c r="L279" i="22"/>
  <c r="L287" i="22"/>
  <c r="L282" i="22"/>
  <c r="L323" i="17"/>
  <c r="L310" i="17"/>
  <c r="L309" i="17"/>
  <c r="L170" i="23"/>
  <c r="L173" i="23"/>
  <c r="L169" i="23"/>
  <c r="L177" i="23"/>
  <c r="L178" i="23"/>
  <c r="L174" i="23"/>
  <c r="L358" i="22"/>
  <c r="L360" i="22"/>
  <c r="L466" i="17"/>
  <c r="L467" i="17"/>
  <c r="L176" i="23"/>
  <c r="L357" i="22"/>
  <c r="L171" i="23"/>
  <c r="L175" i="23"/>
  <c r="L359" i="22"/>
  <c r="L172" i="23"/>
  <c r="L819" i="22"/>
  <c r="AD819" i="22" s="1"/>
  <c r="L791" i="22"/>
  <c r="AD791" i="22" s="1"/>
  <c r="L816" i="22"/>
  <c r="AD816" i="22" s="1"/>
  <c r="L817" i="22"/>
  <c r="AD817" i="22" s="1"/>
  <c r="L792" i="22"/>
  <c r="AD792" i="22" s="1"/>
  <c r="L818" i="22"/>
  <c r="AD818" i="22" s="1"/>
  <c r="L134" i="23"/>
  <c r="L125" i="23"/>
  <c r="L129" i="23"/>
  <c r="L133" i="23"/>
  <c r="L273" i="23"/>
  <c r="L275" i="23"/>
  <c r="L281" i="23"/>
  <c r="L277" i="23"/>
  <c r="L269" i="23"/>
  <c r="L276" i="23"/>
  <c r="L452" i="22"/>
  <c r="L555" i="17"/>
  <c r="L271" i="23"/>
  <c r="L272" i="23"/>
  <c r="L274" i="23"/>
  <c r="L278" i="23"/>
  <c r="L279" i="23"/>
  <c r="L270" i="23"/>
  <c r="L280" i="23"/>
  <c r="L789" i="17"/>
  <c r="L785" i="17"/>
  <c r="L692" i="22"/>
  <c r="L788" i="17"/>
  <c r="L690" i="22"/>
  <c r="L786" i="17"/>
  <c r="L783" i="17"/>
  <c r="L787" i="17"/>
  <c r="L691" i="22"/>
  <c r="L784" i="17"/>
  <c r="L661" i="22"/>
  <c r="L657" i="22"/>
  <c r="L742" i="17"/>
  <c r="L426" i="17"/>
  <c r="L423" i="17"/>
  <c r="L422" i="17"/>
  <c r="L42" i="22"/>
  <c r="L11" i="22"/>
  <c r="L18" i="22"/>
  <c r="AD18" i="22" s="1"/>
  <c r="L40" i="22"/>
  <c r="AD40" i="22" s="1"/>
  <c r="L32" i="22"/>
  <c r="AD32" i="22" s="1"/>
  <c r="L771" i="22"/>
  <c r="AD771" i="22" s="1"/>
  <c r="L21" i="22"/>
  <c r="AD21" i="22" s="1"/>
  <c r="L13" i="22"/>
  <c r="AD13" i="22" s="1"/>
  <c r="L12" i="22"/>
  <c r="AD12" i="22" s="1"/>
  <c r="L33" i="22"/>
  <c r="AD33" i="22" s="1"/>
  <c r="L34" i="22"/>
  <c r="AD34" i="22" s="1"/>
  <c r="L17" i="22"/>
  <c r="AD17" i="22" s="1"/>
  <c r="L22" i="22"/>
  <c r="AD22" i="22" s="1"/>
  <c r="L14" i="22"/>
  <c r="AD14" i="22" s="1"/>
  <c r="L41" i="22"/>
  <c r="AD41" i="22" s="1"/>
  <c r="L39" i="22"/>
  <c r="AD39" i="22" s="1"/>
  <c r="L30" i="22"/>
  <c r="AD30" i="22" s="1"/>
  <c r="L337" i="17"/>
  <c r="L359" i="17"/>
  <c r="L336" i="17"/>
  <c r="L344" i="17"/>
  <c r="L343" i="17"/>
  <c r="L352" i="17"/>
  <c r="L360" i="17"/>
  <c r="L347" i="17"/>
  <c r="L361" i="17"/>
  <c r="L341" i="17"/>
  <c r="L350" i="17"/>
  <c r="L356" i="17"/>
  <c r="L342" i="17"/>
  <c r="L358" i="17"/>
  <c r="L355" i="17"/>
  <c r="L351" i="17"/>
  <c r="L339" i="17"/>
  <c r="L353" i="17"/>
  <c r="L346" i="17"/>
  <c r="L357" i="17"/>
  <c r="L354" i="17"/>
  <c r="L340" i="17"/>
  <c r="L348" i="17"/>
  <c r="L345" i="17"/>
  <c r="L338" i="17"/>
  <c r="L349" i="17"/>
  <c r="L538" i="17"/>
  <c r="L539" i="17"/>
  <c r="L158" i="23"/>
  <c r="L354" i="22"/>
  <c r="L154" i="23"/>
  <c r="L352" i="22"/>
  <c r="L165" i="23"/>
  <c r="L347" i="22"/>
  <c r="L155" i="23"/>
  <c r="L161" i="23"/>
  <c r="L353" i="22"/>
  <c r="L349" i="22"/>
  <c r="L355" i="22"/>
  <c r="L156" i="23"/>
  <c r="L163" i="23"/>
  <c r="L351" i="22"/>
  <c r="L159" i="23"/>
  <c r="L160" i="23"/>
  <c r="L167" i="23"/>
  <c r="L350" i="22"/>
  <c r="L164" i="23"/>
  <c r="L168" i="23"/>
  <c r="L346" i="22"/>
  <c r="L526" i="17"/>
  <c r="L524" i="17"/>
  <c r="L118" i="22"/>
  <c r="L17" i="23"/>
  <c r="L115" i="22"/>
  <c r="L116" i="22"/>
  <c r="L162" i="17"/>
  <c r="L165" i="17"/>
  <c r="L170" i="17"/>
  <c r="L140" i="23"/>
  <c r="L341" i="22"/>
  <c r="L340" i="22"/>
  <c r="L345" i="22"/>
  <c r="L135" i="23"/>
  <c r="L141" i="23"/>
  <c r="L146" i="23"/>
  <c r="L149" i="23"/>
  <c r="L153" i="23"/>
  <c r="L142" i="23"/>
  <c r="L352" i="23"/>
  <c r="L139" i="23"/>
  <c r="L138" i="23"/>
  <c r="L136" i="23"/>
  <c r="L336" i="22"/>
  <c r="L342" i="22"/>
  <c r="L344" i="22"/>
  <c r="L431" i="17"/>
  <c r="L145" i="23"/>
  <c r="L137" i="23"/>
  <c r="L152" i="23"/>
  <c r="L151" i="23"/>
  <c r="L337" i="22"/>
  <c r="L339" i="22"/>
  <c r="L144" i="23"/>
  <c r="L147" i="23"/>
  <c r="L148" i="23"/>
  <c r="L338" i="22"/>
  <c r="L429" i="17"/>
  <c r="L430" i="17"/>
  <c r="L432" i="17"/>
  <c r="L851" i="22"/>
  <c r="L852" i="22"/>
  <c r="L853" i="22"/>
  <c r="L168" i="22"/>
  <c r="L166" i="22"/>
  <c r="L176" i="22"/>
  <c r="L22" i="23"/>
  <c r="L172" i="22"/>
  <c r="L180" i="22"/>
  <c r="L171" i="22"/>
  <c r="L179" i="22"/>
  <c r="L246" i="17"/>
  <c r="L178" i="22"/>
  <c r="L170" i="22"/>
  <c r="L245" i="17"/>
  <c r="L173" i="22"/>
  <c r="L165" i="22"/>
  <c r="L169" i="22"/>
  <c r="L175" i="22"/>
  <c r="L21" i="23"/>
  <c r="L177" i="22"/>
  <c r="L167" i="22"/>
  <c r="L150" i="23"/>
  <c r="L343" i="22"/>
  <c r="L692" i="17"/>
  <c r="L906" i="17"/>
  <c r="L635" i="22"/>
  <c r="L688" i="17"/>
  <c r="L905" i="17"/>
  <c r="L705" i="17"/>
  <c r="L365" i="22"/>
  <c r="L185" i="23"/>
  <c r="L362" i="22"/>
  <c r="L364" i="22"/>
  <c r="L470" i="17"/>
  <c r="L472" i="17"/>
  <c r="L181" i="23"/>
  <c r="L367" i="22"/>
  <c r="L469" i="17"/>
  <c r="L473" i="17"/>
  <c r="L363" i="22"/>
  <c r="L182" i="23"/>
  <c r="L184" i="23"/>
  <c r="L471" i="17"/>
  <c r="L694" i="22"/>
  <c r="AD694" i="22" s="1"/>
  <c r="L325" i="23"/>
  <c r="AD325" i="23" s="1"/>
  <c r="L103" i="23"/>
  <c r="L321" i="22"/>
  <c r="L98" i="23"/>
  <c r="L317" i="22"/>
  <c r="L419" i="17"/>
  <c r="L104" i="23"/>
  <c r="L100" i="23"/>
  <c r="L102" i="23"/>
  <c r="L99" i="23"/>
  <c r="L320" i="22"/>
  <c r="L418" i="17"/>
  <c r="L101" i="23"/>
  <c r="L319" i="22"/>
  <c r="L318" i="22"/>
  <c r="L105" i="23"/>
  <c r="L316" i="22"/>
  <c r="L315" i="22"/>
  <c r="L322" i="22"/>
  <c r="L416" i="17"/>
  <c r="L781" i="22"/>
  <c r="AD781" i="22" s="1"/>
  <c r="L804" i="17"/>
  <c r="AD804" i="17" s="1"/>
  <c r="L908" i="17"/>
  <c r="AD908" i="17" s="1"/>
  <c r="L782" i="22"/>
  <c r="AD782" i="22" s="1"/>
  <c r="L841" i="22"/>
  <c r="AD841" i="22" s="1"/>
  <c r="L842" i="22"/>
  <c r="AD842" i="22" s="1"/>
  <c r="L907" i="17"/>
  <c r="AD907" i="17" s="1"/>
  <c r="L252" i="17"/>
  <c r="L201" i="22"/>
  <c r="L25" i="23"/>
  <c r="L199" i="22"/>
  <c r="L779" i="22"/>
  <c r="L200" i="22"/>
  <c r="L254" i="17"/>
  <c r="L203" i="22"/>
  <c r="L253" i="17"/>
  <c r="L931" i="17"/>
  <c r="L250" i="17"/>
  <c r="L251" i="17"/>
  <c r="L693" i="22"/>
  <c r="L327" i="23"/>
  <c r="L331" i="23"/>
  <c r="L334" i="23"/>
  <c r="L324" i="23"/>
  <c r="L328" i="23"/>
  <c r="L695" i="22"/>
  <c r="L696" i="22"/>
  <c r="L329" i="23"/>
  <c r="L554" i="17"/>
  <c r="L266" i="23"/>
  <c r="L549" i="17"/>
  <c r="L267" i="23"/>
  <c r="L268" i="23"/>
  <c r="L448" i="22"/>
  <c r="L450" i="22"/>
  <c r="L551" i="17"/>
  <c r="L553" i="17"/>
  <c r="L552" i="17"/>
  <c r="L550" i="17"/>
  <c r="L449" i="22"/>
  <c r="L451" i="22"/>
  <c r="L265" i="23"/>
  <c r="L210" i="23"/>
  <c r="L207" i="23"/>
  <c r="L370" i="22"/>
  <c r="L924" i="17"/>
  <c r="L925" i="17"/>
  <c r="L22" i="17"/>
  <c r="L14" i="17"/>
  <c r="L15" i="17"/>
  <c r="L35" i="17"/>
  <c r="L23" i="17"/>
  <c r="L31" i="17"/>
  <c r="L784" i="22"/>
  <c r="L13" i="17"/>
  <c r="L40" i="17"/>
  <c r="L20" i="17"/>
  <c r="L21" i="17"/>
  <c r="L12" i="17"/>
  <c r="L36" i="17"/>
  <c r="L32" i="17"/>
  <c r="L18" i="17"/>
  <c r="L893" i="17"/>
  <c r="L11" i="17"/>
  <c r="L902" i="17"/>
  <c r="L24" i="17"/>
  <c r="L38" i="17"/>
  <c r="L16" i="17"/>
  <c r="L10" i="17"/>
  <c r="L28" i="17"/>
  <c r="L9" i="17"/>
  <c r="L17" i="17"/>
  <c r="L29" i="17"/>
  <c r="L39" i="17"/>
  <c r="L25" i="17"/>
  <c r="L26" i="17"/>
  <c r="L19" i="17"/>
  <c r="L34" i="17"/>
  <c r="L30" i="17"/>
  <c r="L33" i="17"/>
  <c r="L37" i="17"/>
  <c r="L301" i="22"/>
  <c r="L382" i="17"/>
  <c r="L384" i="17"/>
  <c r="L385" i="17"/>
  <c r="L381" i="17"/>
  <c r="L383" i="17"/>
  <c r="L380" i="17"/>
  <c r="L133" i="17"/>
  <c r="L107" i="17"/>
  <c r="L130" i="17"/>
  <c r="L122" i="17"/>
  <c r="L134" i="17"/>
  <c r="L111" i="17"/>
  <c r="L113" i="17"/>
  <c r="L137" i="17"/>
  <c r="L115" i="17"/>
  <c r="L106" i="17"/>
  <c r="L108" i="17"/>
  <c r="L112" i="17"/>
  <c r="L136" i="17"/>
  <c r="L118" i="17"/>
  <c r="L117" i="17"/>
  <c r="L123" i="17"/>
  <c r="L131" i="17"/>
  <c r="L125" i="17"/>
  <c r="L109" i="17"/>
  <c r="L129" i="17"/>
  <c r="L119" i="17"/>
  <c r="L127" i="17"/>
  <c r="L124" i="17"/>
  <c r="L120" i="17"/>
  <c r="L121" i="17"/>
  <c r="L128" i="17"/>
  <c r="L132" i="17"/>
  <c r="L135" i="17"/>
  <c r="L126" i="17"/>
  <c r="L114" i="17"/>
  <c r="L116" i="17"/>
  <c r="L110" i="17"/>
  <c r="L138" i="17"/>
  <c r="L139" i="17"/>
  <c r="L900" i="17"/>
  <c r="L875" i="17"/>
  <c r="L141" i="17"/>
  <c r="L99" i="22"/>
  <c r="L100" i="22"/>
  <c r="L451" i="17"/>
  <c r="L457" i="17"/>
  <c r="L458" i="17"/>
  <c r="L445" i="17"/>
  <c r="L441" i="17"/>
  <c r="L444" i="17"/>
  <c r="L434" i="17"/>
  <c r="L447" i="17"/>
  <c r="L450" i="17"/>
  <c r="L433" i="17"/>
  <c r="L887" i="17"/>
  <c r="L886" i="17"/>
  <c r="L876" i="22"/>
  <c r="L873" i="22"/>
  <c r="L875" i="22"/>
  <c r="L874" i="22"/>
  <c r="L530" i="17"/>
  <c r="L532" i="17"/>
  <c r="L529" i="17"/>
  <c r="L533" i="17"/>
  <c r="L531" i="17"/>
  <c r="L355" i="23"/>
  <c r="AD355" i="23" s="1"/>
  <c r="L806" i="22"/>
  <c r="AD806" i="22" s="1"/>
  <c r="L920" i="17"/>
  <c r="AD920" i="17" s="1"/>
  <c r="L566" i="17"/>
  <c r="L568" i="17"/>
  <c r="L567" i="17"/>
  <c r="L564" i="17"/>
  <c r="L569" i="17"/>
  <c r="L565" i="17"/>
  <c r="L867" i="22"/>
  <c r="L868" i="22"/>
  <c r="L869" i="22"/>
  <c r="L225" i="23"/>
  <c r="L502" i="17"/>
  <c r="L500" i="17"/>
  <c r="L492" i="17"/>
  <c r="L231" i="23"/>
  <c r="L230" i="23"/>
  <c r="L222" i="23"/>
  <c r="L228" i="23"/>
  <c r="L227" i="23"/>
  <c r="L226" i="23"/>
  <c r="L229" i="23"/>
  <c r="L232" i="23"/>
  <c r="L501" i="17"/>
  <c r="L496" i="17"/>
  <c r="L504" i="17"/>
  <c r="L493" i="17"/>
  <c r="L499" i="17"/>
  <c r="L498" i="17"/>
  <c r="L223" i="23"/>
  <c r="L224" i="23"/>
  <c r="L374" i="22"/>
  <c r="L503" i="17"/>
  <c r="L495" i="17"/>
  <c r="L494" i="17"/>
  <c r="L497" i="17"/>
  <c r="L241" i="23"/>
  <c r="L517" i="17"/>
  <c r="L237" i="23"/>
  <c r="L516" i="17"/>
  <c r="L505" i="17"/>
  <c r="L508" i="17"/>
  <c r="L522" i="17"/>
  <c r="L235" i="23"/>
  <c r="L242" i="23"/>
  <c r="L238" i="23"/>
  <c r="L506" i="17"/>
  <c r="L509" i="17"/>
  <c r="L514" i="17"/>
  <c r="L521" i="17"/>
  <c r="L240" i="23"/>
  <c r="L375" i="22"/>
  <c r="L239" i="23"/>
  <c r="L236" i="23"/>
  <c r="L513" i="17"/>
  <c r="L518" i="17"/>
  <c r="L511" i="17"/>
  <c r="L519" i="17"/>
  <c r="L507" i="17"/>
  <c r="L510" i="17"/>
  <c r="L515" i="17"/>
  <c r="L512" i="17"/>
  <c r="L520" i="17"/>
  <c r="L681" i="17"/>
  <c r="L703" i="17"/>
  <c r="L685" i="17"/>
  <c r="L863" i="22"/>
  <c r="L865" i="22"/>
  <c r="L864" i="22"/>
  <c r="L563" i="17"/>
  <c r="L307" i="23"/>
  <c r="L310" i="23"/>
  <c r="L562" i="17"/>
  <c r="L464" i="22"/>
  <c r="L561" i="17"/>
  <c r="L309" i="23"/>
  <c r="L833" i="17"/>
  <c r="AD833" i="17" s="1"/>
  <c r="L757" i="22"/>
  <c r="AD757" i="22" s="1"/>
  <c r="L741" i="22"/>
  <c r="AD741" i="22" s="1"/>
  <c r="L838" i="17"/>
  <c r="AD838" i="17" s="1"/>
  <c r="L750" i="22"/>
  <c r="AD750" i="22" s="1"/>
  <c r="L841" i="17"/>
  <c r="AD841" i="17" s="1"/>
  <c r="L849" i="17"/>
  <c r="AD849" i="17" s="1"/>
  <c r="L748" i="22"/>
  <c r="AD748" i="22" s="1"/>
  <c r="L756" i="22"/>
  <c r="AD756" i="22" s="1"/>
  <c r="L755" i="22"/>
  <c r="AD755" i="22" s="1"/>
  <c r="L759" i="22"/>
  <c r="AD759" i="22" s="1"/>
  <c r="L751" i="22"/>
  <c r="AD751" i="22" s="1"/>
  <c r="L752" i="22"/>
  <c r="AD752" i="22" s="1"/>
  <c r="L753" i="22"/>
  <c r="AD753" i="22" s="1"/>
  <c r="L834" i="17"/>
  <c r="AD834" i="17" s="1"/>
  <c r="L850" i="17"/>
  <c r="AD850" i="17" s="1"/>
  <c r="L858" i="17"/>
  <c r="AD858" i="17" s="1"/>
  <c r="L842" i="17"/>
  <c r="AD842" i="17" s="1"/>
  <c r="L845" i="17"/>
  <c r="AD845" i="17" s="1"/>
  <c r="L743" i="22"/>
  <c r="AD743" i="22" s="1"/>
  <c r="L836" i="17"/>
  <c r="AD836" i="17" s="1"/>
  <c r="L754" i="22"/>
  <c r="AD754" i="22" s="1"/>
  <c r="L848" i="17"/>
  <c r="AD848" i="17" s="1"/>
  <c r="L747" i="22"/>
  <c r="AD747" i="22" s="1"/>
  <c r="L745" i="22"/>
  <c r="AD745" i="22" s="1"/>
  <c r="L746" i="22"/>
  <c r="AD746" i="22" s="1"/>
  <c r="L856" i="17"/>
  <c r="AD856" i="17" s="1"/>
  <c r="L840" i="17"/>
  <c r="AD840" i="17" s="1"/>
  <c r="L851" i="17"/>
  <c r="AD851" i="17" s="1"/>
  <c r="L859" i="17"/>
  <c r="AD859" i="17" s="1"/>
  <c r="L929" i="17"/>
  <c r="AD929" i="17" s="1"/>
  <c r="L362" i="23"/>
  <c r="AD362" i="23" s="1"/>
  <c r="L361" i="23"/>
  <c r="AD361" i="23" s="1"/>
  <c r="L166" i="23"/>
  <c r="L348" i="22"/>
  <c r="L162" i="23"/>
  <c r="L54" i="17"/>
  <c r="L50" i="17"/>
  <c r="L58" i="17"/>
  <c r="L52" i="17"/>
  <c r="L63" i="17"/>
  <c r="L74" i="17"/>
  <c r="L60" i="17"/>
  <c r="L77" i="17"/>
  <c r="L61" i="17"/>
  <c r="L42" i="17"/>
  <c r="L62" i="17"/>
  <c r="L66" i="17"/>
  <c r="L53" i="17"/>
  <c r="L51" i="17"/>
  <c r="L55" i="17"/>
  <c r="L76" i="17"/>
  <c r="L71" i="17"/>
  <c r="L56" i="17"/>
  <c r="L65" i="17"/>
  <c r="L46" i="17"/>
  <c r="L75" i="17"/>
  <c r="L59" i="17"/>
  <c r="L73" i="17"/>
  <c r="L41" i="17"/>
  <c r="L69" i="17"/>
  <c r="L48" i="17"/>
  <c r="L67" i="17"/>
  <c r="L68" i="17"/>
  <c r="L72" i="17"/>
  <c r="L364" i="23"/>
  <c r="AD364" i="23" s="1"/>
  <c r="L365" i="23"/>
  <c r="AD365" i="23" s="1"/>
  <c r="L351" i="23"/>
  <c r="L709" i="22"/>
  <c r="L701" i="22"/>
  <c r="L343" i="23"/>
  <c r="L347" i="23"/>
  <c r="L342" i="23"/>
  <c r="L339" i="23"/>
  <c r="L346" i="23"/>
  <c r="L338" i="23"/>
  <c r="L340" i="23"/>
  <c r="L350" i="23"/>
  <c r="L344" i="23"/>
  <c r="L708" i="22"/>
  <c r="L705" i="22"/>
  <c r="L703" i="22"/>
  <c r="L706" i="22"/>
  <c r="L702" i="22"/>
  <c r="L349" i="23"/>
  <c r="L707" i="22"/>
  <c r="L341" i="23"/>
  <c r="L704" i="22"/>
  <c r="L345" i="23"/>
  <c r="L337" i="23"/>
  <c r="L546" i="17"/>
  <c r="L252" i="23"/>
  <c r="L257" i="23"/>
  <c r="L441" i="22"/>
  <c r="L250" i="23"/>
  <c r="L255" i="23"/>
  <c r="L444" i="22"/>
  <c r="L258" i="23"/>
  <c r="L253" i="23"/>
  <c r="L442" i="22"/>
  <c r="L544" i="17"/>
  <c r="L547" i="17"/>
  <c r="L543" i="17"/>
  <c r="L545" i="17"/>
  <c r="L548" i="17"/>
  <c r="L261" i="23"/>
  <c r="L447" i="22"/>
  <c r="L262" i="23"/>
  <c r="L254" i="23"/>
  <c r="L256" i="23"/>
  <c r="L264" i="23"/>
  <c r="L263" i="23"/>
  <c r="L259" i="23"/>
  <c r="L443" i="22"/>
  <c r="L445" i="22"/>
  <c r="L446" i="22"/>
  <c r="L251" i="23"/>
  <c r="L260" i="23"/>
  <c r="L73" i="23"/>
  <c r="L71" i="23"/>
  <c r="L74" i="23"/>
  <c r="L66" i="23"/>
  <c r="L70" i="23"/>
  <c r="L69" i="23"/>
  <c r="L68" i="23"/>
  <c r="L77" i="23"/>
  <c r="L75" i="23"/>
  <c r="L67" i="23"/>
  <c r="L76" i="23"/>
  <c r="L72" i="23"/>
  <c r="L599" i="22"/>
  <c r="L575" i="22"/>
  <c r="L576" i="22"/>
  <c r="L592" i="22"/>
  <c r="L591" i="22"/>
  <c r="L583" i="22"/>
  <c r="L567" i="22"/>
  <c r="L600" i="22"/>
  <c r="L607" i="22"/>
  <c r="L584" i="22"/>
  <c r="L568" i="22"/>
  <c r="L608" i="22"/>
  <c r="L569" i="22"/>
  <c r="L593" i="22"/>
  <c r="L588" i="22"/>
  <c r="L572" i="22"/>
  <c r="L585" i="22"/>
  <c r="L577" i="22"/>
  <c r="L596" i="22"/>
  <c r="L601" i="22"/>
  <c r="L580" i="22"/>
  <c r="L604" i="22"/>
  <c r="L605" i="22"/>
  <c r="L318" i="23"/>
  <c r="L594" i="22"/>
  <c r="L565" i="22"/>
  <c r="L602" i="22"/>
  <c r="L570" i="22"/>
  <c r="L581" i="22"/>
  <c r="L587" i="22"/>
  <c r="L573" i="22"/>
  <c r="L589" i="22"/>
  <c r="L578" i="22"/>
  <c r="L571" i="22"/>
  <c r="L597" i="22"/>
  <c r="L586" i="22"/>
  <c r="L658" i="17"/>
  <c r="L579" i="22"/>
  <c r="L603" i="22"/>
  <c r="L595" i="22"/>
  <c r="L656" i="17"/>
  <c r="L574" i="22"/>
  <c r="L566" i="22"/>
  <c r="L590" i="22"/>
  <c r="L606" i="22"/>
  <c r="L598" i="22"/>
  <c r="L582" i="22"/>
  <c r="L657" i="17"/>
  <c r="L659" i="17"/>
  <c r="L655" i="17"/>
  <c r="L220" i="17"/>
  <c r="L240" i="17"/>
  <c r="L215" i="17"/>
  <c r="L243" i="17"/>
  <c r="L237" i="17"/>
  <c r="L214" i="17"/>
  <c r="L222" i="17"/>
  <c r="L238" i="17"/>
  <c r="L217" i="17"/>
  <c r="L219" i="17"/>
  <c r="L218" i="17"/>
  <c r="L242" i="17"/>
  <c r="L239" i="17"/>
  <c r="L221" i="17"/>
  <c r="L241" i="17"/>
  <c r="L249" i="23"/>
  <c r="AD249" i="23" s="1"/>
  <c r="L911" i="17"/>
  <c r="AD911" i="17" s="1"/>
  <c r="L883" i="17"/>
  <c r="AD883" i="17" s="1"/>
  <c r="L309" i="22"/>
  <c r="L313" i="22"/>
  <c r="L411" i="17"/>
  <c r="L408" i="17"/>
  <c r="L95" i="23"/>
  <c r="L96" i="23"/>
  <c r="L412" i="17"/>
  <c r="L312" i="22"/>
  <c r="L410" i="17"/>
  <c r="L409" i="17"/>
  <c r="L413" i="17"/>
  <c r="L307" i="22"/>
  <c r="L311" i="22"/>
  <c r="L310" i="22"/>
  <c r="L97" i="23"/>
  <c r="L314" i="22"/>
  <c r="L308" i="22"/>
  <c r="L415" i="17"/>
  <c r="L127" i="23"/>
  <c r="L131" i="23"/>
  <c r="L132" i="23"/>
  <c r="L126" i="23"/>
  <c r="L130" i="23"/>
  <c r="L335" i="22"/>
  <c r="L128" i="23"/>
  <c r="L245" i="23"/>
  <c r="AD245" i="23" s="1"/>
  <c r="L406" i="22"/>
  <c r="L537" i="17"/>
  <c r="L558" i="17"/>
  <c r="L462" i="22"/>
  <c r="L457" i="22"/>
  <c r="L134" i="22"/>
  <c r="L131" i="22"/>
  <c r="L192" i="17"/>
  <c r="L188" i="17"/>
  <c r="L190" i="17"/>
  <c r="L138" i="22"/>
  <c r="L133" i="22"/>
  <c r="L136" i="22"/>
  <c r="L191" i="17"/>
  <c r="L270" i="22"/>
  <c r="L272" i="22"/>
  <c r="L302" i="17"/>
  <c r="L465" i="17"/>
  <c r="L464" i="17"/>
  <c r="L460" i="17"/>
  <c r="L461" i="17"/>
  <c r="L462" i="17"/>
  <c r="L184" i="22"/>
  <c r="L244" i="17"/>
  <c r="L192" i="22"/>
  <c r="L190" i="22"/>
  <c r="L193" i="22"/>
  <c r="L186" i="22"/>
  <c r="L191" i="22"/>
  <c r="L188" i="22"/>
  <c r="L189" i="22"/>
  <c r="L247" i="17"/>
  <c r="L794" i="22"/>
  <c r="AD794" i="22" s="1"/>
  <c r="L793" i="22"/>
  <c r="AD793" i="22" s="1"/>
  <c r="L645" i="22"/>
  <c r="L724" i="17"/>
  <c r="L716" i="17"/>
  <c r="L732" i="17"/>
  <c r="L649" i="22"/>
  <c r="L641" i="22"/>
  <c r="L642" i="22"/>
  <c r="L652" i="22"/>
  <c r="L644" i="22"/>
  <c r="L650" i="22"/>
  <c r="L646" i="22"/>
  <c r="L710" i="17"/>
  <c r="L711" i="17"/>
  <c r="L638" i="22"/>
  <c r="L730" i="17"/>
  <c r="L714" i="17"/>
  <c r="L727" i="17"/>
  <c r="L726" i="17"/>
  <c r="L723" i="17"/>
  <c r="L719" i="17"/>
  <c r="L712" i="17"/>
  <c r="L648" i="22"/>
  <c r="L643" i="22"/>
  <c r="L639" i="22"/>
  <c r="L651" i="22"/>
  <c r="L640" i="22"/>
  <c r="L647" i="22"/>
  <c r="L721" i="17"/>
  <c r="L722" i="17"/>
  <c r="L733" i="17"/>
  <c r="L728" i="17"/>
  <c r="L717" i="17"/>
  <c r="L720" i="17"/>
  <c r="L725" i="17"/>
  <c r="L713" i="17"/>
  <c r="L731" i="17"/>
  <c r="L715" i="17"/>
  <c r="L718" i="17"/>
  <c r="L729" i="17"/>
  <c r="L377" i="22"/>
  <c r="L384" i="22"/>
  <c r="L376" i="22"/>
  <c r="L378" i="22"/>
  <c r="L382" i="22"/>
  <c r="L383" i="22"/>
  <c r="L380" i="22"/>
  <c r="L379" i="22"/>
  <c r="L525" i="17"/>
  <c r="L145" i="17"/>
  <c r="L142" i="17"/>
  <c r="L144" i="17"/>
  <c r="L143" i="17"/>
  <c r="L90" i="22"/>
  <c r="L94" i="22"/>
  <c r="L91" i="22"/>
  <c r="L92" i="22"/>
  <c r="L96" i="22"/>
  <c r="L93" i="22"/>
  <c r="L461" i="22"/>
  <c r="AD461" i="22" s="1"/>
  <c r="L302" i="23"/>
  <c r="AD302" i="23" s="1"/>
  <c r="L304" i="23"/>
  <c r="AD304" i="23" s="1"/>
  <c r="L303" i="23"/>
  <c r="AD303" i="23" s="1"/>
  <c r="L300" i="23"/>
  <c r="AD300" i="23" s="1"/>
  <c r="L460" i="22"/>
  <c r="AD460" i="22" s="1"/>
  <c r="L560" i="17"/>
  <c r="AD560" i="17" s="1"/>
  <c r="L557" i="17"/>
  <c r="AD557" i="17" s="1"/>
  <c r="L559" i="17"/>
  <c r="AD559" i="17" s="1"/>
  <c r="L301" i="23"/>
  <c r="AD301" i="23" s="1"/>
  <c r="L459" i="22"/>
  <c r="AD459" i="22" s="1"/>
  <c r="L305" i="23"/>
  <c r="AD305" i="23" s="1"/>
  <c r="L458" i="22"/>
  <c r="AD458" i="22" s="1"/>
  <c r="L294" i="23"/>
  <c r="L288" i="23"/>
  <c r="L286" i="23"/>
  <c r="L296" i="23"/>
  <c r="L292" i="23"/>
  <c r="L295" i="23"/>
  <c r="L283" i="23"/>
  <c r="L291" i="23"/>
  <c r="L284" i="23"/>
  <c r="L290" i="23"/>
  <c r="L298" i="23"/>
  <c r="L287" i="23"/>
  <c r="L455" i="22"/>
  <c r="L454" i="22"/>
  <c r="L556" i="17"/>
  <c r="L293" i="23"/>
  <c r="L289" i="23"/>
  <c r="L282" i="23"/>
  <c r="L297" i="23"/>
  <c r="L285" i="23"/>
  <c r="L356" i="23"/>
  <c r="AD356" i="23" s="1"/>
  <c r="L357" i="23"/>
  <c r="AD357" i="23" s="1"/>
  <c r="L871" i="22"/>
  <c r="L870" i="22"/>
  <c r="L872" i="22"/>
  <c r="L198" i="22"/>
  <c r="L196" i="22"/>
  <c r="L813" i="22"/>
  <c r="L24" i="23"/>
  <c r="L197" i="22"/>
  <c r="L778" i="22"/>
  <c r="L195" i="22"/>
  <c r="L249" i="17"/>
  <c r="L82" i="22"/>
  <c r="L71" i="22"/>
  <c r="L80" i="22"/>
  <c r="L67" i="22"/>
  <c r="L66" i="22"/>
  <c r="L85" i="22"/>
  <c r="L87" i="22"/>
  <c r="L9" i="23"/>
  <c r="L86" i="22"/>
  <c r="L10" i="23"/>
  <c r="L72" i="22"/>
  <c r="L74" i="22"/>
  <c r="L78" i="22"/>
  <c r="L68" i="22"/>
  <c r="L70" i="22"/>
  <c r="L81" i="22"/>
  <c r="L75" i="22"/>
  <c r="L65" i="22"/>
  <c r="L84" i="22"/>
  <c r="L69" i="22"/>
  <c r="L83" i="22"/>
  <c r="L73" i="22"/>
  <c r="L79" i="22"/>
  <c r="L474" i="22"/>
  <c r="AD474" i="22" s="1"/>
  <c r="L490" i="22"/>
  <c r="AD490" i="22" s="1"/>
  <c r="L482" i="22"/>
  <c r="AD482" i="22" s="1"/>
  <c r="L468" i="22"/>
  <c r="AD468" i="22" s="1"/>
  <c r="L587" i="17"/>
  <c r="AD587" i="17" s="1"/>
  <c r="L579" i="17"/>
  <c r="AD579" i="17" s="1"/>
  <c r="L575" i="17"/>
  <c r="AD575" i="17" s="1"/>
  <c r="L488" i="22"/>
  <c r="AD488" i="22" s="1"/>
  <c r="L472" i="22"/>
  <c r="AD472" i="22" s="1"/>
  <c r="L471" i="22"/>
  <c r="AD471" i="22" s="1"/>
  <c r="L469" i="22"/>
  <c r="AD469" i="22" s="1"/>
  <c r="L480" i="22"/>
  <c r="AD480" i="22" s="1"/>
  <c r="L588" i="17"/>
  <c r="AD588" i="17" s="1"/>
  <c r="L577" i="17"/>
  <c r="AD577" i="17" s="1"/>
  <c r="L476" i="22"/>
  <c r="AD476" i="22" s="1"/>
  <c r="L889" i="17"/>
  <c r="AD889" i="17" s="1"/>
  <c r="L584" i="17"/>
  <c r="AD584" i="17" s="1"/>
  <c r="L576" i="17"/>
  <c r="AD576" i="17" s="1"/>
  <c r="L928" i="17"/>
  <c r="AD928" i="17" s="1"/>
  <c r="L582" i="17"/>
  <c r="AD582" i="17" s="1"/>
  <c r="L912" i="17"/>
  <c r="AD912" i="17" s="1"/>
  <c r="L477" i="22"/>
  <c r="AD477" i="22" s="1"/>
  <c r="L478" i="22"/>
  <c r="AD478" i="22" s="1"/>
  <c r="L580" i="17"/>
  <c r="AD580" i="17" s="1"/>
  <c r="L888" i="17"/>
  <c r="AD888" i="17" s="1"/>
  <c r="L581" i="17"/>
  <c r="AD581" i="17" s="1"/>
  <c r="L585" i="17"/>
  <c r="AD585" i="17" s="1"/>
  <c r="L468" i="17"/>
  <c r="L179" i="23"/>
  <c r="L366" i="22"/>
  <c r="L361" i="22"/>
  <c r="L477" i="17"/>
  <c r="L197" i="23"/>
  <c r="L201" i="23"/>
  <c r="L198" i="23"/>
  <c r="L484" i="17"/>
  <c r="L476" i="17"/>
  <c r="L480" i="17"/>
  <c r="L202" i="23"/>
  <c r="L193" i="23"/>
  <c r="L187" i="23"/>
  <c r="L194" i="23"/>
  <c r="L191" i="23"/>
  <c r="L195" i="23"/>
  <c r="L189" i="23"/>
  <c r="L199" i="23"/>
  <c r="L190" i="23"/>
  <c r="L482" i="17"/>
  <c r="L478" i="17"/>
  <c r="L491" i="17"/>
  <c r="L474" i="17"/>
  <c r="L488" i="17"/>
  <c r="L188" i="23"/>
  <c r="L192" i="23"/>
  <c r="L196" i="23"/>
  <c r="L200" i="23"/>
  <c r="L204" i="23"/>
  <c r="L203" i="23"/>
  <c r="L486" i="17"/>
  <c r="L483" i="17"/>
  <c r="L490" i="17"/>
  <c r="L481" i="17"/>
  <c r="L479" i="17"/>
  <c r="L485" i="17"/>
  <c r="L487" i="17"/>
  <c r="L489" i="17"/>
  <c r="L475" i="17"/>
  <c r="L202" i="22"/>
  <c r="L814" i="22"/>
  <c r="L759" i="17"/>
  <c r="L653" i="22"/>
  <c r="L669" i="22"/>
  <c r="L760" i="17"/>
  <c r="L665" i="22"/>
  <c r="L756" i="17"/>
  <c r="L660" i="22"/>
  <c r="L658" i="22"/>
  <c r="L670" i="22"/>
  <c r="L668" i="22"/>
  <c r="L746" i="17"/>
  <c r="L662" i="22"/>
  <c r="L667" i="22"/>
  <c r="L664" i="22"/>
  <c r="L737" i="17"/>
  <c r="L745" i="17"/>
  <c r="L750" i="17"/>
  <c r="L749" i="17"/>
  <c r="L747" i="17"/>
  <c r="L758" i="17"/>
  <c r="L754" i="17"/>
  <c r="L736" i="17"/>
  <c r="L755" i="17"/>
  <c r="L757" i="17"/>
  <c r="L326" i="17"/>
  <c r="L289" i="22"/>
  <c r="L332" i="17"/>
  <c r="L815" i="22"/>
  <c r="L329" i="17"/>
  <c r="L335" i="17"/>
  <c r="L327" i="17"/>
  <c r="L333" i="17"/>
  <c r="L328" i="17"/>
  <c r="L334" i="17"/>
  <c r="L331" i="17"/>
  <c r="L325" i="17"/>
  <c r="L330" i="17"/>
  <c r="L324" i="17"/>
  <c r="L859" i="22"/>
  <c r="L860" i="22"/>
  <c r="L858" i="22"/>
  <c r="L312" i="23"/>
  <c r="L507" i="22"/>
  <c r="L314" i="23"/>
  <c r="L317" i="23"/>
  <c r="L453" i="22"/>
  <c r="L456" i="22"/>
  <c r="L89" i="23"/>
  <c r="L86" i="23"/>
  <c r="L91" i="23"/>
  <c r="L90" i="23"/>
  <c r="L85" i="23"/>
  <c r="L84" i="23"/>
  <c r="L83" i="23"/>
  <c r="L92" i="23"/>
  <c r="L81" i="23"/>
  <c r="L394" i="22"/>
  <c r="L396" i="22"/>
  <c r="L389" i="22"/>
  <c r="L398" i="22"/>
  <c r="L387" i="22"/>
  <c r="L390" i="22"/>
  <c r="L391" i="22"/>
  <c r="L395" i="22"/>
  <c r="L773" i="17"/>
  <c r="L761" i="17"/>
  <c r="L685" i="22"/>
  <c r="L677" i="22"/>
  <c r="L765" i="17"/>
  <c r="L681" i="22"/>
  <c r="L769" i="17"/>
  <c r="L772" i="17"/>
  <c r="L673" i="22"/>
  <c r="L678" i="22"/>
  <c r="L676" i="22"/>
  <c r="L674" i="22"/>
  <c r="L684" i="22"/>
  <c r="L682" i="22"/>
  <c r="L770" i="17"/>
  <c r="L763" i="17"/>
  <c r="L762" i="17"/>
  <c r="L775" i="17"/>
  <c r="L774" i="17"/>
  <c r="L766" i="17"/>
  <c r="L771" i="17"/>
  <c r="L680" i="22"/>
  <c r="L683" i="22"/>
  <c r="L679" i="22"/>
  <c r="L672" i="22"/>
  <c r="L675" i="22"/>
  <c r="L764" i="17"/>
  <c r="L776" i="17"/>
  <c r="L767" i="17"/>
  <c r="L768" i="17"/>
  <c r="L299" i="17"/>
  <c r="L268" i="22"/>
  <c r="L305" i="17"/>
  <c r="L50" i="23"/>
  <c r="L269" i="22"/>
  <c r="L273" i="22"/>
  <c r="L49" i="23"/>
  <c r="L274" i="22"/>
  <c r="L275" i="22"/>
  <c r="L303" i="17"/>
  <c r="L300" i="17"/>
  <c r="L51" i="23"/>
  <c r="L52" i="23"/>
  <c r="L809" i="22"/>
  <c r="L271" i="22"/>
  <c r="L301" i="17"/>
  <c r="L63" i="22"/>
  <c r="L45" i="22"/>
  <c r="L47" i="22"/>
  <c r="L61" i="22"/>
  <c r="L57" i="22"/>
  <c r="L59" i="22"/>
  <c r="L44" i="22"/>
  <c r="L53" i="22"/>
  <c r="L49" i="22"/>
  <c r="L62" i="22"/>
  <c r="L37" i="22"/>
  <c r="L64" i="22"/>
  <c r="L55" i="22"/>
  <c r="L50" i="22"/>
  <c r="L60" i="22"/>
  <c r="L58" i="22"/>
  <c r="L43" i="22"/>
  <c r="L51" i="22"/>
  <c r="L52" i="22"/>
  <c r="L54" i="22"/>
  <c r="L46" i="22"/>
  <c r="L48" i="22"/>
  <c r="L56" i="22"/>
  <c r="L879" i="17"/>
  <c r="AD879" i="17" s="1"/>
  <c r="L603" i="17"/>
  <c r="AD603" i="17" s="1"/>
  <c r="L880" i="17"/>
  <c r="AD880" i="17" s="1"/>
  <c r="L699" i="17"/>
  <c r="AD699" i="17" s="1"/>
  <c r="L630" i="22"/>
  <c r="AD630" i="22" s="1"/>
  <c r="L922" i="17"/>
  <c r="AD922" i="17" s="1"/>
  <c r="L682" i="17"/>
  <c r="AD682" i="17" s="1"/>
  <c r="L631" i="22"/>
  <c r="AD631" i="22" s="1"/>
  <c r="L323" i="23"/>
  <c r="L335" i="23"/>
  <c r="L326" i="23"/>
  <c r="L330" i="23"/>
  <c r="L332" i="23"/>
  <c r="L336" i="23"/>
  <c r="L698" i="22"/>
  <c r="L697" i="22"/>
  <c r="L700" i="22"/>
  <c r="L333" i="23"/>
  <c r="L699" i="22"/>
  <c r="L143" i="22"/>
  <c r="L189" i="17"/>
  <c r="L135" i="22"/>
  <c r="L142" i="22"/>
  <c r="L20" i="23"/>
  <c r="L139" i="22"/>
  <c r="L137" i="22"/>
  <c r="L140" i="22"/>
  <c r="L132" i="22"/>
  <c r="L194" i="17"/>
  <c r="L193" i="17"/>
  <c r="L195" i="17"/>
  <c r="L141" i="22"/>
  <c r="L144" i="22"/>
  <c r="L196" i="17"/>
  <c r="L669" i="17"/>
  <c r="L616" i="22"/>
  <c r="L660" i="17"/>
  <c r="L617" i="22"/>
  <c r="L615" i="22"/>
  <c r="L612" i="22"/>
  <c r="L609" i="22"/>
  <c r="L677" i="17"/>
  <c r="L673" i="17"/>
  <c r="L668" i="17"/>
  <c r="L661" i="17"/>
  <c r="L611" i="22"/>
  <c r="L619" i="22"/>
  <c r="L621" i="22"/>
  <c r="L620" i="22"/>
  <c r="L613" i="22"/>
  <c r="L663" i="17"/>
  <c r="L664" i="17"/>
  <c r="L676" i="17"/>
  <c r="L662" i="17"/>
  <c r="L674" i="17"/>
  <c r="L666" i="17"/>
  <c r="L614" i="22"/>
  <c r="L671" i="17"/>
  <c r="L610" i="22"/>
  <c r="L622" i="22"/>
  <c r="L670" i="17"/>
  <c r="L618" i="22"/>
  <c r="L675" i="17"/>
  <c r="L665" i="17"/>
  <c r="L667" i="17"/>
  <c r="L672" i="17"/>
  <c r="L145" i="22"/>
  <c r="L146" i="22"/>
  <c r="L487" i="22"/>
  <c r="L483" i="22"/>
  <c r="L481" i="22"/>
  <c r="L489" i="22"/>
  <c r="L484" i="22"/>
  <c r="L583" i="17"/>
  <c r="L470" i="22"/>
  <c r="L479" i="22"/>
  <c r="L486" i="22"/>
  <c r="L485" i="22"/>
  <c r="L473" i="22"/>
  <c r="L475" i="22"/>
  <c r="L467" i="22"/>
  <c r="L586" i="17"/>
  <c r="L578" i="17"/>
  <c r="L695" i="17"/>
  <c r="AD695" i="17" s="1"/>
  <c r="L629" i="22"/>
  <c r="AD629" i="22" s="1"/>
  <c r="L319" i="23"/>
  <c r="AD319" i="23" s="1"/>
  <c r="L684" i="17"/>
  <c r="AD684" i="17" s="1"/>
  <c r="L637" i="22"/>
  <c r="AD637" i="22" s="1"/>
  <c r="L708" i="17"/>
  <c r="AD708" i="17" s="1"/>
  <c r="L623" i="22"/>
  <c r="AD623" i="22" s="1"/>
  <c r="L320" i="23"/>
  <c r="AD320" i="23" s="1"/>
  <c r="L633" i="22"/>
  <c r="AD633" i="22" s="1"/>
  <c r="L700" i="17"/>
  <c r="AD700" i="17" s="1"/>
  <c r="L679" i="17"/>
  <c r="AD679" i="17" s="1"/>
  <c r="L691" i="17"/>
  <c r="AD691" i="17" s="1"/>
  <c r="L321" i="23"/>
  <c r="AD321" i="23" s="1"/>
  <c r="L634" i="22"/>
  <c r="AD634" i="22" s="1"/>
  <c r="L636" i="22"/>
  <c r="AD636" i="22" s="1"/>
  <c r="L627" i="22"/>
  <c r="AD627" i="22" s="1"/>
  <c r="L698" i="17"/>
  <c r="AD698" i="17" s="1"/>
  <c r="L687" i="17"/>
  <c r="AD687" i="17" s="1"/>
  <c r="L625" i="22"/>
  <c r="AD625" i="22" s="1"/>
  <c r="L628" i="22"/>
  <c r="AD628" i="22" s="1"/>
  <c r="L706" i="17"/>
  <c r="AD706" i="17" s="1"/>
  <c r="L694" i="17"/>
  <c r="AD694" i="17" s="1"/>
  <c r="L690" i="17"/>
  <c r="AD690" i="17" s="1"/>
  <c r="L686" i="17"/>
  <c r="AD686" i="17" s="1"/>
  <c r="L624" i="22"/>
  <c r="AD624" i="22" s="1"/>
  <c r="L697" i="17"/>
  <c r="AD697" i="17" s="1"/>
  <c r="L626" i="22"/>
  <c r="AD626" i="22" s="1"/>
  <c r="L632" i="22"/>
  <c r="AD632" i="22" s="1"/>
  <c r="L678" i="17"/>
  <c r="AD678" i="17" s="1"/>
  <c r="L704" i="17"/>
  <c r="AD704" i="17" s="1"/>
  <c r="L702" i="17"/>
  <c r="AD702" i="17" s="1"/>
  <c r="L709" i="17"/>
  <c r="AD709" i="17" s="1"/>
  <c r="L683" i="17"/>
  <c r="AD683" i="17" s="1"/>
  <c r="L707" i="17"/>
  <c r="AD707" i="17" s="1"/>
  <c r="L701" i="17"/>
  <c r="AD701" i="17" s="1"/>
  <c r="L689" i="17"/>
  <c r="AD689" i="17" s="1"/>
  <c r="L696" i="17"/>
  <c r="AD696" i="17" s="1"/>
  <c r="L680" i="17"/>
  <c r="AD680" i="17" s="1"/>
  <c r="L693" i="17"/>
  <c r="AD693" i="17" s="1"/>
  <c r="L14" i="23"/>
  <c r="L15" i="23"/>
  <c r="L11" i="23"/>
  <c r="L13" i="23"/>
  <c r="L12" i="23"/>
  <c r="L233" i="23"/>
  <c r="L234" i="23"/>
  <c r="L802" i="22"/>
  <c r="L776" i="22"/>
  <c r="L777" i="22"/>
  <c r="L861" i="22"/>
  <c r="L862" i="22"/>
  <c r="Q283" i="23"/>
  <c r="Q291" i="23"/>
  <c r="Q286" i="23"/>
  <c r="Q294" i="23"/>
  <c r="Q284" i="23"/>
  <c r="Q292" i="23"/>
  <c r="Q290" i="23"/>
  <c r="Q287" i="23"/>
  <c r="Q298" i="23"/>
  <c r="Q296" i="23"/>
  <c r="Q288" i="23"/>
  <c r="Q295" i="23"/>
  <c r="Q297" i="23"/>
  <c r="Q285" i="23"/>
  <c r="Q293" i="23"/>
  <c r="Q289" i="23"/>
  <c r="Q282" i="23"/>
  <c r="Q243" i="23"/>
  <c r="Q244" i="23"/>
  <c r="Q273" i="23"/>
  <c r="Q275" i="23"/>
  <c r="Q281" i="23"/>
  <c r="Q276" i="23"/>
  <c r="Q269" i="23"/>
  <c r="Q277" i="23"/>
  <c r="Q279" i="23"/>
  <c r="Q270" i="23"/>
  <c r="Q272" i="23"/>
  <c r="Q274" i="23"/>
  <c r="Q280" i="23"/>
  <c r="Q278" i="23"/>
  <c r="Q271" i="23"/>
  <c r="P245" i="23"/>
  <c r="Q252" i="23"/>
  <c r="Q250" i="23"/>
  <c r="Q258" i="23"/>
  <c r="Q257" i="23"/>
  <c r="Q255" i="23"/>
  <c r="Q253" i="23"/>
  <c r="Q260" i="23"/>
  <c r="Q254" i="23"/>
  <c r="Q263" i="23"/>
  <c r="Q256" i="23"/>
  <c r="Q259" i="23"/>
  <c r="Q261" i="23"/>
  <c r="Q262" i="23"/>
  <c r="Q264" i="23"/>
  <c r="Q251" i="23"/>
  <c r="Q266" i="23"/>
  <c r="Q267" i="23"/>
  <c r="Q268" i="23"/>
  <c r="Q265" i="23"/>
  <c r="P248" i="23"/>
  <c r="AD248" i="23"/>
  <c r="Q406" i="22"/>
  <c r="Q452" i="22"/>
  <c r="P452" i="22" s="1"/>
  <c r="Q409" i="22"/>
  <c r="Q410" i="22"/>
  <c r="Q411" i="22"/>
  <c r="Q797" i="22"/>
  <c r="Q796" i="22"/>
  <c r="Q405" i="22"/>
  <c r="Q404" i="22"/>
  <c r="Q426" i="22"/>
  <c r="Q432" i="22"/>
  <c r="Q437" i="22"/>
  <c r="Q436" i="22"/>
  <c r="Q431" i="22"/>
  <c r="Q440" i="22"/>
  <c r="Q438" i="22"/>
  <c r="Q430" i="22"/>
  <c r="Q435" i="22"/>
  <c r="Q439" i="22"/>
  <c r="Q428" i="22"/>
  <c r="Q427" i="22"/>
  <c r="Q429" i="22"/>
  <c r="Q434" i="22"/>
  <c r="Q433" i="22"/>
  <c r="Q441" i="22"/>
  <c r="Q444" i="22"/>
  <c r="Q442" i="22"/>
  <c r="Q443" i="22"/>
  <c r="Q446" i="22"/>
  <c r="Q447" i="22"/>
  <c r="Q445" i="22"/>
  <c r="Q450" i="22"/>
  <c r="Q448" i="22"/>
  <c r="Q451" i="22"/>
  <c r="Q449" i="22"/>
  <c r="Q876" i="22"/>
  <c r="Q873" i="22"/>
  <c r="Q875" i="22"/>
  <c r="Q874" i="22"/>
  <c r="Q454" i="22"/>
  <c r="Q455" i="22"/>
  <c r="Q542" i="17"/>
  <c r="P542" i="17" s="1"/>
  <c r="Q556" i="17"/>
  <c r="P556" i="17" s="1"/>
  <c r="Q537" i="17"/>
  <c r="P537" i="17" s="1"/>
  <c r="Q555" i="17"/>
  <c r="AD555" i="17" s="1"/>
  <c r="P926" i="17"/>
  <c r="AD926" i="17"/>
  <c r="Q554" i="17"/>
  <c r="Q549" i="17"/>
  <c r="Q550" i="17"/>
  <c r="Q551" i="17"/>
  <c r="Q553" i="17"/>
  <c r="Q552" i="17"/>
  <c r="Q546" i="17"/>
  <c r="Q543" i="17"/>
  <c r="Q547" i="17"/>
  <c r="Q545" i="17"/>
  <c r="Q548" i="17"/>
  <c r="Q544" i="17"/>
  <c r="Q538" i="17"/>
  <c r="Q539" i="17"/>
  <c r="Q898" i="17"/>
  <c r="Q914" i="17"/>
  <c r="Q913" i="17"/>
  <c r="Q899" i="17"/>
  <c r="Q535" i="17"/>
  <c r="Q536" i="17"/>
  <c r="DK117" i="6"/>
  <c r="N248" i="23" s="1"/>
  <c r="DK257" i="6"/>
  <c r="DK119" i="6"/>
  <c r="BS162" i="6"/>
  <c r="ES162" i="6" s="1"/>
  <c r="BT162" i="6"/>
  <c r="ET162" i="6" s="1"/>
  <c r="ET197" i="6"/>
  <c r="EX197" i="6" s="1"/>
  <c r="BU197" i="6"/>
  <c r="EU197" i="6" s="1"/>
  <c r="DK262" i="6"/>
  <c r="DK121" i="6"/>
  <c r="DK115" i="6"/>
  <c r="DK196" i="6"/>
  <c r="DK120" i="6"/>
  <c r="DK122" i="6"/>
  <c r="N245" i="23" s="1"/>
  <c r="DK259" i="6"/>
  <c r="DK174" i="6"/>
  <c r="N926" i="17" s="1"/>
  <c r="DK260" i="6"/>
  <c r="EY188" i="6"/>
  <c r="EY156" i="6"/>
  <c r="EY187" i="6"/>
  <c r="ET164" i="6"/>
  <c r="EX164" i="6" s="1"/>
  <c r="EY236" i="6"/>
  <c r="EX236" i="6"/>
  <c r="EX194" i="6"/>
  <c r="EY194" i="6"/>
  <c r="EY203" i="6"/>
  <c r="EX203" i="6"/>
  <c r="EY268" i="6"/>
  <c r="EX268" i="6"/>
  <c r="EX230" i="6"/>
  <c r="EY230" i="6"/>
  <c r="AG246" i="6"/>
  <c r="ET246" i="6" s="1"/>
  <c r="AF246" i="6"/>
  <c r="AA246" i="6" s="1"/>
  <c r="AC246" i="6" s="1"/>
  <c r="BS82" i="6"/>
  <c r="ES82" i="6" s="1"/>
  <c r="BS305" i="6"/>
  <c r="ES305" i="6" s="1"/>
  <c r="EX305" i="6" s="1"/>
  <c r="EX302" i="6"/>
  <c r="EY302" i="6"/>
  <c r="EX16" i="6"/>
  <c r="EY16" i="6"/>
  <c r="EY240" i="6"/>
  <c r="EX240" i="6"/>
  <c r="G281" i="6"/>
  <c r="G280" i="6"/>
  <c r="AD282" i="6"/>
  <c r="P282" i="6"/>
  <c r="CH282" i="6" s="1"/>
  <c r="ES201" i="6"/>
  <c r="EX248" i="6"/>
  <c r="EY248" i="6"/>
  <c r="EX109" i="6"/>
  <c r="EY109" i="6"/>
  <c r="EY155" i="6"/>
  <c r="EX155" i="6"/>
  <c r="EY235" i="6"/>
  <c r="EX235" i="6"/>
  <c r="EY308" i="6"/>
  <c r="EX308" i="6"/>
  <c r="EY254" i="6"/>
  <c r="EX254" i="6"/>
  <c r="EX161" i="6"/>
  <c r="EY161" i="6"/>
  <c r="BS118" i="6"/>
  <c r="EY180" i="6"/>
  <c r="EX180" i="6"/>
  <c r="EY247" i="6"/>
  <c r="EX247" i="6"/>
  <c r="AI101" i="6"/>
  <c r="AF101" i="6"/>
  <c r="AA101" i="6" s="1"/>
  <c r="AC101" i="6" s="1"/>
  <c r="AJ101" i="6"/>
  <c r="EW101" i="6" s="1"/>
  <c r="AG101" i="6"/>
  <c r="ET101" i="6" s="1"/>
  <c r="AI99" i="6"/>
  <c r="AJ99" i="6"/>
  <c r="AG99" i="6"/>
  <c r="ET99" i="6" s="1"/>
  <c r="AF99" i="6"/>
  <c r="AA99" i="6" s="1"/>
  <c r="AG244" i="6"/>
  <c r="ET244" i="6" s="1"/>
  <c r="AF244" i="6"/>
  <c r="AA244" i="6" s="1"/>
  <c r="AC244" i="6" s="1"/>
  <c r="AG221" i="6"/>
  <c r="ET221" i="6" s="1"/>
  <c r="AF221" i="6"/>
  <c r="AA221" i="6" s="1"/>
  <c r="AC221" i="6" s="1"/>
  <c r="AG189" i="6"/>
  <c r="ET189" i="6" s="1"/>
  <c r="AF189" i="6"/>
  <c r="AA189" i="6" s="1"/>
  <c r="AC189" i="6" s="1"/>
  <c r="EX256" i="6"/>
  <c r="EY256" i="6"/>
  <c r="EY193" i="6"/>
  <c r="EX193" i="6"/>
  <c r="EY300" i="6"/>
  <c r="EX300" i="6"/>
  <c r="EX249" i="6"/>
  <c r="EY249" i="6"/>
  <c r="EY237" i="6"/>
  <c r="EX237" i="6"/>
  <c r="AF282" i="6"/>
  <c r="AA282" i="6" s="1"/>
  <c r="I281" i="6"/>
  <c r="AF281" i="6" s="1"/>
  <c r="AA281" i="6" s="1"/>
  <c r="I280" i="6"/>
  <c r="AF280" i="6" s="1"/>
  <c r="AA280" i="6" s="1"/>
  <c r="AC280" i="6" s="1"/>
  <c r="BT182" i="6"/>
  <c r="ES307" i="6"/>
  <c r="EX269" i="6"/>
  <c r="EY269" i="6"/>
  <c r="EX267" i="6"/>
  <c r="EY267" i="6"/>
  <c r="ES163" i="6"/>
  <c r="BU163" i="6"/>
  <c r="EX167" i="6"/>
  <c r="EY167" i="6"/>
  <c r="EX169" i="6"/>
  <c r="EY169" i="6"/>
  <c r="EY270" i="6"/>
  <c r="EX270" i="6"/>
  <c r="AI251" i="6"/>
  <c r="AF251" i="6"/>
  <c r="AA251" i="6" s="1"/>
  <c r="AJ251" i="6"/>
  <c r="EW251" i="6" s="1"/>
  <c r="AG251" i="6"/>
  <c r="ET251" i="6" s="1"/>
  <c r="AI218" i="6"/>
  <c r="AJ218" i="6"/>
  <c r="EW218" i="6" s="1"/>
  <c r="AG218" i="6"/>
  <c r="ET218" i="6" s="1"/>
  <c r="AF218" i="6"/>
  <c r="AA218" i="6" s="1"/>
  <c r="EX253" i="6"/>
  <c r="EY253" i="6"/>
  <c r="BS306" i="6"/>
  <c r="EX18" i="6"/>
  <c r="EY18" i="6"/>
  <c r="ES84" i="6"/>
  <c r="L281" i="6"/>
  <c r="AI281" i="6" s="1"/>
  <c r="AI282" i="6"/>
  <c r="L280" i="6"/>
  <c r="AI280" i="6" s="1"/>
  <c r="BT231" i="6"/>
  <c r="ET231" i="6" s="1"/>
  <c r="BT234" i="6"/>
  <c r="BS231" i="6"/>
  <c r="EX255" i="6"/>
  <c r="EY255" i="6"/>
  <c r="EY258" i="6"/>
  <c r="EX258" i="6"/>
  <c r="EY264" i="6"/>
  <c r="EX264" i="6"/>
  <c r="EY158" i="6"/>
  <c r="EX158" i="6"/>
  <c r="EY171" i="6"/>
  <c r="EX171" i="6"/>
  <c r="EX156" i="6"/>
  <c r="EY107" i="6"/>
  <c r="EX107" i="6"/>
  <c r="EX227" i="6"/>
  <c r="EY227" i="6"/>
  <c r="N263" i="6"/>
  <c r="DK261" i="6"/>
  <c r="EX145" i="6"/>
  <c r="EY145" i="6"/>
  <c r="AG157" i="6"/>
  <c r="ET157" i="6" s="1"/>
  <c r="AF157" i="6"/>
  <c r="AA157" i="6" s="1"/>
  <c r="AC157" i="6" s="1"/>
  <c r="AF166" i="6"/>
  <c r="AA166" i="6" s="1"/>
  <c r="AC166" i="6" s="1"/>
  <c r="AG166" i="6"/>
  <c r="ET166" i="6" s="1"/>
  <c r="AF199" i="6"/>
  <c r="AA199" i="6" s="1"/>
  <c r="AC199" i="6" s="1"/>
  <c r="AG199" i="6"/>
  <c r="ET199" i="6" s="1"/>
  <c r="AI204" i="6"/>
  <c r="AG204" i="6"/>
  <c r="ET204" i="6" s="1"/>
  <c r="AF204" i="6"/>
  <c r="AA204" i="6" s="1"/>
  <c r="AJ204" i="6"/>
  <c r="EW204" i="6" s="1"/>
  <c r="BS238" i="6"/>
  <c r="EY304" i="6"/>
  <c r="EX304" i="6"/>
  <c r="EY85" i="6"/>
  <c r="EX85" i="6"/>
  <c r="EY72" i="6"/>
  <c r="EX72" i="6"/>
  <c r="BT307" i="6"/>
  <c r="ET307" i="6" s="1"/>
  <c r="ES280" i="6"/>
  <c r="BS178" i="6"/>
  <c r="EX272" i="6"/>
  <c r="EY272" i="6"/>
  <c r="EY183" i="6"/>
  <c r="EX183" i="6"/>
  <c r="EX154" i="6"/>
  <c r="EY154" i="6"/>
  <c r="EY108" i="6"/>
  <c r="EX108" i="6"/>
  <c r="EY192" i="6"/>
  <c r="EX192" i="6"/>
  <c r="EX188" i="6"/>
  <c r="H280" i="6"/>
  <c r="AE280" i="6" s="1"/>
  <c r="H281" i="6"/>
  <c r="AE281" i="6" s="1"/>
  <c r="AE282" i="6"/>
  <c r="BT106" i="6"/>
  <c r="ES170" i="6"/>
  <c r="BU170" i="6"/>
  <c r="AF220" i="6"/>
  <c r="AA220" i="6" s="1"/>
  <c r="AC220" i="6" s="1"/>
  <c r="AJ220" i="6"/>
  <c r="EW220" i="6" s="1"/>
  <c r="AG220" i="6"/>
  <c r="ET220" i="6" s="1"/>
  <c r="AI220" i="6"/>
  <c r="AH207" i="6"/>
  <c r="AG207" i="6"/>
  <c r="ET207" i="6" s="1"/>
  <c r="AF207" i="6"/>
  <c r="AA207" i="6" s="1"/>
  <c r="EY301" i="6"/>
  <c r="EX301" i="6"/>
  <c r="BS303" i="6"/>
  <c r="EY239" i="6"/>
  <c r="EX239" i="6"/>
  <c r="EX17" i="6"/>
  <c r="EY17" i="6"/>
  <c r="EY173" i="6"/>
  <c r="EX173" i="6"/>
  <c r="EY265" i="6"/>
  <c r="EX265" i="6"/>
  <c r="EX202" i="6"/>
  <c r="EY202" i="6"/>
  <c r="EX147" i="6"/>
  <c r="EY147" i="6"/>
  <c r="EX144" i="6"/>
  <c r="EY144" i="6"/>
  <c r="EX200" i="6"/>
  <c r="EY200" i="6"/>
  <c r="EY19" i="6"/>
  <c r="EX19" i="6"/>
  <c r="EX181" i="6"/>
  <c r="EY181" i="6"/>
  <c r="EH244" i="6"/>
  <c r="EH221" i="6"/>
  <c r="EH99" i="6"/>
  <c r="EH189" i="6"/>
  <c r="EH198" i="6"/>
  <c r="EH165" i="6"/>
  <c r="EH199" i="6"/>
  <c r="EH101" i="6"/>
  <c r="EH157" i="6"/>
  <c r="EH218" i="6"/>
  <c r="EH243" i="6"/>
  <c r="EH100" i="6"/>
  <c r="EH245" i="6"/>
  <c r="EH242" i="6"/>
  <c r="EH246" i="6"/>
  <c r="EH207" i="6"/>
  <c r="EH220" i="6"/>
  <c r="EH204" i="6"/>
  <c r="EH206" i="6"/>
  <c r="EH166" i="6"/>
  <c r="EH205" i="6"/>
  <c r="EH251" i="6"/>
  <c r="ES251" i="6" s="1"/>
  <c r="EH219" i="6"/>
  <c r="AH205" i="6"/>
  <c r="AI205" i="6"/>
  <c r="AG205" i="6"/>
  <c r="ET205" i="6" s="1"/>
  <c r="AJ205" i="6"/>
  <c r="EW205" i="6" s="1"/>
  <c r="AF205" i="6"/>
  <c r="AA205" i="6" s="1"/>
  <c r="AF165" i="6"/>
  <c r="AA165" i="6" s="1"/>
  <c r="AC165" i="6" s="1"/>
  <c r="AG165" i="6"/>
  <c r="ET165" i="6" s="1"/>
  <c r="AG100" i="6"/>
  <c r="BG100" i="6" s="1"/>
  <c r="BT100" i="6" s="1"/>
  <c r="ET100" i="6" s="1"/>
  <c r="AI100" i="6"/>
  <c r="AF100" i="6"/>
  <c r="AJ100" i="6"/>
  <c r="EW100" i="6" s="1"/>
  <c r="AJ243" i="6"/>
  <c r="EW243" i="6" s="1"/>
  <c r="AI243" i="6"/>
  <c r="AG243" i="6"/>
  <c r="ET243" i="6" s="1"/>
  <c r="AF243" i="6"/>
  <c r="AA243" i="6" s="1"/>
  <c r="AC243" i="6" s="1"/>
  <c r="AG245" i="6"/>
  <c r="ET245" i="6" s="1"/>
  <c r="AF245" i="6"/>
  <c r="AA245" i="6" s="1"/>
  <c r="AC245" i="6" s="1"/>
  <c r="BS175" i="6"/>
  <c r="EY190" i="6"/>
  <c r="EX190" i="6"/>
  <c r="EX299" i="6"/>
  <c r="EY299" i="6"/>
  <c r="EY241" i="6"/>
  <c r="EX241" i="6"/>
  <c r="EX83" i="6"/>
  <c r="EY83" i="6"/>
  <c r="BT184" i="6"/>
  <c r="BT201" i="6"/>
  <c r="EY186" i="6"/>
  <c r="EX186" i="6"/>
  <c r="EX233" i="6"/>
  <c r="EY233" i="6"/>
  <c r="EX187" i="6"/>
  <c r="EY110" i="6"/>
  <c r="EX110" i="6"/>
  <c r="EY273" i="6"/>
  <c r="EX273" i="6"/>
  <c r="EY271" i="6"/>
  <c r="EX271" i="6"/>
  <c r="ES228" i="6"/>
  <c r="EY266" i="6"/>
  <c r="EX266" i="6"/>
  <c r="AF219" i="6"/>
  <c r="AA219" i="6" s="1"/>
  <c r="AC219" i="6" s="1"/>
  <c r="AI219" i="6"/>
  <c r="AJ219" i="6"/>
  <c r="EW219" i="6" s="1"/>
  <c r="AG219" i="6"/>
  <c r="ET219" i="6" s="1"/>
  <c r="AF206" i="6"/>
  <c r="AA206" i="6" s="1"/>
  <c r="AH206" i="6"/>
  <c r="AG206" i="6"/>
  <c r="ET206" i="6" s="1"/>
  <c r="AG198" i="6"/>
  <c r="ET198" i="6" s="1"/>
  <c r="AF198" i="6"/>
  <c r="AA198" i="6" s="1"/>
  <c r="AC198" i="6" s="1"/>
  <c r="AG242" i="6"/>
  <c r="ET242" i="6" s="1"/>
  <c r="AJ242" i="6"/>
  <c r="EW242" i="6" s="1"/>
  <c r="AI242" i="6"/>
  <c r="AF242" i="6"/>
  <c r="AA242" i="6" s="1"/>
  <c r="ET82" i="6"/>
  <c r="EX191" i="6"/>
  <c r="EY191" i="6"/>
  <c r="EX159" i="6"/>
  <c r="EY159" i="6"/>
  <c r="BS71" i="6"/>
  <c r="EY172" i="6"/>
  <c r="EX172" i="6"/>
  <c r="EX250" i="6"/>
  <c r="EY250" i="6"/>
  <c r="ES179" i="6"/>
  <c r="EX160" i="6"/>
  <c r="EY160" i="6"/>
  <c r="ES229" i="6"/>
  <c r="EX232" i="6"/>
  <c r="EY232" i="6"/>
  <c r="BS116" i="6"/>
  <c r="EY252" i="6"/>
  <c r="EX252" i="6"/>
  <c r="EH104" i="6"/>
  <c r="ES104" i="6" s="1"/>
  <c r="EH105" i="6"/>
  <c r="EH103" i="6"/>
  <c r="EH31" i="6"/>
  <c r="ES31" i="6" s="1"/>
  <c r="EH27" i="6"/>
  <c r="ES27" i="6" s="1"/>
  <c r="EH152" i="6"/>
  <c r="ES152" i="6" s="1"/>
  <c r="EH151" i="6"/>
  <c r="ES151" i="6" s="1"/>
  <c r="EH149" i="6"/>
  <c r="ES149" i="6" s="1"/>
  <c r="EH148" i="6"/>
  <c r="EH153" i="6"/>
  <c r="ES153" i="6" s="1"/>
  <c r="EH150" i="6"/>
  <c r="ES150" i="6" s="1"/>
  <c r="EH69" i="6"/>
  <c r="ES69" i="6" s="1"/>
  <c r="EH68" i="6"/>
  <c r="EH70" i="6"/>
  <c r="ES70" i="6" s="1"/>
  <c r="EH67" i="6"/>
  <c r="EH66" i="6"/>
  <c r="ES66" i="6" s="1"/>
  <c r="EI92" i="6"/>
  <c r="ET92" i="6" s="1"/>
  <c r="EI90" i="6"/>
  <c r="ET90" i="6" s="1"/>
  <c r="EI88" i="6"/>
  <c r="ET88" i="6" s="1"/>
  <c r="EI89" i="6"/>
  <c r="ET89" i="6" s="1"/>
  <c r="EI91" i="6"/>
  <c r="ET91" i="6" s="1"/>
  <c r="EI136" i="6"/>
  <c r="ET136" i="6" s="1"/>
  <c r="EI131" i="6"/>
  <c r="EI130" i="6"/>
  <c r="EI132" i="6"/>
  <c r="EI138" i="6"/>
  <c r="ET138" i="6" s="1"/>
  <c r="EI135" i="6"/>
  <c r="ET135" i="6" s="1"/>
  <c r="EI137" i="6"/>
  <c r="ET137" i="6" s="1"/>
  <c r="EI139" i="6"/>
  <c r="ET139" i="6" s="1"/>
  <c r="EI133" i="6"/>
  <c r="ET133" i="6" s="1"/>
  <c r="EI134" i="6"/>
  <c r="ET134" i="6" s="1"/>
  <c r="EI58" i="6"/>
  <c r="ET58" i="6" s="1"/>
  <c r="EI61" i="6"/>
  <c r="EI60" i="6"/>
  <c r="EI59" i="6"/>
  <c r="EI56" i="6"/>
  <c r="ET56" i="6" s="1"/>
  <c r="EI57" i="6"/>
  <c r="ET57" i="6" s="1"/>
  <c r="EH224" i="6"/>
  <c r="ES224" i="6" s="1"/>
  <c r="EH222" i="6"/>
  <c r="ES222" i="6" s="1"/>
  <c r="EH225" i="6"/>
  <c r="ES225" i="6" s="1"/>
  <c r="EH226" i="6"/>
  <c r="ES226" i="6" s="1"/>
  <c r="EH223" i="6"/>
  <c r="EH54" i="6"/>
  <c r="ES54" i="6" s="1"/>
  <c r="EH55" i="6"/>
  <c r="ES55" i="6" s="1"/>
  <c r="EH53" i="6"/>
  <c r="ES53" i="6" s="1"/>
  <c r="EI177" i="6"/>
  <c r="ET177" i="6" s="1"/>
  <c r="EI176" i="6"/>
  <c r="ET176" i="6" s="1"/>
  <c r="EI41" i="6"/>
  <c r="ET41" i="6" s="1"/>
  <c r="EI44" i="6"/>
  <c r="ET44" i="6" s="1"/>
  <c r="EI43" i="6"/>
  <c r="ET43" i="6" s="1"/>
  <c r="EI224" i="6"/>
  <c r="ET224" i="6" s="1"/>
  <c r="EI223" i="6"/>
  <c r="EI226" i="6"/>
  <c r="ET226" i="6" s="1"/>
  <c r="EI225" i="6"/>
  <c r="ET225" i="6" s="1"/>
  <c r="EI222" i="6"/>
  <c r="ET222" i="6" s="1"/>
  <c r="EI23" i="6"/>
  <c r="ET23" i="6" s="1"/>
  <c r="EI283" i="6"/>
  <c r="ET283" i="6" s="1"/>
  <c r="EI22" i="6"/>
  <c r="EI20" i="6"/>
  <c r="EI21" i="6"/>
  <c r="ET21" i="6" s="1"/>
  <c r="EI114" i="6"/>
  <c r="ET114" i="6" s="1"/>
  <c r="EI113" i="6"/>
  <c r="ET113" i="6" s="1"/>
  <c r="EI112" i="6"/>
  <c r="ET112" i="6" s="1"/>
  <c r="EI111" i="6"/>
  <c r="EH128" i="6"/>
  <c r="ES128" i="6" s="1"/>
  <c r="EH127" i="6"/>
  <c r="EH129" i="6"/>
  <c r="ES129" i="6" s="1"/>
  <c r="EH126" i="6"/>
  <c r="EH112" i="6"/>
  <c r="ES112" i="6" s="1"/>
  <c r="EH111" i="6"/>
  <c r="EH114" i="6"/>
  <c r="ES114" i="6" s="1"/>
  <c r="EH113" i="6"/>
  <c r="ES113" i="6" s="1"/>
  <c r="EH20" i="6"/>
  <c r="EH21" i="6"/>
  <c r="ES21" i="6" s="1"/>
  <c r="EH23" i="6"/>
  <c r="ES23" i="6" s="1"/>
  <c r="EH283" i="6"/>
  <c r="ES283" i="6" s="1"/>
  <c r="EH22" i="6"/>
  <c r="EH176" i="6"/>
  <c r="ES176" i="6" s="1"/>
  <c r="EH177" i="6"/>
  <c r="ES177" i="6" s="1"/>
  <c r="EH138" i="6"/>
  <c r="ES138" i="6" s="1"/>
  <c r="EH137" i="6"/>
  <c r="ES137" i="6" s="1"/>
  <c r="EH136" i="6"/>
  <c r="ES136" i="6" s="1"/>
  <c r="EH132" i="6"/>
  <c r="EH131" i="6"/>
  <c r="EH130" i="6"/>
  <c r="EH139" i="6"/>
  <c r="ES139" i="6" s="1"/>
  <c r="EH135" i="6"/>
  <c r="ES135" i="6" s="1"/>
  <c r="EH134" i="6"/>
  <c r="ES134" i="6" s="1"/>
  <c r="EH133" i="6"/>
  <c r="ES133" i="6" s="1"/>
  <c r="EI77" i="6"/>
  <c r="ET77" i="6" s="1"/>
  <c r="EI79" i="6"/>
  <c r="ET79" i="6" s="1"/>
  <c r="EI78" i="6"/>
  <c r="EI29" i="6"/>
  <c r="EI30" i="6"/>
  <c r="EI128" i="6"/>
  <c r="ET128" i="6" s="1"/>
  <c r="EI129" i="6"/>
  <c r="ET129" i="6" s="1"/>
  <c r="EI127" i="6"/>
  <c r="EI126" i="6"/>
  <c r="EI54" i="6"/>
  <c r="ET54" i="6" s="1"/>
  <c r="EI53" i="6"/>
  <c r="ET53" i="6" s="1"/>
  <c r="EI55" i="6"/>
  <c r="ET55" i="6" s="1"/>
  <c r="EH293" i="6"/>
  <c r="EH292" i="6"/>
  <c r="EH291" i="6"/>
  <c r="EH284" i="6"/>
  <c r="EH287" i="6"/>
  <c r="ES287" i="6" s="1"/>
  <c r="EH290" i="6"/>
  <c r="EH286" i="6"/>
  <c r="ES286" i="6" s="1"/>
  <c r="EH294" i="6"/>
  <c r="EH288" i="6"/>
  <c r="EH295" i="6"/>
  <c r="EH297" i="6"/>
  <c r="EH289" i="6"/>
  <c r="EH285" i="6"/>
  <c r="EH296" i="6"/>
  <c r="EH211" i="6"/>
  <c r="ES211" i="6" s="1"/>
  <c r="EH209" i="6"/>
  <c r="ES209" i="6" s="1"/>
  <c r="EH208" i="6"/>
  <c r="ES208" i="6" s="1"/>
  <c r="EH212" i="6"/>
  <c r="ES212" i="6" s="1"/>
  <c r="EH210" i="6"/>
  <c r="EY125" i="6"/>
  <c r="EX125" i="6"/>
  <c r="EH61" i="6"/>
  <c r="EH59" i="6"/>
  <c r="EH60" i="6"/>
  <c r="EH58" i="6"/>
  <c r="ES58" i="6" s="1"/>
  <c r="EH57" i="6"/>
  <c r="ES57" i="6" s="1"/>
  <c r="EH56" i="6"/>
  <c r="ES56" i="6" s="1"/>
  <c r="EI105" i="6"/>
  <c r="EI104" i="6"/>
  <c r="ET104" i="6" s="1"/>
  <c r="EI103" i="6"/>
  <c r="EI291" i="6"/>
  <c r="EI295" i="6"/>
  <c r="EI293" i="6"/>
  <c r="EI286" i="6"/>
  <c r="ET286" i="6" s="1"/>
  <c r="EI288" i="6"/>
  <c r="EI284" i="6"/>
  <c r="EI287" i="6"/>
  <c r="ET287" i="6" s="1"/>
  <c r="EI289" i="6"/>
  <c r="EI292" i="6"/>
  <c r="EI297" i="6"/>
  <c r="EI285" i="6"/>
  <c r="EI294" i="6"/>
  <c r="EI296" i="6"/>
  <c r="EI290" i="6"/>
  <c r="EI211" i="6"/>
  <c r="ET211" i="6" s="1"/>
  <c r="EI209" i="6"/>
  <c r="ET209" i="6" s="1"/>
  <c r="EI208" i="6"/>
  <c r="ET208" i="6" s="1"/>
  <c r="EI212" i="6"/>
  <c r="ET212" i="6" s="1"/>
  <c r="EI210" i="6"/>
  <c r="EH78" i="6"/>
  <c r="EH77" i="6"/>
  <c r="ES77" i="6" s="1"/>
  <c r="EH79" i="6"/>
  <c r="ES79" i="6" s="1"/>
  <c r="EH41" i="6"/>
  <c r="ES41" i="6" s="1"/>
  <c r="EH43" i="6"/>
  <c r="ES43" i="6" s="1"/>
  <c r="EH44" i="6"/>
  <c r="ES44" i="6" s="1"/>
  <c r="EH123" i="6"/>
  <c r="EH124" i="6"/>
  <c r="EH24" i="6"/>
  <c r="EH25" i="6"/>
  <c r="EH26" i="6"/>
  <c r="ES26" i="6" s="1"/>
  <c r="EI50" i="6"/>
  <c r="ET50" i="6" s="1"/>
  <c r="EI48" i="6"/>
  <c r="ET48" i="6" s="1"/>
  <c r="EI49" i="6"/>
  <c r="ET49" i="6" s="1"/>
  <c r="EI51" i="6"/>
  <c r="ET51" i="6" s="1"/>
  <c r="EI152" i="6"/>
  <c r="ET152" i="6" s="1"/>
  <c r="EI151" i="6"/>
  <c r="ET151" i="6" s="1"/>
  <c r="EI153" i="6"/>
  <c r="ET153" i="6" s="1"/>
  <c r="EI148" i="6"/>
  <c r="EI150" i="6"/>
  <c r="ET150" i="6" s="1"/>
  <c r="EI149" i="6"/>
  <c r="ET149" i="6" s="1"/>
  <c r="EI67" i="6"/>
  <c r="EI69" i="6"/>
  <c r="ET69" i="6" s="1"/>
  <c r="EI70" i="6"/>
  <c r="ET70" i="6" s="1"/>
  <c r="EI66" i="6"/>
  <c r="ET66" i="6" s="1"/>
  <c r="EI68" i="6"/>
  <c r="EI27" i="6"/>
  <c r="ET27" i="6" s="1"/>
  <c r="EI31" i="6"/>
  <c r="ET31" i="6" s="1"/>
  <c r="EH92" i="6"/>
  <c r="ES92" i="6" s="1"/>
  <c r="EH91" i="6"/>
  <c r="ES91" i="6" s="1"/>
  <c r="EH89" i="6"/>
  <c r="ES89" i="6" s="1"/>
  <c r="EH90" i="6"/>
  <c r="ES90" i="6" s="1"/>
  <c r="EH88" i="6"/>
  <c r="ES88" i="6" s="1"/>
  <c r="EH298" i="6"/>
  <c r="ES298" i="6" s="1"/>
  <c r="EH47" i="6"/>
  <c r="ES47" i="6" s="1"/>
  <c r="EH45" i="6"/>
  <c r="EH46" i="6"/>
  <c r="ES46" i="6" s="1"/>
  <c r="EH30" i="6"/>
  <c r="EH29" i="6"/>
  <c r="EH65" i="6"/>
  <c r="EH63" i="6"/>
  <c r="ES63" i="6" s="1"/>
  <c r="EH64" i="6"/>
  <c r="ES64" i="6" s="1"/>
  <c r="EH62" i="6"/>
  <c r="ES62" i="6" s="1"/>
  <c r="EH142" i="6"/>
  <c r="ES142" i="6" s="1"/>
  <c r="EH140" i="6"/>
  <c r="ES140" i="6" s="1"/>
  <c r="EH141" i="6"/>
  <c r="EH143" i="6"/>
  <c r="ES143" i="6" s="1"/>
  <c r="EI96" i="6"/>
  <c r="ET96" i="6" s="1"/>
  <c r="EI97" i="6"/>
  <c r="ET97" i="6" s="1"/>
  <c r="EI94" i="6"/>
  <c r="EI95" i="6"/>
  <c r="ET95" i="6" s="1"/>
  <c r="EI93" i="6"/>
  <c r="EI98" i="6"/>
  <c r="ET98" i="6" s="1"/>
  <c r="EI32" i="6"/>
  <c r="ET32" i="6" s="1"/>
  <c r="EI28" i="6"/>
  <c r="ET28" i="6" s="1"/>
  <c r="EH98" i="6"/>
  <c r="ES98" i="6" s="1"/>
  <c r="EH96" i="6"/>
  <c r="ES96" i="6" s="1"/>
  <c r="EH94" i="6"/>
  <c r="EH93" i="6"/>
  <c r="EH97" i="6"/>
  <c r="ES97" i="6" s="1"/>
  <c r="EH95" i="6"/>
  <c r="ES95" i="6" s="1"/>
  <c r="EI298" i="6"/>
  <c r="ET298" i="6" s="1"/>
  <c r="EI47" i="6"/>
  <c r="ET47" i="6" s="1"/>
  <c r="EI45" i="6"/>
  <c r="EI46" i="6"/>
  <c r="ET46" i="6" s="1"/>
  <c r="EI142" i="6"/>
  <c r="ET142" i="6" s="1"/>
  <c r="EI141" i="6"/>
  <c r="EI143" i="6"/>
  <c r="ET143" i="6" s="1"/>
  <c r="EI140" i="6"/>
  <c r="ET140" i="6" s="1"/>
  <c r="EI62" i="6"/>
  <c r="ET62" i="6" s="1"/>
  <c r="EI64" i="6"/>
  <c r="ET64" i="6" s="1"/>
  <c r="EI65" i="6"/>
  <c r="EI63" i="6"/>
  <c r="ET63" i="6" s="1"/>
  <c r="EH50" i="6"/>
  <c r="ES50" i="6" s="1"/>
  <c r="EH51" i="6"/>
  <c r="ES51" i="6" s="1"/>
  <c r="EH49" i="6"/>
  <c r="ES49" i="6" s="1"/>
  <c r="EH48" i="6"/>
  <c r="ES48" i="6" s="1"/>
  <c r="EH28" i="6"/>
  <c r="ES28" i="6" s="1"/>
  <c r="EH32" i="6"/>
  <c r="ES32" i="6" s="1"/>
  <c r="EH278" i="6"/>
  <c r="ES278" i="6" s="1"/>
  <c r="EX278" i="6" s="1"/>
  <c r="FG278" i="6" s="1"/>
  <c r="DK278" i="6" s="1"/>
  <c r="EH276" i="6"/>
  <c r="ES276" i="6" s="1"/>
  <c r="EX276" i="6" s="1"/>
  <c r="FG276" i="6" s="1"/>
  <c r="EH277" i="6"/>
  <c r="ES277" i="6" s="1"/>
  <c r="EX277" i="6" s="1"/>
  <c r="FG277" i="6" s="1"/>
  <c r="Q466" i="22" s="1"/>
  <c r="EH185" i="6"/>
  <c r="ES185" i="6" s="1"/>
  <c r="EI278" i="6"/>
  <c r="EI185" i="6"/>
  <c r="ET185" i="6" s="1"/>
  <c r="EI277" i="6"/>
  <c r="EI276" i="6"/>
  <c r="EI25" i="6"/>
  <c r="EI26" i="6"/>
  <c r="ET26" i="6" s="1"/>
  <c r="EI24" i="6"/>
  <c r="EI123" i="6"/>
  <c r="EI124" i="6"/>
  <c r="G142" i="13"/>
  <c r="F142" i="13"/>
  <c r="G166" i="13"/>
  <c r="F166" i="13"/>
  <c r="G191" i="13"/>
  <c r="F191" i="13"/>
  <c r="G177" i="13"/>
  <c r="F177" i="13"/>
  <c r="G147" i="13"/>
  <c r="F147" i="13"/>
  <c r="G194" i="13"/>
  <c r="F194" i="13"/>
  <c r="G122" i="13"/>
  <c r="F122" i="13"/>
  <c r="G160" i="13"/>
  <c r="F160" i="13"/>
  <c r="G185" i="13"/>
  <c r="F185" i="13"/>
  <c r="G139" i="13"/>
  <c r="F139" i="13"/>
  <c r="G136" i="13"/>
  <c r="F136" i="13"/>
  <c r="G132" i="13"/>
  <c r="F132" i="13"/>
  <c r="G170" i="13"/>
  <c r="F170" i="13"/>
  <c r="G193" i="13"/>
  <c r="F193" i="13"/>
  <c r="G163" i="13"/>
  <c r="F163" i="13"/>
  <c r="G133" i="13"/>
  <c r="F133" i="13"/>
  <c r="G180" i="13"/>
  <c r="F180" i="13"/>
  <c r="F148" i="13"/>
  <c r="G148" i="13"/>
  <c r="G186" i="13"/>
  <c r="F186" i="13"/>
  <c r="G155" i="13"/>
  <c r="F155" i="13"/>
  <c r="G176" i="13"/>
  <c r="F176" i="13"/>
  <c r="G130" i="13"/>
  <c r="F130" i="13"/>
  <c r="F154" i="13"/>
  <c r="G154" i="13"/>
  <c r="F178" i="13"/>
  <c r="G178" i="13"/>
  <c r="G179" i="13"/>
  <c r="F179" i="13"/>
  <c r="G149" i="13"/>
  <c r="F149" i="13"/>
  <c r="G119" i="13"/>
  <c r="F119" i="13"/>
  <c r="F162" i="13"/>
  <c r="G162" i="13"/>
  <c r="G156" i="13"/>
  <c r="F156" i="13"/>
  <c r="G171" i="13"/>
  <c r="F171" i="13"/>
  <c r="G125" i="13"/>
  <c r="F125" i="13"/>
  <c r="G168" i="13"/>
  <c r="F168" i="13"/>
  <c r="G144" i="13"/>
  <c r="F144" i="13"/>
  <c r="F152" i="13"/>
  <c r="G152" i="13"/>
  <c r="G195" i="13"/>
  <c r="F195" i="13"/>
  <c r="F165" i="13"/>
  <c r="G165" i="13"/>
  <c r="G135" i="13"/>
  <c r="F135" i="13"/>
  <c r="G184" i="13"/>
  <c r="F184" i="13"/>
  <c r="G134" i="13"/>
  <c r="F134" i="13"/>
  <c r="F187" i="13"/>
  <c r="G187" i="13"/>
  <c r="G141" i="13"/>
  <c r="F141" i="13"/>
  <c r="G127" i="13"/>
  <c r="F127" i="13"/>
  <c r="G174" i="13"/>
  <c r="F174" i="13"/>
  <c r="G150" i="13"/>
  <c r="F150" i="13"/>
  <c r="G190" i="13"/>
  <c r="F190" i="13"/>
  <c r="G181" i="13"/>
  <c r="F181" i="13"/>
  <c r="G151" i="13"/>
  <c r="F151" i="13"/>
  <c r="G121" i="13"/>
  <c r="F121" i="13"/>
  <c r="G146" i="13"/>
  <c r="F146" i="13"/>
  <c r="G192" i="13"/>
  <c r="F192" i="13"/>
  <c r="G157" i="13"/>
  <c r="F157" i="13"/>
  <c r="G143" i="13"/>
  <c r="F143" i="13"/>
  <c r="G129" i="13"/>
  <c r="F129" i="13"/>
  <c r="G140" i="13"/>
  <c r="F140" i="13"/>
  <c r="G124" i="13"/>
  <c r="F124" i="13"/>
  <c r="G197" i="13"/>
  <c r="F197" i="13"/>
  <c r="G167" i="13"/>
  <c r="F167" i="13"/>
  <c r="G137" i="13"/>
  <c r="F137" i="13"/>
  <c r="G158" i="13"/>
  <c r="F158" i="13"/>
  <c r="G128" i="13"/>
  <c r="F128" i="13"/>
  <c r="G173" i="13"/>
  <c r="F173" i="13"/>
  <c r="G159" i="13"/>
  <c r="F159" i="13"/>
  <c r="F145" i="13"/>
  <c r="G145" i="13"/>
  <c r="G188" i="13"/>
  <c r="F188" i="13"/>
  <c r="G126" i="13"/>
  <c r="F126" i="13"/>
  <c r="G196" i="13"/>
  <c r="F196" i="13"/>
  <c r="G183" i="13"/>
  <c r="F183" i="13"/>
  <c r="F153" i="13"/>
  <c r="G153" i="13"/>
  <c r="G198" i="13"/>
  <c r="F198" i="13"/>
  <c r="G120" i="13"/>
  <c r="F120" i="13"/>
  <c r="G189" i="13"/>
  <c r="F189" i="13"/>
  <c r="G175" i="13"/>
  <c r="F175" i="13"/>
  <c r="G161" i="13"/>
  <c r="F161" i="13"/>
  <c r="G131" i="13"/>
  <c r="F131" i="13"/>
  <c r="F172" i="13"/>
  <c r="G172" i="13"/>
  <c r="G138" i="13"/>
  <c r="F138" i="13"/>
  <c r="G182" i="13"/>
  <c r="F182" i="13"/>
  <c r="G169" i="13"/>
  <c r="F169" i="13"/>
  <c r="F123" i="13"/>
  <c r="G123" i="13"/>
  <c r="G164" i="13"/>
  <c r="F164" i="13"/>
  <c r="FZ236" i="6"/>
  <c r="FW236" i="6" s="1"/>
  <c r="FZ237" i="6"/>
  <c r="FW237" i="6" s="1"/>
  <c r="Y807" i="17" s="1"/>
  <c r="FZ235" i="6"/>
  <c r="FW235" i="6" s="1"/>
  <c r="Y348" i="23" s="1"/>
  <c r="L8" i="22"/>
  <c r="L8" i="23"/>
  <c r="FZ183" i="6"/>
  <c r="FW183" i="6" s="1"/>
  <c r="AD406" i="22" l="1"/>
  <c r="P406" i="22"/>
  <c r="Y364" i="23"/>
  <c r="Y365" i="23"/>
  <c r="Y725" i="22"/>
  <c r="Y825" i="17"/>
  <c r="Y821" i="17"/>
  <c r="Y726" i="22"/>
  <c r="Y733" i="22"/>
  <c r="Y728" i="22"/>
  <c r="Y727" i="22"/>
  <c r="Y820" i="17"/>
  <c r="Y729" i="22"/>
  <c r="Y828" i="17"/>
  <c r="Y731" i="22"/>
  <c r="Y734" i="22"/>
  <c r="Y732" i="22"/>
  <c r="Y724" i="22"/>
  <c r="Y823" i="17"/>
  <c r="Y827" i="17"/>
  <c r="Y830" i="17"/>
  <c r="Y822" i="17"/>
  <c r="Y829" i="17"/>
  <c r="Y819" i="17"/>
  <c r="Y826" i="17"/>
  <c r="Y723" i="22"/>
  <c r="Y737" i="22"/>
  <c r="Y739" i="22"/>
  <c r="Y738" i="22"/>
  <c r="Y736" i="22"/>
  <c r="Y735" i="22"/>
  <c r="Y730" i="22"/>
  <c r="Y832" i="17"/>
  <c r="Y831" i="17"/>
  <c r="Y824" i="17"/>
  <c r="P555" i="17"/>
  <c r="P289" i="23"/>
  <c r="AD289" i="23"/>
  <c r="P262" i="23"/>
  <c r="AD262" i="23"/>
  <c r="P255" i="23"/>
  <c r="AD255" i="23"/>
  <c r="P278" i="23"/>
  <c r="AD278" i="23"/>
  <c r="P276" i="23"/>
  <c r="AD276" i="23"/>
  <c r="P293" i="23"/>
  <c r="AD293" i="23"/>
  <c r="P290" i="23"/>
  <c r="AD290" i="23"/>
  <c r="P287" i="23"/>
  <c r="AD287" i="23"/>
  <c r="N244" i="23"/>
  <c r="N243" i="23"/>
  <c r="P261" i="23"/>
  <c r="AD261" i="23"/>
  <c r="P257" i="23"/>
  <c r="AD257" i="23"/>
  <c r="P280" i="23"/>
  <c r="AD280" i="23"/>
  <c r="P281" i="23"/>
  <c r="AD281" i="23"/>
  <c r="P285" i="23"/>
  <c r="AD285" i="23"/>
  <c r="P292" i="23"/>
  <c r="AD292" i="23"/>
  <c r="N273" i="23"/>
  <c r="N269" i="23"/>
  <c r="N277" i="23"/>
  <c r="N281" i="23"/>
  <c r="N275" i="23"/>
  <c r="N276" i="23"/>
  <c r="N271" i="23"/>
  <c r="N274" i="23"/>
  <c r="N278" i="23"/>
  <c r="N270" i="23"/>
  <c r="N280" i="23"/>
  <c r="N279" i="23"/>
  <c r="N272" i="23"/>
  <c r="P265" i="23"/>
  <c r="AD265" i="23"/>
  <c r="P259" i="23"/>
  <c r="AD259" i="23"/>
  <c r="P258" i="23"/>
  <c r="AD258" i="23"/>
  <c r="P274" i="23"/>
  <c r="AD274" i="23"/>
  <c r="P275" i="23"/>
  <c r="AD275" i="23"/>
  <c r="P297" i="23"/>
  <c r="AD297" i="23"/>
  <c r="P284" i="23"/>
  <c r="AD284" i="23"/>
  <c r="P271" i="23"/>
  <c r="AD271" i="23"/>
  <c r="P268" i="23"/>
  <c r="AD268" i="23"/>
  <c r="P256" i="23"/>
  <c r="AD256" i="23"/>
  <c r="P250" i="23"/>
  <c r="AD250" i="23"/>
  <c r="P272" i="23"/>
  <c r="AD272" i="23"/>
  <c r="P273" i="23"/>
  <c r="AD273" i="23"/>
  <c r="P295" i="23"/>
  <c r="AD295" i="23"/>
  <c r="P294" i="23"/>
  <c r="AD294" i="23"/>
  <c r="P264" i="23"/>
  <c r="AD264" i="23"/>
  <c r="P267" i="23"/>
  <c r="AD267" i="23"/>
  <c r="P263" i="23"/>
  <c r="AD263" i="23"/>
  <c r="P252" i="23"/>
  <c r="AD252" i="23"/>
  <c r="P270" i="23"/>
  <c r="AD270" i="23"/>
  <c r="P244" i="23"/>
  <c r="AD244" i="23"/>
  <c r="P288" i="23"/>
  <c r="AD288" i="23"/>
  <c r="P286" i="23"/>
  <c r="AD286" i="23"/>
  <c r="N250" i="23"/>
  <c r="N257" i="23"/>
  <c r="N252" i="23"/>
  <c r="N258" i="23"/>
  <c r="N255" i="23"/>
  <c r="N253" i="23"/>
  <c r="N256" i="23"/>
  <c r="N262" i="23"/>
  <c r="N259" i="23"/>
  <c r="N251" i="23"/>
  <c r="N260" i="23"/>
  <c r="N261" i="23"/>
  <c r="N254" i="23"/>
  <c r="N263" i="23"/>
  <c r="N264" i="23"/>
  <c r="P269" i="23"/>
  <c r="AD269" i="23"/>
  <c r="N266" i="23"/>
  <c r="N268" i="23"/>
  <c r="N267" i="23"/>
  <c r="N265" i="23"/>
  <c r="N286" i="23"/>
  <c r="N283" i="23"/>
  <c r="N291" i="23"/>
  <c r="N294" i="23"/>
  <c r="N295" i="23"/>
  <c r="N292" i="23"/>
  <c r="N290" i="23"/>
  <c r="N288" i="23"/>
  <c r="N298" i="23"/>
  <c r="N284" i="23"/>
  <c r="N296" i="23"/>
  <c r="N287" i="23"/>
  <c r="N285" i="23"/>
  <c r="N282" i="23"/>
  <c r="N293" i="23"/>
  <c r="N289" i="23"/>
  <c r="N297" i="23"/>
  <c r="P266" i="23"/>
  <c r="AD266" i="23"/>
  <c r="P254" i="23"/>
  <c r="AD254" i="23"/>
  <c r="P279" i="23"/>
  <c r="AD279" i="23"/>
  <c r="P243" i="23"/>
  <c r="AD243" i="23"/>
  <c r="P296" i="23"/>
  <c r="AD296" i="23"/>
  <c r="P291" i="23"/>
  <c r="AD291" i="23"/>
  <c r="P253" i="23"/>
  <c r="AD253" i="23"/>
  <c r="P251" i="23"/>
  <c r="AD251" i="23"/>
  <c r="P260" i="23"/>
  <c r="AD260" i="23"/>
  <c r="P277" i="23"/>
  <c r="AD277" i="23"/>
  <c r="P282" i="23"/>
  <c r="AD282" i="23"/>
  <c r="P298" i="23"/>
  <c r="AD298" i="23"/>
  <c r="P283" i="23"/>
  <c r="AD283" i="23"/>
  <c r="AD452" i="22"/>
  <c r="AD542" i="17"/>
  <c r="N452" i="22"/>
  <c r="N406" i="22"/>
  <c r="AD537" i="17"/>
  <c r="N875" i="22"/>
  <c r="N876" i="22"/>
  <c r="N873" i="22"/>
  <c r="N874" i="22"/>
  <c r="P433" i="22"/>
  <c r="AD433" i="22"/>
  <c r="P438" i="22"/>
  <c r="AD438" i="22"/>
  <c r="P405" i="22"/>
  <c r="AD405" i="22"/>
  <c r="P873" i="22"/>
  <c r="AD873" i="22"/>
  <c r="P446" i="22"/>
  <c r="AD446" i="22"/>
  <c r="P434" i="22"/>
  <c r="AD434" i="22"/>
  <c r="P440" i="22"/>
  <c r="AD440" i="22"/>
  <c r="N448" i="22"/>
  <c r="N450" i="22"/>
  <c r="N449" i="22"/>
  <c r="N451" i="22"/>
  <c r="N455" i="22"/>
  <c r="N454" i="22"/>
  <c r="P876" i="22"/>
  <c r="AD876" i="22"/>
  <c r="P443" i="22"/>
  <c r="AD443" i="22"/>
  <c r="P429" i="22"/>
  <c r="AD429" i="22"/>
  <c r="P431" i="22"/>
  <c r="AD431" i="22"/>
  <c r="N409" i="22"/>
  <c r="N410" i="22"/>
  <c r="N411" i="22"/>
  <c r="P447" i="22"/>
  <c r="AD447" i="22"/>
  <c r="P449" i="22"/>
  <c r="AD449" i="22"/>
  <c r="P442" i="22"/>
  <c r="AD442" i="22"/>
  <c r="P427" i="22"/>
  <c r="AD427" i="22"/>
  <c r="P436" i="22"/>
  <c r="AD436" i="22"/>
  <c r="P796" i="22"/>
  <c r="AD796" i="22"/>
  <c r="N441" i="22"/>
  <c r="N444" i="22"/>
  <c r="N442" i="22"/>
  <c r="N447" i="22"/>
  <c r="N445" i="22"/>
  <c r="N443" i="22"/>
  <c r="N446" i="22"/>
  <c r="P451" i="22"/>
  <c r="AD451" i="22"/>
  <c r="P444" i="22"/>
  <c r="AD444" i="22"/>
  <c r="P428" i="22"/>
  <c r="AD428" i="22"/>
  <c r="P437" i="22"/>
  <c r="AD437" i="22"/>
  <c r="P797" i="22"/>
  <c r="AD797" i="22"/>
  <c r="P455" i="22"/>
  <c r="AD455" i="22"/>
  <c r="P448" i="22"/>
  <c r="AD448" i="22"/>
  <c r="P441" i="22"/>
  <c r="AD441" i="22"/>
  <c r="P439" i="22"/>
  <c r="AD439" i="22"/>
  <c r="P432" i="22"/>
  <c r="AD432" i="22"/>
  <c r="P411" i="22"/>
  <c r="AD411" i="22"/>
  <c r="P466" i="22"/>
  <c r="AD466" i="22"/>
  <c r="N405" i="22"/>
  <c r="N404" i="22"/>
  <c r="P454" i="22"/>
  <c r="AD454" i="22"/>
  <c r="P450" i="22"/>
  <c r="AD450" i="22"/>
  <c r="P435" i="22"/>
  <c r="AD435" i="22"/>
  <c r="P426" i="22"/>
  <c r="AD426" i="22"/>
  <c r="P410" i="22"/>
  <c r="AD410" i="22"/>
  <c r="P875" i="22"/>
  <c r="AD875" i="22"/>
  <c r="N797" i="22"/>
  <c r="N796" i="22"/>
  <c r="N426" i="22"/>
  <c r="N437" i="22"/>
  <c r="N436" i="22"/>
  <c r="N432" i="22"/>
  <c r="N438" i="22"/>
  <c r="N440" i="22"/>
  <c r="N430" i="22"/>
  <c r="N431" i="22"/>
  <c r="N429" i="22"/>
  <c r="N428" i="22"/>
  <c r="N435" i="22"/>
  <c r="N433" i="22"/>
  <c r="N427" i="22"/>
  <c r="N434" i="22"/>
  <c r="N439" i="22"/>
  <c r="P874" i="22"/>
  <c r="AD874" i="22"/>
  <c r="P445" i="22"/>
  <c r="AD445" i="22"/>
  <c r="P430" i="22"/>
  <c r="AD430" i="22"/>
  <c r="P404" i="22"/>
  <c r="AD404" i="22"/>
  <c r="P409" i="22"/>
  <c r="AD409" i="22"/>
  <c r="N556" i="17"/>
  <c r="AD556" i="17"/>
  <c r="N542" i="17"/>
  <c r="N555" i="17"/>
  <c r="N537" i="17"/>
  <c r="P553" i="17"/>
  <c r="AD553" i="17"/>
  <c r="P552" i="17"/>
  <c r="AD552" i="17"/>
  <c r="N538" i="17"/>
  <c r="N539" i="17"/>
  <c r="P536" i="17"/>
  <c r="AD536" i="17"/>
  <c r="P544" i="17"/>
  <c r="AD544" i="17"/>
  <c r="P551" i="17"/>
  <c r="AD551" i="17"/>
  <c r="Q566" i="17"/>
  <c r="Q568" i="17"/>
  <c r="Q567" i="17"/>
  <c r="Q569" i="17"/>
  <c r="Q564" i="17"/>
  <c r="Q565" i="17"/>
  <c r="N554" i="17"/>
  <c r="N549" i="17"/>
  <c r="N553" i="17"/>
  <c r="N551" i="17"/>
  <c r="N552" i="17"/>
  <c r="N550" i="17"/>
  <c r="P535" i="17"/>
  <c r="AD535" i="17"/>
  <c r="P548" i="17"/>
  <c r="AD548" i="17"/>
  <c r="P550" i="17"/>
  <c r="AD550" i="17"/>
  <c r="P899" i="17"/>
  <c r="AD899" i="17"/>
  <c r="P545" i="17"/>
  <c r="AD545" i="17"/>
  <c r="P549" i="17"/>
  <c r="AD549" i="17"/>
  <c r="N898" i="17"/>
  <c r="N914" i="17"/>
  <c r="N899" i="17"/>
  <c r="N913" i="17"/>
  <c r="N546" i="17"/>
  <c r="N545" i="17"/>
  <c r="N548" i="17"/>
  <c r="N547" i="17"/>
  <c r="N543" i="17"/>
  <c r="N544" i="17"/>
  <c r="P913" i="17"/>
  <c r="AD913" i="17"/>
  <c r="P547" i="17"/>
  <c r="AD547" i="17"/>
  <c r="P554" i="17"/>
  <c r="AD554" i="17"/>
  <c r="P914" i="17"/>
  <c r="AD914" i="17"/>
  <c r="P539" i="17"/>
  <c r="AD539" i="17"/>
  <c r="P543" i="17"/>
  <c r="AD543" i="17"/>
  <c r="Q571" i="17"/>
  <c r="Q573" i="17"/>
  <c r="Q574" i="17"/>
  <c r="Q572" i="17"/>
  <c r="Q570" i="17"/>
  <c r="N535" i="17"/>
  <c r="N536" i="17"/>
  <c r="P898" i="17"/>
  <c r="AD898" i="17"/>
  <c r="P538" i="17"/>
  <c r="AD538" i="17"/>
  <c r="AD546" i="17"/>
  <c r="P546" i="17"/>
  <c r="FF308" i="6" a="1"/>
  <c r="FF308" i="6" s="1"/>
  <c r="FG308" i="6" s="1"/>
  <c r="ES101" i="6"/>
  <c r="ES282" i="6"/>
  <c r="ES166" i="6"/>
  <c r="EX166" i="6" s="1"/>
  <c r="ES99" i="6"/>
  <c r="FG188" i="6"/>
  <c r="Q839" i="22" s="1"/>
  <c r="EY197" i="6"/>
  <c r="FG197" i="6" s="1"/>
  <c r="Q825" i="22" s="1"/>
  <c r="P825" i="22" s="1"/>
  <c r="EY162" i="6"/>
  <c r="EX162" i="6"/>
  <c r="BT61" i="6"/>
  <c r="ET61" i="6" s="1"/>
  <c r="BS60" i="6"/>
  <c r="ES60" i="6" s="1"/>
  <c r="BS59" i="6"/>
  <c r="ES59" i="6" s="1"/>
  <c r="BT59" i="6"/>
  <c r="ET59" i="6" s="1"/>
  <c r="BS61" i="6"/>
  <c r="ES61" i="6" s="1"/>
  <c r="BT60" i="6"/>
  <c r="ET60" i="6" s="1"/>
  <c r="ES218" i="6"/>
  <c r="ES189" i="6"/>
  <c r="EY189" i="6" s="1"/>
  <c r="ES204" i="6"/>
  <c r="ES220" i="6"/>
  <c r="ES157" i="6"/>
  <c r="EY157" i="6" s="1"/>
  <c r="ES244" i="6"/>
  <c r="EY244" i="6" s="1"/>
  <c r="ES246" i="6"/>
  <c r="EY246" i="6" s="1"/>
  <c r="EY164" i="6"/>
  <c r="FG164" i="6" s="1"/>
  <c r="DK277" i="6"/>
  <c r="N466" i="22" s="1"/>
  <c r="DK276" i="6"/>
  <c r="FG156" i="6"/>
  <c r="FG187" i="6"/>
  <c r="Q828" i="22" s="1"/>
  <c r="P828" i="22" s="1"/>
  <c r="ET106" i="6"/>
  <c r="EX106" i="6" s="1"/>
  <c r="FG304" i="6"/>
  <c r="FG258" i="6"/>
  <c r="Q932" i="17" s="1"/>
  <c r="FF183" i="6"/>
  <c r="FG183" i="6" s="1"/>
  <c r="FG256" i="6"/>
  <c r="FG272" i="6"/>
  <c r="Q534" i="17" s="1"/>
  <c r="FG145" i="6"/>
  <c r="FG161" i="6"/>
  <c r="ES205" i="6"/>
  <c r="ES221" i="6"/>
  <c r="EX221" i="6" s="1"/>
  <c r="ES281" i="6"/>
  <c r="FG227" i="6"/>
  <c r="ES175" i="6"/>
  <c r="EY175" i="6" s="1"/>
  <c r="FG202" i="6"/>
  <c r="FG264" i="6"/>
  <c r="FG237" i="6"/>
  <c r="Q807" i="17" s="1"/>
  <c r="P807" i="17" s="1"/>
  <c r="FG203" i="6"/>
  <c r="DK203" i="6" s="1"/>
  <c r="FG269" i="6"/>
  <c r="Q523" i="17" s="1"/>
  <c r="P523" i="17" s="1"/>
  <c r="FG240" i="6"/>
  <c r="FG180" i="6"/>
  <c r="Q369" i="23" s="1"/>
  <c r="P369" i="23" s="1"/>
  <c r="FG230" i="6"/>
  <c r="Q325" i="23" s="1"/>
  <c r="P325" i="23" s="1"/>
  <c r="FG232" i="6"/>
  <c r="FG250" i="6"/>
  <c r="FG172" i="6"/>
  <c r="Q368" i="23" s="1"/>
  <c r="FG158" i="6"/>
  <c r="Q892" i="17" s="1"/>
  <c r="P892" i="17" s="1"/>
  <c r="FG110" i="6"/>
  <c r="FG147" i="6"/>
  <c r="FG85" i="6"/>
  <c r="Q417" i="17" s="1"/>
  <c r="FG107" i="6"/>
  <c r="Q356" i="22" s="1"/>
  <c r="FG253" i="6"/>
  <c r="FG299" i="6"/>
  <c r="FG171" i="6"/>
  <c r="Q367" i="23" s="1"/>
  <c r="P367" i="23" s="1"/>
  <c r="FG255" i="6"/>
  <c r="FG271" i="6"/>
  <c r="FG233" i="6"/>
  <c r="DK233" i="6" s="1"/>
  <c r="FG193" i="6"/>
  <c r="FG268" i="6"/>
  <c r="FG252" i="6"/>
  <c r="FG266" i="6"/>
  <c r="Q527" i="17" s="1"/>
  <c r="FG241" i="6"/>
  <c r="Q791" i="17" s="1"/>
  <c r="FG265" i="6"/>
  <c r="FG239" i="6"/>
  <c r="Q795" i="17" s="1"/>
  <c r="ES116" i="6"/>
  <c r="EX116" i="6" s="1"/>
  <c r="FG116" i="6" s="1"/>
  <c r="FG186" i="6"/>
  <c r="FG167" i="6"/>
  <c r="Q836" i="22" s="1"/>
  <c r="P836" i="22" s="1"/>
  <c r="FG159" i="6"/>
  <c r="Q915" i="17" s="1"/>
  <c r="P915" i="17" s="1"/>
  <c r="EY82" i="6"/>
  <c r="FG125" i="6"/>
  <c r="Q403" i="22" s="1"/>
  <c r="FG19" i="6"/>
  <c r="FG301" i="6"/>
  <c r="FG18" i="6"/>
  <c r="FG300" i="6"/>
  <c r="DK300" i="6" s="1"/>
  <c r="ES118" i="6"/>
  <c r="EX118" i="6" s="1"/>
  <c r="FG118" i="6" s="1"/>
  <c r="FG235" i="6"/>
  <c r="Q348" i="23" s="1"/>
  <c r="FG16" i="6"/>
  <c r="AB219" i="6"/>
  <c r="EV219" i="6"/>
  <c r="EX228" i="6"/>
  <c r="EY228" i="6"/>
  <c r="FG200" i="6"/>
  <c r="EU170" i="6"/>
  <c r="FG72" i="6"/>
  <c r="AB280" i="6"/>
  <c r="EV280" i="6"/>
  <c r="EX280" i="6" s="1"/>
  <c r="AB218" i="6"/>
  <c r="AC218" i="6" s="1"/>
  <c r="EV218" i="6"/>
  <c r="FG270" i="6"/>
  <c r="Q528" i="17" s="1"/>
  <c r="EX163" i="6"/>
  <c r="EY163" i="6"/>
  <c r="ET182" i="6"/>
  <c r="BM99" i="6"/>
  <c r="BW99" i="6" s="1"/>
  <c r="EW99" i="6" s="1"/>
  <c r="FG247" i="6"/>
  <c r="Q846" i="22" s="1"/>
  <c r="FG248" i="6"/>
  <c r="Q847" i="22" s="1"/>
  <c r="ET201" i="6"/>
  <c r="EY201" i="6" s="1"/>
  <c r="ES207" i="6"/>
  <c r="FG144" i="6"/>
  <c r="ES303" i="6"/>
  <c r="EX170" i="6"/>
  <c r="EY170" i="6"/>
  <c r="FG192" i="6"/>
  <c r="Q785" i="22" s="1"/>
  <c r="P785" i="22" s="1"/>
  <c r="AB282" i="6"/>
  <c r="AC282" i="6" s="1"/>
  <c r="EV282" i="6"/>
  <c r="ES306" i="6"/>
  <c r="FG267" i="6"/>
  <c r="FG249" i="6"/>
  <c r="AB99" i="6"/>
  <c r="AC99" i="6" s="1"/>
  <c r="BL99" i="6"/>
  <c r="BV99" i="6" s="1"/>
  <c r="EV99" i="6" s="1"/>
  <c r="ES219" i="6"/>
  <c r="AB220" i="6"/>
  <c r="EV220" i="6"/>
  <c r="FF263" i="6"/>
  <c r="H263" i="6"/>
  <c r="AE263" i="6" s="1"/>
  <c r="G263" i="6"/>
  <c r="AB281" i="6"/>
  <c r="AC281" i="6" s="1"/>
  <c r="EV281" i="6"/>
  <c r="FG254" i="6"/>
  <c r="EX229" i="6"/>
  <c r="EY229" i="6"/>
  <c r="FF191" i="6"/>
  <c r="FG191" i="6" s="1"/>
  <c r="ET184" i="6"/>
  <c r="FF190" i="6"/>
  <c r="FG190" i="6" s="1"/>
  <c r="AB243" i="6"/>
  <c r="EV243" i="6"/>
  <c r="BH205" i="6"/>
  <c r="W205" i="6" s="1"/>
  <c r="AC205" i="6"/>
  <c r="ES242" i="6"/>
  <c r="ES199" i="6"/>
  <c r="FG181" i="6"/>
  <c r="Q370" i="23" s="1"/>
  <c r="FG173" i="6"/>
  <c r="Q829" i="22" s="1"/>
  <c r="P829" i="22" s="1"/>
  <c r="FG108" i="6"/>
  <c r="ES178" i="6"/>
  <c r="ES231" i="6"/>
  <c r="FG169" i="6"/>
  <c r="Q921" i="17" s="1"/>
  <c r="P921" i="17" s="1"/>
  <c r="FG155" i="6"/>
  <c r="Q923" i="17" s="1"/>
  <c r="FG194" i="6"/>
  <c r="EX82" i="6"/>
  <c r="ES245" i="6"/>
  <c r="ES165" i="6"/>
  <c r="EY165" i="6" s="1"/>
  <c r="Z282" i="6"/>
  <c r="ER282" i="6"/>
  <c r="EY84" i="6"/>
  <c r="EX84" i="6"/>
  <c r="AB251" i="6"/>
  <c r="AC251" i="6" s="1"/>
  <c r="EV251" i="6"/>
  <c r="EX251" i="6" s="1"/>
  <c r="Y282" i="6"/>
  <c r="EQ282" i="6"/>
  <c r="FG302" i="6"/>
  <c r="FG236" i="6"/>
  <c r="FG160" i="6"/>
  <c r="BH206" i="6"/>
  <c r="W206" i="6" s="1"/>
  <c r="AC206" i="6"/>
  <c r="ES198" i="6"/>
  <c r="Z281" i="6"/>
  <c r="ER281" i="6"/>
  <c r="AB204" i="6"/>
  <c r="AC204" i="6" s="1"/>
  <c r="EV204" i="6"/>
  <c r="ET234" i="6"/>
  <c r="AB101" i="6"/>
  <c r="EV101" i="6"/>
  <c r="N280" i="6"/>
  <c r="AD280" i="6"/>
  <c r="P280" i="6"/>
  <c r="CH280" i="6" s="1"/>
  <c r="ES71" i="6"/>
  <c r="AB242" i="6"/>
  <c r="AC242" i="6" s="1"/>
  <c r="EV242" i="6"/>
  <c r="FG273" i="6"/>
  <c r="Q381" i="22" s="1"/>
  <c r="FG83" i="6"/>
  <c r="AA100" i="6"/>
  <c r="AC100" i="6" s="1"/>
  <c r="BF100" i="6"/>
  <c r="BS100" i="6" s="1"/>
  <c r="AB205" i="6"/>
  <c r="EV205" i="6"/>
  <c r="ES206" i="6"/>
  <c r="ES243" i="6"/>
  <c r="FG17" i="6"/>
  <c r="Z280" i="6"/>
  <c r="ER280" i="6"/>
  <c r="FG154" i="6"/>
  <c r="Q249" i="23" s="1"/>
  <c r="P249" i="23" s="1"/>
  <c r="ES238" i="6"/>
  <c r="EY307" i="6"/>
  <c r="EX307" i="6"/>
  <c r="FG109" i="6"/>
  <c r="Q179" i="23" s="1"/>
  <c r="AD281" i="6"/>
  <c r="P281" i="6"/>
  <c r="CH281" i="6" s="1"/>
  <c r="N281" i="6"/>
  <c r="EX179" i="6"/>
  <c r="EY179" i="6"/>
  <c r="AB100" i="6"/>
  <c r="EV100" i="6"/>
  <c r="BH207" i="6"/>
  <c r="W207" i="6" s="1"/>
  <c r="AC207" i="6"/>
  <c r="FZ199" i="6"/>
  <c r="FY199" i="6" s="1"/>
  <c r="EU163" i="6"/>
  <c r="EY305" i="6"/>
  <c r="FG305" i="6" s="1"/>
  <c r="BT25" i="6"/>
  <c r="ET25" i="6" s="1"/>
  <c r="EY96" i="6"/>
  <c r="EX96" i="6"/>
  <c r="EX63" i="6"/>
  <c r="EY63" i="6"/>
  <c r="EY88" i="6"/>
  <c r="EX88" i="6"/>
  <c r="BS25" i="6"/>
  <c r="EY57" i="6"/>
  <c r="EX57" i="6"/>
  <c r="EY212" i="6"/>
  <c r="EX212" i="6"/>
  <c r="BS130" i="6"/>
  <c r="ES130" i="6" s="1"/>
  <c r="BS22" i="6"/>
  <c r="EY112" i="6"/>
  <c r="EX112" i="6"/>
  <c r="EX224" i="6"/>
  <c r="EY224" i="6"/>
  <c r="EY70" i="6"/>
  <c r="EX70" i="6"/>
  <c r="EY152" i="6"/>
  <c r="EX152" i="6"/>
  <c r="EX32" i="6"/>
  <c r="EY32" i="6"/>
  <c r="BT45" i="6"/>
  <c r="ET45" i="6" s="1"/>
  <c r="EY98" i="6"/>
  <c r="EX98" i="6"/>
  <c r="EX90" i="6"/>
  <c r="EY90" i="6"/>
  <c r="BS24" i="6"/>
  <c r="EX79" i="6"/>
  <c r="EY79" i="6"/>
  <c r="BT210" i="6"/>
  <c r="ET210" i="6" s="1"/>
  <c r="EY58" i="6"/>
  <c r="EX58" i="6"/>
  <c r="EY208" i="6"/>
  <c r="EX208" i="6"/>
  <c r="EX286" i="6"/>
  <c r="EY286" i="6"/>
  <c r="BS131" i="6"/>
  <c r="ES131" i="6" s="1"/>
  <c r="EX283" i="6"/>
  <c r="EY283" i="6"/>
  <c r="BS126" i="6"/>
  <c r="ES126" i="6" s="1"/>
  <c r="BT223" i="6"/>
  <c r="ET223" i="6" s="1"/>
  <c r="EY53" i="6"/>
  <c r="EX53" i="6"/>
  <c r="BS68" i="6"/>
  <c r="EY27" i="6"/>
  <c r="EX27" i="6"/>
  <c r="EX28" i="6"/>
  <c r="EY28" i="6"/>
  <c r="EY143" i="6"/>
  <c r="EX143" i="6"/>
  <c r="EY89" i="6"/>
  <c r="EX89" i="6"/>
  <c r="BS124" i="6"/>
  <c r="ES124" i="6" s="1"/>
  <c r="EY209" i="6"/>
  <c r="EX209" i="6"/>
  <c r="BS132" i="6"/>
  <c r="EY23" i="6"/>
  <c r="EX23" i="6"/>
  <c r="EY129" i="6"/>
  <c r="EX129" i="6"/>
  <c r="BT20" i="6"/>
  <c r="ET20" i="6" s="1"/>
  <c r="EY55" i="6"/>
  <c r="EX55" i="6"/>
  <c r="EY69" i="6"/>
  <c r="EX69" i="6"/>
  <c r="EX31" i="6"/>
  <c r="EY31" i="6"/>
  <c r="BS141" i="6"/>
  <c r="EY91" i="6"/>
  <c r="EX91" i="6"/>
  <c r="BT67" i="6"/>
  <c r="ET67" i="6" s="1"/>
  <c r="BS123" i="6"/>
  <c r="EX77" i="6"/>
  <c r="EY77" i="6"/>
  <c r="BT285" i="6"/>
  <c r="ET285" i="6" s="1"/>
  <c r="EY211" i="6"/>
  <c r="EX211" i="6"/>
  <c r="EY136" i="6"/>
  <c r="EX136" i="6"/>
  <c r="EY21" i="6"/>
  <c r="EX21" i="6"/>
  <c r="BS127" i="6"/>
  <c r="ES127" i="6" s="1"/>
  <c r="BT22" i="6"/>
  <c r="ET22" i="6" s="1"/>
  <c r="EY54" i="6"/>
  <c r="EX54" i="6"/>
  <c r="EX150" i="6"/>
  <c r="EY150" i="6"/>
  <c r="BS103" i="6"/>
  <c r="ES103" i="6" s="1"/>
  <c r="BT124" i="6"/>
  <c r="ET124" i="6" s="1"/>
  <c r="EY48" i="6"/>
  <c r="EX48" i="6"/>
  <c r="EX95" i="6"/>
  <c r="EY95" i="6"/>
  <c r="EX140" i="6"/>
  <c r="EY140" i="6"/>
  <c r="EY46" i="6"/>
  <c r="EX46" i="6"/>
  <c r="EY92" i="6"/>
  <c r="EX92" i="6"/>
  <c r="EY44" i="6"/>
  <c r="EX44" i="6"/>
  <c r="BS78" i="6"/>
  <c r="ES78" i="6" s="1"/>
  <c r="BT103" i="6"/>
  <c r="ET103" i="6" s="1"/>
  <c r="BT78" i="6"/>
  <c r="ET78" i="6" s="1"/>
  <c r="EY133" i="6"/>
  <c r="EX133" i="6"/>
  <c r="EY137" i="6"/>
  <c r="EX137" i="6"/>
  <c r="BS20" i="6"/>
  <c r="EY128" i="6"/>
  <c r="EX128" i="6"/>
  <c r="BS223" i="6"/>
  <c r="EY153" i="6"/>
  <c r="EX153" i="6"/>
  <c r="BT123" i="6"/>
  <c r="ET123" i="6" s="1"/>
  <c r="EY185" i="6"/>
  <c r="EX185" i="6"/>
  <c r="EY49" i="6"/>
  <c r="EX49" i="6"/>
  <c r="EY97" i="6"/>
  <c r="EX97" i="6"/>
  <c r="BT93" i="6"/>
  <c r="ET93" i="6" s="1"/>
  <c r="EX142" i="6"/>
  <c r="EY142" i="6"/>
  <c r="BS45" i="6"/>
  <c r="EY43" i="6"/>
  <c r="EX43" i="6"/>
  <c r="BS285" i="6"/>
  <c r="EX287" i="6"/>
  <c r="EY287" i="6"/>
  <c r="BT126" i="6"/>
  <c r="ET126" i="6" s="1"/>
  <c r="EY134" i="6"/>
  <c r="EX134" i="6"/>
  <c r="EY138" i="6"/>
  <c r="EX138" i="6"/>
  <c r="EY113" i="6"/>
  <c r="EX113" i="6"/>
  <c r="BT111" i="6"/>
  <c r="ET111" i="6" s="1"/>
  <c r="EX226" i="6"/>
  <c r="EY226" i="6"/>
  <c r="BT132" i="6"/>
  <c r="ET132" i="6" s="1"/>
  <c r="BS148" i="6"/>
  <c r="EX104" i="6"/>
  <c r="EY104" i="6"/>
  <c r="BT24" i="6"/>
  <c r="ET24" i="6" s="1"/>
  <c r="EY51" i="6"/>
  <c r="EX51" i="6"/>
  <c r="BT141" i="6"/>
  <c r="ET141" i="6" s="1"/>
  <c r="BS93" i="6"/>
  <c r="ES93" i="6" s="1"/>
  <c r="EY62" i="6"/>
  <c r="EX62" i="6"/>
  <c r="EY47" i="6"/>
  <c r="EX47" i="6"/>
  <c r="BT148" i="6"/>
  <c r="ET148" i="6" s="1"/>
  <c r="BT284" i="6"/>
  <c r="ET284" i="6" s="1"/>
  <c r="BS284" i="6"/>
  <c r="BT127" i="6"/>
  <c r="ET127" i="6" s="1"/>
  <c r="EY135" i="6"/>
  <c r="EX135" i="6"/>
  <c r="EY177" i="6"/>
  <c r="EX177" i="6"/>
  <c r="EY114" i="6"/>
  <c r="EX114" i="6"/>
  <c r="EX225" i="6"/>
  <c r="EY225" i="6"/>
  <c r="BT130" i="6"/>
  <c r="ET130" i="6" s="1"/>
  <c r="EY66" i="6"/>
  <c r="EX66" i="6"/>
  <c r="EY149" i="6"/>
  <c r="EX149" i="6"/>
  <c r="EY50" i="6"/>
  <c r="EX50" i="6"/>
  <c r="BS94" i="6"/>
  <c r="BT94" i="6"/>
  <c r="ET94" i="6" s="1"/>
  <c r="EY64" i="6"/>
  <c r="EX64" i="6"/>
  <c r="EX298" i="6"/>
  <c r="EY298" i="6"/>
  <c r="BT68" i="6"/>
  <c r="ET68" i="6" s="1"/>
  <c r="EY26" i="6"/>
  <c r="EX26" i="6"/>
  <c r="EY41" i="6"/>
  <c r="EX41" i="6"/>
  <c r="EY56" i="6"/>
  <c r="EX56" i="6"/>
  <c r="BS210" i="6"/>
  <c r="EY139" i="6"/>
  <c r="EX139" i="6"/>
  <c r="EY176" i="6"/>
  <c r="EX176" i="6"/>
  <c r="BS111" i="6"/>
  <c r="EX222" i="6"/>
  <c r="EY222" i="6"/>
  <c r="BT131" i="6"/>
  <c r="ET131" i="6" s="1"/>
  <c r="BS67" i="6"/>
  <c r="EY151" i="6"/>
  <c r="EX151" i="6"/>
  <c r="FZ219" i="6"/>
  <c r="FW219" i="6" s="1"/>
  <c r="FZ220" i="6"/>
  <c r="FW220" i="6" s="1"/>
  <c r="FX235" i="6"/>
  <c r="Z348" i="23" s="1"/>
  <c r="FY235" i="6"/>
  <c r="AA348" i="23" s="1"/>
  <c r="FX237" i="6"/>
  <c r="Z807" i="17" s="1"/>
  <c r="FY237" i="6"/>
  <c r="AA807" i="17" s="1"/>
  <c r="FX236" i="6"/>
  <c r="FY236" i="6"/>
  <c r="FX183" i="6"/>
  <c r="FY183" i="6"/>
  <c r="FZ244" i="6"/>
  <c r="FW244" i="6" s="1"/>
  <c r="FZ221" i="6"/>
  <c r="FW221" i="6" s="1"/>
  <c r="FZ243" i="6"/>
  <c r="FW243" i="6" s="1"/>
  <c r="FZ245" i="6"/>
  <c r="FW245" i="6" s="1"/>
  <c r="FZ189" i="6"/>
  <c r="FW189" i="6" s="1"/>
  <c r="Y878" i="17" s="1"/>
  <c r="FZ157" i="6"/>
  <c r="FW157" i="6" s="1"/>
  <c r="FZ165" i="6"/>
  <c r="FW165" i="6" s="1"/>
  <c r="Y360" i="23" s="1"/>
  <c r="FZ238" i="6"/>
  <c r="FW238" i="6" s="1"/>
  <c r="FZ101" i="6"/>
  <c r="FW101" i="6" s="1"/>
  <c r="Y302" i="22" s="1"/>
  <c r="FZ198" i="6"/>
  <c r="FW198" i="6" s="1"/>
  <c r="Y780" i="22" s="1"/>
  <c r="FZ193" i="6"/>
  <c r="FW193" i="6" s="1"/>
  <c r="FZ184" i="6"/>
  <c r="FW184" i="6" s="1"/>
  <c r="Y353" i="23" s="1"/>
  <c r="FZ143" i="6"/>
  <c r="FW143" i="6" s="1"/>
  <c r="Y463" i="17" s="1"/>
  <c r="FZ142" i="6"/>
  <c r="FW142" i="6" s="1"/>
  <c r="FZ166" i="6"/>
  <c r="FW166" i="6" s="1"/>
  <c r="Y824" i="22" s="1"/>
  <c r="FZ175" i="6"/>
  <c r="FW175" i="6" s="1"/>
  <c r="FZ84" i="6"/>
  <c r="FW84" i="6" s="1"/>
  <c r="Y414" i="17" s="1"/>
  <c r="FZ194" i="6"/>
  <c r="FW194" i="6" s="1"/>
  <c r="FZ134" i="6"/>
  <c r="FW134" i="6" s="1"/>
  <c r="EY166" i="6" l="1"/>
  <c r="AA812" i="22"/>
  <c r="AA894" i="17"/>
  <c r="AA895" i="17"/>
  <c r="AA844" i="22"/>
  <c r="AA811" i="22"/>
  <c r="AA885" i="17"/>
  <c r="AA884" i="17"/>
  <c r="Y881" i="17"/>
  <c r="Y882" i="17"/>
  <c r="Y839" i="17"/>
  <c r="Y855" i="17"/>
  <c r="Y847" i="17"/>
  <c r="Y749" i="22"/>
  <c r="Y846" i="17"/>
  <c r="Y857" i="17"/>
  <c r="Y740" i="22"/>
  <c r="Y742" i="22"/>
  <c r="Y837" i="17"/>
  <c r="Y853" i="17"/>
  <c r="Y844" i="17"/>
  <c r="Y744" i="22"/>
  <c r="Y852" i="17"/>
  <c r="Y835" i="17"/>
  <c r="Y843" i="17"/>
  <c r="Y918" i="17"/>
  <c r="Y919" i="17"/>
  <c r="Y740" i="17"/>
  <c r="Y735" i="17"/>
  <c r="Y751" i="17"/>
  <c r="Y734" i="17"/>
  <c r="Y748" i="17"/>
  <c r="Y666" i="22"/>
  <c r="Y654" i="22"/>
  <c r="Y743" i="17"/>
  <c r="Y738" i="17"/>
  <c r="Y656" i="22"/>
  <c r="Y659" i="22"/>
  <c r="Y663" i="22"/>
  <c r="Y671" i="22"/>
  <c r="Y752" i="17"/>
  <c r="Y655" i="22"/>
  <c r="Y753" i="17"/>
  <c r="Y744" i="17"/>
  <c r="Y739" i="17"/>
  <c r="Y741" i="17"/>
  <c r="Y791" i="22"/>
  <c r="Y816" i="22"/>
  <c r="Y817" i="22"/>
  <c r="Y819" i="22"/>
  <c r="Y792" i="22"/>
  <c r="Y818" i="22"/>
  <c r="Y717" i="22"/>
  <c r="Y813" i="17"/>
  <c r="Y793" i="17"/>
  <c r="Y801" i="17"/>
  <c r="Y805" i="17"/>
  <c r="Y817" i="17"/>
  <c r="Y797" i="17"/>
  <c r="Y796" i="17"/>
  <c r="Y809" i="17"/>
  <c r="Y812" i="17"/>
  <c r="Y722" i="22"/>
  <c r="Y713" i="22"/>
  <c r="Y721" i="22"/>
  <c r="Y716" i="22"/>
  <c r="Y710" i="22"/>
  <c r="Y818" i="17"/>
  <c r="Y806" i="17"/>
  <c r="Y711" i="22"/>
  <c r="Y790" i="17"/>
  <c r="Y811" i="17"/>
  <c r="Y794" i="17"/>
  <c r="Y814" i="17"/>
  <c r="Y799" i="17"/>
  <c r="Y802" i="17"/>
  <c r="Y798" i="17"/>
  <c r="Y810" i="17"/>
  <c r="Y712" i="22"/>
  <c r="Y719" i="22"/>
  <c r="Y720" i="22"/>
  <c r="Y715" i="22"/>
  <c r="Y815" i="17"/>
  <c r="Y803" i="17"/>
  <c r="Y792" i="17"/>
  <c r="Y808" i="17"/>
  <c r="Y800" i="17"/>
  <c r="Y816" i="17"/>
  <c r="Y833" i="17"/>
  <c r="Y757" i="22"/>
  <c r="Y741" i="22"/>
  <c r="Y838" i="17"/>
  <c r="Y841" i="17"/>
  <c r="Y849" i="17"/>
  <c r="Y750" i="22"/>
  <c r="Y756" i="22"/>
  <c r="Y748" i="22"/>
  <c r="Y752" i="22"/>
  <c r="Y759" i="22"/>
  <c r="Y751" i="22"/>
  <c r="Y753" i="22"/>
  <c r="Y755" i="22"/>
  <c r="Y834" i="17"/>
  <c r="Y845" i="17"/>
  <c r="Y850" i="17"/>
  <c r="Y858" i="17"/>
  <c r="Y842" i="17"/>
  <c r="Y754" i="22"/>
  <c r="Y747" i="22"/>
  <c r="Y745" i="22"/>
  <c r="Y743" i="22"/>
  <c r="Y836" i="17"/>
  <c r="Y746" i="22"/>
  <c r="Y848" i="17"/>
  <c r="Y851" i="17"/>
  <c r="Y859" i="17"/>
  <c r="Y929" i="17"/>
  <c r="Y856" i="17"/>
  <c r="Y840" i="17"/>
  <c r="Y661" i="22"/>
  <c r="Y657" i="22"/>
  <c r="Y742" i="17"/>
  <c r="Z364" i="23"/>
  <c r="Z365" i="23"/>
  <c r="Y653" i="22"/>
  <c r="Y759" i="17"/>
  <c r="Y669" i="22"/>
  <c r="Y756" i="17"/>
  <c r="Y665" i="22"/>
  <c r="Y760" i="17"/>
  <c r="Y660" i="22"/>
  <c r="Y658" i="22"/>
  <c r="Y670" i="22"/>
  <c r="Y668" i="22"/>
  <c r="Y662" i="22"/>
  <c r="Y746" i="17"/>
  <c r="Y664" i="22"/>
  <c r="Y667" i="22"/>
  <c r="Y754" i="17"/>
  <c r="Y737" i="17"/>
  <c r="Y745" i="17"/>
  <c r="Y757" i="17"/>
  <c r="Y747" i="17"/>
  <c r="Y749" i="17"/>
  <c r="Y736" i="17"/>
  <c r="Y755" i="17"/>
  <c r="Y758" i="17"/>
  <c r="Y750" i="17"/>
  <c r="Y887" i="17"/>
  <c r="Y886" i="17"/>
  <c r="AA364" i="23"/>
  <c r="AA365" i="23"/>
  <c r="Y794" i="22"/>
  <c r="Y793" i="22"/>
  <c r="AA725" i="22"/>
  <c r="AA825" i="17"/>
  <c r="AA726" i="22"/>
  <c r="AA733" i="22"/>
  <c r="AA821" i="17"/>
  <c r="AA728" i="22"/>
  <c r="AA729" i="22"/>
  <c r="AA828" i="17"/>
  <c r="AA727" i="22"/>
  <c r="AA820" i="17"/>
  <c r="AA731" i="22"/>
  <c r="AA724" i="22"/>
  <c r="AA734" i="22"/>
  <c r="AA732" i="22"/>
  <c r="AA823" i="17"/>
  <c r="AA822" i="17"/>
  <c r="AA819" i="17"/>
  <c r="AA826" i="17"/>
  <c r="AA829" i="17"/>
  <c r="AA830" i="17"/>
  <c r="AA827" i="17"/>
  <c r="AA736" i="22"/>
  <c r="AA735" i="22"/>
  <c r="AA723" i="22"/>
  <c r="AA737" i="22"/>
  <c r="AA739" i="22"/>
  <c r="AA738" i="22"/>
  <c r="AA730" i="22"/>
  <c r="AA824" i="17"/>
  <c r="AA831" i="17"/>
  <c r="AA832" i="17"/>
  <c r="Z733" i="22"/>
  <c r="Z726" i="22"/>
  <c r="Z725" i="22"/>
  <c r="Z825" i="17"/>
  <c r="Z821" i="17"/>
  <c r="Z728" i="22"/>
  <c r="Z729" i="22"/>
  <c r="Z820" i="17"/>
  <c r="Z828" i="17"/>
  <c r="Z727" i="22"/>
  <c r="Z731" i="22"/>
  <c r="Z734" i="22"/>
  <c r="Z732" i="22"/>
  <c r="Z724" i="22"/>
  <c r="Z822" i="17"/>
  <c r="Z826" i="17"/>
  <c r="Z823" i="17"/>
  <c r="Z819" i="17"/>
  <c r="Z830" i="17"/>
  <c r="Z827" i="17"/>
  <c r="Z829" i="17"/>
  <c r="Z730" i="22"/>
  <c r="Z738" i="22"/>
  <c r="Z737" i="22"/>
  <c r="Z739" i="22"/>
  <c r="Z736" i="22"/>
  <c r="Z723" i="22"/>
  <c r="Z735" i="22"/>
  <c r="Z832" i="17"/>
  <c r="Z831" i="17"/>
  <c r="Z824" i="17"/>
  <c r="Q356" i="23"/>
  <c r="P356" i="23" s="1"/>
  <c r="Q357" i="23"/>
  <c r="P357" i="23" s="1"/>
  <c r="Q319" i="23"/>
  <c r="P319" i="23" s="1"/>
  <c r="Q320" i="23"/>
  <c r="P320" i="23" s="1"/>
  <c r="Q321" i="23"/>
  <c r="P321" i="23" s="1"/>
  <c r="Q233" i="23"/>
  <c r="Q234" i="23"/>
  <c r="Q362" i="23"/>
  <c r="P362" i="23" s="1"/>
  <c r="Q361" i="23"/>
  <c r="P361" i="23" s="1"/>
  <c r="Q185" i="23"/>
  <c r="Q181" i="23"/>
  <c r="Q184" i="23"/>
  <c r="Q182" i="23"/>
  <c r="Q74" i="23"/>
  <c r="Q73" i="23"/>
  <c r="Q66" i="23"/>
  <c r="Q70" i="23"/>
  <c r="Q71" i="23"/>
  <c r="Q69" i="23"/>
  <c r="Q77" i="23"/>
  <c r="Q68" i="23"/>
  <c r="Q75" i="23"/>
  <c r="Q67" i="23"/>
  <c r="Q76" i="23"/>
  <c r="Q72" i="23"/>
  <c r="P348" i="23"/>
  <c r="AD348" i="23"/>
  <c r="Q366" i="23"/>
  <c r="P366" i="23" s="1"/>
  <c r="Q371" i="23"/>
  <c r="P371" i="23" s="1"/>
  <c r="Q312" i="23"/>
  <c r="Q314" i="23"/>
  <c r="Q317" i="23"/>
  <c r="Q99" i="23"/>
  <c r="Q98" i="23"/>
  <c r="Q103" i="23"/>
  <c r="Q102" i="23"/>
  <c r="Q100" i="23"/>
  <c r="Q104" i="23"/>
  <c r="Q101" i="23"/>
  <c r="Q105" i="23"/>
  <c r="P370" i="23"/>
  <c r="AD370" i="23"/>
  <c r="Q241" i="23"/>
  <c r="Q237" i="23"/>
  <c r="Q238" i="23"/>
  <c r="Q235" i="23"/>
  <c r="Q242" i="23"/>
  <c r="Q239" i="23"/>
  <c r="Q240" i="23"/>
  <c r="Q236" i="23"/>
  <c r="Q343" i="23"/>
  <c r="Q351" i="23"/>
  <c r="Q342" i="23"/>
  <c r="Q339" i="23"/>
  <c r="Q347" i="23"/>
  <c r="Q346" i="23"/>
  <c r="Q338" i="23"/>
  <c r="Q350" i="23"/>
  <c r="Q340" i="23"/>
  <c r="Q344" i="23"/>
  <c r="Q345" i="23"/>
  <c r="Q337" i="23"/>
  <c r="Q349" i="23"/>
  <c r="Q341" i="23"/>
  <c r="Q364" i="23"/>
  <c r="P364" i="23" s="1"/>
  <c r="Q365" i="23"/>
  <c r="P365" i="23" s="1"/>
  <c r="Y166" i="23"/>
  <c r="Y162" i="23"/>
  <c r="Q247" i="23"/>
  <c r="Q246" i="23"/>
  <c r="Q225" i="23"/>
  <c r="Q227" i="23"/>
  <c r="Q231" i="23"/>
  <c r="Q232" i="23"/>
  <c r="Q229" i="23"/>
  <c r="Q228" i="23"/>
  <c r="Q226" i="23"/>
  <c r="Q222" i="23"/>
  <c r="Q230" i="23"/>
  <c r="Q223" i="23"/>
  <c r="Q224" i="23"/>
  <c r="P179" i="23"/>
  <c r="AD179" i="23"/>
  <c r="EX282" i="6"/>
  <c r="FG282" i="6" s="1"/>
  <c r="DK282" i="6" s="1"/>
  <c r="Q183" i="23"/>
  <c r="Q180" i="23"/>
  <c r="P368" i="23"/>
  <c r="AD368" i="23"/>
  <c r="Q363" i="23"/>
  <c r="P363" i="23" s="1"/>
  <c r="Q354" i="23"/>
  <c r="P354" i="23" s="1"/>
  <c r="Q507" i="22"/>
  <c r="P507" i="22" s="1"/>
  <c r="Q694" i="22"/>
  <c r="P694" i="22" s="1"/>
  <c r="EY101" i="6"/>
  <c r="Q375" i="22"/>
  <c r="P375" i="22" s="1"/>
  <c r="Q374" i="22"/>
  <c r="P374" i="22" s="1"/>
  <c r="Y348" i="22"/>
  <c r="Q726" i="22"/>
  <c r="Q725" i="22"/>
  <c r="Q733" i="22"/>
  <c r="Q728" i="22"/>
  <c r="Q729" i="22"/>
  <c r="Q727" i="22"/>
  <c r="Q734" i="22"/>
  <c r="Q731" i="22"/>
  <c r="Q732" i="22"/>
  <c r="Q724" i="22"/>
  <c r="Q738" i="22"/>
  <c r="Q723" i="22"/>
  <c r="Q735" i="22"/>
  <c r="Q739" i="22"/>
  <c r="Q736" i="22"/>
  <c r="Q730" i="22"/>
  <c r="Q737" i="22"/>
  <c r="Q863" i="22"/>
  <c r="Q865" i="22"/>
  <c r="Q864" i="22"/>
  <c r="P846" i="22"/>
  <c r="AD846" i="22"/>
  <c r="P403" i="22"/>
  <c r="AD403" i="22"/>
  <c r="Q629" i="22"/>
  <c r="P629" i="22" s="1"/>
  <c r="Q623" i="22"/>
  <c r="P623" i="22" s="1"/>
  <c r="Q637" i="22"/>
  <c r="P637" i="22" s="1"/>
  <c r="Q633" i="22"/>
  <c r="P633" i="22" s="1"/>
  <c r="Q627" i="22"/>
  <c r="P627" i="22" s="1"/>
  <c r="Q628" i="22"/>
  <c r="P628" i="22" s="1"/>
  <c r="Q636" i="22"/>
  <c r="P636" i="22" s="1"/>
  <c r="Q634" i="22"/>
  <c r="P634" i="22" s="1"/>
  <c r="Q625" i="22"/>
  <c r="P625" i="22" s="1"/>
  <c r="Q632" i="22"/>
  <c r="P632" i="22" s="1"/>
  <c r="Q626" i="22"/>
  <c r="P626" i="22" s="1"/>
  <c r="Q624" i="22"/>
  <c r="P624" i="22" s="1"/>
  <c r="Q40" i="22"/>
  <c r="P40" i="22" s="1"/>
  <c r="Q32" i="22"/>
  <c r="P32" i="22" s="1"/>
  <c r="Q18" i="22"/>
  <c r="P18" i="22" s="1"/>
  <c r="Q771" i="22"/>
  <c r="P771" i="22" s="1"/>
  <c r="Q21" i="22"/>
  <c r="P21" i="22" s="1"/>
  <c r="Q13" i="22"/>
  <c r="P13" i="22" s="1"/>
  <c r="Q12" i="22"/>
  <c r="P12" i="22" s="1"/>
  <c r="Q22" i="22"/>
  <c r="P22" i="22" s="1"/>
  <c r="Q14" i="22"/>
  <c r="P14" i="22" s="1"/>
  <c r="Q39" i="22"/>
  <c r="P39" i="22" s="1"/>
  <c r="Q34" i="22"/>
  <c r="P34" i="22" s="1"/>
  <c r="Q17" i="22"/>
  <c r="P17" i="22" s="1"/>
  <c r="Q33" i="22"/>
  <c r="P33" i="22" s="1"/>
  <c r="Q30" i="22"/>
  <c r="P30" i="22" s="1"/>
  <c r="Q41" i="22"/>
  <c r="P41" i="22" s="1"/>
  <c r="Q645" i="22"/>
  <c r="Q641" i="22"/>
  <c r="Q649" i="22"/>
  <c r="Q650" i="22"/>
  <c r="Q646" i="22"/>
  <c r="Q638" i="22"/>
  <c r="Q652" i="22"/>
  <c r="Q642" i="22"/>
  <c r="Q644" i="22"/>
  <c r="Q639" i="22"/>
  <c r="Q640" i="22"/>
  <c r="Q651" i="22"/>
  <c r="Q648" i="22"/>
  <c r="Q643" i="22"/>
  <c r="Q647" i="22"/>
  <c r="Q851" i="22"/>
  <c r="Q852" i="22"/>
  <c r="Q853" i="22"/>
  <c r="P847" i="22"/>
  <c r="AD847" i="22"/>
  <c r="Q42" i="22"/>
  <c r="Q11" i="22"/>
  <c r="Q869" i="22"/>
  <c r="Q868" i="22"/>
  <c r="Q867" i="22"/>
  <c r="Q802" i="22"/>
  <c r="Q776" i="22"/>
  <c r="Q777" i="22"/>
  <c r="Q365" i="22"/>
  <c r="Q364" i="22"/>
  <c r="Q362" i="22"/>
  <c r="Q367" i="22"/>
  <c r="Q363" i="22"/>
  <c r="Q860" i="22"/>
  <c r="Q859" i="22"/>
  <c r="Q858" i="22"/>
  <c r="Q861" i="22"/>
  <c r="Q862" i="22"/>
  <c r="Q798" i="22"/>
  <c r="P798" i="22" s="1"/>
  <c r="Q799" i="22"/>
  <c r="P799" i="22" s="1"/>
  <c r="Q490" i="22"/>
  <c r="P490" i="22" s="1"/>
  <c r="Q474" i="22"/>
  <c r="P474" i="22" s="1"/>
  <c r="Q482" i="22"/>
  <c r="P482" i="22" s="1"/>
  <c r="Q468" i="22"/>
  <c r="P468" i="22" s="1"/>
  <c r="Q476" i="22"/>
  <c r="P476" i="22" s="1"/>
  <c r="Q472" i="22"/>
  <c r="P472" i="22" s="1"/>
  <c r="Q480" i="22"/>
  <c r="P480" i="22" s="1"/>
  <c r="Q488" i="22"/>
  <c r="P488" i="22" s="1"/>
  <c r="Q471" i="22"/>
  <c r="P471" i="22" s="1"/>
  <c r="Q469" i="22"/>
  <c r="P469" i="22" s="1"/>
  <c r="Q478" i="22"/>
  <c r="P478" i="22" s="1"/>
  <c r="Q477" i="22"/>
  <c r="P477" i="22" s="1"/>
  <c r="Q384" i="22"/>
  <c r="Q376" i="22"/>
  <c r="Q377" i="22"/>
  <c r="Q378" i="22"/>
  <c r="Q382" i="22"/>
  <c r="Q383" i="22"/>
  <c r="Q380" i="22"/>
  <c r="Q379" i="22"/>
  <c r="Q823" i="22"/>
  <c r="P823" i="22" s="1"/>
  <c r="Q804" i="22"/>
  <c r="P804" i="22" s="1"/>
  <c r="Q795" i="22"/>
  <c r="P795" i="22" s="1"/>
  <c r="Q832" i="22"/>
  <c r="P832" i="22" s="1"/>
  <c r="Q849" i="22"/>
  <c r="Q848" i="22"/>
  <c r="Q850" i="22"/>
  <c r="Q417" i="22"/>
  <c r="Q416" i="22"/>
  <c r="Q424" i="22"/>
  <c r="Q421" i="22"/>
  <c r="Q425" i="22"/>
  <c r="Q413" i="22"/>
  <c r="Q420" i="22"/>
  <c r="Q422" i="22"/>
  <c r="Q414" i="22"/>
  <c r="Q419" i="22"/>
  <c r="Q412" i="22"/>
  <c r="Q423" i="22"/>
  <c r="Q418" i="22"/>
  <c r="Q415" i="22"/>
  <c r="Q400" i="22"/>
  <c r="Q401" i="22"/>
  <c r="Q388" i="22"/>
  <c r="Q402" i="22"/>
  <c r="Q392" i="22"/>
  <c r="Q386" i="22"/>
  <c r="Q393" i="22"/>
  <c r="Q397" i="22"/>
  <c r="Q385" i="22"/>
  <c r="Q399" i="22"/>
  <c r="P356" i="22"/>
  <c r="AD356" i="22"/>
  <c r="Q871" i="22"/>
  <c r="Q870" i="22"/>
  <c r="Q872" i="22"/>
  <c r="Q321" i="22"/>
  <c r="Q317" i="22"/>
  <c r="Q320" i="22"/>
  <c r="Q319" i="22"/>
  <c r="Q316" i="22"/>
  <c r="Q315" i="22"/>
  <c r="Q322" i="22"/>
  <c r="Q318" i="22"/>
  <c r="Q396" i="22"/>
  <c r="Q394" i="22"/>
  <c r="Q389" i="22"/>
  <c r="Q398" i="22"/>
  <c r="Q390" i="22"/>
  <c r="Q395" i="22"/>
  <c r="Q387" i="22"/>
  <c r="Q391" i="22"/>
  <c r="Q498" i="22"/>
  <c r="Q492" i="22"/>
  <c r="Q499" i="22"/>
  <c r="Q491" i="22"/>
  <c r="Q496" i="22"/>
  <c r="Q501" i="22"/>
  <c r="Q493" i="22"/>
  <c r="Q500" i="22"/>
  <c r="Q497" i="22"/>
  <c r="Q494" i="22"/>
  <c r="Q495" i="22"/>
  <c r="Q820" i="22"/>
  <c r="P820" i="22" s="1"/>
  <c r="Q789" i="22"/>
  <c r="P789" i="22" s="1"/>
  <c r="Q790" i="22"/>
  <c r="P790" i="22" s="1"/>
  <c r="Q821" i="22"/>
  <c r="P821" i="22" s="1"/>
  <c r="Q709" i="22"/>
  <c r="Q701" i="22"/>
  <c r="Q708" i="22"/>
  <c r="Q706" i="22"/>
  <c r="Q702" i="22"/>
  <c r="Q705" i="22"/>
  <c r="Q703" i="22"/>
  <c r="Q707" i="22"/>
  <c r="Q704" i="22"/>
  <c r="Q20" i="22"/>
  <c r="P20" i="22" s="1"/>
  <c r="Q28" i="22"/>
  <c r="P28" i="22" s="1"/>
  <c r="Q15" i="22"/>
  <c r="P15" i="22" s="1"/>
  <c r="Q23" i="22"/>
  <c r="P23" i="22" s="1"/>
  <c r="Q31" i="22"/>
  <c r="P31" i="22" s="1"/>
  <c r="Q26" i="22"/>
  <c r="P26" i="22" s="1"/>
  <c r="Q24" i="22"/>
  <c r="P24" i="22" s="1"/>
  <c r="Q36" i="22"/>
  <c r="P36" i="22" s="1"/>
  <c r="Q16" i="22"/>
  <c r="P16" i="22" s="1"/>
  <c r="Q9" i="22"/>
  <c r="P9" i="22" s="1"/>
  <c r="Q807" i="22"/>
  <c r="P807" i="22" s="1"/>
  <c r="Q35" i="22"/>
  <c r="P35" i="22" s="1"/>
  <c r="Q10" i="22"/>
  <c r="P10" i="22" s="1"/>
  <c r="Q29" i="22"/>
  <c r="P29" i="22" s="1"/>
  <c r="Q19" i="22"/>
  <c r="P19" i="22" s="1"/>
  <c r="Q27" i="22"/>
  <c r="P27" i="22" s="1"/>
  <c r="Q800" i="22"/>
  <c r="P800" i="22" s="1"/>
  <c r="Q38" i="22"/>
  <c r="P38" i="22" s="1"/>
  <c r="Q840" i="22"/>
  <c r="P840" i="22" s="1"/>
  <c r="Q25" i="22"/>
  <c r="P25" i="22" s="1"/>
  <c r="P381" i="22"/>
  <c r="AD381" i="22"/>
  <c r="Q805" i="22"/>
  <c r="P805" i="22" s="1"/>
  <c r="Q833" i="22"/>
  <c r="P833" i="22" s="1"/>
  <c r="Q63" i="22"/>
  <c r="Q57" i="22"/>
  <c r="Q61" i="22"/>
  <c r="Q47" i="22"/>
  <c r="Q44" i="22"/>
  <c r="Q53" i="22"/>
  <c r="Q59" i="22"/>
  <c r="Q45" i="22"/>
  <c r="Q55" i="22"/>
  <c r="Q49" i="22"/>
  <c r="Q50" i="22"/>
  <c r="Q37" i="22"/>
  <c r="Q64" i="22"/>
  <c r="Q62" i="22"/>
  <c r="Q52" i="22"/>
  <c r="Q60" i="22"/>
  <c r="Q46" i="22"/>
  <c r="Q58" i="22"/>
  <c r="Q43" i="22"/>
  <c r="Q54" i="22"/>
  <c r="Q51" i="22"/>
  <c r="Q48" i="22"/>
  <c r="Q56" i="22"/>
  <c r="Q408" i="22"/>
  <c r="Q407" i="22"/>
  <c r="AD374" i="22"/>
  <c r="Q781" i="22"/>
  <c r="P781" i="22" s="1"/>
  <c r="Q782" i="22"/>
  <c r="P782" i="22" s="1"/>
  <c r="Q841" i="22"/>
  <c r="P841" i="22" s="1"/>
  <c r="Q842" i="22"/>
  <c r="P842" i="22" s="1"/>
  <c r="P839" i="22"/>
  <c r="AD839" i="22"/>
  <c r="Q366" i="22"/>
  <c r="Q361" i="22"/>
  <c r="Q630" i="22"/>
  <c r="P630" i="22" s="1"/>
  <c r="Q631" i="22"/>
  <c r="P631" i="22" s="1"/>
  <c r="Q525" i="17"/>
  <c r="P525" i="17" s="1"/>
  <c r="Q468" i="17"/>
  <c r="P468" i="17" s="1"/>
  <c r="P570" i="17"/>
  <c r="AD570" i="17"/>
  <c r="P567" i="17"/>
  <c r="AD567" i="17"/>
  <c r="Q681" i="17"/>
  <c r="Q685" i="17"/>
  <c r="Q703" i="17"/>
  <c r="P572" i="17"/>
  <c r="AD572" i="17"/>
  <c r="P568" i="17"/>
  <c r="AD568" i="17"/>
  <c r="P932" i="17"/>
  <c r="AD932" i="17"/>
  <c r="P791" i="17"/>
  <c r="AD791" i="17"/>
  <c r="P574" i="17"/>
  <c r="AD574" i="17"/>
  <c r="P566" i="17"/>
  <c r="AD566" i="17"/>
  <c r="P923" i="17"/>
  <c r="AD923" i="17"/>
  <c r="Q530" i="17"/>
  <c r="Q533" i="17"/>
  <c r="Q532" i="17"/>
  <c r="Q529" i="17"/>
  <c r="Q531" i="17"/>
  <c r="Q684" i="17"/>
  <c r="P684" i="17" s="1"/>
  <c r="Q708" i="17"/>
  <c r="P708" i="17" s="1"/>
  <c r="Q695" i="17"/>
  <c r="P695" i="17" s="1"/>
  <c r="Q691" i="17"/>
  <c r="P691" i="17" s="1"/>
  <c r="Q700" i="17"/>
  <c r="P700" i="17" s="1"/>
  <c r="Q679" i="17"/>
  <c r="P679" i="17" s="1"/>
  <c r="Q706" i="17"/>
  <c r="P706" i="17" s="1"/>
  <c r="Q694" i="17"/>
  <c r="P694" i="17" s="1"/>
  <c r="Q687" i="17"/>
  <c r="P687" i="17" s="1"/>
  <c r="Q690" i="17"/>
  <c r="P690" i="17" s="1"/>
  <c r="Q698" i="17"/>
  <c r="P698" i="17" s="1"/>
  <c r="Q686" i="17"/>
  <c r="P686" i="17" s="1"/>
  <c r="Q689" i="17"/>
  <c r="P689" i="17" s="1"/>
  <c r="Q693" i="17"/>
  <c r="P693" i="17" s="1"/>
  <c r="Q696" i="17"/>
  <c r="P696" i="17" s="1"/>
  <c r="Q680" i="17"/>
  <c r="P680" i="17" s="1"/>
  <c r="Q678" i="17"/>
  <c r="P678" i="17" s="1"/>
  <c r="Q683" i="17"/>
  <c r="P683" i="17" s="1"/>
  <c r="Q709" i="17"/>
  <c r="P709" i="17" s="1"/>
  <c r="Q707" i="17"/>
  <c r="P707" i="17" s="1"/>
  <c r="Q702" i="17"/>
  <c r="P702" i="17" s="1"/>
  <c r="Q704" i="17"/>
  <c r="P704" i="17" s="1"/>
  <c r="Q701" i="17"/>
  <c r="P701" i="17" s="1"/>
  <c r="Q697" i="17"/>
  <c r="P697" i="17" s="1"/>
  <c r="P527" i="17"/>
  <c r="AD527" i="17"/>
  <c r="Q732" i="17"/>
  <c r="Q724" i="17"/>
  <c r="Q716" i="17"/>
  <c r="Q710" i="17"/>
  <c r="Q726" i="17"/>
  <c r="Q727" i="17"/>
  <c r="Q711" i="17"/>
  <c r="Q730" i="17"/>
  <c r="Q714" i="17"/>
  <c r="Q722" i="17"/>
  <c r="Q728" i="17"/>
  <c r="Q719" i="17"/>
  <c r="Q721" i="17"/>
  <c r="Q720" i="17"/>
  <c r="Q733" i="17"/>
  <c r="Q717" i="17"/>
  <c r="Q713" i="17"/>
  <c r="Q715" i="17"/>
  <c r="Q723" i="17"/>
  <c r="Q712" i="17"/>
  <c r="Q725" i="17"/>
  <c r="Q718" i="17"/>
  <c r="Q729" i="17"/>
  <c r="Q731" i="17"/>
  <c r="Q526" i="17"/>
  <c r="Q524" i="17"/>
  <c r="P573" i="17"/>
  <c r="AD573" i="17"/>
  <c r="Q825" i="17"/>
  <c r="Q821" i="17"/>
  <c r="Q828" i="17"/>
  <c r="Q820" i="17"/>
  <c r="Q819" i="17"/>
  <c r="Q830" i="17"/>
  <c r="Q822" i="17"/>
  <c r="Q826" i="17"/>
  <c r="Q823" i="17"/>
  <c r="Q829" i="17"/>
  <c r="Q827" i="17"/>
  <c r="Q832" i="17"/>
  <c r="Q831" i="17"/>
  <c r="Q824" i="17"/>
  <c r="Y451" i="17"/>
  <c r="Y457" i="17"/>
  <c r="Y444" i="17"/>
  <c r="Y441" i="17"/>
  <c r="Y434" i="17"/>
  <c r="Y445" i="17"/>
  <c r="Y458" i="17"/>
  <c r="Y450" i="17"/>
  <c r="Y433" i="17"/>
  <c r="Y447" i="17"/>
  <c r="Q911" i="17"/>
  <c r="P911" i="17" s="1"/>
  <c r="Q883" i="17"/>
  <c r="P883" i="17" s="1"/>
  <c r="Q472" i="17"/>
  <c r="Q470" i="17"/>
  <c r="Q469" i="17"/>
  <c r="Q473" i="17"/>
  <c r="Q471" i="17"/>
  <c r="Q579" i="17"/>
  <c r="P579" i="17" s="1"/>
  <c r="Q575" i="17"/>
  <c r="P575" i="17" s="1"/>
  <c r="Q587" i="17"/>
  <c r="P587" i="17" s="1"/>
  <c r="Q928" i="17"/>
  <c r="P928" i="17" s="1"/>
  <c r="Q588" i="17"/>
  <c r="P588" i="17" s="1"/>
  <c r="Q912" i="17"/>
  <c r="P912" i="17" s="1"/>
  <c r="Q889" i="17"/>
  <c r="P889" i="17" s="1"/>
  <c r="Q584" i="17"/>
  <c r="P584" i="17" s="1"/>
  <c r="Q582" i="17"/>
  <c r="P582" i="17" s="1"/>
  <c r="Q577" i="17"/>
  <c r="P577" i="17" s="1"/>
  <c r="Q576" i="17"/>
  <c r="P576" i="17" s="1"/>
  <c r="Q888" i="17"/>
  <c r="P888" i="17" s="1"/>
  <c r="Q580" i="17"/>
  <c r="P580" i="17" s="1"/>
  <c r="Q581" i="17"/>
  <c r="P581" i="17" s="1"/>
  <c r="Q585" i="17"/>
  <c r="P585" i="17" s="1"/>
  <c r="P571" i="17"/>
  <c r="AD571" i="17"/>
  <c r="Q699" i="17"/>
  <c r="P699" i="17" s="1"/>
  <c r="Q922" i="17"/>
  <c r="P922" i="17" s="1"/>
  <c r="Q682" i="17"/>
  <c r="P682" i="17" s="1"/>
  <c r="P534" i="17"/>
  <c r="AD534" i="17"/>
  <c r="N566" i="17"/>
  <c r="N568" i="17"/>
  <c r="N567" i="17"/>
  <c r="N564" i="17"/>
  <c r="N569" i="17"/>
  <c r="N565" i="17"/>
  <c r="P565" i="17"/>
  <c r="AD565" i="17"/>
  <c r="Q419" i="17"/>
  <c r="Q418" i="17"/>
  <c r="Q416" i="17"/>
  <c r="Q517" i="17"/>
  <c r="Q516" i="17"/>
  <c r="Q508" i="17"/>
  <c r="Q505" i="17"/>
  <c r="Q522" i="17"/>
  <c r="Q509" i="17"/>
  <c r="Q506" i="17"/>
  <c r="Q521" i="17"/>
  <c r="Q514" i="17"/>
  <c r="Q507" i="17"/>
  <c r="Q519" i="17"/>
  <c r="Q513" i="17"/>
  <c r="Q520" i="17"/>
  <c r="Q515" i="17"/>
  <c r="Q510" i="17"/>
  <c r="Q511" i="17"/>
  <c r="Q518" i="17"/>
  <c r="Q512" i="17"/>
  <c r="Q589" i="17"/>
  <c r="Q594" i="17"/>
  <c r="Q597" i="17"/>
  <c r="Q591" i="17"/>
  <c r="Q593" i="17"/>
  <c r="Q600" i="17"/>
  <c r="Q599" i="17"/>
  <c r="Q590" i="17"/>
  <c r="Q595" i="17"/>
  <c r="Q592" i="17"/>
  <c r="Q596" i="17"/>
  <c r="Q598" i="17"/>
  <c r="Q881" i="17"/>
  <c r="P881" i="17" s="1"/>
  <c r="Q882" i="17"/>
  <c r="P882" i="17" s="1"/>
  <c r="P417" i="17"/>
  <c r="AD417" i="17"/>
  <c r="N571" i="17"/>
  <c r="N573" i="17"/>
  <c r="N572" i="17"/>
  <c r="N574" i="17"/>
  <c r="N570" i="17"/>
  <c r="P564" i="17"/>
  <c r="AD564" i="17"/>
  <c r="P795" i="17"/>
  <c r="AD795" i="17"/>
  <c r="Q919" i="17"/>
  <c r="P919" i="17" s="1"/>
  <c r="Q918" i="17"/>
  <c r="P918" i="17" s="1"/>
  <c r="P528" i="17"/>
  <c r="AD528" i="17"/>
  <c r="Q541" i="17"/>
  <c r="Q540" i="17"/>
  <c r="Q502" i="17"/>
  <c r="Q500" i="17"/>
  <c r="Q492" i="17"/>
  <c r="Q504" i="17"/>
  <c r="Q499" i="17"/>
  <c r="Q493" i="17"/>
  <c r="Q498" i="17"/>
  <c r="Q501" i="17"/>
  <c r="Q496" i="17"/>
  <c r="Q503" i="17"/>
  <c r="Q495" i="17"/>
  <c r="Q497" i="17"/>
  <c r="Q494" i="17"/>
  <c r="Q908" i="17"/>
  <c r="P908" i="17" s="1"/>
  <c r="Q804" i="17"/>
  <c r="P804" i="17" s="1"/>
  <c r="Q907" i="17"/>
  <c r="P907" i="17" s="1"/>
  <c r="Q924" i="17"/>
  <c r="Q925" i="17"/>
  <c r="P569" i="17"/>
  <c r="AD569" i="17"/>
  <c r="FF307" i="6" a="1"/>
  <c r="FF307" i="6" s="1"/>
  <c r="FG307" i="6" s="1"/>
  <c r="EX218" i="6"/>
  <c r="DK188" i="6"/>
  <c r="N839" i="22" s="1"/>
  <c r="EX157" i="6"/>
  <c r="FG157" i="6" s="1"/>
  <c r="EX246" i="6"/>
  <c r="FG246" i="6" s="1"/>
  <c r="Q758" i="22" s="1"/>
  <c r="P758" i="22" s="1"/>
  <c r="DK145" i="6"/>
  <c r="DK160" i="6"/>
  <c r="DK180" i="6"/>
  <c r="N369" i="23" s="1"/>
  <c r="DK156" i="6"/>
  <c r="DK72" i="6"/>
  <c r="DK110" i="6"/>
  <c r="DK235" i="6"/>
  <c r="N348" i="23" s="1"/>
  <c r="DK171" i="6"/>
  <c r="N367" i="23" s="1"/>
  <c r="DK183" i="6"/>
  <c r="DK172" i="6"/>
  <c r="N368" i="23" s="1"/>
  <c r="DK181" i="6"/>
  <c r="N370" i="23" s="1"/>
  <c r="DK161" i="6"/>
  <c r="FG162" i="6"/>
  <c r="Q358" i="23" s="1"/>
  <c r="DK173" i="6"/>
  <c r="N829" i="22" s="1"/>
  <c r="DK167" i="6"/>
  <c r="N836" i="22" s="1"/>
  <c r="DK268" i="6"/>
  <c r="DK250" i="6"/>
  <c r="DK273" i="6"/>
  <c r="N381" i="22" s="1"/>
  <c r="DK190" i="6"/>
  <c r="DK252" i="6"/>
  <c r="DK249" i="6"/>
  <c r="DK248" i="6"/>
  <c r="N847" i="22" s="1"/>
  <c r="DK18" i="6"/>
  <c r="DK186" i="6"/>
  <c r="DK253" i="6"/>
  <c r="DK232" i="6"/>
  <c r="DK267" i="6"/>
  <c r="DK247" i="6"/>
  <c r="N846" i="22" s="1"/>
  <c r="DK107" i="6"/>
  <c r="N356" i="22" s="1"/>
  <c r="EX244" i="6"/>
  <c r="FG244" i="6" s="1"/>
  <c r="DK230" i="6"/>
  <c r="N325" i="23" s="1"/>
  <c r="DK305" i="6"/>
  <c r="DK254" i="6"/>
  <c r="DK19" i="6"/>
  <c r="DK197" i="6"/>
  <c r="N825" i="22" s="1"/>
  <c r="DK187" i="6"/>
  <c r="N828" i="22" s="1"/>
  <c r="DK17" i="6"/>
  <c r="DK118" i="6"/>
  <c r="DK16" i="6"/>
  <c r="DK125" i="6"/>
  <c r="N403" i="22" s="1"/>
  <c r="DK255" i="6"/>
  <c r="DK227" i="6"/>
  <c r="DK256" i="6"/>
  <c r="DK308" i="6"/>
  <c r="DK192" i="6"/>
  <c r="N785" i="22" s="1"/>
  <c r="EX189" i="6"/>
  <c r="FG189" i="6" s="1"/>
  <c r="Q878" i="17" s="1"/>
  <c r="P878" i="17" s="1"/>
  <c r="EY106" i="6"/>
  <c r="FG106" i="6" s="1"/>
  <c r="EY204" i="6"/>
  <c r="EX220" i="6"/>
  <c r="EX61" i="6"/>
  <c r="EY61" i="6"/>
  <c r="EY59" i="6"/>
  <c r="EX59" i="6"/>
  <c r="EX60" i="6"/>
  <c r="EY60" i="6"/>
  <c r="DK258" i="6"/>
  <c r="N932" i="17" s="1"/>
  <c r="DK155" i="6"/>
  <c r="N923" i="17" s="1"/>
  <c r="DK299" i="6"/>
  <c r="DK269" i="6"/>
  <c r="N523" i="17" s="1"/>
  <c r="DK154" i="6"/>
  <c r="N249" i="23" s="1"/>
  <c r="DK169" i="6"/>
  <c r="N921" i="17" s="1"/>
  <c r="DK144" i="6"/>
  <c r="DK116" i="6"/>
  <c r="DK193" i="6"/>
  <c r="DK304" i="6"/>
  <c r="DK236" i="6"/>
  <c r="DK301" i="6"/>
  <c r="DK239" i="6"/>
  <c r="N795" i="17" s="1"/>
  <c r="DK237" i="6"/>
  <c r="N807" i="17" s="1"/>
  <c r="DK302" i="6"/>
  <c r="DK265" i="6"/>
  <c r="DK271" i="6"/>
  <c r="DK85" i="6"/>
  <c r="N417" i="17" s="1"/>
  <c r="DK264" i="6"/>
  <c r="DK108" i="6"/>
  <c r="DK241" i="6"/>
  <c r="N791" i="17" s="1"/>
  <c r="DK147" i="6"/>
  <c r="DK202" i="6"/>
  <c r="DK109" i="6"/>
  <c r="N179" i="23" s="1"/>
  <c r="DK83" i="6"/>
  <c r="DK272" i="6"/>
  <c r="N534" i="17" s="1"/>
  <c r="DK270" i="6"/>
  <c r="N528" i="17" s="1"/>
  <c r="DK200" i="6"/>
  <c r="DK159" i="6"/>
  <c r="N915" i="17" s="1"/>
  <c r="DK266" i="6"/>
  <c r="N527" i="17" s="1"/>
  <c r="DK158" i="6"/>
  <c r="N892" i="17" s="1"/>
  <c r="DK194" i="6"/>
  <c r="DK164" i="6"/>
  <c r="DK240" i="6"/>
  <c r="EX175" i="6"/>
  <c r="FG175" i="6" s="1"/>
  <c r="EY218" i="6"/>
  <c r="EX281" i="6"/>
  <c r="EX205" i="6"/>
  <c r="EY221" i="6"/>
  <c r="FG221" i="6" s="1"/>
  <c r="FG163" i="6"/>
  <c r="Q355" i="23" s="1"/>
  <c r="P355" i="23" s="1"/>
  <c r="EX201" i="6"/>
  <c r="FG201" i="6" s="1"/>
  <c r="FX199" i="6"/>
  <c r="FW199" i="6"/>
  <c r="FG82" i="6"/>
  <c r="FG229" i="6"/>
  <c r="FG166" i="6"/>
  <c r="Q824" i="22" s="1"/>
  <c r="P824" i="22" s="1"/>
  <c r="FG211" i="6"/>
  <c r="EX165" i="6"/>
  <c r="FG165" i="6" s="1"/>
  <c r="Q360" i="23" s="1"/>
  <c r="P360" i="23" s="1"/>
  <c r="EX204" i="6"/>
  <c r="FG228" i="6"/>
  <c r="FG57" i="6"/>
  <c r="FG96" i="6"/>
  <c r="DK96" i="6" s="1"/>
  <c r="EX99" i="6"/>
  <c r="EY99" i="6"/>
  <c r="Y281" i="6"/>
  <c r="EQ281" i="6"/>
  <c r="EY205" i="6"/>
  <c r="EY178" i="6"/>
  <c r="EX178" i="6"/>
  <c r="EY251" i="6"/>
  <c r="FG251" i="6" s="1"/>
  <c r="Z263" i="6"/>
  <c r="ER263" i="6"/>
  <c r="EX219" i="6"/>
  <c r="EY219" i="6"/>
  <c r="FG104" i="6"/>
  <c r="Q25" i="23" s="1"/>
  <c r="Y280" i="6"/>
  <c r="EQ280" i="6"/>
  <c r="EY182" i="6"/>
  <c r="EX182" i="6"/>
  <c r="EY220" i="6"/>
  <c r="CN280" i="6"/>
  <c r="CQ280" i="6"/>
  <c r="CP280" i="6"/>
  <c r="CM280" i="6"/>
  <c r="CI280" i="6"/>
  <c r="EZ280" i="6" s="1"/>
  <c r="DJ280" i="6" s="1"/>
  <c r="CL280" i="6"/>
  <c r="CK280" i="6"/>
  <c r="CJ280" i="6"/>
  <c r="CO280" i="6"/>
  <c r="FG84" i="6"/>
  <c r="Q414" i="17" s="1"/>
  <c r="EX207" i="6"/>
  <c r="EY207" i="6"/>
  <c r="EY198" i="6"/>
  <c r="EX198" i="6"/>
  <c r="EY238" i="6"/>
  <c r="EX238" i="6"/>
  <c r="EX243" i="6"/>
  <c r="EY243" i="6"/>
  <c r="ES100" i="6"/>
  <c r="EX101" i="6"/>
  <c r="EX303" i="6"/>
  <c r="EY303" i="6"/>
  <c r="FG170" i="6"/>
  <c r="Q359" i="23" s="1"/>
  <c r="P359" i="23" s="1"/>
  <c r="FG209" i="6"/>
  <c r="Q539" i="22" s="1"/>
  <c r="FG179" i="6"/>
  <c r="Q826" i="22" s="1"/>
  <c r="EX206" i="6"/>
  <c r="EY206" i="6"/>
  <c r="EX199" i="6"/>
  <c r="EY199" i="6"/>
  <c r="CL281" i="6"/>
  <c r="CK281" i="6"/>
  <c r="CQ281" i="6"/>
  <c r="CP281" i="6"/>
  <c r="CO281" i="6"/>
  <c r="CN281" i="6"/>
  <c r="CJ281" i="6"/>
  <c r="CM281" i="6"/>
  <c r="CI281" i="6"/>
  <c r="EY71" i="6"/>
  <c r="EX71" i="6"/>
  <c r="EX234" i="6"/>
  <c r="EY234" i="6"/>
  <c r="EX242" i="6"/>
  <c r="EY242" i="6"/>
  <c r="EX184" i="6"/>
  <c r="EY184" i="6"/>
  <c r="EY306" i="6"/>
  <c r="EX306" i="6"/>
  <c r="EY245" i="6"/>
  <c r="EX245" i="6"/>
  <c r="EX231" i="6"/>
  <c r="EY231" i="6"/>
  <c r="DK191" i="6"/>
  <c r="AD263" i="6"/>
  <c r="P263" i="6"/>
  <c r="CH263" i="6" s="1"/>
  <c r="FG58" i="6"/>
  <c r="DK58" i="6" s="1"/>
  <c r="FG21" i="6"/>
  <c r="FG26" i="6"/>
  <c r="FG286" i="6"/>
  <c r="DK286" i="6" s="1"/>
  <c r="FG113" i="6"/>
  <c r="FG90" i="6"/>
  <c r="FG151" i="6"/>
  <c r="Q299" i="23" s="1"/>
  <c r="ES285" i="6"/>
  <c r="EY285" i="6" s="1"/>
  <c r="FG97" i="6"/>
  <c r="DK97" i="6" s="1"/>
  <c r="FG133" i="6"/>
  <c r="FG139" i="6"/>
  <c r="DK139" i="6" s="1"/>
  <c r="FG43" i="6"/>
  <c r="FG44" i="6"/>
  <c r="Q17" i="23" s="1"/>
  <c r="FG89" i="6"/>
  <c r="FG79" i="6"/>
  <c r="Q290" i="22" s="1"/>
  <c r="FG32" i="6"/>
  <c r="DK32" i="6" s="1"/>
  <c r="FG152" i="6"/>
  <c r="FG62" i="6"/>
  <c r="FG185" i="6"/>
  <c r="Q783" i="22" s="1"/>
  <c r="P783" i="22" s="1"/>
  <c r="FG77" i="6"/>
  <c r="FG66" i="6"/>
  <c r="FG177" i="6"/>
  <c r="Q835" i="22" s="1"/>
  <c r="P835" i="22" s="1"/>
  <c r="FG46" i="6"/>
  <c r="FG129" i="6"/>
  <c r="FG222" i="6"/>
  <c r="FG140" i="6"/>
  <c r="FG91" i="6"/>
  <c r="Q94" i="23" s="1"/>
  <c r="FG50" i="6"/>
  <c r="FG55" i="6"/>
  <c r="ES67" i="6"/>
  <c r="FG176" i="6"/>
  <c r="Q834" i="22" s="1"/>
  <c r="FG41" i="6"/>
  <c r="FG64" i="6"/>
  <c r="DK64" i="6" s="1"/>
  <c r="FG149" i="6"/>
  <c r="FG114" i="6"/>
  <c r="Q186" i="23" s="1"/>
  <c r="ES284" i="6"/>
  <c r="FG92" i="6"/>
  <c r="FG48" i="6"/>
  <c r="FG54" i="6"/>
  <c r="FG143" i="6"/>
  <c r="Q463" i="17" s="1"/>
  <c r="FG53" i="6"/>
  <c r="FG208" i="6"/>
  <c r="FG70" i="6"/>
  <c r="DK70" i="6" s="1"/>
  <c r="FG88" i="6"/>
  <c r="Q93" i="23" s="1"/>
  <c r="EY131" i="6"/>
  <c r="EX131" i="6"/>
  <c r="EX130" i="6"/>
  <c r="EY130" i="6"/>
  <c r="ES210" i="6"/>
  <c r="FG226" i="6"/>
  <c r="Q777" i="17" s="1"/>
  <c r="ES20" i="6"/>
  <c r="FG31" i="6"/>
  <c r="DK31" i="6" s="1"/>
  <c r="FG56" i="6"/>
  <c r="FG153" i="6"/>
  <c r="FG137" i="6"/>
  <c r="DK137" i="6" s="1"/>
  <c r="FG69" i="6"/>
  <c r="FG23" i="6"/>
  <c r="FG28" i="6"/>
  <c r="DK28" i="6" s="1"/>
  <c r="ES24" i="6"/>
  <c r="FG224" i="6"/>
  <c r="Q779" i="17" s="1"/>
  <c r="P779" i="17" s="1"/>
  <c r="FG63" i="6"/>
  <c r="Q48" i="23" s="1"/>
  <c r="ES94" i="6"/>
  <c r="FG135" i="6"/>
  <c r="DK135" i="6" s="1"/>
  <c r="EY93" i="6"/>
  <c r="EX93" i="6"/>
  <c r="ES45" i="6"/>
  <c r="FG49" i="6"/>
  <c r="EY124" i="6"/>
  <c r="EX124" i="6"/>
  <c r="FG27" i="6"/>
  <c r="FG112" i="6"/>
  <c r="EY78" i="6"/>
  <c r="EX78" i="6"/>
  <c r="EY103" i="6"/>
  <c r="EX103" i="6"/>
  <c r="EY127" i="6"/>
  <c r="EX127" i="6"/>
  <c r="EX126" i="6"/>
  <c r="EY126" i="6"/>
  <c r="ES148" i="6"/>
  <c r="FG287" i="6"/>
  <c r="DK287" i="6" s="1"/>
  <c r="ES223" i="6"/>
  <c r="ES141" i="6"/>
  <c r="ES132" i="6"/>
  <c r="ES111" i="6"/>
  <c r="FG298" i="6"/>
  <c r="FG225" i="6"/>
  <c r="FG47" i="6"/>
  <c r="Q20" i="23" s="1"/>
  <c r="FG51" i="6"/>
  <c r="Q199" i="17" s="1"/>
  <c r="FG142" i="6"/>
  <c r="FG128" i="6"/>
  <c r="FG95" i="6"/>
  <c r="FG150" i="6"/>
  <c r="Q909" i="17" s="1"/>
  <c r="P909" i="17" s="1"/>
  <c r="ES123" i="6"/>
  <c r="ES68" i="6"/>
  <c r="FG283" i="6"/>
  <c r="FG98" i="6"/>
  <c r="Q106" i="23" s="1"/>
  <c r="ES22" i="6"/>
  <c r="FG212" i="6"/>
  <c r="ES25" i="6"/>
  <c r="FY189" i="6"/>
  <c r="AA878" i="17" s="1"/>
  <c r="FY220" i="6"/>
  <c r="FY244" i="6"/>
  <c r="FY219" i="6"/>
  <c r="FY165" i="6"/>
  <c r="AA360" i="23" s="1"/>
  <c r="FX166" i="6"/>
  <c r="Z824" i="22" s="1"/>
  <c r="FX198" i="6"/>
  <c r="Z780" i="22" s="1"/>
  <c r="FX142" i="6"/>
  <c r="FY142" i="6"/>
  <c r="FX101" i="6"/>
  <c r="Z302" i="22" s="1"/>
  <c r="FX245" i="6"/>
  <c r="FX243" i="6"/>
  <c r="FX134" i="6"/>
  <c r="FY134" i="6"/>
  <c r="FX238" i="6"/>
  <c r="FY238" i="6"/>
  <c r="FZ218" i="6"/>
  <c r="FW218" i="6" s="1"/>
  <c r="FY245" i="6"/>
  <c r="FX143" i="6"/>
  <c r="Z463" i="17" s="1"/>
  <c r="FY143" i="6"/>
  <c r="AA463" i="17" s="1"/>
  <c r="FX184" i="6"/>
  <c r="Z353" i="23" s="1"/>
  <c r="FY184" i="6"/>
  <c r="AA353" i="23" s="1"/>
  <c r="FX221" i="6"/>
  <c r="FY198" i="6"/>
  <c r="AA780" i="22" s="1"/>
  <c r="FX194" i="6"/>
  <c r="FY194" i="6"/>
  <c r="FX165" i="6"/>
  <c r="Z360" i="23" s="1"/>
  <c r="FX84" i="6"/>
  <c r="Z414" i="17" s="1"/>
  <c r="FY84" i="6"/>
  <c r="AA414" i="17" s="1"/>
  <c r="FX193" i="6"/>
  <c r="FY193" i="6"/>
  <c r="FX157" i="6"/>
  <c r="FX244" i="6"/>
  <c r="FY166" i="6"/>
  <c r="AA824" i="22" s="1"/>
  <c r="FY221" i="6"/>
  <c r="FY101" i="6"/>
  <c r="AA302" i="22" s="1"/>
  <c r="FY157" i="6"/>
  <c r="FY243" i="6"/>
  <c r="FX220" i="6"/>
  <c r="FX175" i="6"/>
  <c r="FY175" i="6"/>
  <c r="FX189" i="6"/>
  <c r="Z878" i="17" s="1"/>
  <c r="FX219" i="6"/>
  <c r="FZ281" i="6"/>
  <c r="FZ282" i="6"/>
  <c r="FW282" i="6" s="1"/>
  <c r="FZ251" i="6"/>
  <c r="FW251" i="6" s="1"/>
  <c r="FZ242" i="6"/>
  <c r="FW242" i="6" s="1"/>
  <c r="FZ234" i="6"/>
  <c r="FW234" i="6" s="1"/>
  <c r="Y866" i="22" s="1"/>
  <c r="FZ204" i="6"/>
  <c r="FW204" i="6" s="1"/>
  <c r="FZ273" i="6"/>
  <c r="FW273" i="6" s="1"/>
  <c r="Y381" i="22" s="1"/>
  <c r="FZ271" i="6"/>
  <c r="FW271" i="6" s="1"/>
  <c r="FZ100" i="6"/>
  <c r="FW100" i="6" s="1"/>
  <c r="FZ99" i="6"/>
  <c r="FW99" i="6" s="1"/>
  <c r="FZ85" i="6"/>
  <c r="FW85" i="6" s="1"/>
  <c r="Y417" i="17" s="1"/>
  <c r="FZ182" i="6"/>
  <c r="FW182" i="6" s="1"/>
  <c r="Y838" i="22" s="1"/>
  <c r="FZ212" i="6"/>
  <c r="FW212" i="6" s="1"/>
  <c r="FZ247" i="6"/>
  <c r="FW247" i="6" s="1"/>
  <c r="Y846" i="22" s="1"/>
  <c r="FZ248" i="6"/>
  <c r="FW248" i="6" s="1"/>
  <c r="Y847" i="22" s="1"/>
  <c r="Y378" i="17" l="1"/>
  <c r="Y364" i="17"/>
  <c r="Y375" i="17"/>
  <c r="Y296" i="22"/>
  <c r="Y372" i="17"/>
  <c r="Y363" i="17"/>
  <c r="Y369" i="17"/>
  <c r="Y367" i="17"/>
  <c r="Y299" i="22"/>
  <c r="Y291" i="22"/>
  <c r="Y297" i="22"/>
  <c r="Y293" i="22"/>
  <c r="Y294" i="22"/>
  <c r="Y366" i="17"/>
  <c r="Y300" i="22"/>
  <c r="Y377" i="17"/>
  <c r="Y368" i="17"/>
  <c r="Y373" i="17"/>
  <c r="Y365" i="17"/>
  <c r="Y379" i="17"/>
  <c r="Y292" i="22"/>
  <c r="Y78" i="23"/>
  <c r="Y298" i="22"/>
  <c r="Y295" i="22"/>
  <c r="Y362" i="17"/>
  <c r="Y371" i="17"/>
  <c r="Y370" i="17"/>
  <c r="Y376" i="17"/>
  <c r="Y374" i="17"/>
  <c r="Z846" i="17"/>
  <c r="Z839" i="17"/>
  <c r="Z855" i="17"/>
  <c r="Z847" i="17"/>
  <c r="Z749" i="22"/>
  <c r="Z857" i="17"/>
  <c r="Z740" i="22"/>
  <c r="Z742" i="22"/>
  <c r="Z837" i="17"/>
  <c r="Z853" i="17"/>
  <c r="Z844" i="17"/>
  <c r="Z744" i="22"/>
  <c r="Z835" i="17"/>
  <c r="Z852" i="17"/>
  <c r="Z843" i="17"/>
  <c r="AA759" i="17"/>
  <c r="AA653" i="22"/>
  <c r="AA669" i="22"/>
  <c r="AA756" i="17"/>
  <c r="AA760" i="17"/>
  <c r="AA665" i="22"/>
  <c r="AA660" i="22"/>
  <c r="AA668" i="22"/>
  <c r="AA658" i="22"/>
  <c r="AA670" i="22"/>
  <c r="AA746" i="17"/>
  <c r="AA662" i="22"/>
  <c r="AA664" i="22"/>
  <c r="AA667" i="22"/>
  <c r="AA754" i="17"/>
  <c r="AA749" i="17"/>
  <c r="AA758" i="17"/>
  <c r="AA750" i="17"/>
  <c r="AA737" i="17"/>
  <c r="AA745" i="17"/>
  <c r="AA747" i="17"/>
  <c r="AA736" i="17"/>
  <c r="AA757" i="17"/>
  <c r="AA755" i="17"/>
  <c r="Z653" i="22"/>
  <c r="Z669" i="22"/>
  <c r="Z759" i="17"/>
  <c r="Z756" i="17"/>
  <c r="Z760" i="17"/>
  <c r="Z665" i="22"/>
  <c r="Z660" i="22"/>
  <c r="Z658" i="22"/>
  <c r="Z670" i="22"/>
  <c r="Z668" i="22"/>
  <c r="Z746" i="17"/>
  <c r="Z662" i="22"/>
  <c r="Z664" i="22"/>
  <c r="Z667" i="22"/>
  <c r="Z757" i="17"/>
  <c r="Z749" i="17"/>
  <c r="Z747" i="17"/>
  <c r="Z736" i="17"/>
  <c r="Z755" i="17"/>
  <c r="Z758" i="17"/>
  <c r="Z750" i="17"/>
  <c r="Z754" i="17"/>
  <c r="Z737" i="17"/>
  <c r="Z745" i="17"/>
  <c r="Z838" i="17"/>
  <c r="Z757" i="22"/>
  <c r="Z833" i="17"/>
  <c r="Z741" i="22"/>
  <c r="Z750" i="22"/>
  <c r="Z841" i="17"/>
  <c r="Z849" i="17"/>
  <c r="Z756" i="22"/>
  <c r="Z748" i="22"/>
  <c r="Z753" i="22"/>
  <c r="Z755" i="22"/>
  <c r="Z752" i="22"/>
  <c r="Z759" i="22"/>
  <c r="Z751" i="22"/>
  <c r="Z834" i="17"/>
  <c r="Z845" i="17"/>
  <c r="Z850" i="17"/>
  <c r="Z858" i="17"/>
  <c r="Z842" i="17"/>
  <c r="Z746" i="22"/>
  <c r="Z754" i="22"/>
  <c r="Z747" i="22"/>
  <c r="Z743" i="22"/>
  <c r="Z836" i="17"/>
  <c r="Z745" i="22"/>
  <c r="Z851" i="17"/>
  <c r="Z848" i="17"/>
  <c r="Z856" i="17"/>
  <c r="Z840" i="17"/>
  <c r="Z859" i="17"/>
  <c r="Z929" i="17"/>
  <c r="AA918" i="17"/>
  <c r="AA919" i="17"/>
  <c r="AA838" i="17"/>
  <c r="AA757" i="22"/>
  <c r="AA741" i="22"/>
  <c r="AA833" i="17"/>
  <c r="AA750" i="22"/>
  <c r="AA841" i="17"/>
  <c r="AA849" i="17"/>
  <c r="AA748" i="22"/>
  <c r="AA756" i="22"/>
  <c r="AA759" i="22"/>
  <c r="AA751" i="22"/>
  <c r="AA752" i="22"/>
  <c r="AA753" i="22"/>
  <c r="AA755" i="22"/>
  <c r="AA834" i="17"/>
  <c r="AA858" i="17"/>
  <c r="AA842" i="17"/>
  <c r="AA845" i="17"/>
  <c r="AA850" i="17"/>
  <c r="AA745" i="22"/>
  <c r="AA746" i="22"/>
  <c r="AA754" i="22"/>
  <c r="AA747" i="22"/>
  <c r="AA848" i="17"/>
  <c r="AA743" i="22"/>
  <c r="AA836" i="17"/>
  <c r="AA929" i="17"/>
  <c r="AA856" i="17"/>
  <c r="AA851" i="17"/>
  <c r="AA840" i="17"/>
  <c r="AA859" i="17"/>
  <c r="AA661" i="22"/>
  <c r="AA657" i="22"/>
  <c r="AA742" i="17"/>
  <c r="Y812" i="22"/>
  <c r="Y894" i="17"/>
  <c r="Y895" i="17"/>
  <c r="Y844" i="22"/>
  <c r="Y811" i="22"/>
  <c r="Y885" i="17"/>
  <c r="Y884" i="17"/>
  <c r="AA819" i="22"/>
  <c r="AA791" i="22"/>
  <c r="AA816" i="22"/>
  <c r="AA817" i="22"/>
  <c r="AA792" i="22"/>
  <c r="AA818" i="22"/>
  <c r="Y669" i="17"/>
  <c r="Y616" i="22"/>
  <c r="Y660" i="17"/>
  <c r="Y617" i="22"/>
  <c r="Y615" i="22"/>
  <c r="Y612" i="22"/>
  <c r="Y609" i="22"/>
  <c r="Y673" i="17"/>
  <c r="Y661" i="17"/>
  <c r="Y677" i="17"/>
  <c r="Y668" i="17"/>
  <c r="Y611" i="22"/>
  <c r="Y620" i="22"/>
  <c r="Y619" i="22"/>
  <c r="Y621" i="22"/>
  <c r="Y613" i="22"/>
  <c r="Y663" i="17"/>
  <c r="Y664" i="17"/>
  <c r="Y676" i="17"/>
  <c r="Y662" i="17"/>
  <c r="Y674" i="17"/>
  <c r="Y666" i="17"/>
  <c r="Y614" i="22"/>
  <c r="Y610" i="22"/>
  <c r="Y671" i="17"/>
  <c r="Y618" i="22"/>
  <c r="Y667" i="17"/>
  <c r="Y670" i="17"/>
  <c r="Y622" i="22"/>
  <c r="Y672" i="17"/>
  <c r="Y665" i="17"/>
  <c r="Y675" i="17"/>
  <c r="Z819" i="22"/>
  <c r="Z791" i="22"/>
  <c r="Z816" i="22"/>
  <c r="Z817" i="22"/>
  <c r="Z792" i="22"/>
  <c r="Z818" i="22"/>
  <c r="Y765" i="17"/>
  <c r="Y677" i="22"/>
  <c r="Y685" i="22"/>
  <c r="Y761" i="17"/>
  <c r="Y773" i="17"/>
  <c r="Y681" i="22"/>
  <c r="Y673" i="22"/>
  <c r="Y772" i="17"/>
  <c r="Y769" i="17"/>
  <c r="Y674" i="22"/>
  <c r="Y684" i="22"/>
  <c r="Y678" i="22"/>
  <c r="Y676" i="22"/>
  <c r="Y771" i="17"/>
  <c r="Y763" i="17"/>
  <c r="Y762" i="17"/>
  <c r="Y775" i="17"/>
  <c r="Y682" i="22"/>
  <c r="Y770" i="17"/>
  <c r="Y774" i="17"/>
  <c r="Y766" i="17"/>
  <c r="Y672" i="22"/>
  <c r="Y683" i="22"/>
  <c r="Y675" i="22"/>
  <c r="Y680" i="22"/>
  <c r="Y679" i="22"/>
  <c r="Y767" i="17"/>
  <c r="Y776" i="17"/>
  <c r="Y768" i="17"/>
  <c r="Y764" i="17"/>
  <c r="Z812" i="22"/>
  <c r="Z895" i="17"/>
  <c r="Z894" i="17"/>
  <c r="Z844" i="22"/>
  <c r="Z811" i="22"/>
  <c r="Z885" i="17"/>
  <c r="Z884" i="17"/>
  <c r="AA887" i="17"/>
  <c r="AA886" i="17"/>
  <c r="Z918" i="17"/>
  <c r="Z919" i="17"/>
  <c r="Y559" i="22"/>
  <c r="Y560" i="22"/>
  <c r="Y556" i="22"/>
  <c r="Y564" i="22"/>
  <c r="Y561" i="22"/>
  <c r="Y646" i="17"/>
  <c r="Y562" i="22"/>
  <c r="Y563" i="22"/>
  <c r="Y652" i="17"/>
  <c r="Y557" i="22"/>
  <c r="Y644" i="17"/>
  <c r="Y650" i="17"/>
  <c r="Y645" i="17"/>
  <c r="Y558" i="22"/>
  <c r="Y653" i="17"/>
  <c r="Y648" i="17"/>
  <c r="Y647" i="17"/>
  <c r="Y651" i="17"/>
  <c r="Y649" i="17"/>
  <c r="Z887" i="17"/>
  <c r="Z886" i="17"/>
  <c r="Z793" i="22"/>
  <c r="Z794" i="22"/>
  <c r="AA793" i="17"/>
  <c r="AA717" i="22"/>
  <c r="AA797" i="17"/>
  <c r="AA813" i="17"/>
  <c r="AA801" i="17"/>
  <c r="AA805" i="17"/>
  <c r="AA817" i="17"/>
  <c r="AA809" i="17"/>
  <c r="AA796" i="17"/>
  <c r="AA812" i="17"/>
  <c r="AA710" i="22"/>
  <c r="AA716" i="22"/>
  <c r="AA713" i="22"/>
  <c r="AA721" i="22"/>
  <c r="AA722" i="22"/>
  <c r="AA806" i="17"/>
  <c r="AA711" i="22"/>
  <c r="AA811" i="17"/>
  <c r="AA790" i="17"/>
  <c r="AA818" i="17"/>
  <c r="AA794" i="17"/>
  <c r="AA802" i="17"/>
  <c r="AA799" i="17"/>
  <c r="AA814" i="17"/>
  <c r="AA798" i="17"/>
  <c r="AA810" i="17"/>
  <c r="AA712" i="22"/>
  <c r="AA719" i="22"/>
  <c r="AA720" i="22"/>
  <c r="AA715" i="22"/>
  <c r="AA803" i="17"/>
  <c r="AA792" i="17"/>
  <c r="AA815" i="17"/>
  <c r="AA808" i="17"/>
  <c r="AA800" i="17"/>
  <c r="AA816" i="17"/>
  <c r="Y530" i="17"/>
  <c r="Y531" i="17"/>
  <c r="Y532" i="17"/>
  <c r="Y533" i="17"/>
  <c r="Y529" i="17"/>
  <c r="Y863" i="17"/>
  <c r="Y765" i="22"/>
  <c r="Y766" i="22"/>
  <c r="Y871" i="17"/>
  <c r="Y767" i="22"/>
  <c r="Y768" i="22"/>
  <c r="Y769" i="22"/>
  <c r="Y870" i="17"/>
  <c r="Y862" i="17"/>
  <c r="Y865" i="17"/>
  <c r="Y762" i="22"/>
  <c r="Y770" i="22"/>
  <c r="Y763" i="22"/>
  <c r="Y764" i="22"/>
  <c r="Y761" i="22"/>
  <c r="Y760" i="22"/>
  <c r="Y873" i="17"/>
  <c r="Y866" i="17"/>
  <c r="Y861" i="17"/>
  <c r="Y869" i="17"/>
  <c r="Y868" i="17"/>
  <c r="Y872" i="17"/>
  <c r="Y864" i="17"/>
  <c r="Y867" i="17"/>
  <c r="Z661" i="22"/>
  <c r="Z657" i="22"/>
  <c r="Z742" i="17"/>
  <c r="Z735" i="17"/>
  <c r="Z740" i="17"/>
  <c r="Z751" i="17"/>
  <c r="Z734" i="17"/>
  <c r="Z748" i="17"/>
  <c r="Z666" i="22"/>
  <c r="Z654" i="22"/>
  <c r="Z738" i="17"/>
  <c r="Z743" i="17"/>
  <c r="Z656" i="22"/>
  <c r="Z659" i="22"/>
  <c r="Z663" i="22"/>
  <c r="Z671" i="22"/>
  <c r="Z752" i="17"/>
  <c r="Z655" i="22"/>
  <c r="Z753" i="17"/>
  <c r="Z744" i="17"/>
  <c r="Z739" i="17"/>
  <c r="Z741" i="17"/>
  <c r="Z801" i="17"/>
  <c r="Z793" i="17"/>
  <c r="Z797" i="17"/>
  <c r="Z813" i="17"/>
  <c r="Z805" i="17"/>
  <c r="Z817" i="17"/>
  <c r="Z717" i="22"/>
  <c r="Z812" i="17"/>
  <c r="Z809" i="17"/>
  <c r="Z796" i="17"/>
  <c r="Z710" i="22"/>
  <c r="Z722" i="22"/>
  <c r="Z716" i="22"/>
  <c r="Z713" i="22"/>
  <c r="Z721" i="22"/>
  <c r="Z818" i="17"/>
  <c r="Z806" i="17"/>
  <c r="Z711" i="22"/>
  <c r="Z814" i="17"/>
  <c r="Z811" i="17"/>
  <c r="Z790" i="17"/>
  <c r="Z794" i="17"/>
  <c r="Z802" i="17"/>
  <c r="Z798" i="17"/>
  <c r="Z799" i="17"/>
  <c r="Z810" i="17"/>
  <c r="Z712" i="22"/>
  <c r="Z719" i="22"/>
  <c r="Z720" i="22"/>
  <c r="Z715" i="22"/>
  <c r="Z815" i="17"/>
  <c r="Z792" i="17"/>
  <c r="Z808" i="17"/>
  <c r="Z800" i="17"/>
  <c r="Z803" i="17"/>
  <c r="Z816" i="17"/>
  <c r="AA881" i="17"/>
  <c r="AA882" i="17"/>
  <c r="Y855" i="22"/>
  <c r="Y857" i="22"/>
  <c r="Y856" i="22"/>
  <c r="Y854" i="22"/>
  <c r="AA749" i="22"/>
  <c r="AA847" i="17"/>
  <c r="AA855" i="17"/>
  <c r="AA839" i="17"/>
  <c r="AA846" i="17"/>
  <c r="AA857" i="17"/>
  <c r="AA740" i="22"/>
  <c r="AA742" i="22"/>
  <c r="AA837" i="17"/>
  <c r="AA853" i="17"/>
  <c r="AA744" i="22"/>
  <c r="AA852" i="17"/>
  <c r="AA844" i="17"/>
  <c r="AA843" i="17"/>
  <c r="AA835" i="17"/>
  <c r="Z881" i="17"/>
  <c r="Z882" i="17"/>
  <c r="AA751" i="17"/>
  <c r="AA735" i="17"/>
  <c r="AA740" i="17"/>
  <c r="AA734" i="17"/>
  <c r="AA748" i="17"/>
  <c r="AA666" i="22"/>
  <c r="AA654" i="22"/>
  <c r="AA738" i="17"/>
  <c r="AA743" i="17"/>
  <c r="AA655" i="22"/>
  <c r="AA656" i="22"/>
  <c r="AA659" i="22"/>
  <c r="AA663" i="22"/>
  <c r="AA671" i="22"/>
  <c r="AA752" i="17"/>
  <c r="AA744" i="17"/>
  <c r="AA753" i="17"/>
  <c r="AA741" i="17"/>
  <c r="AA739" i="17"/>
  <c r="Y301" i="22"/>
  <c r="Y382" i="17"/>
  <c r="Y384" i="17"/>
  <c r="Y385" i="17"/>
  <c r="Y381" i="17"/>
  <c r="Y383" i="17"/>
  <c r="Y380" i="17"/>
  <c r="AA794" i="22"/>
  <c r="AA793" i="22"/>
  <c r="FG101" i="6"/>
  <c r="Q302" i="22" s="1"/>
  <c r="P302" i="22" s="1"/>
  <c r="AD507" i="22"/>
  <c r="Q35" i="23"/>
  <c r="Q38" i="23"/>
  <c r="Q42" i="23"/>
  <c r="Q40" i="23"/>
  <c r="Q308" i="23"/>
  <c r="Q306" i="23"/>
  <c r="P227" i="23"/>
  <c r="AD227" i="23"/>
  <c r="P76" i="23"/>
  <c r="AD76" i="23"/>
  <c r="N225" i="23"/>
  <c r="N229" i="23"/>
  <c r="N232" i="23"/>
  <c r="N222" i="23"/>
  <c r="N230" i="23"/>
  <c r="N227" i="23"/>
  <c r="N228" i="23"/>
  <c r="N231" i="23"/>
  <c r="N226" i="23"/>
  <c r="N224" i="23"/>
  <c r="N223" i="23"/>
  <c r="N183" i="23"/>
  <c r="N180" i="23"/>
  <c r="P230" i="23"/>
  <c r="AD230" i="23"/>
  <c r="P225" i="23"/>
  <c r="AD225" i="23"/>
  <c r="P349" i="23"/>
  <c r="AD349" i="23"/>
  <c r="P347" i="23"/>
  <c r="AD347" i="23"/>
  <c r="P242" i="23"/>
  <c r="AD242" i="23"/>
  <c r="P101" i="23"/>
  <c r="AD101" i="23"/>
  <c r="P314" i="23"/>
  <c r="AD314" i="23"/>
  <c r="P67" i="23"/>
  <c r="AD67" i="23"/>
  <c r="P73" i="23"/>
  <c r="AD73" i="23"/>
  <c r="P234" i="23"/>
  <c r="AD234" i="23"/>
  <c r="P106" i="23"/>
  <c r="AD106" i="23"/>
  <c r="P66" i="23"/>
  <c r="AD66" i="23"/>
  <c r="Q53" i="23"/>
  <c r="Q54" i="23"/>
  <c r="Q127" i="23"/>
  <c r="Q131" i="23"/>
  <c r="Q132" i="23"/>
  <c r="Q126" i="23"/>
  <c r="Q128" i="23"/>
  <c r="Q130" i="23"/>
  <c r="P299" i="23"/>
  <c r="AD299" i="23"/>
  <c r="Q327" i="23"/>
  <c r="Q334" i="23"/>
  <c r="Q331" i="23"/>
  <c r="Q324" i="23"/>
  <c r="Q328" i="23"/>
  <c r="Q329" i="23"/>
  <c r="N312" i="23"/>
  <c r="N314" i="23"/>
  <c r="N317" i="23"/>
  <c r="P358" i="23"/>
  <c r="AD358" i="23"/>
  <c r="N74" i="23"/>
  <c r="N73" i="23"/>
  <c r="N70" i="23"/>
  <c r="N71" i="23"/>
  <c r="N66" i="23"/>
  <c r="N72" i="23"/>
  <c r="N69" i="23"/>
  <c r="N68" i="23"/>
  <c r="N67" i="23"/>
  <c r="N75" i="23"/>
  <c r="N76" i="23"/>
  <c r="N77" i="23"/>
  <c r="P180" i="23"/>
  <c r="AD180" i="23"/>
  <c r="P222" i="23"/>
  <c r="AD222" i="23"/>
  <c r="P246" i="23"/>
  <c r="AD246" i="23"/>
  <c r="P337" i="23"/>
  <c r="AD337" i="23"/>
  <c r="P339" i="23"/>
  <c r="AD339" i="23"/>
  <c r="P235" i="23"/>
  <c r="AD235" i="23"/>
  <c r="P104" i="23"/>
  <c r="AD104" i="23"/>
  <c r="P312" i="23"/>
  <c r="AD312" i="23"/>
  <c r="P75" i="23"/>
  <c r="AD75" i="23"/>
  <c r="P74" i="23"/>
  <c r="AD74" i="23"/>
  <c r="P233" i="23"/>
  <c r="AD233" i="23"/>
  <c r="N241" i="23"/>
  <c r="N237" i="23"/>
  <c r="N242" i="23"/>
  <c r="N235" i="23"/>
  <c r="N238" i="23"/>
  <c r="N236" i="23"/>
  <c r="N240" i="23"/>
  <c r="N239" i="23"/>
  <c r="P346" i="23"/>
  <c r="AD346" i="23"/>
  <c r="Q217" i="23"/>
  <c r="Q221" i="23"/>
  <c r="Q213" i="23"/>
  <c r="Q205" i="23"/>
  <c r="Q206" i="23"/>
  <c r="Q220" i="23"/>
  <c r="Q216" i="23"/>
  <c r="Q219" i="23"/>
  <c r="Q218" i="23"/>
  <c r="Q214" i="23"/>
  <c r="Q212" i="23"/>
  <c r="Q209" i="23"/>
  <c r="Q208" i="23"/>
  <c r="Q215" i="23"/>
  <c r="Q211" i="23"/>
  <c r="Q41" i="23"/>
  <c r="Q36" i="23"/>
  <c r="Q43" i="23"/>
  <c r="Q37" i="23"/>
  <c r="Q39" i="23"/>
  <c r="Q44" i="23"/>
  <c r="Q307" i="23"/>
  <c r="Q310" i="23"/>
  <c r="Q309" i="23"/>
  <c r="Q90" i="23"/>
  <c r="Q89" i="23"/>
  <c r="Q86" i="23"/>
  <c r="Q91" i="23"/>
  <c r="Q84" i="23"/>
  <c r="Q85" i="23"/>
  <c r="Q83" i="23"/>
  <c r="Q81" i="23"/>
  <c r="Q92" i="23"/>
  <c r="Q80" i="23"/>
  <c r="Q87" i="23"/>
  <c r="Q82" i="23"/>
  <c r="Q79" i="23"/>
  <c r="Q88" i="23"/>
  <c r="Q95" i="23"/>
  <c r="Q96" i="23"/>
  <c r="Q97" i="23"/>
  <c r="N185" i="23"/>
  <c r="N181" i="23"/>
  <c r="N182" i="23"/>
  <c r="N184" i="23"/>
  <c r="N356" i="23"/>
  <c r="N357" i="23"/>
  <c r="N362" i="23"/>
  <c r="N361" i="23"/>
  <c r="Q315" i="23"/>
  <c r="Q311" i="23"/>
  <c r="Q313" i="23"/>
  <c r="Q316" i="23"/>
  <c r="P183" i="23"/>
  <c r="AD183" i="23"/>
  <c r="P226" i="23"/>
  <c r="AD226" i="23"/>
  <c r="P247" i="23"/>
  <c r="AD247" i="23"/>
  <c r="P345" i="23"/>
  <c r="AD345" i="23"/>
  <c r="P342" i="23"/>
  <c r="AD342" i="23"/>
  <c r="P238" i="23"/>
  <c r="AD238" i="23"/>
  <c r="P100" i="23"/>
  <c r="AD100" i="23"/>
  <c r="P68" i="23"/>
  <c r="AD68" i="23"/>
  <c r="P182" i="23"/>
  <c r="AD182" i="23"/>
  <c r="Z166" i="23"/>
  <c r="Z162" i="23"/>
  <c r="N319" i="23"/>
  <c r="N320" i="23"/>
  <c r="N321" i="23"/>
  <c r="P239" i="23"/>
  <c r="AD239" i="23"/>
  <c r="P48" i="23"/>
  <c r="AD48" i="23"/>
  <c r="Q27" i="23"/>
  <c r="Q30" i="23"/>
  <c r="Q31" i="23"/>
  <c r="Q32" i="23"/>
  <c r="Q28" i="23"/>
  <c r="Q29" i="23"/>
  <c r="Q26" i="23"/>
  <c r="Q34" i="23"/>
  <c r="Q33" i="23"/>
  <c r="P17" i="23"/>
  <c r="AD17" i="23"/>
  <c r="Q207" i="23"/>
  <c r="Q210" i="23"/>
  <c r="N343" i="23"/>
  <c r="N351" i="23"/>
  <c r="N339" i="23"/>
  <c r="N347" i="23"/>
  <c r="N342" i="23"/>
  <c r="N340" i="23"/>
  <c r="N346" i="23"/>
  <c r="N338" i="23"/>
  <c r="N350" i="23"/>
  <c r="N344" i="23"/>
  <c r="N341" i="23"/>
  <c r="N345" i="23"/>
  <c r="N349" i="23"/>
  <c r="N337" i="23"/>
  <c r="N366" i="23"/>
  <c r="N371" i="23"/>
  <c r="P228" i="23"/>
  <c r="AD228" i="23"/>
  <c r="P344" i="23"/>
  <c r="AD344" i="23"/>
  <c r="P351" i="23"/>
  <c r="AD351" i="23"/>
  <c r="P237" i="23"/>
  <c r="AD237" i="23"/>
  <c r="P102" i="23"/>
  <c r="AD102" i="23"/>
  <c r="P77" i="23"/>
  <c r="AD77" i="23"/>
  <c r="P184" i="23"/>
  <c r="AD184" i="23"/>
  <c r="P93" i="23"/>
  <c r="AD93" i="23"/>
  <c r="Q335" i="23"/>
  <c r="Q323" i="23"/>
  <c r="Q326" i="23"/>
  <c r="Q332" i="23"/>
  <c r="Q330" i="23"/>
  <c r="Q336" i="23"/>
  <c r="Q333" i="23"/>
  <c r="N354" i="23"/>
  <c r="N363" i="23"/>
  <c r="P229" i="23"/>
  <c r="AD229" i="23"/>
  <c r="P340" i="23"/>
  <c r="AD340" i="23"/>
  <c r="P343" i="23"/>
  <c r="AD343" i="23"/>
  <c r="P241" i="23"/>
  <c r="AD241" i="23"/>
  <c r="P103" i="23"/>
  <c r="AD103" i="23"/>
  <c r="P69" i="23"/>
  <c r="AD69" i="23"/>
  <c r="P181" i="23"/>
  <c r="AD181" i="23"/>
  <c r="P223" i="23"/>
  <c r="AD223" i="23"/>
  <c r="P341" i="23"/>
  <c r="AD341" i="23"/>
  <c r="P105" i="23"/>
  <c r="AD105" i="23"/>
  <c r="P20" i="23"/>
  <c r="AD20" i="23"/>
  <c r="Q129" i="23"/>
  <c r="Q133" i="23"/>
  <c r="Q125" i="23"/>
  <c r="Q134" i="23"/>
  <c r="AD186" i="23"/>
  <c r="P186" i="23"/>
  <c r="P94" i="23"/>
  <c r="AD94" i="23"/>
  <c r="P25" i="23"/>
  <c r="AD25" i="23"/>
  <c r="N98" i="23"/>
  <c r="N103" i="23"/>
  <c r="N99" i="23"/>
  <c r="N104" i="23"/>
  <c r="N102" i="23"/>
  <c r="N100" i="23"/>
  <c r="N105" i="23"/>
  <c r="N101" i="23"/>
  <c r="N364" i="23"/>
  <c r="N365" i="23"/>
  <c r="N233" i="23"/>
  <c r="N234" i="23"/>
  <c r="P232" i="23"/>
  <c r="AD232" i="23"/>
  <c r="P350" i="23"/>
  <c r="AD350" i="23"/>
  <c r="P236" i="23"/>
  <c r="AD236" i="23"/>
  <c r="P98" i="23"/>
  <c r="AD98" i="23"/>
  <c r="P71" i="23"/>
  <c r="AD71" i="23"/>
  <c r="P185" i="23"/>
  <c r="AD185" i="23"/>
  <c r="P317" i="23"/>
  <c r="AD317" i="23"/>
  <c r="AA166" i="23"/>
  <c r="AA162" i="23"/>
  <c r="Q302" i="23"/>
  <c r="P302" i="23" s="1"/>
  <c r="Q300" i="23"/>
  <c r="P300" i="23" s="1"/>
  <c r="Q304" i="23"/>
  <c r="P304" i="23" s="1"/>
  <c r="Q303" i="23"/>
  <c r="P303" i="23" s="1"/>
  <c r="Q305" i="23"/>
  <c r="P305" i="23" s="1"/>
  <c r="Q301" i="23"/>
  <c r="P301" i="23" s="1"/>
  <c r="Q47" i="23"/>
  <c r="Q46" i="23"/>
  <c r="Q45" i="23"/>
  <c r="Q158" i="23"/>
  <c r="Q154" i="23"/>
  <c r="Q165" i="23"/>
  <c r="Q155" i="23"/>
  <c r="Q161" i="23"/>
  <c r="Q160" i="23"/>
  <c r="Q159" i="23"/>
  <c r="Q156" i="23"/>
  <c r="Q168" i="23"/>
  <c r="Q163" i="23"/>
  <c r="Q167" i="23"/>
  <c r="Q164" i="23"/>
  <c r="N247" i="23"/>
  <c r="N246" i="23"/>
  <c r="Q178" i="23"/>
  <c r="Q169" i="23"/>
  <c r="Q170" i="23"/>
  <c r="Q173" i="23"/>
  <c r="Q177" i="23"/>
  <c r="Q174" i="23"/>
  <c r="Q175" i="23"/>
  <c r="Q172" i="23"/>
  <c r="Q171" i="23"/>
  <c r="Q176" i="23"/>
  <c r="P224" i="23"/>
  <c r="AD224" i="23"/>
  <c r="P231" i="23"/>
  <c r="AD231" i="23"/>
  <c r="P338" i="23"/>
  <c r="AD338" i="23"/>
  <c r="P240" i="23"/>
  <c r="AD240" i="23"/>
  <c r="P99" i="23"/>
  <c r="AD99" i="23"/>
  <c r="P72" i="23"/>
  <c r="AD72" i="23"/>
  <c r="P70" i="23"/>
  <c r="AD70" i="23"/>
  <c r="Q370" i="22"/>
  <c r="P370" i="22" s="1"/>
  <c r="AD375" i="22"/>
  <c r="Q464" i="22"/>
  <c r="P464" i="22" s="1"/>
  <c r="Q806" i="22"/>
  <c r="P806" i="22" s="1"/>
  <c r="N694" i="22"/>
  <c r="AA348" i="22"/>
  <c r="N375" i="22"/>
  <c r="Q335" i="22"/>
  <c r="P335" i="22" s="1"/>
  <c r="N374" i="22"/>
  <c r="Z348" i="22"/>
  <c r="N507" i="22"/>
  <c r="P59" i="22"/>
  <c r="AD59" i="22"/>
  <c r="P497" i="22"/>
  <c r="AD497" i="22"/>
  <c r="P399" i="22"/>
  <c r="AD399" i="22"/>
  <c r="Q261" i="22"/>
  <c r="Q259" i="22"/>
  <c r="Q257" i="22"/>
  <c r="Q255" i="22"/>
  <c r="Q260" i="22"/>
  <c r="Q256" i="22"/>
  <c r="Q263" i="22"/>
  <c r="Q194" i="22"/>
  <c r="Q183" i="22"/>
  <c r="Q185" i="22"/>
  <c r="Q187" i="22"/>
  <c r="Q206" i="22"/>
  <c r="Q208" i="22"/>
  <c r="Q205" i="22"/>
  <c r="Q207" i="22"/>
  <c r="Q204" i="22"/>
  <c r="Q270" i="22"/>
  <c r="Q272" i="22"/>
  <c r="Q118" i="22"/>
  <c r="Q115" i="22"/>
  <c r="Q116" i="22"/>
  <c r="Q184" i="22"/>
  <c r="Q193" i="22"/>
  <c r="Q192" i="22"/>
  <c r="Q190" i="22"/>
  <c r="Q189" i="22"/>
  <c r="Q191" i="22"/>
  <c r="Q188" i="22"/>
  <c r="Q186" i="22"/>
  <c r="N733" i="22"/>
  <c r="N725" i="22"/>
  <c r="N726" i="22"/>
  <c r="N727" i="22"/>
  <c r="N729" i="22"/>
  <c r="N728" i="22"/>
  <c r="N732" i="22"/>
  <c r="N731" i="22"/>
  <c r="N724" i="22"/>
  <c r="N734" i="22"/>
  <c r="N736" i="22"/>
  <c r="N737" i="22"/>
  <c r="N730" i="22"/>
  <c r="N738" i="22"/>
  <c r="N723" i="22"/>
  <c r="N739" i="22"/>
  <c r="N735" i="22"/>
  <c r="N645" i="22"/>
  <c r="N649" i="22"/>
  <c r="N641" i="22"/>
  <c r="N652" i="22"/>
  <c r="N642" i="22"/>
  <c r="N644" i="22"/>
  <c r="N638" i="22"/>
  <c r="N650" i="22"/>
  <c r="N646" i="22"/>
  <c r="N648" i="22"/>
  <c r="N643" i="22"/>
  <c r="N651" i="22"/>
  <c r="N640" i="22"/>
  <c r="N647" i="22"/>
  <c r="N639" i="22"/>
  <c r="N709" i="22"/>
  <c r="N701" i="22"/>
  <c r="N708" i="22"/>
  <c r="N703" i="22"/>
  <c r="N705" i="22"/>
  <c r="N702" i="22"/>
  <c r="N706" i="22"/>
  <c r="N704" i="22"/>
  <c r="N707" i="22"/>
  <c r="N42" i="22"/>
  <c r="N11" i="22"/>
  <c r="N799" i="22"/>
  <c r="N798" i="22"/>
  <c r="N823" i="22"/>
  <c r="N795" i="22"/>
  <c r="N804" i="22"/>
  <c r="N832" i="22"/>
  <c r="P48" i="22"/>
  <c r="AD48" i="22"/>
  <c r="P62" i="22"/>
  <c r="AD62" i="22"/>
  <c r="P53" i="22"/>
  <c r="AD53" i="22"/>
  <c r="P704" i="22"/>
  <c r="AD704" i="22"/>
  <c r="P709" i="22"/>
  <c r="AD709" i="22"/>
  <c r="P500" i="22"/>
  <c r="AD500" i="22"/>
  <c r="P394" i="22"/>
  <c r="AD394" i="22"/>
  <c r="P317" i="22"/>
  <c r="AD317" i="22"/>
  <c r="P385" i="22"/>
  <c r="AD385" i="22"/>
  <c r="P400" i="22"/>
  <c r="AD400" i="22"/>
  <c r="P420" i="22"/>
  <c r="AD420" i="22"/>
  <c r="P848" i="22"/>
  <c r="AD848" i="22"/>
  <c r="P383" i="22"/>
  <c r="AD383" i="22"/>
  <c r="P860" i="22"/>
  <c r="AD860" i="22"/>
  <c r="P802" i="22"/>
  <c r="AD802" i="22"/>
  <c r="P853" i="22"/>
  <c r="AD853" i="22"/>
  <c r="P639" i="22"/>
  <c r="AD639" i="22"/>
  <c r="P641" i="22"/>
  <c r="AD641" i="22"/>
  <c r="P735" i="22"/>
  <c r="AD735" i="22"/>
  <c r="P729" i="22"/>
  <c r="AD729" i="22"/>
  <c r="Q145" i="22"/>
  <c r="Q146" i="22"/>
  <c r="Q304" i="22"/>
  <c r="Q303" i="22"/>
  <c r="Q855" i="22"/>
  <c r="Q857" i="22"/>
  <c r="Q856" i="22"/>
  <c r="Q854" i="22"/>
  <c r="N365" i="22"/>
  <c r="N364" i="22"/>
  <c r="N362" i="22"/>
  <c r="N367" i="22"/>
  <c r="N363" i="22"/>
  <c r="P389" i="22"/>
  <c r="AD389" i="22"/>
  <c r="P401" i="22"/>
  <c r="AD401" i="22"/>
  <c r="P850" i="22"/>
  <c r="AD850" i="22"/>
  <c r="P380" i="22"/>
  <c r="AD380" i="22"/>
  <c r="P859" i="22"/>
  <c r="AD859" i="22"/>
  <c r="P776" i="22"/>
  <c r="AD776" i="22"/>
  <c r="P649" i="22"/>
  <c r="AD649" i="22"/>
  <c r="P739" i="22"/>
  <c r="AD739" i="22"/>
  <c r="Q333" i="22"/>
  <c r="Q332" i="22"/>
  <c r="Q831" i="22"/>
  <c r="Q164" i="22"/>
  <c r="Q119" i="22"/>
  <c r="Q121" i="22"/>
  <c r="Q117" i="22"/>
  <c r="Q120" i="22"/>
  <c r="AD302" i="22"/>
  <c r="Q697" i="22"/>
  <c r="Q698" i="22"/>
  <c r="Q700" i="22"/>
  <c r="Q699" i="22"/>
  <c r="N781" i="22"/>
  <c r="N782" i="22"/>
  <c r="N841" i="22"/>
  <c r="N842" i="22"/>
  <c r="N867" i="22"/>
  <c r="N868" i="22"/>
  <c r="N869" i="22"/>
  <c r="N863" i="22"/>
  <c r="N865" i="22"/>
  <c r="N864" i="22"/>
  <c r="N861" i="22"/>
  <c r="N862" i="22"/>
  <c r="AD525" i="17"/>
  <c r="P51" i="22"/>
  <c r="AD51" i="22"/>
  <c r="P64" i="22"/>
  <c r="AD64" i="22"/>
  <c r="P44" i="22"/>
  <c r="AD44" i="22"/>
  <c r="P707" i="22"/>
  <c r="AD707" i="22"/>
  <c r="P493" i="22"/>
  <c r="AD493" i="22"/>
  <c r="P396" i="22"/>
  <c r="AD396" i="22"/>
  <c r="P321" i="22"/>
  <c r="AD321" i="22"/>
  <c r="P397" i="22"/>
  <c r="AD397" i="22"/>
  <c r="P415" i="22"/>
  <c r="AD415" i="22"/>
  <c r="P413" i="22"/>
  <c r="AD413" i="22"/>
  <c r="P849" i="22"/>
  <c r="AD849" i="22"/>
  <c r="P382" i="22"/>
  <c r="AD382" i="22"/>
  <c r="P363" i="22"/>
  <c r="AD363" i="22"/>
  <c r="P867" i="22"/>
  <c r="AD867" i="22"/>
  <c r="P852" i="22"/>
  <c r="AD852" i="22"/>
  <c r="P644" i="22"/>
  <c r="AD644" i="22"/>
  <c r="P645" i="22"/>
  <c r="AD645" i="22"/>
  <c r="P864" i="22"/>
  <c r="AD864" i="22"/>
  <c r="P723" i="22"/>
  <c r="AD723" i="22"/>
  <c r="P728" i="22"/>
  <c r="AD728" i="22"/>
  <c r="N630" i="22"/>
  <c r="N631" i="22"/>
  <c r="N859" i="22"/>
  <c r="N860" i="22"/>
  <c r="N858" i="22"/>
  <c r="P56" i="22"/>
  <c r="AD56" i="22"/>
  <c r="AD456" i="22"/>
  <c r="P498" i="22"/>
  <c r="AD498" i="22"/>
  <c r="P422" i="22"/>
  <c r="AD422" i="22"/>
  <c r="P727" i="22"/>
  <c r="AD727" i="22"/>
  <c r="Q560" i="22"/>
  <c r="Q559" i="22"/>
  <c r="Q564" i="22"/>
  <c r="Q561" i="22"/>
  <c r="Q556" i="22"/>
  <c r="Q563" i="22"/>
  <c r="Q562" i="22"/>
  <c r="Q557" i="22"/>
  <c r="Q558" i="22"/>
  <c r="Q305" i="22"/>
  <c r="Q306" i="22"/>
  <c r="Q201" i="22"/>
  <c r="Q200" i="22"/>
  <c r="Q779" i="22"/>
  <c r="Q199" i="22"/>
  <c r="Q203" i="22"/>
  <c r="Q487" i="22"/>
  <c r="Q489" i="22"/>
  <c r="Q483" i="22"/>
  <c r="Q481" i="22"/>
  <c r="Q484" i="22"/>
  <c r="Q467" i="22"/>
  <c r="Q475" i="22"/>
  <c r="Q473" i="22"/>
  <c r="Q470" i="22"/>
  <c r="Q485" i="22"/>
  <c r="Q486" i="22"/>
  <c r="Q479" i="22"/>
  <c r="N317" i="22"/>
  <c r="N321" i="22"/>
  <c r="N320" i="22"/>
  <c r="N318" i="22"/>
  <c r="N315" i="22"/>
  <c r="N322" i="22"/>
  <c r="N316" i="22"/>
  <c r="N319" i="22"/>
  <c r="N776" i="22"/>
  <c r="N777" i="22"/>
  <c r="N802" i="22"/>
  <c r="N789" i="22"/>
  <c r="N820" i="22"/>
  <c r="N790" i="22"/>
  <c r="N821" i="22"/>
  <c r="N853" i="22"/>
  <c r="N852" i="22"/>
  <c r="N851" i="22"/>
  <c r="P54" i="22"/>
  <c r="AD54" i="22"/>
  <c r="P37" i="22"/>
  <c r="AD37" i="22"/>
  <c r="P47" i="22"/>
  <c r="AD47" i="22"/>
  <c r="P703" i="22"/>
  <c r="AD703" i="22"/>
  <c r="P501" i="22"/>
  <c r="AD501" i="22"/>
  <c r="P391" i="22"/>
  <c r="AD391" i="22"/>
  <c r="P318" i="22"/>
  <c r="AD318" i="22"/>
  <c r="P872" i="22"/>
  <c r="AD872" i="22"/>
  <c r="P393" i="22"/>
  <c r="AD393" i="22"/>
  <c r="P418" i="22"/>
  <c r="AD418" i="22"/>
  <c r="P425" i="22"/>
  <c r="AD425" i="22"/>
  <c r="P378" i="22"/>
  <c r="AD378" i="22"/>
  <c r="P367" i="22"/>
  <c r="AD367" i="22"/>
  <c r="P868" i="22"/>
  <c r="AD868" i="22"/>
  <c r="P851" i="22"/>
  <c r="AD851" i="22"/>
  <c r="P642" i="22"/>
  <c r="AD642" i="22"/>
  <c r="P865" i="22"/>
  <c r="AD865" i="22"/>
  <c r="P738" i="22"/>
  <c r="AD738" i="22"/>
  <c r="P733" i="22"/>
  <c r="AD733" i="22"/>
  <c r="Q152" i="22"/>
  <c r="Q151" i="22"/>
  <c r="Q160" i="22"/>
  <c r="Q773" i="22"/>
  <c r="Q163" i="22"/>
  <c r="Q150" i="22"/>
  <c r="Q158" i="22"/>
  <c r="Q147" i="22"/>
  <c r="Q153" i="22"/>
  <c r="Q159" i="22"/>
  <c r="Q808" i="22"/>
  <c r="Q156" i="22"/>
  <c r="Q157" i="22"/>
  <c r="Q801" i="22"/>
  <c r="Q162" i="22"/>
  <c r="Q154" i="22"/>
  <c r="Q148" i="22"/>
  <c r="Q155" i="22"/>
  <c r="Q149" i="22"/>
  <c r="Q830" i="22"/>
  <c r="Q161" i="22"/>
  <c r="Q551" i="22"/>
  <c r="Q552" i="22"/>
  <c r="Q546" i="22"/>
  <c r="Q547" i="22"/>
  <c r="Q543" i="22"/>
  <c r="Q553" i="22"/>
  <c r="Q548" i="22"/>
  <c r="Q542" i="22"/>
  <c r="Q541" i="22"/>
  <c r="Q555" i="22"/>
  <c r="Q545" i="22"/>
  <c r="Q554" i="22"/>
  <c r="Q544" i="22"/>
  <c r="Q540" i="22"/>
  <c r="Q550" i="22"/>
  <c r="Q549" i="22"/>
  <c r="Q461" i="22"/>
  <c r="P461" i="22" s="1"/>
  <c r="Q460" i="22"/>
  <c r="P460" i="22" s="1"/>
  <c r="Q459" i="22"/>
  <c r="P459" i="22" s="1"/>
  <c r="Q458" i="22"/>
  <c r="P458" i="22" s="1"/>
  <c r="Q250" i="22"/>
  <c r="Q265" i="22"/>
  <c r="Q246" i="22"/>
  <c r="Q254" i="22"/>
  <c r="Q258" i="22"/>
  <c r="Q267" i="22"/>
  <c r="Q247" i="22"/>
  <c r="Q262" i="22"/>
  <c r="Q253" i="22"/>
  <c r="Q251" i="22"/>
  <c r="Q249" i="22"/>
  <c r="Q252" i="22"/>
  <c r="Q266" i="22"/>
  <c r="Q264" i="22"/>
  <c r="Q248" i="22"/>
  <c r="Q354" i="22"/>
  <c r="Q352" i="22"/>
  <c r="Q347" i="22"/>
  <c r="Q353" i="22"/>
  <c r="Q350" i="22"/>
  <c r="Q355" i="22"/>
  <c r="Q349" i="22"/>
  <c r="Q346" i="22"/>
  <c r="Q351" i="22"/>
  <c r="N366" i="22"/>
  <c r="N361" i="22"/>
  <c r="N376" i="22"/>
  <c r="N377" i="22"/>
  <c r="N384" i="22"/>
  <c r="N378" i="22"/>
  <c r="N382" i="22"/>
  <c r="N379" i="22"/>
  <c r="N380" i="22"/>
  <c r="N383" i="22"/>
  <c r="N408" i="22"/>
  <c r="N407" i="22"/>
  <c r="Q358" i="22"/>
  <c r="Q360" i="22"/>
  <c r="Q359" i="22"/>
  <c r="Q357" i="22"/>
  <c r="N18" i="22"/>
  <c r="N40" i="22"/>
  <c r="N32" i="22"/>
  <c r="N13" i="22"/>
  <c r="N12" i="22"/>
  <c r="N21" i="22"/>
  <c r="N771" i="22"/>
  <c r="N30" i="22"/>
  <c r="N34" i="22"/>
  <c r="N22" i="22"/>
  <c r="N14" i="22"/>
  <c r="N33" i="22"/>
  <c r="N17" i="22"/>
  <c r="N39" i="22"/>
  <c r="N41" i="22"/>
  <c r="N63" i="22"/>
  <c r="N44" i="22"/>
  <c r="N53" i="22"/>
  <c r="N59" i="22"/>
  <c r="N45" i="22"/>
  <c r="N47" i="22"/>
  <c r="N61" i="22"/>
  <c r="N57" i="22"/>
  <c r="N50" i="22"/>
  <c r="N62" i="22"/>
  <c r="N49" i="22"/>
  <c r="N55" i="22"/>
  <c r="N64" i="22"/>
  <c r="N37" i="22"/>
  <c r="N51" i="22"/>
  <c r="N58" i="22"/>
  <c r="N52" i="22"/>
  <c r="N48" i="22"/>
  <c r="N60" i="22"/>
  <c r="N56" i="22"/>
  <c r="N54" i="22"/>
  <c r="N43" i="22"/>
  <c r="N46" i="22"/>
  <c r="N400" i="22"/>
  <c r="N401" i="22"/>
  <c r="N388" i="22"/>
  <c r="N402" i="22"/>
  <c r="N397" i="22"/>
  <c r="N392" i="22"/>
  <c r="N386" i="22"/>
  <c r="N393" i="22"/>
  <c r="N385" i="22"/>
  <c r="N399" i="22"/>
  <c r="P361" i="22"/>
  <c r="AD361" i="22"/>
  <c r="P43" i="22"/>
  <c r="AD43" i="22"/>
  <c r="P50" i="22"/>
  <c r="AD50" i="22"/>
  <c r="P61" i="22"/>
  <c r="AD61" i="22"/>
  <c r="P705" i="22"/>
  <c r="AD705" i="22"/>
  <c r="P496" i="22"/>
  <c r="AD496" i="22"/>
  <c r="P387" i="22"/>
  <c r="AD387" i="22"/>
  <c r="P322" i="22"/>
  <c r="AD322" i="22"/>
  <c r="P870" i="22"/>
  <c r="AD870" i="22"/>
  <c r="P386" i="22"/>
  <c r="AD386" i="22"/>
  <c r="P423" i="22"/>
  <c r="AD423" i="22"/>
  <c r="P421" i="22"/>
  <c r="AD421" i="22"/>
  <c r="P377" i="22"/>
  <c r="AD377" i="22"/>
  <c r="P362" i="22"/>
  <c r="AD362" i="22"/>
  <c r="P869" i="22"/>
  <c r="AD869" i="22"/>
  <c r="P647" i="22"/>
  <c r="AD647" i="22"/>
  <c r="P652" i="22"/>
  <c r="AD652" i="22"/>
  <c r="P863" i="22"/>
  <c r="AD863" i="22"/>
  <c r="P724" i="22"/>
  <c r="AD724" i="22"/>
  <c r="P725" i="22"/>
  <c r="AD725" i="22"/>
  <c r="N871" i="22"/>
  <c r="N872" i="22"/>
  <c r="N870" i="22"/>
  <c r="P52" i="22"/>
  <c r="AD52" i="22"/>
  <c r="P701" i="22"/>
  <c r="AD701" i="22"/>
  <c r="Q692" i="22"/>
  <c r="Q690" i="22"/>
  <c r="Q691" i="22"/>
  <c r="Q463" i="22"/>
  <c r="Q465" i="22"/>
  <c r="P826" i="22"/>
  <c r="AD826" i="22"/>
  <c r="Q666" i="22"/>
  <c r="P666" i="22" s="1"/>
  <c r="Q654" i="22"/>
  <c r="P654" i="22" s="1"/>
  <c r="Q663" i="22"/>
  <c r="P663" i="22" s="1"/>
  <c r="Q656" i="22"/>
  <c r="P656" i="22" s="1"/>
  <c r="Q671" i="22"/>
  <c r="P671" i="22" s="1"/>
  <c r="Q659" i="22"/>
  <c r="P659" i="22" s="1"/>
  <c r="Q655" i="22"/>
  <c r="P655" i="22" s="1"/>
  <c r="N474" i="22"/>
  <c r="N482" i="22"/>
  <c r="N490" i="22"/>
  <c r="N468" i="22"/>
  <c r="N471" i="22"/>
  <c r="N472" i="22"/>
  <c r="N480" i="22"/>
  <c r="N469" i="22"/>
  <c r="N476" i="22"/>
  <c r="N488" i="22"/>
  <c r="N478" i="22"/>
  <c r="N477" i="22"/>
  <c r="N637" i="22"/>
  <c r="N629" i="22"/>
  <c r="N623" i="22"/>
  <c r="N633" i="22"/>
  <c r="N636" i="22"/>
  <c r="N625" i="22"/>
  <c r="N627" i="22"/>
  <c r="N634" i="22"/>
  <c r="N628" i="22"/>
  <c r="N624" i="22"/>
  <c r="N626" i="22"/>
  <c r="N632" i="22"/>
  <c r="N421" i="22"/>
  <c r="N424" i="22"/>
  <c r="N416" i="22"/>
  <c r="N417" i="22"/>
  <c r="N422" i="22"/>
  <c r="N420" i="22"/>
  <c r="N425" i="22"/>
  <c r="N413" i="22"/>
  <c r="N414" i="22"/>
  <c r="N418" i="22"/>
  <c r="N423" i="22"/>
  <c r="N412" i="22"/>
  <c r="N419" i="22"/>
  <c r="N415" i="22"/>
  <c r="Q817" i="22"/>
  <c r="P817" i="22" s="1"/>
  <c r="Q791" i="22"/>
  <c r="P791" i="22" s="1"/>
  <c r="Q816" i="22"/>
  <c r="P816" i="22" s="1"/>
  <c r="Q792" i="22"/>
  <c r="P792" i="22" s="1"/>
  <c r="Q819" i="22"/>
  <c r="P819" i="22" s="1"/>
  <c r="Q818" i="22"/>
  <c r="P818" i="22" s="1"/>
  <c r="Q794" i="22"/>
  <c r="P794" i="22" s="1"/>
  <c r="Q793" i="22"/>
  <c r="P793" i="22" s="1"/>
  <c r="Q503" i="22"/>
  <c r="Q506" i="22"/>
  <c r="Q511" i="22"/>
  <c r="Q509" i="22"/>
  <c r="Q504" i="22"/>
  <c r="Q510" i="22"/>
  <c r="Q502" i="22"/>
  <c r="Q508" i="22"/>
  <c r="Q505" i="22"/>
  <c r="P366" i="22"/>
  <c r="AD366" i="22"/>
  <c r="P58" i="22"/>
  <c r="AD58" i="22"/>
  <c r="P49" i="22"/>
  <c r="AD49" i="22"/>
  <c r="P57" i="22"/>
  <c r="AD57" i="22"/>
  <c r="P702" i="22"/>
  <c r="AD702" i="22"/>
  <c r="P491" i="22"/>
  <c r="AD491" i="22"/>
  <c r="P395" i="22"/>
  <c r="AD395" i="22"/>
  <c r="P315" i="22"/>
  <c r="AD315" i="22"/>
  <c r="P871" i="22"/>
  <c r="AD871" i="22"/>
  <c r="P392" i="22"/>
  <c r="AD392" i="22"/>
  <c r="P412" i="22"/>
  <c r="AD412" i="22"/>
  <c r="P424" i="22"/>
  <c r="AD424" i="22"/>
  <c r="P376" i="22"/>
  <c r="AD376" i="22"/>
  <c r="P862" i="22"/>
  <c r="AD862" i="22"/>
  <c r="P364" i="22"/>
  <c r="AD364" i="22"/>
  <c r="P11" i="22"/>
  <c r="AD11" i="22"/>
  <c r="P643" i="22"/>
  <c r="AD643" i="22"/>
  <c r="P638" i="22"/>
  <c r="AD638" i="22"/>
  <c r="P737" i="22"/>
  <c r="AD737" i="22"/>
  <c r="P732" i="22"/>
  <c r="AD732" i="22"/>
  <c r="P726" i="22"/>
  <c r="AD726" i="22"/>
  <c r="AD464" i="22"/>
  <c r="P640" i="22"/>
  <c r="AD640" i="22"/>
  <c r="Q226" i="22"/>
  <c r="Q215" i="22"/>
  <c r="Q225" i="22"/>
  <c r="Q227" i="22"/>
  <c r="Q221" i="22"/>
  <c r="Q220" i="22"/>
  <c r="Q242" i="22"/>
  <c r="Q241" i="22"/>
  <c r="Q230" i="22"/>
  <c r="Q228" i="22"/>
  <c r="Q222" i="22"/>
  <c r="Q238" i="22"/>
  <c r="Q213" i="22"/>
  <c r="Q244" i="22"/>
  <c r="Q236" i="22"/>
  <c r="Q243" i="22"/>
  <c r="Q239" i="22"/>
  <c r="Q235" i="22"/>
  <c r="Q232" i="22"/>
  <c r="Q223" i="22"/>
  <c r="Q217" i="22"/>
  <c r="Q224" i="22"/>
  <c r="Q231" i="22"/>
  <c r="Q240" i="22"/>
  <c r="Q245" i="22"/>
  <c r="Q216" i="22"/>
  <c r="Q229" i="22"/>
  <c r="Q237" i="22"/>
  <c r="Q143" i="22"/>
  <c r="Q142" i="22"/>
  <c r="Q135" i="22"/>
  <c r="Q137" i="22"/>
  <c r="Q132" i="22"/>
  <c r="Q139" i="22"/>
  <c r="Q140" i="22"/>
  <c r="Q141" i="22"/>
  <c r="Q144" i="22"/>
  <c r="Q284" i="22"/>
  <c r="Q286" i="22"/>
  <c r="Q285" i="22"/>
  <c r="Q283" i="22"/>
  <c r="Q281" i="22"/>
  <c r="Q288" i="22"/>
  <c r="Q278" i="22"/>
  <c r="Q276" i="22"/>
  <c r="Q277" i="22"/>
  <c r="Q279" i="22"/>
  <c r="Q282" i="22"/>
  <c r="Q280" i="22"/>
  <c r="Q287" i="22"/>
  <c r="Q111" i="22"/>
  <c r="Q103" i="22"/>
  <c r="Q107" i="22"/>
  <c r="Q106" i="22"/>
  <c r="Q772" i="22"/>
  <c r="Q104" i="22"/>
  <c r="Q105" i="22"/>
  <c r="Q109" i="22"/>
  <c r="Q108" i="22"/>
  <c r="Q114" i="22"/>
  <c r="Q113" i="22"/>
  <c r="Q112" i="22"/>
  <c r="Q110" i="22"/>
  <c r="AD335" i="22"/>
  <c r="P539" i="22"/>
  <c r="AD539" i="22"/>
  <c r="N28" i="22"/>
  <c r="N20" i="22"/>
  <c r="N15" i="22"/>
  <c r="N26" i="22"/>
  <c r="N23" i="22"/>
  <c r="N31" i="22"/>
  <c r="N36" i="22"/>
  <c r="N24" i="22"/>
  <c r="N16" i="22"/>
  <c r="N10" i="22"/>
  <c r="N800" i="22"/>
  <c r="N27" i="22"/>
  <c r="N35" i="22"/>
  <c r="N19" i="22"/>
  <c r="N807" i="22"/>
  <c r="N9" i="22"/>
  <c r="N29" i="22"/>
  <c r="N840" i="22"/>
  <c r="N38" i="22"/>
  <c r="N25" i="22"/>
  <c r="N849" i="22"/>
  <c r="N848" i="22"/>
  <c r="N850" i="22"/>
  <c r="P407" i="22"/>
  <c r="AD407" i="22"/>
  <c r="P46" i="22"/>
  <c r="AD46" i="22"/>
  <c r="P55" i="22"/>
  <c r="AD55" i="22"/>
  <c r="P63" i="22"/>
  <c r="AD63" i="22"/>
  <c r="P706" i="22"/>
  <c r="AD706" i="22"/>
  <c r="P495" i="22"/>
  <c r="AD495" i="22"/>
  <c r="P499" i="22"/>
  <c r="AD499" i="22"/>
  <c r="P390" i="22"/>
  <c r="AD390" i="22"/>
  <c r="P316" i="22"/>
  <c r="AD316" i="22"/>
  <c r="P402" i="22"/>
  <c r="AD402" i="22"/>
  <c r="P419" i="22"/>
  <c r="AD419" i="22"/>
  <c r="P416" i="22"/>
  <c r="AD416" i="22"/>
  <c r="P384" i="22"/>
  <c r="AD384" i="22"/>
  <c r="P861" i="22"/>
  <c r="AD861" i="22"/>
  <c r="P365" i="22"/>
  <c r="AD365" i="22"/>
  <c r="P42" i="22"/>
  <c r="AD42" i="22"/>
  <c r="P648" i="22"/>
  <c r="AD648" i="22"/>
  <c r="P646" i="22"/>
  <c r="AD646" i="22"/>
  <c r="P730" i="22"/>
  <c r="AD730" i="22"/>
  <c r="P731" i="22"/>
  <c r="AD731" i="22"/>
  <c r="N805" i="22"/>
  <c r="N833" i="22"/>
  <c r="Q313" i="22"/>
  <c r="Q309" i="22"/>
  <c r="Q312" i="22"/>
  <c r="Q307" i="22"/>
  <c r="Q311" i="22"/>
  <c r="Q310" i="22"/>
  <c r="Q314" i="22"/>
  <c r="Q308" i="22"/>
  <c r="N498" i="22"/>
  <c r="N491" i="22"/>
  <c r="N492" i="22"/>
  <c r="N499" i="22"/>
  <c r="N493" i="22"/>
  <c r="N496" i="22"/>
  <c r="N501" i="22"/>
  <c r="N495" i="22"/>
  <c r="N500" i="22"/>
  <c r="N497" i="22"/>
  <c r="N494" i="22"/>
  <c r="N394" i="22"/>
  <c r="N396" i="22"/>
  <c r="N389" i="22"/>
  <c r="N398" i="22"/>
  <c r="N387" i="22"/>
  <c r="N390" i="22"/>
  <c r="N391" i="22"/>
  <c r="N395" i="22"/>
  <c r="P320" i="22"/>
  <c r="AD320" i="22"/>
  <c r="Q787" i="22"/>
  <c r="P787" i="22" s="1"/>
  <c r="Q788" i="22"/>
  <c r="P788" i="22" s="1"/>
  <c r="Q845" i="22"/>
  <c r="P845" i="22" s="1"/>
  <c r="Q786" i="22"/>
  <c r="P786" i="22" s="1"/>
  <c r="Q822" i="22"/>
  <c r="P822" i="22" s="1"/>
  <c r="Q369" i="22"/>
  <c r="Q372" i="22"/>
  <c r="Q373" i="22"/>
  <c r="Q368" i="22"/>
  <c r="Q371" i="22"/>
  <c r="Q214" i="22"/>
  <c r="Q233" i="22"/>
  <c r="Q219" i="22"/>
  <c r="Q218" i="22"/>
  <c r="Q210" i="22"/>
  <c r="Q234" i="22"/>
  <c r="Q212" i="22"/>
  <c r="Q209" i="22"/>
  <c r="Q211" i="22"/>
  <c r="P834" i="22"/>
  <c r="AD834" i="22"/>
  <c r="Q134" i="22"/>
  <c r="Q131" i="22"/>
  <c r="Q136" i="22"/>
  <c r="Q138" i="22"/>
  <c r="Q133" i="22"/>
  <c r="P290" i="22"/>
  <c r="AD290" i="22"/>
  <c r="Q693" i="22"/>
  <c r="Q695" i="22"/>
  <c r="Q696" i="22"/>
  <c r="P408" i="22"/>
  <c r="AD408" i="22"/>
  <c r="P60" i="22"/>
  <c r="AD60" i="22"/>
  <c r="P45" i="22"/>
  <c r="AD45" i="22"/>
  <c r="AD453" i="22"/>
  <c r="P708" i="22"/>
  <c r="AD708" i="22"/>
  <c r="P494" i="22"/>
  <c r="AD494" i="22"/>
  <c r="P492" i="22"/>
  <c r="AD492" i="22"/>
  <c r="P398" i="22"/>
  <c r="AD398" i="22"/>
  <c r="P319" i="22"/>
  <c r="AD319" i="22"/>
  <c r="P388" i="22"/>
  <c r="AD388" i="22"/>
  <c r="P414" i="22"/>
  <c r="AD414" i="22"/>
  <c r="P417" i="22"/>
  <c r="AD417" i="22"/>
  <c r="P379" i="22"/>
  <c r="AD379" i="22"/>
  <c r="P858" i="22"/>
  <c r="AD858" i="22"/>
  <c r="P777" i="22"/>
  <c r="AD777" i="22"/>
  <c r="P651" i="22"/>
  <c r="AD651" i="22"/>
  <c r="P650" i="22"/>
  <c r="AD650" i="22"/>
  <c r="P736" i="22"/>
  <c r="AD736" i="22"/>
  <c r="P734" i="22"/>
  <c r="AD734" i="22"/>
  <c r="AD468" i="17"/>
  <c r="Q920" i="17"/>
  <c r="P920" i="17" s="1"/>
  <c r="N468" i="17"/>
  <c r="N525" i="17"/>
  <c r="Q296" i="17"/>
  <c r="P296" i="17" s="1"/>
  <c r="Q248" i="17"/>
  <c r="P248" i="17" s="1"/>
  <c r="Q302" i="17"/>
  <c r="P302" i="17" s="1"/>
  <c r="Q240" i="17"/>
  <c r="Q220" i="17"/>
  <c r="Q215" i="17"/>
  <c r="Q243" i="17"/>
  <c r="Q237" i="17"/>
  <c r="Q217" i="17"/>
  <c r="Q214" i="17"/>
  <c r="Q238" i="17"/>
  <c r="Q242" i="17"/>
  <c r="Q222" i="17"/>
  <c r="Q218" i="17"/>
  <c r="Q219" i="17"/>
  <c r="Q239" i="17"/>
  <c r="Q221" i="17"/>
  <c r="Q241" i="17"/>
  <c r="P592" i="17"/>
  <c r="AD592" i="17"/>
  <c r="P513" i="17"/>
  <c r="AD513" i="17"/>
  <c r="P470" i="17"/>
  <c r="AD470" i="17"/>
  <c r="P832" i="17"/>
  <c r="AD832" i="17"/>
  <c r="P820" i="17"/>
  <c r="AD820" i="17"/>
  <c r="P530" i="17"/>
  <c r="AD530" i="17"/>
  <c r="P685" i="17"/>
  <c r="AD685" i="17"/>
  <c r="Q451" i="17"/>
  <c r="Q457" i="17"/>
  <c r="Q444" i="17"/>
  <c r="Q458" i="17"/>
  <c r="Q434" i="17"/>
  <c r="Q445" i="17"/>
  <c r="Q441" i="17"/>
  <c r="Q433" i="17"/>
  <c r="Q450" i="17"/>
  <c r="Q447" i="17"/>
  <c r="P777" i="17"/>
  <c r="AD777" i="17"/>
  <c r="Q637" i="17"/>
  <c r="Q634" i="17"/>
  <c r="Q642" i="17"/>
  <c r="Q632" i="17"/>
  <c r="Q643" i="17"/>
  <c r="Q638" i="17"/>
  <c r="Q635" i="17"/>
  <c r="Q633" i="17"/>
  <c r="Q630" i="17"/>
  <c r="Q641" i="17"/>
  <c r="Q628" i="17"/>
  <c r="Q631" i="17"/>
  <c r="Q636" i="17"/>
  <c r="Q654" i="17"/>
  <c r="Q629" i="17"/>
  <c r="Q640" i="17"/>
  <c r="Q639" i="17"/>
  <c r="Q560" i="17"/>
  <c r="P560" i="17" s="1"/>
  <c r="Q557" i="17"/>
  <c r="P557" i="17" s="1"/>
  <c r="Q559" i="17"/>
  <c r="P559" i="17" s="1"/>
  <c r="Q465" i="17"/>
  <c r="Q461" i="17"/>
  <c r="Q460" i="17"/>
  <c r="Q464" i="17"/>
  <c r="Q462" i="17"/>
  <c r="Q289" i="17"/>
  <c r="Q290" i="17"/>
  <c r="Q291" i="17"/>
  <c r="Q286" i="17"/>
  <c r="Q293" i="17"/>
  <c r="Q292" i="17"/>
  <c r="Q285" i="17"/>
  <c r="Q287" i="17"/>
  <c r="Q927" i="17"/>
  <c r="Q298" i="17"/>
  <c r="Q297" i="17"/>
  <c r="Q294" i="17"/>
  <c r="Q288" i="17"/>
  <c r="Q50" i="17"/>
  <c r="Q58" i="17"/>
  <c r="Q54" i="17"/>
  <c r="Q63" i="17"/>
  <c r="Q74" i="17"/>
  <c r="Q52" i="17"/>
  <c r="Q60" i="17"/>
  <c r="Q65" i="17"/>
  <c r="Q53" i="17"/>
  <c r="Q59" i="17"/>
  <c r="Q66" i="17"/>
  <c r="Q75" i="17"/>
  <c r="Q76" i="17"/>
  <c r="Q56" i="17"/>
  <c r="Q62" i="17"/>
  <c r="Q61" i="17"/>
  <c r="Q77" i="17"/>
  <c r="Q71" i="17"/>
  <c r="Q42" i="17"/>
  <c r="Q55" i="17"/>
  <c r="Q46" i="17"/>
  <c r="Q51" i="17"/>
  <c r="Q72" i="17"/>
  <c r="Q73" i="17"/>
  <c r="Q41" i="17"/>
  <c r="Q69" i="17"/>
  <c r="Q68" i="17"/>
  <c r="Q67" i="17"/>
  <c r="Q48" i="17"/>
  <c r="P414" i="17"/>
  <c r="AD414" i="17"/>
  <c r="N918" i="17"/>
  <c r="N919" i="17"/>
  <c r="N540" i="17"/>
  <c r="N541" i="17"/>
  <c r="Q467" i="17"/>
  <c r="Q466" i="17"/>
  <c r="Q854" i="17"/>
  <c r="P854" i="17" s="1"/>
  <c r="Q860" i="17"/>
  <c r="P860" i="17" s="1"/>
  <c r="P925" i="17"/>
  <c r="AD925" i="17"/>
  <c r="P503" i="17"/>
  <c r="AD503" i="17"/>
  <c r="P500" i="17"/>
  <c r="AD500" i="17"/>
  <c r="P595" i="17"/>
  <c r="AD595" i="17"/>
  <c r="P589" i="17"/>
  <c r="AD589" i="17"/>
  <c r="P519" i="17"/>
  <c r="AD519" i="17"/>
  <c r="P508" i="17"/>
  <c r="AD508" i="17"/>
  <c r="P472" i="17"/>
  <c r="AD472" i="17"/>
  <c r="P827" i="17"/>
  <c r="AD827" i="17"/>
  <c r="P828" i="17"/>
  <c r="AD828" i="17"/>
  <c r="P526" i="17"/>
  <c r="AD526" i="17"/>
  <c r="P713" i="17"/>
  <c r="AD713" i="17"/>
  <c r="P714" i="17"/>
  <c r="AD714" i="17"/>
  <c r="P732" i="17"/>
  <c r="AD732" i="17"/>
  <c r="P681" i="17"/>
  <c r="AD681" i="17"/>
  <c r="N881" i="17"/>
  <c r="N882" i="17"/>
  <c r="P524" i="17"/>
  <c r="AD524" i="17"/>
  <c r="P199" i="17"/>
  <c r="AD199" i="17"/>
  <c r="Q70" i="17"/>
  <c r="Q57" i="17"/>
  <c r="Q44" i="17"/>
  <c r="Q268" i="17"/>
  <c r="Q275" i="17"/>
  <c r="Q272" i="17"/>
  <c r="Q276" i="17"/>
  <c r="Q264" i="17"/>
  <c r="Q281" i="17"/>
  <c r="Q284" i="17"/>
  <c r="Q262" i="17"/>
  <c r="Q278" i="17"/>
  <c r="Q279" i="17"/>
  <c r="Q280" i="17"/>
  <c r="Q273" i="17"/>
  <c r="Q283" i="17"/>
  <c r="Q269" i="17"/>
  <c r="Q270" i="17"/>
  <c r="Q274" i="17"/>
  <c r="Q277" i="17"/>
  <c r="Q266" i="17"/>
  <c r="Q267" i="17"/>
  <c r="Q271" i="17"/>
  <c r="Q282" i="17"/>
  <c r="Q265" i="17"/>
  <c r="Q789" i="17"/>
  <c r="Q785" i="17"/>
  <c r="Q786" i="17"/>
  <c r="Q787" i="17"/>
  <c r="Q788" i="17"/>
  <c r="Q783" i="17"/>
  <c r="Q784" i="17"/>
  <c r="Q879" i="17"/>
  <c r="P879" i="17" s="1"/>
  <c r="Q603" i="17"/>
  <c r="P603" i="17" s="1"/>
  <c r="Q880" i="17"/>
  <c r="P880" i="17" s="1"/>
  <c r="Q735" i="17"/>
  <c r="P735" i="17" s="1"/>
  <c r="Q751" i="17"/>
  <c r="P751" i="17" s="1"/>
  <c r="Q740" i="17"/>
  <c r="P740" i="17" s="1"/>
  <c r="Q734" i="17"/>
  <c r="P734" i="17" s="1"/>
  <c r="Q748" i="17"/>
  <c r="P748" i="17" s="1"/>
  <c r="Q743" i="17"/>
  <c r="P743" i="17" s="1"/>
  <c r="Q738" i="17"/>
  <c r="P738" i="17" s="1"/>
  <c r="Q739" i="17"/>
  <c r="P739" i="17" s="1"/>
  <c r="Q753" i="17"/>
  <c r="P753" i="17" s="1"/>
  <c r="Q752" i="17"/>
  <c r="P752" i="17" s="1"/>
  <c r="Q744" i="17"/>
  <c r="P744" i="17" s="1"/>
  <c r="Q741" i="17"/>
  <c r="P741" i="17" s="1"/>
  <c r="N575" i="17"/>
  <c r="N579" i="17"/>
  <c r="N587" i="17"/>
  <c r="N577" i="17"/>
  <c r="N889" i="17"/>
  <c r="N912" i="17"/>
  <c r="N928" i="17"/>
  <c r="N582" i="17"/>
  <c r="N584" i="17"/>
  <c r="N576" i="17"/>
  <c r="N588" i="17"/>
  <c r="N585" i="17"/>
  <c r="N581" i="17"/>
  <c r="N580" i="17"/>
  <c r="N888" i="17"/>
  <c r="N708" i="17"/>
  <c r="N684" i="17"/>
  <c r="N695" i="17"/>
  <c r="N700" i="17"/>
  <c r="N679" i="17"/>
  <c r="N691" i="17"/>
  <c r="N690" i="17"/>
  <c r="N698" i="17"/>
  <c r="N686" i="17"/>
  <c r="N694" i="17"/>
  <c r="N706" i="17"/>
  <c r="N687" i="17"/>
  <c r="N701" i="17"/>
  <c r="N707" i="17"/>
  <c r="N680" i="17"/>
  <c r="N678" i="17"/>
  <c r="N696" i="17"/>
  <c r="N689" i="17"/>
  <c r="N683" i="17"/>
  <c r="N697" i="17"/>
  <c r="N702" i="17"/>
  <c r="N709" i="17"/>
  <c r="N704" i="17"/>
  <c r="N693" i="17"/>
  <c r="N517" i="17"/>
  <c r="N516" i="17"/>
  <c r="N508" i="17"/>
  <c r="N505" i="17"/>
  <c r="N522" i="17"/>
  <c r="N509" i="17"/>
  <c r="N514" i="17"/>
  <c r="N506" i="17"/>
  <c r="N521" i="17"/>
  <c r="N511" i="17"/>
  <c r="N515" i="17"/>
  <c r="N518" i="17"/>
  <c r="N512" i="17"/>
  <c r="N519" i="17"/>
  <c r="N520" i="17"/>
  <c r="N513" i="17"/>
  <c r="N507" i="17"/>
  <c r="N510" i="17"/>
  <c r="P924" i="17"/>
  <c r="AD924" i="17"/>
  <c r="P496" i="17"/>
  <c r="AD496" i="17"/>
  <c r="P502" i="17"/>
  <c r="AD502" i="17"/>
  <c r="P590" i="17"/>
  <c r="AD590" i="17"/>
  <c r="P512" i="17"/>
  <c r="AD512" i="17"/>
  <c r="P507" i="17"/>
  <c r="AD507" i="17"/>
  <c r="P516" i="17"/>
  <c r="AD516" i="17"/>
  <c r="P829" i="17"/>
  <c r="AD829" i="17"/>
  <c r="P821" i="17"/>
  <c r="AD821" i="17"/>
  <c r="P731" i="17"/>
  <c r="AD731" i="17"/>
  <c r="P717" i="17"/>
  <c r="AD717" i="17"/>
  <c r="P730" i="17"/>
  <c r="AD730" i="17"/>
  <c r="Q133" i="17"/>
  <c r="Q107" i="17"/>
  <c r="Q130" i="17"/>
  <c r="Q122" i="17"/>
  <c r="Q111" i="17"/>
  <c r="Q134" i="17"/>
  <c r="Q113" i="17"/>
  <c r="Q108" i="17"/>
  <c r="Q137" i="17"/>
  <c r="Q112" i="17"/>
  <c r="Q123" i="17"/>
  <c r="Q125" i="17"/>
  <c r="Q118" i="17"/>
  <c r="Q106" i="17"/>
  <c r="Q117" i="17"/>
  <c r="Q136" i="17"/>
  <c r="Q115" i="17"/>
  <c r="Q131" i="17"/>
  <c r="Q119" i="17"/>
  <c r="Q121" i="17"/>
  <c r="Q129" i="17"/>
  <c r="Q114" i="17"/>
  <c r="Q124" i="17"/>
  <c r="Q135" i="17"/>
  <c r="Q127" i="17"/>
  <c r="Q126" i="17"/>
  <c r="Q116" i="17"/>
  <c r="Q110" i="17"/>
  <c r="Q109" i="17"/>
  <c r="Q120" i="17"/>
  <c r="Q132" i="17"/>
  <c r="Q128" i="17"/>
  <c r="N530" i="17"/>
  <c r="N531" i="17"/>
  <c r="N533" i="17"/>
  <c r="N529" i="17"/>
  <c r="N532" i="17"/>
  <c r="P492" i="17"/>
  <c r="AD492" i="17"/>
  <c r="P722" i="17"/>
  <c r="AD722" i="17"/>
  <c r="Q321" i="17"/>
  <c r="Q318" i="17"/>
  <c r="Q312" i="17"/>
  <c r="Q313" i="17"/>
  <c r="Q320" i="17"/>
  <c r="Q322" i="17"/>
  <c r="Q319" i="17"/>
  <c r="Q314" i="17"/>
  <c r="Q315" i="17"/>
  <c r="Q316" i="17"/>
  <c r="Q317" i="17"/>
  <c r="Q311" i="17"/>
  <c r="Q309" i="17"/>
  <c r="Q310" i="17"/>
  <c r="Q323" i="17"/>
  <c r="N492" i="17"/>
  <c r="N500" i="17"/>
  <c r="N502" i="17"/>
  <c r="N496" i="17"/>
  <c r="N493" i="17"/>
  <c r="N498" i="17"/>
  <c r="N499" i="17"/>
  <c r="N504" i="17"/>
  <c r="N501" i="17"/>
  <c r="N495" i="17"/>
  <c r="N503" i="17"/>
  <c r="N497" i="17"/>
  <c r="N494" i="17"/>
  <c r="P501" i="17"/>
  <c r="AD501" i="17"/>
  <c r="P540" i="17"/>
  <c r="AD540" i="17"/>
  <c r="P599" i="17"/>
  <c r="AD599" i="17"/>
  <c r="P518" i="17"/>
  <c r="AD518" i="17"/>
  <c r="P514" i="17"/>
  <c r="AD514" i="17"/>
  <c r="P517" i="17"/>
  <c r="AD517" i="17"/>
  <c r="P823" i="17"/>
  <c r="AD823" i="17"/>
  <c r="P825" i="17"/>
  <c r="AD825" i="17"/>
  <c r="P729" i="17"/>
  <c r="AD729" i="17"/>
  <c r="P733" i="17"/>
  <c r="AD733" i="17"/>
  <c r="P711" i="17"/>
  <c r="AD711" i="17"/>
  <c r="N419" i="17"/>
  <c r="N418" i="17"/>
  <c r="N416" i="17"/>
  <c r="P724" i="17"/>
  <c r="AD724" i="17"/>
  <c r="Q189" i="17"/>
  <c r="Q194" i="17"/>
  <c r="Q195" i="17"/>
  <c r="Q193" i="17"/>
  <c r="Q196" i="17"/>
  <c r="Q158" i="17"/>
  <c r="Q153" i="17"/>
  <c r="Q147" i="17"/>
  <c r="Q154" i="17"/>
  <c r="Q151" i="17"/>
  <c r="Q159" i="17"/>
  <c r="Q150" i="17"/>
  <c r="Q155" i="17"/>
  <c r="Q157" i="17"/>
  <c r="Q146" i="17"/>
  <c r="Q152" i="17"/>
  <c r="Q160" i="17"/>
  <c r="Q149" i="17"/>
  <c r="Q148" i="17"/>
  <c r="Q156" i="17"/>
  <c r="N911" i="17"/>
  <c r="N883" i="17"/>
  <c r="P498" i="17"/>
  <c r="AD498" i="17"/>
  <c r="P541" i="17"/>
  <c r="AD541" i="17"/>
  <c r="P600" i="17"/>
  <c r="AD600" i="17"/>
  <c r="P511" i="17"/>
  <c r="AD511" i="17"/>
  <c r="P521" i="17"/>
  <c r="AD521" i="17"/>
  <c r="P416" i="17"/>
  <c r="AD416" i="17"/>
  <c r="P826" i="17"/>
  <c r="AD826" i="17"/>
  <c r="P718" i="17"/>
  <c r="AD718" i="17"/>
  <c r="P720" i="17"/>
  <c r="AD720" i="17"/>
  <c r="P727" i="17"/>
  <c r="AD727" i="17"/>
  <c r="P531" i="17"/>
  <c r="AD531" i="17"/>
  <c r="Q583" i="17"/>
  <c r="Q578" i="17"/>
  <c r="Q586" i="17"/>
  <c r="P495" i="17"/>
  <c r="AD495" i="17"/>
  <c r="P594" i="17"/>
  <c r="AD594" i="17"/>
  <c r="P505" i="17"/>
  <c r="AD505" i="17"/>
  <c r="Q27" i="17"/>
  <c r="Q45" i="17"/>
  <c r="Q49" i="17"/>
  <c r="Q64" i="17"/>
  <c r="Q47" i="17"/>
  <c r="Q43" i="17"/>
  <c r="P463" i="17"/>
  <c r="AD463" i="17"/>
  <c r="Q896" i="17"/>
  <c r="P896" i="17" s="1"/>
  <c r="Q897" i="17"/>
  <c r="P897" i="17" s="1"/>
  <c r="Q260" i="17"/>
  <c r="Q261" i="17"/>
  <c r="Q259" i="17"/>
  <c r="Q263" i="17"/>
  <c r="Q192" i="17"/>
  <c r="Q190" i="17"/>
  <c r="Q188" i="17"/>
  <c r="Q191" i="17"/>
  <c r="Q563" i="17"/>
  <c r="Q562" i="17"/>
  <c r="Q561" i="17"/>
  <c r="Q197" i="17"/>
  <c r="Q204" i="17"/>
  <c r="Q200" i="17"/>
  <c r="Q208" i="17"/>
  <c r="Q211" i="17"/>
  <c r="Q212" i="17"/>
  <c r="Q202" i="17"/>
  <c r="Q207" i="17"/>
  <c r="Q210" i="17"/>
  <c r="Q203" i="17"/>
  <c r="Q201" i="17"/>
  <c r="Q198" i="17"/>
  <c r="Q205" i="17"/>
  <c r="Q213" i="17"/>
  <c r="Q206" i="17"/>
  <c r="Q209" i="17"/>
  <c r="Q386" i="17"/>
  <c r="Q387" i="17"/>
  <c r="Q388" i="17"/>
  <c r="Q389" i="17"/>
  <c r="Q411" i="17"/>
  <c r="Q408" i="17"/>
  <c r="Q409" i="17"/>
  <c r="Q413" i="17"/>
  <c r="Q410" i="17"/>
  <c r="Q412" i="17"/>
  <c r="Q415" i="17"/>
  <c r="N597" i="17"/>
  <c r="N591" i="17"/>
  <c r="N594" i="17"/>
  <c r="N589" i="17"/>
  <c r="N595" i="17"/>
  <c r="N600" i="17"/>
  <c r="N598" i="17"/>
  <c r="N599" i="17"/>
  <c r="N596" i="17"/>
  <c r="N593" i="17"/>
  <c r="N590" i="17"/>
  <c r="N592" i="17"/>
  <c r="N470" i="17"/>
  <c r="N472" i="17"/>
  <c r="N469" i="17"/>
  <c r="N473" i="17"/>
  <c r="N471" i="17"/>
  <c r="N699" i="17"/>
  <c r="N922" i="17"/>
  <c r="N682" i="17"/>
  <c r="P493" i="17"/>
  <c r="AD493" i="17"/>
  <c r="P593" i="17"/>
  <c r="AD593" i="17"/>
  <c r="P510" i="17"/>
  <c r="AD510" i="17"/>
  <c r="P506" i="17"/>
  <c r="AD506" i="17"/>
  <c r="P418" i="17"/>
  <c r="AD418" i="17"/>
  <c r="P471" i="17"/>
  <c r="AD471" i="17"/>
  <c r="P822" i="17"/>
  <c r="AD822" i="17"/>
  <c r="P725" i="17"/>
  <c r="AD725" i="17"/>
  <c r="P721" i="17"/>
  <c r="AD721" i="17"/>
  <c r="P726" i="17"/>
  <c r="AD726" i="17"/>
  <c r="P529" i="17"/>
  <c r="AD529" i="17"/>
  <c r="Q646" i="17"/>
  <c r="Q645" i="17"/>
  <c r="Q650" i="17"/>
  <c r="Q652" i="17"/>
  <c r="Q644" i="17"/>
  <c r="Q651" i="17"/>
  <c r="Q648" i="17"/>
  <c r="Q649" i="17"/>
  <c r="Q647" i="17"/>
  <c r="Q653" i="17"/>
  <c r="Q395" i="17"/>
  <c r="Q403" i="17"/>
  <c r="Q398" i="17"/>
  <c r="Q390" i="17"/>
  <c r="Q404" i="17"/>
  <c r="Q402" i="17"/>
  <c r="Q401" i="17"/>
  <c r="Q399" i="17"/>
  <c r="Q392" i="17"/>
  <c r="Q400" i="17"/>
  <c r="Q391" i="17"/>
  <c r="Q406" i="17"/>
  <c r="AA457" i="17"/>
  <c r="AA451" i="17"/>
  <c r="AA458" i="17"/>
  <c r="AA445" i="17"/>
  <c r="AA434" i="17"/>
  <c r="AA444" i="17"/>
  <c r="AA441" i="17"/>
  <c r="AA447" i="17"/>
  <c r="AA433" i="17"/>
  <c r="AA450" i="17"/>
  <c r="Q394" i="17"/>
  <c r="Q405" i="17"/>
  <c r="Q397" i="17"/>
  <c r="Q393" i="17"/>
  <c r="Q396" i="17"/>
  <c r="Q407" i="17"/>
  <c r="Q256" i="17"/>
  <c r="Q258" i="17"/>
  <c r="Q257" i="17"/>
  <c r="Q255" i="17"/>
  <c r="AD302" i="17"/>
  <c r="Q165" i="17"/>
  <c r="Q162" i="17"/>
  <c r="Q170" i="17"/>
  <c r="Q244" i="17"/>
  <c r="Q247" i="17"/>
  <c r="Q887" i="17"/>
  <c r="Q886" i="17"/>
  <c r="N526" i="17"/>
  <c r="N524" i="17"/>
  <c r="N825" i="17"/>
  <c r="N821" i="17"/>
  <c r="N820" i="17"/>
  <c r="N828" i="17"/>
  <c r="N829" i="17"/>
  <c r="N823" i="17"/>
  <c r="N822" i="17"/>
  <c r="N826" i="17"/>
  <c r="N827" i="17"/>
  <c r="N819" i="17"/>
  <c r="N830" i="17"/>
  <c r="N832" i="17"/>
  <c r="N831" i="17"/>
  <c r="N824" i="17"/>
  <c r="N724" i="17"/>
  <c r="N716" i="17"/>
  <c r="N732" i="17"/>
  <c r="N710" i="17"/>
  <c r="N726" i="17"/>
  <c r="N711" i="17"/>
  <c r="N730" i="17"/>
  <c r="N714" i="17"/>
  <c r="N727" i="17"/>
  <c r="N722" i="17"/>
  <c r="N721" i="17"/>
  <c r="N731" i="17"/>
  <c r="N713" i="17"/>
  <c r="N719" i="17"/>
  <c r="N728" i="17"/>
  <c r="N718" i="17"/>
  <c r="N733" i="17"/>
  <c r="N715" i="17"/>
  <c r="N725" i="17"/>
  <c r="N729" i="17"/>
  <c r="N717" i="17"/>
  <c r="N723" i="17"/>
  <c r="N712" i="17"/>
  <c r="N720" i="17"/>
  <c r="P494" i="17"/>
  <c r="AD494" i="17"/>
  <c r="P499" i="17"/>
  <c r="AD499" i="17"/>
  <c r="P598" i="17"/>
  <c r="AD598" i="17"/>
  <c r="P591" i="17"/>
  <c r="AD591" i="17"/>
  <c r="P515" i="17"/>
  <c r="AD515" i="17"/>
  <c r="P509" i="17"/>
  <c r="AD509" i="17"/>
  <c r="P419" i="17"/>
  <c r="AD419" i="17"/>
  <c r="P473" i="17"/>
  <c r="AD473" i="17"/>
  <c r="P824" i="17"/>
  <c r="AD824" i="17"/>
  <c r="P830" i="17"/>
  <c r="AD830" i="17"/>
  <c r="P712" i="17"/>
  <c r="AD712" i="17"/>
  <c r="P719" i="17"/>
  <c r="AD719" i="17"/>
  <c r="P710" i="17"/>
  <c r="AD710" i="17"/>
  <c r="P532" i="17"/>
  <c r="AD532" i="17"/>
  <c r="Q252" i="17"/>
  <c r="Q254" i="17"/>
  <c r="Q250" i="17"/>
  <c r="Q931" i="17"/>
  <c r="Q251" i="17"/>
  <c r="Q253" i="17"/>
  <c r="N925" i="17"/>
  <c r="N924" i="17"/>
  <c r="P715" i="17"/>
  <c r="AD715" i="17"/>
  <c r="Z457" i="17"/>
  <c r="Z451" i="17"/>
  <c r="Z445" i="17"/>
  <c r="Z434" i="17"/>
  <c r="Z441" i="17"/>
  <c r="Z458" i="17"/>
  <c r="Z444" i="17"/>
  <c r="Z433" i="17"/>
  <c r="Z450" i="17"/>
  <c r="Z447" i="17"/>
  <c r="Q427" i="17"/>
  <c r="Q428" i="17"/>
  <c r="Q232" i="17"/>
  <c r="Q224" i="17"/>
  <c r="Q216" i="17"/>
  <c r="Q228" i="17"/>
  <c r="Q236" i="17"/>
  <c r="Q230" i="17"/>
  <c r="Q234" i="17"/>
  <c r="Q226" i="17"/>
  <c r="Q229" i="17"/>
  <c r="Q231" i="17"/>
  <c r="Q223" i="17"/>
  <c r="Q233" i="17"/>
  <c r="Q227" i="17"/>
  <c r="Q225" i="17"/>
  <c r="Q235" i="17"/>
  <c r="Q337" i="17"/>
  <c r="Q336" i="17"/>
  <c r="Q359" i="17"/>
  <c r="Q343" i="17"/>
  <c r="Q344" i="17"/>
  <c r="Q347" i="17"/>
  <c r="Q342" i="17"/>
  <c r="Q361" i="17"/>
  <c r="Q350" i="17"/>
  <c r="Q352" i="17"/>
  <c r="Q341" i="17"/>
  <c r="Q351" i="17"/>
  <c r="Q355" i="17"/>
  <c r="Q360" i="17"/>
  <c r="Q356" i="17"/>
  <c r="Q358" i="17"/>
  <c r="Q340" i="17"/>
  <c r="Q357" i="17"/>
  <c r="Q354" i="17"/>
  <c r="Q345" i="17"/>
  <c r="Q339" i="17"/>
  <c r="Q348" i="17"/>
  <c r="Q338" i="17"/>
  <c r="Q353" i="17"/>
  <c r="Q349" i="17"/>
  <c r="Q346" i="17"/>
  <c r="Q161" i="17"/>
  <c r="Q166" i="17"/>
  <c r="Q163" i="17"/>
  <c r="Q172" i="17"/>
  <c r="Q175" i="17"/>
  <c r="Q176" i="17"/>
  <c r="Q167" i="17"/>
  <c r="Q174" i="17"/>
  <c r="Q173" i="17"/>
  <c r="Q164" i="17"/>
  <c r="Q171" i="17"/>
  <c r="Q169" i="17"/>
  <c r="Q168" i="17"/>
  <c r="N908" i="17"/>
  <c r="N804" i="17"/>
  <c r="N907" i="17"/>
  <c r="N681" i="17"/>
  <c r="N685" i="17"/>
  <c r="N703" i="17"/>
  <c r="Q602" i="17"/>
  <c r="Q601" i="17"/>
  <c r="P497" i="17"/>
  <c r="AD497" i="17"/>
  <c r="P504" i="17"/>
  <c r="AD504" i="17"/>
  <c r="P596" i="17"/>
  <c r="AD596" i="17"/>
  <c r="P597" i="17"/>
  <c r="AD597" i="17"/>
  <c r="P520" i="17"/>
  <c r="AD520" i="17"/>
  <c r="P522" i="17"/>
  <c r="AD522" i="17"/>
  <c r="P469" i="17"/>
  <c r="AD469" i="17"/>
  <c r="P831" i="17"/>
  <c r="AD831" i="17"/>
  <c r="P819" i="17"/>
  <c r="AD819" i="17"/>
  <c r="P723" i="17"/>
  <c r="AD723" i="17"/>
  <c r="P728" i="17"/>
  <c r="AD728" i="17"/>
  <c r="P716" i="17"/>
  <c r="AD716" i="17"/>
  <c r="P533" i="17"/>
  <c r="AD533" i="17"/>
  <c r="P703" i="17"/>
  <c r="AD703" i="17"/>
  <c r="FG218" i="6"/>
  <c r="DK218" i="6" s="1"/>
  <c r="DK106" i="6"/>
  <c r="FG204" i="6"/>
  <c r="FG220" i="6"/>
  <c r="FG61" i="6"/>
  <c r="DK61" i="6" s="1"/>
  <c r="DK89" i="6"/>
  <c r="DK114" i="6"/>
  <c r="N186" i="23" s="1"/>
  <c r="DK170" i="6"/>
  <c r="N359" i="23" s="1"/>
  <c r="DK165" i="6"/>
  <c r="N360" i="23" s="1"/>
  <c r="DK162" i="6"/>
  <c r="N358" i="23" s="1"/>
  <c r="DK98" i="6"/>
  <c r="N106" i="23" s="1"/>
  <c r="DK128" i="6"/>
  <c r="DK151" i="6"/>
  <c r="N299" i="23" s="1"/>
  <c r="FG60" i="6"/>
  <c r="Q23" i="23" s="1"/>
  <c r="DK185" i="6"/>
  <c r="N783" i="22" s="1"/>
  <c r="DK298" i="6"/>
  <c r="DK133" i="6"/>
  <c r="DK176" i="6"/>
  <c r="N834" i="22" s="1"/>
  <c r="DK129" i="6"/>
  <c r="DK152" i="6"/>
  <c r="DK251" i="6"/>
  <c r="DK166" i="6"/>
  <c r="N824" i="22" s="1"/>
  <c r="DK157" i="6"/>
  <c r="DK209" i="6"/>
  <c r="N539" i="22" s="1"/>
  <c r="DK177" i="6"/>
  <c r="N835" i="22" s="1"/>
  <c r="DK79" i="6"/>
  <c r="N290" i="22" s="1"/>
  <c r="DK244" i="6"/>
  <c r="DK229" i="6"/>
  <c r="DK112" i="6"/>
  <c r="DK113" i="6"/>
  <c r="DK179" i="6"/>
  <c r="N826" i="22" s="1"/>
  <c r="DK228" i="6"/>
  <c r="FG59" i="6"/>
  <c r="DK51" i="6"/>
  <c r="N199" i="17" s="1"/>
  <c r="DK92" i="6"/>
  <c r="DK55" i="6"/>
  <c r="DK57" i="6"/>
  <c r="DK47" i="6"/>
  <c r="N20" i="23" s="1"/>
  <c r="DK23" i="6"/>
  <c r="DK50" i="6"/>
  <c r="DK66" i="6"/>
  <c r="DK90" i="6"/>
  <c r="DK201" i="6"/>
  <c r="DK225" i="6"/>
  <c r="DK69" i="6"/>
  <c r="DK226" i="6"/>
  <c r="N777" i="17" s="1"/>
  <c r="DK44" i="6"/>
  <c r="N17" i="23" s="1"/>
  <c r="DK175" i="6"/>
  <c r="DK163" i="6"/>
  <c r="N355" i="23" s="1"/>
  <c r="DK212" i="6"/>
  <c r="DK150" i="6"/>
  <c r="N909" i="17" s="1"/>
  <c r="DK208" i="6"/>
  <c r="DK149" i="6"/>
  <c r="DK91" i="6"/>
  <c r="N94" i="23" s="1"/>
  <c r="DK77" i="6"/>
  <c r="DK43" i="6"/>
  <c r="DK104" i="6"/>
  <c r="N25" i="23" s="1"/>
  <c r="DK221" i="6"/>
  <c r="DK95" i="6"/>
  <c r="DK153" i="6"/>
  <c r="DK53" i="6"/>
  <c r="DK140" i="6"/>
  <c r="DK211" i="6"/>
  <c r="DK82" i="6"/>
  <c r="DK63" i="6"/>
  <c r="N48" i="23" s="1"/>
  <c r="DK143" i="6"/>
  <c r="N463" i="17" s="1"/>
  <c r="DK41" i="6"/>
  <c r="DK222" i="6"/>
  <c r="DK62" i="6"/>
  <c r="DK246" i="6"/>
  <c r="N758" i="22" s="1"/>
  <c r="DK307" i="6"/>
  <c r="DK283" i="6"/>
  <c r="DK224" i="6"/>
  <c r="N779" i="17" s="1"/>
  <c r="DK56" i="6"/>
  <c r="DK54" i="6"/>
  <c r="DK26" i="6"/>
  <c r="DK189" i="6"/>
  <c r="N878" i="17" s="1"/>
  <c r="DK142" i="6"/>
  <c r="DK49" i="6"/>
  <c r="DK48" i="6"/>
  <c r="DK46" i="6"/>
  <c r="DK21" i="6"/>
  <c r="FG205" i="6"/>
  <c r="Q318" i="23" s="1"/>
  <c r="FF138" i="6"/>
  <c r="FG138" i="6" s="1"/>
  <c r="Q143" i="23" s="1"/>
  <c r="FW281" i="6"/>
  <c r="FG234" i="6"/>
  <c r="Q866" i="22" s="1"/>
  <c r="FG206" i="6"/>
  <c r="FF178" i="6"/>
  <c r="FG178" i="6" s="1"/>
  <c r="Q827" i="22" s="1"/>
  <c r="P827" i="22" s="1"/>
  <c r="FG245" i="6"/>
  <c r="FG198" i="6"/>
  <c r="Q780" i="22" s="1"/>
  <c r="P780" i="22" s="1"/>
  <c r="FG99" i="6"/>
  <c r="Q301" i="22" s="1"/>
  <c r="FG127" i="6"/>
  <c r="Q775" i="22" s="1"/>
  <c r="EX285" i="6"/>
  <c r="FG285" i="6" s="1"/>
  <c r="DK285" i="6" s="1"/>
  <c r="FG71" i="6"/>
  <c r="DK84" i="6"/>
  <c r="N414" i="17" s="1"/>
  <c r="FG243" i="6"/>
  <c r="FG238" i="6"/>
  <c r="FG219" i="6"/>
  <c r="FG231" i="6"/>
  <c r="Q322" i="23" s="1"/>
  <c r="FG184" i="6"/>
  <c r="Q353" i="23" s="1"/>
  <c r="EZ281" i="6"/>
  <c r="FG281" i="6" s="1"/>
  <c r="FG182" i="6"/>
  <c r="Q838" i="22" s="1"/>
  <c r="FG242" i="6"/>
  <c r="FG303" i="6"/>
  <c r="Q635" i="22" s="1"/>
  <c r="FG280" i="6"/>
  <c r="DK280" i="6" s="1"/>
  <c r="Y263" i="6"/>
  <c r="EQ263" i="6"/>
  <c r="FG263" i="6" s="1"/>
  <c r="FG199" i="6"/>
  <c r="FG306" i="6"/>
  <c r="EX100" i="6"/>
  <c r="EY100" i="6"/>
  <c r="FG207" i="6"/>
  <c r="Q930" i="17" s="1"/>
  <c r="P930" i="17" s="1"/>
  <c r="FG131" i="6"/>
  <c r="DK131" i="6" s="1"/>
  <c r="FG124" i="6"/>
  <c r="Q903" i="17" s="1"/>
  <c r="FG93" i="6"/>
  <c r="N293" i="6"/>
  <c r="N297" i="6" s="1"/>
  <c r="EY68" i="6"/>
  <c r="EX68" i="6"/>
  <c r="EX223" i="6"/>
  <c r="EY223" i="6"/>
  <c r="EY24" i="6"/>
  <c r="EX24" i="6"/>
  <c r="FG78" i="6"/>
  <c r="N29" i="6"/>
  <c r="DK27" i="6"/>
  <c r="EY45" i="6"/>
  <c r="EX45" i="6"/>
  <c r="EY210" i="6"/>
  <c r="EX210" i="6"/>
  <c r="EY25" i="6"/>
  <c r="EX25" i="6"/>
  <c r="EY123" i="6"/>
  <c r="EX123" i="6"/>
  <c r="EY148" i="6"/>
  <c r="EX148" i="6"/>
  <c r="FG126" i="6"/>
  <c r="DK88" i="6"/>
  <c r="N93" i="23" s="1"/>
  <c r="FF136" i="6"/>
  <c r="FG136" i="6" s="1"/>
  <c r="Q157" i="23" s="1"/>
  <c r="FG130" i="6"/>
  <c r="FF134" i="6"/>
  <c r="FG134" i="6" s="1"/>
  <c r="EX22" i="6"/>
  <c r="EY22" i="6"/>
  <c r="EY132" i="6"/>
  <c r="EX132" i="6"/>
  <c r="N292" i="6"/>
  <c r="EX94" i="6"/>
  <c r="EY94" i="6"/>
  <c r="N65" i="6"/>
  <c r="EY141" i="6"/>
  <c r="EX141" i="6"/>
  <c r="EY20" i="6"/>
  <c r="EX20" i="6"/>
  <c r="EY111" i="6"/>
  <c r="EX111" i="6"/>
  <c r="N291" i="6"/>
  <c r="FG103" i="6"/>
  <c r="Q24" i="23" s="1"/>
  <c r="EX284" i="6"/>
  <c r="EY284" i="6"/>
  <c r="EX67" i="6"/>
  <c r="EY67" i="6"/>
  <c r="FY242" i="6"/>
  <c r="FY281" i="6"/>
  <c r="FY218" i="6"/>
  <c r="FY100" i="6"/>
  <c r="FX248" i="6"/>
  <c r="Z847" i="22" s="1"/>
  <c r="FY248" i="6"/>
  <c r="AA847" i="22" s="1"/>
  <c r="FX247" i="6"/>
  <c r="Z846" i="22" s="1"/>
  <c r="FY247" i="6"/>
  <c r="AA846" i="22" s="1"/>
  <c r="FX204" i="6"/>
  <c r="FX282" i="6"/>
  <c r="FX212" i="6"/>
  <c r="FY212" i="6"/>
  <c r="FY282" i="6"/>
  <c r="FX182" i="6"/>
  <c r="Z838" i="22" s="1"/>
  <c r="FY182" i="6"/>
  <c r="AA838" i="22" s="1"/>
  <c r="FX251" i="6"/>
  <c r="FZ206" i="6"/>
  <c r="FW206" i="6" s="1"/>
  <c r="FX242" i="6"/>
  <c r="FX234" i="6"/>
  <c r="Z866" i="22" s="1"/>
  <c r="FY234" i="6"/>
  <c r="AA866" i="22" s="1"/>
  <c r="FX85" i="6"/>
  <c r="Z417" i="17" s="1"/>
  <c r="FY85" i="6"/>
  <c r="AA417" i="17" s="1"/>
  <c r="FZ205" i="6"/>
  <c r="FW205" i="6" s="1"/>
  <c r="FX99" i="6"/>
  <c r="FX281" i="6"/>
  <c r="FY99" i="6"/>
  <c r="FZ207" i="6"/>
  <c r="FW207" i="6" s="1"/>
  <c r="Y930" i="17" s="1"/>
  <c r="FX218" i="6"/>
  <c r="FX100" i="6"/>
  <c r="FX271" i="6"/>
  <c r="FY271" i="6"/>
  <c r="FX273" i="6"/>
  <c r="Z381" i="22" s="1"/>
  <c r="FY273" i="6"/>
  <c r="AA381" i="22" s="1"/>
  <c r="FY251" i="6"/>
  <c r="FY204" i="6"/>
  <c r="FZ280" i="6"/>
  <c r="FW280" i="6" s="1"/>
  <c r="FZ272" i="6"/>
  <c r="FW272" i="6" s="1"/>
  <c r="Y534" i="17" s="1"/>
  <c r="FZ246" i="6"/>
  <c r="FW246" i="6" s="1"/>
  <c r="DK101" i="6" l="1"/>
  <c r="N302" i="22" s="1"/>
  <c r="AA855" i="22"/>
  <c r="AA857" i="22"/>
  <c r="AA856" i="22"/>
  <c r="AA854" i="22"/>
  <c r="AA301" i="22"/>
  <c r="AA382" i="17"/>
  <c r="AA384" i="17"/>
  <c r="AA381" i="17"/>
  <c r="AA385" i="17"/>
  <c r="AA383" i="17"/>
  <c r="AA380" i="17"/>
  <c r="Z765" i="22"/>
  <c r="Z871" i="17"/>
  <c r="Z766" i="22"/>
  <c r="Z863" i="17"/>
  <c r="Z767" i="22"/>
  <c r="Z769" i="22"/>
  <c r="Z865" i="17"/>
  <c r="Z870" i="17"/>
  <c r="Z862" i="17"/>
  <c r="Z768" i="22"/>
  <c r="Z763" i="22"/>
  <c r="Z762" i="22"/>
  <c r="Z770" i="22"/>
  <c r="Z760" i="22"/>
  <c r="Z764" i="22"/>
  <c r="Z761" i="22"/>
  <c r="Z866" i="17"/>
  <c r="Z873" i="17"/>
  <c r="Z861" i="17"/>
  <c r="Z869" i="17"/>
  <c r="Z868" i="17"/>
  <c r="Z867" i="17"/>
  <c r="Z872" i="17"/>
  <c r="Z864" i="17"/>
  <c r="AA616" i="22"/>
  <c r="AA660" i="17"/>
  <c r="AA669" i="17"/>
  <c r="AA617" i="22"/>
  <c r="AA615" i="22"/>
  <c r="AA612" i="22"/>
  <c r="AA609" i="22"/>
  <c r="AA677" i="17"/>
  <c r="AA673" i="17"/>
  <c r="AA668" i="17"/>
  <c r="AA661" i="17"/>
  <c r="AA611" i="22"/>
  <c r="AA613" i="22"/>
  <c r="AA620" i="22"/>
  <c r="AA619" i="22"/>
  <c r="AA621" i="22"/>
  <c r="AA676" i="17"/>
  <c r="AA662" i="17"/>
  <c r="AA663" i="17"/>
  <c r="AA664" i="17"/>
  <c r="AA666" i="17"/>
  <c r="AA674" i="17"/>
  <c r="AA610" i="22"/>
  <c r="AA622" i="22"/>
  <c r="AA671" i="17"/>
  <c r="AA667" i="17"/>
  <c r="AA618" i="22"/>
  <c r="AA614" i="22"/>
  <c r="AA665" i="17"/>
  <c r="AA675" i="17"/>
  <c r="AA672" i="17"/>
  <c r="AA670" i="17"/>
  <c r="AA773" i="17"/>
  <c r="AA685" i="22"/>
  <c r="AA677" i="22"/>
  <c r="AA765" i="17"/>
  <c r="AA761" i="17"/>
  <c r="AA681" i="22"/>
  <c r="AA772" i="17"/>
  <c r="AA769" i="17"/>
  <c r="AA673" i="22"/>
  <c r="AA684" i="22"/>
  <c r="AA678" i="22"/>
  <c r="AA674" i="22"/>
  <c r="AA676" i="22"/>
  <c r="AA763" i="17"/>
  <c r="AA762" i="17"/>
  <c r="AA770" i="17"/>
  <c r="AA775" i="17"/>
  <c r="AA682" i="22"/>
  <c r="AA771" i="17"/>
  <c r="AA774" i="17"/>
  <c r="AA766" i="17"/>
  <c r="AA679" i="22"/>
  <c r="AA683" i="22"/>
  <c r="AA672" i="22"/>
  <c r="AA680" i="22"/>
  <c r="AA675" i="22"/>
  <c r="AA764" i="17"/>
  <c r="AA776" i="17"/>
  <c r="AA767" i="17"/>
  <c r="AA768" i="17"/>
  <c r="Y916" i="17"/>
  <c r="Y890" i="17"/>
  <c r="Y917" i="17"/>
  <c r="Y891" i="17"/>
  <c r="Z660" i="17"/>
  <c r="Z616" i="22"/>
  <c r="Z669" i="17"/>
  <c r="Z617" i="22"/>
  <c r="Z615" i="22"/>
  <c r="Z609" i="22"/>
  <c r="Z612" i="22"/>
  <c r="Z661" i="17"/>
  <c r="Z673" i="17"/>
  <c r="Z677" i="17"/>
  <c r="Z668" i="17"/>
  <c r="Z611" i="22"/>
  <c r="Z613" i="22"/>
  <c r="Z620" i="22"/>
  <c r="Z619" i="22"/>
  <c r="Z621" i="22"/>
  <c r="Z663" i="17"/>
  <c r="Z664" i="17"/>
  <c r="Z676" i="17"/>
  <c r="Z662" i="17"/>
  <c r="Z666" i="17"/>
  <c r="Z674" i="17"/>
  <c r="Z614" i="22"/>
  <c r="Z610" i="22"/>
  <c r="Z670" i="17"/>
  <c r="Z622" i="22"/>
  <c r="Z618" i="22"/>
  <c r="Z667" i="17"/>
  <c r="Z671" i="17"/>
  <c r="Z672" i="17"/>
  <c r="Z665" i="17"/>
  <c r="Z675" i="17"/>
  <c r="AA871" i="17"/>
  <c r="AA766" i="22"/>
  <c r="AA765" i="22"/>
  <c r="AA863" i="17"/>
  <c r="AA769" i="22"/>
  <c r="AA767" i="22"/>
  <c r="AA870" i="17"/>
  <c r="AA865" i="17"/>
  <c r="AA862" i="17"/>
  <c r="AA768" i="22"/>
  <c r="AA763" i="22"/>
  <c r="AA770" i="22"/>
  <c r="AA762" i="22"/>
  <c r="AA760" i="22"/>
  <c r="AA764" i="22"/>
  <c r="AA761" i="22"/>
  <c r="AA873" i="17"/>
  <c r="AA866" i="17"/>
  <c r="AA861" i="17"/>
  <c r="AA869" i="17"/>
  <c r="AA868" i="17"/>
  <c r="AA864" i="17"/>
  <c r="AA872" i="17"/>
  <c r="AA867" i="17"/>
  <c r="Q456" i="22"/>
  <c r="P456" i="22" s="1"/>
  <c r="Q453" i="22"/>
  <c r="P453" i="22" s="1"/>
  <c r="DK263" i="6"/>
  <c r="Z855" i="22"/>
  <c r="Z857" i="22"/>
  <c r="Z856" i="22"/>
  <c r="Z854" i="22"/>
  <c r="AA530" i="17"/>
  <c r="AA533" i="17"/>
  <c r="AA531" i="17"/>
  <c r="AA529" i="17"/>
  <c r="AA532" i="17"/>
  <c r="Y599" i="22"/>
  <c r="Y575" i="22"/>
  <c r="Y584" i="22"/>
  <c r="Y568" i="22"/>
  <c r="Y608" i="22"/>
  <c r="Y576" i="22"/>
  <c r="Y567" i="22"/>
  <c r="Y600" i="22"/>
  <c r="Y591" i="22"/>
  <c r="Y592" i="22"/>
  <c r="Y607" i="22"/>
  <c r="Y583" i="22"/>
  <c r="Y569" i="22"/>
  <c r="Y593" i="22"/>
  <c r="Y588" i="22"/>
  <c r="Y572" i="22"/>
  <c r="Y577" i="22"/>
  <c r="Y585" i="22"/>
  <c r="Y580" i="22"/>
  <c r="Y604" i="22"/>
  <c r="Y596" i="22"/>
  <c r="Y601" i="22"/>
  <c r="Y605" i="22"/>
  <c r="Y594" i="22"/>
  <c r="Y318" i="23"/>
  <c r="Y571" i="22"/>
  <c r="Y565" i="22"/>
  <c r="Y581" i="22"/>
  <c r="Y587" i="22"/>
  <c r="Y578" i="22"/>
  <c r="Y597" i="22"/>
  <c r="Y573" i="22"/>
  <c r="Y602" i="22"/>
  <c r="Y570" i="22"/>
  <c r="Y589" i="22"/>
  <c r="Y603" i="22"/>
  <c r="Y658" i="17"/>
  <c r="Y579" i="22"/>
  <c r="Y595" i="22"/>
  <c r="Y586" i="22"/>
  <c r="Y656" i="17"/>
  <c r="Y574" i="22"/>
  <c r="Y566" i="22"/>
  <c r="Y590" i="22"/>
  <c r="Y606" i="22"/>
  <c r="Y598" i="22"/>
  <c r="Y582" i="22"/>
  <c r="Y657" i="17"/>
  <c r="Y659" i="17"/>
  <c r="Y655" i="17"/>
  <c r="Z560" i="22"/>
  <c r="Z559" i="22"/>
  <c r="Z556" i="22"/>
  <c r="Z561" i="22"/>
  <c r="Z564" i="22"/>
  <c r="Z646" i="17"/>
  <c r="Z562" i="22"/>
  <c r="Z563" i="22"/>
  <c r="Z644" i="17"/>
  <c r="Z557" i="22"/>
  <c r="Z652" i="17"/>
  <c r="Z650" i="17"/>
  <c r="Z645" i="17"/>
  <c r="Z558" i="22"/>
  <c r="Z651" i="17"/>
  <c r="Z649" i="17"/>
  <c r="Z653" i="17"/>
  <c r="Z648" i="17"/>
  <c r="Z647" i="17"/>
  <c r="Z301" i="22"/>
  <c r="Z382" i="17"/>
  <c r="Z384" i="17"/>
  <c r="Z385" i="17"/>
  <c r="Z381" i="17"/>
  <c r="Z383" i="17"/>
  <c r="Z380" i="17"/>
  <c r="Z530" i="17"/>
  <c r="Z533" i="17"/>
  <c r="Z531" i="17"/>
  <c r="Z529" i="17"/>
  <c r="Z532" i="17"/>
  <c r="Z375" i="17"/>
  <c r="Z364" i="17"/>
  <c r="Z378" i="17"/>
  <c r="Z296" i="22"/>
  <c r="Z367" i="17"/>
  <c r="Z363" i="17"/>
  <c r="Z372" i="17"/>
  <c r="Z369" i="17"/>
  <c r="Z297" i="22"/>
  <c r="Z299" i="22"/>
  <c r="Z291" i="22"/>
  <c r="Z300" i="22"/>
  <c r="Z293" i="22"/>
  <c r="Z294" i="22"/>
  <c r="Z366" i="17"/>
  <c r="Z377" i="17"/>
  <c r="Z373" i="17"/>
  <c r="Z368" i="17"/>
  <c r="Z365" i="17"/>
  <c r="Z379" i="17"/>
  <c r="Z78" i="23"/>
  <c r="Z298" i="22"/>
  <c r="Z292" i="22"/>
  <c r="Z295" i="22"/>
  <c r="Z376" i="17"/>
  <c r="Z371" i="17"/>
  <c r="Z370" i="17"/>
  <c r="Z374" i="17"/>
  <c r="Z362" i="17"/>
  <c r="Y854" i="17"/>
  <c r="Y758" i="22"/>
  <c r="Y860" i="17"/>
  <c r="Z677" i="22"/>
  <c r="Z773" i="17"/>
  <c r="Z765" i="17"/>
  <c r="Z685" i="22"/>
  <c r="Z761" i="17"/>
  <c r="Z673" i="22"/>
  <c r="Z681" i="22"/>
  <c r="Z769" i="17"/>
  <c r="Z772" i="17"/>
  <c r="Z674" i="22"/>
  <c r="Z684" i="22"/>
  <c r="Z678" i="22"/>
  <c r="Z682" i="22"/>
  <c r="Z676" i="22"/>
  <c r="Z775" i="17"/>
  <c r="Z763" i="17"/>
  <c r="Z762" i="17"/>
  <c r="Z770" i="17"/>
  <c r="Z771" i="17"/>
  <c r="Z774" i="17"/>
  <c r="Z766" i="17"/>
  <c r="Z679" i="22"/>
  <c r="Z672" i="22"/>
  <c r="Z675" i="22"/>
  <c r="Z680" i="22"/>
  <c r="Z683" i="22"/>
  <c r="Z764" i="17"/>
  <c r="Z767" i="17"/>
  <c r="Z776" i="17"/>
  <c r="Z768" i="17"/>
  <c r="AA560" i="22"/>
  <c r="AA559" i="22"/>
  <c r="AA556" i="22"/>
  <c r="AA561" i="22"/>
  <c r="AA564" i="22"/>
  <c r="AA646" i="17"/>
  <c r="AA563" i="22"/>
  <c r="AA562" i="22"/>
  <c r="AA652" i="17"/>
  <c r="AA644" i="17"/>
  <c r="AA557" i="22"/>
  <c r="AA645" i="17"/>
  <c r="AA650" i="17"/>
  <c r="AA558" i="22"/>
  <c r="AA649" i="17"/>
  <c r="AA653" i="17"/>
  <c r="AA647" i="17"/>
  <c r="AA648" i="17"/>
  <c r="AA651" i="17"/>
  <c r="AA375" i="17"/>
  <c r="AA378" i="17"/>
  <c r="AA364" i="17"/>
  <c r="AA369" i="17"/>
  <c r="AA296" i="22"/>
  <c r="AA367" i="17"/>
  <c r="AA372" i="17"/>
  <c r="AA363" i="17"/>
  <c r="AA299" i="22"/>
  <c r="AA291" i="22"/>
  <c r="AA297" i="22"/>
  <c r="AA300" i="22"/>
  <c r="AA293" i="22"/>
  <c r="AA366" i="17"/>
  <c r="AA294" i="22"/>
  <c r="AA368" i="17"/>
  <c r="AA377" i="17"/>
  <c r="AA373" i="17"/>
  <c r="AA365" i="17"/>
  <c r="AA379" i="17"/>
  <c r="AA295" i="22"/>
  <c r="AA78" i="23"/>
  <c r="AA292" i="22"/>
  <c r="AA298" i="22"/>
  <c r="AA376" i="17"/>
  <c r="AA371" i="17"/>
  <c r="AA370" i="17"/>
  <c r="AA362" i="17"/>
  <c r="AA374" i="17"/>
  <c r="AD370" i="22"/>
  <c r="P134" i="23"/>
  <c r="AD134" i="23"/>
  <c r="P24" i="23"/>
  <c r="AD24" i="23"/>
  <c r="Q166" i="23"/>
  <c r="Q162" i="23"/>
  <c r="P353" i="23"/>
  <c r="AD353" i="23"/>
  <c r="P143" i="23"/>
  <c r="AD143" i="23"/>
  <c r="N307" i="23"/>
  <c r="N310" i="23"/>
  <c r="N309" i="23"/>
  <c r="N221" i="23"/>
  <c r="N213" i="23"/>
  <c r="N217" i="23"/>
  <c r="N206" i="23"/>
  <c r="N205" i="23"/>
  <c r="N216" i="23"/>
  <c r="N214" i="23"/>
  <c r="N220" i="23"/>
  <c r="N219" i="23"/>
  <c r="N218" i="23"/>
  <c r="N209" i="23"/>
  <c r="N215" i="23"/>
  <c r="N211" i="23"/>
  <c r="N208" i="23"/>
  <c r="N212" i="23"/>
  <c r="P23" i="23"/>
  <c r="AD23" i="23"/>
  <c r="N89" i="23"/>
  <c r="N90" i="23"/>
  <c r="N91" i="23"/>
  <c r="N86" i="23"/>
  <c r="N85" i="23"/>
  <c r="N84" i="23"/>
  <c r="N81" i="23"/>
  <c r="N92" i="23"/>
  <c r="N83" i="23"/>
  <c r="P174" i="23"/>
  <c r="AD174" i="23"/>
  <c r="P164" i="23"/>
  <c r="AD164" i="23"/>
  <c r="P155" i="23"/>
  <c r="AD155" i="23"/>
  <c r="P125" i="23"/>
  <c r="AD125" i="23"/>
  <c r="P323" i="23"/>
  <c r="AD323" i="23"/>
  <c r="P26" i="23"/>
  <c r="AD26" i="23"/>
  <c r="P95" i="23"/>
  <c r="AD95" i="23"/>
  <c r="P83" i="23"/>
  <c r="AD83" i="23"/>
  <c r="P310" i="23"/>
  <c r="AD310" i="23"/>
  <c r="P211" i="23"/>
  <c r="AD211" i="23"/>
  <c r="P216" i="23"/>
  <c r="AD216" i="23"/>
  <c r="P329" i="23"/>
  <c r="AD329" i="23"/>
  <c r="P130" i="23"/>
  <c r="AD130" i="23"/>
  <c r="N53" i="23"/>
  <c r="N54" i="23"/>
  <c r="P175" i="23"/>
  <c r="AD175" i="23"/>
  <c r="P309" i="23"/>
  <c r="AD309" i="23"/>
  <c r="Q140" i="23"/>
  <c r="Q135" i="23"/>
  <c r="Q149" i="23"/>
  <c r="Q146" i="23"/>
  <c r="Q153" i="23"/>
  <c r="Q141" i="23"/>
  <c r="Q136" i="23"/>
  <c r="Q139" i="23"/>
  <c r="Q352" i="23"/>
  <c r="Q142" i="23"/>
  <c r="Q138" i="23"/>
  <c r="Q148" i="23"/>
  <c r="Q147" i="23"/>
  <c r="Q145" i="23"/>
  <c r="Q137" i="23"/>
  <c r="Q144" i="23"/>
  <c r="Q152" i="23"/>
  <c r="Q151" i="23"/>
  <c r="P322" i="23"/>
  <c r="AD322" i="23"/>
  <c r="P318" i="23"/>
  <c r="AD318" i="23"/>
  <c r="N41" i="23"/>
  <c r="N43" i="23"/>
  <c r="N36" i="23"/>
  <c r="N44" i="23"/>
  <c r="N39" i="23"/>
  <c r="N37" i="23"/>
  <c r="N27" i="23"/>
  <c r="N28" i="23"/>
  <c r="N32" i="23"/>
  <c r="N31" i="23"/>
  <c r="N30" i="23"/>
  <c r="N34" i="23"/>
  <c r="N29" i="23"/>
  <c r="N26" i="23"/>
  <c r="N33" i="23"/>
  <c r="N327" i="23"/>
  <c r="N334" i="23"/>
  <c r="N331" i="23"/>
  <c r="N328" i="23"/>
  <c r="N324" i="23"/>
  <c r="N329" i="23"/>
  <c r="P177" i="23"/>
  <c r="AD177" i="23"/>
  <c r="P167" i="23"/>
  <c r="AD167" i="23"/>
  <c r="P165" i="23"/>
  <c r="AD165" i="23"/>
  <c r="P133" i="23"/>
  <c r="AD133" i="23"/>
  <c r="P335" i="23"/>
  <c r="AD335" i="23"/>
  <c r="P29" i="23"/>
  <c r="AD29" i="23"/>
  <c r="P88" i="23"/>
  <c r="AD88" i="23"/>
  <c r="P85" i="23"/>
  <c r="AD85" i="23"/>
  <c r="P307" i="23"/>
  <c r="AD307" i="23"/>
  <c r="P215" i="23"/>
  <c r="AD215" i="23"/>
  <c r="P220" i="23"/>
  <c r="AD220" i="23"/>
  <c r="P328" i="23"/>
  <c r="AD328" i="23"/>
  <c r="P128" i="23"/>
  <c r="AD128" i="23"/>
  <c r="P306" i="23"/>
  <c r="AD306" i="23"/>
  <c r="P219" i="23"/>
  <c r="AD219" i="23"/>
  <c r="P157" i="23"/>
  <c r="AD157" i="23"/>
  <c r="N80" i="23"/>
  <c r="N87" i="23"/>
  <c r="N79" i="23"/>
  <c r="N88" i="23"/>
  <c r="N82" i="23"/>
  <c r="N308" i="23"/>
  <c r="N306" i="23"/>
  <c r="N133" i="23"/>
  <c r="N134" i="23"/>
  <c r="N125" i="23"/>
  <c r="N129" i="23"/>
  <c r="P173" i="23"/>
  <c r="AD173" i="23"/>
  <c r="P163" i="23"/>
  <c r="AD163" i="23"/>
  <c r="P154" i="23"/>
  <c r="AD154" i="23"/>
  <c r="P129" i="23"/>
  <c r="AD129" i="23"/>
  <c r="P210" i="23"/>
  <c r="AD210" i="23"/>
  <c r="P28" i="23"/>
  <c r="AD28" i="23"/>
  <c r="P316" i="23"/>
  <c r="AD316" i="23"/>
  <c r="P79" i="23"/>
  <c r="AD79" i="23"/>
  <c r="P84" i="23"/>
  <c r="AD84" i="23"/>
  <c r="P44" i="23"/>
  <c r="AD44" i="23"/>
  <c r="P208" i="23"/>
  <c r="AD208" i="23"/>
  <c r="P206" i="23"/>
  <c r="AD206" i="23"/>
  <c r="P324" i="23"/>
  <c r="AD324" i="23"/>
  <c r="P126" i="23"/>
  <c r="AD126" i="23"/>
  <c r="P308" i="23"/>
  <c r="AD308" i="23"/>
  <c r="N35" i="23"/>
  <c r="N40" i="23"/>
  <c r="N38" i="23"/>
  <c r="N42" i="23"/>
  <c r="P161" i="23"/>
  <c r="AD161" i="23"/>
  <c r="P326" i="23"/>
  <c r="AD326" i="23"/>
  <c r="P81" i="23"/>
  <c r="AD81" i="23"/>
  <c r="N127" i="23"/>
  <c r="N131" i="23"/>
  <c r="N132" i="23"/>
  <c r="N128" i="23"/>
  <c r="N130" i="23"/>
  <c r="N126" i="23"/>
  <c r="P170" i="23"/>
  <c r="AD170" i="23"/>
  <c r="P168" i="23"/>
  <c r="AD168" i="23"/>
  <c r="P158" i="23"/>
  <c r="AD158" i="23"/>
  <c r="P333" i="23"/>
  <c r="AD333" i="23"/>
  <c r="P207" i="23"/>
  <c r="AD207" i="23"/>
  <c r="P32" i="23"/>
  <c r="AD32" i="23"/>
  <c r="P313" i="23"/>
  <c r="AD313" i="23"/>
  <c r="P82" i="23"/>
  <c r="AD82" i="23"/>
  <c r="P91" i="23"/>
  <c r="AD91" i="23"/>
  <c r="P39" i="23"/>
  <c r="AD39" i="23"/>
  <c r="P209" i="23"/>
  <c r="AD209" i="23"/>
  <c r="P205" i="23"/>
  <c r="AD205" i="23"/>
  <c r="P331" i="23"/>
  <c r="AD331" i="23"/>
  <c r="P132" i="23"/>
  <c r="AD132" i="23"/>
  <c r="P40" i="23"/>
  <c r="AD40" i="23"/>
  <c r="Q107" i="23"/>
  <c r="Q120" i="23"/>
  <c r="Q115" i="23"/>
  <c r="Q119" i="23"/>
  <c r="Q114" i="23"/>
  <c r="Q108" i="23"/>
  <c r="Q110" i="23"/>
  <c r="Q123" i="23"/>
  <c r="Q122" i="23"/>
  <c r="Q112" i="23"/>
  <c r="Q121" i="23"/>
  <c r="Q124" i="23"/>
  <c r="Q117" i="23"/>
  <c r="Q113" i="23"/>
  <c r="Q109" i="23"/>
  <c r="Q111" i="23"/>
  <c r="Q118" i="23"/>
  <c r="Q116" i="23"/>
  <c r="N96" i="23"/>
  <c r="N95" i="23"/>
  <c r="N97" i="23"/>
  <c r="Q22" i="23"/>
  <c r="Q21" i="23"/>
  <c r="N178" i="23"/>
  <c r="N170" i="23"/>
  <c r="N173" i="23"/>
  <c r="N169" i="23"/>
  <c r="N174" i="23"/>
  <c r="N177" i="23"/>
  <c r="N176" i="23"/>
  <c r="N172" i="23"/>
  <c r="N175" i="23"/>
  <c r="N171" i="23"/>
  <c r="P176" i="23"/>
  <c r="AD176" i="23"/>
  <c r="P169" i="23"/>
  <c r="AD169" i="23"/>
  <c r="P156" i="23"/>
  <c r="AD156" i="23"/>
  <c r="P45" i="23"/>
  <c r="AD45" i="23"/>
  <c r="P336" i="23"/>
  <c r="AD336" i="23"/>
  <c r="P31" i="23"/>
  <c r="AD31" i="23"/>
  <c r="P311" i="23"/>
  <c r="AD311" i="23"/>
  <c r="P87" i="23"/>
  <c r="AD87" i="23"/>
  <c r="P86" i="23"/>
  <c r="AD86" i="23"/>
  <c r="P37" i="23"/>
  <c r="AD37" i="23"/>
  <c r="P212" i="23"/>
  <c r="AD212" i="23"/>
  <c r="P213" i="23"/>
  <c r="AD213" i="23"/>
  <c r="P334" i="23"/>
  <c r="AD334" i="23"/>
  <c r="P131" i="23"/>
  <c r="AD131" i="23"/>
  <c r="P42" i="23"/>
  <c r="AD42" i="23"/>
  <c r="N47" i="23"/>
  <c r="N45" i="23"/>
  <c r="N46" i="23"/>
  <c r="N207" i="23"/>
  <c r="N210" i="23"/>
  <c r="P34" i="23"/>
  <c r="AD34" i="23"/>
  <c r="P41" i="23"/>
  <c r="AD41" i="23"/>
  <c r="P53" i="23"/>
  <c r="AD53" i="23"/>
  <c r="N315" i="23"/>
  <c r="N311" i="23"/>
  <c r="N313" i="23"/>
  <c r="N316" i="23"/>
  <c r="N335" i="23"/>
  <c r="N323" i="23"/>
  <c r="N326" i="23"/>
  <c r="N332" i="23"/>
  <c r="N330" i="23"/>
  <c r="N336" i="23"/>
  <c r="N333" i="23"/>
  <c r="N158" i="23"/>
  <c r="N154" i="23"/>
  <c r="N165" i="23"/>
  <c r="N161" i="23"/>
  <c r="N155" i="23"/>
  <c r="N156" i="23"/>
  <c r="N167" i="23"/>
  <c r="N163" i="23"/>
  <c r="N159" i="23"/>
  <c r="N164" i="23"/>
  <c r="N160" i="23"/>
  <c r="N168" i="23"/>
  <c r="P171" i="23"/>
  <c r="AD171" i="23"/>
  <c r="P178" i="23"/>
  <c r="AD178" i="23"/>
  <c r="P159" i="23"/>
  <c r="AD159" i="23"/>
  <c r="P46" i="23"/>
  <c r="AD46" i="23"/>
  <c r="P330" i="23"/>
  <c r="AD330" i="23"/>
  <c r="P30" i="23"/>
  <c r="AD30" i="23"/>
  <c r="P315" i="23"/>
  <c r="AD315" i="23"/>
  <c r="P80" i="23"/>
  <c r="AD80" i="23"/>
  <c r="P89" i="23"/>
  <c r="AD89" i="23"/>
  <c r="P43" i="23"/>
  <c r="AD43" i="23"/>
  <c r="P214" i="23"/>
  <c r="AD214" i="23"/>
  <c r="P221" i="23"/>
  <c r="AD221" i="23"/>
  <c r="P327" i="23"/>
  <c r="AD327" i="23"/>
  <c r="P127" i="23"/>
  <c r="AD127" i="23"/>
  <c r="P38" i="23"/>
  <c r="AD38" i="23"/>
  <c r="N302" i="23"/>
  <c r="N303" i="23"/>
  <c r="N304" i="23"/>
  <c r="N300" i="23"/>
  <c r="N301" i="23"/>
  <c r="N305" i="23"/>
  <c r="P96" i="23"/>
  <c r="AD96" i="23"/>
  <c r="Q65" i="23"/>
  <c r="Q57" i="23"/>
  <c r="Q62" i="23"/>
  <c r="Q63" i="23"/>
  <c r="Q55" i="23"/>
  <c r="Q59" i="23"/>
  <c r="Q56" i="23"/>
  <c r="Q61" i="23"/>
  <c r="Q64" i="23"/>
  <c r="Q60" i="23"/>
  <c r="Q58" i="23"/>
  <c r="P172" i="23"/>
  <c r="AD172" i="23"/>
  <c r="P160" i="23"/>
  <c r="AD160" i="23"/>
  <c r="P47" i="23"/>
  <c r="AD47" i="23"/>
  <c r="P332" i="23"/>
  <c r="AD332" i="23"/>
  <c r="P33" i="23"/>
  <c r="AD33" i="23"/>
  <c r="P27" i="23"/>
  <c r="AD27" i="23"/>
  <c r="P97" i="23"/>
  <c r="AD97" i="23"/>
  <c r="P92" i="23"/>
  <c r="AD92" i="23"/>
  <c r="P90" i="23"/>
  <c r="AD90" i="23"/>
  <c r="P36" i="23"/>
  <c r="AD36" i="23"/>
  <c r="P218" i="23"/>
  <c r="AD218" i="23"/>
  <c r="P217" i="23"/>
  <c r="AD217" i="23"/>
  <c r="P54" i="23"/>
  <c r="AD54" i="23"/>
  <c r="P35" i="23"/>
  <c r="AD35" i="23"/>
  <c r="N806" i="22"/>
  <c r="AD248" i="17"/>
  <c r="N335" i="22"/>
  <c r="N370" i="22"/>
  <c r="Q348" i="22"/>
  <c r="P348" i="22" s="1"/>
  <c r="N464" i="22"/>
  <c r="N119" i="22"/>
  <c r="N121" i="22"/>
  <c r="N120" i="22"/>
  <c r="N117" i="22"/>
  <c r="Q168" i="22"/>
  <c r="Q166" i="22"/>
  <c r="Q176" i="22"/>
  <c r="Q172" i="22"/>
  <c r="Q180" i="22"/>
  <c r="Q178" i="22"/>
  <c r="Q170" i="22"/>
  <c r="Q179" i="22"/>
  <c r="Q171" i="22"/>
  <c r="Q177" i="22"/>
  <c r="Q173" i="22"/>
  <c r="Q165" i="22"/>
  <c r="Q175" i="22"/>
  <c r="Q169" i="22"/>
  <c r="Q167" i="22"/>
  <c r="P211" i="22"/>
  <c r="AD211" i="22"/>
  <c r="P308" i="22"/>
  <c r="AD308" i="22"/>
  <c r="P237" i="22"/>
  <c r="AD237" i="22"/>
  <c r="P360" i="22"/>
  <c r="AD360" i="22"/>
  <c r="P158" i="22"/>
  <c r="AD158" i="22"/>
  <c r="P564" i="22"/>
  <c r="AD564" i="22"/>
  <c r="P288" i="22"/>
  <c r="AD288" i="22"/>
  <c r="P222" i="22"/>
  <c r="AD222" i="22"/>
  <c r="P838" i="22"/>
  <c r="AD838" i="22"/>
  <c r="P866" i="22"/>
  <c r="AD866" i="22"/>
  <c r="N305" i="22"/>
  <c r="N306" i="22"/>
  <c r="N143" i="22"/>
  <c r="N135" i="22"/>
  <c r="N142" i="22"/>
  <c r="N132" i="22"/>
  <c r="N137" i="22"/>
  <c r="N139" i="22"/>
  <c r="N140" i="22"/>
  <c r="N144" i="22"/>
  <c r="N141" i="22"/>
  <c r="N793" i="22"/>
  <c r="N794" i="22"/>
  <c r="N145" i="22"/>
  <c r="N146" i="22"/>
  <c r="P138" i="22"/>
  <c r="AD138" i="22"/>
  <c r="P212" i="22"/>
  <c r="AD212" i="22"/>
  <c r="P368" i="22"/>
  <c r="AD368" i="22"/>
  <c r="P310" i="22"/>
  <c r="AD310" i="22"/>
  <c r="P109" i="22"/>
  <c r="AD109" i="22"/>
  <c r="P287" i="22"/>
  <c r="AD287" i="22"/>
  <c r="P281" i="22"/>
  <c r="AD281" i="22"/>
  <c r="P139" i="22"/>
  <c r="AD139" i="22"/>
  <c r="P216" i="22"/>
  <c r="AD216" i="22"/>
  <c r="P235" i="22"/>
  <c r="AD235" i="22"/>
  <c r="P228" i="22"/>
  <c r="AD228" i="22"/>
  <c r="P215" i="22"/>
  <c r="AD215" i="22"/>
  <c r="P505" i="22"/>
  <c r="AD505" i="22"/>
  <c r="P503" i="22"/>
  <c r="AD503" i="22"/>
  <c r="P465" i="22"/>
  <c r="AD465" i="22"/>
  <c r="P350" i="22"/>
  <c r="AD350" i="22"/>
  <c r="P252" i="22"/>
  <c r="AD252" i="22"/>
  <c r="P254" i="22"/>
  <c r="AD254" i="22"/>
  <c r="P549" i="22"/>
  <c r="AD549" i="22"/>
  <c r="P542" i="22"/>
  <c r="AD542" i="22"/>
  <c r="P161" i="22"/>
  <c r="AD161" i="22"/>
  <c r="P157" i="22"/>
  <c r="AD157" i="22"/>
  <c r="P163" i="22"/>
  <c r="AD163" i="22"/>
  <c r="P470" i="22"/>
  <c r="AD470" i="22"/>
  <c r="P487" i="22"/>
  <c r="AD487" i="22"/>
  <c r="P558" i="22"/>
  <c r="AD558" i="22"/>
  <c r="P560" i="22"/>
  <c r="AD560" i="22"/>
  <c r="P697" i="22"/>
  <c r="AD697" i="22"/>
  <c r="P831" i="22"/>
  <c r="AD831" i="22"/>
  <c r="P854" i="22"/>
  <c r="AD854" i="22"/>
  <c r="P184" i="22"/>
  <c r="AD184" i="22"/>
  <c r="P204" i="22"/>
  <c r="AD204" i="22"/>
  <c r="P194" i="22"/>
  <c r="AD194" i="22"/>
  <c r="Q749" i="22"/>
  <c r="Q740" i="22"/>
  <c r="Q742" i="22"/>
  <c r="Q744" i="22"/>
  <c r="N313" i="22"/>
  <c r="N309" i="22"/>
  <c r="N312" i="22"/>
  <c r="N314" i="22"/>
  <c r="N310" i="22"/>
  <c r="N307" i="22"/>
  <c r="N308" i="22"/>
  <c r="N311" i="22"/>
  <c r="N831" i="22"/>
  <c r="N164" i="22"/>
  <c r="P114" i="22"/>
  <c r="AD114" i="22"/>
  <c r="P238" i="22"/>
  <c r="AD238" i="22"/>
  <c r="P267" i="22"/>
  <c r="AD267" i="22"/>
  <c r="P272" i="22"/>
  <c r="AD272" i="22"/>
  <c r="P371" i="22"/>
  <c r="AD371" i="22"/>
  <c r="P111" i="22"/>
  <c r="AD111" i="22"/>
  <c r="N250" i="22"/>
  <c r="N246" i="22"/>
  <c r="N258" i="22"/>
  <c r="N254" i="22"/>
  <c r="N265" i="22"/>
  <c r="N262" i="22"/>
  <c r="N253" i="22"/>
  <c r="N247" i="22"/>
  <c r="N251" i="22"/>
  <c r="N267" i="22"/>
  <c r="N249" i="22"/>
  <c r="N252" i="22"/>
  <c r="N264" i="22"/>
  <c r="N248" i="22"/>
  <c r="N266" i="22"/>
  <c r="N226" i="22"/>
  <c r="N225" i="22"/>
  <c r="N215" i="22"/>
  <c r="N227" i="22"/>
  <c r="N241" i="22"/>
  <c r="N221" i="22"/>
  <c r="N220" i="22"/>
  <c r="N242" i="22"/>
  <c r="N230" i="22"/>
  <c r="N222" i="22"/>
  <c r="N238" i="22"/>
  <c r="N228" i="22"/>
  <c r="N235" i="22"/>
  <c r="N231" i="22"/>
  <c r="N232" i="22"/>
  <c r="N236" i="22"/>
  <c r="N217" i="22"/>
  <c r="N224" i="22"/>
  <c r="N239" i="22"/>
  <c r="N223" i="22"/>
  <c r="N244" i="22"/>
  <c r="N243" i="22"/>
  <c r="N213" i="22"/>
  <c r="N245" i="22"/>
  <c r="N237" i="22"/>
  <c r="N229" i="22"/>
  <c r="N216" i="22"/>
  <c r="N240" i="22"/>
  <c r="N461" i="22"/>
  <c r="N460" i="22"/>
  <c r="N459" i="22"/>
  <c r="N458" i="22"/>
  <c r="N284" i="22"/>
  <c r="N276" i="22"/>
  <c r="N277" i="22"/>
  <c r="N285" i="22"/>
  <c r="N283" i="22"/>
  <c r="N281" i="22"/>
  <c r="N288" i="22"/>
  <c r="N278" i="22"/>
  <c r="N286" i="22"/>
  <c r="N280" i="22"/>
  <c r="N287" i="22"/>
  <c r="N282" i="22"/>
  <c r="N279" i="22"/>
  <c r="N184" i="22"/>
  <c r="N190" i="22"/>
  <c r="N192" i="22"/>
  <c r="N193" i="22"/>
  <c r="N188" i="22"/>
  <c r="N191" i="22"/>
  <c r="N189" i="22"/>
  <c r="N186" i="22"/>
  <c r="P136" i="22"/>
  <c r="AD136" i="22"/>
  <c r="P234" i="22"/>
  <c r="AD234" i="22"/>
  <c r="P373" i="22"/>
  <c r="AD373" i="22"/>
  <c r="P311" i="22"/>
  <c r="AD311" i="22"/>
  <c r="P105" i="22"/>
  <c r="AD105" i="22"/>
  <c r="P280" i="22"/>
  <c r="AD280" i="22"/>
  <c r="P283" i="22"/>
  <c r="AD283" i="22"/>
  <c r="P132" i="22"/>
  <c r="AD132" i="22"/>
  <c r="P245" i="22"/>
  <c r="AD245" i="22"/>
  <c r="P239" i="22"/>
  <c r="AD239" i="22"/>
  <c r="P230" i="22"/>
  <c r="AD230" i="22"/>
  <c r="P226" i="22"/>
  <c r="AD226" i="22"/>
  <c r="P508" i="22"/>
  <c r="AD508" i="22"/>
  <c r="P463" i="22"/>
  <c r="AD463" i="22"/>
  <c r="P353" i="22"/>
  <c r="AD353" i="22"/>
  <c r="P249" i="22"/>
  <c r="AD249" i="22"/>
  <c r="P246" i="22"/>
  <c r="AD246" i="22"/>
  <c r="P550" i="22"/>
  <c r="AD550" i="22"/>
  <c r="P548" i="22"/>
  <c r="AD548" i="22"/>
  <c r="P830" i="22"/>
  <c r="AD830" i="22"/>
  <c r="P156" i="22"/>
  <c r="AD156" i="22"/>
  <c r="P773" i="22"/>
  <c r="AD773" i="22"/>
  <c r="P473" i="22"/>
  <c r="AD473" i="22"/>
  <c r="P203" i="22"/>
  <c r="AD203" i="22"/>
  <c r="P557" i="22"/>
  <c r="AD557" i="22"/>
  <c r="P332" i="22"/>
  <c r="AD332" i="22"/>
  <c r="P856" i="22"/>
  <c r="AD856" i="22"/>
  <c r="P186" i="22"/>
  <c r="AD186" i="22"/>
  <c r="P207" i="22"/>
  <c r="AD207" i="22"/>
  <c r="P263" i="22"/>
  <c r="AD263" i="22"/>
  <c r="P635" i="22"/>
  <c r="AD635" i="22"/>
  <c r="N358" i="22"/>
  <c r="N360" i="22"/>
  <c r="N357" i="22"/>
  <c r="N359" i="22"/>
  <c r="P223" i="22"/>
  <c r="AD223" i="22"/>
  <c r="P306" i="22"/>
  <c r="AD306" i="22"/>
  <c r="P146" i="22"/>
  <c r="AD146" i="22"/>
  <c r="P133" i="22"/>
  <c r="AD133" i="22"/>
  <c r="P209" i="22"/>
  <c r="AD209" i="22"/>
  <c r="P314" i="22"/>
  <c r="AD314" i="22"/>
  <c r="P108" i="22"/>
  <c r="AD108" i="22"/>
  <c r="P140" i="22"/>
  <c r="AD140" i="22"/>
  <c r="P229" i="22"/>
  <c r="AD229" i="22"/>
  <c r="P232" i="22"/>
  <c r="AD232" i="22"/>
  <c r="P225" i="22"/>
  <c r="AD225" i="22"/>
  <c r="P506" i="22"/>
  <c r="AD506" i="22"/>
  <c r="P358" i="22"/>
  <c r="AD358" i="22"/>
  <c r="P355" i="22"/>
  <c r="AD355" i="22"/>
  <c r="P266" i="22"/>
  <c r="AD266" i="22"/>
  <c r="P258" i="22"/>
  <c r="AD258" i="22"/>
  <c r="P541" i="22"/>
  <c r="AD541" i="22"/>
  <c r="P551" i="22"/>
  <c r="AD551" i="22"/>
  <c r="P801" i="22"/>
  <c r="AD801" i="22"/>
  <c r="P150" i="22"/>
  <c r="AD150" i="22"/>
  <c r="P485" i="22"/>
  <c r="AD485" i="22"/>
  <c r="P489" i="22"/>
  <c r="AD489" i="22"/>
  <c r="P305" i="22"/>
  <c r="AD305" i="22"/>
  <c r="P559" i="22"/>
  <c r="AD559" i="22"/>
  <c r="P698" i="22"/>
  <c r="AD698" i="22"/>
  <c r="P164" i="22"/>
  <c r="AD164" i="22"/>
  <c r="P145" i="22"/>
  <c r="AD145" i="22"/>
  <c r="P193" i="22"/>
  <c r="AD193" i="22"/>
  <c r="P270" i="22"/>
  <c r="AD270" i="22"/>
  <c r="P183" i="22"/>
  <c r="AD183" i="22"/>
  <c r="P261" i="22"/>
  <c r="AD261" i="22"/>
  <c r="Q714" i="22"/>
  <c r="Q718" i="22"/>
  <c r="Q198" i="22"/>
  <c r="Q196" i="22"/>
  <c r="Q813" i="22"/>
  <c r="Q197" i="22"/>
  <c r="Q778" i="22"/>
  <c r="Q195" i="22"/>
  <c r="AD348" i="22"/>
  <c r="Q812" i="22"/>
  <c r="P812" i="22" s="1"/>
  <c r="Q811" i="22"/>
  <c r="P811" i="22" s="1"/>
  <c r="Q844" i="22"/>
  <c r="P844" i="22" s="1"/>
  <c r="P775" i="22"/>
  <c r="AD775" i="22"/>
  <c r="N690" i="22"/>
  <c r="N692" i="22"/>
  <c r="N691" i="22"/>
  <c r="N551" i="22"/>
  <c r="N552" i="22"/>
  <c r="N546" i="22"/>
  <c r="N548" i="22"/>
  <c r="N553" i="22"/>
  <c r="N547" i="22"/>
  <c r="N543" i="22"/>
  <c r="N545" i="22"/>
  <c r="N542" i="22"/>
  <c r="N541" i="22"/>
  <c r="N555" i="22"/>
  <c r="N544" i="22"/>
  <c r="N554" i="22"/>
  <c r="N549" i="22"/>
  <c r="N550" i="22"/>
  <c r="N540" i="22"/>
  <c r="N787" i="22"/>
  <c r="N845" i="22"/>
  <c r="N788" i="22"/>
  <c r="N822" i="22"/>
  <c r="N786" i="22"/>
  <c r="N677" i="22"/>
  <c r="N685" i="22"/>
  <c r="N681" i="22"/>
  <c r="N673" i="22"/>
  <c r="N678" i="22"/>
  <c r="N676" i="22"/>
  <c r="N682" i="22"/>
  <c r="N684" i="22"/>
  <c r="N674" i="22"/>
  <c r="N680" i="22"/>
  <c r="N679" i="22"/>
  <c r="N683" i="22"/>
  <c r="N672" i="22"/>
  <c r="N675" i="22"/>
  <c r="N369" i="22"/>
  <c r="N373" i="22"/>
  <c r="N368" i="22"/>
  <c r="N372" i="22"/>
  <c r="N371" i="22"/>
  <c r="Q174" i="22"/>
  <c r="Q181" i="22"/>
  <c r="Q182" i="22"/>
  <c r="P696" i="22"/>
  <c r="AD696" i="22"/>
  <c r="P131" i="22"/>
  <c r="AD131" i="22"/>
  <c r="P210" i="22"/>
  <c r="AD210" i="22"/>
  <c r="P372" i="22"/>
  <c r="AD372" i="22"/>
  <c r="P307" i="22"/>
  <c r="AD307" i="22"/>
  <c r="P104" i="22"/>
  <c r="AD104" i="22"/>
  <c r="P282" i="22"/>
  <c r="AD282" i="22"/>
  <c r="P285" i="22"/>
  <c r="AD285" i="22"/>
  <c r="P137" i="22"/>
  <c r="AD137" i="22"/>
  <c r="P240" i="22"/>
  <c r="AD240" i="22"/>
  <c r="P243" i="22"/>
  <c r="AD243" i="22"/>
  <c r="P241" i="22"/>
  <c r="AD241" i="22"/>
  <c r="P502" i="22"/>
  <c r="AD502" i="22"/>
  <c r="P691" i="22"/>
  <c r="AD691" i="22"/>
  <c r="P347" i="22"/>
  <c r="AD347" i="22"/>
  <c r="P251" i="22"/>
  <c r="AD251" i="22"/>
  <c r="P265" i="22"/>
  <c r="AD265" i="22"/>
  <c r="P540" i="22"/>
  <c r="AD540" i="22"/>
  <c r="P553" i="22"/>
  <c r="AD553" i="22"/>
  <c r="P149" i="22"/>
  <c r="AD149" i="22"/>
  <c r="P808" i="22"/>
  <c r="AD808" i="22"/>
  <c r="P160" i="22"/>
  <c r="AD160" i="22"/>
  <c r="P475" i="22"/>
  <c r="AD475" i="22"/>
  <c r="P199" i="22"/>
  <c r="AD199" i="22"/>
  <c r="P562" i="22"/>
  <c r="AD562" i="22"/>
  <c r="P333" i="22"/>
  <c r="AD333" i="22"/>
  <c r="P857" i="22"/>
  <c r="AD857" i="22"/>
  <c r="P188" i="22"/>
  <c r="AD188" i="22"/>
  <c r="P205" i="22"/>
  <c r="AD205" i="22"/>
  <c r="P256" i="22"/>
  <c r="AD256" i="22"/>
  <c r="Q810" i="22"/>
  <c r="Q334" i="22"/>
  <c r="N773" i="22"/>
  <c r="N160" i="22"/>
  <c r="N151" i="22"/>
  <c r="N152" i="22"/>
  <c r="N158" i="22"/>
  <c r="N150" i="22"/>
  <c r="N163" i="22"/>
  <c r="N154" i="22"/>
  <c r="N147" i="22"/>
  <c r="N148" i="22"/>
  <c r="N159" i="22"/>
  <c r="N153" i="22"/>
  <c r="N808" i="22"/>
  <c r="N801" i="22"/>
  <c r="N162" i="22"/>
  <c r="N157" i="22"/>
  <c r="N156" i="22"/>
  <c r="N830" i="22"/>
  <c r="N155" i="22"/>
  <c r="N149" i="22"/>
  <c r="N161" i="22"/>
  <c r="P214" i="22"/>
  <c r="AD214" i="22"/>
  <c r="P141" i="22"/>
  <c r="AD141" i="22"/>
  <c r="P264" i="22"/>
  <c r="AD264" i="22"/>
  <c r="P552" i="22"/>
  <c r="AD552" i="22"/>
  <c r="P483" i="22"/>
  <c r="AD483" i="22"/>
  <c r="P119" i="22"/>
  <c r="AD119" i="22"/>
  <c r="P185" i="22"/>
  <c r="AD185" i="22"/>
  <c r="N506" i="22"/>
  <c r="N511" i="22"/>
  <c r="N503" i="22"/>
  <c r="N504" i="22"/>
  <c r="N509" i="22"/>
  <c r="N510" i="22"/>
  <c r="N508" i="22"/>
  <c r="N505" i="22"/>
  <c r="N502" i="22"/>
  <c r="N118" i="22"/>
  <c r="N116" i="22"/>
  <c r="N115" i="22"/>
  <c r="P301" i="22"/>
  <c r="AD301" i="22"/>
  <c r="N218" i="22"/>
  <c r="N210" i="22"/>
  <c r="N214" i="22"/>
  <c r="N234" i="22"/>
  <c r="N219" i="22"/>
  <c r="N233" i="22"/>
  <c r="N212" i="22"/>
  <c r="N211" i="22"/>
  <c r="N209" i="22"/>
  <c r="N103" i="22"/>
  <c r="N111" i="22"/>
  <c r="N107" i="22"/>
  <c r="N108" i="22"/>
  <c r="N114" i="22"/>
  <c r="N104" i="22"/>
  <c r="N105" i="22"/>
  <c r="N772" i="22"/>
  <c r="N109" i="22"/>
  <c r="N106" i="22"/>
  <c r="N112" i="22"/>
  <c r="N113" i="22"/>
  <c r="N110" i="22"/>
  <c r="N333" i="22"/>
  <c r="N332" i="22"/>
  <c r="N487" i="22"/>
  <c r="N481" i="22"/>
  <c r="N489" i="22"/>
  <c r="N483" i="22"/>
  <c r="N484" i="22"/>
  <c r="N475" i="22"/>
  <c r="N485" i="22"/>
  <c r="N467" i="22"/>
  <c r="N479" i="22"/>
  <c r="N470" i="22"/>
  <c r="N486" i="22"/>
  <c r="N473" i="22"/>
  <c r="N693" i="22"/>
  <c r="N695" i="22"/>
  <c r="N696" i="22"/>
  <c r="N855" i="22"/>
  <c r="N857" i="22"/>
  <c r="N856" i="22"/>
  <c r="N854" i="22"/>
  <c r="P695" i="22"/>
  <c r="AD695" i="22"/>
  <c r="P134" i="22"/>
  <c r="AD134" i="22"/>
  <c r="P218" i="22"/>
  <c r="AD218" i="22"/>
  <c r="P369" i="22"/>
  <c r="AD369" i="22"/>
  <c r="P312" i="22"/>
  <c r="AD312" i="22"/>
  <c r="P110" i="22"/>
  <c r="AD110" i="22"/>
  <c r="P772" i="22"/>
  <c r="AD772" i="22"/>
  <c r="P279" i="22"/>
  <c r="AD279" i="22"/>
  <c r="P286" i="22"/>
  <c r="AD286" i="22"/>
  <c r="P135" i="22"/>
  <c r="AD135" i="22"/>
  <c r="P231" i="22"/>
  <c r="AD231" i="22"/>
  <c r="P236" i="22"/>
  <c r="AD236" i="22"/>
  <c r="P242" i="22"/>
  <c r="AD242" i="22"/>
  <c r="P510" i="22"/>
  <c r="AD510" i="22"/>
  <c r="P690" i="22"/>
  <c r="AD690" i="22"/>
  <c r="P352" i="22"/>
  <c r="AD352" i="22"/>
  <c r="P253" i="22"/>
  <c r="AD253" i="22"/>
  <c r="P250" i="22"/>
  <c r="AD250" i="22"/>
  <c r="P544" i="22"/>
  <c r="AD544" i="22"/>
  <c r="P543" i="22"/>
  <c r="AD543" i="22"/>
  <c r="P155" i="22"/>
  <c r="AD155" i="22"/>
  <c r="P159" i="22"/>
  <c r="AD159" i="22"/>
  <c r="P151" i="22"/>
  <c r="AD151" i="22"/>
  <c r="P467" i="22"/>
  <c r="AD467" i="22"/>
  <c r="P779" i="22"/>
  <c r="AD779" i="22"/>
  <c r="P563" i="22"/>
  <c r="AD563" i="22"/>
  <c r="P120" i="22"/>
  <c r="AD120" i="22"/>
  <c r="P855" i="22"/>
  <c r="AD855" i="22"/>
  <c r="P191" i="22"/>
  <c r="AD191" i="22"/>
  <c r="P116" i="22"/>
  <c r="AD116" i="22"/>
  <c r="P208" i="22"/>
  <c r="AD208" i="22"/>
  <c r="P260" i="22"/>
  <c r="AD260" i="22"/>
  <c r="P278" i="22"/>
  <c r="AD278" i="22"/>
  <c r="P555" i="22"/>
  <c r="AD555" i="22"/>
  <c r="P192" i="22"/>
  <c r="AD192" i="22"/>
  <c r="N352" i="22"/>
  <c r="N347" i="22"/>
  <c r="N354" i="22"/>
  <c r="N353" i="22"/>
  <c r="N349" i="22"/>
  <c r="N355" i="22"/>
  <c r="N350" i="22"/>
  <c r="N351" i="22"/>
  <c r="N346" i="22"/>
  <c r="N463" i="22"/>
  <c r="N465" i="22"/>
  <c r="Q661" i="22"/>
  <c r="Q657" i="22"/>
  <c r="Q677" i="22"/>
  <c r="Q685" i="22"/>
  <c r="Q681" i="22"/>
  <c r="Q673" i="22"/>
  <c r="Q674" i="22"/>
  <c r="Q684" i="22"/>
  <c r="Q676" i="22"/>
  <c r="Q678" i="22"/>
  <c r="Q682" i="22"/>
  <c r="Q680" i="22"/>
  <c r="Q683" i="22"/>
  <c r="Q679" i="22"/>
  <c r="Q675" i="22"/>
  <c r="Q672" i="22"/>
  <c r="P693" i="22"/>
  <c r="AD693" i="22"/>
  <c r="P219" i="22"/>
  <c r="AD219" i="22"/>
  <c r="P309" i="22"/>
  <c r="AD309" i="22"/>
  <c r="P112" i="22"/>
  <c r="AD112" i="22"/>
  <c r="P106" i="22"/>
  <c r="AD106" i="22"/>
  <c r="P277" i="22"/>
  <c r="AD277" i="22"/>
  <c r="P284" i="22"/>
  <c r="AD284" i="22"/>
  <c r="P142" i="22"/>
  <c r="AD142" i="22"/>
  <c r="P224" i="22"/>
  <c r="AD224" i="22"/>
  <c r="P244" i="22"/>
  <c r="AD244" i="22"/>
  <c r="P220" i="22"/>
  <c r="AD220" i="22"/>
  <c r="P504" i="22"/>
  <c r="AD504" i="22"/>
  <c r="P692" i="22"/>
  <c r="AD692" i="22"/>
  <c r="P357" i="22"/>
  <c r="AD357" i="22"/>
  <c r="P351" i="22"/>
  <c r="AD351" i="22"/>
  <c r="P354" i="22"/>
  <c r="AD354" i="22"/>
  <c r="P262" i="22"/>
  <c r="AD262" i="22"/>
  <c r="P554" i="22"/>
  <c r="AD554" i="22"/>
  <c r="P547" i="22"/>
  <c r="AD547" i="22"/>
  <c r="P148" i="22"/>
  <c r="AD148" i="22"/>
  <c r="P153" i="22"/>
  <c r="AD153" i="22"/>
  <c r="P152" i="22"/>
  <c r="AD152" i="22"/>
  <c r="P484" i="22"/>
  <c r="AD484" i="22"/>
  <c r="P200" i="22"/>
  <c r="AD200" i="22"/>
  <c r="P556" i="22"/>
  <c r="AD556" i="22"/>
  <c r="P117" i="22"/>
  <c r="AD117" i="22"/>
  <c r="P303" i="22"/>
  <c r="AD303" i="22"/>
  <c r="P189" i="22"/>
  <c r="AD189" i="22"/>
  <c r="P115" i="22"/>
  <c r="AD115" i="22"/>
  <c r="P206" i="22"/>
  <c r="AD206" i="22"/>
  <c r="P255" i="22"/>
  <c r="AD255" i="22"/>
  <c r="P103" i="22"/>
  <c r="AD103" i="22"/>
  <c r="P227" i="22"/>
  <c r="AD227" i="22"/>
  <c r="P511" i="22"/>
  <c r="AD511" i="22"/>
  <c r="P349" i="22"/>
  <c r="AD349" i="22"/>
  <c r="P162" i="22"/>
  <c r="AD162" i="22"/>
  <c r="P486" i="22"/>
  <c r="AD486" i="22"/>
  <c r="P700" i="22"/>
  <c r="AD700" i="22"/>
  <c r="P259" i="22"/>
  <c r="AD259" i="22"/>
  <c r="Q765" i="22"/>
  <c r="Q766" i="22"/>
  <c r="Q769" i="22"/>
  <c r="Q768" i="22"/>
  <c r="Q767" i="22"/>
  <c r="Q770" i="22"/>
  <c r="Q761" i="22"/>
  <c r="Q763" i="22"/>
  <c r="Q760" i="22"/>
  <c r="Q762" i="22"/>
  <c r="Q764" i="22"/>
  <c r="N698" i="22"/>
  <c r="N697" i="22"/>
  <c r="N700" i="22"/>
  <c r="N699" i="22"/>
  <c r="Q340" i="22"/>
  <c r="Q341" i="22"/>
  <c r="Q345" i="22"/>
  <c r="Q336" i="22"/>
  <c r="Q342" i="22"/>
  <c r="Q344" i="22"/>
  <c r="Q337" i="22"/>
  <c r="Q338" i="22"/>
  <c r="Q339" i="22"/>
  <c r="Q289" i="22"/>
  <c r="Q815" i="22"/>
  <c r="Q600" i="22"/>
  <c r="Q568" i="22"/>
  <c r="Q576" i="22"/>
  <c r="Q567" i="22"/>
  <c r="Q591" i="22"/>
  <c r="Q607" i="22"/>
  <c r="Q608" i="22"/>
  <c r="Q575" i="22"/>
  <c r="Q599" i="22"/>
  <c r="Q583" i="22"/>
  <c r="Q592" i="22"/>
  <c r="Q584" i="22"/>
  <c r="Q580" i="22"/>
  <c r="Q569" i="22"/>
  <c r="Q593" i="22"/>
  <c r="Q588" i="22"/>
  <c r="Q577" i="22"/>
  <c r="Q596" i="22"/>
  <c r="Q601" i="22"/>
  <c r="Q572" i="22"/>
  <c r="Q585" i="22"/>
  <c r="Q604" i="22"/>
  <c r="Q589" i="22"/>
  <c r="Q573" i="22"/>
  <c r="Q603" i="22"/>
  <c r="Q595" i="22"/>
  <c r="Q581" i="22"/>
  <c r="Q587" i="22"/>
  <c r="Q571" i="22"/>
  <c r="Q605" i="22"/>
  <c r="Q597" i="22"/>
  <c r="Q586" i="22"/>
  <c r="Q570" i="22"/>
  <c r="Q578" i="22"/>
  <c r="Q565" i="22"/>
  <c r="Q602" i="22"/>
  <c r="Q594" i="22"/>
  <c r="Q579" i="22"/>
  <c r="Q566" i="22"/>
  <c r="Q582" i="22"/>
  <c r="Q574" i="22"/>
  <c r="Q606" i="22"/>
  <c r="Q598" i="22"/>
  <c r="Q590" i="22"/>
  <c r="N206" i="22"/>
  <c r="N208" i="22"/>
  <c r="N207" i="22"/>
  <c r="N205" i="22"/>
  <c r="N204" i="22"/>
  <c r="Q669" i="22"/>
  <c r="Q653" i="22"/>
  <c r="Q665" i="22"/>
  <c r="Q668" i="22"/>
  <c r="Q662" i="22"/>
  <c r="Q660" i="22"/>
  <c r="Q658" i="22"/>
  <c r="Q670" i="22"/>
  <c r="Q667" i="22"/>
  <c r="Q664" i="22"/>
  <c r="N194" i="22"/>
  <c r="N183" i="22"/>
  <c r="N185" i="22"/>
  <c r="N187" i="22"/>
  <c r="N666" i="22"/>
  <c r="N654" i="22"/>
  <c r="N671" i="22"/>
  <c r="N656" i="22"/>
  <c r="N659" i="22"/>
  <c r="N655" i="22"/>
  <c r="N663" i="22"/>
  <c r="N559" i="22"/>
  <c r="N560" i="22"/>
  <c r="N556" i="22"/>
  <c r="N561" i="22"/>
  <c r="N564" i="22"/>
  <c r="N557" i="22"/>
  <c r="N563" i="22"/>
  <c r="N562" i="22"/>
  <c r="N558" i="22"/>
  <c r="N304" i="22"/>
  <c r="N303" i="22"/>
  <c r="N819" i="22"/>
  <c r="N816" i="22"/>
  <c r="N817" i="22"/>
  <c r="N791" i="22"/>
  <c r="N792" i="22"/>
  <c r="N818" i="22"/>
  <c r="Q717" i="22"/>
  <c r="Q711" i="22"/>
  <c r="Q716" i="22"/>
  <c r="Q713" i="22"/>
  <c r="Q722" i="22"/>
  <c r="Q710" i="22"/>
  <c r="Q721" i="22"/>
  <c r="Q719" i="22"/>
  <c r="Q712" i="22"/>
  <c r="Q715" i="22"/>
  <c r="Q720" i="22"/>
  <c r="Q757" i="22"/>
  <c r="P757" i="22" s="1"/>
  <c r="Q741" i="22"/>
  <c r="P741" i="22" s="1"/>
  <c r="Q750" i="22"/>
  <c r="P750" i="22" s="1"/>
  <c r="Q748" i="22"/>
  <c r="P748" i="22" s="1"/>
  <c r="Q752" i="22"/>
  <c r="P752" i="22" s="1"/>
  <c r="Q751" i="22"/>
  <c r="P751" i="22" s="1"/>
  <c r="Q759" i="22"/>
  <c r="P759" i="22" s="1"/>
  <c r="Q756" i="22"/>
  <c r="P756" i="22" s="1"/>
  <c r="Q753" i="22"/>
  <c r="P753" i="22" s="1"/>
  <c r="Q755" i="22"/>
  <c r="P755" i="22" s="1"/>
  <c r="Q746" i="22"/>
  <c r="P746" i="22" s="1"/>
  <c r="Q754" i="22"/>
  <c r="P754" i="22" s="1"/>
  <c r="Q745" i="22"/>
  <c r="P745" i="22" s="1"/>
  <c r="Q747" i="22"/>
  <c r="P747" i="22" s="1"/>
  <c r="Q743" i="22"/>
  <c r="P743" i="22" s="1"/>
  <c r="N131" i="22"/>
  <c r="N134" i="22"/>
  <c r="N138" i="22"/>
  <c r="N133" i="22"/>
  <c r="N136" i="22"/>
  <c r="N261" i="22"/>
  <c r="N259" i="22"/>
  <c r="N255" i="22"/>
  <c r="N257" i="22"/>
  <c r="N260" i="22"/>
  <c r="N263" i="22"/>
  <c r="N256" i="22"/>
  <c r="N201" i="22"/>
  <c r="N199" i="22"/>
  <c r="N779" i="22"/>
  <c r="N200" i="22"/>
  <c r="N203" i="22"/>
  <c r="N270" i="22"/>
  <c r="N272" i="22"/>
  <c r="Q616" i="22"/>
  <c r="Q615" i="22"/>
  <c r="Q609" i="22"/>
  <c r="Q617" i="22"/>
  <c r="Q612" i="22"/>
  <c r="Q620" i="22"/>
  <c r="Q619" i="22"/>
  <c r="Q621" i="22"/>
  <c r="Q611" i="22"/>
  <c r="Q613" i="22"/>
  <c r="Q614" i="22"/>
  <c r="Q622" i="22"/>
  <c r="Q618" i="22"/>
  <c r="Q610" i="22"/>
  <c r="P233" i="22"/>
  <c r="AD233" i="22"/>
  <c r="P313" i="22"/>
  <c r="AD313" i="22"/>
  <c r="P113" i="22"/>
  <c r="AD113" i="22"/>
  <c r="P107" i="22"/>
  <c r="AD107" i="22"/>
  <c r="P276" i="22"/>
  <c r="AD276" i="22"/>
  <c r="P144" i="22"/>
  <c r="AD144" i="22"/>
  <c r="P143" i="22"/>
  <c r="AD143" i="22"/>
  <c r="P217" i="22"/>
  <c r="AD217" i="22"/>
  <c r="P213" i="22"/>
  <c r="AD213" i="22"/>
  <c r="AD221" i="22"/>
  <c r="P221" i="22"/>
  <c r="P509" i="22"/>
  <c r="AD509" i="22"/>
  <c r="P359" i="22"/>
  <c r="AD359" i="22"/>
  <c r="P346" i="22"/>
  <c r="AD346" i="22"/>
  <c r="P248" i="22"/>
  <c r="AD248" i="22"/>
  <c r="P247" i="22"/>
  <c r="AD247" i="22"/>
  <c r="P545" i="22"/>
  <c r="AD545" i="22"/>
  <c r="P546" i="22"/>
  <c r="AD546" i="22"/>
  <c r="P154" i="22"/>
  <c r="AD154" i="22"/>
  <c r="P147" i="22"/>
  <c r="AD147" i="22"/>
  <c r="P479" i="22"/>
  <c r="AD479" i="22"/>
  <c r="P481" i="22"/>
  <c r="AD481" i="22"/>
  <c r="P201" i="22"/>
  <c r="AD201" i="22"/>
  <c r="P561" i="22"/>
  <c r="AD561" i="22"/>
  <c r="P699" i="22"/>
  <c r="AD699" i="22"/>
  <c r="P121" i="22"/>
  <c r="AD121" i="22"/>
  <c r="P304" i="22"/>
  <c r="AD304" i="22"/>
  <c r="P190" i="22"/>
  <c r="AD190" i="22"/>
  <c r="P118" i="22"/>
  <c r="AD118" i="22"/>
  <c r="P187" i="22"/>
  <c r="AD187" i="22"/>
  <c r="P257" i="22"/>
  <c r="AD257" i="22"/>
  <c r="AD296" i="17"/>
  <c r="Q249" i="17"/>
  <c r="P249" i="17" s="1"/>
  <c r="N248" i="17"/>
  <c r="Q742" i="17"/>
  <c r="P742" i="17" s="1"/>
  <c r="N296" i="17"/>
  <c r="N920" i="17"/>
  <c r="N302" i="17"/>
  <c r="Q871" i="17"/>
  <c r="Q863" i="17"/>
  <c r="Q862" i="17"/>
  <c r="Q870" i="17"/>
  <c r="Q865" i="17"/>
  <c r="Q866" i="17"/>
  <c r="Q861" i="17"/>
  <c r="Q869" i="17"/>
  <c r="Q873" i="17"/>
  <c r="Q867" i="17"/>
  <c r="Q868" i="17"/>
  <c r="Q864" i="17"/>
  <c r="Q872" i="17"/>
  <c r="N602" i="17"/>
  <c r="N601" i="17"/>
  <c r="P338" i="17"/>
  <c r="AD338" i="17"/>
  <c r="P230" i="17"/>
  <c r="AD230" i="17"/>
  <c r="P404" i="17"/>
  <c r="AD404" i="17"/>
  <c r="P389" i="17"/>
  <c r="AD389" i="17"/>
  <c r="P188" i="17"/>
  <c r="AD188" i="17"/>
  <c r="P309" i="17"/>
  <c r="AD309" i="17"/>
  <c r="P114" i="17"/>
  <c r="AD114" i="17"/>
  <c r="P788" i="17"/>
  <c r="AD788" i="17"/>
  <c r="P53" i="17"/>
  <c r="AD53" i="17"/>
  <c r="P460" i="17"/>
  <c r="AD460" i="17"/>
  <c r="P635" i="17"/>
  <c r="AD635" i="17"/>
  <c r="P444" i="17"/>
  <c r="AD444" i="17"/>
  <c r="N457" i="17"/>
  <c r="N451" i="17"/>
  <c r="N441" i="17"/>
  <c r="N444" i="17"/>
  <c r="N434" i="17"/>
  <c r="N445" i="17"/>
  <c r="N458" i="17"/>
  <c r="N450" i="17"/>
  <c r="N433" i="17"/>
  <c r="N447" i="17"/>
  <c r="N398" i="17"/>
  <c r="N403" i="17"/>
  <c r="N395" i="17"/>
  <c r="N404" i="17"/>
  <c r="N390" i="17"/>
  <c r="N401" i="17"/>
  <c r="N402" i="17"/>
  <c r="N406" i="17"/>
  <c r="N391" i="17"/>
  <c r="N399" i="17"/>
  <c r="N400" i="17"/>
  <c r="N392" i="17"/>
  <c r="P602" i="17"/>
  <c r="AD602" i="17"/>
  <c r="P169" i="17"/>
  <c r="AD169" i="17"/>
  <c r="P172" i="17"/>
  <c r="AD172" i="17"/>
  <c r="P348" i="17"/>
  <c r="AD348" i="17"/>
  <c r="P360" i="17"/>
  <c r="AD360" i="17"/>
  <c r="P347" i="17"/>
  <c r="AD347" i="17"/>
  <c r="P227" i="17"/>
  <c r="AD227" i="17"/>
  <c r="P236" i="17"/>
  <c r="AD236" i="17"/>
  <c r="P250" i="17"/>
  <c r="AD250" i="17"/>
  <c r="P887" i="17"/>
  <c r="AD887" i="17"/>
  <c r="P255" i="17"/>
  <c r="AD255" i="17"/>
  <c r="P405" i="17"/>
  <c r="AD405" i="17"/>
  <c r="P406" i="17"/>
  <c r="AD406" i="17"/>
  <c r="P390" i="17"/>
  <c r="AD390" i="17"/>
  <c r="P651" i="17"/>
  <c r="AD651" i="17"/>
  <c r="P415" i="17"/>
  <c r="AD415" i="17"/>
  <c r="P388" i="17"/>
  <c r="AD388" i="17"/>
  <c r="P201" i="17"/>
  <c r="AD201" i="17"/>
  <c r="P200" i="17"/>
  <c r="AD200" i="17"/>
  <c r="P190" i="17"/>
  <c r="AD190" i="17"/>
  <c r="P583" i="17"/>
  <c r="AD583" i="17"/>
  <c r="P155" i="17"/>
  <c r="AD155" i="17"/>
  <c r="P196" i="17"/>
  <c r="AD196" i="17"/>
  <c r="P311" i="17"/>
  <c r="AD311" i="17"/>
  <c r="P313" i="17"/>
  <c r="AD313" i="17"/>
  <c r="P109" i="17"/>
  <c r="AD109" i="17"/>
  <c r="P129" i="17"/>
  <c r="AD129" i="17"/>
  <c r="P118" i="17"/>
  <c r="AD118" i="17"/>
  <c r="P111" i="17"/>
  <c r="AD111" i="17"/>
  <c r="P787" i="17"/>
  <c r="AD787" i="17"/>
  <c r="P266" i="17"/>
  <c r="AD266" i="17"/>
  <c r="P279" i="17"/>
  <c r="AD279" i="17"/>
  <c r="P275" i="17"/>
  <c r="AD275" i="17"/>
  <c r="P73" i="17"/>
  <c r="AD73" i="17"/>
  <c r="P61" i="17"/>
  <c r="AD61" i="17"/>
  <c r="P65" i="17"/>
  <c r="AD65" i="17"/>
  <c r="P288" i="17"/>
  <c r="AD288" i="17"/>
  <c r="P293" i="17"/>
  <c r="AD293" i="17"/>
  <c r="P461" i="17"/>
  <c r="AD461" i="17"/>
  <c r="P654" i="17"/>
  <c r="AD654" i="17"/>
  <c r="P638" i="17"/>
  <c r="AD638" i="17"/>
  <c r="P447" i="17"/>
  <c r="AD447" i="17"/>
  <c r="P457" i="17"/>
  <c r="AD457" i="17"/>
  <c r="P241" i="17"/>
  <c r="AD241" i="17"/>
  <c r="P214" i="17"/>
  <c r="AD214" i="17"/>
  <c r="N879" i="17"/>
  <c r="N603" i="17"/>
  <c r="N880" i="17"/>
  <c r="N162" i="17"/>
  <c r="N165" i="17"/>
  <c r="N170" i="17"/>
  <c r="P168" i="17"/>
  <c r="AD168" i="17"/>
  <c r="P342" i="17"/>
  <c r="AD342" i="17"/>
  <c r="P397" i="17"/>
  <c r="AD397" i="17"/>
  <c r="P648" i="17"/>
  <c r="AD648" i="17"/>
  <c r="P198" i="17"/>
  <c r="AD198" i="17"/>
  <c r="P27" i="17"/>
  <c r="AD27" i="17"/>
  <c r="P158" i="17"/>
  <c r="AD158" i="17"/>
  <c r="P120" i="17"/>
  <c r="AD120" i="17"/>
  <c r="P267" i="17"/>
  <c r="AD267" i="17"/>
  <c r="P41" i="17"/>
  <c r="AD41" i="17"/>
  <c r="P292" i="17"/>
  <c r="AD292" i="17"/>
  <c r="P629" i="17"/>
  <c r="AD629" i="17"/>
  <c r="N854" i="17"/>
  <c r="N860" i="17"/>
  <c r="N465" i="17"/>
  <c r="N464" i="17"/>
  <c r="N460" i="17"/>
  <c r="N461" i="17"/>
  <c r="N462" i="17"/>
  <c r="N189" i="17"/>
  <c r="N193" i="17"/>
  <c r="N195" i="17"/>
  <c r="N194" i="17"/>
  <c r="N196" i="17"/>
  <c r="N291" i="17"/>
  <c r="N289" i="17"/>
  <c r="N290" i="17"/>
  <c r="N286" i="17"/>
  <c r="N297" i="17"/>
  <c r="N285" i="17"/>
  <c r="N287" i="17"/>
  <c r="N293" i="17"/>
  <c r="N292" i="17"/>
  <c r="N927" i="17"/>
  <c r="N298" i="17"/>
  <c r="N294" i="17"/>
  <c r="N288" i="17"/>
  <c r="N264" i="17"/>
  <c r="N275" i="17"/>
  <c r="N276" i="17"/>
  <c r="N268" i="17"/>
  <c r="N272" i="17"/>
  <c r="N279" i="17"/>
  <c r="N284" i="17"/>
  <c r="N262" i="17"/>
  <c r="N281" i="17"/>
  <c r="N278" i="17"/>
  <c r="N265" i="17"/>
  <c r="N271" i="17"/>
  <c r="N274" i="17"/>
  <c r="N266" i="17"/>
  <c r="N270" i="17"/>
  <c r="N269" i="17"/>
  <c r="N277" i="17"/>
  <c r="N280" i="17"/>
  <c r="N267" i="17"/>
  <c r="N282" i="17"/>
  <c r="N283" i="17"/>
  <c r="N273" i="17"/>
  <c r="N557" i="17"/>
  <c r="N559" i="17"/>
  <c r="N560" i="17"/>
  <c r="N321" i="17"/>
  <c r="N313" i="17"/>
  <c r="N320" i="17"/>
  <c r="N318" i="17"/>
  <c r="N312" i="17"/>
  <c r="N322" i="17"/>
  <c r="N314" i="17"/>
  <c r="N311" i="17"/>
  <c r="N315" i="17"/>
  <c r="N316" i="17"/>
  <c r="N317" i="17"/>
  <c r="N319" i="17"/>
  <c r="N309" i="17"/>
  <c r="N310" i="17"/>
  <c r="N323" i="17"/>
  <c r="N244" i="17"/>
  <c r="N247" i="17"/>
  <c r="P171" i="17"/>
  <c r="AD171" i="17"/>
  <c r="P163" i="17"/>
  <c r="AD163" i="17"/>
  <c r="P339" i="17"/>
  <c r="AD339" i="17"/>
  <c r="P355" i="17"/>
  <c r="AD355" i="17"/>
  <c r="P344" i="17"/>
  <c r="AD344" i="17"/>
  <c r="P233" i="17"/>
  <c r="AD233" i="17"/>
  <c r="P228" i="17"/>
  <c r="AD228" i="17"/>
  <c r="P254" i="17"/>
  <c r="AD254" i="17"/>
  <c r="P247" i="17"/>
  <c r="AD247" i="17"/>
  <c r="P257" i="17"/>
  <c r="AD257" i="17"/>
  <c r="P394" i="17"/>
  <c r="AD394" i="17"/>
  <c r="P391" i="17"/>
  <c r="AD391" i="17"/>
  <c r="P398" i="17"/>
  <c r="AD398" i="17"/>
  <c r="P644" i="17"/>
  <c r="AD644" i="17"/>
  <c r="P412" i="17"/>
  <c r="AD412" i="17"/>
  <c r="P387" i="17"/>
  <c r="AD387" i="17"/>
  <c r="P203" i="17"/>
  <c r="AD203" i="17"/>
  <c r="P204" i="17"/>
  <c r="AD204" i="17"/>
  <c r="P192" i="17"/>
  <c r="AD192" i="17"/>
  <c r="P156" i="17"/>
  <c r="AD156" i="17"/>
  <c r="P150" i="17"/>
  <c r="AD150" i="17"/>
  <c r="P193" i="17"/>
  <c r="AD193" i="17"/>
  <c r="P317" i="17"/>
  <c r="AD317" i="17"/>
  <c r="P312" i="17"/>
  <c r="AD312" i="17"/>
  <c r="P110" i="17"/>
  <c r="AD110" i="17"/>
  <c r="P121" i="17"/>
  <c r="AD121" i="17"/>
  <c r="P125" i="17"/>
  <c r="AD125" i="17"/>
  <c r="P122" i="17"/>
  <c r="AD122" i="17"/>
  <c r="P786" i="17"/>
  <c r="AD786" i="17"/>
  <c r="P277" i="17"/>
  <c r="AD277" i="17"/>
  <c r="P278" i="17"/>
  <c r="AD278" i="17"/>
  <c r="P268" i="17"/>
  <c r="AD268" i="17"/>
  <c r="P72" i="17"/>
  <c r="AD72" i="17"/>
  <c r="P62" i="17"/>
  <c r="AD62" i="17"/>
  <c r="P60" i="17"/>
  <c r="AD60" i="17"/>
  <c r="P294" i="17"/>
  <c r="AD294" i="17"/>
  <c r="P286" i="17"/>
  <c r="AD286" i="17"/>
  <c r="P465" i="17"/>
  <c r="AD465" i="17"/>
  <c r="P636" i="17"/>
  <c r="AD636" i="17"/>
  <c r="P643" i="17"/>
  <c r="AD643" i="17"/>
  <c r="P450" i="17"/>
  <c r="AD450" i="17"/>
  <c r="P451" i="17"/>
  <c r="AD451" i="17"/>
  <c r="P221" i="17"/>
  <c r="AD221" i="17"/>
  <c r="P217" i="17"/>
  <c r="AD217" i="17"/>
  <c r="N240" i="17"/>
  <c r="N220" i="17"/>
  <c r="N215" i="17"/>
  <c r="N243" i="17"/>
  <c r="N214" i="17"/>
  <c r="N219" i="17"/>
  <c r="N222" i="17"/>
  <c r="N237" i="17"/>
  <c r="N218" i="17"/>
  <c r="N238" i="17"/>
  <c r="N217" i="17"/>
  <c r="N242" i="17"/>
  <c r="N239" i="17"/>
  <c r="N221" i="17"/>
  <c r="N241" i="17"/>
  <c r="P601" i="17"/>
  <c r="AD601" i="17"/>
  <c r="P356" i="17"/>
  <c r="AD356" i="17"/>
  <c r="P931" i="17"/>
  <c r="AD931" i="17"/>
  <c r="P886" i="17"/>
  <c r="AD886" i="17"/>
  <c r="P208" i="17"/>
  <c r="AD208" i="17"/>
  <c r="P578" i="17"/>
  <c r="AD578" i="17"/>
  <c r="P157" i="17"/>
  <c r="AD157" i="17"/>
  <c r="P134" i="17"/>
  <c r="AD134" i="17"/>
  <c r="P280" i="17"/>
  <c r="AD280" i="17"/>
  <c r="P50" i="17"/>
  <c r="AD50" i="17"/>
  <c r="Q895" i="17"/>
  <c r="P895" i="17" s="1"/>
  <c r="Q894" i="17"/>
  <c r="P894" i="17" s="1"/>
  <c r="Q885" i="17"/>
  <c r="P885" i="17" s="1"/>
  <c r="Q884" i="17"/>
  <c r="P884" i="17" s="1"/>
  <c r="N789" i="17"/>
  <c r="N785" i="17"/>
  <c r="N786" i="17"/>
  <c r="N783" i="17"/>
  <c r="N788" i="17"/>
  <c r="N787" i="17"/>
  <c r="N784" i="17"/>
  <c r="N563" i="17"/>
  <c r="N562" i="17"/>
  <c r="N561" i="17"/>
  <c r="N896" i="17"/>
  <c r="N897" i="17"/>
  <c r="N761" i="17"/>
  <c r="N773" i="17"/>
  <c r="N765" i="17"/>
  <c r="N769" i="17"/>
  <c r="N772" i="17"/>
  <c r="N770" i="17"/>
  <c r="N763" i="17"/>
  <c r="N766" i="17"/>
  <c r="N775" i="17"/>
  <c r="N774" i="17"/>
  <c r="N762" i="17"/>
  <c r="N771" i="17"/>
  <c r="N764" i="17"/>
  <c r="N768" i="17"/>
  <c r="N776" i="17"/>
  <c r="N767" i="17"/>
  <c r="P164" i="17"/>
  <c r="AD164" i="17"/>
  <c r="P166" i="17"/>
  <c r="AD166" i="17"/>
  <c r="P345" i="17"/>
  <c r="AD345" i="17"/>
  <c r="P351" i="17"/>
  <c r="AD351" i="17"/>
  <c r="P343" i="17"/>
  <c r="AD343" i="17"/>
  <c r="P223" i="17"/>
  <c r="AD223" i="17"/>
  <c r="P216" i="17"/>
  <c r="AD216" i="17"/>
  <c r="P252" i="17"/>
  <c r="AD252" i="17"/>
  <c r="P244" i="17"/>
  <c r="AD244" i="17"/>
  <c r="P258" i="17"/>
  <c r="AD258" i="17"/>
  <c r="P400" i="17"/>
  <c r="AD400" i="17"/>
  <c r="P403" i="17"/>
  <c r="AD403" i="17"/>
  <c r="P652" i="17"/>
  <c r="AD652" i="17"/>
  <c r="P410" i="17"/>
  <c r="AD410" i="17"/>
  <c r="P386" i="17"/>
  <c r="AD386" i="17"/>
  <c r="P210" i="17"/>
  <c r="AD210" i="17"/>
  <c r="P197" i="17"/>
  <c r="AD197" i="17"/>
  <c r="P263" i="17"/>
  <c r="AD263" i="17"/>
  <c r="P43" i="17"/>
  <c r="AD43" i="17"/>
  <c r="P148" i="17"/>
  <c r="AD148" i="17"/>
  <c r="P159" i="17"/>
  <c r="AD159" i="17"/>
  <c r="P195" i="17"/>
  <c r="AD195" i="17"/>
  <c r="P316" i="17"/>
  <c r="AD316" i="17"/>
  <c r="P318" i="17"/>
  <c r="AD318" i="17"/>
  <c r="P116" i="17"/>
  <c r="AD116" i="17"/>
  <c r="P119" i="17"/>
  <c r="AD119" i="17"/>
  <c r="P123" i="17"/>
  <c r="AD123" i="17"/>
  <c r="P130" i="17"/>
  <c r="AD130" i="17"/>
  <c r="P785" i="17"/>
  <c r="AD785" i="17"/>
  <c r="P274" i="17"/>
  <c r="AD274" i="17"/>
  <c r="P262" i="17"/>
  <c r="AD262" i="17"/>
  <c r="P44" i="17"/>
  <c r="AD44" i="17"/>
  <c r="P51" i="17"/>
  <c r="AD51" i="17"/>
  <c r="P56" i="17"/>
  <c r="AD56" i="17"/>
  <c r="P52" i="17"/>
  <c r="AD52" i="17"/>
  <c r="P297" i="17"/>
  <c r="AD297" i="17"/>
  <c r="P291" i="17"/>
  <c r="AD291" i="17"/>
  <c r="P631" i="17"/>
  <c r="AD631" i="17"/>
  <c r="P632" i="17"/>
  <c r="AD632" i="17"/>
  <c r="P433" i="17"/>
  <c r="AD433" i="17"/>
  <c r="P239" i="17"/>
  <c r="AD239" i="17"/>
  <c r="P237" i="17"/>
  <c r="AD237" i="17"/>
  <c r="P175" i="17"/>
  <c r="AD175" i="17"/>
  <c r="P225" i="17"/>
  <c r="AD225" i="17"/>
  <c r="P320" i="17"/>
  <c r="AD320" i="17"/>
  <c r="P106" i="17"/>
  <c r="AD106" i="17"/>
  <c r="P272" i="17"/>
  <c r="AD272" i="17"/>
  <c r="P77" i="17"/>
  <c r="AD77" i="17"/>
  <c r="P238" i="17"/>
  <c r="AD238" i="17"/>
  <c r="N133" i="17"/>
  <c r="N107" i="17"/>
  <c r="N130" i="17"/>
  <c r="N111" i="17"/>
  <c r="N134" i="17"/>
  <c r="N113" i="17"/>
  <c r="N122" i="17"/>
  <c r="N106" i="17"/>
  <c r="N123" i="17"/>
  <c r="N118" i="17"/>
  <c r="N136" i="17"/>
  <c r="N115" i="17"/>
  <c r="N117" i="17"/>
  <c r="N131" i="17"/>
  <c r="N108" i="17"/>
  <c r="N137" i="17"/>
  <c r="N125" i="17"/>
  <c r="N112" i="17"/>
  <c r="N109" i="17"/>
  <c r="N132" i="17"/>
  <c r="N135" i="17"/>
  <c r="N110" i="17"/>
  <c r="N116" i="17"/>
  <c r="N114" i="17"/>
  <c r="N129" i="17"/>
  <c r="N124" i="17"/>
  <c r="N119" i="17"/>
  <c r="N120" i="17"/>
  <c r="N121" i="17"/>
  <c r="N128" i="17"/>
  <c r="N127" i="17"/>
  <c r="N126" i="17"/>
  <c r="N637" i="17"/>
  <c r="N632" i="17"/>
  <c r="N634" i="17"/>
  <c r="N642" i="17"/>
  <c r="N630" i="17"/>
  <c r="N638" i="17"/>
  <c r="N654" i="17"/>
  <c r="N628" i="17"/>
  <c r="N633" i="17"/>
  <c r="N636" i="17"/>
  <c r="N640" i="17"/>
  <c r="N631" i="17"/>
  <c r="N643" i="17"/>
  <c r="N635" i="17"/>
  <c r="N629" i="17"/>
  <c r="N639" i="17"/>
  <c r="N641" i="17"/>
  <c r="Q431" i="17"/>
  <c r="Q432" i="17"/>
  <c r="Q430" i="17"/>
  <c r="Q429" i="17"/>
  <c r="Q326" i="17"/>
  <c r="Q332" i="17"/>
  <c r="Q327" i="17"/>
  <c r="Q329" i="17"/>
  <c r="Q335" i="17"/>
  <c r="Q328" i="17"/>
  <c r="Q325" i="17"/>
  <c r="Q333" i="17"/>
  <c r="Q334" i="17"/>
  <c r="Q331" i="17"/>
  <c r="Q324" i="17"/>
  <c r="Q330" i="17"/>
  <c r="Q426" i="17"/>
  <c r="Q423" i="17"/>
  <c r="Q422" i="17"/>
  <c r="Q382" i="17"/>
  <c r="Q384" i="17"/>
  <c r="Q385" i="17"/>
  <c r="Q381" i="17"/>
  <c r="Q383" i="17"/>
  <c r="Q380" i="17"/>
  <c r="Q658" i="17"/>
  <c r="Q656" i="17"/>
  <c r="Q655" i="17"/>
  <c r="Q657" i="17"/>
  <c r="Q659" i="17"/>
  <c r="N260" i="17"/>
  <c r="N261" i="17"/>
  <c r="N263" i="17"/>
  <c r="N259" i="17"/>
  <c r="N153" i="17"/>
  <c r="N158" i="17"/>
  <c r="N147" i="17"/>
  <c r="N146" i="17"/>
  <c r="N151" i="17"/>
  <c r="N150" i="17"/>
  <c r="N154" i="17"/>
  <c r="N159" i="17"/>
  <c r="N155" i="17"/>
  <c r="N157" i="17"/>
  <c r="N148" i="17"/>
  <c r="N160" i="17"/>
  <c r="N156" i="17"/>
  <c r="N152" i="17"/>
  <c r="N149" i="17"/>
  <c r="N427" i="17"/>
  <c r="N428" i="17"/>
  <c r="N583" i="17"/>
  <c r="N578" i="17"/>
  <c r="N586" i="17"/>
  <c r="N256" i="17"/>
  <c r="N257" i="17"/>
  <c r="N258" i="17"/>
  <c r="N255" i="17"/>
  <c r="P173" i="17"/>
  <c r="AD173" i="17"/>
  <c r="P161" i="17"/>
  <c r="AD161" i="17"/>
  <c r="P354" i="17"/>
  <c r="AD354" i="17"/>
  <c r="P341" i="17"/>
  <c r="AD341" i="17"/>
  <c r="P359" i="17"/>
  <c r="AD359" i="17"/>
  <c r="P231" i="17"/>
  <c r="AD231" i="17"/>
  <c r="P224" i="17"/>
  <c r="AD224" i="17"/>
  <c r="P170" i="17"/>
  <c r="AD170" i="17"/>
  <c r="P256" i="17"/>
  <c r="AD256" i="17"/>
  <c r="P392" i="17"/>
  <c r="AD392" i="17"/>
  <c r="P395" i="17"/>
  <c r="AD395" i="17"/>
  <c r="P650" i="17"/>
  <c r="AD650" i="17"/>
  <c r="P413" i="17"/>
  <c r="AD413" i="17"/>
  <c r="P209" i="17"/>
  <c r="AD209" i="17"/>
  <c r="P207" i="17"/>
  <c r="AD207" i="17"/>
  <c r="P561" i="17"/>
  <c r="AD561" i="17"/>
  <c r="P259" i="17"/>
  <c r="AD259" i="17"/>
  <c r="P47" i="17"/>
  <c r="AD47" i="17"/>
  <c r="P149" i="17"/>
  <c r="AD149" i="17"/>
  <c r="P151" i="17"/>
  <c r="AD151" i="17"/>
  <c r="P194" i="17"/>
  <c r="AD194" i="17"/>
  <c r="P315" i="17"/>
  <c r="AD315" i="17"/>
  <c r="P321" i="17"/>
  <c r="AD321" i="17"/>
  <c r="P126" i="17"/>
  <c r="AD126" i="17"/>
  <c r="P131" i="17"/>
  <c r="AD131" i="17"/>
  <c r="P112" i="17"/>
  <c r="AD112" i="17"/>
  <c r="P107" i="17"/>
  <c r="AD107" i="17"/>
  <c r="AD789" i="17"/>
  <c r="P789" i="17"/>
  <c r="P270" i="17"/>
  <c r="AD270" i="17"/>
  <c r="P284" i="17"/>
  <c r="AD284" i="17"/>
  <c r="P57" i="17"/>
  <c r="AD57" i="17"/>
  <c r="P466" i="17"/>
  <c r="AD466" i="17"/>
  <c r="P48" i="17"/>
  <c r="AD48" i="17"/>
  <c r="P46" i="17"/>
  <c r="AD46" i="17"/>
  <c r="P76" i="17"/>
  <c r="AD76" i="17"/>
  <c r="P74" i="17"/>
  <c r="AD74" i="17"/>
  <c r="P298" i="17"/>
  <c r="AD298" i="17"/>
  <c r="P290" i="17"/>
  <c r="AD290" i="17"/>
  <c r="P628" i="17"/>
  <c r="AD628" i="17"/>
  <c r="P642" i="17"/>
  <c r="AD642" i="17"/>
  <c r="P441" i="17"/>
  <c r="AD441" i="17"/>
  <c r="P219" i="17"/>
  <c r="AD219" i="17"/>
  <c r="P243" i="17"/>
  <c r="AD243" i="17"/>
  <c r="Q916" i="17"/>
  <c r="P916" i="17" s="1"/>
  <c r="Q890" i="17"/>
  <c r="P890" i="17" s="1"/>
  <c r="Q917" i="17"/>
  <c r="P917" i="17" s="1"/>
  <c r="Q891" i="17"/>
  <c r="P891" i="17" s="1"/>
  <c r="N337" i="17"/>
  <c r="N359" i="17"/>
  <c r="N343" i="17"/>
  <c r="N336" i="17"/>
  <c r="N344" i="17"/>
  <c r="N352" i="17"/>
  <c r="N351" i="17"/>
  <c r="N356" i="17"/>
  <c r="N360" i="17"/>
  <c r="N347" i="17"/>
  <c r="N341" i="17"/>
  <c r="N350" i="17"/>
  <c r="N342" i="17"/>
  <c r="N355" i="17"/>
  <c r="N358" i="17"/>
  <c r="N361" i="17"/>
  <c r="N345" i="17"/>
  <c r="N339" i="17"/>
  <c r="N346" i="17"/>
  <c r="N348" i="17"/>
  <c r="N349" i="17"/>
  <c r="N338" i="17"/>
  <c r="N354" i="17"/>
  <c r="N357" i="17"/>
  <c r="N340" i="17"/>
  <c r="N353" i="17"/>
  <c r="Q765" i="17"/>
  <c r="Q761" i="17"/>
  <c r="Q773" i="17"/>
  <c r="Q772" i="17"/>
  <c r="Q769" i="17"/>
  <c r="Q774" i="17"/>
  <c r="Q766" i="17"/>
  <c r="Q775" i="17"/>
  <c r="Q770" i="17"/>
  <c r="Q771" i="17"/>
  <c r="Q762" i="17"/>
  <c r="Q763" i="17"/>
  <c r="Q764" i="17"/>
  <c r="Q768" i="17"/>
  <c r="Q767" i="17"/>
  <c r="Q776" i="17"/>
  <c r="P174" i="17"/>
  <c r="AD174" i="17"/>
  <c r="P346" i="17"/>
  <c r="AD346" i="17"/>
  <c r="P357" i="17"/>
  <c r="AD357" i="17"/>
  <c r="P352" i="17"/>
  <c r="AD352" i="17"/>
  <c r="P336" i="17"/>
  <c r="AD336" i="17"/>
  <c r="P229" i="17"/>
  <c r="AD229" i="17"/>
  <c r="P232" i="17"/>
  <c r="AD232" i="17"/>
  <c r="P162" i="17"/>
  <c r="AD162" i="17"/>
  <c r="P407" i="17"/>
  <c r="AD407" i="17"/>
  <c r="P399" i="17"/>
  <c r="AD399" i="17"/>
  <c r="P653" i="17"/>
  <c r="AD653" i="17"/>
  <c r="P645" i="17"/>
  <c r="AD645" i="17"/>
  <c r="P409" i="17"/>
  <c r="AD409" i="17"/>
  <c r="P206" i="17"/>
  <c r="AD206" i="17"/>
  <c r="P202" i="17"/>
  <c r="AD202" i="17"/>
  <c r="P562" i="17"/>
  <c r="AD562" i="17"/>
  <c r="P261" i="17"/>
  <c r="AD261" i="17"/>
  <c r="P64" i="17"/>
  <c r="AD64" i="17"/>
  <c r="P160" i="17"/>
  <c r="AD160" i="17"/>
  <c r="P154" i="17"/>
  <c r="AD154" i="17"/>
  <c r="P189" i="17"/>
  <c r="AD189" i="17"/>
  <c r="P314" i="17"/>
  <c r="AD314" i="17"/>
  <c r="P127" i="17"/>
  <c r="AD127" i="17"/>
  <c r="P115" i="17"/>
  <c r="AD115" i="17"/>
  <c r="P137" i="17"/>
  <c r="AD137" i="17"/>
  <c r="P133" i="17"/>
  <c r="AD133" i="17"/>
  <c r="P265" i="17"/>
  <c r="AD265" i="17"/>
  <c r="P269" i="17"/>
  <c r="AD269" i="17"/>
  <c r="P281" i="17"/>
  <c r="AD281" i="17"/>
  <c r="P70" i="17"/>
  <c r="AD70" i="17"/>
  <c r="P467" i="17"/>
  <c r="AD467" i="17"/>
  <c r="P67" i="17"/>
  <c r="AD67" i="17"/>
  <c r="P55" i="17"/>
  <c r="AD55" i="17"/>
  <c r="P75" i="17"/>
  <c r="AD75" i="17"/>
  <c r="P63" i="17"/>
  <c r="AD63" i="17"/>
  <c r="P927" i="17"/>
  <c r="AD927" i="17"/>
  <c r="P289" i="17"/>
  <c r="AD289" i="17"/>
  <c r="P641" i="17"/>
  <c r="AD641" i="17"/>
  <c r="P634" i="17"/>
  <c r="AD634" i="17"/>
  <c r="P445" i="17"/>
  <c r="AD445" i="17"/>
  <c r="P218" i="17"/>
  <c r="AD218" i="17"/>
  <c r="P215" i="17"/>
  <c r="AD215" i="17"/>
  <c r="P903" i="17"/>
  <c r="AD903" i="17"/>
  <c r="Q759" i="17"/>
  <c r="Q760" i="17"/>
  <c r="Q756" i="17"/>
  <c r="Q746" i="17"/>
  <c r="Q736" i="17"/>
  <c r="Q754" i="17"/>
  <c r="Q750" i="17"/>
  <c r="Q758" i="17"/>
  <c r="Q749" i="17"/>
  <c r="Q745" i="17"/>
  <c r="Q737" i="17"/>
  <c r="Q755" i="17"/>
  <c r="Q747" i="17"/>
  <c r="Q757" i="17"/>
  <c r="N50" i="17"/>
  <c r="N54" i="17"/>
  <c r="N58" i="17"/>
  <c r="N60" i="17"/>
  <c r="N63" i="17"/>
  <c r="N74" i="17"/>
  <c r="N52" i="17"/>
  <c r="N62" i="17"/>
  <c r="N75" i="17"/>
  <c r="N76" i="17"/>
  <c r="N61" i="17"/>
  <c r="N42" i="17"/>
  <c r="N77" i="17"/>
  <c r="N55" i="17"/>
  <c r="N56" i="17"/>
  <c r="N51" i="17"/>
  <c r="N46" i="17"/>
  <c r="N59" i="17"/>
  <c r="N71" i="17"/>
  <c r="N53" i="17"/>
  <c r="N66" i="17"/>
  <c r="N65" i="17"/>
  <c r="N73" i="17"/>
  <c r="N41" i="17"/>
  <c r="N69" i="17"/>
  <c r="N68" i="17"/>
  <c r="N72" i="17"/>
  <c r="N48" i="17"/>
  <c r="N67" i="17"/>
  <c r="N740" i="17"/>
  <c r="N735" i="17"/>
  <c r="N751" i="17"/>
  <c r="N748" i="17"/>
  <c r="N734" i="17"/>
  <c r="N738" i="17"/>
  <c r="N743" i="17"/>
  <c r="N741" i="17"/>
  <c r="N753" i="17"/>
  <c r="N739" i="17"/>
  <c r="N752" i="17"/>
  <c r="N744" i="17"/>
  <c r="N646" i="17"/>
  <c r="N652" i="17"/>
  <c r="N644" i="17"/>
  <c r="N645" i="17"/>
  <c r="N650" i="17"/>
  <c r="N651" i="17"/>
  <c r="N647" i="17"/>
  <c r="N653" i="17"/>
  <c r="N648" i="17"/>
  <c r="N649" i="17"/>
  <c r="N387" i="17"/>
  <c r="N386" i="17"/>
  <c r="N388" i="17"/>
  <c r="N389" i="17"/>
  <c r="N394" i="17"/>
  <c r="N405" i="17"/>
  <c r="N397" i="17"/>
  <c r="N393" i="17"/>
  <c r="N396" i="17"/>
  <c r="N407" i="17"/>
  <c r="Q813" i="17"/>
  <c r="Q801" i="17"/>
  <c r="Q805" i="17"/>
  <c r="Q793" i="17"/>
  <c r="Q797" i="17"/>
  <c r="Q817" i="17"/>
  <c r="Q809" i="17"/>
  <c r="Q796" i="17"/>
  <c r="Q812" i="17"/>
  <c r="Q806" i="17"/>
  <c r="Q814" i="17"/>
  <c r="Q810" i="17"/>
  <c r="Q811" i="17"/>
  <c r="Q799" i="17"/>
  <c r="Q790" i="17"/>
  <c r="Q794" i="17"/>
  <c r="Q818" i="17"/>
  <c r="Q798" i="17"/>
  <c r="Q802" i="17"/>
  <c r="Q815" i="17"/>
  <c r="Q803" i="17"/>
  <c r="Q792" i="17"/>
  <c r="Q800" i="17"/>
  <c r="Q816" i="17"/>
  <c r="Q808" i="17"/>
  <c r="Q838" i="17"/>
  <c r="P838" i="17" s="1"/>
  <c r="Q833" i="17"/>
  <c r="P833" i="17" s="1"/>
  <c r="Q849" i="17"/>
  <c r="P849" i="17" s="1"/>
  <c r="Q841" i="17"/>
  <c r="P841" i="17" s="1"/>
  <c r="Q845" i="17"/>
  <c r="P845" i="17" s="1"/>
  <c r="Q834" i="17"/>
  <c r="P834" i="17" s="1"/>
  <c r="Q842" i="17"/>
  <c r="P842" i="17" s="1"/>
  <c r="Q850" i="17"/>
  <c r="P850" i="17" s="1"/>
  <c r="Q858" i="17"/>
  <c r="P858" i="17" s="1"/>
  <c r="Q856" i="17"/>
  <c r="P856" i="17" s="1"/>
  <c r="Q851" i="17"/>
  <c r="P851" i="17" s="1"/>
  <c r="Q848" i="17"/>
  <c r="P848" i="17" s="1"/>
  <c r="Q840" i="17"/>
  <c r="P840" i="17" s="1"/>
  <c r="Q929" i="17"/>
  <c r="P929" i="17" s="1"/>
  <c r="Q836" i="17"/>
  <c r="P836" i="17" s="1"/>
  <c r="Q859" i="17"/>
  <c r="P859" i="17" s="1"/>
  <c r="N192" i="17"/>
  <c r="N188" i="17"/>
  <c r="N190" i="17"/>
  <c r="N191" i="17"/>
  <c r="N252" i="17"/>
  <c r="N254" i="17"/>
  <c r="N253" i="17"/>
  <c r="N250" i="17"/>
  <c r="N931" i="17"/>
  <c r="N251" i="17"/>
  <c r="Q660" i="17"/>
  <c r="Q669" i="17"/>
  <c r="Q677" i="17"/>
  <c r="Q673" i="17"/>
  <c r="Q661" i="17"/>
  <c r="Q668" i="17"/>
  <c r="Q674" i="17"/>
  <c r="Q664" i="17"/>
  <c r="Q663" i="17"/>
  <c r="Q676" i="17"/>
  <c r="Q662" i="17"/>
  <c r="Q666" i="17"/>
  <c r="Q672" i="17"/>
  <c r="Q671" i="17"/>
  <c r="Q667" i="17"/>
  <c r="Q675" i="17"/>
  <c r="Q670" i="17"/>
  <c r="Q665" i="17"/>
  <c r="P167" i="17"/>
  <c r="AD167" i="17"/>
  <c r="P349" i="17"/>
  <c r="AD349" i="17"/>
  <c r="P340" i="17"/>
  <c r="AD340" i="17"/>
  <c r="P350" i="17"/>
  <c r="AD350" i="17"/>
  <c r="P337" i="17"/>
  <c r="AD337" i="17"/>
  <c r="P226" i="17"/>
  <c r="AD226" i="17"/>
  <c r="P428" i="17"/>
  <c r="AD428" i="17"/>
  <c r="P253" i="17"/>
  <c r="AD253" i="17"/>
  <c r="P165" i="17"/>
  <c r="AD165" i="17"/>
  <c r="P396" i="17"/>
  <c r="AD396" i="17"/>
  <c r="P401" i="17"/>
  <c r="AD401" i="17"/>
  <c r="P647" i="17"/>
  <c r="AD647" i="17"/>
  <c r="P646" i="17"/>
  <c r="AD646" i="17"/>
  <c r="P408" i="17"/>
  <c r="AD408" i="17"/>
  <c r="P213" i="17"/>
  <c r="AD213" i="17"/>
  <c r="P212" i="17"/>
  <c r="AD212" i="17"/>
  <c r="P563" i="17"/>
  <c r="AD563" i="17"/>
  <c r="P260" i="17"/>
  <c r="AD260" i="17"/>
  <c r="P49" i="17"/>
  <c r="AD49" i="17"/>
  <c r="P152" i="17"/>
  <c r="AD152" i="17"/>
  <c r="P147" i="17"/>
  <c r="AD147" i="17"/>
  <c r="P323" i="17"/>
  <c r="AD323" i="17"/>
  <c r="P319" i="17"/>
  <c r="AD319" i="17"/>
  <c r="P128" i="17"/>
  <c r="AD128" i="17"/>
  <c r="P135" i="17"/>
  <c r="AD135" i="17"/>
  <c r="P136" i="17"/>
  <c r="AD136" i="17"/>
  <c r="P108" i="17"/>
  <c r="AD108" i="17"/>
  <c r="P784" i="17"/>
  <c r="AD784" i="17"/>
  <c r="P282" i="17"/>
  <c r="AD282" i="17"/>
  <c r="P283" i="17"/>
  <c r="AD283" i="17"/>
  <c r="P264" i="17"/>
  <c r="AD264" i="17"/>
  <c r="P68" i="17"/>
  <c r="AD68" i="17"/>
  <c r="P42" i="17"/>
  <c r="AD42" i="17"/>
  <c r="P66" i="17"/>
  <c r="AD66" i="17"/>
  <c r="P54" i="17"/>
  <c r="AD54" i="17"/>
  <c r="P287" i="17"/>
  <c r="AD287" i="17"/>
  <c r="P462" i="17"/>
  <c r="AD462" i="17"/>
  <c r="P639" i="17"/>
  <c r="AD639" i="17"/>
  <c r="P630" i="17"/>
  <c r="AD630" i="17"/>
  <c r="P637" i="17"/>
  <c r="AD637" i="17"/>
  <c r="P434" i="17"/>
  <c r="AD434" i="17"/>
  <c r="P222" i="17"/>
  <c r="AD222" i="17"/>
  <c r="P220" i="17"/>
  <c r="AD220" i="17"/>
  <c r="N70" i="17"/>
  <c r="N57" i="17"/>
  <c r="N44" i="17"/>
  <c r="Q692" i="17"/>
  <c r="Q906" i="17"/>
  <c r="Q705" i="17"/>
  <c r="Q688" i="17"/>
  <c r="Q905" i="17"/>
  <c r="Q846" i="17"/>
  <c r="Q839" i="17"/>
  <c r="Q855" i="17"/>
  <c r="Q847" i="17"/>
  <c r="Q857" i="17"/>
  <c r="Q837" i="17"/>
  <c r="Q853" i="17"/>
  <c r="Q843" i="17"/>
  <c r="Q852" i="17"/>
  <c r="Q835" i="17"/>
  <c r="Q844" i="17"/>
  <c r="N197" i="17"/>
  <c r="N212" i="17"/>
  <c r="N211" i="17"/>
  <c r="N200" i="17"/>
  <c r="N208" i="17"/>
  <c r="N204" i="17"/>
  <c r="N202" i="17"/>
  <c r="N207" i="17"/>
  <c r="N205" i="17"/>
  <c r="N213" i="17"/>
  <c r="N198" i="17"/>
  <c r="N210" i="17"/>
  <c r="N201" i="17"/>
  <c r="N203" i="17"/>
  <c r="N206" i="17"/>
  <c r="N209" i="17"/>
  <c r="N27" i="17"/>
  <c r="N45" i="17"/>
  <c r="N64" i="17"/>
  <c r="N47" i="17"/>
  <c r="N49" i="17"/>
  <c r="N43" i="17"/>
  <c r="N408" i="17"/>
  <c r="N411" i="17"/>
  <c r="N413" i="17"/>
  <c r="N410" i="17"/>
  <c r="N412" i="17"/>
  <c r="N409" i="17"/>
  <c r="N415" i="17"/>
  <c r="N166" i="17"/>
  <c r="N161" i="17"/>
  <c r="N167" i="17"/>
  <c r="N172" i="17"/>
  <c r="N175" i="17"/>
  <c r="N176" i="17"/>
  <c r="N174" i="17"/>
  <c r="N163" i="17"/>
  <c r="N171" i="17"/>
  <c r="N169" i="17"/>
  <c r="N173" i="17"/>
  <c r="N168" i="17"/>
  <c r="N164" i="17"/>
  <c r="N887" i="17"/>
  <c r="N886" i="17"/>
  <c r="N228" i="17"/>
  <c r="N224" i="17"/>
  <c r="N216" i="17"/>
  <c r="N232" i="17"/>
  <c r="N236" i="17"/>
  <c r="N230" i="17"/>
  <c r="N234" i="17"/>
  <c r="N233" i="17"/>
  <c r="N229" i="17"/>
  <c r="N227" i="17"/>
  <c r="N235" i="17"/>
  <c r="N223" i="17"/>
  <c r="N226" i="17"/>
  <c r="N225" i="17"/>
  <c r="N231" i="17"/>
  <c r="Q246" i="17"/>
  <c r="Q245" i="17"/>
  <c r="N466" i="17"/>
  <c r="N467" i="17"/>
  <c r="P176" i="17"/>
  <c r="AD176" i="17"/>
  <c r="P353" i="17"/>
  <c r="AD353" i="17"/>
  <c r="P358" i="17"/>
  <c r="AD358" i="17"/>
  <c r="P361" i="17"/>
  <c r="AD361" i="17"/>
  <c r="P235" i="17"/>
  <c r="AD235" i="17"/>
  <c r="P234" i="17"/>
  <c r="AD234" i="17"/>
  <c r="P427" i="17"/>
  <c r="AD427" i="17"/>
  <c r="P251" i="17"/>
  <c r="AD251" i="17"/>
  <c r="P393" i="17"/>
  <c r="AD393" i="17"/>
  <c r="P402" i="17"/>
  <c r="AD402" i="17"/>
  <c r="P649" i="17"/>
  <c r="AD649" i="17"/>
  <c r="P411" i="17"/>
  <c r="AD411" i="17"/>
  <c r="P205" i="17"/>
  <c r="AD205" i="17"/>
  <c r="P211" i="17"/>
  <c r="AD211" i="17"/>
  <c r="P191" i="17"/>
  <c r="AD191" i="17"/>
  <c r="P45" i="17"/>
  <c r="AD45" i="17"/>
  <c r="P586" i="17"/>
  <c r="AD586" i="17"/>
  <c r="P146" i="17"/>
  <c r="AD146" i="17"/>
  <c r="P153" i="17"/>
  <c r="AD153" i="17"/>
  <c r="P310" i="17"/>
  <c r="AD310" i="17"/>
  <c r="P322" i="17"/>
  <c r="AD322" i="17"/>
  <c r="P132" i="17"/>
  <c r="AD132" i="17"/>
  <c r="P124" i="17"/>
  <c r="AD124" i="17"/>
  <c r="P117" i="17"/>
  <c r="AD117" i="17"/>
  <c r="P113" i="17"/>
  <c r="AD113" i="17"/>
  <c r="P783" i="17"/>
  <c r="AD783" i="17"/>
  <c r="P271" i="17"/>
  <c r="AD271" i="17"/>
  <c r="P273" i="17"/>
  <c r="AD273" i="17"/>
  <c r="P276" i="17"/>
  <c r="AD276" i="17"/>
  <c r="P69" i="17"/>
  <c r="AD69" i="17"/>
  <c r="P71" i="17"/>
  <c r="AD71" i="17"/>
  <c r="P59" i="17"/>
  <c r="AD59" i="17"/>
  <c r="P58" i="17"/>
  <c r="AD58" i="17"/>
  <c r="P285" i="17"/>
  <c r="AD285" i="17"/>
  <c r="P464" i="17"/>
  <c r="AD464" i="17"/>
  <c r="P640" i="17"/>
  <c r="AD640" i="17"/>
  <c r="P633" i="17"/>
  <c r="AD633" i="17"/>
  <c r="P458" i="17"/>
  <c r="AD458" i="17"/>
  <c r="P242" i="17"/>
  <c r="AD242" i="17"/>
  <c r="P240" i="17"/>
  <c r="AD240" i="17"/>
  <c r="DK220" i="6"/>
  <c r="DK204" i="6"/>
  <c r="DK59" i="6"/>
  <c r="DK184" i="6"/>
  <c r="N353" i="23" s="1"/>
  <c r="DK138" i="6"/>
  <c r="N143" i="23" s="1"/>
  <c r="DK60" i="6"/>
  <c r="N23" i="23" s="1"/>
  <c r="DK136" i="6"/>
  <c r="N157" i="23" s="1"/>
  <c r="DK231" i="6"/>
  <c r="N322" i="23" s="1"/>
  <c r="DK306" i="6"/>
  <c r="DK182" i="6"/>
  <c r="N838" i="22" s="1"/>
  <c r="DK234" i="6"/>
  <c r="N866" i="22" s="1"/>
  <c r="DK134" i="6"/>
  <c r="DK126" i="6"/>
  <c r="DK198" i="6"/>
  <c r="N780" i="22" s="1"/>
  <c r="DK127" i="6"/>
  <c r="N775" i="22" s="1"/>
  <c r="DK178" i="6"/>
  <c r="N827" i="22" s="1"/>
  <c r="DK130" i="6"/>
  <c r="DK303" i="6"/>
  <c r="N635" i="22" s="1"/>
  <c r="DK243" i="6"/>
  <c r="DK78" i="6"/>
  <c r="DK93" i="6"/>
  <c r="DK242" i="6"/>
  <c r="DK206" i="6"/>
  <c r="DK205" i="6"/>
  <c r="N318" i="23" s="1"/>
  <c r="DK124" i="6"/>
  <c r="N903" i="17" s="1"/>
  <c r="DK99" i="6"/>
  <c r="N301" i="22" s="1"/>
  <c r="DK199" i="6"/>
  <c r="DK245" i="6"/>
  <c r="DK207" i="6"/>
  <c r="N930" i="17" s="1"/>
  <c r="DK219" i="6"/>
  <c r="DK238" i="6"/>
  <c r="I293" i="6"/>
  <c r="AF293" i="6" s="1"/>
  <c r="FG22" i="6"/>
  <c r="Q874" i="17" s="1"/>
  <c r="H293" i="6"/>
  <c r="AE293" i="6" s="1"/>
  <c r="ER293" i="6" s="1"/>
  <c r="G293" i="6"/>
  <c r="AD293" i="6" s="1"/>
  <c r="FZ263" i="6"/>
  <c r="FY263" i="6" s="1"/>
  <c r="FG24" i="6"/>
  <c r="FG210" i="6"/>
  <c r="DK71" i="6"/>
  <c r="DJ281" i="6"/>
  <c r="DK281" i="6" s="1"/>
  <c r="FG100" i="6"/>
  <c r="Q78" i="23" s="1"/>
  <c r="FG111" i="6"/>
  <c r="FG67" i="6"/>
  <c r="FG25" i="6"/>
  <c r="Q78" i="17" s="1"/>
  <c r="FG284" i="6"/>
  <c r="N290" i="6" s="1"/>
  <c r="FF132" i="6"/>
  <c r="FG132" i="6" s="1"/>
  <c r="Q150" i="23" s="1"/>
  <c r="FG141" i="6"/>
  <c r="FG148" i="6"/>
  <c r="N295" i="6"/>
  <c r="J292" i="6"/>
  <c r="I292" i="6"/>
  <c r="G292" i="6"/>
  <c r="H292" i="6"/>
  <c r="AE292" i="6" s="1"/>
  <c r="G29" i="6"/>
  <c r="N30" i="6"/>
  <c r="L29" i="6"/>
  <c r="L30" i="6" s="1"/>
  <c r="H29" i="6"/>
  <c r="H30" i="6" s="1"/>
  <c r="I29" i="6"/>
  <c r="I30" i="6" s="1"/>
  <c r="F29" i="6"/>
  <c r="M29" i="6"/>
  <c r="M30" i="6" s="1"/>
  <c r="J29" i="6"/>
  <c r="J30" i="6" s="1"/>
  <c r="G297" i="6"/>
  <c r="I297" i="6"/>
  <c r="H297" i="6"/>
  <c r="AE297" i="6" s="1"/>
  <c r="J297" i="6"/>
  <c r="G65" i="6"/>
  <c r="M65" i="6"/>
  <c r="AJ65" i="6" s="1"/>
  <c r="EW65" i="6" s="1"/>
  <c r="L65" i="6"/>
  <c r="AI65" i="6" s="1"/>
  <c r="H65" i="6"/>
  <c r="AE65" i="6" s="1"/>
  <c r="J65" i="6"/>
  <c r="AG65" i="6" s="1"/>
  <c r="ET65" i="6" s="1"/>
  <c r="I65" i="6"/>
  <c r="AF65" i="6" s="1"/>
  <c r="N105" i="6"/>
  <c r="FF105" i="6"/>
  <c r="DK103" i="6"/>
  <c r="N24" i="23" s="1"/>
  <c r="FG223" i="6"/>
  <c r="G291" i="6"/>
  <c r="I291" i="6"/>
  <c r="H291" i="6"/>
  <c r="AE291" i="6" s="1"/>
  <c r="J291" i="6"/>
  <c r="FG20" i="6"/>
  <c r="Q784" i="22" s="1"/>
  <c r="FG94" i="6"/>
  <c r="FG123" i="6"/>
  <c r="Q876" i="17" s="1"/>
  <c r="FG45" i="6"/>
  <c r="FG68" i="6"/>
  <c r="FY206" i="6"/>
  <c r="FY207" i="6"/>
  <c r="AA930" i="17" s="1"/>
  <c r="FX207" i="6"/>
  <c r="Z930" i="17" s="1"/>
  <c r="FX246" i="6"/>
  <c r="FY246" i="6"/>
  <c r="FX280" i="6"/>
  <c r="FY280" i="6"/>
  <c r="FX272" i="6"/>
  <c r="Z534" i="17" s="1"/>
  <c r="FY272" i="6"/>
  <c r="AA534" i="17" s="1"/>
  <c r="FX205" i="6"/>
  <c r="FY205" i="6"/>
  <c r="FX206" i="6"/>
  <c r="N453" i="22" l="1"/>
  <c r="N456" i="22"/>
  <c r="Z854" i="17"/>
  <c r="Z758" i="22"/>
  <c r="Z860" i="17"/>
  <c r="Z608" i="22"/>
  <c r="Z576" i="22"/>
  <c r="Z591" i="22"/>
  <c r="Z583" i="22"/>
  <c r="Z567" i="22"/>
  <c r="Z600" i="22"/>
  <c r="Z584" i="22"/>
  <c r="Z568" i="22"/>
  <c r="Z592" i="22"/>
  <c r="Z575" i="22"/>
  <c r="Z607" i="22"/>
  <c r="Z599" i="22"/>
  <c r="Z569" i="22"/>
  <c r="Z585" i="22"/>
  <c r="Z577" i="22"/>
  <c r="Z572" i="22"/>
  <c r="Z596" i="22"/>
  <c r="Z580" i="22"/>
  <c r="Z604" i="22"/>
  <c r="Z601" i="22"/>
  <c r="Z588" i="22"/>
  <c r="Z593" i="22"/>
  <c r="Z605" i="22"/>
  <c r="Z594" i="22"/>
  <c r="Z565" i="22"/>
  <c r="Z318" i="23"/>
  <c r="Z589" i="22"/>
  <c r="Z571" i="22"/>
  <c r="Z581" i="22"/>
  <c r="Z587" i="22"/>
  <c r="Z595" i="22"/>
  <c r="Z578" i="22"/>
  <c r="Z573" i="22"/>
  <c r="Z602" i="22"/>
  <c r="Z570" i="22"/>
  <c r="Z597" i="22"/>
  <c r="Z579" i="22"/>
  <c r="Z658" i="17"/>
  <c r="Z603" i="22"/>
  <c r="Z586" i="22"/>
  <c r="Z656" i="17"/>
  <c r="Z574" i="22"/>
  <c r="Z566" i="22"/>
  <c r="Z590" i="22"/>
  <c r="Z606" i="22"/>
  <c r="Z598" i="22"/>
  <c r="Z582" i="22"/>
  <c r="Z657" i="17"/>
  <c r="Z659" i="17"/>
  <c r="Z655" i="17"/>
  <c r="Z916" i="17"/>
  <c r="Z890" i="17"/>
  <c r="Z917" i="17"/>
  <c r="Z891" i="17"/>
  <c r="AA576" i="22"/>
  <c r="AA607" i="22"/>
  <c r="AA592" i="22"/>
  <c r="AA599" i="22"/>
  <c r="AA575" i="22"/>
  <c r="AA584" i="22"/>
  <c r="AA568" i="22"/>
  <c r="AA608" i="22"/>
  <c r="AA591" i="22"/>
  <c r="AA583" i="22"/>
  <c r="AA567" i="22"/>
  <c r="AA600" i="22"/>
  <c r="AA596" i="22"/>
  <c r="AA569" i="22"/>
  <c r="AA593" i="22"/>
  <c r="AA585" i="22"/>
  <c r="AA588" i="22"/>
  <c r="AA572" i="22"/>
  <c r="AA577" i="22"/>
  <c r="AA580" i="22"/>
  <c r="AA604" i="22"/>
  <c r="AA601" i="22"/>
  <c r="AA318" i="23"/>
  <c r="AA605" i="22"/>
  <c r="AA594" i="22"/>
  <c r="AA565" i="22"/>
  <c r="AA570" i="22"/>
  <c r="AA589" i="22"/>
  <c r="AA571" i="22"/>
  <c r="AA581" i="22"/>
  <c r="AA587" i="22"/>
  <c r="AA578" i="22"/>
  <c r="AA573" i="22"/>
  <c r="AA602" i="22"/>
  <c r="AA586" i="22"/>
  <c r="AA597" i="22"/>
  <c r="AA658" i="17"/>
  <c r="AA579" i="22"/>
  <c r="AA603" i="22"/>
  <c r="AA595" i="22"/>
  <c r="AA656" i="17"/>
  <c r="AA566" i="22"/>
  <c r="AA590" i="22"/>
  <c r="AA657" i="17"/>
  <c r="AA606" i="22"/>
  <c r="AA598" i="22"/>
  <c r="AA582" i="22"/>
  <c r="AA574" i="22"/>
  <c r="AA655" i="17"/>
  <c r="AA659" i="17"/>
  <c r="AA916" i="17"/>
  <c r="AA890" i="17"/>
  <c r="AA917" i="17"/>
  <c r="AA891" i="17"/>
  <c r="AA758" i="22"/>
  <c r="AA854" i="17"/>
  <c r="AA860" i="17"/>
  <c r="P78" i="23"/>
  <c r="AD78" i="23"/>
  <c r="N140" i="23"/>
  <c r="N135" i="23"/>
  <c r="N149" i="23"/>
  <c r="N146" i="23"/>
  <c r="N153" i="23"/>
  <c r="N141" i="23"/>
  <c r="N136" i="23"/>
  <c r="N139" i="23"/>
  <c r="N142" i="23"/>
  <c r="N352" i="23"/>
  <c r="N138" i="23"/>
  <c r="N144" i="23"/>
  <c r="N152" i="23"/>
  <c r="N137" i="23"/>
  <c r="N148" i="23"/>
  <c r="N145" i="23"/>
  <c r="N151" i="23"/>
  <c r="N147" i="23"/>
  <c r="P56" i="23"/>
  <c r="AD56" i="23"/>
  <c r="P22" i="23"/>
  <c r="AD22" i="23"/>
  <c r="P113" i="23"/>
  <c r="AD113" i="23"/>
  <c r="P108" i="23"/>
  <c r="AD108" i="23"/>
  <c r="P144" i="23"/>
  <c r="AD144" i="23"/>
  <c r="P139" i="23"/>
  <c r="AD139" i="23"/>
  <c r="Q198" i="23"/>
  <c r="Q201" i="23"/>
  <c r="Q197" i="23"/>
  <c r="Q202" i="23"/>
  <c r="Q194" i="23"/>
  <c r="Q199" i="23"/>
  <c r="Q187" i="23"/>
  <c r="Q191" i="23"/>
  <c r="Q189" i="23"/>
  <c r="Q190" i="23"/>
  <c r="Q195" i="23"/>
  <c r="Q193" i="23"/>
  <c r="Q192" i="23"/>
  <c r="Q203" i="23"/>
  <c r="Q200" i="23"/>
  <c r="Q204" i="23"/>
  <c r="Q188" i="23"/>
  <c r="Q196" i="23"/>
  <c r="P21" i="23"/>
  <c r="AD21" i="23"/>
  <c r="P152" i="23"/>
  <c r="AD152" i="23"/>
  <c r="P59" i="23"/>
  <c r="AD59" i="23"/>
  <c r="P117" i="23"/>
  <c r="AD117" i="23"/>
  <c r="P114" i="23"/>
  <c r="AD114" i="23"/>
  <c r="P137" i="23"/>
  <c r="AD137" i="23"/>
  <c r="P136" i="23"/>
  <c r="AD136" i="23"/>
  <c r="P162" i="23"/>
  <c r="AD162" i="23"/>
  <c r="P109" i="23"/>
  <c r="AD109" i="23"/>
  <c r="N62" i="23"/>
  <c r="N57" i="23"/>
  <c r="N65" i="23"/>
  <c r="N59" i="23"/>
  <c r="N55" i="23"/>
  <c r="N63" i="23"/>
  <c r="N64" i="23"/>
  <c r="N58" i="23"/>
  <c r="N61" i="23"/>
  <c r="N56" i="23"/>
  <c r="N60" i="23"/>
  <c r="P55" i="23"/>
  <c r="AD55" i="23"/>
  <c r="P124" i="23"/>
  <c r="AD124" i="23"/>
  <c r="P119" i="23"/>
  <c r="AD119" i="23"/>
  <c r="P145" i="23"/>
  <c r="AD145" i="23"/>
  <c r="P141" i="23"/>
  <c r="AD141" i="23"/>
  <c r="P166" i="23"/>
  <c r="AD166" i="23"/>
  <c r="P63" i="23"/>
  <c r="AD63" i="23"/>
  <c r="P121" i="23"/>
  <c r="AD121" i="23"/>
  <c r="P115" i="23"/>
  <c r="AD115" i="23"/>
  <c r="P147" i="23"/>
  <c r="AD147" i="23"/>
  <c r="P153" i="23"/>
  <c r="AD153" i="23"/>
  <c r="P110" i="23"/>
  <c r="AD110" i="23"/>
  <c r="N120" i="23"/>
  <c r="N115" i="23"/>
  <c r="N107" i="23"/>
  <c r="N114" i="23"/>
  <c r="N119" i="23"/>
  <c r="N123" i="23"/>
  <c r="N117" i="23"/>
  <c r="N112" i="23"/>
  <c r="N121" i="23"/>
  <c r="N122" i="23"/>
  <c r="N108" i="23"/>
  <c r="N124" i="23"/>
  <c r="N110" i="23"/>
  <c r="N111" i="23"/>
  <c r="N116" i="23"/>
  <c r="N118" i="23"/>
  <c r="N109" i="23"/>
  <c r="N113" i="23"/>
  <c r="P58" i="23"/>
  <c r="AD58" i="23"/>
  <c r="P62" i="23"/>
  <c r="AD62" i="23"/>
  <c r="P116" i="23"/>
  <c r="AD116" i="23"/>
  <c r="P112" i="23"/>
  <c r="AD112" i="23"/>
  <c r="P120" i="23"/>
  <c r="AD120" i="23"/>
  <c r="P148" i="23"/>
  <c r="AD148" i="23"/>
  <c r="P146" i="23"/>
  <c r="AD146" i="23"/>
  <c r="P352" i="23"/>
  <c r="AD352" i="23"/>
  <c r="P140" i="23"/>
  <c r="AD140" i="23"/>
  <c r="P150" i="23"/>
  <c r="AD150" i="23"/>
  <c r="Q50" i="23"/>
  <c r="Q49" i="23"/>
  <c r="Q52" i="23"/>
  <c r="Q51" i="23"/>
  <c r="N166" i="23"/>
  <c r="N162" i="23"/>
  <c r="P60" i="23"/>
  <c r="AD60" i="23"/>
  <c r="P57" i="23"/>
  <c r="AD57" i="23"/>
  <c r="P118" i="23"/>
  <c r="AD118" i="23"/>
  <c r="P122" i="23"/>
  <c r="AD122" i="23"/>
  <c r="P107" i="23"/>
  <c r="AD107" i="23"/>
  <c r="P138" i="23"/>
  <c r="AD138" i="23"/>
  <c r="P149" i="23"/>
  <c r="AD149" i="23"/>
  <c r="P61" i="23"/>
  <c r="AD61" i="23"/>
  <c r="Q19" i="23"/>
  <c r="Q18" i="23"/>
  <c r="N22" i="23"/>
  <c r="N21" i="23"/>
  <c r="P64" i="23"/>
  <c r="AD64" i="23"/>
  <c r="P65" i="23"/>
  <c r="AD65" i="23"/>
  <c r="P111" i="23"/>
  <c r="AD111" i="23"/>
  <c r="P123" i="23"/>
  <c r="AD123" i="23"/>
  <c r="P151" i="23"/>
  <c r="AD151" i="23"/>
  <c r="P142" i="23"/>
  <c r="AD142" i="23"/>
  <c r="P135" i="23"/>
  <c r="AD135" i="23"/>
  <c r="Q343" i="22"/>
  <c r="AD343" i="22" s="1"/>
  <c r="N348" i="22"/>
  <c r="P595" i="22"/>
  <c r="AD595" i="22"/>
  <c r="P342" i="22"/>
  <c r="AD342" i="22"/>
  <c r="P810" i="22"/>
  <c r="AD810" i="22"/>
  <c r="P574" i="22"/>
  <c r="AD574" i="22"/>
  <c r="P600" i="22"/>
  <c r="AD600" i="22"/>
  <c r="P176" i="22"/>
  <c r="AD176" i="22"/>
  <c r="Q519" i="22"/>
  <c r="Q530" i="22"/>
  <c r="Q538" i="22"/>
  <c r="Q535" i="22"/>
  <c r="Q522" i="22"/>
  <c r="Q515" i="22"/>
  <c r="Q514" i="22"/>
  <c r="Q523" i="22"/>
  <c r="Q531" i="22"/>
  <c r="Q517" i="22"/>
  <c r="Q803" i="22"/>
  <c r="Q843" i="22"/>
  <c r="Q536" i="22"/>
  <c r="Q527" i="22"/>
  <c r="Q520" i="22"/>
  <c r="Q525" i="22"/>
  <c r="Q528" i="22"/>
  <c r="Q512" i="22"/>
  <c r="Q532" i="22"/>
  <c r="Q521" i="22"/>
  <c r="Q518" i="22"/>
  <c r="Q533" i="22"/>
  <c r="Q513" i="22"/>
  <c r="Q526" i="22"/>
  <c r="Q534" i="22"/>
  <c r="Q524" i="22"/>
  <c r="Q537" i="22"/>
  <c r="Q516" i="22"/>
  <c r="Q529" i="22"/>
  <c r="N669" i="22"/>
  <c r="N653" i="22"/>
  <c r="N665" i="22"/>
  <c r="N668" i="22"/>
  <c r="N662" i="22"/>
  <c r="N660" i="22"/>
  <c r="N670" i="22"/>
  <c r="N658" i="22"/>
  <c r="N667" i="22"/>
  <c r="N664" i="22"/>
  <c r="N765" i="22"/>
  <c r="N766" i="22"/>
  <c r="N767" i="22"/>
  <c r="N769" i="22"/>
  <c r="N768" i="22"/>
  <c r="N760" i="22"/>
  <c r="N762" i="22"/>
  <c r="N764" i="22"/>
  <c r="N770" i="22"/>
  <c r="N763" i="22"/>
  <c r="N761" i="22"/>
  <c r="N182" i="22"/>
  <c r="N174" i="22"/>
  <c r="N181" i="22"/>
  <c r="P622" i="22"/>
  <c r="AD622" i="22"/>
  <c r="P617" i="22"/>
  <c r="AD617" i="22"/>
  <c r="P712" i="22"/>
  <c r="AD712" i="22"/>
  <c r="P717" i="22"/>
  <c r="AD717" i="22"/>
  <c r="P658" i="22"/>
  <c r="AD658" i="22"/>
  <c r="P582" i="22"/>
  <c r="AD582" i="22"/>
  <c r="P586" i="22"/>
  <c r="AD586" i="22"/>
  <c r="P573" i="22"/>
  <c r="AD573" i="22"/>
  <c r="P588" i="22"/>
  <c r="AD588" i="22"/>
  <c r="P575" i="22"/>
  <c r="AD575" i="22"/>
  <c r="P815" i="22"/>
  <c r="AD815" i="22"/>
  <c r="P345" i="22"/>
  <c r="AD345" i="22"/>
  <c r="P762" i="22"/>
  <c r="AD762" i="22"/>
  <c r="P766" i="22"/>
  <c r="AD766" i="22"/>
  <c r="P672" i="22"/>
  <c r="AD672" i="22"/>
  <c r="P684" i="22"/>
  <c r="AD684" i="22"/>
  <c r="P195" i="22"/>
  <c r="AD195" i="22"/>
  <c r="P177" i="22"/>
  <c r="AD177" i="22"/>
  <c r="P166" i="22"/>
  <c r="AD166" i="22"/>
  <c r="Q462" i="22"/>
  <c r="Q457" i="22"/>
  <c r="P583" i="22"/>
  <c r="AD583" i="22"/>
  <c r="P172" i="22"/>
  <c r="AD172" i="22"/>
  <c r="N717" i="22"/>
  <c r="N713" i="22"/>
  <c r="N716" i="22"/>
  <c r="N711" i="22"/>
  <c r="N722" i="22"/>
  <c r="N721" i="22"/>
  <c r="N710" i="22"/>
  <c r="N712" i="22"/>
  <c r="N720" i="22"/>
  <c r="N715" i="22"/>
  <c r="N719" i="22"/>
  <c r="P670" i="22"/>
  <c r="AD670" i="22"/>
  <c r="P336" i="22"/>
  <c r="AD336" i="22"/>
  <c r="P173" i="22"/>
  <c r="AD173" i="22"/>
  <c r="N810" i="22"/>
  <c r="N334" i="22"/>
  <c r="P614" i="22"/>
  <c r="AD614" i="22"/>
  <c r="P609" i="22"/>
  <c r="AD609" i="22"/>
  <c r="P719" i="22"/>
  <c r="AD719" i="22"/>
  <c r="P660" i="22"/>
  <c r="AD660" i="22"/>
  <c r="P566" i="22"/>
  <c r="AD566" i="22"/>
  <c r="P597" i="22"/>
  <c r="AD597" i="22"/>
  <c r="P589" i="22"/>
  <c r="AD589" i="22"/>
  <c r="P593" i="22"/>
  <c r="AD593" i="22"/>
  <c r="P608" i="22"/>
  <c r="AD608" i="22"/>
  <c r="P289" i="22"/>
  <c r="AD289" i="22"/>
  <c r="P341" i="22"/>
  <c r="AD341" i="22"/>
  <c r="P760" i="22"/>
  <c r="AD760" i="22"/>
  <c r="P765" i="22"/>
  <c r="AD765" i="22"/>
  <c r="P675" i="22"/>
  <c r="AD675" i="22"/>
  <c r="P674" i="22"/>
  <c r="AD674" i="22"/>
  <c r="P778" i="22"/>
  <c r="AD778" i="22"/>
  <c r="P171" i="22"/>
  <c r="AD171" i="22"/>
  <c r="P168" i="22"/>
  <c r="AD168" i="22"/>
  <c r="P784" i="22"/>
  <c r="AD784" i="22"/>
  <c r="P716" i="22"/>
  <c r="AD716" i="22"/>
  <c r="P606" i="22"/>
  <c r="AD606" i="22"/>
  <c r="P678" i="22"/>
  <c r="AD678" i="22"/>
  <c r="P612" i="22"/>
  <c r="AD612" i="22"/>
  <c r="P711" i="22"/>
  <c r="AD711" i="22"/>
  <c r="P603" i="22"/>
  <c r="AD603" i="22"/>
  <c r="P764" i="22"/>
  <c r="AD764" i="22"/>
  <c r="P676" i="22"/>
  <c r="AD676" i="22"/>
  <c r="Q268" i="22"/>
  <c r="Q269" i="22"/>
  <c r="Q273" i="22"/>
  <c r="Q274" i="22"/>
  <c r="Q275" i="22"/>
  <c r="Q271" i="22"/>
  <c r="Q809" i="22"/>
  <c r="AA456" i="22"/>
  <c r="AA453" i="22"/>
  <c r="P613" i="22"/>
  <c r="AD613" i="22"/>
  <c r="P615" i="22"/>
  <c r="AD615" i="22"/>
  <c r="P721" i="22"/>
  <c r="AD721" i="22"/>
  <c r="P662" i="22"/>
  <c r="AD662" i="22"/>
  <c r="P579" i="22"/>
  <c r="AD579" i="22"/>
  <c r="P605" i="22"/>
  <c r="AD605" i="22"/>
  <c r="P604" i="22"/>
  <c r="AD604" i="22"/>
  <c r="P569" i="22"/>
  <c r="AD569" i="22"/>
  <c r="P607" i="22"/>
  <c r="AD607" i="22"/>
  <c r="P339" i="22"/>
  <c r="AD339" i="22"/>
  <c r="P340" i="22"/>
  <c r="AD340" i="22"/>
  <c r="P763" i="22"/>
  <c r="AD763" i="22"/>
  <c r="P679" i="22"/>
  <c r="AD679" i="22"/>
  <c r="P673" i="22"/>
  <c r="AD673" i="22"/>
  <c r="P197" i="22"/>
  <c r="AD197" i="22"/>
  <c r="P744" i="22"/>
  <c r="AD744" i="22"/>
  <c r="P179" i="22"/>
  <c r="AD179" i="22"/>
  <c r="P667" i="22"/>
  <c r="AD667" i="22"/>
  <c r="P568" i="22"/>
  <c r="AD568" i="22"/>
  <c r="P577" i="22"/>
  <c r="AD577" i="22"/>
  <c r="P661" i="22"/>
  <c r="AD661" i="22"/>
  <c r="N757" i="22"/>
  <c r="N741" i="22"/>
  <c r="N750" i="22"/>
  <c r="N756" i="22"/>
  <c r="N755" i="22"/>
  <c r="N752" i="22"/>
  <c r="N748" i="22"/>
  <c r="N759" i="22"/>
  <c r="N751" i="22"/>
  <c r="N753" i="22"/>
  <c r="N754" i="22"/>
  <c r="N745" i="22"/>
  <c r="N746" i="22"/>
  <c r="N743" i="22"/>
  <c r="N747" i="22"/>
  <c r="N289" i="22"/>
  <c r="N815" i="22"/>
  <c r="Q130" i="22"/>
  <c r="Q774" i="22"/>
  <c r="Q127" i="22"/>
  <c r="Q123" i="22"/>
  <c r="Q129" i="22"/>
  <c r="Q126" i="22"/>
  <c r="Q124" i="22"/>
  <c r="Q122" i="22"/>
  <c r="Q128" i="22"/>
  <c r="Q125" i="22"/>
  <c r="Q686" i="22"/>
  <c r="Q689" i="22"/>
  <c r="Q687" i="22"/>
  <c r="Q688" i="22"/>
  <c r="N812" i="22"/>
  <c r="N844" i="22"/>
  <c r="N811" i="22"/>
  <c r="N749" i="22"/>
  <c r="N740" i="22"/>
  <c r="N742" i="22"/>
  <c r="N744" i="22"/>
  <c r="N168" i="22"/>
  <c r="N176" i="22"/>
  <c r="N166" i="22"/>
  <c r="N178" i="22"/>
  <c r="N171" i="22"/>
  <c r="N170" i="22"/>
  <c r="N179" i="22"/>
  <c r="N172" i="22"/>
  <c r="N180" i="22"/>
  <c r="N167" i="22"/>
  <c r="N175" i="22"/>
  <c r="N169" i="22"/>
  <c r="N177" i="22"/>
  <c r="N165" i="22"/>
  <c r="N173" i="22"/>
  <c r="P611" i="22"/>
  <c r="AD611" i="22"/>
  <c r="P616" i="22"/>
  <c r="AD616" i="22"/>
  <c r="P710" i="22"/>
  <c r="AD710" i="22"/>
  <c r="P668" i="22"/>
  <c r="AD668" i="22"/>
  <c r="P594" i="22"/>
  <c r="AD594" i="22"/>
  <c r="P571" i="22"/>
  <c r="AD571" i="22"/>
  <c r="P585" i="22"/>
  <c r="AD585" i="22"/>
  <c r="P580" i="22"/>
  <c r="AD580" i="22"/>
  <c r="P591" i="22"/>
  <c r="AD591" i="22"/>
  <c r="P338" i="22"/>
  <c r="AD338" i="22"/>
  <c r="P761" i="22"/>
  <c r="AD761" i="22"/>
  <c r="P683" i="22"/>
  <c r="AD683" i="22"/>
  <c r="P681" i="22"/>
  <c r="AD681" i="22"/>
  <c r="P182" i="22"/>
  <c r="AD182" i="22"/>
  <c r="P813" i="22"/>
  <c r="AD813" i="22"/>
  <c r="P742" i="22"/>
  <c r="AD742" i="22"/>
  <c r="P167" i="22"/>
  <c r="AD167" i="22"/>
  <c r="P170" i="22"/>
  <c r="AD170" i="22"/>
  <c r="P610" i="22"/>
  <c r="AD610" i="22"/>
  <c r="P578" i="22"/>
  <c r="AD578" i="22"/>
  <c r="P768" i="22"/>
  <c r="AD768" i="22"/>
  <c r="P165" i="22"/>
  <c r="AD165" i="22"/>
  <c r="P618" i="22"/>
  <c r="AD618" i="22"/>
  <c r="P570" i="22"/>
  <c r="AD570" i="22"/>
  <c r="P769" i="22"/>
  <c r="AD769" i="22"/>
  <c r="P621" i="22"/>
  <c r="AD621" i="22"/>
  <c r="P722" i="22"/>
  <c r="AD722" i="22"/>
  <c r="P665" i="22"/>
  <c r="AD665" i="22"/>
  <c r="P590" i="22"/>
  <c r="AD590" i="22"/>
  <c r="P602" i="22"/>
  <c r="AD602" i="22"/>
  <c r="P587" i="22"/>
  <c r="AD587" i="22"/>
  <c r="P572" i="22"/>
  <c r="AD572" i="22"/>
  <c r="P584" i="22"/>
  <c r="AD584" i="22"/>
  <c r="P567" i="22"/>
  <c r="AD567" i="22"/>
  <c r="P337" i="22"/>
  <c r="AD337" i="22"/>
  <c r="P770" i="22"/>
  <c r="AD770" i="22"/>
  <c r="P680" i="22"/>
  <c r="AD680" i="22"/>
  <c r="P685" i="22"/>
  <c r="AD685" i="22"/>
  <c r="P181" i="22"/>
  <c r="AD181" i="22"/>
  <c r="P196" i="22"/>
  <c r="AD196" i="22"/>
  <c r="P740" i="22"/>
  <c r="AD740" i="22"/>
  <c r="P169" i="22"/>
  <c r="AD169" i="22"/>
  <c r="P178" i="22"/>
  <c r="AD178" i="22"/>
  <c r="N575" i="22"/>
  <c r="N607" i="22"/>
  <c r="N600" i="22"/>
  <c r="N567" i="22"/>
  <c r="N583" i="22"/>
  <c r="N608" i="22"/>
  <c r="N576" i="22"/>
  <c r="N584" i="22"/>
  <c r="N592" i="22"/>
  <c r="N599" i="22"/>
  <c r="N591" i="22"/>
  <c r="N568" i="22"/>
  <c r="N588" i="22"/>
  <c r="N585" i="22"/>
  <c r="N596" i="22"/>
  <c r="N601" i="22"/>
  <c r="N572" i="22"/>
  <c r="N604" i="22"/>
  <c r="N577" i="22"/>
  <c r="N569" i="22"/>
  <c r="N593" i="22"/>
  <c r="N580" i="22"/>
  <c r="N602" i="22"/>
  <c r="N594" i="22"/>
  <c r="N565" i="22"/>
  <c r="N570" i="22"/>
  <c r="N578" i="22"/>
  <c r="N579" i="22"/>
  <c r="N597" i="22"/>
  <c r="N589" i="22"/>
  <c r="N603" i="22"/>
  <c r="N595" i="22"/>
  <c r="N587" i="22"/>
  <c r="N571" i="22"/>
  <c r="N573" i="22"/>
  <c r="N581" i="22"/>
  <c r="N605" i="22"/>
  <c r="N586" i="22"/>
  <c r="N582" i="22"/>
  <c r="N574" i="22"/>
  <c r="N606" i="22"/>
  <c r="N598" i="22"/>
  <c r="N590" i="22"/>
  <c r="N566" i="22"/>
  <c r="P620" i="22"/>
  <c r="AD620" i="22"/>
  <c r="P720" i="22"/>
  <c r="AD720" i="22"/>
  <c r="P669" i="22"/>
  <c r="AD669" i="22"/>
  <c r="P596" i="22"/>
  <c r="AD596" i="22"/>
  <c r="P657" i="22"/>
  <c r="AD657" i="22"/>
  <c r="P718" i="22"/>
  <c r="AD718" i="22"/>
  <c r="P715" i="22"/>
  <c r="AD715" i="22"/>
  <c r="P599" i="22"/>
  <c r="AD599" i="22"/>
  <c r="P714" i="22"/>
  <c r="AD714" i="22"/>
  <c r="N198" i="22"/>
  <c r="N196" i="22"/>
  <c r="N197" i="22"/>
  <c r="N778" i="22"/>
  <c r="N813" i="22"/>
  <c r="N195" i="22"/>
  <c r="N616" i="22"/>
  <c r="N609" i="22"/>
  <c r="N612" i="22"/>
  <c r="N615" i="22"/>
  <c r="N617" i="22"/>
  <c r="N611" i="22"/>
  <c r="N621" i="22"/>
  <c r="N613" i="22"/>
  <c r="N619" i="22"/>
  <c r="N620" i="22"/>
  <c r="N614" i="22"/>
  <c r="N618" i="22"/>
  <c r="N610" i="22"/>
  <c r="N622" i="22"/>
  <c r="Q328" i="22"/>
  <c r="Q325" i="22"/>
  <c r="Q329" i="22"/>
  <c r="Q330" i="22"/>
  <c r="Q324" i="22"/>
  <c r="Q323" i="22"/>
  <c r="Q331" i="22"/>
  <c r="Q327" i="22"/>
  <c r="Q326" i="22"/>
  <c r="Q296" i="22"/>
  <c r="Q291" i="22"/>
  <c r="Q294" i="22"/>
  <c r="Q297" i="22"/>
  <c r="Q299" i="22"/>
  <c r="Q293" i="22"/>
  <c r="Q300" i="22"/>
  <c r="Q292" i="22"/>
  <c r="Q298" i="22"/>
  <c r="Q295" i="22"/>
  <c r="N341" i="22"/>
  <c r="N340" i="22"/>
  <c r="N345" i="22"/>
  <c r="N344" i="22"/>
  <c r="N336" i="22"/>
  <c r="N342" i="22"/>
  <c r="N338" i="22"/>
  <c r="N337" i="22"/>
  <c r="N339" i="22"/>
  <c r="N718" i="22"/>
  <c r="N714" i="22"/>
  <c r="N661" i="22"/>
  <c r="N657" i="22"/>
  <c r="P619" i="22"/>
  <c r="AD619" i="22"/>
  <c r="P713" i="22"/>
  <c r="AD713" i="22"/>
  <c r="P664" i="22"/>
  <c r="AD664" i="22"/>
  <c r="P653" i="22"/>
  <c r="AD653" i="22"/>
  <c r="P598" i="22"/>
  <c r="AD598" i="22"/>
  <c r="P565" i="22"/>
  <c r="AD565" i="22"/>
  <c r="P581" i="22"/>
  <c r="AD581" i="22"/>
  <c r="P601" i="22"/>
  <c r="AD601" i="22"/>
  <c r="P592" i="22"/>
  <c r="AD592" i="22"/>
  <c r="P576" i="22"/>
  <c r="AD576" i="22"/>
  <c r="P344" i="22"/>
  <c r="AD344" i="22"/>
  <c r="P767" i="22"/>
  <c r="AD767" i="22"/>
  <c r="P682" i="22"/>
  <c r="AD682" i="22"/>
  <c r="P677" i="22"/>
  <c r="AD677" i="22"/>
  <c r="P334" i="22"/>
  <c r="AD334" i="22"/>
  <c r="P174" i="22"/>
  <c r="AD174" i="22"/>
  <c r="P198" i="22"/>
  <c r="AD198" i="22"/>
  <c r="P749" i="22"/>
  <c r="AD749" i="22"/>
  <c r="P175" i="22"/>
  <c r="AD175" i="22"/>
  <c r="P180" i="22"/>
  <c r="AD180" i="22"/>
  <c r="AD742" i="17"/>
  <c r="N249" i="17"/>
  <c r="N742" i="17"/>
  <c r="AD249" i="17"/>
  <c r="Q558" i="17"/>
  <c r="P558" i="17" s="1"/>
  <c r="Q187" i="17"/>
  <c r="Q183" i="17"/>
  <c r="Q901" i="17"/>
  <c r="Q179" i="17"/>
  <c r="Q180" i="17"/>
  <c r="Q184" i="17"/>
  <c r="Q182" i="17"/>
  <c r="Q185" i="17"/>
  <c r="Q181" i="17"/>
  <c r="Q178" i="17"/>
  <c r="Q177" i="17"/>
  <c r="Q186" i="17"/>
  <c r="Q781" i="17"/>
  <c r="Q782" i="17"/>
  <c r="Q778" i="17"/>
  <c r="Q780" i="17"/>
  <c r="N246" i="17"/>
  <c r="N245" i="17"/>
  <c r="P665" i="17"/>
  <c r="AD665" i="17"/>
  <c r="P811" i="17"/>
  <c r="AD811" i="17"/>
  <c r="P776" i="17"/>
  <c r="AD776" i="17"/>
  <c r="P876" i="17"/>
  <c r="AD876" i="17"/>
  <c r="Q477" i="17"/>
  <c r="Q480" i="17"/>
  <c r="Q484" i="17"/>
  <c r="Q476" i="17"/>
  <c r="Q482" i="17"/>
  <c r="Q474" i="17"/>
  <c r="Q491" i="17"/>
  <c r="Q478" i="17"/>
  <c r="Q488" i="17"/>
  <c r="Q490" i="17"/>
  <c r="Q489" i="17"/>
  <c r="Q479" i="17"/>
  <c r="Q486" i="17"/>
  <c r="Q483" i="17"/>
  <c r="Q485" i="17"/>
  <c r="Q481" i="17"/>
  <c r="Q475" i="17"/>
  <c r="Q487" i="17"/>
  <c r="N382" i="17"/>
  <c r="N385" i="17"/>
  <c r="N384" i="17"/>
  <c r="N381" i="17"/>
  <c r="N380" i="17"/>
  <c r="N383" i="17"/>
  <c r="N692" i="17"/>
  <c r="N906" i="17"/>
  <c r="N705" i="17"/>
  <c r="N905" i="17"/>
  <c r="N688" i="17"/>
  <c r="N660" i="17"/>
  <c r="N669" i="17"/>
  <c r="N673" i="17"/>
  <c r="N668" i="17"/>
  <c r="N677" i="17"/>
  <c r="N661" i="17"/>
  <c r="N662" i="17"/>
  <c r="N676" i="17"/>
  <c r="N674" i="17"/>
  <c r="N666" i="17"/>
  <c r="N664" i="17"/>
  <c r="N663" i="17"/>
  <c r="N667" i="17"/>
  <c r="N665" i="17"/>
  <c r="N670" i="17"/>
  <c r="N675" i="17"/>
  <c r="N672" i="17"/>
  <c r="N671" i="17"/>
  <c r="P852" i="17"/>
  <c r="AD852" i="17"/>
  <c r="P846" i="17"/>
  <c r="AD846" i="17"/>
  <c r="P670" i="17"/>
  <c r="AD670" i="17"/>
  <c r="P663" i="17"/>
  <c r="AD663" i="17"/>
  <c r="P660" i="17"/>
  <c r="AD660" i="17"/>
  <c r="P815" i="17"/>
  <c r="AD815" i="17"/>
  <c r="P810" i="17"/>
  <c r="AD810" i="17"/>
  <c r="P793" i="17"/>
  <c r="AD793" i="17"/>
  <c r="P749" i="17"/>
  <c r="AD749" i="17"/>
  <c r="P759" i="17"/>
  <c r="AD759" i="17"/>
  <c r="P767" i="17"/>
  <c r="AD767" i="17"/>
  <c r="P766" i="17"/>
  <c r="AD766" i="17"/>
  <c r="P657" i="17"/>
  <c r="AD657" i="17"/>
  <c r="P384" i="17"/>
  <c r="AD384" i="17"/>
  <c r="P334" i="17"/>
  <c r="AD334" i="17"/>
  <c r="P326" i="17"/>
  <c r="AD326" i="17"/>
  <c r="P861" i="17"/>
  <c r="AD861" i="17"/>
  <c r="P839" i="17"/>
  <c r="AD839" i="17"/>
  <c r="P869" i="17"/>
  <c r="AD869" i="17"/>
  <c r="Q421" i="17"/>
  <c r="Q420" i="17"/>
  <c r="Q424" i="17"/>
  <c r="Q425" i="17"/>
  <c r="Q375" i="17"/>
  <c r="Q378" i="17"/>
  <c r="Q364" i="17"/>
  <c r="Q363" i="17"/>
  <c r="Q372" i="17"/>
  <c r="Q369" i="17"/>
  <c r="Q367" i="17"/>
  <c r="Q365" i="17"/>
  <c r="Q377" i="17"/>
  <c r="Q368" i="17"/>
  <c r="Q366" i="17"/>
  <c r="Q373" i="17"/>
  <c r="Q379" i="17"/>
  <c r="Q374" i="17"/>
  <c r="Q371" i="17"/>
  <c r="Q376" i="17"/>
  <c r="Q362" i="17"/>
  <c r="Q370" i="17"/>
  <c r="P874" i="17"/>
  <c r="AD874" i="17"/>
  <c r="N431" i="17"/>
  <c r="N429" i="17"/>
  <c r="N432" i="17"/>
  <c r="N430" i="17"/>
  <c r="P245" i="17"/>
  <c r="AD245" i="17"/>
  <c r="P843" i="17"/>
  <c r="AD843" i="17"/>
  <c r="P905" i="17"/>
  <c r="AD905" i="17"/>
  <c r="P675" i="17"/>
  <c r="AD675" i="17"/>
  <c r="P664" i="17"/>
  <c r="AD664" i="17"/>
  <c r="P802" i="17"/>
  <c r="AD802" i="17"/>
  <c r="P814" i="17"/>
  <c r="AD814" i="17"/>
  <c r="P805" i="17"/>
  <c r="AD805" i="17"/>
  <c r="P758" i="17"/>
  <c r="AD758" i="17"/>
  <c r="P768" i="17"/>
  <c r="AD768" i="17"/>
  <c r="P774" i="17"/>
  <c r="AD774" i="17"/>
  <c r="P655" i="17"/>
  <c r="AD655" i="17"/>
  <c r="P382" i="17"/>
  <c r="AD382" i="17"/>
  <c r="P333" i="17"/>
  <c r="AD333" i="17"/>
  <c r="P429" i="17"/>
  <c r="AD429" i="17"/>
  <c r="P866" i="17"/>
  <c r="AD866" i="17"/>
  <c r="P803" i="17"/>
  <c r="AD803" i="17"/>
  <c r="P760" i="17"/>
  <c r="AD760" i="17"/>
  <c r="Q14" i="17"/>
  <c r="Q22" i="17"/>
  <c r="Q15" i="17"/>
  <c r="Q35" i="17"/>
  <c r="Q31" i="17"/>
  <c r="Q23" i="17"/>
  <c r="Q21" i="17"/>
  <c r="Q10" i="17"/>
  <c r="Q32" i="17"/>
  <c r="Q11" i="17"/>
  <c r="Q893" i="17"/>
  <c r="Q902" i="17"/>
  <c r="Q17" i="17"/>
  <c r="Q18" i="17"/>
  <c r="Q38" i="17"/>
  <c r="Q28" i="17"/>
  <c r="Q13" i="17"/>
  <c r="Q40" i="17"/>
  <c r="Q20" i="17"/>
  <c r="Q12" i="17"/>
  <c r="Q16" i="17"/>
  <c r="Q36" i="17"/>
  <c r="Q9" i="17"/>
  <c r="Q24" i="17"/>
  <c r="Q39" i="17"/>
  <c r="Q37" i="17"/>
  <c r="Q34" i="17"/>
  <c r="Q25" i="17"/>
  <c r="Q33" i="17"/>
  <c r="Q30" i="17"/>
  <c r="Q19" i="17"/>
  <c r="Q29" i="17"/>
  <c r="Q26" i="17"/>
  <c r="N656" i="17"/>
  <c r="N658" i="17"/>
  <c r="N657" i="17"/>
  <c r="N655" i="17"/>
  <c r="N659" i="17"/>
  <c r="P246" i="17"/>
  <c r="AD246" i="17"/>
  <c r="P853" i="17"/>
  <c r="AD853" i="17"/>
  <c r="P688" i="17"/>
  <c r="AD688" i="17"/>
  <c r="P667" i="17"/>
  <c r="AD667" i="17"/>
  <c r="P674" i="17"/>
  <c r="AD674" i="17"/>
  <c r="P798" i="17"/>
  <c r="AD798" i="17"/>
  <c r="P806" i="17"/>
  <c r="AD806" i="17"/>
  <c r="P801" i="17"/>
  <c r="AD801" i="17"/>
  <c r="P750" i="17"/>
  <c r="AD750" i="17"/>
  <c r="P764" i="17"/>
  <c r="AD764" i="17"/>
  <c r="P769" i="17"/>
  <c r="AD769" i="17"/>
  <c r="P656" i="17"/>
  <c r="AD656" i="17"/>
  <c r="P422" i="17"/>
  <c r="AD422" i="17"/>
  <c r="P325" i="17"/>
  <c r="AD325" i="17"/>
  <c r="P430" i="17"/>
  <c r="AD430" i="17"/>
  <c r="P872" i="17"/>
  <c r="AD872" i="17"/>
  <c r="P865" i="17"/>
  <c r="AD865" i="17"/>
  <c r="P676" i="17"/>
  <c r="AD676" i="17"/>
  <c r="P385" i="17"/>
  <c r="AD385" i="17"/>
  <c r="Q443" i="17"/>
  <c r="Q456" i="17"/>
  <c r="Q448" i="17"/>
  <c r="Q440" i="17"/>
  <c r="Q452" i="17"/>
  <c r="Q453" i="17"/>
  <c r="Q904" i="17"/>
  <c r="Q435" i="17"/>
  <c r="Q454" i="17"/>
  <c r="Q436" i="17"/>
  <c r="Q439" i="17"/>
  <c r="Q442" i="17"/>
  <c r="Q459" i="17"/>
  <c r="Q455" i="17"/>
  <c r="Q446" i="17"/>
  <c r="Q438" i="17"/>
  <c r="Q449" i="17"/>
  <c r="Q437" i="17"/>
  <c r="N797" i="17"/>
  <c r="N817" i="17"/>
  <c r="N793" i="17"/>
  <c r="N813" i="17"/>
  <c r="N805" i="17"/>
  <c r="N801" i="17"/>
  <c r="N796" i="17"/>
  <c r="N812" i="17"/>
  <c r="N809" i="17"/>
  <c r="N814" i="17"/>
  <c r="N811" i="17"/>
  <c r="N790" i="17"/>
  <c r="N810" i="17"/>
  <c r="N802" i="17"/>
  <c r="N798" i="17"/>
  <c r="N818" i="17"/>
  <c r="N794" i="17"/>
  <c r="N806" i="17"/>
  <c r="N799" i="17"/>
  <c r="N808" i="17"/>
  <c r="N815" i="17"/>
  <c r="N803" i="17"/>
  <c r="N792" i="17"/>
  <c r="N800" i="17"/>
  <c r="N816" i="17"/>
  <c r="N916" i="17"/>
  <c r="N890" i="17"/>
  <c r="N917" i="17"/>
  <c r="N891" i="17"/>
  <c r="P837" i="17"/>
  <c r="AD837" i="17"/>
  <c r="P705" i="17"/>
  <c r="AD705" i="17"/>
  <c r="P671" i="17"/>
  <c r="AD671" i="17"/>
  <c r="P668" i="17"/>
  <c r="AD668" i="17"/>
  <c r="P808" i="17"/>
  <c r="AD808" i="17"/>
  <c r="P818" i="17"/>
  <c r="AD818" i="17"/>
  <c r="P812" i="17"/>
  <c r="AD812" i="17"/>
  <c r="P813" i="17"/>
  <c r="AD813" i="17"/>
  <c r="P757" i="17"/>
  <c r="AD757" i="17"/>
  <c r="P754" i="17"/>
  <c r="AD754" i="17"/>
  <c r="P763" i="17"/>
  <c r="AD763" i="17"/>
  <c r="P772" i="17"/>
  <c r="AD772" i="17"/>
  <c r="P658" i="17"/>
  <c r="AD658" i="17"/>
  <c r="P423" i="17"/>
  <c r="AD423" i="17"/>
  <c r="P328" i="17"/>
  <c r="AD328" i="17"/>
  <c r="P432" i="17"/>
  <c r="AD432" i="17"/>
  <c r="P864" i="17"/>
  <c r="AD864" i="17"/>
  <c r="P870" i="17"/>
  <c r="AD870" i="17"/>
  <c r="N894" i="17"/>
  <c r="N895" i="17"/>
  <c r="N885" i="17"/>
  <c r="N884" i="17"/>
  <c r="P669" i="17"/>
  <c r="AD669" i="17"/>
  <c r="P797" i="17"/>
  <c r="AD797" i="17"/>
  <c r="P331" i="17"/>
  <c r="AD331" i="17"/>
  <c r="Q613" i="17"/>
  <c r="Q620" i="17"/>
  <c r="Q605" i="17"/>
  <c r="Q621" i="17"/>
  <c r="Q618" i="17"/>
  <c r="Q610" i="17"/>
  <c r="Q626" i="17"/>
  <c r="Q625" i="17"/>
  <c r="Q623" i="17"/>
  <c r="Q615" i="17"/>
  <c r="Q607" i="17"/>
  <c r="Q606" i="17"/>
  <c r="Q617" i="17"/>
  <c r="Q604" i="17"/>
  <c r="Q611" i="17"/>
  <c r="Q608" i="17"/>
  <c r="Q619" i="17"/>
  <c r="Q612" i="17"/>
  <c r="Q609" i="17"/>
  <c r="Q614" i="17"/>
  <c r="Q622" i="17"/>
  <c r="Q624" i="17"/>
  <c r="Q910" i="17"/>
  <c r="Q616" i="17"/>
  <c r="Q627" i="17"/>
  <c r="N759" i="17"/>
  <c r="N756" i="17"/>
  <c r="N760" i="17"/>
  <c r="N746" i="17"/>
  <c r="N747" i="17"/>
  <c r="N750" i="17"/>
  <c r="N749" i="17"/>
  <c r="N754" i="17"/>
  <c r="N757" i="17"/>
  <c r="N736" i="17"/>
  <c r="N745" i="17"/>
  <c r="N758" i="17"/>
  <c r="N737" i="17"/>
  <c r="N755" i="17"/>
  <c r="N863" i="17"/>
  <c r="N871" i="17"/>
  <c r="N865" i="17"/>
  <c r="N870" i="17"/>
  <c r="N862" i="17"/>
  <c r="N873" i="17"/>
  <c r="N869" i="17"/>
  <c r="N866" i="17"/>
  <c r="N861" i="17"/>
  <c r="N868" i="17"/>
  <c r="N864" i="17"/>
  <c r="N872" i="17"/>
  <c r="N867" i="17"/>
  <c r="P857" i="17"/>
  <c r="AD857" i="17"/>
  <c r="P906" i="17"/>
  <c r="AD906" i="17"/>
  <c r="P672" i="17"/>
  <c r="AD672" i="17"/>
  <c r="P661" i="17"/>
  <c r="AD661" i="17"/>
  <c r="P816" i="17"/>
  <c r="AD816" i="17"/>
  <c r="P794" i="17"/>
  <c r="AD794" i="17"/>
  <c r="P796" i="17"/>
  <c r="AD796" i="17"/>
  <c r="P747" i="17"/>
  <c r="AD747" i="17"/>
  <c r="P736" i="17"/>
  <c r="AD736" i="17"/>
  <c r="P762" i="17"/>
  <c r="AD762" i="17"/>
  <c r="P773" i="17"/>
  <c r="AD773" i="17"/>
  <c r="P380" i="17"/>
  <c r="AD380" i="17"/>
  <c r="P426" i="17"/>
  <c r="AD426" i="17"/>
  <c r="P335" i="17"/>
  <c r="AD335" i="17"/>
  <c r="P431" i="17"/>
  <c r="AD431" i="17"/>
  <c r="P868" i="17"/>
  <c r="AD868" i="17"/>
  <c r="P862" i="17"/>
  <c r="AD862" i="17"/>
  <c r="Q306" i="17"/>
  <c r="Q308" i="17"/>
  <c r="Q307" i="17"/>
  <c r="Q304" i="17"/>
  <c r="P835" i="17"/>
  <c r="AD835" i="17"/>
  <c r="P332" i="17"/>
  <c r="AD332" i="17"/>
  <c r="Q100" i="17"/>
  <c r="Q95" i="17"/>
  <c r="Q92" i="17"/>
  <c r="Q81" i="17"/>
  <c r="Q104" i="17"/>
  <c r="Q85" i="17"/>
  <c r="Q94" i="17"/>
  <c r="Q105" i="17"/>
  <c r="Q86" i="17"/>
  <c r="Q103" i="17"/>
  <c r="Q877" i="17"/>
  <c r="Q87" i="17"/>
  <c r="Q98" i="17"/>
  <c r="Q84" i="17"/>
  <c r="Q102" i="17"/>
  <c r="Q80" i="17"/>
  <c r="Q83" i="17"/>
  <c r="Q96" i="17"/>
  <c r="Q79" i="17"/>
  <c r="Q82" i="17"/>
  <c r="Q89" i="17"/>
  <c r="Q90" i="17"/>
  <c r="Q101" i="17"/>
  <c r="Q91" i="17"/>
  <c r="Q88" i="17"/>
  <c r="Q93" i="17"/>
  <c r="Q97" i="17"/>
  <c r="Q99" i="17"/>
  <c r="N426" i="17"/>
  <c r="N422" i="17"/>
  <c r="N423" i="17"/>
  <c r="P847" i="17"/>
  <c r="AD847" i="17"/>
  <c r="P692" i="17"/>
  <c r="AD692" i="17"/>
  <c r="P666" i="17"/>
  <c r="AD666" i="17"/>
  <c r="P673" i="17"/>
  <c r="AD673" i="17"/>
  <c r="P800" i="17"/>
  <c r="AD800" i="17"/>
  <c r="P790" i="17"/>
  <c r="AD790" i="17"/>
  <c r="P809" i="17"/>
  <c r="AD809" i="17"/>
  <c r="P755" i="17"/>
  <c r="AD755" i="17"/>
  <c r="P746" i="17"/>
  <c r="AD746" i="17"/>
  <c r="P771" i="17"/>
  <c r="AD771" i="17"/>
  <c r="P761" i="17"/>
  <c r="AD761" i="17"/>
  <c r="P383" i="17"/>
  <c r="AD383" i="17"/>
  <c r="P330" i="17"/>
  <c r="AD330" i="17"/>
  <c r="P329" i="17"/>
  <c r="AD329" i="17"/>
  <c r="P867" i="17"/>
  <c r="AD867" i="17"/>
  <c r="P863" i="17"/>
  <c r="AD863" i="17"/>
  <c r="N847" i="17"/>
  <c r="N846" i="17"/>
  <c r="N855" i="17"/>
  <c r="N839" i="17"/>
  <c r="N857" i="17"/>
  <c r="N853" i="17"/>
  <c r="N837" i="17"/>
  <c r="N843" i="17"/>
  <c r="N852" i="17"/>
  <c r="N835" i="17"/>
  <c r="N844" i="17"/>
  <c r="P745" i="17"/>
  <c r="AD745" i="17"/>
  <c r="P775" i="17"/>
  <c r="AD775" i="17"/>
  <c r="P659" i="17"/>
  <c r="AD659" i="17"/>
  <c r="Q299" i="17"/>
  <c r="Q305" i="17"/>
  <c r="Q300" i="17"/>
  <c r="Q303" i="17"/>
  <c r="Q301" i="17"/>
  <c r="P78" i="17"/>
  <c r="AD78" i="17"/>
  <c r="N833" i="17"/>
  <c r="N838" i="17"/>
  <c r="N841" i="17"/>
  <c r="N849" i="17"/>
  <c r="N845" i="17"/>
  <c r="N850" i="17"/>
  <c r="N858" i="17"/>
  <c r="N834" i="17"/>
  <c r="N842" i="17"/>
  <c r="N840" i="17"/>
  <c r="N859" i="17"/>
  <c r="N836" i="17"/>
  <c r="N848" i="17"/>
  <c r="N856" i="17"/>
  <c r="N851" i="17"/>
  <c r="N929" i="17"/>
  <c r="N326" i="17"/>
  <c r="N332" i="17"/>
  <c r="N327" i="17"/>
  <c r="N329" i="17"/>
  <c r="N335" i="17"/>
  <c r="N331" i="17"/>
  <c r="N334" i="17"/>
  <c r="N333" i="17"/>
  <c r="N328" i="17"/>
  <c r="N325" i="17"/>
  <c r="N324" i="17"/>
  <c r="N330" i="17"/>
  <c r="P844" i="17"/>
  <c r="AD844" i="17"/>
  <c r="P855" i="17"/>
  <c r="AD855" i="17"/>
  <c r="P662" i="17"/>
  <c r="AD662" i="17"/>
  <c r="P677" i="17"/>
  <c r="AD677" i="17"/>
  <c r="P792" i="17"/>
  <c r="AD792" i="17"/>
  <c r="P799" i="17"/>
  <c r="AD799" i="17"/>
  <c r="P817" i="17"/>
  <c r="AD817" i="17"/>
  <c r="P737" i="17"/>
  <c r="AD737" i="17"/>
  <c r="P756" i="17"/>
  <c r="AD756" i="17"/>
  <c r="P770" i="17"/>
  <c r="AD770" i="17"/>
  <c r="AD765" i="17"/>
  <c r="P765" i="17"/>
  <c r="P381" i="17"/>
  <c r="AD381" i="17"/>
  <c r="P324" i="17"/>
  <c r="AD324" i="17"/>
  <c r="P327" i="17"/>
  <c r="AD327" i="17"/>
  <c r="P873" i="17"/>
  <c r="AD873" i="17"/>
  <c r="P871" i="17"/>
  <c r="AD871" i="17"/>
  <c r="DK132" i="6"/>
  <c r="N150" i="23" s="1"/>
  <c r="DK100" i="6"/>
  <c r="N78" i="23" s="1"/>
  <c r="DK148" i="6"/>
  <c r="DK210" i="6"/>
  <c r="DK141" i="6"/>
  <c r="DK24" i="6"/>
  <c r="DK68" i="6"/>
  <c r="DK45" i="6"/>
  <c r="DK223" i="6"/>
  <c r="DK94" i="6"/>
  <c r="DK67" i="6"/>
  <c r="DK20" i="6"/>
  <c r="N784" i="22" s="1"/>
  <c r="DK111" i="6"/>
  <c r="DK22" i="6"/>
  <c r="N874" i="17" s="1"/>
  <c r="L293" i="6"/>
  <c r="AI293" i="6" s="1"/>
  <c r="AB293" i="6" s="1"/>
  <c r="AC293" i="6" s="1"/>
  <c r="Z293" i="6"/>
  <c r="FX263" i="6"/>
  <c r="FW263" i="6"/>
  <c r="DK284" i="6"/>
  <c r="N289" i="6"/>
  <c r="J289" i="6" s="1"/>
  <c r="N288" i="6"/>
  <c r="H288" i="6" s="1"/>
  <c r="AE288" i="6" s="1"/>
  <c r="DK25" i="6"/>
  <c r="N78" i="17" s="1"/>
  <c r="AD291" i="6"/>
  <c r="AB65" i="6"/>
  <c r="EV65" i="6"/>
  <c r="AD297" i="6"/>
  <c r="AD292" i="6"/>
  <c r="AE29" i="6"/>
  <c r="AI29" i="6"/>
  <c r="AF29" i="6"/>
  <c r="AJ29" i="6"/>
  <c r="EW29" i="6" s="1"/>
  <c r="F30" i="6"/>
  <c r="AG29" i="6"/>
  <c r="ET29" i="6" s="1"/>
  <c r="AD29" i="6"/>
  <c r="L292" i="6"/>
  <c r="AI292" i="6" s="1"/>
  <c r="AF292" i="6"/>
  <c r="DK123" i="6"/>
  <c r="N876" i="17" s="1"/>
  <c r="P65" i="6"/>
  <c r="CH65" i="6" s="1"/>
  <c r="AD65" i="6"/>
  <c r="AG292" i="6"/>
  <c r="ET292" i="6" s="1"/>
  <c r="M292" i="6"/>
  <c r="AJ292" i="6" s="1"/>
  <c r="EW292" i="6" s="1"/>
  <c r="I290" i="6"/>
  <c r="N296" i="6"/>
  <c r="H290" i="6"/>
  <c r="AE290" i="6" s="1"/>
  <c r="G290" i="6"/>
  <c r="J295" i="6"/>
  <c r="I295" i="6"/>
  <c r="G295" i="6"/>
  <c r="H295" i="6"/>
  <c r="AE295" i="6" s="1"/>
  <c r="M105" i="6"/>
  <c r="AJ105" i="6" s="1"/>
  <c r="EW105" i="6" s="1"/>
  <c r="L105" i="6"/>
  <c r="AI105" i="6" s="1"/>
  <c r="J105" i="6"/>
  <c r="AG105" i="6" s="1"/>
  <c r="BG105" i="6" s="1"/>
  <c r="BT105" i="6" s="1"/>
  <c r="I105" i="6"/>
  <c r="AF105" i="6" s="1"/>
  <c r="G105" i="6"/>
  <c r="H105" i="6"/>
  <c r="AE105" i="6" s="1"/>
  <c r="AA293" i="6"/>
  <c r="ES293" i="6"/>
  <c r="M291" i="6"/>
  <c r="AJ291" i="6" s="1"/>
  <c r="EW291" i="6" s="1"/>
  <c r="AG291" i="6"/>
  <c r="ET291" i="6" s="1"/>
  <c r="AA65" i="6"/>
  <c r="AC65" i="6" s="1"/>
  <c r="ES65" i="6"/>
  <c r="AG297" i="6"/>
  <c r="M297" i="6"/>
  <c r="AJ297" i="6" s="1"/>
  <c r="Y293" i="6"/>
  <c r="EQ293" i="6"/>
  <c r="ER291" i="6"/>
  <c r="Z291" i="6"/>
  <c r="Z297" i="6"/>
  <c r="ER297" i="6"/>
  <c r="G30" i="6"/>
  <c r="P30" i="6" s="1"/>
  <c r="P29" i="6"/>
  <c r="CH29" i="6" s="1"/>
  <c r="AF291" i="6"/>
  <c r="L291" i="6"/>
  <c r="AI291" i="6" s="1"/>
  <c r="ER65" i="6"/>
  <c r="Z65" i="6"/>
  <c r="L297" i="6"/>
  <c r="AI297" i="6" s="1"/>
  <c r="AF297" i="6"/>
  <c r="Z292" i="6"/>
  <c r="ER292" i="6"/>
  <c r="P343" i="22" l="1"/>
  <c r="AD558" i="17"/>
  <c r="P49" i="23"/>
  <c r="AD49" i="23"/>
  <c r="P200" i="23"/>
  <c r="AD200" i="23"/>
  <c r="P187" i="23"/>
  <c r="AD187" i="23"/>
  <c r="P191" i="23"/>
  <c r="AD191" i="23"/>
  <c r="P50" i="23"/>
  <c r="AD50" i="23"/>
  <c r="P203" i="23"/>
  <c r="AD203" i="23"/>
  <c r="P199" i="23"/>
  <c r="AD199" i="23"/>
  <c r="P18" i="23"/>
  <c r="AD18" i="23"/>
  <c r="P192" i="23"/>
  <c r="AD192" i="23"/>
  <c r="P194" i="23"/>
  <c r="AD194" i="23"/>
  <c r="P204" i="23"/>
  <c r="AD204" i="23"/>
  <c r="N19" i="23"/>
  <c r="N18" i="23"/>
  <c r="P19" i="23"/>
  <c r="AD19" i="23"/>
  <c r="P193" i="23"/>
  <c r="AD193" i="23"/>
  <c r="P202" i="23"/>
  <c r="AD202" i="23"/>
  <c r="P52" i="23"/>
  <c r="AD52" i="23"/>
  <c r="N50" i="23"/>
  <c r="N49" i="23"/>
  <c r="N52" i="23"/>
  <c r="N51" i="23"/>
  <c r="P195" i="23"/>
  <c r="AD195" i="23"/>
  <c r="P197" i="23"/>
  <c r="AD197" i="23"/>
  <c r="P196" i="23"/>
  <c r="AD196" i="23"/>
  <c r="P190" i="23"/>
  <c r="AD190" i="23"/>
  <c r="P201" i="23"/>
  <c r="AD201" i="23"/>
  <c r="N197" i="23"/>
  <c r="N202" i="23"/>
  <c r="N201" i="23"/>
  <c r="N198" i="23"/>
  <c r="N190" i="23"/>
  <c r="N194" i="23"/>
  <c r="N193" i="23"/>
  <c r="N187" i="23"/>
  <c r="N195" i="23"/>
  <c r="N189" i="23"/>
  <c r="N191" i="23"/>
  <c r="N199" i="23"/>
  <c r="N204" i="23"/>
  <c r="N188" i="23"/>
  <c r="N192" i="23"/>
  <c r="N203" i="23"/>
  <c r="N196" i="23"/>
  <c r="N200" i="23"/>
  <c r="P51" i="23"/>
  <c r="AD51" i="23"/>
  <c r="P188" i="23"/>
  <c r="AD188" i="23"/>
  <c r="P189" i="23"/>
  <c r="AD189" i="23"/>
  <c r="P198" i="23"/>
  <c r="AD198" i="23"/>
  <c r="N343" i="22"/>
  <c r="Z456" i="22"/>
  <c r="Z453" i="22"/>
  <c r="N127" i="22"/>
  <c r="N130" i="22"/>
  <c r="N774" i="22"/>
  <c r="N123" i="22"/>
  <c r="N124" i="22"/>
  <c r="N126" i="22"/>
  <c r="N129" i="22"/>
  <c r="N125" i="22"/>
  <c r="N122" i="22"/>
  <c r="N128" i="22"/>
  <c r="P299" i="22"/>
  <c r="AD299" i="22"/>
  <c r="P327" i="22"/>
  <c r="AD327" i="22"/>
  <c r="P689" i="22"/>
  <c r="AD689" i="22"/>
  <c r="P123" i="22"/>
  <c r="AD123" i="22"/>
  <c r="P524" i="22"/>
  <c r="AD524" i="22"/>
  <c r="P512" i="22"/>
  <c r="AD512" i="22"/>
  <c r="P517" i="22"/>
  <c r="AD517" i="22"/>
  <c r="P530" i="22"/>
  <c r="AD530" i="22"/>
  <c r="P774" i="22"/>
  <c r="AD774" i="22"/>
  <c r="N268" i="22"/>
  <c r="N269" i="22"/>
  <c r="N273" i="22"/>
  <c r="N274" i="22"/>
  <c r="N275" i="22"/>
  <c r="N271" i="22"/>
  <c r="N809" i="22"/>
  <c r="P297" i="22"/>
  <c r="AD297" i="22"/>
  <c r="P331" i="22"/>
  <c r="AD331" i="22"/>
  <c r="P686" i="22"/>
  <c r="AD686" i="22"/>
  <c r="P127" i="22"/>
  <c r="AD127" i="22"/>
  <c r="P809" i="22"/>
  <c r="AD809" i="22"/>
  <c r="P534" i="22"/>
  <c r="AD534" i="22"/>
  <c r="P528" i="22"/>
  <c r="AD528" i="22"/>
  <c r="P531" i="22"/>
  <c r="AD531" i="22"/>
  <c r="AD519" i="22"/>
  <c r="P519" i="22"/>
  <c r="P295" i="22"/>
  <c r="AD295" i="22"/>
  <c r="P291" i="22"/>
  <c r="AD291" i="22"/>
  <c r="P324" i="22"/>
  <c r="AD324" i="22"/>
  <c r="P128" i="22"/>
  <c r="AD128" i="22"/>
  <c r="P130" i="22"/>
  <c r="AD130" i="22"/>
  <c r="P275" i="22"/>
  <c r="AD275" i="22"/>
  <c r="P513" i="22"/>
  <c r="AD513" i="22"/>
  <c r="P520" i="22"/>
  <c r="AD520" i="22"/>
  <c r="P514" i="22"/>
  <c r="AD514" i="22"/>
  <c r="P323" i="22"/>
  <c r="AD323" i="22"/>
  <c r="P526" i="22"/>
  <c r="AD526" i="22"/>
  <c r="N519" i="22"/>
  <c r="N535" i="22"/>
  <c r="N522" i="22"/>
  <c r="N530" i="22"/>
  <c r="N538" i="22"/>
  <c r="N531" i="22"/>
  <c r="N515" i="22"/>
  <c r="N523" i="22"/>
  <c r="N514" i="22"/>
  <c r="N520" i="22"/>
  <c r="N525" i="22"/>
  <c r="N527" i="22"/>
  <c r="N512" i="22"/>
  <c r="N803" i="22"/>
  <c r="N843" i="22"/>
  <c r="N517" i="22"/>
  <c r="N536" i="22"/>
  <c r="N528" i="22"/>
  <c r="N516" i="22"/>
  <c r="N533" i="22"/>
  <c r="N521" i="22"/>
  <c r="N537" i="22"/>
  <c r="N526" i="22"/>
  <c r="N524" i="22"/>
  <c r="N518" i="22"/>
  <c r="N529" i="22"/>
  <c r="N532" i="22"/>
  <c r="N513" i="22"/>
  <c r="N534" i="22"/>
  <c r="P298" i="22"/>
  <c r="AD298" i="22"/>
  <c r="P296" i="22"/>
  <c r="AD296" i="22"/>
  <c r="P330" i="22"/>
  <c r="AD330" i="22"/>
  <c r="P122" i="22"/>
  <c r="AD122" i="22"/>
  <c r="P274" i="22"/>
  <c r="AD274" i="22"/>
  <c r="P533" i="22"/>
  <c r="AD533" i="22"/>
  <c r="P527" i="22"/>
  <c r="AD527" i="22"/>
  <c r="P515" i="22"/>
  <c r="AD515" i="22"/>
  <c r="P294" i="22"/>
  <c r="AD294" i="22"/>
  <c r="P523" i="22"/>
  <c r="AD523" i="22"/>
  <c r="N462" i="22"/>
  <c r="N457" i="22"/>
  <c r="P292" i="22"/>
  <c r="AD292" i="22"/>
  <c r="AD814" i="22"/>
  <c r="P329" i="22"/>
  <c r="AD329" i="22"/>
  <c r="P124" i="22"/>
  <c r="AD124" i="22"/>
  <c r="P273" i="22"/>
  <c r="AD273" i="22"/>
  <c r="P457" i="22"/>
  <c r="AD457" i="22"/>
  <c r="P529" i="22"/>
  <c r="AD529" i="22"/>
  <c r="P518" i="22"/>
  <c r="AD518" i="22"/>
  <c r="P536" i="22"/>
  <c r="AD536" i="22"/>
  <c r="P522" i="22"/>
  <c r="AD522" i="22"/>
  <c r="P271" i="22"/>
  <c r="AD271" i="22"/>
  <c r="P525" i="22"/>
  <c r="AD525" i="22"/>
  <c r="Y456" i="22"/>
  <c r="Y453" i="22"/>
  <c r="N328" i="22"/>
  <c r="N325" i="22"/>
  <c r="N329" i="22"/>
  <c r="N327" i="22"/>
  <c r="N324" i="22"/>
  <c r="N326" i="22"/>
  <c r="N331" i="22"/>
  <c r="N323" i="22"/>
  <c r="N330" i="22"/>
  <c r="N296" i="22"/>
  <c r="N293" i="22"/>
  <c r="N300" i="22"/>
  <c r="N299" i="22"/>
  <c r="N297" i="22"/>
  <c r="N294" i="22"/>
  <c r="N291" i="22"/>
  <c r="N292" i="22"/>
  <c r="N295" i="22"/>
  <c r="N298" i="22"/>
  <c r="P300" i="22"/>
  <c r="AD300" i="22"/>
  <c r="AD202" i="22"/>
  <c r="P325" i="22"/>
  <c r="AD325" i="22"/>
  <c r="P688" i="22"/>
  <c r="AD688" i="22"/>
  <c r="P126" i="22"/>
  <c r="AD126" i="22"/>
  <c r="P269" i="22"/>
  <c r="AD269" i="22"/>
  <c r="P462" i="22"/>
  <c r="AD462" i="22"/>
  <c r="P516" i="22"/>
  <c r="AD516" i="22"/>
  <c r="P521" i="22"/>
  <c r="AD521" i="22"/>
  <c r="P843" i="22"/>
  <c r="AD843" i="22"/>
  <c r="P535" i="22"/>
  <c r="AD535" i="22"/>
  <c r="P125" i="22"/>
  <c r="AD125" i="22"/>
  <c r="N686" i="22"/>
  <c r="N689" i="22"/>
  <c r="N687" i="22"/>
  <c r="N688" i="22"/>
  <c r="P293" i="22"/>
  <c r="AD293" i="22"/>
  <c r="P326" i="22"/>
  <c r="AD326" i="22"/>
  <c r="P328" i="22"/>
  <c r="AD328" i="22"/>
  <c r="P687" i="22"/>
  <c r="AD687" i="22"/>
  <c r="P129" i="22"/>
  <c r="AD129" i="22"/>
  <c r="P268" i="22"/>
  <c r="AD268" i="22"/>
  <c r="P537" i="22"/>
  <c r="AD537" i="22"/>
  <c r="P532" i="22"/>
  <c r="AD532" i="22"/>
  <c r="P803" i="22"/>
  <c r="AD803" i="22"/>
  <c r="P538" i="22"/>
  <c r="AD538" i="22"/>
  <c r="N558" i="17"/>
  <c r="P85" i="17"/>
  <c r="AD85" i="17"/>
  <c r="P621" i="17"/>
  <c r="AD621" i="17"/>
  <c r="P28" i="17"/>
  <c r="AD28" i="17"/>
  <c r="P185" i="17"/>
  <c r="AD185" i="17"/>
  <c r="N183" i="17"/>
  <c r="N187" i="17"/>
  <c r="N179" i="17"/>
  <c r="N180" i="17"/>
  <c r="N184" i="17"/>
  <c r="N901" i="17"/>
  <c r="N177" i="17"/>
  <c r="N182" i="17"/>
  <c r="N181" i="17"/>
  <c r="N185" i="17"/>
  <c r="N178" i="17"/>
  <c r="N186" i="17"/>
  <c r="P301" i="17"/>
  <c r="AD301" i="17"/>
  <c r="P89" i="17"/>
  <c r="AD89" i="17"/>
  <c r="P98" i="17"/>
  <c r="AD98" i="17"/>
  <c r="P104" i="17"/>
  <c r="AD104" i="17"/>
  <c r="P609" i="17"/>
  <c r="AD609" i="17"/>
  <c r="P607" i="17"/>
  <c r="AD607" i="17"/>
  <c r="P605" i="17"/>
  <c r="AD605" i="17"/>
  <c r="P438" i="17"/>
  <c r="AD438" i="17"/>
  <c r="P435" i="17"/>
  <c r="AD435" i="17"/>
  <c r="P19" i="17"/>
  <c r="AD19" i="17"/>
  <c r="P9" i="17"/>
  <c r="AD9" i="17"/>
  <c r="P38" i="17"/>
  <c r="AD38" i="17"/>
  <c r="P21" i="17"/>
  <c r="AD21" i="17"/>
  <c r="P366" i="17"/>
  <c r="AD366" i="17"/>
  <c r="P364" i="17"/>
  <c r="AD364" i="17"/>
  <c r="P486" i="17"/>
  <c r="AD486" i="17"/>
  <c r="P482" i="17"/>
  <c r="AD482" i="17"/>
  <c r="P778" i="17"/>
  <c r="AD778" i="17"/>
  <c r="P182" i="17"/>
  <c r="AD182" i="17"/>
  <c r="P29" i="17"/>
  <c r="AD29" i="17"/>
  <c r="P363" i="17"/>
  <c r="AD363" i="17"/>
  <c r="P483" i="17"/>
  <c r="AD483" i="17"/>
  <c r="N305" i="17"/>
  <c r="N299" i="17"/>
  <c r="N300" i="17"/>
  <c r="N303" i="17"/>
  <c r="N301" i="17"/>
  <c r="P303" i="17"/>
  <c r="AD303" i="17"/>
  <c r="P99" i="17"/>
  <c r="AD99" i="17"/>
  <c r="P82" i="17"/>
  <c r="AD82" i="17"/>
  <c r="P87" i="17"/>
  <c r="AD87" i="17"/>
  <c r="P81" i="17"/>
  <c r="AD81" i="17"/>
  <c r="P304" i="17"/>
  <c r="AD304" i="17"/>
  <c r="P612" i="17"/>
  <c r="AD612" i="17"/>
  <c r="P615" i="17"/>
  <c r="AD615" i="17"/>
  <c r="P620" i="17"/>
  <c r="AD620" i="17"/>
  <c r="P446" i="17"/>
  <c r="AD446" i="17"/>
  <c r="P904" i="17"/>
  <c r="AD904" i="17"/>
  <c r="P30" i="17"/>
  <c r="AD30" i="17"/>
  <c r="P36" i="17"/>
  <c r="AD36" i="17"/>
  <c r="P18" i="17"/>
  <c r="AD18" i="17"/>
  <c r="P23" i="17"/>
  <c r="AD23" i="17"/>
  <c r="P370" i="17"/>
  <c r="AD370" i="17"/>
  <c r="P368" i="17"/>
  <c r="AD368" i="17"/>
  <c r="P378" i="17"/>
  <c r="AD378" i="17"/>
  <c r="P479" i="17"/>
  <c r="AD479" i="17"/>
  <c r="P476" i="17"/>
  <c r="AD476" i="17"/>
  <c r="P782" i="17"/>
  <c r="AD782" i="17"/>
  <c r="P184" i="17"/>
  <c r="AD184" i="17"/>
  <c r="P84" i="17"/>
  <c r="AD84" i="17"/>
  <c r="P614" i="17"/>
  <c r="AD614" i="17"/>
  <c r="P449" i="17"/>
  <c r="AD449" i="17"/>
  <c r="P780" i="17"/>
  <c r="AD780" i="17"/>
  <c r="N104" i="17"/>
  <c r="N85" i="17"/>
  <c r="N100" i="17"/>
  <c r="N81" i="17"/>
  <c r="N95" i="17"/>
  <c r="N92" i="17"/>
  <c r="N105" i="17"/>
  <c r="N94" i="17"/>
  <c r="N877" i="17"/>
  <c r="N84" i="17"/>
  <c r="N86" i="17"/>
  <c r="N87" i="17"/>
  <c r="N98" i="17"/>
  <c r="N103" i="17"/>
  <c r="N79" i="17"/>
  <c r="N88" i="17"/>
  <c r="N89" i="17"/>
  <c r="N99" i="17"/>
  <c r="N91" i="17"/>
  <c r="N97" i="17"/>
  <c r="N96" i="17"/>
  <c r="N102" i="17"/>
  <c r="N101" i="17"/>
  <c r="N93" i="17"/>
  <c r="N80" i="17"/>
  <c r="N83" i="17"/>
  <c r="N90" i="17"/>
  <c r="N82" i="17"/>
  <c r="P300" i="17"/>
  <c r="AD300" i="17"/>
  <c r="P97" i="17"/>
  <c r="AD97" i="17"/>
  <c r="P79" i="17"/>
  <c r="AD79" i="17"/>
  <c r="P877" i="17"/>
  <c r="AD877" i="17"/>
  <c r="P92" i="17"/>
  <c r="AD92" i="17"/>
  <c r="P307" i="17"/>
  <c r="AD307" i="17"/>
  <c r="P627" i="17"/>
  <c r="AD627" i="17"/>
  <c r="P619" i="17"/>
  <c r="AD619" i="17"/>
  <c r="P623" i="17"/>
  <c r="AD623" i="17"/>
  <c r="P613" i="17"/>
  <c r="AD613" i="17"/>
  <c r="P455" i="17"/>
  <c r="AD455" i="17"/>
  <c r="P453" i="17"/>
  <c r="AD453" i="17"/>
  <c r="P33" i="17"/>
  <c r="AD33" i="17"/>
  <c r="P16" i="17"/>
  <c r="AD16" i="17"/>
  <c r="P17" i="17"/>
  <c r="AD17" i="17"/>
  <c r="P31" i="17"/>
  <c r="AD31" i="17"/>
  <c r="P362" i="17"/>
  <c r="AD362" i="17"/>
  <c r="P377" i="17"/>
  <c r="AD377" i="17"/>
  <c r="P375" i="17"/>
  <c r="AD375" i="17"/>
  <c r="P489" i="17"/>
  <c r="AD489" i="17"/>
  <c r="P484" i="17"/>
  <c r="AD484" i="17"/>
  <c r="AD781" i="17"/>
  <c r="P781" i="17"/>
  <c r="P180" i="17"/>
  <c r="AD180" i="17"/>
  <c r="N477" i="17"/>
  <c r="N484" i="17"/>
  <c r="N476" i="17"/>
  <c r="N480" i="17"/>
  <c r="N478" i="17"/>
  <c r="N491" i="17"/>
  <c r="N488" i="17"/>
  <c r="N482" i="17"/>
  <c r="N474" i="17"/>
  <c r="N485" i="17"/>
  <c r="N489" i="17"/>
  <c r="N483" i="17"/>
  <c r="N490" i="17"/>
  <c r="N481" i="17"/>
  <c r="N479" i="17"/>
  <c r="N475" i="17"/>
  <c r="N486" i="17"/>
  <c r="N487" i="17"/>
  <c r="N440" i="17"/>
  <c r="N456" i="17"/>
  <c r="N443" i="17"/>
  <c r="N452" i="17"/>
  <c r="N448" i="17"/>
  <c r="N435" i="17"/>
  <c r="N439" i="17"/>
  <c r="N436" i="17"/>
  <c r="N442" i="17"/>
  <c r="N454" i="17"/>
  <c r="N453" i="17"/>
  <c r="N904" i="17"/>
  <c r="N437" i="17"/>
  <c r="N455" i="17"/>
  <c r="N449" i="17"/>
  <c r="N446" i="17"/>
  <c r="N438" i="17"/>
  <c r="N459" i="17"/>
  <c r="P305" i="17"/>
  <c r="AD305" i="17"/>
  <c r="P93" i="17"/>
  <c r="AD93" i="17"/>
  <c r="P96" i="17"/>
  <c r="AD96" i="17"/>
  <c r="P103" i="17"/>
  <c r="AD103" i="17"/>
  <c r="P95" i="17"/>
  <c r="AD95" i="17"/>
  <c r="P308" i="17"/>
  <c r="AD308" i="17"/>
  <c r="P616" i="17"/>
  <c r="AD616" i="17"/>
  <c r="P608" i="17"/>
  <c r="AD608" i="17"/>
  <c r="P625" i="17"/>
  <c r="AD625" i="17"/>
  <c r="P459" i="17"/>
  <c r="AD459" i="17"/>
  <c r="P452" i="17"/>
  <c r="AD452" i="17"/>
  <c r="P25" i="17"/>
  <c r="AD25" i="17"/>
  <c r="P12" i="17"/>
  <c r="AD12" i="17"/>
  <c r="P902" i="17"/>
  <c r="AD902" i="17"/>
  <c r="P35" i="17"/>
  <c r="AD35" i="17"/>
  <c r="P376" i="17"/>
  <c r="AD376" i="17"/>
  <c r="P365" i="17"/>
  <c r="AD365" i="17"/>
  <c r="P425" i="17"/>
  <c r="AD425" i="17"/>
  <c r="P487" i="17"/>
  <c r="AD487" i="17"/>
  <c r="P490" i="17"/>
  <c r="AD490" i="17"/>
  <c r="P480" i="17"/>
  <c r="AD480" i="17"/>
  <c r="P186" i="17"/>
  <c r="AD186" i="17"/>
  <c r="P179" i="17"/>
  <c r="AD179" i="17"/>
  <c r="P373" i="17"/>
  <c r="AD373" i="17"/>
  <c r="N15" i="17"/>
  <c r="N14" i="17"/>
  <c r="N22" i="17"/>
  <c r="N35" i="17"/>
  <c r="N31" i="17"/>
  <c r="N23" i="17"/>
  <c r="N18" i="17"/>
  <c r="N17" i="17"/>
  <c r="N13" i="17"/>
  <c r="N893" i="17"/>
  <c r="N20" i="17"/>
  <c r="N902" i="17"/>
  <c r="N28" i="17"/>
  <c r="N21" i="17"/>
  <c r="N12" i="17"/>
  <c r="N16" i="17"/>
  <c r="N40" i="17"/>
  <c r="N24" i="17"/>
  <c r="N9" i="17"/>
  <c r="N38" i="17"/>
  <c r="N32" i="17"/>
  <c r="N10" i="17"/>
  <c r="N11" i="17"/>
  <c r="N36" i="17"/>
  <c r="N30" i="17"/>
  <c r="N29" i="17"/>
  <c r="N26" i="17"/>
  <c r="N34" i="17"/>
  <c r="N37" i="17"/>
  <c r="N19" i="17"/>
  <c r="N39" i="17"/>
  <c r="N25" i="17"/>
  <c r="N33" i="17"/>
  <c r="N613" i="17"/>
  <c r="N620" i="17"/>
  <c r="N626" i="17"/>
  <c r="N605" i="17"/>
  <c r="N621" i="17"/>
  <c r="N610" i="17"/>
  <c r="N618" i="17"/>
  <c r="N612" i="17"/>
  <c r="N623" i="17"/>
  <c r="N606" i="17"/>
  <c r="N617" i="17"/>
  <c r="N611" i="17"/>
  <c r="N604" i="17"/>
  <c r="N615" i="17"/>
  <c r="N607" i="17"/>
  <c r="N627" i="17"/>
  <c r="N624" i="17"/>
  <c r="N608" i="17"/>
  <c r="N625" i="17"/>
  <c r="N614" i="17"/>
  <c r="N910" i="17"/>
  <c r="N622" i="17"/>
  <c r="N616" i="17"/>
  <c r="N609" i="17"/>
  <c r="N619" i="17"/>
  <c r="P299" i="17"/>
  <c r="AD299" i="17"/>
  <c r="P88" i="17"/>
  <c r="AD88" i="17"/>
  <c r="P83" i="17"/>
  <c r="AD83" i="17"/>
  <c r="P86" i="17"/>
  <c r="AD86" i="17"/>
  <c r="P100" i="17"/>
  <c r="AD100" i="17"/>
  <c r="P306" i="17"/>
  <c r="AD306" i="17"/>
  <c r="P910" i="17"/>
  <c r="AD910" i="17"/>
  <c r="P611" i="17"/>
  <c r="AD611" i="17"/>
  <c r="P626" i="17"/>
  <c r="AD626" i="17"/>
  <c r="P442" i="17"/>
  <c r="AD442" i="17"/>
  <c r="P440" i="17"/>
  <c r="AD440" i="17"/>
  <c r="P34" i="17"/>
  <c r="AD34" i="17"/>
  <c r="P20" i="17"/>
  <c r="AD20" i="17"/>
  <c r="P893" i="17"/>
  <c r="AD893" i="17"/>
  <c r="P15" i="17"/>
  <c r="AD15" i="17"/>
  <c r="P371" i="17"/>
  <c r="AD371" i="17"/>
  <c r="P367" i="17"/>
  <c r="AD367" i="17"/>
  <c r="P424" i="17"/>
  <c r="AD424" i="17"/>
  <c r="P475" i="17"/>
  <c r="AD475" i="17"/>
  <c r="P488" i="17"/>
  <c r="AD488" i="17"/>
  <c r="P477" i="17"/>
  <c r="AD477" i="17"/>
  <c r="P177" i="17"/>
  <c r="AD177" i="17"/>
  <c r="P901" i="17"/>
  <c r="AD901" i="17"/>
  <c r="N781" i="17"/>
  <c r="N778" i="17"/>
  <c r="N782" i="17"/>
  <c r="N780" i="17"/>
  <c r="P443" i="17"/>
  <c r="AD443" i="17"/>
  <c r="P24" i="17"/>
  <c r="AD24" i="17"/>
  <c r="P474" i="17"/>
  <c r="AD474" i="17"/>
  <c r="N306" i="17"/>
  <c r="N307" i="17"/>
  <c r="N308" i="17"/>
  <c r="N304" i="17"/>
  <c r="P91" i="17"/>
  <c r="AD91" i="17"/>
  <c r="P80" i="17"/>
  <c r="AD80" i="17"/>
  <c r="P105" i="17"/>
  <c r="AD105" i="17"/>
  <c r="P624" i="17"/>
  <c r="AD624" i="17"/>
  <c r="P604" i="17"/>
  <c r="AD604" i="17"/>
  <c r="P610" i="17"/>
  <c r="AD610" i="17"/>
  <c r="P439" i="17"/>
  <c r="AD439" i="17"/>
  <c r="P448" i="17"/>
  <c r="AD448" i="17"/>
  <c r="P37" i="17"/>
  <c r="AD37" i="17"/>
  <c r="P40" i="17"/>
  <c r="AD40" i="17"/>
  <c r="P11" i="17"/>
  <c r="AD11" i="17"/>
  <c r="P22" i="17"/>
  <c r="AD22" i="17"/>
  <c r="P374" i="17"/>
  <c r="AD374" i="17"/>
  <c r="P369" i="17"/>
  <c r="AD369" i="17"/>
  <c r="P420" i="17"/>
  <c r="AD420" i="17"/>
  <c r="P481" i="17"/>
  <c r="AD481" i="17"/>
  <c r="P478" i="17"/>
  <c r="AD478" i="17"/>
  <c r="P178" i="17"/>
  <c r="AD178" i="17"/>
  <c r="P183" i="17"/>
  <c r="AD183" i="17"/>
  <c r="P90" i="17"/>
  <c r="AD90" i="17"/>
  <c r="P606" i="17"/>
  <c r="AD606" i="17"/>
  <c r="P454" i="17"/>
  <c r="AD454" i="17"/>
  <c r="P10" i="17"/>
  <c r="AD10" i="17"/>
  <c r="N420" i="17"/>
  <c r="N421" i="17"/>
  <c r="N424" i="17"/>
  <c r="N425" i="17"/>
  <c r="N378" i="17"/>
  <c r="N375" i="17"/>
  <c r="N364" i="17"/>
  <c r="N369" i="17"/>
  <c r="N367" i="17"/>
  <c r="N372" i="17"/>
  <c r="N363" i="17"/>
  <c r="N365" i="17"/>
  <c r="N377" i="17"/>
  <c r="N366" i="17"/>
  <c r="N379" i="17"/>
  <c r="N373" i="17"/>
  <c r="N368" i="17"/>
  <c r="N371" i="17"/>
  <c r="N376" i="17"/>
  <c r="N370" i="17"/>
  <c r="N374" i="17"/>
  <c r="N362" i="17"/>
  <c r="P101" i="17"/>
  <c r="AD101" i="17"/>
  <c r="P102" i="17"/>
  <c r="AD102" i="17"/>
  <c r="P94" i="17"/>
  <c r="AD94" i="17"/>
  <c r="P622" i="17"/>
  <c r="AD622" i="17"/>
  <c r="P617" i="17"/>
  <c r="AD617" i="17"/>
  <c r="P618" i="17"/>
  <c r="AD618" i="17"/>
  <c r="P437" i="17"/>
  <c r="AD437" i="17"/>
  <c r="P436" i="17"/>
  <c r="AD436" i="17"/>
  <c r="P456" i="17"/>
  <c r="AD456" i="17"/>
  <c r="P26" i="17"/>
  <c r="AD26" i="17"/>
  <c r="P39" i="17"/>
  <c r="AD39" i="17"/>
  <c r="P13" i="17"/>
  <c r="AD13" i="17"/>
  <c r="P32" i="17"/>
  <c r="AD32" i="17"/>
  <c r="P14" i="17"/>
  <c r="AD14" i="17"/>
  <c r="P379" i="17"/>
  <c r="AD379" i="17"/>
  <c r="P372" i="17"/>
  <c r="AD372" i="17"/>
  <c r="P421" i="17"/>
  <c r="AD421" i="17"/>
  <c r="P485" i="17"/>
  <c r="AD485" i="17"/>
  <c r="P491" i="17"/>
  <c r="AD491" i="17"/>
  <c r="P181" i="17"/>
  <c r="AD181" i="17"/>
  <c r="P187" i="17"/>
  <c r="AD187" i="17"/>
  <c r="P293" i="6"/>
  <c r="CH293" i="6" s="1"/>
  <c r="I288" i="6"/>
  <c r="L288" i="6" s="1"/>
  <c r="AI288" i="6" s="1"/>
  <c r="EV293" i="6"/>
  <c r="EX293" i="6" s="1"/>
  <c r="FG293" i="6" s="1"/>
  <c r="Q16" i="23" s="1"/>
  <c r="J288" i="6"/>
  <c r="M288" i="6" s="1"/>
  <c r="AJ288" i="6" s="1"/>
  <c r="EW288" i="6" s="1"/>
  <c r="G288" i="6"/>
  <c r="AD288" i="6" s="1"/>
  <c r="N294" i="6"/>
  <c r="J294" i="6" s="1"/>
  <c r="H289" i="6"/>
  <c r="AE289" i="6" s="1"/>
  <c r="Z289" i="6" s="1"/>
  <c r="I289" i="6"/>
  <c r="AF289" i="6" s="1"/>
  <c r="G289" i="6"/>
  <c r="AD289" i="6" s="1"/>
  <c r="FZ293" i="6"/>
  <c r="FX293" i="6" s="1"/>
  <c r="Z16" i="23" s="1"/>
  <c r="AB297" i="6"/>
  <c r="AC297" i="6" s="1"/>
  <c r="EV297" i="6"/>
  <c r="H296" i="6"/>
  <c r="AE296" i="6" s="1"/>
  <c r="J296" i="6"/>
  <c r="I296" i="6"/>
  <c r="G296" i="6"/>
  <c r="Y29" i="6"/>
  <c r="EQ29" i="6"/>
  <c r="P292" i="6"/>
  <c r="CH292" i="6" s="1"/>
  <c r="AF290" i="6"/>
  <c r="L290" i="6"/>
  <c r="AI290" i="6" s="1"/>
  <c r="ER288" i="6"/>
  <c r="Z288" i="6"/>
  <c r="Y292" i="6"/>
  <c r="EQ292" i="6"/>
  <c r="Z105" i="6"/>
  <c r="ER105" i="6"/>
  <c r="Z295" i="6"/>
  <c r="ER295" i="6"/>
  <c r="Y65" i="6"/>
  <c r="FZ65" i="6" s="1"/>
  <c r="EQ65" i="6"/>
  <c r="AG30" i="6"/>
  <c r="ET30" i="6" s="1"/>
  <c r="AF30" i="6"/>
  <c r="CH30" i="6"/>
  <c r="AI30" i="6"/>
  <c r="AE30" i="6"/>
  <c r="AD30" i="6"/>
  <c r="AJ30" i="6"/>
  <c r="EW30" i="6" s="1"/>
  <c r="P297" i="6"/>
  <c r="CH297" i="6" s="1"/>
  <c r="AB291" i="6"/>
  <c r="AC291" i="6" s="1"/>
  <c r="EV291" i="6"/>
  <c r="AD105" i="6"/>
  <c r="P105" i="6"/>
  <c r="CH105" i="6" s="1"/>
  <c r="AD295" i="6"/>
  <c r="Y297" i="6"/>
  <c r="EQ297" i="6"/>
  <c r="AA291" i="6"/>
  <c r="ES291" i="6"/>
  <c r="AA105" i="6"/>
  <c r="AC105" i="6" s="1"/>
  <c r="L295" i="6"/>
  <c r="AI295" i="6" s="1"/>
  <c r="AF295" i="6"/>
  <c r="AA29" i="6"/>
  <c r="AC29" i="6" s="1"/>
  <c r="ES29" i="6"/>
  <c r="ET105" i="6"/>
  <c r="M295" i="6"/>
  <c r="AJ295" i="6" s="1"/>
  <c r="EW295" i="6" s="1"/>
  <c r="AG295" i="6"/>
  <c r="ET295" i="6" s="1"/>
  <c r="AB29" i="6"/>
  <c r="EV29" i="6"/>
  <c r="M289" i="6"/>
  <c r="AJ289" i="6" s="1"/>
  <c r="EW289" i="6" s="1"/>
  <c r="AG289" i="6"/>
  <c r="BF105" i="6"/>
  <c r="BS105" i="6" s="1"/>
  <c r="AD290" i="6"/>
  <c r="AA292" i="6"/>
  <c r="ES292" i="6"/>
  <c r="P291" i="6"/>
  <c r="CH291" i="6" s="1"/>
  <c r="AA297" i="6"/>
  <c r="ES297" i="6"/>
  <c r="EY65" i="6"/>
  <c r="EX65" i="6"/>
  <c r="AB105" i="6"/>
  <c r="EV105" i="6"/>
  <c r="ER290" i="6"/>
  <c r="Z290" i="6"/>
  <c r="AB292" i="6"/>
  <c r="AC292" i="6" s="1"/>
  <c r="EV292" i="6"/>
  <c r="Z29" i="6"/>
  <c r="ER29" i="6"/>
  <c r="Y291" i="6"/>
  <c r="EQ291" i="6"/>
  <c r="Q8" i="22"/>
  <c r="P8" i="22" s="1"/>
  <c r="P16" i="23" l="1"/>
  <c r="AD16" i="23"/>
  <c r="AF288" i="6"/>
  <c r="AA288" i="6" s="1"/>
  <c r="AC288" i="6" s="1"/>
  <c r="DK293" i="6"/>
  <c r="N16" i="23" s="1"/>
  <c r="AG288" i="6"/>
  <c r="BG288" i="6" s="1"/>
  <c r="BT288" i="6" s="1"/>
  <c r="ET288" i="6" s="1"/>
  <c r="I294" i="6"/>
  <c r="AF294" i="6" s="1"/>
  <c r="FY293" i="6"/>
  <c r="AA16" i="23" s="1"/>
  <c r="EX297" i="6"/>
  <c r="FG297" i="6" s="1"/>
  <c r="DK297" i="6" s="1"/>
  <c r="FW293" i="6"/>
  <c r="Y16" i="23" s="1"/>
  <c r="FW65" i="6"/>
  <c r="Y295" i="17" s="1"/>
  <c r="H294" i="6"/>
  <c r="AE294" i="6" s="1"/>
  <c r="ER294" i="6" s="1"/>
  <c r="G294" i="6"/>
  <c r="AD294" i="6" s="1"/>
  <c r="ER289" i="6"/>
  <c r="L289" i="6"/>
  <c r="AI289" i="6" s="1"/>
  <c r="AB289" i="6" s="1"/>
  <c r="FZ291" i="6"/>
  <c r="FX291" i="6" s="1"/>
  <c r="FZ29" i="6"/>
  <c r="FW29" i="6" s="1"/>
  <c r="P290" i="6"/>
  <c r="CH290" i="6" s="1"/>
  <c r="Y290" i="6"/>
  <c r="EQ290" i="6"/>
  <c r="AB295" i="6"/>
  <c r="AC295" i="6" s="1"/>
  <c r="EV295" i="6"/>
  <c r="FZ292" i="6"/>
  <c r="FW292" i="6" s="1"/>
  <c r="P288" i="6"/>
  <c r="CH288" i="6" s="1"/>
  <c r="ES105" i="6"/>
  <c r="P295" i="6"/>
  <c r="CH295" i="6" s="1"/>
  <c r="FG65" i="6"/>
  <c r="Q295" i="17" s="1"/>
  <c r="Y288" i="6"/>
  <c r="EQ288" i="6"/>
  <c r="M294" i="6"/>
  <c r="AJ294" i="6" s="1"/>
  <c r="EW294" i="6" s="1"/>
  <c r="AG294" i="6"/>
  <c r="BG289" i="6"/>
  <c r="BT289" i="6" s="1"/>
  <c r="ET289" i="6" s="1"/>
  <c r="Y289" i="6"/>
  <c r="EQ289" i="6"/>
  <c r="Y295" i="6"/>
  <c r="EQ295" i="6"/>
  <c r="AD296" i="6"/>
  <c r="EY292" i="6"/>
  <c r="EX292" i="6"/>
  <c r="EX29" i="6"/>
  <c r="EY29" i="6"/>
  <c r="Y30" i="6"/>
  <c r="EQ30" i="6"/>
  <c r="AB290" i="6"/>
  <c r="EV290" i="6"/>
  <c r="AF296" i="6"/>
  <c r="L296" i="6"/>
  <c r="AI296" i="6" s="1"/>
  <c r="BF289" i="6"/>
  <c r="BS289" i="6" s="1"/>
  <c r="AA289" i="6"/>
  <c r="AC289" i="6" s="1"/>
  <c r="Y105" i="6"/>
  <c r="EQ105" i="6"/>
  <c r="Z30" i="6"/>
  <c r="ER30" i="6"/>
  <c r="AA290" i="6"/>
  <c r="AC290" i="6" s="1"/>
  <c r="BF290" i="6"/>
  <c r="BS290" i="6" s="1"/>
  <c r="M296" i="6"/>
  <c r="AJ296" i="6" s="1"/>
  <c r="AG296" i="6"/>
  <c r="BG296" i="6" s="1"/>
  <c r="BT296" i="6" s="1"/>
  <c r="EY291" i="6"/>
  <c r="EX291" i="6"/>
  <c r="AB30" i="6"/>
  <c r="EV30" i="6"/>
  <c r="Z296" i="6"/>
  <c r="ER296" i="6"/>
  <c r="AB288" i="6"/>
  <c r="EV288" i="6"/>
  <c r="AA295" i="6"/>
  <c r="ES295" i="6"/>
  <c r="AA30" i="6"/>
  <c r="AC30" i="6" s="1"/>
  <c r="ES30" i="6"/>
  <c r="FY65" i="6"/>
  <c r="AA295" i="17" s="1"/>
  <c r="FX65" i="6"/>
  <c r="Z295" i="17" s="1"/>
  <c r="FZ297" i="6"/>
  <c r="FW297" i="6" s="1"/>
  <c r="AD8" i="22"/>
  <c r="N8" i="22"/>
  <c r="Y9" i="23" l="1"/>
  <c r="Y10" i="23"/>
  <c r="Y71" i="22"/>
  <c r="Y82" i="22"/>
  <c r="Y66" i="22"/>
  <c r="Y80" i="22"/>
  <c r="Y67" i="22"/>
  <c r="Y87" i="22"/>
  <c r="Y85" i="22"/>
  <c r="Y75" i="22"/>
  <c r="Y86" i="22"/>
  <c r="Y70" i="22"/>
  <c r="Y78" i="22"/>
  <c r="Y72" i="22"/>
  <c r="Y74" i="22"/>
  <c r="Y81" i="22"/>
  <c r="Y68" i="22"/>
  <c r="Y73" i="22"/>
  <c r="Y69" i="22"/>
  <c r="Y83" i="22"/>
  <c r="Y84" i="22"/>
  <c r="Y65" i="22"/>
  <c r="Y79" i="22"/>
  <c r="Y97" i="22"/>
  <c r="Y98" i="22"/>
  <c r="Y101" i="22"/>
  <c r="Y102" i="22"/>
  <c r="P295" i="17"/>
  <c r="AD295" i="17"/>
  <c r="Z145" i="17"/>
  <c r="Z142" i="17"/>
  <c r="Z144" i="17"/>
  <c r="Z143" i="17"/>
  <c r="BF288" i="6"/>
  <c r="BS288" i="6" s="1"/>
  <c r="ES288" i="6" s="1"/>
  <c r="EY288" i="6" s="1"/>
  <c r="L294" i="6"/>
  <c r="AI294" i="6" s="1"/>
  <c r="EV294" i="6" s="1"/>
  <c r="FZ290" i="6"/>
  <c r="FY290" i="6" s="1"/>
  <c r="DK65" i="6"/>
  <c r="N295" i="17" s="1"/>
  <c r="FX29" i="6"/>
  <c r="FY29" i="6"/>
  <c r="EV289" i="6"/>
  <c r="Z294" i="6"/>
  <c r="FG29" i="6"/>
  <c r="FW291" i="6"/>
  <c r="FZ105" i="6"/>
  <c r="FY105" i="6" s="1"/>
  <c r="FY291" i="6"/>
  <c r="P289" i="6"/>
  <c r="CH289" i="6" s="1"/>
  <c r="FZ295" i="6"/>
  <c r="FX295" i="6" s="1"/>
  <c r="FZ288" i="6"/>
  <c r="FW288" i="6" s="1"/>
  <c r="FG291" i="6"/>
  <c r="FZ30" i="6"/>
  <c r="FY30" i="6" s="1"/>
  <c r="ES290" i="6"/>
  <c r="EX290" i="6" s="1"/>
  <c r="FG290" i="6" s="1"/>
  <c r="FG292" i="6"/>
  <c r="AB296" i="6"/>
  <c r="EV296" i="6"/>
  <c r="ES289" i="6"/>
  <c r="AA296" i="6"/>
  <c r="AC296" i="6" s="1"/>
  <c r="BF296" i="6"/>
  <c r="BS296" i="6" s="1"/>
  <c r="FZ289" i="6"/>
  <c r="FX289" i="6" s="1"/>
  <c r="FX292" i="6"/>
  <c r="FY292" i="6"/>
  <c r="EY30" i="6"/>
  <c r="EX30" i="6"/>
  <c r="EX105" i="6"/>
  <c r="EY105" i="6"/>
  <c r="BF294" i="6"/>
  <c r="BS294" i="6" s="1"/>
  <c r="ES294" i="6" s="1"/>
  <c r="AA294" i="6"/>
  <c r="AC294" i="6" s="1"/>
  <c r="P296" i="6"/>
  <c r="CH296" i="6" s="1"/>
  <c r="BG294" i="6"/>
  <c r="BT294" i="6" s="1"/>
  <c r="ET294" i="6" s="1"/>
  <c r="EX295" i="6"/>
  <c r="EY295" i="6"/>
  <c r="Y294" i="6"/>
  <c r="EQ294" i="6"/>
  <c r="Y296" i="6"/>
  <c r="EQ296" i="6"/>
  <c r="Y8" i="23"/>
  <c r="FX297" i="6"/>
  <c r="FY297" i="6"/>
  <c r="FZ126" i="6"/>
  <c r="FW126" i="6" s="1"/>
  <c r="FG105" i="6" l="1"/>
  <c r="DK105" i="6" s="1"/>
  <c r="Q202" i="22"/>
  <c r="P202" i="22" s="1"/>
  <c r="Q814" i="22"/>
  <c r="P814" i="22" s="1"/>
  <c r="Q15" i="23"/>
  <c r="Q14" i="23"/>
  <c r="Q11" i="23"/>
  <c r="Q13" i="23"/>
  <c r="Q12" i="23"/>
  <c r="AA15" i="23"/>
  <c r="AA14" i="23"/>
  <c r="AA11" i="23"/>
  <c r="AA12" i="23"/>
  <c r="AA13" i="23"/>
  <c r="Q9" i="23"/>
  <c r="Q10" i="23"/>
  <c r="AA10" i="23"/>
  <c r="AA9" i="23"/>
  <c r="Y120" i="23"/>
  <c r="Y115" i="23"/>
  <c r="Y107" i="23"/>
  <c r="Y119" i="23"/>
  <c r="Y114" i="23"/>
  <c r="Y108" i="23"/>
  <c r="Y112" i="23"/>
  <c r="Y124" i="23"/>
  <c r="Y123" i="23"/>
  <c r="Y121" i="23"/>
  <c r="Y122" i="23"/>
  <c r="Y117" i="23"/>
  <c r="Y110" i="23"/>
  <c r="Y118" i="23"/>
  <c r="Y109" i="23"/>
  <c r="Y116" i="23"/>
  <c r="Y111" i="23"/>
  <c r="Y113" i="23"/>
  <c r="Z9" i="23"/>
  <c r="Z10" i="23"/>
  <c r="AA97" i="22"/>
  <c r="AA98" i="22"/>
  <c r="AA101" i="22"/>
  <c r="AA102" i="22"/>
  <c r="Q97" i="22"/>
  <c r="Q98" i="22"/>
  <c r="Q101" i="22"/>
  <c r="Q102" i="22"/>
  <c r="AA202" i="22"/>
  <c r="AA814" i="22"/>
  <c r="Z97" i="22"/>
  <c r="Z98" i="22"/>
  <c r="Z101" i="22"/>
  <c r="Z102" i="22"/>
  <c r="AA89" i="22"/>
  <c r="AA76" i="22"/>
  <c r="AA88" i="22"/>
  <c r="AA77" i="22"/>
  <c r="Q82" i="22"/>
  <c r="Q67" i="22"/>
  <c r="Q66" i="22"/>
  <c r="Q80" i="22"/>
  <c r="Q71" i="22"/>
  <c r="Q87" i="22"/>
  <c r="Q85" i="22"/>
  <c r="Q72" i="22"/>
  <c r="Q75" i="22"/>
  <c r="Q70" i="22"/>
  <c r="Q74" i="22"/>
  <c r="Q81" i="22"/>
  <c r="Q78" i="22"/>
  <c r="Q68" i="22"/>
  <c r="Q86" i="22"/>
  <c r="Q83" i="22"/>
  <c r="Q65" i="22"/>
  <c r="Q84" i="22"/>
  <c r="Q69" i="22"/>
  <c r="Q73" i="22"/>
  <c r="Q79" i="22"/>
  <c r="Z90" i="22"/>
  <c r="Z91" i="22"/>
  <c r="Z92" i="22"/>
  <c r="Z94" i="22"/>
  <c r="Z96" i="22"/>
  <c r="Z93" i="22"/>
  <c r="Z99" i="22"/>
  <c r="Z100" i="22"/>
  <c r="AA71" i="22"/>
  <c r="AA80" i="22"/>
  <c r="AA66" i="22"/>
  <c r="AA82" i="22"/>
  <c r="AA67" i="22"/>
  <c r="AA85" i="22"/>
  <c r="AA87" i="22"/>
  <c r="AA86" i="22"/>
  <c r="AA72" i="22"/>
  <c r="AA68" i="22"/>
  <c r="AA78" i="22"/>
  <c r="AA74" i="22"/>
  <c r="AA75" i="22"/>
  <c r="AA70" i="22"/>
  <c r="AA81" i="22"/>
  <c r="AA83" i="22"/>
  <c r="AA65" i="22"/>
  <c r="AA84" i="22"/>
  <c r="AA79" i="22"/>
  <c r="AA73" i="22"/>
  <c r="AA69" i="22"/>
  <c r="Y810" i="22"/>
  <c r="Y334" i="22"/>
  <c r="Z71" i="22"/>
  <c r="Z66" i="22"/>
  <c r="Z67" i="22"/>
  <c r="Z82" i="22"/>
  <c r="Z80" i="22"/>
  <c r="Z85" i="22"/>
  <c r="Z87" i="22"/>
  <c r="Z68" i="22"/>
  <c r="Z78" i="22"/>
  <c r="Z72" i="22"/>
  <c r="Z75" i="22"/>
  <c r="Z70" i="22"/>
  <c r="Z86" i="22"/>
  <c r="Z74" i="22"/>
  <c r="Z81" i="22"/>
  <c r="Z79" i="22"/>
  <c r="Z65" i="22"/>
  <c r="Z73" i="22"/>
  <c r="Z83" i="22"/>
  <c r="Z84" i="22"/>
  <c r="Z69" i="22"/>
  <c r="Y142" i="17"/>
  <c r="Y145" i="17"/>
  <c r="Y144" i="17"/>
  <c r="Y143" i="17"/>
  <c r="AA142" i="17"/>
  <c r="AA145" i="17"/>
  <c r="AA143" i="17"/>
  <c r="AA144" i="17"/>
  <c r="Q145" i="17"/>
  <c r="Q142" i="17"/>
  <c r="Q143" i="17"/>
  <c r="Q144" i="17"/>
  <c r="Y138" i="17"/>
  <c r="Y875" i="17"/>
  <c r="Y141" i="17"/>
  <c r="Y900" i="17"/>
  <c r="Y139" i="17"/>
  <c r="EX288" i="6"/>
  <c r="FG288" i="6" s="1"/>
  <c r="FX288" i="6"/>
  <c r="AB294" i="6"/>
  <c r="P294" i="6"/>
  <c r="CH294" i="6" s="1"/>
  <c r="FX290" i="6"/>
  <c r="FY288" i="6"/>
  <c r="FW290" i="6"/>
  <c r="DK290" i="6"/>
  <c r="DK292" i="6"/>
  <c r="DK291" i="6"/>
  <c r="FX30" i="6"/>
  <c r="AA8" i="23"/>
  <c r="Z8" i="23"/>
  <c r="DK29" i="6"/>
  <c r="FX105" i="6"/>
  <c r="Q8" i="23"/>
  <c r="FW289" i="6"/>
  <c r="FW105" i="6"/>
  <c r="FW295" i="6"/>
  <c r="FW30" i="6"/>
  <c r="FZ296" i="6"/>
  <c r="FY296" i="6" s="1"/>
  <c r="FY295" i="6"/>
  <c r="ES296" i="6"/>
  <c r="EX296" i="6" s="1"/>
  <c r="FG296" i="6" s="1"/>
  <c r="DK296" i="6" s="1"/>
  <c r="FG30" i="6"/>
  <c r="FZ294" i="6"/>
  <c r="FX294" i="6" s="1"/>
  <c r="Z95" i="22" s="1"/>
  <c r="FG295" i="6"/>
  <c r="EY294" i="6"/>
  <c r="EX294" i="6"/>
  <c r="FY289" i="6"/>
  <c r="EX289" i="6"/>
  <c r="EY289" i="6"/>
  <c r="FX126" i="6"/>
  <c r="FY126" i="6"/>
  <c r="C8" i="17"/>
  <c r="N814" i="22" l="1"/>
  <c r="N202" i="22"/>
  <c r="Z14" i="23"/>
  <c r="Z15" i="23"/>
  <c r="Z11" i="23"/>
  <c r="Z12" i="23"/>
  <c r="Z13" i="23"/>
  <c r="P12" i="23"/>
  <c r="AD12" i="23"/>
  <c r="P10" i="23"/>
  <c r="AD10" i="23"/>
  <c r="P13" i="23"/>
  <c r="AD13" i="23"/>
  <c r="AA107" i="23"/>
  <c r="AA120" i="23"/>
  <c r="AA115" i="23"/>
  <c r="AA114" i="23"/>
  <c r="AA119" i="23"/>
  <c r="AA122" i="23"/>
  <c r="AA117" i="23"/>
  <c r="AA123" i="23"/>
  <c r="AA121" i="23"/>
  <c r="AA110" i="23"/>
  <c r="AA108" i="23"/>
  <c r="AA112" i="23"/>
  <c r="AA124" i="23"/>
  <c r="AA111" i="23"/>
  <c r="AA113" i="23"/>
  <c r="AA118" i="23"/>
  <c r="AA116" i="23"/>
  <c r="AA109" i="23"/>
  <c r="Z120" i="23"/>
  <c r="Z115" i="23"/>
  <c r="Z107" i="23"/>
  <c r="Z119" i="23"/>
  <c r="Z114" i="23"/>
  <c r="Z117" i="23"/>
  <c r="Z112" i="23"/>
  <c r="Z121" i="23"/>
  <c r="Z110" i="23"/>
  <c r="Z108" i="23"/>
  <c r="Z124" i="23"/>
  <c r="Z123" i="23"/>
  <c r="Z122" i="23"/>
  <c r="Z109" i="23"/>
  <c r="Z113" i="23"/>
  <c r="Z118" i="23"/>
  <c r="Z116" i="23"/>
  <c r="Z111" i="23"/>
  <c r="N15" i="23"/>
  <c r="N14" i="23"/>
  <c r="N11" i="23"/>
  <c r="N12" i="23"/>
  <c r="N13" i="23"/>
  <c r="P9" i="23"/>
  <c r="AD9" i="23"/>
  <c r="P11" i="23"/>
  <c r="AD11" i="23"/>
  <c r="P14" i="23"/>
  <c r="AD14" i="23"/>
  <c r="Y14" i="23"/>
  <c r="Y15" i="23"/>
  <c r="Y11" i="23"/>
  <c r="Y13" i="23"/>
  <c r="Y12" i="23"/>
  <c r="N10" i="23"/>
  <c r="N9" i="23"/>
  <c r="P15" i="23"/>
  <c r="AD15" i="23"/>
  <c r="P87" i="22"/>
  <c r="AD87" i="22"/>
  <c r="P102" i="22"/>
  <c r="AD102" i="22"/>
  <c r="Y76" i="22"/>
  <c r="Y89" i="22"/>
  <c r="Y88" i="22"/>
  <c r="Y77" i="22"/>
  <c r="P79" i="22"/>
  <c r="AD79" i="22"/>
  <c r="P78" i="22"/>
  <c r="AD78" i="22"/>
  <c r="P71" i="22"/>
  <c r="AD71" i="22"/>
  <c r="P101" i="22"/>
  <c r="AD101" i="22"/>
  <c r="P73" i="22"/>
  <c r="AD73" i="22"/>
  <c r="P81" i="22"/>
  <c r="AD81" i="22"/>
  <c r="P80" i="22"/>
  <c r="AD80" i="22"/>
  <c r="P98" i="22"/>
  <c r="AD98" i="22"/>
  <c r="Y99" i="22"/>
  <c r="Y100" i="22"/>
  <c r="Q99" i="22"/>
  <c r="Q100" i="22"/>
  <c r="Y202" i="22"/>
  <c r="Y814" i="22"/>
  <c r="P69" i="22"/>
  <c r="AD69" i="22"/>
  <c r="P74" i="22"/>
  <c r="AD74" i="22"/>
  <c r="P66" i="22"/>
  <c r="AD66" i="22"/>
  <c r="P97" i="22"/>
  <c r="AD97" i="22"/>
  <c r="P68" i="22"/>
  <c r="AD68" i="22"/>
  <c r="Z76" i="22"/>
  <c r="Z89" i="22"/>
  <c r="Z88" i="22"/>
  <c r="Z77" i="22"/>
  <c r="P84" i="22"/>
  <c r="AD84" i="22"/>
  <c r="P70" i="22"/>
  <c r="AD70" i="22"/>
  <c r="P67" i="22"/>
  <c r="AD67" i="22"/>
  <c r="AA90" i="22"/>
  <c r="AA91" i="22"/>
  <c r="AA92" i="22"/>
  <c r="AA96" i="22"/>
  <c r="AA94" i="22"/>
  <c r="AA93" i="22"/>
  <c r="N97" i="22"/>
  <c r="N98" i="22"/>
  <c r="N101" i="22"/>
  <c r="N102" i="22"/>
  <c r="Z334" i="22"/>
  <c r="Z810" i="22"/>
  <c r="Q89" i="22"/>
  <c r="Q76" i="22"/>
  <c r="Q88" i="22"/>
  <c r="Q77" i="22"/>
  <c r="P65" i="22"/>
  <c r="AD65" i="22"/>
  <c r="P75" i="22"/>
  <c r="AD75" i="22"/>
  <c r="P82" i="22"/>
  <c r="AD82" i="22"/>
  <c r="Y90" i="22"/>
  <c r="Y92" i="22"/>
  <c r="Y94" i="22"/>
  <c r="Y96" i="22"/>
  <c r="Y91" i="22"/>
  <c r="Y93" i="22"/>
  <c r="P83" i="22"/>
  <c r="AD83" i="22"/>
  <c r="P72" i="22"/>
  <c r="AD72" i="22"/>
  <c r="AA810" i="22"/>
  <c r="AA334" i="22"/>
  <c r="Z202" i="22"/>
  <c r="Z814" i="22"/>
  <c r="AA99" i="22"/>
  <c r="AA100" i="22"/>
  <c r="N82" i="22"/>
  <c r="N80" i="22"/>
  <c r="N67" i="22"/>
  <c r="N71" i="22"/>
  <c r="N66" i="22"/>
  <c r="N87" i="22"/>
  <c r="N85" i="22"/>
  <c r="N70" i="22"/>
  <c r="N86" i="22"/>
  <c r="N68" i="22"/>
  <c r="N74" i="22"/>
  <c r="N78" i="22"/>
  <c r="N81" i="22"/>
  <c r="N72" i="22"/>
  <c r="N75" i="22"/>
  <c r="N73" i="22"/>
  <c r="N69" i="22"/>
  <c r="N79" i="22"/>
  <c r="N65" i="22"/>
  <c r="N83" i="22"/>
  <c r="N84" i="22"/>
  <c r="P86" i="22"/>
  <c r="AD86" i="22"/>
  <c r="P85" i="22"/>
  <c r="AD85" i="22"/>
  <c r="Z140" i="17"/>
  <c r="AA138" i="17"/>
  <c r="AA141" i="17"/>
  <c r="AA875" i="17"/>
  <c r="AA139" i="17"/>
  <c r="AA900" i="17"/>
  <c r="P144" i="17"/>
  <c r="AD144" i="17"/>
  <c r="P143" i="17"/>
  <c r="AD143" i="17"/>
  <c r="N145" i="17"/>
  <c r="N142" i="17"/>
  <c r="N143" i="17"/>
  <c r="N144" i="17"/>
  <c r="Z138" i="17"/>
  <c r="Z139" i="17"/>
  <c r="Z875" i="17"/>
  <c r="Z900" i="17"/>
  <c r="Z141" i="17"/>
  <c r="P142" i="17"/>
  <c r="AD142" i="17"/>
  <c r="Q138" i="17"/>
  <c r="Q139" i="17"/>
  <c r="Q141" i="17"/>
  <c r="Q900" i="17"/>
  <c r="Q875" i="17"/>
  <c r="P145" i="17"/>
  <c r="AD145" i="17"/>
  <c r="DK295" i="6"/>
  <c r="DK30" i="6"/>
  <c r="DK288" i="6"/>
  <c r="N8" i="23"/>
  <c r="AD8" i="23"/>
  <c r="P8" i="23"/>
  <c r="FX296" i="6"/>
  <c r="FW294" i="6"/>
  <c r="Y95" i="22" s="1"/>
  <c r="FW296" i="6"/>
  <c r="FG294" i="6"/>
  <c r="Q95" i="22" s="1"/>
  <c r="FY294" i="6"/>
  <c r="AA95" i="22" s="1"/>
  <c r="FG289" i="6"/>
  <c r="D8" i="17"/>
  <c r="H8" i="17"/>
  <c r="J8" i="17"/>
  <c r="K8" i="17"/>
  <c r="I8" i="17"/>
  <c r="P89" i="22" l="1"/>
  <c r="AD89" i="22"/>
  <c r="N99" i="22"/>
  <c r="N100" i="22"/>
  <c r="P100" i="22"/>
  <c r="AD100" i="22"/>
  <c r="N76" i="22"/>
  <c r="N89" i="22"/>
  <c r="N88" i="22"/>
  <c r="N77" i="22"/>
  <c r="P99" i="22"/>
  <c r="AD99" i="22"/>
  <c r="P76" i="22"/>
  <c r="AD76" i="22"/>
  <c r="P77" i="22"/>
  <c r="AD77" i="22"/>
  <c r="P95" i="22"/>
  <c r="AD95" i="22"/>
  <c r="Q90" i="22"/>
  <c r="Q96" i="22"/>
  <c r="Q91" i="22"/>
  <c r="Q94" i="22"/>
  <c r="Q92" i="22"/>
  <c r="Q93" i="22"/>
  <c r="P88" i="22"/>
  <c r="AD88" i="22"/>
  <c r="Q140" i="17"/>
  <c r="AD140" i="17" s="1"/>
  <c r="Y140" i="17"/>
  <c r="AA140" i="17"/>
  <c r="P900" i="17"/>
  <c r="AD900" i="17"/>
  <c r="P141" i="17"/>
  <c r="AD141" i="17"/>
  <c r="P139" i="17"/>
  <c r="AD139" i="17"/>
  <c r="P138" i="17"/>
  <c r="AD138" i="17"/>
  <c r="N138" i="17"/>
  <c r="N875" i="17"/>
  <c r="N900" i="17"/>
  <c r="N141" i="17"/>
  <c r="N139" i="17"/>
  <c r="P875" i="17"/>
  <c r="AD875" i="17"/>
  <c r="DK289" i="6"/>
  <c r="DK294" i="6"/>
  <c r="N95" i="22" s="1"/>
  <c r="E8" i="17"/>
  <c r="F8" i="17" s="1"/>
  <c r="W8" i="17"/>
  <c r="R8" i="17"/>
  <c r="X8" i="17"/>
  <c r="V8" i="17"/>
  <c r="T8" i="17"/>
  <c r="U8" i="17"/>
  <c r="S8" i="17"/>
  <c r="P140" i="17" l="1"/>
  <c r="P92" i="22"/>
  <c r="AD92" i="22"/>
  <c r="P94" i="22"/>
  <c r="AD94" i="22"/>
  <c r="P93" i="22"/>
  <c r="AD93" i="22"/>
  <c r="P91" i="22"/>
  <c r="AD91" i="22"/>
  <c r="P96" i="22"/>
  <c r="AD96" i="22"/>
  <c r="P90" i="22"/>
  <c r="AD90" i="22"/>
  <c r="N90" i="22"/>
  <c r="N94" i="22"/>
  <c r="N91" i="22"/>
  <c r="N96" i="22"/>
  <c r="N92" i="22"/>
  <c r="N93" i="22"/>
  <c r="N140" i="17"/>
  <c r="Q8" i="17"/>
  <c r="P8" i="17" s="1"/>
  <c r="Z8" i="17"/>
  <c r="O8" i="17"/>
  <c r="N8" i="17"/>
  <c r="AA8" i="17"/>
  <c r="M8" i="17"/>
  <c r="L8" i="17"/>
  <c r="Y8" i="17"/>
  <c r="AD8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<sst xmlns="http://schemas.openxmlformats.org/spreadsheetml/2006/main" count="74490" uniqueCount="19426">
  <si>
    <t>언매</t>
    <phoneticPr fontId="3" type="noConversion"/>
  </si>
  <si>
    <t>화작</t>
    <phoneticPr fontId="3" type="noConversion"/>
  </si>
  <si>
    <t>미적</t>
    <phoneticPr fontId="3" type="noConversion"/>
  </si>
  <si>
    <t>확통</t>
    <phoneticPr fontId="3" type="noConversion"/>
  </si>
  <si>
    <t>사탐</t>
    <phoneticPr fontId="3" type="noConversion"/>
  </si>
  <si>
    <t>국어</t>
    <phoneticPr fontId="3" type="noConversion"/>
  </si>
  <si>
    <t>수학</t>
    <phoneticPr fontId="3" type="noConversion"/>
  </si>
  <si>
    <t>기하</t>
    <phoneticPr fontId="3" type="noConversion"/>
  </si>
  <si>
    <t>과탐</t>
    <phoneticPr fontId="3" type="noConversion"/>
  </si>
  <si>
    <t>물리Ⅰ</t>
    <phoneticPr fontId="3" type="noConversion"/>
  </si>
  <si>
    <t>동아시아사</t>
    <phoneticPr fontId="3" type="noConversion"/>
  </si>
  <si>
    <t>세계사</t>
    <phoneticPr fontId="3" type="noConversion"/>
  </si>
  <si>
    <t>세계지리</t>
    <phoneticPr fontId="3" type="noConversion"/>
  </si>
  <si>
    <t>한국지리</t>
    <phoneticPr fontId="3" type="noConversion"/>
  </si>
  <si>
    <t>정치와법</t>
    <phoneticPr fontId="3" type="noConversion"/>
  </si>
  <si>
    <t>경제</t>
    <phoneticPr fontId="3" type="noConversion"/>
  </si>
  <si>
    <t>사회문화</t>
    <phoneticPr fontId="3" type="noConversion"/>
  </si>
  <si>
    <t>생활과윤리</t>
    <phoneticPr fontId="3" type="noConversion"/>
  </si>
  <si>
    <t>윤리와사상</t>
    <phoneticPr fontId="3" type="noConversion"/>
  </si>
  <si>
    <t>영어</t>
    <phoneticPr fontId="3" type="noConversion"/>
  </si>
  <si>
    <t>등급</t>
    <phoneticPr fontId="3" type="noConversion"/>
  </si>
  <si>
    <t>한국사</t>
    <phoneticPr fontId="3" type="noConversion"/>
  </si>
  <si>
    <t>화학Ⅰ</t>
    <phoneticPr fontId="3" type="noConversion"/>
  </si>
  <si>
    <t>지구과학Ⅰ</t>
    <phoneticPr fontId="3" type="noConversion"/>
  </si>
  <si>
    <t>원점수</t>
    <phoneticPr fontId="3" type="noConversion"/>
  </si>
  <si>
    <t>표준점수</t>
    <phoneticPr fontId="3" type="noConversion"/>
  </si>
  <si>
    <t>백분위</t>
    <phoneticPr fontId="3" type="noConversion"/>
  </si>
  <si>
    <t>응시여부</t>
    <phoneticPr fontId="3" type="noConversion"/>
  </si>
  <si>
    <t>원점</t>
    <phoneticPr fontId="3" type="noConversion"/>
  </si>
  <si>
    <t>표점</t>
    <phoneticPr fontId="3" type="noConversion"/>
  </si>
  <si>
    <t>적용점수</t>
    <phoneticPr fontId="3" type="noConversion"/>
  </si>
  <si>
    <t>과탐1</t>
    <phoneticPr fontId="3" type="noConversion"/>
  </si>
  <si>
    <t>과탐2</t>
    <phoneticPr fontId="3" type="noConversion"/>
  </si>
  <si>
    <t>사탐1</t>
    <phoneticPr fontId="3" type="noConversion"/>
  </si>
  <si>
    <t>사탐2</t>
    <phoneticPr fontId="3" type="noConversion"/>
  </si>
  <si>
    <t>제2외국어</t>
    <phoneticPr fontId="3" type="noConversion"/>
  </si>
  <si>
    <t>백분</t>
    <phoneticPr fontId="3" type="noConversion"/>
  </si>
  <si>
    <t>고득점순</t>
    <phoneticPr fontId="3" type="noConversion"/>
  </si>
  <si>
    <t>원점순위</t>
    <phoneticPr fontId="3" type="noConversion"/>
  </si>
  <si>
    <t>표점순위</t>
    <phoneticPr fontId="3" type="noConversion"/>
  </si>
  <si>
    <t>백분순위</t>
    <phoneticPr fontId="3" type="noConversion"/>
  </si>
  <si>
    <t>등급순위</t>
    <phoneticPr fontId="3" type="noConversion"/>
  </si>
  <si>
    <t>원점순위용</t>
    <phoneticPr fontId="3" type="noConversion"/>
  </si>
  <si>
    <t>표점순위용</t>
    <phoneticPr fontId="3" type="noConversion"/>
  </si>
  <si>
    <t>백분순위용</t>
    <phoneticPr fontId="3" type="noConversion"/>
  </si>
  <si>
    <t>등급순위용</t>
    <phoneticPr fontId="3" type="noConversion"/>
  </si>
  <si>
    <t>가산점용</t>
    <phoneticPr fontId="3" type="noConversion"/>
  </si>
  <si>
    <t>과탐Ⅱ</t>
    <phoneticPr fontId="3" type="noConversion"/>
  </si>
  <si>
    <t>(1~2)</t>
    <phoneticPr fontId="3" type="noConversion"/>
  </si>
  <si>
    <t>(3~5)</t>
    <phoneticPr fontId="3" type="noConversion"/>
  </si>
  <si>
    <t>(6~13)</t>
    <phoneticPr fontId="3" type="noConversion"/>
  </si>
  <si>
    <t>(10~13)</t>
    <phoneticPr fontId="3" type="noConversion"/>
  </si>
  <si>
    <t>(14~22)</t>
    <phoneticPr fontId="3" type="noConversion"/>
  </si>
  <si>
    <t>응시여부코드</t>
    <phoneticPr fontId="3" type="noConversion"/>
  </si>
  <si>
    <t>(가산점용)</t>
    <phoneticPr fontId="3" type="noConversion"/>
  </si>
  <si>
    <t>변표</t>
    <phoneticPr fontId="3" type="noConversion"/>
  </si>
  <si>
    <t>표점(만대)</t>
    <phoneticPr fontId="3" type="noConversion"/>
  </si>
  <si>
    <t>최고표점</t>
    <phoneticPr fontId="3" type="noConversion"/>
  </si>
  <si>
    <t>계명 의약</t>
  </si>
  <si>
    <t>응시과목명</t>
    <phoneticPr fontId="3" type="noConversion"/>
  </si>
  <si>
    <t>단국 의치약</t>
  </si>
  <si>
    <t>영어실질</t>
    <phoneticPr fontId="3" type="noConversion"/>
  </si>
  <si>
    <t>반영비</t>
    <phoneticPr fontId="3" type="noConversion"/>
  </si>
  <si>
    <t>물리II</t>
    <phoneticPr fontId="3" type="noConversion"/>
  </si>
  <si>
    <t>화학II</t>
    <phoneticPr fontId="3" type="noConversion"/>
  </si>
  <si>
    <t>지구과학II</t>
    <phoneticPr fontId="3" type="noConversion"/>
  </si>
  <si>
    <t>과</t>
    <phoneticPr fontId="3" type="noConversion"/>
  </si>
  <si>
    <t>사</t>
    <phoneticPr fontId="3" type="noConversion"/>
  </si>
  <si>
    <t>경제</t>
  </si>
  <si>
    <t>경영</t>
  </si>
  <si>
    <t>자연</t>
  </si>
  <si>
    <t>통합</t>
  </si>
  <si>
    <t>가</t>
  </si>
  <si>
    <t>연세대</t>
  </si>
  <si>
    <t>인공지능</t>
  </si>
  <si>
    <t>고려대</t>
  </si>
  <si>
    <t>미디어</t>
  </si>
  <si>
    <t>성균관대</t>
  </si>
  <si>
    <t>인문</t>
  </si>
  <si>
    <t>나</t>
  </si>
  <si>
    <t>한양대</t>
  </si>
  <si>
    <t>다</t>
  </si>
  <si>
    <t>경희대</t>
  </si>
  <si>
    <t>서울시립대</t>
  </si>
  <si>
    <t>건축학</t>
  </si>
  <si>
    <t>자유전공</t>
  </si>
  <si>
    <t>영어감점</t>
    <phoneticPr fontId="3" type="noConversion"/>
  </si>
  <si>
    <t>한국.외국</t>
    <phoneticPr fontId="3" type="noConversion"/>
  </si>
  <si>
    <t>감점</t>
    <phoneticPr fontId="3" type="noConversion"/>
  </si>
  <si>
    <t>코드</t>
    <phoneticPr fontId="3" type="noConversion"/>
  </si>
  <si>
    <t>주요대학</t>
    <phoneticPr fontId="3" type="noConversion"/>
  </si>
  <si>
    <t>탐구1 점수</t>
    <phoneticPr fontId="3" type="noConversion"/>
  </si>
  <si>
    <t>탐구2 점수</t>
    <phoneticPr fontId="3" type="noConversion"/>
  </si>
  <si>
    <t>과1 백분</t>
    <phoneticPr fontId="3" type="noConversion"/>
  </si>
  <si>
    <t>과2 백분</t>
    <phoneticPr fontId="3" type="noConversion"/>
  </si>
  <si>
    <t>사1 백분</t>
    <phoneticPr fontId="3" type="noConversion"/>
  </si>
  <si>
    <t>사2 백분</t>
    <phoneticPr fontId="3" type="noConversion"/>
  </si>
  <si>
    <t>과1 점수</t>
    <phoneticPr fontId="3" type="noConversion"/>
  </si>
  <si>
    <t>과2 점수</t>
    <phoneticPr fontId="3" type="noConversion"/>
  </si>
  <si>
    <t>사1 점수</t>
    <phoneticPr fontId="3" type="noConversion"/>
  </si>
  <si>
    <t>사2 점수</t>
    <phoneticPr fontId="3" type="noConversion"/>
  </si>
  <si>
    <t>변표테이블 column</t>
    <phoneticPr fontId="3" type="noConversion"/>
  </si>
  <si>
    <t>2과</t>
  </si>
  <si>
    <t>2사</t>
  </si>
  <si>
    <t>3과</t>
  </si>
  <si>
    <t>3사</t>
  </si>
  <si>
    <t>4과</t>
  </si>
  <si>
    <t>4사</t>
  </si>
  <si>
    <t>5과</t>
  </si>
  <si>
    <t>5사</t>
  </si>
  <si>
    <t>6과</t>
  </si>
  <si>
    <t>6사</t>
  </si>
  <si>
    <t>7과</t>
  </si>
  <si>
    <t>7사</t>
  </si>
  <si>
    <t>8과</t>
  </si>
  <si>
    <t>8사</t>
  </si>
  <si>
    <t>9과</t>
  </si>
  <si>
    <t>9사</t>
  </si>
  <si>
    <t>10과</t>
  </si>
  <si>
    <t>10사</t>
  </si>
  <si>
    <t>11과</t>
  </si>
  <si>
    <t>11사</t>
  </si>
  <si>
    <t>12과</t>
  </si>
  <si>
    <t>12사</t>
  </si>
  <si>
    <t>13과</t>
  </si>
  <si>
    <t>13사</t>
  </si>
  <si>
    <t>14과</t>
  </si>
  <si>
    <t>14사</t>
  </si>
  <si>
    <t>15과</t>
  </si>
  <si>
    <t>15사</t>
  </si>
  <si>
    <t>16과</t>
  </si>
  <si>
    <t>16사</t>
  </si>
  <si>
    <t>17과</t>
  </si>
  <si>
    <t>17사</t>
  </si>
  <si>
    <t>18과</t>
  </si>
  <si>
    <t>18사</t>
  </si>
  <si>
    <t>19과</t>
  </si>
  <si>
    <t>19사</t>
  </si>
  <si>
    <t>20과</t>
  </si>
  <si>
    <t>20사</t>
  </si>
  <si>
    <t>21과</t>
  </si>
  <si>
    <t>21사</t>
  </si>
  <si>
    <t>22과</t>
  </si>
  <si>
    <t>22사</t>
  </si>
  <si>
    <t>23과</t>
  </si>
  <si>
    <t>23사</t>
  </si>
  <si>
    <t>24과</t>
  </si>
  <si>
    <t>24사</t>
  </si>
  <si>
    <t>25과</t>
  </si>
  <si>
    <t>25사</t>
  </si>
  <si>
    <t>26과</t>
  </si>
  <si>
    <t>26사</t>
  </si>
  <si>
    <t>27과</t>
  </si>
  <si>
    <t>27사</t>
  </si>
  <si>
    <t>28과</t>
  </si>
  <si>
    <t>28사</t>
  </si>
  <si>
    <t>29과</t>
  </si>
  <si>
    <t>29사</t>
  </si>
  <si>
    <t>30과</t>
  </si>
  <si>
    <t>30사</t>
  </si>
  <si>
    <t>31과</t>
  </si>
  <si>
    <t>31사</t>
  </si>
  <si>
    <t>32과</t>
  </si>
  <si>
    <t>32사</t>
  </si>
  <si>
    <t>33과</t>
  </si>
  <si>
    <t>33사</t>
  </si>
  <si>
    <t>34과</t>
  </si>
  <si>
    <t>34사</t>
  </si>
  <si>
    <t>35과</t>
  </si>
  <si>
    <t>35사</t>
  </si>
  <si>
    <t>37과</t>
  </si>
  <si>
    <t>37사</t>
  </si>
  <si>
    <t>38과</t>
  </si>
  <si>
    <t>38사</t>
  </si>
  <si>
    <t>39과</t>
  </si>
  <si>
    <t>39사</t>
  </si>
  <si>
    <t>40과</t>
  </si>
  <si>
    <t>40사</t>
  </si>
  <si>
    <t>41과</t>
  </si>
  <si>
    <t>41사</t>
  </si>
  <si>
    <t>42과</t>
  </si>
  <si>
    <t>42사</t>
  </si>
  <si>
    <t>43과</t>
  </si>
  <si>
    <t>43사</t>
  </si>
  <si>
    <t>44과</t>
  </si>
  <si>
    <t>44사</t>
  </si>
  <si>
    <t>45과</t>
  </si>
  <si>
    <t>45사</t>
  </si>
  <si>
    <t>변표테이블 row</t>
    <phoneticPr fontId="3" type="noConversion"/>
  </si>
  <si>
    <t>변표 출력</t>
    <phoneticPr fontId="3" type="noConversion"/>
  </si>
  <si>
    <t>.</t>
    <phoneticPr fontId="3" type="noConversion"/>
  </si>
  <si>
    <t>디폴트</t>
    <phoneticPr fontId="3" type="noConversion"/>
  </si>
  <si>
    <t>과탐 전체최고표점</t>
    <phoneticPr fontId="3" type="noConversion"/>
  </si>
  <si>
    <t>생명과학Ⅰ</t>
    <phoneticPr fontId="3" type="noConversion"/>
  </si>
  <si>
    <t>생명과학II</t>
    <phoneticPr fontId="3" type="noConversion"/>
  </si>
  <si>
    <t>가천대</t>
  </si>
  <si>
    <t>서울대</t>
  </si>
  <si>
    <t>강원대</t>
  </si>
  <si>
    <t>약학</t>
  </si>
  <si>
    <t>한의예(인문)</t>
  </si>
  <si>
    <t>대구한의대</t>
  </si>
  <si>
    <t>동의대</t>
  </si>
  <si>
    <t>원광대</t>
  </si>
  <si>
    <t>대전대</t>
  </si>
  <si>
    <t>상지대</t>
  </si>
  <si>
    <t>한의예</t>
  </si>
  <si>
    <t>우석대</t>
  </si>
  <si>
    <t>동신대</t>
  </si>
  <si>
    <t>세명대</t>
  </si>
  <si>
    <t>부산대</t>
  </si>
  <si>
    <t>수의예</t>
  </si>
  <si>
    <t>전북대</t>
  </si>
  <si>
    <t>전남대</t>
  </si>
  <si>
    <t>제주대</t>
  </si>
  <si>
    <t>충북대</t>
  </si>
  <si>
    <t>경북대</t>
  </si>
  <si>
    <t>충남대</t>
  </si>
  <si>
    <t>건국대</t>
  </si>
  <si>
    <t>순천대</t>
  </si>
  <si>
    <t>계명대</t>
  </si>
  <si>
    <t>삼육대</t>
  </si>
  <si>
    <t>아주대</t>
  </si>
  <si>
    <t>대구가톨릭대</t>
  </si>
  <si>
    <t>영남대</t>
  </si>
  <si>
    <t>이화여대</t>
  </si>
  <si>
    <t>동덕여대</t>
  </si>
  <si>
    <t>차의과대</t>
  </si>
  <si>
    <t>목포대</t>
  </si>
  <si>
    <t>중앙대</t>
  </si>
  <si>
    <t>인문계열</t>
  </si>
  <si>
    <t>초등교육</t>
  </si>
  <si>
    <t>한국외대</t>
  </si>
  <si>
    <t>문화콘텐츠</t>
  </si>
  <si>
    <t>동국대</t>
  </si>
  <si>
    <t>건축공학</t>
  </si>
  <si>
    <t>광고홍보</t>
  </si>
  <si>
    <t>숭실대</t>
  </si>
  <si>
    <t>국민대</t>
  </si>
  <si>
    <t>인하대</t>
  </si>
  <si>
    <t>가톨릭대</t>
  </si>
  <si>
    <t>의예</t>
  </si>
  <si>
    <t>울산대</t>
  </si>
  <si>
    <t>인제대</t>
  </si>
  <si>
    <t>동아대</t>
  </si>
  <si>
    <t>건양대</t>
  </si>
  <si>
    <t>조선대</t>
  </si>
  <si>
    <t>한림대</t>
  </si>
  <si>
    <t>을지대</t>
  </si>
  <si>
    <t>의예(인문)</t>
  </si>
  <si>
    <t>관동대</t>
  </si>
  <si>
    <t>순천향대</t>
  </si>
  <si>
    <t>단국(천안)</t>
  </si>
  <si>
    <t>고신대</t>
  </si>
  <si>
    <t>치의예</t>
  </si>
  <si>
    <t>숙명여대</t>
  </si>
  <si>
    <t>덕성여대</t>
  </si>
  <si>
    <t>경성대</t>
  </si>
  <si>
    <t>표점합</t>
    <phoneticPr fontId="3" type="noConversion"/>
  </si>
  <si>
    <t>한양 자연</t>
  </si>
  <si>
    <t>한양 통합</t>
  </si>
  <si>
    <t>한양 상경</t>
  </si>
  <si>
    <t>중앙 통합</t>
  </si>
  <si>
    <t>중앙 자연</t>
  </si>
  <si>
    <t>경희 자연</t>
  </si>
  <si>
    <t>동국 통합</t>
  </si>
  <si>
    <t>서울대 자전</t>
  </si>
  <si>
    <t>서울대 통합</t>
  </si>
  <si>
    <t>중앙 경영경제</t>
  </si>
  <si>
    <t>이화 자연</t>
  </si>
  <si>
    <t>이화 통합</t>
  </si>
  <si>
    <t>한림 의</t>
  </si>
  <si>
    <t>을지 의</t>
  </si>
  <si>
    <t>연세미래 의</t>
  </si>
  <si>
    <t>건국충주 의</t>
  </si>
  <si>
    <t>영남 의약</t>
  </si>
  <si>
    <t>원광 의치약한</t>
  </si>
  <si>
    <t>관동 의</t>
  </si>
  <si>
    <t>동덕 약</t>
  </si>
  <si>
    <t>우석 약</t>
  </si>
  <si>
    <t>세명 한</t>
  </si>
  <si>
    <t>대구 한자</t>
  </si>
  <si>
    <t>우석 한</t>
  </si>
  <si>
    <t>동의 한자</t>
  </si>
  <si>
    <t>동의 한문</t>
  </si>
  <si>
    <t>대구 한문</t>
  </si>
  <si>
    <t>순천향 의</t>
  </si>
  <si>
    <t>동국경주 의</t>
  </si>
  <si>
    <t>고신 의</t>
  </si>
  <si>
    <t>강릉 치</t>
  </si>
  <si>
    <t>삼육 약</t>
  </si>
  <si>
    <t>순천 약</t>
  </si>
  <si>
    <t>동국경주 한자</t>
  </si>
  <si>
    <t>상지 한자</t>
  </si>
  <si>
    <t>동국경주 한통</t>
  </si>
  <si>
    <t>상지 한통</t>
  </si>
  <si>
    <t>숭실 자연1</t>
  </si>
  <si>
    <t>숭실 경상</t>
  </si>
  <si>
    <t>탐구</t>
  </si>
  <si>
    <t>응시인원</t>
  </si>
  <si>
    <t>원점/표점코드</t>
    <phoneticPr fontId="3" type="noConversion"/>
  </si>
  <si>
    <t>전자공학</t>
  </si>
  <si>
    <t>세종대</t>
  </si>
  <si>
    <t>서강대</t>
  </si>
  <si>
    <t>연세대 자연</t>
  </si>
  <si>
    <t>연세대 국제</t>
  </si>
  <si>
    <t>연세대 통합</t>
  </si>
  <si>
    <t>고려대 자연</t>
  </si>
  <si>
    <t>고려대 통합</t>
  </si>
  <si>
    <t>울산 의</t>
  </si>
  <si>
    <t>연세대 의</t>
  </si>
  <si>
    <t>가천 의약</t>
  </si>
  <si>
    <t>인제 의</t>
  </si>
  <si>
    <t>동아 의</t>
  </si>
  <si>
    <t>건양 의</t>
  </si>
  <si>
    <t>조선 의치약</t>
  </si>
  <si>
    <t>덕성 약</t>
  </si>
  <si>
    <t>경성 약</t>
  </si>
  <si>
    <t>인제 약</t>
  </si>
  <si>
    <t>목포 약</t>
  </si>
  <si>
    <t>가천 한</t>
  </si>
  <si>
    <t>동신 한</t>
  </si>
  <si>
    <t>대전 한</t>
  </si>
  <si>
    <t>서강 통합</t>
  </si>
  <si>
    <t>서강 자연</t>
  </si>
  <si>
    <t>국민 자연</t>
  </si>
  <si>
    <t>세종 통합</t>
  </si>
  <si>
    <t>아주 자연</t>
  </si>
  <si>
    <t>아주 인문사회</t>
  </si>
  <si>
    <t>1과</t>
  </si>
  <si>
    <t>1사</t>
  </si>
  <si>
    <t>*원점배치표 표점배치표 모두 필수입력</t>
    <phoneticPr fontId="3" type="noConversion"/>
  </si>
  <si>
    <t>함수</t>
    <phoneticPr fontId="3" type="noConversion"/>
  </si>
  <si>
    <t>서울대 자연A 물화</t>
  </si>
  <si>
    <t>서울대 자연B</t>
  </si>
  <si>
    <t>고려대 사국</t>
  </si>
  <si>
    <t>한국외대 통합어문</t>
  </si>
  <si>
    <t>한국외대 통합사회</t>
  </si>
  <si>
    <t>한국외대 자연</t>
  </si>
  <si>
    <t>서울시립 통합A</t>
  </si>
  <si>
    <t>서울시립 통합B</t>
  </si>
  <si>
    <t>서울시립 통합C사회지정</t>
  </si>
  <si>
    <t>서울시립 자연A</t>
  </si>
  <si>
    <t>서울시립 자연B</t>
  </si>
  <si>
    <t>서울시립 자연C수학자유</t>
  </si>
  <si>
    <t>홍익 자연서울</t>
  </si>
  <si>
    <t>홍익 통합서울</t>
  </si>
  <si>
    <t>숙명 인문</t>
  </si>
  <si>
    <t>숙명 자연</t>
  </si>
  <si>
    <t>세종 창의</t>
  </si>
  <si>
    <t>세종 국방항공</t>
  </si>
  <si>
    <t>단국 자연</t>
  </si>
  <si>
    <t>단국 건축</t>
  </si>
  <si>
    <t>단국 통합</t>
  </si>
  <si>
    <t>단국 경영경제</t>
  </si>
  <si>
    <t>광운 자연</t>
  </si>
  <si>
    <t>광운 통합</t>
  </si>
  <si>
    <t>광운 경영통상</t>
  </si>
  <si>
    <t>명지 자연</t>
  </si>
  <si>
    <t>명지 통합</t>
  </si>
  <si>
    <t>상명 자연</t>
  </si>
  <si>
    <t>상명 통합</t>
  </si>
  <si>
    <t>가톨 자연</t>
  </si>
  <si>
    <t>인하 통합</t>
  </si>
  <si>
    <t>원광 통합치한</t>
  </si>
  <si>
    <t>차의 약</t>
  </si>
  <si>
    <t>강원 통합</t>
  </si>
  <si>
    <t>강원 자연C</t>
  </si>
  <si>
    <t>경상 통합</t>
  </si>
  <si>
    <t>경상 자연미정</t>
  </si>
  <si>
    <t>경상 의약</t>
  </si>
  <si>
    <t>경상 수</t>
  </si>
  <si>
    <t>경북 통합</t>
  </si>
  <si>
    <t>경북 자연미정</t>
  </si>
  <si>
    <t>경북 수탐지정</t>
  </si>
  <si>
    <t>부산 통합</t>
  </si>
  <si>
    <t>부산 과탐지정</t>
  </si>
  <si>
    <t>전남 통합</t>
  </si>
  <si>
    <t>전남 자연미정</t>
  </si>
  <si>
    <t>전남 수학지정</t>
  </si>
  <si>
    <t>전남 수탐지정</t>
  </si>
  <si>
    <t>전북 통합</t>
  </si>
  <si>
    <t>전북 자연미정</t>
  </si>
  <si>
    <t>전북 과탐지정</t>
  </si>
  <si>
    <t>전북 수탐지정</t>
  </si>
  <si>
    <t>제주 통합</t>
  </si>
  <si>
    <t>제주 자연미정</t>
  </si>
  <si>
    <t>제주 자연미정공대</t>
  </si>
  <si>
    <t>제주 과탐지정</t>
  </si>
  <si>
    <t>제주 수학지정</t>
  </si>
  <si>
    <t>제주 수탐지정</t>
  </si>
  <si>
    <t>충남 통합</t>
  </si>
  <si>
    <t>충남 자연미정</t>
  </si>
  <si>
    <t>충남 과탐지정</t>
  </si>
  <si>
    <t>충남 수탐지정</t>
  </si>
  <si>
    <t>충북 통합</t>
  </si>
  <si>
    <t>충북 자연미정</t>
  </si>
  <si>
    <t>충북 수탐지정</t>
  </si>
  <si>
    <t>경인교대</t>
  </si>
  <si>
    <t>공주교대</t>
  </si>
  <si>
    <t>광주교대</t>
  </si>
  <si>
    <t>대구교대</t>
  </si>
  <si>
    <t>부산교대</t>
  </si>
  <si>
    <t>서울교대</t>
  </si>
  <si>
    <t>전주교대</t>
  </si>
  <si>
    <t>진주교대</t>
  </si>
  <si>
    <t>청주교대</t>
  </si>
  <si>
    <t>춘천교대</t>
  </si>
  <si>
    <t>한국교원대</t>
  </si>
  <si>
    <t/>
  </si>
  <si>
    <t>학과연번</t>
  </si>
  <si>
    <t>모집군</t>
  </si>
  <si>
    <t>대학</t>
  </si>
  <si>
    <t>학과</t>
  </si>
  <si>
    <t>계열</t>
  </si>
  <si>
    <t>문화인류</t>
  </si>
  <si>
    <t>한국사</t>
  </si>
  <si>
    <t>인문대학</t>
  </si>
  <si>
    <t>홍익대</t>
  </si>
  <si>
    <t>건축학부</t>
  </si>
  <si>
    <t>IT계열</t>
  </si>
  <si>
    <t>공과계열</t>
  </si>
  <si>
    <t>경상계열</t>
  </si>
  <si>
    <t>단국대</t>
  </si>
  <si>
    <t>광운대</t>
  </si>
  <si>
    <t>명지대</t>
  </si>
  <si>
    <t>상명대</t>
  </si>
  <si>
    <t>의학</t>
  </si>
  <si>
    <t>의예(지역)</t>
  </si>
  <si>
    <t>치의학</t>
  </si>
  <si>
    <t>치의예(지역)</t>
  </si>
  <si>
    <t>치의예(자연)</t>
  </si>
  <si>
    <t>치의예(인문)</t>
  </si>
  <si>
    <t>약학(지역)</t>
  </si>
  <si>
    <t>한의예(자연)</t>
  </si>
  <si>
    <t>한의예(지역)</t>
  </si>
  <si>
    <t>화학공학부</t>
  </si>
  <si>
    <t>일반학생</t>
  </si>
  <si>
    <t>만학도</t>
  </si>
  <si>
    <t>저소득</t>
  </si>
  <si>
    <t>농어촌</t>
  </si>
  <si>
    <t>기회균형</t>
  </si>
  <si>
    <t>기초/차상위/한부모</t>
  </si>
  <si>
    <t>일반전형</t>
  </si>
  <si>
    <t>강원인재</t>
  </si>
  <si>
    <t>기초/차상위</t>
  </si>
  <si>
    <t>국/영중 큰거선택</t>
  </si>
  <si>
    <t>인천대</t>
  </si>
  <si>
    <t>도시건축학부</t>
  </si>
  <si>
    <t>대구가톨 의</t>
  </si>
  <si>
    <t>대구가톨 약</t>
  </si>
  <si>
    <t>인천 통합패션</t>
  </si>
  <si>
    <t>인천 국제통상</t>
  </si>
  <si>
    <t>서울과기 통합</t>
  </si>
  <si>
    <t>서강 인문</t>
  </si>
  <si>
    <t>백분위</t>
  </si>
  <si>
    <t>이화 통합자연계</t>
  </si>
  <si>
    <t xml:space="preserve">                                                                                                                                                          제작 및 검토 &lt; 베텔기우스 &gt; Betelgeuse058.tistory.com</t>
    <phoneticPr fontId="3" type="noConversion"/>
  </si>
  <si>
    <t>연번</t>
  </si>
  <si>
    <t>탐구1</t>
    <phoneticPr fontId="3" type="noConversion"/>
  </si>
  <si>
    <t>탐구2</t>
    <phoneticPr fontId="3" type="noConversion"/>
  </si>
  <si>
    <t>연세미래 자연</t>
  </si>
  <si>
    <t>연세미래 통합</t>
  </si>
  <si>
    <t>가천 자연</t>
  </si>
  <si>
    <t>가천 통합</t>
  </si>
  <si>
    <t>경기 자연</t>
  </si>
  <si>
    <t>성신 자연가</t>
  </si>
  <si>
    <t>성신 자연나</t>
  </si>
  <si>
    <t>성신 AI</t>
  </si>
  <si>
    <t>성신 통합가</t>
  </si>
  <si>
    <t>성신 통합나</t>
  </si>
  <si>
    <t>성신 간호자연</t>
  </si>
  <si>
    <t>성신 간호인문</t>
  </si>
  <si>
    <t>성신 통합사범</t>
  </si>
  <si>
    <t>동덕 자연</t>
  </si>
  <si>
    <t>동덕 인문</t>
  </si>
  <si>
    <t>덕성 자연</t>
  </si>
  <si>
    <t>덕성 통합</t>
  </si>
  <si>
    <t>덕성 기준</t>
  </si>
  <si>
    <t>한양대(ERICA)</t>
  </si>
  <si>
    <t>성신여대</t>
  </si>
  <si>
    <t>AI융합학부</t>
  </si>
  <si>
    <t>바이오신약의과학부</t>
  </si>
  <si>
    <t>바이오헬스융합학부</t>
  </si>
  <si>
    <t>사회과학계열</t>
  </si>
  <si>
    <t>영어</t>
  </si>
  <si>
    <t>경기대</t>
  </si>
  <si>
    <t>전자공학부</t>
  </si>
  <si>
    <t>바이오융합학부</t>
  </si>
  <si>
    <t>공공안전학부</t>
  </si>
  <si>
    <t>경영학부</t>
  </si>
  <si>
    <t>공공인재학부</t>
  </si>
  <si>
    <t>경제학부</t>
  </si>
  <si>
    <t>글로벌어문학부</t>
  </si>
  <si>
    <t>휴먼서비스학부</t>
  </si>
  <si>
    <t>고려대(세종)</t>
  </si>
  <si>
    <t>경제통계학부</t>
  </si>
  <si>
    <t>연세대(미래)</t>
  </si>
  <si>
    <t>강원대(제2캠)</t>
  </si>
  <si>
    <t>글로벌인재학부</t>
  </si>
  <si>
    <t>사회복지학과</t>
  </si>
  <si>
    <t>건설융합학부</t>
  </si>
  <si>
    <t>유아교육과</t>
  </si>
  <si>
    <t>소방방재학부</t>
  </si>
  <si>
    <t>일본어학과</t>
  </si>
  <si>
    <t>*삭제가능열</t>
    <phoneticPr fontId="3" type="noConversion"/>
  </si>
  <si>
    <t xml:space="preserve"> </t>
  </si>
  <si>
    <t>가나다</t>
  </si>
  <si>
    <r>
      <t xml:space="preserve">제작 및 검토 &lt;베텔기우스&gt; </t>
    </r>
    <r>
      <rPr>
        <sz val="11"/>
        <color rgb="FFC00000"/>
        <rFont val="맑은 고딕"/>
        <family val="3"/>
        <charset val="129"/>
        <scheme val="minor"/>
      </rPr>
      <t>Betelgeuse058.tistory.com</t>
    </r>
  </si>
  <si>
    <t>군 입력</t>
  </si>
  <si>
    <t>판정 기준점수</t>
  </si>
  <si>
    <t>감점 상세</t>
  </si>
  <si>
    <t>나의 점수</t>
  </si>
  <si>
    <t>안정</t>
  </si>
  <si>
    <t>적정</t>
  </si>
  <si>
    <t>예상컷</t>
  </si>
  <si>
    <t>도전</t>
  </si>
  <si>
    <t>반영 방법</t>
  </si>
  <si>
    <t>실질 반영비</t>
  </si>
  <si>
    <t>공식 연번</t>
  </si>
  <si>
    <t>지원가능</t>
  </si>
  <si>
    <t>영어감점</t>
  </si>
  <si>
    <t>영어감점 비율</t>
  </si>
  <si>
    <t>한국사/외국어</t>
  </si>
  <si>
    <t>합격확률 추정</t>
  </si>
  <si>
    <t>환산점수</t>
  </si>
  <si>
    <t>국 수</t>
  </si>
  <si>
    <t>국</t>
  </si>
  <si>
    <t>수</t>
  </si>
  <si>
    <t>탐</t>
  </si>
  <si>
    <t>서식기준</t>
  </si>
  <si>
    <t>표점</t>
  </si>
  <si>
    <t>변표</t>
  </si>
  <si>
    <t>표점/만점</t>
  </si>
  <si>
    <t>변표/만점</t>
  </si>
  <si>
    <t>반영방법</t>
  </si>
  <si>
    <t>국.수</t>
  </si>
  <si>
    <t>나</t>
    <phoneticPr fontId="3" type="noConversion"/>
  </si>
  <si>
    <t>다</t>
    <phoneticPr fontId="3" type="noConversion"/>
  </si>
  <si>
    <t xml:space="preserve"> 계열</t>
    <phoneticPr fontId="3" type="noConversion"/>
  </si>
  <si>
    <t xml:space="preserve"> 모집군</t>
    <phoneticPr fontId="3" type="noConversion"/>
  </si>
  <si>
    <t>AI보건정보관리학과</t>
  </si>
  <si>
    <t>물리교육과</t>
  </si>
  <si>
    <t>지리교육과</t>
  </si>
  <si>
    <t>수의예(지역)</t>
  </si>
  <si>
    <t>자연(농어촌)</t>
  </si>
  <si>
    <t>IT계열(농어촌)</t>
  </si>
  <si>
    <t>공과계열(농어촌)</t>
  </si>
  <si>
    <t>생활과학계열</t>
  </si>
  <si>
    <t>스마트시티공학부</t>
  </si>
  <si>
    <t>기계융합공학과</t>
  </si>
  <si>
    <t>물리학과</t>
  </si>
  <si>
    <t>수학과</t>
  </si>
  <si>
    <t>수산생명의학과</t>
  </si>
  <si>
    <t>인테리어재료공학과</t>
  </si>
  <si>
    <t>정보통계학과</t>
  </si>
  <si>
    <t>화학과</t>
  </si>
  <si>
    <t>스마트에너지기계공학과</t>
  </si>
  <si>
    <t>해양토목공학과</t>
  </si>
  <si>
    <t>해양환경공학과</t>
  </si>
  <si>
    <t>조선해양공학과</t>
  </si>
  <si>
    <t>독어독문학과</t>
  </si>
  <si>
    <t>불어불문학과</t>
  </si>
  <si>
    <t>한문학과</t>
  </si>
  <si>
    <t>리더십과조직과학전공</t>
  </si>
  <si>
    <t>기초생활수급자전형</t>
  </si>
  <si>
    <t>자연과학계열</t>
  </si>
  <si>
    <t>기계시스템공학과</t>
  </si>
  <si>
    <t>해양생명과학과</t>
  </si>
  <si>
    <t>해양수산경영학과</t>
  </si>
  <si>
    <t>가1</t>
  </si>
  <si>
    <t>가2</t>
  </si>
  <si>
    <t>가3</t>
  </si>
  <si>
    <t>가4</t>
  </si>
  <si>
    <t>가5</t>
  </si>
  <si>
    <t>가6</t>
  </si>
  <si>
    <t>가7</t>
  </si>
  <si>
    <t>가8</t>
  </si>
  <si>
    <t>가9</t>
  </si>
  <si>
    <t>가10</t>
  </si>
  <si>
    <t>가11</t>
  </si>
  <si>
    <t>가12</t>
  </si>
  <si>
    <t>가13</t>
  </si>
  <si>
    <t>가14</t>
  </si>
  <si>
    <t>가15</t>
  </si>
  <si>
    <t>가16</t>
  </si>
  <si>
    <t>가17</t>
  </si>
  <si>
    <t>가18</t>
  </si>
  <si>
    <t>가19</t>
  </si>
  <si>
    <t>가20</t>
  </si>
  <si>
    <t>가21</t>
  </si>
  <si>
    <t>가22</t>
  </si>
  <si>
    <t>가23</t>
  </si>
  <si>
    <t>가24</t>
  </si>
  <si>
    <t>가25</t>
  </si>
  <si>
    <t>가26</t>
  </si>
  <si>
    <t>가27</t>
  </si>
  <si>
    <t>가28</t>
  </si>
  <si>
    <t>가29</t>
  </si>
  <si>
    <t>가30</t>
  </si>
  <si>
    <t>가31</t>
  </si>
  <si>
    <t>가32</t>
  </si>
  <si>
    <t>가33</t>
  </si>
  <si>
    <t>가34</t>
  </si>
  <si>
    <t>가35</t>
  </si>
  <si>
    <t>가36</t>
  </si>
  <si>
    <t>가37</t>
  </si>
  <si>
    <t>가38</t>
  </si>
  <si>
    <t>가39</t>
  </si>
  <si>
    <t>가40</t>
  </si>
  <si>
    <t>가41</t>
  </si>
  <si>
    <t>가42</t>
  </si>
  <si>
    <t>가43</t>
  </si>
  <si>
    <t>가44</t>
  </si>
  <si>
    <t>가45</t>
  </si>
  <si>
    <t>가46</t>
  </si>
  <si>
    <t>가47</t>
  </si>
  <si>
    <t>가48</t>
  </si>
  <si>
    <t>가49</t>
  </si>
  <si>
    <t>가50</t>
  </si>
  <si>
    <t>가51</t>
  </si>
  <si>
    <t>가52</t>
  </si>
  <si>
    <t>가53</t>
  </si>
  <si>
    <t>가54</t>
  </si>
  <si>
    <t>가55</t>
  </si>
  <si>
    <t>가56</t>
  </si>
  <si>
    <t>가57</t>
  </si>
  <si>
    <t>가58</t>
  </si>
  <si>
    <t>가59</t>
  </si>
  <si>
    <t>가60</t>
  </si>
  <si>
    <t>가61</t>
  </si>
  <si>
    <t>가62</t>
  </si>
  <si>
    <t>가63</t>
  </si>
  <si>
    <t>가64</t>
  </si>
  <si>
    <t>가65</t>
  </si>
  <si>
    <t>가66</t>
  </si>
  <si>
    <t>가67</t>
  </si>
  <si>
    <t>가68</t>
  </si>
  <si>
    <t>가69</t>
  </si>
  <si>
    <t>가70</t>
  </si>
  <si>
    <t>가71</t>
  </si>
  <si>
    <t>가72</t>
  </si>
  <si>
    <t>가73</t>
  </si>
  <si>
    <t>가74</t>
  </si>
  <si>
    <t>가75</t>
  </si>
  <si>
    <t>가76</t>
  </si>
  <si>
    <t>가77</t>
  </si>
  <si>
    <t>가78</t>
  </si>
  <si>
    <t>가79</t>
  </si>
  <si>
    <t>가80</t>
  </si>
  <si>
    <t>가81</t>
  </si>
  <si>
    <t>가82</t>
  </si>
  <si>
    <t>가83</t>
  </si>
  <si>
    <t>가84</t>
  </si>
  <si>
    <t>가85</t>
  </si>
  <si>
    <t>가86</t>
  </si>
  <si>
    <t>가87</t>
  </si>
  <si>
    <t>가88</t>
  </si>
  <si>
    <t>가89</t>
  </si>
  <si>
    <t>가90</t>
  </si>
  <si>
    <t>가91</t>
  </si>
  <si>
    <t>가92</t>
  </si>
  <si>
    <t>가93</t>
  </si>
  <si>
    <t>가94</t>
  </si>
  <si>
    <t>가95</t>
  </si>
  <si>
    <t>가96</t>
  </si>
  <si>
    <t>가97</t>
  </si>
  <si>
    <t>가98</t>
  </si>
  <si>
    <t>가99</t>
  </si>
  <si>
    <t>가100</t>
  </si>
  <si>
    <t>가101</t>
  </si>
  <si>
    <t>가102</t>
  </si>
  <si>
    <t>가103</t>
  </si>
  <si>
    <t>가104</t>
  </si>
  <si>
    <t>가105</t>
  </si>
  <si>
    <t>가106</t>
  </si>
  <si>
    <t>가107</t>
  </si>
  <si>
    <t>가108</t>
  </si>
  <si>
    <t>가109</t>
  </si>
  <si>
    <t>가110</t>
  </si>
  <si>
    <t>가111</t>
  </si>
  <si>
    <t>가112</t>
  </si>
  <si>
    <t>가113</t>
  </si>
  <si>
    <t>가114</t>
  </si>
  <si>
    <t>가115</t>
  </si>
  <si>
    <t>가116</t>
  </si>
  <si>
    <t>가117</t>
  </si>
  <si>
    <t>가118</t>
  </si>
  <si>
    <t>가119</t>
  </si>
  <si>
    <t>가120</t>
  </si>
  <si>
    <t>가121</t>
  </si>
  <si>
    <t>가122</t>
  </si>
  <si>
    <t>가123</t>
  </si>
  <si>
    <t>가124</t>
  </si>
  <si>
    <t>가125</t>
  </si>
  <si>
    <t>가126</t>
  </si>
  <si>
    <t>가127</t>
  </si>
  <si>
    <t>가128</t>
  </si>
  <si>
    <t>가129</t>
  </si>
  <si>
    <t>가130</t>
  </si>
  <si>
    <t>가131</t>
  </si>
  <si>
    <t>가132</t>
  </si>
  <si>
    <t>가133</t>
  </si>
  <si>
    <t>가134</t>
  </si>
  <si>
    <t>가135</t>
  </si>
  <si>
    <t>가136</t>
  </si>
  <si>
    <t>가137</t>
  </si>
  <si>
    <t>가138</t>
  </si>
  <si>
    <t>가139</t>
  </si>
  <si>
    <t>가140</t>
  </si>
  <si>
    <t>가141</t>
  </si>
  <si>
    <t>가142</t>
  </si>
  <si>
    <t>가143</t>
  </si>
  <si>
    <t>가144</t>
  </si>
  <si>
    <t>가145</t>
  </si>
  <si>
    <t>가146</t>
  </si>
  <si>
    <t>가147</t>
  </si>
  <si>
    <t>가148</t>
  </si>
  <si>
    <t>가149</t>
  </si>
  <si>
    <t>가150</t>
  </si>
  <si>
    <t>가151</t>
  </si>
  <si>
    <t>가152</t>
  </si>
  <si>
    <t>가153</t>
  </si>
  <si>
    <t>가154</t>
  </si>
  <si>
    <t>가155</t>
  </si>
  <si>
    <t>가156</t>
  </si>
  <si>
    <t>가157</t>
  </si>
  <si>
    <t>가158</t>
  </si>
  <si>
    <t>가159</t>
  </si>
  <si>
    <t>가160</t>
  </si>
  <si>
    <t>가161</t>
  </si>
  <si>
    <t>가162</t>
  </si>
  <si>
    <t>가163</t>
  </si>
  <si>
    <t>가164</t>
  </si>
  <si>
    <t>가165</t>
  </si>
  <si>
    <t>가166</t>
  </si>
  <si>
    <t>가167</t>
  </si>
  <si>
    <t>가168</t>
  </si>
  <si>
    <t>가169</t>
  </si>
  <si>
    <t>가170</t>
  </si>
  <si>
    <t>가171</t>
  </si>
  <si>
    <t>가172</t>
  </si>
  <si>
    <t>가173</t>
  </si>
  <si>
    <t>가174</t>
  </si>
  <si>
    <t>가175</t>
  </si>
  <si>
    <t>가176</t>
  </si>
  <si>
    <t>가177</t>
  </si>
  <si>
    <t>가178</t>
  </si>
  <si>
    <t>가179</t>
  </si>
  <si>
    <t>가180</t>
  </si>
  <si>
    <t>가181</t>
  </si>
  <si>
    <t>가182</t>
  </si>
  <si>
    <t>가183</t>
  </si>
  <si>
    <t>가184</t>
  </si>
  <si>
    <t>가185</t>
  </si>
  <si>
    <t>가186</t>
  </si>
  <si>
    <t>가187</t>
  </si>
  <si>
    <t>가188</t>
  </si>
  <si>
    <t>가189</t>
  </si>
  <si>
    <t>가190</t>
  </si>
  <si>
    <t>가191</t>
  </si>
  <si>
    <t>가192</t>
  </si>
  <si>
    <t>가193</t>
  </si>
  <si>
    <t>가194</t>
  </si>
  <si>
    <t>가195</t>
  </si>
  <si>
    <t>가196</t>
  </si>
  <si>
    <t>가197</t>
  </si>
  <si>
    <t>가198</t>
  </si>
  <si>
    <t>가199</t>
  </si>
  <si>
    <t>가200</t>
  </si>
  <si>
    <t>가201</t>
  </si>
  <si>
    <t>가202</t>
  </si>
  <si>
    <t>가203</t>
  </si>
  <si>
    <t>가204</t>
  </si>
  <si>
    <t>가205</t>
  </si>
  <si>
    <t>가206</t>
  </si>
  <si>
    <t>가207</t>
  </si>
  <si>
    <t>가208</t>
  </si>
  <si>
    <t>가209</t>
  </si>
  <si>
    <t>가210</t>
  </si>
  <si>
    <t>가211</t>
  </si>
  <si>
    <t>가212</t>
  </si>
  <si>
    <t>가213</t>
  </si>
  <si>
    <t>가214</t>
  </si>
  <si>
    <t>가215</t>
  </si>
  <si>
    <t>가216</t>
  </si>
  <si>
    <t>가217</t>
  </si>
  <si>
    <t>가218</t>
  </si>
  <si>
    <t>가219</t>
  </si>
  <si>
    <t>가220</t>
  </si>
  <si>
    <t>가221</t>
  </si>
  <si>
    <t>가222</t>
  </si>
  <si>
    <t>가223</t>
  </si>
  <si>
    <t>가224</t>
  </si>
  <si>
    <t>가225</t>
  </si>
  <si>
    <t>가226</t>
  </si>
  <si>
    <t>가227</t>
  </si>
  <si>
    <t>가228</t>
  </si>
  <si>
    <t>가229</t>
  </si>
  <si>
    <t>가230</t>
  </si>
  <si>
    <t>가231</t>
  </si>
  <si>
    <t>가232</t>
  </si>
  <si>
    <t>가233</t>
  </si>
  <si>
    <t>가234</t>
  </si>
  <si>
    <t>가235</t>
  </si>
  <si>
    <t>가236</t>
  </si>
  <si>
    <t>가237</t>
  </si>
  <si>
    <t>가238</t>
  </si>
  <si>
    <t>가239</t>
  </si>
  <si>
    <t>가240</t>
  </si>
  <si>
    <t>가241</t>
  </si>
  <si>
    <t>가242</t>
  </si>
  <si>
    <t>가243</t>
  </si>
  <si>
    <t>가244</t>
  </si>
  <si>
    <t>가245</t>
  </si>
  <si>
    <t>가246</t>
  </si>
  <si>
    <t>가247</t>
  </si>
  <si>
    <t>가248</t>
  </si>
  <si>
    <t>가249</t>
  </si>
  <si>
    <t>가250</t>
  </si>
  <si>
    <t>가251</t>
  </si>
  <si>
    <t>가252</t>
  </si>
  <si>
    <t>가253</t>
  </si>
  <si>
    <t>가254</t>
  </si>
  <si>
    <t>가255</t>
  </si>
  <si>
    <t>가256</t>
  </si>
  <si>
    <t>가257</t>
  </si>
  <si>
    <t>가258</t>
  </si>
  <si>
    <t>가259</t>
  </si>
  <si>
    <t>가260</t>
  </si>
  <si>
    <t>가261</t>
  </si>
  <si>
    <t>가262</t>
  </si>
  <si>
    <t>가263</t>
  </si>
  <si>
    <t>가264</t>
  </si>
  <si>
    <t>가265</t>
  </si>
  <si>
    <t>가266</t>
  </si>
  <si>
    <t>가267</t>
  </si>
  <si>
    <t>가268</t>
  </si>
  <si>
    <t>가269</t>
  </si>
  <si>
    <t>가270</t>
  </si>
  <si>
    <t>가271</t>
  </si>
  <si>
    <t>가272</t>
  </si>
  <si>
    <t>가273</t>
  </si>
  <si>
    <t>가274</t>
  </si>
  <si>
    <t>가275</t>
  </si>
  <si>
    <t>가276</t>
  </si>
  <si>
    <t>가277</t>
  </si>
  <si>
    <t>가278</t>
  </si>
  <si>
    <t>가279</t>
  </si>
  <si>
    <t>가280</t>
  </si>
  <si>
    <t>가281</t>
  </si>
  <si>
    <t>가282</t>
  </si>
  <si>
    <t>가283</t>
  </si>
  <si>
    <t>가284</t>
  </si>
  <si>
    <t>가285</t>
  </si>
  <si>
    <t>가286</t>
  </si>
  <si>
    <t>가287</t>
  </si>
  <si>
    <t>가288</t>
  </si>
  <si>
    <t>가289</t>
  </si>
  <si>
    <t>가290</t>
  </si>
  <si>
    <t>가291</t>
  </si>
  <si>
    <t>가292</t>
  </si>
  <si>
    <t>가293</t>
  </si>
  <si>
    <t>가294</t>
  </si>
  <si>
    <t>가295</t>
  </si>
  <si>
    <t>가296</t>
  </si>
  <si>
    <t>가297</t>
  </si>
  <si>
    <t>가298</t>
  </si>
  <si>
    <t>가299</t>
  </si>
  <si>
    <t>가300</t>
  </si>
  <si>
    <t>가301</t>
  </si>
  <si>
    <t>가302</t>
  </si>
  <si>
    <t>가303</t>
  </si>
  <si>
    <t>가304</t>
  </si>
  <si>
    <t>가305</t>
  </si>
  <si>
    <t>가306</t>
  </si>
  <si>
    <t>가307</t>
  </si>
  <si>
    <t>가308</t>
  </si>
  <si>
    <t>가309</t>
  </si>
  <si>
    <t>가310</t>
  </si>
  <si>
    <t>가311</t>
  </si>
  <si>
    <t>가312</t>
  </si>
  <si>
    <t>가313</t>
  </si>
  <si>
    <t>가314</t>
  </si>
  <si>
    <t>가315</t>
  </si>
  <si>
    <t>가316</t>
  </si>
  <si>
    <t>가317</t>
  </si>
  <si>
    <t>가318</t>
  </si>
  <si>
    <t>가319</t>
  </si>
  <si>
    <t>가320</t>
  </si>
  <si>
    <t>가321</t>
  </si>
  <si>
    <t>가322</t>
  </si>
  <si>
    <t>가323</t>
  </si>
  <si>
    <t>가324</t>
  </si>
  <si>
    <t>가325</t>
  </si>
  <si>
    <t>가326</t>
  </si>
  <si>
    <t>가327</t>
  </si>
  <si>
    <t>가328</t>
  </si>
  <si>
    <t>가329</t>
  </si>
  <si>
    <t>가330</t>
  </si>
  <si>
    <t>가331</t>
  </si>
  <si>
    <t>가332</t>
  </si>
  <si>
    <t>가333</t>
  </si>
  <si>
    <t>가334</t>
  </si>
  <si>
    <t>가335</t>
  </si>
  <si>
    <t>가336</t>
  </si>
  <si>
    <t>가337</t>
  </si>
  <si>
    <t>가338</t>
  </si>
  <si>
    <t>가339</t>
  </si>
  <si>
    <t>가340</t>
  </si>
  <si>
    <t>가341</t>
  </si>
  <si>
    <t>가342</t>
  </si>
  <si>
    <t>가343</t>
  </si>
  <si>
    <t>가344</t>
  </si>
  <si>
    <t>가345</t>
  </si>
  <si>
    <t>가346</t>
  </si>
  <si>
    <t>가347</t>
  </si>
  <si>
    <t>가348</t>
  </si>
  <si>
    <t>가349</t>
  </si>
  <si>
    <t>가350</t>
  </si>
  <si>
    <t>가351</t>
  </si>
  <si>
    <t>가352</t>
  </si>
  <si>
    <t>가353</t>
  </si>
  <si>
    <t>가354</t>
  </si>
  <si>
    <t>가355</t>
  </si>
  <si>
    <t>가356</t>
  </si>
  <si>
    <t>가357</t>
  </si>
  <si>
    <t>가358</t>
  </si>
  <si>
    <t>가359</t>
  </si>
  <si>
    <t>가360</t>
  </si>
  <si>
    <t>가361</t>
  </si>
  <si>
    <t>가362</t>
  </si>
  <si>
    <t>가363</t>
  </si>
  <si>
    <t>가364</t>
  </si>
  <si>
    <t>가365</t>
  </si>
  <si>
    <t>가366</t>
  </si>
  <si>
    <t>가367</t>
  </si>
  <si>
    <t>가368</t>
  </si>
  <si>
    <t>가369</t>
  </si>
  <si>
    <t>가370</t>
  </si>
  <si>
    <t>가371</t>
  </si>
  <si>
    <t>가372</t>
  </si>
  <si>
    <t>가373</t>
  </si>
  <si>
    <t>가374</t>
  </si>
  <si>
    <t>가375</t>
  </si>
  <si>
    <t>가376</t>
  </si>
  <si>
    <t>가377</t>
  </si>
  <si>
    <t>가378</t>
  </si>
  <si>
    <t>가379</t>
  </si>
  <si>
    <t>가380</t>
  </si>
  <si>
    <t>가381</t>
  </si>
  <si>
    <t>가382</t>
  </si>
  <si>
    <t>가383</t>
  </si>
  <si>
    <t>가384</t>
  </si>
  <si>
    <t>가385</t>
  </si>
  <si>
    <t>가386</t>
  </si>
  <si>
    <t>가387</t>
  </si>
  <si>
    <t>가388</t>
  </si>
  <si>
    <t>가389</t>
  </si>
  <si>
    <t>가390</t>
  </si>
  <si>
    <t>가391</t>
  </si>
  <si>
    <t>가392</t>
  </si>
  <si>
    <t>가393</t>
  </si>
  <si>
    <t>가394</t>
  </si>
  <si>
    <t>가395</t>
  </si>
  <si>
    <t>가396</t>
  </si>
  <si>
    <t>가397</t>
  </si>
  <si>
    <t>가398</t>
  </si>
  <si>
    <t>가399</t>
  </si>
  <si>
    <t>가400</t>
  </si>
  <si>
    <t>가401</t>
  </si>
  <si>
    <t>가402</t>
  </si>
  <si>
    <t>가403</t>
  </si>
  <si>
    <t>가404</t>
  </si>
  <si>
    <t>가405</t>
  </si>
  <si>
    <t>가406</t>
  </si>
  <si>
    <t>가407</t>
  </si>
  <si>
    <t>가408</t>
  </si>
  <si>
    <t>가409</t>
  </si>
  <si>
    <t>가410</t>
  </si>
  <si>
    <t>가411</t>
  </si>
  <si>
    <t>가412</t>
  </si>
  <si>
    <t>가413</t>
  </si>
  <si>
    <t>가414</t>
  </si>
  <si>
    <t>가415</t>
  </si>
  <si>
    <t>가416</t>
  </si>
  <si>
    <t>가417</t>
  </si>
  <si>
    <t>가418</t>
  </si>
  <si>
    <t>가419</t>
  </si>
  <si>
    <t>가420</t>
  </si>
  <si>
    <t>가421</t>
  </si>
  <si>
    <t>가422</t>
  </si>
  <si>
    <t>가423</t>
  </si>
  <si>
    <t>가424</t>
  </si>
  <si>
    <t>가425</t>
  </si>
  <si>
    <t>가426</t>
  </si>
  <si>
    <t>가427</t>
  </si>
  <si>
    <t>가428</t>
  </si>
  <si>
    <t>가429</t>
  </si>
  <si>
    <t>가430</t>
  </si>
  <si>
    <t>가431</t>
  </si>
  <si>
    <t>가432</t>
  </si>
  <si>
    <t>가433</t>
  </si>
  <si>
    <t>가434</t>
  </si>
  <si>
    <t>가435</t>
  </si>
  <si>
    <t>가436</t>
  </si>
  <si>
    <t>가437</t>
  </si>
  <si>
    <t>가438</t>
  </si>
  <si>
    <t>가439</t>
  </si>
  <si>
    <t>가440</t>
  </si>
  <si>
    <t>가441</t>
  </si>
  <si>
    <t>가442</t>
  </si>
  <si>
    <t>가443</t>
  </si>
  <si>
    <t>가444</t>
  </si>
  <si>
    <t>가445</t>
  </si>
  <si>
    <t>가446</t>
  </si>
  <si>
    <t>가447</t>
  </si>
  <si>
    <t>가448</t>
  </si>
  <si>
    <t>가449</t>
  </si>
  <si>
    <t>가450</t>
  </si>
  <si>
    <t>가451</t>
  </si>
  <si>
    <t>가452</t>
  </si>
  <si>
    <t>가453</t>
  </si>
  <si>
    <t>가454</t>
  </si>
  <si>
    <t>가455</t>
  </si>
  <si>
    <t>가456</t>
  </si>
  <si>
    <t>가457</t>
  </si>
  <si>
    <t>가458</t>
  </si>
  <si>
    <t>가459</t>
  </si>
  <si>
    <t>가460</t>
  </si>
  <si>
    <t>가461</t>
  </si>
  <si>
    <t>가462</t>
  </si>
  <si>
    <t>가463</t>
  </si>
  <si>
    <t>가464</t>
  </si>
  <si>
    <t>가465</t>
  </si>
  <si>
    <t>가466</t>
  </si>
  <si>
    <t>가467</t>
  </si>
  <si>
    <t>가468</t>
  </si>
  <si>
    <t>가469</t>
  </si>
  <si>
    <t>가470</t>
  </si>
  <si>
    <t>가471</t>
  </si>
  <si>
    <t>가472</t>
  </si>
  <si>
    <t>가473</t>
  </si>
  <si>
    <t>가474</t>
  </si>
  <si>
    <t>가475</t>
  </si>
  <si>
    <t>가476</t>
  </si>
  <si>
    <t>가477</t>
  </si>
  <si>
    <t>가478</t>
  </si>
  <si>
    <t>가479</t>
  </si>
  <si>
    <t>가480</t>
  </si>
  <si>
    <t>가481</t>
  </si>
  <si>
    <t>가482</t>
  </si>
  <si>
    <t>가483</t>
  </si>
  <si>
    <t>가484</t>
  </si>
  <si>
    <t>가485</t>
  </si>
  <si>
    <t>가486</t>
  </si>
  <si>
    <t>가487</t>
  </si>
  <si>
    <t>가488</t>
  </si>
  <si>
    <t>가489</t>
  </si>
  <si>
    <t>가490</t>
  </si>
  <si>
    <t>가491</t>
  </si>
  <si>
    <t>가492</t>
  </si>
  <si>
    <t>가493</t>
  </si>
  <si>
    <t>가494</t>
  </si>
  <si>
    <t>가495</t>
  </si>
  <si>
    <t>가496</t>
  </si>
  <si>
    <t>가497</t>
  </si>
  <si>
    <t>가498</t>
  </si>
  <si>
    <t>가499</t>
  </si>
  <si>
    <t>가500</t>
  </si>
  <si>
    <t>가501</t>
  </si>
  <si>
    <t>가502</t>
  </si>
  <si>
    <t>가503</t>
  </si>
  <si>
    <t>가504</t>
  </si>
  <si>
    <t>가505</t>
  </si>
  <si>
    <t>가506</t>
  </si>
  <si>
    <t>가507</t>
  </si>
  <si>
    <t>가508</t>
  </si>
  <si>
    <t>가509</t>
  </si>
  <si>
    <t>가510</t>
  </si>
  <si>
    <t>가511</t>
  </si>
  <si>
    <t>가512</t>
  </si>
  <si>
    <t>가513</t>
  </si>
  <si>
    <t>가514</t>
  </si>
  <si>
    <t>가515</t>
  </si>
  <si>
    <t>가516</t>
  </si>
  <si>
    <t>가517</t>
  </si>
  <si>
    <t>가518</t>
  </si>
  <si>
    <t>가519</t>
  </si>
  <si>
    <t>가520</t>
  </si>
  <si>
    <t>가521</t>
  </si>
  <si>
    <t>가522</t>
  </si>
  <si>
    <t>가523</t>
  </si>
  <si>
    <t>가524</t>
  </si>
  <si>
    <t>가525</t>
  </si>
  <si>
    <t>가526</t>
  </si>
  <si>
    <t>가527</t>
  </si>
  <si>
    <t>가528</t>
  </si>
  <si>
    <t>가529</t>
  </si>
  <si>
    <t>가530</t>
  </si>
  <si>
    <t>가531</t>
  </si>
  <si>
    <t>가532</t>
  </si>
  <si>
    <t>가533</t>
  </si>
  <si>
    <t>가534</t>
  </si>
  <si>
    <t>가535</t>
  </si>
  <si>
    <t>가536</t>
  </si>
  <si>
    <t>가537</t>
  </si>
  <si>
    <t>가538</t>
  </si>
  <si>
    <t>가539</t>
  </si>
  <si>
    <t>가540</t>
  </si>
  <si>
    <t>가541</t>
  </si>
  <si>
    <t>가542</t>
  </si>
  <si>
    <t>가543</t>
  </si>
  <si>
    <t>가544</t>
  </si>
  <si>
    <t>가545</t>
  </si>
  <si>
    <t>가546</t>
  </si>
  <si>
    <t>가547</t>
  </si>
  <si>
    <t>가548</t>
  </si>
  <si>
    <t>가549</t>
  </si>
  <si>
    <t>가550</t>
  </si>
  <si>
    <t>가551</t>
  </si>
  <si>
    <t>가552</t>
  </si>
  <si>
    <t>가553</t>
  </si>
  <si>
    <t>가554</t>
  </si>
  <si>
    <t>가555</t>
  </si>
  <si>
    <t>가556</t>
  </si>
  <si>
    <t>가557</t>
  </si>
  <si>
    <t>가558</t>
  </si>
  <si>
    <t>가559</t>
  </si>
  <si>
    <t>가560</t>
  </si>
  <si>
    <t>가561</t>
  </si>
  <si>
    <t>가562</t>
  </si>
  <si>
    <t>가563</t>
  </si>
  <si>
    <t>가564</t>
  </si>
  <si>
    <t>가565</t>
  </si>
  <si>
    <t>가566</t>
  </si>
  <si>
    <t>가567</t>
  </si>
  <si>
    <t>가568</t>
  </si>
  <si>
    <t>가569</t>
  </si>
  <si>
    <t>가570</t>
  </si>
  <si>
    <t>가571</t>
  </si>
  <si>
    <t>가572</t>
  </si>
  <si>
    <t>가573</t>
  </si>
  <si>
    <t>가574</t>
  </si>
  <si>
    <t>가575</t>
  </si>
  <si>
    <t>가576</t>
  </si>
  <si>
    <t>가577</t>
  </si>
  <si>
    <t>가578</t>
  </si>
  <si>
    <t>가579</t>
  </si>
  <si>
    <t>가580</t>
  </si>
  <si>
    <t>가581</t>
  </si>
  <si>
    <t>가582</t>
  </si>
  <si>
    <t>가583</t>
  </si>
  <si>
    <t>가584</t>
  </si>
  <si>
    <t>가585</t>
  </si>
  <si>
    <t>가586</t>
  </si>
  <si>
    <t>가587</t>
  </si>
  <si>
    <t>가588</t>
  </si>
  <si>
    <t>가589</t>
  </si>
  <si>
    <t>가590</t>
  </si>
  <si>
    <t>가591</t>
  </si>
  <si>
    <t>가592</t>
  </si>
  <si>
    <t>가593</t>
  </si>
  <si>
    <t>가594</t>
  </si>
  <si>
    <t>가595</t>
  </si>
  <si>
    <t>가596</t>
  </si>
  <si>
    <t>가597</t>
  </si>
  <si>
    <t>가598</t>
  </si>
  <si>
    <t>가599</t>
  </si>
  <si>
    <t>가600</t>
  </si>
  <si>
    <t>가601</t>
  </si>
  <si>
    <t>가602</t>
  </si>
  <si>
    <t>가603</t>
  </si>
  <si>
    <t>가604</t>
  </si>
  <si>
    <t>가605</t>
  </si>
  <si>
    <t>가606</t>
  </si>
  <si>
    <t>가607</t>
  </si>
  <si>
    <t>가608</t>
  </si>
  <si>
    <t>가609</t>
  </si>
  <si>
    <t>가610</t>
  </si>
  <si>
    <t>가611</t>
  </si>
  <si>
    <t>가612</t>
  </si>
  <si>
    <t>가613</t>
  </si>
  <si>
    <t>가614</t>
  </si>
  <si>
    <t>가615</t>
  </si>
  <si>
    <t>가616</t>
  </si>
  <si>
    <t>가617</t>
  </si>
  <si>
    <t>가618</t>
  </si>
  <si>
    <t>가619</t>
  </si>
  <si>
    <t>가620</t>
  </si>
  <si>
    <t>가621</t>
  </si>
  <si>
    <t>가622</t>
  </si>
  <si>
    <t>가623</t>
  </si>
  <si>
    <t>가624</t>
  </si>
  <si>
    <t>가625</t>
  </si>
  <si>
    <t>가626</t>
  </si>
  <si>
    <t>가627</t>
  </si>
  <si>
    <t>가628</t>
  </si>
  <si>
    <t>가629</t>
  </si>
  <si>
    <t>가630</t>
  </si>
  <si>
    <t>가631</t>
  </si>
  <si>
    <t>가632</t>
  </si>
  <si>
    <t>가633</t>
  </si>
  <si>
    <t>가634</t>
  </si>
  <si>
    <t>가635</t>
  </si>
  <si>
    <t>가636</t>
  </si>
  <si>
    <t>가637</t>
  </si>
  <si>
    <t>가638</t>
  </si>
  <si>
    <t>가639</t>
  </si>
  <si>
    <t>가640</t>
  </si>
  <si>
    <t>가641</t>
  </si>
  <si>
    <t>가642</t>
  </si>
  <si>
    <t>가643</t>
  </si>
  <si>
    <t>가644</t>
  </si>
  <si>
    <t>가645</t>
  </si>
  <si>
    <t>가646</t>
  </si>
  <si>
    <t>가647</t>
  </si>
  <si>
    <t>가648</t>
  </si>
  <si>
    <t>가649</t>
  </si>
  <si>
    <t>가650</t>
  </si>
  <si>
    <t>가651</t>
  </si>
  <si>
    <t>가652</t>
  </si>
  <si>
    <t>가653</t>
  </si>
  <si>
    <t>가654</t>
  </si>
  <si>
    <t>가655</t>
  </si>
  <si>
    <t>가656</t>
  </si>
  <si>
    <t>가657</t>
  </si>
  <si>
    <t>가658</t>
  </si>
  <si>
    <t>가659</t>
  </si>
  <si>
    <t>가660</t>
  </si>
  <si>
    <t>가661</t>
  </si>
  <si>
    <t>가662</t>
  </si>
  <si>
    <t>가663</t>
  </si>
  <si>
    <t>가664</t>
  </si>
  <si>
    <t>가665</t>
  </si>
  <si>
    <t>가666</t>
  </si>
  <si>
    <t>가667</t>
  </si>
  <si>
    <t>가668</t>
  </si>
  <si>
    <t>가669</t>
  </si>
  <si>
    <t>가670</t>
  </si>
  <si>
    <t>가671</t>
  </si>
  <si>
    <t>가672</t>
  </si>
  <si>
    <t>가673</t>
  </si>
  <si>
    <t>가674</t>
  </si>
  <si>
    <t>가675</t>
  </si>
  <si>
    <t>가676</t>
  </si>
  <si>
    <t>가677</t>
  </si>
  <si>
    <t>가678</t>
  </si>
  <si>
    <t>가679</t>
  </si>
  <si>
    <t>가680</t>
  </si>
  <si>
    <t>가681</t>
  </si>
  <si>
    <t>가682</t>
  </si>
  <si>
    <t>가683</t>
  </si>
  <si>
    <t>가684</t>
  </si>
  <si>
    <t>가685</t>
  </si>
  <si>
    <t>가686</t>
  </si>
  <si>
    <t>가687</t>
  </si>
  <si>
    <t>가688</t>
  </si>
  <si>
    <t>가689</t>
  </si>
  <si>
    <t>가690</t>
  </si>
  <si>
    <t>가691</t>
  </si>
  <si>
    <t>가692</t>
  </si>
  <si>
    <t>가693</t>
  </si>
  <si>
    <t>가694</t>
  </si>
  <si>
    <t>가695</t>
  </si>
  <si>
    <t>가696</t>
  </si>
  <si>
    <t>가697</t>
  </si>
  <si>
    <t>가698</t>
  </si>
  <si>
    <t>가699</t>
  </si>
  <si>
    <t>가700</t>
  </si>
  <si>
    <t>가701</t>
  </si>
  <si>
    <t>가702</t>
  </si>
  <si>
    <t>가703</t>
  </si>
  <si>
    <t>가704</t>
  </si>
  <si>
    <t>가705</t>
  </si>
  <si>
    <t>가706</t>
  </si>
  <si>
    <t>가707</t>
  </si>
  <si>
    <t>가708</t>
  </si>
  <si>
    <t>가709</t>
  </si>
  <si>
    <t>가710</t>
  </si>
  <si>
    <t>가711</t>
  </si>
  <si>
    <t>가712</t>
  </si>
  <si>
    <t>가713</t>
  </si>
  <si>
    <t>가714</t>
  </si>
  <si>
    <t>가715</t>
  </si>
  <si>
    <t>가716</t>
  </si>
  <si>
    <t>가717</t>
  </si>
  <si>
    <t>가718</t>
  </si>
  <si>
    <t>가719</t>
  </si>
  <si>
    <t>가720</t>
  </si>
  <si>
    <t>가721</t>
  </si>
  <si>
    <t>가722</t>
  </si>
  <si>
    <t>가723</t>
  </si>
  <si>
    <t>가724</t>
  </si>
  <si>
    <t>가725</t>
  </si>
  <si>
    <t>가726</t>
  </si>
  <si>
    <t>가727</t>
  </si>
  <si>
    <t>가728</t>
  </si>
  <si>
    <t>가729</t>
  </si>
  <si>
    <t>가730</t>
  </si>
  <si>
    <t>가731</t>
  </si>
  <si>
    <t>가732</t>
  </si>
  <si>
    <t>가733</t>
  </si>
  <si>
    <t>가734</t>
  </si>
  <si>
    <t>가735</t>
  </si>
  <si>
    <t>가736</t>
  </si>
  <si>
    <t>가737</t>
  </si>
  <si>
    <t>가738</t>
  </si>
  <si>
    <t>가739</t>
  </si>
  <si>
    <t>가740</t>
  </si>
  <si>
    <t>가741</t>
  </si>
  <si>
    <t>가742</t>
  </si>
  <si>
    <t>가743</t>
  </si>
  <si>
    <t>가744</t>
  </si>
  <si>
    <t>가745</t>
  </si>
  <si>
    <t>가746</t>
  </si>
  <si>
    <t>가747</t>
  </si>
  <si>
    <t>가748</t>
  </si>
  <si>
    <t>가749</t>
  </si>
  <si>
    <t>가750</t>
  </si>
  <si>
    <t>가751</t>
  </si>
  <si>
    <t>가752</t>
  </si>
  <si>
    <t>가753</t>
  </si>
  <si>
    <t>가754</t>
  </si>
  <si>
    <t>가755</t>
  </si>
  <si>
    <t>가756</t>
  </si>
  <si>
    <t>가757</t>
  </si>
  <si>
    <t>가758</t>
  </si>
  <si>
    <t>가759</t>
  </si>
  <si>
    <t>가760</t>
  </si>
  <si>
    <t>가761</t>
  </si>
  <si>
    <t>가762</t>
  </si>
  <si>
    <t>가763</t>
  </si>
  <si>
    <t>가764</t>
  </si>
  <si>
    <t>가765</t>
  </si>
  <si>
    <t>가766</t>
  </si>
  <si>
    <t>가767</t>
  </si>
  <si>
    <t>가768</t>
  </si>
  <si>
    <t>가769</t>
  </si>
  <si>
    <t>가770</t>
  </si>
  <si>
    <t>가771</t>
  </si>
  <si>
    <t>가772</t>
  </si>
  <si>
    <t>가773</t>
  </si>
  <si>
    <t>가774</t>
  </si>
  <si>
    <t>가775</t>
  </si>
  <si>
    <t>가776</t>
  </si>
  <si>
    <t>가777</t>
  </si>
  <si>
    <t>가778</t>
  </si>
  <si>
    <t>가779</t>
  </si>
  <si>
    <t>가780</t>
  </si>
  <si>
    <t>가781</t>
  </si>
  <si>
    <t>가782</t>
  </si>
  <si>
    <t>가783</t>
  </si>
  <si>
    <t>가784</t>
  </si>
  <si>
    <t>가785</t>
  </si>
  <si>
    <t>가786</t>
  </si>
  <si>
    <t>가787</t>
  </si>
  <si>
    <t>가788</t>
  </si>
  <si>
    <t>가789</t>
  </si>
  <si>
    <t>가790</t>
  </si>
  <si>
    <t>가791</t>
  </si>
  <si>
    <t>가792</t>
  </si>
  <si>
    <t>가793</t>
  </si>
  <si>
    <t>가794</t>
  </si>
  <si>
    <t>가795</t>
  </si>
  <si>
    <t>가796</t>
  </si>
  <si>
    <t>가797</t>
  </si>
  <si>
    <t>가798</t>
  </si>
  <si>
    <t>가799</t>
  </si>
  <si>
    <t>가800</t>
  </si>
  <si>
    <t>가801</t>
  </si>
  <si>
    <t>가802</t>
  </si>
  <si>
    <t>가803</t>
  </si>
  <si>
    <t>가804</t>
  </si>
  <si>
    <t>가805</t>
  </si>
  <si>
    <t>가806</t>
  </si>
  <si>
    <t>가807</t>
  </si>
  <si>
    <t>가808</t>
  </si>
  <si>
    <t>가809</t>
  </si>
  <si>
    <t>가810</t>
  </si>
  <si>
    <t>가811</t>
  </si>
  <si>
    <t>가812</t>
  </si>
  <si>
    <t>가813</t>
  </si>
  <si>
    <t>가814</t>
  </si>
  <si>
    <t>가815</t>
  </si>
  <si>
    <t>가816</t>
  </si>
  <si>
    <t>가817</t>
  </si>
  <si>
    <t>가818</t>
  </si>
  <si>
    <t>가819</t>
  </si>
  <si>
    <t>가820</t>
  </si>
  <si>
    <t>가821</t>
  </si>
  <si>
    <t>가822</t>
  </si>
  <si>
    <t>가823</t>
  </si>
  <si>
    <t>가824</t>
  </si>
  <si>
    <t>가825</t>
  </si>
  <si>
    <t>가826</t>
  </si>
  <si>
    <t>가827</t>
  </si>
  <si>
    <t>가828</t>
  </si>
  <si>
    <t>가829</t>
  </si>
  <si>
    <t>가830</t>
  </si>
  <si>
    <t>가831</t>
  </si>
  <si>
    <t>가832</t>
  </si>
  <si>
    <t>가833</t>
  </si>
  <si>
    <t>가834</t>
  </si>
  <si>
    <t>가835</t>
  </si>
  <si>
    <t>가836</t>
  </si>
  <si>
    <t>가837</t>
  </si>
  <si>
    <t>가838</t>
  </si>
  <si>
    <t>가839</t>
  </si>
  <si>
    <t>가840</t>
  </si>
  <si>
    <t>가841</t>
  </si>
  <si>
    <t>가842</t>
  </si>
  <si>
    <t>가843</t>
  </si>
  <si>
    <t>가844</t>
  </si>
  <si>
    <t>가845</t>
  </si>
  <si>
    <t>가846</t>
  </si>
  <si>
    <t>가847</t>
  </si>
  <si>
    <t>가848</t>
  </si>
  <si>
    <t>가849</t>
  </si>
  <si>
    <t>가850</t>
  </si>
  <si>
    <t>가851</t>
  </si>
  <si>
    <t>가852</t>
  </si>
  <si>
    <t>가853</t>
  </si>
  <si>
    <t>가854</t>
  </si>
  <si>
    <t>가855</t>
  </si>
  <si>
    <t>가856</t>
  </si>
  <si>
    <t>가857</t>
  </si>
  <si>
    <t>가858</t>
  </si>
  <si>
    <t>가859</t>
  </si>
  <si>
    <t>가860</t>
  </si>
  <si>
    <t>가861</t>
  </si>
  <si>
    <t>가862</t>
  </si>
  <si>
    <t>가863</t>
  </si>
  <si>
    <t>가864</t>
  </si>
  <si>
    <t>가865</t>
  </si>
  <si>
    <t>가866</t>
  </si>
  <si>
    <t>가867</t>
  </si>
  <si>
    <t>가868</t>
  </si>
  <si>
    <t>가869</t>
  </si>
  <si>
    <t>가870</t>
  </si>
  <si>
    <t>가871</t>
  </si>
  <si>
    <t>가872</t>
  </si>
  <si>
    <t>가873</t>
  </si>
  <si>
    <t>가874</t>
  </si>
  <si>
    <t>가875</t>
  </si>
  <si>
    <t>가876</t>
  </si>
  <si>
    <t>가877</t>
  </si>
  <si>
    <t>가878</t>
  </si>
  <si>
    <t>가879</t>
  </si>
  <si>
    <t>가880</t>
  </si>
  <si>
    <t>가881</t>
  </si>
  <si>
    <t>가882</t>
  </si>
  <si>
    <t>가883</t>
  </si>
  <si>
    <t>가884</t>
  </si>
  <si>
    <t>가885</t>
  </si>
  <si>
    <t>가886</t>
  </si>
  <si>
    <t>가887</t>
  </si>
  <si>
    <t>가888</t>
  </si>
  <si>
    <t>가889</t>
  </si>
  <si>
    <t>가890</t>
  </si>
  <si>
    <t>가891</t>
  </si>
  <si>
    <t>나1</t>
  </si>
  <si>
    <t>나2</t>
  </si>
  <si>
    <t>나3</t>
  </si>
  <si>
    <t>나4</t>
  </si>
  <si>
    <t>나5</t>
  </si>
  <si>
    <t>나6</t>
  </si>
  <si>
    <t>나7</t>
  </si>
  <si>
    <t>나8</t>
  </si>
  <si>
    <t>나9</t>
  </si>
  <si>
    <t>나10</t>
  </si>
  <si>
    <t>나11</t>
  </si>
  <si>
    <t>나12</t>
  </si>
  <si>
    <t>나13</t>
  </si>
  <si>
    <t>나14</t>
  </si>
  <si>
    <t>나15</t>
  </si>
  <si>
    <t>나16</t>
  </si>
  <si>
    <t>나17</t>
  </si>
  <si>
    <t>나18</t>
  </si>
  <si>
    <t>나19</t>
  </si>
  <si>
    <t>나20</t>
  </si>
  <si>
    <t>나21</t>
  </si>
  <si>
    <t>나22</t>
  </si>
  <si>
    <t>나23</t>
  </si>
  <si>
    <t>나24</t>
  </si>
  <si>
    <t>나25</t>
  </si>
  <si>
    <t>나26</t>
  </si>
  <si>
    <t>나27</t>
  </si>
  <si>
    <t>나28</t>
  </si>
  <si>
    <t>나29</t>
  </si>
  <si>
    <t>나30</t>
  </si>
  <si>
    <t>나31</t>
  </si>
  <si>
    <t>나32</t>
  </si>
  <si>
    <t>나33</t>
  </si>
  <si>
    <t>나34</t>
  </si>
  <si>
    <t>나35</t>
  </si>
  <si>
    <t>나36</t>
  </si>
  <si>
    <t>나37</t>
  </si>
  <si>
    <t>나38</t>
  </si>
  <si>
    <t>나39</t>
  </si>
  <si>
    <t>나40</t>
  </si>
  <si>
    <t>나41</t>
  </si>
  <si>
    <t>나42</t>
  </si>
  <si>
    <t>나43</t>
  </si>
  <si>
    <t>나44</t>
  </si>
  <si>
    <t>나45</t>
  </si>
  <si>
    <t>나46</t>
  </si>
  <si>
    <t>나47</t>
  </si>
  <si>
    <t>나48</t>
  </si>
  <si>
    <t>나49</t>
  </si>
  <si>
    <t>나50</t>
  </si>
  <si>
    <t>나51</t>
  </si>
  <si>
    <t>나52</t>
  </si>
  <si>
    <t>나53</t>
  </si>
  <si>
    <t>나54</t>
  </si>
  <si>
    <t>나55</t>
  </si>
  <si>
    <t>나56</t>
  </si>
  <si>
    <t>나57</t>
  </si>
  <si>
    <t>나58</t>
  </si>
  <si>
    <t>나59</t>
  </si>
  <si>
    <t>나60</t>
  </si>
  <si>
    <t>나61</t>
  </si>
  <si>
    <t>나62</t>
  </si>
  <si>
    <t>나63</t>
  </si>
  <si>
    <t>나64</t>
  </si>
  <si>
    <t>나65</t>
  </si>
  <si>
    <t>나66</t>
  </si>
  <si>
    <t>나67</t>
  </si>
  <si>
    <t>나68</t>
  </si>
  <si>
    <t>나69</t>
  </si>
  <si>
    <t>나70</t>
  </si>
  <si>
    <t>나71</t>
  </si>
  <si>
    <t>나72</t>
  </si>
  <si>
    <t>나73</t>
  </si>
  <si>
    <t>나74</t>
  </si>
  <si>
    <t>나75</t>
  </si>
  <si>
    <t>나76</t>
  </si>
  <si>
    <t>나77</t>
  </si>
  <si>
    <t>나78</t>
  </si>
  <si>
    <t>나79</t>
  </si>
  <si>
    <t>나80</t>
  </si>
  <si>
    <t>나81</t>
  </si>
  <si>
    <t>나82</t>
  </si>
  <si>
    <t>나83</t>
  </si>
  <si>
    <t>나84</t>
  </si>
  <si>
    <t>나85</t>
  </si>
  <si>
    <t>나86</t>
  </si>
  <si>
    <t>나87</t>
  </si>
  <si>
    <t>나88</t>
  </si>
  <si>
    <t>나89</t>
  </si>
  <si>
    <t>나90</t>
  </si>
  <si>
    <t>나91</t>
  </si>
  <si>
    <t>나92</t>
  </si>
  <si>
    <t>나93</t>
  </si>
  <si>
    <t>나94</t>
  </si>
  <si>
    <t>나95</t>
  </si>
  <si>
    <t>나96</t>
  </si>
  <si>
    <t>나97</t>
  </si>
  <si>
    <t>나98</t>
  </si>
  <si>
    <t>나99</t>
  </si>
  <si>
    <t>나100</t>
  </si>
  <si>
    <t>나101</t>
  </si>
  <si>
    <t>나102</t>
  </si>
  <si>
    <t>나103</t>
  </si>
  <si>
    <t>나104</t>
  </si>
  <si>
    <t>나105</t>
  </si>
  <si>
    <t>나106</t>
  </si>
  <si>
    <t>나107</t>
  </si>
  <si>
    <t>나108</t>
  </si>
  <si>
    <t>나109</t>
  </si>
  <si>
    <t>나110</t>
  </si>
  <si>
    <t>나111</t>
  </si>
  <si>
    <t>나112</t>
  </si>
  <si>
    <t>나113</t>
  </si>
  <si>
    <t>나114</t>
  </si>
  <si>
    <t>나115</t>
  </si>
  <si>
    <t>나116</t>
  </si>
  <si>
    <t>나117</t>
  </si>
  <si>
    <t>나118</t>
  </si>
  <si>
    <t>나119</t>
  </si>
  <si>
    <t>나120</t>
  </si>
  <si>
    <t>나121</t>
  </si>
  <si>
    <t>나122</t>
  </si>
  <si>
    <t>나123</t>
  </si>
  <si>
    <t>나124</t>
  </si>
  <si>
    <t>나125</t>
  </si>
  <si>
    <t>나126</t>
  </si>
  <si>
    <t>나127</t>
  </si>
  <si>
    <t>나128</t>
  </si>
  <si>
    <t>나129</t>
  </si>
  <si>
    <t>나130</t>
  </si>
  <si>
    <t>나131</t>
  </si>
  <si>
    <t>나132</t>
  </si>
  <si>
    <t>나133</t>
  </si>
  <si>
    <t>나134</t>
  </si>
  <si>
    <t>나135</t>
  </si>
  <si>
    <t>나136</t>
  </si>
  <si>
    <t>나137</t>
  </si>
  <si>
    <t>나138</t>
  </si>
  <si>
    <t>나139</t>
  </si>
  <si>
    <t>나140</t>
  </si>
  <si>
    <t>나141</t>
  </si>
  <si>
    <t>나142</t>
  </si>
  <si>
    <t>나143</t>
  </si>
  <si>
    <t>나144</t>
  </si>
  <si>
    <t>나145</t>
  </si>
  <si>
    <t>나146</t>
  </si>
  <si>
    <t>나147</t>
  </si>
  <si>
    <t>나148</t>
  </si>
  <si>
    <t>나149</t>
  </si>
  <si>
    <t>나150</t>
  </si>
  <si>
    <t>나151</t>
  </si>
  <si>
    <t>나152</t>
  </si>
  <si>
    <t>나153</t>
  </si>
  <si>
    <t>나154</t>
  </si>
  <si>
    <t>나155</t>
  </si>
  <si>
    <t>나156</t>
  </si>
  <si>
    <t>나157</t>
  </si>
  <si>
    <t>나158</t>
  </si>
  <si>
    <t>나159</t>
  </si>
  <si>
    <t>나160</t>
  </si>
  <si>
    <t>나161</t>
  </si>
  <si>
    <t>나162</t>
  </si>
  <si>
    <t>나163</t>
  </si>
  <si>
    <t>나164</t>
  </si>
  <si>
    <t>나165</t>
  </si>
  <si>
    <t>나166</t>
  </si>
  <si>
    <t>나167</t>
  </si>
  <si>
    <t>나168</t>
  </si>
  <si>
    <t>나169</t>
  </si>
  <si>
    <t>나170</t>
  </si>
  <si>
    <t>나171</t>
  </si>
  <si>
    <t>나172</t>
  </si>
  <si>
    <t>나173</t>
  </si>
  <si>
    <t>나174</t>
  </si>
  <si>
    <t>나175</t>
  </si>
  <si>
    <t>나176</t>
  </si>
  <si>
    <t>나177</t>
  </si>
  <si>
    <t>나178</t>
  </si>
  <si>
    <t>나179</t>
  </si>
  <si>
    <t>나180</t>
  </si>
  <si>
    <t>나181</t>
  </si>
  <si>
    <t>나182</t>
  </si>
  <si>
    <t>나183</t>
  </si>
  <si>
    <t>나184</t>
  </si>
  <si>
    <t>나185</t>
  </si>
  <si>
    <t>나186</t>
  </si>
  <si>
    <t>나187</t>
  </si>
  <si>
    <t>나188</t>
  </si>
  <si>
    <t>나189</t>
  </si>
  <si>
    <t>나190</t>
  </si>
  <si>
    <t>나191</t>
  </si>
  <si>
    <t>나192</t>
  </si>
  <si>
    <t>나193</t>
  </si>
  <si>
    <t>나194</t>
  </si>
  <si>
    <t>나195</t>
  </si>
  <si>
    <t>나196</t>
  </si>
  <si>
    <t>나197</t>
  </si>
  <si>
    <t>나198</t>
  </si>
  <si>
    <t>나199</t>
  </si>
  <si>
    <t>나200</t>
  </si>
  <si>
    <t>나201</t>
  </si>
  <si>
    <t>나202</t>
  </si>
  <si>
    <t>나203</t>
  </si>
  <si>
    <t>나204</t>
  </si>
  <si>
    <t>나205</t>
  </si>
  <si>
    <t>나206</t>
  </si>
  <si>
    <t>나207</t>
  </si>
  <si>
    <t>나208</t>
  </si>
  <si>
    <t>나209</t>
  </si>
  <si>
    <t>나210</t>
  </si>
  <si>
    <t>나211</t>
  </si>
  <si>
    <t>나212</t>
  </si>
  <si>
    <t>나213</t>
  </si>
  <si>
    <t>나214</t>
  </si>
  <si>
    <t>나215</t>
  </si>
  <si>
    <t>나216</t>
  </si>
  <si>
    <t>나217</t>
  </si>
  <si>
    <t>나218</t>
  </si>
  <si>
    <t>나219</t>
  </si>
  <si>
    <t>나220</t>
  </si>
  <si>
    <t>나221</t>
  </si>
  <si>
    <t>나222</t>
  </si>
  <si>
    <t>나223</t>
  </si>
  <si>
    <t>나224</t>
  </si>
  <si>
    <t>나225</t>
  </si>
  <si>
    <t>나226</t>
  </si>
  <si>
    <t>나227</t>
  </si>
  <si>
    <t>나228</t>
  </si>
  <si>
    <t>나229</t>
  </si>
  <si>
    <t>나230</t>
  </si>
  <si>
    <t>나231</t>
  </si>
  <si>
    <t>나232</t>
  </si>
  <si>
    <t>나233</t>
  </si>
  <si>
    <t>나234</t>
  </si>
  <si>
    <t>나235</t>
  </si>
  <si>
    <t>나236</t>
  </si>
  <si>
    <t>나237</t>
  </si>
  <si>
    <t>나238</t>
  </si>
  <si>
    <t>나239</t>
  </si>
  <si>
    <t>나240</t>
  </si>
  <si>
    <t>나241</t>
  </si>
  <si>
    <t>나242</t>
  </si>
  <si>
    <t>나243</t>
  </si>
  <si>
    <t>나244</t>
  </si>
  <si>
    <t>나245</t>
  </si>
  <si>
    <t>나246</t>
  </si>
  <si>
    <t>나247</t>
  </si>
  <si>
    <t>나248</t>
  </si>
  <si>
    <t>나249</t>
  </si>
  <si>
    <t>나250</t>
  </si>
  <si>
    <t>나251</t>
  </si>
  <si>
    <t>나252</t>
  </si>
  <si>
    <t>나253</t>
  </si>
  <si>
    <t>나254</t>
  </si>
  <si>
    <t>나255</t>
  </si>
  <si>
    <t>나256</t>
  </si>
  <si>
    <t>나257</t>
  </si>
  <si>
    <t>나258</t>
  </si>
  <si>
    <t>나259</t>
  </si>
  <si>
    <t>나260</t>
  </si>
  <si>
    <t>나261</t>
  </si>
  <si>
    <t>나262</t>
  </si>
  <si>
    <t>나263</t>
  </si>
  <si>
    <t>나264</t>
  </si>
  <si>
    <t>나265</t>
  </si>
  <si>
    <t>나266</t>
  </si>
  <si>
    <t>나267</t>
  </si>
  <si>
    <t>나268</t>
  </si>
  <si>
    <t>나269</t>
  </si>
  <si>
    <t>나270</t>
  </si>
  <si>
    <t>나271</t>
  </si>
  <si>
    <t>나272</t>
  </si>
  <si>
    <t>나273</t>
  </si>
  <si>
    <t>나274</t>
  </si>
  <si>
    <t>나275</t>
  </si>
  <si>
    <t>나276</t>
  </si>
  <si>
    <t>나277</t>
  </si>
  <si>
    <t>나278</t>
  </si>
  <si>
    <t>나279</t>
  </si>
  <si>
    <t>나280</t>
  </si>
  <si>
    <t>나281</t>
  </si>
  <si>
    <t>나282</t>
  </si>
  <si>
    <t>나283</t>
  </si>
  <si>
    <t>나284</t>
  </si>
  <si>
    <t>나285</t>
  </si>
  <si>
    <t>나286</t>
  </si>
  <si>
    <t>나287</t>
  </si>
  <si>
    <t>나288</t>
  </si>
  <si>
    <t>나289</t>
  </si>
  <si>
    <t>나290</t>
  </si>
  <si>
    <t>나291</t>
  </si>
  <si>
    <t>나292</t>
  </si>
  <si>
    <t>나293</t>
  </si>
  <si>
    <t>나294</t>
  </si>
  <si>
    <t>나295</t>
  </si>
  <si>
    <t>나296</t>
  </si>
  <si>
    <t>나297</t>
  </si>
  <si>
    <t>나298</t>
  </si>
  <si>
    <t>나299</t>
  </si>
  <si>
    <t>나300</t>
  </si>
  <si>
    <t>나301</t>
  </si>
  <si>
    <t>나302</t>
  </si>
  <si>
    <t>나303</t>
  </si>
  <si>
    <t>나304</t>
  </si>
  <si>
    <t>나305</t>
  </si>
  <si>
    <t>나306</t>
  </si>
  <si>
    <t>나307</t>
  </si>
  <si>
    <t>나308</t>
  </si>
  <si>
    <t>나309</t>
  </si>
  <si>
    <t>나310</t>
  </si>
  <si>
    <t>나311</t>
  </si>
  <si>
    <t>나312</t>
  </si>
  <si>
    <t>나313</t>
  </si>
  <si>
    <t>나314</t>
  </si>
  <si>
    <t>나315</t>
  </si>
  <si>
    <t>나316</t>
  </si>
  <si>
    <t>나317</t>
  </si>
  <si>
    <t>나318</t>
  </si>
  <si>
    <t>나319</t>
  </si>
  <si>
    <t>나320</t>
  </si>
  <si>
    <t>나321</t>
  </si>
  <si>
    <t>나322</t>
  </si>
  <si>
    <t>나323</t>
  </si>
  <si>
    <t>나324</t>
  </si>
  <si>
    <t>나325</t>
  </si>
  <si>
    <t>나326</t>
  </si>
  <si>
    <t>나327</t>
  </si>
  <si>
    <t>나328</t>
  </si>
  <si>
    <t>나329</t>
  </si>
  <si>
    <t>나330</t>
  </si>
  <si>
    <t>나331</t>
  </si>
  <si>
    <t>나332</t>
  </si>
  <si>
    <t>나333</t>
  </si>
  <si>
    <t>나334</t>
  </si>
  <si>
    <t>나335</t>
  </si>
  <si>
    <t>나336</t>
  </si>
  <si>
    <t>나337</t>
  </si>
  <si>
    <t>나338</t>
  </si>
  <si>
    <t>나339</t>
  </si>
  <si>
    <t>나340</t>
  </si>
  <si>
    <t>나341</t>
  </si>
  <si>
    <t>나342</t>
  </si>
  <si>
    <t>나343</t>
  </si>
  <si>
    <t>나344</t>
  </si>
  <si>
    <t>나345</t>
  </si>
  <si>
    <t>나346</t>
  </si>
  <si>
    <t>나347</t>
  </si>
  <si>
    <t>나348</t>
  </si>
  <si>
    <t>나349</t>
  </si>
  <si>
    <t>나350</t>
  </si>
  <si>
    <t>나351</t>
  </si>
  <si>
    <t>나352</t>
  </si>
  <si>
    <t>나353</t>
  </si>
  <si>
    <t>나354</t>
  </si>
  <si>
    <t>나355</t>
  </si>
  <si>
    <t>나356</t>
  </si>
  <si>
    <t>나357</t>
  </si>
  <si>
    <t>나358</t>
  </si>
  <si>
    <t>나359</t>
  </si>
  <si>
    <t>나360</t>
  </si>
  <si>
    <t>나361</t>
  </si>
  <si>
    <t>나362</t>
  </si>
  <si>
    <t>나363</t>
  </si>
  <si>
    <t>나364</t>
  </si>
  <si>
    <t>나365</t>
  </si>
  <si>
    <t>나366</t>
  </si>
  <si>
    <t>나367</t>
  </si>
  <si>
    <t>나368</t>
  </si>
  <si>
    <t>나369</t>
  </si>
  <si>
    <t>나370</t>
  </si>
  <si>
    <t>나371</t>
  </si>
  <si>
    <t>나372</t>
  </si>
  <si>
    <t>나373</t>
  </si>
  <si>
    <t>나374</t>
  </si>
  <si>
    <t>나375</t>
  </si>
  <si>
    <t>나376</t>
  </si>
  <si>
    <t>나377</t>
  </si>
  <si>
    <t>나378</t>
  </si>
  <si>
    <t>나379</t>
  </si>
  <si>
    <t>나380</t>
  </si>
  <si>
    <t>나381</t>
  </si>
  <si>
    <t>나382</t>
  </si>
  <si>
    <t>나383</t>
  </si>
  <si>
    <t>나384</t>
  </si>
  <si>
    <t>나385</t>
  </si>
  <si>
    <t>나386</t>
  </si>
  <si>
    <t>나387</t>
  </si>
  <si>
    <t>나388</t>
  </si>
  <si>
    <t>나389</t>
  </si>
  <si>
    <t>나390</t>
  </si>
  <si>
    <t>나391</t>
  </si>
  <si>
    <t>나392</t>
  </si>
  <si>
    <t>나393</t>
  </si>
  <si>
    <t>나394</t>
  </si>
  <si>
    <t>나395</t>
  </si>
  <si>
    <t>나396</t>
  </si>
  <si>
    <t>나397</t>
  </si>
  <si>
    <t>나398</t>
  </si>
  <si>
    <t>나399</t>
  </si>
  <si>
    <t>나400</t>
  </si>
  <si>
    <t>나401</t>
  </si>
  <si>
    <t>나402</t>
  </si>
  <si>
    <t>나403</t>
  </si>
  <si>
    <t>나404</t>
  </si>
  <si>
    <t>나405</t>
  </si>
  <si>
    <t>나406</t>
  </si>
  <si>
    <t>나407</t>
  </si>
  <si>
    <t>나408</t>
  </si>
  <si>
    <t>나409</t>
  </si>
  <si>
    <t>나410</t>
  </si>
  <si>
    <t>나411</t>
  </si>
  <si>
    <t>나412</t>
  </si>
  <si>
    <t>나413</t>
  </si>
  <si>
    <t>나414</t>
  </si>
  <si>
    <t>나415</t>
  </si>
  <si>
    <t>나416</t>
  </si>
  <si>
    <t>나417</t>
  </si>
  <si>
    <t>나418</t>
  </si>
  <si>
    <t>나419</t>
  </si>
  <si>
    <t>나420</t>
  </si>
  <si>
    <t>나421</t>
  </si>
  <si>
    <t>나422</t>
  </si>
  <si>
    <t>나423</t>
  </si>
  <si>
    <t>나424</t>
  </si>
  <si>
    <t>나425</t>
  </si>
  <si>
    <t>나426</t>
  </si>
  <si>
    <t>나427</t>
  </si>
  <si>
    <t>나428</t>
  </si>
  <si>
    <t>나429</t>
  </si>
  <si>
    <t>나430</t>
  </si>
  <si>
    <t>나431</t>
  </si>
  <si>
    <t>나432</t>
  </si>
  <si>
    <t>나433</t>
  </si>
  <si>
    <t>나434</t>
  </si>
  <si>
    <t>나435</t>
  </si>
  <si>
    <t>나436</t>
  </si>
  <si>
    <t>나437</t>
  </si>
  <si>
    <t>나438</t>
  </si>
  <si>
    <t>나439</t>
  </si>
  <si>
    <t>나440</t>
  </si>
  <si>
    <t>나441</t>
  </si>
  <si>
    <t>나442</t>
  </si>
  <si>
    <t>나443</t>
  </si>
  <si>
    <t>나444</t>
  </si>
  <si>
    <t>나445</t>
  </si>
  <si>
    <t>나446</t>
  </si>
  <si>
    <t>나447</t>
  </si>
  <si>
    <t>나448</t>
  </si>
  <si>
    <t>나449</t>
  </si>
  <si>
    <t>나450</t>
  </si>
  <si>
    <t>나451</t>
  </si>
  <si>
    <t>나452</t>
  </si>
  <si>
    <t>나453</t>
  </si>
  <si>
    <t>나454</t>
  </si>
  <si>
    <t>나455</t>
  </si>
  <si>
    <t>나456</t>
  </si>
  <si>
    <t>나457</t>
  </si>
  <si>
    <t>나458</t>
  </si>
  <si>
    <t>나459</t>
  </si>
  <si>
    <t>나460</t>
  </si>
  <si>
    <t>나461</t>
  </si>
  <si>
    <t>나462</t>
  </si>
  <si>
    <t>나463</t>
  </si>
  <si>
    <t>나464</t>
  </si>
  <si>
    <t>나465</t>
  </si>
  <si>
    <t>나466</t>
  </si>
  <si>
    <t>나467</t>
  </si>
  <si>
    <t>나468</t>
  </si>
  <si>
    <t>나469</t>
  </si>
  <si>
    <t>나470</t>
  </si>
  <si>
    <t>나471</t>
  </si>
  <si>
    <t>나472</t>
  </si>
  <si>
    <t>나473</t>
  </si>
  <si>
    <t>나474</t>
  </si>
  <si>
    <t>나475</t>
  </si>
  <si>
    <t>나476</t>
  </si>
  <si>
    <t>나477</t>
  </si>
  <si>
    <t>나478</t>
  </si>
  <si>
    <t>나479</t>
  </si>
  <si>
    <t>나480</t>
  </si>
  <si>
    <t>나481</t>
  </si>
  <si>
    <t>나482</t>
  </si>
  <si>
    <t>나483</t>
  </si>
  <si>
    <t>나484</t>
  </si>
  <si>
    <t>나485</t>
  </si>
  <si>
    <t>나486</t>
  </si>
  <si>
    <t>나487</t>
  </si>
  <si>
    <t>나488</t>
  </si>
  <si>
    <t>나489</t>
  </si>
  <si>
    <t>나490</t>
  </si>
  <si>
    <t>나491</t>
  </si>
  <si>
    <t>나492</t>
  </si>
  <si>
    <t>나493</t>
  </si>
  <si>
    <t>나494</t>
  </si>
  <si>
    <t>나495</t>
  </si>
  <si>
    <t>나496</t>
  </si>
  <si>
    <t>나497</t>
  </si>
  <si>
    <t>나498</t>
  </si>
  <si>
    <t>나499</t>
  </si>
  <si>
    <t>나500</t>
  </si>
  <si>
    <t>나501</t>
  </si>
  <si>
    <t>나502</t>
  </si>
  <si>
    <t>나503</t>
  </si>
  <si>
    <t>나504</t>
  </si>
  <si>
    <t>나505</t>
  </si>
  <si>
    <t>나506</t>
  </si>
  <si>
    <t>나507</t>
  </si>
  <si>
    <t>나508</t>
  </si>
  <si>
    <t>나509</t>
  </si>
  <si>
    <t>나510</t>
  </si>
  <si>
    <t>나511</t>
  </si>
  <si>
    <t>나512</t>
  </si>
  <si>
    <t>나513</t>
  </si>
  <si>
    <t>나514</t>
  </si>
  <si>
    <t>나515</t>
  </si>
  <si>
    <t>나516</t>
  </si>
  <si>
    <t>나517</t>
  </si>
  <si>
    <t>나518</t>
  </si>
  <si>
    <t>나519</t>
  </si>
  <si>
    <t>나520</t>
  </si>
  <si>
    <t>나521</t>
  </si>
  <si>
    <t>나522</t>
  </si>
  <si>
    <t>나523</t>
  </si>
  <si>
    <t>나524</t>
  </si>
  <si>
    <t>나525</t>
  </si>
  <si>
    <t>나526</t>
  </si>
  <si>
    <t>나527</t>
  </si>
  <si>
    <t>나528</t>
  </si>
  <si>
    <t>나529</t>
  </si>
  <si>
    <t>나530</t>
  </si>
  <si>
    <t>나531</t>
  </si>
  <si>
    <t>나532</t>
  </si>
  <si>
    <t>나533</t>
  </si>
  <si>
    <t>나534</t>
  </si>
  <si>
    <t>나535</t>
  </si>
  <si>
    <t>나536</t>
  </si>
  <si>
    <t>나537</t>
  </si>
  <si>
    <t>나538</t>
  </si>
  <si>
    <t>나539</t>
  </si>
  <si>
    <t>나540</t>
  </si>
  <si>
    <t>나541</t>
  </si>
  <si>
    <t>나542</t>
  </si>
  <si>
    <t>나543</t>
  </si>
  <si>
    <t>나544</t>
  </si>
  <si>
    <t>나545</t>
  </si>
  <si>
    <t>나546</t>
  </si>
  <si>
    <t>나547</t>
  </si>
  <si>
    <t>나548</t>
  </si>
  <si>
    <t>나549</t>
  </si>
  <si>
    <t>나550</t>
  </si>
  <si>
    <t>나551</t>
  </si>
  <si>
    <t>나552</t>
  </si>
  <si>
    <t>나553</t>
  </si>
  <si>
    <t>나554</t>
  </si>
  <si>
    <t>나555</t>
  </si>
  <si>
    <t>나556</t>
  </si>
  <si>
    <t>나557</t>
  </si>
  <si>
    <t>나558</t>
  </si>
  <si>
    <t>나559</t>
  </si>
  <si>
    <t>나560</t>
  </si>
  <si>
    <t>나561</t>
  </si>
  <si>
    <t>나562</t>
  </si>
  <si>
    <t>나563</t>
  </si>
  <si>
    <t>나564</t>
  </si>
  <si>
    <t>나565</t>
  </si>
  <si>
    <t>나566</t>
  </si>
  <si>
    <t>나567</t>
  </si>
  <si>
    <t>나568</t>
  </si>
  <si>
    <t>나569</t>
  </si>
  <si>
    <t>나570</t>
  </si>
  <si>
    <t>나571</t>
  </si>
  <si>
    <t>나572</t>
  </si>
  <si>
    <t>나573</t>
  </si>
  <si>
    <t>나574</t>
  </si>
  <si>
    <t>나575</t>
  </si>
  <si>
    <t>나576</t>
  </si>
  <si>
    <t>나577</t>
  </si>
  <si>
    <t>나578</t>
  </si>
  <si>
    <t>나579</t>
  </si>
  <si>
    <t>나580</t>
  </si>
  <si>
    <t>나581</t>
  </si>
  <si>
    <t>나582</t>
  </si>
  <si>
    <t>나583</t>
  </si>
  <si>
    <t>나584</t>
  </si>
  <si>
    <t>나585</t>
  </si>
  <si>
    <t>나586</t>
  </si>
  <si>
    <t>나587</t>
  </si>
  <si>
    <t>나588</t>
  </si>
  <si>
    <t>나589</t>
  </si>
  <si>
    <t>나590</t>
  </si>
  <si>
    <t>나591</t>
  </si>
  <si>
    <t>나592</t>
  </si>
  <si>
    <t>나593</t>
  </si>
  <si>
    <t>나594</t>
  </si>
  <si>
    <t>나595</t>
  </si>
  <si>
    <t>나596</t>
  </si>
  <si>
    <t>나597</t>
  </si>
  <si>
    <t>나598</t>
  </si>
  <si>
    <t>나599</t>
  </si>
  <si>
    <t>나600</t>
  </si>
  <si>
    <t>나601</t>
  </si>
  <si>
    <t>나602</t>
  </si>
  <si>
    <t>나603</t>
  </si>
  <si>
    <t>나604</t>
  </si>
  <si>
    <t>나605</t>
  </si>
  <si>
    <t>나606</t>
  </si>
  <si>
    <t>나607</t>
  </si>
  <si>
    <t>나608</t>
  </si>
  <si>
    <t>나609</t>
  </si>
  <si>
    <t>나610</t>
  </si>
  <si>
    <t>나611</t>
  </si>
  <si>
    <t>나612</t>
  </si>
  <si>
    <t>나613</t>
  </si>
  <si>
    <t>나614</t>
  </si>
  <si>
    <t>나615</t>
  </si>
  <si>
    <t>나616</t>
  </si>
  <si>
    <t>나617</t>
  </si>
  <si>
    <t>나618</t>
  </si>
  <si>
    <t>나619</t>
  </si>
  <si>
    <t>나620</t>
  </si>
  <si>
    <t>나621</t>
  </si>
  <si>
    <t>나622</t>
  </si>
  <si>
    <t>나623</t>
  </si>
  <si>
    <t>나624</t>
  </si>
  <si>
    <t>나625</t>
  </si>
  <si>
    <t>나626</t>
  </si>
  <si>
    <t>나627</t>
  </si>
  <si>
    <t>나628</t>
  </si>
  <si>
    <t>나629</t>
  </si>
  <si>
    <t>나630</t>
  </si>
  <si>
    <t>나631</t>
  </si>
  <si>
    <t>나632</t>
  </si>
  <si>
    <t>나633</t>
  </si>
  <si>
    <t>나634</t>
  </si>
  <si>
    <t>나635</t>
  </si>
  <si>
    <t>나636</t>
  </si>
  <si>
    <t>나637</t>
  </si>
  <si>
    <t>나638</t>
  </si>
  <si>
    <t>나639</t>
  </si>
  <si>
    <t>나640</t>
  </si>
  <si>
    <t>나641</t>
  </si>
  <si>
    <t>나642</t>
  </si>
  <si>
    <t>나643</t>
  </si>
  <si>
    <t>나644</t>
  </si>
  <si>
    <t>나645</t>
  </si>
  <si>
    <t>나646</t>
  </si>
  <si>
    <t>나647</t>
  </si>
  <si>
    <t>나648</t>
  </si>
  <si>
    <t>나649</t>
  </si>
  <si>
    <t>나650</t>
  </si>
  <si>
    <t>나651</t>
  </si>
  <si>
    <t>나652</t>
  </si>
  <si>
    <t>나653</t>
  </si>
  <si>
    <t>나654</t>
  </si>
  <si>
    <t>나655</t>
  </si>
  <si>
    <t>나656</t>
  </si>
  <si>
    <t>나657</t>
  </si>
  <si>
    <t>나658</t>
  </si>
  <si>
    <t>나659</t>
  </si>
  <si>
    <t>나660</t>
  </si>
  <si>
    <t>나661</t>
  </si>
  <si>
    <t>나662</t>
  </si>
  <si>
    <t>나663</t>
  </si>
  <si>
    <t>나664</t>
  </si>
  <si>
    <t>나665</t>
  </si>
  <si>
    <t>나666</t>
  </si>
  <si>
    <t>나667</t>
  </si>
  <si>
    <t>나668</t>
  </si>
  <si>
    <t>나669</t>
  </si>
  <si>
    <t>나670</t>
  </si>
  <si>
    <t>나671</t>
  </si>
  <si>
    <t>나672</t>
  </si>
  <si>
    <t>나673</t>
  </si>
  <si>
    <t>나674</t>
  </si>
  <si>
    <t>나675</t>
  </si>
  <si>
    <t>나676</t>
  </si>
  <si>
    <t>나677</t>
  </si>
  <si>
    <t>나678</t>
  </si>
  <si>
    <t>나679</t>
  </si>
  <si>
    <t>나680</t>
  </si>
  <si>
    <t>나681</t>
  </si>
  <si>
    <t>나682</t>
  </si>
  <si>
    <t>나683</t>
  </si>
  <si>
    <t>나684</t>
  </si>
  <si>
    <t>나685</t>
  </si>
  <si>
    <t>나686</t>
  </si>
  <si>
    <t>나687</t>
  </si>
  <si>
    <t>나688</t>
  </si>
  <si>
    <t>나689</t>
  </si>
  <si>
    <t>나690</t>
  </si>
  <si>
    <t>나691</t>
  </si>
  <si>
    <t>나692</t>
  </si>
  <si>
    <t>나693</t>
  </si>
  <si>
    <t>나694</t>
  </si>
  <si>
    <t>나695</t>
  </si>
  <si>
    <t>나696</t>
  </si>
  <si>
    <t>나697</t>
  </si>
  <si>
    <t>나698</t>
  </si>
  <si>
    <t>나699</t>
  </si>
  <si>
    <t>나700</t>
  </si>
  <si>
    <t>나701</t>
  </si>
  <si>
    <t>나702</t>
  </si>
  <si>
    <t>나703</t>
  </si>
  <si>
    <t>나704</t>
  </si>
  <si>
    <t>나705</t>
  </si>
  <si>
    <t>나706</t>
  </si>
  <si>
    <t>나707</t>
  </si>
  <si>
    <t>나708</t>
  </si>
  <si>
    <t>나709</t>
  </si>
  <si>
    <t>나710</t>
  </si>
  <si>
    <t>나711</t>
  </si>
  <si>
    <t>나712</t>
  </si>
  <si>
    <t>나713</t>
  </si>
  <si>
    <t>나714</t>
  </si>
  <si>
    <t>나715</t>
  </si>
  <si>
    <t>나716</t>
  </si>
  <si>
    <t>나717</t>
  </si>
  <si>
    <t>나718</t>
  </si>
  <si>
    <t>나719</t>
  </si>
  <si>
    <t>나720</t>
  </si>
  <si>
    <t>나721</t>
  </si>
  <si>
    <t>나722</t>
  </si>
  <si>
    <t>나723</t>
  </si>
  <si>
    <t>나724</t>
  </si>
  <si>
    <t>나725</t>
  </si>
  <si>
    <t>나726</t>
  </si>
  <si>
    <t>나727</t>
  </si>
  <si>
    <t>나728</t>
  </si>
  <si>
    <t>나729</t>
  </si>
  <si>
    <t>나730</t>
  </si>
  <si>
    <t>나731</t>
  </si>
  <si>
    <t>나732</t>
  </si>
  <si>
    <t>나733</t>
  </si>
  <si>
    <t>나734</t>
  </si>
  <si>
    <t>나735</t>
  </si>
  <si>
    <t>나736</t>
  </si>
  <si>
    <t>나737</t>
  </si>
  <si>
    <t>나738</t>
  </si>
  <si>
    <t>나739</t>
  </si>
  <si>
    <t>나740</t>
  </si>
  <si>
    <t>나741</t>
  </si>
  <si>
    <t>나742</t>
  </si>
  <si>
    <t>나743</t>
  </si>
  <si>
    <t>나744</t>
  </si>
  <si>
    <t>나745</t>
  </si>
  <si>
    <t>나746</t>
  </si>
  <si>
    <t>나747</t>
  </si>
  <si>
    <t>나748</t>
  </si>
  <si>
    <t>나749</t>
  </si>
  <si>
    <t>나750</t>
  </si>
  <si>
    <t>나751</t>
  </si>
  <si>
    <t>나752</t>
  </si>
  <si>
    <t>나753</t>
  </si>
  <si>
    <t>나754</t>
  </si>
  <si>
    <t>나755</t>
  </si>
  <si>
    <t>나756</t>
  </si>
  <si>
    <t>나757</t>
  </si>
  <si>
    <t>나758</t>
  </si>
  <si>
    <t>나759</t>
  </si>
  <si>
    <t>나760</t>
  </si>
  <si>
    <t>나761</t>
  </si>
  <si>
    <t>나762</t>
  </si>
  <si>
    <t>나763</t>
  </si>
  <si>
    <t>나764</t>
  </si>
  <si>
    <t>나765</t>
  </si>
  <si>
    <t>나766</t>
  </si>
  <si>
    <t>나767</t>
  </si>
  <si>
    <t>나768</t>
  </si>
  <si>
    <t>나769</t>
  </si>
  <si>
    <t>나770</t>
  </si>
  <si>
    <t>나771</t>
  </si>
  <si>
    <t>나772</t>
  </si>
  <si>
    <t>나773</t>
  </si>
  <si>
    <t>나774</t>
  </si>
  <si>
    <t>나775</t>
  </si>
  <si>
    <t>나776</t>
  </si>
  <si>
    <t>나777</t>
  </si>
  <si>
    <t>나778</t>
  </si>
  <si>
    <t>나779</t>
  </si>
  <si>
    <t>나780</t>
  </si>
  <si>
    <t>나781</t>
  </si>
  <si>
    <t>나782</t>
  </si>
  <si>
    <t>나783</t>
  </si>
  <si>
    <t>나784</t>
  </si>
  <si>
    <t>나785</t>
  </si>
  <si>
    <t>나786</t>
  </si>
  <si>
    <t>나787</t>
  </si>
  <si>
    <t>나788</t>
  </si>
  <si>
    <t>나789</t>
  </si>
  <si>
    <t>나790</t>
  </si>
  <si>
    <t>나791</t>
  </si>
  <si>
    <t>나792</t>
  </si>
  <si>
    <t>나793</t>
  </si>
  <si>
    <t>나794</t>
  </si>
  <si>
    <t>나795</t>
  </si>
  <si>
    <t>나796</t>
  </si>
  <si>
    <t>나797</t>
  </si>
  <si>
    <t>나798</t>
  </si>
  <si>
    <t>나799</t>
  </si>
  <si>
    <t>나800</t>
  </si>
  <si>
    <t>나801</t>
  </si>
  <si>
    <t>나802</t>
  </si>
  <si>
    <t>나803</t>
  </si>
  <si>
    <t>나804</t>
  </si>
  <si>
    <t>나805</t>
  </si>
  <si>
    <t>나806</t>
  </si>
  <si>
    <t>나807</t>
  </si>
  <si>
    <t>나808</t>
  </si>
  <si>
    <t>나809</t>
  </si>
  <si>
    <t>나810</t>
  </si>
  <si>
    <t>나811</t>
  </si>
  <si>
    <t>나812</t>
  </si>
  <si>
    <t>나813</t>
  </si>
  <si>
    <t>나814</t>
  </si>
  <si>
    <t>나815</t>
  </si>
  <si>
    <t>나816</t>
  </si>
  <si>
    <t>나817</t>
  </si>
  <si>
    <t>나818</t>
  </si>
  <si>
    <t>나819</t>
  </si>
  <si>
    <t>나820</t>
  </si>
  <si>
    <t>나821</t>
  </si>
  <si>
    <t>나822</t>
  </si>
  <si>
    <t>나823</t>
  </si>
  <si>
    <t>나824</t>
  </si>
  <si>
    <t>나825</t>
  </si>
  <si>
    <t>나826</t>
  </si>
  <si>
    <t>나827</t>
  </si>
  <si>
    <t>나828</t>
  </si>
  <si>
    <t>나829</t>
  </si>
  <si>
    <t>나830</t>
  </si>
  <si>
    <t>나831</t>
  </si>
  <si>
    <t>나832</t>
  </si>
  <si>
    <t>나833</t>
  </si>
  <si>
    <t>나834</t>
  </si>
  <si>
    <t>나835</t>
  </si>
  <si>
    <t>나836</t>
  </si>
  <si>
    <t>나837</t>
  </si>
  <si>
    <t>나838</t>
  </si>
  <si>
    <t>나839</t>
  </si>
  <si>
    <t>나840</t>
  </si>
  <si>
    <t>나841</t>
  </si>
  <si>
    <t>나842</t>
  </si>
  <si>
    <t>나843</t>
  </si>
  <si>
    <t>나844</t>
  </si>
  <si>
    <t>나845</t>
  </si>
  <si>
    <t>나846</t>
  </si>
  <si>
    <t>나847</t>
  </si>
  <si>
    <t>나848</t>
  </si>
  <si>
    <t>나849</t>
  </si>
  <si>
    <t>나850</t>
  </si>
  <si>
    <t>나851</t>
  </si>
  <si>
    <t>나852</t>
  </si>
  <si>
    <t>나853</t>
  </si>
  <si>
    <t>나854</t>
  </si>
  <si>
    <t>나855</t>
  </si>
  <si>
    <t>나856</t>
  </si>
  <si>
    <t>나857</t>
  </si>
  <si>
    <t>나858</t>
  </si>
  <si>
    <t>나859</t>
  </si>
  <si>
    <t>나860</t>
  </si>
  <si>
    <t>나861</t>
  </si>
  <si>
    <t>나862</t>
  </si>
  <si>
    <t>나863</t>
  </si>
  <si>
    <t>나864</t>
  </si>
  <si>
    <t>나865</t>
  </si>
  <si>
    <t>나866</t>
  </si>
  <si>
    <t>나867</t>
  </si>
  <si>
    <t>나868</t>
  </si>
  <si>
    <t>나869</t>
  </si>
  <si>
    <t>다1</t>
  </si>
  <si>
    <t>다2</t>
  </si>
  <si>
    <t>다3</t>
  </si>
  <si>
    <t>다4</t>
  </si>
  <si>
    <t>다5</t>
  </si>
  <si>
    <t>다6</t>
  </si>
  <si>
    <t>다7</t>
  </si>
  <si>
    <t>다8</t>
  </si>
  <si>
    <t>다9</t>
  </si>
  <si>
    <t>다10</t>
  </si>
  <si>
    <t>다11</t>
  </si>
  <si>
    <t>다12</t>
  </si>
  <si>
    <t>다13</t>
  </si>
  <si>
    <t>다14</t>
  </si>
  <si>
    <t>다15</t>
  </si>
  <si>
    <t>다16</t>
  </si>
  <si>
    <t>다17</t>
  </si>
  <si>
    <t>다18</t>
  </si>
  <si>
    <t>다19</t>
  </si>
  <si>
    <t>다20</t>
  </si>
  <si>
    <t>다21</t>
  </si>
  <si>
    <t>다22</t>
  </si>
  <si>
    <t>다23</t>
  </si>
  <si>
    <t>다24</t>
  </si>
  <si>
    <t>다25</t>
  </si>
  <si>
    <t>다26</t>
  </si>
  <si>
    <t>다27</t>
  </si>
  <si>
    <t>다28</t>
  </si>
  <si>
    <t>다29</t>
  </si>
  <si>
    <t>다30</t>
  </si>
  <si>
    <t>다31</t>
  </si>
  <si>
    <t>다32</t>
  </si>
  <si>
    <t>다33</t>
  </si>
  <si>
    <t>다34</t>
  </si>
  <si>
    <t>다35</t>
  </si>
  <si>
    <t>다36</t>
  </si>
  <si>
    <t>다37</t>
  </si>
  <si>
    <t>다38</t>
  </si>
  <si>
    <t>다39</t>
  </si>
  <si>
    <t>다40</t>
  </si>
  <si>
    <t>다41</t>
  </si>
  <si>
    <t>다42</t>
  </si>
  <si>
    <t>다43</t>
  </si>
  <si>
    <t>다44</t>
  </si>
  <si>
    <t>다45</t>
  </si>
  <si>
    <t>다46</t>
  </si>
  <si>
    <t>다47</t>
  </si>
  <si>
    <t>다48</t>
  </si>
  <si>
    <t>다49</t>
  </si>
  <si>
    <t>다50</t>
  </si>
  <si>
    <t>다51</t>
  </si>
  <si>
    <t>다52</t>
  </si>
  <si>
    <t>다53</t>
  </si>
  <si>
    <t>다54</t>
  </si>
  <si>
    <t>다55</t>
  </si>
  <si>
    <t>다56</t>
  </si>
  <si>
    <t>다57</t>
  </si>
  <si>
    <t>다58</t>
  </si>
  <si>
    <t>다59</t>
  </si>
  <si>
    <t>다60</t>
  </si>
  <si>
    <t>다61</t>
  </si>
  <si>
    <t>다62</t>
  </si>
  <si>
    <t>다63</t>
  </si>
  <si>
    <t>다64</t>
  </si>
  <si>
    <t>다65</t>
  </si>
  <si>
    <t>다66</t>
  </si>
  <si>
    <t>다67</t>
  </si>
  <si>
    <t>다68</t>
  </si>
  <si>
    <t>다69</t>
  </si>
  <si>
    <t>다70</t>
  </si>
  <si>
    <t>다71</t>
  </si>
  <si>
    <t>다72</t>
  </si>
  <si>
    <t>다73</t>
  </si>
  <si>
    <t>다74</t>
  </si>
  <si>
    <t>다75</t>
  </si>
  <si>
    <t>다76</t>
  </si>
  <si>
    <t>다77</t>
  </si>
  <si>
    <t>다78</t>
  </si>
  <si>
    <t>다79</t>
  </si>
  <si>
    <t>다80</t>
  </si>
  <si>
    <t>다81</t>
  </si>
  <si>
    <t>다82</t>
  </si>
  <si>
    <t>다83</t>
  </si>
  <si>
    <t>다84</t>
  </si>
  <si>
    <t>다85</t>
  </si>
  <si>
    <t>다86</t>
  </si>
  <si>
    <t>다87</t>
  </si>
  <si>
    <t>다88</t>
  </si>
  <si>
    <t>다89</t>
  </si>
  <si>
    <t>다90</t>
  </si>
  <si>
    <t>다91</t>
  </si>
  <si>
    <t>다92</t>
  </si>
  <si>
    <t>다93</t>
  </si>
  <si>
    <t>다94</t>
  </si>
  <si>
    <t>다95</t>
  </si>
  <si>
    <t>다96</t>
  </si>
  <si>
    <t>다97</t>
  </si>
  <si>
    <t>다98</t>
  </si>
  <si>
    <t>다99</t>
  </si>
  <si>
    <t>다100</t>
  </si>
  <si>
    <t>다101</t>
  </si>
  <si>
    <t>다102</t>
  </si>
  <si>
    <t>다103</t>
  </si>
  <si>
    <t>다104</t>
  </si>
  <si>
    <t>다105</t>
  </si>
  <si>
    <t>다106</t>
  </si>
  <si>
    <t>다107</t>
  </si>
  <si>
    <t>다108</t>
  </si>
  <si>
    <t>다109</t>
  </si>
  <si>
    <t>다110</t>
  </si>
  <si>
    <t>다111</t>
  </si>
  <si>
    <t>다112</t>
  </si>
  <si>
    <t>다113</t>
  </si>
  <si>
    <t>다114</t>
  </si>
  <si>
    <t>다115</t>
  </si>
  <si>
    <t>다116</t>
  </si>
  <si>
    <t>다117</t>
  </si>
  <si>
    <t>다118</t>
  </si>
  <si>
    <t>다119</t>
  </si>
  <si>
    <t>다120</t>
  </si>
  <si>
    <t>다121</t>
  </si>
  <si>
    <t>다122</t>
  </si>
  <si>
    <t>다123</t>
  </si>
  <si>
    <t>다124</t>
  </si>
  <si>
    <t>다125</t>
  </si>
  <si>
    <t>다126</t>
  </si>
  <si>
    <t>다127</t>
  </si>
  <si>
    <t>다128</t>
  </si>
  <si>
    <t>다129</t>
  </si>
  <si>
    <t>다130</t>
  </si>
  <si>
    <t>다131</t>
  </si>
  <si>
    <t>다132</t>
  </si>
  <si>
    <t>다133</t>
  </si>
  <si>
    <t>다134</t>
  </si>
  <si>
    <t>다135</t>
  </si>
  <si>
    <t>다136</t>
  </si>
  <si>
    <t>다137</t>
  </si>
  <si>
    <t>다138</t>
  </si>
  <si>
    <t>다139</t>
  </si>
  <si>
    <t>다140</t>
  </si>
  <si>
    <t>다141</t>
  </si>
  <si>
    <t>다142</t>
  </si>
  <si>
    <t>다143</t>
  </si>
  <si>
    <t>다144</t>
  </si>
  <si>
    <t>다145</t>
  </si>
  <si>
    <t>다146</t>
  </si>
  <si>
    <t>다147</t>
  </si>
  <si>
    <t>다148</t>
  </si>
  <si>
    <t>다149</t>
  </si>
  <si>
    <t>다150</t>
  </si>
  <si>
    <t>다151</t>
  </si>
  <si>
    <t>다152</t>
  </si>
  <si>
    <t>다153</t>
  </si>
  <si>
    <t>다154</t>
  </si>
  <si>
    <t>다155</t>
  </si>
  <si>
    <t>다156</t>
  </si>
  <si>
    <t>다157</t>
  </si>
  <si>
    <t>다158</t>
  </si>
  <si>
    <t>다159</t>
  </si>
  <si>
    <t>다160</t>
  </si>
  <si>
    <t>다161</t>
  </si>
  <si>
    <t>다162</t>
  </si>
  <si>
    <t>다163</t>
  </si>
  <si>
    <t>다164</t>
  </si>
  <si>
    <t>다165</t>
  </si>
  <si>
    <t>다166</t>
  </si>
  <si>
    <t>다167</t>
  </si>
  <si>
    <t>다168</t>
  </si>
  <si>
    <t>다169</t>
  </si>
  <si>
    <t>다170</t>
  </si>
  <si>
    <t>다171</t>
  </si>
  <si>
    <t>다172</t>
  </si>
  <si>
    <t>다173</t>
  </si>
  <si>
    <t>다174</t>
  </si>
  <si>
    <t>다175</t>
  </si>
  <si>
    <t>다176</t>
  </si>
  <si>
    <t>다177</t>
  </si>
  <si>
    <t>다178</t>
  </si>
  <si>
    <t>다179</t>
  </si>
  <si>
    <t>다180</t>
  </si>
  <si>
    <t>다181</t>
  </si>
  <si>
    <t>다182</t>
  </si>
  <si>
    <t>다183</t>
  </si>
  <si>
    <t>다184</t>
  </si>
  <si>
    <t>다185</t>
  </si>
  <si>
    <t>다186</t>
  </si>
  <si>
    <t>다187</t>
  </si>
  <si>
    <t>다188</t>
  </si>
  <si>
    <t>다189</t>
  </si>
  <si>
    <t>다190</t>
  </si>
  <si>
    <t>다191</t>
  </si>
  <si>
    <t>다192</t>
  </si>
  <si>
    <t>다193</t>
  </si>
  <si>
    <t>다194</t>
  </si>
  <si>
    <t>다195</t>
  </si>
  <si>
    <t>다196</t>
  </si>
  <si>
    <t>다197</t>
  </si>
  <si>
    <t>다198</t>
  </si>
  <si>
    <t>다199</t>
  </si>
  <si>
    <t>다200</t>
  </si>
  <si>
    <t>다201</t>
  </si>
  <si>
    <t>다202</t>
  </si>
  <si>
    <t>다203</t>
  </si>
  <si>
    <t>다204</t>
  </si>
  <si>
    <t>다205</t>
  </si>
  <si>
    <t>다206</t>
  </si>
  <si>
    <t>다207</t>
  </si>
  <si>
    <t>다208</t>
  </si>
  <si>
    <t>다209</t>
  </si>
  <si>
    <t>다210</t>
  </si>
  <si>
    <t>다211</t>
  </si>
  <si>
    <t>다212</t>
  </si>
  <si>
    <t>다213</t>
  </si>
  <si>
    <t>다214</t>
  </si>
  <si>
    <t>다215</t>
  </si>
  <si>
    <t>다216</t>
  </si>
  <si>
    <t>다217</t>
  </si>
  <si>
    <t>다218</t>
  </si>
  <si>
    <t>다219</t>
  </si>
  <si>
    <t>다220</t>
  </si>
  <si>
    <t>다221</t>
  </si>
  <si>
    <t>다222</t>
  </si>
  <si>
    <t>다223</t>
  </si>
  <si>
    <t>다224</t>
  </si>
  <si>
    <t>다225</t>
  </si>
  <si>
    <t>다226</t>
  </si>
  <si>
    <t>다227</t>
  </si>
  <si>
    <t>다228</t>
  </si>
  <si>
    <t>다229</t>
  </si>
  <si>
    <t>다230</t>
  </si>
  <si>
    <t>다231</t>
  </si>
  <si>
    <t>다232</t>
  </si>
  <si>
    <t>다233</t>
  </si>
  <si>
    <t>다234</t>
  </si>
  <si>
    <t>다235</t>
  </si>
  <si>
    <t>다236</t>
  </si>
  <si>
    <t>다237</t>
  </si>
  <si>
    <t>다238</t>
  </si>
  <si>
    <t>다239</t>
  </si>
  <si>
    <t>다240</t>
  </si>
  <si>
    <t>다241</t>
  </si>
  <si>
    <t>다242</t>
  </si>
  <si>
    <t>다243</t>
  </si>
  <si>
    <t>다244</t>
  </si>
  <si>
    <t>다245</t>
  </si>
  <si>
    <t>다246</t>
  </si>
  <si>
    <t>다247</t>
  </si>
  <si>
    <t>다248</t>
  </si>
  <si>
    <t>다249</t>
  </si>
  <si>
    <t>다250</t>
  </si>
  <si>
    <t>다251</t>
  </si>
  <si>
    <t>다252</t>
  </si>
  <si>
    <t>다253</t>
  </si>
  <si>
    <t>다254</t>
  </si>
  <si>
    <t>다255</t>
  </si>
  <si>
    <t>다256</t>
  </si>
  <si>
    <t>다257</t>
  </si>
  <si>
    <t>다258</t>
  </si>
  <si>
    <t>다259</t>
  </si>
  <si>
    <t>다260</t>
  </si>
  <si>
    <t>다261</t>
  </si>
  <si>
    <t>다262</t>
  </si>
  <si>
    <t>다263</t>
  </si>
  <si>
    <t>다264</t>
  </si>
  <si>
    <t>다265</t>
  </si>
  <si>
    <t>다266</t>
  </si>
  <si>
    <t>다267</t>
  </si>
  <si>
    <t>다268</t>
  </si>
  <si>
    <t>다269</t>
  </si>
  <si>
    <t>다270</t>
  </si>
  <si>
    <t>다271</t>
  </si>
  <si>
    <t>다272</t>
  </si>
  <si>
    <t>다273</t>
  </si>
  <si>
    <t>다274</t>
  </si>
  <si>
    <t>다275</t>
  </si>
  <si>
    <t>다276</t>
  </si>
  <si>
    <t>다277</t>
  </si>
  <si>
    <t>다278</t>
  </si>
  <si>
    <t>다279</t>
  </si>
  <si>
    <t>다280</t>
  </si>
  <si>
    <t>다281</t>
  </si>
  <si>
    <t>다282</t>
  </si>
  <si>
    <t>다283</t>
  </si>
  <si>
    <t>다284</t>
  </si>
  <si>
    <t>다285</t>
  </si>
  <si>
    <t>다286</t>
  </si>
  <si>
    <t>다287</t>
  </si>
  <si>
    <t>다288</t>
  </si>
  <si>
    <t>다289</t>
  </si>
  <si>
    <t>다290</t>
  </si>
  <si>
    <t>다291</t>
  </si>
  <si>
    <t>다292</t>
  </si>
  <si>
    <t>다293</t>
  </si>
  <si>
    <t>다294</t>
  </si>
  <si>
    <t>1</t>
  </si>
  <si>
    <t>*'도수분포 파일'로부터 만점표점 붙여넣기(과목순서 유의)</t>
    <phoneticPr fontId="3" type="noConversion"/>
  </si>
  <si>
    <r>
      <t xml:space="preserve">*표점/만점 대비 점수 산출용으로 사용. </t>
    </r>
    <r>
      <rPr>
        <sz val="10"/>
        <color rgb="FFC00000"/>
        <rFont val="맑은 고딕"/>
        <family val="3"/>
        <charset val="129"/>
      </rPr>
      <t>표점기준 배치표일경우만 의미</t>
    </r>
    <r>
      <rPr>
        <sz val="10"/>
        <color theme="4" tint="-0.249977111117893"/>
        <rFont val="맑은 고딕"/>
        <family val="2"/>
        <charset val="129"/>
      </rPr>
      <t>있음</t>
    </r>
    <phoneticPr fontId="3" type="noConversion"/>
  </si>
  <si>
    <t>언매</t>
  </si>
  <si>
    <t>화작</t>
  </si>
  <si>
    <t>미적</t>
  </si>
  <si>
    <t>기하</t>
  </si>
  <si>
    <t>확통</t>
  </si>
  <si>
    <t>물리Ⅰ</t>
  </si>
  <si>
    <t>화학Ⅰ</t>
  </si>
  <si>
    <t>생물Ⅰ</t>
  </si>
  <si>
    <t>지구과학Ⅰ</t>
  </si>
  <si>
    <t>물리II</t>
  </si>
  <si>
    <t>화학II</t>
  </si>
  <si>
    <t>생물II</t>
  </si>
  <si>
    <t>지구과학II</t>
  </si>
  <si>
    <t>생활과윤리</t>
  </si>
  <si>
    <t>윤리와사상</t>
  </si>
  <si>
    <t>한국지리</t>
  </si>
  <si>
    <t>세계지리</t>
  </si>
  <si>
    <t>동아시아사</t>
  </si>
  <si>
    <t>세계사</t>
  </si>
  <si>
    <t>정치와법</t>
  </si>
  <si>
    <t>사회문화</t>
  </si>
  <si>
    <t>과탐전체</t>
  </si>
  <si>
    <t>사탐전체</t>
  </si>
  <si>
    <t>탐구전체</t>
  </si>
  <si>
    <t>만점표점</t>
    <phoneticPr fontId="3" type="noConversion"/>
  </si>
  <si>
    <t>물</t>
  </si>
  <si>
    <t>화</t>
  </si>
  <si>
    <t>생</t>
  </si>
  <si>
    <t>지</t>
  </si>
  <si>
    <t>물2</t>
  </si>
  <si>
    <t>화2</t>
  </si>
  <si>
    <t>생2</t>
  </si>
  <si>
    <t>지2</t>
  </si>
  <si>
    <t>생윤</t>
  </si>
  <si>
    <t>윤사</t>
  </si>
  <si>
    <t>한지</t>
  </si>
  <si>
    <t>세지</t>
  </si>
  <si>
    <t>정법</t>
  </si>
  <si>
    <t>사문</t>
  </si>
  <si>
    <t>제2외국</t>
    <phoneticPr fontId="3" type="noConversion"/>
  </si>
  <si>
    <t>*과/사 가중최고점(원점/표점 연동)</t>
    <phoneticPr fontId="3" type="noConversion"/>
  </si>
  <si>
    <t>제2외국어</t>
  </si>
  <si>
    <t>원점-표점</t>
  </si>
  <si>
    <t>탐구원점</t>
  </si>
  <si>
    <t>*표점일때 ad~an열은 축소</t>
    <phoneticPr fontId="3" type="noConversion"/>
  </si>
  <si>
    <t>*원점일때 20~27행 축소</t>
    <phoneticPr fontId="3" type="noConversion"/>
  </si>
  <si>
    <t>*코드는 배치점수 계산기의 값을 따름</t>
    <phoneticPr fontId="3" type="noConversion"/>
  </si>
  <si>
    <t>동일표점의 백분위 표시방법 선택</t>
  </si>
  <si>
    <t>Match</t>
  </si>
  <si>
    <t>원점-표점-백분</t>
  </si>
  <si>
    <t>원점따라 차등 표시</t>
  </si>
  <si>
    <t>RIGHT</t>
  </si>
  <si>
    <t>원점-등급</t>
  </si>
  <si>
    <t>*'도수분포 파일'로부터 응시인원 붙여넣기(과목순서 유의)</t>
    <phoneticPr fontId="3" type="noConversion"/>
  </si>
  <si>
    <t>표준점수</t>
  </si>
  <si>
    <t>등급 점수</t>
  </si>
  <si>
    <t>가산점</t>
  </si>
  <si>
    <t>비고</t>
  </si>
  <si>
    <t>(%)</t>
  </si>
  <si>
    <t>만점</t>
  </si>
  <si>
    <t>교과</t>
  </si>
  <si>
    <t>계열ID</t>
  </si>
  <si>
    <t>2과목</t>
  </si>
  <si>
    <t>1등급</t>
  </si>
  <si>
    <t xml:space="preserve"> 과탐Ⅱ3점 가산</t>
  </si>
  <si>
    <t>자연1</t>
  </si>
  <si>
    <t>자연2</t>
  </si>
  <si>
    <t>0.25</t>
  </si>
  <si>
    <t>543</t>
  </si>
  <si>
    <t>자연3</t>
  </si>
  <si>
    <t>자연4</t>
  </si>
  <si>
    <t>자연5</t>
  </si>
  <si>
    <t>자연6</t>
  </si>
  <si>
    <t>자연7</t>
  </si>
  <si>
    <t>자연8</t>
  </si>
  <si>
    <t>자연9</t>
  </si>
  <si>
    <t>자연10</t>
  </si>
  <si>
    <t>자연11</t>
  </si>
  <si>
    <t>0.69</t>
  </si>
  <si>
    <t>1,497</t>
  </si>
  <si>
    <t>자연12</t>
  </si>
  <si>
    <t>자연13</t>
  </si>
  <si>
    <t>0.78</t>
  </si>
  <si>
    <t>1,693</t>
  </si>
  <si>
    <t>자연14</t>
  </si>
  <si>
    <t>자연15</t>
  </si>
  <si>
    <t>자연16</t>
  </si>
  <si>
    <t>자연17</t>
  </si>
  <si>
    <t>0.82</t>
  </si>
  <si>
    <t>1,779</t>
  </si>
  <si>
    <t>자연18</t>
  </si>
  <si>
    <t>자연19</t>
  </si>
  <si>
    <t>0.83</t>
  </si>
  <si>
    <t>1,801</t>
  </si>
  <si>
    <t>자연20</t>
  </si>
  <si>
    <t>자연21</t>
  </si>
  <si>
    <t>자연22</t>
  </si>
  <si>
    <t>자연23</t>
  </si>
  <si>
    <t>자연24</t>
  </si>
  <si>
    <t>자연25</t>
  </si>
  <si>
    <t>자연26</t>
  </si>
  <si>
    <t>자연27</t>
  </si>
  <si>
    <t>1.01</t>
  </si>
  <si>
    <t>2,192</t>
  </si>
  <si>
    <t>자연28</t>
  </si>
  <si>
    <t>1.02</t>
  </si>
  <si>
    <t>2,213</t>
  </si>
  <si>
    <t>통합인문1</t>
  </si>
  <si>
    <t>자연29</t>
  </si>
  <si>
    <t>413.63</t>
  </si>
  <si>
    <t xml:space="preserve">685.5 / </t>
  </si>
  <si>
    <t>자연30</t>
  </si>
  <si>
    <t>1과목</t>
  </si>
  <si>
    <t>자연31</t>
  </si>
  <si>
    <t>자연32</t>
  </si>
  <si>
    <t>자연33</t>
  </si>
  <si>
    <t>자연34</t>
  </si>
  <si>
    <t>자연35</t>
  </si>
  <si>
    <t>통합인문2</t>
  </si>
  <si>
    <t>1.08</t>
  </si>
  <si>
    <t>2,344</t>
  </si>
  <si>
    <t>자연36</t>
  </si>
  <si>
    <t>1.10</t>
  </si>
  <si>
    <t>2,387</t>
  </si>
  <si>
    <t>자연37</t>
  </si>
  <si>
    <t>자연38</t>
  </si>
  <si>
    <t>자연39</t>
  </si>
  <si>
    <t>자연40</t>
  </si>
  <si>
    <t>자연41</t>
  </si>
  <si>
    <t>자연42</t>
  </si>
  <si>
    <t>1.26</t>
  </si>
  <si>
    <t>2,734</t>
  </si>
  <si>
    <t>자연43</t>
  </si>
  <si>
    <t>자연44</t>
  </si>
  <si>
    <t>1.31</t>
  </si>
  <si>
    <t>2,843</t>
  </si>
  <si>
    <t>자연45</t>
  </si>
  <si>
    <t>1.35</t>
  </si>
  <si>
    <t>2,930</t>
  </si>
  <si>
    <t>자연46</t>
  </si>
  <si>
    <t>자연47</t>
  </si>
  <si>
    <t>자연48</t>
  </si>
  <si>
    <t>자연49</t>
  </si>
  <si>
    <t>1.42</t>
  </si>
  <si>
    <t>3,081</t>
  </si>
  <si>
    <t>자연50</t>
  </si>
  <si>
    <t>자연51</t>
  </si>
  <si>
    <t>자연52</t>
  </si>
  <si>
    <t>자연53</t>
  </si>
  <si>
    <t>1.43</t>
  </si>
  <si>
    <t>3,103</t>
  </si>
  <si>
    <t>자연54</t>
  </si>
  <si>
    <t>자연55</t>
  </si>
  <si>
    <t>자연56</t>
  </si>
  <si>
    <t>자연57</t>
  </si>
  <si>
    <t>자연58</t>
  </si>
  <si>
    <t>자연59</t>
  </si>
  <si>
    <t xml:space="preserve">399 / </t>
  </si>
  <si>
    <t>자연60</t>
  </si>
  <si>
    <t>자연61</t>
  </si>
  <si>
    <t>자연62</t>
  </si>
  <si>
    <t>자연63</t>
  </si>
  <si>
    <t>통합인문3</t>
  </si>
  <si>
    <t>통합인문4</t>
  </si>
  <si>
    <t>자연64</t>
  </si>
  <si>
    <t>1.58</t>
  </si>
  <si>
    <t>3,429</t>
  </si>
  <si>
    <t>자연65</t>
  </si>
  <si>
    <t>자연66</t>
  </si>
  <si>
    <t>자연67</t>
  </si>
  <si>
    <t>자연68</t>
  </si>
  <si>
    <t>자연69</t>
  </si>
  <si>
    <t>자연70</t>
  </si>
  <si>
    <t>자연71</t>
  </si>
  <si>
    <t>자연72</t>
  </si>
  <si>
    <t>1.64</t>
  </si>
  <si>
    <t>3,559</t>
  </si>
  <si>
    <t xml:space="preserve">678.5 / </t>
  </si>
  <si>
    <t>자연73</t>
  </si>
  <si>
    <t>자연74</t>
  </si>
  <si>
    <t>1.69</t>
  </si>
  <si>
    <t>3,667</t>
  </si>
  <si>
    <t>자연75</t>
  </si>
  <si>
    <t>1.70</t>
  </si>
  <si>
    <t>3,689</t>
  </si>
  <si>
    <t>자연76</t>
  </si>
  <si>
    <t>1.71</t>
  </si>
  <si>
    <t>3,711</t>
  </si>
  <si>
    <t>자연77</t>
  </si>
  <si>
    <t>1.73</t>
  </si>
  <si>
    <t>3,754</t>
  </si>
  <si>
    <t>자연78</t>
  </si>
  <si>
    <t xml:space="preserve"> 물리/화학 필수, 과탐Ⅱ3점 가산</t>
  </si>
  <si>
    <t>자연79</t>
  </si>
  <si>
    <t>1.77</t>
  </si>
  <si>
    <t>3,841</t>
  </si>
  <si>
    <t>자연80</t>
  </si>
  <si>
    <t>통합인문5</t>
  </si>
  <si>
    <t>1.79</t>
  </si>
  <si>
    <t>3,884</t>
  </si>
  <si>
    <t>자연81</t>
  </si>
  <si>
    <t>자연82</t>
  </si>
  <si>
    <t>자연83</t>
  </si>
  <si>
    <t>1.81</t>
  </si>
  <si>
    <t>3,928</t>
  </si>
  <si>
    <t>자연84</t>
  </si>
  <si>
    <t>자연85</t>
  </si>
  <si>
    <t>자연86</t>
  </si>
  <si>
    <t>1.86</t>
  </si>
  <si>
    <t>4,036</t>
  </si>
  <si>
    <t>자연87</t>
  </si>
  <si>
    <t>자연88</t>
  </si>
  <si>
    <t>1.89</t>
  </si>
  <si>
    <t>4,101</t>
  </si>
  <si>
    <t>자연89</t>
  </si>
  <si>
    <t>1.90</t>
  </si>
  <si>
    <t>4,123</t>
  </si>
  <si>
    <t>자연90</t>
  </si>
  <si>
    <t>405.57</t>
  </si>
  <si>
    <t>자연91</t>
  </si>
  <si>
    <t>통합인문6</t>
  </si>
  <si>
    <t>자연92</t>
  </si>
  <si>
    <t>1.98</t>
  </si>
  <si>
    <t>4,297</t>
  </si>
  <si>
    <t>자연93</t>
  </si>
  <si>
    <t>통합인문7</t>
  </si>
  <si>
    <t>1.99</t>
  </si>
  <si>
    <t>4,318</t>
  </si>
  <si>
    <t>405.00</t>
  </si>
  <si>
    <t>자연94</t>
  </si>
  <si>
    <t>자연95</t>
  </si>
  <si>
    <t>자연96</t>
  </si>
  <si>
    <t>자연97</t>
  </si>
  <si>
    <t>2.01</t>
  </si>
  <si>
    <t>4,362</t>
  </si>
  <si>
    <t>통합인문8</t>
  </si>
  <si>
    <t>자연98</t>
  </si>
  <si>
    <t>자연99</t>
  </si>
  <si>
    <t>2.05</t>
  </si>
  <si>
    <t>4,449</t>
  </si>
  <si>
    <t>자연100</t>
  </si>
  <si>
    <t>404.57</t>
  </si>
  <si>
    <t>자연101</t>
  </si>
  <si>
    <t>자연102</t>
  </si>
  <si>
    <t>2.07</t>
  </si>
  <si>
    <t>4,492</t>
  </si>
  <si>
    <t>통합인문9</t>
  </si>
  <si>
    <t>자연103</t>
  </si>
  <si>
    <t>자연104</t>
  </si>
  <si>
    <t>통합인문10</t>
  </si>
  <si>
    <t>통합인문11</t>
  </si>
  <si>
    <t>자연105</t>
  </si>
  <si>
    <t>자연106</t>
  </si>
  <si>
    <t>자연107</t>
  </si>
  <si>
    <t>자연108</t>
  </si>
  <si>
    <t>2.21</t>
  </si>
  <si>
    <t>4,796</t>
  </si>
  <si>
    <t>자연109</t>
  </si>
  <si>
    <t>2.23</t>
  </si>
  <si>
    <t>4,839</t>
  </si>
  <si>
    <t>자연110</t>
  </si>
  <si>
    <t>자연111</t>
  </si>
  <si>
    <t>자연112</t>
  </si>
  <si>
    <t>2.24</t>
  </si>
  <si>
    <t>4,861</t>
  </si>
  <si>
    <t>자연113</t>
  </si>
  <si>
    <t>자연114</t>
  </si>
  <si>
    <t>통합인문12</t>
  </si>
  <si>
    <t>2.28</t>
  </si>
  <si>
    <t>4,948</t>
  </si>
  <si>
    <t>자연115</t>
  </si>
  <si>
    <t>2.29</t>
  </si>
  <si>
    <t>4,969</t>
  </si>
  <si>
    <t>통합인문13</t>
  </si>
  <si>
    <t>403.20</t>
  </si>
  <si>
    <t>자연116</t>
  </si>
  <si>
    <t>2.31</t>
  </si>
  <si>
    <t>5,013</t>
  </si>
  <si>
    <t>자연117</t>
  </si>
  <si>
    <t>2.33</t>
  </si>
  <si>
    <t>5,056</t>
  </si>
  <si>
    <t>자연118</t>
  </si>
  <si>
    <t>자연119</t>
  </si>
  <si>
    <t xml:space="preserve">403.6 / </t>
  </si>
  <si>
    <t>통합인문14</t>
  </si>
  <si>
    <t>자연120</t>
  </si>
  <si>
    <t>2.36</t>
  </si>
  <si>
    <t>5,121</t>
  </si>
  <si>
    <t>401.66</t>
  </si>
  <si>
    <t>통합인문15</t>
  </si>
  <si>
    <t>2.38</t>
  </si>
  <si>
    <t>5,165</t>
  </si>
  <si>
    <t>자연121</t>
  </si>
  <si>
    <t>2.39</t>
  </si>
  <si>
    <t>5,186</t>
  </si>
  <si>
    <t>자연122</t>
  </si>
  <si>
    <t>2.40</t>
  </si>
  <si>
    <t>5,208</t>
  </si>
  <si>
    <t xml:space="preserve">792.4 / </t>
  </si>
  <si>
    <t>자연123</t>
  </si>
  <si>
    <t>자연124</t>
  </si>
  <si>
    <t>402.47</t>
  </si>
  <si>
    <t>자연125</t>
  </si>
  <si>
    <t>통합인문16</t>
  </si>
  <si>
    <t>2.43</t>
  </si>
  <si>
    <t>5,273</t>
  </si>
  <si>
    <t>통합인문17</t>
  </si>
  <si>
    <t>통합인문18</t>
  </si>
  <si>
    <t>자연126</t>
  </si>
  <si>
    <t>2.45</t>
  </si>
  <si>
    <t>5,317</t>
  </si>
  <si>
    <t>자연127</t>
  </si>
  <si>
    <t>402.15</t>
  </si>
  <si>
    <t>자연128</t>
  </si>
  <si>
    <t>자연129</t>
  </si>
  <si>
    <t>2.48</t>
  </si>
  <si>
    <t>5,382</t>
  </si>
  <si>
    <t>402.00</t>
  </si>
  <si>
    <t xml:space="preserve">507 / </t>
  </si>
  <si>
    <t>통합인문19</t>
  </si>
  <si>
    <t>통합인문20</t>
  </si>
  <si>
    <t>자연130</t>
  </si>
  <si>
    <t>자연131</t>
  </si>
  <si>
    <t>2.51</t>
  </si>
  <si>
    <t>5,447</t>
  </si>
  <si>
    <t>자연132</t>
  </si>
  <si>
    <t>자연133</t>
  </si>
  <si>
    <t>401.67</t>
  </si>
  <si>
    <t>자연134</t>
  </si>
  <si>
    <t>자연135</t>
  </si>
  <si>
    <t>2.58</t>
  </si>
  <si>
    <t>5,599</t>
  </si>
  <si>
    <t>통합인문21</t>
  </si>
  <si>
    <t>자연136</t>
  </si>
  <si>
    <t>401.32</t>
  </si>
  <si>
    <t xml:space="preserve">401.8 / </t>
  </si>
  <si>
    <t>통합인문22</t>
  </si>
  <si>
    <t>자연137</t>
  </si>
  <si>
    <t>2.59</t>
  </si>
  <si>
    <t>5,620</t>
  </si>
  <si>
    <t>401.27</t>
  </si>
  <si>
    <t>자연138</t>
  </si>
  <si>
    <t>통합인문23</t>
  </si>
  <si>
    <t>401.25</t>
  </si>
  <si>
    <t>통합인문24</t>
  </si>
  <si>
    <t>2.61</t>
  </si>
  <si>
    <t>5,664</t>
  </si>
  <si>
    <t>통합인문25</t>
  </si>
  <si>
    <t>401.10</t>
  </si>
  <si>
    <t>자연139</t>
  </si>
  <si>
    <t>401.09</t>
  </si>
  <si>
    <t>자연140</t>
  </si>
  <si>
    <t>2.62</t>
  </si>
  <si>
    <t>5,685</t>
  </si>
  <si>
    <t>401.01</t>
  </si>
  <si>
    <t>자연141</t>
  </si>
  <si>
    <t>401.00</t>
  </si>
  <si>
    <t>통합인문26</t>
  </si>
  <si>
    <t>자연142</t>
  </si>
  <si>
    <t>자연143</t>
  </si>
  <si>
    <t>400.82</t>
  </si>
  <si>
    <t>자연144</t>
  </si>
  <si>
    <t>자연145</t>
  </si>
  <si>
    <t>2.68</t>
  </si>
  <si>
    <t>5,816</t>
  </si>
  <si>
    <t>400.71</t>
  </si>
  <si>
    <t>자연146</t>
  </si>
  <si>
    <t>자연147</t>
  </si>
  <si>
    <t>400.56</t>
  </si>
  <si>
    <t>통합인문27</t>
  </si>
  <si>
    <t xml:space="preserve">400.9 / </t>
  </si>
  <si>
    <t>통합인문28</t>
  </si>
  <si>
    <t>통합인문29</t>
  </si>
  <si>
    <t>400.30</t>
  </si>
  <si>
    <t>자연148</t>
  </si>
  <si>
    <t>통합인문30</t>
  </si>
  <si>
    <t>자연149</t>
  </si>
  <si>
    <t>자연150</t>
  </si>
  <si>
    <t>자연151</t>
  </si>
  <si>
    <t>자연152</t>
  </si>
  <si>
    <t>자연153</t>
  </si>
  <si>
    <t>자연154</t>
  </si>
  <si>
    <t>399.99</t>
  </si>
  <si>
    <t>통합인문31</t>
  </si>
  <si>
    <t>2.82</t>
  </si>
  <si>
    <t>6,119</t>
  </si>
  <si>
    <t>자연155</t>
  </si>
  <si>
    <t>자연156</t>
  </si>
  <si>
    <t>통합인문32</t>
  </si>
  <si>
    <t>자연157</t>
  </si>
  <si>
    <t>자연158</t>
  </si>
  <si>
    <t>2등급</t>
  </si>
  <si>
    <t>자연159</t>
  </si>
  <si>
    <t>399.50</t>
  </si>
  <si>
    <t xml:space="preserve">399.9 / </t>
  </si>
  <si>
    <t>통합인문33</t>
  </si>
  <si>
    <t>통합인문34</t>
  </si>
  <si>
    <t>자연160</t>
  </si>
  <si>
    <t xml:space="preserve">399.8 / </t>
  </si>
  <si>
    <t>통합인문35</t>
  </si>
  <si>
    <t>자연161</t>
  </si>
  <si>
    <t>자연162</t>
  </si>
  <si>
    <t>399.15</t>
  </si>
  <si>
    <t>자연163</t>
  </si>
  <si>
    <t>자연164</t>
  </si>
  <si>
    <t>통합인문36</t>
  </si>
  <si>
    <t xml:space="preserve">394 / </t>
  </si>
  <si>
    <t>자연165</t>
  </si>
  <si>
    <t>2.89</t>
  </si>
  <si>
    <t>6,271</t>
  </si>
  <si>
    <t>399.00</t>
  </si>
  <si>
    <t>통합인문37</t>
  </si>
  <si>
    <t>398.91</t>
  </si>
  <si>
    <t>통합인문38</t>
  </si>
  <si>
    <t>자연166</t>
  </si>
  <si>
    <t>통합인문39</t>
  </si>
  <si>
    <t>자연167</t>
  </si>
  <si>
    <t>자연168</t>
  </si>
  <si>
    <t>398.42</t>
  </si>
  <si>
    <t>자연169</t>
  </si>
  <si>
    <t>자연170</t>
  </si>
  <si>
    <t>자연171</t>
  </si>
  <si>
    <t>자연172</t>
  </si>
  <si>
    <t>자연173</t>
  </si>
  <si>
    <t>자연174</t>
  </si>
  <si>
    <t>3.11</t>
  </si>
  <si>
    <t>6,749</t>
  </si>
  <si>
    <t>자연175</t>
  </si>
  <si>
    <t>396.98</t>
  </si>
  <si>
    <t>통합인문40</t>
  </si>
  <si>
    <t>자연176</t>
  </si>
  <si>
    <t>397.85</t>
  </si>
  <si>
    <t>통합인문41</t>
  </si>
  <si>
    <t>자연177</t>
  </si>
  <si>
    <t>자연178</t>
  </si>
  <si>
    <t>자연179</t>
  </si>
  <si>
    <t>자연180</t>
  </si>
  <si>
    <t>3.23</t>
  </si>
  <si>
    <t>7,009</t>
  </si>
  <si>
    <t>자연181</t>
  </si>
  <si>
    <t>자연182</t>
  </si>
  <si>
    <t>자연183</t>
  </si>
  <si>
    <t>399.05</t>
  </si>
  <si>
    <t>통합인문42</t>
  </si>
  <si>
    <t>자연184</t>
  </si>
  <si>
    <t>3.31</t>
  </si>
  <si>
    <t>7,183</t>
  </si>
  <si>
    <t>397.38</t>
  </si>
  <si>
    <t>자연185</t>
  </si>
  <si>
    <t>3.33</t>
  </si>
  <si>
    <t>7,226</t>
  </si>
  <si>
    <t>자연186</t>
  </si>
  <si>
    <t>3.34</t>
  </si>
  <si>
    <t>7,248</t>
  </si>
  <si>
    <t>자연187</t>
  </si>
  <si>
    <t xml:space="preserve">977 / </t>
  </si>
  <si>
    <t>자연188</t>
  </si>
  <si>
    <t>397.20</t>
  </si>
  <si>
    <t>자연189</t>
  </si>
  <si>
    <t>자연190</t>
  </si>
  <si>
    <t>3.41</t>
  </si>
  <si>
    <t>7,400</t>
  </si>
  <si>
    <t>397.03</t>
  </si>
  <si>
    <t>자연191</t>
  </si>
  <si>
    <t>자연192</t>
  </si>
  <si>
    <t>통합인문43</t>
  </si>
  <si>
    <t>자연193</t>
  </si>
  <si>
    <t>자연194</t>
  </si>
  <si>
    <t>자연195</t>
  </si>
  <si>
    <t>3.46</t>
  </si>
  <si>
    <t>7,508</t>
  </si>
  <si>
    <t>통합인문44</t>
  </si>
  <si>
    <t>자연196</t>
  </si>
  <si>
    <t xml:space="preserve">668.85 / </t>
  </si>
  <si>
    <t>자연197</t>
  </si>
  <si>
    <t>자연198</t>
  </si>
  <si>
    <t>3.53</t>
  </si>
  <si>
    <t>7,660</t>
  </si>
  <si>
    <t>자연199</t>
  </si>
  <si>
    <t>자연200</t>
  </si>
  <si>
    <t>자연201</t>
  </si>
  <si>
    <t>3.57</t>
  </si>
  <si>
    <t>7,747</t>
  </si>
  <si>
    <t>395.58</t>
  </si>
  <si>
    <t>통합인문45</t>
  </si>
  <si>
    <t>3.59</t>
  </si>
  <si>
    <t>7,790</t>
  </si>
  <si>
    <t>통합인문46</t>
  </si>
  <si>
    <t>자연202</t>
  </si>
  <si>
    <t>자연203</t>
  </si>
  <si>
    <t>3.61</t>
  </si>
  <si>
    <t>7,834</t>
  </si>
  <si>
    <t>396.34</t>
  </si>
  <si>
    <t>자연204</t>
  </si>
  <si>
    <t>3.64</t>
  </si>
  <si>
    <t>7,899</t>
  </si>
  <si>
    <t>통합인문47</t>
  </si>
  <si>
    <t>3.67</t>
  </si>
  <si>
    <t>7,964</t>
  </si>
  <si>
    <t>396.11</t>
  </si>
  <si>
    <t>자연205</t>
  </si>
  <si>
    <t>396.07</t>
  </si>
  <si>
    <t>자연206</t>
  </si>
  <si>
    <t>자연207</t>
  </si>
  <si>
    <t>통합인문48</t>
  </si>
  <si>
    <t>3.78</t>
  </si>
  <si>
    <t>8,203</t>
  </si>
  <si>
    <t>자연208</t>
  </si>
  <si>
    <t>3.82</t>
  </si>
  <si>
    <t>8,289</t>
  </si>
  <si>
    <t>자연209</t>
  </si>
  <si>
    <t>자연210</t>
  </si>
  <si>
    <t>통합인문49</t>
  </si>
  <si>
    <t>통합인문50</t>
  </si>
  <si>
    <t>자연211</t>
  </si>
  <si>
    <t>자연212</t>
  </si>
  <si>
    <t>3.87</t>
  </si>
  <si>
    <t>8,398</t>
  </si>
  <si>
    <t>395.39</t>
  </si>
  <si>
    <t>자연213</t>
  </si>
  <si>
    <t>3.89</t>
  </si>
  <si>
    <t>8,441</t>
  </si>
  <si>
    <t>395.31</t>
  </si>
  <si>
    <t>396.85</t>
  </si>
  <si>
    <t>통합인문51</t>
  </si>
  <si>
    <t>3.93</t>
  </si>
  <si>
    <t>8,528</t>
  </si>
  <si>
    <t>자연214</t>
  </si>
  <si>
    <t>3.97</t>
  </si>
  <si>
    <t>8,615</t>
  </si>
  <si>
    <t>395.01</t>
  </si>
  <si>
    <t>자연215</t>
  </si>
  <si>
    <t>통합인문52</t>
  </si>
  <si>
    <t>4.00</t>
  </si>
  <si>
    <t>8,680</t>
  </si>
  <si>
    <t>394.92</t>
  </si>
  <si>
    <t>자연216</t>
  </si>
  <si>
    <t>통합인문53</t>
  </si>
  <si>
    <t>4.02</t>
  </si>
  <si>
    <t>8,723</t>
  </si>
  <si>
    <t>394.84</t>
  </si>
  <si>
    <t>자연217</t>
  </si>
  <si>
    <t>통합인문54</t>
  </si>
  <si>
    <t>394.74</t>
  </si>
  <si>
    <t>자연218</t>
  </si>
  <si>
    <t>394.73</t>
  </si>
  <si>
    <t>자연219</t>
  </si>
  <si>
    <t>통합인문55</t>
  </si>
  <si>
    <t>4.15</t>
  </si>
  <si>
    <t>9,006</t>
  </si>
  <si>
    <t>자연220</t>
  </si>
  <si>
    <t>4.16</t>
  </si>
  <si>
    <t>9,027</t>
  </si>
  <si>
    <t>자연221</t>
  </si>
  <si>
    <t>자연222</t>
  </si>
  <si>
    <t>4.18</t>
  </si>
  <si>
    <t>9,071</t>
  </si>
  <si>
    <t>자연223</t>
  </si>
  <si>
    <t>통합인문56</t>
  </si>
  <si>
    <t>4.19</t>
  </si>
  <si>
    <t>9,092</t>
  </si>
  <si>
    <t>394.26</t>
  </si>
  <si>
    <t>자연224</t>
  </si>
  <si>
    <t>4.21</t>
  </si>
  <si>
    <t>9,136</t>
  </si>
  <si>
    <t>394.17</t>
  </si>
  <si>
    <t>자연225</t>
  </si>
  <si>
    <t>통합인문57</t>
  </si>
  <si>
    <t>4.24</t>
  </si>
  <si>
    <t>9,201</t>
  </si>
  <si>
    <t>394.07</t>
  </si>
  <si>
    <t>393.33</t>
  </si>
  <si>
    <t>통합인문58</t>
  </si>
  <si>
    <t>통합인문59</t>
  </si>
  <si>
    <t>4.25</t>
  </si>
  <si>
    <t>9,223</t>
  </si>
  <si>
    <t>394.03</t>
  </si>
  <si>
    <t>자연226</t>
  </si>
  <si>
    <t>통합인문60</t>
  </si>
  <si>
    <t>4.27</t>
  </si>
  <si>
    <t>9,266</t>
  </si>
  <si>
    <t>393.96</t>
  </si>
  <si>
    <t>통합인문61</t>
  </si>
  <si>
    <t>4.28</t>
  </si>
  <si>
    <t>9,288</t>
  </si>
  <si>
    <t>393.92</t>
  </si>
  <si>
    <t>통합인문62</t>
  </si>
  <si>
    <t>4.31</t>
  </si>
  <si>
    <t>9,353</t>
  </si>
  <si>
    <t>자연227</t>
  </si>
  <si>
    <t>4.35</t>
  </si>
  <si>
    <t>9,440</t>
  </si>
  <si>
    <t>393.68</t>
  </si>
  <si>
    <t>393.01</t>
  </si>
  <si>
    <t>통합인문63</t>
  </si>
  <si>
    <t>자연228</t>
  </si>
  <si>
    <t>4.38</t>
  </si>
  <si>
    <t>9,505</t>
  </si>
  <si>
    <t>393.56</t>
  </si>
  <si>
    <t>자연229</t>
  </si>
  <si>
    <t>자연230</t>
  </si>
  <si>
    <t>통합인문64</t>
  </si>
  <si>
    <t>393.45</t>
  </si>
  <si>
    <t>자연231</t>
  </si>
  <si>
    <t>4.42</t>
  </si>
  <si>
    <t>9,591</t>
  </si>
  <si>
    <t xml:space="preserve">972 / </t>
  </si>
  <si>
    <t>자연232</t>
  </si>
  <si>
    <t>393.38</t>
  </si>
  <si>
    <t>자연233</t>
  </si>
  <si>
    <t>4.43</t>
  </si>
  <si>
    <t>9,613</t>
  </si>
  <si>
    <t>392.69</t>
  </si>
  <si>
    <t>통합인문65</t>
  </si>
  <si>
    <t>자연234</t>
  </si>
  <si>
    <t>4.44</t>
  </si>
  <si>
    <t>9,635</t>
  </si>
  <si>
    <t>393.31</t>
  </si>
  <si>
    <t>통합인문66</t>
  </si>
  <si>
    <t>통합인문67</t>
  </si>
  <si>
    <t>4.45</t>
  </si>
  <si>
    <t>9,657</t>
  </si>
  <si>
    <t>393.25</t>
  </si>
  <si>
    <t>자연235</t>
  </si>
  <si>
    <t>393.21</t>
  </si>
  <si>
    <t>통합인문68</t>
  </si>
  <si>
    <t>394.76</t>
  </si>
  <si>
    <t>통합인문69</t>
  </si>
  <si>
    <t>자연236</t>
  </si>
  <si>
    <t>393.18</t>
  </si>
  <si>
    <t>통합인문70</t>
  </si>
  <si>
    <t>4.60</t>
  </si>
  <si>
    <t>9,982</t>
  </si>
  <si>
    <t>자연237</t>
  </si>
  <si>
    <t>394.89</t>
  </si>
  <si>
    <t>통합인문71</t>
  </si>
  <si>
    <t>통합인문72</t>
  </si>
  <si>
    <t>4.69</t>
  </si>
  <si>
    <t>10,177</t>
  </si>
  <si>
    <t>통합인문73</t>
  </si>
  <si>
    <t>4.71</t>
  </si>
  <si>
    <t>10,221</t>
  </si>
  <si>
    <t>392.58</t>
  </si>
  <si>
    <t>자연238</t>
  </si>
  <si>
    <t>자연239</t>
  </si>
  <si>
    <t>자연240</t>
  </si>
  <si>
    <t>통합인문74</t>
  </si>
  <si>
    <t>4.77</t>
  </si>
  <si>
    <t>10,351</t>
  </si>
  <si>
    <t>통합인문75</t>
  </si>
  <si>
    <t>392.33</t>
  </si>
  <si>
    <t>자연241</t>
  </si>
  <si>
    <t>자연242</t>
  </si>
  <si>
    <t>4.81</t>
  </si>
  <si>
    <t>10,438</t>
  </si>
  <si>
    <t>393.74</t>
  </si>
  <si>
    <t>통합인문76</t>
  </si>
  <si>
    <t>4.82</t>
  </si>
  <si>
    <t>10,459</t>
  </si>
  <si>
    <t>자연243</t>
  </si>
  <si>
    <t>4.87</t>
  </si>
  <si>
    <t>10,568</t>
  </si>
  <si>
    <t>391.42</t>
  </si>
  <si>
    <t>통합인문77</t>
  </si>
  <si>
    <t>391.35</t>
  </si>
  <si>
    <t>통합인문78</t>
  </si>
  <si>
    <t>자연244</t>
  </si>
  <si>
    <t>391.83</t>
  </si>
  <si>
    <t>자연245</t>
  </si>
  <si>
    <t>통합인문79</t>
  </si>
  <si>
    <t>자연246</t>
  </si>
  <si>
    <t>391.78</t>
  </si>
  <si>
    <t>391.24</t>
  </si>
  <si>
    <t>통합인문80</t>
  </si>
  <si>
    <t>통합인문81</t>
  </si>
  <si>
    <t>391.70</t>
  </si>
  <si>
    <t>통합인문82</t>
  </si>
  <si>
    <t>391.64</t>
  </si>
  <si>
    <t>393.17</t>
  </si>
  <si>
    <t>통합인문83</t>
  </si>
  <si>
    <t>391.36</t>
  </si>
  <si>
    <t>통합인문84</t>
  </si>
  <si>
    <t>391.34</t>
  </si>
  <si>
    <t>통합인문85</t>
  </si>
  <si>
    <t>통합인문86</t>
  </si>
  <si>
    <t>자연247</t>
  </si>
  <si>
    <t>392.51</t>
  </si>
  <si>
    <t>통합인문87</t>
  </si>
  <si>
    <t>5.23</t>
  </si>
  <si>
    <t>11,349</t>
  </si>
  <si>
    <t>자연248</t>
  </si>
  <si>
    <t>통합인문88</t>
  </si>
  <si>
    <t>5.25</t>
  </si>
  <si>
    <t>11,393</t>
  </si>
  <si>
    <t>390.80</t>
  </si>
  <si>
    <t>통합인문89</t>
  </si>
  <si>
    <t>5.26</t>
  </si>
  <si>
    <t>11,414</t>
  </si>
  <si>
    <t>390.28</t>
  </si>
  <si>
    <t>통합인문90</t>
  </si>
  <si>
    <t>390.72</t>
  </si>
  <si>
    <t>통합인문91</t>
  </si>
  <si>
    <t>392.17</t>
  </si>
  <si>
    <t>통합인문92</t>
  </si>
  <si>
    <t>자연249</t>
  </si>
  <si>
    <t>자연250</t>
  </si>
  <si>
    <t>자연251</t>
  </si>
  <si>
    <t>390.55</t>
  </si>
  <si>
    <t>자연252</t>
  </si>
  <si>
    <t>자연253</t>
  </si>
  <si>
    <t>자연254</t>
  </si>
  <si>
    <t>391.87</t>
  </si>
  <si>
    <t>통합인문93</t>
  </si>
  <si>
    <t>통합인문94</t>
  </si>
  <si>
    <t>390.35</t>
  </si>
  <si>
    <t>389.91</t>
  </si>
  <si>
    <t>자연255</t>
  </si>
  <si>
    <t>5.28</t>
  </si>
  <si>
    <t>11,458</t>
  </si>
  <si>
    <t>통합인문95</t>
  </si>
  <si>
    <t>391.66</t>
  </si>
  <si>
    <t>통합인문96</t>
  </si>
  <si>
    <t>통합인문97</t>
  </si>
  <si>
    <t>자연256</t>
  </si>
  <si>
    <t>5.29</t>
  </si>
  <si>
    <t>11,479</t>
  </si>
  <si>
    <t>자연257</t>
  </si>
  <si>
    <t>통합인문98</t>
  </si>
  <si>
    <t>390.02</t>
  </si>
  <si>
    <t>자연258</t>
  </si>
  <si>
    <t>통합인문99</t>
  </si>
  <si>
    <t>389.58</t>
  </si>
  <si>
    <t>통합인문100</t>
  </si>
  <si>
    <t>389.55</t>
  </si>
  <si>
    <t>통합인문101</t>
  </si>
  <si>
    <t>통합인문102</t>
  </si>
  <si>
    <t>통합인문103</t>
  </si>
  <si>
    <t>389.88</t>
  </si>
  <si>
    <t>자연259</t>
  </si>
  <si>
    <t>5.30</t>
  </si>
  <si>
    <t>11,501</t>
  </si>
  <si>
    <t>자연260</t>
  </si>
  <si>
    <t>389.75</t>
  </si>
  <si>
    <t xml:space="preserve">658.14 / </t>
  </si>
  <si>
    <t>자연261</t>
  </si>
  <si>
    <t xml:space="preserve">664.82 / </t>
  </si>
  <si>
    <t>통합인문104</t>
  </si>
  <si>
    <t>통합인문105</t>
  </si>
  <si>
    <t>5.32</t>
  </si>
  <si>
    <t>11,544</t>
  </si>
  <si>
    <t>자연262</t>
  </si>
  <si>
    <t>389.60</t>
  </si>
  <si>
    <t>통합인문106</t>
  </si>
  <si>
    <t>389.54</t>
  </si>
  <si>
    <t>통합인문107</t>
  </si>
  <si>
    <t>389.48</t>
  </si>
  <si>
    <t>자연263</t>
  </si>
  <si>
    <t>5.39</t>
  </si>
  <si>
    <t>11,696</t>
  </si>
  <si>
    <t>자연264</t>
  </si>
  <si>
    <t>통합인문108</t>
  </si>
  <si>
    <t>5.52</t>
  </si>
  <si>
    <t>11,978</t>
  </si>
  <si>
    <t>389.09</t>
  </si>
  <si>
    <t>자연265</t>
  </si>
  <si>
    <t>389.07</t>
  </si>
  <si>
    <t>388.69</t>
  </si>
  <si>
    <t>통합인문109</t>
  </si>
  <si>
    <t>5.53</t>
  </si>
  <si>
    <t>12,000</t>
  </si>
  <si>
    <t>388.68</t>
  </si>
  <si>
    <t>통합인문110</t>
  </si>
  <si>
    <t>388.95</t>
  </si>
  <si>
    <t>자연266</t>
  </si>
  <si>
    <t>자연267</t>
  </si>
  <si>
    <t>388.39</t>
  </si>
  <si>
    <t>통합인문111</t>
  </si>
  <si>
    <t>388.47</t>
  </si>
  <si>
    <t>388.14</t>
  </si>
  <si>
    <t>통합인문112</t>
  </si>
  <si>
    <t>5.68</t>
  </si>
  <si>
    <t>12,326</t>
  </si>
  <si>
    <t>통합인문113</t>
  </si>
  <si>
    <t>388.32</t>
  </si>
  <si>
    <t>통합인문114</t>
  </si>
  <si>
    <t>5.81</t>
  </si>
  <si>
    <t>12,608</t>
  </si>
  <si>
    <t>통합인문115</t>
  </si>
  <si>
    <t>자연268</t>
  </si>
  <si>
    <t>387.97</t>
  </si>
  <si>
    <t>통합인문116</t>
  </si>
  <si>
    <t>통합인문117</t>
  </si>
  <si>
    <t>387.26</t>
  </si>
  <si>
    <t>통합인문118</t>
  </si>
  <si>
    <t>388.20</t>
  </si>
  <si>
    <t>자연269</t>
  </si>
  <si>
    <t>자연270</t>
  </si>
  <si>
    <t>통합인문119</t>
  </si>
  <si>
    <t>통합인문120</t>
  </si>
  <si>
    <t>6.02</t>
  </si>
  <si>
    <t>13,063</t>
  </si>
  <si>
    <t>387.37</t>
  </si>
  <si>
    <t>387.12</t>
  </si>
  <si>
    <t>통합인문121</t>
  </si>
  <si>
    <t>6.05</t>
  </si>
  <si>
    <t>13,129</t>
  </si>
  <si>
    <t>387.31</t>
  </si>
  <si>
    <t>자연271</t>
  </si>
  <si>
    <t>387.30</t>
  </si>
  <si>
    <t>통합인문122</t>
  </si>
  <si>
    <t>389.15</t>
  </si>
  <si>
    <t>통합인문123</t>
  </si>
  <si>
    <t>387.21</t>
  </si>
  <si>
    <t>자연272</t>
  </si>
  <si>
    <t>6.10</t>
  </si>
  <si>
    <t>13,237</t>
  </si>
  <si>
    <t>자연273</t>
  </si>
  <si>
    <t>386.89</t>
  </si>
  <si>
    <t>통합인문124</t>
  </si>
  <si>
    <t>386.92</t>
  </si>
  <si>
    <t>388.89</t>
  </si>
  <si>
    <t>통합인문125</t>
  </si>
  <si>
    <t>386.68</t>
  </si>
  <si>
    <t>자연274</t>
  </si>
  <si>
    <t>386.45</t>
  </si>
  <si>
    <t>통합인문126</t>
  </si>
  <si>
    <t xml:space="preserve">559.33 / </t>
  </si>
  <si>
    <t>자연275</t>
  </si>
  <si>
    <t>자연276</t>
  </si>
  <si>
    <t>통합인문127</t>
  </si>
  <si>
    <t>통합인문128</t>
  </si>
  <si>
    <t>6.39</t>
  </si>
  <si>
    <t>13,866</t>
  </si>
  <si>
    <t>386.31</t>
  </si>
  <si>
    <t>자연277</t>
  </si>
  <si>
    <t>통합인문129</t>
  </si>
  <si>
    <t>386.19</t>
  </si>
  <si>
    <t xml:space="preserve">654.71 / </t>
  </si>
  <si>
    <t>통합인문130</t>
  </si>
  <si>
    <t>자연278</t>
  </si>
  <si>
    <t>386.17</t>
  </si>
  <si>
    <t>자연279</t>
  </si>
  <si>
    <t>386.00</t>
  </si>
  <si>
    <t>자연280</t>
  </si>
  <si>
    <t>385.64</t>
  </si>
  <si>
    <t>통합인문131</t>
  </si>
  <si>
    <t>6.60</t>
  </si>
  <si>
    <t>14,322</t>
  </si>
  <si>
    <t>자연281</t>
  </si>
  <si>
    <t>6.66</t>
  </si>
  <si>
    <t>14,452</t>
  </si>
  <si>
    <t>자연282</t>
  </si>
  <si>
    <t>6.73</t>
  </si>
  <si>
    <t>14,604</t>
  </si>
  <si>
    <t>자연283</t>
  </si>
  <si>
    <t>385.37</t>
  </si>
  <si>
    <t>통합인문132</t>
  </si>
  <si>
    <t>6.77</t>
  </si>
  <si>
    <t>14,691</t>
  </si>
  <si>
    <t>자연284</t>
  </si>
  <si>
    <t>자연285</t>
  </si>
  <si>
    <t xml:space="preserve">900.24 / </t>
  </si>
  <si>
    <t>통합인문133</t>
  </si>
  <si>
    <t>자연286</t>
  </si>
  <si>
    <t>자연287</t>
  </si>
  <si>
    <t>통합인문134</t>
  </si>
  <si>
    <t>385.20</t>
  </si>
  <si>
    <t>385.05</t>
  </si>
  <si>
    <t xml:space="preserve">900.14 / </t>
  </si>
  <si>
    <t>통합인문135</t>
  </si>
  <si>
    <t>통합인문136</t>
  </si>
  <si>
    <t>387.52</t>
  </si>
  <si>
    <t xml:space="preserve">653.69 / </t>
  </si>
  <si>
    <t>통합인문137</t>
  </si>
  <si>
    <t>자연288</t>
  </si>
  <si>
    <t>384.96</t>
  </si>
  <si>
    <t>통합인문138</t>
  </si>
  <si>
    <t>6.80</t>
  </si>
  <si>
    <t>14,756</t>
  </si>
  <si>
    <t>385.09</t>
  </si>
  <si>
    <t>자연289</t>
  </si>
  <si>
    <t>385.06</t>
  </si>
  <si>
    <t>자연290</t>
  </si>
  <si>
    <t xml:space="preserve">757.5 / </t>
  </si>
  <si>
    <t>자연291</t>
  </si>
  <si>
    <t>6.81</t>
  </si>
  <si>
    <t>14,778</t>
  </si>
  <si>
    <t>통합인문139</t>
  </si>
  <si>
    <t>자연292</t>
  </si>
  <si>
    <t>통합인문140</t>
  </si>
  <si>
    <t>384.81</t>
  </si>
  <si>
    <t>자연293</t>
  </si>
  <si>
    <t>자연294</t>
  </si>
  <si>
    <t>384.76</t>
  </si>
  <si>
    <t>자연295</t>
  </si>
  <si>
    <t>6.93</t>
  </si>
  <si>
    <t>15,038</t>
  </si>
  <si>
    <t>통합인문141</t>
  </si>
  <si>
    <t>384.52</t>
  </si>
  <si>
    <t>통합인문142</t>
  </si>
  <si>
    <t>6.98</t>
  </si>
  <si>
    <t>15,147</t>
  </si>
  <si>
    <t>384.60</t>
  </si>
  <si>
    <t>자연296</t>
  </si>
  <si>
    <t>384.46</t>
  </si>
  <si>
    <t>통합인문143</t>
  </si>
  <si>
    <t>7.00</t>
  </si>
  <si>
    <t>15,190</t>
  </si>
  <si>
    <t>통합인문144</t>
  </si>
  <si>
    <t>7.02</t>
  </si>
  <si>
    <t>15,233</t>
  </si>
  <si>
    <t>384.53</t>
  </si>
  <si>
    <t>통합인문145</t>
  </si>
  <si>
    <t>자연297</t>
  </si>
  <si>
    <t>7.03</t>
  </si>
  <si>
    <t>15,255</t>
  </si>
  <si>
    <t>384.50</t>
  </si>
  <si>
    <t>통합인문146</t>
  </si>
  <si>
    <t>7.05</t>
  </si>
  <si>
    <t>15,299</t>
  </si>
  <si>
    <t>384.35</t>
  </si>
  <si>
    <t>통합인문147</t>
  </si>
  <si>
    <t>7.06</t>
  </si>
  <si>
    <t>15,320</t>
  </si>
  <si>
    <t>자연298</t>
  </si>
  <si>
    <t>384.39</t>
  </si>
  <si>
    <t>통합인문148</t>
  </si>
  <si>
    <t>7.09</t>
  </si>
  <si>
    <t>15,385</t>
  </si>
  <si>
    <t>386.73</t>
  </si>
  <si>
    <t>자연299</t>
  </si>
  <si>
    <t>통합인문149</t>
  </si>
  <si>
    <t>384.33</t>
  </si>
  <si>
    <t>통합인문150</t>
  </si>
  <si>
    <t>자연300</t>
  </si>
  <si>
    <t>자연301</t>
  </si>
  <si>
    <t>통합인문151</t>
  </si>
  <si>
    <t>384.18</t>
  </si>
  <si>
    <t>자연302</t>
  </si>
  <si>
    <t>통합인문152</t>
  </si>
  <si>
    <t>통합인문153</t>
  </si>
  <si>
    <t>자연303</t>
  </si>
  <si>
    <t>7.21</t>
  </si>
  <si>
    <t>15,646</t>
  </si>
  <si>
    <t>자연304</t>
  </si>
  <si>
    <t>자연305</t>
  </si>
  <si>
    <t>자연306</t>
  </si>
  <si>
    <t>7.40</t>
  </si>
  <si>
    <t>16,058</t>
  </si>
  <si>
    <t>자연307</t>
  </si>
  <si>
    <t>383.42</t>
  </si>
  <si>
    <t>자연308</t>
  </si>
  <si>
    <t>7.42</t>
  </si>
  <si>
    <t>16,101</t>
  </si>
  <si>
    <t>383.37</t>
  </si>
  <si>
    <t>자연309</t>
  </si>
  <si>
    <t>383.34</t>
  </si>
  <si>
    <t>자연310</t>
  </si>
  <si>
    <t>383.28</t>
  </si>
  <si>
    <t>자연311</t>
  </si>
  <si>
    <t>7.46</t>
  </si>
  <si>
    <t>16,188</t>
  </si>
  <si>
    <t>383.76</t>
  </si>
  <si>
    <t>통합인문154</t>
  </si>
  <si>
    <t>383.12</t>
  </si>
  <si>
    <t>자연312</t>
  </si>
  <si>
    <t>7.55</t>
  </si>
  <si>
    <t>16,384</t>
  </si>
  <si>
    <t>통합인문155</t>
  </si>
  <si>
    <t>382.84</t>
  </si>
  <si>
    <t>자연313</t>
  </si>
  <si>
    <t>7.60</t>
  </si>
  <si>
    <t>16,492</t>
  </si>
  <si>
    <t>382.78</t>
  </si>
  <si>
    <t>통합인문156</t>
  </si>
  <si>
    <t>자연314</t>
  </si>
  <si>
    <t>통합인문157</t>
  </si>
  <si>
    <t>7.66</t>
  </si>
  <si>
    <t>16,622</t>
  </si>
  <si>
    <t>382.61</t>
  </si>
  <si>
    <t>382.55</t>
  </si>
  <si>
    <t>통합인문158</t>
  </si>
  <si>
    <t>통합인문159</t>
  </si>
  <si>
    <t>7.67</t>
  </si>
  <si>
    <t>16,644</t>
  </si>
  <si>
    <t>382.58</t>
  </si>
  <si>
    <t>383.08</t>
  </si>
  <si>
    <t>통합인문160</t>
  </si>
  <si>
    <t xml:space="preserve">554.57 / </t>
  </si>
  <si>
    <t>통합인문161</t>
  </si>
  <si>
    <t>382.43</t>
  </si>
  <si>
    <t>자연315</t>
  </si>
  <si>
    <t>382.40</t>
  </si>
  <si>
    <t>383.38</t>
  </si>
  <si>
    <t>통합인문162</t>
  </si>
  <si>
    <t>382.33</t>
  </si>
  <si>
    <t>통합인문163</t>
  </si>
  <si>
    <t>7.76</t>
  </si>
  <si>
    <t>16,839</t>
  </si>
  <si>
    <t>자연316</t>
  </si>
  <si>
    <t>자연317</t>
  </si>
  <si>
    <t>7.84</t>
  </si>
  <si>
    <t>17,013</t>
  </si>
  <si>
    <t>382.11</t>
  </si>
  <si>
    <t>통합인문164</t>
  </si>
  <si>
    <t>382.10</t>
  </si>
  <si>
    <t>통합인문165</t>
  </si>
  <si>
    <t>7.86</t>
  </si>
  <si>
    <t>17,056</t>
  </si>
  <si>
    <t>자연318</t>
  </si>
  <si>
    <t>통합인문166</t>
  </si>
  <si>
    <t>7.87</t>
  </si>
  <si>
    <t>17,078</t>
  </si>
  <si>
    <t>통합인문167</t>
  </si>
  <si>
    <t>자연319</t>
  </si>
  <si>
    <t>통합인문168</t>
  </si>
  <si>
    <t>7.89</t>
  </si>
  <si>
    <t>17,121</t>
  </si>
  <si>
    <t>자연320</t>
  </si>
  <si>
    <t>7.90</t>
  </si>
  <si>
    <t>17,143</t>
  </si>
  <si>
    <t>통합인문169</t>
  </si>
  <si>
    <t>381.91</t>
  </si>
  <si>
    <t>자연321</t>
  </si>
  <si>
    <t>7.92</t>
  </si>
  <si>
    <t>17,186</t>
  </si>
  <si>
    <t>자연322</t>
  </si>
  <si>
    <t>7.95</t>
  </si>
  <si>
    <t>17,252</t>
  </si>
  <si>
    <t>자연323</t>
  </si>
  <si>
    <t>통합인문170</t>
  </si>
  <si>
    <t>381.74</t>
  </si>
  <si>
    <t>382.68</t>
  </si>
  <si>
    <t>통합인문171</t>
  </si>
  <si>
    <t>통합인문172</t>
  </si>
  <si>
    <t>381.71</t>
  </si>
  <si>
    <t>통합인문173</t>
  </si>
  <si>
    <t>7.98</t>
  </si>
  <si>
    <t>17,317</t>
  </si>
  <si>
    <t>통합인문174</t>
  </si>
  <si>
    <t>381.64</t>
  </si>
  <si>
    <t>통합인문175</t>
  </si>
  <si>
    <t>8.00</t>
  </si>
  <si>
    <t>17,360</t>
  </si>
  <si>
    <t>381.61</t>
  </si>
  <si>
    <t>자연324</t>
  </si>
  <si>
    <t>381.60</t>
  </si>
  <si>
    <t>통합인문176</t>
  </si>
  <si>
    <t>8.03</t>
  </si>
  <si>
    <t>17,425</t>
  </si>
  <si>
    <t>381.50</t>
  </si>
  <si>
    <t>통합인문177</t>
  </si>
  <si>
    <t>8.04</t>
  </si>
  <si>
    <t>17,447</t>
  </si>
  <si>
    <t>통합인문178</t>
  </si>
  <si>
    <t>자연325</t>
  </si>
  <si>
    <t>통합인문179</t>
  </si>
  <si>
    <t>자연326</t>
  </si>
  <si>
    <t>자연327</t>
  </si>
  <si>
    <t>통합인문180</t>
  </si>
  <si>
    <t>8.09</t>
  </si>
  <si>
    <t>17,555</t>
  </si>
  <si>
    <t>381.35</t>
  </si>
  <si>
    <t>통합인문181</t>
  </si>
  <si>
    <t>381.30</t>
  </si>
  <si>
    <t>381.31</t>
  </si>
  <si>
    <t>통합인문182</t>
  </si>
  <si>
    <t>8.13</t>
  </si>
  <si>
    <t>17,642</t>
  </si>
  <si>
    <t>자연328</t>
  </si>
  <si>
    <t>8.14</t>
  </si>
  <si>
    <t>17,664</t>
  </si>
  <si>
    <t>381.23</t>
  </si>
  <si>
    <t>통합인문183</t>
  </si>
  <si>
    <t>8.16</t>
  </si>
  <si>
    <t>17,707</t>
  </si>
  <si>
    <t>자연329</t>
  </si>
  <si>
    <t>8.17</t>
  </si>
  <si>
    <t>17,729</t>
  </si>
  <si>
    <t>통합인문184</t>
  </si>
  <si>
    <t>8.19</t>
  </si>
  <si>
    <t>17,772</t>
  </si>
  <si>
    <t>자연330</t>
  </si>
  <si>
    <t>8.22</t>
  </si>
  <si>
    <t>17,837</t>
  </si>
  <si>
    <t>380.97</t>
  </si>
  <si>
    <t>자연331</t>
  </si>
  <si>
    <t>통합인문185</t>
  </si>
  <si>
    <t>8.23</t>
  </si>
  <si>
    <t>17,859</t>
  </si>
  <si>
    <t>380.91</t>
  </si>
  <si>
    <t>자연332</t>
  </si>
  <si>
    <t>8.24</t>
  </si>
  <si>
    <t>17,881</t>
  </si>
  <si>
    <t>자연333</t>
  </si>
  <si>
    <t>380.87</t>
  </si>
  <si>
    <t>통합인문186</t>
  </si>
  <si>
    <t>380.76</t>
  </si>
  <si>
    <t>자연334</t>
  </si>
  <si>
    <t>8.26</t>
  </si>
  <si>
    <t>17,924</t>
  </si>
  <si>
    <t>380.62</t>
  </si>
  <si>
    <t>통합인문187</t>
  </si>
  <si>
    <t>자연335</t>
  </si>
  <si>
    <t>자연336</t>
  </si>
  <si>
    <t>8.37</t>
  </si>
  <si>
    <t>18,163</t>
  </si>
  <si>
    <t>통합인문188</t>
  </si>
  <si>
    <t>8.39</t>
  </si>
  <si>
    <t>18,206</t>
  </si>
  <si>
    <t>380.39</t>
  </si>
  <si>
    <t>통합인문189</t>
  </si>
  <si>
    <t>8.42</t>
  </si>
  <si>
    <t>18,271</t>
  </si>
  <si>
    <t>통합인문190</t>
  </si>
  <si>
    <t>8.43</t>
  </si>
  <si>
    <t>18,293</t>
  </si>
  <si>
    <t xml:space="preserve">879.7 / </t>
  </si>
  <si>
    <t>자연337</t>
  </si>
  <si>
    <t>380.33</t>
  </si>
  <si>
    <t>통합인문191</t>
  </si>
  <si>
    <t>통합인문192</t>
  </si>
  <si>
    <t>8.46</t>
  </si>
  <si>
    <t>18,358</t>
  </si>
  <si>
    <t>자연338</t>
  </si>
  <si>
    <t>자연339</t>
  </si>
  <si>
    <t>380.13</t>
  </si>
  <si>
    <t>자연340</t>
  </si>
  <si>
    <t>8.49</t>
  </si>
  <si>
    <t>18,423</t>
  </si>
  <si>
    <t>통합인문193</t>
  </si>
  <si>
    <t>380.08</t>
  </si>
  <si>
    <t>380.12</t>
  </si>
  <si>
    <t>통합인문194</t>
  </si>
  <si>
    <t>380.07</t>
  </si>
  <si>
    <t>자연341</t>
  </si>
  <si>
    <t>8.52</t>
  </si>
  <si>
    <t>18,488</t>
  </si>
  <si>
    <t>자연342</t>
  </si>
  <si>
    <t>379.94</t>
  </si>
  <si>
    <t>자연343</t>
  </si>
  <si>
    <t>통합인문195</t>
  </si>
  <si>
    <t>자연344</t>
  </si>
  <si>
    <t>자연345</t>
  </si>
  <si>
    <t>자연346</t>
  </si>
  <si>
    <t>통합인문196</t>
  </si>
  <si>
    <t>8.61</t>
  </si>
  <si>
    <t>18,684</t>
  </si>
  <si>
    <t>379.72</t>
  </si>
  <si>
    <t>통합인문197</t>
  </si>
  <si>
    <t>자연347</t>
  </si>
  <si>
    <t>8.64</t>
  </si>
  <si>
    <t>18,749</t>
  </si>
  <si>
    <t>379.57</t>
  </si>
  <si>
    <t>379.66</t>
  </si>
  <si>
    <t>자연348</t>
  </si>
  <si>
    <t>8.65</t>
  </si>
  <si>
    <t>18,771</t>
  </si>
  <si>
    <t>379.54</t>
  </si>
  <si>
    <t xml:space="preserve">551.04 / </t>
  </si>
  <si>
    <t>자연349</t>
  </si>
  <si>
    <t>379.50</t>
  </si>
  <si>
    <t>통합인문198</t>
  </si>
  <si>
    <t>8.68</t>
  </si>
  <si>
    <t>18,836</t>
  </si>
  <si>
    <t>379.45</t>
  </si>
  <si>
    <t>379.53</t>
  </si>
  <si>
    <t>통합인문199</t>
  </si>
  <si>
    <t>8.70</t>
  </si>
  <si>
    <t>18,879</t>
  </si>
  <si>
    <t>자연350</t>
  </si>
  <si>
    <t>379.39</t>
  </si>
  <si>
    <t>자연351</t>
  </si>
  <si>
    <t>8.71</t>
  </si>
  <si>
    <t>18,901</t>
  </si>
  <si>
    <t>통합인문200</t>
  </si>
  <si>
    <t>자연352</t>
  </si>
  <si>
    <t>379.31</t>
  </si>
  <si>
    <t>379.38</t>
  </si>
  <si>
    <t>통합인문201</t>
  </si>
  <si>
    <t>자연353</t>
  </si>
  <si>
    <t xml:space="preserve">550.57 / </t>
  </si>
  <si>
    <t>통합인문202</t>
  </si>
  <si>
    <t>자연354</t>
  </si>
  <si>
    <t>8.80</t>
  </si>
  <si>
    <t>19,096</t>
  </si>
  <si>
    <t>379.11</t>
  </si>
  <si>
    <t>자연355</t>
  </si>
  <si>
    <t>자연356</t>
  </si>
  <si>
    <t>통합인문203</t>
  </si>
  <si>
    <t>378.96</t>
  </si>
  <si>
    <t>자연357</t>
  </si>
  <si>
    <t>통합인문204</t>
  </si>
  <si>
    <t>378.88</t>
  </si>
  <si>
    <t>통합인문205</t>
  </si>
  <si>
    <t>통합인문206</t>
  </si>
  <si>
    <t>378.86</t>
  </si>
  <si>
    <t>자연358</t>
  </si>
  <si>
    <t>378.84</t>
  </si>
  <si>
    <t>378.94</t>
  </si>
  <si>
    <t>통합인문207</t>
  </si>
  <si>
    <t>8.88</t>
  </si>
  <si>
    <t>19,270</t>
  </si>
  <si>
    <t>378.82</t>
  </si>
  <si>
    <t>통합인문208</t>
  </si>
  <si>
    <t>378.78</t>
  </si>
  <si>
    <t>통합인문209</t>
  </si>
  <si>
    <t>378.73</t>
  </si>
  <si>
    <t>378.83</t>
  </si>
  <si>
    <t>통합인문210</t>
  </si>
  <si>
    <t>통합인문211</t>
  </si>
  <si>
    <t>8.94</t>
  </si>
  <si>
    <t>19,400</t>
  </si>
  <si>
    <t>378.60</t>
  </si>
  <si>
    <t>통합인문212</t>
  </si>
  <si>
    <t>통합인문213</t>
  </si>
  <si>
    <t>378.56</t>
  </si>
  <si>
    <t>자연359</t>
  </si>
  <si>
    <t>8.97</t>
  </si>
  <si>
    <t>19,465</t>
  </si>
  <si>
    <t>자연360</t>
  </si>
  <si>
    <t>8.99</t>
  </si>
  <si>
    <t>19,508</t>
  </si>
  <si>
    <t>378.57</t>
  </si>
  <si>
    <t>통합인문214</t>
  </si>
  <si>
    <t>378.46</t>
  </si>
  <si>
    <t>자연361</t>
  </si>
  <si>
    <t>9.00</t>
  </si>
  <si>
    <t>19,530</t>
  </si>
  <si>
    <t>378.45</t>
  </si>
  <si>
    <t>자연362</t>
  </si>
  <si>
    <t>378.40</t>
  </si>
  <si>
    <t>378.80</t>
  </si>
  <si>
    <t>통합인문215</t>
  </si>
  <si>
    <t>통합인문216</t>
  </si>
  <si>
    <t>9.02</t>
  </si>
  <si>
    <t>19,573</t>
  </si>
  <si>
    <t>자연363</t>
  </si>
  <si>
    <t>9.03</t>
  </si>
  <si>
    <t>19,595</t>
  </si>
  <si>
    <t>378.34</t>
  </si>
  <si>
    <t>자연364</t>
  </si>
  <si>
    <t>378.33</t>
  </si>
  <si>
    <t>자연365</t>
  </si>
  <si>
    <t>9.04</t>
  </si>
  <si>
    <t>19,617</t>
  </si>
  <si>
    <t>통합인문217</t>
  </si>
  <si>
    <t>9.05</t>
  </si>
  <si>
    <t>19,639</t>
  </si>
  <si>
    <t>자연366</t>
  </si>
  <si>
    <t>378.26</t>
  </si>
  <si>
    <t>자연367</t>
  </si>
  <si>
    <t>9.06</t>
  </si>
  <si>
    <t>19,660</t>
  </si>
  <si>
    <t>378.25</t>
  </si>
  <si>
    <t>378.35</t>
  </si>
  <si>
    <t>통합인문218</t>
  </si>
  <si>
    <t>통합인문219</t>
  </si>
  <si>
    <t>통합인문220</t>
  </si>
  <si>
    <t>자연368</t>
  </si>
  <si>
    <t>9.08</t>
  </si>
  <si>
    <t>19,704</t>
  </si>
  <si>
    <t>통합인문221</t>
  </si>
  <si>
    <t>통합인문222</t>
  </si>
  <si>
    <t>자연369</t>
  </si>
  <si>
    <t>자연370</t>
  </si>
  <si>
    <t>378.10</t>
  </si>
  <si>
    <t>378.20</t>
  </si>
  <si>
    <t>통합인문223</t>
  </si>
  <si>
    <t>통합인문224</t>
  </si>
  <si>
    <t>9.20</t>
  </si>
  <si>
    <t>19,964</t>
  </si>
  <si>
    <t>377.85</t>
  </si>
  <si>
    <t>통합인문225</t>
  </si>
  <si>
    <t>377.84</t>
  </si>
  <si>
    <t>자연371</t>
  </si>
  <si>
    <t>377.81</t>
  </si>
  <si>
    <t>377.90</t>
  </si>
  <si>
    <t>통합인문226</t>
  </si>
  <si>
    <t>377.79</t>
  </si>
  <si>
    <t>자연372</t>
  </si>
  <si>
    <t>377.88</t>
  </si>
  <si>
    <t>통합인문227</t>
  </si>
  <si>
    <t>9.24</t>
  </si>
  <si>
    <t>20,051</t>
  </si>
  <si>
    <t>자연373</t>
  </si>
  <si>
    <t>377.61</t>
  </si>
  <si>
    <t>자연374</t>
  </si>
  <si>
    <t>자연375</t>
  </si>
  <si>
    <t>자연376</t>
  </si>
  <si>
    <t>377.53</t>
  </si>
  <si>
    <t>377.63</t>
  </si>
  <si>
    <t>통합인문228</t>
  </si>
  <si>
    <t>9.29</t>
  </si>
  <si>
    <t>20,159</t>
  </si>
  <si>
    <t>377.51</t>
  </si>
  <si>
    <t>통합인문229</t>
  </si>
  <si>
    <t>377.50</t>
  </si>
  <si>
    <t>자연377</t>
  </si>
  <si>
    <t>통합인문230</t>
  </si>
  <si>
    <t>377.57</t>
  </si>
  <si>
    <t>통합인문231</t>
  </si>
  <si>
    <t>9.31</t>
  </si>
  <si>
    <t>20,203</t>
  </si>
  <si>
    <t>377.46</t>
  </si>
  <si>
    <t>통합인문232</t>
  </si>
  <si>
    <t>자연378</t>
  </si>
  <si>
    <t>통합인문233</t>
  </si>
  <si>
    <t>9.34</t>
  </si>
  <si>
    <t>20,268</t>
  </si>
  <si>
    <t>통합인문234</t>
  </si>
  <si>
    <t>통합인문235</t>
  </si>
  <si>
    <t>통합인문236</t>
  </si>
  <si>
    <t>377.34</t>
  </si>
  <si>
    <t>377.43</t>
  </si>
  <si>
    <t>통합인문237</t>
  </si>
  <si>
    <t>9.35</t>
  </si>
  <si>
    <t>20,290</t>
  </si>
  <si>
    <t>자연379</t>
  </si>
  <si>
    <t>9.36</t>
  </si>
  <si>
    <t>20,311</t>
  </si>
  <si>
    <t>377.29</t>
  </si>
  <si>
    <t>통합인문238</t>
  </si>
  <si>
    <t>377.26</t>
  </si>
  <si>
    <t>통합인문239</t>
  </si>
  <si>
    <t>9.37</t>
  </si>
  <si>
    <t>20,333</t>
  </si>
  <si>
    <t>377.24</t>
  </si>
  <si>
    <t>자연380</t>
  </si>
  <si>
    <t>377.15</t>
  </si>
  <si>
    <t>자연381</t>
  </si>
  <si>
    <t>377.14</t>
  </si>
  <si>
    <t>377.25</t>
  </si>
  <si>
    <t>통합인문240</t>
  </si>
  <si>
    <t>377.09</t>
  </si>
  <si>
    <t>377.19</t>
  </si>
  <si>
    <t xml:space="preserve">666.8 / </t>
  </si>
  <si>
    <t>통합인문241</t>
  </si>
  <si>
    <t>자연382</t>
  </si>
  <si>
    <t>377.08</t>
  </si>
  <si>
    <t>자연383</t>
  </si>
  <si>
    <t>9.42</t>
  </si>
  <si>
    <t>20,441</t>
  </si>
  <si>
    <t>377.10</t>
  </si>
  <si>
    <t>통합인문242</t>
  </si>
  <si>
    <t>9.44</t>
  </si>
  <si>
    <t>20,485</t>
  </si>
  <si>
    <t>376.95</t>
  </si>
  <si>
    <t>377.69</t>
  </si>
  <si>
    <t>통합인문243</t>
  </si>
  <si>
    <t>376.94</t>
  </si>
  <si>
    <t>자연384</t>
  </si>
  <si>
    <t>9.46</t>
  </si>
  <si>
    <t>20,528</t>
  </si>
  <si>
    <t>377.01</t>
  </si>
  <si>
    <t>통합인문244</t>
  </si>
  <si>
    <t>376.88</t>
  </si>
  <si>
    <t xml:space="preserve">131.1 / </t>
  </si>
  <si>
    <t>자연385</t>
  </si>
  <si>
    <t>9.48</t>
  </si>
  <si>
    <t>20,572</t>
  </si>
  <si>
    <t xml:space="preserve">667.3 / </t>
  </si>
  <si>
    <t>자연386</t>
  </si>
  <si>
    <t>9.50</t>
  </si>
  <si>
    <t>20,615</t>
  </si>
  <si>
    <t>376.92</t>
  </si>
  <si>
    <t>통합인문245</t>
  </si>
  <si>
    <t>376.80</t>
  </si>
  <si>
    <t>자연387</t>
  </si>
  <si>
    <t>376.79</t>
  </si>
  <si>
    <t>376.89</t>
  </si>
  <si>
    <t>통합인문246</t>
  </si>
  <si>
    <t>통합인문247</t>
  </si>
  <si>
    <t>9.55</t>
  </si>
  <si>
    <t>20,724</t>
  </si>
  <si>
    <t>376.70</t>
  </si>
  <si>
    <t>자연388</t>
  </si>
  <si>
    <t>통합인문248</t>
  </si>
  <si>
    <t>376.62</t>
  </si>
  <si>
    <t>376.73</t>
  </si>
  <si>
    <t xml:space="preserve">666.5 / </t>
  </si>
  <si>
    <t>통합인문249</t>
  </si>
  <si>
    <t>자연389</t>
  </si>
  <si>
    <t>자연390</t>
  </si>
  <si>
    <t>376.55</t>
  </si>
  <si>
    <t>자연391</t>
  </si>
  <si>
    <t>9.60</t>
  </si>
  <si>
    <t>20,832</t>
  </si>
  <si>
    <t>자연392</t>
  </si>
  <si>
    <t>자연393</t>
  </si>
  <si>
    <t>376.49</t>
  </si>
  <si>
    <t>통합인문250</t>
  </si>
  <si>
    <t>9.63</t>
  </si>
  <si>
    <t>20,897</t>
  </si>
  <si>
    <t>376.40</t>
  </si>
  <si>
    <t>자연394</t>
  </si>
  <si>
    <t>376.38</t>
  </si>
  <si>
    <t>376.48</t>
  </si>
  <si>
    <t>통합인문251</t>
  </si>
  <si>
    <t>376.44</t>
  </si>
  <si>
    <t>통합인문252</t>
  </si>
  <si>
    <t>376.21</t>
  </si>
  <si>
    <t>376.28</t>
  </si>
  <si>
    <t>통합인문253</t>
  </si>
  <si>
    <t>9.69</t>
  </si>
  <si>
    <t>21,027</t>
  </si>
  <si>
    <t>통합인문254</t>
  </si>
  <si>
    <t>9.71</t>
  </si>
  <si>
    <t>21,071</t>
  </si>
  <si>
    <t>376.12</t>
  </si>
  <si>
    <t>376.82</t>
  </si>
  <si>
    <t>통합인문255</t>
  </si>
  <si>
    <t>통합인문256</t>
  </si>
  <si>
    <t>9.73</t>
  </si>
  <si>
    <t>21,114</t>
  </si>
  <si>
    <t>자연395</t>
  </si>
  <si>
    <t>376.00</t>
  </si>
  <si>
    <t>통합인문257</t>
  </si>
  <si>
    <t>9.77</t>
  </si>
  <si>
    <t>21,201</t>
  </si>
  <si>
    <t>통합인문258</t>
  </si>
  <si>
    <t>9.78</t>
  </si>
  <si>
    <t>21,223</t>
  </si>
  <si>
    <t>자연396</t>
  </si>
  <si>
    <t>9.79</t>
  </si>
  <si>
    <t>21,244</t>
  </si>
  <si>
    <t>자연397</t>
  </si>
  <si>
    <t>9.80</t>
  </si>
  <si>
    <t>21,266</t>
  </si>
  <si>
    <t>자연398</t>
  </si>
  <si>
    <t>자연399</t>
  </si>
  <si>
    <t>375.79</t>
  </si>
  <si>
    <t>자연400</t>
  </si>
  <si>
    <t>375.87</t>
  </si>
  <si>
    <t>통합인문259</t>
  </si>
  <si>
    <t>자연401</t>
  </si>
  <si>
    <t>9.82</t>
  </si>
  <si>
    <t>21,309</t>
  </si>
  <si>
    <t>375.76</t>
  </si>
  <si>
    <t>자연402</t>
  </si>
  <si>
    <t>자연403</t>
  </si>
  <si>
    <t xml:space="preserve">683.43 / </t>
  </si>
  <si>
    <t>통합인문260</t>
  </si>
  <si>
    <t>통합인문261</t>
  </si>
  <si>
    <t>통합인문262</t>
  </si>
  <si>
    <t>375.61</t>
  </si>
  <si>
    <t>자연404</t>
  </si>
  <si>
    <t>9.88</t>
  </si>
  <si>
    <t>21,440</t>
  </si>
  <si>
    <t>375.53</t>
  </si>
  <si>
    <t>자연405</t>
  </si>
  <si>
    <t>자연406</t>
  </si>
  <si>
    <t>9.91</t>
  </si>
  <si>
    <t>21,505</t>
  </si>
  <si>
    <t>자연407</t>
  </si>
  <si>
    <t>자연408</t>
  </si>
  <si>
    <t>통합인문263</t>
  </si>
  <si>
    <t>9.94</t>
  </si>
  <si>
    <t>21,570</t>
  </si>
  <si>
    <t>통합인문264</t>
  </si>
  <si>
    <t>9.95</t>
  </si>
  <si>
    <t>21,592</t>
  </si>
  <si>
    <t>375.35</t>
  </si>
  <si>
    <t>통합인문265</t>
  </si>
  <si>
    <t>자연409</t>
  </si>
  <si>
    <t>9.98</t>
  </si>
  <si>
    <t>21,657</t>
  </si>
  <si>
    <t>자연410</t>
  </si>
  <si>
    <t>10.01</t>
  </si>
  <si>
    <t>21,722</t>
  </si>
  <si>
    <t>375.22</t>
  </si>
  <si>
    <t>통합인문266</t>
  </si>
  <si>
    <t>10.02</t>
  </si>
  <si>
    <t>21,743</t>
  </si>
  <si>
    <t>375.30</t>
  </si>
  <si>
    <t>통합인문267</t>
  </si>
  <si>
    <t>10.03</t>
  </si>
  <si>
    <t>21,765</t>
  </si>
  <si>
    <t>375.18</t>
  </si>
  <si>
    <t xml:space="preserve">664.65 / </t>
  </si>
  <si>
    <t>자연411</t>
  </si>
  <si>
    <t>자연412</t>
  </si>
  <si>
    <t>10.07</t>
  </si>
  <si>
    <t>21,852</t>
  </si>
  <si>
    <t>통합인문268</t>
  </si>
  <si>
    <t>10.08</t>
  </si>
  <si>
    <t>21,874</t>
  </si>
  <si>
    <t>374.91</t>
  </si>
  <si>
    <t>통합인문269</t>
  </si>
  <si>
    <t>10.09</t>
  </si>
  <si>
    <t>21,895</t>
  </si>
  <si>
    <t>자연413</t>
  </si>
  <si>
    <t>자연414</t>
  </si>
  <si>
    <t>374.86</t>
  </si>
  <si>
    <t>374.96</t>
  </si>
  <si>
    <t>통합인문270</t>
  </si>
  <si>
    <t>374.85</t>
  </si>
  <si>
    <t>자연415</t>
  </si>
  <si>
    <t>374.83</t>
  </si>
  <si>
    <t>자연416</t>
  </si>
  <si>
    <t>통합인문271</t>
  </si>
  <si>
    <t>10.13</t>
  </si>
  <si>
    <t>21,982</t>
  </si>
  <si>
    <t>자연417</t>
  </si>
  <si>
    <t>자연418</t>
  </si>
  <si>
    <t>374.66</t>
  </si>
  <si>
    <t>통합인문272</t>
  </si>
  <si>
    <t>10.18</t>
  </si>
  <si>
    <t>22,091</t>
  </si>
  <si>
    <t>374.58</t>
  </si>
  <si>
    <t>374.68</t>
  </si>
  <si>
    <t>통합인문273</t>
  </si>
  <si>
    <t>10.19</t>
  </si>
  <si>
    <t>22,112</t>
  </si>
  <si>
    <t>374.51</t>
  </si>
  <si>
    <t>374.60</t>
  </si>
  <si>
    <t>통합인문274</t>
  </si>
  <si>
    <t>통합인문275</t>
  </si>
  <si>
    <t>374.50</t>
  </si>
  <si>
    <t>자연419</t>
  </si>
  <si>
    <t>자연420</t>
  </si>
  <si>
    <t>374.46</t>
  </si>
  <si>
    <t>374.56</t>
  </si>
  <si>
    <t xml:space="preserve">681.45 / </t>
  </si>
  <si>
    <t>통합인문276</t>
  </si>
  <si>
    <t>10.21</t>
  </si>
  <si>
    <t>22,156</t>
  </si>
  <si>
    <t>374.53</t>
  </si>
  <si>
    <t>통합인문277</t>
  </si>
  <si>
    <t>10.24</t>
  </si>
  <si>
    <t>22,221</t>
  </si>
  <si>
    <t xml:space="preserve">707.5 / </t>
  </si>
  <si>
    <t>자연421</t>
  </si>
  <si>
    <t>374.35</t>
  </si>
  <si>
    <t>통합인문278</t>
  </si>
  <si>
    <t>374.24</t>
  </si>
  <si>
    <t xml:space="preserve">662.66 / </t>
  </si>
  <si>
    <t>통합인문279</t>
  </si>
  <si>
    <t>374.15</t>
  </si>
  <si>
    <t>통합인문280</t>
  </si>
  <si>
    <t>10.35</t>
  </si>
  <si>
    <t>22,460</t>
  </si>
  <si>
    <t>자연422</t>
  </si>
  <si>
    <t>374.09</t>
  </si>
  <si>
    <t>374.18</t>
  </si>
  <si>
    <t>통합인문281</t>
  </si>
  <si>
    <t>10.37</t>
  </si>
  <si>
    <t>22,503</t>
  </si>
  <si>
    <t>통합인문282</t>
  </si>
  <si>
    <t>10.38</t>
  </si>
  <si>
    <t>22,525</t>
  </si>
  <si>
    <t>374.01</t>
  </si>
  <si>
    <t>통합인문283</t>
  </si>
  <si>
    <t>374.00</t>
  </si>
  <si>
    <t>통합인문284</t>
  </si>
  <si>
    <t>10.41</t>
  </si>
  <si>
    <t>22,590</t>
  </si>
  <si>
    <t>통합인문285</t>
  </si>
  <si>
    <t>373.86</t>
  </si>
  <si>
    <t>통합인문286</t>
  </si>
  <si>
    <t>통합인문287</t>
  </si>
  <si>
    <t>자연423</t>
  </si>
  <si>
    <t>373.82</t>
  </si>
  <si>
    <t>통합인문288</t>
  </si>
  <si>
    <t>373.72</t>
  </si>
  <si>
    <t>373.81</t>
  </si>
  <si>
    <t>통합인문289</t>
  </si>
  <si>
    <t>373.69</t>
  </si>
  <si>
    <t>374.29</t>
  </si>
  <si>
    <t>통합인문290</t>
  </si>
  <si>
    <t>373.76</t>
  </si>
  <si>
    <t>통합인문291</t>
  </si>
  <si>
    <t>통합인문292</t>
  </si>
  <si>
    <t xml:space="preserve">694 / </t>
  </si>
  <si>
    <t>통합인문293</t>
  </si>
  <si>
    <t>자연424</t>
  </si>
  <si>
    <t>373.52</t>
  </si>
  <si>
    <t>373.60</t>
  </si>
  <si>
    <t>통합인문294</t>
  </si>
  <si>
    <t>10.57</t>
  </si>
  <si>
    <t>22,937</t>
  </si>
  <si>
    <t>통합인문295</t>
  </si>
  <si>
    <t>373.30</t>
  </si>
  <si>
    <t>통합인문296</t>
  </si>
  <si>
    <t>373.38</t>
  </si>
  <si>
    <t>통합인문297</t>
  </si>
  <si>
    <t>373.28</t>
  </si>
  <si>
    <t>통합인문298</t>
  </si>
  <si>
    <t>자연425</t>
  </si>
  <si>
    <t>통합인문299</t>
  </si>
  <si>
    <t>373.36</t>
  </si>
  <si>
    <t>통합인문300</t>
  </si>
  <si>
    <t>통합인문301</t>
  </si>
  <si>
    <t>373.24</t>
  </si>
  <si>
    <t>자연426</t>
  </si>
  <si>
    <t>자연427</t>
  </si>
  <si>
    <t>10.67</t>
  </si>
  <si>
    <t>23,154</t>
  </si>
  <si>
    <t>373.19</t>
  </si>
  <si>
    <t>자연428</t>
  </si>
  <si>
    <t>10.68</t>
  </si>
  <si>
    <t>23,176</t>
  </si>
  <si>
    <t>373.15</t>
  </si>
  <si>
    <t>자연429</t>
  </si>
  <si>
    <t>373.13</t>
  </si>
  <si>
    <t>통합인문302</t>
  </si>
  <si>
    <t>10.69</t>
  </si>
  <si>
    <t>23,197</t>
  </si>
  <si>
    <t>통합인문303</t>
  </si>
  <si>
    <t>372.97</t>
  </si>
  <si>
    <t>373.06</t>
  </si>
  <si>
    <t>통합인문304</t>
  </si>
  <si>
    <t>372.95</t>
  </si>
  <si>
    <t xml:space="preserve">129.9 / </t>
  </si>
  <si>
    <t>통합인문305</t>
  </si>
  <si>
    <t>통합인문306</t>
  </si>
  <si>
    <t>372.92</t>
  </si>
  <si>
    <t>자연430</t>
  </si>
  <si>
    <t>10.78</t>
  </si>
  <si>
    <t>23,393</t>
  </si>
  <si>
    <t>372.85</t>
  </si>
  <si>
    <t>자연431</t>
  </si>
  <si>
    <t>372.84</t>
  </si>
  <si>
    <t>자연432</t>
  </si>
  <si>
    <t>통합인문307</t>
  </si>
  <si>
    <t>자연433</t>
  </si>
  <si>
    <t>자연434</t>
  </si>
  <si>
    <t>372.88</t>
  </si>
  <si>
    <t>통합인문308</t>
  </si>
  <si>
    <t>10.80</t>
  </si>
  <si>
    <t>23,436</t>
  </si>
  <si>
    <t>372.78</t>
  </si>
  <si>
    <t>통합인문309</t>
  </si>
  <si>
    <t>통합인문310</t>
  </si>
  <si>
    <t>372.86</t>
  </si>
  <si>
    <t>통합인문311</t>
  </si>
  <si>
    <t>통합인문312</t>
  </si>
  <si>
    <t>372.71</t>
  </si>
  <si>
    <t>372.79</t>
  </si>
  <si>
    <t>통합인문313</t>
  </si>
  <si>
    <t>10.83</t>
  </si>
  <si>
    <t>23,501</t>
  </si>
  <si>
    <t>자연435</t>
  </si>
  <si>
    <t>10.84</t>
  </si>
  <si>
    <t>23,523</t>
  </si>
  <si>
    <t>자연436</t>
  </si>
  <si>
    <t>372.55</t>
  </si>
  <si>
    <t>372.64</t>
  </si>
  <si>
    <t>통합인문314</t>
  </si>
  <si>
    <t>10.88</t>
  </si>
  <si>
    <t>23,610</t>
  </si>
  <si>
    <t>372.45</t>
  </si>
  <si>
    <t>자연437</t>
  </si>
  <si>
    <t>372.43</t>
  </si>
  <si>
    <t>통합인문315</t>
  </si>
  <si>
    <t>통합인문316</t>
  </si>
  <si>
    <t>통합인문317</t>
  </si>
  <si>
    <t>372.39</t>
  </si>
  <si>
    <t>통합인문318</t>
  </si>
  <si>
    <t>372.38</t>
  </si>
  <si>
    <t>통합인문319</t>
  </si>
  <si>
    <t>372.24</t>
  </si>
  <si>
    <t>자연438</t>
  </si>
  <si>
    <t>10.99</t>
  </si>
  <si>
    <t>23,848</t>
  </si>
  <si>
    <t>372.18</t>
  </si>
  <si>
    <t>372.26</t>
  </si>
  <si>
    <t>통합인문320</t>
  </si>
  <si>
    <t>372.16</t>
  </si>
  <si>
    <t>자연439</t>
  </si>
  <si>
    <t xml:space="preserve">881.92 / </t>
  </si>
  <si>
    <t>자연440</t>
  </si>
  <si>
    <t>11.02</t>
  </si>
  <si>
    <t>23,913</t>
  </si>
  <si>
    <t>372.10</t>
  </si>
  <si>
    <t>자연441</t>
  </si>
  <si>
    <t>372.08</t>
  </si>
  <si>
    <t>통합인문321</t>
  </si>
  <si>
    <t>11.03</t>
  </si>
  <si>
    <t>23,935</t>
  </si>
  <si>
    <t>372.06</t>
  </si>
  <si>
    <t>자연442</t>
  </si>
  <si>
    <t>371.96</t>
  </si>
  <si>
    <t>372.04</t>
  </si>
  <si>
    <t>통합인문322</t>
  </si>
  <si>
    <t>372.01</t>
  </si>
  <si>
    <t>통합인문323</t>
  </si>
  <si>
    <t>11.09</t>
  </si>
  <si>
    <t>24,065</t>
  </si>
  <si>
    <t>371.87</t>
  </si>
  <si>
    <t>통합인문324</t>
  </si>
  <si>
    <t>371.74</t>
  </si>
  <si>
    <t>통합인문325</t>
  </si>
  <si>
    <t>통합인문326</t>
  </si>
  <si>
    <t>371.65</t>
  </si>
  <si>
    <t>통합인문327</t>
  </si>
  <si>
    <t>11.21</t>
  </si>
  <si>
    <t>24,326</t>
  </si>
  <si>
    <t>371.36</t>
  </si>
  <si>
    <t>자연443</t>
  </si>
  <si>
    <t>371.61</t>
  </si>
  <si>
    <t>통합인문328</t>
  </si>
  <si>
    <t>371.53</t>
  </si>
  <si>
    <t>371.34</t>
  </si>
  <si>
    <t>자연444</t>
  </si>
  <si>
    <t>371.47</t>
  </si>
  <si>
    <t>통합인문329</t>
  </si>
  <si>
    <t>11.28</t>
  </si>
  <si>
    <t>24,478</t>
  </si>
  <si>
    <t>371.45</t>
  </si>
  <si>
    <t>통합인문330</t>
  </si>
  <si>
    <t>11.29</t>
  </si>
  <si>
    <t>24,499</t>
  </si>
  <si>
    <t>자연445</t>
  </si>
  <si>
    <t>통합인문331</t>
  </si>
  <si>
    <t>371.26</t>
  </si>
  <si>
    <t>통합인문332</t>
  </si>
  <si>
    <t xml:space="preserve">129.4 / </t>
  </si>
  <si>
    <t>통합인문333</t>
  </si>
  <si>
    <t>통합인문334</t>
  </si>
  <si>
    <t>통합인문335</t>
  </si>
  <si>
    <t>11.42</t>
  </si>
  <si>
    <t>24,781</t>
  </si>
  <si>
    <t>370.97</t>
  </si>
  <si>
    <t>자연446</t>
  </si>
  <si>
    <t>370.96</t>
  </si>
  <si>
    <t>자연447</t>
  </si>
  <si>
    <t>370.85</t>
  </si>
  <si>
    <t>자연448</t>
  </si>
  <si>
    <t>11.48</t>
  </si>
  <si>
    <t>24,912</t>
  </si>
  <si>
    <t>자연449</t>
  </si>
  <si>
    <t>자연450</t>
  </si>
  <si>
    <t>370.72</t>
  </si>
  <si>
    <t>자연451</t>
  </si>
  <si>
    <t>11.56</t>
  </si>
  <si>
    <t>25,085</t>
  </si>
  <si>
    <t>370.58</t>
  </si>
  <si>
    <t>자연452</t>
  </si>
  <si>
    <t>370.55</t>
  </si>
  <si>
    <t>자연453</t>
  </si>
  <si>
    <t>자연454</t>
  </si>
  <si>
    <t>11.62</t>
  </si>
  <si>
    <t>25,215</t>
  </si>
  <si>
    <t>370.39</t>
  </si>
  <si>
    <t>자연455</t>
  </si>
  <si>
    <t>11.63</t>
  </si>
  <si>
    <t>25,237</t>
  </si>
  <si>
    <t>자연456</t>
  </si>
  <si>
    <t>자연457</t>
  </si>
  <si>
    <t>자연458</t>
  </si>
  <si>
    <t>370.30</t>
  </si>
  <si>
    <t>통합인문336</t>
  </si>
  <si>
    <t>자연459</t>
  </si>
  <si>
    <t>11.68</t>
  </si>
  <si>
    <t>25,346</t>
  </si>
  <si>
    <t>통합인문337</t>
  </si>
  <si>
    <t>자연460</t>
  </si>
  <si>
    <t>11.72</t>
  </si>
  <si>
    <t>25,432</t>
  </si>
  <si>
    <t>자연461</t>
  </si>
  <si>
    <t>11.76</t>
  </si>
  <si>
    <t>25,519</t>
  </si>
  <si>
    <t>370.01</t>
  </si>
  <si>
    <t>370.08</t>
  </si>
  <si>
    <t>통합인문338</t>
  </si>
  <si>
    <t>11.80</t>
  </si>
  <si>
    <t>25,606</t>
  </si>
  <si>
    <t>369.85</t>
  </si>
  <si>
    <t>통합인문339</t>
  </si>
  <si>
    <t>자연462</t>
  </si>
  <si>
    <t>11.83</t>
  </si>
  <si>
    <t>25,671</t>
  </si>
  <si>
    <t>369.76</t>
  </si>
  <si>
    <t>자연463</t>
  </si>
  <si>
    <t>11.85</t>
  </si>
  <si>
    <t>25,715</t>
  </si>
  <si>
    <t>자연464</t>
  </si>
  <si>
    <t>자연465</t>
  </si>
  <si>
    <t>369.69</t>
  </si>
  <si>
    <t>자연466</t>
  </si>
  <si>
    <t>369.67</t>
  </si>
  <si>
    <t>3등급</t>
  </si>
  <si>
    <t>통합인문340</t>
  </si>
  <si>
    <t>자연467</t>
  </si>
  <si>
    <t>11.90</t>
  </si>
  <si>
    <t>25,823</t>
  </si>
  <si>
    <t>통합인문341</t>
  </si>
  <si>
    <t>11.91</t>
  </si>
  <si>
    <t>25,845</t>
  </si>
  <si>
    <t>자연468</t>
  </si>
  <si>
    <t>369.54</t>
  </si>
  <si>
    <t>통합인문342</t>
  </si>
  <si>
    <t>368.67</t>
  </si>
  <si>
    <t>자연469</t>
  </si>
  <si>
    <t>11.99</t>
  </si>
  <si>
    <t>26,018</t>
  </si>
  <si>
    <t>통합인문343</t>
  </si>
  <si>
    <t>12.02</t>
  </si>
  <si>
    <t>26,083</t>
  </si>
  <si>
    <t>자연470</t>
  </si>
  <si>
    <t>자연471</t>
  </si>
  <si>
    <t>통합인문344</t>
  </si>
  <si>
    <t>12.03</t>
  </si>
  <si>
    <t>26,105</t>
  </si>
  <si>
    <t>369.12</t>
  </si>
  <si>
    <t>자연472</t>
  </si>
  <si>
    <t>12.04</t>
  </si>
  <si>
    <t>26,127</t>
  </si>
  <si>
    <t>369.10</t>
  </si>
  <si>
    <t>통합인문345</t>
  </si>
  <si>
    <t>12.05</t>
  </si>
  <si>
    <t>26,149</t>
  </si>
  <si>
    <t xml:space="preserve">688.5 / </t>
  </si>
  <si>
    <t>자연473</t>
  </si>
  <si>
    <t>12.07</t>
  </si>
  <si>
    <t>26,192</t>
  </si>
  <si>
    <t>368.97</t>
  </si>
  <si>
    <t>자연474</t>
  </si>
  <si>
    <t>12.09</t>
  </si>
  <si>
    <t>26,235</t>
  </si>
  <si>
    <t>368.88</t>
  </si>
  <si>
    <t>367.24</t>
  </si>
  <si>
    <t>자연475</t>
  </si>
  <si>
    <t>368.87</t>
  </si>
  <si>
    <t>자연476</t>
  </si>
  <si>
    <t>12.11</t>
  </si>
  <si>
    <t>26,279</t>
  </si>
  <si>
    <t>368.82</t>
  </si>
  <si>
    <t>368.90</t>
  </si>
  <si>
    <t>통합인문346</t>
  </si>
  <si>
    <t>12.12</t>
  </si>
  <si>
    <t>26,300</t>
  </si>
  <si>
    <t>자연477</t>
  </si>
  <si>
    <t>자연478</t>
  </si>
  <si>
    <t>368.79</t>
  </si>
  <si>
    <t>통합인문347</t>
  </si>
  <si>
    <t>12.17</t>
  </si>
  <si>
    <t>26,409</t>
  </si>
  <si>
    <t>통합인문348</t>
  </si>
  <si>
    <t xml:space="preserve"> 물리5%가산</t>
  </si>
  <si>
    <t>자연479</t>
  </si>
  <si>
    <t>367.60</t>
  </si>
  <si>
    <t>자연480</t>
  </si>
  <si>
    <t>자연481</t>
  </si>
  <si>
    <t>12.18</t>
  </si>
  <si>
    <t>26,431</t>
  </si>
  <si>
    <t>368.72</t>
  </si>
  <si>
    <t>통합인문349</t>
  </si>
  <si>
    <t>12.21</t>
  </si>
  <si>
    <t>26,496</t>
  </si>
  <si>
    <t>통합인문350</t>
  </si>
  <si>
    <t>12.22</t>
  </si>
  <si>
    <t>26,517</t>
  </si>
  <si>
    <t>367.47</t>
  </si>
  <si>
    <t>자연482</t>
  </si>
  <si>
    <t>368.56</t>
  </si>
  <si>
    <t>자연483</t>
  </si>
  <si>
    <t>자연484</t>
  </si>
  <si>
    <t>통합인문351</t>
  </si>
  <si>
    <t>12.25</t>
  </si>
  <si>
    <t>26,583</t>
  </si>
  <si>
    <t>368.52</t>
  </si>
  <si>
    <t>통합인문352</t>
  </si>
  <si>
    <t>368.47</t>
  </si>
  <si>
    <t>자연485</t>
  </si>
  <si>
    <t>자연486</t>
  </si>
  <si>
    <t>368.46</t>
  </si>
  <si>
    <t xml:space="preserve">687 / </t>
  </si>
  <si>
    <t>통합인문353</t>
  </si>
  <si>
    <t>12.31</t>
  </si>
  <si>
    <t>26,713</t>
  </si>
  <si>
    <t>368.37</t>
  </si>
  <si>
    <t>통합인문354</t>
  </si>
  <si>
    <t>368.35</t>
  </si>
  <si>
    <t>자연487</t>
  </si>
  <si>
    <t>12.34</t>
  </si>
  <si>
    <t>26,778</t>
  </si>
  <si>
    <t>368.28</t>
  </si>
  <si>
    <t xml:space="preserve">687.5 / </t>
  </si>
  <si>
    <t>자연488</t>
  </si>
  <si>
    <t>12.38</t>
  </si>
  <si>
    <t>26,865</t>
  </si>
  <si>
    <t>368.12</t>
  </si>
  <si>
    <t>자연489</t>
  </si>
  <si>
    <t>자연490</t>
  </si>
  <si>
    <t xml:space="preserve">698.5 / </t>
  </si>
  <si>
    <t>통합인문355</t>
  </si>
  <si>
    <t>자연491</t>
  </si>
  <si>
    <t>통합인문356</t>
  </si>
  <si>
    <t>12.47</t>
  </si>
  <si>
    <t>27,060</t>
  </si>
  <si>
    <t>자연492</t>
  </si>
  <si>
    <t>12.48</t>
  </si>
  <si>
    <t>27,082</t>
  </si>
  <si>
    <t>367.88</t>
  </si>
  <si>
    <t>자연493</t>
  </si>
  <si>
    <t>12.51</t>
  </si>
  <si>
    <t>27,147</t>
  </si>
  <si>
    <t>자연494</t>
  </si>
  <si>
    <t>통합인문357</t>
  </si>
  <si>
    <t>366.70</t>
  </si>
  <si>
    <t>자연495</t>
  </si>
  <si>
    <t>367.74</t>
  </si>
  <si>
    <t>자연496</t>
  </si>
  <si>
    <t>12.53</t>
  </si>
  <si>
    <t>27,190</t>
  </si>
  <si>
    <t>367.71</t>
  </si>
  <si>
    <t>통합인문358</t>
  </si>
  <si>
    <t>366.66</t>
  </si>
  <si>
    <t>자연497</t>
  </si>
  <si>
    <t>367.69</t>
  </si>
  <si>
    <t>자연498</t>
  </si>
  <si>
    <t>12.56</t>
  </si>
  <si>
    <t>27,255</t>
  </si>
  <si>
    <t>자연499</t>
  </si>
  <si>
    <t>12.59</t>
  </si>
  <si>
    <t>27,320</t>
  </si>
  <si>
    <t>367.51</t>
  </si>
  <si>
    <t xml:space="preserve">686.5 / </t>
  </si>
  <si>
    <t>자연500</t>
  </si>
  <si>
    <t>자연501</t>
  </si>
  <si>
    <t>367.50</t>
  </si>
  <si>
    <t>통합인문359</t>
  </si>
  <si>
    <t>12.61</t>
  </si>
  <si>
    <t>27,364</t>
  </si>
  <si>
    <t>367.57</t>
  </si>
  <si>
    <t>통합인문360</t>
  </si>
  <si>
    <t>12.62</t>
  </si>
  <si>
    <t>27,385</t>
  </si>
  <si>
    <t>자연502</t>
  </si>
  <si>
    <t>12.63</t>
  </si>
  <si>
    <t>27,407</t>
  </si>
  <si>
    <t>367.39</t>
  </si>
  <si>
    <t>통합인문361</t>
  </si>
  <si>
    <t>12.64</t>
  </si>
  <si>
    <t>27,429</t>
  </si>
  <si>
    <t>367.37</t>
  </si>
  <si>
    <t>366.10</t>
  </si>
  <si>
    <t>통합인문362</t>
  </si>
  <si>
    <t>367.36</t>
  </si>
  <si>
    <t>자연503</t>
  </si>
  <si>
    <t>367.35</t>
  </si>
  <si>
    <t>자연504</t>
  </si>
  <si>
    <t>자연505</t>
  </si>
  <si>
    <t>12.66</t>
  </si>
  <si>
    <t>27,472</t>
  </si>
  <si>
    <t>367.26</t>
  </si>
  <si>
    <t>367.49</t>
  </si>
  <si>
    <t>통합인문363</t>
  </si>
  <si>
    <t>367.25</t>
  </si>
  <si>
    <t>자연506</t>
  </si>
  <si>
    <t>12.67</t>
  </si>
  <si>
    <t>27,494</t>
  </si>
  <si>
    <t>367.33</t>
  </si>
  <si>
    <t>통합인문364</t>
  </si>
  <si>
    <t>12.68</t>
  </si>
  <si>
    <t>27,516</t>
  </si>
  <si>
    <t>통합인문365</t>
  </si>
  <si>
    <t>12.74</t>
  </si>
  <si>
    <t>27,646</t>
  </si>
  <si>
    <t>자연507</t>
  </si>
  <si>
    <t>12.75</t>
  </si>
  <si>
    <t>27,668</t>
  </si>
  <si>
    <t>365.28</t>
  </si>
  <si>
    <t>자연508</t>
  </si>
  <si>
    <t xml:space="preserve">685 / </t>
  </si>
  <si>
    <t>통합인문366</t>
  </si>
  <si>
    <t>통합인문367</t>
  </si>
  <si>
    <t>통합인문368</t>
  </si>
  <si>
    <t>366.95</t>
  </si>
  <si>
    <t>365.26</t>
  </si>
  <si>
    <t>자연509</t>
  </si>
  <si>
    <t>12.81</t>
  </si>
  <si>
    <t>27,798</t>
  </si>
  <si>
    <t>365.77</t>
  </si>
  <si>
    <t>자연510</t>
  </si>
  <si>
    <t>366.92</t>
  </si>
  <si>
    <t>365.44</t>
  </si>
  <si>
    <t>통합인문369</t>
  </si>
  <si>
    <t>자연511</t>
  </si>
  <si>
    <t>366.75</t>
  </si>
  <si>
    <t xml:space="preserve">697.5 / </t>
  </si>
  <si>
    <t>자연512</t>
  </si>
  <si>
    <t>12.86</t>
  </si>
  <si>
    <t>27,906</t>
  </si>
  <si>
    <t>통합인문370</t>
  </si>
  <si>
    <t>366.79</t>
  </si>
  <si>
    <t>통합인문371</t>
  </si>
  <si>
    <t>366.88</t>
  </si>
  <si>
    <t>통합인문372</t>
  </si>
  <si>
    <t>통합인문373</t>
  </si>
  <si>
    <t>통합인문374</t>
  </si>
  <si>
    <t>12.90</t>
  </si>
  <si>
    <t>27,993</t>
  </si>
  <si>
    <t>366.60</t>
  </si>
  <si>
    <t xml:space="preserve">684.5 / </t>
  </si>
  <si>
    <t>통합인문375</t>
  </si>
  <si>
    <t>12.91</t>
  </si>
  <si>
    <t>28,015</t>
  </si>
  <si>
    <t>365.31</t>
  </si>
  <si>
    <t xml:space="preserve">696.5 / </t>
  </si>
  <si>
    <t>통합인문376</t>
  </si>
  <si>
    <t>366.56</t>
  </si>
  <si>
    <t xml:space="preserve">864.9 / </t>
  </si>
  <si>
    <t>자연513</t>
  </si>
  <si>
    <t>12.93</t>
  </si>
  <si>
    <t>28,058</t>
  </si>
  <si>
    <t>366.50</t>
  </si>
  <si>
    <t>통합인문377</t>
  </si>
  <si>
    <t>12.94</t>
  </si>
  <si>
    <t>28,080</t>
  </si>
  <si>
    <t>366.48</t>
  </si>
  <si>
    <t>자연514</t>
  </si>
  <si>
    <t>366.47</t>
  </si>
  <si>
    <t>366.67</t>
  </si>
  <si>
    <t>통합인문378</t>
  </si>
  <si>
    <t>366.37</t>
  </si>
  <si>
    <t>365.11</t>
  </si>
  <si>
    <t>자연515</t>
  </si>
  <si>
    <t>자연516</t>
  </si>
  <si>
    <t>366.36</t>
  </si>
  <si>
    <t>자연517</t>
  </si>
  <si>
    <t>366.34</t>
  </si>
  <si>
    <t>366.46</t>
  </si>
  <si>
    <t>통합인문379</t>
  </si>
  <si>
    <t>13.00</t>
  </si>
  <si>
    <t>28,210</t>
  </si>
  <si>
    <t>365.71</t>
  </si>
  <si>
    <t>통합인문380</t>
  </si>
  <si>
    <t>13.01</t>
  </si>
  <si>
    <t>28,232</t>
  </si>
  <si>
    <t xml:space="preserve">684 / </t>
  </si>
  <si>
    <t>통합인문381</t>
  </si>
  <si>
    <t>366.21</t>
  </si>
  <si>
    <t xml:space="preserve">890 / </t>
  </si>
  <si>
    <t xml:space="preserve"> 과탐10%가산</t>
  </si>
  <si>
    <t>자연518</t>
  </si>
  <si>
    <t>13.02</t>
  </si>
  <si>
    <t>28,253</t>
  </si>
  <si>
    <t>366.18</t>
  </si>
  <si>
    <t>자연519</t>
  </si>
  <si>
    <t>13.03</t>
  </si>
  <si>
    <t>28,275</t>
  </si>
  <si>
    <t>자연520</t>
  </si>
  <si>
    <t>366.02</t>
  </si>
  <si>
    <t>자연521</t>
  </si>
  <si>
    <t>13.07</t>
  </si>
  <si>
    <t>28,362</t>
  </si>
  <si>
    <t>366.00</t>
  </si>
  <si>
    <t>통합인문382</t>
  </si>
  <si>
    <t>365.98</t>
  </si>
  <si>
    <t>통합인문383</t>
  </si>
  <si>
    <t>13.09</t>
  </si>
  <si>
    <t>28,405</t>
  </si>
  <si>
    <t>365.97</t>
  </si>
  <si>
    <t>364.14</t>
  </si>
  <si>
    <t>자연522</t>
  </si>
  <si>
    <t>자연523</t>
  </si>
  <si>
    <t>365.89</t>
  </si>
  <si>
    <t>364.86</t>
  </si>
  <si>
    <t>자연524</t>
  </si>
  <si>
    <t>13.14</t>
  </si>
  <si>
    <t>28,514</t>
  </si>
  <si>
    <t>365.87</t>
  </si>
  <si>
    <t>자연525</t>
  </si>
  <si>
    <t>365.86</t>
  </si>
  <si>
    <t xml:space="preserve">683.5 / </t>
  </si>
  <si>
    <t>통합인문384</t>
  </si>
  <si>
    <t>통합인문385</t>
  </si>
  <si>
    <t>365.85</t>
  </si>
  <si>
    <t>자연526</t>
  </si>
  <si>
    <t>자연527</t>
  </si>
  <si>
    <t>365.94</t>
  </si>
  <si>
    <t>365.27</t>
  </si>
  <si>
    <t>통합인문386</t>
  </si>
  <si>
    <t>365.81</t>
  </si>
  <si>
    <t>자연528</t>
  </si>
  <si>
    <t>자연529</t>
  </si>
  <si>
    <t>13.17</t>
  </si>
  <si>
    <t>28,579</t>
  </si>
  <si>
    <t>통합인문387</t>
  </si>
  <si>
    <t>13.18</t>
  </si>
  <si>
    <t>28,601</t>
  </si>
  <si>
    <t>365.84</t>
  </si>
  <si>
    <t>통합인문388</t>
  </si>
  <si>
    <t>자연530</t>
  </si>
  <si>
    <t>13.19</t>
  </si>
  <si>
    <t>28,622</t>
  </si>
  <si>
    <t>365.68</t>
  </si>
  <si>
    <t>통합인문389</t>
  </si>
  <si>
    <t>13.20</t>
  </si>
  <si>
    <t>28,644</t>
  </si>
  <si>
    <t>365.63</t>
  </si>
  <si>
    <t>통합인문390</t>
  </si>
  <si>
    <t>13.21</t>
  </si>
  <si>
    <t>28,666</t>
  </si>
  <si>
    <t>자연531</t>
  </si>
  <si>
    <t>365.53</t>
  </si>
  <si>
    <t>통합인문391</t>
  </si>
  <si>
    <t>자연532</t>
  </si>
  <si>
    <t>365.62</t>
  </si>
  <si>
    <t>통합인문392</t>
  </si>
  <si>
    <t>자연533</t>
  </si>
  <si>
    <t>자연534</t>
  </si>
  <si>
    <t>통합인문393</t>
  </si>
  <si>
    <t>365.36</t>
  </si>
  <si>
    <t>364.34</t>
  </si>
  <si>
    <t>자연535</t>
  </si>
  <si>
    <t>364.19</t>
  </si>
  <si>
    <t>통합인문394</t>
  </si>
  <si>
    <t>365.30</t>
  </si>
  <si>
    <t>자연536</t>
  </si>
  <si>
    <t>자연537</t>
  </si>
  <si>
    <t>365.41</t>
  </si>
  <si>
    <t>통합인문395</t>
  </si>
  <si>
    <t>통합인문396</t>
  </si>
  <si>
    <t>365.25</t>
  </si>
  <si>
    <t xml:space="preserve">695.5 / </t>
  </si>
  <si>
    <t>자연538</t>
  </si>
  <si>
    <t>자연539</t>
  </si>
  <si>
    <t>13.39</t>
  </si>
  <si>
    <t>29,056</t>
  </si>
  <si>
    <t>365.17</t>
  </si>
  <si>
    <t>통합인문397</t>
  </si>
  <si>
    <t>통합인문398</t>
  </si>
  <si>
    <t>13.43</t>
  </si>
  <si>
    <t>29,143</t>
  </si>
  <si>
    <t>통합인문399</t>
  </si>
  <si>
    <t xml:space="preserve">694.5 / </t>
  </si>
  <si>
    <t>통합인문400</t>
  </si>
  <si>
    <t>13.45</t>
  </si>
  <si>
    <t>29,187</t>
  </si>
  <si>
    <t>365.00</t>
  </si>
  <si>
    <t>자연540</t>
  </si>
  <si>
    <t xml:space="preserve">682.3 / </t>
  </si>
  <si>
    <t>통합인문401</t>
  </si>
  <si>
    <t>364.93</t>
  </si>
  <si>
    <t>통합인문402</t>
  </si>
  <si>
    <t>13.48</t>
  </si>
  <si>
    <t>29,252</t>
  </si>
  <si>
    <t>364.88</t>
  </si>
  <si>
    <t>362.73</t>
  </si>
  <si>
    <t>자연541</t>
  </si>
  <si>
    <t xml:space="preserve">683 / </t>
  </si>
  <si>
    <t>자연542</t>
  </si>
  <si>
    <t>자연543</t>
  </si>
  <si>
    <t>통합인문403</t>
  </si>
  <si>
    <t>365.01</t>
  </si>
  <si>
    <t>통합인문404</t>
  </si>
  <si>
    <t>자연544</t>
  </si>
  <si>
    <t>13.50</t>
  </si>
  <si>
    <t>29,295</t>
  </si>
  <si>
    <t>자연545</t>
  </si>
  <si>
    <t>13.51</t>
  </si>
  <si>
    <t>29,317</t>
  </si>
  <si>
    <t>364.76</t>
  </si>
  <si>
    <t>자연546</t>
  </si>
  <si>
    <t>364.66</t>
  </si>
  <si>
    <t>363.38</t>
  </si>
  <si>
    <t>자연547</t>
  </si>
  <si>
    <t>364.65</t>
  </si>
  <si>
    <t>자연548</t>
  </si>
  <si>
    <t>13.57</t>
  </si>
  <si>
    <t>29,447</t>
  </si>
  <si>
    <t>통합인문405</t>
  </si>
  <si>
    <t>13.62</t>
  </si>
  <si>
    <t>29,555</t>
  </si>
  <si>
    <t>364.54</t>
  </si>
  <si>
    <t>자연549</t>
  </si>
  <si>
    <t>13.64</t>
  </si>
  <si>
    <t>29,599</t>
  </si>
  <si>
    <t>364.51</t>
  </si>
  <si>
    <t>자연550</t>
  </si>
  <si>
    <t xml:space="preserve">682.5 / </t>
  </si>
  <si>
    <t>자연551</t>
  </si>
  <si>
    <t>통합인문406</t>
  </si>
  <si>
    <t>자연552</t>
  </si>
  <si>
    <t>13.69</t>
  </si>
  <si>
    <t>29,707</t>
  </si>
  <si>
    <t>364.43</t>
  </si>
  <si>
    <t>자연553</t>
  </si>
  <si>
    <t>364.40</t>
  </si>
  <si>
    <t>364.57</t>
  </si>
  <si>
    <t>통합인문407</t>
  </si>
  <si>
    <t>13.72</t>
  </si>
  <si>
    <t>29,772</t>
  </si>
  <si>
    <t>363.40</t>
  </si>
  <si>
    <t>자연554</t>
  </si>
  <si>
    <t>364.38</t>
  </si>
  <si>
    <t>통합인문408</t>
  </si>
  <si>
    <t xml:space="preserve">681.5 / </t>
  </si>
  <si>
    <t>통합인문409</t>
  </si>
  <si>
    <t>통합인문410</t>
  </si>
  <si>
    <t>통합인문411</t>
  </si>
  <si>
    <t>13.75</t>
  </si>
  <si>
    <t>29,838</t>
  </si>
  <si>
    <t>자연555</t>
  </si>
  <si>
    <t>13.76</t>
  </si>
  <si>
    <t>29,859</t>
  </si>
  <si>
    <t>통합인문412</t>
  </si>
  <si>
    <t>13.78</t>
  </si>
  <si>
    <t>29,903</t>
  </si>
  <si>
    <t>통합인문413</t>
  </si>
  <si>
    <t>통합인문414</t>
  </si>
  <si>
    <t>자연556</t>
  </si>
  <si>
    <t xml:space="preserve">682 / </t>
  </si>
  <si>
    <t>자연557</t>
  </si>
  <si>
    <t>13.80</t>
  </si>
  <si>
    <t>29,946</t>
  </si>
  <si>
    <t>364.12</t>
  </si>
  <si>
    <t>361.72</t>
  </si>
  <si>
    <t>자연558</t>
  </si>
  <si>
    <t>자연559</t>
  </si>
  <si>
    <t>자연560</t>
  </si>
  <si>
    <t xml:space="preserve">681 / </t>
  </si>
  <si>
    <t>통합인문415</t>
  </si>
  <si>
    <t>통합인문416</t>
  </si>
  <si>
    <t>363.97</t>
  </si>
  <si>
    <t>통합인문417</t>
  </si>
  <si>
    <t>13.88</t>
  </si>
  <si>
    <t>30,120</t>
  </si>
  <si>
    <t>363.95</t>
  </si>
  <si>
    <t>통합인문418</t>
  </si>
  <si>
    <t>363.91</t>
  </si>
  <si>
    <t>자연561</t>
  </si>
  <si>
    <t>363.90</t>
  </si>
  <si>
    <t>자연562</t>
  </si>
  <si>
    <t>13.92</t>
  </si>
  <si>
    <t>30,206</t>
  </si>
  <si>
    <t>363.84</t>
  </si>
  <si>
    <t>통합인문419</t>
  </si>
  <si>
    <t>13.95</t>
  </si>
  <si>
    <t>30,272</t>
  </si>
  <si>
    <t xml:space="preserve">693.5 / </t>
  </si>
  <si>
    <t>자연563</t>
  </si>
  <si>
    <t>자연564</t>
  </si>
  <si>
    <t>자연565</t>
  </si>
  <si>
    <t>자연566</t>
  </si>
  <si>
    <t>13.96</t>
  </si>
  <si>
    <t>30,293</t>
  </si>
  <si>
    <t>자연567</t>
  </si>
  <si>
    <t>13.97</t>
  </si>
  <si>
    <t>30,315</t>
  </si>
  <si>
    <t>363.74</t>
  </si>
  <si>
    <t>자연568</t>
  </si>
  <si>
    <t>363.82</t>
  </si>
  <si>
    <t>통합인문420</t>
  </si>
  <si>
    <t xml:space="preserve">680.5 / </t>
  </si>
  <si>
    <t>통합인문421</t>
  </si>
  <si>
    <t xml:space="preserve">850.03 / </t>
  </si>
  <si>
    <t>통합인문422</t>
  </si>
  <si>
    <t>363.46</t>
  </si>
  <si>
    <t>자연569</t>
  </si>
  <si>
    <t>자연570</t>
  </si>
  <si>
    <t>362.08</t>
  </si>
  <si>
    <t>자연571</t>
  </si>
  <si>
    <t>14.09</t>
  </si>
  <si>
    <t>30,575</t>
  </si>
  <si>
    <t>자연572</t>
  </si>
  <si>
    <t>통합인문423</t>
  </si>
  <si>
    <t>361.64</t>
  </si>
  <si>
    <t>자연573</t>
  </si>
  <si>
    <t>363.23</t>
  </si>
  <si>
    <t xml:space="preserve">680 / </t>
  </si>
  <si>
    <t>통합인문424</t>
  </si>
  <si>
    <t>통합인문425</t>
  </si>
  <si>
    <t>14.21</t>
  </si>
  <si>
    <t>30,836</t>
  </si>
  <si>
    <t>361.55</t>
  </si>
  <si>
    <t>자연574</t>
  </si>
  <si>
    <t>14.26</t>
  </si>
  <si>
    <t>30,944</t>
  </si>
  <si>
    <t>361.42</t>
  </si>
  <si>
    <t xml:space="preserve">846.8 / </t>
  </si>
  <si>
    <t>자연575</t>
  </si>
  <si>
    <t>363.00</t>
  </si>
  <si>
    <t xml:space="preserve">691.75 / </t>
  </si>
  <si>
    <t>통합인문426</t>
  </si>
  <si>
    <t>14.35</t>
  </si>
  <si>
    <t>31,140</t>
  </si>
  <si>
    <t xml:space="preserve">661.06 / </t>
  </si>
  <si>
    <t>자연576</t>
  </si>
  <si>
    <t>362.03</t>
  </si>
  <si>
    <t xml:space="preserve">679.5 / </t>
  </si>
  <si>
    <t>통합인문427</t>
  </si>
  <si>
    <t>362.75</t>
  </si>
  <si>
    <t>통합인문428</t>
  </si>
  <si>
    <t>14.39</t>
  </si>
  <si>
    <t>31,226</t>
  </si>
  <si>
    <t>362.78</t>
  </si>
  <si>
    <t>361.20</t>
  </si>
  <si>
    <t>자연577</t>
  </si>
  <si>
    <t>자연578</t>
  </si>
  <si>
    <t>14.46</t>
  </si>
  <si>
    <t>31,378</t>
  </si>
  <si>
    <t xml:space="preserve">692 / </t>
  </si>
  <si>
    <t>자연579</t>
  </si>
  <si>
    <t>자연580</t>
  </si>
  <si>
    <t>14.47</t>
  </si>
  <si>
    <t>31,400</t>
  </si>
  <si>
    <t>362.04</t>
  </si>
  <si>
    <t>통합인문429</t>
  </si>
  <si>
    <t>통합인문430</t>
  </si>
  <si>
    <t>통합인문431</t>
  </si>
  <si>
    <t>362.58</t>
  </si>
  <si>
    <t>361.26</t>
  </si>
  <si>
    <t>자연581</t>
  </si>
  <si>
    <t>362.53</t>
  </si>
  <si>
    <t>362.81</t>
  </si>
  <si>
    <t>통합인문432</t>
  </si>
  <si>
    <t>자연582</t>
  </si>
  <si>
    <t>362.49</t>
  </si>
  <si>
    <t>통합인문433</t>
  </si>
  <si>
    <t>14.59</t>
  </si>
  <si>
    <t>31,660</t>
  </si>
  <si>
    <t>362.45</t>
  </si>
  <si>
    <t>통합인문434</t>
  </si>
  <si>
    <t>14.60</t>
  </si>
  <si>
    <t>31,682</t>
  </si>
  <si>
    <t>362.41</t>
  </si>
  <si>
    <t>자연583</t>
  </si>
  <si>
    <t xml:space="preserve">691.5 / </t>
  </si>
  <si>
    <t>자연584</t>
  </si>
  <si>
    <t>자연585</t>
  </si>
  <si>
    <t>자연586</t>
  </si>
  <si>
    <t>14.67</t>
  </si>
  <si>
    <t>31,834</t>
  </si>
  <si>
    <t>362.26</t>
  </si>
  <si>
    <t>자연587</t>
  </si>
  <si>
    <t xml:space="preserve">690.75 / </t>
  </si>
  <si>
    <t>통합인문435</t>
  </si>
  <si>
    <t>14.74</t>
  </si>
  <si>
    <t>31,986</t>
  </si>
  <si>
    <t>362.12</t>
  </si>
  <si>
    <t>통합인문436</t>
  </si>
  <si>
    <t>자연588</t>
  </si>
  <si>
    <t>14.75</t>
  </si>
  <si>
    <t>32,008</t>
  </si>
  <si>
    <t>자연589</t>
  </si>
  <si>
    <t>통합인문437</t>
  </si>
  <si>
    <t>360.20</t>
  </si>
  <si>
    <t>자연590</t>
  </si>
  <si>
    <t>자연591</t>
  </si>
  <si>
    <t>자연592</t>
  </si>
  <si>
    <t>361.90</t>
  </si>
  <si>
    <t>자연593</t>
  </si>
  <si>
    <t>14.85</t>
  </si>
  <si>
    <t>32,225</t>
  </si>
  <si>
    <t>360.48</t>
  </si>
  <si>
    <t>자연594</t>
  </si>
  <si>
    <t xml:space="preserve">678 / </t>
  </si>
  <si>
    <t>통합인문438</t>
  </si>
  <si>
    <t>14.95</t>
  </si>
  <si>
    <t>32,442</t>
  </si>
  <si>
    <t>통합인문439</t>
  </si>
  <si>
    <t>15.00</t>
  </si>
  <si>
    <t>32,550</t>
  </si>
  <si>
    <t>자연595</t>
  </si>
  <si>
    <t>자연596</t>
  </si>
  <si>
    <t>15.01</t>
  </si>
  <si>
    <t>32,572</t>
  </si>
  <si>
    <t>361.48</t>
  </si>
  <si>
    <t>통합인문440</t>
  </si>
  <si>
    <t>15.02</t>
  </si>
  <si>
    <t>32,593</t>
  </si>
  <si>
    <t>자연597</t>
  </si>
  <si>
    <t>15.03</t>
  </si>
  <si>
    <t>32,615</t>
  </si>
  <si>
    <t>361.52</t>
  </si>
  <si>
    <t>통합인문441</t>
  </si>
  <si>
    <t>15.04</t>
  </si>
  <si>
    <t>32,637</t>
  </si>
  <si>
    <t>361.50</t>
  </si>
  <si>
    <t>통합인문442</t>
  </si>
  <si>
    <t>361.81</t>
  </si>
  <si>
    <t>통합인문443</t>
  </si>
  <si>
    <t>자연598</t>
  </si>
  <si>
    <t>361.39</t>
  </si>
  <si>
    <t>통합인문444</t>
  </si>
  <si>
    <t>자연599</t>
  </si>
  <si>
    <t>자연600</t>
  </si>
  <si>
    <t>361.37</t>
  </si>
  <si>
    <t>자연601</t>
  </si>
  <si>
    <t>통합인문445</t>
  </si>
  <si>
    <t>361.31</t>
  </si>
  <si>
    <t>자연602</t>
  </si>
  <si>
    <t>361.22</t>
  </si>
  <si>
    <t>361.54</t>
  </si>
  <si>
    <t>360.49</t>
  </si>
  <si>
    <t>통합인문446</t>
  </si>
  <si>
    <t>15.18</t>
  </si>
  <si>
    <t>32,941</t>
  </si>
  <si>
    <t>361.19</t>
  </si>
  <si>
    <t>361.53</t>
  </si>
  <si>
    <t>통합인문447</t>
  </si>
  <si>
    <t xml:space="preserve">690 / </t>
  </si>
  <si>
    <t>자연603</t>
  </si>
  <si>
    <t>361.00</t>
  </si>
  <si>
    <t>자연604</t>
  </si>
  <si>
    <t>통합인문448</t>
  </si>
  <si>
    <t>15.29</t>
  </si>
  <si>
    <t>33,179</t>
  </si>
  <si>
    <t>360.79</t>
  </si>
  <si>
    <t>통합인문449</t>
  </si>
  <si>
    <t>자연605</t>
  </si>
  <si>
    <t>360.94</t>
  </si>
  <si>
    <t xml:space="preserve">689 / </t>
  </si>
  <si>
    <t>통합인문450</t>
  </si>
  <si>
    <t>361.13</t>
  </si>
  <si>
    <t>359.64</t>
  </si>
  <si>
    <t>통합인문451</t>
  </si>
  <si>
    <t>통합인문452</t>
  </si>
  <si>
    <t>15.50</t>
  </si>
  <si>
    <t>33,635</t>
  </si>
  <si>
    <t>자연606</t>
  </si>
  <si>
    <t>자연607</t>
  </si>
  <si>
    <t xml:space="preserve">846 / </t>
  </si>
  <si>
    <t>자연608</t>
  </si>
  <si>
    <t>15.52</t>
  </si>
  <si>
    <t>33,678</t>
  </si>
  <si>
    <t>360.53</t>
  </si>
  <si>
    <t>통합인문453</t>
  </si>
  <si>
    <t xml:space="preserve">425.5 / </t>
  </si>
  <si>
    <t>통합인문454</t>
  </si>
  <si>
    <t>15.54</t>
  </si>
  <si>
    <t>33,722</t>
  </si>
  <si>
    <t>358.56</t>
  </si>
  <si>
    <t>자연609</t>
  </si>
  <si>
    <t>자연610</t>
  </si>
  <si>
    <t>360.46</t>
  </si>
  <si>
    <t>통합인문455</t>
  </si>
  <si>
    <t>15.59</t>
  </si>
  <si>
    <t>33,830</t>
  </si>
  <si>
    <t>360.40</t>
  </si>
  <si>
    <t xml:space="preserve">895.2 / </t>
  </si>
  <si>
    <t>자연611</t>
  </si>
  <si>
    <t xml:space="preserve">688.25 / </t>
  </si>
  <si>
    <t>통합인문456</t>
  </si>
  <si>
    <t>자연612</t>
  </si>
  <si>
    <t>15.69</t>
  </si>
  <si>
    <t>34,047</t>
  </si>
  <si>
    <t>360.22</t>
  </si>
  <si>
    <t>358.15</t>
  </si>
  <si>
    <t>자연613</t>
  </si>
  <si>
    <t>359.03</t>
  </si>
  <si>
    <t>통합인문457</t>
  </si>
  <si>
    <t>자연614</t>
  </si>
  <si>
    <t>통합인문458</t>
  </si>
  <si>
    <t>15.73</t>
  </si>
  <si>
    <t>34,134</t>
  </si>
  <si>
    <t>357.97</t>
  </si>
  <si>
    <t>자연615</t>
  </si>
  <si>
    <t>360.07</t>
  </si>
  <si>
    <t>359.83</t>
  </si>
  <si>
    <t>통합인문459</t>
  </si>
  <si>
    <t xml:space="preserve">424.5 / </t>
  </si>
  <si>
    <t>통합인문460</t>
  </si>
  <si>
    <t>355.61</t>
  </si>
  <si>
    <t>자연616</t>
  </si>
  <si>
    <t>자연617</t>
  </si>
  <si>
    <t>15.79</t>
  </si>
  <si>
    <t>34,264</t>
  </si>
  <si>
    <t>360.41</t>
  </si>
  <si>
    <t>통합인문461</t>
  </si>
  <si>
    <t>360.03</t>
  </si>
  <si>
    <t>자연618</t>
  </si>
  <si>
    <t xml:space="preserve">676.5 / </t>
  </si>
  <si>
    <t>자연619</t>
  </si>
  <si>
    <t>360.02</t>
  </si>
  <si>
    <t>자연620</t>
  </si>
  <si>
    <t>15.84</t>
  </si>
  <si>
    <t>34,373</t>
  </si>
  <si>
    <t>359.94</t>
  </si>
  <si>
    <t>358.79</t>
  </si>
  <si>
    <t>통합인문462</t>
  </si>
  <si>
    <t>자연621</t>
  </si>
  <si>
    <t>360.31</t>
  </si>
  <si>
    <t>통합인문463</t>
  </si>
  <si>
    <t>자연622</t>
  </si>
  <si>
    <t>15.91</t>
  </si>
  <si>
    <t>34,525</t>
  </si>
  <si>
    <t>359.82</t>
  </si>
  <si>
    <t>통합인문464</t>
  </si>
  <si>
    <t>359.81</t>
  </si>
  <si>
    <t>자연623</t>
  </si>
  <si>
    <t>통합인문465</t>
  </si>
  <si>
    <t>359.80</t>
  </si>
  <si>
    <t>360.18</t>
  </si>
  <si>
    <t>통합인문466</t>
  </si>
  <si>
    <t>15.93</t>
  </si>
  <si>
    <t>34,568</t>
  </si>
  <si>
    <t>자연624</t>
  </si>
  <si>
    <t>359.77</t>
  </si>
  <si>
    <t>자연625</t>
  </si>
  <si>
    <t>15.95</t>
  </si>
  <si>
    <t>34,612</t>
  </si>
  <si>
    <t>359.73</t>
  </si>
  <si>
    <t>360.12</t>
  </si>
  <si>
    <t>358.34</t>
  </si>
  <si>
    <t>통합인문467</t>
  </si>
  <si>
    <t>359.71</t>
  </si>
  <si>
    <t>자연626</t>
  </si>
  <si>
    <t>359.70</t>
  </si>
  <si>
    <t>359.44</t>
  </si>
  <si>
    <t>357.40</t>
  </si>
  <si>
    <t>통합인문468</t>
  </si>
  <si>
    <t xml:space="preserve">842 / </t>
  </si>
  <si>
    <t>자연627</t>
  </si>
  <si>
    <t>통합인문469</t>
  </si>
  <si>
    <t>359.67</t>
  </si>
  <si>
    <t>자연628</t>
  </si>
  <si>
    <t>358.23</t>
  </si>
  <si>
    <t>통합인문470</t>
  </si>
  <si>
    <t>355.55</t>
  </si>
  <si>
    <t>통합인문471</t>
  </si>
  <si>
    <t>359.60</t>
  </si>
  <si>
    <t>360.00</t>
  </si>
  <si>
    <t>통합인문472</t>
  </si>
  <si>
    <t xml:space="preserve">841.5 / </t>
  </si>
  <si>
    <t>자연629</t>
  </si>
  <si>
    <t>359.58</t>
  </si>
  <si>
    <t>자연630</t>
  </si>
  <si>
    <t>통합인문473</t>
  </si>
  <si>
    <t>15.98</t>
  </si>
  <si>
    <t>34,677</t>
  </si>
  <si>
    <t>359.51</t>
  </si>
  <si>
    <t>자연631</t>
  </si>
  <si>
    <t>359.50</t>
  </si>
  <si>
    <t>자연632</t>
  </si>
  <si>
    <t>16.03</t>
  </si>
  <si>
    <t>34,785</t>
  </si>
  <si>
    <t>자연633</t>
  </si>
  <si>
    <t>359.30</t>
  </si>
  <si>
    <t>355.64</t>
  </si>
  <si>
    <t>통합인문474</t>
  </si>
  <si>
    <t>359.27</t>
  </si>
  <si>
    <t>357.44</t>
  </si>
  <si>
    <t>자연634</t>
  </si>
  <si>
    <t>자연635</t>
  </si>
  <si>
    <t>자연636</t>
  </si>
  <si>
    <t>359.15</t>
  </si>
  <si>
    <t xml:space="preserve">83.7 / </t>
  </si>
  <si>
    <t>통합인문475</t>
  </si>
  <si>
    <t>통합인문476</t>
  </si>
  <si>
    <t>16.19</t>
  </si>
  <si>
    <t>35,132</t>
  </si>
  <si>
    <t>359.13</t>
  </si>
  <si>
    <t>359.54</t>
  </si>
  <si>
    <t>통합인문477</t>
  </si>
  <si>
    <t>357.37</t>
  </si>
  <si>
    <t>자연637</t>
  </si>
  <si>
    <t>16.21</t>
  </si>
  <si>
    <t>35,176</t>
  </si>
  <si>
    <t>359.08</t>
  </si>
  <si>
    <t>357.07</t>
  </si>
  <si>
    <t>통합인문478</t>
  </si>
  <si>
    <t>16.23</t>
  </si>
  <si>
    <t>35,219</t>
  </si>
  <si>
    <t>357.31</t>
  </si>
  <si>
    <t xml:space="preserve">839 / </t>
  </si>
  <si>
    <t>자연638</t>
  </si>
  <si>
    <t>자연639</t>
  </si>
  <si>
    <t>16.24</t>
  </si>
  <si>
    <t>35,241</t>
  </si>
  <si>
    <t>자연640</t>
  </si>
  <si>
    <t>자연641</t>
  </si>
  <si>
    <t>358.92</t>
  </si>
  <si>
    <t>356.78</t>
  </si>
  <si>
    <t>자연642</t>
  </si>
  <si>
    <t>358.62</t>
  </si>
  <si>
    <t>통합인문479</t>
  </si>
  <si>
    <t>358.88</t>
  </si>
  <si>
    <t>자연643</t>
  </si>
  <si>
    <t>자연644</t>
  </si>
  <si>
    <t>16.42</t>
  </si>
  <si>
    <t>35,631</t>
  </si>
  <si>
    <t>자연645</t>
  </si>
  <si>
    <t>358.80</t>
  </si>
  <si>
    <t>통합인문480</t>
  </si>
  <si>
    <t>358.73</t>
  </si>
  <si>
    <t>자연646</t>
  </si>
  <si>
    <t>358.69</t>
  </si>
  <si>
    <t>통합인문481</t>
  </si>
  <si>
    <t>358.67</t>
  </si>
  <si>
    <t>356.28</t>
  </si>
  <si>
    <t>자연647</t>
  </si>
  <si>
    <t>358.30</t>
  </si>
  <si>
    <t>통합인문482</t>
  </si>
  <si>
    <t>16.58</t>
  </si>
  <si>
    <t>35,979</t>
  </si>
  <si>
    <t>358.52</t>
  </si>
  <si>
    <t>자연648</t>
  </si>
  <si>
    <t>자연649</t>
  </si>
  <si>
    <t>자연650</t>
  </si>
  <si>
    <t>자연651</t>
  </si>
  <si>
    <t>16.59</t>
  </si>
  <si>
    <t>36,000</t>
  </si>
  <si>
    <t>통합인문483</t>
  </si>
  <si>
    <t>356.13</t>
  </si>
  <si>
    <t>자연652</t>
  </si>
  <si>
    <t>통합인문484</t>
  </si>
  <si>
    <t>16.65</t>
  </si>
  <si>
    <t>36,131</t>
  </si>
  <si>
    <t>통합인문485</t>
  </si>
  <si>
    <t>통합인문486</t>
  </si>
  <si>
    <t>358.32</t>
  </si>
  <si>
    <t>자연653</t>
  </si>
  <si>
    <t>358.27</t>
  </si>
  <si>
    <t>자연654</t>
  </si>
  <si>
    <t>16.71</t>
  </si>
  <si>
    <t>36,261</t>
  </si>
  <si>
    <t>358.24</t>
  </si>
  <si>
    <t>자연655</t>
  </si>
  <si>
    <t>357.92</t>
  </si>
  <si>
    <t>통합인문487</t>
  </si>
  <si>
    <t>16.74</t>
  </si>
  <si>
    <t>36,326</t>
  </si>
  <si>
    <t>358.18</t>
  </si>
  <si>
    <t>355.90</t>
  </si>
  <si>
    <t>통합인문488</t>
  </si>
  <si>
    <t>358.17</t>
  </si>
  <si>
    <t>통합인문489</t>
  </si>
  <si>
    <t>통합인문490</t>
  </si>
  <si>
    <t>자연656</t>
  </si>
  <si>
    <t>16.79</t>
  </si>
  <si>
    <t>36,434</t>
  </si>
  <si>
    <t>358.10</t>
  </si>
  <si>
    <t>356.67</t>
  </si>
  <si>
    <t xml:space="preserve">843.5 / </t>
  </si>
  <si>
    <t>통합인문491</t>
  </si>
  <si>
    <t>358.07</t>
  </si>
  <si>
    <t>357.75</t>
  </si>
  <si>
    <t>통합인문492</t>
  </si>
  <si>
    <t>358.06</t>
  </si>
  <si>
    <t>자연657</t>
  </si>
  <si>
    <t>자연658</t>
  </si>
  <si>
    <t>358.01</t>
  </si>
  <si>
    <t>자연659</t>
  </si>
  <si>
    <t>16.85</t>
  </si>
  <si>
    <t>36,565</t>
  </si>
  <si>
    <t>355.60</t>
  </si>
  <si>
    <t xml:space="preserve">847 / </t>
  </si>
  <si>
    <t>자연660</t>
  </si>
  <si>
    <t>통합인문493</t>
  </si>
  <si>
    <t>357.96</t>
  </si>
  <si>
    <t>통합인문494</t>
  </si>
  <si>
    <t>통합인문495</t>
  </si>
  <si>
    <t>16.91</t>
  </si>
  <si>
    <t>36,695</t>
  </si>
  <si>
    <t>357.84</t>
  </si>
  <si>
    <t>356.35</t>
  </si>
  <si>
    <t>통합인문496</t>
  </si>
  <si>
    <t xml:space="preserve">857.4 / </t>
  </si>
  <si>
    <t>통합인문497</t>
  </si>
  <si>
    <t>16.92</t>
  </si>
  <si>
    <t>36,716</t>
  </si>
  <si>
    <t>357.82</t>
  </si>
  <si>
    <t xml:space="preserve">833.5 / </t>
  </si>
  <si>
    <t>자연661</t>
  </si>
  <si>
    <t>357.77</t>
  </si>
  <si>
    <t>자연662</t>
  </si>
  <si>
    <t>자연663</t>
  </si>
  <si>
    <t xml:space="preserve">684.75 / </t>
  </si>
  <si>
    <t>통합인문498</t>
  </si>
  <si>
    <t>357.76</t>
  </si>
  <si>
    <t>통합인문499</t>
  </si>
  <si>
    <t>16.98</t>
  </si>
  <si>
    <t>36,847</t>
  </si>
  <si>
    <t>357.69</t>
  </si>
  <si>
    <t xml:space="preserve">833 / </t>
  </si>
  <si>
    <t>자연664</t>
  </si>
  <si>
    <t>자연665</t>
  </si>
  <si>
    <t>17.00</t>
  </si>
  <si>
    <t>36,890</t>
  </si>
  <si>
    <t>통합인문500</t>
  </si>
  <si>
    <t>자연666</t>
  </si>
  <si>
    <t>357.64</t>
  </si>
  <si>
    <t>통합인문501</t>
  </si>
  <si>
    <t>357.58</t>
  </si>
  <si>
    <t>355.22</t>
  </si>
  <si>
    <t>자연667</t>
  </si>
  <si>
    <t>통합인문502</t>
  </si>
  <si>
    <t>17.05</t>
  </si>
  <si>
    <t>36,999</t>
  </si>
  <si>
    <t>357.56</t>
  </si>
  <si>
    <t>356.07</t>
  </si>
  <si>
    <t xml:space="preserve">818.5 / </t>
  </si>
  <si>
    <t>통합인문503</t>
  </si>
  <si>
    <t>357.55</t>
  </si>
  <si>
    <t>자연668</t>
  </si>
  <si>
    <t>자연669</t>
  </si>
  <si>
    <t>357.50</t>
  </si>
  <si>
    <t>자연670</t>
  </si>
  <si>
    <t>자연671</t>
  </si>
  <si>
    <t>17.09</t>
  </si>
  <si>
    <t>37,085</t>
  </si>
  <si>
    <t>통합인문504</t>
  </si>
  <si>
    <t>357.48</t>
  </si>
  <si>
    <t>통합인문505</t>
  </si>
  <si>
    <t>17.13</t>
  </si>
  <si>
    <t>37,172</t>
  </si>
  <si>
    <t xml:space="preserve">684.25 / </t>
  </si>
  <si>
    <t>통합인문506</t>
  </si>
  <si>
    <t>통합인문507</t>
  </si>
  <si>
    <t>357.32</t>
  </si>
  <si>
    <t xml:space="preserve">840.5 / </t>
  </si>
  <si>
    <t>통합인문508</t>
  </si>
  <si>
    <t>통합인문509</t>
  </si>
  <si>
    <t>357.81</t>
  </si>
  <si>
    <t>통합인문510</t>
  </si>
  <si>
    <t>자연672</t>
  </si>
  <si>
    <t>354.92</t>
  </si>
  <si>
    <t>자연673</t>
  </si>
  <si>
    <t>357.21</t>
  </si>
  <si>
    <t>자연674</t>
  </si>
  <si>
    <t>자연675</t>
  </si>
  <si>
    <t>17.24</t>
  </si>
  <si>
    <t>37,411</t>
  </si>
  <si>
    <t>357.20</t>
  </si>
  <si>
    <t>자연676</t>
  </si>
  <si>
    <t>357.18</t>
  </si>
  <si>
    <t>통합인문511</t>
  </si>
  <si>
    <t>17.25</t>
  </si>
  <si>
    <t>37,433</t>
  </si>
  <si>
    <t>자연677</t>
  </si>
  <si>
    <t>17.29</t>
  </si>
  <si>
    <t>37,519</t>
  </si>
  <si>
    <t>354.74</t>
  </si>
  <si>
    <t>자연678</t>
  </si>
  <si>
    <t>자연679</t>
  </si>
  <si>
    <t>357.08</t>
  </si>
  <si>
    <t>354.73</t>
  </si>
  <si>
    <t xml:space="preserve">830.5 / </t>
  </si>
  <si>
    <t>자연680</t>
  </si>
  <si>
    <t>통합인문512</t>
  </si>
  <si>
    <t>자연681</t>
  </si>
  <si>
    <t xml:space="preserve">844.5 / </t>
  </si>
  <si>
    <t>통합인문513</t>
  </si>
  <si>
    <t>통합인문514</t>
  </si>
  <si>
    <t>17.32</t>
  </si>
  <si>
    <t>37,584</t>
  </si>
  <si>
    <t>자연682</t>
  </si>
  <si>
    <t>17.38</t>
  </si>
  <si>
    <t>37,715</t>
  </si>
  <si>
    <t>356.92</t>
  </si>
  <si>
    <t>통합인문515</t>
  </si>
  <si>
    <t>통합인문516</t>
  </si>
  <si>
    <t>357.42</t>
  </si>
  <si>
    <t>통합인문517</t>
  </si>
  <si>
    <t>17.41</t>
  </si>
  <si>
    <t>37,780</t>
  </si>
  <si>
    <t>356.87</t>
  </si>
  <si>
    <t>자연683</t>
  </si>
  <si>
    <t>356.83</t>
  </si>
  <si>
    <t>자연684</t>
  </si>
  <si>
    <t>17.45</t>
  </si>
  <si>
    <t>37,867</t>
  </si>
  <si>
    <t>356.79</t>
  </si>
  <si>
    <t>통합인문518</t>
  </si>
  <si>
    <t>354.45</t>
  </si>
  <si>
    <t>자연685</t>
  </si>
  <si>
    <t>통합인문519</t>
  </si>
  <si>
    <t>17.51</t>
  </si>
  <si>
    <t>37,997</t>
  </si>
  <si>
    <t>통합인문520</t>
  </si>
  <si>
    <t>통합인문521</t>
  </si>
  <si>
    <t>17.53</t>
  </si>
  <si>
    <t>38,040</t>
  </si>
  <si>
    <t>통합인문522</t>
  </si>
  <si>
    <t>356.63</t>
  </si>
  <si>
    <t>354.26</t>
  </si>
  <si>
    <t>자연686</t>
  </si>
  <si>
    <t>17.56</t>
  </si>
  <si>
    <t>38,105</t>
  </si>
  <si>
    <t>356.58</t>
  </si>
  <si>
    <t>자연687</t>
  </si>
  <si>
    <t>자연688</t>
  </si>
  <si>
    <t>통합인문523</t>
  </si>
  <si>
    <t>17.58</t>
  </si>
  <si>
    <t>38,149</t>
  </si>
  <si>
    <t>356.54</t>
  </si>
  <si>
    <t>355.10</t>
  </si>
  <si>
    <t xml:space="preserve">842.5 / </t>
  </si>
  <si>
    <t>통합인문524</t>
  </si>
  <si>
    <t>통합인문525</t>
  </si>
  <si>
    <t>자연689</t>
  </si>
  <si>
    <t>자연690</t>
  </si>
  <si>
    <t>17.62</t>
  </si>
  <si>
    <t>38,235</t>
  </si>
  <si>
    <t>356.46</t>
  </si>
  <si>
    <t>354.50</t>
  </si>
  <si>
    <t>통합인문526</t>
  </si>
  <si>
    <t>17.64</t>
  </si>
  <si>
    <t>38,279</t>
  </si>
  <si>
    <t>356.43</t>
  </si>
  <si>
    <t>자연691</t>
  </si>
  <si>
    <t>17.66</t>
  </si>
  <si>
    <t>38,322</t>
  </si>
  <si>
    <t>자연692</t>
  </si>
  <si>
    <t>17.67</t>
  </si>
  <si>
    <t>38,344</t>
  </si>
  <si>
    <t>356.37</t>
  </si>
  <si>
    <t>자연693</t>
  </si>
  <si>
    <t>356.90</t>
  </si>
  <si>
    <t>통합인문527</t>
  </si>
  <si>
    <t>자연694</t>
  </si>
  <si>
    <t>17.71</t>
  </si>
  <si>
    <t>38,431</t>
  </si>
  <si>
    <t>354.86</t>
  </si>
  <si>
    <t>통합인문528</t>
  </si>
  <si>
    <t>356.25</t>
  </si>
  <si>
    <t>통합인문529</t>
  </si>
  <si>
    <t>17.75</t>
  </si>
  <si>
    <t>38,518</t>
  </si>
  <si>
    <t>356.77</t>
  </si>
  <si>
    <t>통합인문530</t>
  </si>
  <si>
    <t>17.77</t>
  </si>
  <si>
    <t>38,561</t>
  </si>
  <si>
    <t>356.17</t>
  </si>
  <si>
    <t>자연695</t>
  </si>
  <si>
    <t>356.15</t>
  </si>
  <si>
    <t>356.70</t>
  </si>
  <si>
    <t>통합인문531</t>
  </si>
  <si>
    <t>통합인문532</t>
  </si>
  <si>
    <t>17.79</t>
  </si>
  <si>
    <t>38,604</t>
  </si>
  <si>
    <t>자연696</t>
  </si>
  <si>
    <t>17.80</t>
  </si>
  <si>
    <t>38,626</t>
  </si>
  <si>
    <t>자연697</t>
  </si>
  <si>
    <t>356.10</t>
  </si>
  <si>
    <t>통합인문533</t>
  </si>
  <si>
    <t>자연698</t>
  </si>
  <si>
    <t>자연699</t>
  </si>
  <si>
    <t>17.84</t>
  </si>
  <si>
    <t>38,713</t>
  </si>
  <si>
    <t>356.06</t>
  </si>
  <si>
    <t>353.57</t>
  </si>
  <si>
    <t>자연700</t>
  </si>
  <si>
    <t>356.03</t>
  </si>
  <si>
    <t>통합인문534</t>
  </si>
  <si>
    <t>통합인문535</t>
  </si>
  <si>
    <t>355.93</t>
  </si>
  <si>
    <t>통합인문536</t>
  </si>
  <si>
    <t>17.92</t>
  </si>
  <si>
    <t>38,886</t>
  </si>
  <si>
    <t>자연701</t>
  </si>
  <si>
    <t>356.45</t>
  </si>
  <si>
    <t>통합인문537</t>
  </si>
  <si>
    <t>통합인문538</t>
  </si>
  <si>
    <t>18.02</t>
  </si>
  <si>
    <t>39,103</t>
  </si>
  <si>
    <t>자연702</t>
  </si>
  <si>
    <t>355.70</t>
  </si>
  <si>
    <t>자연703</t>
  </si>
  <si>
    <t>18.06</t>
  </si>
  <si>
    <t>39,190</t>
  </si>
  <si>
    <t>356.20</t>
  </si>
  <si>
    <t>통합인문539</t>
  </si>
  <si>
    <t>통합인문540</t>
  </si>
  <si>
    <t>통합인문541</t>
  </si>
  <si>
    <t>353.12</t>
  </si>
  <si>
    <t xml:space="preserve">83.6 / </t>
  </si>
  <si>
    <t>자연704</t>
  </si>
  <si>
    <t>18.08</t>
  </si>
  <si>
    <t>39,234</t>
  </si>
  <si>
    <t>353.51</t>
  </si>
  <si>
    <t>통합인문542</t>
  </si>
  <si>
    <t>자연705</t>
  </si>
  <si>
    <t>355.58</t>
  </si>
  <si>
    <t>자연706</t>
  </si>
  <si>
    <t>18.11</t>
  </si>
  <si>
    <t>39,299</t>
  </si>
  <si>
    <t>통합인문543</t>
  </si>
  <si>
    <t>18.12</t>
  </si>
  <si>
    <t>39,320</t>
  </si>
  <si>
    <t>자연707</t>
  </si>
  <si>
    <t>355.53</t>
  </si>
  <si>
    <t>353.01</t>
  </si>
  <si>
    <t>자연708</t>
  </si>
  <si>
    <t>18.13</t>
  </si>
  <si>
    <t>39,342</t>
  </si>
  <si>
    <t>통합인문544</t>
  </si>
  <si>
    <t xml:space="preserve">681.75 / </t>
  </si>
  <si>
    <t>통합인문545</t>
  </si>
  <si>
    <t>통합인문546</t>
  </si>
  <si>
    <t>통합인문547</t>
  </si>
  <si>
    <t>355.45</t>
  </si>
  <si>
    <t>자연709</t>
  </si>
  <si>
    <t>18.21</t>
  </si>
  <si>
    <t>39,516</t>
  </si>
  <si>
    <t>355.38</t>
  </si>
  <si>
    <t>352.83</t>
  </si>
  <si>
    <t>자연710</t>
  </si>
  <si>
    <t>자연711</t>
  </si>
  <si>
    <t>18.24</t>
  </si>
  <si>
    <t>39,581</t>
  </si>
  <si>
    <t>355.31</t>
  </si>
  <si>
    <t>자연712</t>
  </si>
  <si>
    <t>355.28</t>
  </si>
  <si>
    <t>자연713</t>
  </si>
  <si>
    <t>355.26</t>
  </si>
  <si>
    <t>통합인문548</t>
  </si>
  <si>
    <t>통합인문549</t>
  </si>
  <si>
    <t>통합인문550</t>
  </si>
  <si>
    <t>18.28</t>
  </si>
  <si>
    <t>39,668</t>
  </si>
  <si>
    <t>355.25</t>
  </si>
  <si>
    <t>통합인문551</t>
  </si>
  <si>
    <t>352.76</t>
  </si>
  <si>
    <t>자연714</t>
  </si>
  <si>
    <t>통합인문552</t>
  </si>
  <si>
    <t>18.32</t>
  </si>
  <si>
    <t>39,754</t>
  </si>
  <si>
    <t>355.16</t>
  </si>
  <si>
    <t>352.70</t>
  </si>
  <si>
    <t>자연715</t>
  </si>
  <si>
    <t>352.68</t>
  </si>
  <si>
    <t>자연716</t>
  </si>
  <si>
    <t>자연717</t>
  </si>
  <si>
    <t>355.13</t>
  </si>
  <si>
    <t xml:space="preserve">836 / </t>
  </si>
  <si>
    <t>자연718</t>
  </si>
  <si>
    <t>355.04</t>
  </si>
  <si>
    <t>자연719</t>
  </si>
  <si>
    <t>통합인문553</t>
  </si>
  <si>
    <t>354.88</t>
  </si>
  <si>
    <t>자연720</t>
  </si>
  <si>
    <t>354.87</t>
  </si>
  <si>
    <t>자연721</t>
  </si>
  <si>
    <t>자연722</t>
  </si>
  <si>
    <t>354.83</t>
  </si>
  <si>
    <t>통합인문554</t>
  </si>
  <si>
    <t>354.79</t>
  </si>
  <si>
    <t>자연723</t>
  </si>
  <si>
    <t>자연724</t>
  </si>
  <si>
    <t>자연725</t>
  </si>
  <si>
    <t>자연726</t>
  </si>
  <si>
    <t xml:space="preserve">669.5 / </t>
  </si>
  <si>
    <t>자연727</t>
  </si>
  <si>
    <t>18.56</t>
  </si>
  <si>
    <t>40,275</t>
  </si>
  <si>
    <t>352.20</t>
  </si>
  <si>
    <t xml:space="preserve">681.1 / </t>
  </si>
  <si>
    <t>자연728</t>
  </si>
  <si>
    <t>354.72</t>
  </si>
  <si>
    <t>통합인문555</t>
  </si>
  <si>
    <t>354.69</t>
  </si>
  <si>
    <t>자연729</t>
  </si>
  <si>
    <t>18.61</t>
  </si>
  <si>
    <t>40,384</t>
  </si>
  <si>
    <t>자연730</t>
  </si>
  <si>
    <t>18.66</t>
  </si>
  <si>
    <t>40,492</t>
  </si>
  <si>
    <t>354.56</t>
  </si>
  <si>
    <t>통합인문556</t>
  </si>
  <si>
    <t>354.53</t>
  </si>
  <si>
    <t>통합인문557</t>
  </si>
  <si>
    <t>354.51</t>
  </si>
  <si>
    <t>통합인문558</t>
  </si>
  <si>
    <t>자연731</t>
  </si>
  <si>
    <t>통합인문559</t>
  </si>
  <si>
    <t>자연732</t>
  </si>
  <si>
    <t>통합인문560</t>
  </si>
  <si>
    <t>자연733</t>
  </si>
  <si>
    <t>351.48</t>
  </si>
  <si>
    <t>자연734</t>
  </si>
  <si>
    <t xml:space="preserve">966.91 / </t>
  </si>
  <si>
    <t>자연735</t>
  </si>
  <si>
    <t>353.79</t>
  </si>
  <si>
    <t>351.41</t>
  </si>
  <si>
    <t>통합인문561</t>
  </si>
  <si>
    <t>18.90</t>
  </si>
  <si>
    <t>41,013</t>
  </si>
  <si>
    <t>352.62</t>
  </si>
  <si>
    <t>통합인문562</t>
  </si>
  <si>
    <t>18.91</t>
  </si>
  <si>
    <t>41,035</t>
  </si>
  <si>
    <t>354.12</t>
  </si>
  <si>
    <t>자연736</t>
  </si>
  <si>
    <t>354.09</t>
  </si>
  <si>
    <t>자연737</t>
  </si>
  <si>
    <t>354.08</t>
  </si>
  <si>
    <t>자연738</t>
  </si>
  <si>
    <t>자연739</t>
  </si>
  <si>
    <t>354.05</t>
  </si>
  <si>
    <t>통합인문563</t>
  </si>
  <si>
    <t>18.97</t>
  </si>
  <si>
    <t>41,165</t>
  </si>
  <si>
    <t>354.01</t>
  </si>
  <si>
    <t xml:space="preserve">679.75 / </t>
  </si>
  <si>
    <t>통합인문564</t>
  </si>
  <si>
    <t>통합인문565</t>
  </si>
  <si>
    <t>자연740</t>
  </si>
  <si>
    <t>353.96</t>
  </si>
  <si>
    <t>자연741</t>
  </si>
  <si>
    <t xml:space="preserve">81.6 / </t>
  </si>
  <si>
    <t>통합인문566</t>
  </si>
  <si>
    <t>통합인문567</t>
  </si>
  <si>
    <t>통합인문568</t>
  </si>
  <si>
    <t>통합인문569</t>
  </si>
  <si>
    <t>통합인문570</t>
  </si>
  <si>
    <t>자연742</t>
  </si>
  <si>
    <t>통합인문571</t>
  </si>
  <si>
    <t>351.08</t>
  </si>
  <si>
    <t>자연743</t>
  </si>
  <si>
    <t>19.10</t>
  </si>
  <si>
    <t>41,447</t>
  </si>
  <si>
    <t>353.78</t>
  </si>
  <si>
    <t>351.07</t>
  </si>
  <si>
    <t>자연744</t>
  </si>
  <si>
    <t>353.76</t>
  </si>
  <si>
    <t>통합인문572</t>
  </si>
  <si>
    <t>354.27</t>
  </si>
  <si>
    <t>352.02</t>
  </si>
  <si>
    <t>통합인문573</t>
  </si>
  <si>
    <t>자연745</t>
  </si>
  <si>
    <t>자연746</t>
  </si>
  <si>
    <t>자연747</t>
  </si>
  <si>
    <t>19.24</t>
  </si>
  <si>
    <t>41,751</t>
  </si>
  <si>
    <t>354.17</t>
  </si>
  <si>
    <t>통합인문574</t>
  </si>
  <si>
    <t>353.14</t>
  </si>
  <si>
    <t>통합인문575</t>
  </si>
  <si>
    <t>통합인문576</t>
  </si>
  <si>
    <t>자연748</t>
  </si>
  <si>
    <t>자연749</t>
  </si>
  <si>
    <t>353.38</t>
  </si>
  <si>
    <t>통합인문577</t>
  </si>
  <si>
    <t>353.37</t>
  </si>
  <si>
    <t>353.98</t>
  </si>
  <si>
    <t>통합인문578</t>
  </si>
  <si>
    <t>19.39</t>
  </si>
  <si>
    <t>42,076</t>
  </si>
  <si>
    <t>353.30</t>
  </si>
  <si>
    <t>350.56</t>
  </si>
  <si>
    <t>자연750</t>
  </si>
  <si>
    <t>353.29</t>
  </si>
  <si>
    <t>353.90</t>
  </si>
  <si>
    <t>통합인문579</t>
  </si>
  <si>
    <t>353.27</t>
  </si>
  <si>
    <t>350.88</t>
  </si>
  <si>
    <t xml:space="preserve">678.75 / </t>
  </si>
  <si>
    <t>통합인문580</t>
  </si>
  <si>
    <t>19.45</t>
  </si>
  <si>
    <t>42,207</t>
  </si>
  <si>
    <t>자연751</t>
  </si>
  <si>
    <t>통합인문581</t>
  </si>
  <si>
    <t>350.44</t>
  </si>
  <si>
    <t>자연752</t>
  </si>
  <si>
    <t>19.47</t>
  </si>
  <si>
    <t>42,250</t>
  </si>
  <si>
    <t>통합인문582</t>
  </si>
  <si>
    <t>자연753</t>
  </si>
  <si>
    <t>353.15</t>
  </si>
  <si>
    <t>353.77</t>
  </si>
  <si>
    <t>통합인문583</t>
  </si>
  <si>
    <t>353.13</t>
  </si>
  <si>
    <t>자연754</t>
  </si>
  <si>
    <t>19.50</t>
  </si>
  <si>
    <t>42,315</t>
  </si>
  <si>
    <t>통합인문584</t>
  </si>
  <si>
    <t>352.72</t>
  </si>
  <si>
    <t>통합인문585</t>
  </si>
  <si>
    <t>19.53</t>
  </si>
  <si>
    <t>42,380</t>
  </si>
  <si>
    <t>350.23</t>
  </si>
  <si>
    <t>자연755</t>
  </si>
  <si>
    <t>19.54</t>
  </si>
  <si>
    <t>42,402</t>
  </si>
  <si>
    <t>353.05</t>
  </si>
  <si>
    <t>353.66</t>
  </si>
  <si>
    <t xml:space="preserve">81.25 / </t>
  </si>
  <si>
    <t>통합인문586</t>
  </si>
  <si>
    <t>통합인문587</t>
  </si>
  <si>
    <t>자연756</t>
  </si>
  <si>
    <t>352.93</t>
  </si>
  <si>
    <t>353.54</t>
  </si>
  <si>
    <t>351.21</t>
  </si>
  <si>
    <t xml:space="preserve">81.2 / </t>
  </si>
  <si>
    <t>통합인문588</t>
  </si>
  <si>
    <t>19.62</t>
  </si>
  <si>
    <t>42,575</t>
  </si>
  <si>
    <t>350.55</t>
  </si>
  <si>
    <t>통합인문589</t>
  </si>
  <si>
    <t>자연757</t>
  </si>
  <si>
    <t>352.53</t>
  </si>
  <si>
    <t>통합인문590</t>
  </si>
  <si>
    <t>352.89</t>
  </si>
  <si>
    <t>350.51</t>
  </si>
  <si>
    <t>통합인문591</t>
  </si>
  <si>
    <t>통합인문592</t>
  </si>
  <si>
    <t>통합인문593</t>
  </si>
  <si>
    <t>19.66</t>
  </si>
  <si>
    <t>42,662</t>
  </si>
  <si>
    <t>통합인문594</t>
  </si>
  <si>
    <t>19.69</t>
  </si>
  <si>
    <t>42,727</t>
  </si>
  <si>
    <t>352.79</t>
  </si>
  <si>
    <t>자연758</t>
  </si>
  <si>
    <t>19.71</t>
  </si>
  <si>
    <t>42,771</t>
  </si>
  <si>
    <t>349.94</t>
  </si>
  <si>
    <t>자연759</t>
  </si>
  <si>
    <t>통합인문595</t>
  </si>
  <si>
    <t>통합인문596</t>
  </si>
  <si>
    <t>통합인문597</t>
  </si>
  <si>
    <t>통합인문598</t>
  </si>
  <si>
    <t>자연760</t>
  </si>
  <si>
    <t>자연761</t>
  </si>
  <si>
    <t xml:space="preserve">81.7 / </t>
  </si>
  <si>
    <t>통합인문599</t>
  </si>
  <si>
    <t>352.63</t>
  </si>
  <si>
    <t>349.80</t>
  </si>
  <si>
    <t xml:space="preserve">678.1 / </t>
  </si>
  <si>
    <t>자연762</t>
  </si>
  <si>
    <t>자연763</t>
  </si>
  <si>
    <t>19.79</t>
  </si>
  <si>
    <t>42,944</t>
  </si>
  <si>
    <t>자연764</t>
  </si>
  <si>
    <t>19.85</t>
  </si>
  <si>
    <t>43,075</t>
  </si>
  <si>
    <t>자연765</t>
  </si>
  <si>
    <t>349.46</t>
  </si>
  <si>
    <t>자연766</t>
  </si>
  <si>
    <t>19.97</t>
  </si>
  <si>
    <t>43,335</t>
  </si>
  <si>
    <t>351.93</t>
  </si>
  <si>
    <t>통합인문600</t>
  </si>
  <si>
    <t>349.78</t>
  </si>
  <si>
    <t>통합인문601</t>
  </si>
  <si>
    <t>352.23</t>
  </si>
  <si>
    <t>352.85</t>
  </si>
  <si>
    <t>통합인문602</t>
  </si>
  <si>
    <t>20.04</t>
  </si>
  <si>
    <t>43,487</t>
  </si>
  <si>
    <t>352.21</t>
  </si>
  <si>
    <t>자연767</t>
  </si>
  <si>
    <t>통합인문603</t>
  </si>
  <si>
    <t>20.05</t>
  </si>
  <si>
    <t>43,509</t>
  </si>
  <si>
    <t>352.19</t>
  </si>
  <si>
    <t>자연768</t>
  </si>
  <si>
    <t>351.76</t>
  </si>
  <si>
    <t xml:space="preserve">643.57 / </t>
  </si>
  <si>
    <t>통합인문604</t>
  </si>
  <si>
    <t>통합인문605</t>
  </si>
  <si>
    <t>352.14</t>
  </si>
  <si>
    <t>349.14</t>
  </si>
  <si>
    <t>자연769</t>
  </si>
  <si>
    <t>자연770</t>
  </si>
  <si>
    <t>20.10</t>
  </si>
  <si>
    <t>43,617</t>
  </si>
  <si>
    <t>352.11</t>
  </si>
  <si>
    <t>자연771</t>
  </si>
  <si>
    <t>20.11</t>
  </si>
  <si>
    <t>43,639</t>
  </si>
  <si>
    <t>349.08</t>
  </si>
  <si>
    <t>자연772</t>
  </si>
  <si>
    <t>20.12</t>
  </si>
  <si>
    <t>43,660</t>
  </si>
  <si>
    <t>통합인문606</t>
  </si>
  <si>
    <t>자연773</t>
  </si>
  <si>
    <t>20.16</t>
  </si>
  <si>
    <t>43,747</t>
  </si>
  <si>
    <t>통합인문607</t>
  </si>
  <si>
    <t>자연774</t>
  </si>
  <si>
    <t>351.96</t>
  </si>
  <si>
    <t>자연775</t>
  </si>
  <si>
    <t>자연776</t>
  </si>
  <si>
    <t>자연777</t>
  </si>
  <si>
    <t>자연778</t>
  </si>
  <si>
    <t>자연779</t>
  </si>
  <si>
    <t>통합인문608</t>
  </si>
  <si>
    <t>20.25</t>
  </si>
  <si>
    <t>43,943</t>
  </si>
  <si>
    <t>자연780</t>
  </si>
  <si>
    <t>자연781</t>
  </si>
  <si>
    <t>349.11</t>
  </si>
  <si>
    <t>통합인문609</t>
  </si>
  <si>
    <t>348.76</t>
  </si>
  <si>
    <t>자연782</t>
  </si>
  <si>
    <t>20.34</t>
  </si>
  <si>
    <t>44,138</t>
  </si>
  <si>
    <t>348.73</t>
  </si>
  <si>
    <t>자연783</t>
  </si>
  <si>
    <t>348.60</t>
  </si>
  <si>
    <t>자연784</t>
  </si>
  <si>
    <t>20.45</t>
  </si>
  <si>
    <t>44,377</t>
  </si>
  <si>
    <t>통합인문610</t>
  </si>
  <si>
    <t>20.46</t>
  </si>
  <si>
    <t>44,398</t>
  </si>
  <si>
    <t>자연785</t>
  </si>
  <si>
    <t>자연786</t>
  </si>
  <si>
    <t>통합인문611</t>
  </si>
  <si>
    <t>348.39</t>
  </si>
  <si>
    <t>자연787</t>
  </si>
  <si>
    <t>통합인문612</t>
  </si>
  <si>
    <t>자연788</t>
  </si>
  <si>
    <t>자연789</t>
  </si>
  <si>
    <t>통합인문613</t>
  </si>
  <si>
    <t>351.29</t>
  </si>
  <si>
    <t>통합인문614</t>
  </si>
  <si>
    <t>20.69</t>
  </si>
  <si>
    <t>44,897</t>
  </si>
  <si>
    <t>자연790</t>
  </si>
  <si>
    <t>351.20</t>
  </si>
  <si>
    <t>자연791</t>
  </si>
  <si>
    <t>통합인문615</t>
  </si>
  <si>
    <t>통합인문616</t>
  </si>
  <si>
    <t>20.77</t>
  </si>
  <si>
    <t>45,071</t>
  </si>
  <si>
    <t xml:space="preserve">81 / </t>
  </si>
  <si>
    <t>통합인문617</t>
  </si>
  <si>
    <t>통합인문618</t>
  </si>
  <si>
    <t>통합인문619</t>
  </si>
  <si>
    <t>20.78</t>
  </si>
  <si>
    <t>45,093</t>
  </si>
  <si>
    <t>347.91</t>
  </si>
  <si>
    <t>자연792</t>
  </si>
  <si>
    <t>자연793</t>
  </si>
  <si>
    <t>349.05</t>
  </si>
  <si>
    <t>통합인문620</t>
  </si>
  <si>
    <t>351.63</t>
  </si>
  <si>
    <t>349.00</t>
  </si>
  <si>
    <t>통합인문621</t>
  </si>
  <si>
    <t>20.83</t>
  </si>
  <si>
    <t>45,201</t>
  </si>
  <si>
    <t>자연794</t>
  </si>
  <si>
    <t>350.99</t>
  </si>
  <si>
    <t>자연795</t>
  </si>
  <si>
    <t>자연796</t>
  </si>
  <si>
    <t>347.74</t>
  </si>
  <si>
    <t xml:space="preserve"> 사탐5%가산</t>
  </si>
  <si>
    <t>자연797</t>
  </si>
  <si>
    <t xml:space="preserve">80.9 / </t>
  </si>
  <si>
    <t>통합인문622</t>
  </si>
  <si>
    <t>통합인문623</t>
  </si>
  <si>
    <t>자연798</t>
  </si>
  <si>
    <t>350.80</t>
  </si>
  <si>
    <t>347.73</t>
  </si>
  <si>
    <t>자연799</t>
  </si>
  <si>
    <t>20.99</t>
  </si>
  <si>
    <t>45,548</t>
  </si>
  <si>
    <t>347.69</t>
  </si>
  <si>
    <t>자연800</t>
  </si>
  <si>
    <t>351.35</t>
  </si>
  <si>
    <t>통합인문624</t>
  </si>
  <si>
    <t>통합인문625</t>
  </si>
  <si>
    <t>350.72</t>
  </si>
  <si>
    <t>자연801</t>
  </si>
  <si>
    <t>통합인문626</t>
  </si>
  <si>
    <t xml:space="preserve">172.99 / </t>
  </si>
  <si>
    <t>통합인문627</t>
  </si>
  <si>
    <t>통합인문628</t>
  </si>
  <si>
    <t>350.14</t>
  </si>
  <si>
    <t>통합인문629</t>
  </si>
  <si>
    <t>350.13</t>
  </si>
  <si>
    <t>통합인문630</t>
  </si>
  <si>
    <t>350.53</t>
  </si>
  <si>
    <t>통합인문631</t>
  </si>
  <si>
    <t>통합인문632</t>
  </si>
  <si>
    <t>21.15</t>
  </si>
  <si>
    <t>45,896</t>
  </si>
  <si>
    <t>350.52</t>
  </si>
  <si>
    <t>자연802</t>
  </si>
  <si>
    <t>21.16</t>
  </si>
  <si>
    <t>45,917</t>
  </si>
  <si>
    <t>통합인문633</t>
  </si>
  <si>
    <t>통합인문634</t>
  </si>
  <si>
    <t xml:space="preserve">675.9 / </t>
  </si>
  <si>
    <t>통합인문635</t>
  </si>
  <si>
    <t>자연803</t>
  </si>
  <si>
    <t>350.30</t>
  </si>
  <si>
    <t>통합인문636</t>
  </si>
  <si>
    <t>자연804</t>
  </si>
  <si>
    <t>21.31</t>
  </si>
  <si>
    <t>46,243</t>
  </si>
  <si>
    <t>350.29</t>
  </si>
  <si>
    <t>자연805</t>
  </si>
  <si>
    <t>자연806</t>
  </si>
  <si>
    <t>21.34</t>
  </si>
  <si>
    <t>46,308</t>
  </si>
  <si>
    <t>자연807</t>
  </si>
  <si>
    <t>350.24</t>
  </si>
  <si>
    <t>자연808</t>
  </si>
  <si>
    <t>21.35</t>
  </si>
  <si>
    <t>46,330</t>
  </si>
  <si>
    <t>자연809</t>
  </si>
  <si>
    <t>350.20</t>
  </si>
  <si>
    <t>자연810</t>
  </si>
  <si>
    <t>21.39</t>
  </si>
  <si>
    <t>46,416</t>
  </si>
  <si>
    <t>350.17</t>
  </si>
  <si>
    <t>자연811</t>
  </si>
  <si>
    <t>21.42</t>
  </si>
  <si>
    <t>46,481</t>
  </si>
  <si>
    <t xml:space="preserve">674.5 / </t>
  </si>
  <si>
    <t>자연812</t>
  </si>
  <si>
    <t>자연813</t>
  </si>
  <si>
    <t>350.11</t>
  </si>
  <si>
    <t>자연814</t>
  </si>
  <si>
    <t xml:space="preserve">783 / </t>
  </si>
  <si>
    <t>자연815</t>
  </si>
  <si>
    <t>통합인문637</t>
  </si>
  <si>
    <t>자연816</t>
  </si>
  <si>
    <t>21.55</t>
  </si>
  <si>
    <t>46,764</t>
  </si>
  <si>
    <t>통합인문638</t>
  </si>
  <si>
    <t xml:space="preserve">782.5 / </t>
  </si>
  <si>
    <t>자연817</t>
  </si>
  <si>
    <t>21.60</t>
  </si>
  <si>
    <t>46,872</t>
  </si>
  <si>
    <t>349.87</t>
  </si>
  <si>
    <t>자연818</t>
  </si>
  <si>
    <t>21.62</t>
  </si>
  <si>
    <t>46,915</t>
  </si>
  <si>
    <t>349.84</t>
  </si>
  <si>
    <t>자연819</t>
  </si>
  <si>
    <t>자연820</t>
  </si>
  <si>
    <t>자연821</t>
  </si>
  <si>
    <t>21.66</t>
  </si>
  <si>
    <t>47,002</t>
  </si>
  <si>
    <t>통합인문639</t>
  </si>
  <si>
    <t>통합인문640</t>
  </si>
  <si>
    <t>21.67</t>
  </si>
  <si>
    <t>47,024</t>
  </si>
  <si>
    <t>자연822</t>
  </si>
  <si>
    <t>349.74</t>
  </si>
  <si>
    <t xml:space="preserve">848 / </t>
  </si>
  <si>
    <t>자연823</t>
  </si>
  <si>
    <t>21.70</t>
  </si>
  <si>
    <t>47,089</t>
  </si>
  <si>
    <t>자연824</t>
  </si>
  <si>
    <t>자연825</t>
  </si>
  <si>
    <t>자연826</t>
  </si>
  <si>
    <t>349.70</t>
  </si>
  <si>
    <t>통합인문641</t>
  </si>
  <si>
    <t>자연827</t>
  </si>
  <si>
    <t>21.75</t>
  </si>
  <si>
    <t>47,198</t>
  </si>
  <si>
    <t>350.32</t>
  </si>
  <si>
    <t>통합인문642</t>
  </si>
  <si>
    <t>통합인문643</t>
  </si>
  <si>
    <t>21.78</t>
  </si>
  <si>
    <t>47,263</t>
  </si>
  <si>
    <t>349.60</t>
  </si>
  <si>
    <t>자연828</t>
  </si>
  <si>
    <t>통합인문644</t>
  </si>
  <si>
    <t>자연829</t>
  </si>
  <si>
    <t>21.80</t>
  </si>
  <si>
    <t>47,306</t>
  </si>
  <si>
    <t>통합인문645</t>
  </si>
  <si>
    <t>통합인문646</t>
  </si>
  <si>
    <t>349.54</t>
  </si>
  <si>
    <t>346.49</t>
  </si>
  <si>
    <t>자연830</t>
  </si>
  <si>
    <t>21.85</t>
  </si>
  <si>
    <t>47,415</t>
  </si>
  <si>
    <t>자연831</t>
  </si>
  <si>
    <t>통합인문647</t>
  </si>
  <si>
    <t>21.90</t>
  </si>
  <si>
    <t>47,523</t>
  </si>
  <si>
    <t>349.43</t>
  </si>
  <si>
    <t>통합인문648</t>
  </si>
  <si>
    <t>349.41</t>
  </si>
  <si>
    <t>통합인문649</t>
  </si>
  <si>
    <t>350.04</t>
  </si>
  <si>
    <t>통합인문650</t>
  </si>
  <si>
    <t>21.99</t>
  </si>
  <si>
    <t>47,718</t>
  </si>
  <si>
    <t>통합인문651</t>
  </si>
  <si>
    <t>통합인문652</t>
  </si>
  <si>
    <t>349.29</t>
  </si>
  <si>
    <t>통합인문653</t>
  </si>
  <si>
    <t>통합인문654</t>
  </si>
  <si>
    <t>통합인문655</t>
  </si>
  <si>
    <t>22.02</t>
  </si>
  <si>
    <t>47,783</t>
  </si>
  <si>
    <t>346.53</t>
  </si>
  <si>
    <t>통합인문656</t>
  </si>
  <si>
    <t>통합인문657</t>
  </si>
  <si>
    <t>자연832</t>
  </si>
  <si>
    <t>349.23</t>
  </si>
  <si>
    <t>349.91</t>
  </si>
  <si>
    <t>통합인문658</t>
  </si>
  <si>
    <t>349.21</t>
  </si>
  <si>
    <t xml:space="preserve">779 / </t>
  </si>
  <si>
    <t>통합인문659</t>
  </si>
  <si>
    <t>통합인문660</t>
  </si>
  <si>
    <t>자연833</t>
  </si>
  <si>
    <t>통합인문661</t>
  </si>
  <si>
    <t>22.09</t>
  </si>
  <si>
    <t>47,935</t>
  </si>
  <si>
    <t>349.16</t>
  </si>
  <si>
    <t>통합인문662</t>
  </si>
  <si>
    <t>22.12</t>
  </si>
  <si>
    <t>48,000</t>
  </si>
  <si>
    <t>통합인문663</t>
  </si>
  <si>
    <t>자연834</t>
  </si>
  <si>
    <t>349.07</t>
  </si>
  <si>
    <t>자연835</t>
  </si>
  <si>
    <t>22.17</t>
  </si>
  <si>
    <t>48,109</t>
  </si>
  <si>
    <t>자연836</t>
  </si>
  <si>
    <t>통합인문664</t>
  </si>
  <si>
    <t>자연837</t>
  </si>
  <si>
    <t>22.21</t>
  </si>
  <si>
    <t>48,196</t>
  </si>
  <si>
    <t>자연838</t>
  </si>
  <si>
    <t>349.61</t>
  </si>
  <si>
    <t xml:space="preserve">80 / </t>
  </si>
  <si>
    <t>통합인문665</t>
  </si>
  <si>
    <t>통합인문666</t>
  </si>
  <si>
    <t>통합인문667</t>
  </si>
  <si>
    <t xml:space="preserve">777.5 / </t>
  </si>
  <si>
    <t>통합인문668</t>
  </si>
  <si>
    <t>22.27</t>
  </si>
  <si>
    <t>48,326</t>
  </si>
  <si>
    <t>통합인문669</t>
  </si>
  <si>
    <t>22.28</t>
  </si>
  <si>
    <t>48,348</t>
  </si>
  <si>
    <t>통합인문670</t>
  </si>
  <si>
    <t>348.43</t>
  </si>
  <si>
    <t>통합인문671</t>
  </si>
  <si>
    <t>22.33</t>
  </si>
  <si>
    <t>48,456</t>
  </si>
  <si>
    <t>346.06</t>
  </si>
  <si>
    <t>통합인문672</t>
  </si>
  <si>
    <t>통합인문673</t>
  </si>
  <si>
    <t>자연839</t>
  </si>
  <si>
    <t>348.77</t>
  </si>
  <si>
    <t>자연840</t>
  </si>
  <si>
    <t>통합인문674</t>
  </si>
  <si>
    <t>자연841</t>
  </si>
  <si>
    <t>자연842</t>
  </si>
  <si>
    <t>22.43</t>
  </si>
  <si>
    <t>48,673</t>
  </si>
  <si>
    <t>348.22</t>
  </si>
  <si>
    <t>통합인문675</t>
  </si>
  <si>
    <t>348.52</t>
  </si>
  <si>
    <t>345.44</t>
  </si>
  <si>
    <t>자연843</t>
  </si>
  <si>
    <t>통합인문676</t>
  </si>
  <si>
    <t>22.53</t>
  </si>
  <si>
    <t>48,890</t>
  </si>
  <si>
    <t>자연844</t>
  </si>
  <si>
    <t>자연845</t>
  </si>
  <si>
    <t>22.54</t>
  </si>
  <si>
    <t>48,912</t>
  </si>
  <si>
    <t>348.47</t>
  </si>
  <si>
    <t>자연846</t>
  </si>
  <si>
    <t>348.45</t>
  </si>
  <si>
    <t>자연847</t>
  </si>
  <si>
    <t>346.48</t>
  </si>
  <si>
    <t>통합인문677</t>
  </si>
  <si>
    <t>통합인문678</t>
  </si>
  <si>
    <t>348.40</t>
  </si>
  <si>
    <t>통합인문679</t>
  </si>
  <si>
    <t>자연848</t>
  </si>
  <si>
    <t xml:space="preserve">775 / </t>
  </si>
  <si>
    <t>자연849</t>
  </si>
  <si>
    <t>자연850</t>
  </si>
  <si>
    <t>22.60</t>
  </si>
  <si>
    <t>49,042</t>
  </si>
  <si>
    <t>자연851</t>
  </si>
  <si>
    <t>자연852</t>
  </si>
  <si>
    <t>22.61</t>
  </si>
  <si>
    <t>49,064</t>
  </si>
  <si>
    <t>348.35</t>
  </si>
  <si>
    <t>통합인문680</t>
  </si>
  <si>
    <t>통합인문681</t>
  </si>
  <si>
    <t>348.23</t>
  </si>
  <si>
    <t>통합인문682</t>
  </si>
  <si>
    <t xml:space="preserve">820 / </t>
  </si>
  <si>
    <t>통합인문683</t>
  </si>
  <si>
    <t>22.70</t>
  </si>
  <si>
    <t>49,259</t>
  </si>
  <si>
    <t>348.21</t>
  </si>
  <si>
    <t>통합인문684</t>
  </si>
  <si>
    <t>22.71</t>
  </si>
  <si>
    <t>49,281</t>
  </si>
  <si>
    <t>348.18</t>
  </si>
  <si>
    <t>348.89</t>
  </si>
  <si>
    <t>통합인문685</t>
  </si>
  <si>
    <t>348.12</t>
  </si>
  <si>
    <t>자연853</t>
  </si>
  <si>
    <t>22.78</t>
  </si>
  <si>
    <t>49,433</t>
  </si>
  <si>
    <t>348.07</t>
  </si>
  <si>
    <t>자연854</t>
  </si>
  <si>
    <t>348.01</t>
  </si>
  <si>
    <t xml:space="preserve">672.5 / </t>
  </si>
  <si>
    <t>자연855</t>
  </si>
  <si>
    <t>통합인문686</t>
  </si>
  <si>
    <t>22.85</t>
  </si>
  <si>
    <t>49,585</t>
  </si>
  <si>
    <t>자연856</t>
  </si>
  <si>
    <t>통합인문687</t>
  </si>
  <si>
    <t>통합인문688</t>
  </si>
  <si>
    <t>자연857</t>
  </si>
  <si>
    <t>자연858</t>
  </si>
  <si>
    <t>22.87</t>
  </si>
  <si>
    <t>49,628</t>
  </si>
  <si>
    <t>통합인문689</t>
  </si>
  <si>
    <t>22.88</t>
  </si>
  <si>
    <t>49,650</t>
  </si>
  <si>
    <t>347.90</t>
  </si>
  <si>
    <t>통합인문690</t>
  </si>
  <si>
    <t>22.89</t>
  </si>
  <si>
    <t>49,671</t>
  </si>
  <si>
    <t>347.88</t>
  </si>
  <si>
    <t>통합인문691</t>
  </si>
  <si>
    <t>자연859</t>
  </si>
  <si>
    <t>통합인문692</t>
  </si>
  <si>
    <t>23.01</t>
  </si>
  <si>
    <t>49,932</t>
  </si>
  <si>
    <t>자연860</t>
  </si>
  <si>
    <t>23.02</t>
  </si>
  <si>
    <t>49,953</t>
  </si>
  <si>
    <t>347.67</t>
  </si>
  <si>
    <t xml:space="preserve">79.5 / </t>
  </si>
  <si>
    <t>통합인문693</t>
  </si>
  <si>
    <t>347.66</t>
  </si>
  <si>
    <t>자연861</t>
  </si>
  <si>
    <t>347.62</t>
  </si>
  <si>
    <t>통합인문694</t>
  </si>
  <si>
    <t>23.06</t>
  </si>
  <si>
    <t>50,040</t>
  </si>
  <si>
    <t>통합인문695</t>
  </si>
  <si>
    <t xml:space="preserve">171.45 / </t>
  </si>
  <si>
    <t>통합인문696</t>
  </si>
  <si>
    <t>통합인문697</t>
  </si>
  <si>
    <t>23.17</t>
  </si>
  <si>
    <t>50,279</t>
  </si>
  <si>
    <t xml:space="preserve">798 / </t>
  </si>
  <si>
    <t>통합인문698</t>
  </si>
  <si>
    <t xml:space="preserve">770.5 / </t>
  </si>
  <si>
    <t>자연862</t>
  </si>
  <si>
    <t>통합인문699</t>
  </si>
  <si>
    <t>23.21</t>
  </si>
  <si>
    <t>50,366</t>
  </si>
  <si>
    <t>347.35</t>
  </si>
  <si>
    <t>통합인문700</t>
  </si>
  <si>
    <t>347.26</t>
  </si>
  <si>
    <t>자연863</t>
  </si>
  <si>
    <t>자연864</t>
  </si>
  <si>
    <t>23.30</t>
  </si>
  <si>
    <t>50,561</t>
  </si>
  <si>
    <t>통합인문701</t>
  </si>
  <si>
    <t>23.32</t>
  </si>
  <si>
    <t>50,604</t>
  </si>
  <si>
    <t>347.17</t>
  </si>
  <si>
    <t>345.32</t>
  </si>
  <si>
    <t>통합인문702</t>
  </si>
  <si>
    <t>347.87</t>
  </si>
  <si>
    <t xml:space="preserve">769.5 / </t>
  </si>
  <si>
    <t>통합인문703</t>
  </si>
  <si>
    <t>통합인문704</t>
  </si>
  <si>
    <t>자연865</t>
  </si>
  <si>
    <t>23.35</t>
  </si>
  <si>
    <t>50,670</t>
  </si>
  <si>
    <t xml:space="preserve">667.08 / </t>
  </si>
  <si>
    <t>자연866</t>
  </si>
  <si>
    <t>통합인문705</t>
  </si>
  <si>
    <t>23.43</t>
  </si>
  <si>
    <t>50,843</t>
  </si>
  <si>
    <t>자연867</t>
  </si>
  <si>
    <t>통합인문706</t>
  </si>
  <si>
    <t>자연868</t>
  </si>
  <si>
    <t>346.95</t>
  </si>
  <si>
    <t>자연869</t>
  </si>
  <si>
    <t>자연870</t>
  </si>
  <si>
    <t>23.47</t>
  </si>
  <si>
    <t>50,930</t>
  </si>
  <si>
    <t xml:space="preserve">171.67 / </t>
  </si>
  <si>
    <t>자연871</t>
  </si>
  <si>
    <t>23.48</t>
  </si>
  <si>
    <t>50,952</t>
  </si>
  <si>
    <t xml:space="preserve">79.2 / </t>
  </si>
  <si>
    <t>통합인문707</t>
  </si>
  <si>
    <t>346.90</t>
  </si>
  <si>
    <t>347.63</t>
  </si>
  <si>
    <t>통합인문708</t>
  </si>
  <si>
    <t>자연872</t>
  </si>
  <si>
    <t>346.85</t>
  </si>
  <si>
    <t>자연873</t>
  </si>
  <si>
    <t>347.55</t>
  </si>
  <si>
    <t xml:space="preserve">768 / </t>
  </si>
  <si>
    <t>통합인문709</t>
  </si>
  <si>
    <t xml:space="preserve">686.75 / </t>
  </si>
  <si>
    <t>자연874</t>
  </si>
  <si>
    <t>347.52</t>
  </si>
  <si>
    <t>통합인문710</t>
  </si>
  <si>
    <t>통합인문711</t>
  </si>
  <si>
    <t xml:space="preserve"> 미/기10%</t>
  </si>
  <si>
    <t>자연875</t>
  </si>
  <si>
    <t>자연876</t>
  </si>
  <si>
    <t>자연877</t>
  </si>
  <si>
    <t>자연878</t>
  </si>
  <si>
    <t>23.65</t>
  </si>
  <si>
    <t>51,321</t>
  </si>
  <si>
    <t>통합인문712</t>
  </si>
  <si>
    <t>346.63</t>
  </si>
  <si>
    <t>통합인문713</t>
  </si>
  <si>
    <t>346.59</t>
  </si>
  <si>
    <t>통합인문714</t>
  </si>
  <si>
    <t>347.33</t>
  </si>
  <si>
    <t>통합인문715</t>
  </si>
  <si>
    <t>통합인문716</t>
  </si>
  <si>
    <t>346.56</t>
  </si>
  <si>
    <t>통합인문717</t>
  </si>
  <si>
    <t>23.74</t>
  </si>
  <si>
    <t>51,516</t>
  </si>
  <si>
    <t>344.65</t>
  </si>
  <si>
    <t xml:space="preserve">814 / </t>
  </si>
  <si>
    <t>통합인문718</t>
  </si>
  <si>
    <t>23.77</t>
  </si>
  <si>
    <t>51,581</t>
  </si>
  <si>
    <t>346.45</t>
  </si>
  <si>
    <t>자연879</t>
  </si>
  <si>
    <t>23.78</t>
  </si>
  <si>
    <t>51,603</t>
  </si>
  <si>
    <t>343.91</t>
  </si>
  <si>
    <t>통합인문719</t>
  </si>
  <si>
    <t>통합인문720</t>
  </si>
  <si>
    <t>346.41</t>
  </si>
  <si>
    <t xml:space="preserve">171.4 / </t>
  </si>
  <si>
    <t>자연880</t>
  </si>
  <si>
    <t>자연881</t>
  </si>
  <si>
    <t>통합인문721</t>
  </si>
  <si>
    <t>346.34</t>
  </si>
  <si>
    <t>자연882</t>
  </si>
  <si>
    <t>자연883</t>
  </si>
  <si>
    <t>자연884</t>
  </si>
  <si>
    <t>통합인문722</t>
  </si>
  <si>
    <t>23.91</t>
  </si>
  <si>
    <t>51,885</t>
  </si>
  <si>
    <t>통합인문723</t>
  </si>
  <si>
    <t>자연885</t>
  </si>
  <si>
    <t>자연886</t>
  </si>
  <si>
    <t>통합인문724</t>
  </si>
  <si>
    <t>24.01</t>
  </si>
  <si>
    <t>52,102</t>
  </si>
  <si>
    <t>자연887</t>
  </si>
  <si>
    <t>346.05</t>
  </si>
  <si>
    <t>자연888</t>
  </si>
  <si>
    <t>자연889</t>
  </si>
  <si>
    <t>자연890</t>
  </si>
  <si>
    <t>자연891</t>
  </si>
  <si>
    <t>통합인문725</t>
  </si>
  <si>
    <t>24.09</t>
  </si>
  <si>
    <t>52,275</t>
  </si>
  <si>
    <t>통합인문726</t>
  </si>
  <si>
    <t>통합인문727</t>
  </si>
  <si>
    <t>24.14</t>
  </si>
  <si>
    <t>52,384</t>
  </si>
  <si>
    <t>통합인문728</t>
  </si>
  <si>
    <t>자연892</t>
  </si>
  <si>
    <t>자연893</t>
  </si>
  <si>
    <t>자연894</t>
  </si>
  <si>
    <t>통합인문729</t>
  </si>
  <si>
    <t>자연895</t>
  </si>
  <si>
    <t>자연896</t>
  </si>
  <si>
    <t>345.74</t>
  </si>
  <si>
    <t>자연897</t>
  </si>
  <si>
    <t>통합인문730</t>
  </si>
  <si>
    <t>345.71</t>
  </si>
  <si>
    <t>자연898</t>
  </si>
  <si>
    <t>342.74</t>
  </si>
  <si>
    <t>자연899</t>
  </si>
  <si>
    <t>345.69</t>
  </si>
  <si>
    <t>통합인문731</t>
  </si>
  <si>
    <t>24.32</t>
  </si>
  <si>
    <t>52,774</t>
  </si>
  <si>
    <t>통합인문732</t>
  </si>
  <si>
    <t>24.36</t>
  </si>
  <si>
    <t>52,861</t>
  </si>
  <si>
    <t>342.64</t>
  </si>
  <si>
    <t>자연900</t>
  </si>
  <si>
    <t>345.59</t>
  </si>
  <si>
    <t>자연901</t>
  </si>
  <si>
    <t>통합인문733</t>
  </si>
  <si>
    <t>자연902</t>
  </si>
  <si>
    <t>자연903</t>
  </si>
  <si>
    <t>자연904</t>
  </si>
  <si>
    <t>342.45</t>
  </si>
  <si>
    <t>자연905</t>
  </si>
  <si>
    <t>통합인문734</t>
  </si>
  <si>
    <t>346.08</t>
  </si>
  <si>
    <t>통합인문735</t>
  </si>
  <si>
    <t>345.31</t>
  </si>
  <si>
    <t>통합인문736</t>
  </si>
  <si>
    <t>자연906</t>
  </si>
  <si>
    <t>24.59</t>
  </si>
  <si>
    <t>53,360</t>
  </si>
  <si>
    <t>343.51</t>
  </si>
  <si>
    <t>통합인문737</t>
  </si>
  <si>
    <t>자연907</t>
  </si>
  <si>
    <t>345.24</t>
  </si>
  <si>
    <t>자연908</t>
  </si>
  <si>
    <t>345.16</t>
  </si>
  <si>
    <t>통합인문738</t>
  </si>
  <si>
    <t>343.29</t>
  </si>
  <si>
    <t>통합인문739</t>
  </si>
  <si>
    <t>24.77</t>
  </si>
  <si>
    <t>53,751</t>
  </si>
  <si>
    <t>통합인문740</t>
  </si>
  <si>
    <t>345.04</t>
  </si>
  <si>
    <t>자연909</t>
  </si>
  <si>
    <t>통합인문741</t>
  </si>
  <si>
    <t>통합인문742</t>
  </si>
  <si>
    <t>24.90</t>
  </si>
  <si>
    <t>54,033</t>
  </si>
  <si>
    <t>통합인문743</t>
  </si>
  <si>
    <t>통합인문744</t>
  </si>
  <si>
    <t>자연910</t>
  </si>
  <si>
    <t>자연911</t>
  </si>
  <si>
    <t>통합인문745</t>
  </si>
  <si>
    <t>25.06</t>
  </si>
  <si>
    <t>54,380</t>
  </si>
  <si>
    <t>통합인문746</t>
  </si>
  <si>
    <t>통합인문747</t>
  </si>
  <si>
    <t>자연912</t>
  </si>
  <si>
    <t>345.26</t>
  </si>
  <si>
    <t>342.60</t>
  </si>
  <si>
    <t xml:space="preserve">806 / </t>
  </si>
  <si>
    <t>통합인문748</t>
  </si>
  <si>
    <t>통합인문749</t>
  </si>
  <si>
    <t>자연913</t>
  </si>
  <si>
    <t>자연914</t>
  </si>
  <si>
    <t xml:space="preserve"> 사탐10%가산</t>
  </si>
  <si>
    <t>통합인문750</t>
  </si>
  <si>
    <t>자연915</t>
  </si>
  <si>
    <t>통합인문751</t>
  </si>
  <si>
    <t>25.42</t>
  </si>
  <si>
    <t>55,161</t>
  </si>
  <si>
    <t>344.14</t>
  </si>
  <si>
    <t>통합인문752</t>
  </si>
  <si>
    <t>통합인문753</t>
  </si>
  <si>
    <t>340.93</t>
  </si>
  <si>
    <t>자연916</t>
  </si>
  <si>
    <t>341.33</t>
  </si>
  <si>
    <t xml:space="preserve">169.74 / </t>
  </si>
  <si>
    <t>통합인문754</t>
  </si>
  <si>
    <t>25.55</t>
  </si>
  <si>
    <t>55,444</t>
  </si>
  <si>
    <t>통합인문755</t>
  </si>
  <si>
    <t>자연917</t>
  </si>
  <si>
    <t>통합인문756</t>
  </si>
  <si>
    <t>자연918</t>
  </si>
  <si>
    <t>25.60</t>
  </si>
  <si>
    <t>55,552</t>
  </si>
  <si>
    <t>343.88</t>
  </si>
  <si>
    <t>자연919</t>
  </si>
  <si>
    <t>자연920</t>
  </si>
  <si>
    <t xml:space="preserve">170.04 / </t>
  </si>
  <si>
    <t>자연921</t>
  </si>
  <si>
    <t>25.75</t>
  </si>
  <si>
    <t>55,878</t>
  </si>
  <si>
    <t>자연922</t>
  </si>
  <si>
    <t>343.65</t>
  </si>
  <si>
    <t>340.53</t>
  </si>
  <si>
    <t>자연923</t>
  </si>
  <si>
    <t>25.80</t>
  </si>
  <si>
    <t>55,986</t>
  </si>
  <si>
    <t>343.60</t>
  </si>
  <si>
    <t>통합인문757</t>
  </si>
  <si>
    <t>자연924</t>
  </si>
  <si>
    <t>자연925</t>
  </si>
  <si>
    <t>25.88</t>
  </si>
  <si>
    <t>56,160</t>
  </si>
  <si>
    <t>343.48</t>
  </si>
  <si>
    <t>자연926</t>
  </si>
  <si>
    <t>자연927</t>
  </si>
  <si>
    <t>343.46</t>
  </si>
  <si>
    <t>통합인문758</t>
  </si>
  <si>
    <t>25.91</t>
  </si>
  <si>
    <t>56,225</t>
  </si>
  <si>
    <t>343.44</t>
  </si>
  <si>
    <t>자연928</t>
  </si>
  <si>
    <t>통합인문759</t>
  </si>
  <si>
    <t>자연929</t>
  </si>
  <si>
    <t>340.22</t>
  </si>
  <si>
    <t>자연930</t>
  </si>
  <si>
    <t>자연931</t>
  </si>
  <si>
    <t>26.02</t>
  </si>
  <si>
    <t>56,463</t>
  </si>
  <si>
    <t>통합인문760</t>
  </si>
  <si>
    <t>343.27</t>
  </si>
  <si>
    <t>344.06</t>
  </si>
  <si>
    <t>통합인문761</t>
  </si>
  <si>
    <t>통합인문762</t>
  </si>
  <si>
    <t>통합인문763</t>
  </si>
  <si>
    <t>343.17</t>
  </si>
  <si>
    <t xml:space="preserve">169.78 / </t>
  </si>
  <si>
    <t>자연932</t>
  </si>
  <si>
    <t xml:space="preserve">666 / </t>
  </si>
  <si>
    <t>자연933</t>
  </si>
  <si>
    <t>343.15</t>
  </si>
  <si>
    <t>통합인문764</t>
  </si>
  <si>
    <t>343.82</t>
  </si>
  <si>
    <t>통합인문765</t>
  </si>
  <si>
    <t>26.23</t>
  </si>
  <si>
    <t>56,919</t>
  </si>
  <si>
    <t>343.81</t>
  </si>
  <si>
    <t>통합인문766</t>
  </si>
  <si>
    <t>자연934</t>
  </si>
  <si>
    <t>343.01</t>
  </si>
  <si>
    <t>341.04</t>
  </si>
  <si>
    <t>통합인문767</t>
  </si>
  <si>
    <t>340.18</t>
  </si>
  <si>
    <t>통합인문768</t>
  </si>
  <si>
    <t>자연935</t>
  </si>
  <si>
    <t>339.37</t>
  </si>
  <si>
    <t>통합인문769</t>
  </si>
  <si>
    <t>자연936</t>
  </si>
  <si>
    <t>자연937</t>
  </si>
  <si>
    <t>26.34</t>
  </si>
  <si>
    <t>57,158</t>
  </si>
  <si>
    <t>자연938</t>
  </si>
  <si>
    <t>자연939</t>
  </si>
  <si>
    <t>자연940</t>
  </si>
  <si>
    <t>자연941</t>
  </si>
  <si>
    <t>자연942</t>
  </si>
  <si>
    <t>자연943</t>
  </si>
  <si>
    <t>통합인문770</t>
  </si>
  <si>
    <t>342.61</t>
  </si>
  <si>
    <t>자연944</t>
  </si>
  <si>
    <t>자연945</t>
  </si>
  <si>
    <t>자연946</t>
  </si>
  <si>
    <t>통합인문771</t>
  </si>
  <si>
    <t>342.53</t>
  </si>
  <si>
    <t>자연947</t>
  </si>
  <si>
    <t>26.66</t>
  </si>
  <si>
    <t>57,852</t>
  </si>
  <si>
    <t>자연948</t>
  </si>
  <si>
    <t>자연949</t>
  </si>
  <si>
    <t>26.68</t>
  </si>
  <si>
    <t>57,896</t>
  </si>
  <si>
    <t>자연950</t>
  </si>
  <si>
    <t>343.22</t>
  </si>
  <si>
    <t>자연951</t>
  </si>
  <si>
    <t>자연952</t>
  </si>
  <si>
    <t>자연953</t>
  </si>
  <si>
    <t>통합인문772</t>
  </si>
  <si>
    <t>자연954</t>
  </si>
  <si>
    <t>자연955</t>
  </si>
  <si>
    <t>통합인문773</t>
  </si>
  <si>
    <t>339.01</t>
  </si>
  <si>
    <t>자연956</t>
  </si>
  <si>
    <t>자연957</t>
  </si>
  <si>
    <t>자연958</t>
  </si>
  <si>
    <t>자연959</t>
  </si>
  <si>
    <t>342.16</t>
  </si>
  <si>
    <t>통합인문774</t>
  </si>
  <si>
    <t>통합인문775</t>
  </si>
  <si>
    <t>342.13</t>
  </si>
  <si>
    <t>통합인문776</t>
  </si>
  <si>
    <t>341.95</t>
  </si>
  <si>
    <t>341.25</t>
  </si>
  <si>
    <t>338.32</t>
  </si>
  <si>
    <t>통합인문777</t>
  </si>
  <si>
    <t>자연960</t>
  </si>
  <si>
    <t>27.14</t>
  </si>
  <si>
    <t>58,894</t>
  </si>
  <si>
    <t>341.86</t>
  </si>
  <si>
    <t>통합인문778</t>
  </si>
  <si>
    <t>통합인문779</t>
  </si>
  <si>
    <t>27.16</t>
  </si>
  <si>
    <t>58,937</t>
  </si>
  <si>
    <t>자연961</t>
  </si>
  <si>
    <t>341.77</t>
  </si>
  <si>
    <t>통합인문780</t>
  </si>
  <si>
    <t>통합인문781</t>
  </si>
  <si>
    <t>27.22</t>
  </si>
  <si>
    <t>59,067</t>
  </si>
  <si>
    <t>341.76</t>
  </si>
  <si>
    <t>자연962</t>
  </si>
  <si>
    <t>자연963</t>
  </si>
  <si>
    <t>자연964</t>
  </si>
  <si>
    <t>자연965</t>
  </si>
  <si>
    <t>자연966</t>
  </si>
  <si>
    <t>자연967</t>
  </si>
  <si>
    <t>340.83</t>
  </si>
  <si>
    <t>통합인문782</t>
  </si>
  <si>
    <t>341.57</t>
  </si>
  <si>
    <t>자연968</t>
  </si>
  <si>
    <t>자연969</t>
  </si>
  <si>
    <t>자연970</t>
  </si>
  <si>
    <t>통합인문783</t>
  </si>
  <si>
    <t>27.44</t>
  </si>
  <si>
    <t>59,545</t>
  </si>
  <si>
    <t>341.49</t>
  </si>
  <si>
    <t>통합인문784</t>
  </si>
  <si>
    <t>자연971</t>
  </si>
  <si>
    <t>자연972</t>
  </si>
  <si>
    <t>통합인문785</t>
  </si>
  <si>
    <t>통합인문786</t>
  </si>
  <si>
    <t>27.61</t>
  </si>
  <si>
    <t>59,914</t>
  </si>
  <si>
    <t>340.51</t>
  </si>
  <si>
    <t>통합인문787</t>
  </si>
  <si>
    <t>338.06</t>
  </si>
  <si>
    <t>자연973</t>
  </si>
  <si>
    <t>자연974</t>
  </si>
  <si>
    <t>341.98</t>
  </si>
  <si>
    <t>통합인문788</t>
  </si>
  <si>
    <t>자연975</t>
  </si>
  <si>
    <t>자연976</t>
  </si>
  <si>
    <t>자연977</t>
  </si>
  <si>
    <t>341.16</t>
  </si>
  <si>
    <t>자연978</t>
  </si>
  <si>
    <t>자연979</t>
  </si>
  <si>
    <t>통합인문789</t>
  </si>
  <si>
    <t>27.82</t>
  </si>
  <si>
    <t>60,369</t>
  </si>
  <si>
    <t>통합인문790</t>
  </si>
  <si>
    <t>자연980</t>
  </si>
  <si>
    <t>자연981</t>
  </si>
  <si>
    <t>자연982</t>
  </si>
  <si>
    <t>자연983</t>
  </si>
  <si>
    <t>340.86</t>
  </si>
  <si>
    <t>자연984</t>
  </si>
  <si>
    <t>자연985</t>
  </si>
  <si>
    <t>337.47</t>
  </si>
  <si>
    <t>자연986</t>
  </si>
  <si>
    <t>자연987</t>
  </si>
  <si>
    <t xml:space="preserve">735.5 / </t>
  </si>
  <si>
    <t>자연988</t>
  </si>
  <si>
    <t>자연989</t>
  </si>
  <si>
    <t>28.28</t>
  </si>
  <si>
    <t>61,368</t>
  </si>
  <si>
    <t>340.46</t>
  </si>
  <si>
    <t>자연990</t>
  </si>
  <si>
    <t>자연991</t>
  </si>
  <si>
    <t>340.42</t>
  </si>
  <si>
    <t>341.19</t>
  </si>
  <si>
    <t xml:space="preserve">400.75 / </t>
  </si>
  <si>
    <t>통합인문791</t>
  </si>
  <si>
    <t>자연992</t>
  </si>
  <si>
    <t>자연993</t>
  </si>
  <si>
    <t>340.31</t>
  </si>
  <si>
    <t>통합인문792</t>
  </si>
  <si>
    <t>340.26</t>
  </si>
  <si>
    <t>자연994</t>
  </si>
  <si>
    <t>통합인문793</t>
  </si>
  <si>
    <t>자연995</t>
  </si>
  <si>
    <t>통합인문794</t>
  </si>
  <si>
    <t>28.51</t>
  </si>
  <si>
    <t>61,867</t>
  </si>
  <si>
    <t>통합인문795</t>
  </si>
  <si>
    <t>337.17</t>
  </si>
  <si>
    <t>통합인문796</t>
  </si>
  <si>
    <t>339.95</t>
  </si>
  <si>
    <t>339.17</t>
  </si>
  <si>
    <t>통합인문797</t>
  </si>
  <si>
    <t>자연996</t>
  </si>
  <si>
    <t>339.73</t>
  </si>
  <si>
    <t>통합인문798</t>
  </si>
  <si>
    <t>339.71</t>
  </si>
  <si>
    <t>340.47</t>
  </si>
  <si>
    <t>337.46</t>
  </si>
  <si>
    <t>통합인문799</t>
  </si>
  <si>
    <t>자연997</t>
  </si>
  <si>
    <t>28.96</t>
  </si>
  <si>
    <t>62,843</t>
  </si>
  <si>
    <t>339.58</t>
  </si>
  <si>
    <t>통합인문800</t>
  </si>
  <si>
    <t>자연998</t>
  </si>
  <si>
    <t>자연999</t>
  </si>
  <si>
    <t>통합인문801</t>
  </si>
  <si>
    <t>28.99</t>
  </si>
  <si>
    <t>62,908</t>
  </si>
  <si>
    <t>통합인문802</t>
  </si>
  <si>
    <t>통합인문803</t>
  </si>
  <si>
    <t>통합인문804</t>
  </si>
  <si>
    <t>통합인문805</t>
  </si>
  <si>
    <t>통합인문806</t>
  </si>
  <si>
    <t>자연1000</t>
  </si>
  <si>
    <t xml:space="preserve">961.45 / </t>
  </si>
  <si>
    <t>자연1001</t>
  </si>
  <si>
    <t>339.26</t>
  </si>
  <si>
    <t>자연1002</t>
  </si>
  <si>
    <t>29.21</t>
  </si>
  <si>
    <t>63,386</t>
  </si>
  <si>
    <t>339.21</t>
  </si>
  <si>
    <t>자연1003</t>
  </si>
  <si>
    <t>자연1004</t>
  </si>
  <si>
    <t>자연1005</t>
  </si>
  <si>
    <t>자연1006</t>
  </si>
  <si>
    <t>통합인문807</t>
  </si>
  <si>
    <t>339.05</t>
  </si>
  <si>
    <t>통합인문808</t>
  </si>
  <si>
    <t>통합인문809</t>
  </si>
  <si>
    <t>자연1007</t>
  </si>
  <si>
    <t>통합인문810</t>
  </si>
  <si>
    <t>338.92</t>
  </si>
  <si>
    <t>335.71</t>
  </si>
  <si>
    <t>자연1008</t>
  </si>
  <si>
    <t>29.47</t>
  </si>
  <si>
    <t>63,950</t>
  </si>
  <si>
    <t>338.84</t>
  </si>
  <si>
    <t>자연1009</t>
  </si>
  <si>
    <t>자연1010</t>
  </si>
  <si>
    <t>통합인문811</t>
  </si>
  <si>
    <t>자연1011</t>
  </si>
  <si>
    <t>339.45</t>
  </si>
  <si>
    <t>통합인문812</t>
  </si>
  <si>
    <t>338.64</t>
  </si>
  <si>
    <t>69.79</t>
  </si>
  <si>
    <t>통합인문813</t>
  </si>
  <si>
    <t>자연1012</t>
  </si>
  <si>
    <t>통합인문814</t>
  </si>
  <si>
    <t>337.72</t>
  </si>
  <si>
    <t>통합인문815</t>
  </si>
  <si>
    <t>29.67</t>
  </si>
  <si>
    <t>64,384</t>
  </si>
  <si>
    <t>338.55</t>
  </si>
  <si>
    <t>자연1013</t>
  </si>
  <si>
    <t>자연1014</t>
  </si>
  <si>
    <t>29.71</t>
  </si>
  <si>
    <t>64,471</t>
  </si>
  <si>
    <t>자연1015</t>
  </si>
  <si>
    <t>29.80</t>
  </si>
  <si>
    <t>64,666</t>
  </si>
  <si>
    <t>통합인문816</t>
  </si>
  <si>
    <t>자연1016</t>
  </si>
  <si>
    <t>335.13</t>
  </si>
  <si>
    <t>자연1017</t>
  </si>
  <si>
    <t>통합인문817</t>
  </si>
  <si>
    <t xml:space="preserve">396.55 / </t>
  </si>
  <si>
    <t>통합인문818</t>
  </si>
  <si>
    <t>자연1018</t>
  </si>
  <si>
    <t>338.13</t>
  </si>
  <si>
    <t>자연1019</t>
  </si>
  <si>
    <t>338.11</t>
  </si>
  <si>
    <t>자연1020</t>
  </si>
  <si>
    <t>통합인문819</t>
  </si>
  <si>
    <t>338.05</t>
  </si>
  <si>
    <t>자연1021</t>
  </si>
  <si>
    <t>337.95</t>
  </si>
  <si>
    <t>338.69</t>
  </si>
  <si>
    <t>통합인문820</t>
  </si>
  <si>
    <t>통합인문821</t>
  </si>
  <si>
    <t>통합인문822</t>
  </si>
  <si>
    <t>자연1022</t>
  </si>
  <si>
    <t>30.15</t>
  </si>
  <si>
    <t>65,426</t>
  </si>
  <si>
    <t>69.41</t>
  </si>
  <si>
    <t>337.83</t>
  </si>
  <si>
    <t>자연1023</t>
  </si>
  <si>
    <t xml:space="preserve">395.7 / </t>
  </si>
  <si>
    <t>통합인문823</t>
  </si>
  <si>
    <t>통합인문824</t>
  </si>
  <si>
    <t>통합인문825</t>
  </si>
  <si>
    <t>자연1024</t>
  </si>
  <si>
    <t>337.65</t>
  </si>
  <si>
    <t>통합인문826</t>
  </si>
  <si>
    <t>통합인문827</t>
  </si>
  <si>
    <t>337.55</t>
  </si>
  <si>
    <t>자연1025</t>
  </si>
  <si>
    <t>30.35</t>
  </si>
  <si>
    <t>65,860</t>
  </si>
  <si>
    <t>자연1026</t>
  </si>
  <si>
    <t>자연1027</t>
  </si>
  <si>
    <t>자연1028</t>
  </si>
  <si>
    <t>30.41</t>
  </si>
  <si>
    <t>65,990</t>
  </si>
  <si>
    <t>자연1029</t>
  </si>
  <si>
    <t>337.40</t>
  </si>
  <si>
    <t>자연1030</t>
  </si>
  <si>
    <t>69.12</t>
  </si>
  <si>
    <t>자연1031</t>
  </si>
  <si>
    <t>68.71</t>
  </si>
  <si>
    <t>통합인문828</t>
  </si>
  <si>
    <t>통합인문829</t>
  </si>
  <si>
    <t>자연1032</t>
  </si>
  <si>
    <t>자연1033</t>
  </si>
  <si>
    <t>자연1034</t>
  </si>
  <si>
    <t>30.66</t>
  </si>
  <si>
    <t>66,532</t>
  </si>
  <si>
    <t>자연1035</t>
  </si>
  <si>
    <t>통합인문830</t>
  </si>
  <si>
    <t>30.68</t>
  </si>
  <si>
    <t>66,576</t>
  </si>
  <si>
    <t>통합인문831</t>
  </si>
  <si>
    <t>337.08</t>
  </si>
  <si>
    <t>337.82</t>
  </si>
  <si>
    <t>통합인문832</t>
  </si>
  <si>
    <t>336.16</t>
  </si>
  <si>
    <t>통합인문833</t>
  </si>
  <si>
    <t>통합인문834</t>
  </si>
  <si>
    <t>68.90</t>
  </si>
  <si>
    <t>336.90</t>
  </si>
  <si>
    <t>자연1036</t>
  </si>
  <si>
    <t>30.92</t>
  </si>
  <si>
    <t>67,096</t>
  </si>
  <si>
    <t>336.81</t>
  </si>
  <si>
    <t xml:space="preserve">657.5 / </t>
  </si>
  <si>
    <t>자연1037</t>
  </si>
  <si>
    <t>통합인문835</t>
  </si>
  <si>
    <t>자연1038</t>
  </si>
  <si>
    <t>67.90</t>
  </si>
  <si>
    <t>통합인문836</t>
  </si>
  <si>
    <t>31.02</t>
  </si>
  <si>
    <t>67,313</t>
  </si>
  <si>
    <t>337.41</t>
  </si>
  <si>
    <t>통합인문837</t>
  </si>
  <si>
    <t>336.60</t>
  </si>
  <si>
    <t>자연1039</t>
  </si>
  <si>
    <t>336.49</t>
  </si>
  <si>
    <t>자연1040</t>
  </si>
  <si>
    <t>통합인문838</t>
  </si>
  <si>
    <t>31.30</t>
  </si>
  <si>
    <t>67,921</t>
  </si>
  <si>
    <t>통합인문839</t>
  </si>
  <si>
    <t>통합인문840</t>
  </si>
  <si>
    <t>336.28</t>
  </si>
  <si>
    <t>자연1041</t>
  </si>
  <si>
    <t>336.98</t>
  </si>
  <si>
    <t>통합인문841</t>
  </si>
  <si>
    <t>자연1042</t>
  </si>
  <si>
    <t>자연1043</t>
  </si>
  <si>
    <t>자연1044</t>
  </si>
  <si>
    <t>31.45</t>
  </si>
  <si>
    <t>68,247</t>
  </si>
  <si>
    <t>자연1045</t>
  </si>
  <si>
    <t>통합인문842</t>
  </si>
  <si>
    <t>67.50</t>
  </si>
  <si>
    <t>통합인문843</t>
  </si>
  <si>
    <t>통합인문844</t>
  </si>
  <si>
    <t>31.55</t>
  </si>
  <si>
    <t>68,464</t>
  </si>
  <si>
    <t>335.99</t>
  </si>
  <si>
    <t>자연1046</t>
  </si>
  <si>
    <t>자연1047</t>
  </si>
  <si>
    <t>31.77</t>
  </si>
  <si>
    <t>68,941</t>
  </si>
  <si>
    <t>자연1048</t>
  </si>
  <si>
    <t>자연1049</t>
  </si>
  <si>
    <t>332.80</t>
  </si>
  <si>
    <t>통합인문845</t>
  </si>
  <si>
    <t>자연1050</t>
  </si>
  <si>
    <t>335.47</t>
  </si>
  <si>
    <t>자연1051</t>
  </si>
  <si>
    <t>통합인문846</t>
  </si>
  <si>
    <t>335.43</t>
  </si>
  <si>
    <t>자연1052</t>
  </si>
  <si>
    <t>335.35</t>
  </si>
  <si>
    <t>자연1053</t>
  </si>
  <si>
    <t>335.30</t>
  </si>
  <si>
    <t>자연1054</t>
  </si>
  <si>
    <t>335.22</t>
  </si>
  <si>
    <t xml:space="preserve">784.5 / </t>
  </si>
  <si>
    <t>자연1055</t>
  </si>
  <si>
    <t>32.22</t>
  </si>
  <si>
    <t>69,917</t>
  </si>
  <si>
    <t>통합인문847</t>
  </si>
  <si>
    <t>32.23</t>
  </si>
  <si>
    <t>69,939</t>
  </si>
  <si>
    <t>통합인문848</t>
  </si>
  <si>
    <t>통합인문849</t>
  </si>
  <si>
    <t>자연1056</t>
  </si>
  <si>
    <t>자연1057</t>
  </si>
  <si>
    <t>통합인문850</t>
  </si>
  <si>
    <t>331.84</t>
  </si>
  <si>
    <t>자연1058</t>
  </si>
  <si>
    <t>32.40</t>
  </si>
  <si>
    <t>70,308</t>
  </si>
  <si>
    <t>67.80</t>
  </si>
  <si>
    <t>335.63</t>
  </si>
  <si>
    <t>통합인문851</t>
  </si>
  <si>
    <t>통합인문852</t>
  </si>
  <si>
    <t>통합인문853</t>
  </si>
  <si>
    <t>334.86</t>
  </si>
  <si>
    <t>통합인문854</t>
  </si>
  <si>
    <t>자연1059</t>
  </si>
  <si>
    <t>통합인문855</t>
  </si>
  <si>
    <t>32.62</t>
  </si>
  <si>
    <t>70,785</t>
  </si>
  <si>
    <t>통합인문856</t>
  </si>
  <si>
    <t>334.50</t>
  </si>
  <si>
    <t>자연1060</t>
  </si>
  <si>
    <t>32.78</t>
  </si>
  <si>
    <t>71,133</t>
  </si>
  <si>
    <t>67.53</t>
  </si>
  <si>
    <t>자연1061</t>
  </si>
  <si>
    <t>32.83</t>
  </si>
  <si>
    <t>71,241</t>
  </si>
  <si>
    <t>자연1062</t>
  </si>
  <si>
    <t>통합인문857</t>
  </si>
  <si>
    <t>통합인문858</t>
  </si>
  <si>
    <t>32.94</t>
  </si>
  <si>
    <t>71,480</t>
  </si>
  <si>
    <t>통합인문859</t>
  </si>
  <si>
    <t>32.95</t>
  </si>
  <si>
    <t>71,502</t>
  </si>
  <si>
    <t>자연1063</t>
  </si>
  <si>
    <t>자연1064</t>
  </si>
  <si>
    <t>334.16</t>
  </si>
  <si>
    <t>자연1065</t>
  </si>
  <si>
    <t>통합인문860</t>
  </si>
  <si>
    <t>자연1066</t>
  </si>
  <si>
    <t>자연1067</t>
  </si>
  <si>
    <t>33.16</t>
  </si>
  <si>
    <t>71,957</t>
  </si>
  <si>
    <t>67.27</t>
  </si>
  <si>
    <t>334.71</t>
  </si>
  <si>
    <t>통합인문861</t>
  </si>
  <si>
    <t>통합인문862</t>
  </si>
  <si>
    <t>67.23</t>
  </si>
  <si>
    <t>자연1068</t>
  </si>
  <si>
    <t>자연1069</t>
  </si>
  <si>
    <t>33.50</t>
  </si>
  <si>
    <t>72,695</t>
  </si>
  <si>
    <t>자연1070</t>
  </si>
  <si>
    <t>자연1071</t>
  </si>
  <si>
    <t>자연1072</t>
  </si>
  <si>
    <t>자연1073</t>
  </si>
  <si>
    <t>자연1074</t>
  </si>
  <si>
    <t>자연1075</t>
  </si>
  <si>
    <t>자연1076</t>
  </si>
  <si>
    <t>자연1077</t>
  </si>
  <si>
    <t xml:space="preserve">781.1 / </t>
  </si>
  <si>
    <t>자연1078</t>
  </si>
  <si>
    <t>자연1079</t>
  </si>
  <si>
    <t>통합인문863</t>
  </si>
  <si>
    <t>통합인문864</t>
  </si>
  <si>
    <t xml:space="preserve">651.4 / </t>
  </si>
  <si>
    <t>통합인문865</t>
  </si>
  <si>
    <t>통합인문866</t>
  </si>
  <si>
    <t>34.10</t>
  </si>
  <si>
    <t>73,997</t>
  </si>
  <si>
    <t>통합인문867</t>
  </si>
  <si>
    <t>329.39</t>
  </si>
  <si>
    <t>자연1080</t>
  </si>
  <si>
    <t>332.67</t>
  </si>
  <si>
    <t>자연1081</t>
  </si>
  <si>
    <t xml:space="preserve">650.8 / </t>
  </si>
  <si>
    <t>통합인문868</t>
  </si>
  <si>
    <t>34.46</t>
  </si>
  <si>
    <t>74,778</t>
  </si>
  <si>
    <t>통합인문869</t>
  </si>
  <si>
    <t>332.47</t>
  </si>
  <si>
    <t>자연1082</t>
  </si>
  <si>
    <t xml:space="preserve">650.6 / </t>
  </si>
  <si>
    <t>통합인문870</t>
  </si>
  <si>
    <t>자연1083</t>
  </si>
  <si>
    <t>자연1084</t>
  </si>
  <si>
    <t>자연1085</t>
  </si>
  <si>
    <t xml:space="preserve">650.3 / </t>
  </si>
  <si>
    <t>통합인문871</t>
  </si>
  <si>
    <t xml:space="preserve">650.1 / </t>
  </si>
  <si>
    <t>통합인문872</t>
  </si>
  <si>
    <t xml:space="preserve">650 / </t>
  </si>
  <si>
    <t>통합인문873</t>
  </si>
  <si>
    <t>자연1086</t>
  </si>
  <si>
    <t>자연1087</t>
  </si>
  <si>
    <t>자연1088</t>
  </si>
  <si>
    <t>자연1089</t>
  </si>
  <si>
    <t>331.68</t>
  </si>
  <si>
    <t>자연1090</t>
  </si>
  <si>
    <t>331.50</t>
  </si>
  <si>
    <t>통합인문874</t>
  </si>
  <si>
    <t xml:space="preserve">649.3 / </t>
  </si>
  <si>
    <t>통합인문875</t>
  </si>
  <si>
    <t>35.51</t>
  </si>
  <si>
    <t>77,057</t>
  </si>
  <si>
    <t>통합인문876</t>
  </si>
  <si>
    <t>통합인문877</t>
  </si>
  <si>
    <t xml:space="preserve">382.1 / </t>
  </si>
  <si>
    <t>통합인문878</t>
  </si>
  <si>
    <t>65.63</t>
  </si>
  <si>
    <t>자연1091</t>
  </si>
  <si>
    <t xml:space="preserve">377.4 / </t>
  </si>
  <si>
    <t>자연1092</t>
  </si>
  <si>
    <t>자연1093</t>
  </si>
  <si>
    <t>35.77</t>
  </si>
  <si>
    <t>77,621</t>
  </si>
  <si>
    <t>통합인문879</t>
  </si>
  <si>
    <t>통합인문880</t>
  </si>
  <si>
    <t>자연1094</t>
  </si>
  <si>
    <t>통합인문881</t>
  </si>
  <si>
    <t>통합인문882</t>
  </si>
  <si>
    <t>330.24</t>
  </si>
  <si>
    <t>통합인문883</t>
  </si>
  <si>
    <t>자연1095</t>
  </si>
  <si>
    <t>통합인문884</t>
  </si>
  <si>
    <t>통합인문885</t>
  </si>
  <si>
    <t>자연1096</t>
  </si>
  <si>
    <t>329.80</t>
  </si>
  <si>
    <t>자연1097</t>
  </si>
  <si>
    <t>329.74</t>
  </si>
  <si>
    <t>자연1098</t>
  </si>
  <si>
    <t>통합인문886</t>
  </si>
  <si>
    <t>329.63</t>
  </si>
  <si>
    <t>자연1099</t>
  </si>
  <si>
    <t>자연1100</t>
  </si>
  <si>
    <t>자연1101</t>
  </si>
  <si>
    <t>자연1102</t>
  </si>
  <si>
    <t>329.88</t>
  </si>
  <si>
    <t>통합인문887</t>
  </si>
  <si>
    <t>36.93</t>
  </si>
  <si>
    <t>80,138</t>
  </si>
  <si>
    <t>통합인문888</t>
  </si>
  <si>
    <t>통합인문889</t>
  </si>
  <si>
    <t>자연1103</t>
  </si>
  <si>
    <t>통합인문890</t>
  </si>
  <si>
    <t>통합인문891</t>
  </si>
  <si>
    <t>자연1104</t>
  </si>
  <si>
    <t>자연1105</t>
  </si>
  <si>
    <t>자연1106</t>
  </si>
  <si>
    <t>통합인문892</t>
  </si>
  <si>
    <t>자연1107</t>
  </si>
  <si>
    <t>327.45</t>
  </si>
  <si>
    <t>통합인문893</t>
  </si>
  <si>
    <t>327.41</t>
  </si>
  <si>
    <t>통합인문894</t>
  </si>
  <si>
    <t>38.07</t>
  </si>
  <si>
    <t>82,612</t>
  </si>
  <si>
    <t>자연1108</t>
  </si>
  <si>
    <t>327.30</t>
  </si>
  <si>
    <t>자연1109</t>
  </si>
  <si>
    <t>통합인문895</t>
  </si>
  <si>
    <t>통합인문896</t>
  </si>
  <si>
    <t>자연1110</t>
  </si>
  <si>
    <t>자연1111</t>
  </si>
  <si>
    <t>38.80</t>
  </si>
  <si>
    <t>84,196</t>
  </si>
  <si>
    <t>326.49</t>
  </si>
  <si>
    <t>63.50</t>
  </si>
  <si>
    <t>통합인문897</t>
  </si>
  <si>
    <t>38.81</t>
  </si>
  <si>
    <t>84,218</t>
  </si>
  <si>
    <t>통합인문898</t>
  </si>
  <si>
    <t>통합인문899</t>
  </si>
  <si>
    <t>통합인문900</t>
  </si>
  <si>
    <t>자연1112</t>
  </si>
  <si>
    <t>63.17</t>
  </si>
  <si>
    <t>326.53</t>
  </si>
  <si>
    <t>통합인문901</t>
  </si>
  <si>
    <t>39.34</t>
  </si>
  <si>
    <t>85,368</t>
  </si>
  <si>
    <t>통합인문902</t>
  </si>
  <si>
    <t>325.80</t>
  </si>
  <si>
    <t>자연1113</t>
  </si>
  <si>
    <t>자연1114</t>
  </si>
  <si>
    <t>자연1115</t>
  </si>
  <si>
    <t>자연1116</t>
  </si>
  <si>
    <t>통합인문903</t>
  </si>
  <si>
    <t>통합인문904</t>
  </si>
  <si>
    <t>자연1117</t>
  </si>
  <si>
    <t>40.95</t>
  </si>
  <si>
    <t>88,862</t>
  </si>
  <si>
    <t>자연1118</t>
  </si>
  <si>
    <t>41.14</t>
  </si>
  <si>
    <t>자연1119</t>
  </si>
  <si>
    <t>통합인문905</t>
  </si>
  <si>
    <t>41.28</t>
  </si>
  <si>
    <t>자연1120</t>
  </si>
  <si>
    <t>자연1121</t>
  </si>
  <si>
    <t>통합인문906</t>
  </si>
  <si>
    <t>자연1122</t>
  </si>
  <si>
    <t>41.85</t>
  </si>
  <si>
    <t>90,815</t>
  </si>
  <si>
    <t>통합인문907</t>
  </si>
  <si>
    <t>41.95</t>
  </si>
  <si>
    <t>통합인문908</t>
  </si>
  <si>
    <t>자연1123</t>
  </si>
  <si>
    <t>322.89</t>
  </si>
  <si>
    <t>통합인문909</t>
  </si>
  <si>
    <t>42.24</t>
  </si>
  <si>
    <t>91,661</t>
  </si>
  <si>
    <t>322.80</t>
  </si>
  <si>
    <t>통합인문910</t>
  </si>
  <si>
    <t>42.28</t>
  </si>
  <si>
    <t>자연1124</t>
  </si>
  <si>
    <t>통합인문911</t>
  </si>
  <si>
    <t>322.67</t>
  </si>
  <si>
    <t>자연1125</t>
  </si>
  <si>
    <t>통합인문912</t>
  </si>
  <si>
    <t>통합인문913</t>
  </si>
  <si>
    <t>자연1126</t>
  </si>
  <si>
    <t>자연1127</t>
  </si>
  <si>
    <t>자연1128</t>
  </si>
  <si>
    <t>자연1129</t>
  </si>
  <si>
    <t>자연1130</t>
  </si>
  <si>
    <t>통합인문914</t>
  </si>
  <si>
    <t xml:space="preserve">791.31 / </t>
  </si>
  <si>
    <t>자연1131</t>
  </si>
  <si>
    <t>자연1132</t>
  </si>
  <si>
    <t>자연1133</t>
  </si>
  <si>
    <t>자연1134</t>
  </si>
  <si>
    <t>자연1135</t>
  </si>
  <si>
    <t>통합인문915</t>
  </si>
  <si>
    <t>44.79</t>
  </si>
  <si>
    <t>97,194</t>
  </si>
  <si>
    <t>320.03</t>
  </si>
  <si>
    <t>자연1136</t>
  </si>
  <si>
    <t>자연1137</t>
  </si>
  <si>
    <t>자연1138</t>
  </si>
  <si>
    <t>자연1139</t>
  </si>
  <si>
    <t>59.24</t>
  </si>
  <si>
    <t>자연1140</t>
  </si>
  <si>
    <t>318.98</t>
  </si>
  <si>
    <t>통합인문916</t>
  </si>
  <si>
    <t>자연1141</t>
  </si>
  <si>
    <t>통합인문917</t>
  </si>
  <si>
    <t>자연1142</t>
  </si>
  <si>
    <t>통합인문918</t>
  </si>
  <si>
    <t>자연1143</t>
  </si>
  <si>
    <t>47.86</t>
  </si>
  <si>
    <t>통합인문919</t>
  </si>
  <si>
    <t>57.86</t>
  </si>
  <si>
    <t>자연1144</t>
  </si>
  <si>
    <t>자연1145</t>
  </si>
  <si>
    <t>316.48</t>
  </si>
  <si>
    <t>자연1146</t>
  </si>
  <si>
    <t>316.10</t>
  </si>
  <si>
    <t>자연1147</t>
  </si>
  <si>
    <t>통합인문920</t>
  </si>
  <si>
    <t>315.77</t>
  </si>
  <si>
    <t>자연1148</t>
  </si>
  <si>
    <t xml:space="preserve">647 / </t>
  </si>
  <si>
    <t>통합인문921</t>
  </si>
  <si>
    <t>통합인문922</t>
  </si>
  <si>
    <t>자연1149</t>
  </si>
  <si>
    <t>315.08</t>
  </si>
  <si>
    <t>315.12</t>
  </si>
  <si>
    <t xml:space="preserve">644.5 / </t>
  </si>
  <si>
    <t>통합인문923</t>
  </si>
  <si>
    <t>통합인문924</t>
  </si>
  <si>
    <t xml:space="preserve">674.1 / </t>
  </si>
  <si>
    <t>자연1150</t>
  </si>
  <si>
    <t xml:space="preserve">640 / </t>
  </si>
  <si>
    <t>통합인문925</t>
  </si>
  <si>
    <t>자연1151</t>
  </si>
  <si>
    <t>자연1152</t>
  </si>
  <si>
    <t>통합인문926</t>
  </si>
  <si>
    <t>자연1153</t>
  </si>
  <si>
    <t>자연1154</t>
  </si>
  <si>
    <t xml:space="preserve">668 / </t>
  </si>
  <si>
    <t>자연1155</t>
  </si>
  <si>
    <t>통합인문927</t>
  </si>
  <si>
    <t xml:space="preserve">664.8 / </t>
  </si>
  <si>
    <t>자연1156</t>
  </si>
  <si>
    <t>52.97</t>
  </si>
  <si>
    <t>자연1157</t>
  </si>
  <si>
    <t>자연1158</t>
  </si>
  <si>
    <t>자연1159</t>
  </si>
  <si>
    <t>자연1160</t>
  </si>
  <si>
    <t>자연1161</t>
  </si>
  <si>
    <t>자연1162</t>
  </si>
  <si>
    <t>54.07</t>
  </si>
  <si>
    <t>자연1163</t>
  </si>
  <si>
    <t>자연1164</t>
  </si>
  <si>
    <t>자연1165</t>
  </si>
  <si>
    <t>자연1166</t>
  </si>
  <si>
    <t>자연1167</t>
  </si>
  <si>
    <t>53.24</t>
  </si>
  <si>
    <t>통합인문928</t>
  </si>
  <si>
    <t>자연1168</t>
  </si>
  <si>
    <t>통합인문929</t>
  </si>
  <si>
    <t>자연1169</t>
  </si>
  <si>
    <t>자연1170</t>
  </si>
  <si>
    <t>자연1171</t>
  </si>
  <si>
    <t>통합인문930</t>
  </si>
  <si>
    <t>자연1172</t>
  </si>
  <si>
    <t>자연1173</t>
  </si>
  <si>
    <t>52.07</t>
  </si>
  <si>
    <t>통합인문931</t>
  </si>
  <si>
    <t>자연1174</t>
  </si>
  <si>
    <t>통합인문932</t>
  </si>
  <si>
    <t>자연1175</t>
  </si>
  <si>
    <t>Betelgeuse058.tistory.com</t>
    <phoneticPr fontId="67" type="noConversion"/>
  </si>
  <si>
    <t>자연 누적   (추정치)</t>
    <phoneticPr fontId="67" type="noConversion"/>
  </si>
  <si>
    <t>모집인원</t>
    <phoneticPr fontId="67" type="noConversion"/>
  </si>
  <si>
    <t>영향</t>
    <phoneticPr fontId="67" type="noConversion"/>
  </si>
  <si>
    <t>(명)</t>
    <phoneticPr fontId="67" type="noConversion"/>
  </si>
  <si>
    <r>
      <t xml:space="preserve">3. 국.수.탐 백분위가 동일할때의 역환산 결과이며, </t>
    </r>
    <r>
      <rPr>
        <sz val="11"/>
        <color theme="5" tint="-0.249977111117893"/>
        <rFont val="Malgun Gothic"/>
        <family val="3"/>
        <charset val="129"/>
      </rPr>
      <t>과목별 반영비율에 따른 유불리는 '환산점수 배치표 탭'</t>
    </r>
    <r>
      <rPr>
        <sz val="11"/>
        <color theme="1"/>
        <rFont val="Malgun Gothic"/>
        <family val="3"/>
        <charset val="129"/>
      </rPr>
      <t>을 참고 바랍니다.</t>
    </r>
    <phoneticPr fontId="3" type="noConversion"/>
  </si>
  <si>
    <t>대학별</t>
    <phoneticPr fontId="67" type="noConversion"/>
  </si>
  <si>
    <t>반영비율</t>
    <phoneticPr fontId="67" type="noConversion"/>
  </si>
  <si>
    <t>자연→인문</t>
    <phoneticPr fontId="67" type="noConversion"/>
  </si>
  <si>
    <t xml:space="preserve">계열   </t>
    <phoneticPr fontId="67" type="noConversion"/>
  </si>
  <si>
    <t>계열</t>
    <phoneticPr fontId="67" type="noConversion"/>
  </si>
  <si>
    <t>환산점수 /</t>
    <phoneticPr fontId="67" type="noConversion"/>
  </si>
  <si>
    <t>만점</t>
    <phoneticPr fontId="67" type="noConversion"/>
  </si>
  <si>
    <t>국.수</t>
    <phoneticPr fontId="67" type="noConversion"/>
  </si>
  <si>
    <t>탐구</t>
    <phoneticPr fontId="67" type="noConversion"/>
  </si>
  <si>
    <t>국</t>
    <phoneticPr fontId="67" type="noConversion"/>
  </si>
  <si>
    <t>수</t>
    <phoneticPr fontId="67" type="noConversion"/>
  </si>
  <si>
    <t>탐</t>
    <phoneticPr fontId="67" type="noConversion"/>
  </si>
  <si>
    <t>국.수.탐</t>
    <phoneticPr fontId="67" type="noConversion"/>
  </si>
  <si>
    <t>국어</t>
    <phoneticPr fontId="67" type="noConversion"/>
  </si>
  <si>
    <t>수학</t>
    <phoneticPr fontId="67" type="noConversion"/>
  </si>
  <si>
    <t>영어</t>
    <phoneticPr fontId="67" type="noConversion"/>
  </si>
  <si>
    <t>점수</t>
    <phoneticPr fontId="67" type="noConversion"/>
  </si>
  <si>
    <t>한국사</t>
    <phoneticPr fontId="67" type="noConversion"/>
  </si>
  <si>
    <t>제2외국</t>
    <phoneticPr fontId="67" type="noConversion"/>
  </si>
  <si>
    <t>미기,과탐</t>
    <phoneticPr fontId="67" type="noConversion"/>
  </si>
  <si>
    <t>교차표점</t>
    <phoneticPr fontId="67" type="noConversion"/>
  </si>
  <si>
    <t>백분위</t>
    <phoneticPr fontId="67" type="noConversion"/>
  </si>
  <si>
    <t>표준점수</t>
    <phoneticPr fontId="67" type="noConversion"/>
  </si>
  <si>
    <t>입시결과 역환산 산출내역</t>
    <phoneticPr fontId="3" type="noConversion"/>
  </si>
  <si>
    <t xml:space="preserve">  (%)</t>
    <phoneticPr fontId="3" type="noConversion"/>
  </si>
  <si>
    <t xml:space="preserve"> (명)</t>
    <phoneticPr fontId="67" type="noConversion"/>
  </si>
  <si>
    <t>대학명 강조</t>
    <phoneticPr fontId="3" type="noConversion"/>
  </si>
  <si>
    <t>학과명 강조</t>
    <phoneticPr fontId="3" type="noConversion"/>
  </si>
  <si>
    <r>
      <t>제작 및 검토 &lt;</t>
    </r>
    <r>
      <rPr>
        <sz val="11"/>
        <color theme="0"/>
        <rFont val="맑은 고딕"/>
        <family val="3"/>
        <charset val="129"/>
      </rPr>
      <t xml:space="preserve"> 베텔기우스 &gt;</t>
    </r>
    <phoneticPr fontId="67" type="noConversion"/>
  </si>
  <si>
    <t>누적 백분율 변화</t>
  </si>
  <si>
    <t>영향력</t>
    <phoneticPr fontId="67" type="noConversion"/>
  </si>
  <si>
    <t>정시모집+수시합격 예상인원</t>
    <phoneticPr fontId="67" type="noConversion"/>
  </si>
  <si>
    <t>(추정치)</t>
    <phoneticPr fontId="67" type="noConversion"/>
  </si>
  <si>
    <t>자연+인문</t>
  </si>
  <si>
    <t>울산대 의예</t>
  </si>
  <si>
    <t>30%</t>
  </si>
  <si>
    <t>75%</t>
  </si>
  <si>
    <t>인제대 의예</t>
  </si>
  <si>
    <t>50%</t>
  </si>
  <si>
    <t>순천향대 의예</t>
  </si>
  <si>
    <t>동아대 의예</t>
  </si>
  <si>
    <t>고신대 의예</t>
  </si>
  <si>
    <t>조선대 치의예</t>
  </si>
  <si>
    <t>을지대 의예</t>
  </si>
  <si>
    <t>조선대 의예</t>
  </si>
  <si>
    <t>원광대 의예</t>
  </si>
  <si>
    <t>영남대 의예</t>
  </si>
  <si>
    <t>조선대 의예(지역)</t>
  </si>
  <si>
    <t>건양대 의학</t>
  </si>
  <si>
    <t>원광대 치의예(자연)</t>
  </si>
  <si>
    <t>계명대 의예</t>
  </si>
  <si>
    <t>동아대 의예(지역)</t>
  </si>
  <si>
    <t>인제대 의예(지역)</t>
  </si>
  <si>
    <t>조선대 약학</t>
  </si>
  <si>
    <t>한양대(ERICA) 약학</t>
  </si>
  <si>
    <t>고신대 의예(지역)</t>
  </si>
  <si>
    <t>조선대 치의예(지역)</t>
  </si>
  <si>
    <t>영남대 의예(지역)</t>
  </si>
  <si>
    <t>원광대 한의예(자연)</t>
  </si>
  <si>
    <t>동의대 한의예(자연)</t>
  </si>
  <si>
    <t>대구한의대 한의예(자연)</t>
  </si>
  <si>
    <t>원광대 약학</t>
  </si>
  <si>
    <t>조선대 약학(지역)</t>
  </si>
  <si>
    <t>경성대 약학</t>
  </si>
  <si>
    <t>서울대 인문계열</t>
  </si>
  <si>
    <t>동의대 한의예(인문)</t>
  </si>
  <si>
    <t>대전대 한의예(지역)</t>
  </si>
  <si>
    <t>원광대 한의예(인문)</t>
  </si>
  <si>
    <t>85%</t>
  </si>
  <si>
    <t>우석대 한의예</t>
  </si>
  <si>
    <t>동신대 한의예</t>
  </si>
  <si>
    <t>대구한의대 한의예(인문)</t>
  </si>
  <si>
    <t>세명대 한의예</t>
  </si>
  <si>
    <t>영남대 약학</t>
  </si>
  <si>
    <t>인제대 약학(지역)</t>
  </si>
  <si>
    <t>인제대 약학</t>
  </si>
  <si>
    <t>영남대 약학(지역)</t>
  </si>
  <si>
    <t>삼육대 약학</t>
  </si>
  <si>
    <t>계명대 약학</t>
  </si>
  <si>
    <t>원광대 치의예(인문)</t>
  </si>
  <si>
    <t>차의과대 약학</t>
  </si>
  <si>
    <t>동덕여대 약학</t>
  </si>
  <si>
    <t>우석대 약학</t>
  </si>
  <si>
    <t>덕성여대 약학</t>
  </si>
  <si>
    <t>서강대 자연(농어촌)</t>
  </si>
  <si>
    <t>한국교원대 초등교육</t>
  </si>
  <si>
    <t>서울교대 일반전형</t>
  </si>
  <si>
    <t>세종대 IT계열</t>
  </si>
  <si>
    <t>세종대 공과계열</t>
  </si>
  <si>
    <t>대구교대 농어촌</t>
  </si>
  <si>
    <t>한양대(ERICA) 건축학</t>
  </si>
  <si>
    <t>한양대(ERICA) 문화콘텐츠</t>
  </si>
  <si>
    <t>춘천교대 일반학생</t>
  </si>
  <si>
    <t>경인교대 일반학생</t>
  </si>
  <si>
    <t>성신여대 바이오신약의과학부</t>
  </si>
  <si>
    <t>한양대(ERICA) 인공지능</t>
  </si>
  <si>
    <t>한양대(ERICA) 광고홍보</t>
  </si>
  <si>
    <t>성신여대 AI융합학부</t>
  </si>
  <si>
    <t>한양대(ERICA) 경영</t>
  </si>
  <si>
    <t>한양대(ERICA) 문화인류</t>
  </si>
  <si>
    <t>한양대(ERICA) 경제</t>
  </si>
  <si>
    <t>성신여대 바이오헬스융합학부</t>
  </si>
  <si>
    <t>한양대(ERICA) 건축공학</t>
  </si>
  <si>
    <t>가천대 건축학부</t>
  </si>
  <si>
    <t>세종대 IT계열(농어촌)</t>
  </si>
  <si>
    <t>부산교대 일반학생</t>
  </si>
  <si>
    <t>경기대 공공안전학부</t>
  </si>
  <si>
    <t>경기대 전자공학부</t>
  </si>
  <si>
    <t>세종대 공과계열(농어촌)</t>
  </si>
  <si>
    <t>경기대 경제학부</t>
  </si>
  <si>
    <t>경기대 경영학부</t>
  </si>
  <si>
    <t>경기대 공공인재학부</t>
  </si>
  <si>
    <t>경기대 스마트시티공학부</t>
  </si>
  <si>
    <t>연세대(미래) AI보건정보관리학과</t>
  </si>
  <si>
    <t>인천대 도시건축학부</t>
  </si>
  <si>
    <t>경기대 휴먼서비스학부</t>
  </si>
  <si>
    <t>경기대 글로벌어문학부</t>
  </si>
  <si>
    <t>충남대 리더십과조직과학전공</t>
  </si>
  <si>
    <t>진주교대 농어촌</t>
  </si>
  <si>
    <t>진주교대 일반학생</t>
  </si>
  <si>
    <t>청주교대 일반학생</t>
  </si>
  <si>
    <t>대구교대 일반학생</t>
  </si>
  <si>
    <t>광주교대 일반학생</t>
  </si>
  <si>
    <t>공주교대 일반학생</t>
  </si>
  <si>
    <t>춘천교대 강원인재</t>
  </si>
  <si>
    <t>경기대 바이오융합학부</t>
  </si>
  <si>
    <t>전남대 화학공학부</t>
  </si>
  <si>
    <t>공주교대 농어촌</t>
  </si>
  <si>
    <t>전주교대 일반학생</t>
  </si>
  <si>
    <t>고려대(세종) 경제통계학부</t>
  </si>
  <si>
    <t>대구교대 기초/차상위/한부모</t>
  </si>
  <si>
    <t>경인교대 저소득</t>
  </si>
  <si>
    <t>서울교대 기초생활수급자전형</t>
  </si>
  <si>
    <t>전주교대 농어촌</t>
  </si>
  <si>
    <t>공주교대 기회균형</t>
  </si>
  <si>
    <t>4. 실제 입시결과이므로, 일부 학과는 적정한 위치보다 높거나 낮은곳에 위치할 수 있습니다</t>
    <phoneticPr fontId="3" type="noConversion"/>
  </si>
  <si>
    <r>
      <t xml:space="preserve">   (대학별 </t>
    </r>
    <r>
      <rPr>
        <sz val="11"/>
        <color theme="5" tint="-0.249977111117893"/>
        <rFont val="Malgun Gothic"/>
        <family val="3"/>
        <charset val="129"/>
      </rPr>
      <t>환산점수는 각 대학에서 공식 발표</t>
    </r>
    <r>
      <rPr>
        <sz val="11"/>
        <color theme="1"/>
        <rFont val="Malgun Gothic"/>
        <family val="3"/>
        <charset val="129"/>
      </rPr>
      <t>한 70%컷 입시결과입니다.)</t>
    </r>
    <phoneticPr fontId="67" type="noConversion"/>
  </si>
  <si>
    <r>
      <t xml:space="preserve">2. 모든 학과의 역환산 산출내역(표점입결, 백분위입결)은, 각 대학의 환산공식에 따라 역으로 계산된 자동산출 결과이며, 이는 </t>
    </r>
    <r>
      <rPr>
        <sz val="11"/>
        <color theme="5" tint="-0.249977111117893"/>
        <rFont val="Malgun Gothic"/>
        <family val="3"/>
        <charset val="129"/>
      </rPr>
      <t>올해의 원점수 표준점수 백분위점수로 변환 후 예상입결을 산출</t>
    </r>
    <r>
      <rPr>
        <sz val="11"/>
        <color theme="1"/>
        <rFont val="Malgun Gothic"/>
        <family val="3"/>
        <charset val="129"/>
      </rPr>
      <t>하는데 사용됩니다.</t>
    </r>
    <phoneticPr fontId="3" type="noConversion"/>
  </si>
  <si>
    <t>스마트시스템과학과</t>
  </si>
  <si>
    <t>미래융합전공(인문)</t>
  </si>
  <si>
    <t>전기전자공학부</t>
  </si>
  <si>
    <t>공학융합학부</t>
  </si>
  <si>
    <t>자연과학융합학부</t>
  </si>
  <si>
    <t>경영융합학부</t>
  </si>
  <si>
    <t>인문융합학부</t>
  </si>
  <si>
    <t>첨단바이오융합대학</t>
  </si>
  <si>
    <t>프런티어과학학부</t>
  </si>
  <si>
    <t>분자의약</t>
  </si>
  <si>
    <t>바이오신약융합학부</t>
  </si>
  <si>
    <t>바이오나노공</t>
  </si>
  <si>
    <t>보험계리</t>
  </si>
  <si>
    <t>자연공학계열(일반전형)</t>
  </si>
  <si>
    <t>인문사회계열(일반전형)</t>
  </si>
  <si>
    <t>반도체대학</t>
  </si>
  <si>
    <t>법과대학</t>
  </si>
  <si>
    <t>AI인문대학</t>
  </si>
  <si>
    <t>창의공과대학(통합)</t>
  </si>
  <si>
    <t>인문대학(통합)</t>
  </si>
  <si>
    <t>소프트웨어경영대학(통합)</t>
  </si>
  <si>
    <t>과탐3%가산</t>
  </si>
  <si>
    <t>사탐3%가산</t>
  </si>
  <si>
    <t>서강 자연(최저)</t>
  </si>
  <si>
    <t>서강 통합(최저)</t>
  </si>
  <si>
    <t>과탐5%가산</t>
  </si>
  <si>
    <t>경희 인문</t>
  </si>
  <si>
    <t>경희 사회</t>
  </si>
  <si>
    <t>경희 자유(자연)</t>
  </si>
  <si>
    <t>건국 어문사범</t>
  </si>
  <si>
    <t>건국 자유</t>
  </si>
  <si>
    <t>동국 수가산</t>
  </si>
  <si>
    <t>동국 과가산</t>
  </si>
  <si>
    <t>동국 수과가산</t>
  </si>
  <si>
    <t>동국 사가산(AI인문)</t>
  </si>
  <si>
    <t>숙명 첨단공</t>
  </si>
  <si>
    <t>숙명 자유</t>
  </si>
  <si>
    <t>미/기,과3%</t>
  </si>
  <si>
    <t>국민 인문</t>
  </si>
  <si>
    <t>세종 자연가산5</t>
  </si>
  <si>
    <t>수,과5%</t>
  </si>
  <si>
    <t>세종 자연가산3</t>
  </si>
  <si>
    <t>수,과3%</t>
  </si>
  <si>
    <t>세종 자유</t>
  </si>
  <si>
    <t>사탐7%</t>
  </si>
  <si>
    <t>서울과기 자연</t>
  </si>
  <si>
    <t>과탐7%</t>
  </si>
  <si>
    <t>서울과기 기술경영자유전공</t>
  </si>
  <si>
    <t>미기5%과탐5%</t>
  </si>
  <si>
    <t>단국 광역퇴계사회</t>
  </si>
  <si>
    <t>미기3%과3%</t>
  </si>
  <si>
    <t>광운 정보융합학부</t>
  </si>
  <si>
    <t>과10%</t>
  </si>
  <si>
    <t>명지 경영</t>
  </si>
  <si>
    <t>미기10%과5%</t>
  </si>
  <si>
    <t>가톨 인문</t>
  </si>
  <si>
    <t>가톨 전형2</t>
  </si>
  <si>
    <t>가톨 의예</t>
  </si>
  <si>
    <t>가톨 약학</t>
  </si>
  <si>
    <t>가톨 간호</t>
  </si>
  <si>
    <t>수 과3%</t>
  </si>
  <si>
    <t>인하 수과가산</t>
  </si>
  <si>
    <t>인하 과가산B</t>
  </si>
  <si>
    <t>인하 과가산A</t>
  </si>
  <si>
    <t>인하 사가산A</t>
  </si>
  <si>
    <t>인하 사가산B</t>
  </si>
  <si>
    <t>인하 자유인문A</t>
  </si>
  <si>
    <t>인하 자유인문B</t>
  </si>
  <si>
    <t>인하 자유자연A</t>
  </si>
  <si>
    <t>인하 자유자연B</t>
  </si>
  <si>
    <t>한양대(ERICA) 사가산</t>
  </si>
  <si>
    <t>사3%가산</t>
  </si>
  <si>
    <t>한양대(ERICA) 과가산</t>
  </si>
  <si>
    <t>과3%가산</t>
  </si>
  <si>
    <t>한양대(ERICA) 자연가산없음</t>
  </si>
  <si>
    <t>한양대(ERICA) 자유</t>
  </si>
  <si>
    <t>고려대(세종) 과탐지정</t>
  </si>
  <si>
    <t>고려대(세종) 약</t>
  </si>
  <si>
    <t>고려대(세종) 자연미정</t>
  </si>
  <si>
    <t>고려대(세종) 통합A</t>
  </si>
  <si>
    <t>고려대(세종) 통합B</t>
  </si>
  <si>
    <t>과II 과목당가산점2점</t>
  </si>
  <si>
    <t>과II5%</t>
  </si>
  <si>
    <t>경기 통합</t>
  </si>
  <si>
    <t>경기 자유전공</t>
  </si>
  <si>
    <t>자유전공은 자연.통합공식중 높은점수로적용됨</t>
  </si>
  <si>
    <t>과탐 상위한과목 백분위10%를 환산점수에 더함</t>
  </si>
  <si>
    <t>성신 자유</t>
  </si>
  <si>
    <t>성신 첨단</t>
  </si>
  <si>
    <t>대학별환산점수에 미적가산점, 한국사가산점 뺀 점수인지 설명잘읽기</t>
  </si>
  <si>
    <t>배치표=max(A,B),환산점=A</t>
  </si>
  <si>
    <t>배치표=max(A,B),환산점=B</t>
  </si>
  <si>
    <t>25 수능</t>
  </si>
  <si>
    <r>
      <t xml:space="preserve">*합격확률은 </t>
    </r>
    <r>
      <rPr>
        <b/>
        <sz val="11"/>
        <color theme="5" tint="-0.249977111117893"/>
        <rFont val="맑은 고딕"/>
        <family val="3"/>
        <charset val="129"/>
        <scheme val="minor"/>
      </rPr>
      <t>작년 입시결과(70%컷 표준점수)에 해당하는 올해 수능점수를, 각 대학별 점수로 환산한 '판정 기준점수'를 기준</t>
    </r>
    <r>
      <rPr>
        <sz val="11"/>
        <color theme="4" tint="-0.249977111117893"/>
        <rFont val="맑은 고딕"/>
        <family val="2"/>
        <charset val="129"/>
        <scheme val="minor"/>
      </rPr>
      <t>으로 추정합니다.</t>
    </r>
    <phoneticPr fontId="3" type="noConversion"/>
  </si>
  <si>
    <t>다295</t>
  </si>
  <si>
    <t>다296</t>
  </si>
  <si>
    <t>다297</t>
  </si>
  <si>
    <t>다298</t>
  </si>
  <si>
    <t>다299</t>
  </si>
  <si>
    <t>다300</t>
  </si>
  <si>
    <t>다301</t>
  </si>
  <si>
    <t>다302</t>
  </si>
  <si>
    <t>다303</t>
  </si>
  <si>
    <t>컴퓨터학부</t>
  </si>
  <si>
    <t>자율미래인재학부</t>
  </si>
  <si>
    <t>인공지능학부</t>
  </si>
  <si>
    <t>창의융합학부</t>
  </si>
  <si>
    <t>자율전공학부(1년)</t>
  </si>
  <si>
    <t>자율전공학부(4년)</t>
  </si>
  <si>
    <t>공학계열2</t>
  </si>
  <si>
    <t>공학계열1</t>
  </si>
  <si>
    <t>과학교육학부</t>
  </si>
  <si>
    <t>자연과학계열2</t>
  </si>
  <si>
    <t>자연과학계열1</t>
  </si>
  <si>
    <t>농업생명과학계열</t>
  </si>
  <si>
    <t>환경생명자원계열</t>
  </si>
  <si>
    <t>사회과교육학부</t>
  </si>
  <si>
    <t>국제학부</t>
  </si>
  <si>
    <t>자연과학자율전공</t>
  </si>
  <si>
    <t>의학(지역)</t>
  </si>
  <si>
    <t>미.기5%</t>
  </si>
  <si>
    <t>경북 자연상주</t>
  </si>
  <si>
    <t>부산 자연미정</t>
  </si>
  <si>
    <t>과10%가산</t>
  </si>
  <si>
    <t>전북 수교</t>
  </si>
  <si>
    <t>제주 수학가산</t>
  </si>
  <si>
    <t>제주 초등교육</t>
  </si>
  <si>
    <t>제주 자유</t>
  </si>
  <si>
    <t>충남 자연미정과가산</t>
  </si>
  <si>
    <t>충남 자율전공</t>
  </si>
  <si>
    <t>연세미래 보건자율</t>
  </si>
  <si>
    <t>다304</t>
  </si>
  <si>
    <t>다305</t>
  </si>
  <si>
    <t>다306</t>
  </si>
  <si>
    <t>다307</t>
  </si>
  <si>
    <t>다308</t>
  </si>
  <si>
    <t>다309</t>
  </si>
  <si>
    <t>다310</t>
  </si>
  <si>
    <t>다311</t>
  </si>
  <si>
    <t>다312</t>
  </si>
  <si>
    <t>다313</t>
  </si>
  <si>
    <t>다314</t>
  </si>
  <si>
    <t>다315</t>
  </si>
  <si>
    <t>다316</t>
  </si>
  <si>
    <t>다317</t>
  </si>
  <si>
    <t>다318</t>
  </si>
  <si>
    <t>다319</t>
  </si>
  <si>
    <t>다320</t>
  </si>
  <si>
    <t>다321</t>
  </si>
  <si>
    <t>다322</t>
  </si>
  <si>
    <t>다323</t>
  </si>
  <si>
    <t>25수능</t>
  </si>
  <si>
    <r>
      <rPr>
        <b/>
        <sz val="11"/>
        <color theme="4" tint="-0.249977111117893"/>
        <rFont val="맑은 고딕"/>
        <family val="3"/>
        <charset val="129"/>
        <scheme val="minor"/>
      </rPr>
      <t>노란칸에 점수를 입력</t>
    </r>
    <r>
      <rPr>
        <sz val="11"/>
        <color theme="1"/>
        <rFont val="맑은 고딕"/>
        <family val="3"/>
        <charset val="129"/>
        <scheme val="minor"/>
      </rPr>
      <t>합니다.</t>
    </r>
    <r>
      <rPr>
        <sz val="11"/>
        <color rgb="FFC00000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4" tint="-0.249977111117893"/>
        <rFont val="맑은 고딕"/>
        <family val="3"/>
        <charset val="129"/>
        <scheme val="minor"/>
      </rPr>
      <t>영어, 한국사, 제2외국어 등 응시한 과목은 모두 입력</t>
    </r>
    <r>
      <rPr>
        <sz val="11"/>
        <color theme="1"/>
        <rFont val="맑은 고딕"/>
        <family val="3"/>
        <charset val="129"/>
        <scheme val="minor"/>
      </rPr>
      <t>해야 지원가능 여부를 알 수 있습니다.) (</t>
    </r>
    <r>
      <rPr>
        <sz val="11"/>
        <color theme="4" tint="-0.249977111117893"/>
        <rFont val="맑은 고딕"/>
        <family val="3"/>
        <charset val="129"/>
        <scheme val="minor"/>
      </rPr>
      <t>미응시 영역은 비워둠</t>
    </r>
    <r>
      <rPr>
        <sz val="11"/>
        <color theme="1"/>
        <rFont val="맑은 고딕"/>
        <family val="3"/>
        <charset val="129"/>
        <scheme val="minor"/>
      </rPr>
      <t>)</t>
    </r>
    <phoneticPr fontId="3" type="noConversion"/>
  </si>
  <si>
    <t>*탐구 변표 : 각 대학에서 올해 변표를 발표하기 전까지 작년 변표로 산출됩니다.</t>
    <phoneticPr fontId="3" type="noConversion"/>
  </si>
  <si>
    <t xml:space="preserve">통합탐구, </t>
  </si>
  <si>
    <t>표준점수 기준 산출점수</t>
  </si>
  <si>
    <t>보↓</t>
    <phoneticPr fontId="3" type="noConversion"/>
  </si>
  <si>
    <t>영어기준</t>
  </si>
  <si>
    <t>합격확률90%</t>
  </si>
  <si>
    <t>합격확률 70%</t>
  </si>
  <si>
    <t>합격확률 40%</t>
  </si>
  <si>
    <t>합격확률 10%</t>
  </si>
  <si>
    <t>합격확률 3%</t>
  </si>
  <si>
    <r>
      <t>*</t>
    </r>
    <r>
      <rPr>
        <b/>
        <sz val="11"/>
        <color theme="4" tint="-0.249977111117893"/>
        <rFont val="맑은 고딕"/>
        <family val="3"/>
        <charset val="129"/>
        <scheme val="minor"/>
      </rPr>
      <t>산출 대학</t>
    </r>
    <r>
      <rPr>
        <sz val="11"/>
        <color theme="4" tint="-0.249977111117893"/>
        <rFont val="맑은 고딕"/>
        <family val="2"/>
        <charset val="129"/>
        <scheme val="minor"/>
      </rPr>
      <t xml:space="preserve">: </t>
    </r>
    <r>
      <rPr>
        <b/>
        <sz val="11"/>
        <color theme="4" tint="-0.249977111117893"/>
        <rFont val="맑은 고딕"/>
        <family val="3"/>
        <charset val="129"/>
        <scheme val="minor"/>
      </rPr>
      <t>서울경기 주요대학 33곳</t>
    </r>
    <r>
      <rPr>
        <sz val="11"/>
        <color theme="4" tint="-0.249977111117893"/>
        <rFont val="맑은 고딕"/>
        <family val="2"/>
        <charset val="129"/>
        <scheme val="minor"/>
      </rPr>
      <t xml:space="preserve">(서울대, 연세대, 고려대, 서강대, 성균관대, 한양대, 중앙대, 경희대, 시립대, 이화여대, 한국외대, 건국대, 동국대, 인하대, 아주대, 홍익대, 숙명여대, </t>
    </r>
    <phoneticPr fontId="3" type="noConversion"/>
  </si>
  <si>
    <t>서강 자유</t>
  </si>
  <si>
    <t>T.B C</t>
    <phoneticPr fontId="3" type="noConversion"/>
  </si>
  <si>
    <t>가톨 의약</t>
  </si>
  <si>
    <t>인하 자연</t>
  </si>
  <si>
    <t>한양대에리카</t>
  </si>
  <si>
    <t>고려대세종</t>
  </si>
  <si>
    <t>연세대미래</t>
  </si>
  <si>
    <t>70.13</t>
  </si>
  <si>
    <t>69.89</t>
  </si>
  <si>
    <t>69.40</t>
  </si>
  <si>
    <t>69.81</t>
  </si>
  <si>
    <t>69.45</t>
  </si>
  <si>
    <t>69.07</t>
  </si>
  <si>
    <t>68.59</t>
  </si>
  <si>
    <t>68.34</t>
  </si>
  <si>
    <t>68.77</t>
  </si>
  <si>
    <t>68.38</t>
  </si>
  <si>
    <t>68.08</t>
  </si>
  <si>
    <t>68.46</t>
  </si>
  <si>
    <t>68.12</t>
  </si>
  <si>
    <t>67.87</t>
  </si>
  <si>
    <t>68.21</t>
  </si>
  <si>
    <t>68.00</t>
  </si>
  <si>
    <t>67.69</t>
  </si>
  <si>
    <t>67.38</t>
  </si>
  <si>
    <t>66.99</t>
  </si>
  <si>
    <t>67.09</t>
  </si>
  <si>
    <t>66.70</t>
  </si>
  <si>
    <t>66.87</t>
  </si>
  <si>
    <t>66.47</t>
  </si>
  <si>
    <t>67.02</t>
  </si>
  <si>
    <t>66.57</t>
  </si>
  <si>
    <t>66.22</t>
  </si>
  <si>
    <t>66.73</t>
  </si>
  <si>
    <t>65.97</t>
  </si>
  <si>
    <t>66.40</t>
  </si>
  <si>
    <t>65.92</t>
  </si>
  <si>
    <t>65.72</t>
  </si>
  <si>
    <t>66.11</t>
  </si>
  <si>
    <t>65.47</t>
  </si>
  <si>
    <t>65.83</t>
  </si>
  <si>
    <t>65.32</t>
  </si>
  <si>
    <t>65.20</t>
  </si>
  <si>
    <t>65.55</t>
  </si>
  <si>
    <t>65.02</t>
  </si>
  <si>
    <t>64.91</t>
  </si>
  <si>
    <t>65.26</t>
  </si>
  <si>
    <t>64.75</t>
  </si>
  <si>
    <t>64.64</t>
  </si>
  <si>
    <t>65.00</t>
  </si>
  <si>
    <t>64.40</t>
  </si>
  <si>
    <t>64.38</t>
  </si>
  <si>
    <t>64.67</t>
  </si>
  <si>
    <t>64.12</t>
  </si>
  <si>
    <t>64.11</t>
  </si>
  <si>
    <t>64.41</t>
  </si>
  <si>
    <t>63.82</t>
  </si>
  <si>
    <t>63.84</t>
  </si>
  <si>
    <t>63.51</t>
  </si>
  <si>
    <t>63.54</t>
  </si>
  <si>
    <t>63.26</t>
  </si>
  <si>
    <t>62.89</t>
  </si>
  <si>
    <t>63.00</t>
  </si>
  <si>
    <t>63.23</t>
  </si>
  <si>
    <t>62.55</t>
  </si>
  <si>
    <t>62.75</t>
  </si>
  <si>
    <t>62.91</t>
  </si>
  <si>
    <t>62.29</t>
  </si>
  <si>
    <t>62.50</t>
  </si>
  <si>
    <t>62.66</t>
  </si>
  <si>
    <t>61.99</t>
  </si>
  <si>
    <t>62.14</t>
  </si>
  <si>
    <t>62.38</t>
  </si>
  <si>
    <t>61.76</t>
  </si>
  <si>
    <t>61.77</t>
  </si>
  <si>
    <t>62.15</t>
  </si>
  <si>
    <t>61.52</t>
  </si>
  <si>
    <t>61.49</t>
  </si>
  <si>
    <t>61.93</t>
  </si>
  <si>
    <t>61.27</t>
  </si>
  <si>
    <t>61.21</t>
  </si>
  <si>
    <t>61.69</t>
  </si>
  <si>
    <t>60.99</t>
  </si>
  <si>
    <t>60.94</t>
  </si>
  <si>
    <t>61.43</t>
  </si>
  <si>
    <t>60.66</t>
  </si>
  <si>
    <t>60.64</t>
  </si>
  <si>
    <t>61.11</t>
  </si>
  <si>
    <t>60.30</t>
  </si>
  <si>
    <t>60.35</t>
  </si>
  <si>
    <t>60.76</t>
  </si>
  <si>
    <t>59.98</t>
  </si>
  <si>
    <t>60.07</t>
  </si>
  <si>
    <t>60.46</t>
  </si>
  <si>
    <t>59.59</t>
  </si>
  <si>
    <t>59.68</t>
  </si>
  <si>
    <t>59.21</t>
  </si>
  <si>
    <t>59.28</t>
  </si>
  <si>
    <t>59.69</t>
  </si>
  <si>
    <t>58.75</t>
  </si>
  <si>
    <t>58.89</t>
  </si>
  <si>
    <t>58.28</t>
  </si>
  <si>
    <t>58.51</t>
  </si>
  <si>
    <t>58.77</t>
  </si>
  <si>
    <t>57.76</t>
  </si>
  <si>
    <t>58.13</t>
  </si>
  <si>
    <t>58.25</t>
  </si>
  <si>
    <t>57.38</t>
  </si>
  <si>
    <t>57.71</t>
  </si>
  <si>
    <t>57.02</t>
  </si>
  <si>
    <t>57.34</t>
  </si>
  <si>
    <t>57.50</t>
  </si>
  <si>
    <t>56.68</t>
  </si>
  <si>
    <t>56.96</t>
  </si>
  <si>
    <t>57.16</t>
  </si>
  <si>
    <t>56.33</t>
  </si>
  <si>
    <t>56.48</t>
  </si>
  <si>
    <t>56.82</t>
  </si>
  <si>
    <t>55.98</t>
  </si>
  <si>
    <t>56.08</t>
  </si>
  <si>
    <t>56.47</t>
  </si>
  <si>
    <t>55.51</t>
  </si>
  <si>
    <t>55.67</t>
  </si>
  <si>
    <t>55.99</t>
  </si>
  <si>
    <t>55.06</t>
  </si>
  <si>
    <t>55.22</t>
  </si>
  <si>
    <t>55.54</t>
  </si>
  <si>
    <t>54.64</t>
  </si>
  <si>
    <t>54.78</t>
  </si>
  <si>
    <t>55.12</t>
  </si>
  <si>
    <t>54.30</t>
  </si>
  <si>
    <t>54.38</t>
  </si>
  <si>
    <t>53.96</t>
  </si>
  <si>
    <t>53.89</t>
  </si>
  <si>
    <t>54.44</t>
  </si>
  <si>
    <t>53.62</t>
  </si>
  <si>
    <t>53.49</t>
  </si>
  <si>
    <t>54.10</t>
  </si>
  <si>
    <t>53.73</t>
  </si>
  <si>
    <t>52.86</t>
  </si>
  <si>
    <t>53.34</t>
  </si>
  <si>
    <t>52.48</t>
  </si>
  <si>
    <t>52.55</t>
  </si>
  <si>
    <t>51.66</t>
  </si>
  <si>
    <t>52.14</t>
  </si>
  <si>
    <t>51.23</t>
  </si>
  <si>
    <t>51.71</t>
  </si>
  <si>
    <t>50.89</t>
  </si>
  <si>
    <t>51.37</t>
  </si>
  <si>
    <t>50.55</t>
  </si>
  <si>
    <t>51.03</t>
  </si>
  <si>
    <t>50.19</t>
  </si>
  <si>
    <t>50.67</t>
  </si>
  <si>
    <t>49.84</t>
  </si>
  <si>
    <t>50.33</t>
  </si>
  <si>
    <t>49.54</t>
  </si>
  <si>
    <t>50.02</t>
  </si>
  <si>
    <t>49.24</t>
  </si>
  <si>
    <t>49.72</t>
  </si>
  <si>
    <t>48.91</t>
  </si>
  <si>
    <t>49.39</t>
  </si>
  <si>
    <t>48.55</t>
  </si>
  <si>
    <t>49.03</t>
  </si>
  <si>
    <t>48.21</t>
  </si>
  <si>
    <t>48.69</t>
  </si>
  <si>
    <t>48.35</t>
  </si>
  <si>
    <t>47.55</t>
  </si>
  <si>
    <t>48.03</t>
  </si>
  <si>
    <t>47.25</t>
  </si>
  <si>
    <t>47.73</t>
  </si>
  <si>
    <t>46.95</t>
  </si>
  <si>
    <t>47.44</t>
  </si>
  <si>
    <t>46.65</t>
  </si>
  <si>
    <t>47.14</t>
  </si>
  <si>
    <t>46.30</t>
  </si>
  <si>
    <t>45.88</t>
  </si>
  <si>
    <t>46.79</t>
  </si>
  <si>
    <t>45.95</t>
  </si>
  <si>
    <t>45.58</t>
  </si>
  <si>
    <t>46.43</t>
  </si>
  <si>
    <t>45.64</t>
  </si>
  <si>
    <t>45.27</t>
  </si>
  <si>
    <t>46.13</t>
  </si>
  <si>
    <t>45.35</t>
  </si>
  <si>
    <t>44.93</t>
  </si>
  <si>
    <t>45.83</t>
  </si>
  <si>
    <t>45.04</t>
  </si>
  <si>
    <t>44.60</t>
  </si>
  <si>
    <t>45.52</t>
  </si>
  <si>
    <t>44.71</t>
  </si>
  <si>
    <t>44.28</t>
  </si>
  <si>
    <t>45.19</t>
  </si>
  <si>
    <t>44.40</t>
  </si>
  <si>
    <t>43.96</t>
  </si>
  <si>
    <t>44.88</t>
  </si>
  <si>
    <t>44.14</t>
  </si>
  <si>
    <t>43.66</t>
  </si>
  <si>
    <t>44.62</t>
  </si>
  <si>
    <t>43.87</t>
  </si>
  <si>
    <t>43.33</t>
  </si>
  <si>
    <t>44.36</t>
  </si>
  <si>
    <t>43.61</t>
  </si>
  <si>
    <t>43.03</t>
  </si>
  <si>
    <t>44.09</t>
  </si>
  <si>
    <t>43.34</t>
  </si>
  <si>
    <t>42.75</t>
  </si>
  <si>
    <t>43.83</t>
  </si>
  <si>
    <t>43.05</t>
  </si>
  <si>
    <t>42.48</t>
  </si>
  <si>
    <t>43.53</t>
  </si>
  <si>
    <t>42.74</t>
  </si>
  <si>
    <t>42.18</t>
  </si>
  <si>
    <t>43.22</t>
  </si>
  <si>
    <t>42.43</t>
  </si>
  <si>
    <t>41.86</t>
  </si>
  <si>
    <t>42.91</t>
  </si>
  <si>
    <t>42.10</t>
  </si>
  <si>
    <t>41.57</t>
  </si>
  <si>
    <t>42.58</t>
  </si>
  <si>
    <t>41.79</t>
  </si>
  <si>
    <t>41.46</t>
  </si>
  <si>
    <t>41.01</t>
  </si>
  <si>
    <t>40.71</t>
  </si>
  <si>
    <t>41.63</t>
  </si>
  <si>
    <t>40.81</t>
  </si>
  <si>
    <t>40.40</t>
  </si>
  <si>
    <t>41.30</t>
  </si>
  <si>
    <t>40.47</t>
  </si>
  <si>
    <t>39.98</t>
  </si>
  <si>
    <t>40.96</t>
  </si>
  <si>
    <t>문표</t>
  </si>
  <si>
    <t>통탐</t>
  </si>
  <si>
    <t>2025학년도 예상변표</t>
  </si>
  <si>
    <t>가892</t>
  </si>
  <si>
    <t>가893</t>
  </si>
  <si>
    <t>다324</t>
  </si>
  <si>
    <t>36사</t>
  </si>
  <si>
    <t>36과</t>
  </si>
  <si>
    <t>46사</t>
  </si>
  <si>
    <t>46과</t>
  </si>
  <si>
    <t>47사</t>
  </si>
  <si>
    <t>47과</t>
  </si>
  <si>
    <t>48사</t>
  </si>
  <si>
    <t>48과</t>
  </si>
  <si>
    <t>49사</t>
  </si>
  <si>
    <t>49과</t>
  </si>
  <si>
    <t>50사</t>
  </si>
  <si>
    <t>50과</t>
  </si>
  <si>
    <t>51사</t>
  </si>
  <si>
    <t>51과</t>
  </si>
  <si>
    <t>52사</t>
  </si>
  <si>
    <t>52과</t>
  </si>
  <si>
    <t>53사</t>
  </si>
  <si>
    <t>53과</t>
  </si>
  <si>
    <t>54사</t>
  </si>
  <si>
    <t>54과</t>
  </si>
  <si>
    <t>55사</t>
  </si>
  <si>
    <t>55과</t>
  </si>
  <si>
    <t>56사</t>
  </si>
  <si>
    <t>56과</t>
  </si>
  <si>
    <t>57사</t>
  </si>
  <si>
    <t>57과</t>
  </si>
  <si>
    <t>58사</t>
  </si>
  <si>
    <t>58과</t>
  </si>
  <si>
    <t>중앙대</t>
    <phoneticPr fontId="3" type="noConversion"/>
  </si>
  <si>
    <t>과탐 최고점</t>
    <phoneticPr fontId="3" type="noConversion"/>
  </si>
  <si>
    <t>사탐 최고점</t>
    <phoneticPr fontId="3" type="noConversion"/>
  </si>
  <si>
    <t>탐구 과목명(고득점순)</t>
    <phoneticPr fontId="3" type="noConversion"/>
  </si>
  <si>
    <t>과목수</t>
    <phoneticPr fontId="3" type="noConversion"/>
  </si>
  <si>
    <t>학년도</t>
  </si>
  <si>
    <t>연세대 인문</t>
  </si>
  <si>
    <t>서강 적용</t>
  </si>
  <si>
    <t>서강 적용(최저)</t>
  </si>
  <si>
    <t>x</t>
  </si>
  <si>
    <t>사탐5%가산</t>
  </si>
  <si>
    <t>ㅌ</t>
  </si>
  <si>
    <t>건국 수리중심자연</t>
  </si>
  <si>
    <t>건국 언어중심인문</t>
  </si>
  <si>
    <t>미적기하3%가산</t>
  </si>
  <si>
    <t>미적기하/과탐3%가산</t>
  </si>
  <si>
    <t>미/기,과탐3%가산</t>
  </si>
  <si>
    <t>숙명 자유x</t>
  </si>
  <si>
    <t>국민 자유자연</t>
  </si>
  <si>
    <t>미/기,과5%</t>
  </si>
  <si>
    <t>국민 자유인문</t>
  </si>
  <si>
    <t>숭실 자유인문</t>
  </si>
  <si>
    <t>사탐2.5% (환산총점에 백분위2.5%가산)</t>
  </si>
  <si>
    <t>미/기7%,과탐2.5% (환산총점에 표점7% 백분위2.5%가산)</t>
  </si>
  <si>
    <t>숭실 자유자연2</t>
  </si>
  <si>
    <t>미/기7%,과탐2.5% (환산총점에 표점5% 백분위2.5%가산)</t>
  </si>
  <si>
    <t>숭실 인문</t>
  </si>
  <si>
    <t>과탐6%</t>
  </si>
  <si>
    <t>아주 의학</t>
  </si>
  <si>
    <t>아주 경영간호인문</t>
  </si>
  <si>
    <t>미/기3%,과탐3%가산</t>
  </si>
  <si>
    <t>인천 자연</t>
  </si>
  <si>
    <t>고려대(세종) 과탐가산</t>
  </si>
  <si>
    <t>과탐2과목선택시5%,(과Ⅰ+생Ⅱ,화Ⅱ)7%가산</t>
  </si>
  <si>
    <t>미기3,과탐과목당1.5가산</t>
  </si>
  <si>
    <t>과탐5%</t>
  </si>
  <si>
    <t>미/기10%,과탐5%가산</t>
  </si>
  <si>
    <t>과탐두과목,생화포함필수</t>
  </si>
  <si>
    <t>미/기5%,과탐두과목이상3%가산</t>
  </si>
  <si>
    <t>미/기5%,과탐두과목이상5%가산</t>
  </si>
  <si>
    <t>미/기,과탐10%가산</t>
  </si>
  <si>
    <t>미/기 백분위의 10%를 총점에 가산</t>
  </si>
  <si>
    <t>탐구반영 표점50%백분위50%</t>
  </si>
  <si>
    <t>과탐 표점50%(반영비적용완료) 백분위50%(수동으로 더해줘야함 수기공식에서)</t>
  </si>
  <si>
    <t>생명과학 필수응시</t>
  </si>
  <si>
    <t>화학Ⅱ,생명과학Ⅱ 5%가산</t>
  </si>
  <si>
    <t>전남 의치약수</t>
  </si>
  <si>
    <t>사탐10%가산</t>
  </si>
  <si>
    <t>강원 자연수과가산</t>
  </si>
  <si>
    <t>미/기10%,과탐10%가산</t>
  </si>
  <si>
    <t>강원 자연미기가산</t>
  </si>
  <si>
    <t>미/기10%가산</t>
  </si>
  <si>
    <t>과탐(Ⅰ,Ⅱ) 과탐(Ⅱ,Ⅱ) 5%가산</t>
  </si>
  <si>
    <t>경북 자유</t>
  </si>
  <si>
    <t>미/기10%,과탐두과목시10%가산</t>
  </si>
  <si>
    <t>미/기15%,과탐두과목시10%가산</t>
  </si>
  <si>
    <t>미기10%가산</t>
  </si>
  <si>
    <t>과탐두과목시10%가산</t>
  </si>
  <si>
    <t>미/기5%,과탐두과목시5%가산</t>
  </si>
  <si>
    <t>과탐10%가산</t>
  </si>
  <si>
    <t>충북 의약</t>
  </si>
  <si>
    <t>충북 과탐지정수의</t>
  </si>
  <si>
    <t>미적/기하3%가산</t>
  </si>
  <si>
    <t>영어3 한국사4등급이상</t>
  </si>
  <si>
    <t>성균 자연A국수</t>
  </si>
  <si>
    <t>국수탐 기준</t>
  </si>
  <si>
    <t>성균 자연B국수</t>
  </si>
  <si>
    <t>성균 통합A국수</t>
  </si>
  <si>
    <t>성균 통합B국수</t>
  </si>
  <si>
    <t>성균 자연가</t>
  </si>
  <si>
    <t>성균 자연나</t>
  </si>
  <si>
    <t>성균 자연다</t>
  </si>
  <si>
    <t>성균 통합가</t>
  </si>
  <si>
    <t>성균 통합나</t>
  </si>
  <si>
    <t>성균 통합다</t>
  </si>
  <si>
    <t>성균 자연사범</t>
  </si>
  <si>
    <t>성균 통합사범</t>
  </si>
  <si>
    <t>성균 자연농어촌</t>
  </si>
  <si>
    <t>성균 통합농어촌</t>
  </si>
  <si>
    <t>중앙 예체능</t>
  </si>
  <si>
    <t>부산 자유</t>
  </si>
  <si>
    <t>부산 수탐지정한</t>
  </si>
  <si>
    <t>부산 과탐가산약</t>
  </si>
  <si>
    <t>부산 의치</t>
  </si>
  <si>
    <t>최저:한국사4이내,수학포함3과목합4이내</t>
  </si>
  <si>
    <t>충남 수지정과가산수학교</t>
  </si>
  <si>
    <t>강원제2캠 수과가산</t>
  </si>
  <si>
    <t>수학,과탐10%가산</t>
  </si>
  <si>
    <t>강원제2캠 통합</t>
  </si>
  <si>
    <t xml:space="preserve">  ----배치표에서 삭제할 영역--- </t>
    <phoneticPr fontId="3" type="noConversion"/>
  </si>
  <si>
    <t>0.04</t>
  </si>
  <si>
    <t>87</t>
  </si>
  <si>
    <t>418.38</t>
  </si>
  <si>
    <t>422.97</t>
  </si>
  <si>
    <t>의예과</t>
  </si>
  <si>
    <t xml:space="preserve">421.6 / </t>
  </si>
  <si>
    <t>0.13</t>
  </si>
  <si>
    <t>282</t>
  </si>
  <si>
    <t>415.27</t>
  </si>
  <si>
    <t>419.44</t>
  </si>
  <si>
    <t xml:space="preserve">993.26 / </t>
  </si>
  <si>
    <t>0.22</t>
  </si>
  <si>
    <t>477</t>
  </si>
  <si>
    <t>416.70</t>
  </si>
  <si>
    <t xml:space="preserve">691.063 / </t>
  </si>
  <si>
    <t xml:space="preserve">656.51/950만점 </t>
  </si>
  <si>
    <t>0.23</t>
  </si>
  <si>
    <t>499</t>
  </si>
  <si>
    <t>413.33</t>
  </si>
  <si>
    <t>417.28</t>
  </si>
  <si>
    <t xml:space="preserve">691.85 / </t>
  </si>
  <si>
    <t xml:space="preserve"> 과탐5%가산</t>
  </si>
  <si>
    <t>412.90</t>
  </si>
  <si>
    <t>416.38</t>
  </si>
  <si>
    <t xml:space="preserve">658.3 / </t>
  </si>
  <si>
    <t xml:space="preserve"> 과탐3%가산</t>
  </si>
  <si>
    <t>0.29</t>
  </si>
  <si>
    <t>629</t>
  </si>
  <si>
    <t>412.20</t>
  </si>
  <si>
    <t>414.74</t>
  </si>
  <si>
    <t>치의학과</t>
  </si>
  <si>
    <t xml:space="preserve">415 / </t>
  </si>
  <si>
    <t xml:space="preserve">989.25 / </t>
  </si>
  <si>
    <t>0.40</t>
  </si>
  <si>
    <t>868</t>
  </si>
  <si>
    <t>410.76</t>
  </si>
  <si>
    <t>의과대학</t>
  </si>
  <si>
    <t xml:space="preserve">697.28 / </t>
  </si>
  <si>
    <t>0.42</t>
  </si>
  <si>
    <t>911</t>
  </si>
  <si>
    <t>410.56</t>
  </si>
  <si>
    <t>411.81</t>
  </si>
  <si>
    <t>수리과학부</t>
  </si>
  <si>
    <t xml:space="preserve">413.4 / </t>
  </si>
  <si>
    <t>0.57</t>
  </si>
  <si>
    <t>1,237</t>
  </si>
  <si>
    <t>408.97</t>
  </si>
  <si>
    <t xml:space="preserve">595.35 / </t>
  </si>
  <si>
    <t xml:space="preserve"> 과탐9.6점 가산</t>
  </si>
  <si>
    <t>0.58</t>
  </si>
  <si>
    <t>1,259</t>
  </si>
  <si>
    <t>408.83</t>
  </si>
  <si>
    <t>410.75</t>
  </si>
  <si>
    <t>의학부</t>
  </si>
  <si>
    <t xml:space="preserve">807.4 / </t>
  </si>
  <si>
    <t>0.59</t>
  </si>
  <si>
    <t>1,280</t>
  </si>
  <si>
    <t>408.54</t>
  </si>
  <si>
    <t>410.50</t>
  </si>
  <si>
    <t>컴퓨터공학부</t>
  </si>
  <si>
    <t xml:space="preserve">411.4 / </t>
  </si>
  <si>
    <t>0.68</t>
  </si>
  <si>
    <t>1,476</t>
  </si>
  <si>
    <t>407.22</t>
  </si>
  <si>
    <t>409.83</t>
  </si>
  <si>
    <t>약학계열</t>
  </si>
  <si>
    <t xml:space="preserve">410 / </t>
  </si>
  <si>
    <t>0.67</t>
  </si>
  <si>
    <t>1,454</t>
  </si>
  <si>
    <t>407.26</t>
  </si>
  <si>
    <t>409.90</t>
  </si>
  <si>
    <t>의학과</t>
  </si>
  <si>
    <t xml:space="preserve">949.477 / </t>
  </si>
  <si>
    <t>999.45점/1000만점 미/기/과탐 3%</t>
  </si>
  <si>
    <t>405.67</t>
  </si>
  <si>
    <t>의예과(인문)</t>
  </si>
  <si>
    <t xml:space="preserve">988.46 / </t>
  </si>
  <si>
    <t>407.00</t>
  </si>
  <si>
    <t>409.81</t>
  </si>
  <si>
    <t xml:space="preserve">542 / </t>
  </si>
  <si>
    <t>409.70</t>
  </si>
  <si>
    <t xml:space="preserve">975.2 / </t>
  </si>
  <si>
    <t xml:space="preserve">877.68/900만점 </t>
  </si>
  <si>
    <t>0.76</t>
  </si>
  <si>
    <t>1,649</t>
  </si>
  <si>
    <t>406.00</t>
  </si>
  <si>
    <t>의예과(자연)</t>
  </si>
  <si>
    <t xml:space="preserve">1003.13 / </t>
  </si>
  <si>
    <t xml:space="preserve"> 과6%</t>
  </si>
  <si>
    <t>405.91</t>
  </si>
  <si>
    <t>409.63</t>
  </si>
  <si>
    <t>치의예과</t>
  </si>
  <si>
    <t xml:space="preserve">721.356 / </t>
  </si>
  <si>
    <t>0.79</t>
  </si>
  <si>
    <t>1,714</t>
  </si>
  <si>
    <t xml:space="preserve">202.73 / </t>
  </si>
  <si>
    <t>405.33</t>
  </si>
  <si>
    <t xml:space="preserve">728.58 / </t>
  </si>
  <si>
    <t>405.14</t>
  </si>
  <si>
    <t xml:space="preserve">602.4 / </t>
  </si>
  <si>
    <t>0.85</t>
  </si>
  <si>
    <t>1,845</t>
  </si>
  <si>
    <t>수의예과</t>
  </si>
  <si>
    <t xml:space="preserve">407.7 / </t>
  </si>
  <si>
    <t>0.88</t>
  </si>
  <si>
    <t>1,910</t>
  </si>
  <si>
    <t>건국(글로컬)</t>
  </si>
  <si>
    <t>의예(일반)</t>
  </si>
  <si>
    <t xml:space="preserve">975.17 / </t>
  </si>
  <si>
    <t xml:space="preserve">984.246 / </t>
  </si>
  <si>
    <t>404.46</t>
  </si>
  <si>
    <t>한의예과(통합)</t>
  </si>
  <si>
    <t xml:space="preserve">589.93 / </t>
  </si>
  <si>
    <t xml:space="preserve"> 사탐9.6점 가산</t>
  </si>
  <si>
    <t>404.48</t>
  </si>
  <si>
    <t xml:space="preserve">990.8 / </t>
  </si>
  <si>
    <t xml:space="preserve"> 미/기/과탐 3%</t>
  </si>
  <si>
    <t>0.90</t>
  </si>
  <si>
    <t>1,953</t>
  </si>
  <si>
    <t>404.24</t>
  </si>
  <si>
    <t>의예과(정시지역)</t>
  </si>
  <si>
    <t xml:space="preserve">727.11 / </t>
  </si>
  <si>
    <t>0.97</t>
  </si>
  <si>
    <t>2,105</t>
  </si>
  <si>
    <t>403.77</t>
  </si>
  <si>
    <t xml:space="preserve">721.75 / </t>
  </si>
  <si>
    <t>403.76</t>
  </si>
  <si>
    <t xml:space="preserve">98.4 / </t>
  </si>
  <si>
    <t>0.93</t>
  </si>
  <si>
    <t>2,018</t>
  </si>
  <si>
    <t>404.00</t>
  </si>
  <si>
    <t>406.15</t>
  </si>
  <si>
    <t xml:space="preserve">509 / </t>
  </si>
  <si>
    <t>403.48</t>
  </si>
  <si>
    <t xml:space="preserve">588.95 / </t>
  </si>
  <si>
    <t xml:space="preserve">994.59 / </t>
  </si>
  <si>
    <t>1.06</t>
  </si>
  <si>
    <t>2,300</t>
  </si>
  <si>
    <t>403.27</t>
  </si>
  <si>
    <t>전기·정보공학부</t>
  </si>
  <si>
    <t xml:space="preserve">406 / </t>
  </si>
  <si>
    <t>406.16</t>
  </si>
  <si>
    <t xml:space="preserve">800.4 / </t>
  </si>
  <si>
    <t>403.18</t>
  </si>
  <si>
    <t>통계학과</t>
  </si>
  <si>
    <t xml:space="preserve">405.9 / </t>
  </si>
  <si>
    <t>406.73</t>
  </si>
  <si>
    <t xml:space="preserve">524.43 / </t>
  </si>
  <si>
    <t xml:space="preserve">★26반영비 </t>
  </si>
  <si>
    <t>403.04</t>
  </si>
  <si>
    <t>406.33</t>
  </si>
  <si>
    <t>약학과</t>
  </si>
  <si>
    <t xml:space="preserve">678.92 / </t>
  </si>
  <si>
    <t>1.15</t>
  </si>
  <si>
    <t>2,496</t>
  </si>
  <si>
    <t>402.79</t>
  </si>
  <si>
    <t xml:space="preserve">610.55 / </t>
  </si>
  <si>
    <t>총점800 과탐5%</t>
  </si>
  <si>
    <t>402.76</t>
  </si>
  <si>
    <t xml:space="preserve">296.64 / </t>
  </si>
  <si>
    <t xml:space="preserve">국/영 택1 </t>
  </si>
  <si>
    <t>1.18</t>
  </si>
  <si>
    <t>2,561</t>
  </si>
  <si>
    <t>402.54</t>
  </si>
  <si>
    <t>406.52</t>
  </si>
  <si>
    <t xml:space="preserve">599.6 / </t>
  </si>
  <si>
    <t>1.19</t>
  </si>
  <si>
    <t>2,582</t>
  </si>
  <si>
    <t>402.46</t>
  </si>
  <si>
    <t>406.44</t>
  </si>
  <si>
    <t xml:space="preserve">1005 / </t>
  </si>
  <si>
    <t xml:space="preserve"> 미/기/과탐10%가산</t>
  </si>
  <si>
    <t>1.23</t>
  </si>
  <si>
    <t>2,669</t>
  </si>
  <si>
    <t>402.16</t>
  </si>
  <si>
    <t xml:space="preserve">671.5 / </t>
  </si>
  <si>
    <t>1.25</t>
  </si>
  <si>
    <t>2,713</t>
  </si>
  <si>
    <t>402.05</t>
  </si>
  <si>
    <t>405.66</t>
  </si>
  <si>
    <t>광역(학부대학)</t>
  </si>
  <si>
    <t>의학과(지역)</t>
  </si>
  <si>
    <t xml:space="preserve">979.367 / </t>
  </si>
  <si>
    <t>401.94</t>
  </si>
  <si>
    <t>405.95</t>
  </si>
  <si>
    <t xml:space="preserve">371.73 / </t>
  </si>
  <si>
    <t>1.27</t>
  </si>
  <si>
    <t>2,756</t>
  </si>
  <si>
    <t>401.87</t>
  </si>
  <si>
    <t>405.50</t>
  </si>
  <si>
    <t xml:space="preserve">703.82 / </t>
  </si>
  <si>
    <t>1.36</t>
  </si>
  <si>
    <t>2,951</t>
  </si>
  <si>
    <t>한의예과(자연)</t>
  </si>
  <si>
    <t xml:space="preserve">586.53 / </t>
  </si>
  <si>
    <t>401.31</t>
  </si>
  <si>
    <t>403.84</t>
  </si>
  <si>
    <t xml:space="preserve">723.21 / </t>
  </si>
  <si>
    <t>401.49</t>
  </si>
  <si>
    <t>자유전공학부</t>
  </si>
  <si>
    <t xml:space="preserve">401.2 / </t>
  </si>
  <si>
    <t>1.39</t>
  </si>
  <si>
    <t>3,016</t>
  </si>
  <si>
    <t>403.80</t>
  </si>
  <si>
    <t>동국(WISE)</t>
  </si>
  <si>
    <t>한의예(유형Ⅱ)</t>
  </si>
  <si>
    <t xml:space="preserve">994 / </t>
  </si>
  <si>
    <t>403.33</t>
  </si>
  <si>
    <t>405.09</t>
  </si>
  <si>
    <t xml:space="preserve">536 / </t>
  </si>
  <si>
    <t>400.83</t>
  </si>
  <si>
    <t>403.83</t>
  </si>
  <si>
    <t>물리·천문학부 물리학전공</t>
  </si>
  <si>
    <t xml:space="preserve">986.5 / </t>
  </si>
  <si>
    <t>399.91</t>
  </si>
  <si>
    <t>약학부</t>
  </si>
  <si>
    <t xml:space="preserve">794.6 / </t>
  </si>
  <si>
    <t>400.09</t>
  </si>
  <si>
    <t>경영대학</t>
  </si>
  <si>
    <t>1.63</t>
  </si>
  <si>
    <t>3,537</t>
  </si>
  <si>
    <t>399.60</t>
  </si>
  <si>
    <t>402.35</t>
  </si>
  <si>
    <t>한의학전문대학원(학ㆍ석사통합과정)</t>
  </si>
  <si>
    <t xml:space="preserve">743 / </t>
  </si>
  <si>
    <t>399.57</t>
  </si>
  <si>
    <t xml:space="preserve">730.17 / </t>
  </si>
  <si>
    <t xml:space="preserve"> 미/기3%, 과탐3% 가산</t>
  </si>
  <si>
    <t>399.58</t>
  </si>
  <si>
    <t xml:space="preserve">584.7 / </t>
  </si>
  <si>
    <t>1.66</t>
  </si>
  <si>
    <t>3,602</t>
  </si>
  <si>
    <t>399.42</t>
  </si>
  <si>
    <t xml:space="preserve">669.47 / </t>
  </si>
  <si>
    <t>경상국립대</t>
  </si>
  <si>
    <t xml:space="preserve">978.57 / </t>
  </si>
  <si>
    <t xml:space="preserve"> 과탐(Ⅰ,Ⅱ)/ 과탐(Ⅱ,Ⅱ) 5%가산</t>
  </si>
  <si>
    <t>1.67</t>
  </si>
  <si>
    <t>3,624</t>
  </si>
  <si>
    <t>399.35</t>
  </si>
  <si>
    <t>402.36</t>
  </si>
  <si>
    <t>반도체공학과</t>
  </si>
  <si>
    <t xml:space="preserve">962.58 / </t>
  </si>
  <si>
    <t>399.30</t>
  </si>
  <si>
    <t>401.95</t>
  </si>
  <si>
    <t>산업공학과</t>
  </si>
  <si>
    <t xml:space="preserve">402 / </t>
  </si>
  <si>
    <t>399.13</t>
  </si>
  <si>
    <t>401.56</t>
  </si>
  <si>
    <t xml:space="preserve">996.38 / </t>
  </si>
  <si>
    <t xml:space="preserve"> 미/기 5%</t>
  </si>
  <si>
    <t>399.18</t>
  </si>
  <si>
    <t>402.22</t>
  </si>
  <si>
    <t>시스템반도체공학과</t>
  </si>
  <si>
    <t xml:space="preserve">511.68 / </t>
  </si>
  <si>
    <t xml:space="preserve"> 과탐Ⅱ0.3점 가산</t>
  </si>
  <si>
    <t>399.12</t>
  </si>
  <si>
    <t>화학생물공학부</t>
  </si>
  <si>
    <t>399.03</t>
  </si>
  <si>
    <t>401.77</t>
  </si>
  <si>
    <t>첨단융합학부</t>
  </si>
  <si>
    <t xml:space="preserve">401.7 / </t>
  </si>
  <si>
    <t>398.90</t>
  </si>
  <si>
    <t xml:space="preserve">667.5 / </t>
  </si>
  <si>
    <t>1.74</t>
  </si>
  <si>
    <t>3,776</t>
  </si>
  <si>
    <t>398.86</t>
  </si>
  <si>
    <t>생명과학부</t>
  </si>
  <si>
    <t xml:space="preserve">401.5 / </t>
  </si>
  <si>
    <t>물리·천문학부 천문학전공</t>
  </si>
  <si>
    <t>398.75</t>
  </si>
  <si>
    <t>401.40</t>
  </si>
  <si>
    <t>치의학과(학·석사통합과정)</t>
  </si>
  <si>
    <t xml:space="preserve">972.925 / </t>
  </si>
  <si>
    <t>398.63</t>
  </si>
  <si>
    <t>396.46</t>
  </si>
  <si>
    <t>의예과(지역)</t>
  </si>
  <si>
    <t xml:space="preserve">199.13 / </t>
  </si>
  <si>
    <t>398.56</t>
  </si>
  <si>
    <t>401.57</t>
  </si>
  <si>
    <t xml:space="preserve">741.5 / </t>
  </si>
  <si>
    <t>1.80</t>
  </si>
  <si>
    <t>3,906</t>
  </si>
  <si>
    <t>398.51</t>
  </si>
  <si>
    <t xml:space="preserve">796 / </t>
  </si>
  <si>
    <t>401.71</t>
  </si>
  <si>
    <t xml:space="preserve">398 / </t>
  </si>
  <si>
    <t xml:space="preserve">70%컷 99.5점/100만점 </t>
  </si>
  <si>
    <t>398.48</t>
  </si>
  <si>
    <t>401.42</t>
  </si>
  <si>
    <t>항공우주공학과</t>
  </si>
  <si>
    <t xml:space="preserve">401.1 / </t>
  </si>
  <si>
    <t>1.85</t>
  </si>
  <si>
    <t>4,015</t>
  </si>
  <si>
    <t>398.26</t>
  </si>
  <si>
    <t xml:space="preserve">973.3 / </t>
  </si>
  <si>
    <t xml:space="preserve"> 과II5%</t>
  </si>
  <si>
    <t>398.17</t>
  </si>
  <si>
    <t>화학부</t>
  </si>
  <si>
    <t xml:space="preserve">400.8 / </t>
  </si>
  <si>
    <t>1.88</t>
  </si>
  <si>
    <t>4,080</t>
  </si>
  <si>
    <t>398.06</t>
  </si>
  <si>
    <t>398.05</t>
  </si>
  <si>
    <t>401.41</t>
  </si>
  <si>
    <t xml:space="preserve">506.35 / </t>
  </si>
  <si>
    <t>398.01</t>
  </si>
  <si>
    <t>398.94</t>
  </si>
  <si>
    <t xml:space="preserve">980.57 / </t>
  </si>
  <si>
    <t>398.00</t>
  </si>
  <si>
    <t>400.96</t>
  </si>
  <si>
    <t xml:space="preserve">503 / </t>
  </si>
  <si>
    <t>397.97</t>
  </si>
  <si>
    <t>401.18</t>
  </si>
  <si>
    <t>재료공학부</t>
  </si>
  <si>
    <t xml:space="preserve">400.6 / </t>
  </si>
  <si>
    <t>397.93</t>
  </si>
  <si>
    <t xml:space="preserve">198.79 / </t>
  </si>
  <si>
    <t>1.91</t>
  </si>
  <si>
    <t>4,145</t>
  </si>
  <si>
    <t xml:space="preserve">992.41 / </t>
  </si>
  <si>
    <t>397.83</t>
  </si>
  <si>
    <t xml:space="preserve">980 / </t>
  </si>
  <si>
    <t xml:space="preserve">392점/400만점 </t>
  </si>
  <si>
    <t>1.94</t>
  </si>
  <si>
    <t>4,210</t>
  </si>
  <si>
    <t>치의학과(학·석사통합과정)(지역)</t>
  </si>
  <si>
    <t xml:space="preserve">970.866 / </t>
  </si>
  <si>
    <t>397.66</t>
  </si>
  <si>
    <t>401.04</t>
  </si>
  <si>
    <t>바이오시스템·소재학부</t>
  </si>
  <si>
    <t xml:space="preserve">400.3 / </t>
  </si>
  <si>
    <t>원자핵공학과</t>
  </si>
  <si>
    <t>1.96</t>
  </si>
  <si>
    <t>4,253</t>
  </si>
  <si>
    <t>397.54</t>
  </si>
  <si>
    <t xml:space="preserve">368.09 / </t>
  </si>
  <si>
    <t>401.79</t>
  </si>
  <si>
    <t xml:space="preserve">538.36 / </t>
  </si>
  <si>
    <t xml:space="preserve">총점800 </t>
  </si>
  <si>
    <t>397.71</t>
  </si>
  <si>
    <t>지리학과</t>
  </si>
  <si>
    <t xml:space="preserve">397.3 / </t>
  </si>
  <si>
    <t>397.42</t>
  </si>
  <si>
    <t>400.90</t>
  </si>
  <si>
    <t xml:space="preserve">709.818 / </t>
  </si>
  <si>
    <t>397.40</t>
  </si>
  <si>
    <t xml:space="preserve">709.79 / </t>
  </si>
  <si>
    <t>397.33</t>
  </si>
  <si>
    <t>400.25</t>
  </si>
  <si>
    <t>한의예과</t>
  </si>
  <si>
    <t xml:space="preserve">97.5 / </t>
  </si>
  <si>
    <t>2.03</t>
  </si>
  <si>
    <t>4,405</t>
  </si>
  <si>
    <t>397.27</t>
  </si>
  <si>
    <t xml:space="preserve">717.2 / </t>
  </si>
  <si>
    <t xml:space="preserve">975.65 / </t>
  </si>
  <si>
    <t xml:space="preserve"> 과3%가산</t>
  </si>
  <si>
    <t>397.26</t>
  </si>
  <si>
    <t>400.58</t>
  </si>
  <si>
    <t>건설환경공학부</t>
  </si>
  <si>
    <t>397.13</t>
  </si>
  <si>
    <t xml:space="preserve">604.8 / </t>
  </si>
  <si>
    <t>397.30</t>
  </si>
  <si>
    <t>농경제사회학부</t>
  </si>
  <si>
    <t xml:space="preserve">396.9 / </t>
  </si>
  <si>
    <t>2.11</t>
  </si>
  <si>
    <t>4,579</t>
  </si>
  <si>
    <t>400.26</t>
  </si>
  <si>
    <t xml:space="preserve">716.79 / </t>
  </si>
  <si>
    <t>2.14</t>
  </si>
  <si>
    <t>4,644</t>
  </si>
  <si>
    <t xml:space="preserve">399.5 / </t>
  </si>
  <si>
    <t>396.82</t>
  </si>
  <si>
    <t>400.36</t>
  </si>
  <si>
    <t>양자정보공학과</t>
  </si>
  <si>
    <t xml:space="preserve">670.41 / </t>
  </si>
  <si>
    <t>반도체융합공학과</t>
  </si>
  <si>
    <t>2.17</t>
  </si>
  <si>
    <t>4,709</t>
  </si>
  <si>
    <t>396.65</t>
  </si>
  <si>
    <t>399.78</t>
  </si>
  <si>
    <t>건축학과</t>
  </si>
  <si>
    <t xml:space="preserve">399.3 / </t>
  </si>
  <si>
    <t xml:space="preserve">968.791 / </t>
  </si>
  <si>
    <t>2.20</t>
  </si>
  <si>
    <t>4,774</t>
  </si>
  <si>
    <t>396.54</t>
  </si>
  <si>
    <t>399.90</t>
  </si>
  <si>
    <t>지구환경과학부</t>
  </si>
  <si>
    <t xml:space="preserve">399.2 / </t>
  </si>
  <si>
    <t>반도체시스템공학과</t>
  </si>
  <si>
    <t xml:space="preserve">669.92 / </t>
  </si>
  <si>
    <t>396.38</t>
  </si>
  <si>
    <t>399.48</t>
  </si>
  <si>
    <t>396.37</t>
  </si>
  <si>
    <t>399.10</t>
  </si>
  <si>
    <t>강릉원주대</t>
  </si>
  <si>
    <t xml:space="preserve">978.5 / </t>
  </si>
  <si>
    <t>396.31</t>
  </si>
  <si>
    <t>399.59</t>
  </si>
  <si>
    <t xml:space="preserve">198 / </t>
  </si>
  <si>
    <t>기계공학부</t>
  </si>
  <si>
    <t>396.12</t>
  </si>
  <si>
    <t xml:space="preserve">1006.9 / </t>
  </si>
  <si>
    <t xml:space="preserve"> 과탐5%, 과II 7%가산</t>
  </si>
  <si>
    <t>396.10</t>
  </si>
  <si>
    <t>399.56</t>
  </si>
  <si>
    <t>지능형소프트웨어학과</t>
  </si>
  <si>
    <t xml:space="preserve">669.42 / </t>
  </si>
  <si>
    <t>396.03</t>
  </si>
  <si>
    <t>398.71</t>
  </si>
  <si>
    <t>약학과(지역)</t>
  </si>
  <si>
    <t xml:space="preserve">294.08 / </t>
  </si>
  <si>
    <t xml:space="preserve">398.7 / </t>
  </si>
  <si>
    <t>2.32</t>
  </si>
  <si>
    <t>5,034</t>
  </si>
  <si>
    <t>396.00</t>
  </si>
  <si>
    <t xml:space="preserve">792.2 / </t>
  </si>
  <si>
    <t>395.94</t>
  </si>
  <si>
    <t xml:space="preserve">991 / </t>
  </si>
  <si>
    <t>2.27</t>
  </si>
  <si>
    <t>4,926</t>
  </si>
  <si>
    <t>396.18</t>
  </si>
  <si>
    <t>국어교육과</t>
  </si>
  <si>
    <t xml:space="preserve">395.8 / </t>
  </si>
  <si>
    <t>2.35</t>
  </si>
  <si>
    <t>5,100</t>
  </si>
  <si>
    <t>395.87</t>
  </si>
  <si>
    <t>399.19</t>
  </si>
  <si>
    <t xml:space="preserve">788.4 / </t>
  </si>
  <si>
    <t>의류학과</t>
  </si>
  <si>
    <t>395.77</t>
  </si>
  <si>
    <t>미래산업약학전공</t>
  </si>
  <si>
    <t xml:space="preserve">984.1 / </t>
  </si>
  <si>
    <t>395.78</t>
  </si>
  <si>
    <t>399.17</t>
  </si>
  <si>
    <t>글로벌바이오메디컬공학과</t>
  </si>
  <si>
    <t xml:space="preserve">669.01 / </t>
  </si>
  <si>
    <t>약학부(지역)</t>
  </si>
  <si>
    <t xml:space="preserve">967.283 / </t>
  </si>
  <si>
    <t>395.62</t>
  </si>
  <si>
    <t>399.02</t>
  </si>
  <si>
    <t xml:space="preserve">398.3 / </t>
  </si>
  <si>
    <t>2.37</t>
  </si>
  <si>
    <t>5,143</t>
  </si>
  <si>
    <t>395.57</t>
  </si>
  <si>
    <t xml:space="preserve">985.4 / </t>
  </si>
  <si>
    <t>심리학과</t>
  </si>
  <si>
    <t xml:space="preserve">395.4 / </t>
  </si>
  <si>
    <t>영어교육과</t>
  </si>
  <si>
    <t>사회학과</t>
  </si>
  <si>
    <t>395.49</t>
  </si>
  <si>
    <t>398.92</t>
  </si>
  <si>
    <t>에너지학과</t>
  </si>
  <si>
    <t xml:space="preserve">668.65 / </t>
  </si>
  <si>
    <t>395.40</t>
  </si>
  <si>
    <t xml:space="preserve">516.11 / </t>
  </si>
  <si>
    <t>화학교육과</t>
  </si>
  <si>
    <t>395.24</t>
  </si>
  <si>
    <t xml:space="preserve">536.16 / </t>
  </si>
  <si>
    <t>395.22</t>
  </si>
  <si>
    <t>398.72</t>
  </si>
  <si>
    <t>약학전공</t>
  </si>
  <si>
    <t xml:space="preserve">983.07 / </t>
  </si>
  <si>
    <t>395.46</t>
  </si>
  <si>
    <t>역사교육과</t>
  </si>
  <si>
    <t xml:space="preserve">395.1 / </t>
  </si>
  <si>
    <t>395.10</t>
  </si>
  <si>
    <t>398.89</t>
  </si>
  <si>
    <t>조경·지역시스템공학부</t>
  </si>
  <si>
    <t xml:space="preserve">397.8 / </t>
  </si>
  <si>
    <t>395.04</t>
  </si>
  <si>
    <t>융합전자공학부</t>
  </si>
  <si>
    <t xml:space="preserve">954.22 / </t>
  </si>
  <si>
    <t>395.00</t>
  </si>
  <si>
    <t xml:space="preserve">500 / </t>
  </si>
  <si>
    <t>응용생물화학부</t>
  </si>
  <si>
    <t xml:space="preserve">397.7 / </t>
  </si>
  <si>
    <t>식품·동물생명공학부</t>
  </si>
  <si>
    <t>2.42</t>
  </si>
  <si>
    <t>5,251</t>
  </si>
  <si>
    <t>398.73</t>
  </si>
  <si>
    <t>수의예과(지역)</t>
  </si>
  <si>
    <t xml:space="preserve">197.3 / </t>
  </si>
  <si>
    <t>394.87</t>
  </si>
  <si>
    <t>한의예(유형Ⅰ)</t>
  </si>
  <si>
    <t xml:space="preserve">984 / </t>
  </si>
  <si>
    <t>395.15</t>
  </si>
  <si>
    <t>간호대학</t>
  </si>
  <si>
    <t xml:space="preserve">394.8 / </t>
  </si>
  <si>
    <t>394.80</t>
  </si>
  <si>
    <t>398.24</t>
  </si>
  <si>
    <t xml:space="preserve">790.4 / </t>
  </si>
  <si>
    <t>2.44</t>
  </si>
  <si>
    <t>5,295</t>
  </si>
  <si>
    <t>394.70</t>
  </si>
  <si>
    <t xml:space="preserve">705.922 / </t>
  </si>
  <si>
    <t>394.56</t>
  </si>
  <si>
    <t xml:space="preserve">956.9 / </t>
  </si>
  <si>
    <t>아동가족학전공</t>
  </si>
  <si>
    <t xml:space="preserve">394.5 / </t>
  </si>
  <si>
    <t xml:space="preserve">1000 / </t>
  </si>
  <si>
    <t>사회교육과</t>
  </si>
  <si>
    <t xml:space="preserve">394.4 / </t>
  </si>
  <si>
    <t xml:space="preserve">991.06 / </t>
  </si>
  <si>
    <t>394.22</t>
  </si>
  <si>
    <t xml:space="preserve">365.41 / </t>
  </si>
  <si>
    <t>394.54</t>
  </si>
  <si>
    <t>언론정보학과</t>
  </si>
  <si>
    <t xml:space="preserve">394.2 / </t>
  </si>
  <si>
    <t>394.18</t>
  </si>
  <si>
    <t>394.61</t>
  </si>
  <si>
    <t>식물생산과학부</t>
  </si>
  <si>
    <t>398.08</t>
  </si>
  <si>
    <t>산림과학부</t>
  </si>
  <si>
    <t>398.12</t>
  </si>
  <si>
    <t>수학교육과</t>
  </si>
  <si>
    <t>394.12</t>
  </si>
  <si>
    <t xml:space="preserve">964.167 / </t>
  </si>
  <si>
    <t>398.02</t>
  </si>
  <si>
    <t xml:space="preserve">365.33 / </t>
  </si>
  <si>
    <t>394.10</t>
  </si>
  <si>
    <t>394.33</t>
  </si>
  <si>
    <t>정치외교학부</t>
  </si>
  <si>
    <t>2.65</t>
  </si>
  <si>
    <t>5,751</t>
  </si>
  <si>
    <t>글로벌경영학과</t>
  </si>
  <si>
    <t xml:space="preserve">657.17 / </t>
  </si>
  <si>
    <t>393.83</t>
  </si>
  <si>
    <t>396.88</t>
  </si>
  <si>
    <t xml:space="preserve">96.8 / </t>
  </si>
  <si>
    <t>394.13</t>
  </si>
  <si>
    <t>역사학부</t>
  </si>
  <si>
    <t xml:space="preserve">393.8 / </t>
  </si>
  <si>
    <t>2.70</t>
  </si>
  <si>
    <t>5,859</t>
  </si>
  <si>
    <t>393.77</t>
  </si>
  <si>
    <t>397.06</t>
  </si>
  <si>
    <t>지구과학교육과</t>
  </si>
  <si>
    <t xml:space="preserve">396.5 / </t>
  </si>
  <si>
    <t>식품영양학과</t>
  </si>
  <si>
    <t xml:space="preserve">393.7 / </t>
  </si>
  <si>
    <t>2.74</t>
  </si>
  <si>
    <t>5,946</t>
  </si>
  <si>
    <t>393.66</t>
  </si>
  <si>
    <t xml:space="preserve">982.7 / </t>
  </si>
  <si>
    <t xml:space="preserve"> 미적3점 기하3점 과탐3점 가산</t>
  </si>
  <si>
    <t>393.46</t>
  </si>
  <si>
    <t>396.61</t>
  </si>
  <si>
    <t>생물교육과</t>
  </si>
  <si>
    <t xml:space="preserve">396.2 / </t>
  </si>
  <si>
    <t>393.72</t>
  </si>
  <si>
    <t>소비자학전공</t>
  </si>
  <si>
    <t xml:space="preserve">393.4 / </t>
  </si>
  <si>
    <t>2.90</t>
  </si>
  <si>
    <t>6,293</t>
  </si>
  <si>
    <t>에너지자원공학과</t>
  </si>
  <si>
    <t xml:space="preserve">396 / </t>
  </si>
  <si>
    <t>2.93</t>
  </si>
  <si>
    <t>6,358</t>
  </si>
  <si>
    <t>차세대통신학과</t>
  </si>
  <si>
    <t>2.95</t>
  </si>
  <si>
    <t>6,402</t>
  </si>
  <si>
    <t>393.11</t>
  </si>
  <si>
    <t>396.21</t>
  </si>
  <si>
    <t xml:space="preserve">999 / </t>
  </si>
  <si>
    <t>2.99</t>
  </si>
  <si>
    <t>6,488</t>
  </si>
  <si>
    <t>393.00</t>
  </si>
  <si>
    <t xml:space="preserve">528 / </t>
  </si>
  <si>
    <t>윤리교육과</t>
  </si>
  <si>
    <t xml:space="preserve">393 / </t>
  </si>
  <si>
    <t>제약학과</t>
  </si>
  <si>
    <t xml:space="preserve">990.49 / </t>
  </si>
  <si>
    <t xml:space="preserve">추정점수(미발표) </t>
  </si>
  <si>
    <t>3.05</t>
  </si>
  <si>
    <t>6,619</t>
  </si>
  <si>
    <t>392.78</t>
  </si>
  <si>
    <t>스마트모빌리티학부</t>
  </si>
  <si>
    <t>392.18</t>
  </si>
  <si>
    <t>학부대학</t>
  </si>
  <si>
    <t xml:space="preserve">667.42 / </t>
  </si>
  <si>
    <t>3.09</t>
  </si>
  <si>
    <t>6,705</t>
  </si>
  <si>
    <t>392.64</t>
  </si>
  <si>
    <t xml:space="preserve">1026.48 / </t>
  </si>
  <si>
    <t>국/영 택1 미/기10%, 과탐5%가산</t>
  </si>
  <si>
    <t xml:space="preserve">962.6 / </t>
  </si>
  <si>
    <t xml:space="preserve">951.04 / </t>
  </si>
  <si>
    <t xml:space="preserve">990.19 / </t>
  </si>
  <si>
    <t>제약학과(지역)</t>
  </si>
  <si>
    <t>3.26</t>
  </si>
  <si>
    <t>7,074</t>
  </si>
  <si>
    <t>392.09</t>
  </si>
  <si>
    <t xml:space="preserve">500.2 / </t>
  </si>
  <si>
    <t>3.29</t>
  </si>
  <si>
    <t>7,139</t>
  </si>
  <si>
    <t>392.00</t>
  </si>
  <si>
    <t>395.44</t>
  </si>
  <si>
    <t xml:space="preserve">527 / </t>
  </si>
  <si>
    <t>391.95</t>
  </si>
  <si>
    <t xml:space="preserve">363.57 / </t>
  </si>
  <si>
    <t>3.32</t>
  </si>
  <si>
    <t>7,204</t>
  </si>
  <si>
    <t>391.93</t>
  </si>
  <si>
    <t>395.38</t>
  </si>
  <si>
    <t xml:space="preserve">781.4 / </t>
  </si>
  <si>
    <t>391.90</t>
  </si>
  <si>
    <t>395.36</t>
  </si>
  <si>
    <t xml:space="preserve">993 / </t>
  </si>
  <si>
    <t>80%컷992.7 미/기/과탐(Ⅰ,Ⅱ)/과탐(Ⅱ,Ⅱ) 5%가산</t>
  </si>
  <si>
    <t>3.35</t>
  </si>
  <si>
    <t>7,270</t>
  </si>
  <si>
    <t>한의예B</t>
  </si>
  <si>
    <t xml:space="preserve">971 / </t>
  </si>
  <si>
    <t xml:space="preserve">781.2 / </t>
  </si>
  <si>
    <t>391.81</t>
  </si>
  <si>
    <t>신소재공학부</t>
  </si>
  <si>
    <t xml:space="preserve">667.13 / </t>
  </si>
  <si>
    <t>3.40</t>
  </si>
  <si>
    <t>7,378</t>
  </si>
  <si>
    <t xml:space="preserve">963.7 / </t>
  </si>
  <si>
    <t>391.60</t>
  </si>
  <si>
    <t>395.14</t>
  </si>
  <si>
    <t xml:space="preserve">666.76 / </t>
  </si>
  <si>
    <t xml:space="preserve">963.48 / </t>
  </si>
  <si>
    <t>391.44</t>
  </si>
  <si>
    <t xml:space="preserve">947.62 / </t>
  </si>
  <si>
    <t>391.41</t>
  </si>
  <si>
    <t>데이터사이언스학부</t>
  </si>
  <si>
    <t xml:space="preserve">947.54 / </t>
  </si>
  <si>
    <t>3.48</t>
  </si>
  <si>
    <t>7,552</t>
  </si>
  <si>
    <t xml:space="preserve">947.41 / </t>
  </si>
  <si>
    <t xml:space="preserve">711.625 / </t>
  </si>
  <si>
    <t>3.49</t>
  </si>
  <si>
    <t>7,573</t>
  </si>
  <si>
    <t>391.31</t>
  </si>
  <si>
    <t xml:space="preserve">701.103 / </t>
  </si>
  <si>
    <t>391.65</t>
  </si>
  <si>
    <t xml:space="preserve">391.3 / </t>
  </si>
  <si>
    <t>3.51</t>
  </si>
  <si>
    <t>7,617</t>
  </si>
  <si>
    <t>인공지능학과</t>
  </si>
  <si>
    <t xml:space="preserve">666.1 / </t>
  </si>
  <si>
    <t>3.54</t>
  </si>
  <si>
    <t>7,682</t>
  </si>
  <si>
    <t>391.14</t>
  </si>
  <si>
    <t>에너지공학과</t>
  </si>
  <si>
    <t xml:space="preserve">946.89 / </t>
  </si>
  <si>
    <t>391.15</t>
  </si>
  <si>
    <t>화학공학과</t>
  </si>
  <si>
    <t xml:space="preserve">946.92 / </t>
  </si>
  <si>
    <t>391.12</t>
  </si>
  <si>
    <t xml:space="preserve">581.8 / </t>
  </si>
  <si>
    <t>800만점 과탐Ⅱ2점 가산</t>
  </si>
  <si>
    <t xml:space="preserve">499.5 / </t>
  </si>
  <si>
    <t>391.02</t>
  </si>
  <si>
    <t>컴퓨터학과</t>
  </si>
  <si>
    <t xml:space="preserve">665.7 / </t>
  </si>
  <si>
    <t>3.58</t>
  </si>
  <si>
    <t>7,769</t>
  </si>
  <si>
    <t>390.99</t>
  </si>
  <si>
    <t xml:space="preserve">700.583 / </t>
  </si>
  <si>
    <t>390.91</t>
  </si>
  <si>
    <t>394.53</t>
  </si>
  <si>
    <t>한의예A</t>
  </si>
  <si>
    <t xml:space="preserve">970 / </t>
  </si>
  <si>
    <t>390.95</t>
  </si>
  <si>
    <t xml:space="preserve">946.43 / </t>
  </si>
  <si>
    <t>3.63</t>
  </si>
  <si>
    <t>7,877</t>
  </si>
  <si>
    <t>390.85</t>
  </si>
  <si>
    <t>컴퓨터소프트웨어학부</t>
  </si>
  <si>
    <t xml:space="preserve">946.18 / </t>
  </si>
  <si>
    <t>390.84</t>
  </si>
  <si>
    <t>생명공학과</t>
  </si>
  <si>
    <t xml:space="preserve">700.348 / </t>
  </si>
  <si>
    <t>390.79</t>
  </si>
  <si>
    <t>394.49</t>
  </si>
  <si>
    <t xml:space="preserve">195.16 / </t>
  </si>
  <si>
    <t>원자력공학과</t>
  </si>
  <si>
    <t xml:space="preserve">946.04 / </t>
  </si>
  <si>
    <t>바이오시스템의과학부</t>
  </si>
  <si>
    <t xml:space="preserve">665.3 / </t>
  </si>
  <si>
    <t xml:space="preserve">700.153 / </t>
  </si>
  <si>
    <t>3.69</t>
  </si>
  <si>
    <t>8,007</t>
  </si>
  <si>
    <t>390.65</t>
  </si>
  <si>
    <t>융합과학공학부</t>
  </si>
  <si>
    <t xml:space="preserve">639.42 / </t>
  </si>
  <si>
    <t>3.72</t>
  </si>
  <si>
    <t>8,072</t>
  </si>
  <si>
    <t>390.54</t>
  </si>
  <si>
    <t>전자공학부 모바일공학전공</t>
  </si>
  <si>
    <t xml:space="preserve">703.56 / </t>
  </si>
  <si>
    <t>3.76</t>
  </si>
  <si>
    <t>8,159</t>
  </si>
  <si>
    <t>390.43</t>
  </si>
  <si>
    <t xml:space="preserve">95.73 / </t>
  </si>
  <si>
    <t xml:space="preserve"> 과II 5%가산</t>
  </si>
  <si>
    <t>3.77</t>
  </si>
  <si>
    <t>8,181</t>
  </si>
  <si>
    <t>390.40</t>
  </si>
  <si>
    <t>바이오메디컬공학전공</t>
  </si>
  <si>
    <t xml:space="preserve">945.11 / </t>
  </si>
  <si>
    <t>실내건축학과</t>
  </si>
  <si>
    <t xml:space="preserve">710 / </t>
  </si>
  <si>
    <t>3.81</t>
  </si>
  <si>
    <t>8,268</t>
  </si>
  <si>
    <t>394.08</t>
  </si>
  <si>
    <t>생명공학부</t>
  </si>
  <si>
    <t xml:space="preserve">664.37 / </t>
  </si>
  <si>
    <t>화공생명공학과</t>
  </si>
  <si>
    <t>390.24</t>
  </si>
  <si>
    <t>융합에너지공학과</t>
  </si>
  <si>
    <t xml:space="preserve">664.29 / </t>
  </si>
  <si>
    <t>390.09</t>
  </si>
  <si>
    <t xml:space="preserve">983 / </t>
  </si>
  <si>
    <t xml:space="preserve"> 미/기5%, 과탐3%가산</t>
  </si>
  <si>
    <t>3.90</t>
  </si>
  <si>
    <t>8,463</t>
  </si>
  <si>
    <t>390.03</t>
  </si>
  <si>
    <t>393.86</t>
  </si>
  <si>
    <t>소프트웨어학과</t>
  </si>
  <si>
    <t xml:space="preserve">660.95 / </t>
  </si>
  <si>
    <t>393.87</t>
  </si>
  <si>
    <t xml:space="preserve">663.91 / </t>
  </si>
  <si>
    <t>390.04</t>
  </si>
  <si>
    <t>화공생명공학부</t>
  </si>
  <si>
    <t xml:space="preserve">699.092 / </t>
  </si>
  <si>
    <t>393.79</t>
  </si>
  <si>
    <t xml:space="preserve">392 / </t>
  </si>
  <si>
    <t xml:space="preserve">70%컷 98점/100만점 </t>
  </si>
  <si>
    <t>389.89</t>
  </si>
  <si>
    <t>미래자동차공학과</t>
  </si>
  <si>
    <t xml:space="preserve">944.1 / </t>
  </si>
  <si>
    <t>스마트보안학부</t>
  </si>
  <si>
    <t xml:space="preserve">663.67 / </t>
  </si>
  <si>
    <t>3.95</t>
  </si>
  <si>
    <t>8,572</t>
  </si>
  <si>
    <t>389.82</t>
  </si>
  <si>
    <t xml:space="preserve">943.98 / </t>
  </si>
  <si>
    <t>389.71</t>
  </si>
  <si>
    <t>393.78</t>
  </si>
  <si>
    <t xml:space="preserve">943.77 / </t>
  </si>
  <si>
    <t>3.98</t>
  </si>
  <si>
    <t>8,637</t>
  </si>
  <si>
    <t>389.69</t>
  </si>
  <si>
    <t>393.76</t>
  </si>
  <si>
    <t xml:space="preserve">663.18 / </t>
  </si>
  <si>
    <t>4.04</t>
  </si>
  <si>
    <t>8,767</t>
  </si>
  <si>
    <t>393.80</t>
  </si>
  <si>
    <t xml:space="preserve">959.34 / </t>
  </si>
  <si>
    <t>394.79</t>
  </si>
  <si>
    <t>한양인터칼리지학부</t>
  </si>
  <si>
    <t xml:space="preserve">942.81 / </t>
  </si>
  <si>
    <t>4.07</t>
  </si>
  <si>
    <t>8,832</t>
  </si>
  <si>
    <t>데이터과학과</t>
  </si>
  <si>
    <t xml:space="preserve">662.97 / </t>
  </si>
  <si>
    <t xml:space="preserve">661.91 / </t>
  </si>
  <si>
    <t>4.26</t>
  </si>
  <si>
    <t>9,244</t>
  </si>
  <si>
    <t>389.02</t>
  </si>
  <si>
    <t>394.65</t>
  </si>
  <si>
    <t>정치외교학과</t>
  </si>
  <si>
    <t xml:space="preserve">661.78 / </t>
  </si>
  <si>
    <t>389.29</t>
  </si>
  <si>
    <t>393.69</t>
  </si>
  <si>
    <t>생명과학과</t>
  </si>
  <si>
    <t xml:space="preserve">942.96 / </t>
  </si>
  <si>
    <t>건축사회환경공학부</t>
  </si>
  <si>
    <t xml:space="preserve">662.64 / </t>
  </si>
  <si>
    <t>389.27</t>
  </si>
  <si>
    <t xml:space="preserve">942.92 / </t>
  </si>
  <si>
    <t>389.23</t>
  </si>
  <si>
    <t xml:space="preserve">697.857 / </t>
  </si>
  <si>
    <t>389.13</t>
  </si>
  <si>
    <t>393.48</t>
  </si>
  <si>
    <t>첨단컴퓨팅학부</t>
  </si>
  <si>
    <t xml:space="preserve">697.692 / </t>
  </si>
  <si>
    <t xml:space="preserve">697.516 / </t>
  </si>
  <si>
    <t>389.00</t>
  </si>
  <si>
    <t>대기과학과</t>
  </si>
  <si>
    <t xml:space="preserve">697.477 / </t>
  </si>
  <si>
    <t>389.01</t>
  </si>
  <si>
    <t>지능형반도체전공</t>
  </si>
  <si>
    <t>388.99</t>
  </si>
  <si>
    <t>393.37</t>
  </si>
  <si>
    <t>건축공학부</t>
  </si>
  <si>
    <t xml:space="preserve">942.35 / </t>
  </si>
  <si>
    <t>388.97</t>
  </si>
  <si>
    <t>통합디자인학과</t>
  </si>
  <si>
    <t xml:space="preserve">708.083 / </t>
  </si>
  <si>
    <t>정보시스템학과(상경)</t>
  </si>
  <si>
    <t xml:space="preserve">941.6 / </t>
  </si>
  <si>
    <t>388.96</t>
  </si>
  <si>
    <t>인문학기반자유전공학부</t>
  </si>
  <si>
    <t xml:space="preserve">502.41 / </t>
  </si>
  <si>
    <t>388.91</t>
  </si>
  <si>
    <t xml:space="preserve">972.85 / </t>
  </si>
  <si>
    <t>388.92</t>
  </si>
  <si>
    <t>글로벌융합학부</t>
  </si>
  <si>
    <t xml:space="preserve">650.35 / </t>
  </si>
  <si>
    <t>4.29</t>
  </si>
  <si>
    <t>9,309</t>
  </si>
  <si>
    <t>393.28</t>
  </si>
  <si>
    <t xml:space="preserve">661.89 / </t>
  </si>
  <si>
    <t>4.30</t>
  </si>
  <si>
    <t>9,331</t>
  </si>
  <si>
    <t>388.84</t>
  </si>
  <si>
    <t>보건환경융합과학부</t>
  </si>
  <si>
    <t xml:space="preserve">661.8 / </t>
  </si>
  <si>
    <t>388.81</t>
  </si>
  <si>
    <t xml:space="preserve">941.99 / </t>
  </si>
  <si>
    <t>4.32</t>
  </si>
  <si>
    <t>9,374</t>
  </si>
  <si>
    <t>388.79</t>
  </si>
  <si>
    <t>자유전공계열</t>
  </si>
  <si>
    <t xml:space="preserve">659.03 / </t>
  </si>
  <si>
    <t>388.78</t>
  </si>
  <si>
    <t>환경생태공학부</t>
  </si>
  <si>
    <t xml:space="preserve">661.68 / </t>
  </si>
  <si>
    <t>4.37</t>
  </si>
  <si>
    <t>9,483</t>
  </si>
  <si>
    <t>388.42</t>
  </si>
  <si>
    <t>보건정책관리학부</t>
  </si>
  <si>
    <t xml:space="preserve">660.69 / </t>
  </si>
  <si>
    <t>4.33</t>
  </si>
  <si>
    <t>9,396</t>
  </si>
  <si>
    <t>388.72</t>
  </si>
  <si>
    <t>393.13</t>
  </si>
  <si>
    <t>유기나노공학과</t>
  </si>
  <si>
    <t xml:space="preserve">941.81 / </t>
  </si>
  <si>
    <t xml:space="preserve">661.5 / </t>
  </si>
  <si>
    <t>4.34</t>
  </si>
  <si>
    <t>9,418</t>
  </si>
  <si>
    <t>388.65</t>
  </si>
  <si>
    <t>393.08</t>
  </si>
  <si>
    <t xml:space="preserve">967.5 / </t>
  </si>
  <si>
    <t>388.63</t>
  </si>
  <si>
    <t>치의예과(지역)</t>
  </si>
  <si>
    <t xml:space="preserve">360.52 / </t>
  </si>
  <si>
    <t>388.64</t>
  </si>
  <si>
    <t>393.10</t>
  </si>
  <si>
    <t>전기공학전공</t>
  </si>
  <si>
    <t xml:space="preserve">941.63 / </t>
  </si>
  <si>
    <t>388.60</t>
  </si>
  <si>
    <t>388.27</t>
  </si>
  <si>
    <t>국어국문학과</t>
  </si>
  <si>
    <t xml:space="preserve">660.42 / </t>
  </si>
  <si>
    <t>388.58</t>
  </si>
  <si>
    <t xml:space="preserve"> 미/기 10%</t>
  </si>
  <si>
    <t>388.55</t>
  </si>
  <si>
    <t>392.98</t>
  </si>
  <si>
    <t>건설환경공학과</t>
  </si>
  <si>
    <t xml:space="preserve">941.45 / </t>
  </si>
  <si>
    <t>388.52</t>
  </si>
  <si>
    <t>의류환경학과</t>
  </si>
  <si>
    <t xml:space="preserve">707.433 / </t>
  </si>
  <si>
    <t>388.46</t>
  </si>
  <si>
    <t>IT융합공학전공</t>
  </si>
  <si>
    <t xml:space="preserve">696.581 / </t>
  </si>
  <si>
    <t xml:space="preserve">660.96 / </t>
  </si>
  <si>
    <t>간호학과</t>
  </si>
  <si>
    <t xml:space="preserve">707.241 / </t>
  </si>
  <si>
    <t>4.41</t>
  </si>
  <si>
    <t>9,570</t>
  </si>
  <si>
    <t>388.33</t>
  </si>
  <si>
    <t xml:space="preserve">941 / </t>
  </si>
  <si>
    <t>392.71</t>
  </si>
  <si>
    <t>도시공학과</t>
  </si>
  <si>
    <t xml:space="preserve">696.348 / </t>
  </si>
  <si>
    <t>388.31</t>
  </si>
  <si>
    <t>392.70</t>
  </si>
  <si>
    <t xml:space="preserve">971.2 / </t>
  </si>
  <si>
    <t>388.30</t>
  </si>
  <si>
    <t>글로벌리더학부</t>
  </si>
  <si>
    <t xml:space="preserve">649.35 / </t>
  </si>
  <si>
    <t>388.25</t>
  </si>
  <si>
    <t>지구시스템과학과</t>
  </si>
  <si>
    <t xml:space="preserve">696.23 / </t>
  </si>
  <si>
    <t>4.64</t>
  </si>
  <si>
    <t>10,069</t>
  </si>
  <si>
    <t>387.85</t>
  </si>
  <si>
    <t>영어영문학과</t>
  </si>
  <si>
    <t xml:space="preserve">659.68 / </t>
  </si>
  <si>
    <t>4.63</t>
  </si>
  <si>
    <t>10,047</t>
  </si>
  <si>
    <t>387.86</t>
  </si>
  <si>
    <t>경제학과</t>
  </si>
  <si>
    <t xml:space="preserve">659.71 / </t>
  </si>
  <si>
    <t>4.51</t>
  </si>
  <si>
    <t>9,787</t>
  </si>
  <si>
    <t>388.13</t>
  </si>
  <si>
    <t>디스플레이융합공학과</t>
  </si>
  <si>
    <t xml:space="preserve">696.025 / </t>
  </si>
  <si>
    <t>4.53</t>
  </si>
  <si>
    <t>9,830</t>
  </si>
  <si>
    <t>388.10</t>
  </si>
  <si>
    <t>식품공학과</t>
  </si>
  <si>
    <t xml:space="preserve">660.41 / </t>
  </si>
  <si>
    <t>4.54</t>
  </si>
  <si>
    <t>9,852</t>
  </si>
  <si>
    <t>388.07</t>
  </si>
  <si>
    <t>392.30</t>
  </si>
  <si>
    <t xml:space="preserve">695.926 / </t>
  </si>
  <si>
    <t>4.57</t>
  </si>
  <si>
    <t>9,917</t>
  </si>
  <si>
    <t>388.01</t>
  </si>
  <si>
    <t>392.22</t>
  </si>
  <si>
    <t>자원환경공학과</t>
  </si>
  <si>
    <t xml:space="preserve">940.35 / </t>
  </si>
  <si>
    <t xml:space="preserve">501.75 / </t>
  </si>
  <si>
    <t>387.94</t>
  </si>
  <si>
    <t>392.19</t>
  </si>
  <si>
    <t>4.59</t>
  </si>
  <si>
    <t>9,960</t>
  </si>
  <si>
    <t>387.95</t>
  </si>
  <si>
    <t xml:space="preserve">660.11 / </t>
  </si>
  <si>
    <t>4.58</t>
  </si>
  <si>
    <t>9,939</t>
  </si>
  <si>
    <t>사회환경시스템공학부</t>
  </si>
  <si>
    <t xml:space="preserve">695.759 / </t>
  </si>
  <si>
    <t>387.87</t>
  </si>
  <si>
    <t>392.08</t>
  </si>
  <si>
    <t xml:space="preserve">398.5 / </t>
  </si>
  <si>
    <t>경영학과</t>
  </si>
  <si>
    <t xml:space="preserve">698.345 / </t>
  </si>
  <si>
    <t xml:space="preserve"> 사탐3%가산</t>
  </si>
  <si>
    <t>4.65</t>
  </si>
  <si>
    <t>10,091</t>
  </si>
  <si>
    <t>387.82</t>
  </si>
  <si>
    <t>AI기반자유전공학부</t>
  </si>
  <si>
    <t xml:space="preserve">501.67 / </t>
  </si>
  <si>
    <t>4.79</t>
  </si>
  <si>
    <t>10,394</t>
  </si>
  <si>
    <t>387.43</t>
  </si>
  <si>
    <t>388.08</t>
  </si>
  <si>
    <t xml:space="preserve">658.94 / </t>
  </si>
  <si>
    <t>4.67</t>
  </si>
  <si>
    <t>10,134</t>
  </si>
  <si>
    <t>387.76</t>
  </si>
  <si>
    <t>바이오의공학부</t>
  </si>
  <si>
    <t xml:space="preserve">659.77 / </t>
  </si>
  <si>
    <t>387.73</t>
  </si>
  <si>
    <t>한약학과</t>
  </si>
  <si>
    <t xml:space="preserve">568.75 / </t>
  </si>
  <si>
    <t>387.68</t>
  </si>
  <si>
    <t>공학계열</t>
  </si>
  <si>
    <t xml:space="preserve">657.27 / </t>
  </si>
  <si>
    <t>4.70</t>
  </si>
  <si>
    <t>10,199</t>
  </si>
  <si>
    <t>387.70</t>
  </si>
  <si>
    <t xml:space="preserve">501.47 / </t>
  </si>
  <si>
    <t>4.83</t>
  </si>
  <si>
    <t>10,481</t>
  </si>
  <si>
    <t>행정학과</t>
  </si>
  <si>
    <t xml:space="preserve">658.73 / </t>
  </si>
  <si>
    <t>387.23</t>
  </si>
  <si>
    <t>393.24</t>
  </si>
  <si>
    <t xml:space="preserve">658.57 / </t>
  </si>
  <si>
    <t>391.33</t>
  </si>
  <si>
    <t xml:space="preserve">951.3 / </t>
  </si>
  <si>
    <t xml:space="preserve">657.07 / </t>
  </si>
  <si>
    <t xml:space="preserve">501.31 / </t>
  </si>
  <si>
    <t>4.84</t>
  </si>
  <si>
    <t>10,503</t>
  </si>
  <si>
    <t>387.10</t>
  </si>
  <si>
    <t xml:space="preserve">658.35 / </t>
  </si>
  <si>
    <t>4.85</t>
  </si>
  <si>
    <t>10,525</t>
  </si>
  <si>
    <t>387.05</t>
  </si>
  <si>
    <t>가정교육과</t>
  </si>
  <si>
    <t xml:space="preserve">658.29 / </t>
  </si>
  <si>
    <t>건축공학과</t>
  </si>
  <si>
    <t xml:space="preserve">694.818 / </t>
  </si>
  <si>
    <t xml:space="preserve">658.98 / </t>
  </si>
  <si>
    <t>386.97</t>
  </si>
  <si>
    <t>387.29</t>
  </si>
  <si>
    <t>392.85</t>
  </si>
  <si>
    <t xml:space="preserve">697.527 / </t>
  </si>
  <si>
    <t>387.25</t>
  </si>
  <si>
    <t xml:space="preserve">658.86 / </t>
  </si>
  <si>
    <t>중어중문학과</t>
  </si>
  <si>
    <t xml:space="preserve">658.05 / </t>
  </si>
  <si>
    <t>387.18</t>
  </si>
  <si>
    <t xml:space="preserve">656.65 / </t>
  </si>
  <si>
    <t>기계공학과</t>
  </si>
  <si>
    <t xml:space="preserve">501 / </t>
  </si>
  <si>
    <t>387.14</t>
  </si>
  <si>
    <t xml:space="preserve">500.97 / </t>
  </si>
  <si>
    <t>386.81</t>
  </si>
  <si>
    <t xml:space="preserve">657.86 / </t>
  </si>
  <si>
    <t>상경계열</t>
  </si>
  <si>
    <t xml:space="preserve">697.275 / </t>
  </si>
  <si>
    <t>386.71</t>
  </si>
  <si>
    <t>387.33</t>
  </si>
  <si>
    <t>한국사학과</t>
  </si>
  <si>
    <t xml:space="preserve">657.67 / </t>
  </si>
  <si>
    <t>387.00</t>
  </si>
  <si>
    <t>아동·가족학과</t>
  </si>
  <si>
    <t xml:space="preserve">705.266 / </t>
  </si>
  <si>
    <t>교육학과</t>
  </si>
  <si>
    <t xml:space="preserve">657.63 / </t>
  </si>
  <si>
    <t>386.99</t>
  </si>
  <si>
    <t>응용통계학과</t>
  </si>
  <si>
    <t xml:space="preserve">697.087 / </t>
  </si>
  <si>
    <t>386.93</t>
  </si>
  <si>
    <t>지구환경과학과</t>
  </si>
  <si>
    <t>392.37</t>
  </si>
  <si>
    <t xml:space="preserve">500.1 / </t>
  </si>
  <si>
    <t>386.88</t>
  </si>
  <si>
    <t>391.76</t>
  </si>
  <si>
    <t>사이버국방학과</t>
  </si>
  <si>
    <t>사국</t>
  </si>
  <si>
    <t xml:space="preserve">528.57 / </t>
  </si>
  <si>
    <t>386.83</t>
  </si>
  <si>
    <t>교육학부</t>
  </si>
  <si>
    <t xml:space="preserve">696.832 / </t>
  </si>
  <si>
    <t>언더우드학부(인문사회)</t>
  </si>
  <si>
    <t xml:space="preserve">634.41 / </t>
  </si>
  <si>
    <t>386.72</t>
  </si>
  <si>
    <t xml:space="preserve">499.94 / </t>
  </si>
  <si>
    <t>386.67</t>
  </si>
  <si>
    <t xml:space="preserve">696.613 / </t>
  </si>
  <si>
    <t>386.91</t>
  </si>
  <si>
    <t xml:space="preserve">656.96 / </t>
  </si>
  <si>
    <t>노어노문학과</t>
  </si>
  <si>
    <t>386.55</t>
  </si>
  <si>
    <t xml:space="preserve">937.48 / </t>
  </si>
  <si>
    <t xml:space="preserve">937.29 / </t>
  </si>
  <si>
    <t>4.94</t>
  </si>
  <si>
    <t>10,720</t>
  </si>
  <si>
    <t>386.07</t>
  </si>
  <si>
    <t>일어일문학과</t>
  </si>
  <si>
    <t xml:space="preserve">656.54 / </t>
  </si>
  <si>
    <t>4.96</t>
  </si>
  <si>
    <t>10,763</t>
  </si>
  <si>
    <t>386.04</t>
  </si>
  <si>
    <t xml:space="preserve">656.49 / </t>
  </si>
  <si>
    <t>386.33</t>
  </si>
  <si>
    <t xml:space="preserve">646.77 / </t>
  </si>
  <si>
    <t>386.23</t>
  </si>
  <si>
    <t>천문우주학과</t>
  </si>
  <si>
    <t xml:space="preserve">693.071 / </t>
  </si>
  <si>
    <t>SCIENCE기반자유전공학부</t>
  </si>
  <si>
    <t xml:space="preserve">500.24 / </t>
  </si>
  <si>
    <t>5.07</t>
  </si>
  <si>
    <t>11,002</t>
  </si>
  <si>
    <t>385.87</t>
  </si>
  <si>
    <t>언어학과</t>
  </si>
  <si>
    <t xml:space="preserve">656.19 / </t>
  </si>
  <si>
    <t>386.16</t>
  </si>
  <si>
    <t xml:space="preserve">695.82 / </t>
  </si>
  <si>
    <t>5.11</t>
  </si>
  <si>
    <t>11,089</t>
  </si>
  <si>
    <t>385.77</t>
  </si>
  <si>
    <t>서어서문학과</t>
  </si>
  <si>
    <t xml:space="preserve">656.03 / </t>
  </si>
  <si>
    <t>4.98</t>
  </si>
  <si>
    <t>10,807</t>
  </si>
  <si>
    <t xml:space="preserve">695.601 / </t>
  </si>
  <si>
    <t>5.04</t>
  </si>
  <si>
    <t>10,937</t>
  </si>
  <si>
    <t>385.92</t>
  </si>
  <si>
    <t>컴퓨터공학과</t>
  </si>
  <si>
    <t xml:space="preserve">499.9 / </t>
  </si>
  <si>
    <t>5.05</t>
  </si>
  <si>
    <t>10,959</t>
  </si>
  <si>
    <t>385.91</t>
  </si>
  <si>
    <t xml:space="preserve">695.468 / </t>
  </si>
  <si>
    <t xml:space="preserve">695.477 / </t>
  </si>
  <si>
    <t>5.06</t>
  </si>
  <si>
    <t>10,980</t>
  </si>
  <si>
    <t>385.89</t>
  </si>
  <si>
    <t xml:space="preserve">695.42 / </t>
  </si>
  <si>
    <t>5.16</t>
  </si>
  <si>
    <t>11,197</t>
  </si>
  <si>
    <t>385.69</t>
  </si>
  <si>
    <t xml:space="preserve">499.7 / </t>
  </si>
  <si>
    <t>385.68</t>
  </si>
  <si>
    <t>390.64</t>
  </si>
  <si>
    <t xml:space="preserve">499.69 / </t>
  </si>
  <si>
    <t>5.17</t>
  </si>
  <si>
    <t>11,219</t>
  </si>
  <si>
    <t>385.66</t>
  </si>
  <si>
    <t>전자공학과</t>
  </si>
  <si>
    <t xml:space="preserve">499.68 / </t>
  </si>
  <si>
    <t>385.67</t>
  </si>
  <si>
    <t xml:space="preserve">692.215 / </t>
  </si>
  <si>
    <t>5.24</t>
  </si>
  <si>
    <t>11,371</t>
  </si>
  <si>
    <t>385.40</t>
  </si>
  <si>
    <t>사학과</t>
  </si>
  <si>
    <t xml:space="preserve">655.37 / </t>
  </si>
  <si>
    <t>5.18</t>
  </si>
  <si>
    <t>11,241</t>
  </si>
  <si>
    <t>385.95</t>
  </si>
  <si>
    <t xml:space="preserve">695.055 / </t>
  </si>
  <si>
    <t>5.20</t>
  </si>
  <si>
    <t>11,284</t>
  </si>
  <si>
    <t>385.57</t>
  </si>
  <si>
    <t>컴퓨터교육과</t>
  </si>
  <si>
    <t>385.45</t>
  </si>
  <si>
    <t>지식융합미디어학부</t>
  </si>
  <si>
    <t xml:space="preserve">498.87 / </t>
  </si>
  <si>
    <t>385.15</t>
  </si>
  <si>
    <t>식품자원경제학과</t>
  </si>
  <si>
    <t xml:space="preserve">654.95 / </t>
  </si>
  <si>
    <t xml:space="preserve">694.641 / </t>
  </si>
  <si>
    <t xml:space="preserve">694.655 / </t>
  </si>
  <si>
    <t>385.36</t>
  </si>
  <si>
    <t xml:space="preserve">691.734 / </t>
  </si>
  <si>
    <t>철학과</t>
  </si>
  <si>
    <t xml:space="preserve">654.84 / </t>
  </si>
  <si>
    <t>385.29</t>
  </si>
  <si>
    <t>글로벌경제학과</t>
  </si>
  <si>
    <t xml:space="preserve">645.53 / </t>
  </si>
  <si>
    <t>391.68</t>
  </si>
  <si>
    <t>중국문화학과</t>
  </si>
  <si>
    <t xml:space="preserve">498.71 / </t>
  </si>
  <si>
    <t>385.22</t>
  </si>
  <si>
    <t>389.52</t>
  </si>
  <si>
    <t>의예과(지역인재)</t>
  </si>
  <si>
    <t xml:space="preserve">491.8 / </t>
  </si>
  <si>
    <t>389.31</t>
  </si>
  <si>
    <t xml:space="preserve">654.21 / </t>
  </si>
  <si>
    <t>385.41</t>
  </si>
  <si>
    <t>파이낸스경영학과</t>
  </si>
  <si>
    <t xml:space="preserve">933.92 / </t>
  </si>
  <si>
    <t>글로벌한국학부</t>
  </si>
  <si>
    <t xml:space="preserve">498.58 / </t>
  </si>
  <si>
    <t>인문학부</t>
  </si>
  <si>
    <t xml:space="preserve">498.53 / </t>
  </si>
  <si>
    <t>385.27</t>
  </si>
  <si>
    <t>융합인문사회과학부</t>
  </si>
  <si>
    <t xml:space="preserve">632.19 / </t>
  </si>
  <si>
    <t>384.69</t>
  </si>
  <si>
    <t xml:space="preserve">654.12 / </t>
  </si>
  <si>
    <t>5.48</t>
  </si>
  <si>
    <t>11,892</t>
  </si>
  <si>
    <t>384.84</t>
  </si>
  <si>
    <t>유럽문화학과</t>
  </si>
  <si>
    <t xml:space="preserve">498.32 / </t>
  </si>
  <si>
    <t>5.50</t>
  </si>
  <si>
    <t>11,935</t>
  </si>
  <si>
    <t>전자전기공학부</t>
  </si>
  <si>
    <t xml:space="preserve">653.68 / </t>
  </si>
  <si>
    <t>384.66</t>
  </si>
  <si>
    <t>경제금융학부</t>
  </si>
  <si>
    <t xml:space="preserve">933.03 / </t>
  </si>
  <si>
    <t>5.54</t>
  </si>
  <si>
    <t>12,022</t>
  </si>
  <si>
    <t>384.62</t>
  </si>
  <si>
    <t>384.94</t>
  </si>
  <si>
    <t>신학과</t>
  </si>
  <si>
    <t xml:space="preserve">693.523 / </t>
  </si>
  <si>
    <t>384.86</t>
  </si>
  <si>
    <t>389.70</t>
  </si>
  <si>
    <t xml:space="preserve">653.48 / </t>
  </si>
  <si>
    <t>5.77</t>
  </si>
  <si>
    <t>12,521</t>
  </si>
  <si>
    <t>384.12</t>
  </si>
  <si>
    <t>389.64</t>
  </si>
  <si>
    <t>미디어학부</t>
  </si>
  <si>
    <t xml:space="preserve">653.13 / </t>
  </si>
  <si>
    <t>384.32</t>
  </si>
  <si>
    <t>384.55</t>
  </si>
  <si>
    <t>자유전공학부(인문)</t>
  </si>
  <si>
    <t xml:space="preserve">930.04 / </t>
  </si>
  <si>
    <t>5.72</t>
  </si>
  <si>
    <t>12,412</t>
  </si>
  <si>
    <t>384.24</t>
  </si>
  <si>
    <t xml:space="preserve">644.15 / </t>
  </si>
  <si>
    <t>5.79</t>
  </si>
  <si>
    <t>12,564</t>
  </si>
  <si>
    <t>384.09</t>
  </si>
  <si>
    <t>영문학부</t>
  </si>
  <si>
    <t xml:space="preserve">497.59 / </t>
  </si>
  <si>
    <t>5.82</t>
  </si>
  <si>
    <t>12,629</t>
  </si>
  <si>
    <t>384.01</t>
  </si>
  <si>
    <t>389.35</t>
  </si>
  <si>
    <t>문헌정보학과</t>
  </si>
  <si>
    <t xml:space="preserve">692.567 / </t>
  </si>
  <si>
    <t>384.03</t>
  </si>
  <si>
    <t>384.25</t>
  </si>
  <si>
    <t>세무학과</t>
  </si>
  <si>
    <t xml:space="preserve">929.42 / </t>
  </si>
  <si>
    <t>5.85</t>
  </si>
  <si>
    <t>12,695</t>
  </si>
  <si>
    <t>383.90</t>
  </si>
  <si>
    <t>384.19</t>
  </si>
  <si>
    <t xml:space="preserve">643.69 / </t>
  </si>
  <si>
    <t>5.88</t>
  </si>
  <si>
    <t>12,760</t>
  </si>
  <si>
    <t>383.80</t>
  </si>
  <si>
    <t>384.10</t>
  </si>
  <si>
    <t>389.20</t>
  </si>
  <si>
    <t>영상학과</t>
  </si>
  <si>
    <t>5.90</t>
  </si>
  <si>
    <t>12,803</t>
  </si>
  <si>
    <t xml:space="preserve">933.63 / </t>
  </si>
  <si>
    <t>383.75</t>
  </si>
  <si>
    <t>한문교육과</t>
  </si>
  <si>
    <t xml:space="preserve">643.47 / </t>
  </si>
  <si>
    <t>5.94</t>
  </si>
  <si>
    <t>12,890</t>
  </si>
  <si>
    <t>383.67</t>
  </si>
  <si>
    <t>389.11</t>
  </si>
  <si>
    <t>인문과학계열</t>
  </si>
  <si>
    <t xml:space="preserve">643.39 / </t>
  </si>
  <si>
    <t>5.97</t>
  </si>
  <si>
    <t>12,955</t>
  </si>
  <si>
    <t>383.60</t>
  </si>
  <si>
    <t xml:space="preserve">933.27 / </t>
  </si>
  <si>
    <t>383.51</t>
  </si>
  <si>
    <t>387.88</t>
  </si>
  <si>
    <t>정보보호학과</t>
  </si>
  <si>
    <t xml:space="preserve">943.4 / </t>
  </si>
  <si>
    <t xml:space="preserve"> 미/기 표점의5%, 과탐 백분위의5%를 환산점수에 단순가산</t>
  </si>
  <si>
    <t>383.72</t>
  </si>
  <si>
    <t xml:space="preserve">930.45 / </t>
  </si>
  <si>
    <t>6.06</t>
  </si>
  <si>
    <t>13,150</t>
  </si>
  <si>
    <t>383.40</t>
  </si>
  <si>
    <t>383.69</t>
  </si>
  <si>
    <t>관광학부</t>
  </si>
  <si>
    <t xml:space="preserve">932.86 / </t>
  </si>
  <si>
    <t>6.07</t>
  </si>
  <si>
    <t>13,172</t>
  </si>
  <si>
    <t>383.68</t>
  </si>
  <si>
    <t>사회과학부</t>
  </si>
  <si>
    <t xml:space="preserve">496.86 / </t>
  </si>
  <si>
    <t>383.56</t>
  </si>
  <si>
    <t>388.62</t>
  </si>
  <si>
    <t xml:space="preserve">932.61 / </t>
  </si>
  <si>
    <t>6.18</t>
  </si>
  <si>
    <t>13,411</t>
  </si>
  <si>
    <t>383.07</t>
  </si>
  <si>
    <t>383.35</t>
  </si>
  <si>
    <t xml:space="preserve">932.18 / </t>
  </si>
  <si>
    <t>6.30</t>
  </si>
  <si>
    <t>13,671</t>
  </si>
  <si>
    <t>382.80</t>
  </si>
  <si>
    <t>383.09</t>
  </si>
  <si>
    <t>388.17</t>
  </si>
  <si>
    <t>교육공학과</t>
  </si>
  <si>
    <t xml:space="preserve">931.66 / </t>
  </si>
  <si>
    <t>6.40</t>
  </si>
  <si>
    <t>13,888</t>
  </si>
  <si>
    <t>383.06</t>
  </si>
  <si>
    <t xml:space="preserve">650.4 / </t>
  </si>
  <si>
    <t>6.36</t>
  </si>
  <si>
    <t>13,801</t>
  </si>
  <si>
    <t>382.66</t>
  </si>
  <si>
    <t>실내건축디자인학과(인문)</t>
  </si>
  <si>
    <t xml:space="preserve">931.35 / </t>
  </si>
  <si>
    <t>382.59</t>
  </si>
  <si>
    <t>첨단융합학부 첨단인공지능전공</t>
  </si>
  <si>
    <t xml:space="preserve">938.81 / </t>
  </si>
  <si>
    <t>6.41</t>
  </si>
  <si>
    <t>13,910</t>
  </si>
  <si>
    <t>387.07</t>
  </si>
  <si>
    <t xml:space="preserve">938.7 / </t>
  </si>
  <si>
    <t>6.46</t>
  </si>
  <si>
    <t>14,018</t>
  </si>
  <si>
    <t>382.44</t>
  </si>
  <si>
    <t>386.95</t>
  </si>
  <si>
    <t>전자전기컴퓨터공학부</t>
  </si>
  <si>
    <t xml:space="preserve">938.43 / </t>
  </si>
  <si>
    <t>6.47</t>
  </si>
  <si>
    <t>14,040</t>
  </si>
  <si>
    <t xml:space="preserve">930.86 / </t>
  </si>
  <si>
    <t xml:space="preserve">930.89 / </t>
  </si>
  <si>
    <t>382.19</t>
  </si>
  <si>
    <t>심리학부</t>
  </si>
  <si>
    <t xml:space="preserve">649.75 / </t>
  </si>
  <si>
    <t>6.51</t>
  </si>
  <si>
    <t>14,127</t>
  </si>
  <si>
    <t>382.36</t>
  </si>
  <si>
    <t xml:space="preserve">690.134 / </t>
  </si>
  <si>
    <t>6.57</t>
  </si>
  <si>
    <t>14,257</t>
  </si>
  <si>
    <t>382.24</t>
  </si>
  <si>
    <t xml:space="preserve">753.6 / </t>
  </si>
  <si>
    <t>6.63</t>
  </si>
  <si>
    <t>14,387</t>
  </si>
  <si>
    <t>387.57</t>
  </si>
  <si>
    <t>의류학과(인문)</t>
  </si>
  <si>
    <t xml:space="preserve">930.25 / </t>
  </si>
  <si>
    <t>정치외교(농어촌)</t>
  </si>
  <si>
    <t xml:space="preserve">689.789 / </t>
  </si>
  <si>
    <t>382.01</t>
  </si>
  <si>
    <t xml:space="preserve">689.636 / </t>
  </si>
  <si>
    <t>6.69</t>
  </si>
  <si>
    <t>14,517</t>
  </si>
  <si>
    <t>381.90</t>
  </si>
  <si>
    <t>창의ICT공과대학</t>
  </si>
  <si>
    <t xml:space="preserve">766.4 / </t>
  </si>
  <si>
    <t>6.72</t>
  </si>
  <si>
    <t>14,582</t>
  </si>
  <si>
    <t>381.84</t>
  </si>
  <si>
    <t>386.41</t>
  </si>
  <si>
    <t>신소재공학과</t>
  </si>
  <si>
    <t xml:space="preserve">937 / </t>
  </si>
  <si>
    <t>381.83</t>
  </si>
  <si>
    <t>정책학과</t>
  </si>
  <si>
    <t xml:space="preserve">929.66 / </t>
  </si>
  <si>
    <t>381.82</t>
  </si>
  <si>
    <t xml:space="preserve">929.64 / </t>
  </si>
  <si>
    <t>381.80</t>
  </si>
  <si>
    <t xml:space="preserve">929.57 / </t>
  </si>
  <si>
    <t>언론홍보영상학부</t>
  </si>
  <si>
    <t xml:space="preserve">689.304 / </t>
  </si>
  <si>
    <t>첨단융합학부 지능형반도체전공</t>
  </si>
  <si>
    <t xml:space="preserve">936.7 / </t>
  </si>
  <si>
    <t xml:space="preserve">929.3 / </t>
  </si>
  <si>
    <t xml:space="preserve">689.014 / </t>
  </si>
  <si>
    <t>386.24</t>
  </si>
  <si>
    <t>소프트웨어학부</t>
  </si>
  <si>
    <t xml:space="preserve">765.9 / </t>
  </si>
  <si>
    <t>6.83</t>
  </si>
  <si>
    <t>14,821</t>
  </si>
  <si>
    <t>381.55</t>
  </si>
  <si>
    <t>386.21</t>
  </si>
  <si>
    <t xml:space="preserve">936.33 / </t>
  </si>
  <si>
    <t>6.84</t>
  </si>
  <si>
    <t>14,843</t>
  </si>
  <si>
    <t>381.52</t>
  </si>
  <si>
    <t>첨단융합학부 융합바이오헬스전공</t>
  </si>
  <si>
    <t xml:space="preserve">936.27 / </t>
  </si>
  <si>
    <t>386.18</t>
  </si>
  <si>
    <t>자유전공학부(자연)</t>
  </si>
  <si>
    <t xml:space="preserve">940.42 / </t>
  </si>
  <si>
    <t>381.28</t>
  </si>
  <si>
    <t>386.02</t>
  </si>
  <si>
    <t>기계정보공학과</t>
  </si>
  <si>
    <t xml:space="preserve">935.71 / </t>
  </si>
  <si>
    <t>381.29</t>
  </si>
  <si>
    <t>약과학과</t>
  </si>
  <si>
    <t xml:space="preserve">561.1 / </t>
  </si>
  <si>
    <t>6.95</t>
  </si>
  <si>
    <t>15,082</t>
  </si>
  <si>
    <t>미래정보디스플레이학부</t>
  </si>
  <si>
    <t xml:space="preserve">561.03 / </t>
  </si>
  <si>
    <t>6.97</t>
  </si>
  <si>
    <t>15,125</t>
  </si>
  <si>
    <t>381.19</t>
  </si>
  <si>
    <t>KU자유전공학부</t>
  </si>
  <si>
    <t xml:space="preserve">671.03 / </t>
  </si>
  <si>
    <t>381.17</t>
  </si>
  <si>
    <t xml:space="preserve">935.46 / </t>
  </si>
  <si>
    <t>381.12</t>
  </si>
  <si>
    <t>컴퓨터과학부</t>
  </si>
  <si>
    <t xml:space="preserve">935.34 / </t>
  </si>
  <si>
    <t>7.01</t>
  </si>
  <si>
    <t>15,212</t>
  </si>
  <si>
    <t>381.10</t>
  </si>
  <si>
    <t>381.37</t>
  </si>
  <si>
    <t>빅데이터응용학과</t>
  </si>
  <si>
    <t xml:space="preserve">551.17 / </t>
  </si>
  <si>
    <t xml:space="preserve">928.16 / </t>
  </si>
  <si>
    <t>381.06</t>
  </si>
  <si>
    <t>385.90</t>
  </si>
  <si>
    <t xml:space="preserve">926.2 / </t>
  </si>
  <si>
    <t>연극영화학과(영화전공)</t>
  </si>
  <si>
    <t xml:space="preserve">927.91 / </t>
  </si>
  <si>
    <t>7.04</t>
  </si>
  <si>
    <t>15,277</t>
  </si>
  <si>
    <t>380.92</t>
  </si>
  <si>
    <t>미디어커뮤니케이션학과</t>
  </si>
  <si>
    <t xml:space="preserve">927.82 / </t>
  </si>
  <si>
    <t>380.90</t>
  </si>
  <si>
    <t>386.44</t>
  </si>
  <si>
    <t xml:space="preserve">922.67 / </t>
  </si>
  <si>
    <t xml:space="preserve">687.831 / </t>
  </si>
  <si>
    <t>380.82</t>
  </si>
  <si>
    <t>385.78</t>
  </si>
  <si>
    <t xml:space="preserve">934.66 / </t>
  </si>
  <si>
    <t>7.30</t>
  </si>
  <si>
    <t>15,841</t>
  </si>
  <si>
    <t>380.26</t>
  </si>
  <si>
    <t>381.01</t>
  </si>
  <si>
    <t>인공지능데이터(인문)</t>
  </si>
  <si>
    <t xml:space="preserve">935.07 / </t>
  </si>
  <si>
    <t>7.17</t>
  </si>
  <si>
    <t>15,559</t>
  </si>
  <si>
    <t>380.66</t>
  </si>
  <si>
    <t xml:space="preserve">561.35 / </t>
  </si>
  <si>
    <t>7.19</t>
  </si>
  <si>
    <t>15,602</t>
  </si>
  <si>
    <t xml:space="preserve">670.11 / </t>
  </si>
  <si>
    <t>380.61</t>
  </si>
  <si>
    <t>380.86</t>
  </si>
  <si>
    <t>386.27</t>
  </si>
  <si>
    <t xml:space="preserve">922.08 / </t>
  </si>
  <si>
    <t>380.60</t>
  </si>
  <si>
    <t>385.53</t>
  </si>
  <si>
    <t xml:space="preserve">550.64 / </t>
  </si>
  <si>
    <t>7.22</t>
  </si>
  <si>
    <t>15,667</t>
  </si>
  <si>
    <t>380.51</t>
  </si>
  <si>
    <t>AI학과</t>
  </si>
  <si>
    <t xml:space="preserve">764.1 / </t>
  </si>
  <si>
    <t>380.53</t>
  </si>
  <si>
    <t xml:space="preserve">926.96 / </t>
  </si>
  <si>
    <t>7.25</t>
  </si>
  <si>
    <t>15,733</t>
  </si>
  <si>
    <t xml:space="preserve">763.9 / </t>
  </si>
  <si>
    <t>7.28</t>
  </si>
  <si>
    <t>15,798</t>
  </si>
  <si>
    <t xml:space="preserve">560.94 / </t>
  </si>
  <si>
    <t>7.31</t>
  </si>
  <si>
    <t>15,863</t>
  </si>
  <si>
    <t>380.25</t>
  </si>
  <si>
    <t xml:space="preserve">559.8 / </t>
  </si>
  <si>
    <t>380.38</t>
  </si>
  <si>
    <t>385.44</t>
  </si>
  <si>
    <t>서울과학기술대</t>
  </si>
  <si>
    <t>산업공학과 ITM전공(인문)</t>
  </si>
  <si>
    <t xml:space="preserve">936.09 / </t>
  </si>
  <si>
    <t xml:space="preserve"> 사탐7%</t>
  </si>
  <si>
    <t>7.36</t>
  </si>
  <si>
    <t>15,971</t>
  </si>
  <si>
    <t xml:space="preserve">933.06 / </t>
  </si>
  <si>
    <t>전자정보공학부 전자공학과</t>
  </si>
  <si>
    <t xml:space="preserve">559.64 / </t>
  </si>
  <si>
    <t>380.01</t>
  </si>
  <si>
    <t xml:space="preserve">669.14 / </t>
  </si>
  <si>
    <t>379.97</t>
  </si>
  <si>
    <t>경영학부(경영학)</t>
  </si>
  <si>
    <t xml:space="preserve">749.9 / </t>
  </si>
  <si>
    <t>7.44</t>
  </si>
  <si>
    <t>16,145</t>
  </si>
  <si>
    <t>379.93</t>
  </si>
  <si>
    <t>첨단바이오공학부</t>
  </si>
  <si>
    <t xml:space="preserve">669.02 / </t>
  </si>
  <si>
    <t>379.91</t>
  </si>
  <si>
    <t>컴퓨터·AI학부(인문)</t>
  </si>
  <si>
    <t xml:space="preserve">689.816 / </t>
  </si>
  <si>
    <t>379.87</t>
  </si>
  <si>
    <t>전자정보공학부 반도체공학과</t>
  </si>
  <si>
    <t>7.50</t>
  </si>
  <si>
    <t>16,275</t>
  </si>
  <si>
    <t>379.78</t>
  </si>
  <si>
    <t xml:space="preserve">762.9 / </t>
  </si>
  <si>
    <t>7.52</t>
  </si>
  <si>
    <t>16,318</t>
  </si>
  <si>
    <t xml:space="preserve">762.8 / </t>
  </si>
  <si>
    <t>문화인류학과</t>
  </si>
  <si>
    <t xml:space="preserve">685.975 / </t>
  </si>
  <si>
    <t>7.54</t>
  </si>
  <si>
    <t>16,362</t>
  </si>
  <si>
    <t>379.68</t>
  </si>
  <si>
    <t>384.63</t>
  </si>
  <si>
    <t xml:space="preserve">932.02 / </t>
  </si>
  <si>
    <t>379.67</t>
  </si>
  <si>
    <t>응용영어통번역학과</t>
  </si>
  <si>
    <t xml:space="preserve">560.12 / </t>
  </si>
  <si>
    <t>7.53</t>
  </si>
  <si>
    <t>16,340</t>
  </si>
  <si>
    <t>379.69</t>
  </si>
  <si>
    <t xml:space="preserve">560.14 / </t>
  </si>
  <si>
    <t xml:space="preserve">762.7 / </t>
  </si>
  <si>
    <t>379.65</t>
  </si>
  <si>
    <t>385.35</t>
  </si>
  <si>
    <t xml:space="preserve">669.45 / </t>
  </si>
  <si>
    <t>7.56</t>
  </si>
  <si>
    <t>16,405</t>
  </si>
  <si>
    <t>379.62</t>
  </si>
  <si>
    <t>주거환경학과</t>
  </si>
  <si>
    <t xml:space="preserve">560.06 / </t>
  </si>
  <si>
    <t>7.59</t>
  </si>
  <si>
    <t>16,470</t>
  </si>
  <si>
    <t>뇌·인지과학부(자연)</t>
  </si>
  <si>
    <t xml:space="preserve">947.13 / </t>
  </si>
  <si>
    <t>379.51</t>
  </si>
  <si>
    <t>소프트웨어융합학과</t>
  </si>
  <si>
    <t xml:space="preserve">558.9 / </t>
  </si>
  <si>
    <t>379.49</t>
  </si>
  <si>
    <t>385.74</t>
  </si>
  <si>
    <t>생물학과</t>
  </si>
  <si>
    <t xml:space="preserve">558.87 / </t>
  </si>
  <si>
    <t>7.65</t>
  </si>
  <si>
    <t>16,601</t>
  </si>
  <si>
    <t>379.33</t>
  </si>
  <si>
    <t>융합응용화학과</t>
  </si>
  <si>
    <t xml:space="preserve">935.41 / </t>
  </si>
  <si>
    <t>379.30</t>
  </si>
  <si>
    <t>384.42</t>
  </si>
  <si>
    <t>시스템생명공학과</t>
  </si>
  <si>
    <t xml:space="preserve">668.05 / </t>
  </si>
  <si>
    <t xml:space="preserve">762.6 / </t>
  </si>
  <si>
    <t>379.26</t>
  </si>
  <si>
    <t>385.52</t>
  </si>
  <si>
    <t>컴퓨터공학부 컴퓨터공학과</t>
  </si>
  <si>
    <t xml:space="preserve">558.62 / </t>
  </si>
  <si>
    <t>7.91</t>
  </si>
  <si>
    <t>17,165</t>
  </si>
  <si>
    <t>378.62</t>
  </si>
  <si>
    <t>384.93</t>
  </si>
  <si>
    <t>계열별 통합선발(인문계열)</t>
  </si>
  <si>
    <t xml:space="preserve">931.98 / </t>
  </si>
  <si>
    <t>379.48</t>
  </si>
  <si>
    <t>아시아문화학부(중국어문학)</t>
  </si>
  <si>
    <t xml:space="preserve">762.5 / </t>
  </si>
  <si>
    <t>7.69</t>
  </si>
  <si>
    <t>16,687</t>
  </si>
  <si>
    <t>379.19</t>
  </si>
  <si>
    <t>컴퓨터공학부 인공지능학과</t>
  </si>
  <si>
    <t xml:space="preserve">558.54 / </t>
  </si>
  <si>
    <t>379.02</t>
  </si>
  <si>
    <t xml:space="preserve">930.58 / </t>
  </si>
  <si>
    <t>379.03</t>
  </si>
  <si>
    <t>아동가족학과</t>
  </si>
  <si>
    <t xml:space="preserve">559.42 / </t>
  </si>
  <si>
    <t>회계·세무학과</t>
  </si>
  <si>
    <t xml:space="preserve">548.67 / </t>
  </si>
  <si>
    <t>7.93</t>
  </si>
  <si>
    <t>17,208</t>
  </si>
  <si>
    <t>378.38</t>
  </si>
  <si>
    <t>초등교육과</t>
  </si>
  <si>
    <t xml:space="preserve">931.53 / </t>
  </si>
  <si>
    <t>7.79</t>
  </si>
  <si>
    <t>16,904</t>
  </si>
  <si>
    <t>379.18</t>
  </si>
  <si>
    <t>의상학과</t>
  </si>
  <si>
    <t>384.72</t>
  </si>
  <si>
    <t xml:space="preserve">548.61 / </t>
  </si>
  <si>
    <t xml:space="preserve">558.28 / </t>
  </si>
  <si>
    <t>378.85</t>
  </si>
  <si>
    <t>383.87</t>
  </si>
  <si>
    <t>인공지능데이터(자연)</t>
  </si>
  <si>
    <t xml:space="preserve">945.79 / </t>
  </si>
  <si>
    <t>도시행정학과</t>
  </si>
  <si>
    <t xml:space="preserve">923.35 / </t>
  </si>
  <si>
    <t>378.81</t>
  </si>
  <si>
    <t>383.83</t>
  </si>
  <si>
    <t>공간정보공학과</t>
  </si>
  <si>
    <t xml:space="preserve">930.14 / </t>
  </si>
  <si>
    <t>383.82</t>
  </si>
  <si>
    <t>기계‧로봇‧자동차공학부</t>
  </si>
  <si>
    <t xml:space="preserve">667.31 / </t>
  </si>
  <si>
    <t>유전생명공학과</t>
  </si>
  <si>
    <t xml:space="preserve">558.12 / </t>
  </si>
  <si>
    <t>378.79</t>
  </si>
  <si>
    <t>383.81</t>
  </si>
  <si>
    <t>산업경영공학부</t>
  </si>
  <si>
    <t xml:space="preserve">644.06 / </t>
  </si>
  <si>
    <t>378.77</t>
  </si>
  <si>
    <t xml:space="preserve">559.12 / </t>
  </si>
  <si>
    <t>383.73</t>
  </si>
  <si>
    <t>기계공(농어촌)</t>
  </si>
  <si>
    <t xml:space="preserve">681.234 / </t>
  </si>
  <si>
    <t>378.72</t>
  </si>
  <si>
    <t xml:space="preserve">558.02 / </t>
  </si>
  <si>
    <t>378.64</t>
  </si>
  <si>
    <t>383.70</t>
  </si>
  <si>
    <t>융합생명공학과</t>
  </si>
  <si>
    <t>378.61</t>
  </si>
  <si>
    <t xml:space="preserve">667.04 / </t>
  </si>
  <si>
    <t>국제관계학과</t>
  </si>
  <si>
    <t xml:space="preserve">922.91 / </t>
  </si>
  <si>
    <t>378.63</t>
  </si>
  <si>
    <t xml:space="preserve">923.2 / </t>
  </si>
  <si>
    <t>한국외국어대</t>
  </si>
  <si>
    <t>Language &amp; AI융합학부</t>
  </si>
  <si>
    <t xml:space="preserve">651 / </t>
  </si>
  <si>
    <t>토목공학과</t>
  </si>
  <si>
    <t xml:space="preserve">929.61 / </t>
  </si>
  <si>
    <t>378.55</t>
  </si>
  <si>
    <t>신소재(농어촌)</t>
  </si>
  <si>
    <t xml:space="preserve">680.963 / </t>
  </si>
  <si>
    <t>378.51</t>
  </si>
  <si>
    <t>생물공학과</t>
  </si>
  <si>
    <t xml:space="preserve">666.9 / </t>
  </si>
  <si>
    <t>화공학부</t>
  </si>
  <si>
    <t>378.42</t>
  </si>
  <si>
    <t>건축학부 건축공학전공</t>
  </si>
  <si>
    <t xml:space="preserve">933.47 / </t>
  </si>
  <si>
    <t>미디어학과</t>
  </si>
  <si>
    <t xml:space="preserve">548.02 / </t>
  </si>
  <si>
    <t>재료공학과</t>
  </si>
  <si>
    <t xml:space="preserve">666.73 / </t>
  </si>
  <si>
    <t xml:space="preserve">547.93 / </t>
  </si>
  <si>
    <t>7.94</t>
  </si>
  <si>
    <t>17,230</t>
  </si>
  <si>
    <t>378.22</t>
  </si>
  <si>
    <t>383.64</t>
  </si>
  <si>
    <t>건축학부 건축학전공(5년제)</t>
  </si>
  <si>
    <t xml:space="preserve">928.88 / </t>
  </si>
  <si>
    <t>378.23</t>
  </si>
  <si>
    <t>도시계획ㆍ부동산학과</t>
  </si>
  <si>
    <t xml:space="preserve">747.2 / </t>
  </si>
  <si>
    <t>378.15</t>
  </si>
  <si>
    <t>383.63</t>
  </si>
  <si>
    <t xml:space="preserve">666.37 / </t>
  </si>
  <si>
    <t>378.05</t>
  </si>
  <si>
    <t>교통공학과</t>
  </si>
  <si>
    <t xml:space="preserve">932.67 / </t>
  </si>
  <si>
    <t>377.97</t>
  </si>
  <si>
    <t xml:space="preserve">557.21 / </t>
  </si>
  <si>
    <t>7.99</t>
  </si>
  <si>
    <t>17,338</t>
  </si>
  <si>
    <t>377.95</t>
  </si>
  <si>
    <t xml:space="preserve">547.5 / </t>
  </si>
  <si>
    <t>383.52</t>
  </si>
  <si>
    <t>사회기반시스템공학부(건설환경플랜트공학)</t>
  </si>
  <si>
    <t xml:space="preserve">760.1 / </t>
  </si>
  <si>
    <t>377.91</t>
  </si>
  <si>
    <t>383.50</t>
  </si>
  <si>
    <t>항공우주‧모빌리티공학과</t>
  </si>
  <si>
    <t xml:space="preserve">666.02 / </t>
  </si>
  <si>
    <t>8.01</t>
  </si>
  <si>
    <t>17,382</t>
  </si>
  <si>
    <t>383.49</t>
  </si>
  <si>
    <t xml:space="preserve">760 / </t>
  </si>
  <si>
    <t>8.02</t>
  </si>
  <si>
    <t>17,403</t>
  </si>
  <si>
    <t>378.04</t>
  </si>
  <si>
    <t xml:space="preserve">746.6 / </t>
  </si>
  <si>
    <t>377.83</t>
  </si>
  <si>
    <t>378.02</t>
  </si>
  <si>
    <t xml:space="preserve">760.3 / </t>
  </si>
  <si>
    <t>377.77</t>
  </si>
  <si>
    <t>무역학과</t>
  </si>
  <si>
    <t xml:space="preserve">547.29 / </t>
  </si>
  <si>
    <t>377.75</t>
  </si>
  <si>
    <t>383.45</t>
  </si>
  <si>
    <t>생명과학특성학과</t>
  </si>
  <si>
    <t xml:space="preserve">665.79 / </t>
  </si>
  <si>
    <t>377.76</t>
  </si>
  <si>
    <t>377.96</t>
  </si>
  <si>
    <t xml:space="preserve">760.2 / </t>
  </si>
  <si>
    <t>역사학과</t>
  </si>
  <si>
    <t>377.64</t>
  </si>
  <si>
    <t>경영학부(글로벌금융)</t>
  </si>
  <si>
    <t xml:space="preserve">746.3 / </t>
  </si>
  <si>
    <t>377.78</t>
  </si>
  <si>
    <t xml:space="preserve">746.2 / </t>
  </si>
  <si>
    <t>미디어커뮤니케이션학부</t>
  </si>
  <si>
    <t>377.49</t>
  </si>
  <si>
    <t>377.74</t>
  </si>
  <si>
    <t>382.95</t>
  </si>
  <si>
    <t xml:space="preserve">927.27 / </t>
  </si>
  <si>
    <t>383.41</t>
  </si>
  <si>
    <t>환경공학부</t>
  </si>
  <si>
    <t xml:space="preserve">931.54 / </t>
  </si>
  <si>
    <t>Language &amp; Trade학부</t>
  </si>
  <si>
    <t xml:space="preserve">655.4 / </t>
  </si>
  <si>
    <t xml:space="preserve">759.8 / </t>
  </si>
  <si>
    <t>377.72</t>
  </si>
  <si>
    <t>간호학과(인문)</t>
  </si>
  <si>
    <t xml:space="preserve">746.1 / </t>
  </si>
  <si>
    <t>에너지시스템공학부</t>
  </si>
  <si>
    <t xml:space="preserve">759.4 / </t>
  </si>
  <si>
    <t>8.05</t>
  </si>
  <si>
    <t>17,469</t>
  </si>
  <si>
    <t>377.44</t>
  </si>
  <si>
    <t>도시사회학과</t>
  </si>
  <si>
    <t xml:space="preserve">920.62 / </t>
  </si>
  <si>
    <t xml:space="preserve">556.64 / </t>
  </si>
  <si>
    <t>377.66</t>
  </si>
  <si>
    <t xml:space="preserve">546.93 / </t>
  </si>
  <si>
    <t xml:space="preserve">361 / </t>
  </si>
  <si>
    <t xml:space="preserve"> 미적/기하 10%가산</t>
  </si>
  <si>
    <t>377.42</t>
  </si>
  <si>
    <t xml:space="preserve">932.5 / </t>
  </si>
  <si>
    <t>산업경영공학과</t>
  </si>
  <si>
    <t xml:space="preserve">556.61 / </t>
  </si>
  <si>
    <t xml:space="preserve">759.3 / </t>
  </si>
  <si>
    <t>지리학과(인문)</t>
  </si>
  <si>
    <t xml:space="preserve">546.8 / </t>
  </si>
  <si>
    <t>8.10</t>
  </si>
  <si>
    <t>17,577</t>
  </si>
  <si>
    <t>377.32</t>
  </si>
  <si>
    <t>아시아문화학부(일본어문학)</t>
  </si>
  <si>
    <t xml:space="preserve">759.5 / </t>
  </si>
  <si>
    <t>8.12</t>
  </si>
  <si>
    <t>17,620</t>
  </si>
  <si>
    <t>Hospitality경영학과</t>
  </si>
  <si>
    <t xml:space="preserve">546.75 / </t>
  </si>
  <si>
    <t>377.28</t>
  </si>
  <si>
    <t xml:space="preserve">556.44 / </t>
  </si>
  <si>
    <t>8.34</t>
  </si>
  <si>
    <t>18,098</t>
  </si>
  <si>
    <t>376.67</t>
  </si>
  <si>
    <t>377.47</t>
  </si>
  <si>
    <t xml:space="preserve">928.3 / </t>
  </si>
  <si>
    <t xml:space="preserve">926.8 / </t>
  </si>
  <si>
    <t>383.48</t>
  </si>
  <si>
    <t>국제물류학과</t>
  </si>
  <si>
    <t xml:space="preserve">745.7 / </t>
  </si>
  <si>
    <t>사회과교육과</t>
  </si>
  <si>
    <t xml:space="preserve">928.2 / </t>
  </si>
  <si>
    <t>376.63</t>
  </si>
  <si>
    <t xml:space="preserve">928.22 / </t>
  </si>
  <si>
    <t>8.15</t>
  </si>
  <si>
    <t>17,686</t>
  </si>
  <si>
    <t>377.22</t>
  </si>
  <si>
    <t>383.10</t>
  </si>
  <si>
    <t>377.18</t>
  </si>
  <si>
    <t xml:space="preserve">665.76 / </t>
  </si>
  <si>
    <t>377.39</t>
  </si>
  <si>
    <t>광고홍보학과</t>
  </si>
  <si>
    <t xml:space="preserve">745.6 / </t>
  </si>
  <si>
    <t>377.12</t>
  </si>
  <si>
    <t>381.69</t>
  </si>
  <si>
    <t>중국어문화학과</t>
  </si>
  <si>
    <t xml:space="preserve">926.59 / </t>
  </si>
  <si>
    <t>383.02</t>
  </si>
  <si>
    <t xml:space="preserve">664.87 / </t>
  </si>
  <si>
    <t>8.18</t>
  </si>
  <si>
    <t>17,751</t>
  </si>
  <si>
    <t>383.44</t>
  </si>
  <si>
    <t xml:space="preserve">546.53 / </t>
  </si>
  <si>
    <t>서울캠퍼스자율전공(인문·예능)</t>
  </si>
  <si>
    <t>377.06</t>
  </si>
  <si>
    <t>382.97</t>
  </si>
  <si>
    <t xml:space="preserve">664.78 / </t>
  </si>
  <si>
    <t>377.04</t>
  </si>
  <si>
    <t xml:space="preserve">942.3 / </t>
  </si>
  <si>
    <t>377.05</t>
  </si>
  <si>
    <t>정치국제학과</t>
  </si>
  <si>
    <t xml:space="preserve">745.4 / </t>
  </si>
  <si>
    <t>377.03</t>
  </si>
  <si>
    <t>377.23</t>
  </si>
  <si>
    <t>관광·엔터테인먼트학부</t>
  </si>
  <si>
    <t xml:space="preserve">546.45 / </t>
  </si>
  <si>
    <t>8.21</t>
  </si>
  <si>
    <t>17,816</t>
  </si>
  <si>
    <t>382.88</t>
  </si>
  <si>
    <t>계열별 통합선발(자연계열)</t>
  </si>
  <si>
    <t xml:space="preserve">942.13 / </t>
  </si>
  <si>
    <t xml:space="preserve">745.2 / </t>
  </si>
  <si>
    <t xml:space="preserve">665.33 / </t>
  </si>
  <si>
    <t>376.87</t>
  </si>
  <si>
    <t>간호학부</t>
  </si>
  <si>
    <t xml:space="preserve">941.97 / </t>
  </si>
  <si>
    <t>376.84</t>
  </si>
  <si>
    <t>국사학과</t>
  </si>
  <si>
    <t xml:space="preserve">926.11 / </t>
  </si>
  <si>
    <t>8.25</t>
  </si>
  <si>
    <t>17,903</t>
  </si>
  <si>
    <t>MSDE학과</t>
  </si>
  <si>
    <t xml:space="preserve">930.64 / </t>
  </si>
  <si>
    <t xml:space="preserve"> 과탐7%</t>
  </si>
  <si>
    <t>지리학과(자연)</t>
  </si>
  <si>
    <t xml:space="preserve">555.91 / </t>
  </si>
  <si>
    <t>376.77</t>
  </si>
  <si>
    <t>382.74</t>
  </si>
  <si>
    <t>건축학전공(5년제)</t>
  </si>
  <si>
    <t xml:space="preserve">130.9 / </t>
  </si>
  <si>
    <t>8.27</t>
  </si>
  <si>
    <t>17,946</t>
  </si>
  <si>
    <t>376.76</t>
  </si>
  <si>
    <t>382.72</t>
  </si>
  <si>
    <t>시스템반도체학부</t>
  </si>
  <si>
    <t xml:space="preserve">695.88 / </t>
  </si>
  <si>
    <t>8.29</t>
  </si>
  <si>
    <t>17,989</t>
  </si>
  <si>
    <t>376.74</t>
  </si>
  <si>
    <t>생체의공학과</t>
  </si>
  <si>
    <t xml:space="preserve">555.84 / </t>
  </si>
  <si>
    <t xml:space="preserve">758.2 / </t>
  </si>
  <si>
    <t xml:space="preserve">665.07 / </t>
  </si>
  <si>
    <t>8.30</t>
  </si>
  <si>
    <t>18,011</t>
  </si>
  <si>
    <t>376.72</t>
  </si>
  <si>
    <t>부동산학과</t>
  </si>
  <si>
    <t xml:space="preserve">664.27 / </t>
  </si>
  <si>
    <t>8.31</t>
  </si>
  <si>
    <t>18,033</t>
  </si>
  <si>
    <t>식품생명공학과</t>
  </si>
  <si>
    <t xml:space="preserve">555.8 / </t>
  </si>
  <si>
    <t>376.66</t>
  </si>
  <si>
    <t xml:space="preserve">916.21 / </t>
  </si>
  <si>
    <t>8.38</t>
  </si>
  <si>
    <t>18,185</t>
  </si>
  <si>
    <t>376.61</t>
  </si>
  <si>
    <t>공과대학자유전공학부</t>
  </si>
  <si>
    <t xml:space="preserve">664.12 / </t>
  </si>
  <si>
    <t>8.40</t>
  </si>
  <si>
    <t>18,228</t>
  </si>
  <si>
    <t>376.58</t>
  </si>
  <si>
    <t>383.05</t>
  </si>
  <si>
    <t xml:space="preserve">918.87 / </t>
  </si>
  <si>
    <t>응용수학과</t>
  </si>
  <si>
    <t xml:space="preserve">555.71 / </t>
  </si>
  <si>
    <t>376.60</t>
  </si>
  <si>
    <t>383.04</t>
  </si>
  <si>
    <t>조리&amp;푸드디자인학과</t>
  </si>
  <si>
    <t xml:space="preserve">545.97 / </t>
  </si>
  <si>
    <t>간호학과(자연)</t>
  </si>
  <si>
    <t xml:space="preserve">758 / </t>
  </si>
  <si>
    <t>8.41</t>
  </si>
  <si>
    <t>18,250</t>
  </si>
  <si>
    <t>376.53</t>
  </si>
  <si>
    <t>자율전공학부</t>
  </si>
  <si>
    <t xml:space="preserve">545.9 / </t>
  </si>
  <si>
    <t>376.52</t>
  </si>
  <si>
    <t>경찰행정학부</t>
  </si>
  <si>
    <t>문화콘텐츠학과</t>
  </si>
  <si>
    <t>375.96</t>
  </si>
  <si>
    <t xml:space="preserve">926.84 / </t>
  </si>
  <si>
    <t>응용물리학과</t>
  </si>
  <si>
    <t xml:space="preserve">555.55 / </t>
  </si>
  <si>
    <t>8.44</t>
  </si>
  <si>
    <t>18,315</t>
  </si>
  <si>
    <t>376.41</t>
  </si>
  <si>
    <t xml:space="preserve">925.32 / </t>
  </si>
  <si>
    <t>376.47</t>
  </si>
  <si>
    <t xml:space="preserve">744.5 / </t>
  </si>
  <si>
    <t>8.67</t>
  </si>
  <si>
    <t>18,814</t>
  </si>
  <si>
    <t>뇌·인지과학부(인문)</t>
  </si>
  <si>
    <t xml:space="preserve">926.66 / </t>
  </si>
  <si>
    <t>376.34</t>
  </si>
  <si>
    <t xml:space="preserve">555.4 / </t>
  </si>
  <si>
    <t>8.69</t>
  </si>
  <si>
    <t>18,857</t>
  </si>
  <si>
    <t>382.85</t>
  </si>
  <si>
    <t xml:space="preserve">926.44 / </t>
  </si>
  <si>
    <t>381.49</t>
  </si>
  <si>
    <t>산업보안학과(자연)</t>
  </si>
  <si>
    <t>Language &amp; Diplomacy학부</t>
  </si>
  <si>
    <t xml:space="preserve">653.8 / </t>
  </si>
  <si>
    <t>376.22</t>
  </si>
  <si>
    <t>381.40</t>
  </si>
  <si>
    <t>사회환경공학부</t>
  </si>
  <si>
    <t xml:space="preserve">663.54 / </t>
  </si>
  <si>
    <t xml:space="preserve">555.26 / </t>
  </si>
  <si>
    <t>글로벌Hospitality·관광학과</t>
  </si>
  <si>
    <t xml:space="preserve">545.52 / </t>
  </si>
  <si>
    <t>8.53</t>
  </si>
  <si>
    <t>18,510</t>
  </si>
  <si>
    <t>376.20</t>
  </si>
  <si>
    <t xml:space="preserve">555.24 / </t>
  </si>
  <si>
    <t>376.03</t>
  </si>
  <si>
    <t>380.57</t>
  </si>
  <si>
    <t>전기공학과</t>
  </si>
  <si>
    <t xml:space="preserve">917.936 / </t>
  </si>
  <si>
    <t>8.62</t>
  </si>
  <si>
    <t>18,705</t>
  </si>
  <si>
    <t>376.01</t>
  </si>
  <si>
    <t>환경원예학과</t>
  </si>
  <si>
    <t xml:space="preserve">928.28 / </t>
  </si>
  <si>
    <t>8.63</t>
  </si>
  <si>
    <t>18,727</t>
  </si>
  <si>
    <t>375.98</t>
  </si>
  <si>
    <t xml:space="preserve">663.2 / </t>
  </si>
  <si>
    <t>조경학과</t>
  </si>
  <si>
    <t>375.94</t>
  </si>
  <si>
    <t xml:space="preserve">663.89 / </t>
  </si>
  <si>
    <t>Social Science &amp; AI융합학부</t>
  </si>
  <si>
    <t xml:space="preserve">653.2 / </t>
  </si>
  <si>
    <t>과학교육과</t>
  </si>
  <si>
    <t xml:space="preserve">939.86 / </t>
  </si>
  <si>
    <t>375.72</t>
  </si>
  <si>
    <t>환경학및환경공학과</t>
  </si>
  <si>
    <t xml:space="preserve">554.71 / </t>
  </si>
  <si>
    <t>375.71</t>
  </si>
  <si>
    <t>국제통상학과</t>
  </si>
  <si>
    <t xml:space="preserve">653.1 / </t>
  </si>
  <si>
    <t>8.76</t>
  </si>
  <si>
    <t>19,009</t>
  </si>
  <si>
    <t>8.77</t>
  </si>
  <si>
    <t>19,031</t>
  </si>
  <si>
    <t>375.58</t>
  </si>
  <si>
    <t>380.65</t>
  </si>
  <si>
    <t>열린전공학부(인문)</t>
  </si>
  <si>
    <t xml:space="preserve">683.65 / </t>
  </si>
  <si>
    <t>8.78</t>
  </si>
  <si>
    <t>19,053</t>
  </si>
  <si>
    <t>375.55</t>
  </si>
  <si>
    <t>380.06</t>
  </si>
  <si>
    <t xml:space="preserve">662.57 / </t>
  </si>
  <si>
    <t>375.56</t>
  </si>
  <si>
    <t>응용화학과</t>
  </si>
  <si>
    <t xml:space="preserve">554.53 / </t>
  </si>
  <si>
    <t>375.52</t>
  </si>
  <si>
    <t>국제무역학과</t>
  </si>
  <si>
    <t xml:space="preserve">662.52 / </t>
  </si>
  <si>
    <t>8.93</t>
  </si>
  <si>
    <t>19,378</t>
  </si>
  <si>
    <t>375.08</t>
  </si>
  <si>
    <t>특수교육과</t>
  </si>
  <si>
    <t xml:space="preserve">924.93 / </t>
  </si>
  <si>
    <t>8.81</t>
  </si>
  <si>
    <t>19,118</t>
  </si>
  <si>
    <t>375.48</t>
  </si>
  <si>
    <t>382.87</t>
  </si>
  <si>
    <t>스마트팜과학과</t>
  </si>
  <si>
    <t xml:space="preserve">554.44 / </t>
  </si>
  <si>
    <t>산업공학과 ITM전공(자연)</t>
  </si>
  <si>
    <t xml:space="preserve">927.94 / </t>
  </si>
  <si>
    <t>8.83</t>
  </si>
  <si>
    <t>19,161</t>
  </si>
  <si>
    <t>379.96</t>
  </si>
  <si>
    <t>동물자원‧식품과학‧유통학부</t>
  </si>
  <si>
    <t xml:space="preserve">662.26 / </t>
  </si>
  <si>
    <t>8.84</t>
  </si>
  <si>
    <t>19,183</t>
  </si>
  <si>
    <t>우주과학과</t>
  </si>
  <si>
    <t xml:space="preserve">554.24 / </t>
  </si>
  <si>
    <t>8.86</t>
  </si>
  <si>
    <t>19,226</t>
  </si>
  <si>
    <t>375.25</t>
  </si>
  <si>
    <t>379.92</t>
  </si>
  <si>
    <t xml:space="preserve">688.937 / </t>
  </si>
  <si>
    <t xml:space="preserve"> 미/기 3%가산</t>
  </si>
  <si>
    <t>375.24</t>
  </si>
  <si>
    <t>기술경영학과</t>
  </si>
  <si>
    <t xml:space="preserve">662.09 / </t>
  </si>
  <si>
    <t xml:space="preserve">662.1 / </t>
  </si>
  <si>
    <t>379.99</t>
  </si>
  <si>
    <t>379.89</t>
  </si>
  <si>
    <t xml:space="preserve">626.31 / </t>
  </si>
  <si>
    <t xml:space="preserve">554.1 / </t>
  </si>
  <si>
    <t>8.92</t>
  </si>
  <si>
    <t>19,356</t>
  </si>
  <si>
    <t>375.09</t>
  </si>
  <si>
    <t>379.84</t>
  </si>
  <si>
    <t>환경보건‧산림조경학부</t>
  </si>
  <si>
    <t xml:space="preserve">661.85 / </t>
  </si>
  <si>
    <t>375.05</t>
  </si>
  <si>
    <t xml:space="preserve">662.58 / </t>
  </si>
  <si>
    <t xml:space="preserve">652 / </t>
  </si>
  <si>
    <t>의상디자인학과-인문계</t>
  </si>
  <si>
    <t xml:space="preserve">662.34 / </t>
  </si>
  <si>
    <t>374.90</t>
  </si>
  <si>
    <t xml:space="preserve">651.9 / </t>
  </si>
  <si>
    <t>사회기반시스템공학과</t>
  </si>
  <si>
    <t xml:space="preserve">553.7 / </t>
  </si>
  <si>
    <t xml:space="preserve">693.069 / </t>
  </si>
  <si>
    <t>374.79</t>
  </si>
  <si>
    <t>글로벌커뮤니케이션학부</t>
  </si>
  <si>
    <t>374.75</t>
  </si>
  <si>
    <t>사회복지학부</t>
  </si>
  <si>
    <t xml:space="preserve">741.8 / </t>
  </si>
  <si>
    <t>374.70</t>
  </si>
  <si>
    <t xml:space="preserve">661.22 / </t>
  </si>
  <si>
    <t>9.12</t>
  </si>
  <si>
    <t>19,790</t>
  </si>
  <si>
    <t>컴퓨터·AI학부(자연)</t>
  </si>
  <si>
    <t xml:space="preserve">692.723 / </t>
  </si>
  <si>
    <t>9.13</t>
  </si>
  <si>
    <t>19,812</t>
  </si>
  <si>
    <t>374.57</t>
  </si>
  <si>
    <t xml:space="preserve">661.82 / </t>
  </si>
  <si>
    <t>9.14</t>
  </si>
  <si>
    <t>19,834</t>
  </si>
  <si>
    <t>379.82</t>
  </si>
  <si>
    <t xml:space="preserve">651.3 / </t>
  </si>
  <si>
    <t>9.16</t>
  </si>
  <si>
    <t>19,877</t>
  </si>
  <si>
    <t>국제학과</t>
  </si>
  <si>
    <t xml:space="preserve">543.56 / </t>
  </si>
  <si>
    <t>경제(농어촌)</t>
  </si>
  <si>
    <t xml:space="preserve">678.295 / </t>
  </si>
  <si>
    <t>9.25</t>
  </si>
  <si>
    <t>20,073</t>
  </si>
  <si>
    <t>374.16</t>
  </si>
  <si>
    <t xml:space="preserve">922.96 / </t>
  </si>
  <si>
    <t>9.17</t>
  </si>
  <si>
    <t>19,899</t>
  </si>
  <si>
    <t>374.45</t>
  </si>
  <si>
    <t>ELLT학과</t>
  </si>
  <si>
    <t xml:space="preserve">651.1 / </t>
  </si>
  <si>
    <t>374.30</t>
  </si>
  <si>
    <t>서울캠퍼스자율전공(자연·예능)</t>
  </si>
  <si>
    <t xml:space="preserve">130.2 / </t>
  </si>
  <si>
    <t>9.22</t>
  </si>
  <si>
    <t>20,007</t>
  </si>
  <si>
    <t>에너지신소재공학과</t>
  </si>
  <si>
    <t xml:space="preserve">692.152 / </t>
  </si>
  <si>
    <t>산업시스템공학과</t>
  </si>
  <si>
    <t xml:space="preserve">687.366 / </t>
  </si>
  <si>
    <t>374.21</t>
  </si>
  <si>
    <t>374.39</t>
  </si>
  <si>
    <t xml:space="preserve">654.3 / </t>
  </si>
  <si>
    <t>374.17</t>
  </si>
  <si>
    <t>374.19</t>
  </si>
  <si>
    <t>건축학과(5년제)</t>
  </si>
  <si>
    <t xml:space="preserve">552.88 / </t>
  </si>
  <si>
    <t>374.08</t>
  </si>
  <si>
    <t>회계학과</t>
  </si>
  <si>
    <t xml:space="preserve">681.475 / </t>
  </si>
  <si>
    <t>식량자원과학과</t>
  </si>
  <si>
    <t xml:space="preserve">660.2 / </t>
  </si>
  <si>
    <t>융합일본지역학부</t>
  </si>
  <si>
    <t xml:space="preserve">654.1 / </t>
  </si>
  <si>
    <t>374.03</t>
  </si>
  <si>
    <t>화공생물공학과</t>
  </si>
  <si>
    <t xml:space="preserve">691.807 / </t>
  </si>
  <si>
    <t>9.32</t>
  </si>
  <si>
    <t>20,224</t>
  </si>
  <si>
    <t xml:space="preserve">687.016 / </t>
  </si>
  <si>
    <t>379.23</t>
  </si>
  <si>
    <t>영화영상학과</t>
  </si>
  <si>
    <t xml:space="preserve">681.338 / </t>
  </si>
  <si>
    <t>373.93</t>
  </si>
  <si>
    <t>374.11</t>
  </si>
  <si>
    <t>경영정보학과</t>
  </si>
  <si>
    <t xml:space="preserve">681.25 / </t>
  </si>
  <si>
    <t>373.92</t>
  </si>
  <si>
    <t>378.76</t>
  </si>
  <si>
    <t>열린전공학부(자연)</t>
  </si>
  <si>
    <t xml:space="preserve">691.643 / </t>
  </si>
  <si>
    <t>373.89</t>
  </si>
  <si>
    <t>미디어커뮤니케이션학전공</t>
  </si>
  <si>
    <t xml:space="preserve">681.175 / </t>
  </si>
  <si>
    <t xml:space="preserve">488.48 / </t>
  </si>
  <si>
    <t>9.38</t>
  </si>
  <si>
    <t>20,355</t>
  </si>
  <si>
    <t xml:space="preserve">681.088 / </t>
  </si>
  <si>
    <t>373.83</t>
  </si>
  <si>
    <t>379.17</t>
  </si>
  <si>
    <t>9.41</t>
  </si>
  <si>
    <t>20,420</t>
  </si>
  <si>
    <t xml:space="preserve">705.97 / </t>
  </si>
  <si>
    <t>콘텐츠소프트웨어학과</t>
  </si>
  <si>
    <t xml:space="preserve">704.42 / </t>
  </si>
  <si>
    <t>373.61</t>
  </si>
  <si>
    <t>정보통신공학과</t>
  </si>
  <si>
    <t xml:space="preserve">691.152 / </t>
  </si>
  <si>
    <t>기계로봇에너지공학과</t>
  </si>
  <si>
    <t xml:space="preserve">691.154 / </t>
  </si>
  <si>
    <t>자유전공학부(서울)</t>
  </si>
  <si>
    <t xml:space="preserve">653.3 / </t>
  </si>
  <si>
    <t>373.77</t>
  </si>
  <si>
    <t>378.67</t>
  </si>
  <si>
    <t xml:space="preserve">130.1 / </t>
  </si>
  <si>
    <t>373.55</t>
  </si>
  <si>
    <t>373.73</t>
  </si>
  <si>
    <t>영어대학[통합모집]</t>
  </si>
  <si>
    <t>373.44</t>
  </si>
  <si>
    <t>지능형반도체공학전공</t>
  </si>
  <si>
    <t xml:space="preserve">934.82 / </t>
  </si>
  <si>
    <t>373.35</t>
  </si>
  <si>
    <t>첨단컴퓨팅(농어촌)</t>
  </si>
  <si>
    <t xml:space="preserve">673.047 / </t>
  </si>
  <si>
    <t>9.52</t>
  </si>
  <si>
    <t>20,658</t>
  </si>
  <si>
    <t>373.32</t>
  </si>
  <si>
    <t xml:space="preserve">680.325 / </t>
  </si>
  <si>
    <t>373.31</t>
  </si>
  <si>
    <t>영미문학‧문화학과</t>
  </si>
  <si>
    <t xml:space="preserve">652.8 / </t>
  </si>
  <si>
    <t xml:space="preserve">705.5 / </t>
  </si>
  <si>
    <t>9.56</t>
  </si>
  <si>
    <t>20,745</t>
  </si>
  <si>
    <t>373.25</t>
  </si>
  <si>
    <t>일본언어문화학부</t>
  </si>
  <si>
    <t xml:space="preserve">652.7 / </t>
  </si>
  <si>
    <t>한국어교육과</t>
  </si>
  <si>
    <t>영어통번역학과</t>
  </si>
  <si>
    <t xml:space="preserve">652.6 / </t>
  </si>
  <si>
    <t>9.62</t>
  </si>
  <si>
    <t>20,875</t>
  </si>
  <si>
    <t>373.17</t>
  </si>
  <si>
    <t>373.34</t>
  </si>
  <si>
    <t>정치외교학전공</t>
  </si>
  <si>
    <t xml:space="preserve">680.113 / </t>
  </si>
  <si>
    <t>법학과</t>
  </si>
  <si>
    <t xml:space="preserve">680.075 / </t>
  </si>
  <si>
    <t>9.65</t>
  </si>
  <si>
    <t>20,941</t>
  </si>
  <si>
    <t>373.10</t>
  </si>
  <si>
    <t>378.03</t>
  </si>
  <si>
    <t xml:space="preserve">685.583 / </t>
  </si>
  <si>
    <t>9.66</t>
  </si>
  <si>
    <t>20,962</t>
  </si>
  <si>
    <t>373.07</t>
  </si>
  <si>
    <t xml:space="preserve">552.55 / </t>
  </si>
  <si>
    <t>377.87</t>
  </si>
  <si>
    <t xml:space="preserve">923.08 / </t>
  </si>
  <si>
    <t>스페인어과</t>
  </si>
  <si>
    <t xml:space="preserve">652.2 / </t>
  </si>
  <si>
    <t>378.09</t>
  </si>
  <si>
    <t>산업공학과 산업정보시스템전공(인문)</t>
  </si>
  <si>
    <t xml:space="preserve">921.97 / </t>
  </si>
  <si>
    <t>373.12</t>
  </si>
  <si>
    <t>스페인어학과</t>
  </si>
  <si>
    <t xml:space="preserve">552.4 / </t>
  </si>
  <si>
    <t>9.70</t>
  </si>
  <si>
    <t>21,049</t>
  </si>
  <si>
    <t xml:space="preserve">679.738 / </t>
  </si>
  <si>
    <t>372.91</t>
  </si>
  <si>
    <t>377.92</t>
  </si>
  <si>
    <t xml:space="preserve">129.8 / </t>
  </si>
  <si>
    <t>신소재·화공시스템공학부</t>
  </si>
  <si>
    <t>378.06</t>
  </si>
  <si>
    <t>372.90</t>
  </si>
  <si>
    <t xml:space="preserve">679.688 / </t>
  </si>
  <si>
    <t>행정학전공</t>
  </si>
  <si>
    <t xml:space="preserve">679.625 / </t>
  </si>
  <si>
    <t>9.76</t>
  </si>
  <si>
    <t>21,179</t>
  </si>
  <si>
    <t>식품산업관리학과</t>
  </si>
  <si>
    <t xml:space="preserve">679.538 / </t>
  </si>
  <si>
    <t>377.80</t>
  </si>
  <si>
    <t xml:space="preserve">683.41 / </t>
  </si>
  <si>
    <t>372.77</t>
  </si>
  <si>
    <t>378.31</t>
  </si>
  <si>
    <t>인문/인문‧자연(농어촌)</t>
  </si>
  <si>
    <t xml:space="preserve">486.62 / </t>
  </si>
  <si>
    <t>372.73</t>
  </si>
  <si>
    <t>중국언어문화학부</t>
  </si>
  <si>
    <t xml:space="preserve">689.758 / </t>
  </si>
  <si>
    <t>372.65</t>
  </si>
  <si>
    <t>독일어과</t>
  </si>
  <si>
    <t xml:space="preserve">651.8 / </t>
  </si>
  <si>
    <t>377.65</t>
  </si>
  <si>
    <t>기계·시스템디자인공학과</t>
  </si>
  <si>
    <t xml:space="preserve">129.7 / </t>
  </si>
  <si>
    <t>산업·데이터공학과</t>
  </si>
  <si>
    <t>산업공학과 산업정보시스템전공(자연)</t>
  </si>
  <si>
    <t xml:space="preserve">922.15 / </t>
  </si>
  <si>
    <t>372.51</t>
  </si>
  <si>
    <t>특수외국어(유럽지역)계열</t>
  </si>
  <si>
    <t xml:space="preserve">651.6 / </t>
  </si>
  <si>
    <t>9.86</t>
  </si>
  <si>
    <t>21,396</t>
  </si>
  <si>
    <t>372.59</t>
  </si>
  <si>
    <t>사회과학대학[통합모집]</t>
  </si>
  <si>
    <t xml:space="preserve">647.7 / </t>
  </si>
  <si>
    <t>372.42</t>
  </si>
  <si>
    <t>프랑스어학부</t>
  </si>
  <si>
    <t xml:space="preserve">651.5 / </t>
  </si>
  <si>
    <t>글로벌협력전공</t>
  </si>
  <si>
    <t xml:space="preserve">912.7 / </t>
  </si>
  <si>
    <t>372.34</t>
  </si>
  <si>
    <t>377.86</t>
  </si>
  <si>
    <t>중국학대학[통합모집]</t>
  </si>
  <si>
    <t>핵심외국어계열</t>
  </si>
  <si>
    <t>포르투갈어과</t>
  </si>
  <si>
    <t>9.93</t>
  </si>
  <si>
    <t>21,548</t>
  </si>
  <si>
    <t>372.30</t>
  </si>
  <si>
    <t>융합바이오·신소재공학과</t>
  </si>
  <si>
    <t xml:space="preserve">550.61 / </t>
  </si>
  <si>
    <t xml:space="preserve">678.763 / </t>
  </si>
  <si>
    <t xml:space="preserve">689.106 / </t>
  </si>
  <si>
    <t>372.11</t>
  </si>
  <si>
    <t>간호학과(교차)</t>
  </si>
  <si>
    <t>372.19</t>
  </si>
  <si>
    <t>실내건축학전공</t>
  </si>
  <si>
    <t xml:space="preserve">129.6 / </t>
  </si>
  <si>
    <t>372.37</t>
  </si>
  <si>
    <t>법학부</t>
  </si>
  <si>
    <t>372.20</t>
  </si>
  <si>
    <t xml:space="preserve">678.663 / </t>
  </si>
  <si>
    <t>10.00</t>
  </si>
  <si>
    <t>21,700</t>
  </si>
  <si>
    <t>자유전공학부(일반전형Ⅱ)</t>
  </si>
  <si>
    <t xml:space="preserve">885 / </t>
  </si>
  <si>
    <t>372.15</t>
  </si>
  <si>
    <t>바이오의약전공</t>
  </si>
  <si>
    <t xml:space="preserve">703.16 / </t>
  </si>
  <si>
    <t xml:space="preserve"> 미/기,과3%</t>
  </si>
  <si>
    <t>북한학전공</t>
  </si>
  <si>
    <t xml:space="preserve">678.613 / </t>
  </si>
  <si>
    <t>372.14</t>
  </si>
  <si>
    <t>372.31</t>
  </si>
  <si>
    <t>영어영문학부</t>
  </si>
  <si>
    <t xml:space="preserve">678.575 / </t>
  </si>
  <si>
    <t>372.07</t>
  </si>
  <si>
    <t xml:space="preserve">682.393 / </t>
  </si>
  <si>
    <t>372.09</t>
  </si>
  <si>
    <t>스칸디나비아어과</t>
  </si>
  <si>
    <t>중국외교통상학부</t>
  </si>
  <si>
    <t>372.05</t>
  </si>
  <si>
    <t xml:space="preserve">921.29 / </t>
  </si>
  <si>
    <t>372.22</t>
  </si>
  <si>
    <t xml:space="preserve">678.438 / </t>
  </si>
  <si>
    <t>10.04</t>
  </si>
  <si>
    <t>21,787</t>
  </si>
  <si>
    <t>372.00</t>
  </si>
  <si>
    <t>이탈리아어과</t>
  </si>
  <si>
    <t>371.99</t>
  </si>
  <si>
    <t>372.17</t>
  </si>
  <si>
    <t>일본학과</t>
  </si>
  <si>
    <t xml:space="preserve">678.375 / </t>
  </si>
  <si>
    <t>10.06</t>
  </si>
  <si>
    <t>21,830</t>
  </si>
  <si>
    <t>371.95</t>
  </si>
  <si>
    <t>네덜란드어과</t>
  </si>
  <si>
    <t xml:space="preserve">650.9 / </t>
  </si>
  <si>
    <t>경영학과(글로벌테크노경영전공)_인문</t>
  </si>
  <si>
    <t xml:space="preserve">919.96 / </t>
  </si>
  <si>
    <t>371.92</t>
  </si>
  <si>
    <t>국어국문·문예창작학부</t>
  </si>
  <si>
    <t xml:space="preserve">678.275 / </t>
  </si>
  <si>
    <t>371.90</t>
  </si>
  <si>
    <t>사회학전공</t>
  </si>
  <si>
    <t xml:space="preserve">678.238 / </t>
  </si>
  <si>
    <t>371.89</t>
  </si>
  <si>
    <t>371.84</t>
  </si>
  <si>
    <t>376.98</t>
  </si>
  <si>
    <t>지능형반도체공학과</t>
  </si>
  <si>
    <t xml:space="preserve">917.69 / </t>
  </si>
  <si>
    <t>371.86</t>
  </si>
  <si>
    <t xml:space="preserve">678.175 / </t>
  </si>
  <si>
    <t>372.02</t>
  </si>
  <si>
    <t>377.27</t>
  </si>
  <si>
    <t>371.83</t>
  </si>
  <si>
    <t>376.97</t>
  </si>
  <si>
    <t xml:space="preserve">129.5 / </t>
  </si>
  <si>
    <t>전자·전기공학부</t>
  </si>
  <si>
    <t>372.03</t>
  </si>
  <si>
    <t>특수외국어(중동지역)계열</t>
  </si>
  <si>
    <t>노어과</t>
  </si>
  <si>
    <t>371.81</t>
  </si>
  <si>
    <t>376.96</t>
  </si>
  <si>
    <t>생명시스템학부</t>
  </si>
  <si>
    <t xml:space="preserve">909.72 / </t>
  </si>
  <si>
    <t>371.79</t>
  </si>
  <si>
    <t>371.97</t>
  </si>
  <si>
    <t>중국어학과</t>
  </si>
  <si>
    <t>10.12</t>
  </si>
  <si>
    <t>21,960</t>
  </si>
  <si>
    <t>371.73</t>
  </si>
  <si>
    <t xml:space="preserve">919.59 / </t>
  </si>
  <si>
    <t xml:space="preserve">677.975 / </t>
  </si>
  <si>
    <t>10.14</t>
  </si>
  <si>
    <t>22,004</t>
  </si>
  <si>
    <t>371.69</t>
  </si>
  <si>
    <t>바이오시스템대학(광역화)</t>
  </si>
  <si>
    <t xml:space="preserve">688.27 / </t>
  </si>
  <si>
    <t>371.70</t>
  </si>
  <si>
    <t>외국어교육학부(프랑스어교육전공)</t>
  </si>
  <si>
    <t>10.16</t>
  </si>
  <si>
    <t>22,047</t>
  </si>
  <si>
    <t>371.67</t>
  </si>
  <si>
    <t xml:space="preserve">677.888 / </t>
  </si>
  <si>
    <t>371.63</t>
  </si>
  <si>
    <t xml:space="preserve">688.184 / </t>
  </si>
  <si>
    <t>태국학과</t>
  </si>
  <si>
    <t xml:space="preserve">650.5 / </t>
  </si>
  <si>
    <t>한국어학과</t>
  </si>
  <si>
    <t xml:space="preserve">550.82 / </t>
  </si>
  <si>
    <t>371.59</t>
  </si>
  <si>
    <t>371.76</t>
  </si>
  <si>
    <t>상경대학[통합모집]</t>
  </si>
  <si>
    <t xml:space="preserve">646.6 / </t>
  </si>
  <si>
    <t>일본학대학[통합모집]</t>
  </si>
  <si>
    <t>10.23</t>
  </si>
  <si>
    <t>22,199</t>
  </si>
  <si>
    <t>371.48</t>
  </si>
  <si>
    <t>클라우드공학과</t>
  </si>
  <si>
    <t xml:space="preserve">89.6 / </t>
  </si>
  <si>
    <t>10.22</t>
  </si>
  <si>
    <t>22,177</t>
  </si>
  <si>
    <t>371.49</t>
  </si>
  <si>
    <t>바이오환경과학과</t>
  </si>
  <si>
    <t xml:space="preserve">681.549 / </t>
  </si>
  <si>
    <t>371.43</t>
  </si>
  <si>
    <t>376.78</t>
  </si>
  <si>
    <t>의생명공학과</t>
  </si>
  <si>
    <t xml:space="preserve">687.9 / </t>
  </si>
  <si>
    <t>페르시아어․이란학과</t>
  </si>
  <si>
    <t>10.25</t>
  </si>
  <si>
    <t>22,243</t>
  </si>
  <si>
    <t>371.39</t>
  </si>
  <si>
    <t>371.58</t>
  </si>
  <si>
    <t>러시아어학과</t>
  </si>
  <si>
    <t>프랑스어학과</t>
  </si>
  <si>
    <t>10.27</t>
  </si>
  <si>
    <t>22,286</t>
  </si>
  <si>
    <t>인도어과</t>
  </si>
  <si>
    <t xml:space="preserve">650.2 / </t>
  </si>
  <si>
    <t>아랍어과</t>
  </si>
  <si>
    <t>10.31</t>
  </si>
  <si>
    <t>22,373</t>
  </si>
  <si>
    <t>371.27</t>
  </si>
  <si>
    <t>특수외국어(인도․아세안지역)계열</t>
  </si>
  <si>
    <t>몽골어과</t>
  </si>
  <si>
    <t>371.19</t>
  </si>
  <si>
    <t>자연공학계열(일반전형Ⅱ)</t>
  </si>
  <si>
    <t xml:space="preserve">880 / </t>
  </si>
  <si>
    <t>인문사회계열(일반전형Ⅱ)</t>
  </si>
  <si>
    <t>10.34</t>
  </si>
  <si>
    <t>22,438</t>
  </si>
  <si>
    <t>371.22</t>
  </si>
  <si>
    <t>말레이‧인도네시아어과</t>
  </si>
  <si>
    <t>371.31</t>
  </si>
  <si>
    <t>371.11</t>
  </si>
  <si>
    <t xml:space="preserve">129.3 / </t>
  </si>
  <si>
    <t>371.09</t>
  </si>
  <si>
    <t xml:space="preserve">908.33 / </t>
  </si>
  <si>
    <t>10.40</t>
  </si>
  <si>
    <t>22,568</t>
  </si>
  <si>
    <t>371.01</t>
  </si>
  <si>
    <t>376.29</t>
  </si>
  <si>
    <t xml:space="preserve">915.87 / </t>
  </si>
  <si>
    <t>10.45</t>
  </si>
  <si>
    <t>22,677</t>
  </si>
  <si>
    <t>370.91</t>
  </si>
  <si>
    <t>376.11</t>
  </si>
  <si>
    <t xml:space="preserve">915.64 / </t>
  </si>
  <si>
    <t>370.90</t>
  </si>
  <si>
    <t xml:space="preserve">687.117 / </t>
  </si>
  <si>
    <t>10.47</t>
  </si>
  <si>
    <t>22,720</t>
  </si>
  <si>
    <t>370.87</t>
  </si>
  <si>
    <t>376.08</t>
  </si>
  <si>
    <t xml:space="preserve">673.24 / </t>
  </si>
  <si>
    <t>371.00</t>
  </si>
  <si>
    <t>376.30</t>
  </si>
  <si>
    <t xml:space="preserve">618.41 / </t>
  </si>
  <si>
    <t>10.58</t>
  </si>
  <si>
    <t>22,959</t>
  </si>
  <si>
    <t>370.62</t>
  </si>
  <si>
    <t>전기전자공학부(전자공학전공)</t>
  </si>
  <si>
    <t xml:space="preserve">702 / </t>
  </si>
  <si>
    <t>10.59</t>
  </si>
  <si>
    <t>22,980</t>
  </si>
  <si>
    <t>370.78</t>
  </si>
  <si>
    <t>튀르키예․아제르바이잔학과</t>
  </si>
  <si>
    <t xml:space="preserve">649.1 / </t>
  </si>
  <si>
    <t>10.60</t>
  </si>
  <si>
    <t>23,002</t>
  </si>
  <si>
    <t>375.82</t>
  </si>
  <si>
    <t xml:space="preserve">680.187 / </t>
  </si>
  <si>
    <t>370.61</t>
  </si>
  <si>
    <t xml:space="preserve">129.2 / </t>
  </si>
  <si>
    <t>10.66</t>
  </si>
  <si>
    <t>23,132</t>
  </si>
  <si>
    <t>370.40</t>
  </si>
  <si>
    <t>외국어교육학부(독일어교육전공)</t>
  </si>
  <si>
    <t xml:space="preserve">648.8 / </t>
  </si>
  <si>
    <t>370.37</t>
  </si>
  <si>
    <t>공연영상창작학부(영화)</t>
  </si>
  <si>
    <t xml:space="preserve">748.4 / </t>
  </si>
  <si>
    <t>370.34</t>
  </si>
  <si>
    <t>375.59</t>
  </si>
  <si>
    <t>전자정보공학부(IT융합)</t>
  </si>
  <si>
    <t xml:space="preserve">916.87 / </t>
  </si>
  <si>
    <t>375.39</t>
  </si>
  <si>
    <t xml:space="preserve">917.97 / </t>
  </si>
  <si>
    <t>370.31</t>
  </si>
  <si>
    <t>컴퓨터과학전공</t>
  </si>
  <si>
    <t xml:space="preserve">906.83 / </t>
  </si>
  <si>
    <t>10.77</t>
  </si>
  <si>
    <t>23,371</t>
  </si>
  <si>
    <t>370.10</t>
  </si>
  <si>
    <t>375.32</t>
  </si>
  <si>
    <t xml:space="preserve">912.6 / </t>
  </si>
  <si>
    <t>370.27</t>
  </si>
  <si>
    <t>베트남어과</t>
  </si>
  <si>
    <t xml:space="preserve">648.3 / </t>
  </si>
  <si>
    <t>370.02</t>
  </si>
  <si>
    <t>375.26</t>
  </si>
  <si>
    <t>방사선학과</t>
  </si>
  <si>
    <t xml:space="preserve">183 / </t>
  </si>
  <si>
    <t xml:space="preserve"> 미/기10% , 과탐5%가산</t>
  </si>
  <si>
    <t>369.98</t>
  </si>
  <si>
    <t>전기정보공학과</t>
  </si>
  <si>
    <t xml:space="preserve">917.31 / </t>
  </si>
  <si>
    <t>369.96</t>
  </si>
  <si>
    <t xml:space="preserve">912.3 / </t>
  </si>
  <si>
    <t>스마트ICT융합공학과</t>
  </si>
  <si>
    <t xml:space="preserve">917.27 / </t>
  </si>
  <si>
    <t>369.94</t>
  </si>
  <si>
    <t>문화유산학과</t>
  </si>
  <si>
    <t xml:space="preserve">675.375 / </t>
  </si>
  <si>
    <t>10.70</t>
  </si>
  <si>
    <t>23,219</t>
  </si>
  <si>
    <t>370.00</t>
  </si>
  <si>
    <t xml:space="preserve">904.94 / </t>
  </si>
  <si>
    <t>369.99</t>
  </si>
  <si>
    <t>경영학과(경영학전공)</t>
  </si>
  <si>
    <t xml:space="preserve">915.82 / </t>
  </si>
  <si>
    <t>10.94</t>
  </si>
  <si>
    <t>23,740</t>
  </si>
  <si>
    <t>369.75</t>
  </si>
  <si>
    <t>374.93</t>
  </si>
  <si>
    <t xml:space="preserve">915.72 / </t>
  </si>
  <si>
    <t>10.98</t>
  </si>
  <si>
    <t>23,827</t>
  </si>
  <si>
    <t>369.68</t>
  </si>
  <si>
    <t xml:space="preserve">676 / </t>
  </si>
  <si>
    <t>369.65</t>
  </si>
  <si>
    <t>374.81</t>
  </si>
  <si>
    <t xml:space="preserve">912.83 / </t>
  </si>
  <si>
    <t>369.79</t>
  </si>
  <si>
    <t>AI빅데이터융합경영학과(인문)</t>
  </si>
  <si>
    <t>아태물류학부</t>
  </si>
  <si>
    <t xml:space="preserve">901 / </t>
  </si>
  <si>
    <t>369.53</t>
  </si>
  <si>
    <t xml:space="preserve">671.17 / </t>
  </si>
  <si>
    <t>인공지능응용학과</t>
  </si>
  <si>
    <t xml:space="preserve">916.48 / </t>
  </si>
  <si>
    <t>369.50</t>
  </si>
  <si>
    <t>전자정보공학부(전자공학)</t>
  </si>
  <si>
    <t xml:space="preserve">917.67 / </t>
  </si>
  <si>
    <t xml:space="preserve">916.17 / </t>
  </si>
  <si>
    <t xml:space="preserve">914.9 / </t>
  </si>
  <si>
    <t>11.10</t>
  </si>
  <si>
    <t>24,087</t>
  </si>
  <si>
    <t>369.28</t>
  </si>
  <si>
    <t>369.49</t>
  </si>
  <si>
    <t>374.94</t>
  </si>
  <si>
    <t>앙트러프러너십전공</t>
  </si>
  <si>
    <t xml:space="preserve">906.56 / </t>
  </si>
  <si>
    <t>11.11</t>
  </si>
  <si>
    <t>24,109</t>
  </si>
  <si>
    <t>369.24</t>
  </si>
  <si>
    <t xml:space="preserve">911.91 / </t>
  </si>
  <si>
    <t>11.12</t>
  </si>
  <si>
    <t>24,130</t>
  </si>
  <si>
    <t>369.21</t>
  </si>
  <si>
    <t>건축학부(건축학·건축공학전공)</t>
  </si>
  <si>
    <t xml:space="preserve">914.67 / </t>
  </si>
  <si>
    <t>11.14</t>
  </si>
  <si>
    <t>24,174</t>
  </si>
  <si>
    <t>369.32</t>
  </si>
  <si>
    <t>외국어교육학부(중국어교육전공)</t>
  </si>
  <si>
    <t xml:space="preserve">646.8 / </t>
  </si>
  <si>
    <t>자유전공학부(기술경영융합대학)</t>
  </si>
  <si>
    <t xml:space="preserve">900.87 / </t>
  </si>
  <si>
    <t>ST자유전공학부</t>
  </si>
  <si>
    <t xml:space="preserve">915.59 / </t>
  </si>
  <si>
    <t>전기전자공(농어촌)</t>
  </si>
  <si>
    <t xml:space="preserve">666.087 / </t>
  </si>
  <si>
    <t>368.76</t>
  </si>
  <si>
    <t>지능형ICT융합전공</t>
  </si>
  <si>
    <t xml:space="preserve">698.62 / </t>
  </si>
  <si>
    <t>11.30</t>
  </si>
  <si>
    <t>24,521</t>
  </si>
  <si>
    <t>368.73</t>
  </si>
  <si>
    <t>374.07</t>
  </si>
  <si>
    <t>자연계열(농어촌)</t>
  </si>
  <si>
    <t>11.39</t>
  </si>
  <si>
    <t>24,716</t>
  </si>
  <si>
    <t>373.87</t>
  </si>
  <si>
    <t>첨단융합학부(공학자율전공)</t>
  </si>
  <si>
    <t xml:space="preserve">699.3 / </t>
  </si>
  <si>
    <t>지능형전자시스템전공</t>
  </si>
  <si>
    <t xml:space="preserve">903.53 / </t>
  </si>
  <si>
    <t xml:space="preserve">913.39 / </t>
  </si>
  <si>
    <t>368.65</t>
  </si>
  <si>
    <t>368.43</t>
  </si>
  <si>
    <t>373.78</t>
  </si>
  <si>
    <t>자유전공학부(창의융합대학)</t>
  </si>
  <si>
    <t xml:space="preserve">914.41 / </t>
  </si>
  <si>
    <t>11.43</t>
  </si>
  <si>
    <t>24,803</t>
  </si>
  <si>
    <t xml:space="preserve">904.75 / </t>
  </si>
  <si>
    <t>11.45</t>
  </si>
  <si>
    <t>24,847</t>
  </si>
  <si>
    <t>368.31</t>
  </si>
  <si>
    <t>의생명시스템학부</t>
  </si>
  <si>
    <t xml:space="preserve">915.42 / </t>
  </si>
  <si>
    <t>11.44</t>
  </si>
  <si>
    <t>24,825</t>
  </si>
  <si>
    <t>368.32</t>
  </si>
  <si>
    <t xml:space="preserve">913 / </t>
  </si>
  <si>
    <t>11.46</t>
  </si>
  <si>
    <t>24,868</t>
  </si>
  <si>
    <t>데이터사이언스전공</t>
  </si>
  <si>
    <t xml:space="preserve">903.02 / </t>
  </si>
  <si>
    <t>368.22</t>
  </si>
  <si>
    <t xml:space="preserve">902.91 / </t>
  </si>
  <si>
    <t>미래모빌리티학과</t>
  </si>
  <si>
    <t xml:space="preserve">697.89 / </t>
  </si>
  <si>
    <t>11.49</t>
  </si>
  <si>
    <t>24,933</t>
  </si>
  <si>
    <t>368.21</t>
  </si>
  <si>
    <t>368.41</t>
  </si>
  <si>
    <t xml:space="preserve">904.45 / </t>
  </si>
  <si>
    <t>11.50</t>
  </si>
  <si>
    <t>24,955</t>
  </si>
  <si>
    <t>368.17</t>
  </si>
  <si>
    <t>물리치료학과</t>
  </si>
  <si>
    <t xml:space="preserve">182 / </t>
  </si>
  <si>
    <t xml:space="preserve">913.87 / </t>
  </si>
  <si>
    <t>11.54</t>
  </si>
  <si>
    <t>25,042</t>
  </si>
  <si>
    <t>368.04</t>
  </si>
  <si>
    <t>368.25</t>
  </si>
  <si>
    <t>경영(농어촌)</t>
  </si>
  <si>
    <t xml:space="preserve">668.386 / </t>
  </si>
  <si>
    <t>368.18</t>
  </si>
  <si>
    <t>373.71</t>
  </si>
  <si>
    <t>자유전공학부(인문사회대학)</t>
  </si>
  <si>
    <t xml:space="preserve">912.25 / </t>
  </si>
  <si>
    <t>367.95</t>
  </si>
  <si>
    <t>368.16</t>
  </si>
  <si>
    <t>소비자경제학과</t>
  </si>
  <si>
    <t xml:space="preserve">903.96 / </t>
  </si>
  <si>
    <t>자유전공학부(정보통신대학)</t>
  </si>
  <si>
    <t xml:space="preserve">913.46 / </t>
  </si>
  <si>
    <t>11.58</t>
  </si>
  <si>
    <t>25,129</t>
  </si>
  <si>
    <t>미래에너지융합학과</t>
  </si>
  <si>
    <t xml:space="preserve">913.37 / </t>
  </si>
  <si>
    <t>367.89</t>
  </si>
  <si>
    <t xml:space="preserve">903.86 / </t>
  </si>
  <si>
    <t>367.87</t>
  </si>
  <si>
    <t>373.54</t>
  </si>
  <si>
    <t xml:space="preserve">668.74 / </t>
  </si>
  <si>
    <t>경영(한마음학생)</t>
  </si>
  <si>
    <t xml:space="preserve">668.155 / </t>
  </si>
  <si>
    <t>.00</t>
  </si>
  <si>
    <t>368.02</t>
  </si>
  <si>
    <t xml:space="preserve">902.72 / </t>
  </si>
  <si>
    <t>금융학부</t>
  </si>
  <si>
    <t xml:space="preserve">901.15 / </t>
  </si>
  <si>
    <t>367.78</t>
  </si>
  <si>
    <t>373.46</t>
  </si>
  <si>
    <t>산업·정보시스템공학과</t>
  </si>
  <si>
    <t xml:space="preserve">911.98 / </t>
  </si>
  <si>
    <t>367.99</t>
  </si>
  <si>
    <t>인문계열(농어촌)</t>
  </si>
  <si>
    <t>373.42</t>
  </si>
  <si>
    <t xml:space="preserve">181.61 / </t>
  </si>
  <si>
    <t>11.65</t>
  </si>
  <si>
    <t>25,281</t>
  </si>
  <si>
    <t>367.92</t>
  </si>
  <si>
    <t xml:space="preserve">871.75 / </t>
  </si>
  <si>
    <t xml:space="preserve"> 미적/기하 3%가산</t>
  </si>
  <si>
    <t>11.70</t>
  </si>
  <si>
    <t>25,389</t>
  </si>
  <si>
    <t>367.45</t>
  </si>
  <si>
    <t xml:space="preserve">911.36 / </t>
  </si>
  <si>
    <t>11.73</t>
  </si>
  <si>
    <t>25,454</t>
  </si>
  <si>
    <t>367.38</t>
  </si>
  <si>
    <t>373.04</t>
  </si>
  <si>
    <t xml:space="preserve">913.67 / </t>
  </si>
  <si>
    <t>367.40</t>
  </si>
  <si>
    <t>불교학부</t>
  </si>
  <si>
    <t xml:space="preserve">671.663 / </t>
  </si>
  <si>
    <t>367.31</t>
  </si>
  <si>
    <t>정밀화학과</t>
  </si>
  <si>
    <t xml:space="preserve">912.29 / </t>
  </si>
  <si>
    <t>373.20</t>
  </si>
  <si>
    <t xml:space="preserve">668.93 / </t>
  </si>
  <si>
    <t>11.79</t>
  </si>
  <si>
    <t>25,584</t>
  </si>
  <si>
    <t>367.23</t>
  </si>
  <si>
    <t>IT 첨단자율학부</t>
  </si>
  <si>
    <t xml:space="preserve">667.82 / </t>
  </si>
  <si>
    <t>367.10</t>
  </si>
  <si>
    <t xml:space="preserve">902.33 / </t>
  </si>
  <si>
    <t>11.77</t>
  </si>
  <si>
    <t>25,541</t>
  </si>
  <si>
    <t>367.30</t>
  </si>
  <si>
    <t>372.89</t>
  </si>
  <si>
    <t xml:space="preserve">697.75 / </t>
  </si>
  <si>
    <t>367.04</t>
  </si>
  <si>
    <t xml:space="preserve">902.21 / </t>
  </si>
  <si>
    <t>11.82</t>
  </si>
  <si>
    <t>25,649</t>
  </si>
  <si>
    <t>367.14</t>
  </si>
  <si>
    <t>367.15</t>
  </si>
  <si>
    <t xml:space="preserve">892.86 / </t>
  </si>
  <si>
    <t>366.86</t>
  </si>
  <si>
    <t>신소재물리전공</t>
  </si>
  <si>
    <t xml:space="preserve">904.86 / </t>
  </si>
  <si>
    <t>367.06</t>
  </si>
  <si>
    <t xml:space="preserve">900.85 / </t>
  </si>
  <si>
    <t xml:space="preserve">905.54 / </t>
  </si>
  <si>
    <t xml:space="preserve"> 사탐백분위2.5%를 총점에 단순가산</t>
  </si>
  <si>
    <t>기계‧자동차공학과</t>
  </si>
  <si>
    <t xml:space="preserve">911.27 / </t>
  </si>
  <si>
    <t>국제법무학과</t>
  </si>
  <si>
    <t xml:space="preserve">900.71 / </t>
  </si>
  <si>
    <t>11.95</t>
  </si>
  <si>
    <t>25,932</t>
  </si>
  <si>
    <t>366.74</t>
  </si>
  <si>
    <t>372.35</t>
  </si>
  <si>
    <t>경영학과(글로벌테크노경영전공)_자연</t>
  </si>
  <si>
    <t xml:space="preserve">911.21 / </t>
  </si>
  <si>
    <t>366.73</t>
  </si>
  <si>
    <t xml:space="preserve">898.97 / </t>
  </si>
  <si>
    <t>11.96</t>
  </si>
  <si>
    <t>25,953</t>
  </si>
  <si>
    <t>366.71</t>
  </si>
  <si>
    <t>건축학부건축학전공</t>
  </si>
  <si>
    <t xml:space="preserve">911.16 / </t>
  </si>
  <si>
    <t>372.41</t>
  </si>
  <si>
    <t>기계시스템디자인공학과</t>
  </si>
  <si>
    <t xml:space="preserve">911.11 / </t>
  </si>
  <si>
    <t>11.97</t>
  </si>
  <si>
    <t>25,975</t>
  </si>
  <si>
    <t>기계시스템학부</t>
  </si>
  <si>
    <t xml:space="preserve">900.05 / </t>
  </si>
  <si>
    <t xml:space="preserve">898.89 / </t>
  </si>
  <si>
    <t>12.00</t>
  </si>
  <si>
    <t>26,040</t>
  </si>
  <si>
    <t>366.55</t>
  </si>
  <si>
    <t>한국어문학부</t>
  </si>
  <si>
    <t xml:space="preserve">901.25 / </t>
  </si>
  <si>
    <t>12.01</t>
  </si>
  <si>
    <t>26,062</t>
  </si>
  <si>
    <t>366.53</t>
  </si>
  <si>
    <t>366.76</t>
  </si>
  <si>
    <t>문화관광학전공</t>
  </si>
  <si>
    <t xml:space="preserve">901.24 / </t>
  </si>
  <si>
    <t>366.49</t>
  </si>
  <si>
    <t>372.29</t>
  </si>
  <si>
    <t>첨단공학부</t>
  </si>
  <si>
    <t xml:space="preserve">901.85 / </t>
  </si>
  <si>
    <t xml:space="preserve"> 과탐3%</t>
  </si>
  <si>
    <t>가족자원경영학과</t>
  </si>
  <si>
    <t xml:space="preserve">901.11 / </t>
  </si>
  <si>
    <t xml:space="preserve">900.11 / </t>
  </si>
  <si>
    <t>366.43</t>
  </si>
  <si>
    <t>정보컴퓨터공학부(컴퓨터공학전공)</t>
  </si>
  <si>
    <t>366.42</t>
  </si>
  <si>
    <t>첨단신소재공학과</t>
  </si>
  <si>
    <t xml:space="preserve">906.05 / </t>
  </si>
  <si>
    <t>366.41</t>
  </si>
  <si>
    <t xml:space="preserve">904.6 / </t>
  </si>
  <si>
    <t>372.23</t>
  </si>
  <si>
    <t xml:space="preserve">87.4 / </t>
  </si>
  <si>
    <t>12.06</t>
  </si>
  <si>
    <t>26,170</t>
  </si>
  <si>
    <t>Select</t>
  </si>
  <si>
    <t xml:space="preserve">900.19 / </t>
  </si>
  <si>
    <t>366.31</t>
  </si>
  <si>
    <t>첨단바이오의약학과</t>
  </si>
  <si>
    <t xml:space="preserve">904.4 / </t>
  </si>
  <si>
    <t>366.33</t>
  </si>
  <si>
    <t>바이오발효융합학과</t>
  </si>
  <si>
    <t xml:space="preserve">695.35 / </t>
  </si>
  <si>
    <t>12.08</t>
  </si>
  <si>
    <t>26,214</t>
  </si>
  <si>
    <t>366.32</t>
  </si>
  <si>
    <t xml:space="preserve">895.57 / </t>
  </si>
  <si>
    <t>366.30</t>
  </si>
  <si>
    <t>사이버보안학과</t>
  </si>
  <si>
    <t xml:space="preserve">905.8 / </t>
  </si>
  <si>
    <t>366.27</t>
  </si>
  <si>
    <t xml:space="preserve">911.57 / </t>
  </si>
  <si>
    <t>366.25</t>
  </si>
  <si>
    <t>자연(기초생활보장대상자)</t>
  </si>
  <si>
    <t xml:space="preserve">481.09 / </t>
  </si>
  <si>
    <t>12.13</t>
  </si>
  <si>
    <t>26,322</t>
  </si>
  <si>
    <t>366.24</t>
  </si>
  <si>
    <t>372.33</t>
  </si>
  <si>
    <t>역사문화학과</t>
  </si>
  <si>
    <t xml:space="preserve">900.66 / </t>
  </si>
  <si>
    <t>12.15</t>
  </si>
  <si>
    <t>26,366</t>
  </si>
  <si>
    <t>366.19</t>
  </si>
  <si>
    <t>기계금속재료</t>
  </si>
  <si>
    <t xml:space="preserve">695.16 / </t>
  </si>
  <si>
    <t>366.38</t>
  </si>
  <si>
    <t>경영정보학부(인문)</t>
  </si>
  <si>
    <t>366.09</t>
  </si>
  <si>
    <t>전기공학부</t>
  </si>
  <si>
    <t xml:space="preserve">911.23 / </t>
  </si>
  <si>
    <t>366.08</t>
  </si>
  <si>
    <t xml:space="preserve">900.37 / </t>
  </si>
  <si>
    <t>12.19</t>
  </si>
  <si>
    <t>26,452</t>
  </si>
  <si>
    <t>366.05</t>
  </si>
  <si>
    <t>전자화학재료전공</t>
  </si>
  <si>
    <t xml:space="preserve">694.98 / </t>
  </si>
  <si>
    <t>366.04</t>
  </si>
  <si>
    <t>AI빅데이터융합경영학과(자연)</t>
  </si>
  <si>
    <t xml:space="preserve">694.97 / </t>
  </si>
  <si>
    <t>12.20</t>
  </si>
  <si>
    <t>26,474</t>
  </si>
  <si>
    <t>371.72</t>
  </si>
  <si>
    <t xml:space="preserve">905.23 / </t>
  </si>
  <si>
    <t xml:space="preserve">702.5 / </t>
  </si>
  <si>
    <t xml:space="preserve">899.21 / </t>
  </si>
  <si>
    <t>12.24</t>
  </si>
  <si>
    <t>26,561</t>
  </si>
  <si>
    <t>371.35</t>
  </si>
  <si>
    <t>자유전공학부(에너지바이오대학)</t>
  </si>
  <si>
    <t xml:space="preserve">909.69 / </t>
  </si>
  <si>
    <t>프랑스언어·문화학과</t>
  </si>
  <si>
    <t xml:space="preserve">900.13 / </t>
  </si>
  <si>
    <t xml:space="preserve">897.72 / </t>
  </si>
  <si>
    <t>12.26</t>
  </si>
  <si>
    <t>26,604</t>
  </si>
  <si>
    <t>365.91</t>
  </si>
  <si>
    <t>371.50</t>
  </si>
  <si>
    <t xml:space="preserve">694.78 / </t>
  </si>
  <si>
    <t>12.28</t>
  </si>
  <si>
    <t>26,648</t>
  </si>
  <si>
    <t>371.41</t>
  </si>
  <si>
    <t>글로벌미디어학부</t>
  </si>
  <si>
    <t xml:space="preserve">908.38 / </t>
  </si>
  <si>
    <t>의생명과학과</t>
  </si>
  <si>
    <t xml:space="preserve">886.5 / </t>
  </si>
  <si>
    <t>자유전공학부(공과대학)</t>
  </si>
  <si>
    <t xml:space="preserve">909.43 / </t>
  </si>
  <si>
    <t>행정학부</t>
  </si>
  <si>
    <t xml:space="preserve">898.81 / </t>
  </si>
  <si>
    <t>365.99</t>
  </si>
  <si>
    <t>371.51</t>
  </si>
  <si>
    <t>365.72</t>
  </si>
  <si>
    <t>지능전자공학전공</t>
  </si>
  <si>
    <t xml:space="preserve">694.53 / </t>
  </si>
  <si>
    <t>12.35</t>
  </si>
  <si>
    <t>26,800</t>
  </si>
  <si>
    <t xml:space="preserve">694.52 / </t>
  </si>
  <si>
    <t>12.36</t>
  </si>
  <si>
    <t>26,821</t>
  </si>
  <si>
    <t>365.67</t>
  </si>
  <si>
    <t>371.14</t>
  </si>
  <si>
    <t>전기전자공학부(전기공학전공)</t>
  </si>
  <si>
    <t>371.06</t>
  </si>
  <si>
    <t xml:space="preserve">910.36 / </t>
  </si>
  <si>
    <t>12.39</t>
  </si>
  <si>
    <t>26,886</t>
  </si>
  <si>
    <t>365.60</t>
  </si>
  <si>
    <t>371.02</t>
  </si>
  <si>
    <t xml:space="preserve">910.31 / </t>
  </si>
  <si>
    <t>12.41</t>
  </si>
  <si>
    <t>26,930</t>
  </si>
  <si>
    <t>정보통계·보험수리학과</t>
  </si>
  <si>
    <t xml:space="preserve">907.76 / </t>
  </si>
  <si>
    <t>365.79</t>
  </si>
  <si>
    <t xml:space="preserve">666.36 / </t>
  </si>
  <si>
    <t>370.83</t>
  </si>
  <si>
    <t xml:space="preserve">707.53 / </t>
  </si>
  <si>
    <t xml:space="preserve"> 미/기/과탐 3%가산</t>
  </si>
  <si>
    <t>365.34</t>
  </si>
  <si>
    <t>365.59</t>
  </si>
  <si>
    <t>영어영문학전공</t>
  </si>
  <si>
    <t xml:space="preserve">898.99 / </t>
  </si>
  <si>
    <t xml:space="preserve">903.64 / </t>
  </si>
  <si>
    <t>독일언어·문화학과</t>
  </si>
  <si>
    <t xml:space="preserve">898.85 / </t>
  </si>
  <si>
    <t>365.47</t>
  </si>
  <si>
    <t xml:space="preserve">897.8 / </t>
  </si>
  <si>
    <t>12.44</t>
  </si>
  <si>
    <t>26,995</t>
  </si>
  <si>
    <t>365.43</t>
  </si>
  <si>
    <t>공공정책학부</t>
  </si>
  <si>
    <t xml:space="preserve">695.25 / </t>
  </si>
  <si>
    <t>12.55</t>
  </si>
  <si>
    <t>27,234</t>
  </si>
  <si>
    <t>365.16</t>
  </si>
  <si>
    <t>컴퓨터학부(인공지능컴퓨팅전공)</t>
  </si>
  <si>
    <t xml:space="preserve">664.85 / </t>
  </si>
  <si>
    <t>12.54</t>
  </si>
  <si>
    <t>27,212</t>
  </si>
  <si>
    <t>370.64</t>
  </si>
  <si>
    <t xml:space="preserve">664.86 / </t>
  </si>
  <si>
    <t>365.15</t>
  </si>
  <si>
    <t xml:space="preserve">908.16 / </t>
  </si>
  <si>
    <t>12.43</t>
  </si>
  <si>
    <t>26,973</t>
  </si>
  <si>
    <t>365.46</t>
  </si>
  <si>
    <t xml:space="preserve">665.88 / </t>
  </si>
  <si>
    <t>컴퓨터학부(글로벌소프트웨어융합전공)</t>
  </si>
  <si>
    <t xml:space="preserve">664.77 / </t>
  </si>
  <si>
    <t>12.58</t>
  </si>
  <si>
    <t>27,299</t>
  </si>
  <si>
    <t>365.05</t>
  </si>
  <si>
    <t>아동복지학부</t>
  </si>
  <si>
    <t xml:space="preserve">898.45 / </t>
  </si>
  <si>
    <t>365.24</t>
  </si>
  <si>
    <t>중국어문전공</t>
  </si>
  <si>
    <t>364.97</t>
  </si>
  <si>
    <t xml:space="preserve">898.29 / </t>
  </si>
  <si>
    <t>364.95</t>
  </si>
  <si>
    <t>370.44</t>
  </si>
  <si>
    <t xml:space="preserve">909.06 / </t>
  </si>
  <si>
    <t>370.42</t>
  </si>
  <si>
    <t>364.92</t>
  </si>
  <si>
    <t>365.18</t>
  </si>
  <si>
    <t xml:space="preserve">891.5 / </t>
  </si>
  <si>
    <t>글로벌통상학과</t>
  </si>
  <si>
    <t xml:space="preserve">895.81 / </t>
  </si>
  <si>
    <t>364.91</t>
  </si>
  <si>
    <t>환경공학과</t>
  </si>
  <si>
    <t xml:space="preserve">907.69 / </t>
  </si>
  <si>
    <t>12.65</t>
  </si>
  <si>
    <t>27,451</t>
  </si>
  <si>
    <t>364.87</t>
  </si>
  <si>
    <t>365.14</t>
  </si>
  <si>
    <t>테슬(TESL)전공</t>
  </si>
  <si>
    <t xml:space="preserve">898.13 / </t>
  </si>
  <si>
    <t>언론홍보학과</t>
  </si>
  <si>
    <t xml:space="preserve">897.1 / </t>
  </si>
  <si>
    <t>364.81</t>
  </si>
  <si>
    <t xml:space="preserve">902.74 / </t>
  </si>
  <si>
    <t>건축학부(실내건축전공)</t>
  </si>
  <si>
    <t xml:space="preserve">906.39 / </t>
  </si>
  <si>
    <t>364.78</t>
  </si>
  <si>
    <t>370.24</t>
  </si>
  <si>
    <t xml:space="preserve">694.3 / </t>
  </si>
  <si>
    <t>12.69</t>
  </si>
  <si>
    <t>27,537</t>
  </si>
  <si>
    <t xml:space="preserve">891.2 / </t>
  </si>
  <si>
    <t>평생교육학과</t>
  </si>
  <si>
    <t xml:space="preserve">896.92 / </t>
  </si>
  <si>
    <t>365.04</t>
  </si>
  <si>
    <t xml:space="preserve">888.47 / </t>
  </si>
  <si>
    <t>정보사회학과</t>
  </si>
  <si>
    <t xml:space="preserve">896.75 / </t>
  </si>
  <si>
    <t>364.63</t>
  </si>
  <si>
    <t>364.89</t>
  </si>
  <si>
    <t>홍보광고학과</t>
  </si>
  <si>
    <t xml:space="preserve">897.66 / </t>
  </si>
  <si>
    <t>364.60</t>
  </si>
  <si>
    <t>미래모빌리티공학과</t>
  </si>
  <si>
    <t xml:space="preserve">902.31 / </t>
  </si>
  <si>
    <t>364.59</t>
  </si>
  <si>
    <t xml:space="preserve">900.7 / </t>
  </si>
  <si>
    <t>370.45</t>
  </si>
  <si>
    <t xml:space="preserve">896.58 / </t>
  </si>
  <si>
    <t>12.76</t>
  </si>
  <si>
    <t>27,689</t>
  </si>
  <si>
    <t>369.90</t>
  </si>
  <si>
    <t>건축학부건축공학전공</t>
  </si>
  <si>
    <t xml:space="preserve">907.02 / </t>
  </si>
  <si>
    <t>364.55</t>
  </si>
  <si>
    <t xml:space="preserve">902.19 / </t>
  </si>
  <si>
    <t>12.80</t>
  </si>
  <si>
    <t>27,776</t>
  </si>
  <si>
    <t>364.45</t>
  </si>
  <si>
    <t>369.91</t>
  </si>
  <si>
    <t>IT대학 자율학부</t>
  </si>
  <si>
    <t xml:space="preserve">663.82 / </t>
  </si>
  <si>
    <t>364.74</t>
  </si>
  <si>
    <t xml:space="preserve">896.41 / </t>
  </si>
  <si>
    <t>364.44</t>
  </si>
  <si>
    <t xml:space="preserve">900.4 / </t>
  </si>
  <si>
    <t>12.83</t>
  </si>
  <si>
    <t>27,841</t>
  </si>
  <si>
    <t xml:space="preserve">180 / </t>
  </si>
  <si>
    <t>벤처중소기업학과</t>
  </si>
  <si>
    <t xml:space="preserve">894.69 / </t>
  </si>
  <si>
    <t>370.19</t>
  </si>
  <si>
    <t xml:space="preserve">896.05 / </t>
  </si>
  <si>
    <t>364.28</t>
  </si>
  <si>
    <t>르꼬르동블루외식경영전공</t>
  </si>
  <si>
    <t xml:space="preserve">897.01 / </t>
  </si>
  <si>
    <t>12.89</t>
  </si>
  <si>
    <t>27,971</t>
  </si>
  <si>
    <t>364.21</t>
  </si>
  <si>
    <t xml:space="preserve">663.47 / </t>
  </si>
  <si>
    <t>364.49</t>
  </si>
  <si>
    <t>364.18</t>
  </si>
  <si>
    <t>369.64</t>
  </si>
  <si>
    <t>전기전자공학부(반도체공학전공)</t>
  </si>
  <si>
    <t>12.92</t>
  </si>
  <si>
    <t>28,036</t>
  </si>
  <si>
    <t>369.59</t>
  </si>
  <si>
    <t xml:space="preserve">436.5 / </t>
  </si>
  <si>
    <t>370.05</t>
  </si>
  <si>
    <t>사회심리학과</t>
  </si>
  <si>
    <t xml:space="preserve">896.74 / </t>
  </si>
  <si>
    <t>364.11</t>
  </si>
  <si>
    <t>369.58</t>
  </si>
  <si>
    <t>인공지능공학부</t>
  </si>
  <si>
    <t xml:space="preserve">895.32 / </t>
  </si>
  <si>
    <t xml:space="preserve">895.69 / </t>
  </si>
  <si>
    <t>364.05</t>
  </si>
  <si>
    <t>369.42</t>
  </si>
  <si>
    <t>건설시스템공학과</t>
  </si>
  <si>
    <t xml:space="preserve">906.01 / </t>
  </si>
  <si>
    <t>369.41</t>
  </si>
  <si>
    <t>안전공학과</t>
  </si>
  <si>
    <t xml:space="preserve">905.97 / </t>
  </si>
  <si>
    <t>12.99</t>
  </si>
  <si>
    <t>28,188</t>
  </si>
  <si>
    <t>363.99</t>
  </si>
  <si>
    <t>364.27</t>
  </si>
  <si>
    <t xml:space="preserve">436.25 / </t>
  </si>
  <si>
    <t xml:space="preserve">896.45 / </t>
  </si>
  <si>
    <t xml:space="preserve">660.8 / </t>
  </si>
  <si>
    <t>364.29</t>
  </si>
  <si>
    <t>369.88</t>
  </si>
  <si>
    <t>금융공학과</t>
  </si>
  <si>
    <t xml:space="preserve">884.1 / </t>
  </si>
  <si>
    <t>자유전공융합학부(자연)</t>
  </si>
  <si>
    <t xml:space="preserve">881.1 / </t>
  </si>
  <si>
    <t>363.86</t>
  </si>
  <si>
    <t>369.39</t>
  </si>
  <si>
    <t>미래융합전공</t>
  </si>
  <si>
    <t xml:space="preserve">691.98 / </t>
  </si>
  <si>
    <t>중어중문학부</t>
  </si>
  <si>
    <t xml:space="preserve">896.19 / </t>
  </si>
  <si>
    <t>369.36</t>
  </si>
  <si>
    <t xml:space="preserve">906.92 / </t>
  </si>
  <si>
    <t>KMU International BusinessSchool</t>
  </si>
  <si>
    <t>국어국문학전공</t>
  </si>
  <si>
    <t>13.10</t>
  </si>
  <si>
    <t>28,427</t>
  </si>
  <si>
    <t>363.64</t>
  </si>
  <si>
    <t>369.18</t>
  </si>
  <si>
    <t xml:space="preserve">900.32 / </t>
  </si>
  <si>
    <t>363.51</t>
  </si>
  <si>
    <t>363.79</t>
  </si>
  <si>
    <t xml:space="preserve">888.7 / </t>
  </si>
  <si>
    <t>363.50</t>
  </si>
  <si>
    <t>369.00</t>
  </si>
  <si>
    <t>인공지능데이터사이언스학과</t>
  </si>
  <si>
    <t xml:space="preserve">705.05 / </t>
  </si>
  <si>
    <t>368.95</t>
  </si>
  <si>
    <t>나노소재전공</t>
  </si>
  <si>
    <t xml:space="preserve">691.44 / </t>
  </si>
  <si>
    <t xml:space="preserve">693 / </t>
  </si>
  <si>
    <t>363.73</t>
  </si>
  <si>
    <t xml:space="preserve">894.49 / </t>
  </si>
  <si>
    <t>중국정경전공</t>
  </si>
  <si>
    <t>러시아유라시아학과</t>
  </si>
  <si>
    <t>363.42</t>
  </si>
  <si>
    <t xml:space="preserve">898.2 / </t>
  </si>
  <si>
    <t>13.23</t>
  </si>
  <si>
    <t>28,709</t>
  </si>
  <si>
    <t>인문/인문‧자연(기초생활보장대상자)</t>
  </si>
  <si>
    <t xml:space="preserve">477.91 / </t>
  </si>
  <si>
    <t>369.15</t>
  </si>
  <si>
    <t xml:space="preserve">179.91 / </t>
  </si>
  <si>
    <t>363.71</t>
  </si>
  <si>
    <t>369.31</t>
  </si>
  <si>
    <t xml:space="preserve">663.31 / </t>
  </si>
  <si>
    <t>363.55</t>
  </si>
  <si>
    <t xml:space="preserve">692.75 / </t>
  </si>
  <si>
    <t>363.49</t>
  </si>
  <si>
    <t>363.39</t>
  </si>
  <si>
    <t>경영인텔리전스학과</t>
  </si>
  <si>
    <t xml:space="preserve">882.5 / </t>
  </si>
  <si>
    <t>363.06</t>
  </si>
  <si>
    <t>368.44</t>
  </si>
  <si>
    <t>정보컴퓨터공학부(인공지능전공)</t>
  </si>
  <si>
    <t>363.07</t>
  </si>
  <si>
    <t>스마트모빌리티공학과</t>
  </si>
  <si>
    <t xml:space="preserve">897.4 / </t>
  </si>
  <si>
    <t>363.36</t>
  </si>
  <si>
    <t>한국역사학과</t>
  </si>
  <si>
    <t>362.93</t>
  </si>
  <si>
    <t xml:space="preserve">887.5 / </t>
  </si>
  <si>
    <t>362.89</t>
  </si>
  <si>
    <t>368.23</t>
  </si>
  <si>
    <t xml:space="preserve">913.9 / </t>
  </si>
  <si>
    <t xml:space="preserve"> 미기10%과5%</t>
  </si>
  <si>
    <t>362.88</t>
  </si>
  <si>
    <t>디지털미디어학과</t>
  </si>
  <si>
    <t xml:space="preserve">898.71 / </t>
  </si>
  <si>
    <t>362.84</t>
  </si>
  <si>
    <t xml:space="preserve">898.61 / </t>
  </si>
  <si>
    <t>자유전공융합학부(인문)</t>
  </si>
  <si>
    <t xml:space="preserve">880.2 / </t>
  </si>
  <si>
    <t>13.54</t>
  </si>
  <si>
    <t>29,382</t>
  </si>
  <si>
    <t>임상병리학과</t>
  </si>
  <si>
    <t xml:space="preserve">659.1 / </t>
  </si>
  <si>
    <t>13.55</t>
  </si>
  <si>
    <t>29,404</t>
  </si>
  <si>
    <t>368.66</t>
  </si>
  <si>
    <t xml:space="preserve">887.1 / </t>
  </si>
  <si>
    <t>362.68</t>
  </si>
  <si>
    <t>첨단융합학부(정보의생명공학자율전공)</t>
  </si>
  <si>
    <t>362.99</t>
  </si>
  <si>
    <t>362.97</t>
  </si>
  <si>
    <t xml:space="preserve">891.123 / </t>
  </si>
  <si>
    <t xml:space="preserve">884.45 / </t>
  </si>
  <si>
    <t>367.85</t>
  </si>
  <si>
    <t>안경광학과</t>
  </si>
  <si>
    <t xml:space="preserve">903.29 / </t>
  </si>
  <si>
    <t>13.61</t>
  </si>
  <si>
    <t>29,534</t>
  </si>
  <si>
    <t>362.55</t>
  </si>
  <si>
    <t xml:space="preserve">898.01 / </t>
  </si>
  <si>
    <t>362.54</t>
  </si>
  <si>
    <t>368.42</t>
  </si>
  <si>
    <t>인문사회계열</t>
  </si>
  <si>
    <t xml:space="preserve">689.54 / </t>
  </si>
  <si>
    <t>367.86</t>
  </si>
  <si>
    <t xml:space="preserve">896.2 / </t>
  </si>
  <si>
    <t>362.80</t>
  </si>
  <si>
    <t>무역학부</t>
  </si>
  <si>
    <t>367.81</t>
  </si>
  <si>
    <t>의예과(지역)(기회균형)</t>
  </si>
  <si>
    <t xml:space="preserve">337.83 / </t>
  </si>
  <si>
    <t>13.66</t>
  </si>
  <si>
    <t>29,642</t>
  </si>
  <si>
    <t>362.46</t>
  </si>
  <si>
    <t>367.79</t>
  </si>
  <si>
    <t>AI로봇학과</t>
  </si>
  <si>
    <t xml:space="preserve">703.61 / </t>
  </si>
  <si>
    <t>368.29</t>
  </si>
  <si>
    <t>경제(한마음학생)</t>
  </si>
  <si>
    <t xml:space="preserve">660.114 / </t>
  </si>
  <si>
    <t>13.70</t>
  </si>
  <si>
    <t>29,729</t>
  </si>
  <si>
    <t>362.38</t>
  </si>
  <si>
    <t>367.80</t>
  </si>
  <si>
    <t xml:space="preserve">179 / </t>
  </si>
  <si>
    <t>362.39</t>
  </si>
  <si>
    <t xml:space="preserve">895.9 / </t>
  </si>
  <si>
    <t>362.35</t>
  </si>
  <si>
    <t>367.66</t>
  </si>
  <si>
    <t>고분자공학과</t>
  </si>
  <si>
    <t xml:space="preserve">895.8 / </t>
  </si>
  <si>
    <t>362.30</t>
  </si>
  <si>
    <t xml:space="preserve">691 / </t>
  </si>
  <si>
    <t>13.77</t>
  </si>
  <si>
    <t>29,881</t>
  </si>
  <si>
    <t>362.27</t>
  </si>
  <si>
    <t>367.56</t>
  </si>
  <si>
    <t xml:space="preserve">703.36 / </t>
  </si>
  <si>
    <t xml:space="preserve">885.5 / </t>
  </si>
  <si>
    <t xml:space="preserve">886.1 / </t>
  </si>
  <si>
    <t>362.21</t>
  </si>
  <si>
    <t xml:space="preserve">886 / </t>
  </si>
  <si>
    <t>13.81</t>
  </si>
  <si>
    <t>29,968</t>
  </si>
  <si>
    <t>362.19</t>
  </si>
  <si>
    <t>자연생명계열</t>
  </si>
  <si>
    <t xml:space="preserve">710.52 / </t>
  </si>
  <si>
    <t xml:space="preserve"> 미/기/과탐 5%가산</t>
  </si>
  <si>
    <t>13.68</t>
  </si>
  <si>
    <t>29,686</t>
  </si>
  <si>
    <t>362.43</t>
  </si>
  <si>
    <t xml:space="preserve">691.25 / </t>
  </si>
  <si>
    <t>13.85</t>
  </si>
  <si>
    <t>30,055</t>
  </si>
  <si>
    <t xml:space="preserve">883.9 / </t>
  </si>
  <si>
    <t>인공지능공학과</t>
  </si>
  <si>
    <t>362.42</t>
  </si>
  <si>
    <t>경제정치사회융합학부</t>
  </si>
  <si>
    <t xml:space="preserve">883.1 / </t>
  </si>
  <si>
    <t>13.93</t>
  </si>
  <si>
    <t>30,228</t>
  </si>
  <si>
    <t>361.95</t>
  </si>
  <si>
    <t>367.28</t>
  </si>
  <si>
    <t xml:space="preserve">85.6 / </t>
  </si>
  <si>
    <t>361.94</t>
  </si>
  <si>
    <t xml:space="preserve">894.9 / </t>
  </si>
  <si>
    <t>13.94</t>
  </si>
  <si>
    <t>30,250</t>
  </si>
  <si>
    <t>362.20</t>
  </si>
  <si>
    <t xml:space="preserve">891.83 / </t>
  </si>
  <si>
    <t>361.88</t>
  </si>
  <si>
    <t>인공지능·소프트웨어융합대학</t>
  </si>
  <si>
    <t xml:space="preserve">881.3 / </t>
  </si>
  <si>
    <t xml:space="preserve"> 과10%</t>
  </si>
  <si>
    <t>362.28</t>
  </si>
  <si>
    <t xml:space="preserve">880.13 / </t>
  </si>
  <si>
    <t>361.89</t>
  </si>
  <si>
    <t>경상호텔관광계열</t>
  </si>
  <si>
    <t xml:space="preserve">688.67 / </t>
  </si>
  <si>
    <t>361.85</t>
  </si>
  <si>
    <t>367.22</t>
  </si>
  <si>
    <t>지능정보융합학과</t>
  </si>
  <si>
    <t xml:space="preserve">702.8 / </t>
  </si>
  <si>
    <t>362.06</t>
  </si>
  <si>
    <t>14.10</t>
  </si>
  <si>
    <t>30,597</t>
  </si>
  <si>
    <t>361.70</t>
  </si>
  <si>
    <t>366.93</t>
  </si>
  <si>
    <t xml:space="preserve">908.2 / </t>
  </si>
  <si>
    <t>361.71</t>
  </si>
  <si>
    <t>366.94</t>
  </si>
  <si>
    <t>지능형반도체융합전자전공</t>
  </si>
  <si>
    <t xml:space="preserve">689.06 / </t>
  </si>
  <si>
    <t>14.14</t>
  </si>
  <si>
    <t>30,684</t>
  </si>
  <si>
    <t>바이오메디컬소프트웨어학과</t>
  </si>
  <si>
    <t xml:space="preserve">869.5 / </t>
  </si>
  <si>
    <t>나노전자물리학과</t>
  </si>
  <si>
    <t xml:space="preserve">688.98 / </t>
  </si>
  <si>
    <t>361.99</t>
  </si>
  <si>
    <t xml:space="preserve">882.19 / </t>
  </si>
  <si>
    <t>361.98</t>
  </si>
  <si>
    <t xml:space="preserve">882.18 / </t>
  </si>
  <si>
    <t>14.20</t>
  </si>
  <si>
    <t>30,814</t>
  </si>
  <si>
    <t xml:space="preserve">85.4 / </t>
  </si>
  <si>
    <t>환경안전공학과</t>
  </si>
  <si>
    <t xml:space="preserve">895.86 / </t>
  </si>
  <si>
    <t xml:space="preserve">974.15 / </t>
  </si>
  <si>
    <t>361.86</t>
  </si>
  <si>
    <t>361.79</t>
  </si>
  <si>
    <t xml:space="preserve">660.57 / </t>
  </si>
  <si>
    <t>14.24</t>
  </si>
  <si>
    <t>30,901</t>
  </si>
  <si>
    <t>361.40</t>
  </si>
  <si>
    <t>363.92</t>
  </si>
  <si>
    <t xml:space="preserve">890.206 / </t>
  </si>
  <si>
    <t xml:space="preserve">884.3 / </t>
  </si>
  <si>
    <t>361.41</t>
  </si>
  <si>
    <t>임산생명공학과</t>
  </si>
  <si>
    <t>14.25</t>
  </si>
  <si>
    <t>30,923</t>
  </si>
  <si>
    <t>교통시스템공학과</t>
  </si>
  <si>
    <t xml:space="preserve">895.52 / </t>
  </si>
  <si>
    <t>14.30</t>
  </si>
  <si>
    <t>31,031</t>
  </si>
  <si>
    <t>361.30</t>
  </si>
  <si>
    <t>지능형드론융합전공</t>
  </si>
  <si>
    <t xml:space="preserve">702.02 / </t>
  </si>
  <si>
    <t>14.34</t>
  </si>
  <si>
    <t>31,118</t>
  </si>
  <si>
    <t>361.23</t>
  </si>
  <si>
    <t>361.21</t>
  </si>
  <si>
    <t>신소재공(한마음학생)</t>
  </si>
  <si>
    <t xml:space="preserve">654.744 / </t>
  </si>
  <si>
    <t>14.36</t>
  </si>
  <si>
    <t>31,161</t>
  </si>
  <si>
    <t xml:space="preserve">883.8 / </t>
  </si>
  <si>
    <t>361.09</t>
  </si>
  <si>
    <t xml:space="preserve">658.9 / </t>
  </si>
  <si>
    <t xml:space="preserve">659.84 / </t>
  </si>
  <si>
    <t>14.42</t>
  </si>
  <si>
    <t>31,291</t>
  </si>
  <si>
    <t>361.03</t>
  </si>
  <si>
    <t>사회과학융합학부</t>
  </si>
  <si>
    <t xml:space="preserve">882.7 / </t>
  </si>
  <si>
    <t xml:space="preserve">659.83 / </t>
  </si>
  <si>
    <t>360.95</t>
  </si>
  <si>
    <t>363.47</t>
  </si>
  <si>
    <t xml:space="preserve">889.363 / </t>
  </si>
  <si>
    <t>363.53</t>
  </si>
  <si>
    <t>자율전공융합학부</t>
  </si>
  <si>
    <t xml:space="preserve">178.42 / </t>
  </si>
  <si>
    <t>14.51</t>
  </si>
  <si>
    <t>31,487</t>
  </si>
  <si>
    <t>360.87</t>
  </si>
  <si>
    <t>361.15</t>
  </si>
  <si>
    <t>아동심리학과</t>
  </si>
  <si>
    <t>데이터사이언스학과</t>
  </si>
  <si>
    <t xml:space="preserve">892.3 / </t>
  </si>
  <si>
    <t>360.78</t>
  </si>
  <si>
    <t xml:space="preserve">903.4 / </t>
  </si>
  <si>
    <t>경상대학 자율학부</t>
  </si>
  <si>
    <t xml:space="preserve">659.39 / </t>
  </si>
  <si>
    <t>14.65</t>
  </si>
  <si>
    <t>31,791</t>
  </si>
  <si>
    <t>360.72</t>
  </si>
  <si>
    <t xml:space="preserve">85 / </t>
  </si>
  <si>
    <t>건축학부[건축학전공(5년제)]</t>
  </si>
  <si>
    <t xml:space="preserve">861 / </t>
  </si>
  <si>
    <t>360.66</t>
  </si>
  <si>
    <t>362.94</t>
  </si>
  <si>
    <t>이차전지융합학과</t>
  </si>
  <si>
    <t xml:space="preserve">892 / </t>
  </si>
  <si>
    <t>14.69</t>
  </si>
  <si>
    <t>31,877</t>
  </si>
  <si>
    <t>360.60</t>
  </si>
  <si>
    <t>자유전공(IT계열)</t>
  </si>
  <si>
    <t xml:space="preserve">902.5 / </t>
  </si>
  <si>
    <t>360.93</t>
  </si>
  <si>
    <t>경제통상학부</t>
  </si>
  <si>
    <t xml:space="preserve">659.12 / </t>
  </si>
  <si>
    <t xml:space="preserve">891.6 / </t>
  </si>
  <si>
    <t>14.79</t>
  </si>
  <si>
    <t>32,094</t>
  </si>
  <si>
    <t>360.42</t>
  </si>
  <si>
    <t xml:space="preserve">859.5 / </t>
  </si>
  <si>
    <t>스마트생명산업융합학과</t>
  </si>
  <si>
    <t xml:space="preserve">708.05 / </t>
  </si>
  <si>
    <t>360.34</t>
  </si>
  <si>
    <t xml:space="preserve">891.3 / </t>
  </si>
  <si>
    <t>14.88</t>
  </si>
  <si>
    <t>32,290</t>
  </si>
  <si>
    <t>362.69</t>
  </si>
  <si>
    <t xml:space="preserve">84.8 / </t>
  </si>
  <si>
    <t>14.92</t>
  </si>
  <si>
    <t>32,376</t>
  </si>
  <si>
    <t>360.27</t>
  </si>
  <si>
    <t xml:space="preserve">657.71 / </t>
  </si>
  <si>
    <t>전자전기공학과</t>
  </si>
  <si>
    <t xml:space="preserve">877.6 / </t>
  </si>
  <si>
    <t xml:space="preserve"> 미기5%과탐5%</t>
  </si>
  <si>
    <t>14.97</t>
  </si>
  <si>
    <t>32,485</t>
  </si>
  <si>
    <t>360.17</t>
  </si>
  <si>
    <t xml:space="preserve">891.735 / </t>
  </si>
  <si>
    <t xml:space="preserve">880.8 / </t>
  </si>
  <si>
    <t>360.50</t>
  </si>
  <si>
    <t>364.13</t>
  </si>
  <si>
    <t xml:space="preserve">658.47 / </t>
  </si>
  <si>
    <t>14.98</t>
  </si>
  <si>
    <t>32,507</t>
  </si>
  <si>
    <t xml:space="preserve">435.75 / </t>
  </si>
  <si>
    <t xml:space="preserve"> 과탐 상위한과목 백분위10%를 환산점수에 더함</t>
  </si>
  <si>
    <t>14.99</t>
  </si>
  <si>
    <t>32,528</t>
  </si>
  <si>
    <t>360.10</t>
  </si>
  <si>
    <t>362.44</t>
  </si>
  <si>
    <t xml:space="preserve">879.5 / </t>
  </si>
  <si>
    <t>화학에너지공학전공</t>
  </si>
  <si>
    <t xml:space="preserve">899.75 / </t>
  </si>
  <si>
    <t xml:space="preserve">890.6 / </t>
  </si>
  <si>
    <t>360.01</t>
  </si>
  <si>
    <t>화공생명공(한마음학생)</t>
  </si>
  <si>
    <t xml:space="preserve">652.902 / </t>
  </si>
  <si>
    <t>359.98</t>
  </si>
  <si>
    <t xml:space="preserve">881.2 / </t>
  </si>
  <si>
    <t>사회인프라공학과</t>
  </si>
  <si>
    <t xml:space="preserve">890.4 / </t>
  </si>
  <si>
    <t>15.15</t>
  </si>
  <si>
    <t>32,876</t>
  </si>
  <si>
    <t xml:space="preserve">860.5 / </t>
  </si>
  <si>
    <t>15.13</t>
  </si>
  <si>
    <t>32,832</t>
  </si>
  <si>
    <t>360.11</t>
  </si>
  <si>
    <t>363.57</t>
  </si>
  <si>
    <t>동북아국제통상전공</t>
  </si>
  <si>
    <t xml:space="preserve">835.5 / </t>
  </si>
  <si>
    <t>360.08</t>
  </si>
  <si>
    <t>소비자학과</t>
  </si>
  <si>
    <t xml:space="preserve">538 / </t>
  </si>
  <si>
    <t>15.21</t>
  </si>
  <si>
    <t>33,006</t>
  </si>
  <si>
    <t>회계세무학과</t>
  </si>
  <si>
    <t xml:space="preserve">84.5 / </t>
  </si>
  <si>
    <t>361.91</t>
  </si>
  <si>
    <t>시스템반도체학과</t>
  </si>
  <si>
    <t>바이오로직스학과</t>
  </si>
  <si>
    <t xml:space="preserve">854 / </t>
  </si>
  <si>
    <t>15.24</t>
  </si>
  <si>
    <t>33,071</t>
  </si>
  <si>
    <t>363.43</t>
  </si>
  <si>
    <t xml:space="preserve">855.5 / </t>
  </si>
  <si>
    <t>15.26</t>
  </si>
  <si>
    <t>33,114</t>
  </si>
  <si>
    <t>359.57</t>
  </si>
  <si>
    <t>게임전공</t>
  </si>
  <si>
    <t xml:space="preserve">897.2 / </t>
  </si>
  <si>
    <t>15.25</t>
  </si>
  <si>
    <t>33,093</t>
  </si>
  <si>
    <t>363.41</t>
  </si>
  <si>
    <t>문화콘텐츠문화경영학과</t>
  </si>
  <si>
    <t xml:space="preserve">880.3 / </t>
  </si>
  <si>
    <t>15.27</t>
  </si>
  <si>
    <t>33,136</t>
  </si>
  <si>
    <t>361.80</t>
  </si>
  <si>
    <t>건축대학</t>
  </si>
  <si>
    <t xml:space="preserve">869.6 / </t>
  </si>
  <si>
    <t>359.55</t>
  </si>
  <si>
    <t>산업경영공학</t>
  </si>
  <si>
    <t xml:space="preserve">890.437 / </t>
  </si>
  <si>
    <t xml:space="preserve">875.15 / </t>
  </si>
  <si>
    <t xml:space="preserve">889.4 / </t>
  </si>
  <si>
    <t>15.32</t>
  </si>
  <si>
    <t>33,244</t>
  </si>
  <si>
    <t>359.47</t>
  </si>
  <si>
    <t>361.77</t>
  </si>
  <si>
    <t xml:space="preserve">889.3 / </t>
  </si>
  <si>
    <t>15.34</t>
  </si>
  <si>
    <t>33,288</t>
  </si>
  <si>
    <t>359.43</t>
  </si>
  <si>
    <t>361.76</t>
  </si>
  <si>
    <t xml:space="preserve">889.2 / </t>
  </si>
  <si>
    <t>15.23</t>
  </si>
  <si>
    <t>33,049</t>
  </si>
  <si>
    <t>363.02</t>
  </si>
  <si>
    <t>실내환경디자인학과</t>
  </si>
  <si>
    <t>15.35</t>
  </si>
  <si>
    <t>33,310</t>
  </si>
  <si>
    <t>359.31</t>
  </si>
  <si>
    <t xml:space="preserve">328.5 / </t>
  </si>
  <si>
    <t>359.29</t>
  </si>
  <si>
    <t>15.43</t>
  </si>
  <si>
    <t>33,483</t>
  </si>
  <si>
    <t>359.17</t>
  </si>
  <si>
    <t xml:space="preserve">871.7 / </t>
  </si>
  <si>
    <t>15.44</t>
  </si>
  <si>
    <t>33,505</t>
  </si>
  <si>
    <t>359.45</t>
  </si>
  <si>
    <t>중국학과</t>
  </si>
  <si>
    <t xml:space="preserve">879.4 / </t>
  </si>
  <si>
    <t>15.46</t>
  </si>
  <si>
    <t>33,548</t>
  </si>
  <si>
    <t>정보·컴퓨터교육과</t>
  </si>
  <si>
    <t xml:space="preserve">655.93 / </t>
  </si>
  <si>
    <t>359.09</t>
  </si>
  <si>
    <t xml:space="preserve">84.2 / </t>
  </si>
  <si>
    <t xml:space="preserve">425 / </t>
  </si>
  <si>
    <t>359.07</t>
  </si>
  <si>
    <t>LIONS자율전공학부</t>
  </si>
  <si>
    <t xml:space="preserve">882.73 / </t>
  </si>
  <si>
    <t>359.04</t>
  </si>
  <si>
    <t>자유전공(이공계열)</t>
  </si>
  <si>
    <t xml:space="preserve">894.45 / </t>
  </si>
  <si>
    <t>358.99</t>
  </si>
  <si>
    <t xml:space="preserve">895.752 / </t>
  </si>
  <si>
    <t xml:space="preserve">852.5 / </t>
  </si>
  <si>
    <t>15.64</t>
  </si>
  <si>
    <t>33,939</t>
  </si>
  <si>
    <t>358.93</t>
  </si>
  <si>
    <t>한국어문학과</t>
  </si>
  <si>
    <t xml:space="preserve">878.9 / </t>
  </si>
  <si>
    <t>일본언어문화학과</t>
  </si>
  <si>
    <t>15.65</t>
  </si>
  <si>
    <t>33,961</t>
  </si>
  <si>
    <t>358.91</t>
  </si>
  <si>
    <t xml:space="preserve">870.3 / </t>
  </si>
  <si>
    <t>15.66</t>
  </si>
  <si>
    <t>33,982</t>
  </si>
  <si>
    <t xml:space="preserve">84.1 / </t>
  </si>
  <si>
    <t>15.67</t>
  </si>
  <si>
    <t>34,004</t>
  </si>
  <si>
    <t>358.87</t>
  </si>
  <si>
    <t xml:space="preserve">887.9 / </t>
  </si>
  <si>
    <t>간호학과(지역)</t>
  </si>
  <si>
    <t>15.68</t>
  </si>
  <si>
    <t>34,026</t>
  </si>
  <si>
    <t>358.84</t>
  </si>
  <si>
    <t xml:space="preserve">655.47 / </t>
  </si>
  <si>
    <t xml:space="preserve">878.7 / </t>
  </si>
  <si>
    <t>358.83</t>
  </si>
  <si>
    <t xml:space="preserve"> 사3%가산</t>
  </si>
  <si>
    <t>관광컨벤션학과</t>
  </si>
  <si>
    <t>362.82</t>
  </si>
  <si>
    <t xml:space="preserve">878.6 / </t>
  </si>
  <si>
    <t>15.72</t>
  </si>
  <si>
    <t>34,112</t>
  </si>
  <si>
    <t>360.83</t>
  </si>
  <si>
    <t>융합반도체공학과</t>
  </si>
  <si>
    <t xml:space="preserve">869.3 / </t>
  </si>
  <si>
    <t>15.75</t>
  </si>
  <si>
    <t>34,178</t>
  </si>
  <si>
    <t>360.80</t>
  </si>
  <si>
    <t>바이오나노학과</t>
  </si>
  <si>
    <t xml:space="preserve">84 / </t>
  </si>
  <si>
    <t xml:space="preserve">887.3 / </t>
  </si>
  <si>
    <t>15.82</t>
  </si>
  <si>
    <t>34,329</t>
  </si>
  <si>
    <t>358.57</t>
  </si>
  <si>
    <t>360.67</t>
  </si>
  <si>
    <t>휴먼지능정보공학전공</t>
  </si>
  <si>
    <t xml:space="preserve">891.95 / </t>
  </si>
  <si>
    <t>358.54</t>
  </si>
  <si>
    <t>360.63</t>
  </si>
  <si>
    <t xml:space="preserve">431.75 / </t>
  </si>
  <si>
    <t>15.88</t>
  </si>
  <si>
    <t>34,460</t>
  </si>
  <si>
    <t>358.49</t>
  </si>
  <si>
    <t xml:space="preserve">83.9 / </t>
  </si>
  <si>
    <t>15.90</t>
  </si>
  <si>
    <t>34,503</t>
  </si>
  <si>
    <t>358.43</t>
  </si>
  <si>
    <t>신소재·반도체공</t>
  </si>
  <si>
    <t xml:space="preserve">894.54 / </t>
  </si>
  <si>
    <t>358.38</t>
  </si>
  <si>
    <t>기계공학</t>
  </si>
  <si>
    <t xml:space="preserve">894.445 / </t>
  </si>
  <si>
    <t>15.92</t>
  </si>
  <si>
    <t>34,546</t>
  </si>
  <si>
    <t>358.36</t>
  </si>
  <si>
    <t>해양과학과</t>
  </si>
  <si>
    <t xml:space="preserve">886.7 / </t>
  </si>
  <si>
    <t>358.72</t>
  </si>
  <si>
    <t>358.59</t>
  </si>
  <si>
    <t xml:space="preserve">655.66 / </t>
  </si>
  <si>
    <t>358.29</t>
  </si>
  <si>
    <t xml:space="preserve">83.8 / </t>
  </si>
  <si>
    <t>반도체물리학과</t>
  </si>
  <si>
    <t xml:space="preserve">866.7 / </t>
  </si>
  <si>
    <t>15.74</t>
  </si>
  <si>
    <t>34,156</t>
  </si>
  <si>
    <t>358.55</t>
  </si>
  <si>
    <t>사회과학대학 자율학부</t>
  </si>
  <si>
    <t xml:space="preserve">655.6 / </t>
  </si>
  <si>
    <t>15.94</t>
  </si>
  <si>
    <t>34,590</t>
  </si>
  <si>
    <t xml:space="preserve">659.26 / </t>
  </si>
  <si>
    <t>361.97</t>
  </si>
  <si>
    <t>인문계열(한마음학생)</t>
  </si>
  <si>
    <t xml:space="preserve">653.5 / </t>
  </si>
  <si>
    <t xml:space="preserve">894.485 / </t>
  </si>
  <si>
    <t xml:space="preserve">866 / </t>
  </si>
  <si>
    <t>358.16</t>
  </si>
  <si>
    <t>글로벌스포츠산업학부</t>
  </si>
  <si>
    <t xml:space="preserve">626.9 / </t>
  </si>
  <si>
    <t>금융·빅데이터학부</t>
  </si>
  <si>
    <t>15.97</t>
  </si>
  <si>
    <t>34,655</t>
  </si>
  <si>
    <t>스마트보안학과</t>
  </si>
  <si>
    <t>도시계획‧부동산학부</t>
  </si>
  <si>
    <t>15.99</t>
  </si>
  <si>
    <t>34,698</t>
  </si>
  <si>
    <t xml:space="preserve">654.28 / </t>
  </si>
  <si>
    <t xml:space="preserve">685.75 / </t>
  </si>
  <si>
    <t>16.00</t>
  </si>
  <si>
    <t>34,720</t>
  </si>
  <si>
    <t>에너지바이오학</t>
  </si>
  <si>
    <t xml:space="preserve">893.787 / </t>
  </si>
  <si>
    <t>16.04</t>
  </si>
  <si>
    <t>34,807</t>
  </si>
  <si>
    <t>358.00</t>
  </si>
  <si>
    <t>바이오생명공학과</t>
  </si>
  <si>
    <t xml:space="preserve">430.35 / </t>
  </si>
  <si>
    <t xml:space="preserve">893.69 / </t>
  </si>
  <si>
    <t>16.08</t>
  </si>
  <si>
    <t>34,894</t>
  </si>
  <si>
    <t>357.93</t>
  </si>
  <si>
    <t>의류학전공</t>
  </si>
  <si>
    <t xml:space="preserve">888.5 / </t>
  </si>
  <si>
    <t>반도체·디스플레이공</t>
  </si>
  <si>
    <t xml:space="preserve">893.52 / </t>
  </si>
  <si>
    <t xml:space="preserve">655.03 / </t>
  </si>
  <si>
    <t>16.10</t>
  </si>
  <si>
    <t>34,937</t>
  </si>
  <si>
    <t>357.90</t>
  </si>
  <si>
    <t xml:space="preserve">852 / </t>
  </si>
  <si>
    <t>357.89</t>
  </si>
  <si>
    <t>로봇공학</t>
  </si>
  <si>
    <t xml:space="preserve">893.45 / </t>
  </si>
  <si>
    <t>16.13</t>
  </si>
  <si>
    <t>35,002</t>
  </si>
  <si>
    <t>통계데이터사이언스학과</t>
  </si>
  <si>
    <t xml:space="preserve">864.3 / </t>
  </si>
  <si>
    <t>16.15</t>
  </si>
  <si>
    <t>35,046</t>
  </si>
  <si>
    <t xml:space="preserve">864.2 / </t>
  </si>
  <si>
    <t>357.80</t>
  </si>
  <si>
    <t>컴퓨터융합학부</t>
  </si>
  <si>
    <t xml:space="preserve">176.8 / </t>
  </si>
  <si>
    <t xml:space="preserve">83.5 / </t>
  </si>
  <si>
    <t>357.98</t>
  </si>
  <si>
    <t>국제경영학과</t>
  </si>
  <si>
    <t>16.22</t>
  </si>
  <si>
    <t>35,197</t>
  </si>
  <si>
    <t>357.60</t>
  </si>
  <si>
    <t xml:space="preserve">863 / </t>
  </si>
  <si>
    <t>357.88</t>
  </si>
  <si>
    <t>자율전공학부(인문)</t>
  </si>
  <si>
    <t xml:space="preserve">845.5 / </t>
  </si>
  <si>
    <t>수리데이터사이언스</t>
  </si>
  <si>
    <t xml:space="preserve">892.78 / </t>
  </si>
  <si>
    <t>고분자시스템공학부(파이버융합소재공학전공)</t>
  </si>
  <si>
    <t xml:space="preserve">862.7 / </t>
  </si>
  <si>
    <t>357.52</t>
  </si>
  <si>
    <t>모바일시스템공학과</t>
  </si>
  <si>
    <t xml:space="preserve">862.5 / </t>
  </si>
  <si>
    <t>357.79</t>
  </si>
  <si>
    <t>16.25</t>
  </si>
  <si>
    <t>35,263</t>
  </si>
  <si>
    <t xml:space="preserve">83.4 / </t>
  </si>
  <si>
    <t>사회과학대학</t>
  </si>
  <si>
    <t xml:space="preserve">843 / </t>
  </si>
  <si>
    <t>16.31</t>
  </si>
  <si>
    <t>35,393</t>
  </si>
  <si>
    <t>ICT융합학부</t>
  </si>
  <si>
    <t xml:space="preserve">886.05 / </t>
  </si>
  <si>
    <t>16.34</t>
  </si>
  <si>
    <t>35,458</t>
  </si>
  <si>
    <t>16.40</t>
  </si>
  <si>
    <t>35,588</t>
  </si>
  <si>
    <t>357.34</t>
  </si>
  <si>
    <t>359.87</t>
  </si>
  <si>
    <t>공학 첨단자율학부</t>
  </si>
  <si>
    <t xml:space="preserve">653.23 / </t>
  </si>
  <si>
    <t>357.33</t>
  </si>
  <si>
    <t>첨단융합학부(나노자율전공)</t>
  </si>
  <si>
    <t>361.07</t>
  </si>
  <si>
    <t>스마트팩토리전공</t>
  </si>
  <si>
    <t xml:space="preserve">83.3 / </t>
  </si>
  <si>
    <t>357.26</t>
  </si>
  <si>
    <t>교통·물류공학</t>
  </si>
  <si>
    <t xml:space="preserve">885.66 / </t>
  </si>
  <si>
    <t>357.22</t>
  </si>
  <si>
    <t>에너지공학부</t>
  </si>
  <si>
    <t xml:space="preserve">653.05 / </t>
  </si>
  <si>
    <t>361.10</t>
  </si>
  <si>
    <t xml:space="preserve">848.5 / </t>
  </si>
  <si>
    <t xml:space="preserve">885.55 / </t>
  </si>
  <si>
    <t>공연영화학부 영화전공(이론‧연출‧스탭)</t>
  </si>
  <si>
    <t>357.16</t>
  </si>
  <si>
    <t xml:space="preserve">176.5 / </t>
  </si>
  <si>
    <t>16.45</t>
  </si>
  <si>
    <t>35,697</t>
  </si>
  <si>
    <t>357.11</t>
  </si>
  <si>
    <t>359.74</t>
  </si>
  <si>
    <t>화공생명배터리공학부</t>
  </si>
  <si>
    <t xml:space="preserve">83.2 / </t>
  </si>
  <si>
    <t>357.12</t>
  </si>
  <si>
    <t>357.39</t>
  </si>
  <si>
    <t>공간환경학부</t>
  </si>
  <si>
    <t>퇴계혁신칼리지</t>
  </si>
  <si>
    <t xml:space="preserve">176.67 / </t>
  </si>
  <si>
    <t>16.47</t>
  </si>
  <si>
    <t>35,740</t>
  </si>
  <si>
    <t>지능정보양자공</t>
  </si>
  <si>
    <t xml:space="preserve">891.76 / </t>
  </si>
  <si>
    <t>고분자시스템공학부(고분자공학전공)</t>
  </si>
  <si>
    <t xml:space="preserve">860 / </t>
  </si>
  <si>
    <t>16.48</t>
  </si>
  <si>
    <t>35,762</t>
  </si>
  <si>
    <t>16.51</t>
  </si>
  <si>
    <t>35,827</t>
  </si>
  <si>
    <t>357.02</t>
  </si>
  <si>
    <t>자유전공(인문사회계열)</t>
  </si>
  <si>
    <t xml:space="preserve">847.5 / </t>
  </si>
  <si>
    <t>357.23</t>
  </si>
  <si>
    <t>언어정보학과</t>
  </si>
  <si>
    <t xml:space="preserve">83.1 / </t>
  </si>
  <si>
    <t>지적재산권전공</t>
  </si>
  <si>
    <t xml:space="preserve">419.5 / </t>
  </si>
  <si>
    <t>16.32</t>
  </si>
  <si>
    <t>35,414</t>
  </si>
  <si>
    <t>357.43</t>
  </si>
  <si>
    <t xml:space="preserve">653.47 / </t>
  </si>
  <si>
    <t>16.60</t>
  </si>
  <si>
    <t>36,022</t>
  </si>
  <si>
    <t>356.88</t>
  </si>
  <si>
    <t>바이오식품공학과</t>
  </si>
  <si>
    <t xml:space="preserve">427.4 / </t>
  </si>
  <si>
    <t>16.64</t>
  </si>
  <si>
    <t>36,109</t>
  </si>
  <si>
    <t>356.82</t>
  </si>
  <si>
    <t>전기전자공(한마음학생)</t>
  </si>
  <si>
    <t xml:space="preserve">647.806 / </t>
  </si>
  <si>
    <t>16.66</t>
  </si>
  <si>
    <t>36,152</t>
  </si>
  <si>
    <t>356.80</t>
  </si>
  <si>
    <t xml:space="preserve">891.53 / </t>
  </si>
  <si>
    <t>16.68</t>
  </si>
  <si>
    <t>36,196</t>
  </si>
  <si>
    <t xml:space="preserve">884.64 / </t>
  </si>
  <si>
    <t>356.73</t>
  </si>
  <si>
    <t>357.00</t>
  </si>
  <si>
    <t>360.75</t>
  </si>
  <si>
    <t xml:space="preserve">83 / </t>
  </si>
  <si>
    <t>스마트시티학과</t>
  </si>
  <si>
    <t>공연영화학부 연극전공(연출)</t>
  </si>
  <si>
    <t xml:space="preserve">841 / </t>
  </si>
  <si>
    <t>사회계열광역</t>
  </si>
  <si>
    <t>16.78</t>
  </si>
  <si>
    <t>36,413</t>
  </si>
  <si>
    <t>영미인문학과</t>
  </si>
  <si>
    <t>356.62</t>
  </si>
  <si>
    <t>359.26</t>
  </si>
  <si>
    <t>건축학부(건축공학전공)</t>
  </si>
  <si>
    <t>356.61</t>
  </si>
  <si>
    <t>토목환경공학과</t>
  </si>
  <si>
    <t xml:space="preserve">857.3 / </t>
  </si>
  <si>
    <t>356.86</t>
  </si>
  <si>
    <t xml:space="preserve">683.75 / </t>
  </si>
  <si>
    <t>356.53</t>
  </si>
  <si>
    <t>패션산업학과</t>
  </si>
  <si>
    <t xml:space="preserve">82.9 / </t>
  </si>
  <si>
    <t>16.84</t>
  </si>
  <si>
    <t>36,543</t>
  </si>
  <si>
    <t>의공학과</t>
  </si>
  <si>
    <t xml:space="preserve">845 / </t>
  </si>
  <si>
    <t xml:space="preserve">884.16 / </t>
  </si>
  <si>
    <t xml:space="preserve">434.8 / </t>
  </si>
  <si>
    <t>글로벌문화통상</t>
  </si>
  <si>
    <t xml:space="preserve">890.757 / </t>
  </si>
  <si>
    <t>356.68</t>
  </si>
  <si>
    <t>360.25</t>
  </si>
  <si>
    <t>일반사회교육과</t>
  </si>
  <si>
    <t>16.93</t>
  </si>
  <si>
    <t>36,738</t>
  </si>
  <si>
    <t>356.42</t>
  </si>
  <si>
    <t>359.10</t>
  </si>
  <si>
    <t>해양융합공학</t>
  </si>
  <si>
    <t xml:space="preserve">890.38 / </t>
  </si>
  <si>
    <t>356.41</t>
  </si>
  <si>
    <t>건축학부(건축학전공)</t>
  </si>
  <si>
    <t xml:space="preserve">651.83 / </t>
  </si>
  <si>
    <t xml:space="preserve">652.62 / </t>
  </si>
  <si>
    <t>사회기반시스템공학부(도시시스템공학)</t>
  </si>
  <si>
    <t xml:space="preserve">723.7 / </t>
  </si>
  <si>
    <t>356.34</t>
  </si>
  <si>
    <t>응급구조학과</t>
  </si>
  <si>
    <t xml:space="preserve">82.8 / </t>
  </si>
  <si>
    <t>문헌정보학전공</t>
  </si>
  <si>
    <t xml:space="preserve">844 / </t>
  </si>
  <si>
    <t>356.32</t>
  </si>
  <si>
    <t>배터리소재화학공학</t>
  </si>
  <si>
    <t xml:space="preserve">890.16 / </t>
  </si>
  <si>
    <t>356.31</t>
  </si>
  <si>
    <t xml:space="preserve">890.14 / </t>
  </si>
  <si>
    <t xml:space="preserve">855.6 / </t>
  </si>
  <si>
    <t>자유전공학부(일반전형)</t>
  </si>
  <si>
    <t>356.24</t>
  </si>
  <si>
    <t>356.50</t>
  </si>
  <si>
    <t xml:space="preserve">836.5 / </t>
  </si>
  <si>
    <t>상담학과</t>
  </si>
  <si>
    <t xml:space="preserve">838.5 / </t>
  </si>
  <si>
    <t>356.18</t>
  </si>
  <si>
    <t>17.11</t>
  </si>
  <si>
    <t>37,129</t>
  </si>
  <si>
    <t>356.16</t>
  </si>
  <si>
    <t xml:space="preserve">889.82 / </t>
  </si>
  <si>
    <t>17.12</t>
  </si>
  <si>
    <t>37,150</t>
  </si>
  <si>
    <t xml:space="preserve">82.7 / </t>
  </si>
  <si>
    <t>화공신소재전공</t>
  </si>
  <si>
    <t xml:space="preserve">878.75 / </t>
  </si>
  <si>
    <t>17.16</t>
  </si>
  <si>
    <t>37,237</t>
  </si>
  <si>
    <t>356.09</t>
  </si>
  <si>
    <t xml:space="preserve">889.66 / </t>
  </si>
  <si>
    <t>17.19</t>
  </si>
  <si>
    <t>37,302</t>
  </si>
  <si>
    <t>356.04</t>
  </si>
  <si>
    <t>스마트물류공학전공</t>
  </si>
  <si>
    <t>356.27</t>
  </si>
  <si>
    <t xml:space="preserve">652.06 / </t>
  </si>
  <si>
    <t>17.22</t>
  </si>
  <si>
    <t>37,367</t>
  </si>
  <si>
    <t>356.00</t>
  </si>
  <si>
    <t xml:space="preserve">651.22 / </t>
  </si>
  <si>
    <t>355.97</t>
  </si>
  <si>
    <t>서비스디자인공학과</t>
  </si>
  <si>
    <t>355.95</t>
  </si>
  <si>
    <t>관광경영학과</t>
  </si>
  <si>
    <t xml:space="preserve">82.6 / </t>
  </si>
  <si>
    <t>역사콘텐츠전공</t>
  </si>
  <si>
    <t>356.44</t>
  </si>
  <si>
    <t xml:space="preserve">651.91 / </t>
  </si>
  <si>
    <t>358.60</t>
  </si>
  <si>
    <t>공과대학 자율학부</t>
  </si>
  <si>
    <t xml:space="preserve">651.07 / </t>
  </si>
  <si>
    <t>16.96</t>
  </si>
  <si>
    <t>36,803</t>
  </si>
  <si>
    <t>355.86</t>
  </si>
  <si>
    <t xml:space="preserve">889.5 / </t>
  </si>
  <si>
    <t>355.85</t>
  </si>
  <si>
    <t>17.36</t>
  </si>
  <si>
    <t>37,671</t>
  </si>
  <si>
    <t>355.80</t>
  </si>
  <si>
    <t>358.50</t>
  </si>
  <si>
    <t>355.78</t>
  </si>
  <si>
    <t>융합보안공학과</t>
  </si>
  <si>
    <t>17.39</t>
  </si>
  <si>
    <t>37,736</t>
  </si>
  <si>
    <t>355.76</t>
  </si>
  <si>
    <t xml:space="preserve">82.5 / </t>
  </si>
  <si>
    <t>도시계획·조경학부</t>
  </si>
  <si>
    <t xml:space="preserve">454 / </t>
  </si>
  <si>
    <t xml:space="preserve">이월시선발 </t>
  </si>
  <si>
    <t>17.44</t>
  </si>
  <si>
    <t>37,845</t>
  </si>
  <si>
    <t>358.39</t>
  </si>
  <si>
    <t>반도체전자공학부(전자공학전공)</t>
  </si>
  <si>
    <t xml:space="preserve">615.9 / </t>
  </si>
  <si>
    <t>355.69</t>
  </si>
  <si>
    <t>화학·에너지융합학부</t>
  </si>
  <si>
    <t xml:space="preserve">424.25 / </t>
  </si>
  <si>
    <t>355.68</t>
  </si>
  <si>
    <t xml:space="preserve">650.73 / </t>
  </si>
  <si>
    <t>17.47</t>
  </si>
  <si>
    <t>37,910</t>
  </si>
  <si>
    <t>355.66</t>
  </si>
  <si>
    <t>359.65</t>
  </si>
  <si>
    <t>가족복지학과</t>
  </si>
  <si>
    <t>17.48</t>
  </si>
  <si>
    <t>37,932</t>
  </si>
  <si>
    <t>대기환경과학과</t>
  </si>
  <si>
    <t>17.10</t>
  </si>
  <si>
    <t>37,107</t>
  </si>
  <si>
    <t xml:space="preserve">651.49 / </t>
  </si>
  <si>
    <t xml:space="preserve">650.62 / </t>
  </si>
  <si>
    <t>17.50</t>
  </si>
  <si>
    <t>37,975</t>
  </si>
  <si>
    <t>창의융합학부(자유전공)</t>
  </si>
  <si>
    <t xml:space="preserve">416.13 / </t>
  </si>
  <si>
    <t>17.54</t>
  </si>
  <si>
    <t>38,062</t>
  </si>
  <si>
    <t>355.56</t>
  </si>
  <si>
    <t>운동재활학과</t>
  </si>
  <si>
    <t xml:space="preserve">82.4 / </t>
  </si>
  <si>
    <t>미디어·휴먼라이프대학</t>
  </si>
  <si>
    <t xml:space="preserve">175.74 / </t>
  </si>
  <si>
    <t>355.75</t>
  </si>
  <si>
    <t xml:space="preserve">971.38 / </t>
  </si>
  <si>
    <t xml:space="preserve">682.25 / </t>
  </si>
  <si>
    <t>17.61</t>
  </si>
  <si>
    <t>38,214</t>
  </si>
  <si>
    <t>355.46</t>
  </si>
  <si>
    <t>창의융합학부(첨단분야전공)</t>
  </si>
  <si>
    <t xml:space="preserve">415.75 / </t>
  </si>
  <si>
    <t xml:space="preserve">683.2 / </t>
  </si>
  <si>
    <t>355.96</t>
  </si>
  <si>
    <t xml:space="preserve">651.17 / </t>
  </si>
  <si>
    <t>콘텐츠소프트웨어학과(농어촌)</t>
  </si>
  <si>
    <t>355.41</t>
  </si>
  <si>
    <t>미생물학과</t>
  </si>
  <si>
    <t>17.65</t>
  </si>
  <si>
    <t>38,301</t>
  </si>
  <si>
    <t>355.40</t>
  </si>
  <si>
    <t>358.09</t>
  </si>
  <si>
    <t>금속재료공학과</t>
  </si>
  <si>
    <t xml:space="preserve">650.33 / </t>
  </si>
  <si>
    <t>355.62</t>
  </si>
  <si>
    <t xml:space="preserve">971.33 / </t>
  </si>
  <si>
    <t xml:space="preserve">651.05 / </t>
  </si>
  <si>
    <t>355.36</t>
  </si>
  <si>
    <t>한일문화콘텐츠전공</t>
  </si>
  <si>
    <t xml:space="preserve">650.26 / </t>
  </si>
  <si>
    <t>예술문화영상학과</t>
  </si>
  <si>
    <t xml:space="preserve">650.19 / </t>
  </si>
  <si>
    <t>17.74</t>
  </si>
  <si>
    <t>38,496</t>
  </si>
  <si>
    <t>355.27</t>
  </si>
  <si>
    <t xml:space="preserve">615.1 / </t>
  </si>
  <si>
    <t>355.47</t>
  </si>
  <si>
    <t xml:space="preserve">175.68 / </t>
  </si>
  <si>
    <t>건설환경공학</t>
  </si>
  <si>
    <t xml:space="preserve">887.85 / </t>
  </si>
  <si>
    <t>355.19</t>
  </si>
  <si>
    <t xml:space="preserve">180.92 / </t>
  </si>
  <si>
    <t xml:space="preserve"> 과탐(Ⅰ,Ⅱ)/과탐(Ⅱ,Ⅱ) 10%가산</t>
  </si>
  <si>
    <t>355.20</t>
  </si>
  <si>
    <t>생명공학전공</t>
  </si>
  <si>
    <t xml:space="preserve">873.75 / </t>
  </si>
  <si>
    <t>17.82</t>
  </si>
  <si>
    <t>38,669</t>
  </si>
  <si>
    <t>바이오메디컬공학부</t>
  </si>
  <si>
    <t xml:space="preserve">614.9 / </t>
  </si>
  <si>
    <t>핀테크전공·빅데이터융합전공·스마트생산전공</t>
  </si>
  <si>
    <t xml:space="preserve">873.4 / </t>
  </si>
  <si>
    <t>17.89</t>
  </si>
  <si>
    <t>38,821</t>
  </si>
  <si>
    <t>355.06</t>
  </si>
  <si>
    <t xml:space="preserve">879.2 / </t>
  </si>
  <si>
    <t>355.52</t>
  </si>
  <si>
    <t xml:space="preserve">650.46 / </t>
  </si>
  <si>
    <t>17.96</t>
  </si>
  <si>
    <t>38,973</t>
  </si>
  <si>
    <t>354.96</t>
  </si>
  <si>
    <t>357.63</t>
  </si>
  <si>
    <t xml:space="preserve">82.1 / </t>
  </si>
  <si>
    <t>358.97</t>
  </si>
  <si>
    <t>354.95</t>
  </si>
  <si>
    <t>357.62</t>
  </si>
  <si>
    <t>수리통계데이터사이언스학부(통계학/빅데이터사이언스)</t>
  </si>
  <si>
    <t xml:space="preserve">422.35 / </t>
  </si>
  <si>
    <t>17.98</t>
  </si>
  <si>
    <t>39,017</t>
  </si>
  <si>
    <t>354.93</t>
  </si>
  <si>
    <t xml:space="preserve">422.3 / </t>
  </si>
  <si>
    <t>18.01</t>
  </si>
  <si>
    <t>39,082</t>
  </si>
  <si>
    <t>AI융합대학[통합모집]</t>
  </si>
  <si>
    <t xml:space="preserve">614.6 / </t>
  </si>
  <si>
    <t xml:space="preserve">180.77 / </t>
  </si>
  <si>
    <t>357.54</t>
  </si>
  <si>
    <t>정보융합학부</t>
  </si>
  <si>
    <t xml:space="preserve">682.44 / </t>
  </si>
  <si>
    <t>자유전공(경영경제계열)</t>
  </si>
  <si>
    <t>357.41</t>
  </si>
  <si>
    <t xml:space="preserve">877.929 / </t>
  </si>
  <si>
    <t>355.01</t>
  </si>
  <si>
    <t xml:space="preserve">336.38 / </t>
  </si>
  <si>
    <t>355.00</t>
  </si>
  <si>
    <t>18.10</t>
  </si>
  <si>
    <t>39,277</t>
  </si>
  <si>
    <t>354.76</t>
  </si>
  <si>
    <t>의료산업경영학과</t>
  </si>
  <si>
    <t xml:space="preserve">82 / </t>
  </si>
  <si>
    <t>자연계열(한마음학생)</t>
  </si>
  <si>
    <t>354.97</t>
  </si>
  <si>
    <t xml:space="preserve">971.07 / </t>
  </si>
  <si>
    <t>반도체융합학과</t>
  </si>
  <si>
    <t xml:space="preserve">175.36 / </t>
  </si>
  <si>
    <t xml:space="preserve">806.5 / </t>
  </si>
  <si>
    <t>18.14</t>
  </si>
  <si>
    <t>39,364</t>
  </si>
  <si>
    <t>354.70</t>
  </si>
  <si>
    <t xml:space="preserve">614.4 / </t>
  </si>
  <si>
    <t xml:space="preserve">175.39 / </t>
  </si>
  <si>
    <t>18.19</t>
  </si>
  <si>
    <t>39,472</t>
  </si>
  <si>
    <t>354.64</t>
  </si>
  <si>
    <t>354.63</t>
  </si>
  <si>
    <t>산림과학ㆍ조경학부</t>
  </si>
  <si>
    <t xml:space="preserve">649.18 / </t>
  </si>
  <si>
    <t>세무회계학과</t>
  </si>
  <si>
    <t>354.61</t>
  </si>
  <si>
    <t>357.28</t>
  </si>
  <si>
    <t>전자공학부(인공지능전공)</t>
  </si>
  <si>
    <t xml:space="preserve">649.14 / </t>
  </si>
  <si>
    <t xml:space="preserve">614.3 / </t>
  </si>
  <si>
    <t>354.80</t>
  </si>
  <si>
    <t xml:space="preserve">81.9 / </t>
  </si>
  <si>
    <t xml:space="preserve">970.98 / </t>
  </si>
  <si>
    <t>수리통계데이터사이언스학부(수학/핀테크)</t>
  </si>
  <si>
    <t xml:space="preserve">421.2 / </t>
  </si>
  <si>
    <t>고고학과</t>
  </si>
  <si>
    <t xml:space="preserve">680.75 / </t>
  </si>
  <si>
    <t>18.38</t>
  </si>
  <si>
    <t>39,885</t>
  </si>
  <si>
    <t>354.37</t>
  </si>
  <si>
    <t xml:space="preserve">804.5 / </t>
  </si>
  <si>
    <t>18.41</t>
  </si>
  <si>
    <t>39,950</t>
  </si>
  <si>
    <t>354.34</t>
  </si>
  <si>
    <t>반도체전자공학부(반도체공학전공)</t>
  </si>
  <si>
    <t xml:space="preserve">614 / </t>
  </si>
  <si>
    <t>18.42</t>
  </si>
  <si>
    <t>39,971</t>
  </si>
  <si>
    <t>354.32</t>
  </si>
  <si>
    <t>전자컴퓨터공학부</t>
  </si>
  <si>
    <t xml:space="preserve">877.064 / </t>
  </si>
  <si>
    <t>354.81</t>
  </si>
  <si>
    <t>산업심리학과</t>
  </si>
  <si>
    <t xml:space="preserve">681.28 / </t>
  </si>
  <si>
    <t>18.58</t>
  </si>
  <si>
    <t>40,319</t>
  </si>
  <si>
    <t xml:space="preserve">648.35 / </t>
  </si>
  <si>
    <t xml:space="preserve">680.25 / </t>
  </si>
  <si>
    <t>354.04</t>
  </si>
  <si>
    <t>356.71</t>
  </si>
  <si>
    <t xml:space="preserve">885.33 / </t>
  </si>
  <si>
    <t>18.60</t>
  </si>
  <si>
    <t>40,362</t>
  </si>
  <si>
    <t>경영학부경영학전공</t>
  </si>
  <si>
    <t xml:space="preserve">680.81 / </t>
  </si>
  <si>
    <t>18.62</t>
  </si>
  <si>
    <t>40,405</t>
  </si>
  <si>
    <t>354.02</t>
  </si>
  <si>
    <t xml:space="preserve">876.49 / </t>
  </si>
  <si>
    <t>18.64</t>
  </si>
  <si>
    <t>40,449</t>
  </si>
  <si>
    <t>353.99</t>
  </si>
  <si>
    <t xml:space="preserve">613.6 / </t>
  </si>
  <si>
    <t>경영학부빅데이터경영전공</t>
  </si>
  <si>
    <t xml:space="preserve">680.69 / </t>
  </si>
  <si>
    <t>18.70</t>
  </si>
  <si>
    <t>40,579</t>
  </si>
  <si>
    <t>자율전공학부(자연)</t>
  </si>
  <si>
    <t xml:space="preserve">840.4 / </t>
  </si>
  <si>
    <t>첨단소재공학과</t>
  </si>
  <si>
    <t xml:space="preserve">719.2 / </t>
  </si>
  <si>
    <t>18.74</t>
  </si>
  <si>
    <t>40,666</t>
  </si>
  <si>
    <t>353.84</t>
  </si>
  <si>
    <t>357.51</t>
  </si>
  <si>
    <t>18.79</t>
  </si>
  <si>
    <t>40,774</t>
  </si>
  <si>
    <t>353.75</t>
  </si>
  <si>
    <t xml:space="preserve">801.25 / </t>
  </si>
  <si>
    <t>18.81</t>
  </si>
  <si>
    <t>40,818</t>
  </si>
  <si>
    <t>353.73</t>
  </si>
  <si>
    <t>기후변화융합학부</t>
  </si>
  <si>
    <t xml:space="preserve">613.3 / </t>
  </si>
  <si>
    <t>나노에너지공학과</t>
  </si>
  <si>
    <t xml:space="preserve">679.8 / </t>
  </si>
  <si>
    <t>18.82</t>
  </si>
  <si>
    <t>40,839</t>
  </si>
  <si>
    <t>353.72</t>
  </si>
  <si>
    <t xml:space="preserve">647.77 / </t>
  </si>
  <si>
    <t>353.92</t>
  </si>
  <si>
    <t xml:space="preserve">680.68 / </t>
  </si>
  <si>
    <t>353.86</t>
  </si>
  <si>
    <t>공공안전 융합전공</t>
  </si>
  <si>
    <t xml:space="preserve">174.85 / </t>
  </si>
  <si>
    <t>353.60</t>
  </si>
  <si>
    <t xml:space="preserve"> 미기3%과3%</t>
  </si>
  <si>
    <t>353.50</t>
  </si>
  <si>
    <t>분자생물학과</t>
  </si>
  <si>
    <t>19.03</t>
  </si>
  <si>
    <t>41,295</t>
  </si>
  <si>
    <t>353.40</t>
  </si>
  <si>
    <t>자유전공학부(수원)</t>
  </si>
  <si>
    <t xml:space="preserve">81.95 / </t>
  </si>
  <si>
    <t>19.05</t>
  </si>
  <si>
    <t>41,339</t>
  </si>
  <si>
    <t>353.36</t>
  </si>
  <si>
    <t>첨단융합신약학과</t>
  </si>
  <si>
    <t>353.58</t>
  </si>
  <si>
    <t xml:space="preserve">680.19 / </t>
  </si>
  <si>
    <t>유아교육학과</t>
  </si>
  <si>
    <t xml:space="preserve">81.3 / </t>
  </si>
  <si>
    <t>18.78</t>
  </si>
  <si>
    <t>40,753</t>
  </si>
  <si>
    <t xml:space="preserve">647.69 / </t>
  </si>
  <si>
    <t>19.15</t>
  </si>
  <si>
    <t>41,556</t>
  </si>
  <si>
    <t>353.21</t>
  </si>
  <si>
    <t>353.43</t>
  </si>
  <si>
    <t xml:space="preserve">643 / </t>
  </si>
  <si>
    <t>19.14</t>
  </si>
  <si>
    <t>41,534</t>
  </si>
  <si>
    <t>353.22</t>
  </si>
  <si>
    <t>356.02</t>
  </si>
  <si>
    <t xml:space="preserve">798.5 / </t>
  </si>
  <si>
    <t xml:space="preserve">612.6 / </t>
  </si>
  <si>
    <t xml:space="preserve">647.59 / </t>
  </si>
  <si>
    <t>353.08</t>
  </si>
  <si>
    <t>아동학부</t>
  </si>
  <si>
    <t xml:space="preserve">646.74 / </t>
  </si>
  <si>
    <t>19.23</t>
  </si>
  <si>
    <t>41,729</t>
  </si>
  <si>
    <t>353.09</t>
  </si>
  <si>
    <t>국제통상학부</t>
  </si>
  <si>
    <t xml:space="preserve">679.46 / </t>
  </si>
  <si>
    <t>356.98</t>
  </si>
  <si>
    <t>고고인류학과</t>
  </si>
  <si>
    <t xml:space="preserve">647.39 / </t>
  </si>
  <si>
    <t>19.29</t>
  </si>
  <si>
    <t>41,859</t>
  </si>
  <si>
    <t>식품영양학전공</t>
  </si>
  <si>
    <t>19.33</t>
  </si>
  <si>
    <t>41,946</t>
  </si>
  <si>
    <t>폴란드학과</t>
  </si>
  <si>
    <t xml:space="preserve">624.1 / </t>
  </si>
  <si>
    <t>19.36</t>
  </si>
  <si>
    <t>42,011</t>
  </si>
  <si>
    <t>지구시스템과학부</t>
  </si>
  <si>
    <t xml:space="preserve">646.43 / </t>
  </si>
  <si>
    <t>AI컴퓨터공학부 인공지능전공</t>
  </si>
  <si>
    <t>353.00</t>
  </si>
  <si>
    <t xml:space="preserve">451 / </t>
  </si>
  <si>
    <t>19.43</t>
  </si>
  <si>
    <t>42,163</t>
  </si>
  <si>
    <t>352.78</t>
  </si>
  <si>
    <t>청정신소재공학과</t>
  </si>
  <si>
    <t xml:space="preserve">417.1 / </t>
  </si>
  <si>
    <t>352.75</t>
  </si>
  <si>
    <t>나노메카트로닉스공학과</t>
  </si>
  <si>
    <t>영어산업학과</t>
  </si>
  <si>
    <t xml:space="preserve">679.28 / </t>
  </si>
  <si>
    <t>전자물리학과</t>
  </si>
  <si>
    <t xml:space="preserve">611.9 / </t>
  </si>
  <si>
    <t xml:space="preserve">679.24 / </t>
  </si>
  <si>
    <t>농업토목공학과</t>
  </si>
  <si>
    <t xml:space="preserve">646.09 / </t>
  </si>
  <si>
    <t>19.51</t>
  </si>
  <si>
    <t>42,337</t>
  </si>
  <si>
    <t>352.66</t>
  </si>
  <si>
    <t xml:space="preserve">646.07 / </t>
  </si>
  <si>
    <t>352.67</t>
  </si>
  <si>
    <t>반도체·ICT대학</t>
  </si>
  <si>
    <t xml:space="preserve">834.7 / </t>
  </si>
  <si>
    <t>19.52</t>
  </si>
  <si>
    <t>42,358</t>
  </si>
  <si>
    <t>352.65</t>
  </si>
  <si>
    <t>355.49</t>
  </si>
  <si>
    <t>스마트생물산업기계공학과</t>
  </si>
  <si>
    <t xml:space="preserve">646.05 / </t>
  </si>
  <si>
    <t>19.55</t>
  </si>
  <si>
    <t>42,424</t>
  </si>
  <si>
    <t>352.61</t>
  </si>
  <si>
    <t xml:space="preserve">970.81 / </t>
  </si>
  <si>
    <t>응용화학공학과</t>
  </si>
  <si>
    <t xml:space="preserve">174.32 / </t>
  </si>
  <si>
    <t>환경학과</t>
  </si>
  <si>
    <t xml:space="preserve">611.7 / </t>
  </si>
  <si>
    <t>352.50</t>
  </si>
  <si>
    <t xml:space="preserve">873.609 / </t>
  </si>
  <si>
    <t>352.44</t>
  </si>
  <si>
    <t>19.65</t>
  </si>
  <si>
    <t>42,641</t>
  </si>
  <si>
    <t>352.46</t>
  </si>
  <si>
    <t>국제금융학과</t>
  </si>
  <si>
    <t xml:space="preserve">618.3 / </t>
  </si>
  <si>
    <t xml:space="preserve">678.05 / </t>
  </si>
  <si>
    <t>19.70</t>
  </si>
  <si>
    <t>42,749</t>
  </si>
  <si>
    <t>352.38</t>
  </si>
  <si>
    <t xml:space="preserve">794.25 / </t>
  </si>
  <si>
    <t>352.37</t>
  </si>
  <si>
    <t>19.77</t>
  </si>
  <si>
    <t>42,901</t>
  </si>
  <si>
    <t>352.28</t>
  </si>
  <si>
    <t xml:space="preserve">793.75 / </t>
  </si>
  <si>
    <t>19.80</t>
  </si>
  <si>
    <t>42,966</t>
  </si>
  <si>
    <t>355.12</t>
  </si>
  <si>
    <t xml:space="preserve">793.5 / </t>
  </si>
  <si>
    <t>352.24</t>
  </si>
  <si>
    <t>동북아문화산업학부</t>
  </si>
  <si>
    <t xml:space="preserve">678.53 / </t>
  </si>
  <si>
    <t>19.81</t>
  </si>
  <si>
    <t>42,988</t>
  </si>
  <si>
    <t xml:space="preserve">331.65 / </t>
  </si>
  <si>
    <t xml:space="preserve">611.1 / </t>
  </si>
  <si>
    <t xml:space="preserve">174.1 / </t>
  </si>
  <si>
    <t>355.07</t>
  </si>
  <si>
    <t>식물의학과</t>
  </si>
  <si>
    <t xml:space="preserve">645.24 / </t>
  </si>
  <si>
    <t>352.30</t>
  </si>
  <si>
    <t xml:space="preserve">970.04 / </t>
  </si>
  <si>
    <t xml:space="preserve">645.89 / </t>
  </si>
  <si>
    <t>352.26</t>
  </si>
  <si>
    <t xml:space="preserve">970.02 / </t>
  </si>
  <si>
    <t>19.90</t>
  </si>
  <si>
    <t>43,183</t>
  </si>
  <si>
    <t>352.06</t>
  </si>
  <si>
    <t>첨단기술융합대학 자율학부2</t>
  </si>
  <si>
    <t xml:space="preserve">645.1 / </t>
  </si>
  <si>
    <t>19.92</t>
  </si>
  <si>
    <t>43,226</t>
  </si>
  <si>
    <t>352.03</t>
  </si>
  <si>
    <t xml:space="preserve">792.5 / </t>
  </si>
  <si>
    <t>352.22</t>
  </si>
  <si>
    <t xml:space="preserve">174.02 / </t>
  </si>
  <si>
    <t>19.93</t>
  </si>
  <si>
    <t>43,248</t>
  </si>
  <si>
    <t>354.94</t>
  </si>
  <si>
    <t>스마트시스템공과대학</t>
  </si>
  <si>
    <t xml:space="preserve">831.7 / </t>
  </si>
  <si>
    <t>352.18</t>
  </si>
  <si>
    <t xml:space="preserve">174 / </t>
  </si>
  <si>
    <t>19.95</t>
  </si>
  <si>
    <t>43,292</t>
  </si>
  <si>
    <t>351.99</t>
  </si>
  <si>
    <t xml:space="preserve">677.5 / </t>
  </si>
  <si>
    <t>치위생학과</t>
  </si>
  <si>
    <t xml:space="preserve">80.7 / </t>
  </si>
  <si>
    <t>19.98</t>
  </si>
  <si>
    <t>43,357</t>
  </si>
  <si>
    <t>351.94</t>
  </si>
  <si>
    <t>354.84</t>
  </si>
  <si>
    <t>식품공학부</t>
  </si>
  <si>
    <t xml:space="preserve">644.91 / </t>
  </si>
  <si>
    <t>19.99</t>
  </si>
  <si>
    <t>43,378</t>
  </si>
  <si>
    <t xml:space="preserve">610.7 / </t>
  </si>
  <si>
    <t>351.84</t>
  </si>
  <si>
    <t>354.77</t>
  </si>
  <si>
    <t xml:space="preserve">677.3 / </t>
  </si>
  <si>
    <t>351.85</t>
  </si>
  <si>
    <t>352.39</t>
  </si>
  <si>
    <t xml:space="preserve">645.47 / </t>
  </si>
  <si>
    <t>응용생명과학부</t>
  </si>
  <si>
    <t xml:space="preserve">644.63 / </t>
  </si>
  <si>
    <t>351.68</t>
  </si>
  <si>
    <t>호텔외식경영학부</t>
  </si>
  <si>
    <t>351.92</t>
  </si>
  <si>
    <t xml:space="preserve">869.814 / </t>
  </si>
  <si>
    <t>351.73</t>
  </si>
  <si>
    <t xml:space="preserve">644.58 / </t>
  </si>
  <si>
    <t>20.14</t>
  </si>
  <si>
    <t>43,704</t>
  </si>
  <si>
    <t>351.71</t>
  </si>
  <si>
    <t>20.06</t>
  </si>
  <si>
    <t>43,530</t>
  </si>
  <si>
    <t>351.83</t>
  </si>
  <si>
    <t xml:space="preserve">677 / </t>
  </si>
  <si>
    <t>351.81</t>
  </si>
  <si>
    <t xml:space="preserve">869.614 / </t>
  </si>
  <si>
    <t>20.21</t>
  </si>
  <si>
    <t>43,856</t>
  </si>
  <si>
    <t>351.61</t>
  </si>
  <si>
    <t>지질환경과학과</t>
  </si>
  <si>
    <t xml:space="preserve">969.83 / </t>
  </si>
  <si>
    <t>20.27</t>
  </si>
  <si>
    <t>43,986</t>
  </si>
  <si>
    <t>351.52</t>
  </si>
  <si>
    <t xml:space="preserve">81.1 / </t>
  </si>
  <si>
    <t>354.35</t>
  </si>
  <si>
    <t xml:space="preserve">871.55 / </t>
  </si>
  <si>
    <t>20.35</t>
  </si>
  <si>
    <t>44,160</t>
  </si>
  <si>
    <t>351.40</t>
  </si>
  <si>
    <t>자연과학대학[통합모집]</t>
  </si>
  <si>
    <t xml:space="preserve">609.8 / </t>
  </si>
  <si>
    <t xml:space="preserve">644.75 / </t>
  </si>
  <si>
    <t>20.42</t>
  </si>
  <si>
    <t>44,311</t>
  </si>
  <si>
    <t>351.30</t>
  </si>
  <si>
    <t>미디어영상학과</t>
  </si>
  <si>
    <t>전자융합공학과</t>
  </si>
  <si>
    <t xml:space="preserve">690.93 / </t>
  </si>
  <si>
    <t>355.37</t>
  </si>
  <si>
    <t>Gobal Business &amp; Technology학부</t>
  </si>
  <si>
    <t xml:space="preserve">616.5 / </t>
  </si>
  <si>
    <t>351.24</t>
  </si>
  <si>
    <t>354.23</t>
  </si>
  <si>
    <t>20.47</t>
  </si>
  <si>
    <t>44,420</t>
  </si>
  <si>
    <t>351.22</t>
  </si>
  <si>
    <t>화학·생명과학대학</t>
  </si>
  <si>
    <t xml:space="preserve">828 / </t>
  </si>
  <si>
    <t>20.57</t>
  </si>
  <si>
    <t>44,637</t>
  </si>
  <si>
    <t>354.07</t>
  </si>
  <si>
    <t>AI컴퓨터공학부</t>
  </si>
  <si>
    <t>20.58</t>
  </si>
  <si>
    <t>44,659</t>
  </si>
  <si>
    <t xml:space="preserve">676.89 / </t>
  </si>
  <si>
    <t>351.06</t>
  </si>
  <si>
    <t>반도체시스템공학부</t>
  </si>
  <si>
    <t xml:space="preserve">690.59 / </t>
  </si>
  <si>
    <t>350.91</t>
  </si>
  <si>
    <t>자유전공학부(글로벌)</t>
  </si>
  <si>
    <t xml:space="preserve">621.1 / </t>
  </si>
  <si>
    <t>20.71</t>
  </si>
  <si>
    <t>44,941</t>
  </si>
  <si>
    <t>350.89</t>
  </si>
  <si>
    <t>관광문화콘텐츠학과</t>
  </si>
  <si>
    <t xml:space="preserve">80.8 / </t>
  </si>
  <si>
    <t>20.72</t>
  </si>
  <si>
    <t>44,962</t>
  </si>
  <si>
    <t xml:space="preserve">970.15 / </t>
  </si>
  <si>
    <t>351.54</t>
  </si>
  <si>
    <t xml:space="preserve">644.08 / </t>
  </si>
  <si>
    <t>20.74</t>
  </si>
  <si>
    <t>45,006</t>
  </si>
  <si>
    <t>350.86</t>
  </si>
  <si>
    <t xml:space="preserve">173.46 / </t>
  </si>
  <si>
    <t>20.79</t>
  </si>
  <si>
    <t>45,114</t>
  </si>
  <si>
    <t>350.79</t>
  </si>
  <si>
    <t xml:space="preserve">80.75 / </t>
  </si>
  <si>
    <t xml:space="preserve">786 / </t>
  </si>
  <si>
    <t>20.80</t>
  </si>
  <si>
    <t>45,136</t>
  </si>
  <si>
    <t>350.78</t>
  </si>
  <si>
    <t>350.93</t>
  </si>
  <si>
    <t>인문사회자율전공계열</t>
  </si>
  <si>
    <t xml:space="preserve">969.51 / </t>
  </si>
  <si>
    <t>20.86</t>
  </si>
  <si>
    <t>45,266</t>
  </si>
  <si>
    <t>350.70</t>
  </si>
  <si>
    <t>해양학과</t>
  </si>
  <si>
    <t xml:space="preserve">675.8 / </t>
  </si>
  <si>
    <t>20.88</t>
  </si>
  <si>
    <t>45,310</t>
  </si>
  <si>
    <t>350.68</t>
  </si>
  <si>
    <t xml:space="preserve">690.05 / </t>
  </si>
  <si>
    <t>20.90</t>
  </si>
  <si>
    <t>45,353</t>
  </si>
  <si>
    <t>350.65</t>
  </si>
  <si>
    <t>353.69</t>
  </si>
  <si>
    <t>미생물·분자생명과학과</t>
  </si>
  <si>
    <t xml:space="preserve">173.36 / </t>
  </si>
  <si>
    <t xml:space="preserve">969.46 / </t>
  </si>
  <si>
    <t xml:space="preserve">173.3 / </t>
  </si>
  <si>
    <t>20.94</t>
  </si>
  <si>
    <t>45,440</t>
  </si>
  <si>
    <t>350.60</t>
  </si>
  <si>
    <t>신소재화학공학부</t>
  </si>
  <si>
    <t xml:space="preserve">80.65 / </t>
  </si>
  <si>
    <t>351.25</t>
  </si>
  <si>
    <t xml:space="preserve">643.62 / </t>
  </si>
  <si>
    <t>20.97</t>
  </si>
  <si>
    <t>45,505</t>
  </si>
  <si>
    <t xml:space="preserve">970.03 / </t>
  </si>
  <si>
    <t>20.98</t>
  </si>
  <si>
    <t>45,527</t>
  </si>
  <si>
    <t>350.54</t>
  </si>
  <si>
    <t>애니메이션전공</t>
  </si>
  <si>
    <t xml:space="preserve">850.5 / </t>
  </si>
  <si>
    <t xml:space="preserve">173.26 / </t>
  </si>
  <si>
    <t xml:space="preserve">969.42 / </t>
  </si>
  <si>
    <t>21.02</t>
  </si>
  <si>
    <t>45,613</t>
  </si>
  <si>
    <t>융합과학대학</t>
  </si>
  <si>
    <t xml:space="preserve">80.6 / </t>
  </si>
  <si>
    <t>AI컴퓨터공학부 SW안전보안전공</t>
  </si>
  <si>
    <t xml:space="preserve">784.25 / </t>
  </si>
  <si>
    <t>21.04</t>
  </si>
  <si>
    <t>45,657</t>
  </si>
  <si>
    <t>350.49</t>
  </si>
  <si>
    <t>Culture &amp; Technology융합대학[통합모집]</t>
  </si>
  <si>
    <t xml:space="preserve">620.4 / </t>
  </si>
  <si>
    <t>21.12</t>
  </si>
  <si>
    <t>45,830</t>
  </si>
  <si>
    <t>350.38</t>
  </si>
  <si>
    <t xml:space="preserve">173.23 / </t>
  </si>
  <si>
    <t>350.34</t>
  </si>
  <si>
    <t>354.46</t>
  </si>
  <si>
    <t xml:space="preserve">799.1 / </t>
  </si>
  <si>
    <t>350.35</t>
  </si>
  <si>
    <t xml:space="preserve">675.85 / </t>
  </si>
  <si>
    <t>도시·자치융합학과</t>
  </si>
  <si>
    <t xml:space="preserve">173.16 / </t>
  </si>
  <si>
    <t>21.17</t>
  </si>
  <si>
    <t>45,939</t>
  </si>
  <si>
    <t xml:space="preserve">80.5 / </t>
  </si>
  <si>
    <t>21.19</t>
  </si>
  <si>
    <t>45,982</t>
  </si>
  <si>
    <t xml:space="preserve">869.464 / </t>
  </si>
  <si>
    <t>나노바이오공학전공</t>
  </si>
  <si>
    <t>21.24</t>
  </si>
  <si>
    <t>46,091</t>
  </si>
  <si>
    <t xml:space="preserve">80.45 / </t>
  </si>
  <si>
    <t>21.25</t>
  </si>
  <si>
    <t>46,113</t>
  </si>
  <si>
    <t>350.22</t>
  </si>
  <si>
    <t>350.21</t>
  </si>
  <si>
    <t>21.29</t>
  </si>
  <si>
    <t>46,199</t>
  </si>
  <si>
    <t xml:space="preserve">173.13 / </t>
  </si>
  <si>
    <t>섬유시스템공학과</t>
  </si>
  <si>
    <t xml:space="preserve">642.22 / </t>
  </si>
  <si>
    <t>전자통신공학과</t>
  </si>
  <si>
    <t xml:space="preserve">689.29 / </t>
  </si>
  <si>
    <t>AI데이터융합학부</t>
  </si>
  <si>
    <t xml:space="preserve">607.4 / </t>
  </si>
  <si>
    <t>350.09</t>
  </si>
  <si>
    <t>353.07</t>
  </si>
  <si>
    <t xml:space="preserve">675 / </t>
  </si>
  <si>
    <t xml:space="preserve">781.75 / </t>
  </si>
  <si>
    <t>21.40</t>
  </si>
  <si>
    <t>46,438</t>
  </si>
  <si>
    <t>350.03</t>
  </si>
  <si>
    <t xml:space="preserve">673.44 / </t>
  </si>
  <si>
    <t>350.00</t>
  </si>
  <si>
    <t xml:space="preserve">781.25 / </t>
  </si>
  <si>
    <t xml:space="preserve">969.2 / </t>
  </si>
  <si>
    <t>21.47</t>
  </si>
  <si>
    <t>46,590</t>
  </si>
  <si>
    <t xml:space="preserve">80.3 / </t>
  </si>
  <si>
    <t>21.48</t>
  </si>
  <si>
    <t>46,612</t>
  </si>
  <si>
    <t>349.92</t>
  </si>
  <si>
    <t xml:space="preserve">868.768 / </t>
  </si>
  <si>
    <t xml:space="preserve">780.75 / </t>
  </si>
  <si>
    <t>21.52</t>
  </si>
  <si>
    <t>46,698</t>
  </si>
  <si>
    <t>AI로봇학과(농어촌)</t>
  </si>
  <si>
    <t xml:space="preserve">685.98 / </t>
  </si>
  <si>
    <t xml:space="preserve">969.16 / </t>
  </si>
  <si>
    <t>21.54</t>
  </si>
  <si>
    <t>46,742</t>
  </si>
  <si>
    <t>349.85</t>
  </si>
  <si>
    <t>전자재료공학과</t>
  </si>
  <si>
    <t xml:space="preserve">688.89 / </t>
  </si>
  <si>
    <t>관광개발경영학과</t>
  </si>
  <si>
    <t xml:space="preserve">80.25 / </t>
  </si>
  <si>
    <t>353.94</t>
  </si>
  <si>
    <t xml:space="preserve">780.25 / </t>
  </si>
  <si>
    <t>21.43</t>
  </si>
  <si>
    <t>46,503</t>
  </si>
  <si>
    <t>349.99</t>
  </si>
  <si>
    <t xml:space="preserve">969.14 / </t>
  </si>
  <si>
    <t>349.96</t>
  </si>
  <si>
    <t>353.88</t>
  </si>
  <si>
    <t xml:space="preserve">800.25 / </t>
  </si>
  <si>
    <t>21.61</t>
  </si>
  <si>
    <t>46,894</t>
  </si>
  <si>
    <t>349.77</t>
  </si>
  <si>
    <t>첨단기술융합대학 자율학부1</t>
  </si>
  <si>
    <t xml:space="preserve">641.59 / </t>
  </si>
  <si>
    <t>349.75</t>
  </si>
  <si>
    <t>352.69</t>
  </si>
  <si>
    <t xml:space="preserve">80.2 / </t>
  </si>
  <si>
    <t xml:space="preserve">688.74 / </t>
  </si>
  <si>
    <t>349.71</t>
  </si>
  <si>
    <t>의생명융합공학부</t>
  </si>
  <si>
    <t>349.66</t>
  </si>
  <si>
    <t xml:space="preserve">80.15 / </t>
  </si>
  <si>
    <t>21.73</t>
  </si>
  <si>
    <t>47,154</t>
  </si>
  <si>
    <t>349.63</t>
  </si>
  <si>
    <t>창의인재개발학과</t>
  </si>
  <si>
    <t>농업생명과학대학 자율학부</t>
  </si>
  <si>
    <t xml:space="preserve">641.31 / </t>
  </si>
  <si>
    <t>21.58</t>
  </si>
  <si>
    <t>46,829</t>
  </si>
  <si>
    <t>353.68</t>
  </si>
  <si>
    <t>디지털콘텐츠학부</t>
  </si>
  <si>
    <t xml:space="preserve">619.3 / </t>
  </si>
  <si>
    <t>21.84</t>
  </si>
  <si>
    <t>47,393</t>
  </si>
  <si>
    <t>349.48</t>
  </si>
  <si>
    <t>항공우주공학부</t>
  </si>
  <si>
    <t>349.47</t>
  </si>
  <si>
    <t xml:space="preserve">80.05 / </t>
  </si>
  <si>
    <t>21.86</t>
  </si>
  <si>
    <t>47,436</t>
  </si>
  <si>
    <t>임베디드시스템공학과</t>
  </si>
  <si>
    <t xml:space="preserve">778 / </t>
  </si>
  <si>
    <t>349.62</t>
  </si>
  <si>
    <t>Finance &amp; AI융합학부</t>
  </si>
  <si>
    <t xml:space="preserve">613.8 / </t>
  </si>
  <si>
    <t xml:space="preserve">857.27 / </t>
  </si>
  <si>
    <t>인공지능데이터사이언스학과(농어촌)</t>
  </si>
  <si>
    <t xml:space="preserve">685.32 / </t>
  </si>
  <si>
    <t>21.97</t>
  </si>
  <si>
    <t>47,675</t>
  </si>
  <si>
    <t>349.32</t>
  </si>
  <si>
    <t>349.56</t>
  </si>
  <si>
    <t>사회과학대학(통합)</t>
  </si>
  <si>
    <t>21.93</t>
  </si>
  <si>
    <t>47,588</t>
  </si>
  <si>
    <t>349.37</t>
  </si>
  <si>
    <t>21.92</t>
  </si>
  <si>
    <t>47,566</t>
  </si>
  <si>
    <t>349.53</t>
  </si>
  <si>
    <t xml:space="preserve">968.96 / </t>
  </si>
  <si>
    <t xml:space="preserve">172.65 / </t>
  </si>
  <si>
    <t>21.96</t>
  </si>
  <si>
    <t>47,653</t>
  </si>
  <si>
    <t>349.33</t>
  </si>
  <si>
    <t>IT응용공학과</t>
  </si>
  <si>
    <t xml:space="preserve">674 / </t>
  </si>
  <si>
    <t xml:space="preserve">777 / </t>
  </si>
  <si>
    <t>349.26</t>
  </si>
  <si>
    <t>로봇학부AI로봇전공</t>
  </si>
  <si>
    <t xml:space="preserve">688.05 / </t>
  </si>
  <si>
    <t xml:space="preserve">172.59 / </t>
  </si>
  <si>
    <t>349.18</t>
  </si>
  <si>
    <t>352.05</t>
  </si>
  <si>
    <t>사회에너지시스템공학과</t>
  </si>
  <si>
    <t xml:space="preserve">79.9 / </t>
  </si>
  <si>
    <t>헝가리학과</t>
  </si>
  <si>
    <t xml:space="preserve">618.9 / </t>
  </si>
  <si>
    <t>349.17</t>
  </si>
  <si>
    <t xml:space="preserve">867.376 / </t>
  </si>
  <si>
    <t>22.10</t>
  </si>
  <si>
    <t>47,957</t>
  </si>
  <si>
    <t>349.34</t>
  </si>
  <si>
    <t xml:space="preserve">776.25 / </t>
  </si>
  <si>
    <t>22.13</t>
  </si>
  <si>
    <t>48,022</t>
  </si>
  <si>
    <t>349.12</t>
  </si>
  <si>
    <t xml:space="preserve">776 / </t>
  </si>
  <si>
    <t>22.16</t>
  </si>
  <si>
    <t>48,087</t>
  </si>
  <si>
    <t>349.09</t>
  </si>
  <si>
    <t xml:space="preserve">79.85 / </t>
  </si>
  <si>
    <t xml:space="preserve">775.75 / </t>
  </si>
  <si>
    <t>22.19</t>
  </si>
  <si>
    <t>48,152</t>
  </si>
  <si>
    <t xml:space="preserve">687.75 / </t>
  </si>
  <si>
    <t>349.02</t>
  </si>
  <si>
    <t xml:space="preserve">814.72 / </t>
  </si>
  <si>
    <t xml:space="preserve">864.6 / </t>
  </si>
  <si>
    <t xml:space="preserve">864.429 / </t>
  </si>
  <si>
    <t>22.26</t>
  </si>
  <si>
    <t>48,304</t>
  </si>
  <si>
    <t>348.95</t>
  </si>
  <si>
    <t>생명과학전공</t>
  </si>
  <si>
    <t>22.14</t>
  </si>
  <si>
    <t>48,044</t>
  </si>
  <si>
    <t>융합인재학부</t>
  </si>
  <si>
    <t>22.30</t>
  </si>
  <si>
    <t>48,391</t>
  </si>
  <si>
    <t>348.91</t>
  </si>
  <si>
    <t xml:space="preserve">774.75 / </t>
  </si>
  <si>
    <t>348.87</t>
  </si>
  <si>
    <t>분자의생명전공</t>
  </si>
  <si>
    <t xml:space="preserve">774.5 / </t>
  </si>
  <si>
    <t>에너지화학공학과</t>
  </si>
  <si>
    <t xml:space="preserve">684.56 / </t>
  </si>
  <si>
    <t>22.23</t>
  </si>
  <si>
    <t>48,239</t>
  </si>
  <si>
    <t xml:space="preserve">968.75 / </t>
  </si>
  <si>
    <t>22.41</t>
  </si>
  <si>
    <t>48,630</t>
  </si>
  <si>
    <t>348.78</t>
  </si>
  <si>
    <t xml:space="preserve">687.36 / </t>
  </si>
  <si>
    <t xml:space="preserve">618.5 / </t>
  </si>
  <si>
    <t>22.45</t>
  </si>
  <si>
    <t>48,717</t>
  </si>
  <si>
    <t>메카트로닉스공학과</t>
  </si>
  <si>
    <t xml:space="preserve">172.45 / </t>
  </si>
  <si>
    <t xml:space="preserve">684.37 / </t>
  </si>
  <si>
    <t>컴퓨터정보공학부</t>
  </si>
  <si>
    <t xml:space="preserve">687.29 / </t>
  </si>
  <si>
    <t>22.46</t>
  </si>
  <si>
    <t>48,738</t>
  </si>
  <si>
    <t>348.71</t>
  </si>
  <si>
    <t>자연과학자율전공계열</t>
  </si>
  <si>
    <t xml:space="preserve">969.34 / </t>
  </si>
  <si>
    <t>22.50</t>
  </si>
  <si>
    <t>48,825</t>
  </si>
  <si>
    <t>348.67</t>
  </si>
  <si>
    <t xml:space="preserve">644.57 / </t>
  </si>
  <si>
    <t>348.93</t>
  </si>
  <si>
    <t>348.84</t>
  </si>
  <si>
    <t>언어인지과학과</t>
  </si>
  <si>
    <t xml:space="preserve">618.4 / </t>
  </si>
  <si>
    <t>348.63</t>
  </si>
  <si>
    <t xml:space="preserve">866.373 / </t>
  </si>
  <si>
    <t>348.61</t>
  </si>
  <si>
    <t xml:space="preserve">969.3 / </t>
  </si>
  <si>
    <t>348.75</t>
  </si>
  <si>
    <t xml:space="preserve">863.711 / </t>
  </si>
  <si>
    <t xml:space="preserve">863.674 / </t>
  </si>
  <si>
    <t>348.54</t>
  </si>
  <si>
    <t>건축학과 ( 5년제)</t>
  </si>
  <si>
    <t xml:space="preserve">172.36 / </t>
  </si>
  <si>
    <t>348.53</t>
  </si>
  <si>
    <t>351.37</t>
  </si>
  <si>
    <t xml:space="preserve">687.02 / </t>
  </si>
  <si>
    <t>22.62</t>
  </si>
  <si>
    <t>49,085</t>
  </si>
  <si>
    <t xml:space="preserve">644.34 / </t>
  </si>
  <si>
    <t>22.67</t>
  </si>
  <si>
    <t>49,194</t>
  </si>
  <si>
    <t>348.46</t>
  </si>
  <si>
    <t>기술교육과</t>
  </si>
  <si>
    <t xml:space="preserve">177.56 / </t>
  </si>
  <si>
    <t>348.41</t>
  </si>
  <si>
    <t>348.58</t>
  </si>
  <si>
    <t xml:space="preserve">771.75 / </t>
  </si>
  <si>
    <t>348.42</t>
  </si>
  <si>
    <t xml:space="preserve">686.85 / </t>
  </si>
  <si>
    <t>22.73</t>
  </si>
  <si>
    <t>49,324</t>
  </si>
  <si>
    <t xml:space="preserve">417.35 / </t>
  </si>
  <si>
    <t xml:space="preserve"> 미/기/과탐10%</t>
  </si>
  <si>
    <t>22.77</t>
  </si>
  <si>
    <t>49,411</t>
  </si>
  <si>
    <t xml:space="preserve">686.76 / </t>
  </si>
  <si>
    <t>투어리즘 &amp; 웰니스학부</t>
  </si>
  <si>
    <t xml:space="preserve">617.8 / </t>
  </si>
  <si>
    <t>348.33</t>
  </si>
  <si>
    <t>중어중국학과</t>
  </si>
  <si>
    <t xml:space="preserve">771.25 / </t>
  </si>
  <si>
    <t xml:space="preserve">172.08 / </t>
  </si>
  <si>
    <t>348.26</t>
  </si>
  <si>
    <t xml:space="preserve">969.17 / </t>
  </si>
  <si>
    <t>351.05</t>
  </si>
  <si>
    <t>루마니아학과</t>
  </si>
  <si>
    <t xml:space="preserve">617.5 / </t>
  </si>
  <si>
    <t>22.93</t>
  </si>
  <si>
    <t>49,758</t>
  </si>
  <si>
    <t>348.17</t>
  </si>
  <si>
    <t>22.92</t>
  </si>
  <si>
    <t>49,736</t>
  </si>
  <si>
    <t xml:space="preserve">770.25 / </t>
  </si>
  <si>
    <t>22.97</t>
  </si>
  <si>
    <t>49,845</t>
  </si>
  <si>
    <t>중앙아시아학과</t>
  </si>
  <si>
    <t xml:space="preserve">617.3 / </t>
  </si>
  <si>
    <t>22.99</t>
  </si>
  <si>
    <t>49,888</t>
  </si>
  <si>
    <t>348.10</t>
  </si>
  <si>
    <t>350.92</t>
  </si>
  <si>
    <t xml:space="preserve">172.15 / </t>
  </si>
  <si>
    <t>350.84</t>
  </si>
  <si>
    <t>지역건설공학과</t>
  </si>
  <si>
    <t xml:space="preserve">969.1 / </t>
  </si>
  <si>
    <t>23.00</t>
  </si>
  <si>
    <t>49,910</t>
  </si>
  <si>
    <t>348.08</t>
  </si>
  <si>
    <t>지능형드론융합전공(농어촌)</t>
  </si>
  <si>
    <t>348.06</t>
  </si>
  <si>
    <t>23.07</t>
  </si>
  <si>
    <t>50,062</t>
  </si>
  <si>
    <t xml:space="preserve">638.8 / </t>
  </si>
  <si>
    <t>348.02</t>
  </si>
  <si>
    <t>351.90</t>
  </si>
  <si>
    <t>우크라이나학과</t>
  </si>
  <si>
    <t xml:space="preserve">617.1 / </t>
  </si>
  <si>
    <t>23.09</t>
  </si>
  <si>
    <t>50,105</t>
  </si>
  <si>
    <t>347.98</t>
  </si>
  <si>
    <t>350.81</t>
  </si>
  <si>
    <t xml:space="preserve">686.21 / </t>
  </si>
  <si>
    <t xml:space="preserve">968.38 / </t>
  </si>
  <si>
    <t xml:space="preserve">170 / </t>
  </si>
  <si>
    <t>347.86</t>
  </si>
  <si>
    <t>23.19</t>
  </si>
  <si>
    <t>50,322</t>
  </si>
  <si>
    <t>자연과학대학 자율학부</t>
  </si>
  <si>
    <t xml:space="preserve">638.58 / </t>
  </si>
  <si>
    <t xml:space="preserve">638.6 / </t>
  </si>
  <si>
    <t>23.24</t>
  </si>
  <si>
    <t>50,431</t>
  </si>
  <si>
    <t>347.82</t>
  </si>
  <si>
    <t>351.67</t>
  </si>
  <si>
    <t xml:space="preserve">414.2 / </t>
  </si>
  <si>
    <t>347.83</t>
  </si>
  <si>
    <t>일어교육과</t>
  </si>
  <si>
    <t>23.23</t>
  </si>
  <si>
    <t>50,409</t>
  </si>
  <si>
    <t>바이오-로봇시스템공학과</t>
  </si>
  <si>
    <t>23.31</t>
  </si>
  <si>
    <t>50,583</t>
  </si>
  <si>
    <t xml:space="preserve">968.98 / </t>
  </si>
  <si>
    <t>347.75</t>
  </si>
  <si>
    <t>건설환경공학전공</t>
  </si>
  <si>
    <t xml:space="preserve">767.5 / </t>
  </si>
  <si>
    <t xml:space="preserve">79.1 / </t>
  </si>
  <si>
    <t>347.84</t>
  </si>
  <si>
    <t>농업경제학과</t>
  </si>
  <si>
    <t xml:space="preserve">968.29 / </t>
  </si>
  <si>
    <t>아프리카학부</t>
  </si>
  <si>
    <t xml:space="preserve">616.4 / </t>
  </si>
  <si>
    <t>23.40</t>
  </si>
  <si>
    <t>50,778</t>
  </si>
  <si>
    <t>347.64</t>
  </si>
  <si>
    <t>351.46</t>
  </si>
  <si>
    <t xml:space="preserve">79.05 / </t>
  </si>
  <si>
    <t>347.60</t>
  </si>
  <si>
    <t>초등교육학부</t>
  </si>
  <si>
    <t xml:space="preserve">802.82 / </t>
  </si>
  <si>
    <t xml:space="preserve"> 미/기/과탐(Ⅰ,Ⅱ)/과탐(Ⅱ,Ⅱ) 5%가산</t>
  </si>
  <si>
    <t>347.71</t>
  </si>
  <si>
    <t xml:space="preserve">968.24 / </t>
  </si>
  <si>
    <t xml:space="preserve">79 / </t>
  </si>
  <si>
    <t>347.56</t>
  </si>
  <si>
    <t>식품공학부(식품공학)</t>
  </si>
  <si>
    <t>348.24</t>
  </si>
  <si>
    <t xml:space="preserve">319.08 / </t>
  </si>
  <si>
    <t>23.59</t>
  </si>
  <si>
    <t>51,190</t>
  </si>
  <si>
    <t>347.43</t>
  </si>
  <si>
    <t xml:space="preserve">861.141 / </t>
  </si>
  <si>
    <t>23.72</t>
  </si>
  <si>
    <t>51,472</t>
  </si>
  <si>
    <t>347.29</t>
  </si>
  <si>
    <t xml:space="preserve">78.85 / </t>
  </si>
  <si>
    <t>23.73</t>
  </si>
  <si>
    <t>51,494</t>
  </si>
  <si>
    <t>347.28</t>
  </si>
  <si>
    <t xml:space="preserve">764.5 / </t>
  </si>
  <si>
    <t xml:space="preserve">171.51 / </t>
  </si>
  <si>
    <t>347.27</t>
  </si>
  <si>
    <t>347.36</t>
  </si>
  <si>
    <t>그리스․불가리아학과</t>
  </si>
  <si>
    <t xml:space="preserve">615.5 / </t>
  </si>
  <si>
    <t>원예과학과</t>
  </si>
  <si>
    <t xml:space="preserve">637.62 / </t>
  </si>
  <si>
    <t>347.23</t>
  </si>
  <si>
    <t>347.31</t>
  </si>
  <si>
    <t>한국학과</t>
  </si>
  <si>
    <t xml:space="preserve">615.4 / </t>
  </si>
  <si>
    <t>347.22</t>
  </si>
  <si>
    <t>인문사회계열(농어촌)</t>
  </si>
  <si>
    <t xml:space="preserve">668.16 / </t>
  </si>
  <si>
    <t>23.80</t>
  </si>
  <si>
    <t>51,646</t>
  </si>
  <si>
    <t>347.20</t>
  </si>
  <si>
    <t>349.90</t>
  </si>
  <si>
    <t xml:space="preserve">764 / </t>
  </si>
  <si>
    <t>23.88</t>
  </si>
  <si>
    <t>51,820</t>
  </si>
  <si>
    <t>347.10</t>
  </si>
  <si>
    <t>생명자원공학부(동물생명공학)</t>
  </si>
  <si>
    <t xml:space="preserve">706.6 / </t>
  </si>
  <si>
    <t>23.90</t>
  </si>
  <si>
    <t>51,863</t>
  </si>
  <si>
    <t>347.08</t>
  </si>
  <si>
    <t xml:space="preserve">763.25 / </t>
  </si>
  <si>
    <t>23.85</t>
  </si>
  <si>
    <t>51,755</t>
  </si>
  <si>
    <t>347.14</t>
  </si>
  <si>
    <t>인문사회융합학부</t>
  </si>
  <si>
    <t>347.07</t>
  </si>
  <si>
    <t xml:space="preserve">171.66 / </t>
  </si>
  <si>
    <t>23.93</t>
  </si>
  <si>
    <t>51,928</t>
  </si>
  <si>
    <t>347.04</t>
  </si>
  <si>
    <t xml:space="preserve">855.41 / </t>
  </si>
  <si>
    <t>23.95</t>
  </si>
  <si>
    <t>51,972</t>
  </si>
  <si>
    <t>347.02</t>
  </si>
  <si>
    <t>350.64</t>
  </si>
  <si>
    <t xml:space="preserve">78.7 / </t>
  </si>
  <si>
    <t>346.96</t>
  </si>
  <si>
    <t>환경공학전공</t>
  </si>
  <si>
    <t>346.87</t>
  </si>
  <si>
    <t>346.91</t>
  </si>
  <si>
    <t xml:space="preserve">411.75 / </t>
  </si>
  <si>
    <t>24.11</t>
  </si>
  <si>
    <t>52,319</t>
  </si>
  <si>
    <t>독일언어문화학과</t>
  </si>
  <si>
    <t xml:space="preserve">967.9 / </t>
  </si>
  <si>
    <t xml:space="preserve">171.25 / </t>
  </si>
  <si>
    <t>346.82</t>
  </si>
  <si>
    <t>유기재료공학과</t>
  </si>
  <si>
    <t xml:space="preserve">171.54 / </t>
  </si>
  <si>
    <t>24.20</t>
  </si>
  <si>
    <t>52,514</t>
  </si>
  <si>
    <t>346.75</t>
  </si>
  <si>
    <t>자연생명계열(농어촌)</t>
  </si>
  <si>
    <t xml:space="preserve">688.37 / </t>
  </si>
  <si>
    <t xml:space="preserve">859.528 / </t>
  </si>
  <si>
    <t>346.58</t>
  </si>
  <si>
    <t>24.38</t>
  </si>
  <si>
    <t>52,905</t>
  </si>
  <si>
    <t>문화와사회 융합전공</t>
  </si>
  <si>
    <t xml:space="preserve">171.1 / </t>
  </si>
  <si>
    <t>24.41</t>
  </si>
  <si>
    <t>52,970</t>
  </si>
  <si>
    <t xml:space="preserve">636.44 / </t>
  </si>
  <si>
    <t>아동복지학과</t>
  </si>
  <si>
    <t xml:space="preserve">967.76 / </t>
  </si>
  <si>
    <t>24.52</t>
  </si>
  <si>
    <t>53,208</t>
  </si>
  <si>
    <t>346.42</t>
  </si>
  <si>
    <t xml:space="preserve">862.219 / </t>
  </si>
  <si>
    <t>24.55</t>
  </si>
  <si>
    <t>53,274</t>
  </si>
  <si>
    <t>346.39</t>
  </si>
  <si>
    <t>예술공학부</t>
  </si>
  <si>
    <t xml:space="preserve">704.8 / </t>
  </si>
  <si>
    <t xml:space="preserve">78.3 / </t>
  </si>
  <si>
    <t>24.64</t>
  </si>
  <si>
    <t>53,469</t>
  </si>
  <si>
    <t>346.29</t>
  </si>
  <si>
    <t>348.79</t>
  </si>
  <si>
    <t xml:space="preserve">171.29 / </t>
  </si>
  <si>
    <t>24.72</t>
  </si>
  <si>
    <t>53,642</t>
  </si>
  <si>
    <t>346.20</t>
  </si>
  <si>
    <t>348.69</t>
  </si>
  <si>
    <t>346.15</t>
  </si>
  <si>
    <t>저소득층</t>
  </si>
  <si>
    <t xml:space="preserve">774.3 / </t>
  </si>
  <si>
    <t>세르비아․크로아티아학과</t>
  </si>
  <si>
    <t>24.83</t>
  </si>
  <si>
    <t>53,881</t>
  </si>
  <si>
    <t xml:space="preserve">170.85 / </t>
  </si>
  <si>
    <t>24.86</t>
  </si>
  <si>
    <t>53,946</t>
  </si>
  <si>
    <t xml:space="preserve">756.5 / </t>
  </si>
  <si>
    <t>24.97</t>
  </si>
  <si>
    <t>54,185</t>
  </si>
  <si>
    <t>345.94</t>
  </si>
  <si>
    <t xml:space="preserve">858.281 / </t>
  </si>
  <si>
    <t>345.83</t>
  </si>
  <si>
    <t xml:space="preserve">170.72 / </t>
  </si>
  <si>
    <t>25.05</t>
  </si>
  <si>
    <t>54,359</t>
  </si>
  <si>
    <t>345.85</t>
  </si>
  <si>
    <t>광메카트로닉스공학과</t>
  </si>
  <si>
    <t>345.84</t>
  </si>
  <si>
    <t>생명자원공학부(식물생명공학)</t>
  </si>
  <si>
    <t xml:space="preserve">703.9 / </t>
  </si>
  <si>
    <t>24.53</t>
  </si>
  <si>
    <t>53,230</t>
  </si>
  <si>
    <t>345.73</t>
  </si>
  <si>
    <t xml:space="preserve">317.31 / </t>
  </si>
  <si>
    <t>25.29</t>
  </si>
  <si>
    <t>54,879</t>
  </si>
  <si>
    <t>345.60</t>
  </si>
  <si>
    <t xml:space="preserve">443.6 / </t>
  </si>
  <si>
    <t>345.47</t>
  </si>
  <si>
    <t>348.74</t>
  </si>
  <si>
    <t xml:space="preserve">170.53 / </t>
  </si>
  <si>
    <t>25.31</t>
  </si>
  <si>
    <t>54,923</t>
  </si>
  <si>
    <t>345.58</t>
  </si>
  <si>
    <t>전자바이오물리학과</t>
  </si>
  <si>
    <t xml:space="preserve">682.42 / </t>
  </si>
  <si>
    <t>25.30</t>
  </si>
  <si>
    <t>54,901</t>
  </si>
  <si>
    <t>경상호텔관광계열(농어촌)</t>
  </si>
  <si>
    <t xml:space="preserve">665.57 / </t>
  </si>
  <si>
    <t xml:space="preserve">857.091 / </t>
  </si>
  <si>
    <t xml:space="preserve">668.25 / </t>
  </si>
  <si>
    <t>345.21</t>
  </si>
  <si>
    <t>프랑스언어문화학과</t>
  </si>
  <si>
    <t xml:space="preserve">967.25 / </t>
  </si>
  <si>
    <t>25.56</t>
  </si>
  <si>
    <t>55,465</t>
  </si>
  <si>
    <t xml:space="preserve">77.7 / </t>
  </si>
  <si>
    <t>25.74</t>
  </si>
  <si>
    <t>55,856</t>
  </si>
  <si>
    <t>345.12</t>
  </si>
  <si>
    <t xml:space="preserve">967.21 / </t>
  </si>
  <si>
    <t xml:space="preserve">856.694 / </t>
  </si>
  <si>
    <t>25.61</t>
  </si>
  <si>
    <t>55,574</t>
  </si>
  <si>
    <t>작업치료학과</t>
  </si>
  <si>
    <t xml:space="preserve">638.74 / </t>
  </si>
  <si>
    <t>345.27</t>
  </si>
  <si>
    <t>전자재료공학과(기회균형)</t>
  </si>
  <si>
    <t xml:space="preserve">681.92 / </t>
  </si>
  <si>
    <t>25.63</t>
  </si>
  <si>
    <t>55,617</t>
  </si>
  <si>
    <t>로봇학부정보제어‧지능시스템전공</t>
  </si>
  <si>
    <t xml:space="preserve">681.87 / </t>
  </si>
  <si>
    <t>전자정보자율전공학부</t>
  </si>
  <si>
    <t xml:space="preserve">968.01 / </t>
  </si>
  <si>
    <t>25.77</t>
  </si>
  <si>
    <t>55,921</t>
  </si>
  <si>
    <t>345.09</t>
  </si>
  <si>
    <t>344.88</t>
  </si>
  <si>
    <t>체코․슬로바키아학과</t>
  </si>
  <si>
    <t xml:space="preserve">611.8 / </t>
  </si>
  <si>
    <t>345.06</t>
  </si>
  <si>
    <t>환경에너지공학과</t>
  </si>
  <si>
    <t xml:space="preserve">859.718 / </t>
  </si>
  <si>
    <t>344.84</t>
  </si>
  <si>
    <t>러시아언어문화학과</t>
  </si>
  <si>
    <t xml:space="preserve">967.1 / </t>
  </si>
  <si>
    <t>25.83</t>
  </si>
  <si>
    <t>56,051</t>
  </si>
  <si>
    <t>345.03</t>
  </si>
  <si>
    <t xml:space="preserve">170.7 / </t>
  </si>
  <si>
    <t>26.06</t>
  </si>
  <si>
    <t>56,550</t>
  </si>
  <si>
    <t>344.79</t>
  </si>
  <si>
    <t xml:space="preserve">856.071 / </t>
  </si>
  <si>
    <t>344.98</t>
  </si>
  <si>
    <t>344.78</t>
  </si>
  <si>
    <t>자유전공학부(인문계열)</t>
  </si>
  <si>
    <t xml:space="preserve">406.7 / </t>
  </si>
  <si>
    <t>344.94</t>
  </si>
  <si>
    <t xml:space="preserve">406.6 / </t>
  </si>
  <si>
    <t>344.66</t>
  </si>
  <si>
    <t xml:space="preserve">855.813 / </t>
  </si>
  <si>
    <t>344.62</t>
  </si>
  <si>
    <t xml:space="preserve">170.09 / </t>
  </si>
  <si>
    <t xml:space="preserve">748.5 / </t>
  </si>
  <si>
    <t>26.04</t>
  </si>
  <si>
    <t>56,507</t>
  </si>
  <si>
    <t>344.82</t>
  </si>
  <si>
    <t>344.57</t>
  </si>
  <si>
    <t xml:space="preserve">855.627 / </t>
  </si>
  <si>
    <t>환경생명화학과</t>
  </si>
  <si>
    <t xml:space="preserve">967.89 / </t>
  </si>
  <si>
    <t>식품공학부(식품영양)</t>
  </si>
  <si>
    <t xml:space="preserve">701.7 / </t>
  </si>
  <si>
    <t>26.07</t>
  </si>
  <si>
    <t>56,572</t>
  </si>
  <si>
    <t>천문우주과학과</t>
  </si>
  <si>
    <t xml:space="preserve">170.58 / </t>
  </si>
  <si>
    <t>344.52</t>
  </si>
  <si>
    <t>26.18</t>
  </si>
  <si>
    <t>56,811</t>
  </si>
  <si>
    <t>344.67</t>
  </si>
  <si>
    <t xml:space="preserve">850.95 / </t>
  </si>
  <si>
    <t>344.61</t>
  </si>
  <si>
    <t>생명과학기술학부</t>
  </si>
  <si>
    <t xml:space="preserve">858.881 / </t>
  </si>
  <si>
    <t>26.42</t>
  </si>
  <si>
    <t>57,331</t>
  </si>
  <si>
    <t>344.43</t>
  </si>
  <si>
    <t>346.50</t>
  </si>
  <si>
    <t xml:space="preserve">858.553 / </t>
  </si>
  <si>
    <t>26.43</t>
  </si>
  <si>
    <t>57,353</t>
  </si>
  <si>
    <t>344.41</t>
  </si>
  <si>
    <t>반도체공학부</t>
  </si>
  <si>
    <t xml:space="preserve">967.75 / </t>
  </si>
  <si>
    <t>26.46</t>
  </si>
  <si>
    <t>57,418</t>
  </si>
  <si>
    <t>344.38</t>
  </si>
  <si>
    <t>정보통신공학부</t>
  </si>
  <si>
    <t xml:space="preserve">967.74 / </t>
  </si>
  <si>
    <t>26.73</t>
  </si>
  <si>
    <t>58,004</t>
  </si>
  <si>
    <t>344.10</t>
  </si>
  <si>
    <t xml:space="preserve">169.82 / </t>
  </si>
  <si>
    <t>344.09</t>
  </si>
  <si>
    <t xml:space="preserve">632.81 / </t>
  </si>
  <si>
    <t>26.51</t>
  </si>
  <si>
    <t>57,527</t>
  </si>
  <si>
    <t>344.33</t>
  </si>
  <si>
    <t>344.03</t>
  </si>
  <si>
    <t>법학부(기회균형)</t>
  </si>
  <si>
    <t xml:space="preserve">666.45 / </t>
  </si>
  <si>
    <t>343.89</t>
  </si>
  <si>
    <t xml:space="preserve">169.71 / </t>
  </si>
  <si>
    <t>344.17</t>
  </si>
  <si>
    <t>공학자율전공학부</t>
  </si>
  <si>
    <t xml:space="preserve">967.66 / </t>
  </si>
  <si>
    <t>343.83</t>
  </si>
  <si>
    <t>346.71</t>
  </si>
  <si>
    <t xml:space="preserve">846.17 / </t>
  </si>
  <si>
    <t>344.15</t>
  </si>
  <si>
    <t>343.84</t>
  </si>
  <si>
    <t>346.57</t>
  </si>
  <si>
    <t xml:space="preserve">610.6 / </t>
  </si>
  <si>
    <t>자율운항시스템공학과</t>
  </si>
  <si>
    <t xml:space="preserve">170.26 / </t>
  </si>
  <si>
    <t>26.74</t>
  </si>
  <si>
    <t>58,026</t>
  </si>
  <si>
    <t xml:space="preserve">632.65 / </t>
  </si>
  <si>
    <t>26.78</t>
  </si>
  <si>
    <t>58,113</t>
  </si>
  <si>
    <t>346.01</t>
  </si>
  <si>
    <t xml:space="preserve">967.62 / </t>
  </si>
  <si>
    <t>26.82</t>
  </si>
  <si>
    <t>58,199</t>
  </si>
  <si>
    <t>344.01</t>
  </si>
  <si>
    <t>345.95</t>
  </si>
  <si>
    <t xml:space="preserve">967.6 / </t>
  </si>
  <si>
    <t>26.81</t>
  </si>
  <si>
    <t>58,178</t>
  </si>
  <si>
    <t>344.02</t>
  </si>
  <si>
    <t xml:space="preserve">392.95 / </t>
  </si>
  <si>
    <t>26.83</t>
  </si>
  <si>
    <t>58,221</t>
  </si>
  <si>
    <t>344.00</t>
  </si>
  <si>
    <t xml:space="preserve">857.753 / </t>
  </si>
  <si>
    <t>343.62</t>
  </si>
  <si>
    <t xml:space="preserve">169.57 / </t>
  </si>
  <si>
    <t>26.89</t>
  </si>
  <si>
    <t>58,351</t>
  </si>
  <si>
    <t>343.94</t>
  </si>
  <si>
    <t xml:space="preserve">857.636 / </t>
  </si>
  <si>
    <t>26.99</t>
  </si>
  <si>
    <t>58,568</t>
  </si>
  <si>
    <t xml:space="preserve">392.4 / </t>
  </si>
  <si>
    <t>27.02</t>
  </si>
  <si>
    <t>58,633</t>
  </si>
  <si>
    <t>343.45</t>
  </si>
  <si>
    <t xml:space="preserve">403.55 / </t>
  </si>
  <si>
    <t>27.10</t>
  </si>
  <si>
    <t>58,807</t>
  </si>
  <si>
    <t>343.73</t>
  </si>
  <si>
    <t xml:space="preserve">857.243 / </t>
  </si>
  <si>
    <t>343.69</t>
  </si>
  <si>
    <t>컴퓨터공학과(농어촌)</t>
  </si>
  <si>
    <t xml:space="preserve">676.64 / </t>
  </si>
  <si>
    <t>343.66</t>
  </si>
  <si>
    <t>국가전략언어계열</t>
  </si>
  <si>
    <t>343.61</t>
  </si>
  <si>
    <t xml:space="preserve">608.246 / </t>
  </si>
  <si>
    <t>최저578.24 미적/기하 2%가산</t>
  </si>
  <si>
    <t>343.23</t>
  </si>
  <si>
    <t xml:space="preserve">853.036 / </t>
  </si>
  <si>
    <t>27.32</t>
  </si>
  <si>
    <t>59,284</t>
  </si>
  <si>
    <t>343.38</t>
  </si>
  <si>
    <t>342.99</t>
  </si>
  <si>
    <t>공연영상창작학부(사진)</t>
  </si>
  <si>
    <t>27.45</t>
  </si>
  <si>
    <t>59,567</t>
  </si>
  <si>
    <t>343.37</t>
  </si>
  <si>
    <t xml:space="preserve">698.9 / </t>
  </si>
  <si>
    <t>27.58</t>
  </si>
  <si>
    <t>59,849</t>
  </si>
  <si>
    <t>343.25</t>
  </si>
  <si>
    <t xml:space="preserve">402.05 / </t>
  </si>
  <si>
    <t>27.60</t>
  </si>
  <si>
    <t>59,892</t>
  </si>
  <si>
    <t xml:space="preserve">967.31 / </t>
  </si>
  <si>
    <t>27.73</t>
  </si>
  <si>
    <t>60,174</t>
  </si>
  <si>
    <t>343.08</t>
  </si>
  <si>
    <t>27.79</t>
  </si>
  <si>
    <t>60,304</t>
  </si>
  <si>
    <t>343.03</t>
  </si>
  <si>
    <t>344.75</t>
  </si>
  <si>
    <t xml:space="preserve">847.87 / </t>
  </si>
  <si>
    <t>27.81</t>
  </si>
  <si>
    <t>60,348</t>
  </si>
  <si>
    <t>자유전공학부(자연계열)</t>
  </si>
  <si>
    <t xml:space="preserve">389.9 / </t>
  </si>
  <si>
    <t>343.00</t>
  </si>
  <si>
    <t xml:space="preserve">967.23 / </t>
  </si>
  <si>
    <t>28.23</t>
  </si>
  <si>
    <t>61,259</t>
  </si>
  <si>
    <t>342.57</t>
  </si>
  <si>
    <t xml:space="preserve">842.87 / </t>
  </si>
  <si>
    <t>27.83</t>
  </si>
  <si>
    <t>60,391</t>
  </si>
  <si>
    <t>정보통신융합학부</t>
  </si>
  <si>
    <t>27.86</t>
  </si>
  <si>
    <t>60,456</t>
  </si>
  <si>
    <t>342.96</t>
  </si>
  <si>
    <t xml:space="preserve">799.7 / </t>
  </si>
  <si>
    <t xml:space="preserve"> 미/기/과탐(Ⅰ,Ⅱ)/ 과탐(Ⅱ,Ⅱ) 10%가산</t>
  </si>
  <si>
    <t>342.55</t>
  </si>
  <si>
    <t xml:space="preserve">851.709 / </t>
  </si>
  <si>
    <t>342.50</t>
  </si>
  <si>
    <t>고고미술사학과</t>
  </si>
  <si>
    <t xml:space="preserve">966.17 / </t>
  </si>
  <si>
    <t>28.04</t>
  </si>
  <si>
    <t>60,847</t>
  </si>
  <si>
    <t>342.78</t>
  </si>
  <si>
    <t>344.44</t>
  </si>
  <si>
    <t xml:space="preserve">967.15 / </t>
  </si>
  <si>
    <t>공업화학과</t>
  </si>
  <si>
    <t>28.05</t>
  </si>
  <si>
    <t>60,869</t>
  </si>
  <si>
    <t>342.76</t>
  </si>
  <si>
    <t xml:space="preserve">169.63 / </t>
  </si>
  <si>
    <t>28.07</t>
  </si>
  <si>
    <t>60,912</t>
  </si>
  <si>
    <t>342.31</t>
  </si>
  <si>
    <t>경영·회계학부</t>
  </si>
  <si>
    <t xml:space="preserve">400.7 / </t>
  </si>
  <si>
    <t>28.09</t>
  </si>
  <si>
    <t>60,955</t>
  </si>
  <si>
    <t>342.72</t>
  </si>
  <si>
    <t xml:space="preserve">169.61 / </t>
  </si>
  <si>
    <t>28.11</t>
  </si>
  <si>
    <t>60,999</t>
  </si>
  <si>
    <t>342.70</t>
  </si>
  <si>
    <t xml:space="preserve">967.12 / </t>
  </si>
  <si>
    <t>28.17</t>
  </si>
  <si>
    <t>61,129</t>
  </si>
  <si>
    <t xml:space="preserve">855.236 / </t>
  </si>
  <si>
    <t>식물자원학과</t>
  </si>
  <si>
    <t xml:space="preserve">967.07 / </t>
  </si>
  <si>
    <t>27.96</t>
  </si>
  <si>
    <t>60,673</t>
  </si>
  <si>
    <t>342.86</t>
  </si>
  <si>
    <t>융합자율전공학부1</t>
  </si>
  <si>
    <t xml:space="preserve">313.9 / </t>
  </si>
  <si>
    <t>28.34</t>
  </si>
  <si>
    <t>61,498</t>
  </si>
  <si>
    <t>경영학부경영학전공(기회균형)</t>
  </si>
  <si>
    <t xml:space="preserve">663.58 / </t>
  </si>
  <si>
    <t>28.13</t>
  </si>
  <si>
    <t>61,042</t>
  </si>
  <si>
    <t>342.68</t>
  </si>
  <si>
    <t xml:space="preserve">313.74 / </t>
  </si>
  <si>
    <t>28.46</t>
  </si>
  <si>
    <t>61,758</t>
  </si>
  <si>
    <t>AI융합학과</t>
  </si>
  <si>
    <t xml:space="preserve">387.9 / </t>
  </si>
  <si>
    <t>341.79</t>
  </si>
  <si>
    <t xml:space="preserve">850.261 / </t>
  </si>
  <si>
    <t>342.25</t>
  </si>
  <si>
    <t>인문대학[통합모집]</t>
  </si>
  <si>
    <t xml:space="preserve">607.2 / </t>
  </si>
  <si>
    <t>28.95</t>
  </si>
  <si>
    <t>62,822</t>
  </si>
  <si>
    <t xml:space="preserve">168.61 / </t>
  </si>
  <si>
    <t>28.54</t>
  </si>
  <si>
    <t>61,932</t>
  </si>
  <si>
    <t>342.22</t>
  </si>
  <si>
    <t>산림학과</t>
  </si>
  <si>
    <t xml:space="preserve">966.94 / </t>
  </si>
  <si>
    <t>28.60</t>
  </si>
  <si>
    <t>62,062</t>
  </si>
  <si>
    <t>342.15</t>
  </si>
  <si>
    <t xml:space="preserve">169.33 / </t>
  </si>
  <si>
    <t>28.64</t>
  </si>
  <si>
    <t>62,149</t>
  </si>
  <si>
    <t>342.11</t>
  </si>
  <si>
    <t>전기전자공학과</t>
  </si>
  <si>
    <t xml:space="preserve">387.35 / </t>
  </si>
  <si>
    <t>28.65</t>
  </si>
  <si>
    <t>62,171</t>
  </si>
  <si>
    <t>342.10</t>
  </si>
  <si>
    <t>바이오에너지공학과</t>
  </si>
  <si>
    <t xml:space="preserve">854.19 / </t>
  </si>
  <si>
    <t>28.45</t>
  </si>
  <si>
    <t>61,737</t>
  </si>
  <si>
    <t>342.32</t>
  </si>
  <si>
    <t xml:space="preserve">313.4 / </t>
  </si>
  <si>
    <t>28.71</t>
  </si>
  <si>
    <t>62,301</t>
  </si>
  <si>
    <t>342.03</t>
  </si>
  <si>
    <t>스마트시티 건축공학과</t>
  </si>
  <si>
    <t xml:space="preserve">169.27 / </t>
  </si>
  <si>
    <t>341.51</t>
  </si>
  <si>
    <t xml:space="preserve">841.71 / </t>
  </si>
  <si>
    <t>28.75</t>
  </si>
  <si>
    <t>62,388</t>
  </si>
  <si>
    <t xml:space="preserve">966.85 / </t>
  </si>
  <si>
    <t>28.76</t>
  </si>
  <si>
    <t>62,409</t>
  </si>
  <si>
    <t>341.97</t>
  </si>
  <si>
    <t>지능정보융합학과(농어촌)</t>
  </si>
  <si>
    <t>341.37</t>
  </si>
  <si>
    <t>문화인류고고학과</t>
  </si>
  <si>
    <t xml:space="preserve">849.447 / </t>
  </si>
  <si>
    <t>융합바이오시스템기계공학과</t>
  </si>
  <si>
    <t xml:space="preserve">853.565 / </t>
  </si>
  <si>
    <t>341.75</t>
  </si>
  <si>
    <t>AI반도체학부</t>
  </si>
  <si>
    <t xml:space="preserve">626.78 / </t>
  </si>
  <si>
    <t>341.72</t>
  </si>
  <si>
    <t>경상대학[통합모집]</t>
  </si>
  <si>
    <t xml:space="preserve">600.3 / </t>
  </si>
  <si>
    <t>29.09</t>
  </si>
  <si>
    <t>63,125</t>
  </si>
  <si>
    <t>341.62</t>
  </si>
  <si>
    <t>341.11</t>
  </si>
  <si>
    <t>29.58</t>
  </si>
  <si>
    <t>64,189</t>
  </si>
  <si>
    <t>341.08</t>
  </si>
  <si>
    <t xml:space="preserve">848.893 / </t>
  </si>
  <si>
    <t>29.20</t>
  </si>
  <si>
    <t>63,364</t>
  </si>
  <si>
    <t>343.13</t>
  </si>
  <si>
    <t>빅데이터사이언스학부</t>
  </si>
  <si>
    <t xml:space="preserve">840.6 / </t>
  </si>
  <si>
    <t>341.48</t>
  </si>
  <si>
    <t xml:space="preserve">966.66 / </t>
  </si>
  <si>
    <t>29.22</t>
  </si>
  <si>
    <t>63,407</t>
  </si>
  <si>
    <t>341.47</t>
  </si>
  <si>
    <t xml:space="preserve">844.91 / </t>
  </si>
  <si>
    <t>29.24</t>
  </si>
  <si>
    <t>63,451</t>
  </si>
  <si>
    <t>341.45</t>
  </si>
  <si>
    <t>343.11</t>
  </si>
  <si>
    <t xml:space="preserve">396.03 / </t>
  </si>
  <si>
    <t>29.29</t>
  </si>
  <si>
    <t>63,559</t>
  </si>
  <si>
    <t>341.40</t>
  </si>
  <si>
    <t>343.07</t>
  </si>
  <si>
    <t>바이오섬유소재학과</t>
  </si>
  <si>
    <t xml:space="preserve">628.49 / </t>
  </si>
  <si>
    <t>29.30</t>
  </si>
  <si>
    <t>63,581</t>
  </si>
  <si>
    <t>341.38</t>
  </si>
  <si>
    <t>자율융합계열</t>
  </si>
  <si>
    <t xml:space="preserve">632.37 / </t>
  </si>
  <si>
    <t>341.20</t>
  </si>
  <si>
    <t>343.09</t>
  </si>
  <si>
    <t xml:space="preserve">747.8 / </t>
  </si>
  <si>
    <t>29.48</t>
  </si>
  <si>
    <t>63,972</t>
  </si>
  <si>
    <t>특용식물학과</t>
  </si>
  <si>
    <t xml:space="preserve">966.55 / </t>
  </si>
  <si>
    <t>영상문화학과</t>
  </si>
  <si>
    <t xml:space="preserve">396.7 / </t>
  </si>
  <si>
    <t>29.60</t>
  </si>
  <si>
    <t>64,232</t>
  </si>
  <si>
    <t>341.05</t>
  </si>
  <si>
    <t>340.50</t>
  </si>
  <si>
    <t xml:space="preserve">650/900만점 </t>
  </si>
  <si>
    <t>29.68</t>
  </si>
  <si>
    <t>64,406</t>
  </si>
  <si>
    <t>340.97</t>
  </si>
  <si>
    <t>340.98</t>
  </si>
  <si>
    <t xml:space="preserve">394.7 / </t>
  </si>
  <si>
    <t>340.94</t>
  </si>
  <si>
    <t xml:space="preserve">168.73 / </t>
  </si>
  <si>
    <t>29.78</t>
  </si>
  <si>
    <t>64,623</t>
  </si>
  <si>
    <t xml:space="preserve">165 / </t>
  </si>
  <si>
    <t xml:space="preserve">373.5 / </t>
  </si>
  <si>
    <t>340.84</t>
  </si>
  <si>
    <t>농생명융합학부</t>
  </si>
  <si>
    <t xml:space="preserve">173.81 / </t>
  </si>
  <si>
    <t>340.16</t>
  </si>
  <si>
    <t xml:space="preserve">839.14 / </t>
  </si>
  <si>
    <t>29.91</t>
  </si>
  <si>
    <t>64,905</t>
  </si>
  <si>
    <t>340.72</t>
  </si>
  <si>
    <t>340.15</t>
  </si>
  <si>
    <t>행정·심리학부</t>
  </si>
  <si>
    <t xml:space="preserve">395.85 / </t>
  </si>
  <si>
    <t xml:space="preserve">383.55 / </t>
  </si>
  <si>
    <t>30.01</t>
  </si>
  <si>
    <t>65,122</t>
  </si>
  <si>
    <t>340.61</t>
  </si>
  <si>
    <t>경영학부빅데이터경영전공(기회균형)</t>
  </si>
  <si>
    <t xml:space="preserve">660.81 / </t>
  </si>
  <si>
    <t>30.08</t>
  </si>
  <si>
    <t>65,274</t>
  </si>
  <si>
    <t xml:space="preserve">966.3 / </t>
  </si>
  <si>
    <t>지능로봇공학과</t>
  </si>
  <si>
    <t>30.09</t>
  </si>
  <si>
    <t>65,295</t>
  </si>
  <si>
    <t xml:space="preserve">173.64 / </t>
  </si>
  <si>
    <t>30.11</t>
  </si>
  <si>
    <t>65,339</t>
  </si>
  <si>
    <t>340.49</t>
  </si>
  <si>
    <t>342.20</t>
  </si>
  <si>
    <t xml:space="preserve">796.06 / </t>
  </si>
  <si>
    <t xml:space="preserve"> 미/기15%가산 , 과탐(Ⅰ,Ⅱ)/ 과탐(Ⅱ,Ⅱ) 10%가산</t>
  </si>
  <si>
    <t>340.45</t>
  </si>
  <si>
    <t>342.09</t>
  </si>
  <si>
    <t xml:space="preserve">966.27 / </t>
  </si>
  <si>
    <t>30.17</t>
  </si>
  <si>
    <t>65,469</t>
  </si>
  <si>
    <t xml:space="preserve">395.15 / </t>
  </si>
  <si>
    <t>342.27</t>
  </si>
  <si>
    <t xml:space="preserve">846.279 / </t>
  </si>
  <si>
    <t>30.31</t>
  </si>
  <si>
    <t>65,773</t>
  </si>
  <si>
    <t xml:space="preserve">966.2 / </t>
  </si>
  <si>
    <t xml:space="preserve">850.6 / </t>
  </si>
  <si>
    <t>30.38</t>
  </si>
  <si>
    <t>65,925</t>
  </si>
  <si>
    <t>30.39</t>
  </si>
  <si>
    <t>65,946</t>
  </si>
  <si>
    <t>340.17</t>
  </si>
  <si>
    <t>30.43</t>
  </si>
  <si>
    <t>66,033</t>
  </si>
  <si>
    <t>340.13</t>
  </si>
  <si>
    <t>축산학과</t>
  </si>
  <si>
    <t xml:space="preserve">966.15 / </t>
  </si>
  <si>
    <t xml:space="preserve">850.432 / </t>
  </si>
  <si>
    <t>339.47</t>
  </si>
  <si>
    <t xml:space="preserve">845.829 / </t>
  </si>
  <si>
    <t>339.46</t>
  </si>
  <si>
    <t>342.02</t>
  </si>
  <si>
    <t>독일언어문학과</t>
  </si>
  <si>
    <t xml:space="preserve">845.815 / </t>
  </si>
  <si>
    <t>31.09</t>
  </si>
  <si>
    <t>67,465</t>
  </si>
  <si>
    <t>339.40</t>
  </si>
  <si>
    <t xml:space="preserve">845.702 / </t>
  </si>
  <si>
    <t>30.57</t>
  </si>
  <si>
    <t>66,337</t>
  </si>
  <si>
    <t>339.97</t>
  </si>
  <si>
    <t>목재·종이과학과</t>
  </si>
  <si>
    <t xml:space="preserve">966.09 / </t>
  </si>
  <si>
    <t>30.59</t>
  </si>
  <si>
    <t>66,380</t>
  </si>
  <si>
    <t xml:space="preserve">623.88 / </t>
  </si>
  <si>
    <t>339.88</t>
  </si>
  <si>
    <t>경영대학 무전공학과</t>
  </si>
  <si>
    <t xml:space="preserve">393.9 / </t>
  </si>
  <si>
    <t>31.28</t>
  </si>
  <si>
    <t>67,878</t>
  </si>
  <si>
    <t xml:space="preserve">837.33 / </t>
  </si>
  <si>
    <t>30.72</t>
  </si>
  <si>
    <t>66,662</t>
  </si>
  <si>
    <t>339.81</t>
  </si>
  <si>
    <t xml:space="preserve">966.03 / </t>
  </si>
  <si>
    <t>339.09</t>
  </si>
  <si>
    <t xml:space="preserve">845.106 / </t>
  </si>
  <si>
    <t>339.85</t>
  </si>
  <si>
    <t xml:space="preserve">311.12 / </t>
  </si>
  <si>
    <t>디지털밀리터리학과</t>
  </si>
  <si>
    <t xml:space="preserve">380.55 / </t>
  </si>
  <si>
    <t>30.91</t>
  </si>
  <si>
    <t>67,075</t>
  </si>
  <si>
    <t>339.59</t>
  </si>
  <si>
    <t>338.95</t>
  </si>
  <si>
    <t>국제학부(기회균형)</t>
  </si>
  <si>
    <t xml:space="preserve">659.29 / </t>
  </si>
  <si>
    <t>338.85</t>
  </si>
  <si>
    <t>특수교육학부</t>
  </si>
  <si>
    <t xml:space="preserve">844.654 / </t>
  </si>
  <si>
    <t>30.79</t>
  </si>
  <si>
    <t>66,814</t>
  </si>
  <si>
    <t>339.72</t>
  </si>
  <si>
    <t>341.18</t>
  </si>
  <si>
    <t xml:space="preserve">311 / </t>
  </si>
  <si>
    <t>338.83</t>
  </si>
  <si>
    <t>31.06</t>
  </si>
  <si>
    <t>67,400</t>
  </si>
  <si>
    <t>339.43</t>
  </si>
  <si>
    <t>341.06</t>
  </si>
  <si>
    <t xml:space="preserve">849.121 / </t>
  </si>
  <si>
    <t xml:space="preserve">849.053 / </t>
  </si>
  <si>
    <t>338.76</t>
  </si>
  <si>
    <t>341.12</t>
  </si>
  <si>
    <t>미디어커뮤니케이션학부(기회균형)</t>
  </si>
  <si>
    <t xml:space="preserve">659 / </t>
  </si>
  <si>
    <t>31.10</t>
  </si>
  <si>
    <t>67,487</t>
  </si>
  <si>
    <t>339.39</t>
  </si>
  <si>
    <t xml:space="preserve">369.75 / </t>
  </si>
  <si>
    <t>31.19</t>
  </si>
  <si>
    <t>67,682</t>
  </si>
  <si>
    <t>339.30</t>
  </si>
  <si>
    <t>전자.AI시스템공학과</t>
  </si>
  <si>
    <t xml:space="preserve">164 / </t>
  </si>
  <si>
    <t>31.23</t>
  </si>
  <si>
    <t>67,769</t>
  </si>
  <si>
    <t>토목공학부</t>
  </si>
  <si>
    <t xml:space="preserve">965.82 / </t>
  </si>
  <si>
    <t>31.25</t>
  </si>
  <si>
    <t>67,813</t>
  </si>
  <si>
    <t>339.24</t>
  </si>
  <si>
    <t>전자공학과(기회균형)</t>
  </si>
  <si>
    <t xml:space="preserve">672.76 / </t>
  </si>
  <si>
    <t>국제통상학부(기회균형)</t>
  </si>
  <si>
    <t xml:space="preserve">658.69 / </t>
  </si>
  <si>
    <t>31.31</t>
  </si>
  <si>
    <t>67,943</t>
  </si>
  <si>
    <t>340.88</t>
  </si>
  <si>
    <t>국어국문학과(기회균형)</t>
  </si>
  <si>
    <t xml:space="preserve">658.63 / </t>
  </si>
  <si>
    <t>31.41</t>
  </si>
  <si>
    <t>68,160</t>
  </si>
  <si>
    <t>339.07</t>
  </si>
  <si>
    <t xml:space="preserve">965.75 / </t>
  </si>
  <si>
    <t>339.02</t>
  </si>
  <si>
    <t>340.63</t>
  </si>
  <si>
    <t xml:space="preserve">848.348 / </t>
  </si>
  <si>
    <t>31.52</t>
  </si>
  <si>
    <t>68,398</t>
  </si>
  <si>
    <t>행정학과(기회균형)</t>
  </si>
  <si>
    <t xml:space="preserve">658.28 / </t>
  </si>
  <si>
    <t xml:space="preserve">848.167 / </t>
  </si>
  <si>
    <t>31.57</t>
  </si>
  <si>
    <t>68,507</t>
  </si>
  <si>
    <t>338.90</t>
  </si>
  <si>
    <t>338.23</t>
  </si>
  <si>
    <t xml:space="preserve">391.55 / </t>
  </si>
  <si>
    <t>31.59</t>
  </si>
  <si>
    <t>68,550</t>
  </si>
  <si>
    <t>338.88</t>
  </si>
  <si>
    <t>경제·정보통계학부</t>
  </si>
  <si>
    <t xml:space="preserve">391.5 / </t>
  </si>
  <si>
    <t>31.61</t>
  </si>
  <si>
    <t>68,594</t>
  </si>
  <si>
    <t>338.86</t>
  </si>
  <si>
    <t xml:space="preserve">589.235 / </t>
  </si>
  <si>
    <t>최저574 미적/기하 2%가산</t>
  </si>
  <si>
    <t>31.64</t>
  </si>
  <si>
    <t>68,659</t>
  </si>
  <si>
    <t xml:space="preserve">74.15 / </t>
  </si>
  <si>
    <t>31.66</t>
  </si>
  <si>
    <t>68,702</t>
  </si>
  <si>
    <t>338.81</t>
  </si>
  <si>
    <t>동물자원학부</t>
  </si>
  <si>
    <t xml:space="preserve">847.967 / </t>
  </si>
  <si>
    <t>고분자융합소재공학부</t>
  </si>
  <si>
    <t xml:space="preserve">847.952 / </t>
  </si>
  <si>
    <t>농생명화학과</t>
  </si>
  <si>
    <t xml:space="preserve">847.953 / </t>
  </si>
  <si>
    <t>31.69</t>
  </si>
  <si>
    <t>68,767</t>
  </si>
  <si>
    <t>338.78</t>
  </si>
  <si>
    <t xml:space="preserve">640/900만점 </t>
  </si>
  <si>
    <t xml:space="preserve">735.2 / </t>
  </si>
  <si>
    <t>31.75</t>
  </si>
  <si>
    <t>68,898</t>
  </si>
  <si>
    <t>338.72</t>
  </si>
  <si>
    <t xml:space="preserve">391.1 / </t>
  </si>
  <si>
    <t>빅데이터융합학과</t>
  </si>
  <si>
    <t xml:space="preserve">847.742 / </t>
  </si>
  <si>
    <t>31.83</t>
  </si>
  <si>
    <t>69,071</t>
  </si>
  <si>
    <t>응용생물학과</t>
  </si>
  <si>
    <t xml:space="preserve">847.645 / </t>
  </si>
  <si>
    <t>32.51</t>
  </si>
  <si>
    <t>70,547</t>
  </si>
  <si>
    <t>337.93</t>
  </si>
  <si>
    <t xml:space="preserve">834.88 / </t>
  </si>
  <si>
    <t>31.91</t>
  </si>
  <si>
    <t>69,245</t>
  </si>
  <si>
    <t>바이오산업기계공학과</t>
  </si>
  <si>
    <t xml:space="preserve">660 / </t>
  </si>
  <si>
    <t>31.92</t>
  </si>
  <si>
    <t>69,266</t>
  </si>
  <si>
    <t>338.54</t>
  </si>
  <si>
    <t xml:space="preserve">965.55 / </t>
  </si>
  <si>
    <t>31.94</t>
  </si>
  <si>
    <t>69,310</t>
  </si>
  <si>
    <t>338.52</t>
  </si>
  <si>
    <t>화학·생화학부</t>
  </si>
  <si>
    <t xml:space="preserve">377.6 / </t>
  </si>
  <si>
    <t>32.01</t>
  </si>
  <si>
    <t>69,462</t>
  </si>
  <si>
    <t>338.45</t>
  </si>
  <si>
    <t>산림자원학과</t>
  </si>
  <si>
    <t xml:space="preserve">847.291 / </t>
  </si>
  <si>
    <t>분자생명과학과</t>
  </si>
  <si>
    <t>32.14</t>
  </si>
  <si>
    <t>69,744</t>
  </si>
  <si>
    <t>생명정보융합학과</t>
  </si>
  <si>
    <t xml:space="preserve">167.46 / </t>
  </si>
  <si>
    <t>32.13</t>
  </si>
  <si>
    <t>69,722</t>
  </si>
  <si>
    <t>338.33</t>
  </si>
  <si>
    <t>제약공학과</t>
  </si>
  <si>
    <t xml:space="preserve">838.95 / </t>
  </si>
  <si>
    <t xml:space="preserve">377.05 / </t>
  </si>
  <si>
    <t>32.03</t>
  </si>
  <si>
    <t>69,505</t>
  </si>
  <si>
    <t>338.43</t>
  </si>
  <si>
    <t>337.56</t>
  </si>
  <si>
    <t>문화창의학부</t>
  </si>
  <si>
    <t>생물교육전공</t>
  </si>
  <si>
    <t xml:space="preserve">752.56 / </t>
  </si>
  <si>
    <t>338.22</t>
  </si>
  <si>
    <t>응용식물학과</t>
  </si>
  <si>
    <t xml:space="preserve">846.863 / </t>
  </si>
  <si>
    <t>337.44</t>
  </si>
  <si>
    <t>339.99</t>
  </si>
  <si>
    <t xml:space="preserve">841.928 / </t>
  </si>
  <si>
    <t>32.32</t>
  </si>
  <si>
    <t>70,134</t>
  </si>
  <si>
    <t>339.76</t>
  </si>
  <si>
    <t xml:space="preserve">965.4 / </t>
  </si>
  <si>
    <t>32.34</t>
  </si>
  <si>
    <t>70,178</t>
  </si>
  <si>
    <t>339.79</t>
  </si>
  <si>
    <t>생태조경디자인학과</t>
  </si>
  <si>
    <t xml:space="preserve">386.6 / </t>
  </si>
  <si>
    <t>339.63</t>
  </si>
  <si>
    <t xml:space="preserve">389.45 / </t>
  </si>
  <si>
    <t>32.42</t>
  </si>
  <si>
    <t>70,351</t>
  </si>
  <si>
    <t>338.03</t>
  </si>
  <si>
    <t>화학공학과(기회균형)</t>
  </si>
  <si>
    <t xml:space="preserve">670.9 / </t>
  </si>
  <si>
    <t>32.48</t>
  </si>
  <si>
    <t>70,482</t>
  </si>
  <si>
    <t>337.97</t>
  </si>
  <si>
    <t>디지털헬스케어학부</t>
  </si>
  <si>
    <t xml:space="preserve">620.68 / </t>
  </si>
  <si>
    <t>32.52</t>
  </si>
  <si>
    <t>70,568</t>
  </si>
  <si>
    <t xml:space="preserve">389.15 / </t>
  </si>
  <si>
    <t>33.22</t>
  </si>
  <si>
    <t>72,087</t>
  </si>
  <si>
    <t>337.19</t>
  </si>
  <si>
    <t xml:space="preserve">166.28 / </t>
  </si>
  <si>
    <t>32.53</t>
  </si>
  <si>
    <t>70,590</t>
  </si>
  <si>
    <t>337.91</t>
  </si>
  <si>
    <t xml:space="preserve">386.03 / </t>
  </si>
  <si>
    <t>32.60</t>
  </si>
  <si>
    <t>70,742</t>
  </si>
  <si>
    <t xml:space="preserve">846.15 / </t>
  </si>
  <si>
    <t>337.81</t>
  </si>
  <si>
    <t>339.44</t>
  </si>
  <si>
    <t>원예생명공학과</t>
  </si>
  <si>
    <t xml:space="preserve">846.108 / </t>
  </si>
  <si>
    <t>32.63</t>
  </si>
  <si>
    <t>70,807</t>
  </si>
  <si>
    <t>337.80</t>
  </si>
  <si>
    <t>생물의소재공학과</t>
  </si>
  <si>
    <t xml:space="preserve">375.6 / </t>
  </si>
  <si>
    <t>32.67</t>
  </si>
  <si>
    <t>70,894</t>
  </si>
  <si>
    <t>337.76</t>
  </si>
  <si>
    <t>식품영양과학부</t>
  </si>
  <si>
    <t xml:space="preserve">846.006 / </t>
  </si>
  <si>
    <t xml:space="preserve">846.011 / </t>
  </si>
  <si>
    <t xml:space="preserve">388.75 / </t>
  </si>
  <si>
    <t>33.40</t>
  </si>
  <si>
    <t>72,478</t>
  </si>
  <si>
    <t>337.00</t>
  </si>
  <si>
    <t xml:space="preserve">515 / </t>
  </si>
  <si>
    <t>32.73</t>
  </si>
  <si>
    <t>71,024</t>
  </si>
  <si>
    <t>337.70</t>
  </si>
  <si>
    <t>339.20</t>
  </si>
  <si>
    <t xml:space="preserve">388.6 / </t>
  </si>
  <si>
    <t>바이오시스템공학과</t>
  </si>
  <si>
    <t xml:space="preserve">965.22 / </t>
  </si>
  <si>
    <t>32.80</t>
  </si>
  <si>
    <t>71,176</t>
  </si>
  <si>
    <t>337.63</t>
  </si>
  <si>
    <t>동물산업융합학과</t>
  </si>
  <si>
    <t xml:space="preserve">385.25 / </t>
  </si>
  <si>
    <t xml:space="preserve">309.24 / </t>
  </si>
  <si>
    <t>336.89</t>
  </si>
  <si>
    <t xml:space="preserve">840.856 / </t>
  </si>
  <si>
    <t>337.60</t>
  </si>
  <si>
    <t xml:space="preserve">728.9 / </t>
  </si>
  <si>
    <t>32.86</t>
  </si>
  <si>
    <t>71,306</t>
  </si>
  <si>
    <t>337.57</t>
  </si>
  <si>
    <t>건설공학교육과</t>
  </si>
  <si>
    <t xml:space="preserve">172.18 / </t>
  </si>
  <si>
    <t>32.87</t>
  </si>
  <si>
    <t>71,328</t>
  </si>
  <si>
    <t>지역·바이오시스템공학과</t>
  </si>
  <si>
    <t xml:space="preserve">845.648 / </t>
  </si>
  <si>
    <t>32.75</t>
  </si>
  <si>
    <t>71,068</t>
  </si>
  <si>
    <t>337.68</t>
  </si>
  <si>
    <t>정부행정학부</t>
  </si>
  <si>
    <t xml:space="preserve">832.5 / </t>
  </si>
  <si>
    <t>기계의용·메카트로닉스공학과</t>
  </si>
  <si>
    <t xml:space="preserve">374.7 / </t>
  </si>
  <si>
    <t>32.96</t>
  </si>
  <si>
    <t>71,523</t>
  </si>
  <si>
    <t>생화학과</t>
  </si>
  <si>
    <t xml:space="preserve">167.05 / </t>
  </si>
  <si>
    <t>32.97</t>
  </si>
  <si>
    <t>71,545</t>
  </si>
  <si>
    <t>337.45</t>
  </si>
  <si>
    <t>건축학과(5년)</t>
  </si>
  <si>
    <t xml:space="preserve">778.55 / </t>
  </si>
  <si>
    <t>33.02</t>
  </si>
  <si>
    <t>71,653</t>
  </si>
  <si>
    <t>바이오환경에너지학과</t>
  </si>
  <si>
    <t xml:space="preserve">658.5 / </t>
  </si>
  <si>
    <t>33.06</t>
  </si>
  <si>
    <t>71,740</t>
  </si>
  <si>
    <t>337.35</t>
  </si>
  <si>
    <t xml:space="preserve">167 / </t>
  </si>
  <si>
    <t>33.07</t>
  </si>
  <si>
    <t>71,762</t>
  </si>
  <si>
    <t>337.34</t>
  </si>
  <si>
    <t>농업생명과학대학 무전공학과</t>
  </si>
  <si>
    <t xml:space="preserve">384.43 / </t>
  </si>
  <si>
    <t>33.15</t>
  </si>
  <si>
    <t>71,936</t>
  </si>
  <si>
    <t>337.26</t>
  </si>
  <si>
    <t xml:space="preserve">845.087 / </t>
  </si>
  <si>
    <t>337.25</t>
  </si>
  <si>
    <t xml:space="preserve">965.07 / </t>
  </si>
  <si>
    <t>생물자원과학부</t>
  </si>
  <si>
    <t xml:space="preserve">384.18 / </t>
  </si>
  <si>
    <t>33.18</t>
  </si>
  <si>
    <t>72,001</t>
  </si>
  <si>
    <t>337.23</t>
  </si>
  <si>
    <t>환경융합학부</t>
  </si>
  <si>
    <t xml:space="preserve">384.13 / </t>
  </si>
  <si>
    <t>338.74</t>
  </si>
  <si>
    <t>생명건강공학과</t>
  </si>
  <si>
    <t xml:space="preserve">373.95 / </t>
  </si>
  <si>
    <t>원예·농업자원경제학부</t>
  </si>
  <si>
    <t xml:space="preserve">384 / </t>
  </si>
  <si>
    <t>33.26</t>
  </si>
  <si>
    <t>72,174</t>
  </si>
  <si>
    <t>337.15</t>
  </si>
  <si>
    <t>동북아문화산업학부(기회균형)</t>
  </si>
  <si>
    <t xml:space="preserve">655.49 / </t>
  </si>
  <si>
    <t>337.48</t>
  </si>
  <si>
    <t xml:space="preserve">308.79 / </t>
  </si>
  <si>
    <t>33.33</t>
  </si>
  <si>
    <t>72,326</t>
  </si>
  <si>
    <t>화공·생물공학부</t>
  </si>
  <si>
    <t xml:space="preserve">373.65 / </t>
  </si>
  <si>
    <t>336.30</t>
  </si>
  <si>
    <t>338.62</t>
  </si>
  <si>
    <t xml:space="preserve">831.75 / </t>
  </si>
  <si>
    <t xml:space="preserve">831.76 / </t>
  </si>
  <si>
    <t>33.43</t>
  </si>
  <si>
    <t>72,543</t>
  </si>
  <si>
    <t>336.97</t>
  </si>
  <si>
    <t xml:space="preserve">619.1 / </t>
  </si>
  <si>
    <t>33.48</t>
  </si>
  <si>
    <t>72,652</t>
  </si>
  <si>
    <t>336.92</t>
  </si>
  <si>
    <t xml:space="preserve">621.17 / </t>
  </si>
  <si>
    <t>기계공학교육과</t>
  </si>
  <si>
    <t xml:space="preserve">171.85 / </t>
  </si>
  <si>
    <t>33.58</t>
  </si>
  <si>
    <t>72,869</t>
  </si>
  <si>
    <t>336.82</t>
  </si>
  <si>
    <t xml:space="preserve">836.13 / </t>
  </si>
  <si>
    <t>34.35</t>
  </si>
  <si>
    <t>74,540</t>
  </si>
  <si>
    <t>336.00</t>
  </si>
  <si>
    <t xml:space="preserve">324.5 / </t>
  </si>
  <si>
    <t>33.67</t>
  </si>
  <si>
    <t>73,064</t>
  </si>
  <si>
    <t>336.72</t>
  </si>
  <si>
    <t>건축·토목·환경공학부</t>
  </si>
  <si>
    <t xml:space="preserve">372.65 / </t>
  </si>
  <si>
    <t>335.92</t>
  </si>
  <si>
    <t xml:space="preserve">831.03 / </t>
  </si>
  <si>
    <t>33.75</t>
  </si>
  <si>
    <t>73,238</t>
  </si>
  <si>
    <t>336.64</t>
  </si>
  <si>
    <t xml:space="preserve">835.78 / </t>
  </si>
  <si>
    <t>33.78</t>
  </si>
  <si>
    <t>73,303</t>
  </si>
  <si>
    <t>336.61</t>
  </si>
  <si>
    <t>337.99</t>
  </si>
  <si>
    <t>목재·종이과학부</t>
  </si>
  <si>
    <t xml:space="preserve">382.35 / </t>
  </si>
  <si>
    <t>33.79</t>
  </si>
  <si>
    <t>73,324</t>
  </si>
  <si>
    <t>반도체시스템공학부(기회균형)</t>
  </si>
  <si>
    <t xml:space="preserve">668.79 / </t>
  </si>
  <si>
    <t>33.44</t>
  </si>
  <si>
    <t>72,565</t>
  </si>
  <si>
    <t>융합자율전공학부2</t>
  </si>
  <si>
    <t xml:space="preserve">308.28 / </t>
  </si>
  <si>
    <t>33.84</t>
  </si>
  <si>
    <t>73,433</t>
  </si>
  <si>
    <t>336.55</t>
  </si>
  <si>
    <t>동물응용과학과</t>
  </si>
  <si>
    <t xml:space="preserve">382.18 / </t>
  </si>
  <si>
    <t>33.96</t>
  </si>
  <si>
    <t>73,693</t>
  </si>
  <si>
    <t>336.42</t>
  </si>
  <si>
    <t>스마트산업공학과</t>
  </si>
  <si>
    <t xml:space="preserve">371.85 / </t>
  </si>
  <si>
    <t>34.05</t>
  </si>
  <si>
    <t>73,889</t>
  </si>
  <si>
    <t>336.32</t>
  </si>
  <si>
    <t>지질·지구물리학부</t>
  </si>
  <si>
    <t xml:space="preserve">371.6 / </t>
  </si>
  <si>
    <t>33.81</t>
  </si>
  <si>
    <t>73,368</t>
  </si>
  <si>
    <t>336.57</t>
  </si>
  <si>
    <t>융합경영학부</t>
  </si>
  <si>
    <t xml:space="preserve">830.1 / </t>
  </si>
  <si>
    <t>336.27</t>
  </si>
  <si>
    <t>전자융합공학과(기회균형)</t>
  </si>
  <si>
    <t xml:space="preserve">668.34 / </t>
  </si>
  <si>
    <t>34.15</t>
  </si>
  <si>
    <t>74,106</t>
  </si>
  <si>
    <t>336.22</t>
  </si>
  <si>
    <t>건축학과(기회균형)</t>
  </si>
  <si>
    <t xml:space="preserve">668.27 / </t>
  </si>
  <si>
    <t xml:space="preserve">829.94 / </t>
  </si>
  <si>
    <t>34.32</t>
  </si>
  <si>
    <t>74,474</t>
  </si>
  <si>
    <t>336.03</t>
  </si>
  <si>
    <t>분자생명공학과</t>
  </si>
  <si>
    <t xml:space="preserve">842.805 / </t>
  </si>
  <si>
    <t>34.45</t>
  </si>
  <si>
    <t>74,757</t>
  </si>
  <si>
    <t>335.90</t>
  </si>
  <si>
    <t>생활복지학과</t>
  </si>
  <si>
    <t xml:space="preserve">842.56 / </t>
  </si>
  <si>
    <t>335.89</t>
  </si>
  <si>
    <t>로봇학부AI로봇전공(기회균형)</t>
  </si>
  <si>
    <t xml:space="preserve">667.83 / </t>
  </si>
  <si>
    <t>34.56</t>
  </si>
  <si>
    <t>74,995</t>
  </si>
  <si>
    <t>335.78</t>
  </si>
  <si>
    <t>수학과(기회균형)</t>
  </si>
  <si>
    <t xml:space="preserve">667.68 / </t>
  </si>
  <si>
    <t>34.57</t>
  </si>
  <si>
    <t>75,017</t>
  </si>
  <si>
    <t>335.77</t>
  </si>
  <si>
    <t>임산공학과</t>
  </si>
  <si>
    <t xml:space="preserve">842.326 / </t>
  </si>
  <si>
    <t>34.69</t>
  </si>
  <si>
    <t>75,277</t>
  </si>
  <si>
    <t>335.64</t>
  </si>
  <si>
    <t>336.94</t>
  </si>
  <si>
    <t>정보융합학부(기회균형)</t>
  </si>
  <si>
    <t xml:space="preserve">667.49 / </t>
  </si>
  <si>
    <t>34.70</t>
  </si>
  <si>
    <t>75,299</t>
  </si>
  <si>
    <t>생물과학과</t>
  </si>
  <si>
    <t xml:space="preserve">166.18 / </t>
  </si>
  <si>
    <t>34.42</t>
  </si>
  <si>
    <t>74,691</t>
  </si>
  <si>
    <t>문화유산융합학부</t>
  </si>
  <si>
    <t xml:space="preserve">827.3 / </t>
  </si>
  <si>
    <t>34.85</t>
  </si>
  <si>
    <t>75,625</t>
  </si>
  <si>
    <t>의생명융합학부</t>
  </si>
  <si>
    <t xml:space="preserve">369.35 / </t>
  </si>
  <si>
    <t>34.89</t>
  </si>
  <si>
    <t>75,711</t>
  </si>
  <si>
    <t>336.70</t>
  </si>
  <si>
    <t>환경공학과(기회균형)</t>
  </si>
  <si>
    <t xml:space="preserve">667.19 / </t>
  </si>
  <si>
    <t>35.06</t>
  </si>
  <si>
    <t>76,080</t>
  </si>
  <si>
    <t>335.25</t>
  </si>
  <si>
    <t xml:space="preserve">833.19 / </t>
  </si>
  <si>
    <t>35.09</t>
  </si>
  <si>
    <t>76,145</t>
  </si>
  <si>
    <t>전기공학과(기회균형)</t>
  </si>
  <si>
    <t xml:space="preserve">666.91 / </t>
  </si>
  <si>
    <t>35.15</t>
  </si>
  <si>
    <t>76,276</t>
  </si>
  <si>
    <t>335.16</t>
  </si>
  <si>
    <t xml:space="preserve">755.82 / </t>
  </si>
  <si>
    <t>35.17</t>
  </si>
  <si>
    <t>76,319</t>
  </si>
  <si>
    <t>동물자원과학과</t>
  </si>
  <si>
    <t xml:space="preserve">378.33 / </t>
  </si>
  <si>
    <t>35.22</t>
  </si>
  <si>
    <t>76,427</t>
  </si>
  <si>
    <t>335.08</t>
  </si>
  <si>
    <t>전자바이오물리학과(기회균형)</t>
  </si>
  <si>
    <t xml:space="preserve">666.72 / </t>
  </si>
  <si>
    <t>35.29</t>
  </si>
  <si>
    <t>76,579</t>
  </si>
  <si>
    <t>335.01</t>
  </si>
  <si>
    <t xml:space="preserve">382.3 / </t>
  </si>
  <si>
    <t>35.31</t>
  </si>
  <si>
    <t>76,623</t>
  </si>
  <si>
    <t>334.98</t>
  </si>
  <si>
    <t>전기·전자·통신공학교육과</t>
  </si>
  <si>
    <t xml:space="preserve">170.9 / </t>
  </si>
  <si>
    <t>334.20</t>
  </si>
  <si>
    <t xml:space="preserve">827.74 / </t>
  </si>
  <si>
    <t>334.77</t>
  </si>
  <si>
    <t>334.00</t>
  </si>
  <si>
    <t xml:space="preserve">714.4 / </t>
  </si>
  <si>
    <t>35.58</t>
  </si>
  <si>
    <t>77,209</t>
  </si>
  <si>
    <t>334.69</t>
  </si>
  <si>
    <t xml:space="preserve">161 / </t>
  </si>
  <si>
    <t xml:space="preserve">826.6 / </t>
  </si>
  <si>
    <t>35.86</t>
  </si>
  <si>
    <t>77,816</t>
  </si>
  <si>
    <t>334.41</t>
  </si>
  <si>
    <t xml:space="preserve">314.85 / </t>
  </si>
  <si>
    <t>글로벌학부</t>
  </si>
  <si>
    <t xml:space="preserve">824.4 / </t>
  </si>
  <si>
    <t>36.09</t>
  </si>
  <si>
    <t>78,315</t>
  </si>
  <si>
    <t>해양환경과학과</t>
  </si>
  <si>
    <t xml:space="preserve">165.48 / </t>
  </si>
  <si>
    <t>333.17</t>
  </si>
  <si>
    <t>335.34</t>
  </si>
  <si>
    <t xml:space="preserve">825.77 / </t>
  </si>
  <si>
    <t>36.43</t>
  </si>
  <si>
    <t>79,053</t>
  </si>
  <si>
    <t>333.80</t>
  </si>
  <si>
    <t>333.02</t>
  </si>
  <si>
    <t xml:space="preserve">709.56 / </t>
  </si>
  <si>
    <t xml:space="preserve">830.46 / </t>
  </si>
  <si>
    <t>36.44</t>
  </si>
  <si>
    <t>79,075</t>
  </si>
  <si>
    <t>333.79</t>
  </si>
  <si>
    <t>36.56</t>
  </si>
  <si>
    <t>79,335</t>
  </si>
  <si>
    <t>333.66</t>
  </si>
  <si>
    <t>전자통신공학과(기회균형)</t>
  </si>
  <si>
    <t xml:space="preserve">664.75 / </t>
  </si>
  <si>
    <t>36.04</t>
  </si>
  <si>
    <t>78,207</t>
  </si>
  <si>
    <t>334.21</t>
  </si>
  <si>
    <t>위치정보시스템학과</t>
  </si>
  <si>
    <t xml:space="preserve">618.81 / </t>
  </si>
  <si>
    <t>36.60</t>
  </si>
  <si>
    <t>79,422</t>
  </si>
  <si>
    <t>333.61</t>
  </si>
  <si>
    <t>바이오소재과학과</t>
  </si>
  <si>
    <t>유기소재시스템공학과</t>
  </si>
  <si>
    <t>36.62</t>
  </si>
  <si>
    <t>79,465</t>
  </si>
  <si>
    <t>333.59</t>
  </si>
  <si>
    <t>로봇학부정보제어‧지능시스템전공(기회균형)</t>
  </si>
  <si>
    <t>36.64</t>
  </si>
  <si>
    <t>79,509</t>
  </si>
  <si>
    <t>333.57</t>
  </si>
  <si>
    <t xml:space="preserve">314.12 / </t>
  </si>
  <si>
    <t>36.66</t>
  </si>
  <si>
    <t>79,552</t>
  </si>
  <si>
    <t>333.55</t>
  </si>
  <si>
    <t>334.66</t>
  </si>
  <si>
    <t>배터리융합공학과</t>
  </si>
  <si>
    <t xml:space="preserve">364.4 / </t>
  </si>
  <si>
    <t>화학과(기회균형)</t>
  </si>
  <si>
    <t xml:space="preserve">664.62 / </t>
  </si>
  <si>
    <t xml:space="preserve">829.99 / </t>
  </si>
  <si>
    <t>회계세무학부</t>
  </si>
  <si>
    <t xml:space="preserve">824.83 / </t>
  </si>
  <si>
    <t>36.77</t>
  </si>
  <si>
    <t>79,791</t>
  </si>
  <si>
    <t>333.43</t>
  </si>
  <si>
    <t xml:space="preserve">707.75 / </t>
  </si>
  <si>
    <t>37.55</t>
  </si>
  <si>
    <t>81,484</t>
  </si>
  <si>
    <t>332.60</t>
  </si>
  <si>
    <t xml:space="preserve">430.6 / </t>
  </si>
  <si>
    <t>36.87</t>
  </si>
  <si>
    <t>80,008</t>
  </si>
  <si>
    <t>333.33</t>
  </si>
  <si>
    <t xml:space="preserve">165.08 / </t>
  </si>
  <si>
    <t>333.26</t>
  </si>
  <si>
    <t>스마트팜융합바이오시스템공학과</t>
  </si>
  <si>
    <t xml:space="preserve">373.35 / </t>
  </si>
  <si>
    <t>스마트팜학과</t>
  </si>
  <si>
    <t xml:space="preserve">313.85 / </t>
  </si>
  <si>
    <t>37.11</t>
  </si>
  <si>
    <t>80,529</t>
  </si>
  <si>
    <t>333.08</t>
  </si>
  <si>
    <t xml:space="preserve">160 / </t>
  </si>
  <si>
    <t>37.20</t>
  </si>
  <si>
    <t>80,724</t>
  </si>
  <si>
    <t>332.98</t>
  </si>
  <si>
    <t>333.99</t>
  </si>
  <si>
    <t xml:space="preserve">828.91 / </t>
  </si>
  <si>
    <t>37.30</t>
  </si>
  <si>
    <t>80,941</t>
  </si>
  <si>
    <t>332.87</t>
  </si>
  <si>
    <t xml:space="preserve">705 / </t>
  </si>
  <si>
    <t>37.35</t>
  </si>
  <si>
    <t>81,050</t>
  </si>
  <si>
    <t>332.82</t>
  </si>
  <si>
    <t xml:space="preserve">828.61 / </t>
  </si>
  <si>
    <t>37.39</t>
  </si>
  <si>
    <t>81,136</t>
  </si>
  <si>
    <t>332.77</t>
  </si>
  <si>
    <t xml:space="preserve">963.37 / </t>
  </si>
  <si>
    <t>37.16</t>
  </si>
  <si>
    <t>80,637</t>
  </si>
  <si>
    <t>공공사회·통일외교학부</t>
  </si>
  <si>
    <t xml:space="preserve">823.2 / </t>
  </si>
  <si>
    <t>37.47</t>
  </si>
  <si>
    <t>81,310</t>
  </si>
  <si>
    <t>332.69</t>
  </si>
  <si>
    <t>331.88</t>
  </si>
  <si>
    <t>산업심리학과(기회균형)</t>
  </si>
  <si>
    <t xml:space="preserve">649.24 / </t>
  </si>
  <si>
    <t>37.70</t>
  </si>
  <si>
    <t>81,809</t>
  </si>
  <si>
    <t>332.44</t>
  </si>
  <si>
    <t xml:space="preserve">361.6 / </t>
  </si>
  <si>
    <t>37.73</t>
  </si>
  <si>
    <t>81,874</t>
  </si>
  <si>
    <t>332.40</t>
  </si>
  <si>
    <t>영어산업학과(기회균형)</t>
  </si>
  <si>
    <t xml:space="preserve">648.85 / </t>
  </si>
  <si>
    <t>37.83</t>
  </si>
  <si>
    <t>82,091</t>
  </si>
  <si>
    <t>332.29</t>
  </si>
  <si>
    <t>333.21</t>
  </si>
  <si>
    <t xml:space="preserve">963.19 / </t>
  </si>
  <si>
    <t>37.89</t>
  </si>
  <si>
    <t>82,221</t>
  </si>
  <si>
    <t>332.22</t>
  </si>
  <si>
    <t xml:space="preserve">304.8 / </t>
  </si>
  <si>
    <t>37.92</t>
  </si>
  <si>
    <t>82,286</t>
  </si>
  <si>
    <t>332.19</t>
  </si>
  <si>
    <t>333.09</t>
  </si>
  <si>
    <t xml:space="preserve">963.15 / </t>
  </si>
  <si>
    <t>333.15</t>
  </si>
  <si>
    <t>컴퓨터정보공학부(기회균형)</t>
  </si>
  <si>
    <t xml:space="preserve">662.74 / </t>
  </si>
  <si>
    <t>332.03</t>
  </si>
  <si>
    <t xml:space="preserve">835.362 / </t>
  </si>
  <si>
    <t>331.24</t>
  </si>
  <si>
    <t xml:space="preserve">822.09 / </t>
  </si>
  <si>
    <t>38.19</t>
  </si>
  <si>
    <t>82,872</t>
  </si>
  <si>
    <t>331.90</t>
  </si>
  <si>
    <t>332.81</t>
  </si>
  <si>
    <t>건축공학과(기회균형)</t>
  </si>
  <si>
    <t xml:space="preserve">662.35 / </t>
  </si>
  <si>
    <t>38.21</t>
  </si>
  <si>
    <t>82,916</t>
  </si>
  <si>
    <t xml:space="preserve">826.84 / </t>
  </si>
  <si>
    <t>38.24</t>
  </si>
  <si>
    <t>82,981</t>
  </si>
  <si>
    <t>AI정보공학과</t>
  </si>
  <si>
    <t xml:space="preserve">826.78 / </t>
  </si>
  <si>
    <t>37.98</t>
  </si>
  <si>
    <t>82,417</t>
  </si>
  <si>
    <t>332.12</t>
  </si>
  <si>
    <t>산림생태보호학과</t>
  </si>
  <si>
    <t xml:space="preserve">615.94 / </t>
  </si>
  <si>
    <t xml:space="preserve">615.81 / </t>
  </si>
  <si>
    <t>38.62</t>
  </si>
  <si>
    <t>83,805</t>
  </si>
  <si>
    <t>331.43</t>
  </si>
  <si>
    <t>소프트웨어학부(기회균형)</t>
  </si>
  <si>
    <t xml:space="preserve">661.71 / </t>
  </si>
  <si>
    <t>38.66</t>
  </si>
  <si>
    <t>83,892</t>
  </si>
  <si>
    <t>331.39</t>
  </si>
  <si>
    <t xml:space="preserve">312.22 / </t>
  </si>
  <si>
    <t>38.67</t>
  </si>
  <si>
    <t>83,914</t>
  </si>
  <si>
    <t>331.38</t>
  </si>
  <si>
    <t>333.49</t>
  </si>
  <si>
    <t xml:space="preserve">159 / </t>
  </si>
  <si>
    <t>331.22</t>
  </si>
  <si>
    <t xml:space="preserve">697.25 / </t>
  </si>
  <si>
    <t>38.99</t>
  </si>
  <si>
    <t>84,608</t>
  </si>
  <si>
    <t>331.00</t>
  </si>
  <si>
    <t xml:space="preserve">825.18 / </t>
  </si>
  <si>
    <t>39.01</t>
  </si>
  <si>
    <t>84,652</t>
  </si>
  <si>
    <t>330.98</t>
  </si>
  <si>
    <t>생명환경화학과</t>
  </si>
  <si>
    <t>39.18</t>
  </si>
  <si>
    <t>85,021</t>
  </si>
  <si>
    <t>330.77</t>
  </si>
  <si>
    <t>330.08</t>
  </si>
  <si>
    <t xml:space="preserve">695.62 / </t>
  </si>
  <si>
    <t>39.23</t>
  </si>
  <si>
    <t>85,129</t>
  </si>
  <si>
    <t>330.71</t>
  </si>
  <si>
    <t>화학공학교육과</t>
  </si>
  <si>
    <t xml:space="preserve">168.77 / </t>
  </si>
  <si>
    <t>38.97</t>
  </si>
  <si>
    <t>84,565</t>
  </si>
  <si>
    <t>331.03</t>
  </si>
  <si>
    <t>표준·지식학과</t>
  </si>
  <si>
    <t xml:space="preserve">819.4 / </t>
  </si>
  <si>
    <t>39.40</t>
  </si>
  <si>
    <t>85,498</t>
  </si>
  <si>
    <t>330.51</t>
  </si>
  <si>
    <t xml:space="preserve">824.26 / </t>
  </si>
  <si>
    <t>39.04</t>
  </si>
  <si>
    <t>84,717</t>
  </si>
  <si>
    <t>330.94</t>
  </si>
  <si>
    <t>동물생명공학과</t>
  </si>
  <si>
    <t xml:space="preserve">614.2 / </t>
  </si>
  <si>
    <t>39.63</t>
  </si>
  <si>
    <t>85,997</t>
  </si>
  <si>
    <t>동물생명자원과학과</t>
  </si>
  <si>
    <t xml:space="preserve">649 / </t>
  </si>
  <si>
    <t>329.42</t>
  </si>
  <si>
    <t xml:space="preserve">818.64 / </t>
  </si>
  <si>
    <t>39.73</t>
  </si>
  <si>
    <t>86,214</t>
  </si>
  <si>
    <t>330.11</t>
  </si>
  <si>
    <t xml:space="preserve">692.55 / </t>
  </si>
  <si>
    <t>39.76</t>
  </si>
  <si>
    <t>86,279</t>
  </si>
  <si>
    <t xml:space="preserve">823.43 / </t>
  </si>
  <si>
    <t>39.84</t>
  </si>
  <si>
    <t>86,453</t>
  </si>
  <si>
    <t>329.98</t>
  </si>
  <si>
    <t xml:space="preserve">163.45 / </t>
  </si>
  <si>
    <t>330.58</t>
  </si>
  <si>
    <t xml:space="preserve">613.64 / </t>
  </si>
  <si>
    <t>39.92</t>
  </si>
  <si>
    <t>86,626</t>
  </si>
  <si>
    <t xml:space="preserve">691.6 / </t>
  </si>
  <si>
    <t>39.99</t>
  </si>
  <si>
    <t>86,778</t>
  </si>
  <si>
    <t xml:space="preserve">822.9 / </t>
  </si>
  <si>
    <t>40.05</t>
  </si>
  <si>
    <t>86,909</t>
  </si>
  <si>
    <t>329.73</t>
  </si>
  <si>
    <t xml:space="preserve">737.91 / </t>
  </si>
  <si>
    <t>40.14</t>
  </si>
  <si>
    <t>87,104</t>
  </si>
  <si>
    <t>330.57</t>
  </si>
  <si>
    <t>컴퓨터소프트웨어학과</t>
  </si>
  <si>
    <t xml:space="preserve">816.6 / </t>
  </si>
  <si>
    <t>40.77</t>
  </si>
  <si>
    <t>88,471</t>
  </si>
  <si>
    <t>328.88</t>
  </si>
  <si>
    <t xml:space="preserve">817.61 / </t>
  </si>
  <si>
    <t>40.18</t>
  </si>
  <si>
    <t>87,191</t>
  </si>
  <si>
    <t>329.58</t>
  </si>
  <si>
    <t>신소재화학과</t>
  </si>
  <si>
    <t xml:space="preserve">816.5 / </t>
  </si>
  <si>
    <t>40.27</t>
  </si>
  <si>
    <t>87,386</t>
  </si>
  <si>
    <t>329.47</t>
  </si>
  <si>
    <t xml:space="preserve">310.48 / </t>
  </si>
  <si>
    <t>39.72</t>
  </si>
  <si>
    <t>86,192</t>
  </si>
  <si>
    <t>330.12</t>
  </si>
  <si>
    <t>나노신소재공학과</t>
  </si>
  <si>
    <t xml:space="preserve">612.94 / </t>
  </si>
  <si>
    <t>328.69</t>
  </si>
  <si>
    <t xml:space="preserve">817.25 / </t>
  </si>
  <si>
    <t>40.37</t>
  </si>
  <si>
    <t>87,603</t>
  </si>
  <si>
    <t>329.35</t>
  </si>
  <si>
    <t xml:space="preserve">310.37 / </t>
  </si>
  <si>
    <t>40.59</t>
  </si>
  <si>
    <t>88,080</t>
  </si>
  <si>
    <t>329.09</t>
  </si>
  <si>
    <t>인공지능사이버보안학과</t>
  </si>
  <si>
    <t xml:space="preserve">815.5 / </t>
  </si>
  <si>
    <t>40.63</t>
  </si>
  <si>
    <t>88,167</t>
  </si>
  <si>
    <t>329.04</t>
  </si>
  <si>
    <t>반도체물리학부</t>
  </si>
  <si>
    <t xml:space="preserve">815.4 / </t>
  </si>
  <si>
    <t>40.64</t>
  </si>
  <si>
    <t>88,189</t>
  </si>
  <si>
    <t>329.03</t>
  </si>
  <si>
    <t>나노신소재공학부 고분자공학전공</t>
  </si>
  <si>
    <t xml:space="preserve">821.43 / </t>
  </si>
  <si>
    <t>88,341</t>
  </si>
  <si>
    <t>328.95</t>
  </si>
  <si>
    <t xml:space="preserve">829.54 / </t>
  </si>
  <si>
    <t>스마트플랜트공학과</t>
  </si>
  <si>
    <t xml:space="preserve">612.09 / </t>
  </si>
  <si>
    <t>40.89</t>
  </si>
  <si>
    <t>88,731</t>
  </si>
  <si>
    <t>328.74</t>
  </si>
  <si>
    <t xml:space="preserve">814.8 / </t>
  </si>
  <si>
    <t>40.92</t>
  </si>
  <si>
    <t>88,796</t>
  </si>
  <si>
    <t>328.70</t>
  </si>
  <si>
    <t xml:space="preserve">814.7 / </t>
  </si>
  <si>
    <t>328.67</t>
  </si>
  <si>
    <t>수학물리학부</t>
  </si>
  <si>
    <t xml:space="preserve">820.74 / </t>
  </si>
  <si>
    <t>41.00</t>
  </si>
  <si>
    <t>88,970</t>
  </si>
  <si>
    <t>328.61</t>
  </si>
  <si>
    <t>원예생명과학과</t>
  </si>
  <si>
    <t>40.44</t>
  </si>
  <si>
    <t>87,755</t>
  </si>
  <si>
    <t>329.27</t>
  </si>
  <si>
    <t>말/특수동물학과</t>
  </si>
  <si>
    <t xml:space="preserve">611.62 / </t>
  </si>
  <si>
    <t>327.71</t>
  </si>
  <si>
    <t xml:space="preserve">815.13 / </t>
  </si>
  <si>
    <t>41.50</t>
  </si>
  <si>
    <t>90,055</t>
  </si>
  <si>
    <t>328.06</t>
  </si>
  <si>
    <t>전자·기계융합공학과</t>
  </si>
  <si>
    <t xml:space="preserve">813.3 / </t>
  </si>
  <si>
    <t>42.23</t>
  </si>
  <si>
    <t>91,639</t>
  </si>
  <si>
    <t xml:space="preserve">814.63 / </t>
  </si>
  <si>
    <t>327.22</t>
  </si>
  <si>
    <t xml:space="preserve">814.47 / </t>
  </si>
  <si>
    <t>41.74</t>
  </si>
  <si>
    <t>90,576</t>
  </si>
  <si>
    <t>327.80</t>
  </si>
  <si>
    <t xml:space="preserve">728.68 / </t>
  </si>
  <si>
    <t>327.09</t>
  </si>
  <si>
    <t xml:space="preserve">814.22 / </t>
  </si>
  <si>
    <t>41.84</t>
  </si>
  <si>
    <t>90,793</t>
  </si>
  <si>
    <t>327.70</t>
  </si>
  <si>
    <t>바이오기능성소재학과</t>
  </si>
  <si>
    <t xml:space="preserve">157 / </t>
  </si>
  <si>
    <t>326.80</t>
  </si>
  <si>
    <t>329.02</t>
  </si>
  <si>
    <t xml:space="preserve">813.68 / </t>
  </si>
  <si>
    <t>42.05</t>
  </si>
  <si>
    <t>91,249</t>
  </si>
  <si>
    <t>327.49</t>
  </si>
  <si>
    <t xml:space="preserve">818.49 / </t>
  </si>
  <si>
    <t>42.12</t>
  </si>
  <si>
    <t>91,400</t>
  </si>
  <si>
    <t>스마트도시학부</t>
  </si>
  <si>
    <t xml:space="preserve">811.9 / </t>
  </si>
  <si>
    <t>42.29</t>
  </si>
  <si>
    <t>91,769</t>
  </si>
  <si>
    <t>327.23</t>
  </si>
  <si>
    <t xml:space="preserve">679.78 / </t>
  </si>
  <si>
    <t>41.77</t>
  </si>
  <si>
    <t>90,641</t>
  </si>
  <si>
    <t>327.78</t>
  </si>
  <si>
    <t xml:space="preserve">605.65 / </t>
  </si>
  <si>
    <t>327.69</t>
  </si>
  <si>
    <t xml:space="preserve">609.24 / </t>
  </si>
  <si>
    <t>43.50</t>
  </si>
  <si>
    <t>94,395</t>
  </si>
  <si>
    <t>326.00</t>
  </si>
  <si>
    <t>인문사회자율전공</t>
  </si>
  <si>
    <t xml:space="preserve">812.16 / </t>
  </si>
  <si>
    <t>42.86</t>
  </si>
  <si>
    <t>93,006</t>
  </si>
  <si>
    <t>326.65</t>
  </si>
  <si>
    <t>소프트웨어공학과</t>
  </si>
  <si>
    <t xml:space="preserve">816.91 / </t>
  </si>
  <si>
    <t>42.09</t>
  </si>
  <si>
    <t>91,335</t>
  </si>
  <si>
    <t>건설방재공학과</t>
  </si>
  <si>
    <t xml:space="preserve">608.89 / </t>
  </si>
  <si>
    <t>42.97</t>
  </si>
  <si>
    <t>93,245</t>
  </si>
  <si>
    <t>물리교육전공</t>
  </si>
  <si>
    <t xml:space="preserve">694.7 / </t>
  </si>
  <si>
    <t>43.01</t>
  </si>
  <si>
    <t>93,332</t>
  </si>
  <si>
    <t>제어로봇공학과</t>
  </si>
  <si>
    <t>325.72</t>
  </si>
  <si>
    <t xml:space="preserve">811.63 / </t>
  </si>
  <si>
    <t>43.07</t>
  </si>
  <si>
    <t>93,462</t>
  </si>
  <si>
    <t>326.43</t>
  </si>
  <si>
    <t>응용수리과학부</t>
  </si>
  <si>
    <t xml:space="preserve">809.9 / </t>
  </si>
  <si>
    <t>43.13</t>
  </si>
  <si>
    <t>93,592</t>
  </si>
  <si>
    <t>326.37</t>
  </si>
  <si>
    <t>식물생명과학과</t>
  </si>
  <si>
    <t xml:space="preserve">643.8 / </t>
  </si>
  <si>
    <t>43.23</t>
  </si>
  <si>
    <t>93,809</t>
  </si>
  <si>
    <t>326.27</t>
  </si>
  <si>
    <t xml:space="preserve">809.6 / </t>
  </si>
  <si>
    <t>43.29</t>
  </si>
  <si>
    <t>93,939</t>
  </si>
  <si>
    <t>326.20</t>
  </si>
  <si>
    <t>325.50</t>
  </si>
  <si>
    <t xml:space="preserve">674.9 / </t>
  </si>
  <si>
    <t>43.48</t>
  </si>
  <si>
    <t>94,352</t>
  </si>
  <si>
    <t>326.02</t>
  </si>
  <si>
    <t xml:space="preserve">156 / </t>
  </si>
  <si>
    <t>42.72</t>
  </si>
  <si>
    <t>92,702</t>
  </si>
  <si>
    <t>326.79</t>
  </si>
  <si>
    <t xml:space="preserve">607.84 / </t>
  </si>
  <si>
    <t>325.19</t>
  </si>
  <si>
    <t>영어영문학부 영어전공</t>
  </si>
  <si>
    <t xml:space="preserve">810.61 / </t>
  </si>
  <si>
    <t>43.79</t>
  </si>
  <si>
    <t>95,024</t>
  </si>
  <si>
    <t>325.70</t>
  </si>
  <si>
    <t>전자및정보공학과</t>
  </si>
  <si>
    <t xml:space="preserve">808.5 / </t>
  </si>
  <si>
    <t>43.90</t>
  </si>
  <si>
    <t>95,263</t>
  </si>
  <si>
    <t>325.59</t>
  </si>
  <si>
    <t xml:space="preserve">717.14 / </t>
  </si>
  <si>
    <t>43.92</t>
  </si>
  <si>
    <t>95,306</t>
  </si>
  <si>
    <t>325.57</t>
  </si>
  <si>
    <t xml:space="preserve">604.09 / </t>
  </si>
  <si>
    <t>43.10</t>
  </si>
  <si>
    <t>93,527</t>
  </si>
  <si>
    <t>326.40</t>
  </si>
  <si>
    <t>자동차공학부</t>
  </si>
  <si>
    <t xml:space="preserve">607.24 / </t>
  </si>
  <si>
    <t>43.99</t>
  </si>
  <si>
    <t>95,458</t>
  </si>
  <si>
    <t>디지털헬스케어공학과</t>
  </si>
  <si>
    <t xml:space="preserve">808.1 / </t>
  </si>
  <si>
    <t>44.05</t>
  </si>
  <si>
    <t>95,589</t>
  </si>
  <si>
    <t>325.44</t>
  </si>
  <si>
    <t>생명정보공학과</t>
  </si>
  <si>
    <t xml:space="preserve">808 / </t>
  </si>
  <si>
    <t>95,675</t>
  </si>
  <si>
    <t>325.40</t>
  </si>
  <si>
    <t xml:space="preserve">671.05 / </t>
  </si>
  <si>
    <t>44.33</t>
  </si>
  <si>
    <t>96,196</t>
  </si>
  <si>
    <t>325.16</t>
  </si>
  <si>
    <t xml:space="preserve">669.9 / </t>
  </si>
  <si>
    <t>44.39</t>
  </si>
  <si>
    <t>96,326</t>
  </si>
  <si>
    <t>325.10</t>
  </si>
  <si>
    <t xml:space="preserve">669.6 / </t>
  </si>
  <si>
    <t>43.64</t>
  </si>
  <si>
    <t>94,699</t>
  </si>
  <si>
    <t>325.86</t>
  </si>
  <si>
    <t>325.74</t>
  </si>
  <si>
    <t>섬유패션디자인학부(섬유공학전공)</t>
  </si>
  <si>
    <t xml:space="preserve">606.39 / </t>
  </si>
  <si>
    <t>323.77</t>
  </si>
  <si>
    <t xml:space="preserve">807.91 / </t>
  </si>
  <si>
    <t>정밀기계공학과</t>
  </si>
  <si>
    <t xml:space="preserve">605.73 / </t>
  </si>
  <si>
    <t>45.33</t>
  </si>
  <si>
    <t>98,366</t>
  </si>
  <si>
    <t>324.16</t>
  </si>
  <si>
    <t xml:space="preserve">812.2 / </t>
  </si>
  <si>
    <t>45.39</t>
  </si>
  <si>
    <t>98,496</t>
  </si>
  <si>
    <t>324.10</t>
  </si>
  <si>
    <t>45.57</t>
  </si>
  <si>
    <t>98,887</t>
  </si>
  <si>
    <t>323.92</t>
  </si>
  <si>
    <t>메카트로닉스공학부</t>
  </si>
  <si>
    <t xml:space="preserve">811.75 / </t>
  </si>
  <si>
    <t>324.71</t>
  </si>
  <si>
    <t>곤충생명과학과</t>
  </si>
  <si>
    <t xml:space="preserve">604.67 / </t>
  </si>
  <si>
    <t>100,102</t>
  </si>
  <si>
    <t>323.37</t>
  </si>
  <si>
    <t xml:space="preserve">810.71 / </t>
  </si>
  <si>
    <t>46.32</t>
  </si>
  <si>
    <t>100,514</t>
  </si>
  <si>
    <t>323.18</t>
  </si>
  <si>
    <t xml:space="preserve">810.36 / </t>
  </si>
  <si>
    <t>46.71</t>
  </si>
  <si>
    <t>101,361</t>
  </si>
  <si>
    <t>산업시스템공학부</t>
  </si>
  <si>
    <t xml:space="preserve">809.64 / </t>
  </si>
  <si>
    <t>46.74</t>
  </si>
  <si>
    <t>101,426</t>
  </si>
  <si>
    <t>322.77</t>
  </si>
  <si>
    <t xml:space="preserve">809.57 / </t>
  </si>
  <si>
    <t>46.84</t>
  </si>
  <si>
    <t>101,643</t>
  </si>
  <si>
    <t>그린에너지공학과</t>
  </si>
  <si>
    <t xml:space="preserve">154 / </t>
  </si>
  <si>
    <t>101,882</t>
  </si>
  <si>
    <t>322.57</t>
  </si>
  <si>
    <t>47.15</t>
  </si>
  <si>
    <t>102,316</t>
  </si>
  <si>
    <t>322.36</t>
  </si>
  <si>
    <t xml:space="preserve">672.38 / </t>
  </si>
  <si>
    <t>47.17</t>
  </si>
  <si>
    <t>102,359</t>
  </si>
  <si>
    <t>322.34</t>
  </si>
  <si>
    <t>환경시스템공학과</t>
  </si>
  <si>
    <t xml:space="preserve">802.3 / </t>
  </si>
  <si>
    <t>46.28</t>
  </si>
  <si>
    <t>100,428</t>
  </si>
  <si>
    <t>323.22</t>
  </si>
  <si>
    <t>식품외식산업학과</t>
  </si>
  <si>
    <t xml:space="preserve">602.58 / </t>
  </si>
  <si>
    <t>47.64</t>
  </si>
  <si>
    <t>103,379</t>
  </si>
  <si>
    <t>321.87</t>
  </si>
  <si>
    <t>321.71</t>
  </si>
  <si>
    <t>나노신소재공학부 세라믹공학전공</t>
  </si>
  <si>
    <t xml:space="preserve">807.88 / </t>
  </si>
  <si>
    <t>48.50</t>
  </si>
  <si>
    <t>105,245</t>
  </si>
  <si>
    <t>321.00</t>
  </si>
  <si>
    <t>322.52</t>
  </si>
  <si>
    <t xml:space="preserve">535.066 / </t>
  </si>
  <si>
    <t>46.99</t>
  </si>
  <si>
    <t>101,968</t>
  </si>
  <si>
    <t>320.85</t>
  </si>
  <si>
    <t xml:space="preserve">601.64 / </t>
  </si>
  <si>
    <t>48.06</t>
  </si>
  <si>
    <t>104,290</t>
  </si>
  <si>
    <t>321.45</t>
  </si>
  <si>
    <t xml:space="preserve">807.08 / </t>
  </si>
  <si>
    <t>48.92</t>
  </si>
  <si>
    <t>106,156</t>
  </si>
  <si>
    <t>320.55</t>
  </si>
  <si>
    <t xml:space="preserve">801.8 / </t>
  </si>
  <si>
    <t>49.05</t>
  </si>
  <si>
    <t>106,439</t>
  </si>
  <si>
    <t>320.39</t>
  </si>
  <si>
    <t>스마트유통물류학과</t>
  </si>
  <si>
    <t xml:space="preserve">801.49 / </t>
  </si>
  <si>
    <t>48.64</t>
  </si>
  <si>
    <t>105,549</t>
  </si>
  <si>
    <t xml:space="preserve">805.96 / </t>
  </si>
  <si>
    <t>48.67</t>
  </si>
  <si>
    <t>105,614</t>
  </si>
  <si>
    <t>320.82</t>
  </si>
  <si>
    <t xml:space="preserve">692.52 / </t>
  </si>
  <si>
    <t xml:space="preserve">805.9 / </t>
  </si>
  <si>
    <t>48.84</t>
  </si>
  <si>
    <t>105,983</t>
  </si>
  <si>
    <t>320.64</t>
  </si>
  <si>
    <t xml:space="preserve">691.72 / </t>
  </si>
  <si>
    <t>48.90</t>
  </si>
  <si>
    <t>106,113</t>
  </si>
  <si>
    <t>320.57</t>
  </si>
  <si>
    <t>항노화신소재과학과</t>
  </si>
  <si>
    <t xml:space="preserve">805.43 / </t>
  </si>
  <si>
    <t>49.81</t>
  </si>
  <si>
    <t>108,088</t>
  </si>
  <si>
    <t>319.52</t>
  </si>
  <si>
    <t xml:space="preserve">799.84 / </t>
  </si>
  <si>
    <t>49.36</t>
  </si>
  <si>
    <t>107,111</t>
  </si>
  <si>
    <t>독일학과</t>
  </si>
  <si>
    <t xml:space="preserve">646.3 / </t>
  </si>
  <si>
    <t xml:space="preserve">804.38 / </t>
  </si>
  <si>
    <t>49.52</t>
  </si>
  <si>
    <t>107,458</t>
  </si>
  <si>
    <t>319.85</t>
  </si>
  <si>
    <t xml:space="preserve">804.05 / </t>
  </si>
  <si>
    <t>49.53</t>
  </si>
  <si>
    <t>107,480</t>
  </si>
  <si>
    <t>319.84</t>
  </si>
  <si>
    <t>관광개발학과</t>
  </si>
  <si>
    <t xml:space="preserve">645.55 / </t>
  </si>
  <si>
    <t>화학코스메틱스학과</t>
  </si>
  <si>
    <t xml:space="preserve">679.72 / </t>
  </si>
  <si>
    <t>49.56</t>
  </si>
  <si>
    <t>107,545</t>
  </si>
  <si>
    <t>319.80</t>
  </si>
  <si>
    <t xml:space="preserve">803.95 / </t>
  </si>
  <si>
    <t>49.65</t>
  </si>
  <si>
    <t>107,741</t>
  </si>
  <si>
    <t>319.70</t>
  </si>
  <si>
    <t xml:space="preserve">645 / </t>
  </si>
  <si>
    <t>319.05</t>
  </si>
  <si>
    <t xml:space="preserve">798.94 / </t>
  </si>
  <si>
    <t>49.69</t>
  </si>
  <si>
    <t>107,827</t>
  </si>
  <si>
    <t>319.66</t>
  </si>
  <si>
    <t xml:space="preserve">661.88 / </t>
  </si>
  <si>
    <t>49.90</t>
  </si>
  <si>
    <t>108,283</t>
  </si>
  <si>
    <t>319.41</t>
  </si>
  <si>
    <t xml:space="preserve">301.74 / </t>
  </si>
  <si>
    <t>50.31</t>
  </si>
  <si>
    <t>109,173</t>
  </si>
  <si>
    <t>318.95</t>
  </si>
  <si>
    <t>공학대학 무전공학과</t>
  </si>
  <si>
    <t xml:space="preserve">152 / </t>
  </si>
  <si>
    <t>50.36</t>
  </si>
  <si>
    <t>109,281</t>
  </si>
  <si>
    <t>318.89</t>
  </si>
  <si>
    <t>환경산림과학부</t>
  </si>
  <si>
    <t xml:space="preserve">802.2 / </t>
  </si>
  <si>
    <t>50.42</t>
  </si>
  <si>
    <t>109,411</t>
  </si>
  <si>
    <t>318.83</t>
  </si>
  <si>
    <t>바이오메디컬정보학과</t>
  </si>
  <si>
    <t xml:space="preserve">675.4 / </t>
  </si>
  <si>
    <t>50.43</t>
  </si>
  <si>
    <t>109,433</t>
  </si>
  <si>
    <t>318.82</t>
  </si>
  <si>
    <t>해양경찰시스템학과</t>
  </si>
  <si>
    <t xml:space="preserve">802.06 / </t>
  </si>
  <si>
    <t>50.47</t>
  </si>
  <si>
    <t>109,520</t>
  </si>
  <si>
    <t>318.77</t>
  </si>
  <si>
    <t>지역시스템공학과</t>
  </si>
  <si>
    <t xml:space="preserve">801.96 / </t>
  </si>
  <si>
    <t>50.68</t>
  </si>
  <si>
    <t>109,976</t>
  </si>
  <si>
    <t>318.52</t>
  </si>
  <si>
    <t>스마트농산업학과</t>
  </si>
  <si>
    <t>50.77</t>
  </si>
  <si>
    <t>110,171</t>
  </si>
  <si>
    <t>318.42</t>
  </si>
  <si>
    <t>생활환경복지학부</t>
  </si>
  <si>
    <t xml:space="preserve">656.78 / </t>
  </si>
  <si>
    <t>50.90</t>
  </si>
  <si>
    <t>110,453</t>
  </si>
  <si>
    <t>318.27</t>
  </si>
  <si>
    <t>51.07</t>
  </si>
  <si>
    <t>110,822</t>
  </si>
  <si>
    <t>318.08</t>
  </si>
  <si>
    <t>해양산업경찰학과</t>
  </si>
  <si>
    <t xml:space="preserve">672.19 / </t>
  </si>
  <si>
    <t>317.21</t>
  </si>
  <si>
    <t xml:space="preserve">803.458 / </t>
  </si>
  <si>
    <t>111,473</t>
  </si>
  <si>
    <t>317.76</t>
  </si>
  <si>
    <t>317.15</t>
  </si>
  <si>
    <t>농학과</t>
  </si>
  <si>
    <t xml:space="preserve">800.04 / </t>
  </si>
  <si>
    <t>318.28</t>
  </si>
  <si>
    <t>관광학과</t>
  </si>
  <si>
    <t xml:space="preserve">591.7 / </t>
  </si>
  <si>
    <t>51.58</t>
  </si>
  <si>
    <t>111,929</t>
  </si>
  <si>
    <t>317.55</t>
  </si>
  <si>
    <t xml:space="preserve">636.3 / </t>
  </si>
  <si>
    <t>51.79</t>
  </si>
  <si>
    <t>112,384</t>
  </si>
  <si>
    <t>317.33</t>
  </si>
  <si>
    <t>51.94</t>
  </si>
  <si>
    <t>112,710</t>
  </si>
  <si>
    <t>317.18</t>
  </si>
  <si>
    <t>나노신소재공학부 금속재료공학전공</t>
  </si>
  <si>
    <t xml:space="preserve">798.93 / </t>
  </si>
  <si>
    <t>112,992</t>
  </si>
  <si>
    <t>317.04</t>
  </si>
  <si>
    <t>생물산업기계공학과</t>
  </si>
  <si>
    <t xml:space="preserve">798.67 / </t>
  </si>
  <si>
    <t>52.09</t>
  </si>
  <si>
    <t>113,035</t>
  </si>
  <si>
    <t>317.02</t>
  </si>
  <si>
    <t>환경재료과학과</t>
  </si>
  <si>
    <t xml:space="preserve">798.63 / </t>
  </si>
  <si>
    <t xml:space="preserve">593.93 / </t>
  </si>
  <si>
    <t>53.30</t>
  </si>
  <si>
    <t>115,661</t>
  </si>
  <si>
    <t>러시아학과</t>
  </si>
  <si>
    <t xml:space="preserve">792.76 / </t>
  </si>
  <si>
    <t>53.08</t>
  </si>
  <si>
    <t>115,184</t>
  </si>
  <si>
    <t>316.00</t>
  </si>
  <si>
    <t>동물생명융합학부</t>
  </si>
  <si>
    <t xml:space="preserve">796.69 / </t>
  </si>
  <si>
    <t>53.26</t>
  </si>
  <si>
    <t>115,574</t>
  </si>
  <si>
    <t>315.81</t>
  </si>
  <si>
    <t>315.00</t>
  </si>
  <si>
    <t>스마트팜학부 식물자원환경전공</t>
  </si>
  <si>
    <t xml:space="preserve">661.65 / </t>
  </si>
  <si>
    <t>53.39</t>
  </si>
  <si>
    <t>115,856</t>
  </si>
  <si>
    <t>315.68</t>
  </si>
  <si>
    <t>지구해양과학과</t>
  </si>
  <si>
    <t>53.99</t>
  </si>
  <si>
    <t>117,158</t>
  </si>
  <si>
    <t xml:space="preserve">791.46 / </t>
  </si>
  <si>
    <t>53.52</t>
  </si>
  <si>
    <t>116,138</t>
  </si>
  <si>
    <t>315.55</t>
  </si>
  <si>
    <t xml:space="preserve">795.84 / </t>
  </si>
  <si>
    <t>117,332</t>
  </si>
  <si>
    <t>54.05</t>
  </si>
  <si>
    <t>117,289</t>
  </si>
  <si>
    <t>315.02</t>
  </si>
  <si>
    <t xml:space="preserve">794.83 / </t>
  </si>
  <si>
    <t>54.39</t>
  </si>
  <si>
    <t>118,026</t>
  </si>
  <si>
    <t>314.67</t>
  </si>
  <si>
    <t>원예과학부</t>
  </si>
  <si>
    <t xml:space="preserve">794.17 / </t>
  </si>
  <si>
    <t>54.73</t>
  </si>
  <si>
    <t>118,764</t>
  </si>
  <si>
    <t>314.33</t>
  </si>
  <si>
    <t xml:space="preserve">654.77 / </t>
  </si>
  <si>
    <t>54.96</t>
  </si>
  <si>
    <t>119,263</t>
  </si>
  <si>
    <t>314.11</t>
  </si>
  <si>
    <t>425.31</t>
  </si>
  <si>
    <t>119,827</t>
  </si>
  <si>
    <t>313.85</t>
  </si>
  <si>
    <t>원예과학전공</t>
  </si>
  <si>
    <t xml:space="preserve">652.44 / </t>
  </si>
  <si>
    <t>55.27</t>
  </si>
  <si>
    <t>119,936</t>
  </si>
  <si>
    <t>313.80</t>
  </si>
  <si>
    <t>121,477</t>
  </si>
  <si>
    <t>313.11</t>
  </si>
  <si>
    <t>통신공학과</t>
  </si>
  <si>
    <t xml:space="preserve">656.92 / </t>
  </si>
  <si>
    <t>56.12</t>
  </si>
  <si>
    <t>121,780</t>
  </si>
  <si>
    <t>312.98</t>
  </si>
  <si>
    <t xml:space="preserve">648.28 / </t>
  </si>
  <si>
    <t>122,236</t>
  </si>
  <si>
    <t>312.78</t>
  </si>
  <si>
    <t>해양시스템공학과</t>
  </si>
  <si>
    <t xml:space="preserve">655.28 / </t>
  </si>
  <si>
    <t>311.81</t>
  </si>
  <si>
    <t xml:space="preserve">785.27 / </t>
  </si>
  <si>
    <t>56.95</t>
  </si>
  <si>
    <t>123,582</t>
  </si>
  <si>
    <t>312.19</t>
  </si>
  <si>
    <t>산업응용경제학과</t>
  </si>
  <si>
    <t xml:space="preserve">644.44 / </t>
  </si>
  <si>
    <t>58.45</t>
  </si>
  <si>
    <t>126,837</t>
  </si>
  <si>
    <t>310.69</t>
  </si>
  <si>
    <t>영어영문학부 영어영문학전공</t>
  </si>
  <si>
    <t xml:space="preserve">783.16 / </t>
  </si>
  <si>
    <t>57.94</t>
  </si>
  <si>
    <t>125,730</t>
  </si>
  <si>
    <t>311.22</t>
  </si>
  <si>
    <t xml:space="preserve">787.57 / </t>
  </si>
  <si>
    <t>58.18</t>
  </si>
  <si>
    <t>126,251</t>
  </si>
  <si>
    <t>310.97</t>
  </si>
  <si>
    <t>축산과학부</t>
  </si>
  <si>
    <t xml:space="preserve">787.07 / </t>
  </si>
  <si>
    <t>59.99</t>
  </si>
  <si>
    <t>130,178</t>
  </si>
  <si>
    <t>309.08</t>
  </si>
  <si>
    <t xml:space="preserve">638.34 / </t>
  </si>
  <si>
    <t>60.67</t>
  </si>
  <si>
    <t>131,654</t>
  </si>
  <si>
    <t>308.38</t>
  </si>
  <si>
    <t>패션의류학과</t>
  </si>
  <si>
    <t xml:space="preserve">612.3 / </t>
  </si>
  <si>
    <t>61.20</t>
  </si>
  <si>
    <t>132,804</t>
  </si>
  <si>
    <t>307.86</t>
  </si>
  <si>
    <t>지질과학과</t>
  </si>
  <si>
    <t>해양식품생명의학부</t>
  </si>
  <si>
    <t>(야)경영학과</t>
  </si>
  <si>
    <t>화공그린에너지학과</t>
  </si>
  <si>
    <t>(야)행정학과</t>
  </si>
  <si>
    <t>317.20</t>
  </si>
  <si>
    <t>26수능 표준점수</t>
    <phoneticPr fontId="3" type="noConversion"/>
  </si>
  <si>
    <r>
      <t xml:space="preserve">                                    2025학년도 정시 입결 (70% 컷) 분석                                     </t>
    </r>
    <r>
      <rPr>
        <b/>
        <sz val="11"/>
        <color theme="1"/>
        <rFont val="Malgun Gothic"/>
        <family val="3"/>
        <charset val="129"/>
      </rPr>
      <t>25. 12. 7</t>
    </r>
    <phoneticPr fontId="67" type="noConversion"/>
  </si>
  <si>
    <t>의대감원</t>
    <phoneticPr fontId="67" type="noConversion"/>
  </si>
  <si>
    <t>의대 감원에 따른 입결변화 예측</t>
    <phoneticPr fontId="3" type="noConversion"/>
  </si>
  <si>
    <t>감원</t>
    <phoneticPr fontId="3" type="noConversion"/>
  </si>
  <si>
    <t>감소인원(누적)</t>
    <phoneticPr fontId="67" type="noConversion"/>
  </si>
  <si>
    <t>서울대 의예과</t>
  </si>
  <si>
    <t>100%</t>
  </si>
  <si>
    <t>0.04 → 0.04</t>
  </si>
  <si>
    <t>한양대 의예과</t>
  </si>
  <si>
    <t>0.14 → 0.14</t>
  </si>
  <si>
    <t>가톨릭대 의예과</t>
  </si>
  <si>
    <t>0.22 → 0.22</t>
  </si>
  <si>
    <t>성균관대 의예과</t>
  </si>
  <si>
    <t>0.23 → 0.20</t>
  </si>
  <si>
    <t>연세대 의예과</t>
  </si>
  <si>
    <t>0.25 → 0.22</t>
  </si>
  <si>
    <t>서울대 치의학과</t>
  </si>
  <si>
    <t>0.30 → 0.26</t>
  </si>
  <si>
    <t>고려대 의과대학</t>
  </si>
  <si>
    <t>서울대 수리과학부</t>
  </si>
  <si>
    <t>0.43 → 0.39</t>
  </si>
  <si>
    <t>경희대 의예과</t>
  </si>
  <si>
    <t>0.57 → 0.51</t>
  </si>
  <si>
    <t>중앙대 의학부</t>
  </si>
  <si>
    <t>0.58 → 0.47</t>
  </si>
  <si>
    <t>서울대 컴퓨터공학부</t>
  </si>
  <si>
    <t>0.60 → 0.52</t>
  </si>
  <si>
    <t>서울대 약학계열</t>
  </si>
  <si>
    <t>0.68 → 0.60</t>
  </si>
  <si>
    <t>아주대 의학과</t>
  </si>
  <si>
    <t>0.68 → 0.59</t>
  </si>
  <si>
    <t>이화여대 의예과(인문)</t>
  </si>
  <si>
    <t>0.79 → 0.75</t>
  </si>
  <si>
    <t>0.70 → 0.61</t>
  </si>
  <si>
    <t>이화여대 의예과(자연)</t>
  </si>
  <si>
    <t>한림대 의학</t>
  </si>
  <si>
    <t>연세대 치의예과</t>
  </si>
  <si>
    <t>충남대 의예과</t>
  </si>
  <si>
    <t>경북대 의예과</t>
  </si>
  <si>
    <t>부산대 의예과</t>
  </si>
  <si>
    <t>서울대 수의예과</t>
  </si>
  <si>
    <t>0.85 → 0.67</t>
  </si>
  <si>
    <t>경희대 한의예과(통합)</t>
  </si>
  <si>
    <t>인하대 의예과</t>
  </si>
  <si>
    <t>0.89 → 0.65</t>
  </si>
  <si>
    <t>경북대 의예과(정시지역)</t>
  </si>
  <si>
    <t>전남대 의학과</t>
  </si>
  <si>
    <t>건국(글로컬) 의예(일반)</t>
  </si>
  <si>
    <t>연세대(미래) 의예과</t>
  </si>
  <si>
    <t>가천대 의예과</t>
  </si>
  <si>
    <t>경희대 치의예과</t>
  </si>
  <si>
    <t>1.03 → 0.91</t>
  </si>
  <si>
    <t>서울대 전기·정보공학부</t>
  </si>
  <si>
    <t>1.08 → 0.98</t>
  </si>
  <si>
    <t>서울대 통계학과</t>
  </si>
  <si>
    <t>성균관대 약학과</t>
  </si>
  <si>
    <t>1.11 → 0.96</t>
  </si>
  <si>
    <t>충북대 의예과</t>
  </si>
  <si>
    <t>순천대 약학과</t>
  </si>
  <si>
    <t>대구가톨릭대 의예과</t>
  </si>
  <si>
    <t>부산대 의예(지역)</t>
  </si>
  <si>
    <t>1.19 → 0.93</t>
  </si>
  <si>
    <t>1.20 → 0.94</t>
  </si>
  <si>
    <t>1.24 → 0.98</t>
  </si>
  <si>
    <t>서울대 광역(학부대학)</t>
  </si>
  <si>
    <t>1.25 → 1.06</t>
  </si>
  <si>
    <t>전북대 의예과</t>
  </si>
  <si>
    <t>1.27 → 1.01</t>
  </si>
  <si>
    <t>건국대 수의예과</t>
  </si>
  <si>
    <t>1.28 → 1.09</t>
  </si>
  <si>
    <t>전남대 의학과(지역)</t>
  </si>
  <si>
    <t>경희대 한의예과(자연)</t>
  </si>
  <si>
    <t>1.36 → 1.17</t>
  </si>
  <si>
    <t>경북대 치의예과</t>
  </si>
  <si>
    <t>1.36 → 1.23</t>
  </si>
  <si>
    <t>동국(WISE) 한의예(유형Ⅱ)</t>
  </si>
  <si>
    <t>1.40 → 1.29</t>
  </si>
  <si>
    <t>1.40 → 1.27</t>
  </si>
  <si>
    <t>1.40 → 1.14</t>
  </si>
  <si>
    <t>서울대 물리·천문학부 물리학전공</t>
  </si>
  <si>
    <t>1.42 → 1.23</t>
  </si>
  <si>
    <t>서울대 자유전공학부</t>
  </si>
  <si>
    <t>중앙대 약학부</t>
  </si>
  <si>
    <t>1.59 → 1.39</t>
  </si>
  <si>
    <t>경상국립대 의예과</t>
  </si>
  <si>
    <t>부산대 한의학전문대학원(학ㆍ석사통합과정)</t>
  </si>
  <si>
    <t>1.63 → 1.41</t>
  </si>
  <si>
    <t>동국대 약학과</t>
  </si>
  <si>
    <t>1.64 → 1.44</t>
  </si>
  <si>
    <t>경희대 약학과</t>
  </si>
  <si>
    <t>가톨릭대 약학과</t>
  </si>
  <si>
    <t>1.66 → 1.47</t>
  </si>
  <si>
    <t>한양대 반도체공학과</t>
  </si>
  <si>
    <t>1.67 → 1.41</t>
  </si>
  <si>
    <t>서울대 경영대학</t>
  </si>
  <si>
    <t>서울대 산업공학과</t>
  </si>
  <si>
    <t>1.68 → 1.48</t>
  </si>
  <si>
    <t>1.70 → 1.57</t>
  </si>
  <si>
    <t>서강대 시스템반도체공학과</t>
  </si>
  <si>
    <t>서울대 화학생물공학부</t>
  </si>
  <si>
    <t>1.70 → 1.50</t>
  </si>
  <si>
    <t>서울대 첨단융합학부</t>
  </si>
  <si>
    <t>1.72 → 1.52</t>
  </si>
  <si>
    <t>서울대 생명과학부</t>
  </si>
  <si>
    <t>1.74 → 1.54</t>
  </si>
  <si>
    <t>서울대 물리·천문학부 천문학전공</t>
  </si>
  <si>
    <t>충남대 의예과(지역)</t>
  </si>
  <si>
    <t>1.78 → 1.52</t>
  </si>
  <si>
    <t>부산대 약학부</t>
  </si>
  <si>
    <t>1.80 → 1.53</t>
  </si>
  <si>
    <t>1.80 → 1.67</t>
  </si>
  <si>
    <t>서울대 항공우주공학과</t>
  </si>
  <si>
    <t>전남대 치의학과(학·석사통합과정)</t>
  </si>
  <si>
    <t>단국(천안) 의예과</t>
  </si>
  <si>
    <t>1.85 → 1.58</t>
  </si>
  <si>
    <t>서울대 화학부</t>
  </si>
  <si>
    <t>1.87 → 1.66</t>
  </si>
  <si>
    <t>강원대 의예과</t>
  </si>
  <si>
    <t>1.88 → 1.61</t>
  </si>
  <si>
    <t>아주대 약학과</t>
  </si>
  <si>
    <t>1.89 → 1.76</t>
  </si>
  <si>
    <t>서울대 재료공학부</t>
  </si>
  <si>
    <t>충남대 수의예과</t>
  </si>
  <si>
    <t>1.90 → 1.67</t>
  </si>
  <si>
    <t>서울대 바이오시스템·소재학부</t>
  </si>
  <si>
    <t>1.95 → 1.74</t>
  </si>
  <si>
    <t>서울대 원자핵공학과</t>
  </si>
  <si>
    <t>전북대 치의예과</t>
  </si>
  <si>
    <t>연세대 약학과</t>
  </si>
  <si>
    <t>1.99 → 1.78</t>
  </si>
  <si>
    <t>연세대(미래) 의예과(지역)</t>
  </si>
  <si>
    <t>2.00 → 1.72</t>
  </si>
  <si>
    <t>충북대 수의예과</t>
  </si>
  <si>
    <t>가천대 한의예과</t>
  </si>
  <si>
    <t>경북대 약학과</t>
  </si>
  <si>
    <t>2.03 → 1.80</t>
  </si>
  <si>
    <t>2.03 → 1.83</t>
  </si>
  <si>
    <t>전남대 치의학과(학·석사통합과정)(지역)</t>
  </si>
  <si>
    <t>서울대 건설환경공학부</t>
  </si>
  <si>
    <t>2.04 → 1.82</t>
  </si>
  <si>
    <t>경북대 수의예과</t>
  </si>
  <si>
    <t>2.11 → 1.88</t>
  </si>
  <si>
    <t>서울대 지리학과</t>
  </si>
  <si>
    <t>서울대 경제학부</t>
  </si>
  <si>
    <t>서울대 조선해양공학과</t>
  </si>
  <si>
    <t>2.14 → 1.93</t>
  </si>
  <si>
    <t>성균관대 양자정보공학과</t>
  </si>
  <si>
    <t>성균관대 반도체융합공학과</t>
  </si>
  <si>
    <t>2.15 → 1.86</t>
  </si>
  <si>
    <t>서울대 건축학과</t>
  </si>
  <si>
    <t>2.18 → 1.96</t>
  </si>
  <si>
    <t>서울대 농경제사회학부</t>
  </si>
  <si>
    <t>서울대 지구환경과학부</t>
  </si>
  <si>
    <t>90%</t>
  </si>
  <si>
    <t>성균관대 반도체시스템공학과</t>
  </si>
  <si>
    <t>2.22 → 1.93</t>
  </si>
  <si>
    <t>숙명여대 약학부</t>
  </si>
  <si>
    <t>2.23 → 2.01</t>
  </si>
  <si>
    <t>강릉원주대 치의예</t>
  </si>
  <si>
    <t>충남대 약학과</t>
  </si>
  <si>
    <t>2.24 → 1.99</t>
  </si>
  <si>
    <t>서울대 기계공학부</t>
  </si>
  <si>
    <t>2.24 → 2.02</t>
  </si>
  <si>
    <t>전남대 약학부</t>
  </si>
  <si>
    <t>관동대 의예</t>
  </si>
  <si>
    <t>2.29 → 1.99</t>
  </si>
  <si>
    <t>성균관대 지능형소프트웨어학과</t>
  </si>
  <si>
    <t>2.29 → 2.00</t>
  </si>
  <si>
    <t>순천대 약학과(지역)</t>
  </si>
  <si>
    <t>2.31 → 2.02</t>
  </si>
  <si>
    <t>서울대 스마트시스템과학과</t>
  </si>
  <si>
    <t>2.31 → 2.05</t>
  </si>
  <si>
    <t>2.32 → 2.17</t>
  </si>
  <si>
    <t>동국(WISE) 의예</t>
  </si>
  <si>
    <t>2.36 → 2.07</t>
  </si>
  <si>
    <t>이화여대 미래산업약학전공</t>
  </si>
  <si>
    <t>2.36 → 2.24</t>
  </si>
  <si>
    <t>성균관대 글로벌바이오메디컬공학과</t>
  </si>
  <si>
    <t>서울대 물리교육과</t>
  </si>
  <si>
    <t>제주대 의예과</t>
  </si>
  <si>
    <t>성균관대 에너지학과</t>
  </si>
  <si>
    <t>2.38 → 2.08</t>
  </si>
  <si>
    <t>전남대 약학부(지역)</t>
  </si>
  <si>
    <t>서울대 국어교육과</t>
  </si>
  <si>
    <t>서울대 의류학과</t>
  </si>
  <si>
    <t>서울대 화학교육과</t>
  </si>
  <si>
    <t>2.39 → 2.12</t>
  </si>
  <si>
    <t>2.39 → 2.09</t>
  </si>
  <si>
    <t>이화여대 약학전공</t>
  </si>
  <si>
    <t>2.39 → 2.17</t>
  </si>
  <si>
    <t>서울대 조경·지역시스템공학부</t>
  </si>
  <si>
    <t>2.40 → 2.13</t>
  </si>
  <si>
    <t>대구가톨릭대 약학부</t>
  </si>
  <si>
    <t>2.40 → 2.11</t>
  </si>
  <si>
    <t>한양대 융합전자공학부</t>
  </si>
  <si>
    <t>서울대 응용생물화학부</t>
  </si>
  <si>
    <t>서울대 식품·동물생명공학부</t>
  </si>
  <si>
    <t>2.40 → 2.14</t>
  </si>
  <si>
    <t>서울대 심리학과</t>
  </si>
  <si>
    <t>서울대 영어교육과</t>
  </si>
  <si>
    <t>서울대 사회학과</t>
  </si>
  <si>
    <t>충남대 수의예과(지역)</t>
  </si>
  <si>
    <t>2.42 → 2.17</t>
  </si>
  <si>
    <t>동국(WISE) 한의예(유형Ⅰ)</t>
  </si>
  <si>
    <t>2.43 → 2.28</t>
  </si>
  <si>
    <t>연세대 시스템반도체공학과</t>
  </si>
  <si>
    <t>2.45 → 2.14</t>
  </si>
  <si>
    <t>서울대 역사교육과</t>
  </si>
  <si>
    <t>고려대(세종) 약학과</t>
  </si>
  <si>
    <t>2.48 → 2.17</t>
  </si>
  <si>
    <t>서울대 간호대학</t>
  </si>
  <si>
    <t>전북대 수의예과</t>
  </si>
  <si>
    <t>2.59 → 2.33</t>
  </si>
  <si>
    <t>서울대 식물생산과학부</t>
  </si>
  <si>
    <t>2.60 → 2.33</t>
  </si>
  <si>
    <t>서울대 산림과학부</t>
  </si>
  <si>
    <t>서울대 수학교육과</t>
  </si>
  <si>
    <t>2.60 → 2.32</t>
  </si>
  <si>
    <t>전북대 약학과</t>
  </si>
  <si>
    <t>부산대 약학(지역)</t>
  </si>
  <si>
    <t>2.62 → 2.30</t>
  </si>
  <si>
    <t>서울대 아동가족학전공</t>
  </si>
  <si>
    <t>성균관대 글로벌경영학과</t>
  </si>
  <si>
    <t>충북대 의예과(지역)</t>
  </si>
  <si>
    <t>서울대 사회교육과</t>
  </si>
  <si>
    <t>가천대 약학과</t>
  </si>
  <si>
    <t>2.69 → 2.46</t>
  </si>
  <si>
    <t>서울대 지구과학교육과</t>
  </si>
  <si>
    <t>2.70 → 2.43</t>
  </si>
  <si>
    <t>서울대 식품영양학과</t>
  </si>
  <si>
    <t>전남대 수의예과</t>
  </si>
  <si>
    <t>경상국립대 약학과</t>
  </si>
  <si>
    <t>대전대 한의예</t>
  </si>
  <si>
    <t>2.75 → 2.44</t>
  </si>
  <si>
    <t>서울대 언론정보학과</t>
  </si>
  <si>
    <t>서울대 생물교육과</t>
  </si>
  <si>
    <t>2.83 → 2.55</t>
  </si>
  <si>
    <t>서울대 정치외교학부</t>
  </si>
  <si>
    <t>서울대 에너지자원공학과</t>
  </si>
  <si>
    <t>서울대 역사학부</t>
  </si>
  <si>
    <t>고려대 차세대통신학과</t>
  </si>
  <si>
    <t>서울대 지리교육과</t>
  </si>
  <si>
    <t>서울대 소비자학전공</t>
  </si>
  <si>
    <t>고려대 스마트모빌리티학부</t>
  </si>
  <si>
    <t>3.06 → 2.71</t>
  </si>
  <si>
    <t>고려대 학부대학</t>
  </si>
  <si>
    <t>목포대 약학과</t>
  </si>
  <si>
    <t>3.10 → 2.75</t>
  </si>
  <si>
    <t>단국(천안) 치의예과</t>
  </si>
  <si>
    <t>3.12 → 2.94</t>
  </si>
  <si>
    <t>충북대 제약학과</t>
  </si>
  <si>
    <t>충북대 약학과</t>
  </si>
  <si>
    <t>서울대 윤리교육과</t>
  </si>
  <si>
    <t>강원대 수의예과</t>
  </si>
  <si>
    <t>3.27 → 2.97</t>
  </si>
  <si>
    <t>경상국립대 의예과(지역)</t>
  </si>
  <si>
    <t>3.30 → 2.95</t>
  </si>
  <si>
    <t>경상국립대 수의예과</t>
  </si>
  <si>
    <t>전북대 의예과(지역)</t>
  </si>
  <si>
    <t>3.31 → 2.96</t>
  </si>
  <si>
    <t>3.32 → 2.97</t>
  </si>
  <si>
    <t>상지대 한의예B</t>
  </si>
  <si>
    <t>3.35 → 3.21</t>
  </si>
  <si>
    <t>3.35 → 3.00</t>
  </si>
  <si>
    <t>고려대 신소재공학부</t>
  </si>
  <si>
    <t>충북대 약학과(지역)</t>
  </si>
  <si>
    <t>충북대 제약학과(지역)</t>
  </si>
  <si>
    <t>건국(글로컬) 의예(지역)</t>
  </si>
  <si>
    <t>고려대 전기전자공학부</t>
  </si>
  <si>
    <t>한양대 산업공학과</t>
  </si>
  <si>
    <t>3.46 → 3.10</t>
  </si>
  <si>
    <t>한양대 데이터사이언스학부</t>
  </si>
  <si>
    <t>3.47 → 3.11</t>
  </si>
  <si>
    <t>한양대 기계공학부</t>
  </si>
  <si>
    <t>연세대 식품영양학과</t>
  </si>
  <si>
    <t>연세대 전기전자공학부</t>
  </si>
  <si>
    <t>고려대 인공지능학과</t>
  </si>
  <si>
    <t>한양대 에너지공학과</t>
  </si>
  <si>
    <t>3.54 → 3.18</t>
  </si>
  <si>
    <t>한양대 화학공학과</t>
  </si>
  <si>
    <t>강원대 약학과</t>
  </si>
  <si>
    <t>3.55 → 3.24</t>
  </si>
  <si>
    <t>고려대 컴퓨터학과</t>
  </si>
  <si>
    <t>3.58 → 3.22</t>
  </si>
  <si>
    <t>연세대 산업공학과</t>
  </si>
  <si>
    <t>상지대 한의예A</t>
  </si>
  <si>
    <t>한양대 신소재공학부</t>
  </si>
  <si>
    <t>한양대 컴퓨터소프트웨어학부</t>
  </si>
  <si>
    <t>연세대 생명공학과</t>
  </si>
  <si>
    <t>3.63 → 3.27</t>
  </si>
  <si>
    <t>충남대 약학과(지역)</t>
  </si>
  <si>
    <t>3.65 → 3.28</t>
  </si>
  <si>
    <t>한양대 원자력공학과</t>
  </si>
  <si>
    <t>고려대 바이오시스템의과학부</t>
  </si>
  <si>
    <t>서울대 사회복지학과</t>
  </si>
  <si>
    <t>연세대 기계공학부</t>
  </si>
  <si>
    <t>3.67 → 3.30</t>
  </si>
  <si>
    <t>연세대 융합과학공학부</t>
  </si>
  <si>
    <t>경북대 전자공학부 모바일공학전공</t>
  </si>
  <si>
    <t>3.76 → 3.39</t>
  </si>
  <si>
    <t>한양대 바이오메디컬공학전공</t>
  </si>
  <si>
    <t>3.77 → 3.40</t>
  </si>
  <si>
    <t>연세대 실내건축학과</t>
  </si>
  <si>
    <t>고려대 생명공학부</t>
  </si>
  <si>
    <t>3.81 → 3.44</t>
  </si>
  <si>
    <t>고려대 화공생명공학과</t>
  </si>
  <si>
    <t>고려대 융합에너지공학과</t>
  </si>
  <si>
    <t>3.83 → 3.45</t>
  </si>
  <si>
    <t>3.88 → 3.50</t>
  </si>
  <si>
    <t>성균관대 소프트웨어학과</t>
  </si>
  <si>
    <t>3.90 → 3.52</t>
  </si>
  <si>
    <t>고려대 수학과</t>
  </si>
  <si>
    <t>연세대 화공생명공학부</t>
  </si>
  <si>
    <t>경상국립대 약학과(지역)</t>
  </si>
  <si>
    <t>3.93 → 3.56</t>
  </si>
  <si>
    <t>한양대 미래자동차공학과</t>
  </si>
  <si>
    <t>3.94 → 3.57</t>
  </si>
  <si>
    <t>고려대 스마트보안학부</t>
  </si>
  <si>
    <t>한양대 생명공학과</t>
  </si>
  <si>
    <t>한양대 물리학과</t>
  </si>
  <si>
    <t>고려대 생명과학부</t>
  </si>
  <si>
    <t>4.02 → 3.63</t>
  </si>
  <si>
    <t>한양대 한양인터칼리지학부</t>
  </si>
  <si>
    <t>고려대 데이터과학과</t>
  </si>
  <si>
    <t>4.08 → 3.69</t>
  </si>
  <si>
    <t>고려대 통계학과</t>
  </si>
  <si>
    <t>고려대 정치외교학과</t>
  </si>
  <si>
    <t>한양대 생명과학과</t>
  </si>
  <si>
    <t>4.16 → 3.76</t>
  </si>
  <si>
    <t>고려대 건축사회환경공학부</t>
  </si>
  <si>
    <t>한양대 수학과</t>
  </si>
  <si>
    <t>4.16 → 3.77</t>
  </si>
  <si>
    <t>연세대 신소재공학부</t>
  </si>
  <si>
    <t>연세대 첨단컴퓨팅학부</t>
  </si>
  <si>
    <t>4.22 → 3.84</t>
  </si>
  <si>
    <t>연세대 화학과</t>
  </si>
  <si>
    <t>연세대 대기과학과</t>
  </si>
  <si>
    <t>연세대 지능형반도체전공</t>
  </si>
  <si>
    <t>4.26 → 3.87</t>
  </si>
  <si>
    <t>한양대 건축공학부</t>
  </si>
  <si>
    <t>4.27 → 3.87</t>
  </si>
  <si>
    <t>연세대 통합디자인학과</t>
  </si>
  <si>
    <t>한양대 정보시스템학과(상경)</t>
  </si>
  <si>
    <t>3.93 → 3.63</t>
  </si>
  <si>
    <t>서강대 인문학기반자유전공학부</t>
  </si>
  <si>
    <t>제주대 의예과(지역)</t>
  </si>
  <si>
    <t>성균관대 글로벌융합학부</t>
  </si>
  <si>
    <t>고려대 수학교육과</t>
  </si>
  <si>
    <t>고려대 보건환경융합과학부</t>
  </si>
  <si>
    <t>4.31 → 3.91</t>
  </si>
  <si>
    <t>한양대 건축학부</t>
  </si>
  <si>
    <t>성균관대 자유전공계열</t>
  </si>
  <si>
    <t>고려대 환경생태공학부</t>
  </si>
  <si>
    <t>4.31 → 3.93</t>
  </si>
  <si>
    <t>고려대 보건정책관리학부</t>
  </si>
  <si>
    <t>한양대 유기나노공학과</t>
  </si>
  <si>
    <t>4.32 → 3.92</t>
  </si>
  <si>
    <t>고려대 건축학과</t>
  </si>
  <si>
    <t>4.33 → 3.93</t>
  </si>
  <si>
    <t>전북대 치의예과(지역)</t>
  </si>
  <si>
    <t>한양대 전기공학전공</t>
  </si>
  <si>
    <t>제주대 수의예과</t>
  </si>
  <si>
    <t>4.34 → 4.00</t>
  </si>
  <si>
    <t>고려대 국어국문학과</t>
  </si>
  <si>
    <t>한양대 건설환경공학과</t>
  </si>
  <si>
    <t>4.34 → 3.95</t>
  </si>
  <si>
    <t>연세대 의류환경학과</t>
  </si>
  <si>
    <t>연세대 IT융합공학전공</t>
  </si>
  <si>
    <t>4.35 → 3.96</t>
  </si>
  <si>
    <t>고려대 기계공학부</t>
  </si>
  <si>
    <t>4.39 → 3.99</t>
  </si>
  <si>
    <t>연세대 간호학과</t>
  </si>
  <si>
    <t>한양대 식품영양학과</t>
  </si>
  <si>
    <t>4.42 → 4.01</t>
  </si>
  <si>
    <t>연세대 도시공학과</t>
  </si>
  <si>
    <t>제주대 약학과</t>
  </si>
  <si>
    <t>4.43 → 4.02</t>
  </si>
  <si>
    <t>성균관대 글로벌리더학부</t>
  </si>
  <si>
    <t>연세대 지구시스템과학과</t>
  </si>
  <si>
    <t>4.46 → 4.05</t>
  </si>
  <si>
    <t>고려대 영어영문학과</t>
  </si>
  <si>
    <t>고려대 경제학과</t>
  </si>
  <si>
    <t>연세대 디스플레이융합공학과</t>
  </si>
  <si>
    <t>고려대 식품공학과</t>
  </si>
  <si>
    <t>4.53 → 4.13</t>
  </si>
  <si>
    <t>연세대 물리학과</t>
  </si>
  <si>
    <t>4.54 → 4.14</t>
  </si>
  <si>
    <t>한양대 자원환경공학과</t>
  </si>
  <si>
    <t>4.57 → 4.17</t>
  </si>
  <si>
    <t>서강대 생명과학과</t>
  </si>
  <si>
    <t>고려대 반도체공학과</t>
  </si>
  <si>
    <t>4.60 → 4.18</t>
  </si>
  <si>
    <t>연세대 사회환경시스템공학부</t>
  </si>
  <si>
    <t>4.59 → 4.19</t>
  </si>
  <si>
    <t>4.63 → 4.23</t>
  </si>
  <si>
    <t>연세대 경영학과</t>
  </si>
  <si>
    <t>4.32 → 4.02</t>
  </si>
  <si>
    <t>서강대 AI기반자유전공학부</t>
  </si>
  <si>
    <t>고려대 자유전공학부</t>
  </si>
  <si>
    <t>고려대 바이오의공학부</t>
  </si>
  <si>
    <t>4.68 → 4.27</t>
  </si>
  <si>
    <t>경희대 한약학과</t>
  </si>
  <si>
    <t>성균관대 공학계열</t>
  </si>
  <si>
    <t>4.71 → 4.31</t>
  </si>
  <si>
    <t>서강대 물리학과</t>
  </si>
  <si>
    <t>고려대 행정학과</t>
  </si>
  <si>
    <t>고려대 사회학과</t>
  </si>
  <si>
    <t>단국(천안) 약학과</t>
  </si>
  <si>
    <t>4.77 → 4.35</t>
  </si>
  <si>
    <t>성균관대 수학교육과</t>
  </si>
  <si>
    <t>서강대 수학과</t>
  </si>
  <si>
    <t>4.77 → 4.36</t>
  </si>
  <si>
    <t>고려대 간호대학</t>
  </si>
  <si>
    <t>고려대 가정교육과</t>
  </si>
  <si>
    <t>연세대 건축공학과</t>
  </si>
  <si>
    <t>고려대 물리학과</t>
  </si>
  <si>
    <t>4.81 → 4.40</t>
  </si>
  <si>
    <t>고려대 독어독문학과</t>
  </si>
  <si>
    <t>연세대 영어영문학과</t>
  </si>
  <si>
    <t>4.48 → 4.18</t>
  </si>
  <si>
    <t>고려대 화학과</t>
  </si>
  <si>
    <t>고려대 중어중문학과</t>
  </si>
  <si>
    <t>성균관대 건설환경공학부</t>
  </si>
  <si>
    <t>서강대 기계공학과</t>
  </si>
  <si>
    <t>서강대 화공생명공학과</t>
  </si>
  <si>
    <t>4.82 → 4.40</t>
  </si>
  <si>
    <t>고려대 영어교육과</t>
  </si>
  <si>
    <t>연세대 상경계열</t>
  </si>
  <si>
    <t>고려대 한국사학과</t>
  </si>
  <si>
    <t>연세대 아동·가족학과</t>
  </si>
  <si>
    <t>4.82 → 4.52</t>
  </si>
  <si>
    <t>고려대 교육학과</t>
  </si>
  <si>
    <t>연세대 응용통계학과</t>
  </si>
  <si>
    <t>고려대 지구환경과학과</t>
  </si>
  <si>
    <t>서강대 경제학과</t>
  </si>
  <si>
    <t>고려대 사이버국방학과</t>
  </si>
  <si>
    <t>4.83 → 4.52</t>
  </si>
  <si>
    <t>연세대 교육학부</t>
  </si>
  <si>
    <t>연세대 언더우드학부(인문사회)</t>
  </si>
  <si>
    <t>서강대 경영학부</t>
  </si>
  <si>
    <t>연세대 국어국문학과</t>
  </si>
  <si>
    <t>고려대 국제학부</t>
  </si>
  <si>
    <t>고려대 노어노문학과</t>
  </si>
  <si>
    <t>한양대 도시공학과</t>
  </si>
  <si>
    <t>4.84 → 4.41</t>
  </si>
  <si>
    <t>한양대 화학과</t>
  </si>
  <si>
    <t>고려대 일어일문학과</t>
  </si>
  <si>
    <t>고려대 역사교육과</t>
  </si>
  <si>
    <t>고려대 지리교육과</t>
  </si>
  <si>
    <t>고려대 국어교육과</t>
  </si>
  <si>
    <t>성균관대 경영학과</t>
  </si>
  <si>
    <t>연세대 천문우주학과</t>
  </si>
  <si>
    <t>4.85 → 4.42</t>
  </si>
  <si>
    <t>서강대 SCIENCE기반자유전공학부</t>
  </si>
  <si>
    <t>고려대 언어학과</t>
  </si>
  <si>
    <t>4.82 → 4.51</t>
  </si>
  <si>
    <t>연세대 중어중문학과</t>
  </si>
  <si>
    <t>고려대 서어서문학과</t>
  </si>
  <si>
    <t>연세대 불어불문학과</t>
  </si>
  <si>
    <t>서강대 컴퓨터공학과</t>
  </si>
  <si>
    <t>연세대 노어노문학과</t>
  </si>
  <si>
    <t>연세대 행정학과</t>
  </si>
  <si>
    <t>연세대 사회복지학과</t>
  </si>
  <si>
    <t>서강대 화학과</t>
  </si>
  <si>
    <t>5.16 → 4.72</t>
  </si>
  <si>
    <t>서강대 인공지능학과</t>
  </si>
  <si>
    <t>5.16 → 4.73</t>
  </si>
  <si>
    <t>서강대 전자공학과</t>
  </si>
  <si>
    <t>5.17 → 4.73</t>
  </si>
  <si>
    <t>연세대 수학과</t>
  </si>
  <si>
    <t>고려대 사학과</t>
  </si>
  <si>
    <t>연세대 사학과</t>
  </si>
  <si>
    <t>4.84 → 4.53</t>
  </si>
  <si>
    <t>성균관대 컴퓨터교육과</t>
  </si>
  <si>
    <t>서강대 지식융합미디어학부</t>
  </si>
  <si>
    <t>고려대 식품자원경제학과</t>
  </si>
  <si>
    <t>4.85 → 4.54</t>
  </si>
  <si>
    <t>연세대 독어독문학과</t>
  </si>
  <si>
    <t>연세대 정치외교학과</t>
  </si>
  <si>
    <t>연세대 생명과학부</t>
  </si>
  <si>
    <t>5.26 → 4.82</t>
  </si>
  <si>
    <t>고려대 철학과</t>
  </si>
  <si>
    <t>성균관대 글로벌경제학과</t>
  </si>
  <si>
    <t>서강대 중국문화학과</t>
  </si>
  <si>
    <t>강원대 의예과(지역인재)</t>
  </si>
  <si>
    <t>5.28 → 4.84</t>
  </si>
  <si>
    <t>성균관대 자연과학계열</t>
  </si>
  <si>
    <t>5.29 → 4.85</t>
  </si>
  <si>
    <t>한양대 파이낸스경영학과</t>
  </si>
  <si>
    <t>서강대 글로벌한국학부</t>
  </si>
  <si>
    <t>서강대 인문학부</t>
  </si>
  <si>
    <t>연세대 융합인문사회과학부</t>
  </si>
  <si>
    <t>고려대 경영대학</t>
  </si>
  <si>
    <t>서강대 유럽문화학과</t>
  </si>
  <si>
    <t>성균관대 전자전기공학부</t>
  </si>
  <si>
    <t>5.51 → 5.06</t>
  </si>
  <si>
    <t>한양대 경제금융학부</t>
  </si>
  <si>
    <t>연세대 신학과</t>
  </si>
  <si>
    <t>고려대 한문학과</t>
  </si>
  <si>
    <t>5.24 → 4.93</t>
  </si>
  <si>
    <t>고려대 미디어학부</t>
  </si>
  <si>
    <t>5.28 → 4.97</t>
  </si>
  <si>
    <t>서울시립대 자유전공학부(인문)</t>
  </si>
  <si>
    <t>5.30 → 4.99</t>
  </si>
  <si>
    <t>성균관대 교육학과</t>
  </si>
  <si>
    <t>서강대 영문학부</t>
  </si>
  <si>
    <t>5.42 → 5.11</t>
  </si>
  <si>
    <t>연세대 문헌정보학과</t>
  </si>
  <si>
    <t>서울시립대 세무학과</t>
  </si>
  <si>
    <t>성균관대 사회과학계열</t>
  </si>
  <si>
    <t>성균관대 영상학과</t>
  </si>
  <si>
    <t>한양대 간호학과</t>
  </si>
  <si>
    <t>성균관대 한문교육과</t>
  </si>
  <si>
    <t>성균관대 인문과학계열</t>
  </si>
  <si>
    <t>한양대 국어교육과</t>
  </si>
  <si>
    <t>숭실대 정보보호학과</t>
  </si>
  <si>
    <t>6.02 → 5.57</t>
  </si>
  <si>
    <t>한양대 경영학부</t>
  </si>
  <si>
    <t>한양대 관광학부</t>
  </si>
  <si>
    <t>서강대 사회과학부</t>
  </si>
  <si>
    <t>한양대 정치외교학과</t>
  </si>
  <si>
    <t>5.80 → 5.49</t>
  </si>
  <si>
    <t>한양대 철학과</t>
  </si>
  <si>
    <t>한양대 교육공학과</t>
  </si>
  <si>
    <t>고려대 불어불문학과</t>
  </si>
  <si>
    <t>한양대 실내건축디자인학과(인문)</t>
  </si>
  <si>
    <t>서울시립대 첨단융합학부 첨단인공지능전공</t>
  </si>
  <si>
    <t>6.40 → 5.94</t>
  </si>
  <si>
    <t>서울시립대 인공지능학과</t>
  </si>
  <si>
    <t>서울시립대 전자전기컴퓨터공학부</t>
  </si>
  <si>
    <t>6.47 → 6.01</t>
  </si>
  <si>
    <t>한양대 영어교육과</t>
  </si>
  <si>
    <t>한양대 영어영문학과</t>
  </si>
  <si>
    <t>한양대 국제학부</t>
  </si>
  <si>
    <t>고려대 심리학부</t>
  </si>
  <si>
    <t>연세대 심리학과</t>
  </si>
  <si>
    <t>중앙대 응용통계학과</t>
  </si>
  <si>
    <t>한양대 의류학과(인문)</t>
  </si>
  <si>
    <t>연세대 정치외교(농어촌)</t>
  </si>
  <si>
    <t>연세대 철학과</t>
  </si>
  <si>
    <t>중앙대 창의ICT공과대학</t>
  </si>
  <si>
    <t>6.70 → 6.23</t>
  </si>
  <si>
    <t>서울시립대 신소재공학과</t>
  </si>
  <si>
    <t>6.72 → 6.26</t>
  </si>
  <si>
    <t>한양대 정책학과</t>
  </si>
  <si>
    <t>한양대 국어국문학과</t>
  </si>
  <si>
    <t>한양대 중어중문학과</t>
  </si>
  <si>
    <t>연세대 언론홍보영상학부</t>
  </si>
  <si>
    <t>서울시립대 첨단융합학부 지능형반도체전공</t>
  </si>
  <si>
    <t>6.77 → 6.31</t>
  </si>
  <si>
    <t>한양대 사학과</t>
  </si>
  <si>
    <t>6.49 → 6.19</t>
  </si>
  <si>
    <t>연세대 사회학과</t>
  </si>
  <si>
    <t>중앙대 소프트웨어학부</t>
  </si>
  <si>
    <t>6.82 → 6.35</t>
  </si>
  <si>
    <t>서울시립대 화학공학과</t>
  </si>
  <si>
    <t>6.83 → 6.36</t>
  </si>
  <si>
    <t>서울시립대 첨단융합학부 융합바이오헬스전공</t>
  </si>
  <si>
    <t>6.84 → 6.37</t>
  </si>
  <si>
    <t>서울시립대 자유전공학부(자연)</t>
  </si>
  <si>
    <t>6.85 → 6.38</t>
  </si>
  <si>
    <t>서울시립대 기계정보공학과</t>
  </si>
  <si>
    <t>6.94 → 6.47</t>
  </si>
  <si>
    <t>경희대 약과학과</t>
  </si>
  <si>
    <t>경희대 미래정보디스플레이학부</t>
  </si>
  <si>
    <t>건국대 KU자유전공학부</t>
  </si>
  <si>
    <t>서울시립대 통계학과</t>
  </si>
  <si>
    <t>6.99 → 6.52</t>
  </si>
  <si>
    <t>서울시립대 컴퓨터과학부</t>
  </si>
  <si>
    <t>경희대 빅데이터응용학과</t>
  </si>
  <si>
    <t>한양대 행정학과</t>
  </si>
  <si>
    <t>한양대 수학교육과</t>
  </si>
  <si>
    <t>7.02 → 6.55</t>
  </si>
  <si>
    <t>한양대 연극영화학과(영화전공)</t>
  </si>
  <si>
    <t>한양대 미디어커뮤니케이션학과</t>
  </si>
  <si>
    <t>6.80 → 6.50</t>
  </si>
  <si>
    <t>서울시립대 경영학부</t>
  </si>
  <si>
    <t>연세대 경제학부</t>
  </si>
  <si>
    <t>서울시립대 도시공학과</t>
  </si>
  <si>
    <t>이화여대 인공지능데이터(인문)</t>
  </si>
  <si>
    <t>경희대 영어영문학과</t>
  </si>
  <si>
    <t>건국대 전기전자공학부</t>
  </si>
  <si>
    <t>서울시립대 경제학부</t>
  </si>
  <si>
    <t>경희대 자유전공학부</t>
  </si>
  <si>
    <t>7.19 → 6.71</t>
  </si>
  <si>
    <t>중앙대 AI학과</t>
  </si>
  <si>
    <t>7.22 → 6.74</t>
  </si>
  <si>
    <t>한양대 사회학과</t>
  </si>
  <si>
    <t>중앙대 화학과</t>
  </si>
  <si>
    <t>경희대 철학과</t>
  </si>
  <si>
    <t>경희대 화학과</t>
  </si>
  <si>
    <t>서울시립대 생명과학과</t>
  </si>
  <si>
    <t>경희대 전자정보공학부 전자공학과</t>
  </si>
  <si>
    <t>건국대 컴퓨터공학부</t>
  </si>
  <si>
    <t>중앙대 경영학부(경영학)</t>
  </si>
  <si>
    <t>건국대 첨단바이오공학부</t>
  </si>
  <si>
    <t>7.44 → 6.96</t>
  </si>
  <si>
    <t>동국대 컴퓨터·AI학부(인문)</t>
  </si>
  <si>
    <t>경희대 전자정보공학부 반도체공학과</t>
  </si>
  <si>
    <t>중앙대 수학과</t>
  </si>
  <si>
    <t>서울과학기술대 산업공학과 ITM전공(인문)</t>
  </si>
  <si>
    <t>중앙대 기계공학부</t>
  </si>
  <si>
    <t>연세대 문화인류학과</t>
  </si>
  <si>
    <t>서울시립대 수학과</t>
  </si>
  <si>
    <t>경희대 응용영어통번역학과</t>
  </si>
  <si>
    <t>7.28 → 6.99</t>
  </si>
  <si>
    <t>경희대 사학과</t>
  </si>
  <si>
    <t>중앙대 생명과학과</t>
  </si>
  <si>
    <t>7.55 → 7.06</t>
  </si>
  <si>
    <t>건국대 미디어커뮤니케이션학과</t>
  </si>
  <si>
    <t>경희대 주거환경학과</t>
  </si>
  <si>
    <t>이화여대 뇌·인지과학부(자연)</t>
  </si>
  <si>
    <t>7.59 → 7.10</t>
  </si>
  <si>
    <t>경희대 소프트웨어융합학과</t>
  </si>
  <si>
    <t>경희대 생물학과</t>
  </si>
  <si>
    <t>서울시립대 융합응용화학과</t>
  </si>
  <si>
    <t>7.66 → 7.17</t>
  </si>
  <si>
    <t>건국대 시스템생명공학과</t>
  </si>
  <si>
    <t>중앙대 국어국문학과</t>
  </si>
  <si>
    <t>경희대 컴퓨터공학부 컴퓨터공학과</t>
  </si>
  <si>
    <t>이화여대 계열별 통합선발(인문계열)</t>
  </si>
  <si>
    <t>중앙대 아시아문화학부(중국어문학)</t>
  </si>
  <si>
    <t>경희대 컴퓨터공학부 인공지능학과</t>
  </si>
  <si>
    <t>서울시립대 물리학과</t>
  </si>
  <si>
    <t>7.77 → 7.27</t>
  </si>
  <si>
    <t>경희대 아동가족학과</t>
  </si>
  <si>
    <t>7.55 → 7.26</t>
  </si>
  <si>
    <t>경희대 회계·세무학과</t>
  </si>
  <si>
    <t>이화여대 초등교육과</t>
  </si>
  <si>
    <t>7.57 → 7.27</t>
  </si>
  <si>
    <t>경희대 의상학과</t>
  </si>
  <si>
    <t>경희대 경제학과</t>
  </si>
  <si>
    <t>경희대 수학과</t>
  </si>
  <si>
    <t>이화여대 인공지능데이터(자연)</t>
  </si>
  <si>
    <t>7.84 → 7.35</t>
  </si>
  <si>
    <t>서울시립대 도시행정학과</t>
  </si>
  <si>
    <t>서울시립대 공간정보공학과</t>
  </si>
  <si>
    <t>7.86 → 7.36</t>
  </si>
  <si>
    <t>건국대 기계‧로봇‧자동차공학부</t>
  </si>
  <si>
    <t>경희대 유전생명공학과</t>
  </si>
  <si>
    <t>7.86 → 7.37</t>
  </si>
  <si>
    <t>고려대 산업경영공학부</t>
  </si>
  <si>
    <t>7.87 → 7.37</t>
  </si>
  <si>
    <t>경희대 국어국문학과</t>
  </si>
  <si>
    <t>연세대 기계공(농어촌)</t>
  </si>
  <si>
    <t>7.90 → 7.40</t>
  </si>
  <si>
    <t>경희대 신소재공학과</t>
  </si>
  <si>
    <t>건국대 융합생명공학과</t>
  </si>
  <si>
    <t>7.91 → 7.41</t>
  </si>
  <si>
    <t>건국대 수학과</t>
  </si>
  <si>
    <t>서울시립대 국제관계학과</t>
  </si>
  <si>
    <t>한양대 교육학과</t>
  </si>
  <si>
    <t>한국외국어대 Language &amp; AI융합학부</t>
  </si>
  <si>
    <t>7.92 → 7.42</t>
  </si>
  <si>
    <t>서울시립대 토목공학과</t>
  </si>
  <si>
    <t>7.92 → 7.41</t>
  </si>
  <si>
    <t>연세대 신소재(농어촌)</t>
  </si>
  <si>
    <t>건국대 생물공학과</t>
  </si>
  <si>
    <t>건국대 화공학부</t>
  </si>
  <si>
    <t>7.93 → 7.42</t>
  </si>
  <si>
    <t>서울시립대 건축학부 건축공학전공</t>
  </si>
  <si>
    <t>경희대 미디어학과</t>
  </si>
  <si>
    <t>7.77 → 7.50</t>
  </si>
  <si>
    <t>건국대 재료공학과</t>
  </si>
  <si>
    <t>경희대 정치외교학과</t>
  </si>
  <si>
    <t>7.80 → 7.53</t>
  </si>
  <si>
    <t>서울시립대 건축학부 건축학전공(5년제)</t>
  </si>
  <si>
    <t>7.94 → 7.44</t>
  </si>
  <si>
    <t>중앙대 도시계획ㆍ부동산학과</t>
  </si>
  <si>
    <t>건국대 산업공학과</t>
  </si>
  <si>
    <t>7.95 → 7.44</t>
  </si>
  <si>
    <t>서울시립대 교통공학과</t>
  </si>
  <si>
    <t>7.96 → 7.45</t>
  </si>
  <si>
    <t>경희대 물리학과</t>
  </si>
  <si>
    <t>경희대 경영학과</t>
  </si>
  <si>
    <t>중앙대 사회기반시스템공학부(건설환경플랜트공학)</t>
  </si>
  <si>
    <t>7.99 → 7.48</t>
  </si>
  <si>
    <t>건국대 항공우주‧모빌리티공학과</t>
  </si>
  <si>
    <t>8.00 → 7.49</t>
  </si>
  <si>
    <t>중앙대 화학공학과</t>
  </si>
  <si>
    <t>8.01 → 7.50</t>
  </si>
  <si>
    <t>중앙대 공공인재학부</t>
  </si>
  <si>
    <t>중앙대 영어영문학과</t>
  </si>
  <si>
    <t>경희대 무역학과</t>
  </si>
  <si>
    <t>7.93 → 7.66</t>
  </si>
  <si>
    <t>건국대 생명과학특성학과</t>
  </si>
  <si>
    <t>8.02 → 7.51</t>
  </si>
  <si>
    <t>중앙대 영어교육과</t>
  </si>
  <si>
    <t>중앙대 역사학과</t>
  </si>
  <si>
    <t>중앙대 경영학부(글로벌금융)</t>
  </si>
  <si>
    <t>7.94 → 7.67</t>
  </si>
  <si>
    <t>중앙대 교육학과</t>
  </si>
  <si>
    <t>중앙대 문헌정보학과</t>
  </si>
  <si>
    <t>중앙대 미디어커뮤니케이션학부</t>
  </si>
  <si>
    <t>서울시립대 환경공학부</t>
  </si>
  <si>
    <t>한국외국어대 Language &amp; Trade학부</t>
  </si>
  <si>
    <t>중앙대 철학과</t>
  </si>
  <si>
    <t>중앙대 간호학과(인문)</t>
  </si>
  <si>
    <t>중앙대 에너지시스템공학부</t>
  </si>
  <si>
    <t>8.05 → 7.53</t>
  </si>
  <si>
    <t>서울시립대 도시사회학과</t>
  </si>
  <si>
    <t>경희대 화학공학과</t>
  </si>
  <si>
    <t>경희대 행정학과</t>
  </si>
  <si>
    <t>강릉원주대 치의예(지역)</t>
  </si>
  <si>
    <t>8.06 → 7.54</t>
  </si>
  <si>
    <t>경희대 산업경영공학과</t>
  </si>
  <si>
    <t>중앙대 물리학과</t>
  </si>
  <si>
    <t>경희대 지리학과(인문)</t>
  </si>
  <si>
    <t>중앙대 아시아문화학부(일본어문학)</t>
  </si>
  <si>
    <t>경희대 Hospitality경영학과</t>
  </si>
  <si>
    <t>경희대 기계공학과</t>
  </si>
  <si>
    <t>이화여대 국어교육과</t>
  </si>
  <si>
    <t>중앙대 국제물류학과</t>
  </si>
  <si>
    <t>8.02 → 7.74</t>
  </si>
  <si>
    <t>이화여대 사회과교육과</t>
  </si>
  <si>
    <t>이화여대 영어교육과</t>
  </si>
  <si>
    <t>성균관대 의상학과</t>
  </si>
  <si>
    <t>8.15 → 7.63</t>
  </si>
  <si>
    <t>건국대 영어영문학과</t>
  </si>
  <si>
    <t>중앙대 유아교육과</t>
  </si>
  <si>
    <t>중앙대 광고홍보학과</t>
  </si>
  <si>
    <t>건국대 물리학과</t>
  </si>
  <si>
    <t>8.18 → 7.65</t>
  </si>
  <si>
    <t>건국대 응용통계학과</t>
  </si>
  <si>
    <t>경희대 사회학과</t>
  </si>
  <si>
    <t>8.03 → 7.75</t>
  </si>
  <si>
    <t>건국대 수학교육과</t>
  </si>
  <si>
    <t>8.19 → 7.66</t>
  </si>
  <si>
    <t>이화여대 수학교육과</t>
  </si>
  <si>
    <t>8.20 → 7.67</t>
  </si>
  <si>
    <t>중앙대 정치국제학과</t>
  </si>
  <si>
    <t>경희대 관광·엔터테인먼트학부</t>
  </si>
  <si>
    <t>이화여대 계열별 통합선발(자연계열)</t>
  </si>
  <si>
    <t>8.22 → 7.69</t>
  </si>
  <si>
    <t>중앙대 심리학과</t>
  </si>
  <si>
    <t>8.05 → 7.77</t>
  </si>
  <si>
    <t>건국대 영어교육과</t>
  </si>
  <si>
    <t>이화여대 간호학부</t>
  </si>
  <si>
    <t>경희대 지리학과(자연)</t>
  </si>
  <si>
    <t>홍익대 서울캠퍼스자율전공(인문·예능)</t>
  </si>
  <si>
    <t>홍익대 건축학전공(5년제)</t>
  </si>
  <si>
    <t>8.27 → 7.73</t>
  </si>
  <si>
    <t>동국대 시스템반도체학부</t>
  </si>
  <si>
    <t>8.28 → 7.74</t>
  </si>
  <si>
    <t>경희대 생체의공학과</t>
  </si>
  <si>
    <t>중앙대 건축학부</t>
  </si>
  <si>
    <t>건국대 교육공학과</t>
  </si>
  <si>
    <t>8.13 → 7.85</t>
  </si>
  <si>
    <t>건국대 부동산학과</t>
  </si>
  <si>
    <t>경희대 식품생명공학과</t>
  </si>
  <si>
    <t>서울과학기술대 MSDE학과</t>
  </si>
  <si>
    <t>숙명여대 수학과</t>
  </si>
  <si>
    <t>8.35 → 7.81</t>
  </si>
  <si>
    <t>건국대 공과대학자유전공학부</t>
  </si>
  <si>
    <t>8.38 → 7.84</t>
  </si>
  <si>
    <t>서울시립대 행정학과</t>
  </si>
  <si>
    <t>경희대 응용수학과</t>
  </si>
  <si>
    <t>경희대 조리&amp;푸드디자인학과</t>
  </si>
  <si>
    <t>8.17 → 7.89</t>
  </si>
  <si>
    <t>중앙대 간호학과(자연)</t>
  </si>
  <si>
    <t>8.39 → 7.85</t>
  </si>
  <si>
    <t>경희대 자율전공학부</t>
  </si>
  <si>
    <t>동국대 경찰행정학부</t>
  </si>
  <si>
    <t>8.19 → 7.91</t>
  </si>
  <si>
    <t>건국대 문화콘텐츠학과</t>
  </si>
  <si>
    <t>이화여대 교육학과</t>
  </si>
  <si>
    <t>경희대 응용물리학과</t>
  </si>
  <si>
    <t>중앙대 사회학과</t>
  </si>
  <si>
    <t>8.20 → 7.92</t>
  </si>
  <si>
    <t>서울시립대 국어국문학과</t>
  </si>
  <si>
    <t>이화여대 뇌·인지과학부(인문)</t>
  </si>
  <si>
    <t>경희대 식품영양학과</t>
  </si>
  <si>
    <t>이화여대 유아교육과</t>
  </si>
  <si>
    <t>중앙대 산업보안학과(자연)</t>
  </si>
  <si>
    <t>8.50 → 7.95</t>
  </si>
  <si>
    <t>한국외국어대 Language &amp; Diplomacy학부</t>
  </si>
  <si>
    <t>건국대 사회환경공학부</t>
  </si>
  <si>
    <t>8.52 → 7.98</t>
  </si>
  <si>
    <t>경희대 간호학과</t>
  </si>
  <si>
    <t>경희대 글로벌Hospitality·관광학과</t>
  </si>
  <si>
    <t>경희대 원자력공학과</t>
  </si>
  <si>
    <t>서울시립대 철학과</t>
  </si>
  <si>
    <t>서울시립대 중국어문화학과</t>
  </si>
  <si>
    <t>서울시립대 환경원예학과</t>
  </si>
  <si>
    <t>8.62 → 8.07</t>
  </si>
  <si>
    <t>전남대 전기공학과</t>
  </si>
  <si>
    <t>8.64 → 8.09</t>
  </si>
  <si>
    <t>건국대 화학과</t>
  </si>
  <si>
    <t>서울시립대 조경학과</t>
  </si>
  <si>
    <t>건국대 국어국문학과</t>
  </si>
  <si>
    <t>8.44 → 8.15</t>
  </si>
  <si>
    <t>한국외국어대 Social Science &amp; AI융합학부</t>
  </si>
  <si>
    <t>서울시립대 국사학과</t>
  </si>
  <si>
    <t>이화여대 과학교육과</t>
  </si>
  <si>
    <t>8.70 → 8.15</t>
  </si>
  <si>
    <t>경희대 환경학및환경공학과</t>
  </si>
  <si>
    <t>한국외국어대 국제통상학과</t>
  </si>
  <si>
    <t>건국대 경제학과</t>
  </si>
  <si>
    <t>동국대 열린전공학부(인문)</t>
  </si>
  <si>
    <t>건국대 건축학부</t>
  </si>
  <si>
    <t>8.79 → 8.23</t>
  </si>
  <si>
    <t>경희대 응용화학과</t>
  </si>
  <si>
    <t>건국대 국제무역학과</t>
  </si>
  <si>
    <t>이화여대 특수교육과</t>
  </si>
  <si>
    <t>경희대 스마트팜과학과</t>
  </si>
  <si>
    <t>건국대 동물자원‧식품과학‧유통학부</t>
  </si>
  <si>
    <t>8.84 → 8.28</t>
  </si>
  <si>
    <t>서울시립대 영어영문학과</t>
  </si>
  <si>
    <t>서울과학기술대 산업공학과 ITM전공(자연)</t>
  </si>
  <si>
    <t>경희대 우주과학과</t>
  </si>
  <si>
    <t>동국대 수학교육과</t>
  </si>
  <si>
    <t>8.86 → 8.31</t>
  </si>
  <si>
    <t>건국대 기술경영학과</t>
  </si>
  <si>
    <t>건국대 경영학과</t>
  </si>
  <si>
    <t>건국대 정치외교학과</t>
  </si>
  <si>
    <t>가톨릭대 간호학과</t>
  </si>
  <si>
    <t>8.89 → 8.33</t>
  </si>
  <si>
    <t>경희대 건축공학과</t>
  </si>
  <si>
    <t>건국대 환경보건‧산림조경학부</t>
  </si>
  <si>
    <t>8.93 → 8.37</t>
  </si>
  <si>
    <t>건국대 중어중문학과</t>
  </si>
  <si>
    <t>한국외국어대 경영학부</t>
  </si>
  <si>
    <t>건국대 의상디자인학과-인문계</t>
  </si>
  <si>
    <t>한국외국어대 국제학부</t>
  </si>
  <si>
    <t>경희대 사회기반시스템공학과</t>
  </si>
  <si>
    <t>동국대 전자전기공학부</t>
  </si>
  <si>
    <t>9.03 → 8.47</t>
  </si>
  <si>
    <t>경희대 글로벌커뮤니케이션학부</t>
  </si>
  <si>
    <t>중앙대 사회복지학부</t>
  </si>
  <si>
    <t>중앙대 경제학부</t>
  </si>
  <si>
    <t>건국대 행정학과</t>
  </si>
  <si>
    <t>동국대 컴퓨터·AI학부(자연)</t>
  </si>
  <si>
    <t>9.13 → 8.56</t>
  </si>
  <si>
    <t>건국대 사학과</t>
  </si>
  <si>
    <t>한국외국어대 행정학과</t>
  </si>
  <si>
    <t>8.94 → 8.65</t>
  </si>
  <si>
    <t>경희대 국제학과</t>
  </si>
  <si>
    <t>연세대 경제(농어촌)</t>
  </si>
  <si>
    <t>이화여대 교육공학과</t>
  </si>
  <si>
    <t>한국외국어대 ELLT학과</t>
  </si>
  <si>
    <t>홍익대 서울캠퍼스자율전공(자연·예능)</t>
  </si>
  <si>
    <t>9.20 → 8.64</t>
  </si>
  <si>
    <t>동국대 에너지신소재공학과</t>
  </si>
  <si>
    <t>9.23 → 8.66</t>
  </si>
  <si>
    <t>동국대 산업시스템공학과</t>
  </si>
  <si>
    <t>한국외국어대 영어교육과</t>
  </si>
  <si>
    <t>한국외국어대 정치외교학과</t>
  </si>
  <si>
    <t>경희대 건축학과(5년제)</t>
  </si>
  <si>
    <t>동국대 회계학과</t>
  </si>
  <si>
    <t>건국대 식량자원과학과</t>
  </si>
  <si>
    <t>9.30 → 8.73</t>
  </si>
  <si>
    <t>한국외국어대 융합일본지역학부</t>
  </si>
  <si>
    <t>9.14 → 8.85</t>
  </si>
  <si>
    <t>동국대 화공생물공학과</t>
  </si>
  <si>
    <t>9.31 → 8.74</t>
  </si>
  <si>
    <t>동국대 통계학과</t>
  </si>
  <si>
    <t>9.32 → 8.75</t>
  </si>
  <si>
    <t>동국대 영화영상학과</t>
  </si>
  <si>
    <t>9.17 → 8.88</t>
  </si>
  <si>
    <t>동국대 경영정보학과</t>
  </si>
  <si>
    <t>동국대 열린전공학부(자연)</t>
  </si>
  <si>
    <t>9.35 → 8.78</t>
  </si>
  <si>
    <t>동국대 미디어커뮤니케이션학전공</t>
  </si>
  <si>
    <t>9.37 → 8.80</t>
  </si>
  <si>
    <t>동국대 경영학과</t>
  </si>
  <si>
    <t>동국대 경제학과</t>
  </si>
  <si>
    <t>세종대 자유전공학부</t>
  </si>
  <si>
    <t>세종대 콘텐츠소프트웨어학과</t>
  </si>
  <si>
    <t>동국대 정보통신공학과</t>
  </si>
  <si>
    <t>9.45 → 8.87</t>
  </si>
  <si>
    <t>동국대 기계로봇에너지공학과</t>
  </si>
  <si>
    <t>한국외국어대 자유전공학부(서울)</t>
  </si>
  <si>
    <t>9.30 → 9.00</t>
  </si>
  <si>
    <t>한국외국어대 영어대학[통합모집]</t>
  </si>
  <si>
    <t>이화여대 지능형반도체공학전공</t>
  </si>
  <si>
    <t>9.49 → 8.91</t>
  </si>
  <si>
    <t>홍익대 경제학부</t>
  </si>
  <si>
    <t>연세대 첨단컴퓨팅(농어촌)</t>
  </si>
  <si>
    <t>9.51 → 8.93</t>
  </si>
  <si>
    <t>동국대 철학과</t>
  </si>
  <si>
    <t>한국외국어대 영미문학‧문화학과</t>
  </si>
  <si>
    <t>부산대 화공생명공학과</t>
  </si>
  <si>
    <t>9.55 → 8.97</t>
  </si>
  <si>
    <t>한국외국어대 일본언어문화학부</t>
  </si>
  <si>
    <t>한국외국어대 한국어교육과</t>
  </si>
  <si>
    <t>한국외국어대 영어통번역학과</t>
  </si>
  <si>
    <t>동국대 정치외교학전공</t>
  </si>
  <si>
    <t>동국대 법학과</t>
  </si>
  <si>
    <t>9.45 → 9.15</t>
  </si>
  <si>
    <t>동국대 수학과</t>
  </si>
  <si>
    <t>9.66 → 9.07</t>
  </si>
  <si>
    <t>경희대 일본어학과</t>
  </si>
  <si>
    <t>한국외국어대 스페인어과</t>
  </si>
  <si>
    <t>경희대 스페인어학과</t>
  </si>
  <si>
    <t>동국대 국제통상학과</t>
  </si>
  <si>
    <t>홍익대 컴퓨터공학과</t>
  </si>
  <si>
    <t>9.71 → 9.13</t>
  </si>
  <si>
    <t>홍익대 신소재·화공시스템공학부</t>
  </si>
  <si>
    <t>동국대 광고홍보학과</t>
  </si>
  <si>
    <t>9.51 → 9.21</t>
  </si>
  <si>
    <t>서울과학기술대 전자공학과</t>
  </si>
  <si>
    <t>동국대 행정학전공</t>
  </si>
  <si>
    <t>동국대 식품산업관리학과</t>
  </si>
  <si>
    <t>동국대 화학과</t>
  </si>
  <si>
    <t>9.76 → 9.17</t>
  </si>
  <si>
    <t>서강대 인문/인문‧자연(농어촌)</t>
  </si>
  <si>
    <t>한국외국어대 중국언어문화학부</t>
  </si>
  <si>
    <t>9.61 → 9.31</t>
  </si>
  <si>
    <t>동국대 건축공학부</t>
  </si>
  <si>
    <t>9.77 → 9.18</t>
  </si>
  <si>
    <t>서울과학기술대 산업공학과 산업정보시스템전공(인문)</t>
  </si>
  <si>
    <t>9.64 → 9.34</t>
  </si>
  <si>
    <t>홍익대 경영학부</t>
  </si>
  <si>
    <t>한국외국어대 독일어과</t>
  </si>
  <si>
    <t>홍익대 기계·시스템디자인공학과</t>
  </si>
  <si>
    <t>9.80 → 9.21</t>
  </si>
  <si>
    <t>홍익대 산업·데이터공학과</t>
  </si>
  <si>
    <t>한국외국어대 특수외국어(유럽지역)계열</t>
  </si>
  <si>
    <t>9.70 → 9.40</t>
  </si>
  <si>
    <t>한국외국어대 사회과학대학[통합모집]</t>
  </si>
  <si>
    <t>한국외국어대 프랑스어학부</t>
  </si>
  <si>
    <t>9.73 → 9.43</t>
  </si>
  <si>
    <t>서울과학기술대 산업공학과 산업정보시스템전공(자연)</t>
  </si>
  <si>
    <t>숙명여대 글로벌협력전공</t>
  </si>
  <si>
    <t>9.74 → 9.44</t>
  </si>
  <si>
    <t>한국외국어대 중국학대학[통합모집]</t>
  </si>
  <si>
    <t>한국외국어대 핵심외국어계열</t>
  </si>
  <si>
    <t>한국외국어대 포르투갈어과</t>
  </si>
  <si>
    <t>경희대 융합바이오·신소재공학과</t>
  </si>
  <si>
    <t>동국대 사학과</t>
  </si>
  <si>
    <t>9.77 → 9.47</t>
  </si>
  <si>
    <t>동국대 건설환경공학과</t>
  </si>
  <si>
    <t>아주대 간호학과(교차)</t>
  </si>
  <si>
    <t>동국대 역사교육과</t>
  </si>
  <si>
    <t>홍익대 실내건축학전공</t>
  </si>
  <si>
    <t>9.99 → 9.39</t>
  </si>
  <si>
    <t>동국대 사회복지학과</t>
  </si>
  <si>
    <t>가톨릭대 자유전공학부(일반전형Ⅱ)</t>
  </si>
  <si>
    <t>국민대 바이오의약전공</t>
  </si>
  <si>
    <t>10.01 → 9.41</t>
  </si>
  <si>
    <t>동국대 북한학전공</t>
  </si>
  <si>
    <t>9.79 → 9.49</t>
  </si>
  <si>
    <t>동국대 영어영문학부</t>
  </si>
  <si>
    <t>동국대 생명과학과</t>
  </si>
  <si>
    <t>10.03 → 9.43</t>
  </si>
  <si>
    <t>한국외국어대 스칸디나비아어과</t>
  </si>
  <si>
    <t>한국외국어대 중국외교통상학부</t>
  </si>
  <si>
    <t>동국대 국어교육과</t>
  </si>
  <si>
    <t>한국외국어대 이탈리아어과</t>
  </si>
  <si>
    <t>동국대 일본학과</t>
  </si>
  <si>
    <t>홍익대 법학부</t>
  </si>
  <si>
    <t>서울과학기술대 컴퓨터공학과</t>
  </si>
  <si>
    <t>한국외국어대 네덜란드어과</t>
  </si>
  <si>
    <t>동국대 국어국문·문예창작학부</t>
  </si>
  <si>
    <t>동국대 사회학전공</t>
  </si>
  <si>
    <t>한국외국어대 미디어커뮤니케이션학부</t>
  </si>
  <si>
    <t>한국외국어대 경제학부</t>
  </si>
  <si>
    <t>아주대 지능형반도체공학과</t>
  </si>
  <si>
    <t>10.09 → 9.48</t>
  </si>
  <si>
    <t>동국대 교육학과</t>
  </si>
  <si>
    <t>홍익대 도시공학과</t>
  </si>
  <si>
    <t>홍익대 전자·전기공학부</t>
  </si>
  <si>
    <t>한국외국어대 특수외국어(중동지역)계열</t>
  </si>
  <si>
    <t>한국외국어대 노어과</t>
  </si>
  <si>
    <t>숙명여대 생명시스템학부</t>
  </si>
  <si>
    <t>10.10 → 9.49</t>
  </si>
  <si>
    <t>경희대 중국어학과</t>
  </si>
  <si>
    <t>숭실대 소프트웨어학부</t>
  </si>
  <si>
    <t>10.13 → 9.52</t>
  </si>
  <si>
    <t>동국대 중어중문학과</t>
  </si>
  <si>
    <t>동국대 바이오시스템대학(광역화)</t>
  </si>
  <si>
    <t>10.15 → 9.54</t>
  </si>
  <si>
    <t>한국외국어대 외국어교육학부(프랑스어교육전공)</t>
  </si>
  <si>
    <t>10.01 → 9.70</t>
  </si>
  <si>
    <t>서울과학기술대 경영학과(글로벌테크노경영전공)_인문</t>
  </si>
  <si>
    <t>10.02 → 9.71</t>
  </si>
  <si>
    <t>동국대 지리교육과</t>
  </si>
  <si>
    <t>동국대 물리학과</t>
  </si>
  <si>
    <t>10.18 → 9.56</t>
  </si>
  <si>
    <t>한국외국어대 태국학과</t>
  </si>
  <si>
    <t>10.03 → 9.72</t>
  </si>
  <si>
    <t>경희대 한국어학과</t>
  </si>
  <si>
    <t>홍익대 영어교육과</t>
  </si>
  <si>
    <t>한국외국어대 상경대학[통합모집]</t>
  </si>
  <si>
    <t>10.04 → 9.73</t>
  </si>
  <si>
    <t>한국외국어대 일본학대학[통합모집]</t>
  </si>
  <si>
    <t>10.05 → 9.74</t>
  </si>
  <si>
    <t>가천대 클라우드공학과</t>
  </si>
  <si>
    <t>10.23 → 9.62</t>
  </si>
  <si>
    <t>동국대 바이오환경과학과</t>
  </si>
  <si>
    <t>10.23 → 9.61</t>
  </si>
  <si>
    <t>홍익대 수학교육과</t>
  </si>
  <si>
    <t>동국대 의생명공학과</t>
  </si>
  <si>
    <t>한국외국어대 페르시아어․이란학과</t>
  </si>
  <si>
    <t>10.07 → 9.76</t>
  </si>
  <si>
    <t>경희대 러시아어학과</t>
  </si>
  <si>
    <t>경희대 프랑스어학과</t>
  </si>
  <si>
    <t>한국외국어대 인도어과</t>
  </si>
  <si>
    <t>한국외국어대 아랍어과</t>
  </si>
  <si>
    <t>한국외국어대 특수외국어(인도․아세안지역)계열</t>
  </si>
  <si>
    <t>한국외국어대 몽골어과</t>
  </si>
  <si>
    <t>홍익대 독어독문학과</t>
  </si>
  <si>
    <t>10.14 → 9.83</t>
  </si>
  <si>
    <t>홍익대 영어영문학과</t>
  </si>
  <si>
    <t>가톨릭대 자연공학계열(일반전형Ⅱ)</t>
  </si>
  <si>
    <t>가톨릭대 인문사회계열(일반전형Ⅱ)</t>
  </si>
  <si>
    <t>10.36 → 10.04</t>
  </si>
  <si>
    <t>한국외국어대 말레이‧인도네시아어과</t>
  </si>
  <si>
    <t>홍익대 건설환경공학과</t>
  </si>
  <si>
    <t>10.38 → 9.75</t>
  </si>
  <si>
    <t>숙명여대 화공생명공학부</t>
  </si>
  <si>
    <t>10.38 → 9.76</t>
  </si>
  <si>
    <t>아주대 간호학과</t>
  </si>
  <si>
    <t>10.40 → 9.78</t>
  </si>
  <si>
    <t>아주대 전자공학과</t>
  </si>
  <si>
    <t>10.45 → 9.83</t>
  </si>
  <si>
    <t>동국대 식품생명공학과</t>
  </si>
  <si>
    <t>10.46 → 9.83</t>
  </si>
  <si>
    <t>홍익대 국어국문학과</t>
  </si>
  <si>
    <t>경북대 전자공학부</t>
  </si>
  <si>
    <t>10.47 → 9.85</t>
  </si>
  <si>
    <t>부산대 전기전자공학부(전자공학전공)</t>
  </si>
  <si>
    <t>10.58 → 9.96</t>
  </si>
  <si>
    <t>한국외국어대 튀르키예․아제르바이잔학과</t>
  </si>
  <si>
    <t>동국대 가정교육과</t>
  </si>
  <si>
    <t>10.61 → 9.98</t>
  </si>
  <si>
    <t>홍익대 교육학과</t>
  </si>
  <si>
    <t>홍익대 국어교육과</t>
  </si>
  <si>
    <t>한국외국어대 외국어교육학부(독일어교육전공)</t>
  </si>
  <si>
    <t>중앙대 공연영상창작학부(영화)</t>
  </si>
  <si>
    <t>숭실대 전자정보공학부(IT융합)</t>
  </si>
  <si>
    <t>10.68 → 10.05</t>
  </si>
  <si>
    <t>숙명여대 컴퓨터과학전공</t>
  </si>
  <si>
    <t>10.70 → 10.07</t>
  </si>
  <si>
    <t>서울과학기술대 지능형반도체공학과</t>
  </si>
  <si>
    <t>홍익대 불어불문학과</t>
  </si>
  <si>
    <t>홍익대 역사교육과</t>
  </si>
  <si>
    <t>인하대 항공우주공학과</t>
  </si>
  <si>
    <t>한국외국어대 베트남어과</t>
  </si>
  <si>
    <t>10.61 → 10.30</t>
  </si>
  <si>
    <t>강원대(제2캠) 방사선학과</t>
  </si>
  <si>
    <t>인하대 전기전자공학부</t>
  </si>
  <si>
    <t>10.83 → 10.20</t>
  </si>
  <si>
    <t>동국대 문화유산학과</t>
  </si>
  <si>
    <t>10.66 → 10.35</t>
  </si>
  <si>
    <t>서울과학기술대 전기정보공학과</t>
  </si>
  <si>
    <t>서울과학기술대 스마트ICT융합공학과</t>
  </si>
  <si>
    <t>서울시립대 사회복지학과</t>
  </si>
  <si>
    <t>숭실대 컴퓨터학부</t>
  </si>
  <si>
    <t>10.94 → 10.31</t>
  </si>
  <si>
    <t>연세대(미래) 간호학과</t>
  </si>
  <si>
    <t>아주대 화학공학과</t>
  </si>
  <si>
    <t>11.00 → 10.36</t>
  </si>
  <si>
    <t>인하대 아태물류학부</t>
  </si>
  <si>
    <t>서울과학기술대 경영학과(경영학전공)</t>
  </si>
  <si>
    <t>경북대 수학교육과</t>
  </si>
  <si>
    <t>11.03 → 10.39</t>
  </si>
  <si>
    <t>숭실대 전자정보공학부(전자공학)</t>
  </si>
  <si>
    <t>서울과학기술대 인공지능응용학과</t>
  </si>
  <si>
    <t>국민대 AI빅데이터융합경영학과(인문)</t>
  </si>
  <si>
    <t>숙명여대 앙트러프러너십전공</t>
  </si>
  <si>
    <t>아주대 소프트웨어학과</t>
  </si>
  <si>
    <t>11.11 → 10.47</t>
  </si>
  <si>
    <t>서울과학기술대 화공생명공학과</t>
  </si>
  <si>
    <t>숭실대 건축학부(건축학·건축공학전공)</t>
  </si>
  <si>
    <t>11.12 → 10.48</t>
  </si>
  <si>
    <t>한국외국어대 외국어교육학부(중국어교육전공)</t>
  </si>
  <si>
    <t>서울과학기술대 행정학과</t>
  </si>
  <si>
    <t>서울과학기술대 자유전공학부(기술경영융합대학)</t>
  </si>
  <si>
    <t>서울과학기술대 ST자유전공학부</t>
  </si>
  <si>
    <t>연세대 전기전자공(농어촌)</t>
  </si>
  <si>
    <t>11.29 → 10.64</t>
  </si>
  <si>
    <t>국민대 지능형ICT융합전공</t>
  </si>
  <si>
    <t>11.30 → 10.65</t>
  </si>
  <si>
    <t>연세대 자연계열(농어촌)</t>
  </si>
  <si>
    <t>11.30 → 10.66</t>
  </si>
  <si>
    <t>부산대 첨단융합학부(공학자율전공)</t>
  </si>
  <si>
    <t>11.39 → 10.75</t>
  </si>
  <si>
    <t>숙명여대 지능형전자시스템전공</t>
  </si>
  <si>
    <t>숙명여대 의류학과</t>
  </si>
  <si>
    <t>숭실대 의생명시스템학부</t>
  </si>
  <si>
    <t>숭실대 AI융합학부</t>
  </si>
  <si>
    <t>서울과학기술대 영어영문학과</t>
  </si>
  <si>
    <t>서울과학기술대 자유전공학부(창의융합대학)</t>
  </si>
  <si>
    <t>11.45 → 10.80</t>
  </si>
  <si>
    <t>숙명여대 데이터사이언스전공</t>
  </si>
  <si>
    <t>11.46 → 10.81</t>
  </si>
  <si>
    <t>국민대 경제학과</t>
  </si>
  <si>
    <t>숙명여대 화학과</t>
  </si>
  <si>
    <t>11.49 → 10.84</t>
  </si>
  <si>
    <t>국민대 미래모빌리티학과</t>
  </si>
  <si>
    <t>숙명여대 행정학과</t>
  </si>
  <si>
    <t>강원대(제2캠) 물리치료학과</t>
  </si>
  <si>
    <t>연세대 경영(농어촌)</t>
  </si>
  <si>
    <t>11.41 → 11.09</t>
  </si>
  <si>
    <t>서울과학기술대 신소재공학과</t>
  </si>
  <si>
    <t>숙명여대 소비자경제학과</t>
  </si>
  <si>
    <t>숙명여대 정치외교학과</t>
  </si>
  <si>
    <t>11.44 → 11.12</t>
  </si>
  <si>
    <t>경북대 간호학과</t>
  </si>
  <si>
    <t>11.59 → 10.93</t>
  </si>
  <si>
    <t>연세대 경영(한마음학생)</t>
  </si>
  <si>
    <t>숭실대 법학과</t>
  </si>
  <si>
    <t>11.47 → 11.15</t>
  </si>
  <si>
    <t>숭실대 금융학부</t>
  </si>
  <si>
    <t>숭실대 회계학과</t>
  </si>
  <si>
    <t>서울과학기술대 자유전공학부(정보통신대학)</t>
  </si>
  <si>
    <t>숭실대 산업·정보시스템공학과</t>
  </si>
  <si>
    <t>11.62 → 10.97</t>
  </si>
  <si>
    <t>서울과학기술대 미래에너지융합학과</t>
  </si>
  <si>
    <t>연세대 인문계열(농어촌)</t>
  </si>
  <si>
    <t>충남대 전자공학과</t>
  </si>
  <si>
    <t>11.64 → 10.98</t>
  </si>
  <si>
    <t>서울과학기술대 자유전공학부(인문사회대학)</t>
  </si>
  <si>
    <t>숭실대 자유전공학부(자연)</t>
  </si>
  <si>
    <t>11.71 → 11.05</t>
  </si>
  <si>
    <t>숭실대 수학과</t>
  </si>
  <si>
    <t>11.74 → 11.08</t>
  </si>
  <si>
    <t>동국대 불교학부</t>
  </si>
  <si>
    <t>11.59 → 11.27</t>
  </si>
  <si>
    <t>경북대 심리학과</t>
  </si>
  <si>
    <t>경북대 IT 첨단자율학부</t>
  </si>
  <si>
    <t>11.79 → 11.13</t>
  </si>
  <si>
    <t>서울과학기술대 정밀화학과</t>
  </si>
  <si>
    <t>숙명여대 교육학부</t>
  </si>
  <si>
    <t>숙명여대 법학부</t>
  </si>
  <si>
    <t>아주대 자유전공학부(인문)</t>
  </si>
  <si>
    <t>숙명여대 신소재물리전공</t>
  </si>
  <si>
    <t>부산대 경영학과</t>
  </si>
  <si>
    <t>숭실대 정치외교학과</t>
  </si>
  <si>
    <t>숭실대 자유전공학부(인문)</t>
  </si>
  <si>
    <t>숭실대 국제법무학과</t>
  </si>
  <si>
    <t>숙명여대 통계학과</t>
  </si>
  <si>
    <t>11.96 → 11.29</t>
  </si>
  <si>
    <t>국민대 경영학부</t>
  </si>
  <si>
    <t>숙명여대 식품영양학과</t>
  </si>
  <si>
    <t>11.96 → 11.30</t>
  </si>
  <si>
    <t>숙명여대 기계시스템학부</t>
  </si>
  <si>
    <t>11.98 → 11.31</t>
  </si>
  <si>
    <t>서울과학기술대 기계‧자동차공학과</t>
  </si>
  <si>
    <t>서울과학기술대 경영학과(글로벌테크노경영전공)_자연</t>
  </si>
  <si>
    <t>서울과학기술대 건축학부건축학전공</t>
  </si>
  <si>
    <t>숭실대 경영학부</t>
  </si>
  <si>
    <t>서울과학기술대 기계시스템디자인공학과</t>
  </si>
  <si>
    <t>숙명여대 한국어문학부</t>
  </si>
  <si>
    <t>숙명여대 문화관광학전공</t>
  </si>
  <si>
    <t>숙명여대 첨단공학부</t>
  </si>
  <si>
    <t>12.02 → 11.35</t>
  </si>
  <si>
    <t>숙명여대 가족자원경영학과</t>
  </si>
  <si>
    <t>숭실대 영어영문학과</t>
  </si>
  <si>
    <t>부산대 정보컴퓨터공학부(컴퓨터공학전공)</t>
  </si>
  <si>
    <t>12.04 → 11.37</t>
  </si>
  <si>
    <t>아주대 첨단신소재공학과</t>
  </si>
  <si>
    <t>인하대 반도체시스템공학과</t>
  </si>
  <si>
    <t>가천대 간호학과</t>
  </si>
  <si>
    <t>숙명여대 경제학부</t>
  </si>
  <si>
    <t>11.92 → 11.59</t>
  </si>
  <si>
    <t>인하대 첨단바이오의약학과</t>
  </si>
  <si>
    <t>12.09 → 11.42</t>
  </si>
  <si>
    <t>국민대 바이오발효융합학과</t>
  </si>
  <si>
    <t>12.08 → 11.40</t>
  </si>
  <si>
    <t>숙명여대 자유전공학부</t>
  </si>
  <si>
    <t>아주대 사이버보안학과</t>
  </si>
  <si>
    <t>12.10 → 11.42</t>
  </si>
  <si>
    <t>숭실대 화학공학과</t>
  </si>
  <si>
    <t>12.11 → 11.44</t>
  </si>
  <si>
    <t>서강대 자연(기초생활보장대상자)</t>
  </si>
  <si>
    <t>12.12 → 11.45</t>
  </si>
  <si>
    <t>숙명여대 역사문화학과</t>
  </si>
  <si>
    <t>국민대 기계금속재료</t>
  </si>
  <si>
    <t>12.16 → 11.48</t>
  </si>
  <si>
    <t>숭실대 전기공학부</t>
  </si>
  <si>
    <t>12.18 → 11.51</t>
  </si>
  <si>
    <t>숙명여대 일본학과</t>
  </si>
  <si>
    <t>국민대 전자화학재료전공</t>
  </si>
  <si>
    <t>12.19 → 11.51</t>
  </si>
  <si>
    <t>국민대 AI빅데이터융합경영학과(자연)</t>
  </si>
  <si>
    <t>12.20 → 11.52</t>
  </si>
  <si>
    <t>아주대 자유전공학부(자연)</t>
  </si>
  <si>
    <t>국민대 자유전공</t>
  </si>
  <si>
    <t>숭실대 사회복지학부</t>
  </si>
  <si>
    <t>국민대 정치외교학과</t>
  </si>
  <si>
    <t>12.04 → 11.71</t>
  </si>
  <si>
    <t>국민대 경영정보학부(인문)</t>
  </si>
  <si>
    <t>숙명여대 프랑스언어·문화학과</t>
  </si>
  <si>
    <t>숭실대 경제학과</t>
  </si>
  <si>
    <t>국민대 소프트웨어학부</t>
  </si>
  <si>
    <t>12.26 → 11.58</t>
  </si>
  <si>
    <t>숭실대 글로벌미디어학부</t>
  </si>
  <si>
    <t>12.29 → 11.60</t>
  </si>
  <si>
    <t>가톨릭대 의생명과학과</t>
  </si>
  <si>
    <t>12.31 → 11.63</t>
  </si>
  <si>
    <t>서울과학기술대 자유전공학부(에너지바이오대학)</t>
  </si>
  <si>
    <t>숭실대 행정학부</t>
  </si>
  <si>
    <t>국민대 지능전자공학전공</t>
  </si>
  <si>
    <t>12.35 → 11.66</t>
  </si>
  <si>
    <t>국민대 인공지능학부</t>
  </si>
  <si>
    <t>12.35 → 11.67</t>
  </si>
  <si>
    <t>서울과학기술대 자유전공학부(공과대학)</t>
  </si>
  <si>
    <t>부산대 전기전자공학부(전기공학전공)</t>
  </si>
  <si>
    <t>12.37 → 11.68</t>
  </si>
  <si>
    <t>숭실대 신소재공학과</t>
  </si>
  <si>
    <t>12.38 → 11.70</t>
  </si>
  <si>
    <t>숭실대 기계공학부</t>
  </si>
  <si>
    <t>12.39 → 11.71</t>
  </si>
  <si>
    <t>국민대 미래융합전공(인문)</t>
  </si>
  <si>
    <t>12.19 → 11.86</t>
  </si>
  <si>
    <t>국민대 행정학과</t>
  </si>
  <si>
    <t>국민대 법학부</t>
  </si>
  <si>
    <t>숭실대 정보통계·보험수리학과</t>
  </si>
  <si>
    <t>12.42 → 11.73</t>
  </si>
  <si>
    <t>경북대 경영학부</t>
  </si>
  <si>
    <t>12.48 → 11.79</t>
  </si>
  <si>
    <t>숙명여대 영어영문학전공</t>
  </si>
  <si>
    <t>아주대 첨단바이오융합대학</t>
  </si>
  <si>
    <t>12.52 → 11.83</t>
  </si>
  <si>
    <t>숙명여대 독일언어·문화학과</t>
  </si>
  <si>
    <t>숭실대 독어독문학과</t>
  </si>
  <si>
    <t>경북대 컴퓨터학부(인공지능컴퓨팅전공)</t>
  </si>
  <si>
    <t>12.55 → 11.86</t>
  </si>
  <si>
    <t>경북대 화학공학과</t>
  </si>
  <si>
    <t>국민대 영어영문학부</t>
  </si>
  <si>
    <t>경북대 자율전공학부</t>
  </si>
  <si>
    <t>경북대 컴퓨터학부(글로벌소프트웨어융합전공)</t>
  </si>
  <si>
    <t>12.57 → 11.88</t>
  </si>
  <si>
    <t>숙명여대 아동복지학부</t>
  </si>
  <si>
    <t>서울과학기술대 식품생명공학과</t>
  </si>
  <si>
    <t>숙명여대 미디어학부</t>
  </si>
  <si>
    <t>숭실대 물리학과</t>
  </si>
  <si>
    <t>12.62 → 11.93</t>
  </si>
  <si>
    <t>부산대 공공정책학부</t>
  </si>
  <si>
    <t>부산대 생명과학과</t>
  </si>
  <si>
    <t>12.63 → 11.94</t>
  </si>
  <si>
    <t>부산대 기계공학부</t>
  </si>
  <si>
    <t>인하대 국제통상학과</t>
  </si>
  <si>
    <t>숭실대 글로벌통상학과</t>
  </si>
  <si>
    <t>숙명여대 테슬(TESL)전공</t>
  </si>
  <si>
    <t>숭실대 언론홍보학과</t>
  </si>
  <si>
    <t>아주대 산업공학과</t>
  </si>
  <si>
    <t>12.68 → 11.98</t>
  </si>
  <si>
    <t>숭실대 건축학부(실내건축전공)</t>
  </si>
  <si>
    <t>서울과학기술대 환경공학과</t>
  </si>
  <si>
    <t>부산대 건축학과</t>
  </si>
  <si>
    <t>12.69 → 11.99</t>
  </si>
  <si>
    <t>국민대 중국어문전공</t>
  </si>
  <si>
    <t>국민대 국제통상학과</t>
  </si>
  <si>
    <t>인하대 미디어커뮤니케이션학과</t>
  </si>
  <si>
    <t>숭실대 평생교육학과</t>
  </si>
  <si>
    <t>12.51 → 12.18</t>
  </si>
  <si>
    <t>아주대 심리학과</t>
  </si>
  <si>
    <t>숭실대 정보사회학과</t>
  </si>
  <si>
    <t>숙명여대 홍보광고학과</t>
  </si>
  <si>
    <t>12.55 → 12.22</t>
  </si>
  <si>
    <t>아주대 미래모빌리티공학과</t>
  </si>
  <si>
    <t>12.75 → 12.05</t>
  </si>
  <si>
    <t>인하대 신소재공학과</t>
  </si>
  <si>
    <t>12.75 → 12.06</t>
  </si>
  <si>
    <t>인하대 화학공학과</t>
  </si>
  <si>
    <t>숭실대 불어불문학과</t>
  </si>
  <si>
    <t>12.57 → 12.24</t>
  </si>
  <si>
    <t>부산대 수학교육과</t>
  </si>
  <si>
    <t>12.77 → 12.07</t>
  </si>
  <si>
    <t>아주대 기계공학과</t>
  </si>
  <si>
    <t>경북대 IT대학 자율학부</t>
  </si>
  <si>
    <t>12.81 → 12.11</t>
  </si>
  <si>
    <t>숭실대 국어국문학과</t>
  </si>
  <si>
    <t>인하대 기계공학과</t>
  </si>
  <si>
    <t>서울과학기술대 건축학부건축공학전공</t>
  </si>
  <si>
    <t>국민대 사회학과</t>
  </si>
  <si>
    <t>강원대(제2캠) 간호학과</t>
  </si>
  <si>
    <t>부산대 국어교육과</t>
  </si>
  <si>
    <t>부산대 경제학부</t>
  </si>
  <si>
    <t>숭실대 벤처중소기업학과</t>
  </si>
  <si>
    <t>숭실대 중어중문학과</t>
  </si>
  <si>
    <t>숙명여대 르꼬르동블루외식경영전공</t>
  </si>
  <si>
    <t>경북대 컴퓨터학부</t>
  </si>
  <si>
    <t>12.89 → 12.19</t>
  </si>
  <si>
    <t>부산대 전기전자공학부(반도체공학전공)</t>
  </si>
  <si>
    <t>12.90 → 12.20</t>
  </si>
  <si>
    <t>성신여대 간호학과(자연)</t>
  </si>
  <si>
    <t>12.93 → 12.23</t>
  </si>
  <si>
    <t>숙명여대 사회심리학과</t>
  </si>
  <si>
    <t>숙명여대 인공지능공학부</t>
  </si>
  <si>
    <t>숭실대 일어일문학과</t>
  </si>
  <si>
    <t>12.74 → 12.41</t>
  </si>
  <si>
    <t>국민대 일본학과</t>
  </si>
  <si>
    <t>성신여대 간호학과(인문)</t>
  </si>
  <si>
    <t>숙명여대 문헌정보학과</t>
  </si>
  <si>
    <t>연세대(미래) 방사선학과</t>
  </si>
  <si>
    <t>13.02 → 12.32</t>
  </si>
  <si>
    <t>서울과학기술대 건설시스템공학과</t>
  </si>
  <si>
    <t>13.01 → 12.31</t>
  </si>
  <si>
    <t>아주대 금융공학과</t>
  </si>
  <si>
    <t>인하대 자유전공융합학부(자연)</t>
  </si>
  <si>
    <t>서울과학기술대 안전공학과</t>
  </si>
  <si>
    <t>국민대 미래융합전공</t>
  </si>
  <si>
    <t>13.03 → 12.32</t>
  </si>
  <si>
    <t>숙명여대 중어중문학부</t>
  </si>
  <si>
    <t>숭실대 화학과</t>
  </si>
  <si>
    <t>13.04 → 12.33</t>
  </si>
  <si>
    <t>아주대 응용화학과</t>
  </si>
  <si>
    <t>13.11 → 12.40</t>
  </si>
  <si>
    <t>국민대 KMU International BusinessSchool</t>
  </si>
  <si>
    <t>국민대 국어국문학전공</t>
  </si>
  <si>
    <t>부산대 미디어커뮤니케이션학과</t>
  </si>
  <si>
    <t>인하대 사회교육과</t>
  </si>
  <si>
    <t>세종대 인공지능데이터사이언스학과</t>
  </si>
  <si>
    <t>13.18 → 12.47</t>
  </si>
  <si>
    <t>국민대 나노소재전공</t>
  </si>
  <si>
    <t>13.20 → 12.49</t>
  </si>
  <si>
    <t>숭실대 사학과</t>
  </si>
  <si>
    <t>12.99 → 12.66</t>
  </si>
  <si>
    <t>인하대 컴퓨터공학과</t>
  </si>
  <si>
    <t>13.22 → 12.51</t>
  </si>
  <si>
    <t>서강대 인문/인문‧자연(기초생활보장대상자)</t>
  </si>
  <si>
    <t>경북대 국어교육과</t>
  </si>
  <si>
    <t>국민대 중국정경전공</t>
  </si>
  <si>
    <t>국민대 러시아유라시아학과</t>
  </si>
  <si>
    <t>부산대 국제학부</t>
  </si>
  <si>
    <t>충남대 심리학과</t>
  </si>
  <si>
    <t>아주대 경영인텔리전스학과</t>
  </si>
  <si>
    <t>부산대 정보컴퓨터공학부(인공지능전공)</t>
  </si>
  <si>
    <t>13.40 → 12.69</t>
  </si>
  <si>
    <t>인하대 스마트모빌리티공학과</t>
  </si>
  <si>
    <t>부산대 영어교육과</t>
  </si>
  <si>
    <t>인하대 사학과</t>
  </si>
  <si>
    <t>상명대 수학교육과</t>
  </si>
  <si>
    <t>13.48 → 12.77</t>
  </si>
  <si>
    <t>아주대 디지털미디어학과</t>
  </si>
  <si>
    <t>국민대 한국역사학과</t>
  </si>
  <si>
    <t>아주대 건축학과</t>
  </si>
  <si>
    <t>13.50 → 12.79</t>
  </si>
  <si>
    <t>인하대 자유전공융합학부(인문)</t>
  </si>
  <si>
    <t>연세대(미래) 임상병리학과</t>
  </si>
  <si>
    <t>13.55 → 12.84</t>
  </si>
  <si>
    <t>인하대 파이낸스경영학과</t>
  </si>
  <si>
    <t>부산대 첨단융합학부(정보의생명공학자율전공)</t>
  </si>
  <si>
    <t>13.57 → 12.86</t>
  </si>
  <si>
    <t>아주대 문화콘텐츠학과</t>
  </si>
  <si>
    <t>아주대 프런티어과학학부</t>
  </si>
  <si>
    <t>13.61 → 12.90</t>
  </si>
  <si>
    <t>세종대 인문사회계열</t>
  </si>
  <si>
    <t>인하대 생명공학과</t>
  </si>
  <si>
    <t>13.62 → 12.91</t>
  </si>
  <si>
    <t>서울과학기술대 안경광학과</t>
  </si>
  <si>
    <t>전북대 의예과(지역)(기회균형)</t>
  </si>
  <si>
    <t>13.65 → 12.94</t>
  </si>
  <si>
    <t>국민대 교육학과</t>
  </si>
  <si>
    <t>세종대 AI로봇학과</t>
  </si>
  <si>
    <t>13.66 → 12.95</t>
  </si>
  <si>
    <t>전남대 자율전공학부(1년)</t>
  </si>
  <si>
    <t>연세대 경제(한마음학생)</t>
  </si>
  <si>
    <t>강원대(제2캠) 전기공학과</t>
  </si>
  <si>
    <t>인하대 수학과</t>
  </si>
  <si>
    <t>인하대 물리학과</t>
  </si>
  <si>
    <t>13.70 → 12.99</t>
  </si>
  <si>
    <t>인하대 고분자공학과</t>
  </si>
  <si>
    <t>13.73 → 13.01</t>
  </si>
  <si>
    <t>부산대 간호학과</t>
  </si>
  <si>
    <t>13.75 → 13.04</t>
  </si>
  <si>
    <t>부산대 무역학부</t>
  </si>
  <si>
    <t>13.77 → 13.06</t>
  </si>
  <si>
    <t>인하대 경영융합학부</t>
  </si>
  <si>
    <t>인하대 경제학과</t>
  </si>
  <si>
    <t>인하대 행정학과</t>
  </si>
  <si>
    <t>세종대 자연생명계열</t>
  </si>
  <si>
    <t>13.82 → 13.10</t>
  </si>
  <si>
    <t>인하대 공학융합학부</t>
  </si>
  <si>
    <t>13.86 → 13.14</t>
  </si>
  <si>
    <t>인하대 인공지능공학과</t>
  </si>
  <si>
    <t>13.88 → 13.17</t>
  </si>
  <si>
    <t>아주대 경제정치사회융합학부</t>
  </si>
  <si>
    <t>가천대 방사선학과</t>
  </si>
  <si>
    <t>13.93 → 13.22</t>
  </si>
  <si>
    <t>아주대 건설시스템공학과</t>
  </si>
  <si>
    <t>인하대 간호학과</t>
  </si>
  <si>
    <t>숙명여대 경영학부</t>
  </si>
  <si>
    <t>부산대 도시공학과</t>
  </si>
  <si>
    <t>명지대 인공지능·소프트웨어융합대학</t>
  </si>
  <si>
    <t>13.95 → 13.24</t>
  </si>
  <si>
    <t>아주대 경영학과</t>
  </si>
  <si>
    <t>세종대 경상호텔관광계열</t>
  </si>
  <si>
    <t>세종대 지능정보융합학과</t>
  </si>
  <si>
    <t>상명대 전기공학전공</t>
  </si>
  <si>
    <t>14.11 → 13.39</t>
  </si>
  <si>
    <t>국민대 지능형반도체융합전자전공</t>
  </si>
  <si>
    <t>14.10 → 13.38</t>
  </si>
  <si>
    <t>가톨릭대 바이오메디컬소프트웨어학과</t>
  </si>
  <si>
    <t>14.14 → 13.42</t>
  </si>
  <si>
    <t>국민대 나노전자물리학과</t>
  </si>
  <si>
    <t>아주대 행정학과</t>
  </si>
  <si>
    <t>아주대 국어국문학과</t>
  </si>
  <si>
    <t>가천대 컴퓨터공학과</t>
  </si>
  <si>
    <t>14.20 → 13.48</t>
  </si>
  <si>
    <t>아주대 환경안전공학과</t>
  </si>
  <si>
    <t>14.21 → 13.49</t>
  </si>
  <si>
    <t>부산대 정치외교학과</t>
  </si>
  <si>
    <t>경북대 영어교육과</t>
  </si>
  <si>
    <t>아주대 영어영문학과</t>
  </si>
  <si>
    <t>13.91 → 13.57</t>
  </si>
  <si>
    <t>충북대 간호학과</t>
  </si>
  <si>
    <t>인하대 국어교육과</t>
  </si>
  <si>
    <t>국민대 임산생명공학과</t>
  </si>
  <si>
    <t>아주대 교통시스템공학과</t>
  </si>
  <si>
    <t>전남대 수학교육과</t>
  </si>
  <si>
    <t>세종대 지능형드론융합전공</t>
  </si>
  <si>
    <t>인하대 정치외교학과</t>
  </si>
  <si>
    <t>연세대 신소재공(한마음학생)</t>
  </si>
  <si>
    <t>인하대 경영학과</t>
  </si>
  <si>
    <t>경북대 기계공학부</t>
  </si>
  <si>
    <t>경북대 행정학부</t>
  </si>
  <si>
    <t>인하대 사회과학융합학부</t>
  </si>
  <si>
    <t>경북대 미디어커뮤니케이션학과</t>
  </si>
  <si>
    <t>부산대 행정학과</t>
  </si>
  <si>
    <t>14.21 → 13.87</t>
  </si>
  <si>
    <t>충남대 자율전공융합학부</t>
  </si>
  <si>
    <t>전남대 간호학과</t>
  </si>
  <si>
    <t>인하대 아동심리학과</t>
  </si>
  <si>
    <t>인하대 데이터사이언스학과</t>
  </si>
  <si>
    <t>부산대 항공우주공학과</t>
  </si>
  <si>
    <t>상명대 컴퓨터과학전공</t>
  </si>
  <si>
    <t>경북대 경상대학 자율학부</t>
  </si>
  <si>
    <t>가천대 반도체대학</t>
  </si>
  <si>
    <t>단국대 건축학부[건축학전공(5년제)]</t>
  </si>
  <si>
    <t>인하대 이차전지융합학과</t>
  </si>
  <si>
    <t>상명대 자유전공(IT계열)</t>
  </si>
  <si>
    <t>경북대 경제통상학부</t>
  </si>
  <si>
    <t>인하대 생명과학과</t>
  </si>
  <si>
    <t>단국대 경제학과</t>
  </si>
  <si>
    <t>세종대 스마트생명산업융합학과</t>
  </si>
  <si>
    <t>인하대 산업경영공학과</t>
  </si>
  <si>
    <t>가천대 물리치료학과</t>
  </si>
  <si>
    <t>경북대 생명공학부</t>
  </si>
  <si>
    <t>단국대 전자전기공학과</t>
  </si>
  <si>
    <t>한양대(ERICA) 컴퓨터학부</t>
  </si>
  <si>
    <t>인하대 인문융합학부</t>
  </si>
  <si>
    <t>경북대 정치외교학과</t>
  </si>
  <si>
    <t>인하대 자연과학융합학부</t>
  </si>
  <si>
    <t>상명대 화학에너지공학전공</t>
  </si>
  <si>
    <t>인하대 조선해양공학과</t>
  </si>
  <si>
    <t>연세대 화공생명공(한마음학생)</t>
  </si>
  <si>
    <t>인하대 교육학과</t>
  </si>
  <si>
    <t>인하대 사회인프라공학과</t>
  </si>
  <si>
    <t>가톨릭대 인공지능학과</t>
  </si>
  <si>
    <t>인천대 동북아국제통상전공</t>
  </si>
  <si>
    <t>인하대 소비자학과</t>
  </si>
  <si>
    <t>인하대 에너지자원공학과</t>
  </si>
  <si>
    <t>가천대 회계세무학과</t>
  </si>
  <si>
    <t>가천대 시스템반도체학과</t>
  </si>
  <si>
    <t>가천대 바이오로직스학과</t>
  </si>
  <si>
    <t>명지대 경영대학</t>
  </si>
  <si>
    <t>부산대 윤리교육과</t>
  </si>
  <si>
    <t>단국대 법학과</t>
  </si>
  <si>
    <t>상명대 게임전공</t>
  </si>
  <si>
    <t>인하대 문화콘텐츠문화경영학과</t>
  </si>
  <si>
    <t>명지대 건축대학</t>
  </si>
  <si>
    <t>한양대(ERICA) 산업경영공학</t>
  </si>
  <si>
    <t>인하대 화학과</t>
  </si>
  <si>
    <t>인하대 건축학부</t>
  </si>
  <si>
    <t>인하대 공간정보공학과</t>
  </si>
  <si>
    <t>전북대 수학교육과</t>
  </si>
  <si>
    <t>성신여대 교육학과</t>
  </si>
  <si>
    <t>인하대 철학과</t>
  </si>
  <si>
    <t>단국대 컴퓨터공학과</t>
  </si>
  <si>
    <t>인하대 중국학과</t>
  </si>
  <si>
    <t>부산대 실내환경디자인학과</t>
  </si>
  <si>
    <t>부산대 철학과</t>
  </si>
  <si>
    <t>경북대 정보·컴퓨터교육과</t>
  </si>
  <si>
    <t>가천대 신소재공학과</t>
  </si>
  <si>
    <t>성신여대 사회교육과</t>
  </si>
  <si>
    <t>한양대(ERICA) LIONS자율전공학부</t>
  </si>
  <si>
    <t>상명대 자유전공(이공계열)</t>
  </si>
  <si>
    <t>단국대 경영학부</t>
  </si>
  <si>
    <t>인하대 한국어문학과</t>
  </si>
  <si>
    <t>인하대 일본언어문화학과</t>
  </si>
  <si>
    <t>단국대 화학공학과</t>
  </si>
  <si>
    <t>가천대 인공지능학과</t>
  </si>
  <si>
    <t>인하대 식품영양학과</t>
  </si>
  <si>
    <t>부산대 간호학과(지역)</t>
  </si>
  <si>
    <t>부산대 고분자공학과</t>
  </si>
  <si>
    <t>경북대 신소재공학과</t>
  </si>
  <si>
    <t>인하대 영어교육과</t>
  </si>
  <si>
    <t>인하대 사회복지학과</t>
  </si>
  <si>
    <t>한양대(ERICA) 전자공학</t>
  </si>
  <si>
    <t>단국대 융합반도체공학과</t>
  </si>
  <si>
    <t>가천대 바이오나노학과</t>
  </si>
  <si>
    <t>인하대 환경공학과</t>
  </si>
  <si>
    <t>인하대 수학교육과</t>
  </si>
  <si>
    <t>부산대 관광컨벤션학과</t>
  </si>
  <si>
    <t>상명대 휴먼지능정보공학전공</t>
  </si>
  <si>
    <t>성신여대 컴퓨터공학과</t>
  </si>
  <si>
    <t>가천대 미디어커뮤니케이션학과</t>
  </si>
  <si>
    <t>한양대(ERICA) 신소재·반도체공</t>
  </si>
  <si>
    <t>한양대(ERICA) 기계공학</t>
  </si>
  <si>
    <t>인하대 해양과학과</t>
  </si>
  <si>
    <t>경북대 사회학과</t>
  </si>
  <si>
    <t>가천대 경영학과</t>
  </si>
  <si>
    <t>가천대 반도체물리학과</t>
  </si>
  <si>
    <t>단국대 소프트웨어학과</t>
  </si>
  <si>
    <t>경북대 사회과학대학 자율학부</t>
  </si>
  <si>
    <t>연세대(미래) 물리치료학과</t>
  </si>
  <si>
    <t>연세대 인문계열(한마음학생)</t>
  </si>
  <si>
    <t>한양대(ERICA) 미디어</t>
  </si>
  <si>
    <t>단국대 사이버보안학과</t>
  </si>
  <si>
    <t>한국외국어대 글로벌스포츠산업학부</t>
  </si>
  <si>
    <t>가천대 금융·빅데이터학부</t>
  </si>
  <si>
    <t>가천대 기계공학부</t>
  </si>
  <si>
    <t>가천대 전기공학과</t>
  </si>
  <si>
    <t>가천대 스마트보안학과</t>
  </si>
  <si>
    <t>단국대 도시계획‧부동산학부</t>
  </si>
  <si>
    <t>경북대 고분자공학과</t>
  </si>
  <si>
    <t>한양대(ERICA) 에너지바이오학</t>
  </si>
  <si>
    <t>성신여대 바이오생명공학과</t>
  </si>
  <si>
    <t>한양대(ERICA) 바이오나노공</t>
  </si>
  <si>
    <t>상명대 의류학전공</t>
  </si>
  <si>
    <t>한양대(ERICA) 반도체·디스플레이공</t>
  </si>
  <si>
    <t>경북대 식품자원경제학과</t>
  </si>
  <si>
    <t>가천대 생명과학과</t>
  </si>
  <si>
    <t>상명대 경영학부</t>
  </si>
  <si>
    <t>한양대(ERICA) 로봇공학</t>
  </si>
  <si>
    <t>부산대 교육학과</t>
  </si>
  <si>
    <t>단국대 통계데이터사이언스학과</t>
  </si>
  <si>
    <t>단국대 수학교육과</t>
  </si>
  <si>
    <t>충남대 컴퓨터융합학부</t>
  </si>
  <si>
    <t>가천대 화학과</t>
  </si>
  <si>
    <t>단국대 정치외교학과</t>
  </si>
  <si>
    <t>단국대 국어국문학과</t>
  </si>
  <si>
    <t>단국대 국제경영학과</t>
  </si>
  <si>
    <t>부산대 영어영문학과</t>
  </si>
  <si>
    <t>부산대 사회학과</t>
  </si>
  <si>
    <t>단국대 기계공학과</t>
  </si>
  <si>
    <t>명지대 자율전공학부(인문)</t>
  </si>
  <si>
    <t>단국대 미디어커뮤니케이션학부</t>
  </si>
  <si>
    <t>한양대(ERICA) 수리데이터사이언스</t>
  </si>
  <si>
    <t>단국대 고분자시스템공학부(파이버융합소재공학전공)</t>
  </si>
  <si>
    <t>단국대 모바일시스템공학과</t>
  </si>
  <si>
    <t>가천대 응용통계학과</t>
  </si>
  <si>
    <t>명지대 사회과학대학</t>
  </si>
  <si>
    <t>한양대(ERICA) ICT융합학부</t>
  </si>
  <si>
    <t>단국대 무역학과</t>
  </si>
  <si>
    <t>경북대 공학 첨단자율학부</t>
  </si>
  <si>
    <t>부산대 문헌정보학과</t>
  </si>
  <si>
    <t>부산대 첨단융합학부(나노자율전공)</t>
  </si>
  <si>
    <t>가천대 스마트팩토리전공</t>
  </si>
  <si>
    <t>한양대(ERICA) 교통·물류공학</t>
  </si>
  <si>
    <t>경북대 에너지공학부</t>
  </si>
  <si>
    <t>상명대 글로벌경영학과</t>
  </si>
  <si>
    <t>상명대 경제금융학부</t>
  </si>
  <si>
    <t>단국대 공연영화학부 영화전공(이론‧연출‧스탭)</t>
  </si>
  <si>
    <t>충남대 전기공학과</t>
  </si>
  <si>
    <t>부산대 지리교육과</t>
  </si>
  <si>
    <t>가천대 화공생명배터리공학부</t>
  </si>
  <si>
    <t>상명대 공간환경학부</t>
  </si>
  <si>
    <t>단국대 퇴계혁신칼리지</t>
  </si>
  <si>
    <t>한양대(ERICA) 지능정보양자공</t>
  </si>
  <si>
    <t>단국대 고분자시스템공학부(고분자공학전공)</t>
  </si>
  <si>
    <t>인천대 역사교육과</t>
  </si>
  <si>
    <t>상명대 자유전공(인문사회계열)</t>
  </si>
  <si>
    <t>부산대 국어국문학과</t>
  </si>
  <si>
    <t>부산대 역사교육과</t>
  </si>
  <si>
    <t>충남대 경영학부</t>
  </si>
  <si>
    <t>가천대 경제학과</t>
  </si>
  <si>
    <t>상명대 지적재산권전공</t>
  </si>
  <si>
    <t>성신여대 윤리교육과</t>
  </si>
  <si>
    <t>성신여대 유아교육과</t>
  </si>
  <si>
    <t>성신여대 한문교육과</t>
  </si>
  <si>
    <t>경북대 교육학과</t>
  </si>
  <si>
    <t>상명대 교육학과</t>
  </si>
  <si>
    <t>성신여대 바이오식품공학과</t>
  </si>
  <si>
    <t>가톨릭대 데이터사이언스학과</t>
  </si>
  <si>
    <t>단국대 사학과</t>
  </si>
  <si>
    <t>단국대 철학과</t>
  </si>
  <si>
    <t>연세대 전기전자공(한마음학생)</t>
  </si>
  <si>
    <t>부산대 언어정보학과</t>
  </si>
  <si>
    <t>가천대 심리학과</t>
  </si>
  <si>
    <t>가천대 스마트시티학과</t>
  </si>
  <si>
    <t>가천대 식품생명공학과</t>
  </si>
  <si>
    <t>상명대 국어교육과</t>
  </si>
  <si>
    <t>단국대 공연영화학부 연극전공(연출)</t>
  </si>
  <si>
    <t>단국대 사회계열광역</t>
  </si>
  <si>
    <t>단국대 행정학과</t>
  </si>
  <si>
    <t>단국대 영미인문학과</t>
  </si>
  <si>
    <t>단국대 건축학부(건축공학전공)</t>
  </si>
  <si>
    <t>단국대 토목환경공학과</t>
  </si>
  <si>
    <t>가천대 패션산업학과</t>
  </si>
  <si>
    <t>가천대 의공학과</t>
  </si>
  <si>
    <t>상명대 행정학부</t>
  </si>
  <si>
    <t>부산대 일어일문학과</t>
  </si>
  <si>
    <t>한양대(ERICA) 글로벌문화통상</t>
  </si>
  <si>
    <t>한양대(ERICA) 해양융합공학</t>
  </si>
  <si>
    <t>경북대 건축학부(건축학전공)</t>
  </si>
  <si>
    <t>경북대 윤리교육과</t>
  </si>
  <si>
    <t>중앙대 사회기반시스템공학부(도시시스템공학)</t>
  </si>
  <si>
    <t>가천대 응급구조학과</t>
  </si>
  <si>
    <t>상명대 문헌정보학전공</t>
  </si>
  <si>
    <t>상명대 영어교육과</t>
  </si>
  <si>
    <t>한양대(ERICA) 배터리소재화학공학</t>
  </si>
  <si>
    <t>한양대(ERICA) 바이오신약융합학부</t>
  </si>
  <si>
    <t>단국대 과학교육과</t>
  </si>
  <si>
    <t>부산대 일반사회교육과</t>
  </si>
  <si>
    <t>가톨릭대 자유전공학부(일반전형)</t>
  </si>
  <si>
    <t>가톨릭대 자연공학계열(일반전형)</t>
  </si>
  <si>
    <t>명지대 인문대학</t>
  </si>
  <si>
    <t>단국대 상담학과</t>
  </si>
  <si>
    <t>부산대 산업공학과</t>
  </si>
  <si>
    <t>가천대 법과대학</t>
  </si>
  <si>
    <t>상명대 화공신소재전공</t>
  </si>
  <si>
    <t>한양대(ERICA) 분자의약</t>
  </si>
  <si>
    <t>인천대 스마트물류공학전공</t>
  </si>
  <si>
    <t>경북대 문헌정보학과</t>
  </si>
  <si>
    <t>경북대 수학과</t>
  </si>
  <si>
    <t>성신여대 서비스디자인공학과</t>
  </si>
  <si>
    <t>가천대 관광경영학과</t>
  </si>
  <si>
    <t>상명대 역사콘텐츠전공</t>
  </si>
  <si>
    <t>경북대 지리교육과</t>
  </si>
  <si>
    <t>경북대 공과대학 자율학부</t>
  </si>
  <si>
    <t>경북대 지리학과</t>
  </si>
  <si>
    <t>단국대 한문교육과</t>
  </si>
  <si>
    <t>부산대 건축공학과</t>
  </si>
  <si>
    <t>성신여대 융합보안공학과</t>
  </si>
  <si>
    <t>가천대 사회복지학과</t>
  </si>
  <si>
    <t>가천대 도시계획·조경학부</t>
  </si>
  <si>
    <t>가천대 토목환경공학과</t>
  </si>
  <si>
    <t>한국외국어대 반도체전자공학부(전자공학전공)</t>
  </si>
  <si>
    <t>성신여대 화학·에너지융합학부</t>
  </si>
  <si>
    <t>경북대 화학과</t>
  </si>
  <si>
    <t>상명대 가족복지학과</t>
  </si>
  <si>
    <t>부산대 대기환경과학과</t>
  </si>
  <si>
    <t>경북대 불어불문학과</t>
  </si>
  <si>
    <t>경북대 화학교육과</t>
  </si>
  <si>
    <t>성신여대 창의융합학부(자유전공)</t>
  </si>
  <si>
    <t>춘천교대 농어촌</t>
  </si>
  <si>
    <t>가천대 운동재활학과</t>
  </si>
  <si>
    <t>명지대 미디어·휴먼라이프대학</t>
  </si>
  <si>
    <t>충남대 기계공학부</t>
  </si>
  <si>
    <t>부산대 아동가족학과</t>
  </si>
  <si>
    <t>성신여대 창의융합학부(첨단분야전공)</t>
  </si>
  <si>
    <t>광운대 미디어커뮤니케이션학부</t>
  </si>
  <si>
    <t>경북대 사회복지학부</t>
  </si>
  <si>
    <t>세종대 콘텐츠소프트웨어학과(농어촌)</t>
  </si>
  <si>
    <t>부산대 미생물학과</t>
  </si>
  <si>
    <t>경북대 금속재료공학과</t>
  </si>
  <si>
    <t>경북대 영어영문학과</t>
  </si>
  <si>
    <t>상명대 한일문화콘텐츠전공</t>
  </si>
  <si>
    <t>부산대 사학과</t>
  </si>
  <si>
    <t>경북대 물리교육과</t>
  </si>
  <si>
    <t>충북대 지리교육과</t>
  </si>
  <si>
    <t>경북대 생물학과</t>
  </si>
  <si>
    <t>한국외국어대 산업경영공학과</t>
  </si>
  <si>
    <t>단국대 특수교육과</t>
  </si>
  <si>
    <t>한양대(ERICA) 건설환경공학</t>
  </si>
  <si>
    <t>충북대 국어교육과</t>
  </si>
  <si>
    <t>충남대 간호학과</t>
  </si>
  <si>
    <t>상명대 생명공학전공</t>
  </si>
  <si>
    <t>부산대 예술문화영상학과</t>
  </si>
  <si>
    <t>부산대 불어불문학과</t>
  </si>
  <si>
    <t>한국외국어대 바이오메디컬공학부</t>
  </si>
  <si>
    <t>상명대 핀테크전공·빅데이터융합전공·스마트생산전공</t>
  </si>
  <si>
    <t>충남대 경제학과</t>
  </si>
  <si>
    <t>인하대 통계학과</t>
  </si>
  <si>
    <t>부산대 중어중문학과</t>
  </si>
  <si>
    <t>경북대 철학과</t>
  </si>
  <si>
    <t>경기대 건축학과(5년제)</t>
  </si>
  <si>
    <t>가천대 식품영양학과</t>
  </si>
  <si>
    <t>가톨릭대 인문사회계열(일반전형)</t>
  </si>
  <si>
    <t>성신여대 수리통계데이터사이언스학부(통계학/빅데이터사이언스)</t>
  </si>
  <si>
    <t>한국외국어대 AI융합대학[통합모집]</t>
  </si>
  <si>
    <t>충남대 간호학과(지역)</t>
  </si>
  <si>
    <t>광운대 정보융합학부</t>
  </si>
  <si>
    <t>상명대 자유전공(경영경제계열)</t>
  </si>
  <si>
    <t>가천대 의료산업경영학과</t>
  </si>
  <si>
    <t>전남대 산업공학과</t>
  </si>
  <si>
    <t>연세대 자연계열(한마음학생)</t>
  </si>
  <si>
    <t>충남대 반도체융합학과</t>
  </si>
  <si>
    <t>인천대 자유전공학부(자연)</t>
  </si>
  <si>
    <t>한국외국어대 컴퓨터공학부</t>
  </si>
  <si>
    <t>부산대 의류학과</t>
  </si>
  <si>
    <t>부산대 통계학과</t>
  </si>
  <si>
    <t>경북대 산림과학ㆍ조경학부</t>
  </si>
  <si>
    <t>인천대 세무회계학과</t>
  </si>
  <si>
    <t>경북대 전자공학부(인공지능전공)</t>
  </si>
  <si>
    <t>한국외국어대 통계학과</t>
  </si>
  <si>
    <t>충북대 영어교육과</t>
  </si>
  <si>
    <t>가천대 AI인문대학</t>
  </si>
  <si>
    <t>충남대 행정학부</t>
  </si>
  <si>
    <t>성신여대 수리통계데이터사이언스학부(수학/핀테크)</t>
  </si>
  <si>
    <t>충북대 경영학부</t>
  </si>
  <si>
    <t>인천대 미디어커뮤니케이션학과</t>
  </si>
  <si>
    <t>한국외국어대 반도체전자공학부(반도체공학전공)</t>
  </si>
  <si>
    <t>전남대 전자컴퓨터공학부</t>
  </si>
  <si>
    <t>부산대 고고학과</t>
  </si>
  <si>
    <t>부산대 한문학과</t>
  </si>
  <si>
    <t>경북대 일어일문학과</t>
  </si>
  <si>
    <t>광운대 산업심리학과</t>
  </si>
  <si>
    <t>부산대 사회복지학과</t>
  </si>
  <si>
    <t>경북대 물리학과</t>
  </si>
  <si>
    <t>한양대(ERICA) 보험계리</t>
  </si>
  <si>
    <t>광운대 경영학부경영학전공</t>
  </si>
  <si>
    <t>한국외국어대 공과계열</t>
  </si>
  <si>
    <t>전남대 간호학과(지역)</t>
  </si>
  <si>
    <t>광운대 경영학부빅데이터경영전공</t>
  </si>
  <si>
    <t>부산대 노어노문학과</t>
  </si>
  <si>
    <t>부산대 유아교육과</t>
  </si>
  <si>
    <t>명지대 자율전공학부(자연)</t>
  </si>
  <si>
    <t>중앙대 첨단소재공학과</t>
  </si>
  <si>
    <t>가톨릭대 특수교육과</t>
  </si>
  <si>
    <t>인천대 자유전공학부(인문)</t>
  </si>
  <si>
    <t>한국외국어대 기후변화융합학부</t>
  </si>
  <si>
    <t>부산대 나노에너지공학과</t>
  </si>
  <si>
    <t>경북대 토목공학과</t>
  </si>
  <si>
    <t>광운대 법학부</t>
  </si>
  <si>
    <t>전남대 국어교육과</t>
  </si>
  <si>
    <t>광운대 전자공학과</t>
  </si>
  <si>
    <t>충남대 공공안전 융합전공</t>
  </si>
  <si>
    <t>부산대 분자생물학과</t>
  </si>
  <si>
    <t>부산대 재료공학부</t>
  </si>
  <si>
    <t>경기대 자유전공학부(수원)</t>
  </si>
  <si>
    <t>고려대(세종) 첨단융합신약학과</t>
  </si>
  <si>
    <t>광운대 행정학과</t>
  </si>
  <si>
    <t>가천대 유아교육학과</t>
  </si>
  <si>
    <t>경북대 중어중문학과</t>
  </si>
  <si>
    <t>인천대 전자공학부</t>
  </si>
  <si>
    <t>한국외국어대 정보통신공학과</t>
  </si>
  <si>
    <t>경북대 사학과</t>
  </si>
  <si>
    <t>경북대 아동학부</t>
  </si>
  <si>
    <t>광운대 국제통상학부</t>
  </si>
  <si>
    <t>경북대 고고인류학과</t>
  </si>
  <si>
    <t>상명대 식품영양학전공</t>
  </si>
  <si>
    <t>한국외국어대 폴란드학과</t>
  </si>
  <si>
    <t>경북대 지구시스템과학부</t>
  </si>
  <si>
    <t>경기대 AI컴퓨터공학부 인공지능전공</t>
  </si>
  <si>
    <t>부산대 심리학과</t>
  </si>
  <si>
    <t>성신여대 청정신소재공학과</t>
  </si>
  <si>
    <t>부산대 나노메카트로닉스공학과</t>
  </si>
  <si>
    <t>광운대 영어산업학과</t>
  </si>
  <si>
    <t>한국외국어대 전자물리학과</t>
  </si>
  <si>
    <t>광운대 자율전공학부(인문)</t>
  </si>
  <si>
    <t>경북대 농업토목공학과</t>
  </si>
  <si>
    <t>경북대 응용화학과</t>
  </si>
  <si>
    <t>명지대 반도체·ICT대학</t>
  </si>
  <si>
    <t>경북대 스마트생물산업기계공학과</t>
  </si>
  <si>
    <t>충남대 응용화학공학과</t>
  </si>
  <si>
    <t>한국외국어대 환경학과</t>
  </si>
  <si>
    <t>충북대 화학공학과</t>
  </si>
  <si>
    <t>전남대 신소재공학부</t>
  </si>
  <si>
    <t>부산대 조선해양공학과</t>
  </si>
  <si>
    <t>한국외국어대 국제금융학과</t>
  </si>
  <si>
    <t>인천대 경제학과</t>
  </si>
  <si>
    <t>부산대 화학교육과</t>
  </si>
  <si>
    <t>부산대 특수교육과</t>
  </si>
  <si>
    <t>인천대 경영학부</t>
  </si>
  <si>
    <t>인천대 신소재공학과</t>
  </si>
  <si>
    <t>인천대 컴퓨터공학부</t>
  </si>
  <si>
    <t>광운대 동북아문화산업학부</t>
  </si>
  <si>
    <t>전북대 간호학과</t>
  </si>
  <si>
    <t>한국외국어대 화학과</t>
  </si>
  <si>
    <t>경북대 식물의학과</t>
  </si>
  <si>
    <t>충남대 정치외교학과</t>
  </si>
  <si>
    <t>경북대 국어국문학과</t>
  </si>
  <si>
    <t>경북대 첨단기술융합대학 자율학부2</t>
  </si>
  <si>
    <t>인천대 수학교육과</t>
  </si>
  <si>
    <t>명지대 스마트시스템공과대학</t>
  </si>
  <si>
    <t>충북대 경영정보학과</t>
  </si>
  <si>
    <t>부산대 수학과</t>
  </si>
  <si>
    <t>부산대 화학과</t>
  </si>
  <si>
    <t>가천대 치위생학과</t>
  </si>
  <si>
    <t>충북대 경제학과</t>
  </si>
  <si>
    <t>경북대 식품공학부</t>
  </si>
  <si>
    <t>한국외국어대 생명공학과</t>
  </si>
  <si>
    <t>한국외국어대 수학과</t>
  </si>
  <si>
    <t>충남대 무역학과</t>
  </si>
  <si>
    <t>충남대 문헌정보학과</t>
  </si>
  <si>
    <t>충남대 언론정보학과</t>
  </si>
  <si>
    <t>부산대 사회기반시스템공학과</t>
  </si>
  <si>
    <t>경북대 독어독문학과</t>
  </si>
  <si>
    <t>경북대 응용생명과학부</t>
  </si>
  <si>
    <t>경기대 호텔외식경영학부</t>
  </si>
  <si>
    <t>경북대 전기공학과</t>
  </si>
  <si>
    <t>광운대 전기공학과</t>
  </si>
  <si>
    <t>전남대 역사교육과</t>
  </si>
  <si>
    <t>부산대 지질환경과학과</t>
  </si>
  <si>
    <t>부산대 독어독문학과</t>
  </si>
  <si>
    <t>경기대 창의공과대학(통합)</t>
  </si>
  <si>
    <t>전남대 경영학부</t>
  </si>
  <si>
    <t>충북대 심리학과</t>
  </si>
  <si>
    <t>한국외국어대 자연과학대학[통합모집]</t>
  </si>
  <si>
    <t>전남대 생물공학과</t>
  </si>
  <si>
    <t>경북대 한문학과</t>
  </si>
  <si>
    <t>경기대 미디어영상학과</t>
  </si>
  <si>
    <t>광운대 전자융합공학과</t>
  </si>
  <si>
    <t>한국외국어대 Gobal Business &amp; Technology학부</t>
  </si>
  <si>
    <t>부산대 식품영양학과</t>
  </si>
  <si>
    <t>부산대 생물교육과</t>
  </si>
  <si>
    <t>명지대 화학·생명과학대학</t>
  </si>
  <si>
    <t>경기대 AI컴퓨터공학부</t>
  </si>
  <si>
    <t>광운대 국어국문학과</t>
  </si>
  <si>
    <t>광운대 반도체시스템공학부</t>
  </si>
  <si>
    <t>한국외국어대 자유전공학부(글로벌)</t>
  </si>
  <si>
    <t>경기대 관광문화콘텐츠학과</t>
  </si>
  <si>
    <t>경북대 노어노문학과</t>
  </si>
  <si>
    <t>충남대 소비자학과</t>
  </si>
  <si>
    <t>부산대 물리교육과</t>
  </si>
  <si>
    <t>충북대 전자공학과</t>
  </si>
  <si>
    <t>경기대 수학과</t>
  </si>
  <si>
    <t>인천대 전기공학과</t>
  </si>
  <si>
    <t>부산대 물리학과</t>
  </si>
  <si>
    <t>부산대 해양학과</t>
  </si>
  <si>
    <t>광운대 화학공학과</t>
  </si>
  <si>
    <t>충남대 미생물·분자생명과학과</t>
  </si>
  <si>
    <t>충북대 인문사회자율전공계열</t>
  </si>
  <si>
    <t>경기대 신소재화학공학부</t>
  </si>
  <si>
    <t>경북대 역사교육과</t>
  </si>
  <si>
    <t>인천대 기계공학과</t>
  </si>
  <si>
    <t>상명대 애니메이션전공</t>
  </si>
  <si>
    <t>충남대 국어국문학과</t>
  </si>
  <si>
    <t>경기대 융합과학대학</t>
  </si>
  <si>
    <t>경기대 AI컴퓨터공학부 SW안전보안전공</t>
  </si>
  <si>
    <t>인천대 정치외교학과</t>
  </si>
  <si>
    <t>충북대 사학과</t>
  </si>
  <si>
    <t>충북대 전기공학부</t>
  </si>
  <si>
    <t>한국외국어대 Culture &amp; Technology융합대학[통합모집]</t>
  </si>
  <si>
    <t>충남대 사학과</t>
  </si>
  <si>
    <t>충북대 국제경영학과</t>
  </si>
  <si>
    <t>충남대 인공지능학과</t>
  </si>
  <si>
    <t>제주대 윤리교육과</t>
  </si>
  <si>
    <t>광운대 국제학부</t>
  </si>
  <si>
    <t>인천대 나노바이오공학전공</t>
  </si>
  <si>
    <t>충남대 도시·자치융합학과</t>
  </si>
  <si>
    <t>전남대 기계공학부</t>
  </si>
  <si>
    <t>경기대 소프트웨어경영대학(통합)</t>
  </si>
  <si>
    <t>경기대 기계시스템공학과</t>
  </si>
  <si>
    <t>인천대 국어교육과</t>
  </si>
  <si>
    <t>충남대 항공우주공학과</t>
  </si>
  <si>
    <t>경북대 섬유시스템공학과</t>
  </si>
  <si>
    <t>광운대 전자통신공학과</t>
  </si>
  <si>
    <t>한국외국어대 AI데이터융합학부</t>
  </si>
  <si>
    <t>부산대 지구과학교육과</t>
  </si>
  <si>
    <t>인천대 행정학과</t>
  </si>
  <si>
    <t>국민대 기계공학부</t>
  </si>
  <si>
    <t>인천대 도시행정학과</t>
  </si>
  <si>
    <t>인천대 무역학부</t>
  </si>
  <si>
    <t>경기대 법학과</t>
  </si>
  <si>
    <t>충남대 교육학과</t>
  </si>
  <si>
    <t>인천대 데이터과학과</t>
  </si>
  <si>
    <t>전남대 통계학과</t>
  </si>
  <si>
    <t>세종대 AI로봇학과(농어촌)</t>
  </si>
  <si>
    <t>충북대 영어영문학과</t>
  </si>
  <si>
    <t>광운대 전자재료공학과</t>
  </si>
  <si>
    <t>경기대 관광개발경영학과</t>
  </si>
  <si>
    <t>인천대 소비자학과</t>
  </si>
  <si>
    <t>경북대 첨단기술융합대학 자율학부1</t>
  </si>
  <si>
    <t>충북대 정치외교학과</t>
  </si>
  <si>
    <t>경기대 산업경영공학과</t>
  </si>
  <si>
    <t>광운대 소프트웨어학부</t>
  </si>
  <si>
    <t>충북대 사회학과</t>
  </si>
  <si>
    <t>부산대 의생명융합공학부</t>
  </si>
  <si>
    <t>인천대 창의인재개발학과</t>
  </si>
  <si>
    <t>경북대 농업생명과학대학 자율학부</t>
  </si>
  <si>
    <t>한국외국어대 디지털콘텐츠학부</t>
  </si>
  <si>
    <t>인천대 임베디드시스템공학과</t>
  </si>
  <si>
    <t>경상국립대 항공우주공학부</t>
  </si>
  <si>
    <t>한국외국어대 Finance &amp; AI융합학부</t>
  </si>
  <si>
    <t>세종대 인공지능데이터사이언스학과(농어촌)</t>
  </si>
  <si>
    <t>경기대 사회과학대학(통합)</t>
  </si>
  <si>
    <t>경기대 화학과</t>
  </si>
  <si>
    <t>인천대 사회복지학과</t>
  </si>
  <si>
    <t>경상국립대 일반사회교육과</t>
  </si>
  <si>
    <t>부산대 IT응용공학과</t>
  </si>
  <si>
    <t>충남대 철학과</t>
  </si>
  <si>
    <t>인천대 생명공학전공</t>
  </si>
  <si>
    <t>충북대 행정학과</t>
  </si>
  <si>
    <t>광운대 로봇학부AI로봇전공</t>
  </si>
  <si>
    <t>경기대 사회에너지시스템공학과</t>
  </si>
  <si>
    <t>한국외국어대 헝가리학과</t>
  </si>
  <si>
    <t>충남대 국제학부</t>
  </si>
  <si>
    <t>인천대 영어영문학과</t>
  </si>
  <si>
    <t>인천대 국어국문학과</t>
  </si>
  <si>
    <t>인천대 영어교육과</t>
  </si>
  <si>
    <t>인천대 물리학과</t>
  </si>
  <si>
    <t>경기대 인문대학(통합)</t>
  </si>
  <si>
    <t>인천대 문헌정보학과</t>
  </si>
  <si>
    <t>광운대 건축학과</t>
  </si>
  <si>
    <t>제주대 수학교육과</t>
  </si>
  <si>
    <t>전남대 미디어커뮤니케이션학과</t>
  </si>
  <si>
    <t>인천대 패션산업학과</t>
  </si>
  <si>
    <t>인천대 생명과학전공</t>
  </si>
  <si>
    <t>한국외국어대 융합인재학부</t>
  </si>
  <si>
    <t>인천대 법학부</t>
  </si>
  <si>
    <t>전남대 지리교육과</t>
  </si>
  <si>
    <t>인천대 분자의생명전공</t>
  </si>
  <si>
    <t>인천대 에너지화학공학과</t>
  </si>
  <si>
    <t>광운대 자율전공학부(자연)</t>
  </si>
  <si>
    <t>한국외국어대 철학과</t>
  </si>
  <si>
    <t>충북대 사회교육과</t>
  </si>
  <si>
    <t>충남대 메카트로닉스공학과</t>
  </si>
  <si>
    <t>광운대 컴퓨터정보공학부</t>
  </si>
  <si>
    <t>충북대 자연과학자율전공계열</t>
  </si>
  <si>
    <t>한국외국어대 언어인지과학과</t>
  </si>
  <si>
    <t>전남대 건축학부</t>
  </si>
  <si>
    <t>충북대 식품생명공학과</t>
  </si>
  <si>
    <t>충남대 건축학과 ( 5년제)</t>
  </si>
  <si>
    <t>광운대 환경공학과</t>
  </si>
  <si>
    <t>연세대(미래) 치위생학과</t>
  </si>
  <si>
    <t>전남대 경제학부</t>
  </si>
  <si>
    <t>전남대 행정학과</t>
  </si>
  <si>
    <t>충남대 기술교육과</t>
  </si>
  <si>
    <t>인천대 독어독문학과</t>
  </si>
  <si>
    <t>광운대 건축공학과</t>
  </si>
  <si>
    <t>강원대 간호학과</t>
  </si>
  <si>
    <t>광운대 수학과</t>
  </si>
  <si>
    <t>한국외국어대 투어리즘 &amp; 웰니스학부</t>
  </si>
  <si>
    <t>인천대 중어중국학과</t>
  </si>
  <si>
    <t>충남대 영어영문학과</t>
  </si>
  <si>
    <t>인천대 안전공학과</t>
  </si>
  <si>
    <t>한국외국어대 루마니아학과</t>
  </si>
  <si>
    <t>충북대 컴퓨터공학과</t>
  </si>
  <si>
    <t>부산대 환경공학과</t>
  </si>
  <si>
    <t>인천대 불어불문학과</t>
  </si>
  <si>
    <t>한국외국어대 중앙아시아학과</t>
  </si>
  <si>
    <t>충남대 공학융합학부</t>
  </si>
  <si>
    <t>세종대 지능형드론융합전공(농어촌)</t>
  </si>
  <si>
    <t>인천대 정보통신공학과</t>
  </si>
  <si>
    <t>충북대 지역건설공학과</t>
  </si>
  <si>
    <t>경북대 환경공학과</t>
  </si>
  <si>
    <t>한국외국어대 우크라이나학과</t>
  </si>
  <si>
    <t>광운대 화학과</t>
  </si>
  <si>
    <t>강원대(제2캠) 응급구조학과</t>
  </si>
  <si>
    <t>경북대 자연과학대학 자율학부</t>
  </si>
  <si>
    <t>경북대 건축학부(건축공학전공)</t>
  </si>
  <si>
    <t>충북대 중어중문학과</t>
  </si>
  <si>
    <t>강원대 미디어커뮤니케이션학과</t>
  </si>
  <si>
    <t>인천대 일어교육과</t>
  </si>
  <si>
    <t>인천대 바이오-로봇시스템공학과</t>
  </si>
  <si>
    <t>인천대 해양학과</t>
  </si>
  <si>
    <t>인천대 건설환경공학전공</t>
  </si>
  <si>
    <t>경기대 영어영문학과</t>
  </si>
  <si>
    <t>충북대 신소재공학과</t>
  </si>
  <si>
    <t>한국외국어대 아프리카학부</t>
  </si>
  <si>
    <t>충북대 농업경제학과</t>
  </si>
  <si>
    <t>경기대 무역학과</t>
  </si>
  <si>
    <t>제주대 초등교육학부</t>
  </si>
  <si>
    <t>충북대 국어국문학과</t>
  </si>
  <si>
    <t>경기대 문헌정보학과</t>
  </si>
  <si>
    <t>중앙대 식품공학부(식품공학)</t>
  </si>
  <si>
    <t>전북대 국어교육과</t>
  </si>
  <si>
    <t>전남대 자율전공학부(4년)</t>
  </si>
  <si>
    <t>경기대 국어국문학과</t>
  </si>
  <si>
    <t>인천대 산업경영공학과</t>
  </si>
  <si>
    <t>인천대 도시공학과</t>
  </si>
  <si>
    <t>한국외국어대 그리스․불가리아학과</t>
  </si>
  <si>
    <t>충남대 언어학과</t>
  </si>
  <si>
    <t>경북대 원예과학과</t>
  </si>
  <si>
    <t>한국외국어대 한국학과</t>
  </si>
  <si>
    <t>세종대 인문사회계열(농어촌)</t>
  </si>
  <si>
    <t>중앙대 생명자원공학부(동물생명공학)</t>
  </si>
  <si>
    <t>인천대 유아교육과</t>
  </si>
  <si>
    <t>충남대 인문사회융합학부</t>
  </si>
  <si>
    <t>충남대 에너지공학과</t>
  </si>
  <si>
    <t>경상국립대 간호학과(지역)</t>
  </si>
  <si>
    <t>인천대 환경공학전공</t>
  </si>
  <si>
    <t>강원대 윤리교육과</t>
  </si>
  <si>
    <t>충북대 독일언어문화학과</t>
  </si>
  <si>
    <t>충남대 일어일문학과</t>
  </si>
  <si>
    <t>충남대 유기재료공학과</t>
  </si>
  <si>
    <t>세종대 자연생명계열(농어촌)</t>
  </si>
  <si>
    <t>충남대 물리학과</t>
  </si>
  <si>
    <t>강원대 전자공학과</t>
  </si>
  <si>
    <t>전남대 문헌정보학과</t>
  </si>
  <si>
    <t>인천대 윤리교육과</t>
  </si>
  <si>
    <t>충남대 문화와사회 융합전공</t>
  </si>
  <si>
    <t>경북대 의류학과</t>
  </si>
  <si>
    <t>충북대 아동복지학과</t>
  </si>
  <si>
    <t>중앙대 예술공학부</t>
  </si>
  <si>
    <t>전남대 지구과학교육과</t>
  </si>
  <si>
    <t>경기대 사학과</t>
  </si>
  <si>
    <t>충남대 수학교육과</t>
  </si>
  <si>
    <t>충남대 토목공학과</t>
  </si>
  <si>
    <t>충남대 사회복지학과</t>
  </si>
  <si>
    <t>경인교대 저소득층</t>
  </si>
  <si>
    <t>한국외국어대 세르비아․크로아티아학과</t>
  </si>
  <si>
    <t>인천대 화학과</t>
  </si>
  <si>
    <t>전남대 윤리교육과</t>
  </si>
  <si>
    <t>충남대 사회학과</t>
  </si>
  <si>
    <t>부산대 광메카트로닉스공학과</t>
  </si>
  <si>
    <t>중앙대 생명자원공학부(식물생명공학)</t>
  </si>
  <si>
    <t>전북대 사회과교육학부</t>
  </si>
  <si>
    <t>충남대 고고학과</t>
  </si>
  <si>
    <t>광운대 전자바이오물리학과</t>
  </si>
  <si>
    <t>세종대 경상호텔관광계열(농어촌)</t>
  </si>
  <si>
    <t>전남대 정치외교학과</t>
  </si>
  <si>
    <t>부산대 식품자원경제학과</t>
  </si>
  <si>
    <t>충북대 프랑스언어문화학과</t>
  </si>
  <si>
    <t>충북대 철학과</t>
  </si>
  <si>
    <t>전남대 지리학과</t>
  </si>
  <si>
    <t>경기대 유아교육과</t>
  </si>
  <si>
    <t>연세대(미래) 작업치료학과</t>
  </si>
  <si>
    <t>광운대 전자재료공학과(기회균형)</t>
  </si>
  <si>
    <t>광운대 로봇학부정보제어‧지능시스템전공</t>
  </si>
  <si>
    <t>충북대 러시아언어문화학과</t>
  </si>
  <si>
    <t>전남대 심리학과</t>
  </si>
  <si>
    <t>한국외국어대 체코․슬로바키아학과</t>
  </si>
  <si>
    <t>충북대 전자정보자율전공학부</t>
  </si>
  <si>
    <t>충남대 수학과</t>
  </si>
  <si>
    <t>전남대 환경에너지공학과</t>
  </si>
  <si>
    <t>강원대 자유전공학부(인문계열)</t>
  </si>
  <si>
    <t>전남대 사회학과</t>
  </si>
  <si>
    <t>강원대 일반사회교육과</t>
  </si>
  <si>
    <t>충남대 중어중문학과</t>
  </si>
  <si>
    <t>전남대 영어교육과</t>
  </si>
  <si>
    <t>인천대 수학과</t>
  </si>
  <si>
    <t>충남대 국사학과</t>
  </si>
  <si>
    <t>중앙대 식품공학부(식품영양)</t>
  </si>
  <si>
    <t>충남대 천문우주과학과</t>
  </si>
  <si>
    <t>충북대 의류학과</t>
  </si>
  <si>
    <t>충북대 환경생명화학과</t>
  </si>
  <si>
    <t>경상국립대 간호학과</t>
  </si>
  <si>
    <t>전남대 생명과학기술학부</t>
  </si>
  <si>
    <t>충남대 한문학과</t>
  </si>
  <si>
    <t>전남대 식품공학과</t>
  </si>
  <si>
    <t>경북대 일반사회교육과</t>
  </si>
  <si>
    <t>충북대 반도체공학부</t>
  </si>
  <si>
    <t>충북대 정보통신공학부</t>
  </si>
  <si>
    <t>광운대 법학부(기회균형)</t>
  </si>
  <si>
    <t>충남대 국어교육과</t>
  </si>
  <si>
    <t>경상국립대 국어교육과</t>
  </si>
  <si>
    <t>한국외국어대 사학과</t>
  </si>
  <si>
    <t>충북대 공학자율전공학부</t>
  </si>
  <si>
    <t>충남대 자율운항시스템공학과</t>
  </si>
  <si>
    <t>경북대 가정교육과</t>
  </si>
  <si>
    <t>충남대 독어독문학과</t>
  </si>
  <si>
    <t>강원대 건축학과(5년제)</t>
  </si>
  <si>
    <t>충북대 생물교육과</t>
  </si>
  <si>
    <t>전남대 토목공학과</t>
  </si>
  <si>
    <t>충북대 기계공학부</t>
  </si>
  <si>
    <t>전남대 화학과</t>
  </si>
  <si>
    <t>강원대 반도체물리학과</t>
  </si>
  <si>
    <t>강원대 국어교육과</t>
  </si>
  <si>
    <t>전남대 영어영문학과</t>
  </si>
  <si>
    <t>세종대 컴퓨터공학과(농어촌)</t>
  </si>
  <si>
    <t>전남대 인공지능학부</t>
  </si>
  <si>
    <t>한국외국어대 국가전략언어계열</t>
  </si>
  <si>
    <t>부산대 조경학과</t>
  </si>
  <si>
    <t>중앙대 공연영상창작학부(사진)</t>
  </si>
  <si>
    <t>중앙대 시스템생명공학과</t>
  </si>
  <si>
    <t>강원대 역사교육과</t>
  </si>
  <si>
    <t>충북대 식품영양학과</t>
  </si>
  <si>
    <t>대구교대 만학도</t>
  </si>
  <si>
    <t>충남대 식품영양학과</t>
  </si>
  <si>
    <t>전남대 국어국문학과</t>
  </si>
  <si>
    <t>강원대 가정교육과</t>
  </si>
  <si>
    <t>충북대 고고미술사학과</t>
  </si>
  <si>
    <t>강원대 자유전공학부(자연계열)</t>
  </si>
  <si>
    <t>충남대 정보통신융합학부</t>
  </si>
  <si>
    <t>경상국립대 수학교육과</t>
  </si>
  <si>
    <t>제주대 간호학과</t>
  </si>
  <si>
    <t>충북대 화학과</t>
  </si>
  <si>
    <t>충남대 지질환경과학과</t>
  </si>
  <si>
    <t>강원대 경영·회계학부</t>
  </si>
  <si>
    <t>충북대 식물의학과</t>
  </si>
  <si>
    <t>충북대 공업화학과</t>
  </si>
  <si>
    <t>충남대 첨단융합학부</t>
  </si>
  <si>
    <t>충북대 건축공학과</t>
  </si>
  <si>
    <t>전남대 수학과</t>
  </si>
  <si>
    <t>전북대 융합자율전공학부1</t>
  </si>
  <si>
    <t>충북대 식물자원학과</t>
  </si>
  <si>
    <t>광운대 경영학부경영학전공(기회균형)</t>
  </si>
  <si>
    <t>전북대 교육학과</t>
  </si>
  <si>
    <t>전남대 철학과</t>
  </si>
  <si>
    <t>충남대 영어교육과</t>
  </si>
  <si>
    <t>강원대 AI융합학과</t>
  </si>
  <si>
    <t>한국외국어대 인문대학[통합모집]</t>
  </si>
  <si>
    <t>충북대 산림학과</t>
  </si>
  <si>
    <t>충남대 환경공학과</t>
  </si>
  <si>
    <t>경상국립대 윤리교육과</t>
  </si>
  <si>
    <t>강원대 전기전자공학과</t>
  </si>
  <si>
    <t>전남대 바이오에너지공학과</t>
  </si>
  <si>
    <t>전북대 영어교육과</t>
  </si>
  <si>
    <t>충남대 스마트시티 건축공학과</t>
  </si>
  <si>
    <t>전남대 문화인류고고학과</t>
  </si>
  <si>
    <t>세종대 지능정보융합학과(농어촌)</t>
  </si>
  <si>
    <t>충북대 소프트웨어학부</t>
  </si>
  <si>
    <t>연세대(미래) AI반도체학부</t>
  </si>
  <si>
    <t>전남대 일어일문학과</t>
  </si>
  <si>
    <t>전남대 융합바이오시스템기계공학과</t>
  </si>
  <si>
    <t>한국외국어대 경상대학[통합모집]</t>
  </si>
  <si>
    <t>강원대 교육학과</t>
  </si>
  <si>
    <t>고려대(세종) 빅데이터사이언스학부</t>
  </si>
  <si>
    <t>강원대 지역건설공학과</t>
  </si>
  <si>
    <t>충북대 안전공학과</t>
  </si>
  <si>
    <t>경상국립대 생물교육과</t>
  </si>
  <si>
    <t>경북대 바이오섬유소재학과</t>
  </si>
  <si>
    <t>연세대(미래) 자율융합계열</t>
  </si>
  <si>
    <t>제주대 영어교육과</t>
  </si>
  <si>
    <t>충북대 특용식물학과</t>
  </si>
  <si>
    <t>강원대 영상문화학과</t>
  </si>
  <si>
    <t>강원대 지리교육과</t>
  </si>
  <si>
    <t>강원대 식품생명공학과</t>
  </si>
  <si>
    <t>충남대 정보통계학과</t>
  </si>
  <si>
    <t>경상국립대 역사교육과</t>
  </si>
  <si>
    <t>강원대(제2캠) 유아교육과</t>
  </si>
  <si>
    <t>강원대 수학교육과</t>
  </si>
  <si>
    <t>충남대 농생명융합학부</t>
  </si>
  <si>
    <t>강원대 행정·심리학부</t>
  </si>
  <si>
    <t>강원대 컴퓨터공학과</t>
  </si>
  <si>
    <t>광운대 경영학부빅데이터경영전공(기회균형)</t>
  </si>
  <si>
    <t>충남대 의류학과</t>
  </si>
  <si>
    <t>제주대 컴퓨터공학과</t>
  </si>
  <si>
    <t>충북대 물리학과</t>
  </si>
  <si>
    <t>충북대 지능로봇공학과</t>
  </si>
  <si>
    <t>전남대 유아교육과</t>
  </si>
  <si>
    <t>강원대 국제무역학과</t>
  </si>
  <si>
    <t>충북대 지구환경과학과</t>
  </si>
  <si>
    <t>전남대 농업경제학과</t>
  </si>
  <si>
    <t>전남대 독일언어문학과</t>
  </si>
  <si>
    <t>충북대 도시공학과</t>
  </si>
  <si>
    <t>전남대 중어중문학과</t>
  </si>
  <si>
    <t>전남대 조경학과</t>
  </si>
  <si>
    <t>강원대 에너지자원공학과</t>
  </si>
  <si>
    <t>충북대 환경공학과</t>
  </si>
  <si>
    <t>전남대 물리교육과</t>
  </si>
  <si>
    <t>충북대 축산학과</t>
  </si>
  <si>
    <t>충북대 미생물학과</t>
  </si>
  <si>
    <t>경상국립대 지리교육과</t>
  </si>
  <si>
    <t>연세대(미래) 소프트웨어학부</t>
  </si>
  <si>
    <t>충북대 목재·종이과학과</t>
  </si>
  <si>
    <t>전남대 불어불문학과</t>
  </si>
  <si>
    <t>강원대 경영대학 무전공학과</t>
  </si>
  <si>
    <t>충북대 원예과학과</t>
  </si>
  <si>
    <t>충북대 수학과</t>
  </si>
  <si>
    <t>충북대 건축학과</t>
  </si>
  <si>
    <t>전남대 특수교육학부</t>
  </si>
  <si>
    <t>전북대 경상계열</t>
  </si>
  <si>
    <t>강원대 디지털밀리터리학과</t>
  </si>
  <si>
    <t>광운대 국제학부(기회균형)</t>
  </si>
  <si>
    <t>전북대 사회과학계열</t>
  </si>
  <si>
    <t>강원대 사회학과</t>
  </si>
  <si>
    <t>광운대 미디어커뮤니케이션학부(기회균형)</t>
  </si>
  <si>
    <t>전남대 미래모빌리티학과</t>
  </si>
  <si>
    <t>강원대 과학교육학부</t>
  </si>
  <si>
    <t>전남대 에너지자원공학과</t>
  </si>
  <si>
    <t>강원대(제2캠) 전자.AI시스템공학과</t>
  </si>
  <si>
    <t>강원대(제2캠) 작업치료학과</t>
  </si>
  <si>
    <t>광운대 전자공학과(기회균형)</t>
  </si>
  <si>
    <t>충북대 토목공학부</t>
  </si>
  <si>
    <t>광운대 국제통상학부(기회균형)</t>
  </si>
  <si>
    <t>광운대 국어국문학과(기회균형)</t>
  </si>
  <si>
    <t>충북대 천문우주학과</t>
  </si>
  <si>
    <t>전남대 물리학과</t>
  </si>
  <si>
    <t>광운대 행정학과(기회균형)</t>
  </si>
  <si>
    <t>강원대 부동산학과</t>
  </si>
  <si>
    <t>전남대 생물학과</t>
  </si>
  <si>
    <t>강원대 경제·정보통계학부</t>
  </si>
  <si>
    <t>경기대 자유전공학부(서울)</t>
  </si>
  <si>
    <t>경상국립대 경영학부</t>
  </si>
  <si>
    <t>제주대 사회교육과</t>
  </si>
  <si>
    <t>전남대 동물자원학부</t>
  </si>
  <si>
    <t>전남대 고분자융합소재공학부</t>
  </si>
  <si>
    <t>전남대 농생명화학과</t>
  </si>
  <si>
    <t>강원대 관광경영학과</t>
  </si>
  <si>
    <t>전남대 빅데이터융합학과</t>
  </si>
  <si>
    <t>전남대 응용생물학과</t>
  </si>
  <si>
    <t>부산대 바이오산업기계공학과</t>
  </si>
  <si>
    <t>강원대 화학·생화학부</t>
  </si>
  <si>
    <t>충북대 화학교육과</t>
  </si>
  <si>
    <t>강원대 분자생명과학과</t>
  </si>
  <si>
    <t>전남대 산림자원학과</t>
  </si>
  <si>
    <t>전남대 사학과</t>
  </si>
  <si>
    <t>충남대 생명정보융합학과</t>
  </si>
  <si>
    <t>강원대 수학과</t>
  </si>
  <si>
    <t>경상국립대 제약공학과</t>
  </si>
  <si>
    <t>고려대(세종) 문화창의학부</t>
  </si>
  <si>
    <t>제주대 생물교육전공</t>
  </si>
  <si>
    <t>전남대 응용식물학과</t>
  </si>
  <si>
    <t>강원대 생태조경디자인학과</t>
  </si>
  <si>
    <t>충남대 불어불문학과</t>
  </si>
  <si>
    <t>충북대 수학교육과</t>
  </si>
  <si>
    <t>강원대 인문학부</t>
  </si>
  <si>
    <t>광운대 화학공학과(기회균형)</t>
  </si>
  <si>
    <t>연세대(미래) 디지털헬스케어학부</t>
  </si>
  <si>
    <t>청주교대 농어촌</t>
  </si>
  <si>
    <t>강원대 한문교육과</t>
  </si>
  <si>
    <t>강원대 산림과학부</t>
  </si>
  <si>
    <t>전남대 교육학과</t>
  </si>
  <si>
    <t>전남대 지구환경과학부</t>
  </si>
  <si>
    <t>강원대 생물의소재공학과</t>
  </si>
  <si>
    <t>전남대 원예생명공학과</t>
  </si>
  <si>
    <t>강원대 정치외교학과</t>
  </si>
  <si>
    <t>전남대 식품영양과학부</t>
  </si>
  <si>
    <t>전남대 생물교육과</t>
  </si>
  <si>
    <t>강원대 문화인류학과</t>
  </si>
  <si>
    <t>강원대 동물산업융합학과</t>
  </si>
  <si>
    <t>전북대 인문계열</t>
  </si>
  <si>
    <t>충북대 바이오시스템공학과</t>
  </si>
  <si>
    <t>제주대 지리교육과</t>
  </si>
  <si>
    <t>충남대 건설공학교육과</t>
  </si>
  <si>
    <t>전남대 지역·바이오시스템공학과</t>
  </si>
  <si>
    <t>고려대(세종) 정부행정학부</t>
  </si>
  <si>
    <t>강원대 기계의용·메카트로닉스공학과</t>
  </si>
  <si>
    <t>충남대 생화학과</t>
  </si>
  <si>
    <t>제주대 건축학과(5년)</t>
  </si>
  <si>
    <t>부산대 바이오환경에너지학과</t>
  </si>
  <si>
    <t>충남대 자연과학융합학부</t>
  </si>
  <si>
    <t>강원대 농업생명과학대학 무전공학과</t>
  </si>
  <si>
    <t>경상국립대 경제학부</t>
  </si>
  <si>
    <t>경상국립대 영어교육과</t>
  </si>
  <si>
    <t>강원대 생물자원과학부</t>
  </si>
  <si>
    <t>강원대 환경융합학부</t>
  </si>
  <si>
    <t>전남대 의류학과</t>
  </si>
  <si>
    <t>충북대 물리교육과</t>
  </si>
  <si>
    <t>강원대 생명건강공학과</t>
  </si>
  <si>
    <t>강원대 원예·농업자원경제학부</t>
  </si>
  <si>
    <t>광운대 동북아문화산업학부(기회균형)</t>
  </si>
  <si>
    <t>전북대 생활과학계열</t>
  </si>
  <si>
    <t>강원대 화공·생물공학부</t>
  </si>
  <si>
    <t>연세대(미래) 데이터사이언스학부</t>
  </si>
  <si>
    <t>경북대 식품영양학과</t>
  </si>
  <si>
    <t>충남대 기계공학교육과</t>
  </si>
  <si>
    <t>경상국립대 미디어커뮤니케이션학과</t>
  </si>
  <si>
    <t>경상국립대 전기공학과</t>
  </si>
  <si>
    <t>강원대 건축·토목·환경공학부</t>
  </si>
  <si>
    <t>강원대 목재·종이과학부</t>
  </si>
  <si>
    <t>광운대 반도체시스템공학부(기회균형)</t>
  </si>
  <si>
    <t>경상국립대 전자공학부</t>
  </si>
  <si>
    <t>전북대 융합자율전공학부2</t>
  </si>
  <si>
    <t>강원대 동물응용과학과</t>
  </si>
  <si>
    <t>강원대 스마트산업공학과</t>
  </si>
  <si>
    <t>강원대 지질·지구물리학부</t>
  </si>
  <si>
    <t>경상국립대 교육학과</t>
  </si>
  <si>
    <t>고려대(세종) 융합경영학부</t>
  </si>
  <si>
    <t>광운대 전자융합공학과(기회균형)</t>
  </si>
  <si>
    <t>광운대 건축학과(기회균형)</t>
  </si>
  <si>
    <t>전남대 분자생명공학과</t>
  </si>
  <si>
    <t>광운대 로봇학부AI로봇전공(기회균형)</t>
  </si>
  <si>
    <t>전남대 생활복지학과</t>
  </si>
  <si>
    <t>광운대 수학과(기회균형)</t>
  </si>
  <si>
    <t>전남대 임산공학과</t>
  </si>
  <si>
    <t>광운대 정보융합학부(기회균형)</t>
  </si>
  <si>
    <t>충남대 생물과학과</t>
  </si>
  <si>
    <t>고려대(세종) 문화유산융합학부</t>
  </si>
  <si>
    <t>강원대 의생명융합학부</t>
  </si>
  <si>
    <t>광운대 환경공학과(기회균형)</t>
  </si>
  <si>
    <t>광운대 전기공학과(기회균형)</t>
  </si>
  <si>
    <t>경상국립대 기계공학부</t>
  </si>
  <si>
    <t>제주대 컴퓨터교육과</t>
  </si>
  <si>
    <t>경상국립대 법학부</t>
  </si>
  <si>
    <t>강원대 동물자원과학과</t>
  </si>
  <si>
    <t>광운대 전자바이오물리학과(기회균형)</t>
  </si>
  <si>
    <t>강원대 영어교육과</t>
  </si>
  <si>
    <t>충남대 전기·전자·통신공학교육과</t>
  </si>
  <si>
    <t>제주대 경영학과</t>
  </si>
  <si>
    <t>강원대(제2캠) 글로벌인재학부</t>
  </si>
  <si>
    <t>전북대 공학계열2</t>
  </si>
  <si>
    <t>고려대(세종) 글로벌학부</t>
  </si>
  <si>
    <t>충남대 해양환경과학과</t>
  </si>
  <si>
    <t>경상국립대 심리학과</t>
  </si>
  <si>
    <t>제주대 행정학과</t>
  </si>
  <si>
    <t>제주대 전자공학과</t>
  </si>
  <si>
    <t>경상국립대 건축학과</t>
  </si>
  <si>
    <t>광운대 전자통신공학과(기회균형)</t>
  </si>
  <si>
    <t>경북대 위치정보시스템학과</t>
  </si>
  <si>
    <t>경상국립대 회계세무학부</t>
  </si>
  <si>
    <t>부산대 식품공학과</t>
  </si>
  <si>
    <t>부산대 바이오소재과학과</t>
  </si>
  <si>
    <t>부산대 유기소재시스템공학과</t>
  </si>
  <si>
    <t>광운대 로봇학부정보제어‧지능시스템전공(기회균형)</t>
  </si>
  <si>
    <t>춘천교대 기초/차상위</t>
  </si>
  <si>
    <t>전북대 공학계열1</t>
  </si>
  <si>
    <t>강원대 배터리융합공학과</t>
  </si>
  <si>
    <t>광운대 화학과(기회균형)</t>
  </si>
  <si>
    <t>경상국립대 화학공학과</t>
  </si>
  <si>
    <t>제주대 국어교육과</t>
  </si>
  <si>
    <t>충남대 화학과</t>
  </si>
  <si>
    <t>강원대 스마트팜융합바이오시스템공학과</t>
  </si>
  <si>
    <t>전북대 스마트팜학과</t>
  </si>
  <si>
    <t>강원대(제2캠) 소방방재학부</t>
  </si>
  <si>
    <t>강원대(제2캠) 기계공학과</t>
  </si>
  <si>
    <t>강원대(제2캠) 건설융합학부</t>
  </si>
  <si>
    <t>강원대(제2캠) 치위생학과</t>
  </si>
  <si>
    <t>경상국립대 물리교육과</t>
  </si>
  <si>
    <t>제주대 언론홍보학과</t>
  </si>
  <si>
    <t>경상국립대 토목공학과</t>
  </si>
  <si>
    <t>충북대 생화학과</t>
  </si>
  <si>
    <t>고려대(세종) 공공사회·통일외교학부</t>
  </si>
  <si>
    <t>광운대 산업심리학과(기회균형)</t>
  </si>
  <si>
    <t>강원대 생명과학과</t>
  </si>
  <si>
    <t>광운대 영어산업학과(기회균형)</t>
  </si>
  <si>
    <t>충북대 생물학과</t>
  </si>
  <si>
    <t>전북대 과학교육학부</t>
  </si>
  <si>
    <t>경상국립대 유아교육과</t>
  </si>
  <si>
    <t>광운대 컴퓨터정보공학부(기회균형)</t>
  </si>
  <si>
    <t>충북대 정보통계학과</t>
  </si>
  <si>
    <t>전남대 화학교육과</t>
  </si>
  <si>
    <t>광운대 건축공학과(기회균형)</t>
  </si>
  <si>
    <t>경상국립대 도시공학과</t>
  </si>
  <si>
    <t>경상국립대 AI정보공학과</t>
  </si>
  <si>
    <t>경북대 산림생태보호학과</t>
  </si>
  <si>
    <t>경북대 에너지화학공학과</t>
  </si>
  <si>
    <t>광운대 소프트웨어학부(기회균형)</t>
  </si>
  <si>
    <t>전북대 자연과학계열1</t>
  </si>
  <si>
    <t>강원대(제2캠) 사회복지학과</t>
  </si>
  <si>
    <t>제주대 회계학과</t>
  </si>
  <si>
    <t>부산대 생명환경화학과</t>
  </si>
  <si>
    <t>경상국립대 건축공학부</t>
  </si>
  <si>
    <t>제주대 영어영문학과</t>
  </si>
  <si>
    <t>충남대 화학공학교육과</t>
  </si>
  <si>
    <t>고려대(세종) 표준·지식학과</t>
  </si>
  <si>
    <t>경상국립대 반도체공학과</t>
  </si>
  <si>
    <t>경상국립대 경영정보학과</t>
  </si>
  <si>
    <t>경북대 동물생명공학과</t>
  </si>
  <si>
    <t>부산대 동물생명자원과학과</t>
  </si>
  <si>
    <t>제주대 국어국문학과</t>
  </si>
  <si>
    <t>경상국립대 화학교육과</t>
  </si>
  <si>
    <t>충남대 신소재공학과</t>
  </si>
  <si>
    <t>경북대 치위생학과</t>
  </si>
  <si>
    <t>제주대 사회학과</t>
  </si>
  <si>
    <t>경상국립대 행정학과</t>
  </si>
  <si>
    <t>경상국립대 의류학과</t>
  </si>
  <si>
    <t>제주대 전기공학과</t>
  </si>
  <si>
    <t>고려대(세종) 컴퓨터소프트웨어학과</t>
  </si>
  <si>
    <t>고려대(세종) 신소재화학과</t>
  </si>
  <si>
    <t>경상국립대 사회학과</t>
  </si>
  <si>
    <t>전북대 농업생명과학계열</t>
  </si>
  <si>
    <t>경북대 나노신소재공학과</t>
  </si>
  <si>
    <t>전북대 자연과학계열2</t>
  </si>
  <si>
    <t>고려대(세종) 인공지능사이버보안학과</t>
  </si>
  <si>
    <t>고려대(세종) 반도체물리학부</t>
  </si>
  <si>
    <t>경상국립대 나노신소재공학부 고분자공학전공</t>
  </si>
  <si>
    <t>전남대 가정교육과</t>
  </si>
  <si>
    <t>경북대 스마트플랜트공학과</t>
  </si>
  <si>
    <t>고려대(세종) 식품생명공학과</t>
  </si>
  <si>
    <t>고려대(세종) 지능형반도체공학과</t>
  </si>
  <si>
    <t>경상국립대 수학물리학부</t>
  </si>
  <si>
    <t>부산대 원예생명과학과</t>
  </si>
  <si>
    <t>경북대 말/특수동물학과</t>
  </si>
  <si>
    <t>경상국립대 사회복지학부</t>
  </si>
  <si>
    <t>경상국립대 국제통상학과</t>
  </si>
  <si>
    <t>고려대(세종) 전자·기계융합공학과</t>
  </si>
  <si>
    <t>경상국립대 일어교육과</t>
  </si>
  <si>
    <t>제주대 인공지능학과</t>
  </si>
  <si>
    <t>강원대(제2캠) 바이오기능성소재학과</t>
  </si>
  <si>
    <t>경상국립대 독어독문학과</t>
  </si>
  <si>
    <t>경상국립대 기계융합공학과</t>
  </si>
  <si>
    <t>경상국립대 미래자동차공학과</t>
  </si>
  <si>
    <t>고려대(세종) 스마트도시학부</t>
  </si>
  <si>
    <t>제주대 경제학과</t>
  </si>
  <si>
    <t>경북대 자율미래인재학부</t>
  </si>
  <si>
    <t>경북대 식물자원학과</t>
  </si>
  <si>
    <t>경상국립대 인문사회자율전공</t>
  </si>
  <si>
    <t>경북대 건설방재공학과</t>
  </si>
  <si>
    <t>경상국립대 소프트웨어공학과</t>
  </si>
  <si>
    <t>경상국립대 정치외교학과</t>
  </si>
  <si>
    <t>제주대 물리교육전공</t>
  </si>
  <si>
    <t>경상국립대 제어로봇공학과</t>
  </si>
  <si>
    <t>고려대(세종) 응용수리과학부</t>
  </si>
  <si>
    <t>부산대 식물생명과학과</t>
  </si>
  <si>
    <t>고려대(세종) 미래모빌리티학과</t>
  </si>
  <si>
    <t>제주대 경영정보학과</t>
  </si>
  <si>
    <t>강원대(제2캠) 안경광학과</t>
  </si>
  <si>
    <t>경상국립대 영어영문학부 영어전공</t>
  </si>
  <si>
    <t>경북대 환경안전공학과</t>
  </si>
  <si>
    <t>고려대(세종) 전자및정보공학과</t>
  </si>
  <si>
    <t>제주대 건축공학과</t>
  </si>
  <si>
    <t>경북대 통계학과</t>
  </si>
  <si>
    <t>경북대 자동차공학부</t>
  </si>
  <si>
    <t>고려대(세종) 디지털헬스케어공학과</t>
  </si>
  <si>
    <t>고려대(세종) 생명정보공학과</t>
  </si>
  <si>
    <t>제주대 사학과</t>
  </si>
  <si>
    <t>제주대 무역학과</t>
  </si>
  <si>
    <t>제주대 정치외교학과</t>
  </si>
  <si>
    <t>경북대 섬유패션디자인학부(섬유공학전공)</t>
  </si>
  <si>
    <t>경상국립대 철학과</t>
  </si>
  <si>
    <t>경북대 정밀기계공학과</t>
  </si>
  <si>
    <t>경상국립대 생명과학부</t>
  </si>
  <si>
    <t>제주대 관광경영학과</t>
  </si>
  <si>
    <t>경상국립대 메카트로닉스공학부</t>
  </si>
  <si>
    <t>경북대 곤충생명과학과</t>
  </si>
  <si>
    <t>경상국립대 식품영양학과</t>
  </si>
  <si>
    <t>경상국립대 정보통계학과</t>
  </si>
  <si>
    <t>경상국립대 산업시스템공학부</t>
  </si>
  <si>
    <t>경상국립대 기계시스템공학과</t>
  </si>
  <si>
    <t>강원대(제2캠) 그린에너지공학과</t>
  </si>
  <si>
    <t>제주대 일어일문학과</t>
  </si>
  <si>
    <t>제주대 자유전공</t>
  </si>
  <si>
    <t>고려대(세종) 환경시스템공학과</t>
  </si>
  <si>
    <t>경북대 식품외식산업학과</t>
  </si>
  <si>
    <t>경상국립대 나노신소재공학부 세라믹공학전공</t>
  </si>
  <si>
    <t>경북대 축산학과</t>
  </si>
  <si>
    <t>경상국립대 조경학과</t>
  </si>
  <si>
    <t>경상국립대 사학과</t>
  </si>
  <si>
    <t>경상국립대 스마트유통물류학과</t>
  </si>
  <si>
    <t>제주대 토목공학과</t>
  </si>
  <si>
    <t>경상국립대 컴퓨터공학부</t>
  </si>
  <si>
    <t>경상국립대 화학과</t>
  </si>
  <si>
    <t>제주대 기계시스템공학과</t>
  </si>
  <si>
    <t>경상국립대 항노화신소재과학과</t>
  </si>
  <si>
    <t>경상국립대 아동가족학과</t>
  </si>
  <si>
    <t>제주대 독일학과</t>
  </si>
  <si>
    <t>경상국립대 환경공학과</t>
  </si>
  <si>
    <t>제주대 관광개발학과</t>
  </si>
  <si>
    <t>제주대 화학코스메틱스학과</t>
  </si>
  <si>
    <t>경상국립대 식품자원경제학과</t>
  </si>
  <si>
    <t>경상국립대 불어불문학과</t>
  </si>
  <si>
    <t>경상국립대 식품공학부</t>
  </si>
  <si>
    <t>제주대 중어중문학과</t>
  </si>
  <si>
    <t>제주대 식품영양학과</t>
  </si>
  <si>
    <t>전북대 환경생명자원계열</t>
  </si>
  <si>
    <t>강원대(제2캠) 공학대학 무전공학과</t>
  </si>
  <si>
    <t>강원대(제2캠) 일본어학과</t>
  </si>
  <si>
    <t>경상국립대 환경산림과학부</t>
  </si>
  <si>
    <t>제주대 바이오메디컬정보학과</t>
  </si>
  <si>
    <t>경상국립대 해양경찰시스템학과</t>
  </si>
  <si>
    <t>경상국립대 지역시스템공학과</t>
  </si>
  <si>
    <t>경상국립대 스마트농산업학과</t>
  </si>
  <si>
    <t>제주대 생활환경복지학부</t>
  </si>
  <si>
    <t>제주대 생명공학부</t>
  </si>
  <si>
    <t>제주대 해양산업경찰학과</t>
  </si>
  <si>
    <t>전남대 창의융합학부</t>
  </si>
  <si>
    <t>경상국립대 농학과</t>
  </si>
  <si>
    <t>경북대 관광학과</t>
  </si>
  <si>
    <t>제주대 철학과</t>
  </si>
  <si>
    <t>제주대 식품생명공학과</t>
  </si>
  <si>
    <t>경상국립대 나노신소재공학부 금속재료공학전공</t>
  </si>
  <si>
    <t>제주대 데이터사이언스학과</t>
  </si>
  <si>
    <t>경상국립대 생물산업기계공학과</t>
  </si>
  <si>
    <t>경상국립대 환경재료과학과</t>
  </si>
  <si>
    <t>경북대 소프트웨어학과</t>
  </si>
  <si>
    <t>경상국립대 러시아학과</t>
  </si>
  <si>
    <t>경상국립대 동물생명융합학부</t>
  </si>
  <si>
    <t>제주대 스마트팜학부 식물자원환경전공</t>
  </si>
  <si>
    <t>제주대 지구해양과학과</t>
  </si>
  <si>
    <t>경상국립대 국어국문학과</t>
  </si>
  <si>
    <t>경상국립대 중어중문학과</t>
  </si>
  <si>
    <t>경상국립대 인테리어재료공학과</t>
  </si>
  <si>
    <t>경상국립대 에너지공학과</t>
  </si>
  <si>
    <t>경상국립대 원예과학부</t>
  </si>
  <si>
    <t>제주대 수산생명의학과</t>
  </si>
  <si>
    <t>제주대 물리학과</t>
  </si>
  <si>
    <t>제주대 원예과학전공</t>
  </si>
  <si>
    <t>제주대 수학과</t>
  </si>
  <si>
    <t>제주대 통신공학과</t>
  </si>
  <si>
    <t>제주대 생물학과</t>
  </si>
  <si>
    <t>제주대 해양시스템공학과</t>
  </si>
  <si>
    <t>경상국립대 한문학과</t>
  </si>
  <si>
    <t>제주대 산업응용경제학과</t>
  </si>
  <si>
    <t>경상국립대 영어영문학부 영어영문학전공</t>
  </si>
  <si>
    <t>경상국립대 식물의학과</t>
  </si>
  <si>
    <t>경상국립대 축산과학부</t>
  </si>
  <si>
    <t>11.61</t>
  </si>
  <si>
    <t>25,194</t>
  </si>
  <si>
    <t>11.93</t>
  </si>
  <si>
    <t>25,888</t>
  </si>
  <si>
    <t>12.32</t>
  </si>
  <si>
    <t>26,734</t>
  </si>
  <si>
    <t>12.72</t>
  </si>
  <si>
    <t>27,602</t>
  </si>
  <si>
    <t>12.85</t>
  </si>
  <si>
    <t>27,885</t>
  </si>
  <si>
    <t>25입시결과</t>
    <phoneticPr fontId="67" type="noConversion"/>
  </si>
  <si>
    <r>
      <rPr>
        <sz val="20"/>
        <color theme="1"/>
        <rFont val="맑은 고딕"/>
        <family val="3"/>
        <charset val="129"/>
        <scheme val="minor"/>
      </rPr>
      <t xml:space="preserve">                              환산점수 엑셀배치표            </t>
    </r>
    <r>
      <rPr>
        <sz val="12"/>
        <color theme="1"/>
        <rFont val="맑은 고딕"/>
        <family val="2"/>
        <charset val="129"/>
        <scheme val="minor"/>
      </rPr>
      <t>2026학년도 수능 실채점기준 (2025. 12. 07 제작)</t>
    </r>
    <phoneticPr fontId="3" type="noConversion"/>
  </si>
  <si>
    <t xml:space="preserve"> 국민대, 세종대, 숭실대, 서울과기대, 한양대(ERICA), 단국대, 광운대, 인천대, 성신여대, 상명대, 명지대, 가톨릭대, 가천대, 경기대, 고려대(세종), 연세대(미래)</t>
    <phoneticPr fontId="3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</si>
  <si>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 xml:space="preserve"> 거점국립대학 9곳</t>
    </r>
    <r>
      <rPr>
        <sz val="11"/>
        <color theme="4" tint="-0.249977111117893"/>
        <rFont val="맑은 고딕"/>
        <family val="3"/>
        <charset val="129"/>
        <scheme val="minor"/>
      </rPr>
      <t xml:space="preserve">, </t>
    </r>
    <r>
      <rPr>
        <b/>
        <sz val="11"/>
        <color theme="4" tint="-0.249977111117893"/>
        <rFont val="맑은 고딕"/>
        <family val="3"/>
        <charset val="129"/>
        <scheme val="minor"/>
      </rPr>
      <t>의약계열학과, 교육대학 순서</t>
    </r>
    <r>
      <rPr>
        <sz val="11"/>
        <color theme="4" tint="-0.249977111117893"/>
        <rFont val="맑은 고딕"/>
        <family val="3"/>
        <charset val="129"/>
        <scheme val="minor"/>
      </rPr>
      <t>입니다.</t>
    </r>
    <phoneticPr fontId="3" type="noConversion"/>
  </si>
  <si>
    <r>
      <rPr>
        <b/>
        <sz val="11"/>
        <color theme="1"/>
        <rFont val="Malgun Gothic"/>
        <family val="3"/>
        <charset val="129"/>
      </rPr>
      <t>1. 본 자료는, 25학년도</t>
    </r>
    <r>
      <rPr>
        <b/>
        <sz val="11"/>
        <color rgb="FFC55A11"/>
        <rFont val="Malgun Gothic"/>
        <family val="3"/>
        <charset val="129"/>
      </rPr>
      <t xml:space="preserve"> 정시 입결(대학별 환산점수)</t>
    </r>
    <r>
      <rPr>
        <b/>
        <sz val="11"/>
        <color theme="1"/>
        <rFont val="Malgun Gothic"/>
        <family val="3"/>
        <charset val="129"/>
      </rPr>
      <t xml:space="preserve">을 → '25학년도 수능'의 </t>
    </r>
    <r>
      <rPr>
        <b/>
        <sz val="11"/>
        <color rgb="FFC55A11"/>
        <rFont val="Malgun Gothic"/>
        <family val="3"/>
        <charset val="129"/>
      </rPr>
      <t>표준점수와 백분위로 역환산</t>
    </r>
    <r>
      <rPr>
        <b/>
        <sz val="11"/>
        <color theme="1"/>
        <rFont val="Malgun Gothic"/>
        <family val="3"/>
        <charset val="129"/>
      </rPr>
      <t>한 산출내역입니다.</t>
    </r>
    <phoneticPr fontId="67" type="noConversion"/>
  </si>
  <si>
    <r>
      <t xml:space="preserve">           환산점수 배치표 (나 군)        </t>
    </r>
    <r>
      <rPr>
        <sz val="11"/>
        <color theme="1"/>
        <rFont val="맑은 고딕"/>
        <family val="3"/>
        <charset val="129"/>
        <scheme val="minor"/>
      </rPr>
      <t>2026학년도 수능 실채점기준</t>
    </r>
    <phoneticPr fontId="3" type="noConversion"/>
  </si>
  <si>
    <r>
      <t xml:space="preserve">           환산점수 배치표 (다 군)        </t>
    </r>
    <r>
      <rPr>
        <sz val="11"/>
        <color theme="1"/>
        <rFont val="맑은 고딕"/>
        <family val="3"/>
        <charset val="129"/>
        <scheme val="minor"/>
      </rPr>
      <t>2026학년도 수능 실채점기준</t>
    </r>
    <phoneticPr fontId="3" type="noConversion"/>
  </si>
  <si>
    <t xml:space="preserve">2026학년도 탐구 변표 </t>
    <phoneticPr fontId="3" type="noConversion"/>
  </si>
  <si>
    <t>(업데이트 - 25.12.10)</t>
    <phoneticPr fontId="3" type="noConversion"/>
  </si>
  <si>
    <t>적용</t>
  </si>
  <si>
    <t>인원비 적용통합수능, 영어등급기준 26수능</t>
  </si>
  <si>
    <t>시스템생물학과</t>
  </si>
  <si>
    <t>생명과학부(교과)</t>
  </si>
  <si>
    <t>생명공학부(교과)</t>
  </si>
  <si>
    <t>식품공학과(교과)</t>
  </si>
  <si>
    <t>환경생태공학부(교과)</t>
  </si>
  <si>
    <t>수학과(교과)</t>
  </si>
  <si>
    <t>물리학과(교과)</t>
  </si>
  <si>
    <t>화학과(교과)</t>
  </si>
  <si>
    <t>지구환경과학과(교과)</t>
  </si>
  <si>
    <t>공과대학(교과)</t>
  </si>
  <si>
    <t>화공생명공학과(교과)</t>
  </si>
  <si>
    <t>신소재공학부(교과)</t>
  </si>
  <si>
    <t>건축사회환경공학부(교과)</t>
  </si>
  <si>
    <t>건축학과(교과)</t>
  </si>
  <si>
    <t>기계공학부(교과)</t>
  </si>
  <si>
    <t>산업경영공학부(교과)</t>
  </si>
  <si>
    <t>전기전자공학부(교과)</t>
  </si>
  <si>
    <t>융합에너지공학과(교과)</t>
  </si>
  <si>
    <t>의과대학(교과)</t>
  </si>
  <si>
    <t>수학교육과(교과)</t>
  </si>
  <si>
    <t>컴퓨터학과(교과)</t>
  </si>
  <si>
    <t>데이터과학과(교과)</t>
  </si>
  <si>
    <t>인공지능학과(교과)</t>
  </si>
  <si>
    <t>바이오의공학부(교과)</t>
  </si>
  <si>
    <t>바이오시스템의과학부(교과)</t>
  </si>
  <si>
    <t>보건환경융합과학부(교과)</t>
  </si>
  <si>
    <t>스마트보안학부(교과)</t>
  </si>
  <si>
    <t>경영대학(교과)</t>
  </si>
  <si>
    <t>국어국문학과(교과)</t>
  </si>
  <si>
    <t>철학과(교과)</t>
  </si>
  <si>
    <t>한국사학과(교과)</t>
  </si>
  <si>
    <t>사학과(교과)</t>
  </si>
  <si>
    <t>사회학과(교과)</t>
  </si>
  <si>
    <t>한문학과(교과)</t>
  </si>
  <si>
    <t>영어영문학과(교과)</t>
  </si>
  <si>
    <t>독어독문학과(교과)</t>
  </si>
  <si>
    <t>불어불문학과(교과)</t>
  </si>
  <si>
    <t>중어중문학과(교과)</t>
  </si>
  <si>
    <t>노어노문학과(교과)</t>
  </si>
  <si>
    <t>일어일문학과(교과)</t>
  </si>
  <si>
    <t>서어서문학과(교과)</t>
  </si>
  <si>
    <t>언어학과(교과)</t>
  </si>
  <si>
    <t>식품자원경제학과(교과)</t>
  </si>
  <si>
    <t>정치외교학과(교과)</t>
  </si>
  <si>
    <t>경제학과(교과)</t>
  </si>
  <si>
    <t>통계학과(교과)</t>
  </si>
  <si>
    <t>행정학과(교과)</t>
  </si>
  <si>
    <t>교육학과(교과)</t>
  </si>
  <si>
    <t>국어교육과(교과)</t>
  </si>
  <si>
    <t>영어교육과(교과)</t>
  </si>
  <si>
    <t>지리교육과(교과)</t>
  </si>
  <si>
    <t>역사교육과(교과)</t>
  </si>
  <si>
    <t>가정교육과(교과)</t>
  </si>
  <si>
    <t>간호대학(교과)</t>
  </si>
  <si>
    <t>국제학부(교과)</t>
  </si>
  <si>
    <t>미디어학부(교과)</t>
  </si>
  <si>
    <t>보건정책관리학부(교과)</t>
  </si>
  <si>
    <t>자유전공학부(교과)</t>
  </si>
  <si>
    <t>심리학부(교과)</t>
  </si>
  <si>
    <t>실내건축디자인학과</t>
  </si>
  <si>
    <t>화공·생명·에너지공학부</t>
  </si>
  <si>
    <t>융합환경과학과</t>
  </si>
  <si>
    <t>정보보안암호수학과</t>
  </si>
  <si>
    <t>융합바이오공학과</t>
  </si>
  <si>
    <t>에너지·모빌리티재료전공</t>
  </si>
  <si>
    <t>자유전공(A)</t>
  </si>
  <si>
    <t>건설시스템공학부</t>
  </si>
  <si>
    <t>경영정보학부(자연)</t>
  </si>
  <si>
    <t>자유전공(B)</t>
  </si>
  <si>
    <t>비즈니스IT전공</t>
  </si>
  <si>
    <t>컴퓨터학부(컴퓨터전공)</t>
  </si>
  <si>
    <t>차세대반도체융합공학부</t>
  </si>
  <si>
    <t>지능형클라우드전공</t>
  </si>
  <si>
    <t>컴퓨터공학과(전형Ⅰ)</t>
  </si>
  <si>
    <t>반도체물리학과(전형Ⅰ)</t>
  </si>
  <si>
    <t>전기공학과(전형Ⅰ)</t>
  </si>
  <si>
    <t>생명과학과(전형Ⅰ)</t>
  </si>
  <si>
    <t>화공생명배터리공학부(전형Ⅰ)</t>
  </si>
  <si>
    <t>도시계획·조경학부(전형Ⅰ)</t>
  </si>
  <si>
    <t>금융·빅데이터학부(전형Ⅰ)</t>
  </si>
  <si>
    <t>응용통계학과(전형Ⅰ)</t>
  </si>
  <si>
    <t>경제학과(전형Ⅰ)</t>
  </si>
  <si>
    <t>법과대학(전형Ⅰ)</t>
  </si>
  <si>
    <t>관광경영학과(전형Ⅰ)</t>
  </si>
  <si>
    <t>AI인문대학(전형Ⅰ)</t>
  </si>
  <si>
    <t>창의공학부</t>
  </si>
  <si>
    <t>자유전공학부(과학기술)</t>
  </si>
  <si>
    <t>기계융합공학부</t>
  </si>
  <si>
    <t>첨단AI공학과</t>
  </si>
  <si>
    <t>공학대학 자유공학과</t>
  </si>
  <si>
    <t>컴퓨터학부(심화컴퓨팅전공)</t>
  </si>
  <si>
    <t>응용화학공학부</t>
  </si>
  <si>
    <t>유럽어교육학부(독어교육전공)</t>
  </si>
  <si>
    <t>응용생명융합학부</t>
  </si>
  <si>
    <t>독어교육과</t>
  </si>
  <si>
    <t>컴퓨터인공지능학부</t>
  </si>
  <si>
    <t>의예(정시지역)</t>
  </si>
  <si>
    <t>의예(지역인재)</t>
  </si>
  <si>
    <t>치의학(학·석사통합과정)</t>
  </si>
  <si>
    <t>치의학(학·석사통합과정)(지역)</t>
  </si>
  <si>
    <t>가894</t>
  </si>
  <si>
    <t>가895</t>
  </si>
  <si>
    <t>가896</t>
  </si>
  <si>
    <t>가897</t>
  </si>
  <si>
    <t>가898</t>
  </si>
  <si>
    <t>가899</t>
  </si>
  <si>
    <t>가900</t>
  </si>
  <si>
    <t>가901</t>
  </si>
  <si>
    <t>가902</t>
  </si>
  <si>
    <t>가903</t>
  </si>
  <si>
    <t>가904</t>
  </si>
  <si>
    <t>가905</t>
  </si>
  <si>
    <t>가906</t>
  </si>
  <si>
    <t>가907</t>
  </si>
  <si>
    <t>가908</t>
  </si>
  <si>
    <t>가909</t>
  </si>
  <si>
    <t>가910</t>
  </si>
  <si>
    <t>가911</t>
  </si>
  <si>
    <t>가912</t>
  </si>
  <si>
    <t>가913</t>
  </si>
  <si>
    <t>가914</t>
  </si>
  <si>
    <t>가915</t>
  </si>
  <si>
    <t>가916</t>
  </si>
  <si>
    <t>가917</t>
  </si>
  <si>
    <t>가918</t>
  </si>
  <si>
    <t>가919</t>
  </si>
  <si>
    <t>가920</t>
  </si>
  <si>
    <t>가921</t>
  </si>
  <si>
    <t>수의학</t>
  </si>
  <si>
    <t>가922</t>
  </si>
  <si>
    <t>가923</t>
  </si>
  <si>
    <t>가924</t>
  </si>
  <si>
    <t>가925</t>
  </si>
  <si>
    <t>불어교육과</t>
  </si>
  <si>
    <t>게페르트국제학부</t>
  </si>
  <si>
    <t>바이오신약·규제과학과</t>
  </si>
  <si>
    <t>광고홍보학전공</t>
  </si>
  <si>
    <t>자동차융합대학</t>
  </si>
  <si>
    <t>모빌리티전력전자융합전공</t>
  </si>
  <si>
    <t>일본학전공</t>
  </si>
  <si>
    <t>미래자동차전공</t>
  </si>
  <si>
    <t>지능형로봇전공</t>
  </si>
  <si>
    <t>양자지능정보학과</t>
  </si>
  <si>
    <t>첨단융합계열</t>
  </si>
  <si>
    <t>양자지능정보학과(농어촌)</t>
  </si>
  <si>
    <t>첨단융합계열(농어촌)</t>
  </si>
  <si>
    <t>문화예술경영학과</t>
  </si>
  <si>
    <t>소비자산업학과</t>
  </si>
  <si>
    <t>일본어문·문화학과</t>
  </si>
  <si>
    <t>중국어문·문화학과</t>
  </si>
  <si>
    <t>프랑스어문·문화학과</t>
  </si>
  <si>
    <t>독일어문·문화학과</t>
  </si>
  <si>
    <t>의류산업학과</t>
  </si>
  <si>
    <t>간호학과(전형Ⅰ)</t>
  </si>
  <si>
    <t>반도체대학(전형Ⅰ)</t>
  </si>
  <si>
    <t>시스템반도체학과(전형Ⅰ)</t>
  </si>
  <si>
    <t>스마트보안학과(전형Ⅰ)</t>
  </si>
  <si>
    <t>스마트팩토리전공(전형Ⅰ)</t>
  </si>
  <si>
    <t>스마트시티학과(전형Ⅰ)</t>
  </si>
  <si>
    <t>토목환경공학과(전형Ⅰ)</t>
  </si>
  <si>
    <t>회계세무학과(전형Ⅰ)</t>
  </si>
  <si>
    <t>심리학과(전형Ⅰ)</t>
  </si>
  <si>
    <t>사회복지학과(전형Ⅰ)</t>
  </si>
  <si>
    <t>유아교육학과(전형Ⅰ)</t>
  </si>
  <si>
    <t>융합과학부</t>
  </si>
  <si>
    <t>소프트웨어경영학부</t>
  </si>
  <si>
    <t>자유전공학부(문화스포츠)</t>
  </si>
  <si>
    <t>자유전공학부(공공정책)</t>
  </si>
  <si>
    <t>산림경영학과</t>
  </si>
  <si>
    <t>농업생명과학대학 자유전공학과</t>
  </si>
  <si>
    <t>생명·환경융합학부</t>
  </si>
  <si>
    <t>펄프제지공학과</t>
  </si>
  <si>
    <t>식품자원경제학부</t>
  </si>
  <si>
    <t>공공행정학과</t>
  </si>
  <si>
    <t>미래토목건설공학과</t>
  </si>
  <si>
    <t>신소재공학부 금속재료공학전공</t>
  </si>
  <si>
    <t>신소재공학부 세라믹공학전공</t>
  </si>
  <si>
    <t>신소재공학부 고분자공학전공</t>
  </si>
  <si>
    <t>컴퓨터학부(첨단컴퓨팅연구전공)</t>
  </si>
  <si>
    <t>의예(자연)</t>
  </si>
  <si>
    <t>의예(지역)(기회균형)</t>
  </si>
  <si>
    <t>제약학</t>
  </si>
  <si>
    <t>제약학(지역)</t>
  </si>
  <si>
    <t>학부대학(교과)</t>
  </si>
  <si>
    <t>배터리학과</t>
  </si>
  <si>
    <t>산림환경시스템학과</t>
  </si>
  <si>
    <t>중국학전공</t>
  </si>
  <si>
    <t>건축학부(인문)</t>
  </si>
  <si>
    <t>글로벌한국어전공</t>
  </si>
  <si>
    <t>융합소재공학전공</t>
  </si>
  <si>
    <t>인프라건설공학과</t>
  </si>
  <si>
    <t>Global Trade &amp; Service학부</t>
  </si>
  <si>
    <t>클라우드공학과(전형Ⅰ)</t>
  </si>
  <si>
    <t>방사선학과(전형Ⅰ)</t>
  </si>
  <si>
    <t>물리치료학과(전형Ⅰ)</t>
  </si>
  <si>
    <t>바이오로직스학과(전형Ⅰ)</t>
  </si>
  <si>
    <t>신소재공학과(전형Ⅰ)</t>
  </si>
  <si>
    <t>인공지능학과(전형Ⅰ)</t>
  </si>
  <si>
    <t>바이오나노학과(전형Ⅰ)</t>
  </si>
  <si>
    <t>기계공학부(전형Ⅰ)</t>
  </si>
  <si>
    <t>건축학부(전형Ⅰ)</t>
  </si>
  <si>
    <t>화학과(전형Ⅰ)</t>
  </si>
  <si>
    <t>식품생명공학과(전형Ⅰ)</t>
  </si>
  <si>
    <t>의공학과(전형Ⅰ)</t>
  </si>
  <si>
    <t>응급구조학과(전형Ⅰ)</t>
  </si>
  <si>
    <t>운동재활학과(전형Ⅰ)</t>
  </si>
  <si>
    <t>식품영양학과(전형Ⅰ)</t>
  </si>
  <si>
    <t>치위생학과(전형Ⅰ)</t>
  </si>
  <si>
    <t>미디어커뮤니케이션학과(전형Ⅰ)</t>
  </si>
  <si>
    <t>경영학과(전형Ⅰ)</t>
  </si>
  <si>
    <t>패션산업학과(전형Ⅰ)</t>
  </si>
  <si>
    <t>의료산업경영학과(전형Ⅰ)</t>
  </si>
  <si>
    <t>자유전공학부(글로벌비즈니스)</t>
  </si>
  <si>
    <t>다325</t>
  </si>
  <si>
    <t>다326</t>
  </si>
  <si>
    <t>다327</t>
  </si>
  <si>
    <t>다328</t>
  </si>
  <si>
    <t>다329</t>
  </si>
  <si>
    <t>다330</t>
  </si>
  <si>
    <t>다331</t>
  </si>
  <si>
    <t>다332</t>
  </si>
  <si>
    <t>다333</t>
  </si>
  <si>
    <t>다334</t>
  </si>
  <si>
    <t>다335</t>
  </si>
  <si>
    <t>다336</t>
  </si>
  <si>
    <t>다337</t>
  </si>
  <si>
    <t>다338</t>
  </si>
  <si>
    <t>다339</t>
  </si>
  <si>
    <t>다340</t>
  </si>
  <si>
    <t>다341</t>
  </si>
  <si>
    <t>다342</t>
  </si>
  <si>
    <t>다343</t>
  </si>
  <si>
    <t>다344</t>
  </si>
  <si>
    <t>다345</t>
  </si>
  <si>
    <t>다346</t>
  </si>
  <si>
    <t>다347</t>
  </si>
  <si>
    <t>다348</t>
  </si>
  <si>
    <t>다349</t>
  </si>
  <si>
    <t>다350</t>
  </si>
  <si>
    <t>다351</t>
  </si>
  <si>
    <t>다352</t>
  </si>
  <si>
    <t>다353</t>
  </si>
  <si>
    <t>다354</t>
  </si>
  <si>
    <t>다355</t>
  </si>
  <si>
    <t>다356</t>
  </si>
  <si>
    <t>다357</t>
  </si>
  <si>
    <t>다358</t>
  </si>
  <si>
    <t>다359</t>
  </si>
  <si>
    <t>다360</t>
  </si>
  <si>
    <t>다361</t>
  </si>
  <si>
    <t>다362</t>
  </si>
  <si>
    <t>다363</t>
  </si>
  <si>
    <t>작년변표</t>
  </si>
  <si>
    <t>26실제변표</t>
    <phoneticPr fontId="3" type="noConversion"/>
  </si>
  <si>
    <t>1차업데이트 (25.12.10) : 연세대, 세종대, 동의대, 차의과대 26학년도 변표 적용</t>
    <phoneticPr fontId="3" type="noConversion"/>
  </si>
  <si>
    <t>0.76 → 0.67</t>
  </si>
  <si>
    <t>0.77 → 0.68</t>
  </si>
  <si>
    <t>0.89 → 0.79</t>
  </si>
  <si>
    <t>1.07 → 0.92</t>
  </si>
  <si>
    <t>1.11 → 1.01</t>
  </si>
  <si>
    <t>1.39 → 1.28</t>
  </si>
  <si>
    <t>1.44 → 1.28</t>
  </si>
  <si>
    <t>1.64 → 1.45</t>
  </si>
  <si>
    <t>1.67 → 1.56</t>
  </si>
  <si>
    <t>1.70 → 1.43</t>
  </si>
  <si>
    <t>1.74 → 1.47</t>
  </si>
  <si>
    <t>1.79 → 1.56</t>
  </si>
  <si>
    <t>1.81 → 1.61</t>
  </si>
  <si>
    <t>1.89 → 1.68</t>
  </si>
  <si>
    <t>1.89 → 1.63</t>
  </si>
  <si>
    <t>1.90 → 1.69</t>
  </si>
  <si>
    <t>1.92 → 1.64</t>
  </si>
  <si>
    <t>1.97 → 1.83</t>
  </si>
  <si>
    <t>1.97 → 1.85</t>
  </si>
  <si>
    <t>2.02 → 1.88</t>
  </si>
  <si>
    <t>2.07 → 1.79</t>
  </si>
  <si>
    <t>2.12 → 2.00</t>
  </si>
  <si>
    <t>2.20 → 2.07</t>
  </si>
  <si>
    <t>2.20 → 1.94</t>
  </si>
  <si>
    <t>2.23 → 2.09</t>
  </si>
  <si>
    <t>2.37 → 2.10</t>
  </si>
  <si>
    <t>2.37 → 2.08</t>
  </si>
  <si>
    <t>2.38 → 2.26</t>
  </si>
  <si>
    <t>2.41 → 2.11</t>
  </si>
  <si>
    <t>2.41 → 2.29</t>
  </si>
  <si>
    <t>2.46 → 2.33</t>
  </si>
  <si>
    <t>2.50 → 2.37</t>
  </si>
  <si>
    <t>2.56 → 2.38</t>
  </si>
  <si>
    <t>2.61 → 2.35</t>
  </si>
  <si>
    <t>2.64 → 2.51</t>
  </si>
  <si>
    <t>2.66 → 2.40</t>
  </si>
  <si>
    <t>2.67 → 2.55</t>
  </si>
  <si>
    <t>2.74 → 2.61</t>
  </si>
  <si>
    <t>2.83 → 2.70</t>
  </si>
  <si>
    <t>2.90 → 2.67</t>
  </si>
  <si>
    <t>2.91 → 2.78</t>
  </si>
  <si>
    <t>2.95 → 2.82</t>
  </si>
  <si>
    <t>3.06 → 2.92</t>
  </si>
  <si>
    <t>3.18 → 3.04</t>
  </si>
  <si>
    <t>3.33 → 2.98</t>
  </si>
  <si>
    <t>3.50 → 3.14</t>
  </si>
  <si>
    <t>3.64 → 3.49</t>
  </si>
  <si>
    <t>3.69 → 3.40</t>
  </si>
  <si>
    <t>4.13 → 3.85</t>
  </si>
  <si>
    <t>4.05 → 3.75</t>
  </si>
  <si>
    <t>4.10 → 3.80</t>
  </si>
  <si>
    <t>4.13 → 3.83</t>
  </si>
  <si>
    <t>4.55 → 4.26</t>
  </si>
  <si>
    <t>4.56 → 4.27</t>
  </si>
  <si>
    <t>4.29 → 3.99</t>
  </si>
  <si>
    <t>4.34 → 4.03</t>
  </si>
  <si>
    <t>4.44 → 4.13</t>
  </si>
  <si>
    <t>4.49 → 4.19</t>
  </si>
  <si>
    <t>4.67 → 4.38</t>
  </si>
  <si>
    <t>4.73 → 4.43</t>
  </si>
  <si>
    <t>4.80 → 4.50</t>
  </si>
  <si>
    <t>4.81 → 4.51</t>
  </si>
  <si>
    <t>4.92 → 4.62</t>
  </si>
  <si>
    <t>5.01 → 4.70</t>
  </si>
  <si>
    <t>4.89 → 4.58</t>
  </si>
  <si>
    <t>4.96 → 4.65</t>
  </si>
  <si>
    <t>5.00 → 4.69</t>
  </si>
  <si>
    <t>5.05 → 4.74</t>
  </si>
  <si>
    <t>5.07 → 4.76</t>
  </si>
  <si>
    <t>5.17 → 4.86</t>
  </si>
  <si>
    <t>5.18 → 4.87</t>
  </si>
  <si>
    <t>5.25 → 4.94</t>
  </si>
  <si>
    <t>5.26 → 4.95</t>
  </si>
  <si>
    <t>5.27 → 4.96</t>
  </si>
  <si>
    <t>5.34 → 5.03</t>
  </si>
  <si>
    <t>5.40 → 5.09</t>
  </si>
  <si>
    <t>5.48 → 5.17</t>
  </si>
  <si>
    <t>5.53 → 5.23</t>
  </si>
  <si>
    <t>5.54 → 5.24</t>
  </si>
  <si>
    <t>5.57 → 5.27</t>
  </si>
  <si>
    <t>5.68 → 5.37</t>
  </si>
  <si>
    <t>5.73 → 5.42</t>
  </si>
  <si>
    <t>5.84 → 5.54</t>
  </si>
  <si>
    <t>5.86 → 5.56</t>
  </si>
  <si>
    <t>5.89 → 5.59</t>
  </si>
  <si>
    <t>5.90 → 5.60</t>
  </si>
  <si>
    <t>5.92 → 5.62</t>
  </si>
  <si>
    <t>5.98 → 5.68</t>
  </si>
  <si>
    <t>6.06 → 5.76</t>
  </si>
  <si>
    <t>6.07 → 5.77</t>
  </si>
  <si>
    <t>6.11 → 5.81</t>
  </si>
  <si>
    <t>6.19 → 5.89</t>
  </si>
  <si>
    <t>6.31 → 6.01</t>
  </si>
  <si>
    <t>6.33 → 6.03</t>
  </si>
  <si>
    <t>6.37 → 6.08</t>
  </si>
  <si>
    <t>6.48 → 6.19</t>
  </si>
  <si>
    <t>6.50 → 6.20</t>
  </si>
  <si>
    <t>6.52 → 6.23</t>
  </si>
  <si>
    <t>6.58 → 6.29</t>
  </si>
  <si>
    <t>6.64 → 6.34</t>
  </si>
  <si>
    <t>6.63 → 6.34</t>
  </si>
  <si>
    <t>6.66 → 6.37</t>
  </si>
  <si>
    <t>6.73 → 6.44</t>
  </si>
  <si>
    <t>6.75 → 6.46</t>
  </si>
  <si>
    <t>6.74 → 6.45</t>
  </si>
  <si>
    <t>6.81 → 6.52</t>
  </si>
  <si>
    <t>7.23 → 6.94</t>
  </si>
  <si>
    <t>7.01 → 6.72</t>
  </si>
  <si>
    <t>7.02 → 6.72</t>
  </si>
  <si>
    <t>7.04 → 6.74</t>
  </si>
  <si>
    <t>7.05 → 6.75</t>
  </si>
  <si>
    <t>7.06 → 6.77</t>
  </si>
  <si>
    <t>7.07 → 6.77</t>
  </si>
  <si>
    <t>7.13 → 6.84</t>
  </si>
  <si>
    <t>7.19 → 6.90</t>
  </si>
  <si>
    <t>7.22 → 6.93</t>
  </si>
  <si>
    <t>7.42 → 7.13</t>
  </si>
  <si>
    <t>7.45 → 7.16</t>
  </si>
  <si>
    <t>7.53 → 7.24</t>
  </si>
  <si>
    <t>7.67 → 7.36</t>
  </si>
  <si>
    <t>7.69 → 7.37</t>
  </si>
  <si>
    <t>7.77 → 7.51</t>
  </si>
  <si>
    <t>7.78 → 7.52</t>
  </si>
  <si>
    <t>7.85 → 7.59</t>
  </si>
  <si>
    <t>7.88 → 7.62</t>
  </si>
  <si>
    <t>7.91 → 7.64</t>
  </si>
  <si>
    <t>7.99 → 7.72</t>
  </si>
  <si>
    <t>8.01 → 7.74</t>
  </si>
  <si>
    <t>8.02 → 7.75</t>
  </si>
  <si>
    <t>8.03 → 7.76</t>
  </si>
  <si>
    <t>8.04 → 7.76</t>
  </si>
  <si>
    <t>8.04 → 7.77</t>
  </si>
  <si>
    <t>8.12 → 7.84</t>
  </si>
  <si>
    <t>8.14 → 7.86</t>
  </si>
  <si>
    <t>8.16 → 7.88</t>
  </si>
  <si>
    <t>8.15 → 7.87</t>
  </si>
  <si>
    <t>8.41 → 8.13</t>
  </si>
  <si>
    <t>8.23 → 7.95</t>
  </si>
  <si>
    <t>8.47 → 8.19</t>
  </si>
  <si>
    <t>8.27 → 7.98</t>
  </si>
  <si>
    <t>8.30 → 7.76</t>
  </si>
  <si>
    <t>8.31 → 8.03</t>
  </si>
  <si>
    <t>8.54 → 8.25</t>
  </si>
  <si>
    <t>8.38 → 8.10</t>
  </si>
  <si>
    <t>8.40 → 8.11</t>
  </si>
  <si>
    <t>8.42 → 8.13</t>
  </si>
  <si>
    <t>8.42 → 8.14</t>
  </si>
  <si>
    <t>8.43 → 8.15</t>
  </si>
  <si>
    <t>8.45 → 8.16</t>
  </si>
  <si>
    <t>8.49 → 8.21</t>
  </si>
  <si>
    <t>8.50 → 8.22</t>
  </si>
  <si>
    <t>8.61 → 8.06</t>
  </si>
  <si>
    <t>8.66 → 8.37</t>
  </si>
  <si>
    <t>8.69 → 8.40</t>
  </si>
  <si>
    <t>8.72 → 8.43</t>
  </si>
  <si>
    <t>8.92 → 8.63</t>
  </si>
  <si>
    <t>8.78 → 8.49</t>
  </si>
  <si>
    <t>8.95 → 8.66</t>
  </si>
  <si>
    <t>8.81 → 8.52</t>
  </si>
  <si>
    <t>9.07 → 8.78</t>
  </si>
  <si>
    <t>9.06 → 8.77</t>
  </si>
  <si>
    <t>8.98 → 8.69</t>
  </si>
  <si>
    <t>9.00 → 8.71</t>
  </si>
  <si>
    <t>9.24 → 8.95</t>
  </si>
  <si>
    <t>9.16 → 8.87</t>
  </si>
  <si>
    <t>9.25 → 8.95</t>
  </si>
  <si>
    <t>9.26 → 8.96</t>
  </si>
  <si>
    <t>9.29 → 9.00</t>
  </si>
  <si>
    <t>9.33 → 9.03</t>
  </si>
  <si>
    <t>9.35 → 9.05</t>
  </si>
  <si>
    <t>9.37 → 9.07</t>
  </si>
  <si>
    <t>9.38 → 9.09</t>
  </si>
  <si>
    <t>9.57 → 9.27</t>
  </si>
  <si>
    <t>9.43 → 9.13</t>
  </si>
  <si>
    <t>9.46 → 9.17</t>
  </si>
  <si>
    <t>9.53 → 9.24</t>
  </si>
  <si>
    <t>9.62 → 9.32</t>
  </si>
  <si>
    <t>9.71 → 9.41</t>
  </si>
  <si>
    <t>9.76 → 9.46</t>
  </si>
  <si>
    <t>9.84 → 9.54</t>
  </si>
  <si>
    <t>9.88 → 9.58</t>
  </si>
  <si>
    <t>9.89 → 9.59</t>
  </si>
  <si>
    <t>9.92 → 9.62</t>
  </si>
  <si>
    <t>9.96 → 9.65</t>
  </si>
  <si>
    <t>9.96 → 9.66</t>
  </si>
  <si>
    <t>9.99 → 9.69</t>
  </si>
  <si>
    <t>10.14 → 9.84</t>
  </si>
  <si>
    <t>10.06 → 9.76</t>
  </si>
  <si>
    <t>10.07 → 9.77</t>
  </si>
  <si>
    <t>10.08 → 9.77</t>
  </si>
  <si>
    <t>10.09 → 9.78</t>
  </si>
  <si>
    <t>10.15 → 9.84</t>
  </si>
  <si>
    <t>10.17 → 9.86</t>
  </si>
  <si>
    <t>10.19 → 9.88</t>
  </si>
  <si>
    <t>10.20 → 9.89</t>
  </si>
  <si>
    <t>10.21 → 9.90</t>
  </si>
  <si>
    <t>10.22 → 9.91</t>
  </si>
  <si>
    <t>10.24 → 9.93</t>
  </si>
  <si>
    <t>10.27 → 9.96</t>
  </si>
  <si>
    <t>10.32 → 10.01</t>
  </si>
  <si>
    <t>10.33 → 10.02</t>
  </si>
  <si>
    <t>10.54 → 10.23</t>
  </si>
  <si>
    <t>10.47 → 10.15</t>
  </si>
  <si>
    <t>10.59 → 10.28</t>
  </si>
  <si>
    <t>10.61 → 10.29</t>
  </si>
  <si>
    <t>10.67 → 10.36</t>
  </si>
  <si>
    <t>10.75 → 10.43</t>
  </si>
  <si>
    <t>10.79 → 10.47</t>
  </si>
  <si>
    <t>11.02 → 10.71</t>
  </si>
  <si>
    <t>10.85 → 10.53</t>
  </si>
  <si>
    <t>10.92 → 10.60</t>
  </si>
  <si>
    <t>11.12 → 10.81</t>
  </si>
  <si>
    <t>11.06 → 10.75</t>
  </si>
  <si>
    <t>11.10 → 10.79</t>
  </si>
  <si>
    <t>11.15 → 10.83</t>
  </si>
  <si>
    <t>11.50 → 11.18</t>
  </si>
  <si>
    <t>11.66 → 11.34</t>
  </si>
  <si>
    <t>11.54 → 11.22</t>
  </si>
  <si>
    <t>11.57 → 11.25</t>
  </si>
  <si>
    <t>11.58 → 11.26</t>
  </si>
  <si>
    <t>11.61 → 11.29</t>
  </si>
  <si>
    <t>11.62 → 11.30</t>
  </si>
  <si>
    <t>11.63 → 11.31</t>
  </si>
  <si>
    <t>11.74 → 11.42</t>
  </si>
  <si>
    <t>11.84 → 11.51</t>
  </si>
  <si>
    <t>11.85 → 11.53</t>
  </si>
  <si>
    <t>11.90 → 11.57</t>
  </si>
  <si>
    <t>11.93 → 11.61</t>
  </si>
  <si>
    <t>11.95 → 11.62</t>
  </si>
  <si>
    <t>11.96 → 11.64</t>
  </si>
  <si>
    <t>12.00 → 11.68</t>
  </si>
  <si>
    <t>12.01 → 11.69</t>
  </si>
  <si>
    <t>12.03 → 11.71</t>
  </si>
  <si>
    <t>12.25 → 11.93</t>
  </si>
  <si>
    <t>12.07 → 11.74</t>
  </si>
  <si>
    <t>12.30 → 11.98</t>
  </si>
  <si>
    <t>12.14 → 11.81</t>
  </si>
  <si>
    <t>12.43 → 12.10</t>
  </si>
  <si>
    <t>12.23 → 11.90</t>
  </si>
  <si>
    <t>12.24 → 11.91</t>
  </si>
  <si>
    <t>12.25 → 11.92</t>
  </si>
  <si>
    <t>12.33 → 12.00</t>
  </si>
  <si>
    <t>12.41 → 12.08</t>
  </si>
  <si>
    <t>12.44 → 12.11</t>
  </si>
  <si>
    <t>12.49 → 12.16</t>
  </si>
  <si>
    <t>12.53 → 12.20</t>
  </si>
  <si>
    <t>12.59 → 12.26</t>
  </si>
  <si>
    <t>12.62 → 12.29</t>
  </si>
  <si>
    <t>12.64 → 12.31</t>
  </si>
  <si>
    <t>12.64 → 12.30</t>
  </si>
  <si>
    <t>12.65 → 12.31</t>
  </si>
  <si>
    <t>12.66 → 12.32</t>
  </si>
  <si>
    <t>12.67 → 12.33</t>
  </si>
  <si>
    <t>12.69 → 12.35</t>
  </si>
  <si>
    <t>12.70 → 12.36</t>
  </si>
  <si>
    <t>12.70 → 12.37</t>
  </si>
  <si>
    <t>12.72 → 12.39</t>
  </si>
  <si>
    <t>12.73 → 12.40</t>
  </si>
  <si>
    <t>12.76 → 12.43</t>
  </si>
  <si>
    <t>12.80 → 12.46</t>
  </si>
  <si>
    <t>12.83 → 12.49</t>
  </si>
  <si>
    <t>13.04 → 12.70</t>
  </si>
  <si>
    <t>12.84 → 12.51</t>
  </si>
  <si>
    <t>12.87 → 12.53</t>
  </si>
  <si>
    <t>12.87 → 12.54</t>
  </si>
  <si>
    <t>12.93 → 12.59</t>
  </si>
  <si>
    <t>12.95 → 12.61</t>
  </si>
  <si>
    <t>12.98 → 12.65</t>
  </si>
  <si>
    <t>13.00 → 12.67</t>
  </si>
  <si>
    <t>13.02 → 12.69</t>
  </si>
  <si>
    <t>13.12 → 12.78</t>
  </si>
  <si>
    <t>13.14 → 12.80</t>
  </si>
  <si>
    <t>13.18 → 12.84</t>
  </si>
  <si>
    <t>13.21 → 12.87</t>
  </si>
  <si>
    <t>13.24 → 12.91</t>
  </si>
  <si>
    <t>13.28 → 12.94</t>
  </si>
  <si>
    <t>13.30 → 12.97</t>
  </si>
  <si>
    <t>13.32 → 12.99</t>
  </si>
  <si>
    <t>13.37 → 13.03</t>
  </si>
  <si>
    <t>13.38 → 13.05</t>
  </si>
  <si>
    <t>13.42 → 13.08</t>
  </si>
  <si>
    <t>13.47 → 13.13</t>
  </si>
  <si>
    <t>13.49 → 13.16</t>
  </si>
  <si>
    <t>13.77 → 13.43</t>
  </si>
  <si>
    <t>13.56 → 13.22</t>
  </si>
  <si>
    <t>13.57 → 13.24</t>
  </si>
  <si>
    <t>13.62 → 13.28</t>
  </si>
  <si>
    <t>13.65 → 13.32</t>
  </si>
  <si>
    <t>13.68 → 13.34</t>
  </si>
  <si>
    <t>13.69 → 13.36</t>
  </si>
  <si>
    <t>14.00 → 13.66</t>
  </si>
  <si>
    <t>13.99 → 13.66</t>
  </si>
  <si>
    <t>13.78 → 13.44</t>
  </si>
  <si>
    <t>13.81 → 13.47</t>
  </si>
  <si>
    <t>13.95 → 13.61</t>
  </si>
  <si>
    <t>14.17 → 13.83</t>
  </si>
  <si>
    <t>14.22 → 13.88</t>
  </si>
  <si>
    <t>0.41 → 0.34</t>
  </si>
  <si>
    <t>0.59 → 0.48</t>
  </si>
  <si>
    <t>0.80 → 0.57</t>
  </si>
  <si>
    <t>0.82 → 0.64</t>
  </si>
  <si>
    <t>0.84 → 0.65</t>
  </si>
  <si>
    <t>0.90 → 0.67</t>
  </si>
  <si>
    <t>0.98 → 0.74</t>
  </si>
  <si>
    <t>1.01 → 0.76</t>
  </si>
  <si>
    <t>1.15 → 0.95</t>
  </si>
  <si>
    <t>1.16 → 0.96</t>
  </si>
  <si>
    <t>1.26 → 1.01</t>
  </si>
  <si>
    <t>1.35 → 1.09</t>
  </si>
  <si>
    <t>1.42 → 1.17</t>
  </si>
  <si>
    <t>1.44 → 1.18</t>
  </si>
  <si>
    <t>1.52 → 1.27</t>
  </si>
  <si>
    <t>1.65 → 1.52</t>
  </si>
  <si>
    <t>2.05 → 1.77</t>
  </si>
  <si>
    <t>2.26 → 2.13</t>
  </si>
  <si>
    <t>2.34 → 2.04</t>
  </si>
  <si>
    <t>2.40 → 2.25</t>
  </si>
  <si>
    <t>2.42 → 2.13</t>
  </si>
  <si>
    <t>2.44 → 2.20</t>
  </si>
  <si>
    <t>2.63 → 2.38</t>
  </si>
  <si>
    <t>2.90 → 2.75</t>
  </si>
  <si>
    <t>2.93 → 2.62</t>
  </si>
  <si>
    <t>2.94 → 2.62</t>
  </si>
  <si>
    <t>2.95 → 2.64</t>
  </si>
  <si>
    <t>2.99 → 2.67</t>
  </si>
  <si>
    <t>3.09 → 2.82</t>
  </si>
  <si>
    <t>3.36 → 3.01</t>
  </si>
  <si>
    <t>3.40 → 3.14</t>
  </si>
  <si>
    <t>3.42 → 3.07</t>
  </si>
  <si>
    <t>3.48 → 3.13</t>
  </si>
  <si>
    <t>3.78 → 3.51</t>
  </si>
  <si>
    <t>3.50 → 3.24</t>
  </si>
  <si>
    <t>3.51 → 3.16</t>
  </si>
  <si>
    <t>3.54 → 3.19</t>
  </si>
  <si>
    <t>3.55 → 3.19</t>
  </si>
  <si>
    <t>3.59 → 3.23</t>
  </si>
  <si>
    <t>3.61 → 3.25</t>
  </si>
  <si>
    <t>3.60 → 3.24</t>
  </si>
  <si>
    <t>3.63 → 3.29</t>
  </si>
  <si>
    <t>3.65 → 3.30</t>
  </si>
  <si>
    <t>3.73 → 3.36</t>
  </si>
  <si>
    <t>3.90 → 3.53</t>
  </si>
  <si>
    <t>3.94 → 3.56</t>
  </si>
  <si>
    <t>3.95 → 3.59</t>
  </si>
  <si>
    <t>3.97 → 3.60</t>
  </si>
  <si>
    <t>3.98 → 3.61</t>
  </si>
  <si>
    <t>3.99 → 3.62</t>
  </si>
  <si>
    <t>4.00 → 3.70</t>
  </si>
  <si>
    <t>4.18 → 3.78</t>
  </si>
  <si>
    <t>4.19 → 3.82</t>
  </si>
  <si>
    <t>4.21 → 3.84</t>
  </si>
  <si>
    <t>4.21 → 3.82</t>
  </si>
  <si>
    <t>4.26 → 3.88</t>
  </si>
  <si>
    <t>4.28 → 4.00</t>
  </si>
  <si>
    <t>4.29 → 3.89</t>
  </si>
  <si>
    <t>4.74 → 4.45</t>
  </si>
  <si>
    <t>4.39 → 3.98</t>
  </si>
  <si>
    <t>4.52 → 4.12</t>
  </si>
  <si>
    <t>4.57 → 4.16</t>
  </si>
  <si>
    <t>4.60 → 4.20</t>
  </si>
  <si>
    <t>4.65 → 4.34</t>
  </si>
  <si>
    <t>4.65 → 4.25</t>
  </si>
  <si>
    <t>4.69 → 4.27</t>
  </si>
  <si>
    <t>4.70 → 4.30</t>
  </si>
  <si>
    <t>4.76 → 4.46</t>
  </si>
  <si>
    <t>4.81 → 4.39</t>
  </si>
  <si>
    <t>5.05 → 4.61</t>
  </si>
  <si>
    <t>5.20 → 4.76</t>
  </si>
  <si>
    <t>5.83 → 5.52</t>
  </si>
  <si>
    <t>5.95 → 5.64</t>
  </si>
  <si>
    <t>6.41 → 5.95</t>
  </si>
  <si>
    <t>6.93 → 6.46</t>
  </si>
  <si>
    <t>6.96 → 6.49</t>
  </si>
  <si>
    <t>7.01 → 6.54</t>
  </si>
  <si>
    <t>7.09 → 6.62</t>
  </si>
  <si>
    <t>7.17 → 6.88</t>
  </si>
  <si>
    <t>7.18 → 6.71</t>
  </si>
  <si>
    <t>7.26 → 6.78</t>
  </si>
  <si>
    <t>7.31 → 6.83</t>
  </si>
  <si>
    <t>7.36 → 6.88</t>
  </si>
  <si>
    <t>7.41 → 6.93</t>
  </si>
  <si>
    <t>7.46 → 6.98</t>
  </si>
  <si>
    <t>7.50 → 7.02</t>
  </si>
  <si>
    <t>7.52 → 7.04</t>
  </si>
  <si>
    <t>7.54 → 7.06</t>
  </si>
  <si>
    <t>7.55 → 7.25</t>
  </si>
  <si>
    <t>7.54 → 7.24</t>
  </si>
  <si>
    <t>7.60 → 7.11</t>
  </si>
  <si>
    <t>7.61 → 7.12</t>
  </si>
  <si>
    <t>7.67 → 7.18</t>
  </si>
  <si>
    <t>7.68 → 7.19</t>
  </si>
  <si>
    <t>7.68 → 7.37</t>
  </si>
  <si>
    <t>7.70 → 7.37</t>
  </si>
  <si>
    <t>7.70 → 7.21</t>
  </si>
  <si>
    <t>7.79 → 7.30</t>
  </si>
  <si>
    <t>7.98 → 7.47</t>
  </si>
  <si>
    <t>8.04 → 7.53</t>
  </si>
  <si>
    <t>8.05 → 7.78</t>
  </si>
  <si>
    <t>8.10 → 7.83</t>
  </si>
  <si>
    <t>8.12 → 7.60</t>
  </si>
  <si>
    <t>8.25 → 7.72</t>
  </si>
  <si>
    <t>8.29 → 7.76</t>
  </si>
  <si>
    <t>8.54 → 8.26</t>
  </si>
  <si>
    <t>8.32 → 7.78</t>
  </si>
  <si>
    <t>8.38 → 7.85</t>
  </si>
  <si>
    <t>8.43 → 7.89</t>
  </si>
  <si>
    <t>8.47 → 7.92</t>
  </si>
  <si>
    <t>8.53 → 7.99</t>
  </si>
  <si>
    <t>8.55 → 8.00</t>
  </si>
  <si>
    <t>8.71 → 8.16</t>
  </si>
  <si>
    <t>8.78 → 8.23</t>
  </si>
  <si>
    <t>8.81 → 8.26</t>
  </si>
  <si>
    <t>8.85 → 8.29</t>
  </si>
  <si>
    <t>9.02 → 8.46</t>
  </si>
  <si>
    <t>9.05 → 8.49</t>
  </si>
  <si>
    <t>9.25 → 8.68</t>
  </si>
  <si>
    <t>9.67 → 9.37</t>
  </si>
  <si>
    <t>9.91 → 9.32</t>
  </si>
  <si>
    <t>9.93 → 9.34</t>
  </si>
  <si>
    <t>9.95 → 9.36</t>
  </si>
  <si>
    <t>10.08 → 9.48</t>
  </si>
  <si>
    <t>10.10 → 9.79</t>
  </si>
  <si>
    <t>10.24 → 9.63</t>
  </si>
  <si>
    <t>10.25 → 9.63</t>
  </si>
  <si>
    <t>10.26 → 9.95</t>
  </si>
  <si>
    <t>10.32 → 10.00</t>
  </si>
  <si>
    <t>10.38 → 10.06</t>
  </si>
  <si>
    <t>10.78 → 10.14</t>
  </si>
  <si>
    <t>10.98 → 10.35</t>
  </si>
  <si>
    <t>11.08 → 10.44</t>
  </si>
  <si>
    <t>11.09 → 10.45</t>
  </si>
  <si>
    <t>11.21 → 10.90</t>
  </si>
  <si>
    <t>11.26 → 10.62</t>
  </si>
  <si>
    <t>11.55 → 11.24</t>
  </si>
  <si>
    <t>11.43 → 10.79</t>
  </si>
  <si>
    <t>11.62 → 10.96</t>
  </si>
  <si>
    <t>11.69 → 11.03</t>
  </si>
  <si>
    <t>11.77 → 11.11</t>
  </si>
  <si>
    <t>11.79 → 11.46</t>
  </si>
  <si>
    <t>11.82 → 11.49</t>
  </si>
  <si>
    <t>11.91 → 11.24</t>
  </si>
  <si>
    <t>11.97 → 11.31</t>
  </si>
  <si>
    <t>12.06 → 11.39</t>
  </si>
  <si>
    <t>12.17 → 11.49</t>
  </si>
  <si>
    <t>12.18 → 11.50</t>
  </si>
  <si>
    <t>12.49 → 11.80</t>
  </si>
  <si>
    <t>12.54 → 11.85</t>
  </si>
  <si>
    <t>12.77 → 12.08</t>
  </si>
  <si>
    <t>12.86 → 12.16</t>
  </si>
  <si>
    <t>13.21 → 12.51</t>
  </si>
  <si>
    <t>13.22 → 12.52</t>
  </si>
  <si>
    <t>13.39 → 12.68</t>
  </si>
  <si>
    <t>13.91 → 13.20</t>
  </si>
  <si>
    <t>13.97 → 13.25</t>
  </si>
  <si>
    <t>14.25 → 12.80</t>
  </si>
  <si>
    <t>14.24 → 13.18</t>
  </si>
  <si>
    <t>14.24 → 12.79</t>
  </si>
  <si>
    <t>14.26 → 12.81</t>
  </si>
  <si>
    <t>14.30 → 12.85</t>
  </si>
  <si>
    <t>14.35 → 13.28</t>
  </si>
  <si>
    <t>14.36 → 12.91</t>
  </si>
  <si>
    <t>14.36 → 13.30</t>
  </si>
  <si>
    <t>14.39 → 12.94</t>
  </si>
  <si>
    <t>14.42 → 13.36</t>
  </si>
  <si>
    <t>14.43 → 13.37</t>
  </si>
  <si>
    <t>14.45 → 13.38</t>
  </si>
  <si>
    <t>14.47 → 13.02</t>
  </si>
  <si>
    <t>14.53 → 13.46</t>
  </si>
  <si>
    <t>14.59 → 13.14</t>
  </si>
  <si>
    <t>14.60 → 13.15</t>
  </si>
  <si>
    <t>14.65 → 13.59</t>
  </si>
  <si>
    <t>14.66 → 13.21</t>
  </si>
  <si>
    <t>14.67 → 13.22</t>
  </si>
  <si>
    <t>14.69 → 13.24</t>
  </si>
  <si>
    <t>14.71 → 13.64</t>
  </si>
  <si>
    <t>14.75 → 13.30</t>
  </si>
  <si>
    <t>14.79 → 13.73</t>
  </si>
  <si>
    <t>14.80 → 13.35</t>
  </si>
  <si>
    <t>14.86 → 13.41</t>
  </si>
  <si>
    <t>14.88 → 13.43</t>
  </si>
  <si>
    <t>14.92 → 13.47</t>
  </si>
  <si>
    <t>14.97 → 13.52</t>
  </si>
  <si>
    <t>14.97 → 13.91</t>
  </si>
  <si>
    <t>14.99 → 13.93</t>
  </si>
  <si>
    <t>14.99 → 13.54</t>
  </si>
  <si>
    <t>15.00 → 13.55</t>
  </si>
  <si>
    <t>15.02 → 13.57</t>
  </si>
  <si>
    <t>15.04 → 13.98</t>
  </si>
  <si>
    <t>15.04 → 13.59</t>
  </si>
  <si>
    <t>15.15 → 13.70</t>
  </si>
  <si>
    <t>15.13 → 14.07</t>
  </si>
  <si>
    <t>15.16 → 14.10</t>
  </si>
  <si>
    <t>15.18 → 13.73</t>
  </si>
  <si>
    <t>15.22 → 14.16</t>
  </si>
  <si>
    <t>15.22 → 13.77</t>
  </si>
  <si>
    <t>15.25 → 14.19</t>
  </si>
  <si>
    <t>15.26 → 13.81</t>
  </si>
  <si>
    <t>15.26 → 14.20</t>
  </si>
  <si>
    <t>15.28 → 13.83</t>
  </si>
  <si>
    <t>15.27 → 13.82</t>
  </si>
  <si>
    <t>15.59 → 14.53</t>
  </si>
  <si>
    <t>15.31 → 14.25</t>
  </si>
  <si>
    <t>15.31 → 13.86</t>
  </si>
  <si>
    <t>15.32 → 13.87</t>
  </si>
  <si>
    <t>15.34 → 13.89</t>
  </si>
  <si>
    <t>15.35 → 14.29</t>
  </si>
  <si>
    <t>15.43 → 13.98</t>
  </si>
  <si>
    <t>15.44 → 14.38</t>
  </si>
  <si>
    <t>15.45 → 14.39</t>
  </si>
  <si>
    <t>15.47 → 14.02</t>
  </si>
  <si>
    <t>15.50 → 14.05</t>
  </si>
  <si>
    <t>15.50 → 14.44</t>
  </si>
  <si>
    <t>15.83 → 14.77</t>
  </si>
  <si>
    <t>15.55 → 14.10</t>
  </si>
  <si>
    <t>15.59 → 14.14</t>
  </si>
  <si>
    <t>15.60 → 14.54</t>
  </si>
  <si>
    <t>15.64 → 14.58</t>
  </si>
  <si>
    <t>15.65 → 14.59</t>
  </si>
  <si>
    <t>15.66 → 14.21</t>
  </si>
  <si>
    <t>15.67 → 14.22</t>
  </si>
  <si>
    <t>15.68 → 14.23</t>
  </si>
  <si>
    <t>15.68 → 14.62</t>
  </si>
  <si>
    <t>15.69 → 14.63</t>
  </si>
  <si>
    <t>15.70 → 14.64</t>
  </si>
  <si>
    <t>15.72 → 14.27</t>
  </si>
  <si>
    <t>15.75 → 14.30</t>
  </si>
  <si>
    <t>15.80 → 14.35</t>
  </si>
  <si>
    <t>15.81 → 14.75</t>
  </si>
  <si>
    <t>15.83 → 14.38</t>
  </si>
  <si>
    <t>15.85 → 14.40</t>
  </si>
  <si>
    <t>15.88 → 14.82</t>
  </si>
  <si>
    <t>15.91 → 14.46</t>
  </si>
  <si>
    <t>15.92 → 14.47</t>
  </si>
  <si>
    <t>15.93 → 14.87</t>
  </si>
  <si>
    <t>15.93 → 14.48</t>
  </si>
  <si>
    <t>15.94 → 14.88</t>
  </si>
  <si>
    <t>16.18 → 15.12</t>
  </si>
  <si>
    <t>15.95 → 14.89</t>
  </si>
  <si>
    <t>15.95 → 14.50</t>
  </si>
  <si>
    <t>15.98 → 14.92</t>
  </si>
  <si>
    <t>15.98 → 14.53</t>
  </si>
  <si>
    <t>16.00 → 14.55</t>
  </si>
  <si>
    <t>16.04 → 14.59</t>
  </si>
  <si>
    <t>16.03 → 14.58</t>
  </si>
  <si>
    <t>16.08 → 14.63</t>
  </si>
  <si>
    <t>16.11 → 15.05</t>
  </si>
  <si>
    <t>16.10 → 14.65</t>
  </si>
  <si>
    <t>16.10 → 15.04</t>
  </si>
  <si>
    <t>16.11 → 14.66</t>
  </si>
  <si>
    <t>16.12 → 15.06</t>
  </si>
  <si>
    <t>16.14 → 14.69</t>
  </si>
  <si>
    <t>16.15 → 14.70</t>
  </si>
  <si>
    <t>16.16 → 14.71</t>
  </si>
  <si>
    <t>16.19 → 14.74</t>
  </si>
  <si>
    <t>16.19 → 15.13</t>
  </si>
  <si>
    <t>16.20 → 15.14</t>
  </si>
  <si>
    <t>16.22 → 14.77</t>
  </si>
  <si>
    <t>16.22 → 15.16</t>
  </si>
  <si>
    <t>16.24 → 14.79</t>
  </si>
  <si>
    <t>16.25 → 14.80</t>
  </si>
  <si>
    <t>16.26 → 15.20</t>
  </si>
  <si>
    <t>16.31 → 14.86</t>
  </si>
  <si>
    <t>16.35 → 15.29</t>
  </si>
  <si>
    <t>16.37 → 14.92</t>
  </si>
  <si>
    <t>16.37 → 15.31</t>
  </si>
  <si>
    <t>16.38 → 14.93</t>
  </si>
  <si>
    <t>16.39 → 14.94</t>
  </si>
  <si>
    <t>16.40 → 14.95</t>
  </si>
  <si>
    <t>16.40 → 15.34</t>
  </si>
  <si>
    <t>16.43 → 14.98</t>
  </si>
  <si>
    <t>16.43 → 15.37</t>
  </si>
  <si>
    <t>16.46 → 15.01</t>
  </si>
  <si>
    <t>16.46 → 15.40</t>
  </si>
  <si>
    <t>16.48 → 15.03</t>
  </si>
  <si>
    <t>16.48 → 15.42</t>
  </si>
  <si>
    <t>16.52 → 15.46</t>
  </si>
  <si>
    <t>16.55 → 15.49</t>
  </si>
  <si>
    <t>16.57 → 15.51</t>
  </si>
  <si>
    <t>16.58 → 15.52</t>
  </si>
  <si>
    <t>16.59 → 15.53</t>
  </si>
  <si>
    <t>16.60 → 15.54</t>
  </si>
  <si>
    <t>16.61 → 15.16</t>
  </si>
  <si>
    <t>16.64 → 15.19</t>
  </si>
  <si>
    <t>16.65 → 15.59</t>
  </si>
  <si>
    <t>16.65 → 15.20</t>
  </si>
  <si>
    <t>16.67 → 15.61</t>
  </si>
  <si>
    <t>16.68 → 15.23</t>
  </si>
  <si>
    <t>16.71 → 15.65</t>
  </si>
  <si>
    <t>16.71 → 15.26</t>
  </si>
  <si>
    <t>16.78 → 15.73</t>
  </si>
  <si>
    <t>16.79 → 15.34</t>
  </si>
  <si>
    <t>16.80 → 15.35</t>
  </si>
  <si>
    <t>16.85 → 15.79</t>
  </si>
  <si>
    <t>16.85 → 15.40</t>
  </si>
  <si>
    <t>16.92 → 15.87</t>
  </si>
  <si>
    <t>16.92 → 15.47</t>
  </si>
  <si>
    <t>16.93 → 15.48</t>
  </si>
  <si>
    <t>16.94 → 15.49</t>
  </si>
  <si>
    <t>16.97 → 15.92</t>
  </si>
  <si>
    <t>16.98 → 15.53</t>
  </si>
  <si>
    <t>16.99 → 15.54</t>
  </si>
  <si>
    <t>16.98 → 15.93</t>
  </si>
  <si>
    <t>17.00 → 15.55</t>
  </si>
  <si>
    <t>17.01 → 15.56</t>
  </si>
  <si>
    <t>17.05 → 15.99</t>
  </si>
  <si>
    <t>17.05 → 15.60</t>
  </si>
  <si>
    <t>17.06 → 16.00</t>
  </si>
  <si>
    <t>17.10 → 15.65</t>
  </si>
  <si>
    <t>17.11 → 15.66</t>
  </si>
  <si>
    <t>17.13 → 16.07</t>
  </si>
  <si>
    <t>17.13 → 15.68</t>
  </si>
  <si>
    <t>17.16 → 15.71</t>
  </si>
  <si>
    <t>17.20 → 16.15</t>
  </si>
  <si>
    <t>17.22 → 16.17</t>
  </si>
  <si>
    <t>17.23 → 15.78</t>
  </si>
  <si>
    <t>17.25 → 15.80</t>
  </si>
  <si>
    <t>17.26 → 16.21</t>
  </si>
  <si>
    <t>17.29 → 16.23</t>
  </si>
  <si>
    <t>17.30 → 15.85</t>
  </si>
  <si>
    <t>17.32 → 16.27</t>
  </si>
  <si>
    <t>17.33 → 16.27</t>
  </si>
  <si>
    <t>17.37 → 15.92</t>
  </si>
  <si>
    <t>17.38 → 15.93</t>
  </si>
  <si>
    <t>17.40 → 16.34</t>
  </si>
  <si>
    <t>17.40 → 15.95</t>
  </si>
  <si>
    <t>17.44 → 15.99</t>
  </si>
  <si>
    <t>17.45 → 16.00</t>
  </si>
  <si>
    <t>17.46 → 16.01</t>
  </si>
  <si>
    <t>17.47 → 16.42</t>
  </si>
  <si>
    <t>17.49 → 16.04</t>
  </si>
  <si>
    <t>17.48 → 16.42</t>
  </si>
  <si>
    <t>17.51 → 16.06</t>
  </si>
  <si>
    <t>17.51 → 16.45</t>
  </si>
  <si>
    <t>17.52 → 16.47</t>
  </si>
  <si>
    <t>17.54 → 16.09</t>
  </si>
  <si>
    <t>17.54 → 16.49</t>
  </si>
  <si>
    <t>17.55 → 16.10</t>
  </si>
  <si>
    <t>17.56 → 16.51</t>
  </si>
  <si>
    <t>17.61 → 16.16</t>
  </si>
  <si>
    <t>17.62 → 16.57</t>
  </si>
  <si>
    <t>17.63 → 16.57</t>
  </si>
  <si>
    <t>17.62 → 16.17</t>
  </si>
  <si>
    <t>17.64 → 16.19</t>
  </si>
  <si>
    <t>17.65 → 16.20</t>
  </si>
  <si>
    <t>17.68 → 16.62</t>
  </si>
  <si>
    <t>17.68 → 16.23</t>
  </si>
  <si>
    <t>17.69 → 16.64</t>
  </si>
  <si>
    <t>17.71 → 16.26</t>
  </si>
  <si>
    <t>17.74 → 16.29</t>
  </si>
  <si>
    <t>17.75 → 16.69</t>
  </si>
  <si>
    <t>17.78 → 16.33</t>
  </si>
  <si>
    <t>17.79 → 16.73</t>
  </si>
  <si>
    <t>17.80 → 16.35</t>
  </si>
  <si>
    <t>17.79 → 16.34</t>
  </si>
  <si>
    <t>17.81 → 16.76</t>
  </si>
  <si>
    <t>17.82 → 16.37</t>
  </si>
  <si>
    <t>17.84 → 16.39</t>
  </si>
  <si>
    <t>17.87 → 16.81</t>
  </si>
  <si>
    <t>17.89 → 16.44</t>
  </si>
  <si>
    <t>17.94 → 16.89</t>
  </si>
  <si>
    <t>17.95 → 16.89</t>
  </si>
  <si>
    <t>17.96 → 16.51</t>
  </si>
  <si>
    <t>17.96 → 16.91</t>
  </si>
  <si>
    <t>17.97 → 16.52</t>
  </si>
  <si>
    <t>17.98 → 16.53</t>
  </si>
  <si>
    <t>18.02 → 16.57</t>
  </si>
  <si>
    <t>18.03 → 16.97</t>
  </si>
  <si>
    <t>18.08 → 16.63</t>
  </si>
  <si>
    <t>18.10 → 17.04</t>
  </si>
  <si>
    <t>18.12 → 16.67</t>
  </si>
  <si>
    <t>18.13 → 16.68</t>
  </si>
  <si>
    <t>18.15 → 16.70</t>
  </si>
  <si>
    <t>18.20 → 17.14</t>
  </si>
  <si>
    <t>18.19 → 16.74</t>
  </si>
  <si>
    <t>18.20 → 16.75</t>
  </si>
  <si>
    <t>18.21 → 16.76</t>
  </si>
  <si>
    <t>18.23 → 17.18</t>
  </si>
  <si>
    <t>18.25 → 17.19</t>
  </si>
  <si>
    <t>18.28 → 16.83</t>
  </si>
  <si>
    <t>18.40 → 17.34</t>
  </si>
  <si>
    <t>18.39 → 17.33</t>
  </si>
  <si>
    <t>18.41 → 16.96</t>
  </si>
  <si>
    <t>18.42 → 16.97</t>
  </si>
  <si>
    <t>18.46 → 17.40</t>
  </si>
  <si>
    <t>18.46 → 17.41</t>
  </si>
  <si>
    <t>18.56 → 17.51</t>
  </si>
  <si>
    <t>18.58 → 17.52</t>
  </si>
  <si>
    <t>18.58 → 17.13</t>
  </si>
  <si>
    <t>18.62 → 17.17</t>
  </si>
  <si>
    <t>18.61 → 17.56</t>
  </si>
  <si>
    <t>18.63 → 17.18</t>
  </si>
  <si>
    <t>18.65 → 17.20</t>
  </si>
  <si>
    <t>18.67 → 17.61</t>
  </si>
  <si>
    <t>18.69 → 17.64</t>
  </si>
  <si>
    <t>18.70 → 17.25</t>
  </si>
  <si>
    <t>18.74 → 17.69</t>
  </si>
  <si>
    <t>18.80 → 17.75</t>
  </si>
  <si>
    <t>18.82 → 17.37</t>
  </si>
  <si>
    <t>18.83 → 17.78</t>
  </si>
  <si>
    <t>18.87 → 17.82</t>
  </si>
  <si>
    <t>18.90 → 17.45</t>
  </si>
  <si>
    <t>18.94 → 17.89</t>
  </si>
  <si>
    <t>18.97 → 17.52</t>
  </si>
  <si>
    <t>19.03 → 17.98</t>
  </si>
  <si>
    <t>19.06 → 17.61</t>
  </si>
  <si>
    <t>19.05 → 18.00</t>
  </si>
  <si>
    <t>19.10 → 18.05</t>
  </si>
  <si>
    <t>19.14 → 18.09</t>
  </si>
  <si>
    <t>19.15 → 18.10</t>
  </si>
  <si>
    <t>19.15 → 17.70</t>
  </si>
  <si>
    <t>19.18 → 18.13</t>
  </si>
  <si>
    <t>19.24 → 17.79</t>
  </si>
  <si>
    <t>19.24 → 18.19</t>
  </si>
  <si>
    <t>19.27 → 18.22</t>
  </si>
  <si>
    <t>19.29 → 17.84</t>
  </si>
  <si>
    <t>19.34 → 18.29</t>
  </si>
  <si>
    <t>19.37 → 17.92</t>
  </si>
  <si>
    <t>19.39 → 17.94</t>
  </si>
  <si>
    <t>19.40 → 18.35</t>
  </si>
  <si>
    <t>19.44 → 17.99</t>
  </si>
  <si>
    <t>19.46 → 18.01</t>
  </si>
  <si>
    <t>19.46 → 18.41</t>
  </si>
  <si>
    <t>19.48 → 18.43</t>
  </si>
  <si>
    <t>19.50 → 18.45</t>
  </si>
  <si>
    <t>19.50 → 18.05</t>
  </si>
  <si>
    <t>19.52 → 18.07</t>
  </si>
  <si>
    <t>19.51 → 18.06</t>
  </si>
  <si>
    <t>19.54 → 18.49</t>
  </si>
  <si>
    <t>19.55 → 18.10</t>
  </si>
  <si>
    <t>19.62 → 18.17</t>
  </si>
  <si>
    <t>19.66 → 18.21</t>
  </si>
  <si>
    <t>19.65 → 18.60</t>
  </si>
  <si>
    <t>19.71 → 18.66</t>
  </si>
  <si>
    <t>19.71 → 18.26</t>
  </si>
  <si>
    <t>19.75 → 18.70</t>
  </si>
  <si>
    <t>19.77 → 18.72</t>
  </si>
  <si>
    <t>19.80 → 18.35</t>
  </si>
  <si>
    <t>19.80 → 18.75</t>
  </si>
  <si>
    <t>19.81 → 18.36</t>
  </si>
  <si>
    <t>19.82 → 18.37</t>
  </si>
  <si>
    <t>19.86 → 18.41</t>
  </si>
  <si>
    <t>19.90 → 18.85</t>
  </si>
  <si>
    <t>19.91 → 18.46</t>
  </si>
  <si>
    <t>19.93 → 18.48</t>
  </si>
  <si>
    <t>19.96 → 18.91</t>
  </si>
  <si>
    <t>19.95 → 18.50</t>
  </si>
  <si>
    <t>19.97 → 18.52</t>
  </si>
  <si>
    <t>20.00 → 18.95</t>
  </si>
  <si>
    <t>19.99 → 18.54</t>
  </si>
  <si>
    <t>20.03 → 18.98</t>
  </si>
  <si>
    <t>20.05 → 18.60</t>
  </si>
  <si>
    <t>20.08 → 19.03</t>
  </si>
  <si>
    <t>20.11 → 18.66</t>
  </si>
  <si>
    <t>20.12 → 19.07</t>
  </si>
  <si>
    <t>20.13 → 18.68</t>
  </si>
  <si>
    <t>20.14 → 18.69</t>
  </si>
  <si>
    <t>20.20 → 19.15</t>
  </si>
  <si>
    <t>20.21 → 18.76</t>
  </si>
  <si>
    <t>20.27 → 19.22</t>
  </si>
  <si>
    <t>20.27 → 18.82</t>
  </si>
  <si>
    <t>20.33 → 19.28</t>
  </si>
  <si>
    <t>20.35 → 18.90</t>
  </si>
  <si>
    <t>20.41 → 19.36</t>
  </si>
  <si>
    <t>20.42 → 19.37</t>
  </si>
  <si>
    <t>20.42 → 18.97</t>
  </si>
  <si>
    <t>20.43 → 19.38</t>
  </si>
  <si>
    <t>20.46 → 19.01</t>
  </si>
  <si>
    <t>20.47 → 19.02</t>
  </si>
  <si>
    <t>20.57 → 19.12</t>
  </si>
  <si>
    <t>20.59 → 19.54</t>
  </si>
  <si>
    <t>20.59 → 19.14</t>
  </si>
  <si>
    <t>20.71 → 19.66</t>
  </si>
  <si>
    <t>20.72 → 19.27</t>
  </si>
  <si>
    <t>20.72 → 19.67</t>
  </si>
  <si>
    <t>20.74 → 19.29</t>
  </si>
  <si>
    <t>20.80 → 19.35</t>
  </si>
  <si>
    <t>20.79 → 19.34</t>
  </si>
  <si>
    <t>20.87 → 19.42</t>
  </si>
  <si>
    <t>20.88 → 19.43</t>
  </si>
  <si>
    <t>20.90 → 19.45</t>
  </si>
  <si>
    <t>20.93 → 19.88</t>
  </si>
  <si>
    <t>20.94 → 19.49</t>
  </si>
  <si>
    <t>20.95 → 19.90</t>
  </si>
  <si>
    <t>20.98 → 19.53</t>
  </si>
  <si>
    <t>20.99 → 19.54</t>
  </si>
  <si>
    <t>21.01 → 19.96</t>
  </si>
  <si>
    <t>21.02 → 19.57</t>
  </si>
  <si>
    <t>21.02 → 19.97</t>
  </si>
  <si>
    <t>21.03 → 19.98</t>
  </si>
  <si>
    <t>21.04 → 20.00</t>
  </si>
  <si>
    <t>21.08 → 20.03</t>
  </si>
  <si>
    <t>21.11 → 20.06</t>
  </si>
  <si>
    <t>21.13 → 19.68</t>
  </si>
  <si>
    <t>21.16 → 20.12</t>
  </si>
  <si>
    <t>21.17 → 19.72</t>
  </si>
  <si>
    <t>21.19 → 19.74</t>
  </si>
  <si>
    <t>21.22 → 20.18</t>
  </si>
  <si>
    <t>21.25 → 20.20</t>
  </si>
  <si>
    <t>21.25 → 19.80</t>
  </si>
  <si>
    <t>21.25 → 20.21</t>
  </si>
  <si>
    <t>21.29 → 19.84</t>
  </si>
  <si>
    <t>21.32 → 19.87</t>
  </si>
  <si>
    <t>21.34 → 19.89</t>
  </si>
  <si>
    <t>21.36 → 19.91</t>
  </si>
  <si>
    <t>21.35 → 20.31</t>
  </si>
  <si>
    <t>21.40 → 19.95</t>
  </si>
  <si>
    <t>21.42 → 20.38</t>
  </si>
  <si>
    <t>21.47 → 20.42</t>
  </si>
  <si>
    <t>21.47 → 20.43</t>
  </si>
  <si>
    <t>21.49 → 20.04</t>
  </si>
  <si>
    <t>21.49 → 20.45</t>
  </si>
  <si>
    <t>21.53 → 20.08</t>
  </si>
  <si>
    <t>21.54 → 20.49</t>
  </si>
  <si>
    <t>21.54 → 20.09</t>
  </si>
  <si>
    <t>21.54 → 20.50</t>
  </si>
  <si>
    <t>21.55 → 20.51</t>
  </si>
  <si>
    <t>21.60 → 20.56</t>
  </si>
  <si>
    <t>21.61 → 20.16</t>
  </si>
  <si>
    <t>21.62 → 20.57</t>
  </si>
  <si>
    <t>21.63 → 20.18</t>
  </si>
  <si>
    <t>21.66 → 20.61</t>
  </si>
  <si>
    <t>21.66 → 20.21</t>
  </si>
  <si>
    <t>21.70 → 20.65</t>
  </si>
  <si>
    <t>21.73 → 20.68</t>
  </si>
  <si>
    <t>21.75 → 20.30</t>
  </si>
  <si>
    <t>21.75 → 20.71</t>
  </si>
  <si>
    <t>21.84 → 20.39</t>
  </si>
  <si>
    <t>21.85 → 20.81</t>
  </si>
  <si>
    <t>21.85 → 20.40</t>
  </si>
  <si>
    <t>21.86 → 20.41</t>
  </si>
  <si>
    <t>21.87 → 20.83</t>
  </si>
  <si>
    <t>21.90 → 20.45</t>
  </si>
  <si>
    <t>21.93 → 20.88</t>
  </si>
  <si>
    <t>21.93 → 20.48</t>
  </si>
  <si>
    <t>21.95 → 20.90</t>
  </si>
  <si>
    <t>21.97 → 20.52</t>
  </si>
  <si>
    <t>21.99 → 20.95</t>
  </si>
  <si>
    <t>22.00 → 20.55</t>
  </si>
  <si>
    <t>22.02 → 20.97</t>
  </si>
  <si>
    <t>22.02 → 20.57</t>
  </si>
  <si>
    <t>22.09 → 20.64</t>
  </si>
  <si>
    <t>22.08 → 21.04</t>
  </si>
  <si>
    <t>22.10 → 20.65</t>
  </si>
  <si>
    <t>22.10 → 21.05</t>
  </si>
  <si>
    <t>22.14 → 20.69</t>
  </si>
  <si>
    <t>22.16 → 21.12</t>
  </si>
  <si>
    <t>22.17 → 21.12</t>
  </si>
  <si>
    <t>22.19 → 20.74</t>
  </si>
  <si>
    <t>22.22 → 20.77</t>
  </si>
  <si>
    <t>22.26 → 21.22</t>
  </si>
  <si>
    <t>22.27 → 21.22</t>
  </si>
  <si>
    <t>22.27 → 20.82</t>
  </si>
  <si>
    <t>22.30 → 21.25</t>
  </si>
  <si>
    <t>22.32 → 21.28</t>
  </si>
  <si>
    <t>22.34 → 20.89</t>
  </si>
  <si>
    <t>22.41 → 20.96</t>
  </si>
  <si>
    <t>22.42 → 21.38</t>
  </si>
  <si>
    <t>22.45 → 21.40</t>
  </si>
  <si>
    <t>22.45 → 21.00</t>
  </si>
  <si>
    <t>22.47 → 21.02</t>
  </si>
  <si>
    <t>22.70 → 21.66</t>
  </si>
  <si>
    <t>22.51 → 21.46</t>
  </si>
  <si>
    <t>22.53 → 21.08</t>
  </si>
  <si>
    <t>22.55 → 21.10</t>
  </si>
  <si>
    <t>22.61 → 21.16</t>
  </si>
  <si>
    <t>22.62 → 21.17</t>
  </si>
  <si>
    <t>22.82 → 21.78</t>
  </si>
  <si>
    <t>22.63 → 21.59</t>
  </si>
  <si>
    <t>22.65 → 21.60</t>
  </si>
  <si>
    <t>22.68 → 21.23</t>
  </si>
  <si>
    <t>22.72 → 21.67</t>
  </si>
  <si>
    <t>22.71 → 21.26</t>
  </si>
  <si>
    <t>22.74 → 21.29</t>
  </si>
  <si>
    <t>22.77 → 21.32</t>
  </si>
  <si>
    <t>22.78 → 21.73</t>
  </si>
  <si>
    <t>22.78 → 21.74</t>
  </si>
  <si>
    <t>22.85 → 21.40</t>
  </si>
  <si>
    <t>22.88 → 21.83</t>
  </si>
  <si>
    <t>22.89 → 21.44</t>
  </si>
  <si>
    <t>22.90 → 21.86</t>
  </si>
  <si>
    <t>22.93 → 21.48</t>
  </si>
  <si>
    <t>22.93 → 21.88</t>
  </si>
  <si>
    <t>22.98 → 21.94</t>
  </si>
  <si>
    <t>22.99 → 21.54</t>
  </si>
  <si>
    <t>23.02 → 21.57</t>
  </si>
  <si>
    <t>23.01 → 21.56</t>
  </si>
  <si>
    <t>23.03 → 21.58</t>
  </si>
  <si>
    <t>23.07 → 21.62</t>
  </si>
  <si>
    <t>23.06 → 22.02</t>
  </si>
  <si>
    <t>23.10 → 21.65</t>
  </si>
  <si>
    <t>23.34 → 22.29</t>
  </si>
  <si>
    <t>23.17 → 22.12</t>
  </si>
  <si>
    <t>23.20 → 21.75</t>
  </si>
  <si>
    <t>23.19 → 21.74</t>
  </si>
  <si>
    <t>23.21 → 22.16</t>
  </si>
  <si>
    <t>23.25 → 22.21</t>
  </si>
  <si>
    <t>23.24 → 22.20</t>
  </si>
  <si>
    <t>23.24 → 21.79</t>
  </si>
  <si>
    <t>23.32 → 21.87</t>
  </si>
  <si>
    <t>23.31 → 21.86</t>
  </si>
  <si>
    <t>23.33 → 22.29</t>
  </si>
  <si>
    <t>23.36 → 22.31</t>
  </si>
  <si>
    <t>23.39 → 22.34</t>
  </si>
  <si>
    <t>23.40 → 22.36</t>
  </si>
  <si>
    <t>23.57 → 22.53</t>
  </si>
  <si>
    <t>23.49 → 22.45</t>
  </si>
  <si>
    <t>23.48 → 22.44</t>
  </si>
  <si>
    <t>23.47 → 22.02</t>
  </si>
  <si>
    <t>23.51 → 22.47</t>
  </si>
  <si>
    <t>23.54 → 22.50</t>
  </si>
  <si>
    <t>23.70 → 22.66</t>
  </si>
  <si>
    <t>23.72 → 22.68</t>
  </si>
  <si>
    <t>23.73 → 22.28</t>
  </si>
  <si>
    <t>23.73 → 22.69</t>
  </si>
  <si>
    <t>23.75 → 22.71</t>
  </si>
  <si>
    <t>23.75 → 22.30</t>
  </si>
  <si>
    <t>23.78 → 22.74</t>
  </si>
  <si>
    <t>23.79 → 22.75</t>
  </si>
  <si>
    <t>23.80 → 22.35</t>
  </si>
  <si>
    <t>23.89 → 22.44</t>
  </si>
  <si>
    <t>23.90 → 22.86</t>
  </si>
  <si>
    <t>23.92 → 22.88</t>
  </si>
  <si>
    <t>23.91 → 22.46</t>
  </si>
  <si>
    <t>23.94 → 22.49</t>
  </si>
  <si>
    <t>23.95 → 22.91</t>
  </si>
  <si>
    <t>24.01 → 22.56</t>
  </si>
  <si>
    <t>24.10 → 22.65</t>
  </si>
  <si>
    <t>24.15 → 23.11</t>
  </si>
  <si>
    <t>24.14 → 22.69</t>
  </si>
  <si>
    <t>24.21 → 22.76</t>
  </si>
  <si>
    <t>24.32 → 22.87</t>
  </si>
  <si>
    <t>24.35 → 23.31</t>
  </si>
  <si>
    <t>24.37 → 23.33</t>
  </si>
  <si>
    <t>24.38 → 23.34</t>
  </si>
  <si>
    <t>24.42 → 22.97</t>
  </si>
  <si>
    <t>24.42 → 23.38</t>
  </si>
  <si>
    <t>24.53 → 23.08</t>
  </si>
  <si>
    <t>24.54 → 23.50</t>
  </si>
  <si>
    <t>24.60 → 23.56</t>
  </si>
  <si>
    <t>24.64 → 23.19</t>
  </si>
  <si>
    <t>24.73 → 23.28</t>
  </si>
  <si>
    <t>24.76 → 23.72</t>
  </si>
  <si>
    <t>24.78 → 23.74</t>
  </si>
  <si>
    <t>24.82 → 23.78</t>
  </si>
  <si>
    <t>24.87 → 23.42</t>
  </si>
  <si>
    <t>24.87 → 23.83</t>
  </si>
  <si>
    <t>24.97 → 23.93</t>
  </si>
  <si>
    <t>25.06 → 23.61</t>
  </si>
  <si>
    <t>25.07 → 23.62</t>
  </si>
  <si>
    <t>25.08 → 24.04</t>
  </si>
  <si>
    <t>25.14 → 24.10</t>
  </si>
  <si>
    <t>25.26 → 24.22</t>
  </si>
  <si>
    <t>25.31 → 23.86</t>
  </si>
  <si>
    <t>25.31 → 24.27</t>
  </si>
  <si>
    <t>25.37 → 24.33</t>
  </si>
  <si>
    <t>25.45 → 24.41</t>
  </si>
  <si>
    <t>25.53 → 24.49</t>
  </si>
  <si>
    <t>25.54 → 24.50</t>
  </si>
  <si>
    <t>25.57 → 24.53</t>
  </si>
  <si>
    <t>25.42 → 24.38</t>
  </si>
  <si>
    <t>25.60 → 24.15</t>
  </si>
  <si>
    <t>25.63 → 24.18</t>
  </si>
  <si>
    <t>25.75 → 24.71</t>
  </si>
  <si>
    <t>25.75 → 24.30</t>
  </si>
  <si>
    <t>25.79 → 24.75</t>
  </si>
  <si>
    <t>25.80 → 24.35</t>
  </si>
  <si>
    <t>25.83 → 24.38</t>
  </si>
  <si>
    <t>25.88 → 24.84</t>
  </si>
  <si>
    <t>25.91 → 24.87</t>
  </si>
  <si>
    <t>25.92 → 24.47</t>
  </si>
  <si>
    <t>25.95 → 24.91</t>
  </si>
  <si>
    <t>25.99 → 24.95</t>
  </si>
  <si>
    <t>26.02 → 24.57</t>
  </si>
  <si>
    <t>26.03 → 24.99</t>
  </si>
  <si>
    <t>26.04 → 24.59</t>
  </si>
  <si>
    <t>26.07 → 24.62</t>
  </si>
  <si>
    <t>26.08 → 24.63</t>
  </si>
  <si>
    <t>26.18 → 24.73</t>
  </si>
  <si>
    <t>26.24 → 24.79</t>
  </si>
  <si>
    <t>26.38 → 25.34</t>
  </si>
  <si>
    <t>26.42 → 24.97</t>
  </si>
  <si>
    <t>26.44 → 24.99</t>
  </si>
  <si>
    <t>26.47 → 25.02</t>
  </si>
  <si>
    <t>26.47 → 25.44</t>
  </si>
  <si>
    <t>26.52 → 25.49</t>
  </si>
  <si>
    <t>26.55 → 25.52</t>
  </si>
  <si>
    <t>26.59 → 25.56</t>
  </si>
  <si>
    <t>26.67 → 25.22</t>
  </si>
  <si>
    <t>26.68 → 25.65</t>
  </si>
  <si>
    <t>26.74 → 25.29</t>
  </si>
  <si>
    <t>26.75 → 25.30</t>
  </si>
  <si>
    <t>26.78 → 25.33</t>
  </si>
  <si>
    <t>26.78 → 25.74</t>
  </si>
  <si>
    <t>26.83 → 25.38</t>
  </si>
  <si>
    <t>26.82 → 25.37</t>
  </si>
  <si>
    <t>26.84 → 25.39</t>
  </si>
  <si>
    <t>26.89 → 25.44</t>
  </si>
  <si>
    <t>26.99 → 25.54</t>
  </si>
  <si>
    <t>27.02 → 25.57</t>
  </si>
  <si>
    <t>27.10 → 25.65</t>
  </si>
  <si>
    <t>27.12 → 26.08</t>
  </si>
  <si>
    <t>27.14 → 25.69</t>
  </si>
  <si>
    <t>27.18 → 26.14</t>
  </si>
  <si>
    <t>27.23 → 26.19</t>
  </si>
  <si>
    <t>27.32 → 25.87</t>
  </si>
  <si>
    <t>27.45 → 26.41</t>
  </si>
  <si>
    <t>27.45 → 26.00</t>
  </si>
  <si>
    <t>27.58 → 26.13</t>
  </si>
  <si>
    <t>27.61 → 26.16</t>
  </si>
  <si>
    <t>27.74 → 26.29</t>
  </si>
  <si>
    <t>27.73 → 26.69</t>
  </si>
  <si>
    <t>27.23 → 26.20</t>
  </si>
  <si>
    <t>27.75 → 26.71</t>
  </si>
  <si>
    <t>27.79 → 26.34</t>
  </si>
  <si>
    <t>27.81 → 26.36</t>
  </si>
  <si>
    <t>27.82 → 26.37</t>
  </si>
  <si>
    <t>27.83 → 26.38</t>
  </si>
  <si>
    <t>27.86 → 26.41</t>
  </si>
  <si>
    <t>28.04 → 26.59</t>
  </si>
  <si>
    <t>28.06 → 26.61</t>
  </si>
  <si>
    <t>28.08 → 27.04</t>
  </si>
  <si>
    <t>28.09 → 27.05</t>
  </si>
  <si>
    <t>28.10 → 26.65</t>
  </si>
  <si>
    <t>28.12 → 26.67</t>
  </si>
  <si>
    <t>28.17 → 26.72</t>
  </si>
  <si>
    <t>28.23 → 26.78</t>
  </si>
  <si>
    <t>28.24 → 27.21</t>
  </si>
  <si>
    <t>28.35 → 27.32</t>
  </si>
  <si>
    <t>28.39 → 27.36</t>
  </si>
  <si>
    <t>28.41 → 27.37</t>
  </si>
  <si>
    <t>28.47 → 27.02</t>
  </si>
  <si>
    <t>28.52 → 27.48</t>
  </si>
  <si>
    <t>28.55 → 27.10</t>
  </si>
  <si>
    <t>28.61 → 27.16</t>
  </si>
  <si>
    <t>28.61 → 27.58</t>
  </si>
  <si>
    <t>28.64 → 27.19</t>
  </si>
  <si>
    <t>28.65 → 27.20</t>
  </si>
  <si>
    <t>28.71 → 27.67</t>
  </si>
  <si>
    <t>28.71 → 27.26</t>
  </si>
  <si>
    <t>28.73 → 27.70</t>
  </si>
  <si>
    <t>28.76 → 27.31</t>
  </si>
  <si>
    <t>28.77 → 27.32</t>
  </si>
  <si>
    <t>28.95 → 27.50</t>
  </si>
  <si>
    <t>28.97 → 27.52</t>
  </si>
  <si>
    <t>28.98 → 27.94</t>
  </si>
  <si>
    <t>28.99 → 27.96</t>
  </si>
  <si>
    <t>29.09 → 27.64</t>
  </si>
  <si>
    <t>29.21 → 27.76</t>
  </si>
  <si>
    <t>29.22 → 27.77</t>
  </si>
  <si>
    <t>29.23 → 27.78</t>
  </si>
  <si>
    <t>29.24 → 27.79</t>
  </si>
  <si>
    <t>29.29 → 27.84</t>
  </si>
  <si>
    <t>29.47 → 28.44</t>
  </si>
  <si>
    <t>29.48 → 28.03</t>
  </si>
  <si>
    <t>29.58 → 28.55</t>
  </si>
  <si>
    <t>29.61 → 28.57</t>
  </si>
  <si>
    <t>29.64 → 28.61</t>
  </si>
  <si>
    <t>29.68 → 28.23</t>
  </si>
  <si>
    <t>29.71 → 28.26</t>
  </si>
  <si>
    <t>29.74 → 28.71</t>
  </si>
  <si>
    <t>29.15 → 28.11</t>
  </si>
  <si>
    <t>29.79 → 28.34</t>
  </si>
  <si>
    <t>29.80 → 28.35</t>
  </si>
  <si>
    <t>29.91 → 28.88</t>
  </si>
  <si>
    <t>29.91 → 28.46</t>
  </si>
  <si>
    <t>30.02 → 28.98</t>
  </si>
  <si>
    <t>30.08 → 28.63</t>
  </si>
  <si>
    <t>30.10 → 28.65</t>
  </si>
  <si>
    <t>30.12 → 28.67</t>
  </si>
  <si>
    <t>30.13 → 29.09</t>
  </si>
  <si>
    <t>30.15 → 28.70</t>
  </si>
  <si>
    <t>30.18 → 29.14</t>
  </si>
  <si>
    <t>30.32 → 28.87</t>
  </si>
  <si>
    <t>30.33 → 29.29</t>
  </si>
  <si>
    <t>30.33 → 29.30</t>
  </si>
  <si>
    <t>30.35 → 28.90</t>
  </si>
  <si>
    <t>30.39 → 28.94</t>
  </si>
  <si>
    <t>30.38 → 29.35</t>
  </si>
  <si>
    <t>30.40 → 28.95</t>
  </si>
  <si>
    <t>30.43 → 28.98</t>
  </si>
  <si>
    <t>30.55 → 29.51</t>
  </si>
  <si>
    <t>30.58 → 29.13</t>
  </si>
  <si>
    <t>30.60 → 29.15</t>
  </si>
  <si>
    <t>30.65 → 29.61</t>
  </si>
  <si>
    <t>30.67 → 29.63</t>
  </si>
  <si>
    <t>30.72 → 29.27</t>
  </si>
  <si>
    <t>30.85 → 29.82</t>
  </si>
  <si>
    <t>30.90 → 29.87</t>
  </si>
  <si>
    <t>30.92 → 29.47</t>
  </si>
  <si>
    <t>30.92 → 29.89</t>
  </si>
  <si>
    <t>31.02 → 29.99</t>
  </si>
  <si>
    <t>31.03 → 30.00</t>
  </si>
  <si>
    <t>31.07 → 29.62</t>
  </si>
  <si>
    <t>31.10 → 29.65</t>
  </si>
  <si>
    <t>31.10 → 30.07</t>
  </si>
  <si>
    <t>31.11 → 29.66</t>
  </si>
  <si>
    <t>30.45 → 29.42</t>
  </si>
  <si>
    <t>31.23 → 29.78</t>
  </si>
  <si>
    <t>31.25 → 29.80</t>
  </si>
  <si>
    <t>31.29 → 30.26</t>
  </si>
  <si>
    <t>31.33 → 30.30</t>
  </si>
  <si>
    <t>31.41 → 29.96</t>
  </si>
  <si>
    <t>31.46 → 30.01</t>
  </si>
  <si>
    <t>31.54 → 30.51</t>
  </si>
  <si>
    <t>31.56 → 30.11</t>
  </si>
  <si>
    <t>31.57 → 30.54</t>
  </si>
  <si>
    <t>31.59 → 30.56</t>
  </si>
  <si>
    <t>31.61 → 30.58</t>
  </si>
  <si>
    <t>31.64 → 30.61</t>
  </si>
  <si>
    <t>31.67 → 30.22</t>
  </si>
  <si>
    <t>31.67 → 30.64</t>
  </si>
  <si>
    <t>31.69 → 30.66</t>
  </si>
  <si>
    <t>31.75 → 30.72</t>
  </si>
  <si>
    <t>31.78 → 30.33</t>
  </si>
  <si>
    <t>31.83 → 30.38</t>
  </si>
  <si>
    <t>31.92 → 30.47</t>
  </si>
  <si>
    <t>31.93 → 30.48</t>
  </si>
  <si>
    <t>31.95 → 30.50</t>
  </si>
  <si>
    <t>32.01 → 30.56</t>
  </si>
  <si>
    <t>32.13 → 31.10</t>
  </si>
  <si>
    <t>32.14 → 30.69</t>
  </si>
  <si>
    <t>32.13 → 30.68</t>
  </si>
  <si>
    <t>32.19 → 31.16</t>
  </si>
  <si>
    <t>32.23 → 30.78</t>
  </si>
  <si>
    <t>32.24 → 30.79</t>
  </si>
  <si>
    <t>32.32 → 30.87</t>
  </si>
  <si>
    <t>32.34 → 30.89</t>
  </si>
  <si>
    <t>32.35 → 31.32</t>
  </si>
  <si>
    <t>32.40 → 31.37</t>
  </si>
  <si>
    <t>32.42 → 30.97</t>
  </si>
  <si>
    <t>32.48 → 31.03</t>
  </si>
  <si>
    <t>32.50 → 31.47</t>
  </si>
  <si>
    <t>32.52 → 31.49</t>
  </si>
  <si>
    <t>32.54 → 31.09</t>
  </si>
  <si>
    <t>32.61 → 31.16</t>
  </si>
  <si>
    <t>32.63 → 31.60</t>
  </si>
  <si>
    <t>32.63 → 31.18</t>
  </si>
  <si>
    <t>32.64 → 31.19</t>
  </si>
  <si>
    <t>32.68 → 31.23</t>
  </si>
  <si>
    <t>32.67 → 31.64</t>
  </si>
  <si>
    <t>32.74 → 31.71</t>
  </si>
  <si>
    <t>32.78 → 31.33</t>
  </si>
  <si>
    <t>32.80 → 31.35</t>
  </si>
  <si>
    <t>32.82 → 31.79</t>
  </si>
  <si>
    <t>32.83 → 31.80</t>
  </si>
  <si>
    <t>32.86 → 31.41</t>
  </si>
  <si>
    <t>32.87 → 31.42</t>
  </si>
  <si>
    <t>32.93 → 31.90</t>
  </si>
  <si>
    <t>32.96 → 31.51</t>
  </si>
  <si>
    <t>32.97 → 31.52</t>
  </si>
  <si>
    <t>33.02 → 31.57</t>
  </si>
  <si>
    <t>33.07 → 31.62</t>
  </si>
  <si>
    <t>33.08 → 31.63</t>
  </si>
  <si>
    <t>33.15 → 31.70</t>
  </si>
  <si>
    <t>33.16 → 31.71</t>
  </si>
  <si>
    <t>33.17 → 32.14</t>
  </si>
  <si>
    <t>33.16 → 32.13</t>
  </si>
  <si>
    <t>33.18 → 31.73</t>
  </si>
  <si>
    <t>33.22 → 31.77</t>
  </si>
  <si>
    <t>33.27 → 32.24</t>
  </si>
  <si>
    <t>33.28 → 32.25</t>
  </si>
  <si>
    <t>33.33 → 31.88</t>
  </si>
  <si>
    <t>33.43 → 32.40</t>
  </si>
  <si>
    <t>33.44 → 31.99</t>
  </si>
  <si>
    <t>33.49 → 32.04</t>
  </si>
  <si>
    <t>33.50 → 32.05</t>
  </si>
  <si>
    <t>33.53 → 32.50</t>
  </si>
  <si>
    <t>33.58 → 32.13</t>
  </si>
  <si>
    <t>33.67 → 32.22</t>
  </si>
  <si>
    <t>33.75 → 32.30</t>
  </si>
  <si>
    <t>33.78 → 32.33</t>
  </si>
  <si>
    <t>33.79 → 32.34</t>
  </si>
  <si>
    <t>33.83 → 32.80</t>
  </si>
  <si>
    <t>33.84 → 32.39</t>
  </si>
  <si>
    <t>33.96 → 32.51</t>
  </si>
  <si>
    <t>34.06 → 32.61</t>
  </si>
  <si>
    <t>34.06 → 33.04</t>
  </si>
  <si>
    <t>34.07 → 33.05</t>
  </si>
  <si>
    <t>34.10 → 32.65</t>
  </si>
  <si>
    <t>34.15 → 32.70</t>
  </si>
  <si>
    <t>34.33 → 32.88</t>
  </si>
  <si>
    <t>34.45 → 33.00</t>
  </si>
  <si>
    <t>34.46 → 33.01</t>
  </si>
  <si>
    <t>34.56 → 33.11</t>
  </si>
  <si>
    <t>34.57 → 33.12</t>
  </si>
  <si>
    <t>34.70 → 33.25</t>
  </si>
  <si>
    <t>34.71 → 33.26</t>
  </si>
  <si>
    <t>34.70 → 33.67</t>
  </si>
  <si>
    <t>34.86 → 33.41</t>
  </si>
  <si>
    <t>34.90 → 33.45</t>
  </si>
  <si>
    <t>35.07 → 33.62</t>
  </si>
  <si>
    <t>35.09 → 33.64</t>
  </si>
  <si>
    <t>35.15 → 33.70</t>
  </si>
  <si>
    <t>35.15 → 34.13</t>
  </si>
  <si>
    <t>35.18 → 33.73</t>
  </si>
  <si>
    <t>35.22 → 33.77</t>
  </si>
  <si>
    <t>35.29 → 33.84</t>
  </si>
  <si>
    <t>35.32 → 33.87</t>
  </si>
  <si>
    <t>35.51 → 34.49</t>
  </si>
  <si>
    <t>34.67 → 33.65</t>
  </si>
  <si>
    <t>35.80 → 34.78</t>
  </si>
  <si>
    <t>35.86 → 34.41</t>
  </si>
  <si>
    <t>36.06 → 35.04</t>
  </si>
  <si>
    <t>36.09 → 34.64</t>
  </si>
  <si>
    <t>36.12 → 35.09</t>
  </si>
  <si>
    <t>36.44 → 35.41</t>
  </si>
  <si>
    <t>36.43 → 34.98</t>
  </si>
  <si>
    <t>36.44 → 34.99</t>
  </si>
  <si>
    <t>36.56 → 35.11</t>
  </si>
  <si>
    <t>36.58 → 35.56</t>
  </si>
  <si>
    <t>36.61 → 35.16</t>
  </si>
  <si>
    <t>36.63 → 35.18</t>
  </si>
  <si>
    <t>36.63 → 35.60</t>
  </si>
  <si>
    <t>36.64 → 35.19</t>
  </si>
  <si>
    <t>36.66 → 35.21</t>
  </si>
  <si>
    <t>36.78 → 35.76</t>
  </si>
  <si>
    <t>36.87 → 35.42</t>
  </si>
  <si>
    <t>36.94 → 35.49</t>
  </si>
  <si>
    <t>36.18 → 35.16</t>
  </si>
  <si>
    <t>37.20 → 35.75</t>
  </si>
  <si>
    <t>37.30 → 36.28</t>
  </si>
  <si>
    <t>37.35 → 35.90</t>
  </si>
  <si>
    <t>37.40 → 35.95</t>
  </si>
  <si>
    <t>37.44 → 36.42</t>
  </si>
  <si>
    <t>37.49 → 36.47</t>
  </si>
  <si>
    <t>37.70 → 36.25</t>
  </si>
  <si>
    <t>37.76 → 36.74</t>
  </si>
  <si>
    <t>37.84 → 36.39</t>
  </si>
  <si>
    <t>37.90 → 36.45</t>
  </si>
  <si>
    <t>37.92 → 36.90</t>
  </si>
  <si>
    <t>37.93 → 36.48</t>
  </si>
  <si>
    <t>38.07 → 36.62</t>
  </si>
  <si>
    <t>38.20 → 36.75</t>
  </si>
  <si>
    <t>38.21 → 36.76</t>
  </si>
  <si>
    <t>38.25 → 36.80</t>
  </si>
  <si>
    <t>38.53 → 37.51</t>
  </si>
  <si>
    <t>38.62 → 37.60</t>
  </si>
  <si>
    <t>38.62 → 37.17</t>
  </si>
  <si>
    <t>38.66 → 37.21</t>
  </si>
  <si>
    <t>37.77 → 36.75</t>
  </si>
  <si>
    <t>38.80 → 37.78</t>
  </si>
  <si>
    <t>38.99 → 37.54</t>
  </si>
  <si>
    <t>39.01 → 37.56</t>
  </si>
  <si>
    <t>39.13 → 38.11</t>
  </si>
  <si>
    <t>39.24 → 37.79</t>
  </si>
  <si>
    <t>39.25 → 38.23</t>
  </si>
  <si>
    <t>39.40 → 37.95</t>
  </si>
  <si>
    <t>39.56 → 38.54</t>
  </si>
  <si>
    <t>39.57 → 38.55</t>
  </si>
  <si>
    <t>39.63 → 38.18</t>
  </si>
  <si>
    <t>39.74 → 38.72</t>
  </si>
  <si>
    <t>39.76 → 38.31</t>
  </si>
  <si>
    <t>39.85 → 38.40</t>
  </si>
  <si>
    <t>39.89 → 38.87</t>
  </si>
  <si>
    <t>39.93 → 38.91</t>
  </si>
  <si>
    <t>40.00 → 38.55</t>
  </si>
  <si>
    <t>40.02 → 39.00</t>
  </si>
  <si>
    <t>40.06 → 38.61</t>
  </si>
  <si>
    <t>40.14 → 38.69</t>
  </si>
  <si>
    <t>40.18 → 38.73</t>
  </si>
  <si>
    <t>40.20 → 39.18</t>
  </si>
  <si>
    <t>40.27 → 38.82</t>
  </si>
  <si>
    <t>40.29 → 39.27</t>
  </si>
  <si>
    <t>40.38 → 38.93</t>
  </si>
  <si>
    <t>40.59 → 39.14</t>
  </si>
  <si>
    <t>40.63 → 39.18</t>
  </si>
  <si>
    <t>40.64 → 39.19</t>
  </si>
  <si>
    <t>40.71 → 39.26</t>
  </si>
  <si>
    <t>40.78 → 39.76</t>
  </si>
  <si>
    <t>40.89 → 39.44</t>
  </si>
  <si>
    <t>40.92 → 39.47</t>
  </si>
  <si>
    <t>40.95 → 39.50</t>
  </si>
  <si>
    <t>41.00 → 39.55</t>
  </si>
  <si>
    <t>41.05 → 40.03</t>
  </si>
  <si>
    <t>41.40 → 40.39</t>
  </si>
  <si>
    <t>41.41 → 40.40</t>
  </si>
  <si>
    <t>41.50 → 40.48</t>
  </si>
  <si>
    <t>41.50 → 40.05</t>
  </si>
  <si>
    <t>41.62 → 40.61</t>
  </si>
  <si>
    <t>41.75 → 40.30</t>
  </si>
  <si>
    <t>41.04 → 40.02</t>
  </si>
  <si>
    <t>41.90 → 40.88</t>
  </si>
  <si>
    <t>42.05 → 40.60</t>
  </si>
  <si>
    <t>42.13 → 40.68</t>
  </si>
  <si>
    <t>42.30 → 41.28</t>
  </si>
  <si>
    <t>42.56 → 41.54</t>
  </si>
  <si>
    <t>42.63 → 41.62</t>
  </si>
  <si>
    <t>42.67 → 41.66</t>
  </si>
  <si>
    <t>42.87 → 41.42</t>
  </si>
  <si>
    <t>42.87 → 41.86</t>
  </si>
  <si>
    <t>42.96 → 41.95</t>
  </si>
  <si>
    <t>42.98 → 41.53</t>
  </si>
  <si>
    <t>43.02 → 41.57</t>
  </si>
  <si>
    <t>43.08 → 41.63</t>
  </si>
  <si>
    <t>43.14 → 41.69</t>
  </si>
  <si>
    <t>43.24 → 41.79</t>
  </si>
  <si>
    <t>43.30 → 42.28</t>
  </si>
  <si>
    <t>42.65 → 41.64</t>
  </si>
  <si>
    <t>43.50 → 42.49</t>
  </si>
  <si>
    <t>43.59 → 42.57</t>
  </si>
  <si>
    <t>43.80 → 42.35</t>
  </si>
  <si>
    <t>43.91 → 42.46</t>
  </si>
  <si>
    <t>43.93 → 42.48</t>
  </si>
  <si>
    <t>43.99 → 42.97</t>
  </si>
  <si>
    <t>44.00 → 42.55</t>
  </si>
  <si>
    <t>44.06 → 42.61</t>
  </si>
  <si>
    <t>44.10 → 43.08</t>
  </si>
  <si>
    <t>44.33 → 43.32</t>
  </si>
  <si>
    <t>44.40 → 43.38</t>
  </si>
  <si>
    <t>44.58 → 43.57</t>
  </si>
  <si>
    <t>44.93 → 43.92</t>
  </si>
  <si>
    <t>45.06 → 44.05</t>
  </si>
  <si>
    <t>45.33 → 43.88</t>
  </si>
  <si>
    <t>45.40 → 44.39</t>
  </si>
  <si>
    <t>45.58 → 44.13</t>
  </si>
  <si>
    <t>45.83 → 44.82</t>
  </si>
  <si>
    <t>46.13 → 44.68</t>
  </si>
  <si>
    <t>46.32 → 44.87</t>
  </si>
  <si>
    <t>46.70 → 45.25</t>
  </si>
  <si>
    <t>46.73 → 45.28</t>
  </si>
  <si>
    <t>46.04 → 45.03</t>
  </si>
  <si>
    <t>46.95 → 45.94</t>
  </si>
  <si>
    <t>46.36 → 45.35</t>
  </si>
  <si>
    <t>47.16 → 45.71</t>
  </si>
  <si>
    <t>47.33 → 46.32</t>
  </si>
  <si>
    <t>47.63 → 46.18</t>
  </si>
  <si>
    <t>47.75 → 46.74</t>
  </si>
  <si>
    <t>48.00 → 46.99</t>
  </si>
  <si>
    <t>48.05 → 46.60</t>
  </si>
  <si>
    <t>48.20 → 47.19</t>
  </si>
  <si>
    <t>48.36 → 47.35</t>
  </si>
  <si>
    <t>48.65 → 47.20</t>
  </si>
  <si>
    <t>48.68 → 47.23</t>
  </si>
  <si>
    <t>48.86 → 47.41</t>
  </si>
  <si>
    <t>48.93 → 47.48</t>
  </si>
  <si>
    <t>49.17 → 48.17</t>
  </si>
  <si>
    <t>49.37 → 48.36</t>
  </si>
  <si>
    <t>49.47 → 48.02</t>
  </si>
  <si>
    <t>49.65 → 48.20</t>
  </si>
  <si>
    <t>49.53 → 48.52</t>
  </si>
  <si>
    <t>49.66 → 48.21</t>
  </si>
  <si>
    <t>49.70 → 48.25</t>
  </si>
  <si>
    <t>49.60 → 48.59</t>
  </si>
  <si>
    <t>49.65 → 48.65</t>
  </si>
  <si>
    <t>49.84 → 48.39</t>
  </si>
  <si>
    <t>50.09 → 48.64</t>
  </si>
  <si>
    <t>49.68 → 48.68</t>
  </si>
  <si>
    <t>50.61 → 49.16</t>
  </si>
  <si>
    <t>50.67 → 49.22</t>
  </si>
  <si>
    <t>50.68 → 49.23</t>
  </si>
  <si>
    <t>50.73 → 49.28</t>
  </si>
  <si>
    <t>50.98 → 49.53</t>
  </si>
  <si>
    <t>51.08 → 49.63</t>
  </si>
  <si>
    <t>51.23 → 49.78</t>
  </si>
  <si>
    <t>51.42 → 49.97</t>
  </si>
  <si>
    <t>51.28 → 50.28</t>
  </si>
  <si>
    <t>51.74 → 50.29</t>
  </si>
  <si>
    <t>51.57 → 50.57</t>
  </si>
  <si>
    <t>51.58 → 50.58</t>
  </si>
  <si>
    <t>52.17 → 50.72</t>
  </si>
  <si>
    <t>52.32 → 50.87</t>
  </si>
  <si>
    <t>52.46 → 51.01</t>
  </si>
  <si>
    <t>52.48 → 51.03</t>
  </si>
  <si>
    <t>52.72 → 51.72</t>
  </si>
  <si>
    <t>52.75 → 51.75</t>
  </si>
  <si>
    <t>53.50 → 52.05</t>
  </si>
  <si>
    <t>53.69 → 52.24</t>
  </si>
  <si>
    <t>53.82 → 52.37</t>
  </si>
  <si>
    <t>53.45 → 52.45</t>
  </si>
  <si>
    <t>53.95 → 52.50</t>
  </si>
  <si>
    <t>53.53 → 52.53</t>
  </si>
  <si>
    <t>54.48 → 53.03</t>
  </si>
  <si>
    <t>54.83 → 53.38</t>
  </si>
  <si>
    <t>55.17 → 53.72</t>
  </si>
  <si>
    <t>55.39 → 53.94</t>
  </si>
  <si>
    <t>55.65 → 54.20</t>
  </si>
  <si>
    <t>55.70 → 54.25</t>
  </si>
  <si>
    <t>56.39 → 54.94</t>
  </si>
  <si>
    <t>56.52 → 55.07</t>
  </si>
  <si>
    <t>56.72 → 55.27</t>
  </si>
  <si>
    <t>56.74 → 55.74</t>
  </si>
  <si>
    <t>57.31 → 55.86</t>
  </si>
  <si>
    <t>57.86 → 56.87</t>
  </si>
  <si>
    <t>58.28 → 56.83</t>
  </si>
  <si>
    <t>58.53 → 57.08</t>
  </si>
  <si>
    <t>1.34</t>
  </si>
  <si>
    <t>2,908</t>
  </si>
  <si>
    <t>1.51</t>
  </si>
  <si>
    <t>3,277</t>
  </si>
  <si>
    <t>2.26</t>
  </si>
  <si>
    <t>4,904</t>
  </si>
  <si>
    <t>2.57</t>
  </si>
  <si>
    <t>5,577</t>
  </si>
  <si>
    <t>2.60</t>
  </si>
  <si>
    <t>5,642</t>
  </si>
  <si>
    <t>2.67</t>
  </si>
  <si>
    <t>5,794</t>
  </si>
  <si>
    <t>3.92</t>
  </si>
  <si>
    <t>8,506</t>
  </si>
  <si>
    <t>3.96</t>
  </si>
  <si>
    <t>8,593</t>
  </si>
  <si>
    <t>7.48</t>
  </si>
  <si>
    <t>16,232</t>
  </si>
  <si>
    <t>8.54</t>
  </si>
  <si>
    <t>18,532</t>
  </si>
  <si>
    <t>9.87</t>
  </si>
  <si>
    <t>21,418</t>
  </si>
  <si>
    <t>10.28</t>
  </si>
  <si>
    <t>22,308</t>
  </si>
  <si>
    <t>11.08</t>
  </si>
  <si>
    <t>24,044</t>
  </si>
  <si>
    <t>11.26</t>
  </si>
  <si>
    <t>24,434</t>
  </si>
  <si>
    <t>11.41</t>
  </si>
  <si>
    <t>24,760</t>
  </si>
  <si>
    <t>11.69</t>
  </si>
  <si>
    <t>25,367</t>
  </si>
  <si>
    <t>12.49</t>
  </si>
  <si>
    <t>27,103</t>
  </si>
  <si>
    <t>12.77</t>
  </si>
  <si>
    <t>27,711</t>
  </si>
  <si>
    <t>13.22</t>
  </si>
  <si>
    <t>28,687</t>
  </si>
  <si>
    <t>13.04</t>
  </si>
  <si>
    <t>28,297</t>
  </si>
  <si>
    <t>13.05</t>
  </si>
  <si>
    <t>28,319</t>
  </si>
  <si>
    <t>13.40</t>
  </si>
  <si>
    <t>29,078</t>
  </si>
  <si>
    <t>13.91</t>
  </si>
  <si>
    <t>30,185</t>
  </si>
  <si>
    <t>15.33</t>
  </si>
  <si>
    <t>33,266</t>
  </si>
  <si>
    <t>15.49</t>
  </si>
  <si>
    <t>33,613</t>
  </si>
  <si>
    <t>16.36</t>
  </si>
  <si>
    <t>35,501</t>
  </si>
  <si>
    <t>16.61</t>
  </si>
  <si>
    <t>36,044</t>
  </si>
  <si>
    <t>17.26</t>
  </si>
  <si>
    <t>37,454</t>
  </si>
  <si>
    <t>17.97</t>
  </si>
  <si>
    <t>38,995</t>
  </si>
  <si>
    <t>18.45</t>
  </si>
  <si>
    <t>40,037</t>
  </si>
  <si>
    <t>18.71</t>
  </si>
  <si>
    <t>40,601</t>
  </si>
  <si>
    <t>19.19</t>
  </si>
  <si>
    <t>41,642</t>
  </si>
  <si>
    <t>19.76</t>
  </si>
  <si>
    <t>42,879</t>
  </si>
  <si>
    <t>19.82</t>
  </si>
  <si>
    <t>43,009</t>
  </si>
  <si>
    <t>22.05</t>
  </si>
  <si>
    <t>47,849</t>
  </si>
  <si>
    <t>22.44</t>
  </si>
  <si>
    <t>48,695</t>
  </si>
  <si>
    <t>23.37</t>
  </si>
  <si>
    <t>50,713</t>
  </si>
  <si>
    <t>24.44</t>
  </si>
  <si>
    <t>53,035</t>
  </si>
  <si>
    <t>25.08</t>
  </si>
  <si>
    <t>54,424</t>
  </si>
  <si>
    <t>25.65</t>
  </si>
  <si>
    <t>55,661</t>
  </si>
  <si>
    <t>26.01</t>
  </si>
  <si>
    <t>56,442</t>
  </si>
  <si>
    <t>26.20</t>
  </si>
  <si>
    <t>56,854</t>
  </si>
  <si>
    <t>26.28</t>
  </si>
  <si>
    <t>57,028</t>
  </si>
  <si>
    <t>26.96</t>
  </si>
  <si>
    <t>58,503</t>
  </si>
  <si>
    <t>27.01</t>
  </si>
  <si>
    <t>58,612</t>
  </si>
  <si>
    <t>28.26</t>
  </si>
  <si>
    <t>61,324</t>
  </si>
  <si>
    <t>28.61</t>
  </si>
  <si>
    <t>62,084</t>
  </si>
  <si>
    <t>29.19</t>
  </si>
  <si>
    <t>63,342</t>
  </si>
  <si>
    <t>29.33</t>
  </si>
  <si>
    <t>63,646</t>
  </si>
  <si>
    <t>30.82</t>
  </si>
  <si>
    <t>66,879</t>
  </si>
  <si>
    <t>31.04</t>
  </si>
  <si>
    <t>67,357</t>
  </si>
  <si>
    <t>31.05</t>
  </si>
  <si>
    <t>67,379</t>
  </si>
  <si>
    <t>31.11</t>
  </si>
  <si>
    <t>67,509</t>
  </si>
  <si>
    <t>33.01</t>
  </si>
  <si>
    <t>71,632</t>
  </si>
  <si>
    <t>33.24</t>
  </si>
  <si>
    <t>72,131</t>
  </si>
  <si>
    <t>33.54</t>
  </si>
  <si>
    <t>72,782</t>
  </si>
  <si>
    <t>34.09</t>
  </si>
  <si>
    <t>73,975</t>
  </si>
  <si>
    <t>34.08</t>
  </si>
  <si>
    <t>73,954</t>
  </si>
  <si>
    <t>34.99</t>
  </si>
  <si>
    <t>75,928</t>
  </si>
  <si>
    <t>36.07</t>
  </si>
  <si>
    <t>78,272</t>
  </si>
  <si>
    <t>37.04</t>
  </si>
  <si>
    <t>80,377</t>
  </si>
  <si>
    <t>37.50</t>
  </si>
  <si>
    <t>81,375</t>
  </si>
  <si>
    <t>40.32</t>
  </si>
  <si>
    <t>87,494</t>
  </si>
  <si>
    <t>42.32</t>
  </si>
  <si>
    <t>91,834</t>
  </si>
  <si>
    <t>42.45</t>
  </si>
  <si>
    <t>92,117</t>
  </si>
  <si>
    <t>43.78</t>
  </si>
  <si>
    <t>95,003</t>
  </si>
  <si>
    <t>44.32</t>
  </si>
  <si>
    <t>96,174</t>
  </si>
  <si>
    <t>45.73</t>
  </si>
  <si>
    <t>99,234</t>
  </si>
  <si>
    <t>50.23</t>
  </si>
  <si>
    <t>108,999</t>
  </si>
  <si>
    <t>51.92</t>
  </si>
  <si>
    <t>112,666</t>
  </si>
  <si>
    <t>57.36</t>
  </si>
  <si>
    <t>124,471</t>
  </si>
  <si>
    <t>412.71</t>
  </si>
  <si>
    <t>410.52</t>
  </si>
  <si>
    <t>408.57</t>
  </si>
  <si>
    <t>410.69</t>
  </si>
  <si>
    <t>67.28/67.91</t>
  </si>
  <si>
    <t>408.24</t>
  </si>
  <si>
    <t>409.46</t>
  </si>
  <si>
    <t>409.65</t>
  </si>
  <si>
    <t>410.15</t>
  </si>
  <si>
    <t>409.73</t>
  </si>
  <si>
    <t>409.69</t>
  </si>
  <si>
    <t>409.64</t>
  </si>
  <si>
    <t>409.02</t>
  </si>
  <si>
    <t>409.66</t>
  </si>
  <si>
    <t>409.24</t>
  </si>
  <si>
    <t>409.28</t>
  </si>
  <si>
    <t>403.56</t>
  </si>
  <si>
    <t>409.04</t>
  </si>
  <si>
    <t>66.94/67.91</t>
  </si>
  <si>
    <t>406.65</t>
  </si>
  <si>
    <t>406.45</t>
  </si>
  <si>
    <t>406.36</t>
  </si>
  <si>
    <t>406.32</t>
  </si>
  <si>
    <t>401.99</t>
  </si>
  <si>
    <t>405.98</t>
  </si>
  <si>
    <t>66.7/67.91</t>
  </si>
  <si>
    <t>401.39</t>
  </si>
  <si>
    <t>405.45</t>
  </si>
  <si>
    <t>66.61/67.91</t>
  </si>
  <si>
    <t>404.75</t>
  </si>
  <si>
    <t>403.73</t>
  </si>
  <si>
    <t>404.79</t>
  </si>
  <si>
    <t>66.53/67.91</t>
  </si>
  <si>
    <t>401.62</t>
  </si>
  <si>
    <t>66.45/67.91</t>
  </si>
  <si>
    <t>66.37/67.91</t>
  </si>
  <si>
    <t>402.03</t>
  </si>
  <si>
    <t>400.28</t>
  </si>
  <si>
    <t>402.20</t>
  </si>
  <si>
    <t>401.84</t>
  </si>
  <si>
    <t>401.70</t>
  </si>
  <si>
    <t>401.51</t>
  </si>
  <si>
    <t>401.20</t>
  </si>
  <si>
    <t>401.36</t>
  </si>
  <si>
    <t>401.24</t>
  </si>
  <si>
    <t>400.74</t>
  </si>
  <si>
    <t>400.55</t>
  </si>
  <si>
    <t>66.06/67.91</t>
  </si>
  <si>
    <t>400.80</t>
  </si>
  <si>
    <t>400.35</t>
  </si>
  <si>
    <t>399.46</t>
  </si>
  <si>
    <t>396.23</t>
  </si>
  <si>
    <t>65.93/67.91</t>
  </si>
  <si>
    <t>399.33</t>
  </si>
  <si>
    <t>399.09</t>
  </si>
  <si>
    <t>396.30</t>
  </si>
  <si>
    <t>396.19</t>
  </si>
  <si>
    <t>398.31</t>
  </si>
  <si>
    <t>65.71/67.91</t>
  </si>
  <si>
    <t>398.98</t>
  </si>
  <si>
    <t>398.88</t>
  </si>
  <si>
    <t>395.88</t>
  </si>
  <si>
    <t>398.57</t>
  </si>
  <si>
    <t>65.64/67.91</t>
  </si>
  <si>
    <t>398.32</t>
  </si>
  <si>
    <t>395.27</t>
  </si>
  <si>
    <t>398.23</t>
  </si>
  <si>
    <t>398.16</t>
  </si>
  <si>
    <t>394.06</t>
  </si>
  <si>
    <t>397.60</t>
  </si>
  <si>
    <t>65.56/67.91</t>
  </si>
  <si>
    <t>394.97</t>
  </si>
  <si>
    <t>396.96</t>
  </si>
  <si>
    <t>394.67</t>
  </si>
  <si>
    <t>394.46</t>
  </si>
  <si>
    <t>396.68</t>
  </si>
  <si>
    <t>393.27</t>
  </si>
  <si>
    <t>395.96</t>
  </si>
  <si>
    <t>65.4/67.91</t>
  </si>
  <si>
    <t>393.15</t>
  </si>
  <si>
    <t>396.35</t>
  </si>
  <si>
    <t>65.34/67.91</t>
  </si>
  <si>
    <t>394.16</t>
  </si>
  <si>
    <t>393.85</t>
  </si>
  <si>
    <t>396.05</t>
  </si>
  <si>
    <t>396.36</t>
  </si>
  <si>
    <t>395.80</t>
  </si>
  <si>
    <t>395.30</t>
  </si>
  <si>
    <t>394.91</t>
  </si>
  <si>
    <t>65.18/67.91</t>
  </si>
  <si>
    <t>395.13</t>
  </si>
  <si>
    <t>395.02</t>
  </si>
  <si>
    <t>394.99</t>
  </si>
  <si>
    <t>394.95</t>
  </si>
  <si>
    <t>394.47</t>
  </si>
  <si>
    <t>391.30</t>
  </si>
  <si>
    <t>394.62</t>
  </si>
  <si>
    <t>65.14/67.91</t>
  </si>
  <si>
    <t>394.86</t>
  </si>
  <si>
    <t>394.77</t>
  </si>
  <si>
    <t>394.57</t>
  </si>
  <si>
    <t>394.48</t>
  </si>
  <si>
    <t>394.44</t>
  </si>
  <si>
    <t>391.85</t>
  </si>
  <si>
    <t>394.51</t>
  </si>
  <si>
    <t>394.42</t>
  </si>
  <si>
    <t>394.27</t>
  </si>
  <si>
    <t>394.19</t>
  </si>
  <si>
    <t>393.98</t>
  </si>
  <si>
    <t>394.04</t>
  </si>
  <si>
    <t>389.93</t>
  </si>
  <si>
    <t>65.04/67.91</t>
  </si>
  <si>
    <t>64.99/67.91</t>
  </si>
  <si>
    <t>393.73</t>
  </si>
  <si>
    <t>393.57</t>
  </si>
  <si>
    <t>64.9/67.91</t>
  </si>
  <si>
    <t>393.50</t>
  </si>
  <si>
    <t>393.39</t>
  </si>
  <si>
    <t>389.90</t>
  </si>
  <si>
    <t>392.45</t>
  </si>
  <si>
    <t>393.30</t>
  </si>
  <si>
    <t>393.16</t>
  </si>
  <si>
    <t>392.94</t>
  </si>
  <si>
    <t>392.73</t>
  </si>
  <si>
    <t>389.22</t>
  </si>
  <si>
    <t>392.83</t>
  </si>
  <si>
    <t>392.61</t>
  </si>
  <si>
    <t>392.26</t>
  </si>
  <si>
    <t>392.20</t>
  </si>
  <si>
    <t>388.75</t>
  </si>
  <si>
    <t>392.04</t>
  </si>
  <si>
    <t>391.97</t>
  </si>
  <si>
    <t>64.69/67.91</t>
  </si>
  <si>
    <t>388.56</t>
  </si>
  <si>
    <t>391.47</t>
  </si>
  <si>
    <t>391.43</t>
  </si>
  <si>
    <t>391.69</t>
  </si>
  <si>
    <t>391.67</t>
  </si>
  <si>
    <t>391.37</t>
  </si>
  <si>
    <t>388.21</t>
  </si>
  <si>
    <t>388.16</t>
  </si>
  <si>
    <t>388.04</t>
  </si>
  <si>
    <t>388.03</t>
  </si>
  <si>
    <t>387.93</t>
  </si>
  <si>
    <t>387.91</t>
  </si>
  <si>
    <t>387.90</t>
  </si>
  <si>
    <t>387.79</t>
  </si>
  <si>
    <t>391.22</t>
  </si>
  <si>
    <t>387.65</t>
  </si>
  <si>
    <t>387.60</t>
  </si>
  <si>
    <t>387.58</t>
  </si>
  <si>
    <t>391.63</t>
  </si>
  <si>
    <t>387.51</t>
  </si>
  <si>
    <t>391.61</t>
  </si>
  <si>
    <t>391.52</t>
  </si>
  <si>
    <t>386.90</t>
  </si>
  <si>
    <t>391.26</t>
  </si>
  <si>
    <t>386.82</t>
  </si>
  <si>
    <t>386.78</t>
  </si>
  <si>
    <t>391.06</t>
  </si>
  <si>
    <t>390.66</t>
  </si>
  <si>
    <t>386.54</t>
  </si>
  <si>
    <t>386.34</t>
  </si>
  <si>
    <t>389.61</t>
  </si>
  <si>
    <t>386.30</t>
  </si>
  <si>
    <t>386.26</t>
  </si>
  <si>
    <t>389.59</t>
  </si>
  <si>
    <t>390.10</t>
  </si>
  <si>
    <t>389.56</t>
  </si>
  <si>
    <t>386.15</t>
  </si>
  <si>
    <t>389.57</t>
  </si>
  <si>
    <t>389.34</t>
  </si>
  <si>
    <t>385.99</t>
  </si>
  <si>
    <t>385.94</t>
  </si>
  <si>
    <t>389.47</t>
  </si>
  <si>
    <t>385.84</t>
  </si>
  <si>
    <t>385.81</t>
  </si>
  <si>
    <t>385.71</t>
  </si>
  <si>
    <t>389.10</t>
  </si>
  <si>
    <t>385.49</t>
  </si>
  <si>
    <t>388.37</t>
  </si>
  <si>
    <t>384.79</t>
  </si>
  <si>
    <t>384.73</t>
  </si>
  <si>
    <t>388.19</t>
  </si>
  <si>
    <t>384.56</t>
  </si>
  <si>
    <t>384.21</t>
  </si>
  <si>
    <t>384.20</t>
  </si>
  <si>
    <t>384.08</t>
  </si>
  <si>
    <t>383.86</t>
  </si>
  <si>
    <t>387.11</t>
  </si>
  <si>
    <t>383.19</t>
  </si>
  <si>
    <t>383.20</t>
  </si>
  <si>
    <t>383.17</t>
  </si>
  <si>
    <t>386.84</t>
  </si>
  <si>
    <t>383.01</t>
  </si>
  <si>
    <t>386.62</t>
  </si>
  <si>
    <t>386.64</t>
  </si>
  <si>
    <t>386.58</t>
  </si>
  <si>
    <t>382.57</t>
  </si>
  <si>
    <t>382.53</t>
  </si>
  <si>
    <t>386.40</t>
  </si>
  <si>
    <t>386.42</t>
  </si>
  <si>
    <t>386.03</t>
  </si>
  <si>
    <t>381.81</t>
  </si>
  <si>
    <t>385.86</t>
  </si>
  <si>
    <t>381.59</t>
  </si>
  <si>
    <t>381.58</t>
  </si>
  <si>
    <t>385.73</t>
  </si>
  <si>
    <t>381.45</t>
  </si>
  <si>
    <t>385.54</t>
  </si>
  <si>
    <t>381.20</t>
  </si>
  <si>
    <t>385.16</t>
  </si>
  <si>
    <t>385.19</t>
  </si>
  <si>
    <t>384.82</t>
  </si>
  <si>
    <t>380.36</t>
  </si>
  <si>
    <t>384.57</t>
  </si>
  <si>
    <t>380.32</t>
  </si>
  <si>
    <t>380.34</t>
  </si>
  <si>
    <t>384.61</t>
  </si>
  <si>
    <t>380.31</t>
  </si>
  <si>
    <t>384.44</t>
  </si>
  <si>
    <t>379.86</t>
  </si>
  <si>
    <t>63.86/68.82</t>
  </si>
  <si>
    <t>383.84</t>
  </si>
  <si>
    <t>379.63</t>
  </si>
  <si>
    <t>379.61</t>
  </si>
  <si>
    <t>383.77</t>
  </si>
  <si>
    <t>383.30</t>
  </si>
  <si>
    <t>383.54</t>
  </si>
  <si>
    <t>378.54</t>
  </si>
  <si>
    <t>383.14</t>
  </si>
  <si>
    <t>378.21</t>
  </si>
  <si>
    <t>383.03</t>
  </si>
  <si>
    <t>378.08</t>
  </si>
  <si>
    <t>383.39</t>
  </si>
  <si>
    <t>378.01</t>
  </si>
  <si>
    <t>382.89</t>
  </si>
  <si>
    <t>382.81</t>
  </si>
  <si>
    <t>382.79</t>
  </si>
  <si>
    <t>382.75</t>
  </si>
  <si>
    <t>382.76</t>
  </si>
  <si>
    <t>377.71</t>
  </si>
  <si>
    <t>382.71</t>
  </si>
  <si>
    <t>380.80</t>
  </si>
  <si>
    <t>382.51</t>
  </si>
  <si>
    <t>377.58</t>
  </si>
  <si>
    <t>382.35</t>
  </si>
  <si>
    <t>381.94</t>
  </si>
  <si>
    <t>381.87</t>
  </si>
  <si>
    <t>377.33</t>
  </si>
  <si>
    <t>381.32</t>
  </si>
  <si>
    <t>377.16</t>
  </si>
  <si>
    <t>382.46</t>
  </si>
  <si>
    <t>382.42</t>
  </si>
  <si>
    <t>380.79</t>
  </si>
  <si>
    <t>376.99</t>
  </si>
  <si>
    <t>380.74</t>
  </si>
  <si>
    <t>380.71</t>
  </si>
  <si>
    <t>380.56</t>
  </si>
  <si>
    <t>380.40</t>
  </si>
  <si>
    <t>376.17</t>
  </si>
  <si>
    <t>63.09/67.91</t>
  </si>
  <si>
    <t>63.06/67.91</t>
  </si>
  <si>
    <t>380.22</t>
  </si>
  <si>
    <t>380.17</t>
  </si>
  <si>
    <t>379.59</t>
  </si>
  <si>
    <t>379.88</t>
  </si>
  <si>
    <t>379.16</t>
  </si>
  <si>
    <t>379.55</t>
  </si>
  <si>
    <t>375.45</t>
  </si>
  <si>
    <t>62.89/67.91</t>
  </si>
  <si>
    <t>378.70</t>
  </si>
  <si>
    <t>375.06</t>
  </si>
  <si>
    <t>378.92</t>
  </si>
  <si>
    <t>378.90</t>
  </si>
  <si>
    <t>374.98</t>
  </si>
  <si>
    <t>374.99</t>
  </si>
  <si>
    <t>378.68</t>
  </si>
  <si>
    <t>374.65</t>
  </si>
  <si>
    <t>374.55</t>
  </si>
  <si>
    <t>374.40</t>
  </si>
  <si>
    <t>378.47</t>
  </si>
  <si>
    <t>378.44</t>
  </si>
  <si>
    <t>374.02</t>
  </si>
  <si>
    <t>373.65</t>
  </si>
  <si>
    <t>373.63</t>
  </si>
  <si>
    <t>373.40</t>
  </si>
  <si>
    <t>373.23</t>
  </si>
  <si>
    <t>373.11</t>
  </si>
  <si>
    <t>377.40</t>
  </si>
  <si>
    <t>372.94</t>
  </si>
  <si>
    <t>372.87</t>
  </si>
  <si>
    <t>62.57/67.91</t>
  </si>
  <si>
    <t>372.70</t>
  </si>
  <si>
    <t>377.17</t>
  </si>
  <si>
    <t>377.20</t>
  </si>
  <si>
    <t>372.61</t>
  </si>
  <si>
    <t>372.58</t>
  </si>
  <si>
    <t>62.81/68.82</t>
  </si>
  <si>
    <t>372.54</t>
  </si>
  <si>
    <t>372.49</t>
  </si>
  <si>
    <t>372.46</t>
  </si>
  <si>
    <t>376.90</t>
  </si>
  <si>
    <t>372.40</t>
  </si>
  <si>
    <t>62.48/67.91</t>
  </si>
  <si>
    <t>376.64</t>
  </si>
  <si>
    <t>376.43</t>
  </si>
  <si>
    <t>62.42/67.91</t>
  </si>
  <si>
    <t>376.31</t>
  </si>
  <si>
    <t>376.19</t>
  </si>
  <si>
    <t>376.13</t>
  </si>
  <si>
    <t>375.54</t>
  </si>
  <si>
    <t>376.04</t>
  </si>
  <si>
    <t>376.42</t>
  </si>
  <si>
    <t>371.56</t>
  </si>
  <si>
    <t>62.63/68.82</t>
  </si>
  <si>
    <t>371.04</t>
  </si>
  <si>
    <t>375.36</t>
  </si>
  <si>
    <t>370.99</t>
  </si>
  <si>
    <t>375.23</t>
  </si>
  <si>
    <t>375.04</t>
  </si>
  <si>
    <t>370.53</t>
  </si>
  <si>
    <t>374.84</t>
  </si>
  <si>
    <t>370.26</t>
  </si>
  <si>
    <t>62.16/67.91</t>
  </si>
  <si>
    <t>374.31</t>
  </si>
  <si>
    <t>369.33</t>
  </si>
  <si>
    <t>62.1/67.91</t>
  </si>
  <si>
    <t>369.74</t>
  </si>
  <si>
    <t>369.45</t>
  </si>
  <si>
    <t>62.3/68.82</t>
  </si>
  <si>
    <t>368.89</t>
  </si>
  <si>
    <t>62.05/67.91</t>
  </si>
  <si>
    <t>62.02/67.91</t>
  </si>
  <si>
    <t>368.98</t>
  </si>
  <si>
    <t>62.24/68.82</t>
  </si>
  <si>
    <t>373.09</t>
  </si>
  <si>
    <t>61.99/67.91</t>
  </si>
  <si>
    <t>61.96/67.91</t>
  </si>
  <si>
    <t>368.50</t>
  </si>
  <si>
    <t>368.36</t>
  </si>
  <si>
    <t>373.01</t>
  </si>
  <si>
    <t>368.34</t>
  </si>
  <si>
    <t>372.99</t>
  </si>
  <si>
    <t>368.27</t>
  </si>
  <si>
    <t>368.26</t>
  </si>
  <si>
    <t>373.47</t>
  </si>
  <si>
    <t>61.88/67.91</t>
  </si>
  <si>
    <t>368.24</t>
  </si>
  <si>
    <t>62.12/68.82</t>
  </si>
  <si>
    <t>61.82/67.91</t>
  </si>
  <si>
    <t>367.29</t>
  </si>
  <si>
    <t>372.93</t>
  </si>
  <si>
    <t>61.8/67.91</t>
  </si>
  <si>
    <t>367.72</t>
  </si>
  <si>
    <t>367.64</t>
  </si>
  <si>
    <t>62.01/68.82</t>
  </si>
  <si>
    <t>371.98</t>
  </si>
  <si>
    <t>372.60</t>
  </si>
  <si>
    <t>371.91</t>
  </si>
  <si>
    <t>367.27</t>
  </si>
  <si>
    <t>371.82</t>
  </si>
  <si>
    <t>367.19</t>
  </si>
  <si>
    <t>61.71/67.91</t>
  </si>
  <si>
    <t>367.01</t>
  </si>
  <si>
    <t>372.25</t>
  </si>
  <si>
    <t>370.93</t>
  </si>
  <si>
    <t>366.83</t>
  </si>
  <si>
    <t>366.14</t>
  </si>
  <si>
    <t>61.63/67.91</t>
  </si>
  <si>
    <t>61.6/67.91</t>
  </si>
  <si>
    <t>371.77</t>
  </si>
  <si>
    <t>371.12</t>
  </si>
  <si>
    <t>370.41</t>
  </si>
  <si>
    <t>370.94</t>
  </si>
  <si>
    <t>370.69</t>
  </si>
  <si>
    <t>371.24</t>
  </si>
  <si>
    <t>365.95</t>
  </si>
  <si>
    <t>370.29</t>
  </si>
  <si>
    <t>365.32</t>
  </si>
  <si>
    <t>370.79</t>
  </si>
  <si>
    <t>61.48/67.91</t>
  </si>
  <si>
    <t>365.73</t>
  </si>
  <si>
    <t>370.13</t>
  </si>
  <si>
    <t>365.19</t>
  </si>
  <si>
    <t>370.67</t>
  </si>
  <si>
    <t>370.09</t>
  </si>
  <si>
    <t>365.56</t>
  </si>
  <si>
    <t>365.39</t>
  </si>
  <si>
    <t>369.86</t>
  </si>
  <si>
    <t>369.83</t>
  </si>
  <si>
    <t>369.78</t>
  </si>
  <si>
    <t>365.20</t>
  </si>
  <si>
    <t>365.09</t>
  </si>
  <si>
    <t>61.39/67.91</t>
  </si>
  <si>
    <t>369.38</t>
  </si>
  <si>
    <t>364.82</t>
  </si>
  <si>
    <t>364.30</t>
  </si>
  <si>
    <t>61.36/67.91</t>
  </si>
  <si>
    <t>364.80</t>
  </si>
  <si>
    <t>369.30</t>
  </si>
  <si>
    <t>364.62</t>
  </si>
  <si>
    <t>369.02</t>
  </si>
  <si>
    <t>364.53</t>
  </si>
  <si>
    <t>368.99</t>
  </si>
  <si>
    <t>369.43</t>
  </si>
  <si>
    <t>61.3/67.91</t>
  </si>
  <si>
    <t>368.91</t>
  </si>
  <si>
    <t>364.37</t>
  </si>
  <si>
    <t>364.17</t>
  </si>
  <si>
    <t>368.62</t>
  </si>
  <si>
    <t>368.92</t>
  </si>
  <si>
    <t>61.21/67.91</t>
  </si>
  <si>
    <t>363.85</t>
  </si>
  <si>
    <t>363.80</t>
  </si>
  <si>
    <t>363.76</t>
  </si>
  <si>
    <t>363.67</t>
  </si>
  <si>
    <t>368.09</t>
  </si>
  <si>
    <t>368.06</t>
  </si>
  <si>
    <t>363.29</t>
  </si>
  <si>
    <t>367.76</t>
  </si>
  <si>
    <t>363.10</t>
  </si>
  <si>
    <t>367.67</t>
  </si>
  <si>
    <t>363.04</t>
  </si>
  <si>
    <t>367.54</t>
  </si>
  <si>
    <t>61.28/68.82</t>
  </si>
  <si>
    <t>366.84</t>
  </si>
  <si>
    <t>366.85</t>
  </si>
  <si>
    <t>362.76</t>
  </si>
  <si>
    <t>362.02</t>
  </si>
  <si>
    <t>61/67.91</t>
  </si>
  <si>
    <t>362.16</t>
  </si>
  <si>
    <t>366.51</t>
  </si>
  <si>
    <t>362.15</t>
  </si>
  <si>
    <t>60.91/67.91</t>
  </si>
  <si>
    <t>366.40</t>
  </si>
  <si>
    <t>60.89/67.91</t>
  </si>
  <si>
    <t>368.13</t>
  </si>
  <si>
    <t>361.73</t>
  </si>
  <si>
    <t>361.56</t>
  </si>
  <si>
    <t>367.46</t>
  </si>
  <si>
    <t>367.65</t>
  </si>
  <si>
    <t>60.8/67.91</t>
  </si>
  <si>
    <t>367.63</t>
  </si>
  <si>
    <t>366.98</t>
  </si>
  <si>
    <t>366.90</t>
  </si>
  <si>
    <t>366.87</t>
  </si>
  <si>
    <t>360.70</t>
  </si>
  <si>
    <t>366.29</t>
  </si>
  <si>
    <t>366.62</t>
  </si>
  <si>
    <t>366.58</t>
  </si>
  <si>
    <t>366.07</t>
  </si>
  <si>
    <t>366.16</t>
  </si>
  <si>
    <t>365.90</t>
  </si>
  <si>
    <t>365.64</t>
  </si>
  <si>
    <t>359.66</t>
  </si>
  <si>
    <t>365.55</t>
  </si>
  <si>
    <t>365.29</t>
  </si>
  <si>
    <t>365.50</t>
  </si>
  <si>
    <t>60.64/68.82</t>
  </si>
  <si>
    <t>365.23</t>
  </si>
  <si>
    <t>359.35</t>
  </si>
  <si>
    <t>359.33</t>
  </si>
  <si>
    <t>365.13</t>
  </si>
  <si>
    <t>365.08</t>
  </si>
  <si>
    <t>364.84</t>
  </si>
  <si>
    <t>364.72</t>
  </si>
  <si>
    <t>364.73</t>
  </si>
  <si>
    <t>364.71</t>
  </si>
  <si>
    <t>364.70</t>
  </si>
  <si>
    <t>358.76</t>
  </si>
  <si>
    <t>364.67</t>
  </si>
  <si>
    <t>358.65</t>
  </si>
  <si>
    <t>364.61</t>
  </si>
  <si>
    <t>364.31</t>
  </si>
  <si>
    <t>364.41</t>
  </si>
  <si>
    <t>358.08</t>
  </si>
  <si>
    <t>364.16</t>
  </si>
  <si>
    <t>364.26</t>
  </si>
  <si>
    <t>364.24</t>
  </si>
  <si>
    <t>363.87</t>
  </si>
  <si>
    <t>364.10</t>
  </si>
  <si>
    <t>364.09</t>
  </si>
  <si>
    <t>364.08</t>
  </si>
  <si>
    <t>364.07</t>
  </si>
  <si>
    <t>364.06</t>
  </si>
  <si>
    <t>357.68</t>
  </si>
  <si>
    <t>363.96</t>
  </si>
  <si>
    <t>363.78</t>
  </si>
  <si>
    <t>363.52</t>
  </si>
  <si>
    <t>363.48</t>
  </si>
  <si>
    <t>363.44</t>
  </si>
  <si>
    <t>357.38</t>
  </si>
  <si>
    <t>357.36</t>
  </si>
  <si>
    <t>363.33</t>
  </si>
  <si>
    <t>357.24</t>
  </si>
  <si>
    <t>363.30</t>
  </si>
  <si>
    <t>363.25</t>
  </si>
  <si>
    <t>363.32</t>
  </si>
  <si>
    <t>363.05</t>
  </si>
  <si>
    <t>362.83</t>
  </si>
  <si>
    <t>362.77</t>
  </si>
  <si>
    <t>362.63</t>
  </si>
  <si>
    <t>356.69</t>
  </si>
  <si>
    <t>362.64</t>
  </si>
  <si>
    <t>362.59</t>
  </si>
  <si>
    <t>356.57</t>
  </si>
  <si>
    <t>362.33</t>
  </si>
  <si>
    <t>356.33</t>
  </si>
  <si>
    <t>362.22</t>
  </si>
  <si>
    <t>361.66</t>
  </si>
  <si>
    <t>361.45</t>
  </si>
  <si>
    <t>361.65</t>
  </si>
  <si>
    <t>355.94</t>
  </si>
  <si>
    <t>355.84</t>
  </si>
  <si>
    <t>361.32</t>
  </si>
  <si>
    <t>355.74</t>
  </si>
  <si>
    <t>59.92/68.82</t>
  </si>
  <si>
    <t>361.25</t>
  </si>
  <si>
    <t>59.88/68.82</t>
  </si>
  <si>
    <t>355.57</t>
  </si>
  <si>
    <t>360.91</t>
  </si>
  <si>
    <t>360.81</t>
  </si>
  <si>
    <t>355.35</t>
  </si>
  <si>
    <t>360.77</t>
  </si>
  <si>
    <t>360.74</t>
  </si>
  <si>
    <t>360.62</t>
  </si>
  <si>
    <t>59.64/67.91</t>
  </si>
  <si>
    <t>355.15</t>
  </si>
  <si>
    <t>360.58</t>
  </si>
  <si>
    <t>360.39</t>
  </si>
  <si>
    <t>360.37</t>
  </si>
  <si>
    <t>59.75/68.82</t>
  </si>
  <si>
    <t>59.72/68.82</t>
  </si>
  <si>
    <t>59.54/67.91</t>
  </si>
  <si>
    <t>354.48</t>
  </si>
  <si>
    <t>359.88</t>
  </si>
  <si>
    <t>359.75</t>
  </si>
  <si>
    <t>354.40</t>
  </si>
  <si>
    <t>59.47/67.91</t>
  </si>
  <si>
    <t>354.31</t>
  </si>
  <si>
    <t>359.63</t>
  </si>
  <si>
    <t>354.19</t>
  </si>
  <si>
    <t>354.10</t>
  </si>
  <si>
    <t>59.59/68.82</t>
  </si>
  <si>
    <t>359.39</t>
  </si>
  <si>
    <t>353.74</t>
  </si>
  <si>
    <t>353.70</t>
  </si>
  <si>
    <t>359.24</t>
  </si>
  <si>
    <t>353.62</t>
  </si>
  <si>
    <t>359.12</t>
  </si>
  <si>
    <t>353.55</t>
  </si>
  <si>
    <t>359.06</t>
  </si>
  <si>
    <t>353.42</t>
  </si>
  <si>
    <t>358.86</t>
  </si>
  <si>
    <t>353.26</t>
  </si>
  <si>
    <t>358.82</t>
  </si>
  <si>
    <t>358.75</t>
  </si>
  <si>
    <t>358.71</t>
  </si>
  <si>
    <t>358.64</t>
  </si>
  <si>
    <t>353.04</t>
  </si>
  <si>
    <t>358.53</t>
  </si>
  <si>
    <t>352.94</t>
  </si>
  <si>
    <t>59.22/67.91</t>
  </si>
  <si>
    <t>59.19/67.91</t>
  </si>
  <si>
    <t>352.77</t>
  </si>
  <si>
    <t>358.25</t>
  </si>
  <si>
    <t>352.59</t>
  </si>
  <si>
    <t>358.12</t>
  </si>
  <si>
    <t>352.54</t>
  </si>
  <si>
    <t>358.11</t>
  </si>
  <si>
    <t>358.04</t>
  </si>
  <si>
    <t>352.29</t>
  </si>
  <si>
    <t>357.87</t>
  </si>
  <si>
    <t>59.27/68.82</t>
  </si>
  <si>
    <t>357.67</t>
  </si>
  <si>
    <t>59.21/68.82</t>
  </si>
  <si>
    <t>351.75</t>
  </si>
  <si>
    <t>59.18/68.82</t>
  </si>
  <si>
    <t>59/67.91</t>
  </si>
  <si>
    <t>351.60</t>
  </si>
  <si>
    <t>357.15</t>
  </si>
  <si>
    <t>58.91/67.91</t>
  </si>
  <si>
    <t>351.19</t>
  </si>
  <si>
    <t>356.76</t>
  </si>
  <si>
    <t>59.03/68.82</t>
  </si>
  <si>
    <t>356.48</t>
  </si>
  <si>
    <t>58.86/67.91</t>
  </si>
  <si>
    <t>350.82</t>
  </si>
  <si>
    <t>356.39</t>
  </si>
  <si>
    <t>59/68.82</t>
  </si>
  <si>
    <t>350.74</t>
  </si>
  <si>
    <t>350.63</t>
  </si>
  <si>
    <t>356.23</t>
  </si>
  <si>
    <t>58.81/67.91</t>
  </si>
  <si>
    <t>355.99</t>
  </si>
  <si>
    <t>355.79</t>
  </si>
  <si>
    <t>58.75/67.91</t>
  </si>
  <si>
    <t>355.73</t>
  </si>
  <si>
    <t>58.89/68.82</t>
  </si>
  <si>
    <t>350.12</t>
  </si>
  <si>
    <t>350.06</t>
  </si>
  <si>
    <t>58.86/68.82</t>
  </si>
  <si>
    <t>355.48</t>
  </si>
  <si>
    <t>355.43</t>
  </si>
  <si>
    <t>355.39</t>
  </si>
  <si>
    <t>58.67/67.91</t>
  </si>
  <si>
    <t>355.24</t>
  </si>
  <si>
    <t>349.64</t>
  </si>
  <si>
    <t>58.8/68.82</t>
  </si>
  <si>
    <t>58.77/68.82</t>
  </si>
  <si>
    <t>349.45</t>
  </si>
  <si>
    <t>58.62/67.91</t>
  </si>
  <si>
    <t>349.35</t>
  </si>
  <si>
    <t>349.22</t>
  </si>
  <si>
    <t>58.72/68.82</t>
  </si>
  <si>
    <t>348.99</t>
  </si>
  <si>
    <t>58.69/68.82</t>
  </si>
  <si>
    <t>58.54/67.91</t>
  </si>
  <si>
    <t>354.41</t>
  </si>
  <si>
    <t>58.52/67.91</t>
  </si>
  <si>
    <t>354.25</t>
  </si>
  <si>
    <t>58.63/68.82</t>
  </si>
  <si>
    <t>354.16</t>
  </si>
  <si>
    <t>348.65</t>
  </si>
  <si>
    <t>354.11</t>
  </si>
  <si>
    <t>354.03</t>
  </si>
  <si>
    <t>348.57</t>
  </si>
  <si>
    <t>58.44/67.91</t>
  </si>
  <si>
    <t>353.87</t>
  </si>
  <si>
    <t>58.42/67.91</t>
  </si>
  <si>
    <t>348.11</t>
  </si>
  <si>
    <t>353.48</t>
  </si>
  <si>
    <t>58.52/68.82</t>
  </si>
  <si>
    <t>58.37/67.91</t>
  </si>
  <si>
    <t>353.24</t>
  </si>
  <si>
    <t>58.46/68.82</t>
  </si>
  <si>
    <t>347.81</t>
  </si>
  <si>
    <t>353.23</t>
  </si>
  <si>
    <t>347.70</t>
  </si>
  <si>
    <t>58.43/68.82</t>
  </si>
  <si>
    <t>58.4/68.82</t>
  </si>
  <si>
    <t>347.40</t>
  </si>
  <si>
    <t>352.80</t>
  </si>
  <si>
    <t>347.39</t>
  </si>
  <si>
    <t>352.57</t>
  </si>
  <si>
    <t>347.16</t>
  </si>
  <si>
    <t>352.55</t>
  </si>
  <si>
    <t>58.26/67.91</t>
  </si>
  <si>
    <t>352.49</t>
  </si>
  <si>
    <t>58.28/68.82</t>
  </si>
  <si>
    <t>352.12</t>
  </si>
  <si>
    <t>351.97</t>
  </si>
  <si>
    <t>58.25/68.82</t>
  </si>
  <si>
    <t>58.21/68.82</t>
  </si>
  <si>
    <t>351.69</t>
  </si>
  <si>
    <t>58.14/67.91</t>
  </si>
  <si>
    <t>346.35</t>
  </si>
  <si>
    <t>346.28</t>
  </si>
  <si>
    <t>351.43</t>
  </si>
  <si>
    <t>351.42</t>
  </si>
  <si>
    <t>58.12/68.82</t>
  </si>
  <si>
    <t>345.82</t>
  </si>
  <si>
    <t>351.04</t>
  </si>
  <si>
    <t>345.68</t>
  </si>
  <si>
    <t>345.46</t>
  </si>
  <si>
    <t>350.75</t>
  </si>
  <si>
    <t>345.39</t>
  </si>
  <si>
    <t>350.77</t>
  </si>
  <si>
    <t>57.99/68.82</t>
  </si>
  <si>
    <t>345.22</t>
  </si>
  <si>
    <t>57.96/68.82</t>
  </si>
  <si>
    <t>350.50</t>
  </si>
  <si>
    <t>57.93/68.82</t>
  </si>
  <si>
    <t>345.11</t>
  </si>
  <si>
    <t>350.48</t>
  </si>
  <si>
    <t>345.07</t>
  </si>
  <si>
    <t>350.37</t>
  </si>
  <si>
    <t>350.33</t>
  </si>
  <si>
    <t>344.85</t>
  </si>
  <si>
    <t>57.9/68.82</t>
  </si>
  <si>
    <t>350.19</t>
  </si>
  <si>
    <t>57.93/67.91</t>
  </si>
  <si>
    <t>350.18</t>
  </si>
  <si>
    <t>57.87/68.82</t>
  </si>
  <si>
    <t>57.91/67.91</t>
  </si>
  <si>
    <t>350.08</t>
  </si>
  <si>
    <t>344.69</t>
  </si>
  <si>
    <t>350.05</t>
  </si>
  <si>
    <t>350.01</t>
  </si>
  <si>
    <t>344.64</t>
  </si>
  <si>
    <t>344.56</t>
  </si>
  <si>
    <t>57.84/68.82</t>
  </si>
  <si>
    <t>344.51</t>
  </si>
  <si>
    <t>349.86</t>
  </si>
  <si>
    <t>349.82</t>
  </si>
  <si>
    <t>57.89/67.91</t>
  </si>
  <si>
    <t>57.86/67.91</t>
  </si>
  <si>
    <t>57.84/67.91</t>
  </si>
  <si>
    <t>349.28</t>
  </si>
  <si>
    <t>57.82/67.91</t>
  </si>
  <si>
    <t>57.79/67.91</t>
  </si>
  <si>
    <t>343.97</t>
  </si>
  <si>
    <t>343.87</t>
  </si>
  <si>
    <t>57.68/68.82</t>
  </si>
  <si>
    <t>348.97</t>
  </si>
  <si>
    <t>57.77/67.91</t>
  </si>
  <si>
    <t>343.71</t>
  </si>
  <si>
    <t>57.75/67.91</t>
  </si>
  <si>
    <t>57.72/67.91</t>
  </si>
  <si>
    <t>343.31</t>
  </si>
  <si>
    <t>348.48</t>
  </si>
  <si>
    <t>57.7/67.91</t>
  </si>
  <si>
    <t>343.21</t>
  </si>
  <si>
    <t>348.55</t>
  </si>
  <si>
    <t>57.56/68.82</t>
  </si>
  <si>
    <t>343.14</t>
  </si>
  <si>
    <t>348.19</t>
  </si>
  <si>
    <t>342.84</t>
  </si>
  <si>
    <t>57.61/67.91</t>
  </si>
  <si>
    <t>347.68</t>
  </si>
  <si>
    <t>57.45/68.82</t>
  </si>
  <si>
    <t>342.51</t>
  </si>
  <si>
    <t>57.56/67.91</t>
  </si>
  <si>
    <t>347.59</t>
  </si>
  <si>
    <t>347.57</t>
  </si>
  <si>
    <t>57.54/67.91</t>
  </si>
  <si>
    <t>347.25</t>
  </si>
  <si>
    <t>342.14</t>
  </si>
  <si>
    <t>57.36/68.82</t>
  </si>
  <si>
    <t>347.19</t>
  </si>
  <si>
    <t>57.51/67.91</t>
  </si>
  <si>
    <t>57.49/67.91</t>
  </si>
  <si>
    <t>347.09</t>
  </si>
  <si>
    <t>341.82</t>
  </si>
  <si>
    <t>57.29/68.82</t>
  </si>
  <si>
    <t>346.88</t>
  </si>
  <si>
    <t>346.73</t>
  </si>
  <si>
    <t>346.61</t>
  </si>
  <si>
    <t>57.44/67.91</t>
  </si>
  <si>
    <t>341.50</t>
  </si>
  <si>
    <t>57.23/68.82</t>
  </si>
  <si>
    <t>346.47</t>
  </si>
  <si>
    <t>57.42/67.91</t>
  </si>
  <si>
    <t>341.35</t>
  </si>
  <si>
    <t>57.39/67.91</t>
  </si>
  <si>
    <t>346.32</t>
  </si>
  <si>
    <t>57.37/67.91</t>
  </si>
  <si>
    <t>346.17</t>
  </si>
  <si>
    <t>57.17/68.82</t>
  </si>
  <si>
    <t>345.90</t>
  </si>
  <si>
    <t>57.32/67.91</t>
  </si>
  <si>
    <t>345.63</t>
  </si>
  <si>
    <t>57.27/67.91</t>
  </si>
  <si>
    <t>340.34</t>
  </si>
  <si>
    <t>345.41</t>
  </si>
  <si>
    <t>340.27</t>
  </si>
  <si>
    <t>345.36</t>
  </si>
  <si>
    <t>345.13</t>
  </si>
  <si>
    <t>345.23</t>
  </si>
  <si>
    <t>56.98/68.82</t>
  </si>
  <si>
    <t>345.02</t>
  </si>
  <si>
    <t>339.82</t>
  </si>
  <si>
    <t>344.89</t>
  </si>
  <si>
    <t>57.18/67.91</t>
  </si>
  <si>
    <t>344.63</t>
  </si>
  <si>
    <t>339.69</t>
  </si>
  <si>
    <t>56.89/68.82</t>
  </si>
  <si>
    <t>57.15/67.91</t>
  </si>
  <si>
    <t>344.37</t>
  </si>
  <si>
    <t>57.13/67.91</t>
  </si>
  <si>
    <t>56.85/68.82</t>
  </si>
  <si>
    <t>344.50</t>
  </si>
  <si>
    <t>344.28</t>
  </si>
  <si>
    <t>339.38</t>
  </si>
  <si>
    <t>344.27</t>
  </si>
  <si>
    <t>344.23</t>
  </si>
  <si>
    <t>57.1/67.91</t>
  </si>
  <si>
    <t>339.19</t>
  </si>
  <si>
    <t>344.25</t>
  </si>
  <si>
    <t>56.82/68.82</t>
  </si>
  <si>
    <t>57.07/67.91</t>
  </si>
  <si>
    <t>56.79/68.82</t>
  </si>
  <si>
    <t>57.05/67.91</t>
  </si>
  <si>
    <t>343.93</t>
  </si>
  <si>
    <t>56.73/68.82</t>
  </si>
  <si>
    <t>343.86</t>
  </si>
  <si>
    <t>338.63</t>
  </si>
  <si>
    <t>343.75</t>
  </si>
  <si>
    <t>57/67.91</t>
  </si>
  <si>
    <t>343.68</t>
  </si>
  <si>
    <t>344.36</t>
  </si>
  <si>
    <t>56.97/67.91</t>
  </si>
  <si>
    <t>338.29</t>
  </si>
  <si>
    <t>343.42</t>
  </si>
  <si>
    <t>56.92/67.91</t>
  </si>
  <si>
    <t>342.98</t>
  </si>
  <si>
    <t>56.89/67.91</t>
  </si>
  <si>
    <t>338.02</t>
  </si>
  <si>
    <t>338.00</t>
  </si>
  <si>
    <t>337.98</t>
  </si>
  <si>
    <t>343.10</t>
  </si>
  <si>
    <t>343.06</t>
  </si>
  <si>
    <t>56.57/68.82</t>
  </si>
  <si>
    <t>337.89</t>
  </si>
  <si>
    <t>343.04</t>
  </si>
  <si>
    <t>342.97</t>
  </si>
  <si>
    <t>342.73</t>
  </si>
  <si>
    <t>56.87/67.91</t>
  </si>
  <si>
    <t>56.84/67.91</t>
  </si>
  <si>
    <t>342.58</t>
  </si>
  <si>
    <t>56.81/67.91</t>
  </si>
  <si>
    <t>56.44/68.82</t>
  </si>
  <si>
    <t>342.36</t>
  </si>
  <si>
    <t>342.38</t>
  </si>
  <si>
    <t>56.79/67.91</t>
  </si>
  <si>
    <t>342.44</t>
  </si>
  <si>
    <t>56.76/67.91</t>
  </si>
  <si>
    <t>342.26</t>
  </si>
  <si>
    <t>337.11</t>
  </si>
  <si>
    <t>341.93</t>
  </si>
  <si>
    <t>342.06</t>
  </si>
  <si>
    <t>56.71/67.91</t>
  </si>
  <si>
    <t>336.86</t>
  </si>
  <si>
    <t>56.34/68.82</t>
  </si>
  <si>
    <t>341.71</t>
  </si>
  <si>
    <t>341.90</t>
  </si>
  <si>
    <t>336.74</t>
  </si>
  <si>
    <t>341.60</t>
  </si>
  <si>
    <t>56.68/67.91</t>
  </si>
  <si>
    <t>336.66</t>
  </si>
  <si>
    <t>341.74</t>
  </si>
  <si>
    <t>56.65/67.91</t>
  </si>
  <si>
    <t>336.54</t>
  </si>
  <si>
    <t>341.39</t>
  </si>
  <si>
    <t>341.29</t>
  </si>
  <si>
    <t>341.27</t>
  </si>
  <si>
    <t>56.58/67.91</t>
  </si>
  <si>
    <t>341.36</t>
  </si>
  <si>
    <t>56.21/68.82</t>
  </si>
  <si>
    <t>336.29</t>
  </si>
  <si>
    <t>336.17</t>
  </si>
  <si>
    <t>341.24</t>
  </si>
  <si>
    <t>341.00</t>
  </si>
  <si>
    <t>340.81</t>
  </si>
  <si>
    <t>56.15/68.82</t>
  </si>
  <si>
    <t>340.73</t>
  </si>
  <si>
    <t>56.49/67.91</t>
  </si>
  <si>
    <t>340.54</t>
  </si>
  <si>
    <t>56.46/67.91</t>
  </si>
  <si>
    <t>335.58</t>
  </si>
  <si>
    <t>340.36</t>
  </si>
  <si>
    <t>335.33</t>
  </si>
  <si>
    <t>56.02/68.82</t>
  </si>
  <si>
    <t>335.32</t>
  </si>
  <si>
    <t>340.48</t>
  </si>
  <si>
    <t>340.21</t>
  </si>
  <si>
    <t>56.33/67.91</t>
  </si>
  <si>
    <t>339.86</t>
  </si>
  <si>
    <t>339.74</t>
  </si>
  <si>
    <t>56.3/67.91</t>
  </si>
  <si>
    <t>339.60</t>
  </si>
  <si>
    <t>339.42</t>
  </si>
  <si>
    <t>339.15</t>
  </si>
  <si>
    <t>56.17/67.91</t>
  </si>
  <si>
    <t>339.12</t>
  </si>
  <si>
    <t>339.04</t>
  </si>
  <si>
    <t>334.18</t>
  </si>
  <si>
    <t>55.8/68.82</t>
  </si>
  <si>
    <t>334.03</t>
  </si>
  <si>
    <t>338.87</t>
  </si>
  <si>
    <t>338.73</t>
  </si>
  <si>
    <t>338.40</t>
  </si>
  <si>
    <t>338.15</t>
  </si>
  <si>
    <t>338.07</t>
  </si>
  <si>
    <t>55.57/68.82</t>
  </si>
  <si>
    <t>55.89/67.91</t>
  </si>
  <si>
    <t>337.42</t>
  </si>
  <si>
    <t>337.27</t>
  </si>
  <si>
    <t>332.65</t>
  </si>
  <si>
    <t>55.47/68.82</t>
  </si>
  <si>
    <t>337.22</t>
  </si>
  <si>
    <t>337.50</t>
  </si>
  <si>
    <t>55.85/67.91</t>
  </si>
  <si>
    <t>337.32</t>
  </si>
  <si>
    <t>55.72/67.91</t>
  </si>
  <si>
    <t>336.35</t>
  </si>
  <si>
    <t>55.69/67.91</t>
  </si>
  <si>
    <t>331.73</t>
  </si>
  <si>
    <t>335.93</t>
  </si>
  <si>
    <t>55.57/67.91</t>
  </si>
  <si>
    <t>55.2/68.82</t>
  </si>
  <si>
    <t>335.67</t>
  </si>
  <si>
    <t>335.50</t>
  </si>
  <si>
    <t>55.53/67.91</t>
  </si>
  <si>
    <t>335.36</t>
  </si>
  <si>
    <t>55.49/67.91</t>
  </si>
  <si>
    <t>330.48</t>
  </si>
  <si>
    <t>335.24</t>
  </si>
  <si>
    <t>334.81</t>
  </si>
  <si>
    <t>330.28</t>
  </si>
  <si>
    <t>335.05</t>
  </si>
  <si>
    <t>334.48</t>
  </si>
  <si>
    <t>55.29/67.91</t>
  </si>
  <si>
    <t>334.46</t>
  </si>
  <si>
    <t>329.91</t>
  </si>
  <si>
    <t>329.76</t>
  </si>
  <si>
    <t>334.57</t>
  </si>
  <si>
    <t>55.17/67.91</t>
  </si>
  <si>
    <t>329.41</t>
  </si>
  <si>
    <t>54.81/68.82</t>
  </si>
  <si>
    <t>334.19</t>
  </si>
  <si>
    <t>333.73</t>
  </si>
  <si>
    <t>329.20</t>
  </si>
  <si>
    <t>333.56</t>
  </si>
  <si>
    <t>55.09/67.91</t>
  </si>
  <si>
    <t>333.46</t>
  </si>
  <si>
    <t>328.98</t>
  </si>
  <si>
    <t>333.76</t>
  </si>
  <si>
    <t>333.27</t>
  </si>
  <si>
    <t>55.05/67.91</t>
  </si>
  <si>
    <t>328.87</t>
  </si>
  <si>
    <t>333.65</t>
  </si>
  <si>
    <t>54.7/68.82</t>
  </si>
  <si>
    <t>333.20</t>
  </si>
  <si>
    <t>333.04</t>
  </si>
  <si>
    <t>333.44</t>
  </si>
  <si>
    <t>54.66/68.82</t>
  </si>
  <si>
    <t>332.93</t>
  </si>
  <si>
    <t>328.56</t>
  </si>
  <si>
    <t>332.53</t>
  </si>
  <si>
    <t>332.48</t>
  </si>
  <si>
    <t>54.85/67.91</t>
  </si>
  <si>
    <t>332.38</t>
  </si>
  <si>
    <t>328.00</t>
  </si>
  <si>
    <t>332.78</t>
  </si>
  <si>
    <t>332.17</t>
  </si>
  <si>
    <t>332.13</t>
  </si>
  <si>
    <t>332.10</t>
  </si>
  <si>
    <t>54.81/67.91</t>
  </si>
  <si>
    <t>332.04</t>
  </si>
  <si>
    <t>54.41/68.82</t>
  </si>
  <si>
    <t>327.29</t>
  </si>
  <si>
    <t>332.11</t>
  </si>
  <si>
    <t>327.20</t>
  </si>
  <si>
    <t>54.38/68.82</t>
  </si>
  <si>
    <t>327.07</t>
  </si>
  <si>
    <t>331.93</t>
  </si>
  <si>
    <t>54.35/68.82</t>
  </si>
  <si>
    <t>331.20</t>
  </si>
  <si>
    <t>332.54</t>
  </si>
  <si>
    <t>331.63</t>
  </si>
  <si>
    <t>54.32/68.82</t>
  </si>
  <si>
    <t>330.88</t>
  </si>
  <si>
    <t>54.59/67.91</t>
  </si>
  <si>
    <t>330.79</t>
  </si>
  <si>
    <t>326.38</t>
  </si>
  <si>
    <t>331.18</t>
  </si>
  <si>
    <t>326.12</t>
  </si>
  <si>
    <t>326.04</t>
  </si>
  <si>
    <t>330.78</t>
  </si>
  <si>
    <t>330.72</t>
  </si>
  <si>
    <t>54.14/68.82</t>
  </si>
  <si>
    <t>54.43/67.91</t>
  </si>
  <si>
    <t>330.49</t>
  </si>
  <si>
    <t>325.71</t>
  </si>
  <si>
    <t>330.40</t>
  </si>
  <si>
    <t>54.08/68.82</t>
  </si>
  <si>
    <t>329.77</t>
  </si>
  <si>
    <t>329.71</t>
  </si>
  <si>
    <t>54.4/67.91</t>
  </si>
  <si>
    <t>329.60</t>
  </si>
  <si>
    <t>329.51</t>
  </si>
  <si>
    <t>329.38</t>
  </si>
  <si>
    <t>325.37</t>
  </si>
  <si>
    <t>330.02</t>
  </si>
  <si>
    <t>330.75</t>
  </si>
  <si>
    <t>325.17</t>
  </si>
  <si>
    <t>53.97/68.82</t>
  </si>
  <si>
    <t>325.09</t>
  </si>
  <si>
    <t>328.62</t>
  </si>
  <si>
    <t>328.59</t>
  </si>
  <si>
    <t>324.69</t>
  </si>
  <si>
    <t>329.29</t>
  </si>
  <si>
    <t>328.53</t>
  </si>
  <si>
    <t>328.48</t>
  </si>
  <si>
    <t>324.58</t>
  </si>
  <si>
    <t>329.14</t>
  </si>
  <si>
    <t>324.34</t>
  </si>
  <si>
    <t>328.90</t>
  </si>
  <si>
    <t>324.28</t>
  </si>
  <si>
    <t>328.82</t>
  </si>
  <si>
    <t>323.76</t>
  </si>
  <si>
    <t>328.13</t>
  </si>
  <si>
    <t>53.67/68.82</t>
  </si>
  <si>
    <t>323.63</t>
  </si>
  <si>
    <t>327.96</t>
  </si>
  <si>
    <t>326.85</t>
  </si>
  <si>
    <t>53.95/67.91</t>
  </si>
  <si>
    <t>323.29</t>
  </si>
  <si>
    <t>327.48</t>
  </si>
  <si>
    <t>326.51</t>
  </si>
  <si>
    <t>53.88/67.91</t>
  </si>
  <si>
    <t>322.88</t>
  </si>
  <si>
    <t>326.91</t>
  </si>
  <si>
    <t>53.79/67.91</t>
  </si>
  <si>
    <t>53.75/67.91</t>
  </si>
  <si>
    <t>325.06</t>
  </si>
  <si>
    <t>53.69/67.91</t>
  </si>
  <si>
    <t>325.02</t>
  </si>
  <si>
    <t>326.66</t>
  </si>
  <si>
    <t>321.79</t>
  </si>
  <si>
    <t>325.64</t>
  </si>
  <si>
    <t>326.30</t>
  </si>
  <si>
    <t>324.52</t>
  </si>
  <si>
    <t>321.41</t>
  </si>
  <si>
    <t>325.26</t>
  </si>
  <si>
    <t>324.05</t>
  </si>
  <si>
    <t>53.49/67.91</t>
  </si>
  <si>
    <t>324.81</t>
  </si>
  <si>
    <t>320.76</t>
  </si>
  <si>
    <t>324.56</t>
  </si>
  <si>
    <t>323.58</t>
  </si>
  <si>
    <t>53.42/67.91</t>
  </si>
  <si>
    <t>324.33</t>
  </si>
  <si>
    <t>53.01/68.82</t>
  </si>
  <si>
    <t>324.15</t>
  </si>
  <si>
    <t>52.97/68.82</t>
  </si>
  <si>
    <t>322.92</t>
  </si>
  <si>
    <t>53.29/67.91</t>
  </si>
  <si>
    <t>322.69</t>
  </si>
  <si>
    <t>322.62</t>
  </si>
  <si>
    <t>53.25/67.91</t>
  </si>
  <si>
    <t>323.32</t>
  </si>
  <si>
    <t>52.79/68.82</t>
  </si>
  <si>
    <t>319.30</t>
  </si>
  <si>
    <t>323.13</t>
  </si>
  <si>
    <t>322.04</t>
  </si>
  <si>
    <t>53.15/67.91</t>
  </si>
  <si>
    <t>321.91</t>
  </si>
  <si>
    <t>53.12/67.91</t>
  </si>
  <si>
    <t>319.12</t>
  </si>
  <si>
    <t>322.96</t>
  </si>
  <si>
    <t>321.90</t>
  </si>
  <si>
    <t>321.86</t>
  </si>
  <si>
    <t>319.04</t>
  </si>
  <si>
    <t>52.72/68.82</t>
  </si>
  <si>
    <t>322.82</t>
  </si>
  <si>
    <t>322.79</t>
  </si>
  <si>
    <t>320.95</t>
  </si>
  <si>
    <t>52.98/67.91</t>
  </si>
  <si>
    <t>320.89</t>
  </si>
  <si>
    <t>320.88</t>
  </si>
  <si>
    <t>52.95/67.91</t>
  </si>
  <si>
    <t>320.83</t>
  </si>
  <si>
    <t>320.53</t>
  </si>
  <si>
    <t>52.91/67.91</t>
  </si>
  <si>
    <t>320.40</t>
  </si>
  <si>
    <t>320.24</t>
  </si>
  <si>
    <t>320.04</t>
  </si>
  <si>
    <t>321.15</t>
  </si>
  <si>
    <t>52.37/68.82</t>
  </si>
  <si>
    <t>319.71</t>
  </si>
  <si>
    <t>52.75/67.91</t>
  </si>
  <si>
    <t>316.92</t>
  </si>
  <si>
    <t>316.91</t>
  </si>
  <si>
    <t>320.84</t>
  </si>
  <si>
    <t>319.26</t>
  </si>
  <si>
    <t>319.11</t>
  </si>
  <si>
    <t>52.63/67.91</t>
  </si>
  <si>
    <t>318.97</t>
  </si>
  <si>
    <t>52.58/67.91</t>
  </si>
  <si>
    <t>318.96</t>
  </si>
  <si>
    <t>315.80</t>
  </si>
  <si>
    <t>319.54</t>
  </si>
  <si>
    <t>319.51</t>
  </si>
  <si>
    <t>52.08/68.82</t>
  </si>
  <si>
    <t>317.77</t>
  </si>
  <si>
    <t>52.33/67.91</t>
  </si>
  <si>
    <t>317.51</t>
  </si>
  <si>
    <t>318.64</t>
  </si>
  <si>
    <t>51.92/68.82</t>
  </si>
  <si>
    <t>52.24/67.91</t>
  </si>
  <si>
    <t>52.12/67.91</t>
  </si>
  <si>
    <t>52.04/67.91</t>
  </si>
  <si>
    <t>315.46</t>
  </si>
  <si>
    <t>315.23</t>
  </si>
  <si>
    <t>315.17</t>
  </si>
  <si>
    <t>314.45</t>
  </si>
  <si>
    <t>314.32</t>
  </si>
  <si>
    <t>314.09</t>
  </si>
  <si>
    <t>311.80</t>
  </si>
  <si>
    <t>51.25/68.82</t>
  </si>
  <si>
    <t>313.41</t>
  </si>
  <si>
    <t>313.91</t>
  </si>
  <si>
    <t>51.04/68.82</t>
  </si>
  <si>
    <t>312.30</t>
  </si>
  <si>
    <t>51.37/67.91</t>
  </si>
  <si>
    <t>312.02</t>
  </si>
  <si>
    <t>51.33/67.91</t>
  </si>
  <si>
    <t>50.8/67.91</t>
  </si>
  <si>
    <t>다364</t>
  </si>
  <si>
    <t xml:space="preserve">   판정기준점수는 의대 감원으로 인한 입결상승이 반영된 점수입니다. (의대 감원에 따른 학과별 입결상승은 '작년 입결 분석창' 참조)</t>
    <phoneticPr fontId="3" type="noConversion"/>
  </si>
  <si>
    <r>
      <t xml:space="preserve">           환산점수 배치표 (가 군)        </t>
    </r>
    <r>
      <rPr>
        <sz val="11"/>
        <color theme="1"/>
        <rFont val="맑은 고딕"/>
        <family val="3"/>
        <charset val="129"/>
        <scheme val="minor"/>
      </rPr>
      <t>2026학년도 수능 실채점기준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</si>
</sst>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_-;\-* #,##0_-;_-* &quot;-&quot;_-;_-@_-"/>
    <numFmt numFmtId="177" formatCode="0_ "/>
    <numFmt numFmtId="178" formatCode="0.00_ "/>
    <numFmt numFmtId="179" formatCode="0.0"/>
    <numFmt numFmtId="180" formatCode="0.0000"/>
    <numFmt numFmtId="181" formatCode="#,##0_ "/>
    <numFmt numFmtId="182" formatCode="0_);[Red]\(0\)"/>
  </numFmts>
  <fonts count="9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9"/>
      <color theme="8" tint="-0.249977111117893"/>
      <name val="맑은 고딕"/>
      <family val="2"/>
      <charset val="129"/>
      <scheme val="minor"/>
    </font>
    <font>
      <sz val="10"/>
      <color theme="8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0"/>
      <color theme="5" tint="-0.249977111117893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5" tint="-0.249977111117893"/>
      <name val="맑은 고딕"/>
      <family val="3"/>
      <charset val="129"/>
      <scheme val="minor"/>
    </font>
    <font>
      <sz val="10"/>
      <color theme="4" tint="-0.249977111117893"/>
      <name val="맑은 고딕"/>
      <family val="2"/>
      <charset val="129"/>
      <scheme val="minor"/>
    </font>
    <font>
      <sz val="9"/>
      <color theme="4" tint="-0.249977111117893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4" tint="-0.249977111117893"/>
      <name val="맑은 고딕"/>
      <family val="3"/>
      <charset val="129"/>
      <scheme val="minor"/>
    </font>
    <font>
      <sz val="8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theme="5" tint="-0.249977111117893"/>
      <name val="맑은 고딕"/>
      <family val="2"/>
      <charset val="129"/>
      <scheme val="minor"/>
    </font>
    <font>
      <sz val="8"/>
      <color theme="8" tint="-0.249977111117893"/>
      <name val="맑은 고딕"/>
      <family val="2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4" tint="-0.249977111117893"/>
      <name val="맑은 고딕"/>
      <family val="3"/>
      <charset val="129"/>
      <scheme val="minor"/>
    </font>
    <font>
      <sz val="10"/>
      <color rgb="FFC00000"/>
      <name val="맑은 고딕"/>
      <family val="2"/>
      <charset val="129"/>
      <scheme val="minor"/>
    </font>
    <font>
      <sz val="9"/>
      <color theme="4" tint="-0.499984740745262"/>
      <name val="맑은 고딕"/>
      <family val="2"/>
      <charset val="129"/>
      <scheme val="minor"/>
    </font>
    <font>
      <sz val="10"/>
      <color rgb="FF7030A0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9"/>
      <color rgb="FF7030A0"/>
      <name val="맑은 고딕"/>
      <family val="2"/>
      <charset val="129"/>
    </font>
    <font>
      <sz val="10"/>
      <color rgb="FF006100"/>
      <name val="맑은 고딕"/>
      <family val="2"/>
      <charset val="129"/>
      <scheme val="minor"/>
    </font>
    <font>
      <sz val="10"/>
      <color theme="4" tint="-0.249977111117893"/>
      <name val="맑은 고딕"/>
      <family val="2"/>
      <charset val="129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9"/>
      <color rgb="FFC00000"/>
      <name val="맑은 고딕"/>
      <family val="2"/>
      <charset val="129"/>
    </font>
    <font>
      <sz val="10"/>
      <color rgb="FFC00000"/>
      <name val="맑은 고딕"/>
      <family val="3"/>
      <charset val="129"/>
    </font>
    <font>
      <sz val="10"/>
      <color theme="2" tint="-0.499984740745262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b/>
      <sz val="10"/>
      <color theme="4" tint="-0.249977111117893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rgb="FFC55A11"/>
      <name val="Malgun Gothic"/>
      <family val="3"/>
      <charset val="129"/>
    </font>
    <font>
      <sz val="10"/>
      <color theme="0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11"/>
      <color rgb="FFC00000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C55A11"/>
      <name val="Malgun Gothic"/>
      <family val="3"/>
      <charset val="129"/>
    </font>
    <font>
      <sz val="11"/>
      <color theme="5" tint="-0.249977111117893"/>
      <name val="Malgun Gothic"/>
      <family val="3"/>
      <charset val="129"/>
    </font>
    <font>
      <sz val="11"/>
      <color theme="0"/>
      <name val="맑은 고딕"/>
      <family val="3"/>
      <charset val="129"/>
    </font>
    <font>
      <b/>
      <sz val="11"/>
      <color rgb="FFC00000"/>
      <name val="Malgun Gothic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4" tint="-0.249977111117893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000000"/>
      <name val="Times New Roman"/>
      <family val="1"/>
    </font>
    <font>
      <sz val="10"/>
      <color theme="4" tint="-0.24997711111789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9"/>
      <color theme="1" tint="0.499984740745262"/>
      <name val="맑은 고딕"/>
      <family val="2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name val="Malgun Gothic"/>
      <family val="3"/>
      <charset val="129"/>
    </font>
    <font>
      <b/>
      <sz val="9"/>
      <name val="맑은 고딕"/>
      <family val="3"/>
      <charset val="129"/>
    </font>
    <font>
      <sz val="10"/>
      <color theme="4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FB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1" tint="0.34998626667073579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46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medium">
        <color theme="1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medium">
        <color theme="1"/>
      </top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 style="thin">
        <color theme="1"/>
      </top>
      <bottom style="thin">
        <color theme="2" tint="-9.9948118533890809E-2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2" tint="-9.9948118533890809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 tint="-9.9948118533890809E-2"/>
      </right>
      <top style="thin">
        <color theme="1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1" tint="0.34998626667073579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medium">
        <color rgb="FFFFFFFF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2" tint="-9.9948118533890809E-2"/>
      </left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/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/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/>
      <bottom style="thin">
        <color theme="2" tint="-9.9948118533890809E-2"/>
      </bottom>
      <diagonal/>
    </border>
    <border>
      <left/>
      <right style="thin">
        <color theme="0"/>
      </right>
      <top/>
      <bottom style="thin">
        <color theme="2" tint="-9.9948118533890809E-2"/>
      </bottom>
      <diagonal/>
    </border>
    <border>
      <left style="thin">
        <color theme="0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0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0"/>
      </right>
      <top/>
      <bottom style="thin">
        <color theme="2" tint="-9.9948118533890809E-2"/>
      </bottom>
      <diagonal/>
    </border>
    <border>
      <left style="thin">
        <color theme="0"/>
      </left>
      <right style="thin">
        <color theme="1"/>
      </right>
      <top/>
      <bottom style="thin">
        <color theme="2" tint="-9.9948118533890809E-2"/>
      </bottom>
      <diagonal/>
    </border>
    <border>
      <left style="thin">
        <color theme="0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1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1"/>
      </left>
      <right style="medium">
        <color rgb="FFFFFFFF"/>
      </right>
      <top/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0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/>
      <top style="medium">
        <color rgb="FF000000"/>
      </top>
      <bottom style="thin">
        <color theme="2" tint="-9.9978637043366805E-2"/>
      </bottom>
      <diagonal/>
    </border>
    <border>
      <left/>
      <right style="thin">
        <color indexed="64"/>
      </right>
      <top style="medium">
        <color rgb="FF000000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0"/>
      </top>
      <bottom/>
      <diagonal/>
    </border>
    <border>
      <left style="thin">
        <color theme="0"/>
      </left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/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2" tint="-9.9978637043366805E-2"/>
      </right>
      <top style="thin">
        <color theme="0"/>
      </top>
      <bottom/>
      <diagonal/>
    </border>
    <border>
      <left style="thin">
        <color rgb="FF000000"/>
      </left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/>
      <bottom style="medium">
        <color theme="1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0"/>
      </left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/>
      <bottom/>
      <diagonal/>
    </border>
    <border>
      <left style="medium">
        <color rgb="FF000000"/>
      </left>
      <right style="medium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2" tint="-0.249977111117893"/>
      </left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2" tint="-0.249977111117893"/>
      </left>
      <right style="thin">
        <color theme="2" tint="-9.9948118533890809E-2"/>
      </right>
      <top style="thin">
        <color theme="6" tint="0.59996337778862885"/>
      </top>
      <bottom style="thin">
        <color theme="6" tint="0.59996337778862885"/>
      </bottom>
      <diagonal/>
    </border>
    <border>
      <left/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theme="1"/>
      </right>
      <top style="medium">
        <color rgb="FF000000"/>
      </top>
      <bottom style="thin">
        <color theme="0"/>
      </bottom>
      <diagonal/>
    </border>
    <border>
      <left/>
      <right style="thin">
        <color theme="2" tint="-0.14999847407452621"/>
      </right>
      <top/>
      <bottom/>
      <diagonal/>
    </border>
    <border>
      <left/>
      <right style="thin">
        <color theme="2" tint="-0.14999847407452621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1"/>
      </right>
      <top style="thin">
        <color theme="0"/>
      </top>
      <bottom/>
      <diagonal/>
    </border>
  </borders>
  <cellStyleXfs count="49">
    <xf numFmtId="0" fontId="0" fillId="0" borderId="0">
      <alignment vertical="center"/>
    </xf>
    <xf numFmtId="0" fontId="2" fillId="2" borderId="1" applyFon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7" fillId="0" borderId="0"/>
    <xf numFmtId="0" fontId="58" fillId="0" borderId="0"/>
    <xf numFmtId="0" fontId="59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" borderId="1" applyFont="0" applyAlignment="0" applyProtection="0">
      <alignment vertical="center"/>
    </xf>
    <xf numFmtId="0" fontId="2" fillId="2" borderId="215" applyNumberFormat="0" applyFont="0" applyAlignment="0" applyProtection="0">
      <alignment vertical="center"/>
    </xf>
    <xf numFmtId="0" fontId="88" fillId="0" borderId="0"/>
    <xf numFmtId="0" fontId="19" fillId="0" borderId="0">
      <alignment vertical="center"/>
    </xf>
    <xf numFmtId="0" fontId="2" fillId="2" borderId="1" applyFont="0" applyAlignment="0" applyProtection="0">
      <alignment vertical="center"/>
    </xf>
    <xf numFmtId="0" fontId="19" fillId="2" borderId="1" applyFont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2" borderId="1" applyFont="0" applyAlignment="0" applyProtection="0">
      <alignment vertical="center"/>
    </xf>
    <xf numFmtId="0" fontId="2" fillId="7" borderId="21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2" borderId="215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13" borderId="1" applyNumberFormat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27" borderId="1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7" borderId="217" applyNumberFormat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7" borderId="1" applyNumberFormat="0" applyAlignment="0" applyProtection="0">
      <alignment vertical="center"/>
    </xf>
    <xf numFmtId="0" fontId="2" fillId="13" borderId="1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" borderId="215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" borderId="215" applyNumberFormat="0" applyFont="0" applyAlignment="0" applyProtection="0">
      <alignment vertical="center"/>
    </xf>
  </cellStyleXfs>
  <cellXfs count="703">
    <xf numFmtId="0" fontId="0" fillId="0" borderId="0" xfId="0">
      <alignment vertical="center"/>
    </xf>
    <xf numFmtId="0" fontId="13" fillId="0" borderId="0" xfId="0" applyFont="1">
      <alignment vertical="center"/>
    </xf>
    <xf numFmtId="0" fontId="0" fillId="0" borderId="4" xfId="0" applyBorder="1">
      <alignment vertical="center"/>
    </xf>
    <xf numFmtId="0" fontId="0" fillId="0" borderId="0" xfId="0" applyProtection="1">
      <alignment vertical="center"/>
      <protection hidden="1"/>
    </xf>
    <xf numFmtId="0" fontId="0" fillId="0" borderId="22" xfId="0" applyBorder="1">
      <alignment vertical="center"/>
    </xf>
    <xf numFmtId="0" fontId="0" fillId="0" borderId="28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1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6" fillId="0" borderId="0" xfId="0" applyFo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5" fillId="0" borderId="0" xfId="0" applyFont="1" applyProtection="1">
      <alignment vertical="center"/>
      <protection hidden="1"/>
    </xf>
    <xf numFmtId="0" fontId="0" fillId="2" borderId="1" xfId="1" applyFont="1" applyProtection="1">
      <alignment vertical="center"/>
      <protection hidden="1"/>
    </xf>
    <xf numFmtId="177" fontId="0" fillId="0" borderId="0" xfId="0" applyNumberFormat="1" applyProtection="1">
      <alignment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Protection="1">
      <alignment vertical="center"/>
      <protection hidden="1"/>
    </xf>
    <xf numFmtId="178" fontId="0" fillId="0" borderId="0" xfId="0" applyNumberFormat="1" applyProtection="1">
      <alignment vertical="center"/>
      <protection hidden="1"/>
    </xf>
    <xf numFmtId="177" fontId="7" fillId="0" borderId="10" xfId="0" applyNumberFormat="1" applyFont="1" applyBorder="1" applyProtection="1">
      <alignment vertical="center"/>
      <protection hidden="1"/>
    </xf>
    <xf numFmtId="0" fontId="0" fillId="0" borderId="12" xfId="0" applyBorder="1" applyAlignment="1" applyProtection="1">
      <alignment horizontal="right" vertical="center"/>
      <protection hidden="1"/>
    </xf>
    <xf numFmtId="0" fontId="22" fillId="0" borderId="0" xfId="0" applyFont="1" applyProtection="1">
      <alignment vertical="center"/>
      <protection hidden="1"/>
    </xf>
    <xf numFmtId="0" fontId="17" fillId="0" borderId="0" xfId="0" applyFont="1" applyProtection="1">
      <alignment vertical="center"/>
      <protection hidden="1"/>
    </xf>
    <xf numFmtId="0" fontId="0" fillId="3" borderId="1" xfId="1" applyFont="1" applyFill="1" applyProtection="1">
      <alignment vertical="center"/>
      <protection hidden="1"/>
    </xf>
    <xf numFmtId="2" fontId="0" fillId="0" borderId="0" xfId="0" applyNumberFormat="1" applyProtection="1">
      <alignment vertical="center"/>
      <protection hidden="1"/>
    </xf>
    <xf numFmtId="0" fontId="27" fillId="0" borderId="0" xfId="0" applyFont="1" applyProtection="1">
      <alignment vertical="center"/>
      <protection hidden="1"/>
    </xf>
    <xf numFmtId="0" fontId="15" fillId="5" borderId="0" xfId="3" applyProtection="1">
      <alignment vertical="center"/>
      <protection hidden="1"/>
    </xf>
    <xf numFmtId="0" fontId="0" fillId="0" borderId="41" xfId="0" applyBorder="1" applyAlignment="1" applyProtection="1">
      <alignment horizontal="center" vertical="center"/>
      <protection hidden="1"/>
    </xf>
    <xf numFmtId="0" fontId="0" fillId="0" borderId="41" xfId="0" applyBorder="1" applyProtection="1">
      <alignment vertical="center"/>
      <protection hidden="1"/>
    </xf>
    <xf numFmtId="0" fontId="0" fillId="0" borderId="42" xfId="0" applyBorder="1" applyProtection="1">
      <alignment vertical="center"/>
      <protection hidden="1"/>
    </xf>
    <xf numFmtId="0" fontId="0" fillId="2" borderId="1" xfId="1" applyFont="1" applyAlignment="1" applyProtection="1">
      <alignment horizontal="right" vertical="center"/>
      <protection locked="0" hidden="1"/>
    </xf>
    <xf numFmtId="0" fontId="0" fillId="0" borderId="28" xfId="0" applyBorder="1" applyProtection="1">
      <alignment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5" fillId="0" borderId="22" xfId="0" applyFont="1" applyBorder="1" applyAlignment="1" applyProtection="1">
      <alignment horizontal="center" vertical="center"/>
      <protection hidden="1"/>
    </xf>
    <xf numFmtId="0" fontId="5" fillId="0" borderId="44" xfId="0" applyFont="1" applyBorder="1" applyAlignment="1" applyProtection="1">
      <alignment horizontal="center" vertical="center"/>
      <protection hidden="1"/>
    </xf>
    <xf numFmtId="0" fontId="0" fillId="2" borderId="56" xfId="1" applyFont="1" applyBorder="1" applyAlignment="1" applyProtection="1">
      <alignment horizontal="right" vertical="center"/>
      <protection locked="0" hidden="1"/>
    </xf>
    <xf numFmtId="0" fontId="0" fillId="0" borderId="32" xfId="0" applyBorder="1" applyProtection="1">
      <alignment vertical="center"/>
      <protection hidden="1"/>
    </xf>
    <xf numFmtId="0" fontId="0" fillId="2" borderId="57" xfId="1" applyFont="1" applyBorder="1" applyAlignment="1" applyProtection="1">
      <alignment horizontal="right" vertical="center"/>
      <protection locked="0" hidden="1"/>
    </xf>
    <xf numFmtId="0" fontId="0" fillId="2" borderId="53" xfId="1" applyFont="1" applyBorder="1" applyAlignment="1" applyProtection="1">
      <alignment horizontal="right" vertical="center"/>
      <protection locked="0" hidden="1"/>
    </xf>
    <xf numFmtId="0" fontId="0" fillId="0" borderId="42" xfId="0" applyBorder="1" applyAlignment="1" applyProtection="1">
      <alignment horizontal="center" vertical="center"/>
      <protection hidden="1"/>
    </xf>
    <xf numFmtId="0" fontId="0" fillId="0" borderId="44" xfId="0" applyBorder="1" applyAlignment="1" applyProtection="1">
      <alignment horizontal="center" vertical="center"/>
      <protection hidden="1"/>
    </xf>
    <xf numFmtId="0" fontId="0" fillId="0" borderId="33" xfId="0" applyBorder="1" applyProtection="1">
      <alignment vertical="center"/>
      <protection hidden="1"/>
    </xf>
    <xf numFmtId="0" fontId="0" fillId="0" borderId="58" xfId="0" applyBorder="1" applyProtection="1">
      <alignment vertical="center"/>
      <protection hidden="1"/>
    </xf>
    <xf numFmtId="0" fontId="0" fillId="0" borderId="58" xfId="0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0" fontId="0" fillId="11" borderId="22" xfId="0" applyFill="1" applyBorder="1" applyProtection="1">
      <alignment vertical="center"/>
      <protection locked="0" hidden="1"/>
    </xf>
    <xf numFmtId="0" fontId="0" fillId="11" borderId="44" xfId="0" applyFill="1" applyBorder="1" applyProtection="1">
      <alignment vertical="center"/>
      <protection locked="0" hidden="1"/>
    </xf>
    <xf numFmtId="0" fontId="0" fillId="0" borderId="4" xfId="0" applyBorder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7" fillId="0" borderId="0" xfId="0" applyFont="1" applyProtection="1">
      <alignment vertical="center"/>
      <protection hidden="1"/>
    </xf>
    <xf numFmtId="0" fontId="0" fillId="0" borderId="2" xfId="0" applyBorder="1" applyProtection="1">
      <alignment vertical="center"/>
      <protection hidden="1"/>
    </xf>
    <xf numFmtId="0" fontId="0" fillId="0" borderId="3" xfId="0" applyBorder="1" applyProtection="1">
      <alignment vertical="center"/>
      <protection hidden="1"/>
    </xf>
    <xf numFmtId="0" fontId="0" fillId="0" borderId="17" xfId="0" applyBorder="1" applyProtection="1">
      <alignment vertical="center"/>
      <protection hidden="1"/>
    </xf>
    <xf numFmtId="0" fontId="16" fillId="0" borderId="0" xfId="0" applyFont="1" applyProtection="1">
      <alignment vertical="center"/>
      <protection hidden="1"/>
    </xf>
    <xf numFmtId="0" fontId="0" fillId="0" borderId="8" xfId="0" applyBorder="1" applyProtection="1">
      <alignment vertical="center"/>
      <protection hidden="1"/>
    </xf>
    <xf numFmtId="0" fontId="0" fillId="0" borderId="13" xfId="0" applyBorder="1" applyProtection="1">
      <alignment vertical="center"/>
      <protection hidden="1"/>
    </xf>
    <xf numFmtId="0" fontId="0" fillId="2" borderId="46" xfId="1" applyFont="1" applyBorder="1" applyProtection="1">
      <alignment vertical="center"/>
      <protection hidden="1"/>
    </xf>
    <xf numFmtId="0" fontId="36" fillId="0" borderId="0" xfId="0" applyFont="1" applyProtection="1">
      <alignment vertical="center"/>
      <protection hidden="1"/>
    </xf>
    <xf numFmtId="0" fontId="2" fillId="4" borderId="1" xfId="2" applyFont="1" applyBorder="1" applyProtection="1">
      <alignment vertical="center"/>
      <protection hidden="1"/>
    </xf>
    <xf numFmtId="0" fontId="21" fillId="0" borderId="0" xfId="0" applyFont="1" applyProtection="1">
      <alignment vertical="center"/>
      <protection hidden="1"/>
    </xf>
    <xf numFmtId="0" fontId="19" fillId="0" borderId="0" xfId="0" applyFont="1" applyProtection="1">
      <alignment vertical="center"/>
      <protection hidden="1"/>
    </xf>
    <xf numFmtId="0" fontId="0" fillId="0" borderId="9" xfId="0" applyBorder="1" applyProtection="1">
      <alignment vertical="center"/>
      <protection hidden="1"/>
    </xf>
    <xf numFmtId="0" fontId="4" fillId="2" borderId="49" xfId="1" applyFont="1" applyBorder="1" applyProtection="1">
      <alignment vertical="center"/>
      <protection hidden="1"/>
    </xf>
    <xf numFmtId="0" fontId="9" fillId="0" borderId="0" xfId="0" applyFont="1" applyProtection="1">
      <alignment vertical="center"/>
      <protection hidden="1"/>
    </xf>
    <xf numFmtId="0" fontId="30" fillId="0" borderId="0" xfId="0" applyFont="1" applyProtection="1">
      <alignment vertical="center"/>
      <protection hidden="1"/>
    </xf>
    <xf numFmtId="0" fontId="26" fillId="0" borderId="0" xfId="0" applyFont="1" applyProtection="1">
      <alignment vertical="center"/>
      <protection hidden="1"/>
    </xf>
    <xf numFmtId="0" fontId="0" fillId="0" borderId="7" xfId="0" applyBorder="1" applyProtection="1">
      <alignment vertical="center"/>
      <protection hidden="1"/>
    </xf>
    <xf numFmtId="0" fontId="12" fillId="0" borderId="0" xfId="0" applyFont="1" applyProtection="1">
      <alignment vertical="center"/>
      <protection hidden="1"/>
    </xf>
    <xf numFmtId="0" fontId="0" fillId="0" borderId="16" xfId="0" applyBorder="1" applyProtection="1">
      <alignment vertical="center"/>
      <protection hidden="1"/>
    </xf>
    <xf numFmtId="0" fontId="4" fillId="2" borderId="50" xfId="1" applyFont="1" applyBorder="1" applyProtection="1">
      <alignment vertical="center"/>
      <protection hidden="1"/>
    </xf>
    <xf numFmtId="0" fontId="37" fillId="0" borderId="0" xfId="0" applyFont="1" applyProtection="1">
      <alignment vertical="center"/>
      <protection hidden="1"/>
    </xf>
    <xf numFmtId="0" fontId="19" fillId="4" borderId="1" xfId="2" applyFont="1" applyBorder="1" applyProtection="1">
      <alignment vertical="center"/>
      <protection hidden="1"/>
    </xf>
    <xf numFmtId="0" fontId="4" fillId="2" borderId="1" xfId="1" applyFont="1" applyProtection="1">
      <alignment vertical="center"/>
      <protection hidden="1"/>
    </xf>
    <xf numFmtId="0" fontId="10" fillId="2" borderId="1" xfId="1" applyFont="1" applyProtection="1">
      <alignment vertical="center"/>
      <protection hidden="1"/>
    </xf>
    <xf numFmtId="0" fontId="6" fillId="2" borderId="1" xfId="1" applyFont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0" fillId="2" borderId="5" xfId="1" applyFont="1" applyBorder="1" applyProtection="1">
      <alignment vertical="center"/>
      <protection hidden="1"/>
    </xf>
    <xf numFmtId="0" fontId="0" fillId="2" borderId="6" xfId="1" applyFont="1" applyBorder="1" applyProtection="1">
      <alignment vertical="center"/>
      <protection hidden="1"/>
    </xf>
    <xf numFmtId="0" fontId="11" fillId="0" borderId="0" xfId="0" applyFont="1" applyProtection="1">
      <alignment vertical="center"/>
      <protection hidden="1"/>
    </xf>
    <xf numFmtId="0" fontId="0" fillId="2" borderId="48" xfId="1" applyFont="1" applyBorder="1" applyProtection="1">
      <alignment vertical="center"/>
      <protection hidden="1"/>
    </xf>
    <xf numFmtId="0" fontId="4" fillId="2" borderId="16" xfId="1" applyFont="1" applyBorder="1" applyProtection="1">
      <alignment vertical="center"/>
      <protection hidden="1"/>
    </xf>
    <xf numFmtId="0" fontId="34" fillId="0" borderId="51" xfId="1" applyFont="1" applyFill="1" applyBorder="1" applyProtection="1">
      <alignment vertical="center"/>
      <protection hidden="1"/>
    </xf>
    <xf numFmtId="0" fontId="2" fillId="3" borderId="1" xfId="1" applyFont="1" applyFill="1" applyProtection="1">
      <alignment vertical="center"/>
      <protection hidden="1"/>
    </xf>
    <xf numFmtId="0" fontId="0" fillId="3" borderId="5" xfId="1" applyFont="1" applyFill="1" applyBorder="1" applyProtection="1">
      <alignment vertical="center"/>
      <protection hidden="1"/>
    </xf>
    <xf numFmtId="2" fontId="0" fillId="0" borderId="1" xfId="4" applyNumberFormat="1" applyFont="1" applyFill="1" applyBorder="1" applyProtection="1">
      <alignment vertical="center"/>
      <protection hidden="1"/>
    </xf>
    <xf numFmtId="0" fontId="2" fillId="0" borderId="0" xfId="0" applyFont="1" applyProtection="1">
      <alignment vertical="center"/>
      <protection hidden="1"/>
    </xf>
    <xf numFmtId="0" fontId="13" fillId="0" borderId="0" xfId="0" applyFont="1" applyProtection="1">
      <alignment vertical="center"/>
      <protection hidden="1"/>
    </xf>
    <xf numFmtId="0" fontId="8" fillId="2" borderId="23" xfId="1" applyFont="1" applyBorder="1" applyProtection="1">
      <alignment vertical="center"/>
      <protection hidden="1"/>
    </xf>
    <xf numFmtId="0" fontId="0" fillId="2" borderId="24" xfId="1" applyFont="1" applyBorder="1" applyProtection="1">
      <alignment vertical="center"/>
      <protection hidden="1"/>
    </xf>
    <xf numFmtId="0" fontId="0" fillId="2" borderId="25" xfId="1" applyFont="1" applyBorder="1" applyProtection="1">
      <alignment vertical="center"/>
      <protection hidden="1"/>
    </xf>
    <xf numFmtId="0" fontId="0" fillId="2" borderId="26" xfId="1" applyFont="1" applyBorder="1" applyProtection="1">
      <alignment vertical="center"/>
      <protection hidden="1"/>
    </xf>
    <xf numFmtId="0" fontId="0" fillId="0" borderId="22" xfId="0" applyBorder="1" applyProtection="1">
      <alignment vertical="center"/>
      <protection hidden="1"/>
    </xf>
    <xf numFmtId="0" fontId="0" fillId="0" borderId="27" xfId="0" applyBorder="1" applyProtection="1">
      <alignment vertical="center"/>
      <protection hidden="1"/>
    </xf>
    <xf numFmtId="0" fontId="0" fillId="2" borderId="29" xfId="1" applyFont="1" applyBorder="1" applyProtection="1">
      <alignment vertical="center"/>
      <protection hidden="1"/>
    </xf>
    <xf numFmtId="0" fontId="8" fillId="4" borderId="30" xfId="2" applyFont="1" applyBorder="1" applyAlignment="1" applyProtection="1">
      <alignment horizontal="left" vertical="center"/>
      <protection hidden="1"/>
    </xf>
    <xf numFmtId="0" fontId="2" fillId="4" borderId="31" xfId="2" applyFont="1" applyBorder="1" applyProtection="1">
      <alignment vertical="center"/>
      <protection hidden="1"/>
    </xf>
    <xf numFmtId="0" fontId="38" fillId="0" borderId="0" xfId="0" applyFont="1" applyProtection="1">
      <alignment vertical="center"/>
      <protection hidden="1"/>
    </xf>
    <xf numFmtId="0" fontId="0" fillId="0" borderId="14" xfId="0" applyBorder="1" applyProtection="1">
      <alignment vertical="center"/>
      <protection hidden="1"/>
    </xf>
    <xf numFmtId="0" fontId="0" fillId="0" borderId="15" xfId="0" applyBorder="1" applyProtection="1">
      <alignment vertical="center"/>
      <protection hidden="1"/>
    </xf>
    <xf numFmtId="0" fontId="29" fillId="0" borderId="0" xfId="0" applyFont="1" applyProtection="1">
      <alignment vertical="center"/>
      <protection hidden="1"/>
    </xf>
    <xf numFmtId="0" fontId="20" fillId="0" borderId="0" xfId="0" applyFont="1" applyProtection="1">
      <alignment vertical="center"/>
      <protection hidden="1"/>
    </xf>
    <xf numFmtId="0" fontId="0" fillId="0" borderId="18" xfId="0" applyBorder="1" applyProtection="1">
      <alignment vertical="center"/>
      <protection hidden="1"/>
    </xf>
    <xf numFmtId="0" fontId="2" fillId="3" borderId="0" xfId="3" applyFont="1" applyFill="1" applyProtection="1">
      <alignment vertical="center"/>
      <protection hidden="1"/>
    </xf>
    <xf numFmtId="0" fontId="2" fillId="3" borderId="1" xfId="3" applyFont="1" applyFill="1" applyBorder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9" fillId="0" borderId="4" xfId="0" applyFont="1" applyBorder="1" applyProtection="1">
      <alignment vertical="center"/>
      <protection hidden="1"/>
    </xf>
    <xf numFmtId="0" fontId="31" fillId="0" borderId="0" xfId="0" applyFont="1" applyProtection="1">
      <alignment vertical="center"/>
      <protection hidden="1"/>
    </xf>
    <xf numFmtId="0" fontId="19" fillId="3" borderId="1" xfId="3" applyFont="1" applyFill="1" applyBorder="1" applyProtection="1">
      <alignment vertical="center"/>
      <protection hidden="1"/>
    </xf>
    <xf numFmtId="0" fontId="35" fillId="0" borderId="0" xfId="0" applyFont="1" applyProtection="1">
      <alignment vertical="center"/>
      <protection hidden="1"/>
    </xf>
    <xf numFmtId="0" fontId="32" fillId="0" borderId="0" xfId="0" applyFont="1" applyProtection="1">
      <alignment vertical="center"/>
      <protection hidden="1"/>
    </xf>
    <xf numFmtId="0" fontId="14" fillId="4" borderId="0" xfId="2" applyProtection="1">
      <alignment vertical="center"/>
      <protection hidden="1"/>
    </xf>
    <xf numFmtId="0" fontId="18" fillId="0" borderId="0" xfId="0" applyFont="1" applyProtection="1">
      <alignment vertical="center"/>
      <protection hidden="1"/>
    </xf>
    <xf numFmtId="177" fontId="15" fillId="5" borderId="1" xfId="3" applyNumberFormat="1" applyBorder="1" applyProtection="1">
      <alignment vertical="center"/>
      <protection hidden="1"/>
    </xf>
    <xf numFmtId="177" fontId="23" fillId="5" borderId="1" xfId="3" applyNumberFormat="1" applyFont="1" applyBorder="1" applyProtection="1">
      <alignment vertical="center"/>
      <protection hidden="1"/>
    </xf>
    <xf numFmtId="0" fontId="24" fillId="0" borderId="0" xfId="0" applyFont="1" applyProtection="1">
      <alignment vertical="center"/>
      <protection hidden="1"/>
    </xf>
    <xf numFmtId="0" fontId="0" fillId="3" borderId="0" xfId="0" applyFill="1" applyProtection="1">
      <alignment vertical="center"/>
      <protection hidden="1"/>
    </xf>
    <xf numFmtId="0" fontId="0" fillId="3" borderId="4" xfId="0" applyFill="1" applyBorder="1" applyProtection="1">
      <alignment vertical="center"/>
      <protection hidden="1"/>
    </xf>
    <xf numFmtId="179" fontId="0" fillId="3" borderId="0" xfId="0" applyNumberFormat="1" applyFill="1" applyProtection="1">
      <alignment vertical="center"/>
      <protection hidden="1"/>
    </xf>
    <xf numFmtId="179" fontId="0" fillId="0" borderId="0" xfId="0" applyNumberFormat="1" applyProtection="1">
      <alignment vertical="center"/>
      <protection hidden="1"/>
    </xf>
    <xf numFmtId="0" fontId="41" fillId="0" borderId="0" xfId="0" applyFont="1">
      <alignment vertical="center"/>
    </xf>
    <xf numFmtId="0" fontId="42" fillId="0" borderId="0" xfId="0" applyFont="1" applyProtection="1">
      <alignment vertical="center"/>
      <protection hidden="1"/>
    </xf>
    <xf numFmtId="0" fontId="41" fillId="0" borderId="0" xfId="0" applyFont="1" applyProtection="1">
      <alignment vertical="center"/>
      <protection hidden="1"/>
    </xf>
    <xf numFmtId="0" fontId="4" fillId="0" borderId="61" xfId="0" applyFont="1" applyBorder="1" applyAlignment="1" applyProtection="1">
      <alignment horizontal="center" vertical="center"/>
      <protection hidden="1"/>
    </xf>
    <xf numFmtId="0" fontId="4" fillId="0" borderId="60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4" fillId="0" borderId="21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4" fillId="0" borderId="66" xfId="0" applyFont="1" applyBorder="1" applyAlignment="1" applyProtection="1">
      <alignment horizontal="left" vertical="center"/>
      <protection hidden="1"/>
    </xf>
    <xf numFmtId="0" fontId="44" fillId="0" borderId="0" xfId="0" applyFont="1">
      <alignment vertical="center"/>
    </xf>
    <xf numFmtId="0" fontId="0" fillId="0" borderId="67" xfId="0" applyBorder="1" applyAlignment="1" applyProtection="1">
      <alignment horizontal="center" vertical="center"/>
      <protection hidden="1"/>
    </xf>
    <xf numFmtId="0" fontId="0" fillId="0" borderId="68" xfId="0" applyBorder="1" applyAlignment="1" applyProtection="1">
      <alignment horizontal="center" vertical="center"/>
      <protection hidden="1"/>
    </xf>
    <xf numFmtId="0" fontId="0" fillId="2" borderId="69" xfId="1" applyFont="1" applyBorder="1" applyAlignment="1" applyProtection="1">
      <alignment horizontal="right" vertical="center"/>
      <protection locked="0" hidden="1"/>
    </xf>
    <xf numFmtId="0" fontId="0" fillId="11" borderId="68" xfId="0" applyFill="1" applyBorder="1" applyProtection="1">
      <alignment vertical="center"/>
      <protection locked="0" hidden="1"/>
    </xf>
    <xf numFmtId="0" fontId="0" fillId="2" borderId="59" xfId="1" applyFont="1" applyBorder="1" applyAlignment="1" applyProtection="1">
      <alignment horizontal="right" vertical="center"/>
      <protection locked="0" hidden="1"/>
    </xf>
    <xf numFmtId="0" fontId="0" fillId="0" borderId="43" xfId="0" applyBorder="1" applyProtection="1">
      <alignment vertical="center"/>
      <protection hidden="1"/>
    </xf>
    <xf numFmtId="0" fontId="38" fillId="0" borderId="0" xfId="0" applyFont="1">
      <alignment vertical="center"/>
    </xf>
    <xf numFmtId="0" fontId="0" fillId="0" borderId="71" xfId="0" applyBorder="1" applyAlignment="1" applyProtection="1">
      <alignment horizontal="center" vertical="center"/>
      <protection hidden="1"/>
    </xf>
    <xf numFmtId="0" fontId="0" fillId="11" borderId="28" xfId="0" applyFill="1" applyBorder="1" applyProtection="1">
      <alignment vertical="center"/>
      <protection locked="0" hidden="1"/>
    </xf>
    <xf numFmtId="0" fontId="0" fillId="2" borderId="72" xfId="1" applyFont="1" applyBorder="1" applyAlignment="1" applyProtection="1">
      <alignment horizontal="right" vertical="center"/>
      <protection locked="0" hidden="1"/>
    </xf>
    <xf numFmtId="0" fontId="0" fillId="2" borderId="73" xfId="1" applyFont="1" applyBorder="1" applyAlignment="1" applyProtection="1">
      <alignment horizontal="right" vertical="center"/>
      <protection locked="0" hidden="1"/>
    </xf>
    <xf numFmtId="0" fontId="0" fillId="2" borderId="74" xfId="1" applyFont="1" applyBorder="1" applyAlignment="1" applyProtection="1">
      <alignment horizontal="right" vertical="center"/>
      <protection locked="0" hidden="1"/>
    </xf>
    <xf numFmtId="0" fontId="0" fillId="2" borderId="75" xfId="1" applyFont="1" applyBorder="1" applyAlignment="1" applyProtection="1">
      <alignment horizontal="right" vertical="center"/>
      <protection locked="0" hidden="1"/>
    </xf>
    <xf numFmtId="0" fontId="0" fillId="2" borderId="29" xfId="1" applyFont="1" applyBorder="1" applyAlignment="1" applyProtection="1">
      <alignment horizontal="right" vertical="center"/>
      <protection locked="0" hidden="1"/>
    </xf>
    <xf numFmtId="0" fontId="0" fillId="2" borderId="62" xfId="1" applyFont="1" applyBorder="1" applyAlignment="1" applyProtection="1">
      <alignment horizontal="center" vertical="center"/>
      <protection locked="0" hidden="1"/>
    </xf>
    <xf numFmtId="0" fontId="0" fillId="2" borderId="63" xfId="1" applyFont="1" applyBorder="1" applyAlignment="1" applyProtection="1">
      <alignment horizontal="center" vertical="center"/>
      <protection locked="0" hidden="1"/>
    </xf>
    <xf numFmtId="0" fontId="0" fillId="2" borderId="64" xfId="1" applyFont="1" applyBorder="1" applyAlignment="1" applyProtection="1">
      <alignment horizontal="center" vertical="center"/>
      <protection locked="0" hidden="1"/>
    </xf>
    <xf numFmtId="0" fontId="53" fillId="0" borderId="0" xfId="0" applyFont="1" applyProtection="1">
      <alignment vertical="center"/>
      <protection hidden="1"/>
    </xf>
    <xf numFmtId="0" fontId="8" fillId="2" borderId="1" xfId="1" applyFont="1" applyProtection="1">
      <alignment vertical="center"/>
      <protection hidden="1"/>
    </xf>
    <xf numFmtId="0" fontId="4" fillId="0" borderId="0" xfId="0" applyFont="1">
      <alignment vertical="center"/>
    </xf>
    <xf numFmtId="0" fontId="0" fillId="7" borderId="0" xfId="0" applyFill="1" applyProtection="1">
      <alignment vertical="center"/>
      <protection hidden="1"/>
    </xf>
    <xf numFmtId="0" fontId="0" fillId="0" borderId="66" xfId="0" applyBorder="1" applyProtection="1">
      <alignment vertical="center"/>
      <protection hidden="1"/>
    </xf>
    <xf numFmtId="0" fontId="0" fillId="11" borderId="0" xfId="0" applyFill="1" applyProtection="1">
      <alignment vertical="center"/>
      <protection hidden="1"/>
    </xf>
    <xf numFmtId="0" fontId="4" fillId="11" borderId="0" xfId="0" applyFont="1" applyFill="1" applyProtection="1">
      <alignment vertical="center"/>
      <protection hidden="1"/>
    </xf>
    <xf numFmtId="0" fontId="0" fillId="0" borderId="40" xfId="0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alignment horizontal="right" vertical="center"/>
      <protection hidden="1"/>
    </xf>
    <xf numFmtId="0" fontId="0" fillId="0" borderId="77" xfId="0" applyBorder="1" applyProtection="1">
      <alignment vertical="center"/>
      <protection hidden="1"/>
    </xf>
    <xf numFmtId="0" fontId="55" fillId="3" borderId="1" xfId="1" applyFont="1" applyFill="1" applyProtection="1">
      <alignment vertical="center"/>
      <protection hidden="1"/>
    </xf>
    <xf numFmtId="0" fontId="13" fillId="3" borderId="1" xfId="1" applyFont="1" applyFill="1" applyProtection="1">
      <alignment vertical="center"/>
      <protection hidden="1"/>
    </xf>
    <xf numFmtId="0" fontId="0" fillId="3" borderId="6" xfId="1" applyFont="1" applyFill="1" applyBorder="1" applyProtection="1">
      <alignment vertical="center"/>
      <protection hidden="1"/>
    </xf>
    <xf numFmtId="0" fontId="0" fillId="3" borderId="34" xfId="1" applyFont="1" applyFill="1" applyBorder="1" applyProtection="1">
      <alignment vertical="center"/>
      <protection hidden="1"/>
    </xf>
    <xf numFmtId="0" fontId="0" fillId="14" borderId="0" xfId="0" applyFill="1" applyProtection="1">
      <alignment vertical="center"/>
      <protection hidden="1"/>
    </xf>
    <xf numFmtId="0" fontId="8" fillId="0" borderId="0" xfId="0" applyFont="1">
      <alignment vertical="center"/>
    </xf>
    <xf numFmtId="0" fontId="0" fillId="0" borderId="76" xfId="0" applyBorder="1">
      <alignment vertical="center"/>
    </xf>
    <xf numFmtId="0" fontId="0" fillId="7" borderId="0" xfId="0" applyFill="1">
      <alignment vertical="center"/>
    </xf>
    <xf numFmtId="0" fontId="6" fillId="0" borderId="0" xfId="0" applyFont="1">
      <alignment vertical="center"/>
    </xf>
    <xf numFmtId="0" fontId="0" fillId="2" borderId="1" xfId="1" applyFont="1" applyAlignment="1">
      <alignment horizontal="center" vertical="center"/>
    </xf>
    <xf numFmtId="0" fontId="36" fillId="0" borderId="0" xfId="0" applyFont="1">
      <alignment vertical="center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54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9" fontId="19" fillId="6" borderId="55" xfId="0" applyNumberFormat="1" applyFont="1" applyFill="1" applyBorder="1" applyAlignment="1" applyProtection="1">
      <alignment horizontal="center" vertical="center"/>
      <protection hidden="1"/>
    </xf>
    <xf numFmtId="9" fontId="19" fillId="7" borderId="55" xfId="0" applyNumberFormat="1" applyFont="1" applyFill="1" applyBorder="1" applyAlignment="1" applyProtection="1">
      <alignment horizontal="center" vertical="center"/>
      <protection hidden="1"/>
    </xf>
    <xf numFmtId="9" fontId="19" fillId="8" borderId="55" xfId="0" applyNumberFormat="1" applyFont="1" applyFill="1" applyBorder="1" applyAlignment="1" applyProtection="1">
      <alignment horizontal="center" vertical="center"/>
      <protection hidden="1"/>
    </xf>
    <xf numFmtId="9" fontId="28" fillId="9" borderId="55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17" xfId="0" applyBorder="1" applyAlignment="1" applyProtection="1">
      <alignment horizontal="center" vertical="center"/>
      <protection locked="0" hidden="1"/>
    </xf>
    <xf numFmtId="0" fontId="0" fillId="0" borderId="9" xfId="0" applyBorder="1" applyAlignment="1" applyProtection="1">
      <alignment horizontal="center" vertical="center"/>
      <protection locked="0" hidden="1"/>
    </xf>
    <xf numFmtId="0" fontId="0" fillId="0" borderId="0" xfId="0" applyProtection="1">
      <alignment vertical="center"/>
      <protection locked="0" hidden="1"/>
    </xf>
    <xf numFmtId="0" fontId="17" fillId="0" borderId="9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0" fillId="3" borderId="1" xfId="1" applyFon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8" fillId="3" borderId="1" xfId="1" applyFont="1" applyFill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0" fillId="3" borderId="78" xfId="1" applyFont="1" applyFill="1" applyBorder="1" applyProtection="1">
      <alignment vertical="center"/>
      <protection hidden="1"/>
    </xf>
    <xf numFmtId="0" fontId="0" fillId="0" borderId="79" xfId="0" applyBorder="1" applyProtection="1">
      <alignment vertical="center"/>
      <protection hidden="1"/>
    </xf>
    <xf numFmtId="0" fontId="0" fillId="0" borderId="78" xfId="1" applyFont="1" applyFill="1" applyBorder="1" applyProtection="1">
      <alignment vertical="center"/>
      <protection hidden="1"/>
    </xf>
    <xf numFmtId="0" fontId="47" fillId="0" borderId="0" xfId="0" applyFont="1" applyProtection="1">
      <alignment vertical="center"/>
      <protection hidden="1"/>
    </xf>
    <xf numFmtId="9" fontId="19" fillId="15" borderId="55" xfId="0" applyNumberFormat="1" applyFont="1" applyFill="1" applyBorder="1" applyAlignment="1" applyProtection="1">
      <alignment horizontal="center" vertical="center"/>
      <protection hidden="1"/>
    </xf>
    <xf numFmtId="0" fontId="0" fillId="2" borderId="80" xfId="1" applyFont="1" applyBorder="1" applyProtection="1">
      <alignment vertical="center"/>
      <protection hidden="1"/>
    </xf>
    <xf numFmtId="0" fontId="0" fillId="3" borderId="80" xfId="1" applyFont="1" applyFill="1" applyBorder="1" applyProtection="1">
      <alignment vertical="center"/>
      <protection hidden="1"/>
    </xf>
    <xf numFmtId="0" fontId="0" fillId="0" borderId="81" xfId="0" applyBorder="1" applyProtection="1">
      <alignment vertical="center"/>
      <protection hidden="1"/>
    </xf>
    <xf numFmtId="0" fontId="0" fillId="2" borderId="82" xfId="1" applyFont="1" applyBorder="1" applyProtection="1">
      <alignment vertical="center"/>
      <protection hidden="1"/>
    </xf>
    <xf numFmtId="0" fontId="0" fillId="3" borderId="82" xfId="1" applyFont="1" applyFill="1" applyBorder="1" applyProtection="1">
      <alignment vertical="center"/>
      <protection hidden="1"/>
    </xf>
    <xf numFmtId="0" fontId="0" fillId="2" borderId="53" xfId="1" applyFont="1" applyBorder="1" applyProtection="1">
      <alignment vertical="center"/>
      <protection hidden="1"/>
    </xf>
    <xf numFmtId="0" fontId="14" fillId="4" borderId="83" xfId="2" applyBorder="1" applyProtection="1">
      <alignment vertical="center"/>
      <protection hidden="1"/>
    </xf>
    <xf numFmtId="0" fontId="0" fillId="12" borderId="84" xfId="0" applyFill="1" applyBorder="1" applyProtection="1">
      <alignment vertical="center"/>
      <protection hidden="1"/>
    </xf>
    <xf numFmtId="0" fontId="14" fillId="12" borderId="85" xfId="2" applyFill="1" applyBorder="1" applyProtection="1">
      <alignment vertical="center"/>
      <protection hidden="1"/>
    </xf>
    <xf numFmtId="0" fontId="0" fillId="3" borderId="86" xfId="1" applyFont="1" applyFill="1" applyBorder="1" applyProtection="1">
      <alignment vertical="center"/>
      <protection hidden="1"/>
    </xf>
    <xf numFmtId="0" fontId="4" fillId="0" borderId="81" xfId="0" applyFont="1" applyBorder="1" applyProtection="1">
      <alignment vertical="center"/>
      <protection hidden="1"/>
    </xf>
    <xf numFmtId="0" fontId="9" fillId="11" borderId="0" xfId="0" applyFont="1" applyFill="1" applyProtection="1">
      <alignment vertical="center"/>
      <protection hidden="1"/>
    </xf>
    <xf numFmtId="0" fontId="0" fillId="11" borderId="1" xfId="1" applyFont="1" applyFill="1" applyProtection="1">
      <alignment vertical="center"/>
      <protection hidden="1"/>
    </xf>
    <xf numFmtId="0" fontId="0" fillId="11" borderId="81" xfId="0" applyFill="1" applyBorder="1" applyProtection="1">
      <alignment vertical="center"/>
      <protection hidden="1"/>
    </xf>
    <xf numFmtId="0" fontId="0" fillId="3" borderId="87" xfId="1" applyFont="1" applyFill="1" applyBorder="1" applyProtection="1">
      <alignment vertical="center"/>
      <protection hidden="1"/>
    </xf>
    <xf numFmtId="0" fontId="0" fillId="0" borderId="88" xfId="0" applyBorder="1" applyProtection="1">
      <alignment vertical="center"/>
      <protection hidden="1"/>
    </xf>
    <xf numFmtId="0" fontId="0" fillId="0" borderId="89" xfId="0" applyBorder="1" applyProtection="1">
      <alignment vertical="center"/>
      <protection hidden="1"/>
    </xf>
    <xf numFmtId="0" fontId="0" fillId="11" borderId="89" xfId="0" applyFill="1" applyBorder="1" applyProtection="1">
      <alignment vertical="center"/>
      <protection hidden="1"/>
    </xf>
    <xf numFmtId="0" fontId="0" fillId="2" borderId="91" xfId="1" applyFont="1" applyBorder="1" applyProtection="1">
      <alignment vertical="center"/>
      <protection hidden="1"/>
    </xf>
    <xf numFmtId="0" fontId="0" fillId="12" borderId="90" xfId="0" applyFill="1" applyBorder="1" applyProtection="1">
      <alignment vertical="center"/>
      <protection hidden="1"/>
    </xf>
    <xf numFmtId="0" fontId="0" fillId="3" borderId="0" xfId="0" applyFill="1">
      <alignment vertical="center"/>
    </xf>
    <xf numFmtId="0" fontId="8" fillId="3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 hidden="1"/>
    </xf>
    <xf numFmtId="0" fontId="4" fillId="0" borderId="35" xfId="0" applyFont="1" applyBorder="1" applyProtection="1">
      <alignment vertical="center"/>
      <protection hidden="1"/>
    </xf>
    <xf numFmtId="0" fontId="19" fillId="0" borderId="36" xfId="0" applyFont="1" applyBorder="1" applyProtection="1">
      <alignment vertical="center"/>
      <protection hidden="1"/>
    </xf>
    <xf numFmtId="0" fontId="19" fillId="0" borderId="37" xfId="0" applyFont="1" applyBorder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0" fillId="0" borderId="17" xfId="0" applyBorder="1" applyAlignment="1" applyProtection="1">
      <alignment horizontal="left" vertical="center"/>
      <protection locked="0" hidden="1"/>
    </xf>
    <xf numFmtId="0" fontId="0" fillId="0" borderId="16" xfId="0" applyBorder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center" vertical="center" shrinkToFit="1"/>
      <protection locked="0" hidden="1"/>
    </xf>
    <xf numFmtId="0" fontId="0" fillId="0" borderId="61" xfId="0" applyBorder="1" applyProtection="1">
      <alignment vertical="center"/>
      <protection locked="0" hidden="1"/>
    </xf>
    <xf numFmtId="0" fontId="0" fillId="2" borderId="93" xfId="1" applyFont="1" applyBorder="1" applyProtection="1">
      <alignment vertical="center"/>
      <protection hidden="1"/>
    </xf>
    <xf numFmtId="0" fontId="0" fillId="2" borderId="94" xfId="1" applyFont="1" applyBorder="1" applyProtection="1">
      <alignment vertical="center"/>
      <protection hidden="1"/>
    </xf>
    <xf numFmtId="0" fontId="6" fillId="0" borderId="61" xfId="0" applyFont="1" applyBorder="1" applyProtection="1">
      <alignment vertical="center"/>
      <protection locked="0" hidden="1"/>
    </xf>
    <xf numFmtId="0" fontId="0" fillId="18" borderId="62" xfId="1" applyFont="1" applyFill="1" applyBorder="1">
      <alignment vertical="center"/>
    </xf>
    <xf numFmtId="0" fontId="0" fillId="12" borderId="63" xfId="1" applyFont="1" applyFill="1" applyBorder="1">
      <alignment vertical="center"/>
    </xf>
    <xf numFmtId="0" fontId="0" fillId="12" borderId="95" xfId="1" applyFont="1" applyFill="1" applyBorder="1">
      <alignment vertical="center"/>
    </xf>
    <xf numFmtId="0" fontId="0" fillId="12" borderId="20" xfId="0" applyFill="1" applyBorder="1">
      <alignment vertical="center"/>
    </xf>
    <xf numFmtId="38" fontId="0" fillId="8" borderId="62" xfId="1" applyNumberFormat="1" applyFont="1" applyFill="1" applyBorder="1">
      <alignment vertical="center"/>
    </xf>
    <xf numFmtId="38" fontId="0" fillId="12" borderId="63" xfId="1" applyNumberFormat="1" applyFont="1" applyFill="1" applyBorder="1">
      <alignment vertical="center"/>
    </xf>
    <xf numFmtId="38" fontId="0" fillId="12" borderId="95" xfId="1" applyNumberFormat="1" applyFont="1" applyFill="1" applyBorder="1">
      <alignment vertical="center"/>
    </xf>
    <xf numFmtId="0" fontId="0" fillId="0" borderId="42" xfId="0" applyBorder="1">
      <alignment vertical="center"/>
    </xf>
    <xf numFmtId="0" fontId="0" fillId="0" borderId="39" xfId="0" applyBorder="1" applyProtection="1">
      <alignment vertical="center"/>
      <protection hidden="1"/>
    </xf>
    <xf numFmtId="0" fontId="6" fillId="0" borderId="35" xfId="0" applyFont="1" applyBorder="1" applyProtection="1">
      <alignment vertical="center"/>
      <protection hidden="1"/>
    </xf>
    <xf numFmtId="0" fontId="14" fillId="4" borderId="37" xfId="2" applyBorder="1" applyAlignment="1" applyProtection="1">
      <alignment horizontal="right" vertical="center"/>
      <protection hidden="1"/>
    </xf>
    <xf numFmtId="0" fontId="43" fillId="4" borderId="35" xfId="2" applyFont="1" applyBorder="1" applyAlignment="1" applyProtection="1">
      <alignment horizontal="left" vertical="center"/>
      <protection hidden="1"/>
    </xf>
    <xf numFmtId="0" fontId="43" fillId="4" borderId="37" xfId="2" applyFont="1" applyBorder="1" applyAlignment="1" applyProtection="1">
      <alignment horizontal="right" vertical="center"/>
      <protection hidden="1"/>
    </xf>
    <xf numFmtId="0" fontId="0" fillId="0" borderId="14" xfId="0" applyBorder="1" applyAlignment="1" applyProtection="1">
      <alignment horizontal="right" vertical="center"/>
      <protection hidden="1"/>
    </xf>
    <xf numFmtId="0" fontId="0" fillId="0" borderId="15" xfId="0" applyBorder="1" applyAlignment="1" applyProtection="1">
      <alignment horizontal="right" vertical="center"/>
      <protection hidden="1"/>
    </xf>
    <xf numFmtId="0" fontId="4" fillId="0" borderId="9" xfId="0" applyFont="1" applyBorder="1" applyProtection="1">
      <alignment vertical="center"/>
      <protection hidden="1"/>
    </xf>
    <xf numFmtId="0" fontId="0" fillId="0" borderId="8" xfId="0" applyBorder="1" applyAlignment="1" applyProtection="1">
      <alignment horizontal="right" vertical="center"/>
      <protection hidden="1"/>
    </xf>
    <xf numFmtId="0" fontId="5" fillId="0" borderId="9" xfId="0" applyFont="1" applyBorder="1" applyProtection="1">
      <alignment vertical="center"/>
      <protection hidden="1"/>
    </xf>
    <xf numFmtId="0" fontId="34" fillId="0" borderId="16" xfId="0" applyFont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12" xfId="0" applyFont="1" applyBorder="1" applyAlignment="1" applyProtection="1">
      <alignment horizontal="center" vertical="center"/>
      <protection hidden="1"/>
    </xf>
    <xf numFmtId="0" fontId="0" fillId="19" borderId="40" xfId="0" applyFill="1" applyBorder="1">
      <alignment vertical="center"/>
    </xf>
    <xf numFmtId="0" fontId="61" fillId="0" borderId="0" xfId="0" applyFo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>
      <alignment vertical="center"/>
    </xf>
    <xf numFmtId="0" fontId="0" fillId="0" borderId="16" xfId="0" applyBorder="1">
      <alignment vertical="center"/>
    </xf>
    <xf numFmtId="0" fontId="0" fillId="0" borderId="55" xfId="0" applyBorder="1">
      <alignment vertical="center"/>
    </xf>
    <xf numFmtId="0" fontId="4" fillId="7" borderId="10" xfId="0" applyFont="1" applyFill="1" applyBorder="1">
      <alignment vertical="center"/>
    </xf>
    <xf numFmtId="0" fontId="4" fillId="7" borderId="11" xfId="0" applyFont="1" applyFill="1" applyBorder="1">
      <alignment vertical="center"/>
    </xf>
    <xf numFmtId="0" fontId="4" fillId="7" borderId="12" xfId="0" applyFont="1" applyFill="1" applyBorder="1">
      <alignment vertical="center"/>
    </xf>
    <xf numFmtId="180" fontId="18" fillId="0" borderId="0" xfId="0" applyNumberFormat="1" applyFont="1" applyAlignment="1" applyProtection="1">
      <alignment horizontal="right" vertical="center"/>
      <protection hidden="1"/>
    </xf>
    <xf numFmtId="180" fontId="18" fillId="0" borderId="0" xfId="0" applyNumberFormat="1" applyFont="1" applyProtection="1">
      <alignment vertical="center"/>
      <protection hidden="1"/>
    </xf>
    <xf numFmtId="180" fontId="18" fillId="0" borderId="17" xfId="0" applyNumberFormat="1" applyFont="1" applyBorder="1" applyProtection="1">
      <alignment vertical="center"/>
      <protection hidden="1"/>
    </xf>
    <xf numFmtId="0" fontId="0" fillId="0" borderId="97" xfId="0" applyBorder="1" applyProtection="1">
      <alignment vertical="center"/>
      <protection hidden="1"/>
    </xf>
    <xf numFmtId="0" fontId="56" fillId="0" borderId="0" xfId="0" applyFont="1" applyProtection="1">
      <alignment vertical="center"/>
      <protection hidden="1"/>
    </xf>
    <xf numFmtId="0" fontId="45" fillId="0" borderId="0" xfId="0" applyFont="1" applyProtection="1">
      <alignment vertical="center"/>
      <protection hidden="1"/>
    </xf>
    <xf numFmtId="0" fontId="52" fillId="0" borderId="0" xfId="0" applyFont="1" applyProtection="1">
      <alignment vertical="center"/>
      <protection hidden="1"/>
    </xf>
    <xf numFmtId="0" fontId="0" fillId="0" borderId="98" xfId="0" applyBorder="1" applyProtection="1">
      <alignment vertical="center"/>
      <protection hidden="1"/>
    </xf>
    <xf numFmtId="0" fontId="0" fillId="0" borderId="96" xfId="0" applyBorder="1" applyProtection="1">
      <alignment vertical="center"/>
      <protection hidden="1"/>
    </xf>
    <xf numFmtId="0" fontId="0" fillId="2" borderId="23" xfId="1" applyFont="1" applyBorder="1" applyAlignment="1" applyProtection="1">
      <alignment horizontal="right" vertical="center"/>
      <protection locked="0" hidden="1"/>
    </xf>
    <xf numFmtId="0" fontId="0" fillId="2" borderId="24" xfId="1" applyFont="1" applyBorder="1" applyAlignment="1" applyProtection="1">
      <alignment horizontal="right" vertical="center"/>
      <protection locked="0" hidden="1"/>
    </xf>
    <xf numFmtId="0" fontId="0" fillId="2" borderId="26" xfId="1" applyFont="1" applyBorder="1" applyAlignment="1" applyProtection="1">
      <alignment horizontal="right" vertical="center"/>
      <protection locked="0" hidden="1"/>
    </xf>
    <xf numFmtId="0" fontId="0" fillId="0" borderId="1" xfId="0" applyBorder="1" applyAlignment="1" applyProtection="1">
      <alignment horizontal="right" vertical="center"/>
      <protection hidden="1"/>
    </xf>
    <xf numFmtId="0" fontId="0" fillId="0" borderId="56" xfId="0" applyBorder="1" applyAlignment="1" applyProtection="1">
      <alignment horizontal="right" vertical="center"/>
      <protection hidden="1"/>
    </xf>
    <xf numFmtId="0" fontId="0" fillId="0" borderId="99" xfId="0" applyBorder="1" applyAlignment="1" applyProtection="1">
      <alignment horizontal="right" vertical="center"/>
      <protection hidden="1"/>
    </xf>
    <xf numFmtId="0" fontId="0" fillId="0" borderId="100" xfId="0" applyBorder="1" applyAlignment="1" applyProtection="1">
      <alignment horizontal="right" vertical="center"/>
      <protection hidden="1"/>
    </xf>
    <xf numFmtId="0" fontId="0" fillId="0" borderId="101" xfId="0" applyBorder="1" applyAlignment="1" applyProtection="1">
      <alignment horizontal="right" vertical="center"/>
      <protection hidden="1"/>
    </xf>
    <xf numFmtId="0" fontId="0" fillId="0" borderId="53" xfId="0" applyBorder="1" applyAlignment="1" applyProtection="1">
      <alignment horizontal="right" vertical="center"/>
      <protection hidden="1"/>
    </xf>
    <xf numFmtId="0" fontId="0" fillId="2" borderId="102" xfId="1" applyFont="1" applyBorder="1" applyAlignment="1" applyProtection="1">
      <alignment horizontal="right" vertical="center"/>
      <protection locked="0" hidden="1"/>
    </xf>
    <xf numFmtId="0" fontId="0" fillId="0" borderId="103" xfId="0" applyBorder="1" applyAlignment="1" applyProtection="1">
      <alignment horizontal="right" vertical="center"/>
      <protection hidden="1"/>
    </xf>
    <xf numFmtId="0" fontId="0" fillId="0" borderId="104" xfId="0" applyBorder="1" applyAlignment="1" applyProtection="1">
      <alignment horizontal="right" vertical="center"/>
      <protection hidden="1"/>
    </xf>
    <xf numFmtId="0" fontId="0" fillId="0" borderId="105" xfId="0" applyBorder="1" applyAlignment="1" applyProtection="1">
      <alignment horizontal="right" vertical="center"/>
      <protection hidden="1"/>
    </xf>
    <xf numFmtId="0" fontId="0" fillId="0" borderId="106" xfId="0" applyBorder="1" applyAlignment="1" applyProtection="1">
      <alignment horizontal="right" vertical="center"/>
      <protection hidden="1"/>
    </xf>
    <xf numFmtId="0" fontId="0" fillId="0" borderId="107" xfId="0" applyBorder="1" applyAlignment="1" applyProtection="1">
      <alignment horizontal="right" vertical="center"/>
      <protection hidden="1"/>
    </xf>
    <xf numFmtId="0" fontId="27" fillId="0" borderId="40" xfId="0" applyFont="1" applyBorder="1" applyAlignment="1" applyProtection="1">
      <alignment horizontal="left" vertical="center"/>
      <protection hidden="1"/>
    </xf>
    <xf numFmtId="0" fontId="27" fillId="0" borderId="43" xfId="0" applyFont="1" applyBorder="1" applyAlignment="1" applyProtection="1">
      <alignment horizontal="left" vertical="center"/>
      <protection hidden="1"/>
    </xf>
    <xf numFmtId="0" fontId="27" fillId="0" borderId="43" xfId="0" applyFont="1" applyBorder="1" applyProtection="1">
      <alignment vertical="center"/>
      <protection hidden="1"/>
    </xf>
    <xf numFmtId="0" fontId="50" fillId="0" borderId="43" xfId="0" applyFont="1" applyBorder="1" applyProtection="1">
      <alignment vertical="center"/>
      <protection hidden="1"/>
    </xf>
    <xf numFmtId="0" fontId="0" fillId="0" borderId="109" xfId="0" applyBorder="1" applyProtection="1">
      <alignment vertical="center"/>
      <protection hidden="1"/>
    </xf>
    <xf numFmtId="0" fontId="19" fillId="0" borderId="108" xfId="0" applyFont="1" applyBorder="1" applyAlignment="1" applyProtection="1">
      <alignment horizontal="center" vertical="center"/>
      <protection hidden="1"/>
    </xf>
    <xf numFmtId="0" fontId="5" fillId="0" borderId="110" xfId="0" applyFont="1" applyBorder="1" applyAlignment="1" applyProtection="1">
      <alignment horizontal="center" vertical="center"/>
      <protection hidden="1"/>
    </xf>
    <xf numFmtId="0" fontId="63" fillId="0" borderId="14" xfId="0" applyFont="1" applyBorder="1" applyAlignment="1" applyProtection="1">
      <alignment horizontal="right" vertical="center"/>
      <protection hidden="1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69" fillId="0" borderId="0" xfId="0" applyFont="1" applyAlignment="1">
      <alignment horizontal="right" vertical="center"/>
    </xf>
    <xf numFmtId="0" fontId="69" fillId="0" borderId="113" xfId="0" applyFont="1" applyBorder="1">
      <alignment vertical="center"/>
    </xf>
    <xf numFmtId="0" fontId="69" fillId="0" borderId="0" xfId="0" applyFont="1">
      <alignment vertical="center"/>
    </xf>
    <xf numFmtId="0" fontId="69" fillId="0" borderId="114" xfId="0" applyFont="1" applyBorder="1">
      <alignment vertical="center"/>
    </xf>
    <xf numFmtId="0" fontId="72" fillId="0" borderId="0" xfId="0" applyFont="1">
      <alignment vertical="center"/>
    </xf>
    <xf numFmtId="0" fontId="69" fillId="0" borderId="115" xfId="0" applyFont="1" applyBorder="1">
      <alignment vertical="center"/>
    </xf>
    <xf numFmtId="0" fontId="75" fillId="0" borderId="0" xfId="0" applyFont="1">
      <alignment vertical="center"/>
    </xf>
    <xf numFmtId="0" fontId="71" fillId="0" borderId="0" xfId="0" applyFont="1">
      <alignment vertical="center"/>
    </xf>
    <xf numFmtId="0" fontId="71" fillId="0" borderId="0" xfId="0" applyFont="1" applyAlignment="1">
      <alignment horizontal="left" vertical="center"/>
    </xf>
    <xf numFmtId="0" fontId="71" fillId="0" borderId="0" xfId="0" applyFont="1" applyAlignment="1">
      <alignment horizontal="right" vertical="center"/>
    </xf>
    <xf numFmtId="0" fontId="71" fillId="0" borderId="123" xfId="0" applyFont="1" applyBorder="1" applyAlignment="1">
      <alignment horizontal="left" vertical="center"/>
    </xf>
    <xf numFmtId="0" fontId="79" fillId="0" borderId="0" xfId="0" applyFont="1">
      <alignment vertical="center"/>
    </xf>
    <xf numFmtId="0" fontId="80" fillId="0" borderId="0" xfId="0" applyFont="1">
      <alignment vertical="center"/>
    </xf>
    <xf numFmtId="0" fontId="71" fillId="0" borderId="113" xfId="0" applyFont="1" applyBorder="1" applyAlignment="1">
      <alignment horizontal="center" vertical="center"/>
    </xf>
    <xf numFmtId="0" fontId="0" fillId="0" borderId="116" xfId="0" applyBorder="1" applyAlignment="1"/>
    <xf numFmtId="0" fontId="84" fillId="0" borderId="124" xfId="0" applyFont="1" applyBorder="1" applyAlignment="1">
      <alignment horizontal="center"/>
    </xf>
    <xf numFmtId="0" fontId="64" fillId="0" borderId="38" xfId="0" applyFont="1" applyBorder="1" applyAlignment="1">
      <alignment horizontal="center" wrapText="1"/>
    </xf>
    <xf numFmtId="0" fontId="64" fillId="0" borderId="123" xfId="0" applyFont="1" applyBorder="1" applyAlignment="1">
      <alignment horizontal="left" vertical="center"/>
    </xf>
    <xf numFmtId="0" fontId="65" fillId="0" borderId="97" xfId="0" applyFont="1" applyBorder="1" applyAlignment="1">
      <alignment horizontal="center"/>
    </xf>
    <xf numFmtId="0" fontId="65" fillId="0" borderId="96" xfId="0" applyFont="1" applyBorder="1" applyAlignment="1">
      <alignment horizontal="center"/>
    </xf>
    <xf numFmtId="0" fontId="65" fillId="0" borderId="125" xfId="0" applyFont="1" applyBorder="1" applyAlignment="1">
      <alignment horizontal="center"/>
    </xf>
    <xf numFmtId="0" fontId="65" fillId="0" borderId="126" xfId="0" applyFont="1" applyBorder="1" applyAlignment="1">
      <alignment horizontal="center"/>
    </xf>
    <xf numFmtId="0" fontId="65" fillId="0" borderId="120" xfId="0" applyFont="1" applyBorder="1" applyAlignment="1">
      <alignment horizontal="center"/>
    </xf>
    <xf numFmtId="0" fontId="65" fillId="0" borderId="127" xfId="0" applyFont="1" applyBorder="1" applyAlignment="1">
      <alignment horizontal="center"/>
    </xf>
    <xf numFmtId="0" fontId="79" fillId="0" borderId="0" xfId="0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right" vertical="center"/>
      <protection locked="0"/>
    </xf>
    <xf numFmtId="0" fontId="69" fillId="0" borderId="1" xfId="0" applyFont="1" applyBorder="1" applyAlignment="1">
      <alignment horizontal="center" vertical="center"/>
    </xf>
    <xf numFmtId="0" fontId="65" fillId="0" borderId="1" xfId="0" applyFont="1" applyBorder="1">
      <alignment vertical="center"/>
    </xf>
    <xf numFmtId="0" fontId="69" fillId="26" borderId="80" xfId="0" applyFont="1" applyFill="1" applyBorder="1" applyAlignment="1">
      <alignment horizontal="center" vertical="center"/>
    </xf>
    <xf numFmtId="0" fontId="79" fillId="0" borderId="53" xfId="0" applyFont="1" applyBorder="1" applyAlignment="1">
      <alignment horizontal="left" vertical="center"/>
    </xf>
    <xf numFmtId="0" fontId="79" fillId="0" borderId="130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79" fillId="0" borderId="132" xfId="0" applyFont="1" applyBorder="1" applyAlignment="1">
      <alignment horizontal="center" vertical="center"/>
    </xf>
    <xf numFmtId="2" fontId="69" fillId="0" borderId="5" xfId="0" applyNumberFormat="1" applyFont="1" applyBorder="1" applyAlignment="1">
      <alignment horizontal="center" vertical="center"/>
    </xf>
    <xf numFmtId="2" fontId="69" fillId="0" borderId="131" xfId="0" applyNumberFormat="1" applyFont="1" applyBorder="1" applyAlignment="1">
      <alignment horizontal="center" vertical="center"/>
    </xf>
    <xf numFmtId="2" fontId="69" fillId="0" borderId="132" xfId="0" applyNumberFormat="1" applyFont="1" applyBorder="1" applyAlignment="1">
      <alignment horizontal="center" vertical="center"/>
    </xf>
    <xf numFmtId="0" fontId="65" fillId="0" borderId="5" xfId="0" applyFont="1" applyBorder="1" applyAlignment="1">
      <alignment horizontal="right" vertical="center"/>
    </xf>
    <xf numFmtId="0" fontId="65" fillId="0" borderId="131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181" fontId="65" fillId="0" borderId="134" xfId="0" applyNumberFormat="1" applyFont="1" applyBorder="1" applyAlignment="1">
      <alignment horizontal="center" vertical="center"/>
    </xf>
    <xf numFmtId="0" fontId="65" fillId="0" borderId="53" xfId="0" applyFont="1" applyBorder="1">
      <alignment vertical="center"/>
    </xf>
    <xf numFmtId="0" fontId="65" fillId="0" borderId="132" xfId="0" applyFont="1" applyBorder="1" applyAlignment="1">
      <alignment horizontal="center" vertical="center"/>
    </xf>
    <xf numFmtId="0" fontId="69" fillId="26" borderId="134" xfId="0" applyFont="1" applyFill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65" fillId="0" borderId="137" xfId="0" applyFont="1" applyBorder="1" applyAlignment="1">
      <alignment horizontal="right" vertical="center"/>
    </xf>
    <xf numFmtId="0" fontId="65" fillId="0" borderId="80" xfId="0" applyFont="1" applyBorder="1" applyAlignment="1">
      <alignment horizontal="left" vertical="center"/>
    </xf>
    <xf numFmtId="0" fontId="79" fillId="0" borderId="133" xfId="0" applyFont="1" applyBorder="1" applyAlignment="1">
      <alignment horizontal="center" vertical="center"/>
    </xf>
    <xf numFmtId="0" fontId="69" fillId="0" borderId="53" xfId="0" applyFont="1" applyBorder="1" applyAlignment="1">
      <alignment horizontal="center" vertical="center"/>
    </xf>
    <xf numFmtId="0" fontId="79" fillId="0" borderId="136" xfId="0" applyFont="1" applyBorder="1" applyAlignment="1">
      <alignment horizontal="center" vertical="center"/>
    </xf>
    <xf numFmtId="0" fontId="65" fillId="0" borderId="53" xfId="0" applyFont="1" applyBorder="1" applyAlignment="1">
      <alignment horizontal="center" vertical="center"/>
    </xf>
    <xf numFmtId="0" fontId="65" fillId="0" borderId="136" xfId="0" applyFont="1" applyBorder="1" applyAlignment="1">
      <alignment horizontal="center" vertical="center"/>
    </xf>
    <xf numFmtId="0" fontId="65" fillId="0" borderId="111" xfId="0" applyFont="1" applyBorder="1" applyAlignment="1">
      <alignment horizontal="right" vertical="center"/>
    </xf>
    <xf numFmtId="0" fontId="65" fillId="0" borderId="134" xfId="0" applyFont="1" applyBorder="1" applyAlignment="1">
      <alignment horizontal="center" vertical="center"/>
    </xf>
    <xf numFmtId="0" fontId="64" fillId="0" borderId="138" xfId="0" applyFont="1" applyBorder="1" applyAlignment="1">
      <alignment horizontal="center" vertical="center"/>
    </xf>
    <xf numFmtId="0" fontId="64" fillId="0" borderId="72" xfId="0" applyFont="1" applyBorder="1" applyAlignment="1">
      <alignment horizontal="center" vertical="center"/>
    </xf>
    <xf numFmtId="0" fontId="65" fillId="0" borderId="140" xfId="0" applyFont="1" applyBorder="1" applyAlignment="1">
      <alignment horizontal="center" vertical="center"/>
    </xf>
    <xf numFmtId="181" fontId="65" fillId="0" borderId="141" xfId="0" applyNumberFormat="1" applyFont="1" applyBorder="1" applyAlignment="1">
      <alignment horizontal="center" vertical="center"/>
    </xf>
    <xf numFmtId="0" fontId="69" fillId="0" borderId="139" xfId="0" applyFont="1" applyBorder="1" applyAlignment="1">
      <alignment horizontal="center" vertical="center"/>
    </xf>
    <xf numFmtId="0" fontId="69" fillId="26" borderId="27" xfId="0" applyFont="1" applyFill="1" applyBorder="1" applyAlignment="1">
      <alignment horizontal="center" vertical="center"/>
    </xf>
    <xf numFmtId="0" fontId="65" fillId="0" borderId="142" xfId="0" applyFont="1" applyBorder="1" applyAlignment="1">
      <alignment horizontal="center" vertical="center"/>
    </xf>
    <xf numFmtId="0" fontId="69" fillId="26" borderId="141" xfId="0" applyFont="1" applyFill="1" applyBorder="1" applyAlignment="1">
      <alignment horizontal="center" vertical="center"/>
    </xf>
    <xf numFmtId="0" fontId="65" fillId="0" borderId="74" xfId="0" applyFont="1" applyBorder="1">
      <alignment vertical="center"/>
    </xf>
    <xf numFmtId="0" fontId="65" fillId="0" borderId="75" xfId="0" applyFont="1" applyBorder="1">
      <alignment vertical="center"/>
    </xf>
    <xf numFmtId="0" fontId="69" fillId="0" borderId="75" xfId="0" applyFont="1" applyBorder="1" applyAlignment="1">
      <alignment horizontal="center" vertical="center"/>
    </xf>
    <xf numFmtId="0" fontId="69" fillId="0" borderId="140" xfId="0" applyFont="1" applyBorder="1" applyAlignment="1">
      <alignment horizontal="center" vertical="center"/>
    </xf>
    <xf numFmtId="0" fontId="65" fillId="0" borderId="143" xfId="0" applyFont="1" applyBorder="1" applyAlignment="1">
      <alignment horizontal="right" vertical="center"/>
    </xf>
    <xf numFmtId="0" fontId="65" fillId="0" borderId="27" xfId="0" applyFont="1" applyBorder="1" applyAlignment="1">
      <alignment horizontal="left" vertical="center"/>
    </xf>
    <xf numFmtId="0" fontId="79" fillId="0" borderId="144" xfId="0" applyFont="1" applyBorder="1" applyAlignment="1">
      <alignment horizontal="center" vertical="center"/>
    </xf>
    <xf numFmtId="0" fontId="79" fillId="0" borderId="145" xfId="0" applyFont="1" applyBorder="1" applyAlignment="1">
      <alignment horizontal="center" vertical="center"/>
    </xf>
    <xf numFmtId="0" fontId="79" fillId="0" borderId="74" xfId="0" applyFont="1" applyBorder="1" applyAlignment="1">
      <alignment horizontal="left" vertical="center"/>
    </xf>
    <xf numFmtId="0" fontId="79" fillId="0" borderId="140" xfId="0" applyFont="1" applyBorder="1" applyAlignment="1">
      <alignment horizontal="center" vertical="center"/>
    </xf>
    <xf numFmtId="0" fontId="79" fillId="0" borderId="142" xfId="0" applyFont="1" applyBorder="1" applyAlignment="1">
      <alignment horizontal="center" vertical="center"/>
    </xf>
    <xf numFmtId="0" fontId="79" fillId="0" borderId="146" xfId="0" applyFont="1" applyBorder="1" applyAlignment="1">
      <alignment horizontal="center" vertical="center"/>
    </xf>
    <xf numFmtId="0" fontId="69" fillId="0" borderId="74" xfId="0" applyFont="1" applyBorder="1" applyAlignment="1">
      <alignment horizontal="center" vertical="center"/>
    </xf>
    <xf numFmtId="2" fontId="69" fillId="0" borderId="140" xfId="0" applyNumberFormat="1" applyFont="1" applyBorder="1" applyAlignment="1">
      <alignment horizontal="center" vertical="center"/>
    </xf>
    <xf numFmtId="2" fontId="69" fillId="0" borderId="142" xfId="0" applyNumberFormat="1" applyFont="1" applyBorder="1" applyAlignment="1">
      <alignment horizontal="center" vertical="center"/>
    </xf>
    <xf numFmtId="2" fontId="69" fillId="0" borderId="147" xfId="0" applyNumberFormat="1" applyFont="1" applyBorder="1" applyAlignment="1">
      <alignment horizontal="center" vertical="center"/>
    </xf>
    <xf numFmtId="0" fontId="65" fillId="0" borderId="148" xfId="0" applyFont="1" applyBorder="1" applyAlignment="1">
      <alignment horizontal="right" vertical="center"/>
    </xf>
    <xf numFmtId="0" fontId="65" fillId="0" borderId="147" xfId="0" applyFont="1" applyBorder="1" applyAlignment="1">
      <alignment horizontal="center" vertical="center"/>
    </xf>
    <xf numFmtId="0" fontId="65" fillId="0" borderId="140" xfId="0" applyFont="1" applyBorder="1" applyAlignment="1">
      <alignment horizontal="right" vertical="center"/>
    </xf>
    <xf numFmtId="0" fontId="65" fillId="0" borderId="146" xfId="0" applyFont="1" applyBorder="1" applyAlignment="1">
      <alignment horizontal="center" vertical="center"/>
    </xf>
    <xf numFmtId="0" fontId="65" fillId="0" borderId="141" xfId="0" applyFont="1" applyBorder="1" applyAlignment="1">
      <alignment horizontal="center" vertical="center"/>
    </xf>
    <xf numFmtId="0" fontId="65" fillId="0" borderId="74" xfId="0" applyFont="1" applyBorder="1" applyAlignment="1">
      <alignment horizontal="center" vertical="center"/>
    </xf>
    <xf numFmtId="0" fontId="64" fillId="0" borderId="149" xfId="0" applyFont="1" applyBorder="1" applyAlignment="1">
      <alignment horizontal="center" vertical="center"/>
    </xf>
    <xf numFmtId="0" fontId="65" fillId="0" borderId="150" xfId="0" applyFont="1" applyBorder="1" applyAlignment="1">
      <alignment horizontal="center" vertical="center"/>
    </xf>
    <xf numFmtId="181" fontId="65" fillId="0" borderId="151" xfId="0" applyNumberFormat="1" applyFont="1" applyBorder="1" applyAlignment="1">
      <alignment horizontal="center" vertical="center"/>
    </xf>
    <xf numFmtId="0" fontId="69" fillId="0" borderId="152" xfId="0" applyFont="1" applyBorder="1" applyAlignment="1">
      <alignment horizontal="center" vertical="center"/>
    </xf>
    <xf numFmtId="0" fontId="69" fillId="26" borderId="7" xfId="0" applyFont="1" applyFill="1" applyBorder="1" applyAlignment="1">
      <alignment horizontal="center" vertical="center"/>
    </xf>
    <xf numFmtId="0" fontId="65" fillId="0" borderId="153" xfId="0" applyFont="1" applyBorder="1" applyAlignment="1">
      <alignment horizontal="center" vertical="center"/>
    </xf>
    <xf numFmtId="0" fontId="69" fillId="26" borderId="151" xfId="0" applyFont="1" applyFill="1" applyBorder="1" applyAlignment="1">
      <alignment horizontal="center" vertical="center"/>
    </xf>
    <xf numFmtId="0" fontId="65" fillId="0" borderId="154" xfId="0" applyFont="1" applyBorder="1">
      <alignment vertical="center"/>
    </xf>
    <xf numFmtId="0" fontId="65" fillId="0" borderId="34" xfId="0" applyFont="1" applyBorder="1">
      <alignment vertical="center"/>
    </xf>
    <xf numFmtId="0" fontId="69" fillId="0" borderId="34" xfId="0" applyFont="1" applyBorder="1" applyAlignment="1">
      <alignment horizontal="center" vertical="center"/>
    </xf>
    <xf numFmtId="0" fontId="69" fillId="0" borderId="150" xfId="0" applyFont="1" applyBorder="1" applyAlignment="1">
      <alignment horizontal="center" vertical="center"/>
    </xf>
    <xf numFmtId="0" fontId="65" fillId="0" borderId="155" xfId="0" applyFont="1" applyBorder="1" applyAlignment="1">
      <alignment horizontal="right" vertical="center"/>
    </xf>
    <xf numFmtId="0" fontId="65" fillId="0" borderId="7" xfId="0" applyFont="1" applyBorder="1" applyAlignment="1">
      <alignment horizontal="left" vertical="center"/>
    </xf>
    <xf numFmtId="0" fontId="79" fillId="0" borderId="156" xfId="0" applyFont="1" applyBorder="1" applyAlignment="1">
      <alignment horizontal="center" vertical="center"/>
    </xf>
    <xf numFmtId="0" fontId="79" fillId="0" borderId="157" xfId="0" applyFont="1" applyBorder="1" applyAlignment="1">
      <alignment horizontal="center" vertical="center"/>
    </xf>
    <xf numFmtId="0" fontId="79" fillId="0" borderId="154" xfId="0" applyFont="1" applyBorder="1" applyAlignment="1">
      <alignment horizontal="left" vertical="center"/>
    </xf>
    <xf numFmtId="0" fontId="79" fillId="0" borderId="150" xfId="0" applyFont="1" applyBorder="1" applyAlignment="1">
      <alignment horizontal="center" vertical="center"/>
    </xf>
    <xf numFmtId="0" fontId="79" fillId="0" borderId="153" xfId="0" applyFont="1" applyBorder="1" applyAlignment="1">
      <alignment horizontal="center" vertical="center"/>
    </xf>
    <xf numFmtId="0" fontId="79" fillId="0" borderId="158" xfId="0" applyFont="1" applyBorder="1" applyAlignment="1">
      <alignment horizontal="center" vertical="center"/>
    </xf>
    <xf numFmtId="0" fontId="69" fillId="0" borderId="154" xfId="0" applyFont="1" applyBorder="1" applyAlignment="1">
      <alignment horizontal="center" vertical="center"/>
    </xf>
    <xf numFmtId="2" fontId="69" fillId="0" borderId="150" xfId="0" applyNumberFormat="1" applyFont="1" applyBorder="1" applyAlignment="1">
      <alignment horizontal="center" vertical="center"/>
    </xf>
    <xf numFmtId="2" fontId="69" fillId="0" borderId="153" xfId="0" applyNumberFormat="1" applyFont="1" applyBorder="1" applyAlignment="1">
      <alignment horizontal="center" vertical="center"/>
    </xf>
    <xf numFmtId="2" fontId="69" fillId="0" borderId="159" xfId="0" applyNumberFormat="1" applyFont="1" applyBorder="1" applyAlignment="1">
      <alignment horizontal="center" vertical="center"/>
    </xf>
    <xf numFmtId="0" fontId="65" fillId="0" borderId="160" xfId="0" applyFont="1" applyBorder="1" applyAlignment="1">
      <alignment horizontal="right" vertical="center"/>
    </xf>
    <xf numFmtId="0" fontId="65" fillId="0" borderId="159" xfId="0" applyFont="1" applyBorder="1" applyAlignment="1">
      <alignment horizontal="center" vertical="center"/>
    </xf>
    <xf numFmtId="0" fontId="65" fillId="0" borderId="150" xfId="0" applyFont="1" applyBorder="1" applyAlignment="1">
      <alignment horizontal="right" vertical="center"/>
    </xf>
    <xf numFmtId="0" fontId="65" fillId="0" borderId="158" xfId="0" applyFont="1" applyBorder="1" applyAlignment="1">
      <alignment horizontal="center" vertical="center"/>
    </xf>
    <xf numFmtId="0" fontId="65" fillId="0" borderId="151" xfId="0" applyFont="1" applyBorder="1" applyAlignment="1">
      <alignment horizontal="center" vertical="center"/>
    </xf>
    <xf numFmtId="0" fontId="65" fillId="0" borderId="154" xfId="0" applyFont="1" applyBorder="1" applyAlignment="1">
      <alignment horizontal="center" vertical="center"/>
    </xf>
    <xf numFmtId="0" fontId="64" fillId="0" borderId="164" xfId="0" applyFont="1" applyBorder="1" applyAlignment="1" applyProtection="1">
      <alignment horizontal="left" vertical="center"/>
      <protection locked="0"/>
    </xf>
    <xf numFmtId="0" fontId="64" fillId="0" borderId="165" xfId="0" applyFont="1" applyBorder="1" applyAlignment="1" applyProtection="1">
      <alignment horizontal="left" vertical="center"/>
      <protection locked="0"/>
    </xf>
    <xf numFmtId="0" fontId="77" fillId="0" borderId="167" xfId="0" applyFont="1" applyBorder="1" applyAlignment="1" applyProtection="1">
      <alignment horizontal="center" vertical="center"/>
      <protection locked="0"/>
    </xf>
    <xf numFmtId="0" fontId="77" fillId="0" borderId="168" xfId="0" applyFont="1" applyBorder="1" applyAlignment="1" applyProtection="1">
      <alignment horizontal="center" vertical="center"/>
      <protection locked="0"/>
    </xf>
    <xf numFmtId="0" fontId="0" fillId="0" borderId="168" xfId="0" applyBorder="1" applyAlignment="1" applyProtection="1">
      <alignment horizontal="center" vertical="center"/>
      <protection locked="0"/>
    </xf>
    <xf numFmtId="0" fontId="64" fillId="0" borderId="169" xfId="0" applyFont="1" applyBorder="1" applyAlignment="1" applyProtection="1">
      <alignment horizontal="left" vertical="center"/>
      <protection locked="0"/>
    </xf>
    <xf numFmtId="0" fontId="79" fillId="0" borderId="168" xfId="0" applyFont="1" applyBorder="1" applyAlignment="1" applyProtection="1">
      <alignment horizontal="center" vertical="center"/>
      <protection locked="0"/>
    </xf>
    <xf numFmtId="0" fontId="79" fillId="0" borderId="170" xfId="0" applyFont="1" applyBorder="1" applyAlignment="1" applyProtection="1">
      <alignment horizontal="center" vertical="center"/>
      <protection locked="0"/>
    </xf>
    <xf numFmtId="0" fontId="79" fillId="0" borderId="171" xfId="0" applyFont="1" applyBorder="1" applyAlignment="1" applyProtection="1">
      <alignment horizontal="center" vertical="center"/>
      <protection locked="0"/>
    </xf>
    <xf numFmtId="0" fontId="79" fillId="0" borderId="22" xfId="0" applyFont="1" applyBorder="1" applyAlignment="1" applyProtection="1">
      <alignment horizontal="center" vertical="center"/>
      <protection locked="0"/>
    </xf>
    <xf numFmtId="0" fontId="69" fillId="0" borderId="171" xfId="0" applyFont="1" applyBorder="1" applyAlignment="1" applyProtection="1">
      <alignment horizontal="left" vertical="center"/>
      <protection locked="0"/>
    </xf>
    <xf numFmtId="0" fontId="69" fillId="0" borderId="22" xfId="0" applyFont="1" applyBorder="1" applyAlignment="1" applyProtection="1">
      <alignment horizontal="left" vertical="center"/>
      <protection locked="0"/>
    </xf>
    <xf numFmtId="0" fontId="69" fillId="0" borderId="172" xfId="0" applyFont="1" applyBorder="1" applyAlignment="1" applyProtection="1">
      <alignment horizontal="left" vertical="center"/>
      <protection locked="0"/>
    </xf>
    <xf numFmtId="0" fontId="69" fillId="0" borderId="171" xfId="0" applyFont="1" applyBorder="1" applyAlignment="1" applyProtection="1">
      <alignment horizontal="right" vertical="center"/>
      <protection locked="0"/>
    </xf>
    <xf numFmtId="0" fontId="65" fillId="0" borderId="171" xfId="0" applyFont="1" applyBorder="1" applyProtection="1">
      <alignment vertical="center"/>
      <protection locked="0"/>
    </xf>
    <xf numFmtId="0" fontId="65" fillId="0" borderId="22" xfId="0" applyFont="1" applyBorder="1" applyAlignment="1" applyProtection="1">
      <alignment horizontal="center" vertical="center"/>
      <protection locked="0"/>
    </xf>
    <xf numFmtId="0" fontId="71" fillId="0" borderId="174" xfId="0" applyFont="1" applyBorder="1" applyAlignment="1">
      <alignment horizontal="left"/>
    </xf>
    <xf numFmtId="0" fontId="71" fillId="0" borderId="120" xfId="0" applyFont="1" applyBorder="1" applyAlignment="1">
      <alignment horizontal="center"/>
    </xf>
    <xf numFmtId="0" fontId="0" fillId="0" borderId="22" xfId="0" applyBorder="1" applyAlignment="1" applyProtection="1">
      <alignment horizontal="center" vertical="center" wrapText="1"/>
      <protection locked="0"/>
    </xf>
    <xf numFmtId="0" fontId="64" fillId="0" borderId="178" xfId="0" applyFont="1" applyBorder="1" applyAlignment="1">
      <alignment horizontal="center" vertical="center"/>
    </xf>
    <xf numFmtId="0" fontId="64" fillId="0" borderId="178" xfId="0" applyFont="1" applyBorder="1" applyAlignment="1">
      <alignment horizontal="right" vertical="center"/>
    </xf>
    <xf numFmtId="0" fontId="64" fillId="0" borderId="179" xfId="0" applyFont="1" applyBorder="1" applyAlignment="1" applyProtection="1">
      <alignment horizontal="right" vertical="center"/>
      <protection locked="0"/>
    </xf>
    <xf numFmtId="0" fontId="71" fillId="0" borderId="180" xfId="0" applyFont="1" applyBorder="1" applyAlignment="1">
      <alignment horizontal="center"/>
    </xf>
    <xf numFmtId="0" fontId="65" fillId="0" borderId="181" xfId="0" applyFont="1" applyBorder="1" applyAlignment="1">
      <alignment horizontal="center"/>
    </xf>
    <xf numFmtId="0" fontId="65" fillId="0" borderId="182" xfId="0" applyFont="1" applyBorder="1" applyAlignment="1" applyProtection="1">
      <alignment horizontal="center" vertical="center"/>
      <protection locked="0"/>
    </xf>
    <xf numFmtId="0" fontId="64" fillId="0" borderId="162" xfId="0" applyFont="1" applyBorder="1" applyAlignment="1" applyProtection="1">
      <alignment horizontal="left" vertical="center"/>
      <protection locked="0"/>
    </xf>
    <xf numFmtId="0" fontId="78" fillId="0" borderId="163" xfId="0" applyFont="1" applyBorder="1" applyAlignment="1" applyProtection="1">
      <alignment horizontal="left" vertical="center"/>
      <protection locked="0"/>
    </xf>
    <xf numFmtId="0" fontId="70" fillId="22" borderId="0" xfId="0" applyFont="1" applyFill="1" applyAlignment="1">
      <alignment horizontal="center" vertical="center"/>
    </xf>
    <xf numFmtId="0" fontId="85" fillId="0" borderId="183" xfId="0" applyFont="1" applyBorder="1">
      <alignment vertical="center"/>
    </xf>
    <xf numFmtId="0" fontId="85" fillId="0" borderId="184" xfId="0" applyFont="1" applyBorder="1" applyAlignment="1">
      <alignment horizontal="center" vertical="center"/>
    </xf>
    <xf numFmtId="0" fontId="85" fillId="0" borderId="185" xfId="0" applyFont="1" applyBorder="1">
      <alignment vertical="center"/>
    </xf>
    <xf numFmtId="0" fontId="85" fillId="0" borderId="41" xfId="0" applyFont="1" applyBorder="1">
      <alignment vertical="center"/>
    </xf>
    <xf numFmtId="0" fontId="85" fillId="0" borderId="186" xfId="0" applyFont="1" applyBorder="1">
      <alignment vertical="center"/>
    </xf>
    <xf numFmtId="0" fontId="85" fillId="0" borderId="42" xfId="0" applyFont="1" applyBorder="1" applyAlignment="1">
      <alignment horizontal="center" vertical="center"/>
    </xf>
    <xf numFmtId="0" fontId="85" fillId="0" borderId="187" xfId="0" applyFont="1" applyBorder="1">
      <alignment vertical="center"/>
    </xf>
    <xf numFmtId="0" fontId="85" fillId="0" borderId="188" xfId="0" applyFont="1" applyBorder="1" applyAlignment="1">
      <alignment horizontal="center" vertical="center"/>
    </xf>
    <xf numFmtId="0" fontId="86" fillId="0" borderId="9" xfId="0" applyFont="1" applyBorder="1">
      <alignment vertical="center"/>
    </xf>
    <xf numFmtId="0" fontId="85" fillId="0" borderId="0" xfId="0" applyFont="1">
      <alignment vertical="center"/>
    </xf>
    <xf numFmtId="0" fontId="85" fillId="0" borderId="8" xfId="0" applyFont="1" applyBorder="1">
      <alignment vertical="center"/>
    </xf>
    <xf numFmtId="0" fontId="87" fillId="0" borderId="39" xfId="0" applyFont="1" applyBorder="1" applyAlignment="1">
      <alignment horizontal="center" vertical="center"/>
    </xf>
    <xf numFmtId="0" fontId="85" fillId="0" borderId="189" xfId="0" applyFont="1" applyBorder="1">
      <alignment vertical="center"/>
    </xf>
    <xf numFmtId="0" fontId="78" fillId="0" borderId="188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85" fillId="0" borderId="190" xfId="0" applyFont="1" applyBorder="1" applyAlignment="1">
      <alignment horizontal="center" vertical="center"/>
    </xf>
    <xf numFmtId="0" fontId="85" fillId="0" borderId="84" xfId="0" applyFont="1" applyBorder="1" applyAlignment="1">
      <alignment horizontal="center" vertical="center"/>
    </xf>
    <xf numFmtId="0" fontId="85" fillId="0" borderId="191" xfId="0" applyFont="1" applyBorder="1">
      <alignment vertical="center"/>
    </xf>
    <xf numFmtId="0" fontId="85" fillId="0" borderId="192" xfId="0" applyFont="1" applyBorder="1">
      <alignment vertical="center"/>
    </xf>
    <xf numFmtId="0" fontId="85" fillId="0" borderId="193" xfId="0" applyFont="1" applyBorder="1">
      <alignment vertical="center"/>
    </xf>
    <xf numFmtId="0" fontId="85" fillId="0" borderId="39" xfId="0" applyFont="1" applyBorder="1" applyAlignment="1">
      <alignment horizontal="center" vertical="center"/>
    </xf>
    <xf numFmtId="0" fontId="85" fillId="0" borderId="194" xfId="0" applyFont="1" applyBorder="1" applyAlignment="1">
      <alignment horizontal="center" vertical="center"/>
    </xf>
    <xf numFmtId="0" fontId="85" fillId="0" borderId="81" xfId="0" applyFont="1" applyBorder="1">
      <alignment vertical="center"/>
    </xf>
    <xf numFmtId="0" fontId="85" fillId="0" borderId="195" xfId="0" applyFont="1" applyBorder="1">
      <alignment vertical="center"/>
    </xf>
    <xf numFmtId="9" fontId="85" fillId="0" borderId="194" xfId="0" applyNumberFormat="1" applyFont="1" applyBorder="1" applyAlignment="1">
      <alignment horizontal="center" vertical="center"/>
    </xf>
    <xf numFmtId="0" fontId="85" fillId="0" borderId="196" xfId="0" applyFont="1" applyBorder="1" applyAlignment="1">
      <alignment horizontal="center" vertical="center"/>
    </xf>
    <xf numFmtId="0" fontId="85" fillId="0" borderId="197" xfId="0" applyFont="1" applyBorder="1">
      <alignment vertical="center"/>
    </xf>
    <xf numFmtId="0" fontId="85" fillId="0" borderId="22" xfId="0" applyFont="1" applyBorder="1">
      <alignment vertical="center"/>
    </xf>
    <xf numFmtId="0" fontId="85" fillId="0" borderId="198" xfId="0" applyFont="1" applyBorder="1">
      <alignment vertical="center"/>
    </xf>
    <xf numFmtId="0" fontId="85" fillId="0" borderId="44" xfId="0" applyFont="1" applyBorder="1" applyAlignment="1">
      <alignment horizontal="center" vertical="center"/>
    </xf>
    <xf numFmtId="0" fontId="78" fillId="0" borderId="55" xfId="0" applyFont="1" applyBorder="1" applyAlignment="1">
      <alignment horizontal="center" vertical="center"/>
    </xf>
    <xf numFmtId="0" fontId="85" fillId="0" borderId="43" xfId="0" applyFont="1" applyBorder="1" applyAlignment="1">
      <alignment vertical="center" shrinkToFit="1"/>
    </xf>
    <xf numFmtId="0" fontId="85" fillId="0" borderId="28" xfId="0" applyFont="1" applyBorder="1" applyAlignment="1">
      <alignment vertical="center" shrinkToFit="1"/>
    </xf>
    <xf numFmtId="0" fontId="62" fillId="0" borderId="0" xfId="0" applyFont="1">
      <alignment vertical="center"/>
    </xf>
    <xf numFmtId="0" fontId="68" fillId="0" borderId="202" xfId="0" applyFont="1" applyBorder="1" applyProtection="1">
      <alignment vertical="center"/>
      <protection locked="0"/>
    </xf>
    <xf numFmtId="0" fontId="71" fillId="0" borderId="205" xfId="0" applyFont="1" applyBorder="1" applyAlignment="1">
      <alignment horizontal="center"/>
    </xf>
    <xf numFmtId="0" fontId="65" fillId="0" borderId="206" xfId="0" applyFont="1" applyBorder="1" applyAlignment="1">
      <alignment horizontal="center"/>
    </xf>
    <xf numFmtId="0" fontId="69" fillId="0" borderId="207" xfId="0" applyFont="1" applyBorder="1" applyAlignment="1" applyProtection="1">
      <alignment horizontal="center" vertical="center"/>
      <protection locked="0"/>
    </xf>
    <xf numFmtId="0" fontId="65" fillId="0" borderId="208" xfId="0" applyFont="1" applyBorder="1" applyAlignment="1">
      <alignment horizontal="center"/>
    </xf>
    <xf numFmtId="0" fontId="69" fillId="0" borderId="209" xfId="0" applyFont="1" applyBorder="1" applyAlignment="1" applyProtection="1">
      <alignment horizontal="left" vertical="center"/>
      <protection locked="0"/>
    </xf>
    <xf numFmtId="0" fontId="65" fillId="0" borderId="211" xfId="0" applyFont="1" applyBorder="1" applyAlignment="1">
      <alignment horizontal="center"/>
    </xf>
    <xf numFmtId="0" fontId="69" fillId="0" borderId="210" xfId="0" applyFont="1" applyBorder="1" applyAlignment="1" applyProtection="1">
      <alignment horizontal="center" vertical="center"/>
      <protection locked="0"/>
    </xf>
    <xf numFmtId="0" fontId="65" fillId="0" borderId="212" xfId="0" applyFont="1" applyBorder="1" applyAlignment="1">
      <alignment horizontal="center"/>
    </xf>
    <xf numFmtId="0" fontId="79" fillId="0" borderId="204" xfId="0" applyFont="1" applyBorder="1" applyAlignment="1" applyProtection="1">
      <alignment horizontal="center" vertical="center"/>
      <protection locked="0"/>
    </xf>
    <xf numFmtId="0" fontId="65" fillId="23" borderId="113" xfId="0" applyFont="1" applyFill="1" applyBorder="1" applyAlignment="1" applyProtection="1">
      <alignment horizontal="center" vertical="center"/>
      <protection locked="0"/>
    </xf>
    <xf numFmtId="0" fontId="73" fillId="24" borderId="214" xfId="0" applyFont="1" applyFill="1" applyBorder="1" applyAlignment="1" applyProtection="1">
      <alignment horizontal="center" vertical="center"/>
      <protection locked="0"/>
    </xf>
    <xf numFmtId="0" fontId="65" fillId="25" borderId="213" xfId="0" applyFont="1" applyFill="1" applyBorder="1" applyAlignment="1" applyProtection="1">
      <alignment horizontal="center" vertical="center"/>
      <protection locked="0"/>
    </xf>
    <xf numFmtId="0" fontId="0" fillId="12" borderId="0" xfId="0" applyFill="1" applyProtection="1">
      <alignment vertical="center"/>
      <protection hidden="1"/>
    </xf>
    <xf numFmtId="0" fontId="0" fillId="0" borderId="1" xfId="1" applyFont="1" applyFill="1" applyProtection="1">
      <alignment vertical="center"/>
      <protection hidden="1"/>
    </xf>
    <xf numFmtId="0" fontId="34" fillId="0" borderId="0" xfId="0" applyFont="1" applyProtection="1">
      <alignment vertical="center"/>
      <protection hidden="1"/>
    </xf>
    <xf numFmtId="0" fontId="4" fillId="7" borderId="216" xfId="4" applyNumberFormat="1" applyFont="1" applyFill="1" applyBorder="1">
      <alignment vertical="center"/>
    </xf>
    <xf numFmtId="0" fontId="5" fillId="7" borderId="216" xfId="0" applyFont="1" applyFill="1" applyBorder="1">
      <alignment vertical="center"/>
    </xf>
    <xf numFmtId="0" fontId="4" fillId="3" borderId="0" xfId="0" applyFont="1" applyFill="1">
      <alignment vertical="center"/>
    </xf>
    <xf numFmtId="0" fontId="89" fillId="7" borderId="0" xfId="18" applyFont="1" applyFill="1">
      <alignment vertical="center"/>
    </xf>
    <xf numFmtId="0" fontId="19" fillId="17" borderId="0" xfId="18" applyFill="1">
      <alignment vertical="center"/>
    </xf>
    <xf numFmtId="0" fontId="19" fillId="0" borderId="0" xfId="18">
      <alignment vertical="center"/>
    </xf>
    <xf numFmtId="0" fontId="8" fillId="17" borderId="19" xfId="17" applyFont="1" applyFill="1" applyBorder="1">
      <alignment vertical="center"/>
    </xf>
    <xf numFmtId="0" fontId="90" fillId="4" borderId="20" xfId="17" applyBorder="1">
      <alignment vertical="center"/>
    </xf>
    <xf numFmtId="0" fontId="90" fillId="4" borderId="21" xfId="17" applyBorder="1">
      <alignment vertical="center"/>
    </xf>
    <xf numFmtId="0" fontId="5" fillId="0" borderId="65" xfId="18" applyFont="1" applyBorder="1">
      <alignment vertical="center"/>
    </xf>
    <xf numFmtId="0" fontId="5" fillId="0" borderId="92" xfId="18" applyFont="1" applyBorder="1">
      <alignment vertical="center"/>
    </xf>
    <xf numFmtId="0" fontId="5" fillId="0" borderId="3" xfId="18" applyFont="1" applyBorder="1">
      <alignment vertical="center"/>
    </xf>
    <xf numFmtId="0" fontId="60" fillId="7" borderId="0" xfId="18" applyFont="1" applyFill="1">
      <alignment vertical="center"/>
    </xf>
    <xf numFmtId="0" fontId="19" fillId="7" borderId="0" xfId="18" applyFill="1">
      <alignment vertical="center"/>
    </xf>
    <xf numFmtId="0" fontId="9" fillId="7" borderId="0" xfId="18" applyFont="1" applyFill="1" applyAlignment="1">
      <alignment horizontal="right" vertical="center"/>
    </xf>
    <xf numFmtId="0" fontId="9" fillId="2" borderId="34" xfId="1" applyFont="1" applyBorder="1">
      <alignment vertical="center"/>
    </xf>
    <xf numFmtId="0" fontId="19" fillId="2" borderId="34" xfId="1" applyFont="1" applyBorder="1">
      <alignment vertical="center"/>
    </xf>
    <xf numFmtId="0" fontId="19" fillId="2" borderId="1" xfId="1" applyFont="1">
      <alignment vertical="center"/>
    </xf>
    <xf numFmtId="0" fontId="19" fillId="0" borderId="0" xfId="18" applyAlignment="1">
      <alignment horizontal="center" vertical="center"/>
    </xf>
    <xf numFmtId="9" fontId="5" fillId="7" borderId="0" xfId="18" applyNumberFormat="1" applyFont="1" applyFill="1">
      <alignment vertical="center"/>
    </xf>
    <xf numFmtId="0" fontId="5" fillId="7" borderId="0" xfId="18" applyFont="1" applyFill="1">
      <alignment vertical="center"/>
    </xf>
    <xf numFmtId="0" fontId="0" fillId="0" borderId="1" xfId="1" applyFont="1" applyFill="1">
      <alignment vertical="center"/>
    </xf>
    <xf numFmtId="0" fontId="0" fillId="12" borderId="1" xfId="1" applyFont="1" applyFill="1">
      <alignment vertical="center"/>
    </xf>
    <xf numFmtId="0" fontId="0" fillId="12" borderId="34" xfId="1" applyFont="1" applyFill="1" applyBorder="1" applyProtection="1">
      <alignment vertical="center"/>
    </xf>
    <xf numFmtId="0" fontId="0" fillId="12" borderId="34" xfId="1" applyFont="1" applyFill="1" applyBorder="1">
      <alignment vertical="center"/>
    </xf>
    <xf numFmtId="0" fontId="0" fillId="12" borderId="218" xfId="0" applyFill="1" applyBorder="1">
      <alignment vertical="center"/>
    </xf>
    <xf numFmtId="0" fontId="4" fillId="0" borderId="219" xfId="0" applyFont="1" applyBorder="1">
      <alignment vertical="center"/>
    </xf>
    <xf numFmtId="0" fontId="0" fillId="12" borderId="220" xfId="0" applyFill="1" applyBorder="1">
      <alignment vertical="center"/>
    </xf>
    <xf numFmtId="0" fontId="0" fillId="0" borderId="219" xfId="0" applyBorder="1">
      <alignment vertical="center"/>
    </xf>
    <xf numFmtId="0" fontId="0" fillId="12" borderId="221" xfId="0" applyFill="1" applyBorder="1">
      <alignment vertical="center"/>
    </xf>
    <xf numFmtId="0" fontId="0" fillId="12" borderId="219" xfId="0" applyFill="1" applyBorder="1">
      <alignment vertical="center"/>
    </xf>
    <xf numFmtId="0" fontId="0" fillId="12" borderId="222" xfId="0" applyFill="1" applyBorder="1">
      <alignment vertical="center"/>
    </xf>
    <xf numFmtId="0" fontId="56" fillId="0" borderId="98" xfId="0" applyFont="1" applyBorder="1" applyProtection="1">
      <alignment vertical="center"/>
      <protection hidden="1"/>
    </xf>
    <xf numFmtId="0" fontId="0" fillId="0" borderId="223" xfId="0" applyBorder="1" applyProtection="1">
      <alignment vertical="center"/>
      <protection hidden="1"/>
    </xf>
    <xf numFmtId="0" fontId="0" fillId="0" borderId="168" xfId="0" applyBorder="1" applyProtection="1">
      <alignment vertical="center"/>
      <protection hidden="1"/>
    </xf>
    <xf numFmtId="0" fontId="0" fillId="0" borderId="224" xfId="0" applyBorder="1" applyProtection="1">
      <alignment vertical="center"/>
      <protection hidden="1"/>
    </xf>
    <xf numFmtId="0" fontId="0" fillId="0" borderId="225" xfId="0" applyBorder="1" applyProtection="1">
      <alignment vertical="center"/>
      <protection hidden="1"/>
    </xf>
    <xf numFmtId="0" fontId="0" fillId="0" borderId="226" xfId="0" applyBorder="1" applyProtection="1">
      <alignment vertical="center"/>
      <protection hidden="1"/>
    </xf>
    <xf numFmtId="0" fontId="27" fillId="0" borderId="168" xfId="0" applyFont="1" applyBorder="1" applyProtection="1">
      <alignment vertical="center"/>
      <protection hidden="1"/>
    </xf>
    <xf numFmtId="0" fontId="0" fillId="0" borderId="228" xfId="0" applyBorder="1" applyAlignment="1" applyProtection="1">
      <alignment horizontal="center" vertical="center"/>
      <protection locked="0" hidden="1"/>
    </xf>
    <xf numFmtId="0" fontId="0" fillId="0" borderId="228" xfId="0" applyBorder="1" applyAlignment="1" applyProtection="1">
      <alignment horizontal="center" vertical="center" shrinkToFit="1"/>
      <protection locked="0" hidden="1"/>
    </xf>
    <xf numFmtId="0" fontId="0" fillId="0" borderId="228" xfId="0" applyBorder="1" applyAlignment="1" applyProtection="1">
      <alignment horizontal="center" vertical="center"/>
      <protection hidden="1"/>
    </xf>
    <xf numFmtId="0" fontId="0" fillId="0" borderId="229" xfId="0" applyBorder="1" applyAlignment="1" applyProtection="1">
      <alignment horizontal="center" vertical="center"/>
      <protection hidden="1"/>
    </xf>
    <xf numFmtId="2" fontId="0" fillId="0" borderId="228" xfId="0" applyNumberFormat="1" applyBorder="1" applyAlignment="1" applyProtection="1">
      <alignment horizontal="center" vertical="center"/>
      <protection hidden="1"/>
    </xf>
    <xf numFmtId="0" fontId="4" fillId="0" borderId="229" xfId="0" applyFont="1" applyBorder="1" applyAlignment="1" applyProtection="1">
      <alignment horizontal="center" vertical="center"/>
      <protection hidden="1"/>
    </xf>
    <xf numFmtId="0" fontId="4" fillId="0" borderId="228" xfId="0" applyFont="1" applyBorder="1" applyAlignment="1" applyProtection="1">
      <alignment horizontal="center" vertical="center"/>
      <protection hidden="1"/>
    </xf>
    <xf numFmtId="0" fontId="0" fillId="0" borderId="227" xfId="0" applyBorder="1" applyAlignment="1" applyProtection="1">
      <alignment horizontal="center" vertical="center"/>
      <protection hidden="1"/>
    </xf>
    <xf numFmtId="0" fontId="0" fillId="0" borderId="228" xfId="0" applyBorder="1">
      <alignment vertical="center"/>
    </xf>
    <xf numFmtId="0" fontId="0" fillId="0" borderId="231" xfId="0" applyBorder="1">
      <alignment vertical="center"/>
    </xf>
    <xf numFmtId="0" fontId="9" fillId="12" borderId="0" xfId="0" applyFont="1" applyFill="1" applyProtection="1">
      <alignment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4" fillId="0" borderId="65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0" fillId="3" borderId="62" xfId="1" applyFont="1" applyFill="1" applyBorder="1">
      <alignment vertical="center"/>
    </xf>
    <xf numFmtId="0" fontId="0" fillId="3" borderId="63" xfId="1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95" xfId="1" applyFont="1" applyFill="1" applyBorder="1">
      <alignment vertical="center"/>
    </xf>
    <xf numFmtId="0" fontId="0" fillId="3" borderId="232" xfId="1" applyFont="1" applyFill="1" applyBorder="1">
      <alignment vertical="center"/>
    </xf>
    <xf numFmtId="0" fontId="0" fillId="3" borderId="64" xfId="1" applyFont="1" applyFill="1" applyBorder="1">
      <alignment vertical="center"/>
    </xf>
    <xf numFmtId="0" fontId="4" fillId="0" borderId="43" xfId="0" applyFont="1" applyBorder="1">
      <alignment vertical="center"/>
    </xf>
    <xf numFmtId="0" fontId="5" fillId="0" borderId="39" xfId="0" applyFont="1" applyBorder="1">
      <alignment vertical="center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0" fontId="32" fillId="0" borderId="39" xfId="0" applyFont="1" applyBorder="1">
      <alignment vertical="center"/>
    </xf>
    <xf numFmtId="0" fontId="0" fillId="16" borderId="35" xfId="0" applyFill="1" applyBorder="1">
      <alignment vertical="center"/>
    </xf>
    <xf numFmtId="0" fontId="0" fillId="16" borderId="36" xfId="0" applyFill="1" applyBorder="1">
      <alignment vertical="center"/>
    </xf>
    <xf numFmtId="0" fontId="4" fillId="16" borderId="37" xfId="0" applyFont="1" applyFill="1" applyBorder="1">
      <alignment vertical="center"/>
    </xf>
    <xf numFmtId="0" fontId="0" fillId="0" borderId="230" xfId="0" applyBorder="1" applyAlignment="1">
      <alignment horizontal="center" vertical="center"/>
    </xf>
    <xf numFmtId="0" fontId="0" fillId="0" borderId="228" xfId="0" applyBorder="1" applyAlignment="1">
      <alignment horizontal="center" vertical="center"/>
    </xf>
    <xf numFmtId="0" fontId="92" fillId="0" borderId="231" xfId="0" applyFont="1" applyBorder="1" applyAlignment="1">
      <alignment horizontal="center" vertical="center"/>
    </xf>
    <xf numFmtId="0" fontId="0" fillId="0" borderId="60" xfId="0" applyBorder="1" applyProtection="1">
      <alignment vertical="center"/>
      <protection hidden="1"/>
    </xf>
    <xf numFmtId="0" fontId="0" fillId="0" borderId="233" xfId="0" applyBorder="1" applyProtection="1">
      <alignment vertical="center"/>
      <protection hidden="1"/>
    </xf>
    <xf numFmtId="0" fontId="0" fillId="28" borderId="234" xfId="0" applyFill="1" applyBorder="1" applyProtection="1">
      <alignment vertical="center"/>
      <protection hidden="1"/>
    </xf>
    <xf numFmtId="0" fontId="0" fillId="0" borderId="235" xfId="0" applyBorder="1" applyProtection="1">
      <alignment vertical="center"/>
      <protection hidden="1"/>
    </xf>
    <xf numFmtId="0" fontId="0" fillId="0" borderId="237" xfId="0" applyBorder="1" applyProtection="1">
      <alignment vertical="center"/>
      <protection hidden="1"/>
    </xf>
    <xf numFmtId="0" fontId="0" fillId="28" borderId="236" xfId="0" applyFill="1" applyBorder="1" applyProtection="1">
      <alignment vertical="center"/>
      <protection hidden="1"/>
    </xf>
    <xf numFmtId="0" fontId="0" fillId="28" borderId="238" xfId="0" applyFill="1" applyBorder="1" applyProtection="1">
      <alignment vertical="center"/>
      <protection hidden="1"/>
    </xf>
    <xf numFmtId="0" fontId="0" fillId="28" borderId="19" xfId="0" applyFill="1" applyBorder="1" applyProtection="1">
      <alignment vertical="center"/>
      <protection hidden="1"/>
    </xf>
    <xf numFmtId="0" fontId="0" fillId="28" borderId="20" xfId="0" applyFill="1" applyBorder="1" applyProtection="1">
      <alignment vertical="center"/>
      <protection hidden="1"/>
    </xf>
    <xf numFmtId="0" fontId="0" fillId="28" borderId="21" xfId="0" applyFill="1" applyBorder="1" applyProtection="1">
      <alignment vertical="center"/>
      <protection hidden="1"/>
    </xf>
    <xf numFmtId="0" fontId="35" fillId="0" borderId="0" xfId="0" applyFont="1" applyAlignment="1" applyProtection="1">
      <alignment horizontal="left" vertical="center"/>
      <protection hidden="1"/>
    </xf>
    <xf numFmtId="0" fontId="0" fillId="0" borderId="36" xfId="0" applyBorder="1" applyProtection="1">
      <alignment vertical="center"/>
      <protection hidden="1"/>
    </xf>
    <xf numFmtId="0" fontId="0" fillId="0" borderId="37" xfId="0" applyBorder="1" applyProtection="1">
      <alignment vertical="center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230" xfId="0" applyBorder="1" applyAlignment="1" applyProtection="1">
      <alignment horizontal="center" vertical="center"/>
      <protection hidden="1"/>
    </xf>
    <xf numFmtId="0" fontId="0" fillId="12" borderId="65" xfId="0" applyFill="1" applyBorder="1" applyAlignment="1" applyProtection="1">
      <alignment horizontal="right" vertical="center"/>
      <protection hidden="1"/>
    </xf>
    <xf numFmtId="0" fontId="0" fillId="12" borderId="92" xfId="0" applyFill="1" applyBorder="1" applyAlignment="1" applyProtection="1">
      <alignment horizontal="right" vertical="center"/>
      <protection hidden="1"/>
    </xf>
    <xf numFmtId="0" fontId="0" fillId="12" borderId="92" xfId="0" applyFill="1" applyBorder="1" applyProtection="1">
      <alignment vertical="center"/>
      <protection hidden="1"/>
    </xf>
    <xf numFmtId="177" fontId="0" fillId="12" borderId="92" xfId="0" applyNumberFormat="1" applyFill="1" applyBorder="1" applyProtection="1">
      <alignment vertical="center"/>
      <protection hidden="1"/>
    </xf>
    <xf numFmtId="177" fontId="0" fillId="12" borderId="3" xfId="0" applyNumberFormat="1" applyFill="1" applyBorder="1" applyProtection="1">
      <alignment vertical="center"/>
      <protection hidden="1"/>
    </xf>
    <xf numFmtId="0" fontId="0" fillId="29" borderId="0" xfId="0" applyFill="1" applyProtection="1">
      <alignment vertical="center"/>
      <protection hidden="1"/>
    </xf>
    <xf numFmtId="182" fontId="0" fillId="0" borderId="36" xfId="0" applyNumberFormat="1" applyBorder="1" applyAlignment="1" applyProtection="1">
      <alignment horizontal="right" vertical="center"/>
      <protection hidden="1"/>
    </xf>
    <xf numFmtId="182" fontId="0" fillId="0" borderId="36" xfId="0" applyNumberFormat="1" applyBorder="1" applyProtection="1">
      <alignment vertical="center"/>
      <protection hidden="1"/>
    </xf>
    <xf numFmtId="182" fontId="0" fillId="0" borderId="37" xfId="0" applyNumberFormat="1" applyBorder="1" applyProtection="1">
      <alignment vertical="center"/>
      <protection hidden="1"/>
    </xf>
    <xf numFmtId="182" fontId="0" fillId="0" borderId="0" xfId="0" applyNumberFormat="1" applyProtection="1">
      <alignment vertical="center"/>
      <protection hidden="1"/>
    </xf>
    <xf numFmtId="182" fontId="0" fillId="0" borderId="38" xfId="0" applyNumberFormat="1" applyBorder="1" applyProtection="1">
      <alignment vertical="center"/>
      <protection hidden="1"/>
    </xf>
    <xf numFmtId="182" fontId="0" fillId="0" borderId="0" xfId="0" applyNumberFormat="1" applyAlignment="1" applyProtection="1">
      <alignment horizontal="right" vertical="center"/>
      <protection hidden="1"/>
    </xf>
    <xf numFmtId="182" fontId="0" fillId="0" borderId="228" xfId="0" applyNumberFormat="1" applyBorder="1" applyProtection="1">
      <alignment vertical="center"/>
      <protection hidden="1"/>
    </xf>
    <xf numFmtId="182" fontId="0" fillId="0" borderId="231" xfId="0" applyNumberFormat="1" applyBorder="1" applyProtection="1">
      <alignment vertical="center"/>
      <protection hidden="1"/>
    </xf>
    <xf numFmtId="0" fontId="0" fillId="7" borderId="65" xfId="0" applyFill="1" applyBorder="1" applyProtection="1">
      <alignment vertical="center"/>
      <protection hidden="1"/>
    </xf>
    <xf numFmtId="0" fontId="0" fillId="7" borderId="92" xfId="0" applyFill="1" applyBorder="1" applyProtection="1">
      <alignment vertical="center"/>
      <protection hidden="1"/>
    </xf>
    <xf numFmtId="0" fontId="0" fillId="7" borderId="3" xfId="0" applyFill="1" applyBorder="1" applyProtection="1">
      <alignment vertical="center"/>
      <protection hidden="1"/>
    </xf>
    <xf numFmtId="177" fontId="0" fillId="0" borderId="35" xfId="0" applyNumberFormat="1" applyBorder="1" applyAlignment="1" applyProtection="1">
      <alignment horizontal="center" vertical="center"/>
      <protection hidden="1"/>
    </xf>
    <xf numFmtId="0" fontId="0" fillId="0" borderId="4" xfId="0" applyBorder="1" applyAlignment="1">
      <alignment horizontal="center" vertical="center"/>
    </xf>
    <xf numFmtId="177" fontId="0" fillId="0" borderId="4" xfId="0" applyNumberFormat="1" applyBorder="1" applyAlignment="1" applyProtection="1">
      <alignment horizontal="center" vertical="center"/>
      <protection hidden="1"/>
    </xf>
    <xf numFmtId="0" fontId="4" fillId="0" borderId="38" xfId="0" applyFont="1" applyBorder="1" applyProtection="1">
      <alignment vertical="center"/>
      <protection hidden="1"/>
    </xf>
    <xf numFmtId="0" fontId="4" fillId="0" borderId="228" xfId="0" applyFont="1" applyBorder="1" applyProtection="1">
      <alignment vertical="center"/>
      <protection hidden="1"/>
    </xf>
    <xf numFmtId="0" fontId="4" fillId="0" borderId="231" xfId="0" applyFont="1" applyBorder="1" applyProtection="1">
      <alignment vertical="center"/>
      <protection hidden="1"/>
    </xf>
    <xf numFmtId="0" fontId="0" fillId="11" borderId="239" xfId="1" applyFont="1" applyFill="1" applyBorder="1" applyProtection="1">
      <alignment vertical="center"/>
      <protection hidden="1"/>
    </xf>
    <xf numFmtId="0" fontId="0" fillId="0" borderId="38" xfId="0" applyBorder="1" applyProtection="1">
      <alignment vertical="center"/>
      <protection hidden="1"/>
    </xf>
    <xf numFmtId="0" fontId="22" fillId="0" borderId="38" xfId="0" applyFont="1" applyBorder="1" applyProtection="1">
      <alignment vertical="center"/>
      <protection hidden="1"/>
    </xf>
    <xf numFmtId="0" fontId="5" fillId="0" borderId="38" xfId="0" applyFont="1" applyBorder="1" applyProtection="1">
      <alignment vertical="center"/>
      <protection hidden="1"/>
    </xf>
    <xf numFmtId="0" fontId="0" fillId="2" borderId="240" xfId="1" applyFont="1" applyBorder="1" applyProtection="1">
      <alignment vertical="center"/>
      <protection hidden="1"/>
    </xf>
    <xf numFmtId="0" fontId="0" fillId="3" borderId="241" xfId="1" applyFont="1" applyFill="1" applyBorder="1" applyProtection="1">
      <alignment vertical="center"/>
      <protection hidden="1"/>
    </xf>
    <xf numFmtId="0" fontId="0" fillId="18" borderId="0" xfId="0" applyFill="1" applyProtection="1">
      <alignment vertical="center"/>
      <protection hidden="1"/>
    </xf>
    <xf numFmtId="0" fontId="65" fillId="0" borderId="243" xfId="0" applyFont="1" applyBorder="1" applyAlignment="1">
      <alignment horizontal="center" vertical="center" wrapText="1"/>
    </xf>
    <xf numFmtId="0" fontId="64" fillId="0" borderId="244" xfId="0" applyFont="1" applyBorder="1" applyAlignment="1" applyProtection="1">
      <alignment horizontal="center" vertical="center"/>
      <protection locked="0"/>
    </xf>
    <xf numFmtId="0" fontId="76" fillId="0" borderId="245" xfId="0" applyFont="1" applyBorder="1" applyAlignment="1">
      <alignment horizontal="center" vertical="center" wrapText="1"/>
    </xf>
    <xf numFmtId="0" fontId="78" fillId="0" borderId="163" xfId="0" applyFont="1" applyBorder="1" applyAlignment="1" applyProtection="1">
      <alignment horizontal="center" vertical="center"/>
      <protection locked="0"/>
    </xf>
    <xf numFmtId="0" fontId="71" fillId="0" borderId="71" xfId="0" applyFont="1" applyBorder="1" applyAlignment="1">
      <alignment horizontal="center" vertical="center"/>
    </xf>
    <xf numFmtId="0" fontId="65" fillId="23" borderId="32" xfId="0" applyFont="1" applyFill="1" applyBorder="1" applyAlignment="1" applyProtection="1">
      <alignment horizontal="center" vertical="center"/>
      <protection locked="0"/>
    </xf>
    <xf numFmtId="0" fontId="74" fillId="24" borderId="58" xfId="0" applyFont="1" applyFill="1" applyBorder="1" applyAlignment="1" applyProtection="1">
      <alignment horizontal="center" vertical="center"/>
      <protection locked="0"/>
    </xf>
    <xf numFmtId="0" fontId="65" fillId="25" borderId="33" xfId="0" applyFont="1" applyFill="1" applyBorder="1" applyAlignment="1" applyProtection="1">
      <alignment horizontal="center" vertical="center"/>
      <protection locked="0"/>
    </xf>
    <xf numFmtId="0" fontId="83" fillId="0" borderId="166" xfId="0" applyFont="1" applyBorder="1" applyAlignment="1" applyProtection="1">
      <alignment horizontal="left" wrapText="1"/>
      <protection locked="0"/>
    </xf>
    <xf numFmtId="0" fontId="0" fillId="0" borderId="173" xfId="0" applyBorder="1" applyAlignment="1" applyProtection="1">
      <alignment vertical="center" shrinkToFit="1"/>
      <protection locked="0"/>
    </xf>
    <xf numFmtId="0" fontId="79" fillId="0" borderId="161" xfId="0" applyFont="1" applyBorder="1" applyAlignment="1" applyProtection="1">
      <alignment vertical="center" shrinkToFit="1"/>
      <protection locked="0"/>
    </xf>
    <xf numFmtId="0" fontId="79" fillId="0" borderId="56" xfId="0" applyFont="1" applyBorder="1" applyAlignment="1" applyProtection="1">
      <alignment vertical="center" shrinkToFit="1"/>
      <protection locked="0"/>
    </xf>
    <xf numFmtId="0" fontId="79" fillId="0" borderId="29" xfId="0" applyFont="1" applyBorder="1" applyAlignment="1" applyProtection="1">
      <alignment vertical="center" shrinkToFit="1"/>
      <protection locked="0"/>
    </xf>
    <xf numFmtId="0" fontId="85" fillId="0" borderId="0" xfId="0" applyFont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93" fillId="0" borderId="1" xfId="0" applyFont="1" applyBorder="1">
      <alignment vertical="center"/>
    </xf>
    <xf numFmtId="0" fontId="94" fillId="0" borderId="242" xfId="0" applyFont="1" applyBorder="1" applyAlignment="1">
      <alignment horizontal="center" vertical="center" wrapText="1"/>
    </xf>
    <xf numFmtId="0" fontId="95" fillId="0" borderId="0" xfId="0" applyFont="1">
      <alignment vertical="center"/>
    </xf>
    <xf numFmtId="0" fontId="92" fillId="0" borderId="0" xfId="0" applyFont="1">
      <alignment vertical="center"/>
    </xf>
    <xf numFmtId="0" fontId="96" fillId="0" borderId="0" xfId="0" applyFont="1">
      <alignment vertical="center"/>
    </xf>
    <xf numFmtId="0" fontId="0" fillId="0" borderId="229" xfId="0" applyBorder="1" applyAlignment="1" applyProtection="1">
      <alignment horizontal="center" vertical="center"/>
      <protection locked="0" hidden="1"/>
    </xf>
    <xf numFmtId="0" fontId="0" fillId="0" borderId="17" xfId="0" applyBorder="1" applyAlignment="1">
      <alignment vertical="center" shrinkToFit="1"/>
    </xf>
    <xf numFmtId="0" fontId="40" fillId="11" borderId="0" xfId="0" applyFont="1" applyFill="1" applyAlignment="1">
      <alignment horizontal="center" vertical="center"/>
    </xf>
    <xf numFmtId="0" fontId="40" fillId="11" borderId="0" xfId="0" applyFont="1" applyFill="1">
      <alignment vertical="center"/>
    </xf>
    <xf numFmtId="0" fontId="0" fillId="11" borderId="0" xfId="0" applyFill="1">
      <alignment vertical="center"/>
    </xf>
    <xf numFmtId="0" fontId="48" fillId="11" borderId="0" xfId="0" applyFont="1" applyFill="1" applyAlignment="1">
      <alignment horizontal="center" vertical="center"/>
    </xf>
    <xf numFmtId="0" fontId="48" fillId="0" borderId="52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71" fillId="0" borderId="113" xfId="0" applyFont="1" applyBorder="1" applyAlignment="1">
      <alignment horizontal="center" vertical="center" wrapText="1"/>
    </xf>
    <xf numFmtId="0" fontId="68" fillId="0" borderId="116" xfId="0" applyFont="1" applyBorder="1" applyAlignment="1">
      <alignment vertical="center" wrapText="1"/>
    </xf>
    <xf numFmtId="0" fontId="0" fillId="0" borderId="114" xfId="0" applyBorder="1" applyAlignment="1">
      <alignment vertical="center" wrapText="1"/>
    </xf>
    <xf numFmtId="0" fontId="0" fillId="0" borderId="120" xfId="0" applyBorder="1" applyAlignment="1">
      <alignment vertical="center" wrapText="1"/>
    </xf>
    <xf numFmtId="0" fontId="71" fillId="0" borderId="199" xfId="0" applyFont="1" applyBorder="1" applyAlignment="1">
      <alignment horizontal="center" vertical="center" wrapText="1"/>
    </xf>
    <xf numFmtId="0" fontId="77" fillId="0" borderId="199" xfId="0" applyFont="1" applyBorder="1" applyAlignment="1">
      <alignment horizontal="center" vertical="center"/>
    </xf>
    <xf numFmtId="0" fontId="77" fillId="0" borderId="200" xfId="0" applyFont="1" applyBorder="1" applyAlignment="1">
      <alignment horizontal="center" vertical="center"/>
    </xf>
    <xf numFmtId="0" fontId="83" fillId="0" borderId="119" xfId="0" applyFont="1" applyBorder="1" applyAlignment="1">
      <alignment horizontal="center" wrapText="1"/>
    </xf>
    <xf numFmtId="0" fontId="69" fillId="0" borderId="121" xfId="0" applyFont="1" applyBorder="1" applyAlignment="1">
      <alignment horizontal="center" wrapText="1"/>
    </xf>
    <xf numFmtId="0" fontId="71" fillId="0" borderId="118" xfId="0" applyFont="1" applyBorder="1" applyAlignment="1">
      <alignment horizontal="center"/>
    </xf>
    <xf numFmtId="0" fontId="0" fillId="0" borderId="122" xfId="0" applyBorder="1" applyAlignment="1">
      <alignment horizontal="center"/>
    </xf>
    <xf numFmtId="0" fontId="0" fillId="11" borderId="40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0" fontId="0" fillId="11" borderId="42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71" fillId="0" borderId="117" xfId="0" applyFont="1" applyBorder="1" applyAlignment="1">
      <alignment horizontal="center"/>
    </xf>
    <xf numFmtId="0" fontId="0" fillId="0" borderId="0" xfId="0" applyAlignment="1">
      <alignment horizontal="center"/>
    </xf>
    <xf numFmtId="0" fontId="71" fillId="0" borderId="117" xfId="0" applyFont="1" applyBorder="1" applyAlignment="1">
      <alignment horizontal="center" wrapText="1"/>
    </xf>
    <xf numFmtId="0" fontId="0" fillId="0" borderId="98" xfId="0" applyBorder="1" applyAlignment="1">
      <alignment horizontal="center" wrapText="1"/>
    </xf>
    <xf numFmtId="0" fontId="71" fillId="0" borderId="128" xfId="0" applyFont="1" applyBorder="1" applyAlignment="1">
      <alignment horizontal="center"/>
    </xf>
    <xf numFmtId="0" fontId="0" fillId="0" borderId="129" xfId="0" applyBorder="1" applyAlignment="1"/>
    <xf numFmtId="0" fontId="0" fillId="0" borderId="201" xfId="0" applyBorder="1" applyAlignment="1"/>
    <xf numFmtId="0" fontId="71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9" fillId="0" borderId="120" xfId="0" applyFont="1" applyBorder="1" applyAlignment="1">
      <alignment horizontal="center"/>
    </xf>
    <xf numFmtId="0" fontId="0" fillId="0" borderId="208" xfId="0" applyBorder="1" applyAlignment="1">
      <alignment horizontal="center"/>
    </xf>
    <xf numFmtId="0" fontId="65" fillId="0" borderId="98" xfId="0" applyFont="1" applyBorder="1" applyAlignment="1">
      <alignment horizontal="center"/>
    </xf>
    <xf numFmtId="0" fontId="0" fillId="0" borderId="203" xfId="0" applyBorder="1" applyAlignment="1">
      <alignment horizontal="center"/>
    </xf>
    <xf numFmtId="0" fontId="71" fillId="0" borderId="122" xfId="0" applyFont="1" applyBorder="1" applyAlignment="1">
      <alignment horizontal="center"/>
    </xf>
    <xf numFmtId="0" fontId="0" fillId="0" borderId="0" xfId="0" applyAlignment="1"/>
    <xf numFmtId="0" fontId="0" fillId="0" borderId="120" xfId="0" applyBorder="1" applyAlignment="1"/>
    <xf numFmtId="0" fontId="69" fillId="7" borderId="175" xfId="0" applyFont="1" applyFill="1" applyBorder="1" applyAlignment="1">
      <alignment horizontal="center" vertical="center"/>
    </xf>
    <xf numFmtId="0" fontId="0" fillId="7" borderId="176" xfId="0" applyFill="1" applyBorder="1" applyAlignment="1">
      <alignment horizontal="center" vertical="center"/>
    </xf>
    <xf numFmtId="0" fontId="0" fillId="7" borderId="177" xfId="0" applyFill="1" applyBorder="1" applyAlignment="1">
      <alignment horizontal="center" vertical="center"/>
    </xf>
    <xf numFmtId="0" fontId="80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70" fillId="21" borderId="112" xfId="0" applyFont="1" applyFill="1" applyBorder="1" applyAlignment="1">
      <alignment horizontal="center" vertical="center"/>
    </xf>
    <xf numFmtId="0" fontId="70" fillId="21" borderId="0" xfId="0" applyFont="1" applyFill="1" applyAlignment="1">
      <alignment horizontal="center" vertical="center"/>
    </xf>
    <xf numFmtId="0" fontId="66" fillId="20" borderId="0" xfId="0" applyFont="1" applyFill="1" applyAlignment="1">
      <alignment horizontal="center" vertical="center"/>
    </xf>
    <xf numFmtId="0" fontId="68" fillId="0" borderId="0" xfId="0" applyFont="1">
      <alignment vertical="center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39" fillId="10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51" fillId="10" borderId="0" xfId="0" applyFont="1" applyFill="1" applyAlignment="1">
      <alignment horizontal="center" vertical="center"/>
    </xf>
  </cellXfs>
  <cellStyles count="49">
    <cellStyle name="계산 2" xfId="40" xr:uid="{EE36BD8E-48C6-4EB5-B34B-F0EDB0ED51E6}"/>
    <cellStyle name="계산 3" xfId="26" xr:uid="{64F84EC1-F9F2-4F22-9C8D-E2EDAAD7ACC2}"/>
    <cellStyle name="나쁨 2" xfId="39" xr:uid="{B47334FC-6A0F-4B80-BFFE-7F91E20FD597}"/>
    <cellStyle name="나쁨 3" xfId="30" xr:uid="{D031B79E-33EC-43DA-8F14-F6366D7FAAEA}"/>
    <cellStyle name="메모" xfId="1" builtinId="10" customBuiltin="1"/>
    <cellStyle name="메모 2" xfId="11" xr:uid="{95F90F82-8A1D-4B3B-AEA2-BFBC860D59B4}"/>
    <cellStyle name="메모 3" xfId="12" xr:uid="{F1CF2DDF-C851-4CA9-A1E8-7C66908A07A5}"/>
    <cellStyle name="메모 3 2" xfId="15" xr:uid="{88776845-5BA9-42BD-9A9A-EBB67FF387E7}"/>
    <cellStyle name="메모 3 3" xfId="24" xr:uid="{7DA3E081-680A-4EBE-9BF9-70A569B10F27}"/>
    <cellStyle name="메모 3_배치점수 계산기" xfId="16" xr:uid="{64199045-40B6-4264-A962-6ED1B75EBB09}"/>
    <cellStyle name="메모 4" xfId="19" xr:uid="{63299D81-2364-4C6F-9F5B-A21DB427F8FE}"/>
    <cellStyle name="메모 5" xfId="37" xr:uid="{D2C236AE-BCD6-4AC2-ADE7-3999EAA79B31}"/>
    <cellStyle name="메모 6" xfId="42" xr:uid="{4BC50254-1E30-4631-8603-740E1E7D62CD}"/>
    <cellStyle name="메모 7" xfId="27" xr:uid="{C52E1A86-5B68-4AFC-AA39-C09A9AE3E8CB}"/>
    <cellStyle name="메모 8" xfId="48" xr:uid="{20174174-7EAA-438D-A496-4D51A816321D}"/>
    <cellStyle name="백분율" xfId="4" builtinId="5"/>
    <cellStyle name="백분율 2" xfId="9" xr:uid="{6860096D-FA28-40AD-B839-00E649FEB28E}"/>
    <cellStyle name="백분율 3" xfId="29" xr:uid="{783F55D1-D605-4046-A327-D0DF12FE22DD}"/>
    <cellStyle name="보통" xfId="3" builtinId="28"/>
    <cellStyle name="쉼표 [0] 2" xfId="10" xr:uid="{BAA4861C-2AC3-4825-9DCF-6BEE8E84E78D}"/>
    <cellStyle name="쉼표 [0] 2 2" xfId="34" xr:uid="{A9AE2710-391C-4639-B8D5-2803A976EE19}"/>
    <cellStyle name="쉼표 [0] 2 2 2" xfId="45" xr:uid="{3691AF18-B470-44B4-B31D-014E11193BC4}"/>
    <cellStyle name="쉼표 [0] 2 3" xfId="41" xr:uid="{3EFA7887-906A-4191-942A-2C41324D657C}"/>
    <cellStyle name="쉼표 [0] 2 4" xfId="28" xr:uid="{8EB3F3FB-B3BC-4B84-BCFB-63D46CFF173F}"/>
    <cellStyle name="쉼표 [0] 3" xfId="8" xr:uid="{85D37D96-0D64-4BFB-99C2-63ABEE1A2F21}"/>
    <cellStyle name="쉼표 [0] 3 2" xfId="35" xr:uid="{F56E859F-6900-4340-8FC8-B95C26A089B1}"/>
    <cellStyle name="쉼표 [0] 3 2 2" xfId="46" xr:uid="{354594C6-AE03-4B7E-9F3F-AC85DA201740}"/>
    <cellStyle name="쉼표 [0] 3 3" xfId="43" xr:uid="{96A1B6FB-ACC6-4F21-887A-F8E32FE5B39B}"/>
    <cellStyle name="쉼표 [0] 3 4" xfId="31" xr:uid="{85D05E06-30E2-4540-A650-0454A9B58F1E}"/>
    <cellStyle name="쉼표 [0] 4" xfId="25" xr:uid="{7949293B-C95B-411C-B81F-337E71AF0CCF}"/>
    <cellStyle name="쉼표 [0] 4 2" xfId="44" xr:uid="{BA36558F-6D1D-4BCD-BFD4-E42907FC761C}"/>
    <cellStyle name="쉼표 [0] 5" xfId="38" xr:uid="{EBF2C23F-9980-479E-A7B7-46833599224D}"/>
    <cellStyle name="쉼표 [0] 6" xfId="47" xr:uid="{14617BA0-DFF4-472C-9C9D-EBD38B2997B6}"/>
    <cellStyle name="좋음" xfId="2" builtinId="26"/>
    <cellStyle name="좋음 2" xfId="32" xr:uid="{8873E801-6E57-4BA7-899A-1BA4147A16DC}"/>
    <cellStyle name="좋음 3" xfId="36" xr:uid="{2728B4C2-7427-40D2-A11C-679A626B2F2E}"/>
    <cellStyle name="좋음 4" xfId="20" xr:uid="{AA23368F-94A3-4C11-BC5F-91A6DF681456}"/>
    <cellStyle name="좋음_배치점수 계산기" xfId="17" xr:uid="{F2B0F959-E59B-420F-A347-B9D4D549043F}"/>
    <cellStyle name="표준" xfId="0" builtinId="0"/>
    <cellStyle name="표준 2" xfId="6" xr:uid="{5BD27DEF-23C4-453C-83D5-9450CD66AEF7}"/>
    <cellStyle name="표준 2 2" xfId="7" xr:uid="{4CFB5EC7-3B04-46FA-8452-AB61457899C9}"/>
    <cellStyle name="표준 2 3" xfId="13" xr:uid="{B087E0C7-3B71-4B9D-BA37-B7020A2AF4AC}"/>
    <cellStyle name="표준 2 4" xfId="33" xr:uid="{DF9A886B-555A-4E3A-87EC-841EC0831185}"/>
    <cellStyle name="표준 2 5" xfId="22" xr:uid="{01D7AFCB-BDDF-483B-BAF8-F248ADF1B757}"/>
    <cellStyle name="표준 3" xfId="5" xr:uid="{68840923-DBC5-4A01-B54D-8BA107F56EC0}"/>
    <cellStyle name="표준 3 2" xfId="14" xr:uid="{DC414636-AF55-4E2E-BE94-6560C7A44420}"/>
    <cellStyle name="표준 4" xfId="23" xr:uid="{95C7761A-1445-4198-AC65-5BF03A4CE0B5}"/>
    <cellStyle name="표준 4 2" xfId="21" xr:uid="{DF986FFD-609E-4C15-8BD4-287297207907}"/>
    <cellStyle name="표준_배치점수 계산기" xfId="18" xr:uid="{0F66B1B6-B92F-47A1-9B91-630112344902}"/>
  </cellStyles>
  <dxfs count="46"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7" tint="0.39994506668294322"/>
      </font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lor rgb="FFC00000"/>
      </font>
      <fill>
        <patternFill>
          <bgColor rgb="FFFFCC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theme="8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E0EDD7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E0EDD7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E0EDD7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2" tint="-0.24994659260841701"/>
      </font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theme="2" tint="-0.14996795556505021"/>
      </font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colors>
    <mruColors>
      <color rgb="FFE0EDD7"/>
      <color rgb="FFE2EEDA"/>
      <color rgb="FFDDECD4"/>
      <color rgb="FFA40000"/>
      <color rgb="FFC40000"/>
      <color rgb="FFFFFFCC"/>
      <color rgb="FFFFCCFF"/>
      <color rgb="FFDDEAF7"/>
      <color rgb="FFDDEAFA"/>
      <color rgb="FFDD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4</xdr:row>
      <xdr:rowOff>38100</xdr:rowOff>
    </xdr:from>
    <xdr:to>
      <xdr:col>6</xdr:col>
      <xdr:colOff>600075</xdr:colOff>
      <xdr:row>9</xdr:row>
      <xdr:rowOff>9525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5FA5C7BD-AB89-5A89-99EC-73D432522086}"/>
            </a:ext>
          </a:extLst>
        </xdr:cNvPr>
        <xdr:cNvSpPr/>
      </xdr:nvSpPr>
      <xdr:spPr>
        <a:xfrm>
          <a:off x="685800" y="723900"/>
          <a:ext cx="2143125" cy="1133475"/>
        </a:xfrm>
        <a:prstGeom prst="wedgeRoundRectCallout">
          <a:avLst>
            <a:gd name="adj1" fmla="val 103662"/>
            <a:gd name="adj2" fmla="val 86277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914399</xdr:colOff>
      <xdr:row>6</xdr:row>
      <xdr:rowOff>95249</xdr:rowOff>
    </xdr:from>
    <xdr:to>
      <xdr:col>34</xdr:col>
      <xdr:colOff>342900</xdr:colOff>
      <xdr:row>12</xdr:row>
      <xdr:rowOff>123824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89204F56-29F5-4F20-84A8-6CDF36421292}"/>
            </a:ext>
          </a:extLst>
        </xdr:cNvPr>
        <xdr:cNvSpPr/>
      </xdr:nvSpPr>
      <xdr:spPr>
        <a:xfrm>
          <a:off x="16840199" y="1276349"/>
          <a:ext cx="1905001" cy="1400175"/>
        </a:xfrm>
        <a:prstGeom prst="wedgeRoundRectCallout">
          <a:avLst>
            <a:gd name="adj1" fmla="val -120630"/>
            <a:gd name="adj2" fmla="val -1551"/>
            <a:gd name="adj3" fmla="val 16667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입시결과 산출내역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은 의대감원 이전의 점수이며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</a:t>
          </a:r>
        </a:p>
        <a:p>
          <a:pPr algn="l"/>
          <a:r>
            <a:rPr lang="en-US" altLang="ko-KR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'26</a:t>
          </a:r>
          <a:r>
            <a:rPr lang="ko-KR" altLang="en-US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수능 </a:t>
          </a:r>
          <a:r>
            <a:rPr lang="ko-KR" altLang="en-US" sz="1050" b="1" baseline="0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지원가능</a:t>
          </a:r>
          <a:r>
            <a:rPr lang="ko-KR" altLang="en-US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점수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는 감원으로 인한 </a:t>
          </a:r>
          <a:r>
            <a:rPr lang="ko-KR" altLang="en-US" sz="105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점수상승이 반영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된 점수입니다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  <a:endParaRPr lang="ko-KR" altLang="en-US" sz="105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2</xdr:col>
      <xdr:colOff>219075</xdr:colOff>
      <xdr:row>4</xdr:row>
      <xdr:rowOff>161925</xdr:rowOff>
    </xdr:from>
    <xdr:to>
      <xdr:col>6</xdr:col>
      <xdr:colOff>581025</xdr:colOff>
      <xdr:row>8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2EC8B43-287E-296A-A034-060EB2E9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847725"/>
          <a:ext cx="194310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1733550</xdr:colOff>
      <xdr:row>0</xdr:row>
      <xdr:rowOff>57149</xdr:rowOff>
    </xdr:from>
    <xdr:to>
      <xdr:col>47</xdr:col>
      <xdr:colOff>152400</xdr:colOff>
      <xdr:row>7</xdr:row>
      <xdr:rowOff>228600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0AF022DE-3E56-434F-9AA7-F584A65D9160}"/>
            </a:ext>
          </a:extLst>
        </xdr:cNvPr>
        <xdr:cNvSpPr/>
      </xdr:nvSpPr>
      <xdr:spPr>
        <a:xfrm>
          <a:off x="20393025" y="57149"/>
          <a:ext cx="8010525" cy="1638301"/>
        </a:xfrm>
        <a:prstGeom prst="wedgeRoundRectCallout">
          <a:avLst>
            <a:gd name="adj1" fmla="val -55928"/>
            <a:gd name="adj2" fmla="val 55176"/>
            <a:gd name="adj3" fmla="val 16667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tx1"/>
              </a:solidFill>
            </a:rPr>
            <a:t>*</a:t>
          </a:r>
          <a:r>
            <a:rPr lang="ko-KR" altLang="en-US" sz="1100" b="1">
              <a:solidFill>
                <a:schemeClr val="tx1"/>
              </a:solidFill>
            </a:rPr>
            <a:t>의대 감원 영향</a:t>
          </a:r>
          <a:r>
            <a:rPr lang="en-US" altLang="ko-KR" sz="1100">
              <a:solidFill>
                <a:schemeClr val="tx1"/>
              </a:solidFill>
            </a:rPr>
            <a:t>:   </a:t>
          </a:r>
          <a:r>
            <a:rPr lang="ko-KR" altLang="en-US" sz="1100" u="sng">
              <a:solidFill>
                <a:schemeClr val="tx1"/>
              </a:solidFill>
            </a:rPr>
            <a:t>해당 모집단위</a:t>
          </a:r>
          <a:r>
            <a:rPr lang="en-US" altLang="ko-KR" sz="1100" u="sng">
              <a:solidFill>
                <a:schemeClr val="tx1"/>
              </a:solidFill>
            </a:rPr>
            <a:t>(</a:t>
          </a:r>
          <a:r>
            <a:rPr lang="ko-KR" altLang="en-US" sz="1100" u="sng">
              <a:solidFill>
                <a:schemeClr val="tx1"/>
              </a:solidFill>
            </a:rPr>
            <a:t>학과</a:t>
          </a:r>
          <a:r>
            <a:rPr lang="en-US" altLang="ko-KR" sz="1100" u="sng">
              <a:solidFill>
                <a:schemeClr val="tx1"/>
              </a:solidFill>
            </a:rPr>
            <a:t>)</a:t>
          </a:r>
          <a:r>
            <a:rPr lang="ko-KR" altLang="en-US" sz="1100" u="sng">
              <a:solidFill>
                <a:schemeClr val="tx1"/>
              </a:solidFill>
            </a:rPr>
            <a:t>가 의대증원으로 인해 받는 영향을  </a:t>
          </a:r>
          <a:r>
            <a:rPr lang="en-US" altLang="ko-KR" sz="1100" u="sng">
              <a:solidFill>
                <a:schemeClr val="tx1"/>
              </a:solidFill>
            </a:rPr>
            <a:t>%</a:t>
          </a:r>
          <a:r>
            <a:rPr lang="ko-KR" altLang="en-US" sz="1100" u="sng">
              <a:solidFill>
                <a:schemeClr val="tx1"/>
              </a:solidFill>
            </a:rPr>
            <a:t>로 표시</a:t>
          </a:r>
          <a:r>
            <a:rPr lang="en-US" altLang="ko-KR" sz="1100" u="sng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                 </a:t>
          </a:r>
          <a:r>
            <a:rPr lang="ko-KR" altLang="en-US" sz="1000">
              <a:solidFill>
                <a:schemeClr val="tx1"/>
              </a:solidFill>
            </a:rPr>
            <a:t>예를들어 </a:t>
          </a:r>
          <a:r>
            <a:rPr lang="en-US" altLang="ko-KR" sz="1000">
              <a:solidFill>
                <a:schemeClr val="tx1"/>
              </a:solidFill>
            </a:rPr>
            <a:t>A</a:t>
          </a:r>
          <a:r>
            <a:rPr lang="ko-KR" altLang="en-US" sz="1000">
              <a:solidFill>
                <a:schemeClr val="tx1"/>
              </a:solidFill>
            </a:rPr>
            <a:t>학과까지 누적된 의대감원 인원이</a:t>
          </a:r>
          <a:r>
            <a:rPr lang="en-US" altLang="ko-KR" sz="1000">
              <a:solidFill>
                <a:schemeClr val="tx1"/>
              </a:solidFill>
            </a:rPr>
            <a:t>(</a:t>
          </a:r>
          <a:r>
            <a:rPr lang="ko-KR" altLang="en-US" sz="1000">
              <a:solidFill>
                <a:schemeClr val="tx1"/>
              </a:solidFill>
            </a:rPr>
            <a:t>정시모집</a:t>
          </a:r>
          <a:r>
            <a:rPr lang="en-US" altLang="ko-KR" sz="1000">
              <a:solidFill>
                <a:schemeClr val="tx1"/>
              </a:solidFill>
            </a:rPr>
            <a:t>+</a:t>
          </a:r>
          <a:r>
            <a:rPr lang="ko-KR" altLang="en-US" sz="1000">
              <a:solidFill>
                <a:schemeClr val="tx1"/>
              </a:solidFill>
            </a:rPr>
            <a:t>수시합격</a:t>
          </a:r>
          <a:r>
            <a:rPr lang="en-US" altLang="ko-KR" sz="1000">
              <a:solidFill>
                <a:schemeClr val="tx1"/>
              </a:solidFill>
            </a:rPr>
            <a:t>)</a:t>
          </a:r>
          <a:r>
            <a:rPr lang="ko-KR" altLang="en-US" sz="1000">
              <a:solidFill>
                <a:schemeClr val="tx1"/>
              </a:solidFill>
            </a:rPr>
            <a:t> </a:t>
          </a:r>
          <a:r>
            <a:rPr lang="en-US" altLang="ko-KR" sz="1000">
              <a:solidFill>
                <a:schemeClr val="tx1"/>
              </a:solidFill>
            </a:rPr>
            <a:t>700</a:t>
          </a:r>
          <a:r>
            <a:rPr lang="ko-KR" altLang="en-US" sz="1000">
              <a:solidFill>
                <a:schemeClr val="tx1"/>
              </a:solidFill>
            </a:rPr>
            <a:t>명일경우</a:t>
          </a:r>
          <a:r>
            <a:rPr lang="en-US" altLang="ko-KR" sz="1000">
              <a:solidFill>
                <a:schemeClr val="tx1"/>
              </a:solidFill>
            </a:rPr>
            <a:t>,          </a:t>
          </a:r>
        </a:p>
        <a:p>
          <a:pPr algn="l"/>
          <a:r>
            <a:rPr lang="en-US" altLang="ko-KR" sz="1000">
              <a:solidFill>
                <a:schemeClr val="tx1"/>
              </a:solidFill>
            </a:rPr>
            <a:t>                              A</a:t>
          </a:r>
          <a:r>
            <a:rPr lang="ko-KR" altLang="en-US" sz="1000">
              <a:solidFill>
                <a:schemeClr val="tx1"/>
              </a:solidFill>
            </a:rPr>
            <a:t>학과가 의대감원에 의해 받게될 영향이 </a:t>
          </a:r>
          <a:r>
            <a:rPr lang="en-US" altLang="ko-KR" sz="1000">
              <a:solidFill>
                <a:schemeClr val="tx1"/>
              </a:solidFill>
            </a:rPr>
            <a:t>80%</a:t>
          </a:r>
          <a:r>
            <a:rPr lang="ko-KR" altLang="en-US" sz="1000">
              <a:solidFill>
                <a:schemeClr val="tx1"/>
              </a:solidFill>
            </a:rPr>
            <a:t>로 추정된다면</a:t>
          </a:r>
          <a:r>
            <a:rPr lang="en-US" altLang="ko-KR" sz="1000">
              <a:solidFill>
                <a:schemeClr val="tx1"/>
              </a:solidFill>
            </a:rPr>
            <a:t>,</a:t>
          </a:r>
          <a:r>
            <a:rPr lang="en-US" altLang="ko-KR" sz="1000" baseline="0">
              <a:solidFill>
                <a:schemeClr val="tx1"/>
              </a:solidFill>
            </a:rPr>
            <a:t> </a:t>
          </a:r>
        </a:p>
        <a:p>
          <a:pPr algn="l"/>
          <a:r>
            <a:rPr lang="en-US" altLang="ko-KR" sz="1000" baseline="0">
              <a:solidFill>
                <a:schemeClr val="tx1"/>
              </a:solidFill>
            </a:rPr>
            <a:t>                              </a:t>
          </a:r>
          <a:r>
            <a:rPr lang="ko-KR" altLang="en-US" sz="1000">
              <a:solidFill>
                <a:schemeClr val="tx1"/>
              </a:solidFill>
            </a:rPr>
            <a:t>작년 실제입결보다 누적등수 기준 약 </a:t>
          </a:r>
          <a:r>
            <a:rPr lang="en-US" altLang="ko-KR" sz="1000">
              <a:solidFill>
                <a:schemeClr val="tx1"/>
              </a:solidFill>
            </a:rPr>
            <a:t>560</a:t>
          </a:r>
          <a:r>
            <a:rPr lang="ko-KR" altLang="en-US" sz="1000">
              <a:solidFill>
                <a:schemeClr val="tx1"/>
              </a:solidFill>
            </a:rPr>
            <a:t>등 높은 점수로 올해의 예상입결을 산출합니다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pPr algn="l"/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서울대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(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자연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) 75~90%,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서울대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(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인문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)50% 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치대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50~60%,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의약계열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75~85%,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ko-KR" altLang="en-US" sz="1100" baseline="0">
              <a:solidFill>
                <a:schemeClr val="accent2">
                  <a:lumMod val="75000"/>
                </a:schemeClr>
              </a:solidFill>
            </a:rPr>
            <a:t>의약계열 지역전형 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  <a:t>100%(</a:t>
          </a:r>
          <a:r>
            <a:rPr lang="ko-KR" altLang="en-US" sz="1100" baseline="0">
              <a:solidFill>
                <a:schemeClr val="accent2">
                  <a:lumMod val="75000"/>
                </a:schemeClr>
              </a:solidFill>
            </a:rPr>
            <a:t>전남지역 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  <a:t>50%) </a:t>
          </a:r>
          <a:b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</a:b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사탐필수인 모집단위 중 상위학과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20~50%,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나머지 학과는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100%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영향을 받을것으로 상정하여 지원가능점수가 산출되었습니다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.</a:t>
          </a:r>
          <a:endParaRPr lang="ko-KR" altLang="en-US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A0DD-FD66-4804-9F21-FA15A66B030A}">
  <dimension ref="A1:BA2166"/>
  <sheetViews>
    <sheetView showGridLines="0" zoomScaleNormal="100" workbookViewId="0">
      <pane ySplit="13" topLeftCell="A14" activePane="bottomLeft" state="frozen"/>
      <selection pane="bottomLeft" activeCell="F1" sqref="F1:AC2"/>
    </sheetView>
  </sheetViews>
  <sheetFormatPr baseColWidth="10" defaultColWidth="12.6640625" defaultRowHeight="15" customHeight="1"/>
  <cols>
    <col min="1" max="1" width="1.1640625" customWidth="1"/>
    <col min="2" max="2" width="6.1640625" customWidth="1"/>
    <col min="3" max="3" width="6" customWidth="1"/>
    <col min="4" max="4" width="7" customWidth="1"/>
    <col min="5" max="5" width="10.83203125" hidden="1" customWidth="1"/>
    <col min="6" max="6" width="7.6640625" customWidth="1"/>
    <col min="7" max="7" width="9.1640625" customWidth="1"/>
    <col min="8" max="8" width="8.5" customWidth="1"/>
    <col min="9" max="9" width="11.6640625" customWidth="1"/>
    <col min="10" max="10" width="25" customWidth="1"/>
    <col min="11" max="11" width="4.6640625" customWidth="1"/>
    <col min="12" max="12" width="5.5" customWidth="1"/>
    <col min="13" max="13" width="9" customWidth="1"/>
    <col min="14" max="14" width="5.33203125" customWidth="1"/>
    <col min="15" max="16" width="7.6640625" customWidth="1"/>
    <col min="17" max="17" width="4.6640625" customWidth="1"/>
    <col min="18" max="20" width="3" customWidth="1"/>
    <col min="21" max="21" width="7.6640625" customWidth="1"/>
    <col min="22" max="24" width="6.5" customWidth="1"/>
    <col min="25" max="25" width="6" customWidth="1"/>
    <col min="26" max="26" width="5.1640625" customWidth="1"/>
    <col min="27" max="27" width="4.6640625" customWidth="1"/>
    <col min="28" max="28" width="6.1640625" customWidth="1"/>
    <col min="29" max="29" width="3.83203125" customWidth="1"/>
    <col min="30" max="30" width="6.6640625" customWidth="1"/>
    <col min="31" max="31" width="3.83203125" customWidth="1"/>
    <col min="32" max="32" width="7.1640625" customWidth="1"/>
    <col min="33" max="33" width="6.5" hidden="1" customWidth="1"/>
    <col min="34" max="34" width="33.6640625" customWidth="1"/>
    <col min="35" max="35" width="7.6640625" customWidth="1"/>
    <col min="36" max="37" width="4.1640625" customWidth="1"/>
    <col min="38" max="38" width="25.5" customWidth="1"/>
    <col min="39" max="40" width="8.6640625" customWidth="1"/>
    <col min="41" max="41" width="10.1640625" customWidth="1"/>
    <col min="42" max="43" width="8.6640625" customWidth="1"/>
    <col min="44" max="44" width="17.6640625" customWidth="1"/>
    <col min="52" max="54" width="12" customWidth="1"/>
  </cols>
  <sheetData>
    <row r="1" spans="1:53" ht="13.5" customHeight="1">
      <c r="B1" s="311"/>
      <c r="C1" s="312"/>
      <c r="D1" s="312"/>
      <c r="F1" s="692" t="s">
        <v>14072</v>
      </c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3"/>
      <c r="R1" s="693"/>
      <c r="S1" s="693"/>
      <c r="T1" s="693"/>
      <c r="U1" s="693"/>
      <c r="V1" s="693"/>
      <c r="W1" s="693"/>
      <c r="X1" s="693"/>
      <c r="Y1" s="693"/>
      <c r="Z1" s="693"/>
      <c r="AA1" s="693"/>
      <c r="AB1" s="693"/>
      <c r="AC1" s="693"/>
      <c r="AD1" s="172"/>
      <c r="AH1" s="690" t="s">
        <v>7138</v>
      </c>
      <c r="BA1" s="313" t="str">
        <f>IF(I6="","-non",I6)</f>
        <v>-non</v>
      </c>
    </row>
    <row r="2" spans="1:53" ht="13.5" customHeight="1">
      <c r="B2" s="311"/>
      <c r="C2" s="312"/>
      <c r="D2" s="312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  <c r="Y2" s="693"/>
      <c r="Z2" s="693"/>
      <c r="AA2" s="693"/>
      <c r="AB2" s="693"/>
      <c r="AC2" s="693"/>
      <c r="AD2" s="172"/>
      <c r="AH2" s="691"/>
      <c r="BA2" s="313" t="str">
        <f>IF(I7="","-non",I7)</f>
        <v>-non</v>
      </c>
    </row>
    <row r="3" spans="1:53" ht="13.5" customHeight="1">
      <c r="AH3" s="453" t="s">
        <v>7104</v>
      </c>
    </row>
    <row r="4" spans="1:53" ht="13.5" customHeight="1" thickBot="1">
      <c r="C4" s="325"/>
      <c r="N4" s="688" t="s">
        <v>16533</v>
      </c>
      <c r="O4" s="688"/>
      <c r="P4" s="688"/>
      <c r="Q4" s="688"/>
      <c r="R4" s="688"/>
      <c r="S4" s="688"/>
      <c r="T4" s="688"/>
      <c r="U4" s="688"/>
      <c r="V4" s="688"/>
      <c r="W4" s="688"/>
      <c r="X4" s="688"/>
      <c r="Y4" s="688"/>
      <c r="Z4" s="688"/>
      <c r="AA4" s="688"/>
      <c r="AB4" s="688"/>
      <c r="AC4" s="688"/>
      <c r="AD4" s="688"/>
      <c r="AE4" s="688"/>
      <c r="AF4" s="688"/>
      <c r="BA4" s="313" t="str">
        <f>IF(I8="","-non",I8)</f>
        <v>-non</v>
      </c>
    </row>
    <row r="5" spans="1:53" ht="16.5" customHeight="1" thickBot="1">
      <c r="B5" s="311"/>
      <c r="C5" s="315"/>
      <c r="H5" s="314"/>
      <c r="I5" s="326" t="s">
        <v>7136</v>
      </c>
      <c r="J5" s="628" t="s">
        <v>7137</v>
      </c>
      <c r="K5" s="315"/>
      <c r="N5" s="689" t="s">
        <v>7246</v>
      </c>
      <c r="O5" s="689"/>
      <c r="P5" s="689"/>
      <c r="Q5" s="689"/>
      <c r="R5" s="689"/>
      <c r="S5" s="689"/>
      <c r="T5" s="689"/>
      <c r="U5" s="689"/>
      <c r="V5" s="689"/>
      <c r="W5" s="689"/>
      <c r="X5" s="689"/>
      <c r="Y5" s="689"/>
      <c r="Z5" s="689"/>
      <c r="AA5" s="689"/>
      <c r="AB5" s="689"/>
      <c r="AC5" s="689"/>
      <c r="AD5" s="689"/>
      <c r="AE5" s="689"/>
      <c r="AF5" s="689"/>
      <c r="BA5" s="313" t="str">
        <f>IF(J6="","-non",J6)</f>
        <v>-non</v>
      </c>
    </row>
    <row r="6" spans="1:53" ht="22.5" customHeight="1">
      <c r="B6" s="311"/>
      <c r="C6" s="315"/>
      <c r="H6" s="316">
        <v>1</v>
      </c>
      <c r="I6" s="500"/>
      <c r="J6" s="629"/>
      <c r="N6" s="689" t="s">
        <v>7247</v>
      </c>
      <c r="O6" s="689"/>
      <c r="P6" s="689"/>
      <c r="Q6" s="689"/>
      <c r="R6" s="689"/>
      <c r="S6" s="689"/>
      <c r="T6" s="689"/>
      <c r="U6" s="689"/>
      <c r="V6" s="689"/>
      <c r="W6" s="689"/>
      <c r="X6" s="689"/>
      <c r="Y6" s="689"/>
      <c r="Z6" s="689"/>
      <c r="AA6" s="689"/>
      <c r="AB6" s="689"/>
      <c r="AC6" s="689"/>
      <c r="AD6" s="689"/>
      <c r="AE6" s="689"/>
      <c r="AF6" s="689"/>
      <c r="AG6" s="689"/>
      <c r="AH6" s="689"/>
      <c r="AI6" s="689"/>
      <c r="AJ6" s="689"/>
      <c r="AK6" s="689"/>
      <c r="AL6" s="689"/>
      <c r="BA6" s="313" t="str">
        <f>IF(J7="","-non",J7)</f>
        <v>-non</v>
      </c>
    </row>
    <row r="7" spans="1:53" ht="22.5" customHeight="1">
      <c r="B7" s="311"/>
      <c r="C7" s="315"/>
      <c r="H7" s="316">
        <v>2</v>
      </c>
      <c r="I7" s="501"/>
      <c r="J7" s="630"/>
      <c r="N7" s="689" t="s">
        <v>7109</v>
      </c>
      <c r="O7" s="689"/>
      <c r="P7" s="689"/>
      <c r="Q7" s="689"/>
      <c r="R7" s="689"/>
      <c r="S7" s="689"/>
      <c r="T7" s="689"/>
      <c r="U7" s="689"/>
      <c r="V7" s="689"/>
      <c r="W7" s="689"/>
      <c r="X7" s="689"/>
      <c r="Y7" s="689"/>
      <c r="Z7" s="689"/>
      <c r="AA7" s="689"/>
      <c r="AB7" s="689"/>
      <c r="AC7" s="689"/>
      <c r="AD7" s="689"/>
      <c r="AE7" s="689"/>
      <c r="AF7" s="689"/>
      <c r="AH7" s="317"/>
      <c r="AI7" s="317"/>
      <c r="BA7" s="313" t="str">
        <f>IF(J8="","-non",J8)</f>
        <v>-non</v>
      </c>
    </row>
    <row r="8" spans="1:53" ht="22.5" customHeight="1" thickBot="1">
      <c r="B8" s="311"/>
      <c r="C8" s="315"/>
      <c r="H8" s="318">
        <v>3</v>
      </c>
      <c r="I8" s="502"/>
      <c r="J8" s="631"/>
      <c r="N8" s="689" t="s">
        <v>7245</v>
      </c>
      <c r="O8" s="689"/>
      <c r="P8" s="689"/>
      <c r="Q8" s="689"/>
      <c r="R8" s="689"/>
      <c r="S8" s="689"/>
      <c r="T8" s="689"/>
      <c r="U8" s="689"/>
      <c r="V8" s="689"/>
      <c r="W8" s="689"/>
      <c r="X8" s="689"/>
      <c r="Y8" s="689"/>
      <c r="Z8" s="689"/>
      <c r="AA8" s="689"/>
      <c r="AB8" s="689"/>
      <c r="AC8" s="689"/>
      <c r="AD8" s="689"/>
      <c r="AE8" s="689"/>
      <c r="AF8" s="689"/>
      <c r="AH8" s="317"/>
      <c r="AI8" s="317"/>
      <c r="AZ8" s="489" t="s">
        <v>190</v>
      </c>
      <c r="BA8" s="313"/>
    </row>
    <row r="9" spans="1:53" ht="7.5" customHeight="1" thickBot="1">
      <c r="B9" s="311"/>
      <c r="C9" s="315"/>
      <c r="AH9" s="317"/>
      <c r="AI9" s="317"/>
      <c r="AL9" s="663" t="s">
        <v>14074</v>
      </c>
      <c r="AM9" s="664"/>
      <c r="AN9" s="664"/>
      <c r="AO9" s="664"/>
      <c r="AP9" s="664"/>
      <c r="AQ9" s="664"/>
      <c r="AR9" s="665"/>
      <c r="BA9" s="313"/>
    </row>
    <row r="10" spans="1:53" ht="18" customHeight="1" thickBot="1">
      <c r="B10" s="311"/>
      <c r="C10" s="312"/>
      <c r="D10" s="312"/>
      <c r="F10" s="319"/>
      <c r="I10" s="312"/>
      <c r="J10" s="312"/>
      <c r="M10" s="685" t="s">
        <v>7133</v>
      </c>
      <c r="N10" s="686"/>
      <c r="O10" s="686"/>
      <c r="P10" s="686"/>
      <c r="Q10" s="686"/>
      <c r="R10" s="686"/>
      <c r="S10" s="686"/>
      <c r="T10" s="686"/>
      <c r="U10" s="686"/>
      <c r="V10" s="686"/>
      <c r="W10" s="686"/>
      <c r="X10" s="686"/>
      <c r="Y10" s="686"/>
      <c r="Z10" s="686"/>
      <c r="AA10" s="686"/>
      <c r="AB10" s="686"/>
      <c r="AC10" s="686"/>
      <c r="AD10" s="686"/>
      <c r="AE10" s="686"/>
      <c r="AF10" s="687"/>
      <c r="AL10" s="666"/>
      <c r="AM10" s="667"/>
      <c r="AN10" s="667"/>
      <c r="AO10" s="667"/>
      <c r="AP10" s="667"/>
      <c r="AQ10" s="667"/>
      <c r="AR10" s="668"/>
      <c r="BA10" s="313"/>
    </row>
    <row r="11" spans="1:53" ht="19.5" customHeight="1" thickBot="1">
      <c r="A11" s="320"/>
      <c r="B11" s="652" t="s">
        <v>7105</v>
      </c>
      <c r="C11" s="653"/>
      <c r="D11" s="640" t="s">
        <v>14073</v>
      </c>
      <c r="E11" s="656" t="s">
        <v>16529</v>
      </c>
      <c r="F11" s="657"/>
      <c r="G11" s="658"/>
      <c r="H11" s="659" t="s">
        <v>14071</v>
      </c>
      <c r="I11" s="661" t="s">
        <v>411</v>
      </c>
      <c r="J11" s="669" t="s">
        <v>412</v>
      </c>
      <c r="K11" s="669" t="s">
        <v>413</v>
      </c>
      <c r="L11" s="671" t="s">
        <v>7106</v>
      </c>
      <c r="M11" s="445" t="s">
        <v>7110</v>
      </c>
      <c r="N11" s="323"/>
      <c r="O11" s="673" t="s">
        <v>534</v>
      </c>
      <c r="P11" s="674"/>
      <c r="Q11" s="675"/>
      <c r="R11" s="676" t="s">
        <v>7111</v>
      </c>
      <c r="S11" s="677"/>
      <c r="T11" s="678"/>
      <c r="U11" s="491" t="s">
        <v>454</v>
      </c>
      <c r="V11" s="676" t="s">
        <v>2680</v>
      </c>
      <c r="W11" s="670"/>
      <c r="X11" s="679"/>
      <c r="Y11" s="443" t="s">
        <v>531</v>
      </c>
      <c r="Z11" s="682" t="s">
        <v>2681</v>
      </c>
      <c r="AA11" s="683"/>
      <c r="AB11" s="683"/>
      <c r="AC11" s="683"/>
      <c r="AD11" s="683"/>
      <c r="AE11" s="684"/>
      <c r="AF11" s="448" t="s">
        <v>2682</v>
      </c>
      <c r="AG11" s="327"/>
      <c r="AH11" s="442" t="s">
        <v>2683</v>
      </c>
      <c r="AI11" s="321"/>
      <c r="AL11" s="454"/>
      <c r="AM11" s="455"/>
      <c r="AN11" s="455" t="s">
        <v>14075</v>
      </c>
      <c r="AO11" s="456" t="s">
        <v>14076</v>
      </c>
      <c r="AP11" s="457"/>
      <c r="AQ11" s="458"/>
      <c r="AR11" s="459" t="s">
        <v>7139</v>
      </c>
      <c r="BA11" s="322"/>
    </row>
    <row r="12" spans="1:53" ht="18" customHeight="1" thickBot="1">
      <c r="A12" s="320"/>
      <c r="B12" s="654"/>
      <c r="C12" s="655"/>
      <c r="D12" s="626" t="s">
        <v>7107</v>
      </c>
      <c r="E12" s="624" t="s">
        <v>7112</v>
      </c>
      <c r="F12" s="328" t="s">
        <v>7113</v>
      </c>
      <c r="G12" s="329" t="s">
        <v>7114</v>
      </c>
      <c r="H12" s="660"/>
      <c r="I12" s="662"/>
      <c r="J12" s="670"/>
      <c r="K12" s="670"/>
      <c r="L12" s="672"/>
      <c r="M12" s="446" t="s">
        <v>7115</v>
      </c>
      <c r="N12" s="330" t="s">
        <v>7116</v>
      </c>
      <c r="O12" s="498" t="s">
        <v>7117</v>
      </c>
      <c r="P12" s="680" t="s">
        <v>7118</v>
      </c>
      <c r="Q12" s="681"/>
      <c r="R12" s="331" t="s">
        <v>7119</v>
      </c>
      <c r="S12" s="332" t="s">
        <v>7120</v>
      </c>
      <c r="T12" s="333" t="s">
        <v>7121</v>
      </c>
      <c r="U12" s="492" t="s">
        <v>7122</v>
      </c>
      <c r="V12" s="332" t="s">
        <v>7123</v>
      </c>
      <c r="W12" s="332" t="s">
        <v>7124</v>
      </c>
      <c r="X12" s="494" t="s">
        <v>7118</v>
      </c>
      <c r="Y12" s="333" t="s">
        <v>7118</v>
      </c>
      <c r="Z12" s="334" t="s">
        <v>7125</v>
      </c>
      <c r="AA12" s="496" t="s">
        <v>7126</v>
      </c>
      <c r="AB12" s="332" t="s">
        <v>7127</v>
      </c>
      <c r="AC12" s="496" t="s">
        <v>7126</v>
      </c>
      <c r="AD12" s="332" t="s">
        <v>7128</v>
      </c>
      <c r="AE12" s="333" t="s">
        <v>7126</v>
      </c>
      <c r="AF12" s="449" t="s">
        <v>7129</v>
      </c>
      <c r="AG12" s="335"/>
      <c r="AH12" s="336"/>
      <c r="AI12" s="321"/>
      <c r="AL12" s="460"/>
      <c r="AM12" s="461"/>
      <c r="AN12" s="461" t="s">
        <v>7140</v>
      </c>
      <c r="AO12" s="462" t="s">
        <v>7141</v>
      </c>
      <c r="AP12" s="463"/>
      <c r="AQ12" s="464"/>
      <c r="AR12" s="465" t="s">
        <v>7142</v>
      </c>
      <c r="BA12" s="322"/>
    </row>
    <row r="13" spans="1:53" ht="16.5" customHeight="1" thickBot="1">
      <c r="A13" s="202"/>
      <c r="B13" s="451" t="s">
        <v>7134</v>
      </c>
      <c r="C13" s="452" t="s">
        <v>7135</v>
      </c>
      <c r="D13" s="627" t="s">
        <v>7108</v>
      </c>
      <c r="E13" s="625" t="s">
        <v>7130</v>
      </c>
      <c r="F13" s="426" t="s">
        <v>7131</v>
      </c>
      <c r="G13" s="427" t="s">
        <v>7132</v>
      </c>
      <c r="H13" s="632"/>
      <c r="I13" s="428"/>
      <c r="J13" s="429"/>
      <c r="K13" s="430"/>
      <c r="L13" s="444"/>
      <c r="M13" s="447"/>
      <c r="N13" s="431"/>
      <c r="O13" s="499"/>
      <c r="P13" s="432"/>
      <c r="Q13" s="490"/>
      <c r="R13" s="433"/>
      <c r="S13" s="434"/>
      <c r="T13" s="435"/>
      <c r="U13" s="493"/>
      <c r="V13" s="436"/>
      <c r="W13" s="436"/>
      <c r="X13" s="495"/>
      <c r="Y13" s="437"/>
      <c r="Z13" s="438"/>
      <c r="AA13" s="497"/>
      <c r="AB13" s="439"/>
      <c r="AC13" s="497"/>
      <c r="AD13" s="440"/>
      <c r="AE13" s="441"/>
      <c r="AF13" s="450"/>
      <c r="AG13" s="441" t="s">
        <v>2686</v>
      </c>
      <c r="AH13" s="633"/>
      <c r="AI13" s="337"/>
      <c r="AK13" s="202"/>
      <c r="AL13" s="466"/>
      <c r="AM13" s="467"/>
      <c r="AN13" s="486" t="s">
        <v>2684</v>
      </c>
      <c r="AO13" s="468" t="s">
        <v>7143</v>
      </c>
      <c r="AP13" s="469" t="s">
        <v>70</v>
      </c>
      <c r="AQ13" s="470" t="s">
        <v>78</v>
      </c>
      <c r="AR13" s="471"/>
      <c r="BA13" s="338" t="s">
        <v>2687</v>
      </c>
    </row>
    <row r="14" spans="1:53" ht="16.5" customHeight="1">
      <c r="B14" s="397" t="s">
        <v>7766</v>
      </c>
      <c r="C14" s="398" t="s">
        <v>7767</v>
      </c>
      <c r="D14" s="399">
        <v>0</v>
      </c>
      <c r="E14" s="400" t="s">
        <v>408</v>
      </c>
      <c r="F14" s="401">
        <v>100</v>
      </c>
      <c r="G14" s="402" t="s">
        <v>7768</v>
      </c>
      <c r="H14" s="403" t="s">
        <v>7769</v>
      </c>
      <c r="I14" s="404" t="s">
        <v>196</v>
      </c>
      <c r="J14" s="405" t="s">
        <v>7770</v>
      </c>
      <c r="K14" s="406" t="s">
        <v>70</v>
      </c>
      <c r="L14" s="407">
        <v>29</v>
      </c>
      <c r="M14" s="408" t="s">
        <v>7771</v>
      </c>
      <c r="N14" s="409">
        <v>600</v>
      </c>
      <c r="O14" s="410" t="s">
        <v>530</v>
      </c>
      <c r="P14" s="411" t="s">
        <v>530</v>
      </c>
      <c r="Q14" s="412" t="s">
        <v>2688</v>
      </c>
      <c r="R14" s="413">
        <v>33</v>
      </c>
      <c r="S14" s="414">
        <v>40</v>
      </c>
      <c r="T14" s="415">
        <v>27</v>
      </c>
      <c r="U14" s="416">
        <v>100</v>
      </c>
      <c r="V14" s="417">
        <v>139.12051567943473</v>
      </c>
      <c r="W14" s="418">
        <v>140.1807735191521</v>
      </c>
      <c r="X14" s="419">
        <v>69.540000000000006</v>
      </c>
      <c r="Y14" s="407" t="s">
        <v>408</v>
      </c>
      <c r="Z14" s="420" t="s">
        <v>2689</v>
      </c>
      <c r="AA14" s="421">
        <v>0</v>
      </c>
      <c r="AB14" s="422" t="s">
        <v>2685</v>
      </c>
      <c r="AC14" s="421">
        <v>0</v>
      </c>
      <c r="AD14" s="422" t="s">
        <v>2685</v>
      </c>
      <c r="AE14" s="423">
        <v>0</v>
      </c>
      <c r="AF14" s="424">
        <v>3</v>
      </c>
      <c r="AG14" s="425">
        <v>0</v>
      </c>
      <c r="AH14" s="634" t="s">
        <v>2818</v>
      </c>
      <c r="AI14" s="324"/>
      <c r="AL14" s="487" t="s">
        <v>14077</v>
      </c>
      <c r="AM14" s="472" t="s">
        <v>70</v>
      </c>
      <c r="AN14" s="637" t="s">
        <v>14078</v>
      </c>
      <c r="AO14" s="473">
        <v>0</v>
      </c>
      <c r="AP14" s="474">
        <v>0</v>
      </c>
      <c r="AQ14" s="475">
        <v>0</v>
      </c>
      <c r="AR14" s="476" t="s">
        <v>14079</v>
      </c>
      <c r="BA14" s="313" t="s">
        <v>2691</v>
      </c>
    </row>
    <row r="15" spans="1:53" ht="16.5" customHeight="1">
      <c r="B15" s="367" t="s">
        <v>7772</v>
      </c>
      <c r="C15" s="351" t="s">
        <v>7773</v>
      </c>
      <c r="D15" s="353">
        <v>0</v>
      </c>
      <c r="E15" s="352" t="s">
        <v>408</v>
      </c>
      <c r="F15" s="341">
        <v>99.94</v>
      </c>
      <c r="G15" s="355" t="s">
        <v>7774</v>
      </c>
      <c r="H15" s="356" t="s">
        <v>7775</v>
      </c>
      <c r="I15" s="354" t="s">
        <v>80</v>
      </c>
      <c r="J15" s="340" t="s">
        <v>7770</v>
      </c>
      <c r="K15" s="339" t="s">
        <v>70</v>
      </c>
      <c r="L15" s="357">
        <v>52</v>
      </c>
      <c r="M15" s="358" t="s">
        <v>7776</v>
      </c>
      <c r="N15" s="359">
        <v>1000</v>
      </c>
      <c r="O15" s="360" t="s">
        <v>532</v>
      </c>
      <c r="P15" s="343" t="s">
        <v>533</v>
      </c>
      <c r="Q15" s="342" t="s">
        <v>2688</v>
      </c>
      <c r="R15" s="344">
        <v>25</v>
      </c>
      <c r="S15" s="345">
        <v>40</v>
      </c>
      <c r="T15" s="362">
        <v>25</v>
      </c>
      <c r="U15" s="361">
        <v>99.94</v>
      </c>
      <c r="V15" s="346">
        <v>137.9147105324856</v>
      </c>
      <c r="W15" s="348">
        <v>138.37206579872833</v>
      </c>
      <c r="X15" s="347">
        <v>69.489999999999995</v>
      </c>
      <c r="Y15" s="357">
        <v>69.97</v>
      </c>
      <c r="Z15" s="365" t="s">
        <v>2689</v>
      </c>
      <c r="AA15" s="350">
        <v>100</v>
      </c>
      <c r="AB15" s="349" t="s">
        <v>2685</v>
      </c>
      <c r="AC15" s="350">
        <v>0</v>
      </c>
      <c r="AD15" s="349" t="s">
        <v>2685</v>
      </c>
      <c r="AE15" s="364">
        <v>0</v>
      </c>
      <c r="AF15" s="366">
        <v>0</v>
      </c>
      <c r="AG15" s="363">
        <v>0</v>
      </c>
      <c r="AH15" s="635" t="s">
        <v>408</v>
      </c>
      <c r="AI15" s="324"/>
      <c r="AL15" s="487" t="s">
        <v>14080</v>
      </c>
      <c r="AM15" s="477" t="s">
        <v>70</v>
      </c>
      <c r="AN15" s="637">
        <v>100</v>
      </c>
      <c r="AO15" s="478">
        <v>0</v>
      </c>
      <c r="AP15" s="463">
        <v>0</v>
      </c>
      <c r="AQ15" s="479">
        <v>0</v>
      </c>
      <c r="AR15" s="476" t="s">
        <v>14081</v>
      </c>
      <c r="BA15" s="313" t="s">
        <v>2692</v>
      </c>
    </row>
    <row r="16" spans="1:53" ht="16.5" customHeight="1">
      <c r="B16" s="367" t="s">
        <v>7777</v>
      </c>
      <c r="C16" s="351" t="s">
        <v>7778</v>
      </c>
      <c r="D16" s="353">
        <v>0</v>
      </c>
      <c r="E16" s="352" t="s">
        <v>408</v>
      </c>
      <c r="F16" s="341">
        <v>99.81</v>
      </c>
      <c r="G16" s="355" t="s">
        <v>2735</v>
      </c>
      <c r="H16" s="356" t="s">
        <v>7779</v>
      </c>
      <c r="I16" s="354" t="s">
        <v>239</v>
      </c>
      <c r="J16" s="340" t="s">
        <v>7770</v>
      </c>
      <c r="K16" s="339" t="s">
        <v>70</v>
      </c>
      <c r="L16" s="357">
        <v>37</v>
      </c>
      <c r="M16" s="358" t="s">
        <v>7780</v>
      </c>
      <c r="N16" s="359">
        <v>1000</v>
      </c>
      <c r="O16" s="360" t="s">
        <v>530</v>
      </c>
      <c r="P16" s="343" t="s">
        <v>531</v>
      </c>
      <c r="Q16" s="342" t="s">
        <v>2688</v>
      </c>
      <c r="R16" s="344">
        <v>30</v>
      </c>
      <c r="S16" s="345">
        <v>40</v>
      </c>
      <c r="T16" s="362">
        <v>30</v>
      </c>
      <c r="U16" s="361">
        <v>99.81</v>
      </c>
      <c r="V16" s="346">
        <v>137.04759725400459</v>
      </c>
      <c r="W16" s="348">
        <v>137.76784897025172</v>
      </c>
      <c r="X16" s="347">
        <v>69.41</v>
      </c>
      <c r="Y16" s="357">
        <v>69.990000000000009</v>
      </c>
      <c r="Z16" s="365" t="s">
        <v>2689</v>
      </c>
      <c r="AA16" s="350">
        <v>0</v>
      </c>
      <c r="AB16" s="349" t="s">
        <v>2685</v>
      </c>
      <c r="AC16" s="350">
        <v>0</v>
      </c>
      <c r="AD16" s="349" t="s">
        <v>2685</v>
      </c>
      <c r="AE16" s="364">
        <v>0</v>
      </c>
      <c r="AF16" s="366">
        <v>0</v>
      </c>
      <c r="AG16" s="363">
        <v>0</v>
      </c>
      <c r="AH16" s="635" t="s">
        <v>7781</v>
      </c>
      <c r="AI16" s="324"/>
      <c r="AL16" s="487" t="s">
        <v>14082</v>
      </c>
      <c r="AM16" s="477" t="s">
        <v>70</v>
      </c>
      <c r="AN16" s="637">
        <v>100</v>
      </c>
      <c r="AO16" s="478">
        <v>0</v>
      </c>
      <c r="AP16" s="463">
        <v>0</v>
      </c>
      <c r="AQ16" s="479">
        <v>0</v>
      </c>
      <c r="AR16" s="476" t="s">
        <v>14083</v>
      </c>
      <c r="BA16" s="313" t="s">
        <v>2695</v>
      </c>
    </row>
    <row r="17" spans="2:53" ht="16.5" customHeight="1">
      <c r="B17" s="367" t="s">
        <v>7782</v>
      </c>
      <c r="C17" s="351" t="s">
        <v>7783</v>
      </c>
      <c r="D17" s="353">
        <v>-61</v>
      </c>
      <c r="E17" s="352" t="s">
        <v>408</v>
      </c>
      <c r="F17" s="341">
        <v>99.77</v>
      </c>
      <c r="G17" s="355" t="s">
        <v>7784</v>
      </c>
      <c r="H17" s="356" t="s">
        <v>7785</v>
      </c>
      <c r="I17" s="354" t="s">
        <v>77</v>
      </c>
      <c r="J17" s="340" t="s">
        <v>7770</v>
      </c>
      <c r="K17" s="339" t="s">
        <v>70</v>
      </c>
      <c r="L17" s="357">
        <v>50</v>
      </c>
      <c r="M17" s="358" t="s">
        <v>7786</v>
      </c>
      <c r="N17" s="359">
        <v>1000</v>
      </c>
      <c r="O17" s="360" t="s">
        <v>530</v>
      </c>
      <c r="P17" s="343" t="s">
        <v>531</v>
      </c>
      <c r="Q17" s="342" t="s">
        <v>2688</v>
      </c>
      <c r="R17" s="344">
        <v>20</v>
      </c>
      <c r="S17" s="345">
        <v>40</v>
      </c>
      <c r="T17" s="362">
        <v>30</v>
      </c>
      <c r="U17" s="361">
        <v>99.77</v>
      </c>
      <c r="V17" s="346">
        <v>136.92578938932522</v>
      </c>
      <c r="W17" s="348">
        <v>137.67578938932522</v>
      </c>
      <c r="X17" s="347">
        <v>69.36</v>
      </c>
      <c r="Y17" s="357">
        <v>68.600000000000009</v>
      </c>
      <c r="Z17" s="365" t="s">
        <v>2689</v>
      </c>
      <c r="AA17" s="350">
        <v>63.5</v>
      </c>
      <c r="AB17" s="349" t="s">
        <v>2685</v>
      </c>
      <c r="AC17" s="350">
        <v>0</v>
      </c>
      <c r="AD17" s="349" t="s">
        <v>2685</v>
      </c>
      <c r="AE17" s="364">
        <v>0</v>
      </c>
      <c r="AF17" s="366">
        <v>10.29</v>
      </c>
      <c r="AG17" s="363">
        <v>0</v>
      </c>
      <c r="AH17" s="635" t="s">
        <v>7787</v>
      </c>
      <c r="AI17" s="324"/>
      <c r="AL17" s="487" t="s">
        <v>14084</v>
      </c>
      <c r="AM17" s="477" t="s">
        <v>70</v>
      </c>
      <c r="AN17" s="637">
        <v>100</v>
      </c>
      <c r="AO17" s="478">
        <v>-61</v>
      </c>
      <c r="AP17" s="463">
        <v>-61</v>
      </c>
      <c r="AQ17" s="479">
        <v>0</v>
      </c>
      <c r="AR17" s="476" t="s">
        <v>14085</v>
      </c>
      <c r="BA17" s="313" t="s">
        <v>2696</v>
      </c>
    </row>
    <row r="18" spans="2:53" ht="16.5" customHeight="1">
      <c r="B18" s="367" t="s">
        <v>2693</v>
      </c>
      <c r="C18" s="351" t="s">
        <v>2694</v>
      </c>
      <c r="D18" s="353">
        <v>-61</v>
      </c>
      <c r="E18" s="352" t="s">
        <v>408</v>
      </c>
      <c r="F18" s="341">
        <v>99.71</v>
      </c>
      <c r="G18" s="355" t="s">
        <v>7788</v>
      </c>
      <c r="H18" s="356" t="s">
        <v>7789</v>
      </c>
      <c r="I18" s="354" t="s">
        <v>73</v>
      </c>
      <c r="J18" s="340" t="s">
        <v>7770</v>
      </c>
      <c r="K18" s="339" t="s">
        <v>70</v>
      </c>
      <c r="L18" s="357">
        <v>47</v>
      </c>
      <c r="M18" s="358" t="s">
        <v>7790</v>
      </c>
      <c r="N18" s="359">
        <v>900</v>
      </c>
      <c r="O18" s="360" t="s">
        <v>530</v>
      </c>
      <c r="P18" s="343" t="s">
        <v>531</v>
      </c>
      <c r="Q18" s="342" t="s">
        <v>2688</v>
      </c>
      <c r="R18" s="344">
        <v>22</v>
      </c>
      <c r="S18" s="345">
        <v>33</v>
      </c>
      <c r="T18" s="362">
        <v>33</v>
      </c>
      <c r="U18" s="361">
        <v>99.71</v>
      </c>
      <c r="V18" s="346">
        <v>136.78267031278071</v>
      </c>
      <c r="W18" s="348">
        <v>137.53267031278071</v>
      </c>
      <c r="X18" s="347">
        <v>69.290000000000006</v>
      </c>
      <c r="Y18" s="357">
        <v>69.650000000000006</v>
      </c>
      <c r="Z18" s="365" t="s">
        <v>2689</v>
      </c>
      <c r="AA18" s="350">
        <v>100</v>
      </c>
      <c r="AB18" s="349" t="s">
        <v>2685</v>
      </c>
      <c r="AC18" s="350">
        <v>0</v>
      </c>
      <c r="AD18" s="349" t="s">
        <v>2685</v>
      </c>
      <c r="AE18" s="364">
        <v>0</v>
      </c>
      <c r="AF18" s="366">
        <v>6.2690000000000001</v>
      </c>
      <c r="AG18" s="363">
        <v>0</v>
      </c>
      <c r="AH18" s="635" t="s">
        <v>7791</v>
      </c>
      <c r="AI18" s="324"/>
      <c r="AL18" s="487" t="s">
        <v>14086</v>
      </c>
      <c r="AM18" s="477" t="s">
        <v>70</v>
      </c>
      <c r="AN18" s="637">
        <v>100</v>
      </c>
      <c r="AO18" s="478">
        <v>-61</v>
      </c>
      <c r="AP18" s="463">
        <v>-61</v>
      </c>
      <c r="AQ18" s="479">
        <v>0</v>
      </c>
      <c r="AR18" s="476" t="s">
        <v>14087</v>
      </c>
      <c r="BA18" s="313" t="s">
        <v>2697</v>
      </c>
    </row>
    <row r="19" spans="2:53" ht="16.5" customHeight="1">
      <c r="B19" s="367" t="s">
        <v>7792</v>
      </c>
      <c r="C19" s="351" t="s">
        <v>7793</v>
      </c>
      <c r="D19" s="353">
        <v>-70</v>
      </c>
      <c r="E19" s="352" t="s">
        <v>408</v>
      </c>
      <c r="F19" s="341">
        <v>99.63</v>
      </c>
      <c r="G19" s="355" t="s">
        <v>7794</v>
      </c>
      <c r="H19" s="356" t="s">
        <v>7795</v>
      </c>
      <c r="I19" s="354" t="s">
        <v>196</v>
      </c>
      <c r="J19" s="340" t="s">
        <v>7796</v>
      </c>
      <c r="K19" s="339" t="s">
        <v>70</v>
      </c>
      <c r="L19" s="357">
        <v>11</v>
      </c>
      <c r="M19" s="358" t="s">
        <v>7797</v>
      </c>
      <c r="N19" s="359">
        <v>600</v>
      </c>
      <c r="O19" s="360" t="s">
        <v>530</v>
      </c>
      <c r="P19" s="343" t="s">
        <v>530</v>
      </c>
      <c r="Q19" s="342" t="s">
        <v>2688</v>
      </c>
      <c r="R19" s="344">
        <v>33</v>
      </c>
      <c r="S19" s="345">
        <v>40</v>
      </c>
      <c r="T19" s="362">
        <v>27</v>
      </c>
      <c r="U19" s="361">
        <v>99.63</v>
      </c>
      <c r="V19" s="346">
        <v>136.56352240228759</v>
      </c>
      <c r="W19" s="348">
        <v>137.31352240228759</v>
      </c>
      <c r="X19" s="347">
        <v>69.16</v>
      </c>
      <c r="Y19" s="357" t="s">
        <v>408</v>
      </c>
      <c r="Z19" s="365" t="s">
        <v>2689</v>
      </c>
      <c r="AA19" s="350">
        <v>0</v>
      </c>
      <c r="AB19" s="349" t="s">
        <v>2685</v>
      </c>
      <c r="AC19" s="350">
        <v>0</v>
      </c>
      <c r="AD19" s="349" t="s">
        <v>2685</v>
      </c>
      <c r="AE19" s="364">
        <v>0</v>
      </c>
      <c r="AF19" s="366">
        <v>3</v>
      </c>
      <c r="AG19" s="363">
        <v>0</v>
      </c>
      <c r="AH19" s="635" t="s">
        <v>2690</v>
      </c>
      <c r="AI19" s="324"/>
      <c r="AL19" s="487" t="s">
        <v>14088</v>
      </c>
      <c r="AM19" s="477" t="s">
        <v>70</v>
      </c>
      <c r="AN19" s="637" t="s">
        <v>7148</v>
      </c>
      <c r="AO19" s="478">
        <v>-70</v>
      </c>
      <c r="AP19" s="463">
        <v>-70</v>
      </c>
      <c r="AQ19" s="479">
        <v>0</v>
      </c>
      <c r="AR19" s="476" t="s">
        <v>14089</v>
      </c>
      <c r="BA19" s="313" t="s">
        <v>2698</v>
      </c>
    </row>
    <row r="20" spans="2:53" ht="16.5" customHeight="1">
      <c r="B20" s="367" t="s">
        <v>7799</v>
      </c>
      <c r="C20" s="351" t="s">
        <v>7800</v>
      </c>
      <c r="D20" s="353">
        <v>-135</v>
      </c>
      <c r="E20" s="352" t="s">
        <v>408</v>
      </c>
      <c r="F20" s="341">
        <v>99.46</v>
      </c>
      <c r="G20" s="355" t="s">
        <v>7801</v>
      </c>
      <c r="H20" s="356" t="s">
        <v>18322</v>
      </c>
      <c r="I20" s="354" t="s">
        <v>75</v>
      </c>
      <c r="J20" s="340" t="s">
        <v>7802</v>
      </c>
      <c r="K20" s="339" t="s">
        <v>70</v>
      </c>
      <c r="L20" s="357">
        <v>28</v>
      </c>
      <c r="M20" s="358" t="s">
        <v>7803</v>
      </c>
      <c r="N20" s="359">
        <v>1000</v>
      </c>
      <c r="O20" s="360" t="s">
        <v>530</v>
      </c>
      <c r="P20" s="343" t="s">
        <v>531</v>
      </c>
      <c r="Q20" s="342" t="s">
        <v>2688</v>
      </c>
      <c r="R20" s="344">
        <v>31</v>
      </c>
      <c r="S20" s="345">
        <v>38</v>
      </c>
      <c r="T20" s="362">
        <v>31</v>
      </c>
      <c r="U20" s="361">
        <v>99.46</v>
      </c>
      <c r="V20" s="346">
        <v>136.14971428571425</v>
      </c>
      <c r="W20" s="348">
        <v>136.89971428571428</v>
      </c>
      <c r="X20" s="347">
        <v>68.86</v>
      </c>
      <c r="Y20" s="357">
        <v>69.72</v>
      </c>
      <c r="Z20" s="365" t="s">
        <v>2689</v>
      </c>
      <c r="AA20" s="350">
        <v>0</v>
      </c>
      <c r="AB20" s="349" t="s">
        <v>2685</v>
      </c>
      <c r="AC20" s="350">
        <v>10</v>
      </c>
      <c r="AD20" s="349" t="s">
        <v>2685</v>
      </c>
      <c r="AE20" s="364">
        <v>0</v>
      </c>
      <c r="AF20" s="366">
        <v>0</v>
      </c>
      <c r="AG20" s="363">
        <v>0</v>
      </c>
      <c r="AH20" s="635" t="s">
        <v>408</v>
      </c>
      <c r="AI20" s="324"/>
      <c r="AL20" s="487" t="s">
        <v>14090</v>
      </c>
      <c r="AM20" s="477" t="s">
        <v>70</v>
      </c>
      <c r="AN20" s="637">
        <v>100</v>
      </c>
      <c r="AO20" s="478">
        <v>-135</v>
      </c>
      <c r="AP20" s="463">
        <v>-135</v>
      </c>
      <c r="AQ20" s="479">
        <v>0</v>
      </c>
      <c r="AR20" s="476" t="s">
        <v>17092</v>
      </c>
      <c r="BA20" s="313" t="s">
        <v>2699</v>
      </c>
    </row>
    <row r="21" spans="2:53" ht="16.5" customHeight="1">
      <c r="B21" s="367" t="s">
        <v>7804</v>
      </c>
      <c r="C21" s="351" t="s">
        <v>7805</v>
      </c>
      <c r="D21" s="353">
        <v>-69</v>
      </c>
      <c r="E21" s="352" t="s">
        <v>408</v>
      </c>
      <c r="F21" s="341">
        <v>99.44</v>
      </c>
      <c r="G21" s="355" t="s">
        <v>7806</v>
      </c>
      <c r="H21" s="356" t="s">
        <v>7807</v>
      </c>
      <c r="I21" s="354" t="s">
        <v>196</v>
      </c>
      <c r="J21" s="340" t="s">
        <v>7808</v>
      </c>
      <c r="K21" s="339" t="s">
        <v>70</v>
      </c>
      <c r="L21" s="357">
        <v>9</v>
      </c>
      <c r="M21" s="358" t="s">
        <v>7809</v>
      </c>
      <c r="N21" s="359">
        <v>600</v>
      </c>
      <c r="O21" s="360" t="s">
        <v>530</v>
      </c>
      <c r="P21" s="343" t="s">
        <v>530</v>
      </c>
      <c r="Q21" s="342" t="s">
        <v>2688</v>
      </c>
      <c r="R21" s="344">
        <v>33</v>
      </c>
      <c r="S21" s="345">
        <v>40</v>
      </c>
      <c r="T21" s="362">
        <v>27</v>
      </c>
      <c r="U21" s="361">
        <v>99.44</v>
      </c>
      <c r="V21" s="346">
        <v>136.09108725384465</v>
      </c>
      <c r="W21" s="348">
        <v>136.84108725384465</v>
      </c>
      <c r="X21" s="347">
        <v>68.81</v>
      </c>
      <c r="Y21" s="357" t="s">
        <v>408</v>
      </c>
      <c r="Z21" s="365" t="s">
        <v>2689</v>
      </c>
      <c r="AA21" s="350">
        <v>0</v>
      </c>
      <c r="AB21" s="349" t="s">
        <v>2685</v>
      </c>
      <c r="AC21" s="350">
        <v>0</v>
      </c>
      <c r="AD21" s="349" t="s">
        <v>2685</v>
      </c>
      <c r="AE21" s="364">
        <v>0</v>
      </c>
      <c r="AF21" s="366">
        <v>3</v>
      </c>
      <c r="AG21" s="363">
        <v>0</v>
      </c>
      <c r="AH21" s="635" t="s">
        <v>2690</v>
      </c>
      <c r="AI21" s="324"/>
      <c r="AL21" s="487" t="s">
        <v>14091</v>
      </c>
      <c r="AM21" s="477" t="s">
        <v>70</v>
      </c>
      <c r="AN21" s="637" t="s">
        <v>7145</v>
      </c>
      <c r="AO21" s="478">
        <v>-69</v>
      </c>
      <c r="AP21" s="463">
        <v>-69</v>
      </c>
      <c r="AQ21" s="479">
        <v>0</v>
      </c>
      <c r="AR21" s="476" t="s">
        <v>14092</v>
      </c>
      <c r="BA21" s="313" t="s">
        <v>2700</v>
      </c>
    </row>
    <row r="22" spans="2:53" ht="16.5" customHeight="1">
      <c r="B22" s="367" t="s">
        <v>7810</v>
      </c>
      <c r="C22" s="351" t="s">
        <v>7811</v>
      </c>
      <c r="D22" s="353">
        <v>-125</v>
      </c>
      <c r="E22" s="352" t="s">
        <v>408</v>
      </c>
      <c r="F22" s="341">
        <v>99.26</v>
      </c>
      <c r="G22" s="355" t="s">
        <v>7812</v>
      </c>
      <c r="H22" s="356" t="s">
        <v>18323</v>
      </c>
      <c r="I22" s="354" t="s">
        <v>82</v>
      </c>
      <c r="J22" s="340" t="s">
        <v>7770</v>
      </c>
      <c r="K22" s="339" t="s">
        <v>70</v>
      </c>
      <c r="L22" s="357">
        <v>45</v>
      </c>
      <c r="M22" s="358" t="s">
        <v>7813</v>
      </c>
      <c r="N22" s="359">
        <v>800</v>
      </c>
      <c r="O22" s="360" t="s">
        <v>530</v>
      </c>
      <c r="P22" s="343" t="s">
        <v>531</v>
      </c>
      <c r="Q22" s="342" t="s">
        <v>2688</v>
      </c>
      <c r="R22" s="344">
        <v>20</v>
      </c>
      <c r="S22" s="345">
        <v>35</v>
      </c>
      <c r="T22" s="362">
        <v>30</v>
      </c>
      <c r="U22" s="361">
        <v>99.26</v>
      </c>
      <c r="V22" s="346">
        <v>135.5322400891578</v>
      </c>
      <c r="W22" s="348">
        <v>136.39918006686833</v>
      </c>
      <c r="X22" s="347">
        <v>68.52</v>
      </c>
      <c r="Y22" s="357">
        <v>69.320000000000007</v>
      </c>
      <c r="Z22" s="365" t="s">
        <v>2689</v>
      </c>
      <c r="AA22" s="350">
        <v>120</v>
      </c>
      <c r="AB22" s="349" t="s">
        <v>2685</v>
      </c>
      <c r="AC22" s="350">
        <v>0</v>
      </c>
      <c r="AD22" s="349" t="s">
        <v>2685</v>
      </c>
      <c r="AE22" s="364">
        <v>0</v>
      </c>
      <c r="AF22" s="366">
        <v>9.6</v>
      </c>
      <c r="AG22" s="363">
        <v>0</v>
      </c>
      <c r="AH22" s="635" t="s">
        <v>7814</v>
      </c>
      <c r="AI22" s="324"/>
      <c r="AL22" s="487" t="s">
        <v>14093</v>
      </c>
      <c r="AM22" s="477" t="s">
        <v>70</v>
      </c>
      <c r="AN22" s="637">
        <v>100</v>
      </c>
      <c r="AO22" s="478">
        <v>-125</v>
      </c>
      <c r="AP22" s="463">
        <v>-125</v>
      </c>
      <c r="AQ22" s="479">
        <v>0</v>
      </c>
      <c r="AR22" s="476" t="s">
        <v>14094</v>
      </c>
      <c r="BA22" s="313" t="s">
        <v>2701</v>
      </c>
    </row>
    <row r="23" spans="2:53" ht="16.5" customHeight="1">
      <c r="B23" s="367" t="s">
        <v>7815</v>
      </c>
      <c r="C23" s="351" t="s">
        <v>7816</v>
      </c>
      <c r="D23" s="353">
        <v>-230</v>
      </c>
      <c r="E23" s="352" t="s">
        <v>408</v>
      </c>
      <c r="F23" s="341">
        <v>99.24</v>
      </c>
      <c r="G23" s="355" t="s">
        <v>7817</v>
      </c>
      <c r="H23" s="356" t="s">
        <v>7818</v>
      </c>
      <c r="I23" s="354" t="s">
        <v>228</v>
      </c>
      <c r="J23" s="340" t="s">
        <v>7819</v>
      </c>
      <c r="K23" s="339" t="s">
        <v>70</v>
      </c>
      <c r="L23" s="357">
        <v>42</v>
      </c>
      <c r="M23" s="358" t="s">
        <v>7820</v>
      </c>
      <c r="N23" s="359">
        <v>1000</v>
      </c>
      <c r="O23" s="360" t="s">
        <v>530</v>
      </c>
      <c r="P23" s="343" t="s">
        <v>531</v>
      </c>
      <c r="Q23" s="342" t="s">
        <v>2688</v>
      </c>
      <c r="R23" s="344">
        <v>30</v>
      </c>
      <c r="S23" s="345">
        <v>35</v>
      </c>
      <c r="T23" s="362">
        <v>35</v>
      </c>
      <c r="U23" s="361">
        <v>99.24</v>
      </c>
      <c r="V23" s="346">
        <v>135.47049510650547</v>
      </c>
      <c r="W23" s="348">
        <v>136.35287132987909</v>
      </c>
      <c r="X23" s="347">
        <v>68.5</v>
      </c>
      <c r="Y23" s="357">
        <v>69.550000000000011</v>
      </c>
      <c r="Z23" s="365" t="s">
        <v>2689</v>
      </c>
      <c r="AA23" s="350">
        <v>100</v>
      </c>
      <c r="AB23" s="349" t="s">
        <v>2685</v>
      </c>
      <c r="AC23" s="350">
        <v>10</v>
      </c>
      <c r="AD23" s="349" t="s">
        <v>2685</v>
      </c>
      <c r="AE23" s="364">
        <v>0</v>
      </c>
      <c r="AF23" s="366">
        <v>12.170999999999999</v>
      </c>
      <c r="AG23" s="363">
        <v>0</v>
      </c>
      <c r="AH23" s="635" t="s">
        <v>7787</v>
      </c>
      <c r="AI23" s="324"/>
      <c r="AL23" s="487" t="s">
        <v>14095</v>
      </c>
      <c r="AM23" s="477" t="s">
        <v>70</v>
      </c>
      <c r="AN23" s="637">
        <v>100</v>
      </c>
      <c r="AO23" s="478">
        <v>-230</v>
      </c>
      <c r="AP23" s="463">
        <v>-230</v>
      </c>
      <c r="AQ23" s="479">
        <v>0</v>
      </c>
      <c r="AR23" s="476" t="s">
        <v>14096</v>
      </c>
      <c r="BA23" s="313" t="s">
        <v>2702</v>
      </c>
    </row>
    <row r="24" spans="2:53" ht="16.5" customHeight="1">
      <c r="B24" s="367" t="s">
        <v>7821</v>
      </c>
      <c r="C24" s="351" t="s">
        <v>7822</v>
      </c>
      <c r="D24" s="353">
        <v>-230</v>
      </c>
      <c r="E24" s="352" t="s">
        <v>408</v>
      </c>
      <c r="F24" s="341">
        <v>99.21</v>
      </c>
      <c r="G24" s="355" t="s">
        <v>18324</v>
      </c>
      <c r="H24" s="356" t="s">
        <v>18325</v>
      </c>
      <c r="I24" s="354" t="s">
        <v>241</v>
      </c>
      <c r="J24" s="340" t="s">
        <v>240</v>
      </c>
      <c r="K24" s="339" t="s">
        <v>70</v>
      </c>
      <c r="L24" s="357">
        <v>12</v>
      </c>
      <c r="M24" s="358" t="s">
        <v>7798</v>
      </c>
      <c r="N24" s="359">
        <v>1000</v>
      </c>
      <c r="O24" s="360" t="s">
        <v>532</v>
      </c>
      <c r="P24" s="343" t="s">
        <v>532</v>
      </c>
      <c r="Q24" s="342" t="s">
        <v>2688</v>
      </c>
      <c r="R24" s="344">
        <v>20</v>
      </c>
      <c r="S24" s="345">
        <v>30</v>
      </c>
      <c r="T24" s="362">
        <v>30</v>
      </c>
      <c r="U24" s="361">
        <v>99.21</v>
      </c>
      <c r="V24" s="346">
        <v>135.35832056994022</v>
      </c>
      <c r="W24" s="348">
        <v>136.26874042745513</v>
      </c>
      <c r="X24" s="347" t="s">
        <v>18326</v>
      </c>
      <c r="Y24" s="357" t="s">
        <v>408</v>
      </c>
      <c r="Z24" s="365" t="s">
        <v>2689</v>
      </c>
      <c r="AA24" s="350">
        <v>190</v>
      </c>
      <c r="AB24" s="349" t="s">
        <v>2685</v>
      </c>
      <c r="AC24" s="350">
        <v>10</v>
      </c>
      <c r="AD24" s="349" t="s">
        <v>2685</v>
      </c>
      <c r="AE24" s="364">
        <v>0</v>
      </c>
      <c r="AF24" s="366">
        <v>0</v>
      </c>
      <c r="AG24" s="363">
        <v>0</v>
      </c>
      <c r="AH24" s="635" t="s">
        <v>408</v>
      </c>
      <c r="AI24" s="324"/>
      <c r="AL24" s="487" t="s">
        <v>7144</v>
      </c>
      <c r="AM24" s="480" t="s">
        <v>70</v>
      </c>
      <c r="AN24" s="637">
        <v>100</v>
      </c>
      <c r="AO24" s="478">
        <v>-230</v>
      </c>
      <c r="AP24" s="463">
        <v>-230</v>
      </c>
      <c r="AQ24" s="479">
        <v>0</v>
      </c>
      <c r="AR24" s="476" t="s">
        <v>17093</v>
      </c>
      <c r="BA24" s="313" t="s">
        <v>2703</v>
      </c>
    </row>
    <row r="25" spans="2:53" ht="16.5" customHeight="1">
      <c r="B25" s="367" t="s">
        <v>7821</v>
      </c>
      <c r="C25" s="351" t="s">
        <v>7822</v>
      </c>
      <c r="D25" s="353">
        <v>-173</v>
      </c>
      <c r="E25" s="352" t="s">
        <v>408</v>
      </c>
      <c r="F25" s="341">
        <v>99.2</v>
      </c>
      <c r="G25" s="355" t="s">
        <v>7823</v>
      </c>
      <c r="H25" s="356" t="s">
        <v>7824</v>
      </c>
      <c r="I25" s="354" t="s">
        <v>196</v>
      </c>
      <c r="J25" s="340" t="s">
        <v>7825</v>
      </c>
      <c r="K25" s="339" t="s">
        <v>70</v>
      </c>
      <c r="L25" s="357">
        <v>27</v>
      </c>
      <c r="M25" s="358" t="s">
        <v>7826</v>
      </c>
      <c r="N25" s="359">
        <v>600</v>
      </c>
      <c r="O25" s="360" t="s">
        <v>530</v>
      </c>
      <c r="P25" s="343" t="s">
        <v>530</v>
      </c>
      <c r="Q25" s="342" t="s">
        <v>2688</v>
      </c>
      <c r="R25" s="344">
        <v>33</v>
      </c>
      <c r="S25" s="345">
        <v>40</v>
      </c>
      <c r="T25" s="362">
        <v>27</v>
      </c>
      <c r="U25" s="361">
        <v>99.2</v>
      </c>
      <c r="V25" s="346">
        <v>135.34159699764467</v>
      </c>
      <c r="W25" s="348">
        <v>136.25619774823349</v>
      </c>
      <c r="X25" s="347">
        <v>68.47</v>
      </c>
      <c r="Y25" s="357" t="s">
        <v>408</v>
      </c>
      <c r="Z25" s="365" t="s">
        <v>2689</v>
      </c>
      <c r="AA25" s="350">
        <v>0</v>
      </c>
      <c r="AB25" s="349" t="s">
        <v>2685</v>
      </c>
      <c r="AC25" s="350">
        <v>0</v>
      </c>
      <c r="AD25" s="349" t="s">
        <v>2685</v>
      </c>
      <c r="AE25" s="364">
        <v>0</v>
      </c>
      <c r="AF25" s="366">
        <v>3</v>
      </c>
      <c r="AG25" s="363">
        <v>0</v>
      </c>
      <c r="AH25" s="635" t="s">
        <v>2690</v>
      </c>
      <c r="AI25" s="324"/>
      <c r="AL25" s="487" t="s">
        <v>14097</v>
      </c>
      <c r="AM25" s="477" t="s">
        <v>70</v>
      </c>
      <c r="AN25" s="637" t="s">
        <v>7146</v>
      </c>
      <c r="AO25" s="478">
        <v>-173</v>
      </c>
      <c r="AP25" s="463">
        <v>-173</v>
      </c>
      <c r="AQ25" s="479">
        <v>0</v>
      </c>
      <c r="AR25" s="476" t="s">
        <v>14098</v>
      </c>
      <c r="BA25" s="313" t="s">
        <v>2706</v>
      </c>
    </row>
    <row r="26" spans="2:53" ht="16.5" customHeight="1">
      <c r="B26" s="367" t="s">
        <v>7827</v>
      </c>
      <c r="C26" s="351" t="s">
        <v>7828</v>
      </c>
      <c r="D26" s="353">
        <v>-173</v>
      </c>
      <c r="E26" s="352" t="s">
        <v>408</v>
      </c>
      <c r="F26" s="341">
        <v>99.06</v>
      </c>
      <c r="G26" s="355" t="s">
        <v>7829</v>
      </c>
      <c r="H26" s="356" t="s">
        <v>7830</v>
      </c>
      <c r="I26" s="354" t="s">
        <v>196</v>
      </c>
      <c r="J26" s="340" t="s">
        <v>7831</v>
      </c>
      <c r="K26" s="339" t="s">
        <v>70</v>
      </c>
      <c r="L26" s="357">
        <v>10</v>
      </c>
      <c r="M26" s="358" t="s">
        <v>7832</v>
      </c>
      <c r="N26" s="359">
        <v>600</v>
      </c>
      <c r="O26" s="360" t="s">
        <v>530</v>
      </c>
      <c r="P26" s="343" t="s">
        <v>530</v>
      </c>
      <c r="Q26" s="342" t="s">
        <v>2688</v>
      </c>
      <c r="R26" s="344">
        <v>33</v>
      </c>
      <c r="S26" s="345">
        <v>40</v>
      </c>
      <c r="T26" s="362">
        <v>27</v>
      </c>
      <c r="U26" s="361">
        <v>99.06</v>
      </c>
      <c r="V26" s="346">
        <v>134.93209986392753</v>
      </c>
      <c r="W26" s="348">
        <v>135.59259918356523</v>
      </c>
      <c r="X26" s="347">
        <v>68.349999999999994</v>
      </c>
      <c r="Y26" s="357" t="s">
        <v>408</v>
      </c>
      <c r="Z26" s="365" t="s">
        <v>2689</v>
      </c>
      <c r="AA26" s="350">
        <v>0</v>
      </c>
      <c r="AB26" s="349" t="s">
        <v>2685</v>
      </c>
      <c r="AC26" s="350">
        <v>0</v>
      </c>
      <c r="AD26" s="349" t="s">
        <v>2685</v>
      </c>
      <c r="AE26" s="364">
        <v>0</v>
      </c>
      <c r="AF26" s="366">
        <v>3</v>
      </c>
      <c r="AG26" s="363">
        <v>0</v>
      </c>
      <c r="AH26" s="635" t="s">
        <v>2690</v>
      </c>
      <c r="AI26" s="324"/>
      <c r="AL26" s="487" t="s">
        <v>14099</v>
      </c>
      <c r="AM26" s="477" t="s">
        <v>70</v>
      </c>
      <c r="AN26" s="637" t="s">
        <v>7146</v>
      </c>
      <c r="AO26" s="478">
        <v>-173</v>
      </c>
      <c r="AP26" s="463">
        <v>-173</v>
      </c>
      <c r="AQ26" s="479">
        <v>0</v>
      </c>
      <c r="AR26" s="476" t="s">
        <v>14100</v>
      </c>
      <c r="BA26" s="313" t="s">
        <v>2707</v>
      </c>
    </row>
    <row r="27" spans="2:53" ht="16.5" customHeight="1">
      <c r="B27" s="367" t="s">
        <v>7833</v>
      </c>
      <c r="C27" s="351" t="s">
        <v>7834</v>
      </c>
      <c r="D27" s="353">
        <v>-180</v>
      </c>
      <c r="E27" s="352" t="s">
        <v>408</v>
      </c>
      <c r="F27" s="341">
        <v>99.06</v>
      </c>
      <c r="G27" s="355" t="s">
        <v>7835</v>
      </c>
      <c r="H27" s="356" t="s">
        <v>7836</v>
      </c>
      <c r="I27" s="354" t="s">
        <v>221</v>
      </c>
      <c r="J27" s="340" t="s">
        <v>7837</v>
      </c>
      <c r="K27" s="339" t="s">
        <v>70</v>
      </c>
      <c r="L27" s="357">
        <v>50</v>
      </c>
      <c r="M27" s="358" t="s">
        <v>7838</v>
      </c>
      <c r="N27" s="359">
        <v>950</v>
      </c>
      <c r="O27" s="360" t="s">
        <v>532</v>
      </c>
      <c r="P27" s="343" t="s">
        <v>533</v>
      </c>
      <c r="Q27" s="342" t="s">
        <v>2688</v>
      </c>
      <c r="R27" s="344">
        <v>20</v>
      </c>
      <c r="S27" s="345">
        <v>40</v>
      </c>
      <c r="T27" s="362">
        <v>30</v>
      </c>
      <c r="U27" s="361">
        <v>99.06</v>
      </c>
      <c r="V27" s="346">
        <v>134.93663956779099</v>
      </c>
      <c r="W27" s="348">
        <v>135.619837406746</v>
      </c>
      <c r="X27" s="347">
        <v>68.349999999999994</v>
      </c>
      <c r="Y27" s="357">
        <v>69.430000000000007</v>
      </c>
      <c r="Z27" s="365" t="s">
        <v>2689</v>
      </c>
      <c r="AA27" s="350">
        <v>95</v>
      </c>
      <c r="AB27" s="349" t="s">
        <v>2685</v>
      </c>
      <c r="AC27" s="350">
        <v>0</v>
      </c>
      <c r="AD27" s="349" t="s">
        <v>2685</v>
      </c>
      <c r="AE27" s="364">
        <v>0</v>
      </c>
      <c r="AF27" s="366">
        <v>19.515999999999998</v>
      </c>
      <c r="AG27" s="363">
        <v>0</v>
      </c>
      <c r="AH27" s="635" t="s">
        <v>7839</v>
      </c>
      <c r="AI27" s="324"/>
      <c r="AL27" s="487" t="s">
        <v>14101</v>
      </c>
      <c r="AM27" s="477" t="s">
        <v>70</v>
      </c>
      <c r="AN27" s="637">
        <v>100</v>
      </c>
      <c r="AO27" s="478">
        <v>-180</v>
      </c>
      <c r="AP27" s="463">
        <v>-180</v>
      </c>
      <c r="AQ27" s="479">
        <v>0</v>
      </c>
      <c r="AR27" s="476" t="s">
        <v>14102</v>
      </c>
      <c r="BA27" s="313" t="s">
        <v>2710</v>
      </c>
    </row>
    <row r="28" spans="2:53" ht="16.5" customHeight="1">
      <c r="B28" s="367" t="s">
        <v>2708</v>
      </c>
      <c r="C28" s="351" t="s">
        <v>2709</v>
      </c>
      <c r="D28" s="353">
        <v>-90</v>
      </c>
      <c r="E28" s="352" t="s">
        <v>7840</v>
      </c>
      <c r="F28" s="341">
        <v>99.04</v>
      </c>
      <c r="G28" s="355" t="s">
        <v>18327</v>
      </c>
      <c r="H28" s="356" t="s">
        <v>18328</v>
      </c>
      <c r="I28" s="354" t="s">
        <v>224</v>
      </c>
      <c r="J28" s="340" t="s">
        <v>7841</v>
      </c>
      <c r="K28" s="339" t="s">
        <v>71</v>
      </c>
      <c r="L28" s="357">
        <v>8</v>
      </c>
      <c r="M28" s="358" t="s">
        <v>7842</v>
      </c>
      <c r="N28" s="359">
        <v>1000</v>
      </c>
      <c r="O28" s="360" t="s">
        <v>532</v>
      </c>
      <c r="P28" s="343" t="s">
        <v>533</v>
      </c>
      <c r="Q28" s="342" t="s">
        <v>2688</v>
      </c>
      <c r="R28" s="344">
        <v>30</v>
      </c>
      <c r="S28" s="345">
        <v>30</v>
      </c>
      <c r="T28" s="362">
        <v>20</v>
      </c>
      <c r="U28" s="361">
        <v>99.04</v>
      </c>
      <c r="V28" s="346">
        <v>134.90788462855053</v>
      </c>
      <c r="W28" s="348">
        <v>135.44730777130314</v>
      </c>
      <c r="X28" s="347">
        <v>68.94</v>
      </c>
      <c r="Y28" s="357">
        <v>68.86</v>
      </c>
      <c r="Z28" s="365" t="s">
        <v>2689</v>
      </c>
      <c r="AA28" s="350">
        <v>200</v>
      </c>
      <c r="AB28" s="349" t="s">
        <v>2685</v>
      </c>
      <c r="AC28" s="350">
        <v>10</v>
      </c>
      <c r="AD28" s="349" t="s">
        <v>2685</v>
      </c>
      <c r="AE28" s="364">
        <v>0</v>
      </c>
      <c r="AF28" s="366">
        <v>0</v>
      </c>
      <c r="AG28" s="363">
        <v>0</v>
      </c>
      <c r="AH28" s="635" t="s">
        <v>408</v>
      </c>
      <c r="AI28" s="324"/>
      <c r="AL28" s="487" t="s">
        <v>14103</v>
      </c>
      <c r="AM28" s="477" t="s">
        <v>71</v>
      </c>
      <c r="AN28" s="637" t="s">
        <v>7148</v>
      </c>
      <c r="AO28" s="478">
        <v>-90</v>
      </c>
      <c r="AP28" s="463">
        <v>-79</v>
      </c>
      <c r="AQ28" s="479">
        <v>-11</v>
      </c>
      <c r="AR28" s="476" t="s">
        <v>14104</v>
      </c>
      <c r="BA28" s="313" t="s">
        <v>2711</v>
      </c>
    </row>
    <row r="29" spans="2:53" ht="16.5" customHeight="1">
      <c r="B29" s="367" t="s">
        <v>2704</v>
      </c>
      <c r="C29" s="351" t="s">
        <v>2705</v>
      </c>
      <c r="D29" s="353">
        <v>-190</v>
      </c>
      <c r="E29" s="352" t="s">
        <v>408</v>
      </c>
      <c r="F29" s="341">
        <v>99.04</v>
      </c>
      <c r="G29" s="355" t="s">
        <v>7843</v>
      </c>
      <c r="H29" s="356" t="s">
        <v>7844</v>
      </c>
      <c r="I29" s="354" t="s">
        <v>242</v>
      </c>
      <c r="J29" s="340" t="s">
        <v>240</v>
      </c>
      <c r="K29" s="339" t="s">
        <v>70</v>
      </c>
      <c r="L29" s="357">
        <v>19</v>
      </c>
      <c r="M29" s="358" t="s">
        <v>7845</v>
      </c>
      <c r="N29" s="359">
        <v>800</v>
      </c>
      <c r="O29" s="360" t="s">
        <v>530</v>
      </c>
      <c r="P29" s="343" t="s">
        <v>530</v>
      </c>
      <c r="Q29" s="342" t="s">
        <v>2688</v>
      </c>
      <c r="R29" s="344">
        <v>25</v>
      </c>
      <c r="S29" s="345">
        <v>25</v>
      </c>
      <c r="T29" s="362">
        <v>25</v>
      </c>
      <c r="U29" s="361">
        <v>99.04</v>
      </c>
      <c r="V29" s="346">
        <v>134.90457355550046</v>
      </c>
      <c r="W29" s="348">
        <v>135.42744133300283</v>
      </c>
      <c r="X29" s="347">
        <v>68.33</v>
      </c>
      <c r="Y29" s="357" t="s">
        <v>408</v>
      </c>
      <c r="Z29" s="365" t="s">
        <v>2689</v>
      </c>
      <c r="AA29" s="350">
        <v>135</v>
      </c>
      <c r="AB29" s="349" t="s">
        <v>2685</v>
      </c>
      <c r="AC29" s="350">
        <v>0</v>
      </c>
      <c r="AD29" s="349" t="s">
        <v>2685</v>
      </c>
      <c r="AE29" s="364">
        <v>0</v>
      </c>
      <c r="AF29" s="366">
        <v>0</v>
      </c>
      <c r="AG29" s="363">
        <v>0</v>
      </c>
      <c r="AH29" s="635" t="s">
        <v>408</v>
      </c>
      <c r="AI29" s="324"/>
      <c r="AL29" s="487" t="s">
        <v>7147</v>
      </c>
      <c r="AM29" s="477" t="s">
        <v>70</v>
      </c>
      <c r="AN29" s="637">
        <v>100</v>
      </c>
      <c r="AO29" s="478">
        <v>-190</v>
      </c>
      <c r="AP29" s="463">
        <v>-190</v>
      </c>
      <c r="AQ29" s="479">
        <v>0</v>
      </c>
      <c r="AR29" s="476" t="s">
        <v>14105</v>
      </c>
      <c r="BA29" s="313" t="s">
        <v>2712</v>
      </c>
    </row>
    <row r="30" spans="2:53" ht="16.5" customHeight="1">
      <c r="B30" s="367" t="s">
        <v>7849</v>
      </c>
      <c r="C30" s="351" t="s">
        <v>7850</v>
      </c>
      <c r="D30" s="353">
        <v>-190</v>
      </c>
      <c r="E30" s="352" t="s">
        <v>408</v>
      </c>
      <c r="F30" s="341">
        <v>98.92</v>
      </c>
      <c r="G30" s="355" t="s">
        <v>7851</v>
      </c>
      <c r="H30" s="356" t="s">
        <v>18329</v>
      </c>
      <c r="I30" s="354" t="s">
        <v>224</v>
      </c>
      <c r="J30" s="340" t="s">
        <v>7852</v>
      </c>
      <c r="K30" s="339" t="s">
        <v>70</v>
      </c>
      <c r="L30" s="357">
        <v>50</v>
      </c>
      <c r="M30" s="358" t="s">
        <v>7853</v>
      </c>
      <c r="N30" s="359">
        <v>1000</v>
      </c>
      <c r="O30" s="360" t="s">
        <v>532</v>
      </c>
      <c r="P30" s="343" t="s">
        <v>533</v>
      </c>
      <c r="Q30" s="342" t="s">
        <v>2688</v>
      </c>
      <c r="R30" s="344">
        <v>25</v>
      </c>
      <c r="S30" s="345">
        <v>30</v>
      </c>
      <c r="T30" s="362">
        <v>25</v>
      </c>
      <c r="U30" s="361">
        <v>98.92</v>
      </c>
      <c r="V30" s="346">
        <v>134.69174870331074</v>
      </c>
      <c r="W30" s="348">
        <v>134.85841536997739</v>
      </c>
      <c r="X30" s="347">
        <v>68.22</v>
      </c>
      <c r="Y30" s="357">
        <v>69.320000000000007</v>
      </c>
      <c r="Z30" s="365" t="s">
        <v>2689</v>
      </c>
      <c r="AA30" s="350">
        <v>200</v>
      </c>
      <c r="AB30" s="349" t="s">
        <v>2685</v>
      </c>
      <c r="AC30" s="350">
        <v>10</v>
      </c>
      <c r="AD30" s="349" t="s">
        <v>2685</v>
      </c>
      <c r="AE30" s="364">
        <v>0</v>
      </c>
      <c r="AF30" s="366">
        <v>14.827</v>
      </c>
      <c r="AG30" s="363">
        <v>0</v>
      </c>
      <c r="AH30" s="635" t="s">
        <v>7854</v>
      </c>
      <c r="AI30" s="324"/>
      <c r="AL30" s="487" t="s">
        <v>14106</v>
      </c>
      <c r="AM30" s="480" t="s">
        <v>70</v>
      </c>
      <c r="AN30" s="637">
        <v>100</v>
      </c>
      <c r="AO30" s="478">
        <v>-190</v>
      </c>
      <c r="AP30" s="463">
        <v>-190</v>
      </c>
      <c r="AQ30" s="479">
        <v>0</v>
      </c>
      <c r="AR30" s="476" t="s">
        <v>16795</v>
      </c>
      <c r="BA30" s="313" t="s">
        <v>2713</v>
      </c>
    </row>
    <row r="31" spans="2:53" ht="16.5" customHeight="1">
      <c r="B31" s="367" t="s">
        <v>7849</v>
      </c>
      <c r="C31" s="351" t="s">
        <v>7850</v>
      </c>
      <c r="D31" s="353">
        <v>-200</v>
      </c>
      <c r="E31" s="352" t="s">
        <v>408</v>
      </c>
      <c r="F31" s="341">
        <v>98.9</v>
      </c>
      <c r="G31" s="355" t="s">
        <v>7855</v>
      </c>
      <c r="H31" s="356" t="s">
        <v>7856</v>
      </c>
      <c r="I31" s="354" t="s">
        <v>73</v>
      </c>
      <c r="J31" s="340" t="s">
        <v>7857</v>
      </c>
      <c r="K31" s="339" t="s">
        <v>70</v>
      </c>
      <c r="L31" s="357">
        <v>26</v>
      </c>
      <c r="M31" s="358" t="s">
        <v>7858</v>
      </c>
      <c r="N31" s="359">
        <v>1000</v>
      </c>
      <c r="O31" s="360" t="s">
        <v>530</v>
      </c>
      <c r="P31" s="343" t="s">
        <v>531</v>
      </c>
      <c r="Q31" s="342" t="s">
        <v>2688</v>
      </c>
      <c r="R31" s="344">
        <v>22</v>
      </c>
      <c r="S31" s="345">
        <v>33</v>
      </c>
      <c r="T31" s="362">
        <v>33</v>
      </c>
      <c r="U31" s="361">
        <v>98.9</v>
      </c>
      <c r="V31" s="346">
        <v>134.66253536556832</v>
      </c>
      <c r="W31" s="348">
        <v>134.82920203223497</v>
      </c>
      <c r="X31" s="347">
        <v>68.209999999999994</v>
      </c>
      <c r="Y31" s="357">
        <v>68.72</v>
      </c>
      <c r="Z31" s="365" t="s">
        <v>2689</v>
      </c>
      <c r="AA31" s="350">
        <v>111.11</v>
      </c>
      <c r="AB31" s="349" t="s">
        <v>2685</v>
      </c>
      <c r="AC31" s="350">
        <v>0</v>
      </c>
      <c r="AD31" s="349" t="s">
        <v>2685</v>
      </c>
      <c r="AE31" s="364">
        <v>0</v>
      </c>
      <c r="AF31" s="366">
        <v>6.8719999999999999</v>
      </c>
      <c r="AG31" s="363">
        <v>0</v>
      </c>
      <c r="AH31" s="635" t="s">
        <v>7791</v>
      </c>
      <c r="AI31" s="324"/>
      <c r="AL31" s="487" t="s">
        <v>14108</v>
      </c>
      <c r="AM31" s="477" t="s">
        <v>70</v>
      </c>
      <c r="AN31" s="637" t="s">
        <v>7148</v>
      </c>
      <c r="AO31" s="478">
        <v>-200</v>
      </c>
      <c r="AP31" s="463">
        <v>-200</v>
      </c>
      <c r="AQ31" s="479">
        <v>0</v>
      </c>
      <c r="AR31" s="476" t="s">
        <v>16796</v>
      </c>
      <c r="BA31" s="313" t="s">
        <v>2716</v>
      </c>
    </row>
    <row r="32" spans="2:53" ht="16.5" customHeight="1">
      <c r="B32" s="367" t="s">
        <v>7859</v>
      </c>
      <c r="C32" s="351" t="s">
        <v>7860</v>
      </c>
      <c r="D32" s="353">
        <v>-500</v>
      </c>
      <c r="E32" s="352" t="s">
        <v>408</v>
      </c>
      <c r="F32" s="341">
        <v>98.83</v>
      </c>
      <c r="G32" s="355" t="s">
        <v>2844</v>
      </c>
      <c r="H32" s="356" t="s">
        <v>18330</v>
      </c>
      <c r="I32" s="354" t="s">
        <v>216</v>
      </c>
      <c r="J32" s="340" t="s">
        <v>7770</v>
      </c>
      <c r="K32" s="339" t="s">
        <v>70</v>
      </c>
      <c r="L32" s="357">
        <v>18</v>
      </c>
      <c r="M32" s="358" t="s">
        <v>7861</v>
      </c>
      <c r="N32" s="359">
        <v>300</v>
      </c>
      <c r="O32" s="360" t="s">
        <v>530</v>
      </c>
      <c r="P32" s="343" t="s">
        <v>530</v>
      </c>
      <c r="Q32" s="342" t="s">
        <v>2688</v>
      </c>
      <c r="R32" s="344">
        <v>25</v>
      </c>
      <c r="S32" s="345">
        <v>45</v>
      </c>
      <c r="T32" s="362">
        <v>30</v>
      </c>
      <c r="U32" s="361">
        <v>98.83</v>
      </c>
      <c r="V32" s="346">
        <v>134.55775900378799</v>
      </c>
      <c r="W32" s="348">
        <v>134.72442567045465</v>
      </c>
      <c r="X32" s="347">
        <v>68.14</v>
      </c>
      <c r="Y32" s="357" t="s">
        <v>408</v>
      </c>
      <c r="Z32" s="365" t="s">
        <v>2689</v>
      </c>
      <c r="AA32" s="350">
        <v>0</v>
      </c>
      <c r="AB32" s="349" t="s">
        <v>2685</v>
      </c>
      <c r="AC32" s="350">
        <v>0</v>
      </c>
      <c r="AD32" s="349" t="s">
        <v>2685</v>
      </c>
      <c r="AE32" s="364">
        <v>0</v>
      </c>
      <c r="AF32" s="366">
        <v>0</v>
      </c>
      <c r="AG32" s="363">
        <v>0</v>
      </c>
      <c r="AH32" s="635" t="s">
        <v>408</v>
      </c>
      <c r="AI32" s="324"/>
      <c r="AL32" s="487" t="s">
        <v>14109</v>
      </c>
      <c r="AM32" s="477" t="s">
        <v>70</v>
      </c>
      <c r="AN32" s="637">
        <v>100</v>
      </c>
      <c r="AO32" s="478">
        <v>-500</v>
      </c>
      <c r="AP32" s="463">
        <v>-500</v>
      </c>
      <c r="AQ32" s="479">
        <v>0</v>
      </c>
      <c r="AR32" s="476" t="s">
        <v>17094</v>
      </c>
      <c r="BA32" s="313" t="s">
        <v>2717</v>
      </c>
    </row>
    <row r="33" spans="2:53" ht="16.5" customHeight="1">
      <c r="B33" s="367" t="s">
        <v>2714</v>
      </c>
      <c r="C33" s="351" t="s">
        <v>2715</v>
      </c>
      <c r="D33" s="353">
        <v>-400</v>
      </c>
      <c r="E33" s="352" t="s">
        <v>408</v>
      </c>
      <c r="F33" s="341">
        <v>98.79</v>
      </c>
      <c r="G33" s="355" t="s">
        <v>7862</v>
      </c>
      <c r="H33" s="356" t="s">
        <v>18331</v>
      </c>
      <c r="I33" s="354" t="s">
        <v>215</v>
      </c>
      <c r="J33" s="340" t="s">
        <v>7770</v>
      </c>
      <c r="K33" s="339" t="s">
        <v>70</v>
      </c>
      <c r="L33" s="357">
        <v>22</v>
      </c>
      <c r="M33" s="358" t="s">
        <v>7863</v>
      </c>
      <c r="N33" s="359">
        <v>1000</v>
      </c>
      <c r="O33" s="360" t="s">
        <v>530</v>
      </c>
      <c r="P33" s="343" t="s">
        <v>531</v>
      </c>
      <c r="Q33" s="342" t="s">
        <v>2688</v>
      </c>
      <c r="R33" s="344">
        <v>25</v>
      </c>
      <c r="S33" s="345">
        <v>38</v>
      </c>
      <c r="T33" s="362">
        <v>25</v>
      </c>
      <c r="U33" s="361">
        <v>98.79</v>
      </c>
      <c r="V33" s="346">
        <v>134.48289623717218</v>
      </c>
      <c r="W33" s="348">
        <v>134.64956290383884</v>
      </c>
      <c r="X33" s="347">
        <v>68.099999999999994</v>
      </c>
      <c r="Y33" s="357">
        <v>69.210000000000008</v>
      </c>
      <c r="Z33" s="365" t="s">
        <v>2689</v>
      </c>
      <c r="AA33" s="350">
        <v>125</v>
      </c>
      <c r="AB33" s="349" t="s">
        <v>2685</v>
      </c>
      <c r="AC33" s="350">
        <v>10</v>
      </c>
      <c r="AD33" s="349" t="s">
        <v>2685</v>
      </c>
      <c r="AE33" s="364">
        <v>0</v>
      </c>
      <c r="AF33" s="366">
        <v>0</v>
      </c>
      <c r="AG33" s="363">
        <v>0</v>
      </c>
      <c r="AH33" s="635" t="s">
        <v>408</v>
      </c>
      <c r="AI33" s="324"/>
      <c r="AL33" s="487" t="s">
        <v>14110</v>
      </c>
      <c r="AM33" s="480" t="s">
        <v>70</v>
      </c>
      <c r="AN33" s="637">
        <v>100</v>
      </c>
      <c r="AO33" s="478">
        <v>-400</v>
      </c>
      <c r="AP33" s="463">
        <v>-400</v>
      </c>
      <c r="AQ33" s="479">
        <v>0</v>
      </c>
      <c r="AR33" s="476" t="s">
        <v>17095</v>
      </c>
      <c r="BA33" s="313" t="s">
        <v>2720</v>
      </c>
    </row>
    <row r="34" spans="2:53" ht="16.5" customHeight="1">
      <c r="B34" s="367" t="s">
        <v>2718</v>
      </c>
      <c r="C34" s="351" t="s">
        <v>2719</v>
      </c>
      <c r="D34" s="353">
        <v>-400</v>
      </c>
      <c r="E34" s="352" t="s">
        <v>408</v>
      </c>
      <c r="F34" s="341">
        <v>98.75</v>
      </c>
      <c r="G34" s="355" t="s">
        <v>7864</v>
      </c>
      <c r="H34" s="356" t="s">
        <v>18332</v>
      </c>
      <c r="I34" s="354" t="s">
        <v>209</v>
      </c>
      <c r="J34" s="340" t="s">
        <v>7770</v>
      </c>
      <c r="K34" s="339" t="s">
        <v>70</v>
      </c>
      <c r="L34" s="357">
        <v>33</v>
      </c>
      <c r="M34" s="358" t="s">
        <v>7865</v>
      </c>
      <c r="N34" s="359">
        <v>800</v>
      </c>
      <c r="O34" s="360" t="s">
        <v>530</v>
      </c>
      <c r="P34" s="343" t="s">
        <v>530</v>
      </c>
      <c r="Q34" s="342" t="s">
        <v>2688</v>
      </c>
      <c r="R34" s="344">
        <v>20</v>
      </c>
      <c r="S34" s="345">
        <v>30</v>
      </c>
      <c r="T34" s="362">
        <v>30</v>
      </c>
      <c r="U34" s="361">
        <v>98.75</v>
      </c>
      <c r="V34" s="346">
        <v>134.42435902896239</v>
      </c>
      <c r="W34" s="348">
        <v>134.59102569562904</v>
      </c>
      <c r="X34" s="347">
        <v>68.06</v>
      </c>
      <c r="Y34" s="357" t="s">
        <v>408</v>
      </c>
      <c r="Z34" s="365" t="s">
        <v>2689</v>
      </c>
      <c r="AA34" s="350">
        <v>160</v>
      </c>
      <c r="AB34" s="349" t="s">
        <v>2685</v>
      </c>
      <c r="AC34" s="350">
        <v>10</v>
      </c>
      <c r="AD34" s="349" t="s">
        <v>2685</v>
      </c>
      <c r="AE34" s="364">
        <v>0</v>
      </c>
      <c r="AF34" s="366">
        <v>0</v>
      </c>
      <c r="AG34" s="363">
        <v>0</v>
      </c>
      <c r="AH34" s="635" t="s">
        <v>408</v>
      </c>
      <c r="AI34" s="324"/>
      <c r="AL34" s="487" t="s">
        <v>14111</v>
      </c>
      <c r="AM34" s="480" t="s">
        <v>70</v>
      </c>
      <c r="AN34" s="637">
        <v>100</v>
      </c>
      <c r="AO34" s="478">
        <v>-400</v>
      </c>
      <c r="AP34" s="463">
        <v>-400</v>
      </c>
      <c r="AQ34" s="479">
        <v>0</v>
      </c>
      <c r="AR34" s="476" t="s">
        <v>17096</v>
      </c>
      <c r="BA34" s="313" t="s">
        <v>2721</v>
      </c>
    </row>
    <row r="35" spans="2:53" ht="16.5" customHeight="1">
      <c r="B35" s="367" t="s">
        <v>7866</v>
      </c>
      <c r="C35" s="351" t="s">
        <v>7867</v>
      </c>
      <c r="D35" s="353">
        <v>-383</v>
      </c>
      <c r="E35" s="352" t="s">
        <v>408</v>
      </c>
      <c r="F35" s="341">
        <v>98.73</v>
      </c>
      <c r="G35" s="355" t="s">
        <v>2854</v>
      </c>
      <c r="H35" s="356" t="s">
        <v>18333</v>
      </c>
      <c r="I35" s="354" t="s">
        <v>196</v>
      </c>
      <c r="J35" s="340" t="s">
        <v>7868</v>
      </c>
      <c r="K35" s="339" t="s">
        <v>70</v>
      </c>
      <c r="L35" s="357">
        <v>15</v>
      </c>
      <c r="M35" s="358" t="s">
        <v>7869</v>
      </c>
      <c r="N35" s="359">
        <v>600</v>
      </c>
      <c r="O35" s="360" t="s">
        <v>530</v>
      </c>
      <c r="P35" s="343" t="s">
        <v>530</v>
      </c>
      <c r="Q35" s="342" t="s">
        <v>2688</v>
      </c>
      <c r="R35" s="344">
        <v>33</v>
      </c>
      <c r="S35" s="345">
        <v>40</v>
      </c>
      <c r="T35" s="362">
        <v>27</v>
      </c>
      <c r="U35" s="361">
        <v>98.73</v>
      </c>
      <c r="V35" s="346">
        <v>134.38235996312216</v>
      </c>
      <c r="W35" s="348">
        <v>134.54902662978881</v>
      </c>
      <c r="X35" s="347">
        <v>68.03</v>
      </c>
      <c r="Y35" s="357" t="s">
        <v>408</v>
      </c>
      <c r="Z35" s="365" t="s">
        <v>2689</v>
      </c>
      <c r="AA35" s="350">
        <v>0</v>
      </c>
      <c r="AB35" s="349" t="s">
        <v>2685</v>
      </c>
      <c r="AC35" s="350">
        <v>0</v>
      </c>
      <c r="AD35" s="349" t="s">
        <v>2685</v>
      </c>
      <c r="AE35" s="364">
        <v>0</v>
      </c>
      <c r="AF35" s="366">
        <v>3</v>
      </c>
      <c r="AG35" s="363">
        <v>0</v>
      </c>
      <c r="AH35" s="635" t="s">
        <v>2690</v>
      </c>
      <c r="AI35" s="324"/>
      <c r="AL35" s="487" t="s">
        <v>14112</v>
      </c>
      <c r="AM35" s="480" t="s">
        <v>70</v>
      </c>
      <c r="AN35" s="637" t="s">
        <v>7146</v>
      </c>
      <c r="AO35" s="478">
        <v>-383</v>
      </c>
      <c r="AP35" s="463">
        <v>-383</v>
      </c>
      <c r="AQ35" s="479">
        <v>0</v>
      </c>
      <c r="AR35" s="476" t="s">
        <v>14113</v>
      </c>
      <c r="BA35" s="313" t="s">
        <v>2722</v>
      </c>
    </row>
    <row r="36" spans="2:53" ht="16.5" customHeight="1">
      <c r="B36" s="367" t="s">
        <v>7870</v>
      </c>
      <c r="C36" s="351" t="s">
        <v>7871</v>
      </c>
      <c r="D36" s="353">
        <v>-250</v>
      </c>
      <c r="E36" s="352" t="s">
        <v>408</v>
      </c>
      <c r="F36" s="341">
        <v>98.63</v>
      </c>
      <c r="G36" s="355" t="s">
        <v>7876</v>
      </c>
      <c r="H36" s="356" t="s">
        <v>18334</v>
      </c>
      <c r="I36" s="354" t="s">
        <v>82</v>
      </c>
      <c r="J36" s="340" t="s">
        <v>7877</v>
      </c>
      <c r="K36" s="339" t="s">
        <v>71</v>
      </c>
      <c r="L36" s="357">
        <v>14</v>
      </c>
      <c r="M36" s="358" t="s">
        <v>7878</v>
      </c>
      <c r="N36" s="359">
        <v>800</v>
      </c>
      <c r="O36" s="360" t="s">
        <v>530</v>
      </c>
      <c r="P36" s="343" t="s">
        <v>531</v>
      </c>
      <c r="Q36" s="342" t="s">
        <v>2688</v>
      </c>
      <c r="R36" s="344">
        <v>35</v>
      </c>
      <c r="S36" s="345">
        <v>20</v>
      </c>
      <c r="T36" s="362">
        <v>30</v>
      </c>
      <c r="U36" s="361">
        <v>98.63</v>
      </c>
      <c r="V36" s="346">
        <v>134.21617929404815</v>
      </c>
      <c r="W36" s="348">
        <v>134.38284596071477</v>
      </c>
      <c r="X36" s="347">
        <v>67.930000000000007</v>
      </c>
      <c r="Y36" s="357">
        <v>68.72</v>
      </c>
      <c r="Z36" s="365" t="s">
        <v>2689</v>
      </c>
      <c r="AA36" s="350">
        <v>120</v>
      </c>
      <c r="AB36" s="349" t="s">
        <v>2685</v>
      </c>
      <c r="AC36" s="350">
        <v>0</v>
      </c>
      <c r="AD36" s="349" t="s">
        <v>2685</v>
      </c>
      <c r="AE36" s="364">
        <v>0</v>
      </c>
      <c r="AF36" s="366">
        <v>9.6</v>
      </c>
      <c r="AG36" s="363">
        <v>0</v>
      </c>
      <c r="AH36" s="635" t="s">
        <v>7879</v>
      </c>
      <c r="AI36" s="324"/>
      <c r="AL36" s="487" t="s">
        <v>14114</v>
      </c>
      <c r="AM36" s="480" t="s">
        <v>71</v>
      </c>
      <c r="AN36" s="637" t="s">
        <v>7148</v>
      </c>
      <c r="AO36" s="478">
        <v>-250</v>
      </c>
      <c r="AP36" s="463">
        <v>-215</v>
      </c>
      <c r="AQ36" s="479">
        <v>-35</v>
      </c>
      <c r="AR36" s="476" t="s">
        <v>16797</v>
      </c>
      <c r="BA36" s="313" t="s">
        <v>2723</v>
      </c>
    </row>
    <row r="37" spans="2:53" ht="16.5" customHeight="1">
      <c r="B37" s="367" t="s">
        <v>7870</v>
      </c>
      <c r="C37" s="351" t="s">
        <v>7871</v>
      </c>
      <c r="D37" s="353">
        <v>-511</v>
      </c>
      <c r="E37" s="352" t="s">
        <v>408</v>
      </c>
      <c r="F37" s="341">
        <v>98.63</v>
      </c>
      <c r="G37" s="355" t="s">
        <v>7880</v>
      </c>
      <c r="H37" s="356" t="s">
        <v>7846</v>
      </c>
      <c r="I37" s="354" t="s">
        <v>238</v>
      </c>
      <c r="J37" s="340" t="s">
        <v>7770</v>
      </c>
      <c r="K37" s="339" t="s">
        <v>70</v>
      </c>
      <c r="L37" s="357">
        <v>40</v>
      </c>
      <c r="M37" s="358" t="s">
        <v>7881</v>
      </c>
      <c r="N37" s="359">
        <v>1000</v>
      </c>
      <c r="O37" s="360" t="s">
        <v>532</v>
      </c>
      <c r="P37" s="343" t="s">
        <v>533</v>
      </c>
      <c r="Q37" s="342" t="s">
        <v>2688</v>
      </c>
      <c r="R37" s="344">
        <v>25</v>
      </c>
      <c r="S37" s="345">
        <v>35</v>
      </c>
      <c r="T37" s="362">
        <v>30</v>
      </c>
      <c r="U37" s="361">
        <v>98.63</v>
      </c>
      <c r="V37" s="346">
        <v>134.22065524279546</v>
      </c>
      <c r="W37" s="348">
        <v>134.38732190946209</v>
      </c>
      <c r="X37" s="347">
        <v>67.94</v>
      </c>
      <c r="Y37" s="357">
        <v>68.72</v>
      </c>
      <c r="Z37" s="365" t="s">
        <v>2689</v>
      </c>
      <c r="AA37" s="350">
        <v>100</v>
      </c>
      <c r="AB37" s="349" t="s">
        <v>2685</v>
      </c>
      <c r="AC37" s="350">
        <v>0</v>
      </c>
      <c r="AD37" s="349" t="s">
        <v>2685</v>
      </c>
      <c r="AE37" s="364">
        <v>0</v>
      </c>
      <c r="AF37" s="366">
        <v>18.914000000000001</v>
      </c>
      <c r="AG37" s="363">
        <v>0</v>
      </c>
      <c r="AH37" s="635" t="s">
        <v>7882</v>
      </c>
      <c r="AI37" s="324"/>
      <c r="AL37" s="487" t="s">
        <v>14115</v>
      </c>
      <c r="AM37" s="480" t="s">
        <v>70</v>
      </c>
      <c r="AN37" s="637">
        <v>100</v>
      </c>
      <c r="AO37" s="478">
        <v>-511</v>
      </c>
      <c r="AP37" s="463">
        <v>-511</v>
      </c>
      <c r="AQ37" s="479">
        <v>0</v>
      </c>
      <c r="AR37" s="476" t="s">
        <v>14116</v>
      </c>
      <c r="BA37" s="313" t="s">
        <v>2724</v>
      </c>
    </row>
    <row r="38" spans="2:53" ht="16.5" customHeight="1">
      <c r="B38" s="367" t="s">
        <v>7883</v>
      </c>
      <c r="C38" s="351" t="s">
        <v>7884</v>
      </c>
      <c r="D38" s="353">
        <v>-511</v>
      </c>
      <c r="E38" s="352" t="s">
        <v>408</v>
      </c>
      <c r="F38" s="341">
        <v>98.59</v>
      </c>
      <c r="G38" s="355" t="s">
        <v>7885</v>
      </c>
      <c r="H38" s="356" t="s">
        <v>18335</v>
      </c>
      <c r="I38" s="354" t="s">
        <v>215</v>
      </c>
      <c r="J38" s="340" t="s">
        <v>7886</v>
      </c>
      <c r="K38" s="339" t="s">
        <v>70</v>
      </c>
      <c r="L38" s="357">
        <v>6</v>
      </c>
      <c r="M38" s="358" t="s">
        <v>7887</v>
      </c>
      <c r="N38" s="359">
        <v>1000</v>
      </c>
      <c r="O38" s="360" t="s">
        <v>530</v>
      </c>
      <c r="P38" s="343" t="s">
        <v>531</v>
      </c>
      <c r="Q38" s="342" t="s">
        <v>2688</v>
      </c>
      <c r="R38" s="344">
        <v>25</v>
      </c>
      <c r="S38" s="345">
        <v>38</v>
      </c>
      <c r="T38" s="362">
        <v>25</v>
      </c>
      <c r="U38" s="361">
        <v>98.59</v>
      </c>
      <c r="V38" s="346">
        <v>134.14766248574688</v>
      </c>
      <c r="W38" s="348">
        <v>134.31432915241351</v>
      </c>
      <c r="X38" s="347">
        <v>67.89</v>
      </c>
      <c r="Y38" s="357">
        <v>69.040000000000006</v>
      </c>
      <c r="Z38" s="365" t="s">
        <v>2689</v>
      </c>
      <c r="AA38" s="350">
        <v>125</v>
      </c>
      <c r="AB38" s="349" t="s">
        <v>2685</v>
      </c>
      <c r="AC38" s="350">
        <v>10</v>
      </c>
      <c r="AD38" s="349" t="s">
        <v>2685</v>
      </c>
      <c r="AE38" s="364">
        <v>0</v>
      </c>
      <c r="AF38" s="366">
        <v>0</v>
      </c>
      <c r="AG38" s="363">
        <v>0</v>
      </c>
      <c r="AH38" s="635" t="s">
        <v>408</v>
      </c>
      <c r="AI38" s="324"/>
      <c r="AL38" s="487" t="s">
        <v>14117</v>
      </c>
      <c r="AM38" s="477" t="s">
        <v>70</v>
      </c>
      <c r="AN38" s="637">
        <v>100</v>
      </c>
      <c r="AO38" s="478">
        <v>-511</v>
      </c>
      <c r="AP38" s="463">
        <v>-511</v>
      </c>
      <c r="AQ38" s="479">
        <v>0</v>
      </c>
      <c r="AR38" s="476" t="s">
        <v>17097</v>
      </c>
      <c r="BA38" s="313" t="s">
        <v>2725</v>
      </c>
    </row>
    <row r="39" spans="2:53" ht="16.5" customHeight="1">
      <c r="B39" s="367" t="s">
        <v>7888</v>
      </c>
      <c r="C39" s="351" t="s">
        <v>7889</v>
      </c>
      <c r="D39" s="353">
        <v>-511</v>
      </c>
      <c r="E39" s="352" t="s">
        <v>408</v>
      </c>
      <c r="F39" s="341">
        <v>98.5</v>
      </c>
      <c r="G39" s="355" t="s">
        <v>7890</v>
      </c>
      <c r="H39" s="356" t="s">
        <v>18336</v>
      </c>
      <c r="I39" s="354" t="s">
        <v>496</v>
      </c>
      <c r="J39" s="340" t="s">
        <v>7770</v>
      </c>
      <c r="K39" s="339" t="s">
        <v>70</v>
      </c>
      <c r="L39" s="357">
        <v>21</v>
      </c>
      <c r="M39" s="358" t="s">
        <v>7891</v>
      </c>
      <c r="N39" s="359">
        <v>1000</v>
      </c>
      <c r="O39" s="360" t="s">
        <v>530</v>
      </c>
      <c r="P39" s="343" t="s">
        <v>531</v>
      </c>
      <c r="Q39" s="342" t="s">
        <v>2688</v>
      </c>
      <c r="R39" s="344">
        <v>22</v>
      </c>
      <c r="S39" s="345">
        <v>33</v>
      </c>
      <c r="T39" s="362">
        <v>33</v>
      </c>
      <c r="U39" s="361">
        <v>98.5</v>
      </c>
      <c r="V39" s="346">
        <v>134.00134264232011</v>
      </c>
      <c r="W39" s="348">
        <v>134.16800930898677</v>
      </c>
      <c r="X39" s="347">
        <v>67.8</v>
      </c>
      <c r="Y39" s="357">
        <v>68.44</v>
      </c>
      <c r="Z39" s="365" t="s">
        <v>2689</v>
      </c>
      <c r="AA39" s="350">
        <v>111.11</v>
      </c>
      <c r="AB39" s="349" t="s">
        <v>2685</v>
      </c>
      <c r="AC39" s="350">
        <v>10</v>
      </c>
      <c r="AD39" s="349" t="s">
        <v>2685</v>
      </c>
      <c r="AE39" s="364">
        <v>0</v>
      </c>
      <c r="AF39" s="366">
        <v>0</v>
      </c>
      <c r="AG39" s="363">
        <v>0</v>
      </c>
      <c r="AH39" s="635" t="s">
        <v>408</v>
      </c>
      <c r="AI39" s="324"/>
      <c r="AL39" s="487" t="s">
        <v>14120</v>
      </c>
      <c r="AM39" s="477" t="s">
        <v>70</v>
      </c>
      <c r="AN39" s="637">
        <v>100</v>
      </c>
      <c r="AO39" s="478">
        <v>-511</v>
      </c>
      <c r="AP39" s="463">
        <v>-511</v>
      </c>
      <c r="AQ39" s="479">
        <v>0</v>
      </c>
      <c r="AR39" s="476" t="s">
        <v>17098</v>
      </c>
      <c r="BA39" s="313" t="s">
        <v>2726</v>
      </c>
    </row>
    <row r="40" spans="2:53" ht="16.5" customHeight="1">
      <c r="B40" s="367" t="s">
        <v>7888</v>
      </c>
      <c r="C40" s="351" t="s">
        <v>7889</v>
      </c>
      <c r="D40" s="353">
        <v>-520</v>
      </c>
      <c r="E40" s="352" t="s">
        <v>408</v>
      </c>
      <c r="F40" s="341">
        <v>98.5</v>
      </c>
      <c r="G40" s="355" t="s">
        <v>7892</v>
      </c>
      <c r="H40" s="356" t="s">
        <v>18337</v>
      </c>
      <c r="I40" s="354" t="s">
        <v>195</v>
      </c>
      <c r="J40" s="340" t="s">
        <v>7770</v>
      </c>
      <c r="K40" s="339" t="s">
        <v>70</v>
      </c>
      <c r="L40" s="357">
        <v>40</v>
      </c>
      <c r="M40" s="358" t="s">
        <v>7893</v>
      </c>
      <c r="N40" s="359">
        <v>100</v>
      </c>
      <c r="O40" s="360" t="s">
        <v>454</v>
      </c>
      <c r="P40" s="343" t="s">
        <v>454</v>
      </c>
      <c r="Q40" s="342" t="s">
        <v>2688</v>
      </c>
      <c r="R40" s="344">
        <v>25</v>
      </c>
      <c r="S40" s="345">
        <v>30</v>
      </c>
      <c r="T40" s="362">
        <v>25</v>
      </c>
      <c r="U40" s="361">
        <v>98.5</v>
      </c>
      <c r="V40" s="346">
        <v>134.00000000000003</v>
      </c>
      <c r="W40" s="348">
        <v>134.16666666666669</v>
      </c>
      <c r="X40" s="347">
        <v>67.8</v>
      </c>
      <c r="Y40" s="357" t="s">
        <v>408</v>
      </c>
      <c r="Z40" s="365" t="s">
        <v>2689</v>
      </c>
      <c r="AA40" s="350">
        <v>19.600000000000001</v>
      </c>
      <c r="AB40" s="349" t="s">
        <v>2685</v>
      </c>
      <c r="AC40" s="350">
        <v>0</v>
      </c>
      <c r="AD40" s="349" t="s">
        <v>2685</v>
      </c>
      <c r="AE40" s="364">
        <v>0</v>
      </c>
      <c r="AF40" s="366">
        <v>0</v>
      </c>
      <c r="AG40" s="363">
        <v>0</v>
      </c>
      <c r="AH40" s="635" t="s">
        <v>408</v>
      </c>
      <c r="AI40" s="324"/>
      <c r="AL40" s="487" t="s">
        <v>14121</v>
      </c>
      <c r="AM40" s="477" t="s">
        <v>70</v>
      </c>
      <c r="AN40" s="637">
        <v>100</v>
      </c>
      <c r="AO40" s="478">
        <v>-520</v>
      </c>
      <c r="AP40" s="463">
        <v>-520</v>
      </c>
      <c r="AQ40" s="479">
        <v>0</v>
      </c>
      <c r="AR40" s="476" t="s">
        <v>17098</v>
      </c>
      <c r="BA40" s="313" t="s">
        <v>2727</v>
      </c>
    </row>
    <row r="41" spans="2:53" ht="16.5" customHeight="1">
      <c r="B41" s="367" t="s">
        <v>2728</v>
      </c>
      <c r="C41" s="351" t="s">
        <v>2729</v>
      </c>
      <c r="D41" s="353">
        <v>-550</v>
      </c>
      <c r="E41" s="352" t="s">
        <v>408</v>
      </c>
      <c r="F41" s="341">
        <v>98.46</v>
      </c>
      <c r="G41" s="355" t="s">
        <v>18338</v>
      </c>
      <c r="H41" s="356" t="s">
        <v>18339</v>
      </c>
      <c r="I41" s="354" t="s">
        <v>246</v>
      </c>
      <c r="J41" s="340" t="s">
        <v>426</v>
      </c>
      <c r="K41" s="339" t="s">
        <v>70</v>
      </c>
      <c r="L41" s="357">
        <v>36</v>
      </c>
      <c r="M41" s="358" t="s">
        <v>7847</v>
      </c>
      <c r="N41" s="359">
        <v>1000</v>
      </c>
      <c r="O41" s="360" t="s">
        <v>532</v>
      </c>
      <c r="P41" s="343" t="s">
        <v>532</v>
      </c>
      <c r="Q41" s="342" t="s">
        <v>2688</v>
      </c>
      <c r="R41" s="344">
        <v>20</v>
      </c>
      <c r="S41" s="345">
        <v>40</v>
      </c>
      <c r="T41" s="362">
        <v>30</v>
      </c>
      <c r="U41" s="361">
        <v>98.46</v>
      </c>
      <c r="V41" s="346">
        <v>133.94116109666152</v>
      </c>
      <c r="W41" s="348">
        <v>134.10782776332817</v>
      </c>
      <c r="X41" s="347" t="s">
        <v>18340</v>
      </c>
      <c r="Y41" s="357" t="s">
        <v>408</v>
      </c>
      <c r="Z41" s="365" t="s">
        <v>2689</v>
      </c>
      <c r="AA41" s="350">
        <v>100</v>
      </c>
      <c r="AB41" s="349" t="s">
        <v>2685</v>
      </c>
      <c r="AC41" s="350">
        <v>0</v>
      </c>
      <c r="AD41" s="349" t="s">
        <v>2685</v>
      </c>
      <c r="AE41" s="364">
        <v>0</v>
      </c>
      <c r="AF41" s="366">
        <v>0</v>
      </c>
      <c r="AG41" s="363">
        <v>0</v>
      </c>
      <c r="AH41" s="635" t="s">
        <v>7848</v>
      </c>
      <c r="AI41" s="324"/>
      <c r="AL41" s="487" t="s">
        <v>14107</v>
      </c>
      <c r="AM41" s="480" t="s">
        <v>70</v>
      </c>
      <c r="AN41" s="637">
        <v>100</v>
      </c>
      <c r="AO41" s="478">
        <v>-550</v>
      </c>
      <c r="AP41" s="463">
        <v>-550</v>
      </c>
      <c r="AQ41" s="479">
        <v>0</v>
      </c>
      <c r="AR41" s="476" t="s">
        <v>17099</v>
      </c>
      <c r="BA41" s="313" t="s">
        <v>2730</v>
      </c>
    </row>
    <row r="42" spans="2:53" ht="16.5" customHeight="1">
      <c r="B42" s="367" t="s">
        <v>2731</v>
      </c>
      <c r="C42" s="351" t="s">
        <v>2732</v>
      </c>
      <c r="D42" s="353">
        <v>-256</v>
      </c>
      <c r="E42" s="352" t="s">
        <v>408</v>
      </c>
      <c r="F42" s="341">
        <v>98.45</v>
      </c>
      <c r="G42" s="355" t="s">
        <v>7899</v>
      </c>
      <c r="H42" s="356" t="s">
        <v>7912</v>
      </c>
      <c r="I42" s="354" t="s">
        <v>82</v>
      </c>
      <c r="J42" s="340" t="s">
        <v>7857</v>
      </c>
      <c r="K42" s="339" t="s">
        <v>70</v>
      </c>
      <c r="L42" s="357">
        <v>33</v>
      </c>
      <c r="M42" s="358" t="s">
        <v>7900</v>
      </c>
      <c r="N42" s="359">
        <v>800</v>
      </c>
      <c r="O42" s="360" t="s">
        <v>530</v>
      </c>
      <c r="P42" s="343" t="s">
        <v>531</v>
      </c>
      <c r="Q42" s="342" t="s">
        <v>2688</v>
      </c>
      <c r="R42" s="344">
        <v>20</v>
      </c>
      <c r="S42" s="345">
        <v>35</v>
      </c>
      <c r="T42" s="362">
        <v>30</v>
      </c>
      <c r="U42" s="361">
        <v>98.45</v>
      </c>
      <c r="V42" s="346">
        <v>133.91710973268351</v>
      </c>
      <c r="W42" s="348">
        <v>134.08377639935017</v>
      </c>
      <c r="X42" s="347">
        <v>67.739999999999995</v>
      </c>
      <c r="Y42" s="357">
        <v>68.550000000000011</v>
      </c>
      <c r="Z42" s="365" t="s">
        <v>2689</v>
      </c>
      <c r="AA42" s="350">
        <v>120</v>
      </c>
      <c r="AB42" s="349" t="s">
        <v>2685</v>
      </c>
      <c r="AC42" s="350">
        <v>0</v>
      </c>
      <c r="AD42" s="349" t="s">
        <v>2685</v>
      </c>
      <c r="AE42" s="364">
        <v>0</v>
      </c>
      <c r="AF42" s="366">
        <v>9.6</v>
      </c>
      <c r="AG42" s="363">
        <v>0</v>
      </c>
      <c r="AH42" s="635" t="s">
        <v>7814</v>
      </c>
      <c r="AI42" s="324"/>
      <c r="AL42" s="487" t="s">
        <v>14122</v>
      </c>
      <c r="AM42" s="477" t="s">
        <v>70</v>
      </c>
      <c r="AN42" s="637" t="s">
        <v>7148</v>
      </c>
      <c r="AO42" s="478">
        <v>-256</v>
      </c>
      <c r="AP42" s="463">
        <v>-256</v>
      </c>
      <c r="AQ42" s="479">
        <v>0</v>
      </c>
      <c r="AR42" s="476" t="s">
        <v>14123</v>
      </c>
      <c r="BA42" s="313" t="s">
        <v>2733</v>
      </c>
    </row>
    <row r="43" spans="2:53" ht="16.5" customHeight="1">
      <c r="B43" s="367" t="s">
        <v>7902</v>
      </c>
      <c r="C43" s="351" t="s">
        <v>7903</v>
      </c>
      <c r="D43" s="353">
        <v>-323</v>
      </c>
      <c r="E43" s="352" t="s">
        <v>408</v>
      </c>
      <c r="F43" s="341">
        <v>98.41</v>
      </c>
      <c r="G43" s="355" t="s">
        <v>7904</v>
      </c>
      <c r="H43" s="356" t="s">
        <v>18341</v>
      </c>
      <c r="I43" s="354" t="s">
        <v>196</v>
      </c>
      <c r="J43" s="340" t="s">
        <v>7905</v>
      </c>
      <c r="K43" s="339" t="s">
        <v>70</v>
      </c>
      <c r="L43" s="357">
        <v>53</v>
      </c>
      <c r="M43" s="358" t="s">
        <v>7906</v>
      </c>
      <c r="N43" s="359">
        <v>600</v>
      </c>
      <c r="O43" s="360" t="s">
        <v>530</v>
      </c>
      <c r="P43" s="343" t="s">
        <v>530</v>
      </c>
      <c r="Q43" s="342" t="s">
        <v>2688</v>
      </c>
      <c r="R43" s="344">
        <v>33</v>
      </c>
      <c r="S43" s="345">
        <v>40</v>
      </c>
      <c r="T43" s="362">
        <v>27</v>
      </c>
      <c r="U43" s="361">
        <v>98.41</v>
      </c>
      <c r="V43" s="346">
        <v>133.85743286349751</v>
      </c>
      <c r="W43" s="348">
        <v>134.02409953016416</v>
      </c>
      <c r="X43" s="347">
        <v>67.69</v>
      </c>
      <c r="Y43" s="357" t="s">
        <v>408</v>
      </c>
      <c r="Z43" s="365" t="s">
        <v>2689</v>
      </c>
      <c r="AA43" s="350">
        <v>0</v>
      </c>
      <c r="AB43" s="349" t="s">
        <v>2685</v>
      </c>
      <c r="AC43" s="350">
        <v>0</v>
      </c>
      <c r="AD43" s="349" t="s">
        <v>2685</v>
      </c>
      <c r="AE43" s="364">
        <v>0</v>
      </c>
      <c r="AF43" s="366">
        <v>3</v>
      </c>
      <c r="AG43" s="363">
        <v>0</v>
      </c>
      <c r="AH43" s="635" t="s">
        <v>2818</v>
      </c>
      <c r="AI43" s="324"/>
      <c r="AL43" s="487" t="s">
        <v>14124</v>
      </c>
      <c r="AM43" s="480" t="s">
        <v>70</v>
      </c>
      <c r="AN43" s="637" t="s">
        <v>7146</v>
      </c>
      <c r="AO43" s="478">
        <v>-323</v>
      </c>
      <c r="AP43" s="463">
        <v>-323</v>
      </c>
      <c r="AQ43" s="479">
        <v>0</v>
      </c>
      <c r="AR43" s="476" t="s">
        <v>16798</v>
      </c>
      <c r="BA43" s="313" t="s">
        <v>2734</v>
      </c>
    </row>
    <row r="44" spans="2:53" ht="16.5" customHeight="1">
      <c r="B44" s="367" t="s">
        <v>2745</v>
      </c>
      <c r="C44" s="351" t="s">
        <v>2746</v>
      </c>
      <c r="D44" s="353">
        <v>-215</v>
      </c>
      <c r="E44" s="352" t="s">
        <v>408</v>
      </c>
      <c r="F44" s="341">
        <v>98.4</v>
      </c>
      <c r="G44" s="355" t="s">
        <v>2900</v>
      </c>
      <c r="H44" s="356" t="s">
        <v>7907</v>
      </c>
      <c r="I44" s="354" t="s">
        <v>245</v>
      </c>
      <c r="J44" s="340" t="s">
        <v>240</v>
      </c>
      <c r="K44" s="339" t="s">
        <v>70</v>
      </c>
      <c r="L44" s="357">
        <v>24</v>
      </c>
      <c r="M44" s="358" t="s">
        <v>7908</v>
      </c>
      <c r="N44" s="359">
        <v>800</v>
      </c>
      <c r="O44" s="360" t="s">
        <v>454</v>
      </c>
      <c r="P44" s="343" t="s">
        <v>454</v>
      </c>
      <c r="Q44" s="342" t="s">
        <v>2738</v>
      </c>
      <c r="R44" s="344">
        <v>25</v>
      </c>
      <c r="S44" s="345">
        <v>35</v>
      </c>
      <c r="T44" s="362">
        <v>15</v>
      </c>
      <c r="U44" s="361">
        <v>98.4</v>
      </c>
      <c r="V44" s="346">
        <v>133.83333333333334</v>
      </c>
      <c r="W44" s="348">
        <v>134</v>
      </c>
      <c r="X44" s="347">
        <v>67.680000000000007</v>
      </c>
      <c r="Y44" s="357" t="s">
        <v>408</v>
      </c>
      <c r="Z44" s="365" t="s">
        <v>2689</v>
      </c>
      <c r="AA44" s="350">
        <v>200</v>
      </c>
      <c r="AB44" s="349" t="s">
        <v>2685</v>
      </c>
      <c r="AC44" s="350">
        <v>10</v>
      </c>
      <c r="AD44" s="349" t="s">
        <v>2685</v>
      </c>
      <c r="AE44" s="364">
        <v>0</v>
      </c>
      <c r="AF44" s="366">
        <v>0</v>
      </c>
      <c r="AG44" s="363">
        <v>0</v>
      </c>
      <c r="AH44" s="635" t="s">
        <v>408</v>
      </c>
      <c r="AI44" s="324"/>
      <c r="AL44" s="487" t="s">
        <v>7154</v>
      </c>
      <c r="AM44" s="477" t="s">
        <v>70</v>
      </c>
      <c r="AN44" s="637" t="s">
        <v>7148</v>
      </c>
      <c r="AO44" s="478">
        <v>-215</v>
      </c>
      <c r="AP44" s="463">
        <v>-215</v>
      </c>
      <c r="AQ44" s="479">
        <v>0</v>
      </c>
      <c r="AR44" s="476" t="s">
        <v>14125</v>
      </c>
      <c r="BA44" s="313" t="s">
        <v>2737</v>
      </c>
    </row>
    <row r="45" spans="2:53" ht="16.5" customHeight="1">
      <c r="B45" s="367" t="s">
        <v>2745</v>
      </c>
      <c r="C45" s="351" t="s">
        <v>2746</v>
      </c>
      <c r="D45" s="353">
        <v>-215</v>
      </c>
      <c r="E45" s="352" t="s">
        <v>408</v>
      </c>
      <c r="F45" s="341">
        <v>98.4</v>
      </c>
      <c r="G45" s="355" t="s">
        <v>7909</v>
      </c>
      <c r="H45" s="356" t="s">
        <v>7907</v>
      </c>
      <c r="I45" s="354" t="s">
        <v>196</v>
      </c>
      <c r="J45" s="340" t="s">
        <v>7910</v>
      </c>
      <c r="K45" s="339" t="s">
        <v>70</v>
      </c>
      <c r="L45" s="357">
        <v>7</v>
      </c>
      <c r="M45" s="358" t="s">
        <v>7911</v>
      </c>
      <c r="N45" s="359">
        <v>600</v>
      </c>
      <c r="O45" s="360" t="s">
        <v>530</v>
      </c>
      <c r="P45" s="343" t="s">
        <v>530</v>
      </c>
      <c r="Q45" s="342" t="s">
        <v>2688</v>
      </c>
      <c r="R45" s="344">
        <v>33</v>
      </c>
      <c r="S45" s="345">
        <v>40</v>
      </c>
      <c r="T45" s="362">
        <v>27</v>
      </c>
      <c r="U45" s="361">
        <v>98.4</v>
      </c>
      <c r="V45" s="346">
        <v>133.82726749386759</v>
      </c>
      <c r="W45" s="348">
        <v>133.99393416053425</v>
      </c>
      <c r="X45" s="347">
        <v>67.680000000000007</v>
      </c>
      <c r="Y45" s="357" t="s">
        <v>408</v>
      </c>
      <c r="Z45" s="365" t="s">
        <v>2689</v>
      </c>
      <c r="AA45" s="350">
        <v>0</v>
      </c>
      <c r="AB45" s="349" t="s">
        <v>2685</v>
      </c>
      <c r="AC45" s="350">
        <v>0</v>
      </c>
      <c r="AD45" s="349" t="s">
        <v>2685</v>
      </c>
      <c r="AE45" s="364">
        <v>0</v>
      </c>
      <c r="AF45" s="366">
        <v>3</v>
      </c>
      <c r="AG45" s="363">
        <v>0</v>
      </c>
      <c r="AH45" s="635" t="s">
        <v>2690</v>
      </c>
      <c r="AI45" s="324"/>
      <c r="AL45" s="487" t="s">
        <v>14126</v>
      </c>
      <c r="AM45" s="480" t="s">
        <v>70</v>
      </c>
      <c r="AN45" s="637" t="s">
        <v>7148</v>
      </c>
      <c r="AO45" s="478">
        <v>-215</v>
      </c>
      <c r="AP45" s="463">
        <v>-215</v>
      </c>
      <c r="AQ45" s="479">
        <v>0</v>
      </c>
      <c r="AR45" s="476" t="s">
        <v>14125</v>
      </c>
      <c r="BA45" s="313" t="s">
        <v>2739</v>
      </c>
    </row>
    <row r="46" spans="2:53" ht="16.5" customHeight="1">
      <c r="B46" s="367" t="s">
        <v>2748</v>
      </c>
      <c r="C46" s="351" t="s">
        <v>2749</v>
      </c>
      <c r="D46" s="353">
        <v>-323</v>
      </c>
      <c r="E46" s="352" t="s">
        <v>408</v>
      </c>
      <c r="F46" s="341">
        <v>98.37</v>
      </c>
      <c r="G46" s="355" t="s">
        <v>7915</v>
      </c>
      <c r="H46" s="356" t="s">
        <v>7916</v>
      </c>
      <c r="I46" s="354" t="s">
        <v>77</v>
      </c>
      <c r="J46" s="340" t="s">
        <v>7917</v>
      </c>
      <c r="K46" s="339" t="s">
        <v>70</v>
      </c>
      <c r="L46" s="357">
        <v>30</v>
      </c>
      <c r="M46" s="358" t="s">
        <v>7918</v>
      </c>
      <c r="N46" s="359">
        <v>1000</v>
      </c>
      <c r="O46" s="360" t="s">
        <v>530</v>
      </c>
      <c r="P46" s="343" t="s">
        <v>531</v>
      </c>
      <c r="Q46" s="342" t="s">
        <v>2688</v>
      </c>
      <c r="R46" s="344">
        <v>20</v>
      </c>
      <c r="S46" s="345">
        <v>40</v>
      </c>
      <c r="T46" s="362">
        <v>30</v>
      </c>
      <c r="U46" s="361">
        <v>98.37</v>
      </c>
      <c r="V46" s="346">
        <v>133.7855395323995</v>
      </c>
      <c r="W46" s="348">
        <v>133.95220619906615</v>
      </c>
      <c r="X46" s="347">
        <v>67.650000000000006</v>
      </c>
      <c r="Y46" s="357">
        <v>67.86</v>
      </c>
      <c r="Z46" s="365" t="s">
        <v>2689</v>
      </c>
      <c r="AA46" s="350">
        <v>63.5</v>
      </c>
      <c r="AB46" s="349" t="s">
        <v>2685</v>
      </c>
      <c r="AC46" s="350">
        <v>0</v>
      </c>
      <c r="AD46" s="349" t="s">
        <v>2685</v>
      </c>
      <c r="AE46" s="364">
        <v>0</v>
      </c>
      <c r="AF46" s="366">
        <v>10.179</v>
      </c>
      <c r="AG46" s="363">
        <v>0</v>
      </c>
      <c r="AH46" s="635" t="s">
        <v>7787</v>
      </c>
      <c r="AI46" s="324"/>
      <c r="AL46" s="487" t="s">
        <v>14127</v>
      </c>
      <c r="AM46" s="477" t="s">
        <v>70</v>
      </c>
      <c r="AN46" s="637" t="s">
        <v>7146</v>
      </c>
      <c r="AO46" s="478">
        <v>-323</v>
      </c>
      <c r="AP46" s="463">
        <v>-323</v>
      </c>
      <c r="AQ46" s="479">
        <v>0</v>
      </c>
      <c r="AR46" s="476" t="s">
        <v>14128</v>
      </c>
      <c r="BA46" s="313" t="s">
        <v>2740</v>
      </c>
    </row>
    <row r="47" spans="2:53" ht="16.5" customHeight="1">
      <c r="B47" s="367" t="s">
        <v>7894</v>
      </c>
      <c r="C47" s="351" t="s">
        <v>7895</v>
      </c>
      <c r="D47" s="353">
        <v>-256</v>
      </c>
      <c r="E47" s="352" t="s">
        <v>408</v>
      </c>
      <c r="F47" s="341">
        <v>98.37</v>
      </c>
      <c r="G47" s="355" t="s">
        <v>7896</v>
      </c>
      <c r="H47" s="356" t="s">
        <v>18342</v>
      </c>
      <c r="I47" s="354" t="s">
        <v>202</v>
      </c>
      <c r="J47" s="340" t="s">
        <v>431</v>
      </c>
      <c r="K47" s="339" t="s">
        <v>78</v>
      </c>
      <c r="L47" s="357">
        <v>4</v>
      </c>
      <c r="M47" s="358" t="s">
        <v>7898</v>
      </c>
      <c r="N47" s="359">
        <v>600</v>
      </c>
      <c r="O47" s="360" t="s">
        <v>530</v>
      </c>
      <c r="P47" s="343" t="s">
        <v>530</v>
      </c>
      <c r="Q47" s="342" t="s">
        <v>2688</v>
      </c>
      <c r="R47" s="344">
        <v>33</v>
      </c>
      <c r="S47" s="345">
        <v>33</v>
      </c>
      <c r="T47" s="362">
        <v>0</v>
      </c>
      <c r="U47" s="361">
        <v>98.37</v>
      </c>
      <c r="V47" s="346">
        <v>133.78303913185724</v>
      </c>
      <c r="W47" s="348">
        <v>133.94970579852389</v>
      </c>
      <c r="X47" s="347">
        <v>68.13</v>
      </c>
      <c r="Y47" s="357" t="s">
        <v>408</v>
      </c>
      <c r="Z47" s="365" t="s">
        <v>2689</v>
      </c>
      <c r="AA47" s="350">
        <v>100</v>
      </c>
      <c r="AB47" s="349" t="s">
        <v>2685</v>
      </c>
      <c r="AC47" s="350">
        <v>5</v>
      </c>
      <c r="AD47" s="349" t="s">
        <v>2685</v>
      </c>
      <c r="AE47" s="364">
        <v>0</v>
      </c>
      <c r="AF47" s="366">
        <v>0</v>
      </c>
      <c r="AG47" s="363">
        <v>0</v>
      </c>
      <c r="AH47" s="635" t="s">
        <v>408</v>
      </c>
      <c r="AI47" s="324"/>
      <c r="AL47" s="487" t="s">
        <v>7189</v>
      </c>
      <c r="AM47" s="477" t="s">
        <v>78</v>
      </c>
      <c r="AN47" s="637" t="s">
        <v>7148</v>
      </c>
      <c r="AO47" s="478">
        <v>-256</v>
      </c>
      <c r="AP47" s="463">
        <v>-220</v>
      </c>
      <c r="AQ47" s="479">
        <v>-36</v>
      </c>
      <c r="AR47" s="476" t="s">
        <v>16799</v>
      </c>
      <c r="BA47" s="313" t="s">
        <v>2741</v>
      </c>
    </row>
    <row r="48" spans="2:53" ht="16.5" customHeight="1">
      <c r="B48" s="367" t="s">
        <v>7919</v>
      </c>
      <c r="C48" s="351" t="s">
        <v>7920</v>
      </c>
      <c r="D48" s="353">
        <v>-430</v>
      </c>
      <c r="E48" s="352" t="s">
        <v>408</v>
      </c>
      <c r="F48" s="341">
        <v>98.33</v>
      </c>
      <c r="G48" s="355" t="s">
        <v>7921</v>
      </c>
      <c r="H48" s="356" t="s">
        <v>18343</v>
      </c>
      <c r="I48" s="354" t="s">
        <v>243</v>
      </c>
      <c r="J48" s="340" t="s">
        <v>240</v>
      </c>
      <c r="K48" s="339" t="s">
        <v>70</v>
      </c>
      <c r="L48" s="357">
        <v>20</v>
      </c>
      <c r="M48" s="358" t="s">
        <v>7922</v>
      </c>
      <c r="N48" s="359">
        <v>800</v>
      </c>
      <c r="O48" s="360" t="s">
        <v>530</v>
      </c>
      <c r="P48" s="343" t="s">
        <v>530</v>
      </c>
      <c r="Q48" s="342" t="s">
        <v>2688</v>
      </c>
      <c r="R48" s="344">
        <v>25</v>
      </c>
      <c r="S48" s="345">
        <v>25</v>
      </c>
      <c r="T48" s="362">
        <v>25</v>
      </c>
      <c r="U48" s="361">
        <v>98.33</v>
      </c>
      <c r="V48" s="346">
        <v>133.71085930743411</v>
      </c>
      <c r="W48" s="348">
        <v>133.87752597410079</v>
      </c>
      <c r="X48" s="347">
        <v>67.599999999999994</v>
      </c>
      <c r="Y48" s="357" t="s">
        <v>408</v>
      </c>
      <c r="Z48" s="365" t="s">
        <v>2689</v>
      </c>
      <c r="AA48" s="350">
        <v>200</v>
      </c>
      <c r="AB48" s="349" t="s">
        <v>2685</v>
      </c>
      <c r="AC48" s="350">
        <v>1</v>
      </c>
      <c r="AD48" s="349" t="s">
        <v>2685</v>
      </c>
      <c r="AE48" s="364">
        <v>0</v>
      </c>
      <c r="AF48" s="366">
        <v>6.76</v>
      </c>
      <c r="AG48" s="363">
        <v>0</v>
      </c>
      <c r="AH48" s="635" t="s">
        <v>7923</v>
      </c>
      <c r="AI48" s="324"/>
      <c r="AL48" s="487" t="s">
        <v>7150</v>
      </c>
      <c r="AM48" s="480" t="s">
        <v>70</v>
      </c>
      <c r="AN48" s="637">
        <v>100</v>
      </c>
      <c r="AO48" s="478">
        <v>-430</v>
      </c>
      <c r="AP48" s="463">
        <v>-430</v>
      </c>
      <c r="AQ48" s="479">
        <v>0</v>
      </c>
      <c r="AR48" s="476" t="s">
        <v>17100</v>
      </c>
      <c r="BA48" s="313" t="s">
        <v>2742</v>
      </c>
    </row>
    <row r="49" spans="2:53" ht="16.5" customHeight="1">
      <c r="B49" s="367" t="s">
        <v>7919</v>
      </c>
      <c r="C49" s="351" t="s">
        <v>7920</v>
      </c>
      <c r="D49" s="353">
        <v>-430</v>
      </c>
      <c r="E49" s="352" t="s">
        <v>408</v>
      </c>
      <c r="F49" s="341">
        <v>98.32</v>
      </c>
      <c r="G49" s="355" t="s">
        <v>7924</v>
      </c>
      <c r="H49" s="356" t="s">
        <v>18344</v>
      </c>
      <c r="I49" s="354" t="s">
        <v>218</v>
      </c>
      <c r="J49" s="340" t="s">
        <v>7917</v>
      </c>
      <c r="K49" s="339" t="s">
        <v>70</v>
      </c>
      <c r="L49" s="357">
        <v>7</v>
      </c>
      <c r="M49" s="358" t="s">
        <v>7925</v>
      </c>
      <c r="N49" s="359">
        <v>300</v>
      </c>
      <c r="O49" s="360" t="s">
        <v>454</v>
      </c>
      <c r="P49" s="343" t="s">
        <v>454</v>
      </c>
      <c r="Q49" s="342" t="s">
        <v>2688</v>
      </c>
      <c r="R49" s="344">
        <v>0</v>
      </c>
      <c r="S49" s="345">
        <v>33</v>
      </c>
      <c r="T49" s="362">
        <v>33</v>
      </c>
      <c r="U49" s="361">
        <v>98.32</v>
      </c>
      <c r="V49" s="346">
        <v>133.69999999999999</v>
      </c>
      <c r="W49" s="348">
        <v>133.86666666666667</v>
      </c>
      <c r="X49" s="347">
        <v>67.599999999999994</v>
      </c>
      <c r="Y49" s="357" t="s">
        <v>408</v>
      </c>
      <c r="Z49" s="365" t="s">
        <v>2689</v>
      </c>
      <c r="AA49" s="350">
        <v>100</v>
      </c>
      <c r="AB49" s="349" t="s">
        <v>2685</v>
      </c>
      <c r="AC49" s="350">
        <v>0</v>
      </c>
      <c r="AD49" s="349" t="s">
        <v>2685</v>
      </c>
      <c r="AE49" s="364">
        <v>0</v>
      </c>
      <c r="AF49" s="366">
        <v>0</v>
      </c>
      <c r="AG49" s="363">
        <v>0</v>
      </c>
      <c r="AH49" s="635" t="s">
        <v>7926</v>
      </c>
      <c r="AI49" s="324"/>
      <c r="AL49" s="487" t="s">
        <v>14130</v>
      </c>
      <c r="AM49" s="477" t="s">
        <v>70</v>
      </c>
      <c r="AN49" s="637">
        <v>100</v>
      </c>
      <c r="AO49" s="478">
        <v>-430</v>
      </c>
      <c r="AP49" s="463">
        <v>-430</v>
      </c>
      <c r="AQ49" s="479">
        <v>0</v>
      </c>
      <c r="AR49" s="476" t="s">
        <v>17101</v>
      </c>
      <c r="BA49" s="313" t="s">
        <v>2743</v>
      </c>
    </row>
    <row r="50" spans="2:53" ht="16.5" customHeight="1">
      <c r="B50" s="367" t="s">
        <v>7927</v>
      </c>
      <c r="C50" s="351" t="s">
        <v>7928</v>
      </c>
      <c r="D50" s="353">
        <v>-550</v>
      </c>
      <c r="E50" s="352" t="s">
        <v>408</v>
      </c>
      <c r="F50" s="341">
        <v>98.28</v>
      </c>
      <c r="G50" s="355" t="s">
        <v>7929</v>
      </c>
      <c r="H50" s="356" t="s">
        <v>7930</v>
      </c>
      <c r="I50" s="354" t="s">
        <v>209</v>
      </c>
      <c r="J50" s="340" t="s">
        <v>427</v>
      </c>
      <c r="K50" s="339" t="s">
        <v>70</v>
      </c>
      <c r="L50" s="357">
        <v>36</v>
      </c>
      <c r="M50" s="358" t="s">
        <v>7931</v>
      </c>
      <c r="N50" s="359">
        <v>800</v>
      </c>
      <c r="O50" s="360" t="s">
        <v>530</v>
      </c>
      <c r="P50" s="343" t="s">
        <v>530</v>
      </c>
      <c r="Q50" s="342" t="s">
        <v>2688</v>
      </c>
      <c r="R50" s="344">
        <v>20</v>
      </c>
      <c r="S50" s="345">
        <v>30</v>
      </c>
      <c r="T50" s="362">
        <v>30</v>
      </c>
      <c r="U50" s="361">
        <v>98.28</v>
      </c>
      <c r="V50" s="346">
        <v>133.63610513118513</v>
      </c>
      <c r="W50" s="348">
        <v>133.80277179785182</v>
      </c>
      <c r="X50" s="347">
        <v>67.55</v>
      </c>
      <c r="Y50" s="357" t="s">
        <v>408</v>
      </c>
      <c r="Z50" s="365" t="s">
        <v>2689</v>
      </c>
      <c r="AA50" s="350">
        <v>160</v>
      </c>
      <c r="AB50" s="349" t="s">
        <v>2685</v>
      </c>
      <c r="AC50" s="350">
        <v>10</v>
      </c>
      <c r="AD50" s="349" t="s">
        <v>2685</v>
      </c>
      <c r="AE50" s="364">
        <v>0</v>
      </c>
      <c r="AF50" s="366">
        <v>0</v>
      </c>
      <c r="AG50" s="363">
        <v>0</v>
      </c>
      <c r="AH50" s="635" t="s">
        <v>408</v>
      </c>
      <c r="AI50" s="324"/>
      <c r="AL50" s="487" t="s">
        <v>14132</v>
      </c>
      <c r="AM50" s="480" t="s">
        <v>70</v>
      </c>
      <c r="AN50" s="637">
        <v>100</v>
      </c>
      <c r="AO50" s="478">
        <v>-550</v>
      </c>
      <c r="AP50" s="463">
        <v>-550</v>
      </c>
      <c r="AQ50" s="479">
        <v>0</v>
      </c>
      <c r="AR50" s="476" t="s">
        <v>14133</v>
      </c>
      <c r="BA50" s="313" t="s">
        <v>2744</v>
      </c>
    </row>
    <row r="51" spans="2:53" ht="16.5" customHeight="1">
      <c r="B51" s="367" t="s">
        <v>7932</v>
      </c>
      <c r="C51" s="351" t="s">
        <v>7933</v>
      </c>
      <c r="D51" s="353">
        <v>-550</v>
      </c>
      <c r="E51" s="352" t="s">
        <v>408</v>
      </c>
      <c r="F51" s="341">
        <v>98.27</v>
      </c>
      <c r="G51" s="355" t="s">
        <v>7934</v>
      </c>
      <c r="H51" s="356" t="s">
        <v>7935</v>
      </c>
      <c r="I51" s="354" t="s">
        <v>250</v>
      </c>
      <c r="J51" s="340" t="s">
        <v>240</v>
      </c>
      <c r="K51" s="339" t="s">
        <v>70</v>
      </c>
      <c r="L51" s="357">
        <v>30</v>
      </c>
      <c r="M51" s="358" t="s">
        <v>7936</v>
      </c>
      <c r="N51" s="359">
        <v>200</v>
      </c>
      <c r="O51" s="360" t="s">
        <v>454</v>
      </c>
      <c r="P51" s="343" t="s">
        <v>454</v>
      </c>
      <c r="Q51" s="342" t="s">
        <v>2688</v>
      </c>
      <c r="R51" s="344">
        <v>20</v>
      </c>
      <c r="S51" s="345">
        <v>30</v>
      </c>
      <c r="T51" s="362">
        <v>20</v>
      </c>
      <c r="U51" s="361">
        <v>98.27</v>
      </c>
      <c r="V51" s="346">
        <v>133.61111111111109</v>
      </c>
      <c r="W51" s="348">
        <v>133.77777777777777</v>
      </c>
      <c r="X51" s="347">
        <v>67.540000000000006</v>
      </c>
      <c r="Y51" s="357" t="s">
        <v>408</v>
      </c>
      <c r="Z51" s="365" t="s">
        <v>2689</v>
      </c>
      <c r="AA51" s="350">
        <v>57.6</v>
      </c>
      <c r="AB51" s="349" t="s">
        <v>2685</v>
      </c>
      <c r="AC51" s="350">
        <v>0</v>
      </c>
      <c r="AD51" s="349" t="s">
        <v>2685</v>
      </c>
      <c r="AE51" s="364">
        <v>0</v>
      </c>
      <c r="AF51" s="366">
        <v>9.827</v>
      </c>
      <c r="AG51" s="363">
        <v>0</v>
      </c>
      <c r="AH51" s="635" t="s">
        <v>7937</v>
      </c>
      <c r="AI51" s="324"/>
      <c r="AL51" s="487" t="s">
        <v>7149</v>
      </c>
      <c r="AM51" s="477" t="s">
        <v>70</v>
      </c>
      <c r="AN51" s="637">
        <v>100</v>
      </c>
      <c r="AO51" s="478">
        <v>-550</v>
      </c>
      <c r="AP51" s="463">
        <v>-550</v>
      </c>
      <c r="AQ51" s="479">
        <v>0</v>
      </c>
      <c r="AR51" s="476" t="s">
        <v>14134</v>
      </c>
      <c r="BA51" s="313" t="s">
        <v>2747</v>
      </c>
    </row>
    <row r="52" spans="2:53" ht="16.5" customHeight="1">
      <c r="B52" s="367" t="s">
        <v>7938</v>
      </c>
      <c r="C52" s="351" t="s">
        <v>7939</v>
      </c>
      <c r="D52" s="353">
        <v>-550</v>
      </c>
      <c r="E52" s="352" t="s">
        <v>408</v>
      </c>
      <c r="F52" s="341">
        <v>98.21</v>
      </c>
      <c r="G52" s="355" t="s">
        <v>7940</v>
      </c>
      <c r="H52" s="356" t="s">
        <v>7897</v>
      </c>
      <c r="I52" s="354" t="s">
        <v>252</v>
      </c>
      <c r="J52" s="340" t="s">
        <v>240</v>
      </c>
      <c r="K52" s="339" t="s">
        <v>70</v>
      </c>
      <c r="L52" s="357">
        <v>18</v>
      </c>
      <c r="M52" s="358" t="s">
        <v>7941</v>
      </c>
      <c r="N52" s="359">
        <v>1000</v>
      </c>
      <c r="O52" s="360" t="s">
        <v>530</v>
      </c>
      <c r="P52" s="343" t="s">
        <v>530</v>
      </c>
      <c r="Q52" s="342" t="s">
        <v>2688</v>
      </c>
      <c r="R52" s="344">
        <v>20</v>
      </c>
      <c r="S52" s="345">
        <v>30</v>
      </c>
      <c r="T52" s="362">
        <v>20</v>
      </c>
      <c r="U52" s="361">
        <v>98.21</v>
      </c>
      <c r="V52" s="346">
        <v>133.51746500280262</v>
      </c>
      <c r="W52" s="348">
        <v>133.68413166946931</v>
      </c>
      <c r="X52" s="347">
        <v>67.48</v>
      </c>
      <c r="Y52" s="357" t="s">
        <v>408</v>
      </c>
      <c r="Z52" s="365" t="s">
        <v>2689</v>
      </c>
      <c r="AA52" s="350">
        <v>202.5</v>
      </c>
      <c r="AB52" s="349" t="s">
        <v>2685</v>
      </c>
      <c r="AC52" s="350">
        <v>0</v>
      </c>
      <c r="AD52" s="349" t="s">
        <v>2685</v>
      </c>
      <c r="AE52" s="364">
        <v>0</v>
      </c>
      <c r="AF52" s="366">
        <v>0</v>
      </c>
      <c r="AG52" s="363">
        <v>0</v>
      </c>
      <c r="AH52" s="635" t="s">
        <v>408</v>
      </c>
      <c r="AI52" s="324"/>
      <c r="AL52" s="487" t="s">
        <v>7151</v>
      </c>
      <c r="AM52" s="477" t="s">
        <v>70</v>
      </c>
      <c r="AN52" s="637">
        <v>100</v>
      </c>
      <c r="AO52" s="478">
        <v>-550</v>
      </c>
      <c r="AP52" s="463">
        <v>-550</v>
      </c>
      <c r="AQ52" s="479">
        <v>0</v>
      </c>
      <c r="AR52" s="476" t="s">
        <v>14135</v>
      </c>
      <c r="BA52" s="313" t="s">
        <v>2750</v>
      </c>
    </row>
    <row r="53" spans="2:53" ht="16.5" customHeight="1">
      <c r="B53" s="367" t="s">
        <v>7942</v>
      </c>
      <c r="C53" s="351" t="s">
        <v>7943</v>
      </c>
      <c r="D53" s="353">
        <v>-413</v>
      </c>
      <c r="E53" s="352" t="s">
        <v>408</v>
      </c>
      <c r="F53" s="341">
        <v>98.19</v>
      </c>
      <c r="G53" s="355" t="s">
        <v>7944</v>
      </c>
      <c r="H53" s="356" t="s">
        <v>7945</v>
      </c>
      <c r="I53" s="354" t="s">
        <v>196</v>
      </c>
      <c r="J53" s="340" t="s">
        <v>7946</v>
      </c>
      <c r="K53" s="339" t="s">
        <v>70</v>
      </c>
      <c r="L53" s="357">
        <v>36</v>
      </c>
      <c r="M53" s="358" t="s">
        <v>2961</v>
      </c>
      <c r="N53" s="359">
        <v>600</v>
      </c>
      <c r="O53" s="360" t="s">
        <v>530</v>
      </c>
      <c r="P53" s="343" t="s">
        <v>530</v>
      </c>
      <c r="Q53" s="342" t="s">
        <v>2688</v>
      </c>
      <c r="R53" s="344">
        <v>33</v>
      </c>
      <c r="S53" s="345">
        <v>40</v>
      </c>
      <c r="T53" s="362">
        <v>27</v>
      </c>
      <c r="U53" s="361">
        <v>98.19</v>
      </c>
      <c r="V53" s="346">
        <v>133.48521751884164</v>
      </c>
      <c r="W53" s="348">
        <v>133.65188418550832</v>
      </c>
      <c r="X53" s="347">
        <v>67.459999999999994</v>
      </c>
      <c r="Y53" s="357" t="s">
        <v>408</v>
      </c>
      <c r="Z53" s="365" t="s">
        <v>2689</v>
      </c>
      <c r="AA53" s="350">
        <v>0</v>
      </c>
      <c r="AB53" s="349" t="s">
        <v>2685</v>
      </c>
      <c r="AC53" s="350">
        <v>0</v>
      </c>
      <c r="AD53" s="349" t="s">
        <v>2685</v>
      </c>
      <c r="AE53" s="364">
        <v>0</v>
      </c>
      <c r="AF53" s="366">
        <v>0</v>
      </c>
      <c r="AG53" s="363">
        <v>0</v>
      </c>
      <c r="AH53" s="635" t="s">
        <v>408</v>
      </c>
      <c r="AI53" s="324"/>
      <c r="AL53" s="487" t="s">
        <v>14136</v>
      </c>
      <c r="AM53" s="477" t="s">
        <v>70</v>
      </c>
      <c r="AN53" s="637" t="s">
        <v>7146</v>
      </c>
      <c r="AO53" s="478">
        <v>-413</v>
      </c>
      <c r="AP53" s="463">
        <v>-413</v>
      </c>
      <c r="AQ53" s="479">
        <v>0</v>
      </c>
      <c r="AR53" s="476" t="s">
        <v>14137</v>
      </c>
      <c r="BA53" s="313" t="s">
        <v>2751</v>
      </c>
    </row>
    <row r="54" spans="2:53" ht="16.5" customHeight="1">
      <c r="B54" s="367" t="s">
        <v>2756</v>
      </c>
      <c r="C54" s="351" t="s">
        <v>2757</v>
      </c>
      <c r="D54" s="353">
        <v>-550</v>
      </c>
      <c r="E54" s="352" t="s">
        <v>408</v>
      </c>
      <c r="F54" s="341">
        <v>98.18</v>
      </c>
      <c r="G54" s="355" t="s">
        <v>18345</v>
      </c>
      <c r="H54" s="356" t="s">
        <v>18346</v>
      </c>
      <c r="I54" s="354" t="s">
        <v>212</v>
      </c>
      <c r="J54" s="340" t="s">
        <v>7837</v>
      </c>
      <c r="K54" s="339" t="s">
        <v>70</v>
      </c>
      <c r="L54" s="357">
        <v>20</v>
      </c>
      <c r="M54" s="358" t="s">
        <v>7875</v>
      </c>
      <c r="N54" s="359">
        <v>800</v>
      </c>
      <c r="O54" s="360" t="s">
        <v>532</v>
      </c>
      <c r="P54" s="343" t="s">
        <v>532</v>
      </c>
      <c r="Q54" s="342" t="s">
        <v>2688</v>
      </c>
      <c r="R54" s="344">
        <v>30</v>
      </c>
      <c r="S54" s="345">
        <v>40</v>
      </c>
      <c r="T54" s="362">
        <v>30</v>
      </c>
      <c r="U54" s="361">
        <v>98.18</v>
      </c>
      <c r="V54" s="346">
        <v>133.46587814334362</v>
      </c>
      <c r="W54" s="348">
        <v>133.6325448100103</v>
      </c>
      <c r="X54" s="347" t="s">
        <v>18347</v>
      </c>
      <c r="Y54" s="357" t="s">
        <v>408</v>
      </c>
      <c r="Z54" s="365" t="s">
        <v>2689</v>
      </c>
      <c r="AA54" s="350">
        <v>200</v>
      </c>
      <c r="AB54" s="349" t="s">
        <v>2685</v>
      </c>
      <c r="AC54" s="350">
        <v>10</v>
      </c>
      <c r="AD54" s="349" t="s">
        <v>2685</v>
      </c>
      <c r="AE54" s="364">
        <v>0</v>
      </c>
      <c r="AF54" s="366">
        <v>0</v>
      </c>
      <c r="AG54" s="363">
        <v>0</v>
      </c>
      <c r="AH54" s="635" t="s">
        <v>408</v>
      </c>
      <c r="AI54" s="324"/>
      <c r="AL54" s="487" t="s">
        <v>14118</v>
      </c>
      <c r="AM54" s="477" t="s">
        <v>70</v>
      </c>
      <c r="AN54" s="637">
        <v>100</v>
      </c>
      <c r="AO54" s="478">
        <v>-550</v>
      </c>
      <c r="AP54" s="463">
        <v>-550</v>
      </c>
      <c r="AQ54" s="479">
        <v>0</v>
      </c>
      <c r="AR54" s="476" t="s">
        <v>17102</v>
      </c>
      <c r="BA54" s="313" t="s">
        <v>2752</v>
      </c>
    </row>
    <row r="55" spans="2:53" ht="16.5" customHeight="1">
      <c r="B55" s="367" t="s">
        <v>2756</v>
      </c>
      <c r="C55" s="351" t="s">
        <v>2757</v>
      </c>
      <c r="D55" s="353">
        <v>-550</v>
      </c>
      <c r="E55" s="352" t="s">
        <v>408</v>
      </c>
      <c r="F55" s="341">
        <v>98.17</v>
      </c>
      <c r="G55" s="355" t="s">
        <v>7949</v>
      </c>
      <c r="H55" s="356" t="s">
        <v>7950</v>
      </c>
      <c r="I55" s="354" t="s">
        <v>211</v>
      </c>
      <c r="J55" s="340" t="s">
        <v>7770</v>
      </c>
      <c r="K55" s="339" t="s">
        <v>70</v>
      </c>
      <c r="L55" s="357">
        <v>33</v>
      </c>
      <c r="M55" s="358" t="s">
        <v>7951</v>
      </c>
      <c r="N55" s="359">
        <v>500</v>
      </c>
      <c r="O55" s="360" t="s">
        <v>530</v>
      </c>
      <c r="P55" s="343" t="s">
        <v>531</v>
      </c>
      <c r="Q55" s="342" t="s">
        <v>2688</v>
      </c>
      <c r="R55" s="344">
        <v>30</v>
      </c>
      <c r="S55" s="345">
        <v>40</v>
      </c>
      <c r="T55" s="362">
        <v>30</v>
      </c>
      <c r="U55" s="361">
        <v>98.17</v>
      </c>
      <c r="V55" s="346">
        <v>133.45016735341574</v>
      </c>
      <c r="W55" s="348">
        <v>133.61683402008242</v>
      </c>
      <c r="X55" s="347">
        <v>67.44</v>
      </c>
      <c r="Y55" s="357">
        <v>68.690000000000012</v>
      </c>
      <c r="Z55" s="365" t="s">
        <v>2689</v>
      </c>
      <c r="AA55" s="350">
        <v>30</v>
      </c>
      <c r="AB55" s="349" t="s">
        <v>2685</v>
      </c>
      <c r="AC55" s="350">
        <v>5</v>
      </c>
      <c r="AD55" s="349" t="s">
        <v>2685</v>
      </c>
      <c r="AE55" s="364">
        <v>0</v>
      </c>
      <c r="AF55" s="366">
        <v>0</v>
      </c>
      <c r="AG55" s="363">
        <v>0</v>
      </c>
      <c r="AH55" s="635" t="s">
        <v>408</v>
      </c>
      <c r="AI55" s="324"/>
      <c r="AL55" s="487" t="s">
        <v>14138</v>
      </c>
      <c r="AM55" s="477" t="s">
        <v>70</v>
      </c>
      <c r="AN55" s="637">
        <v>100</v>
      </c>
      <c r="AO55" s="478">
        <v>-550</v>
      </c>
      <c r="AP55" s="463">
        <v>-550</v>
      </c>
      <c r="AQ55" s="479">
        <v>0</v>
      </c>
      <c r="AR55" s="476" t="s">
        <v>14139</v>
      </c>
      <c r="BA55" s="313" t="s">
        <v>2753</v>
      </c>
    </row>
    <row r="56" spans="2:53" ht="16.5" customHeight="1">
      <c r="B56" s="367" t="s">
        <v>7952</v>
      </c>
      <c r="C56" s="351" t="s">
        <v>7953</v>
      </c>
      <c r="D56" s="353">
        <v>-413</v>
      </c>
      <c r="E56" s="352" t="s">
        <v>408</v>
      </c>
      <c r="F56" s="341">
        <v>98.16</v>
      </c>
      <c r="G56" s="355" t="s">
        <v>7954</v>
      </c>
      <c r="H56" s="356" t="s">
        <v>7955</v>
      </c>
      <c r="I56" s="354" t="s">
        <v>217</v>
      </c>
      <c r="J56" s="340" t="s">
        <v>7868</v>
      </c>
      <c r="K56" s="339" t="s">
        <v>70</v>
      </c>
      <c r="L56" s="357">
        <v>39</v>
      </c>
      <c r="M56" s="358" t="s">
        <v>7956</v>
      </c>
      <c r="N56" s="359">
        <v>1000</v>
      </c>
      <c r="O56" s="360" t="s">
        <v>530</v>
      </c>
      <c r="P56" s="343" t="s">
        <v>531</v>
      </c>
      <c r="Q56" s="342" t="s">
        <v>2688</v>
      </c>
      <c r="R56" s="344">
        <v>30</v>
      </c>
      <c r="S56" s="345">
        <v>40</v>
      </c>
      <c r="T56" s="362">
        <v>20</v>
      </c>
      <c r="U56" s="361">
        <v>98.16</v>
      </c>
      <c r="V56" s="346">
        <v>133.42828628457372</v>
      </c>
      <c r="W56" s="348">
        <v>133.5949529512404</v>
      </c>
      <c r="X56" s="347">
        <v>67.42</v>
      </c>
      <c r="Y56" s="357">
        <v>68.25</v>
      </c>
      <c r="Z56" s="365" t="s">
        <v>2689</v>
      </c>
      <c r="AA56" s="350">
        <v>100</v>
      </c>
      <c r="AB56" s="349" t="s">
        <v>2685</v>
      </c>
      <c r="AC56" s="350">
        <v>0</v>
      </c>
      <c r="AD56" s="349" t="s">
        <v>2685</v>
      </c>
      <c r="AE56" s="364">
        <v>0</v>
      </c>
      <c r="AF56" s="366">
        <v>0</v>
      </c>
      <c r="AG56" s="363">
        <v>0</v>
      </c>
      <c r="AH56" s="635" t="s">
        <v>408</v>
      </c>
      <c r="AI56" s="324"/>
      <c r="AL56" s="487" t="s">
        <v>14140</v>
      </c>
      <c r="AM56" s="480" t="s">
        <v>70</v>
      </c>
      <c r="AN56" s="637" t="s">
        <v>7146</v>
      </c>
      <c r="AO56" s="478">
        <v>-413</v>
      </c>
      <c r="AP56" s="463">
        <v>-413</v>
      </c>
      <c r="AQ56" s="479">
        <v>0</v>
      </c>
      <c r="AR56" s="476" t="s">
        <v>14141</v>
      </c>
      <c r="BA56" s="313" t="s">
        <v>2754</v>
      </c>
    </row>
    <row r="57" spans="2:53" ht="16.5" customHeight="1">
      <c r="B57" s="367" t="s">
        <v>18180</v>
      </c>
      <c r="C57" s="351" t="s">
        <v>18181</v>
      </c>
      <c r="D57" s="353">
        <v>-550</v>
      </c>
      <c r="E57" s="352" t="s">
        <v>408</v>
      </c>
      <c r="F57" s="341">
        <v>98.07</v>
      </c>
      <c r="G57" s="355" t="s">
        <v>18348</v>
      </c>
      <c r="H57" s="356" t="s">
        <v>18349</v>
      </c>
      <c r="I57" s="354" t="s">
        <v>7872</v>
      </c>
      <c r="J57" s="340" t="s">
        <v>7873</v>
      </c>
      <c r="K57" s="339" t="s">
        <v>70</v>
      </c>
      <c r="L57" s="357">
        <v>23</v>
      </c>
      <c r="M57" s="358" t="s">
        <v>7874</v>
      </c>
      <c r="N57" s="359">
        <v>1000</v>
      </c>
      <c r="O57" s="360" t="s">
        <v>532</v>
      </c>
      <c r="P57" s="343" t="s">
        <v>532</v>
      </c>
      <c r="Q57" s="342" t="s">
        <v>2688</v>
      </c>
      <c r="R57" s="344">
        <v>20</v>
      </c>
      <c r="S57" s="345">
        <v>30</v>
      </c>
      <c r="T57" s="362">
        <v>30</v>
      </c>
      <c r="U57" s="361">
        <v>98.07</v>
      </c>
      <c r="V57" s="346">
        <v>133.2829125486129</v>
      </c>
      <c r="W57" s="348">
        <v>133.44957921527958</v>
      </c>
      <c r="X57" s="347" t="s">
        <v>18350</v>
      </c>
      <c r="Y57" s="357" t="s">
        <v>408</v>
      </c>
      <c r="Z57" s="365" t="s">
        <v>2689</v>
      </c>
      <c r="AA57" s="350">
        <v>200</v>
      </c>
      <c r="AB57" s="349" t="s">
        <v>2685</v>
      </c>
      <c r="AC57" s="350">
        <v>0</v>
      </c>
      <c r="AD57" s="349" t="s">
        <v>2685</v>
      </c>
      <c r="AE57" s="364">
        <v>0</v>
      </c>
      <c r="AF57" s="366">
        <v>0</v>
      </c>
      <c r="AG57" s="363">
        <v>0</v>
      </c>
      <c r="AH57" s="635" t="s">
        <v>408</v>
      </c>
      <c r="AI57" s="324"/>
      <c r="AL57" s="487" t="s">
        <v>14119</v>
      </c>
      <c r="AM57" s="480" t="s">
        <v>70</v>
      </c>
      <c r="AN57" s="637">
        <v>100</v>
      </c>
      <c r="AO57" s="478">
        <v>-550</v>
      </c>
      <c r="AP57" s="463">
        <v>-550</v>
      </c>
      <c r="AQ57" s="479">
        <v>0</v>
      </c>
      <c r="AR57" s="476" t="s">
        <v>17103</v>
      </c>
      <c r="BA57" s="313" t="s">
        <v>2755</v>
      </c>
    </row>
    <row r="58" spans="2:53" ht="16.5" customHeight="1">
      <c r="B58" s="367" t="s">
        <v>7957</v>
      </c>
      <c r="C58" s="351" t="s">
        <v>7958</v>
      </c>
      <c r="D58" s="353">
        <v>-413</v>
      </c>
      <c r="E58" s="352" t="s">
        <v>408</v>
      </c>
      <c r="F58" s="341">
        <v>98.05</v>
      </c>
      <c r="G58" s="355" t="s">
        <v>2966</v>
      </c>
      <c r="H58" s="356" t="s">
        <v>18351</v>
      </c>
      <c r="I58" s="354" t="s">
        <v>82</v>
      </c>
      <c r="J58" s="340" t="s">
        <v>7959</v>
      </c>
      <c r="K58" s="339" t="s">
        <v>70</v>
      </c>
      <c r="L58" s="357">
        <v>32</v>
      </c>
      <c r="M58" s="358" t="s">
        <v>7960</v>
      </c>
      <c r="N58" s="359">
        <v>800</v>
      </c>
      <c r="O58" s="360" t="s">
        <v>530</v>
      </c>
      <c r="P58" s="343" t="s">
        <v>531</v>
      </c>
      <c r="Q58" s="342" t="s">
        <v>2688</v>
      </c>
      <c r="R58" s="344">
        <v>20</v>
      </c>
      <c r="S58" s="345">
        <v>35</v>
      </c>
      <c r="T58" s="362">
        <v>30</v>
      </c>
      <c r="U58" s="361">
        <v>98.05</v>
      </c>
      <c r="V58" s="346">
        <v>133.24697238221827</v>
      </c>
      <c r="W58" s="348">
        <v>133.41363904888496</v>
      </c>
      <c r="X58" s="347">
        <v>67.3</v>
      </c>
      <c r="Y58" s="357">
        <v>68.150000000000006</v>
      </c>
      <c r="Z58" s="365" t="s">
        <v>2689</v>
      </c>
      <c r="AA58" s="350">
        <v>120</v>
      </c>
      <c r="AB58" s="349" t="s">
        <v>2685</v>
      </c>
      <c r="AC58" s="350">
        <v>0</v>
      </c>
      <c r="AD58" s="349" t="s">
        <v>2685</v>
      </c>
      <c r="AE58" s="364">
        <v>0</v>
      </c>
      <c r="AF58" s="366">
        <v>9.6</v>
      </c>
      <c r="AG58" s="363">
        <v>0</v>
      </c>
      <c r="AH58" s="635" t="s">
        <v>7814</v>
      </c>
      <c r="AI58" s="324"/>
      <c r="AL58" s="487" t="s">
        <v>14143</v>
      </c>
      <c r="AM58" s="477" t="s">
        <v>70</v>
      </c>
      <c r="AN58" s="637" t="s">
        <v>7146</v>
      </c>
      <c r="AO58" s="478">
        <v>-413</v>
      </c>
      <c r="AP58" s="463">
        <v>-413</v>
      </c>
      <c r="AQ58" s="479">
        <v>0</v>
      </c>
      <c r="AR58" s="476" t="s">
        <v>14144</v>
      </c>
      <c r="BA58" s="313" t="s">
        <v>2758</v>
      </c>
    </row>
    <row r="59" spans="2:53" ht="16.5" customHeight="1">
      <c r="B59" s="367" t="s">
        <v>2763</v>
      </c>
      <c r="C59" s="351" t="s">
        <v>2764</v>
      </c>
      <c r="D59" s="353">
        <v>-275</v>
      </c>
      <c r="E59" s="352" t="s">
        <v>408</v>
      </c>
      <c r="F59" s="341">
        <v>98.05</v>
      </c>
      <c r="G59" s="355" t="s">
        <v>7961</v>
      </c>
      <c r="H59" s="356" t="s">
        <v>7962</v>
      </c>
      <c r="I59" s="354" t="s">
        <v>215</v>
      </c>
      <c r="J59" s="340" t="s">
        <v>7857</v>
      </c>
      <c r="K59" s="339" t="s">
        <v>70</v>
      </c>
      <c r="L59" s="357">
        <v>14</v>
      </c>
      <c r="M59" s="358" t="s">
        <v>7963</v>
      </c>
      <c r="N59" s="359">
        <v>1000</v>
      </c>
      <c r="O59" s="360" t="s">
        <v>530</v>
      </c>
      <c r="P59" s="343" t="s">
        <v>531</v>
      </c>
      <c r="Q59" s="342" t="s">
        <v>2688</v>
      </c>
      <c r="R59" s="344">
        <v>25</v>
      </c>
      <c r="S59" s="345">
        <v>38</v>
      </c>
      <c r="T59" s="362">
        <v>25</v>
      </c>
      <c r="U59" s="361">
        <v>98.05</v>
      </c>
      <c r="V59" s="346">
        <v>133.25826681870009</v>
      </c>
      <c r="W59" s="348">
        <v>133.42493348536678</v>
      </c>
      <c r="X59" s="347">
        <v>67.31</v>
      </c>
      <c r="Y59" s="357">
        <v>68.59</v>
      </c>
      <c r="Z59" s="365" t="s">
        <v>2689</v>
      </c>
      <c r="AA59" s="350">
        <v>125</v>
      </c>
      <c r="AB59" s="349" t="s">
        <v>2685</v>
      </c>
      <c r="AC59" s="350">
        <v>10</v>
      </c>
      <c r="AD59" s="349" t="s">
        <v>2685</v>
      </c>
      <c r="AE59" s="364">
        <v>0</v>
      </c>
      <c r="AF59" s="366">
        <v>0</v>
      </c>
      <c r="AG59" s="363">
        <v>0</v>
      </c>
      <c r="AH59" s="635" t="s">
        <v>408</v>
      </c>
      <c r="AI59" s="324"/>
      <c r="AL59" s="487" t="s">
        <v>14145</v>
      </c>
      <c r="AM59" s="480" t="s">
        <v>70</v>
      </c>
      <c r="AN59" s="637" t="s">
        <v>7148</v>
      </c>
      <c r="AO59" s="478">
        <v>-275</v>
      </c>
      <c r="AP59" s="463">
        <v>-275</v>
      </c>
      <c r="AQ59" s="479">
        <v>0</v>
      </c>
      <c r="AR59" s="476" t="s">
        <v>14146</v>
      </c>
      <c r="BA59" s="313" t="s">
        <v>2759</v>
      </c>
    </row>
    <row r="60" spans="2:53" ht="16.5" customHeight="1">
      <c r="B60" s="367" t="s">
        <v>7942</v>
      </c>
      <c r="C60" s="351" t="s">
        <v>7943</v>
      </c>
      <c r="D60" s="353">
        <v>-275</v>
      </c>
      <c r="E60" s="352" t="s">
        <v>408</v>
      </c>
      <c r="F60" s="341">
        <v>98.01</v>
      </c>
      <c r="G60" s="355" t="s">
        <v>2943</v>
      </c>
      <c r="H60" s="356" t="s">
        <v>7969</v>
      </c>
      <c r="I60" s="354" t="s">
        <v>202</v>
      </c>
      <c r="J60" s="340" t="s">
        <v>199</v>
      </c>
      <c r="K60" s="339" t="s">
        <v>78</v>
      </c>
      <c r="L60" s="357">
        <v>5</v>
      </c>
      <c r="M60" s="358" t="s">
        <v>2944</v>
      </c>
      <c r="N60" s="359">
        <v>600</v>
      </c>
      <c r="O60" s="360" t="s">
        <v>530</v>
      </c>
      <c r="P60" s="343" t="s">
        <v>530</v>
      </c>
      <c r="Q60" s="342" t="s">
        <v>2688</v>
      </c>
      <c r="R60" s="344">
        <v>33</v>
      </c>
      <c r="S60" s="345">
        <v>33</v>
      </c>
      <c r="T60" s="362">
        <v>0</v>
      </c>
      <c r="U60" s="361">
        <v>98.01</v>
      </c>
      <c r="V60" s="346">
        <v>133.18402198489812</v>
      </c>
      <c r="W60" s="348">
        <v>133.35068865156481</v>
      </c>
      <c r="X60" s="347">
        <v>67.73</v>
      </c>
      <c r="Y60" s="357" t="s">
        <v>408</v>
      </c>
      <c r="Z60" s="365" t="s">
        <v>2689</v>
      </c>
      <c r="AA60" s="350">
        <v>100</v>
      </c>
      <c r="AB60" s="349" t="s">
        <v>2685</v>
      </c>
      <c r="AC60" s="350">
        <v>5</v>
      </c>
      <c r="AD60" s="349" t="s">
        <v>2685</v>
      </c>
      <c r="AE60" s="364">
        <v>0</v>
      </c>
      <c r="AF60" s="366">
        <v>0</v>
      </c>
      <c r="AG60" s="363">
        <v>0</v>
      </c>
      <c r="AH60" s="635" t="s">
        <v>408</v>
      </c>
      <c r="AI60" s="324"/>
      <c r="AL60" s="487" t="s">
        <v>7177</v>
      </c>
      <c r="AM60" s="477" t="s">
        <v>78</v>
      </c>
      <c r="AN60" s="637" t="s">
        <v>7148</v>
      </c>
      <c r="AO60" s="478">
        <v>-275</v>
      </c>
      <c r="AP60" s="463">
        <v>-235</v>
      </c>
      <c r="AQ60" s="479">
        <v>-40</v>
      </c>
      <c r="AR60" s="476" t="s">
        <v>16800</v>
      </c>
      <c r="BA60" s="313" t="s">
        <v>2762</v>
      </c>
    </row>
    <row r="61" spans="2:53" ht="16.5" customHeight="1">
      <c r="B61" s="367" t="s">
        <v>7967</v>
      </c>
      <c r="C61" s="351" t="s">
        <v>7968</v>
      </c>
      <c r="D61" s="353">
        <v>-275</v>
      </c>
      <c r="E61" s="352" t="s">
        <v>408</v>
      </c>
      <c r="F61" s="341">
        <v>98</v>
      </c>
      <c r="G61" s="355" t="s">
        <v>2980</v>
      </c>
      <c r="H61" s="356" t="s">
        <v>18352</v>
      </c>
      <c r="I61" s="354" t="s">
        <v>7970</v>
      </c>
      <c r="J61" s="340" t="s">
        <v>7971</v>
      </c>
      <c r="K61" s="339" t="s">
        <v>71</v>
      </c>
      <c r="L61" s="357">
        <v>2</v>
      </c>
      <c r="M61" s="358" t="s">
        <v>7972</v>
      </c>
      <c r="N61" s="359">
        <v>1000</v>
      </c>
      <c r="O61" s="360" t="s">
        <v>454</v>
      </c>
      <c r="P61" s="343" t="s">
        <v>454</v>
      </c>
      <c r="Q61" s="342" t="s">
        <v>2688</v>
      </c>
      <c r="R61" s="344">
        <v>25</v>
      </c>
      <c r="S61" s="345">
        <v>35</v>
      </c>
      <c r="T61" s="362">
        <v>20</v>
      </c>
      <c r="U61" s="361">
        <v>98</v>
      </c>
      <c r="V61" s="346">
        <v>133.16666666666666</v>
      </c>
      <c r="W61" s="348">
        <v>133.33333333333334</v>
      </c>
      <c r="X61" s="347">
        <v>67.260000000000005</v>
      </c>
      <c r="Y61" s="357" t="s">
        <v>408</v>
      </c>
      <c r="Z61" s="365" t="s">
        <v>2689</v>
      </c>
      <c r="AA61" s="350">
        <v>200</v>
      </c>
      <c r="AB61" s="349" t="s">
        <v>2685</v>
      </c>
      <c r="AC61" s="350">
        <v>10</v>
      </c>
      <c r="AD61" s="349" t="s">
        <v>2685</v>
      </c>
      <c r="AE61" s="364">
        <v>0</v>
      </c>
      <c r="AF61" s="366">
        <v>0</v>
      </c>
      <c r="AG61" s="363">
        <v>0</v>
      </c>
      <c r="AH61" s="635" t="s">
        <v>408</v>
      </c>
      <c r="AI61" s="324"/>
      <c r="AL61" s="487" t="s">
        <v>14147</v>
      </c>
      <c r="AM61" s="480" t="s">
        <v>71</v>
      </c>
      <c r="AN61" s="637" t="s">
        <v>7148</v>
      </c>
      <c r="AO61" s="478">
        <v>-275</v>
      </c>
      <c r="AP61" s="463">
        <v>-235</v>
      </c>
      <c r="AQ61" s="479">
        <v>-40</v>
      </c>
      <c r="AR61" s="476" t="s">
        <v>14148</v>
      </c>
      <c r="BA61" s="313" t="s">
        <v>2765</v>
      </c>
    </row>
    <row r="62" spans="2:53" ht="16.5" customHeight="1">
      <c r="B62" s="367" t="s">
        <v>7967</v>
      </c>
      <c r="C62" s="351" t="s">
        <v>7968</v>
      </c>
      <c r="D62" s="353">
        <v>-275</v>
      </c>
      <c r="E62" s="352" t="s">
        <v>408</v>
      </c>
      <c r="F62" s="341">
        <v>98</v>
      </c>
      <c r="G62" s="355" t="s">
        <v>2980</v>
      </c>
      <c r="H62" s="356" t="s">
        <v>7973</v>
      </c>
      <c r="I62" s="354" t="s">
        <v>245</v>
      </c>
      <c r="J62" s="340" t="s">
        <v>253</v>
      </c>
      <c r="K62" s="339" t="s">
        <v>70</v>
      </c>
      <c r="L62" s="357">
        <v>15</v>
      </c>
      <c r="M62" s="358" t="s">
        <v>6164</v>
      </c>
      <c r="N62" s="359">
        <v>800</v>
      </c>
      <c r="O62" s="360" t="s">
        <v>454</v>
      </c>
      <c r="P62" s="343" t="s">
        <v>454</v>
      </c>
      <c r="Q62" s="342" t="s">
        <v>2738</v>
      </c>
      <c r="R62" s="344">
        <v>25</v>
      </c>
      <c r="S62" s="345">
        <v>35</v>
      </c>
      <c r="T62" s="362">
        <v>15</v>
      </c>
      <c r="U62" s="361">
        <v>98</v>
      </c>
      <c r="V62" s="346">
        <v>133.16666666666666</v>
      </c>
      <c r="W62" s="348">
        <v>133.33333333333334</v>
      </c>
      <c r="X62" s="347">
        <v>67.260000000000005</v>
      </c>
      <c r="Y62" s="357" t="s">
        <v>408</v>
      </c>
      <c r="Z62" s="365" t="s">
        <v>2689</v>
      </c>
      <c r="AA62" s="350">
        <v>200</v>
      </c>
      <c r="AB62" s="349" t="s">
        <v>2685</v>
      </c>
      <c r="AC62" s="350">
        <v>10</v>
      </c>
      <c r="AD62" s="349" t="s">
        <v>2685</v>
      </c>
      <c r="AE62" s="364">
        <v>0</v>
      </c>
      <c r="AF62" s="366">
        <v>0</v>
      </c>
      <c r="AG62" s="363">
        <v>0</v>
      </c>
      <c r="AH62" s="635" t="s">
        <v>408</v>
      </c>
      <c r="AI62" s="324"/>
      <c r="AL62" s="487" t="s">
        <v>7152</v>
      </c>
      <c r="AM62" s="477" t="s">
        <v>70</v>
      </c>
      <c r="AN62" s="637" t="s">
        <v>7148</v>
      </c>
      <c r="AO62" s="478">
        <v>-275</v>
      </c>
      <c r="AP62" s="463">
        <v>-275</v>
      </c>
      <c r="AQ62" s="479">
        <v>0</v>
      </c>
      <c r="AR62" s="476" t="s">
        <v>14149</v>
      </c>
      <c r="BA62" s="313" t="s">
        <v>2766</v>
      </c>
    </row>
    <row r="63" spans="2:53" ht="16.5" customHeight="1">
      <c r="B63" s="367" t="s">
        <v>7967</v>
      </c>
      <c r="C63" s="351" t="s">
        <v>7968</v>
      </c>
      <c r="D63" s="353">
        <v>-550</v>
      </c>
      <c r="E63" s="352" t="s">
        <v>408</v>
      </c>
      <c r="F63" s="341">
        <v>98</v>
      </c>
      <c r="G63" s="355" t="s">
        <v>2982</v>
      </c>
      <c r="H63" s="356" t="s">
        <v>7974</v>
      </c>
      <c r="I63" s="354" t="s">
        <v>242</v>
      </c>
      <c r="J63" s="340" t="s">
        <v>427</v>
      </c>
      <c r="K63" s="339" t="s">
        <v>70</v>
      </c>
      <c r="L63" s="357">
        <v>24</v>
      </c>
      <c r="M63" s="358" t="s">
        <v>7975</v>
      </c>
      <c r="N63" s="359">
        <v>800</v>
      </c>
      <c r="O63" s="360" t="s">
        <v>530</v>
      </c>
      <c r="P63" s="343" t="s">
        <v>530</v>
      </c>
      <c r="Q63" s="342" t="s">
        <v>2688</v>
      </c>
      <c r="R63" s="344">
        <v>25</v>
      </c>
      <c r="S63" s="345">
        <v>25</v>
      </c>
      <c r="T63" s="362">
        <v>25</v>
      </c>
      <c r="U63" s="361">
        <v>98</v>
      </c>
      <c r="V63" s="346">
        <v>133.16373674053298</v>
      </c>
      <c r="W63" s="348">
        <v>133.33040340719967</v>
      </c>
      <c r="X63" s="347">
        <v>67.25</v>
      </c>
      <c r="Y63" s="357" t="s">
        <v>408</v>
      </c>
      <c r="Z63" s="365" t="s">
        <v>2689</v>
      </c>
      <c r="AA63" s="350">
        <v>135</v>
      </c>
      <c r="AB63" s="349" t="s">
        <v>2685</v>
      </c>
      <c r="AC63" s="350">
        <v>0</v>
      </c>
      <c r="AD63" s="349" t="s">
        <v>2685</v>
      </c>
      <c r="AE63" s="364">
        <v>0</v>
      </c>
      <c r="AF63" s="366">
        <v>0</v>
      </c>
      <c r="AG63" s="363">
        <v>0</v>
      </c>
      <c r="AH63" s="635" t="s">
        <v>408</v>
      </c>
      <c r="AI63" s="324"/>
      <c r="AL63" s="487" t="s">
        <v>7162</v>
      </c>
      <c r="AM63" s="477" t="s">
        <v>70</v>
      </c>
      <c r="AN63" s="637">
        <v>100</v>
      </c>
      <c r="AO63" s="478">
        <v>-550</v>
      </c>
      <c r="AP63" s="463">
        <v>-550</v>
      </c>
      <c r="AQ63" s="479">
        <v>0</v>
      </c>
      <c r="AR63" s="476" t="s">
        <v>14150</v>
      </c>
      <c r="BA63" s="313" t="s">
        <v>2767</v>
      </c>
    </row>
    <row r="64" spans="2:53" ht="16.5" customHeight="1">
      <c r="B64" s="367" t="s">
        <v>2769</v>
      </c>
      <c r="C64" s="351" t="s">
        <v>2770</v>
      </c>
      <c r="D64" s="353">
        <v>-415</v>
      </c>
      <c r="E64" s="352" t="s">
        <v>7964</v>
      </c>
      <c r="F64" s="341">
        <v>97.97</v>
      </c>
      <c r="G64" s="355" t="s">
        <v>7976</v>
      </c>
      <c r="H64" s="356" t="s">
        <v>7977</v>
      </c>
      <c r="I64" s="354" t="s">
        <v>196</v>
      </c>
      <c r="J64" s="340" t="s">
        <v>7978</v>
      </c>
      <c r="K64" s="339" t="s">
        <v>70</v>
      </c>
      <c r="L64" s="357">
        <v>12</v>
      </c>
      <c r="M64" s="358" t="s">
        <v>2909</v>
      </c>
      <c r="N64" s="359">
        <v>600</v>
      </c>
      <c r="O64" s="360" t="s">
        <v>530</v>
      </c>
      <c r="P64" s="343" t="s">
        <v>530</v>
      </c>
      <c r="Q64" s="342" t="s">
        <v>2688</v>
      </c>
      <c r="R64" s="344">
        <v>33</v>
      </c>
      <c r="S64" s="345">
        <v>40</v>
      </c>
      <c r="T64" s="362">
        <v>27</v>
      </c>
      <c r="U64" s="361">
        <v>97.97</v>
      </c>
      <c r="V64" s="346">
        <v>133.11267622597052</v>
      </c>
      <c r="W64" s="348">
        <v>133.2793428926372</v>
      </c>
      <c r="X64" s="347">
        <v>67.22</v>
      </c>
      <c r="Y64" s="357" t="s">
        <v>408</v>
      </c>
      <c r="Z64" s="365" t="s">
        <v>2689</v>
      </c>
      <c r="AA64" s="350">
        <v>0</v>
      </c>
      <c r="AB64" s="349" t="s">
        <v>2685</v>
      </c>
      <c r="AC64" s="350">
        <v>0</v>
      </c>
      <c r="AD64" s="349" t="s">
        <v>2685</v>
      </c>
      <c r="AE64" s="364">
        <v>0</v>
      </c>
      <c r="AF64" s="366">
        <v>3</v>
      </c>
      <c r="AG64" s="363">
        <v>0</v>
      </c>
      <c r="AH64" s="635" t="s">
        <v>2818</v>
      </c>
      <c r="AI64" s="324"/>
      <c r="AL64" s="487" t="s">
        <v>14151</v>
      </c>
      <c r="AM64" s="477" t="s">
        <v>70</v>
      </c>
      <c r="AN64" s="637" t="s">
        <v>7146</v>
      </c>
      <c r="AO64" s="478">
        <v>-415</v>
      </c>
      <c r="AP64" s="463">
        <v>-415</v>
      </c>
      <c r="AQ64" s="479">
        <v>0</v>
      </c>
      <c r="AR64" s="476" t="s">
        <v>14152</v>
      </c>
      <c r="BA64" s="313" t="s">
        <v>2768</v>
      </c>
    </row>
    <row r="65" spans="2:53" ht="16.5" customHeight="1">
      <c r="B65" s="367" t="s">
        <v>2769</v>
      </c>
      <c r="C65" s="351" t="s">
        <v>2770</v>
      </c>
      <c r="D65" s="353">
        <v>-550</v>
      </c>
      <c r="E65" s="352" t="s">
        <v>408</v>
      </c>
      <c r="F65" s="341">
        <v>97.96</v>
      </c>
      <c r="G65" s="355" t="s">
        <v>2986</v>
      </c>
      <c r="H65" s="356" t="s">
        <v>18353</v>
      </c>
      <c r="I65" s="354" t="s">
        <v>222</v>
      </c>
      <c r="J65" s="340" t="s">
        <v>7770</v>
      </c>
      <c r="K65" s="339" t="s">
        <v>70</v>
      </c>
      <c r="L65" s="357">
        <v>28</v>
      </c>
      <c r="M65" s="358" t="s">
        <v>7913</v>
      </c>
      <c r="N65" s="359">
        <v>800</v>
      </c>
      <c r="O65" s="360" t="s">
        <v>530</v>
      </c>
      <c r="P65" s="343" t="s">
        <v>532</v>
      </c>
      <c r="Q65" s="342" t="s">
        <v>2688</v>
      </c>
      <c r="R65" s="344">
        <v>30</v>
      </c>
      <c r="S65" s="345">
        <v>30</v>
      </c>
      <c r="T65" s="362">
        <v>15</v>
      </c>
      <c r="U65" s="361">
        <v>97.96</v>
      </c>
      <c r="V65" s="346">
        <v>133.10715459904705</v>
      </c>
      <c r="W65" s="348">
        <v>133.27382126571374</v>
      </c>
      <c r="X65" s="347" t="s">
        <v>18354</v>
      </c>
      <c r="Y65" s="357" t="s">
        <v>408</v>
      </c>
      <c r="Z65" s="365" t="s">
        <v>2689</v>
      </c>
      <c r="AA65" s="350">
        <v>80</v>
      </c>
      <c r="AB65" s="349" t="s">
        <v>2685</v>
      </c>
      <c r="AC65" s="350">
        <v>6</v>
      </c>
      <c r="AD65" s="349" t="s">
        <v>2685</v>
      </c>
      <c r="AE65" s="364">
        <v>0</v>
      </c>
      <c r="AF65" s="366">
        <v>0</v>
      </c>
      <c r="AG65" s="363">
        <v>0</v>
      </c>
      <c r="AH65" s="635" t="s">
        <v>7914</v>
      </c>
      <c r="AI65" s="324"/>
      <c r="AL65" s="487" t="s">
        <v>14131</v>
      </c>
      <c r="AM65" s="480" t="s">
        <v>70</v>
      </c>
      <c r="AN65" s="637">
        <v>100</v>
      </c>
      <c r="AO65" s="478">
        <v>-550</v>
      </c>
      <c r="AP65" s="463">
        <v>-550</v>
      </c>
      <c r="AQ65" s="479">
        <v>0</v>
      </c>
      <c r="AR65" s="476" t="s">
        <v>17104</v>
      </c>
      <c r="BA65" s="313" t="s">
        <v>2771</v>
      </c>
    </row>
    <row r="66" spans="2:53" ht="16.5" customHeight="1">
      <c r="B66" s="367" t="s">
        <v>2775</v>
      </c>
      <c r="C66" s="351" t="s">
        <v>2776</v>
      </c>
      <c r="D66" s="353">
        <v>-550</v>
      </c>
      <c r="E66" s="352" t="s">
        <v>408</v>
      </c>
      <c r="F66" s="341">
        <v>97.94</v>
      </c>
      <c r="G66" s="355" t="s">
        <v>2991</v>
      </c>
      <c r="H66" s="356" t="s">
        <v>2867</v>
      </c>
      <c r="I66" s="354" t="s">
        <v>247</v>
      </c>
      <c r="J66" s="340" t="s">
        <v>240</v>
      </c>
      <c r="K66" s="339" t="s">
        <v>70</v>
      </c>
      <c r="L66" s="357">
        <v>15</v>
      </c>
      <c r="M66" s="358" t="s">
        <v>7979</v>
      </c>
      <c r="N66" s="359">
        <v>1000</v>
      </c>
      <c r="O66" s="360" t="s">
        <v>454</v>
      </c>
      <c r="P66" s="343" t="s">
        <v>454</v>
      </c>
      <c r="Q66" s="342" t="s">
        <v>2688</v>
      </c>
      <c r="R66" s="344">
        <v>30</v>
      </c>
      <c r="S66" s="345">
        <v>30</v>
      </c>
      <c r="T66" s="362">
        <v>30</v>
      </c>
      <c r="U66" s="361">
        <v>97.94</v>
      </c>
      <c r="V66" s="346">
        <v>133.07407407407405</v>
      </c>
      <c r="W66" s="348">
        <v>133.24074074074073</v>
      </c>
      <c r="X66" s="347">
        <v>67.2</v>
      </c>
      <c r="Y66" s="357" t="s">
        <v>408</v>
      </c>
      <c r="Z66" s="365" t="s">
        <v>2689</v>
      </c>
      <c r="AA66" s="350">
        <v>100</v>
      </c>
      <c r="AB66" s="349" t="s">
        <v>2685</v>
      </c>
      <c r="AC66" s="350">
        <v>5</v>
      </c>
      <c r="AD66" s="349" t="s">
        <v>2685</v>
      </c>
      <c r="AE66" s="364">
        <v>0</v>
      </c>
      <c r="AF66" s="366">
        <v>0</v>
      </c>
      <c r="AG66" s="363">
        <v>0</v>
      </c>
      <c r="AH66" s="635" t="s">
        <v>408</v>
      </c>
      <c r="AI66" s="324"/>
      <c r="AL66" s="487" t="s">
        <v>7153</v>
      </c>
      <c r="AM66" s="480" t="s">
        <v>70</v>
      </c>
      <c r="AN66" s="637">
        <v>100</v>
      </c>
      <c r="AO66" s="478">
        <v>-550</v>
      </c>
      <c r="AP66" s="463">
        <v>-550</v>
      </c>
      <c r="AQ66" s="479">
        <v>0</v>
      </c>
      <c r="AR66" s="476" t="s">
        <v>17105</v>
      </c>
      <c r="BA66" s="313" t="s">
        <v>2772</v>
      </c>
    </row>
    <row r="67" spans="2:53" ht="16.5" customHeight="1">
      <c r="B67" s="367" t="s">
        <v>2760</v>
      </c>
      <c r="C67" s="351" t="s">
        <v>2761</v>
      </c>
      <c r="D67" s="353">
        <v>-403</v>
      </c>
      <c r="E67" s="352" t="s">
        <v>408</v>
      </c>
      <c r="F67" s="341">
        <v>97.94</v>
      </c>
      <c r="G67" s="355" t="s">
        <v>18355</v>
      </c>
      <c r="H67" s="356" t="s">
        <v>7892</v>
      </c>
      <c r="I67" s="354" t="s">
        <v>196</v>
      </c>
      <c r="J67" s="340" t="s">
        <v>7965</v>
      </c>
      <c r="K67" s="339" t="s">
        <v>71</v>
      </c>
      <c r="L67" s="357">
        <v>52</v>
      </c>
      <c r="M67" s="358" t="s">
        <v>7966</v>
      </c>
      <c r="N67" s="359">
        <v>600</v>
      </c>
      <c r="O67" s="360" t="s">
        <v>530</v>
      </c>
      <c r="P67" s="343" t="s">
        <v>530</v>
      </c>
      <c r="Q67" s="342" t="s">
        <v>2688</v>
      </c>
      <c r="R67" s="344">
        <v>33</v>
      </c>
      <c r="S67" s="345">
        <v>40</v>
      </c>
      <c r="T67" s="362">
        <v>27</v>
      </c>
      <c r="U67" s="361">
        <v>97.94</v>
      </c>
      <c r="V67" s="346">
        <v>133.06508793332537</v>
      </c>
      <c r="W67" s="348">
        <v>133.23175459999206</v>
      </c>
      <c r="X67" s="347">
        <v>67.66</v>
      </c>
      <c r="Y67" s="357" t="s">
        <v>408</v>
      </c>
      <c r="Z67" s="365" t="s">
        <v>2689</v>
      </c>
      <c r="AA67" s="350">
        <v>0</v>
      </c>
      <c r="AB67" s="349" t="s">
        <v>2685</v>
      </c>
      <c r="AC67" s="350">
        <v>0</v>
      </c>
      <c r="AD67" s="349" t="s">
        <v>2685</v>
      </c>
      <c r="AE67" s="364">
        <v>0</v>
      </c>
      <c r="AF67" s="366">
        <v>0</v>
      </c>
      <c r="AG67" s="363">
        <v>0</v>
      </c>
      <c r="AH67" s="635" t="s">
        <v>408</v>
      </c>
      <c r="AI67" s="324"/>
      <c r="AL67" s="487" t="s">
        <v>14153</v>
      </c>
      <c r="AM67" s="480" t="s">
        <v>71</v>
      </c>
      <c r="AN67" s="637" t="s">
        <v>7146</v>
      </c>
      <c r="AO67" s="478">
        <v>-403</v>
      </c>
      <c r="AP67" s="463">
        <v>-341</v>
      </c>
      <c r="AQ67" s="479">
        <v>-62</v>
      </c>
      <c r="AR67" s="476" t="s">
        <v>16801</v>
      </c>
      <c r="BA67" s="313" t="s">
        <v>2773</v>
      </c>
    </row>
    <row r="68" spans="2:53" ht="16.5" customHeight="1">
      <c r="B68" s="367" t="s">
        <v>18182</v>
      </c>
      <c r="C68" s="351" t="s">
        <v>18183</v>
      </c>
      <c r="D68" s="353">
        <v>-537</v>
      </c>
      <c r="E68" s="352" t="s">
        <v>408</v>
      </c>
      <c r="F68" s="341">
        <v>97.86</v>
      </c>
      <c r="G68" s="355" t="s">
        <v>8134</v>
      </c>
      <c r="H68" s="356" t="s">
        <v>7973</v>
      </c>
      <c r="I68" s="354" t="s">
        <v>214</v>
      </c>
      <c r="J68" s="340" t="s">
        <v>7770</v>
      </c>
      <c r="K68" s="339" t="s">
        <v>70</v>
      </c>
      <c r="L68" s="357">
        <v>25</v>
      </c>
      <c r="M68" s="358" t="s">
        <v>7901</v>
      </c>
      <c r="N68" s="359">
        <v>200</v>
      </c>
      <c r="O68" s="360" t="s">
        <v>532</v>
      </c>
      <c r="P68" s="343" t="s">
        <v>532</v>
      </c>
      <c r="Q68" s="342" t="s">
        <v>2688</v>
      </c>
      <c r="R68" s="344">
        <v>20</v>
      </c>
      <c r="S68" s="345">
        <v>30</v>
      </c>
      <c r="T68" s="362">
        <v>30</v>
      </c>
      <c r="U68" s="361">
        <v>97.86</v>
      </c>
      <c r="V68" s="346">
        <v>132.94466438498046</v>
      </c>
      <c r="W68" s="348">
        <v>133.10210844914388</v>
      </c>
      <c r="X68" s="347" t="s">
        <v>18356</v>
      </c>
      <c r="Y68" s="357" t="s">
        <v>408</v>
      </c>
      <c r="Z68" s="365" t="s">
        <v>2689</v>
      </c>
      <c r="AA68" s="350">
        <v>40</v>
      </c>
      <c r="AB68" s="349" t="s">
        <v>2685</v>
      </c>
      <c r="AC68" s="350">
        <v>0</v>
      </c>
      <c r="AD68" s="349" t="s">
        <v>2685</v>
      </c>
      <c r="AE68" s="364">
        <v>0</v>
      </c>
      <c r="AF68" s="366">
        <v>0</v>
      </c>
      <c r="AG68" s="363">
        <v>0</v>
      </c>
      <c r="AH68" s="635" t="s">
        <v>408</v>
      </c>
      <c r="AI68" s="324"/>
      <c r="AL68" s="487" t="s">
        <v>14129</v>
      </c>
      <c r="AM68" s="477" t="s">
        <v>70</v>
      </c>
      <c r="AN68" s="637">
        <v>100</v>
      </c>
      <c r="AO68" s="478">
        <v>-537</v>
      </c>
      <c r="AP68" s="463">
        <v>-537</v>
      </c>
      <c r="AQ68" s="479">
        <v>0</v>
      </c>
      <c r="AR68" s="476" t="s">
        <v>17106</v>
      </c>
      <c r="BA68" s="313" t="s">
        <v>2774</v>
      </c>
    </row>
    <row r="69" spans="2:53" ht="16.5" customHeight="1">
      <c r="B69" s="367" t="s">
        <v>2791</v>
      </c>
      <c r="C69" s="351" t="s">
        <v>2792</v>
      </c>
      <c r="D69" s="353">
        <v>-416</v>
      </c>
      <c r="E69" s="352" t="s">
        <v>408</v>
      </c>
      <c r="F69" s="341">
        <v>97.8</v>
      </c>
      <c r="G69" s="355" t="s">
        <v>7980</v>
      </c>
      <c r="H69" s="356" t="s">
        <v>2927</v>
      </c>
      <c r="I69" s="354" t="s">
        <v>228</v>
      </c>
      <c r="J69" s="340" t="s">
        <v>7981</v>
      </c>
      <c r="K69" s="339" t="s">
        <v>70</v>
      </c>
      <c r="L69" s="357">
        <v>49</v>
      </c>
      <c r="M69" s="358" t="s">
        <v>7982</v>
      </c>
      <c r="N69" s="359">
        <v>1000</v>
      </c>
      <c r="O69" s="360" t="s">
        <v>530</v>
      </c>
      <c r="P69" s="343" t="s">
        <v>531</v>
      </c>
      <c r="Q69" s="342" t="s">
        <v>2688</v>
      </c>
      <c r="R69" s="344">
        <v>30</v>
      </c>
      <c r="S69" s="345">
        <v>35</v>
      </c>
      <c r="T69" s="362">
        <v>35</v>
      </c>
      <c r="U69" s="361">
        <v>97.8</v>
      </c>
      <c r="V69" s="346">
        <v>132.85445760453879</v>
      </c>
      <c r="W69" s="348">
        <v>132.98120323177159</v>
      </c>
      <c r="X69" s="347">
        <v>67.040000000000006</v>
      </c>
      <c r="Y69" s="357">
        <v>68.740000000000009</v>
      </c>
      <c r="Z69" s="365" t="s">
        <v>2689</v>
      </c>
      <c r="AA69" s="350">
        <v>100</v>
      </c>
      <c r="AB69" s="349" t="s">
        <v>2685</v>
      </c>
      <c r="AC69" s="350">
        <v>10</v>
      </c>
      <c r="AD69" s="349" t="s">
        <v>2685</v>
      </c>
      <c r="AE69" s="364">
        <v>0</v>
      </c>
      <c r="AF69" s="366">
        <v>12.03</v>
      </c>
      <c r="AG69" s="363">
        <v>0</v>
      </c>
      <c r="AH69" s="635" t="s">
        <v>7787</v>
      </c>
      <c r="AI69" s="324"/>
      <c r="AL69" s="487" t="s">
        <v>14154</v>
      </c>
      <c r="AM69" s="477" t="s">
        <v>70</v>
      </c>
      <c r="AN69" s="637" t="s">
        <v>7146</v>
      </c>
      <c r="AO69" s="478">
        <v>-416</v>
      </c>
      <c r="AP69" s="463">
        <v>-416</v>
      </c>
      <c r="AQ69" s="479">
        <v>0</v>
      </c>
      <c r="AR69" s="476" t="s">
        <v>14155</v>
      </c>
      <c r="BA69" s="313" t="s">
        <v>2777</v>
      </c>
    </row>
    <row r="70" spans="2:53" ht="16.5" customHeight="1">
      <c r="B70" s="367" t="s">
        <v>7985</v>
      </c>
      <c r="C70" s="351" t="s">
        <v>7986</v>
      </c>
      <c r="D70" s="353">
        <v>-473</v>
      </c>
      <c r="E70" s="352" t="s">
        <v>408</v>
      </c>
      <c r="F70" s="341">
        <v>97.77</v>
      </c>
      <c r="G70" s="355" t="s">
        <v>7987</v>
      </c>
      <c r="H70" s="356" t="s">
        <v>7988</v>
      </c>
      <c r="I70" s="354" t="s">
        <v>209</v>
      </c>
      <c r="J70" s="340" t="s">
        <v>7989</v>
      </c>
      <c r="K70" s="339" t="s">
        <v>70</v>
      </c>
      <c r="L70" s="357">
        <v>6</v>
      </c>
      <c r="M70" s="358" t="s">
        <v>7990</v>
      </c>
      <c r="N70" s="359">
        <v>1000</v>
      </c>
      <c r="O70" s="360" t="s">
        <v>530</v>
      </c>
      <c r="P70" s="343" t="s">
        <v>530</v>
      </c>
      <c r="Q70" s="342" t="s">
        <v>2688</v>
      </c>
      <c r="R70" s="344">
        <v>20</v>
      </c>
      <c r="S70" s="345">
        <v>30</v>
      </c>
      <c r="T70" s="362">
        <v>30</v>
      </c>
      <c r="U70" s="361">
        <v>97.77</v>
      </c>
      <c r="V70" s="346">
        <v>132.82059702846206</v>
      </c>
      <c r="W70" s="348">
        <v>132.74417919923442</v>
      </c>
      <c r="X70" s="347">
        <v>67.02</v>
      </c>
      <c r="Y70" s="357" t="s">
        <v>408</v>
      </c>
      <c r="Z70" s="365" t="s">
        <v>2689</v>
      </c>
      <c r="AA70" s="350">
        <v>200</v>
      </c>
      <c r="AB70" s="349" t="s">
        <v>2685</v>
      </c>
      <c r="AC70" s="350">
        <v>10</v>
      </c>
      <c r="AD70" s="349" t="s">
        <v>2685</v>
      </c>
      <c r="AE70" s="364">
        <v>0</v>
      </c>
      <c r="AF70" s="366">
        <v>0</v>
      </c>
      <c r="AG70" s="363">
        <v>0</v>
      </c>
      <c r="AH70" s="635" t="s">
        <v>408</v>
      </c>
      <c r="AI70" s="324"/>
      <c r="AL70" s="487" t="s">
        <v>14157</v>
      </c>
      <c r="AM70" s="477" t="s">
        <v>70</v>
      </c>
      <c r="AN70" s="637" t="s">
        <v>7178</v>
      </c>
      <c r="AO70" s="478">
        <v>-473</v>
      </c>
      <c r="AP70" s="463">
        <v>-473</v>
      </c>
      <c r="AQ70" s="479">
        <v>0</v>
      </c>
      <c r="AR70" s="476" t="s">
        <v>14158</v>
      </c>
      <c r="BA70" s="313" t="s">
        <v>2778</v>
      </c>
    </row>
    <row r="71" spans="2:53" ht="16.5" customHeight="1">
      <c r="B71" s="367" t="s">
        <v>7985</v>
      </c>
      <c r="C71" s="351" t="s">
        <v>7986</v>
      </c>
      <c r="D71" s="353">
        <v>-419</v>
      </c>
      <c r="E71" s="352" t="s">
        <v>7983</v>
      </c>
      <c r="F71" s="341">
        <v>97.77</v>
      </c>
      <c r="G71" s="355" t="s">
        <v>7991</v>
      </c>
      <c r="H71" s="356" t="s">
        <v>7940</v>
      </c>
      <c r="I71" s="354" t="s">
        <v>233</v>
      </c>
      <c r="J71" s="340" t="s">
        <v>7917</v>
      </c>
      <c r="K71" s="339" t="s">
        <v>70</v>
      </c>
      <c r="L71" s="357">
        <v>10</v>
      </c>
      <c r="M71" s="358" t="s">
        <v>7992</v>
      </c>
      <c r="N71" s="359">
        <v>1000</v>
      </c>
      <c r="O71" s="360" t="s">
        <v>530</v>
      </c>
      <c r="P71" s="343" t="s">
        <v>531</v>
      </c>
      <c r="Q71" s="342" t="s">
        <v>2688</v>
      </c>
      <c r="R71" s="344">
        <v>25</v>
      </c>
      <c r="S71" s="345">
        <v>35</v>
      </c>
      <c r="T71" s="362">
        <v>25</v>
      </c>
      <c r="U71" s="361">
        <v>97.77</v>
      </c>
      <c r="V71" s="346">
        <v>132.81699322757518</v>
      </c>
      <c r="W71" s="348">
        <v>132.71895259302627</v>
      </c>
      <c r="X71" s="347">
        <v>67.02</v>
      </c>
      <c r="Y71" s="357">
        <v>67.930000000000007</v>
      </c>
      <c r="Z71" s="365" t="s">
        <v>2689</v>
      </c>
      <c r="AA71" s="350">
        <v>150</v>
      </c>
      <c r="AB71" s="349" t="s">
        <v>2685</v>
      </c>
      <c r="AC71" s="350">
        <v>0</v>
      </c>
      <c r="AD71" s="349" t="s">
        <v>2685</v>
      </c>
      <c r="AE71" s="364">
        <v>0</v>
      </c>
      <c r="AF71" s="366">
        <v>12.061999999999999</v>
      </c>
      <c r="AG71" s="363">
        <v>0</v>
      </c>
      <c r="AH71" s="635" t="s">
        <v>7993</v>
      </c>
      <c r="AI71" s="324"/>
      <c r="AL71" s="487" t="s">
        <v>14159</v>
      </c>
      <c r="AM71" s="477" t="s">
        <v>70</v>
      </c>
      <c r="AN71" s="637" t="s">
        <v>7146</v>
      </c>
      <c r="AO71" s="478">
        <v>-419</v>
      </c>
      <c r="AP71" s="463">
        <v>-419</v>
      </c>
      <c r="AQ71" s="479">
        <v>0</v>
      </c>
      <c r="AR71" s="476" t="s">
        <v>14160</v>
      </c>
      <c r="BA71" s="313" t="s">
        <v>2779</v>
      </c>
    </row>
    <row r="72" spans="2:53" ht="16.5" customHeight="1">
      <c r="B72" s="367" t="s">
        <v>7985</v>
      </c>
      <c r="C72" s="351" t="s">
        <v>7986</v>
      </c>
      <c r="D72" s="353">
        <v>-413</v>
      </c>
      <c r="E72" s="352" t="s">
        <v>408</v>
      </c>
      <c r="F72" s="341">
        <v>97.77</v>
      </c>
      <c r="G72" s="355" t="s">
        <v>7994</v>
      </c>
      <c r="H72" s="356" t="s">
        <v>2938</v>
      </c>
      <c r="I72" s="354" t="s">
        <v>82</v>
      </c>
      <c r="J72" s="340" t="s">
        <v>7917</v>
      </c>
      <c r="K72" s="339" t="s">
        <v>70</v>
      </c>
      <c r="L72" s="357">
        <v>15</v>
      </c>
      <c r="M72" s="358" t="s">
        <v>7995</v>
      </c>
      <c r="N72" s="359">
        <v>800</v>
      </c>
      <c r="O72" s="360" t="s">
        <v>530</v>
      </c>
      <c r="P72" s="343" t="s">
        <v>531</v>
      </c>
      <c r="Q72" s="342" t="s">
        <v>2688</v>
      </c>
      <c r="R72" s="344">
        <v>20</v>
      </c>
      <c r="S72" s="345">
        <v>35</v>
      </c>
      <c r="T72" s="362">
        <v>30</v>
      </c>
      <c r="U72" s="361">
        <v>97.77</v>
      </c>
      <c r="V72" s="346">
        <v>132.81741421237504</v>
      </c>
      <c r="W72" s="348">
        <v>132.72189948662529</v>
      </c>
      <c r="X72" s="347">
        <v>67.02</v>
      </c>
      <c r="Y72" s="357">
        <v>67.930000000000007</v>
      </c>
      <c r="Z72" s="365" t="s">
        <v>2689</v>
      </c>
      <c r="AA72" s="350">
        <v>120</v>
      </c>
      <c r="AB72" s="349" t="s">
        <v>2685</v>
      </c>
      <c r="AC72" s="350">
        <v>0</v>
      </c>
      <c r="AD72" s="349" t="s">
        <v>2685</v>
      </c>
      <c r="AE72" s="364">
        <v>0</v>
      </c>
      <c r="AF72" s="366">
        <v>9.6</v>
      </c>
      <c r="AG72" s="363">
        <v>0</v>
      </c>
      <c r="AH72" s="635" t="s">
        <v>7814</v>
      </c>
      <c r="AI72" s="324"/>
      <c r="AL72" s="487" t="s">
        <v>14161</v>
      </c>
      <c r="AM72" s="480" t="s">
        <v>70</v>
      </c>
      <c r="AN72" s="637" t="s">
        <v>7146</v>
      </c>
      <c r="AO72" s="478">
        <v>-413</v>
      </c>
      <c r="AP72" s="463">
        <v>-413</v>
      </c>
      <c r="AQ72" s="479">
        <v>0</v>
      </c>
      <c r="AR72" s="476" t="s">
        <v>16802</v>
      </c>
      <c r="BA72" s="313" t="s">
        <v>2780</v>
      </c>
    </row>
    <row r="73" spans="2:53" ht="16.5" customHeight="1">
      <c r="B73" s="367" t="s">
        <v>2801</v>
      </c>
      <c r="C73" s="351" t="s">
        <v>2802</v>
      </c>
      <c r="D73" s="353">
        <v>-275</v>
      </c>
      <c r="E73" s="352" t="s">
        <v>408</v>
      </c>
      <c r="F73" s="341">
        <v>97.77</v>
      </c>
      <c r="G73" s="355" t="s">
        <v>3019</v>
      </c>
      <c r="H73" s="356" t="s">
        <v>8025</v>
      </c>
      <c r="I73" s="354" t="s">
        <v>212</v>
      </c>
      <c r="J73" s="340" t="s">
        <v>7947</v>
      </c>
      <c r="K73" s="339" t="s">
        <v>70</v>
      </c>
      <c r="L73" s="357">
        <v>25</v>
      </c>
      <c r="M73" s="358" t="s">
        <v>7948</v>
      </c>
      <c r="N73" s="359">
        <v>800</v>
      </c>
      <c r="O73" s="360" t="s">
        <v>532</v>
      </c>
      <c r="P73" s="343" t="s">
        <v>532</v>
      </c>
      <c r="Q73" s="342" t="s">
        <v>2688</v>
      </c>
      <c r="R73" s="344">
        <v>30</v>
      </c>
      <c r="S73" s="345">
        <v>40</v>
      </c>
      <c r="T73" s="362">
        <v>30</v>
      </c>
      <c r="U73" s="361">
        <v>97.77</v>
      </c>
      <c r="V73" s="346">
        <v>132.80866956820569</v>
      </c>
      <c r="W73" s="348">
        <v>132.66068697743978</v>
      </c>
      <c r="X73" s="347" t="s">
        <v>18357</v>
      </c>
      <c r="Y73" s="357" t="s">
        <v>408</v>
      </c>
      <c r="Z73" s="365" t="s">
        <v>2689</v>
      </c>
      <c r="AA73" s="350">
        <v>200</v>
      </c>
      <c r="AB73" s="349" t="s">
        <v>2685</v>
      </c>
      <c r="AC73" s="350">
        <v>10</v>
      </c>
      <c r="AD73" s="349" t="s">
        <v>2685</v>
      </c>
      <c r="AE73" s="364">
        <v>0</v>
      </c>
      <c r="AF73" s="366">
        <v>0</v>
      </c>
      <c r="AG73" s="363">
        <v>0</v>
      </c>
      <c r="AH73" s="635" t="s">
        <v>408</v>
      </c>
      <c r="AI73" s="324"/>
      <c r="AL73" s="487" t="s">
        <v>14142</v>
      </c>
      <c r="AM73" s="480" t="s">
        <v>70</v>
      </c>
      <c r="AN73" s="637" t="s">
        <v>7148</v>
      </c>
      <c r="AO73" s="478">
        <v>-275</v>
      </c>
      <c r="AP73" s="463">
        <v>-275</v>
      </c>
      <c r="AQ73" s="479">
        <v>0</v>
      </c>
      <c r="AR73" s="476" t="s">
        <v>17107</v>
      </c>
      <c r="BA73" s="313" t="s">
        <v>2781</v>
      </c>
    </row>
    <row r="74" spans="2:53" ht="16.5" customHeight="1">
      <c r="B74" s="367" t="s">
        <v>7996</v>
      </c>
      <c r="C74" s="351" t="s">
        <v>7997</v>
      </c>
      <c r="D74" s="353">
        <v>-420</v>
      </c>
      <c r="E74" s="352" t="s">
        <v>408</v>
      </c>
      <c r="F74" s="341">
        <v>97.76</v>
      </c>
      <c r="G74" s="355" t="s">
        <v>7998</v>
      </c>
      <c r="H74" s="356" t="s">
        <v>18358</v>
      </c>
      <c r="I74" s="354" t="s">
        <v>239</v>
      </c>
      <c r="J74" s="340" t="s">
        <v>7917</v>
      </c>
      <c r="K74" s="339" t="s">
        <v>70</v>
      </c>
      <c r="L74" s="357">
        <v>10</v>
      </c>
      <c r="M74" s="358" t="s">
        <v>7999</v>
      </c>
      <c r="N74" s="359">
        <v>1000</v>
      </c>
      <c r="O74" s="360" t="s">
        <v>530</v>
      </c>
      <c r="P74" s="343" t="s">
        <v>531</v>
      </c>
      <c r="Q74" s="342" t="s">
        <v>2688</v>
      </c>
      <c r="R74" s="344">
        <v>30</v>
      </c>
      <c r="S74" s="345">
        <v>40</v>
      </c>
      <c r="T74" s="362">
        <v>30</v>
      </c>
      <c r="U74" s="361">
        <v>97.76</v>
      </c>
      <c r="V74" s="346">
        <v>132.80025705439039</v>
      </c>
      <c r="W74" s="348">
        <v>132.60179938073259</v>
      </c>
      <c r="X74" s="347">
        <v>67.010000000000005</v>
      </c>
      <c r="Y74" s="357">
        <v>68.36</v>
      </c>
      <c r="Z74" s="365" t="s">
        <v>2689</v>
      </c>
      <c r="AA74" s="350">
        <v>0</v>
      </c>
      <c r="AB74" s="349" t="s">
        <v>2685</v>
      </c>
      <c r="AC74" s="350">
        <v>0</v>
      </c>
      <c r="AD74" s="349" t="s">
        <v>2685</v>
      </c>
      <c r="AE74" s="364">
        <v>0</v>
      </c>
      <c r="AF74" s="366">
        <v>0</v>
      </c>
      <c r="AG74" s="363">
        <v>0</v>
      </c>
      <c r="AH74" s="635" t="s">
        <v>408</v>
      </c>
      <c r="AI74" s="324"/>
      <c r="AL74" s="487" t="s">
        <v>14162</v>
      </c>
      <c r="AM74" s="477" t="s">
        <v>70</v>
      </c>
      <c r="AN74" s="637" t="s">
        <v>7146</v>
      </c>
      <c r="AO74" s="478">
        <v>-420</v>
      </c>
      <c r="AP74" s="463">
        <v>-420</v>
      </c>
      <c r="AQ74" s="479">
        <v>0</v>
      </c>
      <c r="AR74" s="476" t="s">
        <v>14163</v>
      </c>
      <c r="BA74" s="313" t="s">
        <v>2782</v>
      </c>
    </row>
    <row r="75" spans="2:53" ht="16.5" customHeight="1">
      <c r="B75" s="367" t="s">
        <v>8003</v>
      </c>
      <c r="C75" s="351" t="s">
        <v>8004</v>
      </c>
      <c r="D75" s="353">
        <v>-562</v>
      </c>
      <c r="E75" s="352" t="s">
        <v>408</v>
      </c>
      <c r="F75" s="341">
        <v>97.75</v>
      </c>
      <c r="G75" s="355" t="s">
        <v>8005</v>
      </c>
      <c r="H75" s="356" t="s">
        <v>8006</v>
      </c>
      <c r="I75" s="354" t="s">
        <v>80</v>
      </c>
      <c r="J75" s="340" t="s">
        <v>8007</v>
      </c>
      <c r="K75" s="339" t="s">
        <v>70</v>
      </c>
      <c r="L75" s="357">
        <v>9</v>
      </c>
      <c r="M75" s="358" t="s">
        <v>8008</v>
      </c>
      <c r="N75" s="359">
        <v>1000</v>
      </c>
      <c r="O75" s="360" t="s">
        <v>532</v>
      </c>
      <c r="P75" s="343" t="s">
        <v>533</v>
      </c>
      <c r="Q75" s="342" t="s">
        <v>2688</v>
      </c>
      <c r="R75" s="344">
        <v>25</v>
      </c>
      <c r="S75" s="345">
        <v>40</v>
      </c>
      <c r="T75" s="362">
        <v>25</v>
      </c>
      <c r="U75" s="361">
        <v>97.75</v>
      </c>
      <c r="V75" s="346">
        <v>132.79260108227308</v>
      </c>
      <c r="W75" s="348">
        <v>132.54820757591148</v>
      </c>
      <c r="X75" s="347">
        <v>67</v>
      </c>
      <c r="Y75" s="357">
        <v>68.61</v>
      </c>
      <c r="Z75" s="365" t="s">
        <v>2689</v>
      </c>
      <c r="AA75" s="350">
        <v>100</v>
      </c>
      <c r="AB75" s="349" t="s">
        <v>2685</v>
      </c>
      <c r="AC75" s="350">
        <v>0</v>
      </c>
      <c r="AD75" s="349" t="s">
        <v>2685</v>
      </c>
      <c r="AE75" s="364">
        <v>0</v>
      </c>
      <c r="AF75" s="366">
        <v>0</v>
      </c>
      <c r="AG75" s="363">
        <v>0</v>
      </c>
      <c r="AH75" s="635" t="s">
        <v>408</v>
      </c>
      <c r="AI75" s="324"/>
      <c r="AL75" s="487" t="s">
        <v>14164</v>
      </c>
      <c r="AM75" s="477" t="s">
        <v>70</v>
      </c>
      <c r="AN75" s="637">
        <v>100</v>
      </c>
      <c r="AO75" s="478">
        <v>-562</v>
      </c>
      <c r="AP75" s="463">
        <v>-562</v>
      </c>
      <c r="AQ75" s="479">
        <v>0</v>
      </c>
      <c r="AR75" s="476" t="s">
        <v>14165</v>
      </c>
      <c r="BA75" s="313" t="s">
        <v>2784</v>
      </c>
    </row>
    <row r="76" spans="2:53" ht="16.5" customHeight="1">
      <c r="B76" s="367" t="s">
        <v>18182</v>
      </c>
      <c r="C76" s="351" t="s">
        <v>18183</v>
      </c>
      <c r="D76" s="353">
        <v>-282</v>
      </c>
      <c r="E76" s="352" t="s">
        <v>408</v>
      </c>
      <c r="F76" s="341">
        <v>97.75</v>
      </c>
      <c r="G76" s="355" t="s">
        <v>18359</v>
      </c>
      <c r="H76" s="356" t="s">
        <v>18360</v>
      </c>
      <c r="I76" s="354" t="s">
        <v>196</v>
      </c>
      <c r="J76" s="340" t="s">
        <v>7984</v>
      </c>
      <c r="K76" s="339" t="s">
        <v>71</v>
      </c>
      <c r="L76" s="357">
        <v>54</v>
      </c>
      <c r="M76" s="358" t="s">
        <v>3024</v>
      </c>
      <c r="N76" s="359">
        <v>600</v>
      </c>
      <c r="O76" s="360" t="s">
        <v>530</v>
      </c>
      <c r="P76" s="343" t="s">
        <v>530</v>
      </c>
      <c r="Q76" s="342" t="s">
        <v>2688</v>
      </c>
      <c r="R76" s="344">
        <v>33</v>
      </c>
      <c r="S76" s="345">
        <v>40</v>
      </c>
      <c r="T76" s="362">
        <v>27</v>
      </c>
      <c r="U76" s="361">
        <v>97.75</v>
      </c>
      <c r="V76" s="346">
        <v>132.79029635036659</v>
      </c>
      <c r="W76" s="348">
        <v>132.53207445256601</v>
      </c>
      <c r="X76" s="347">
        <v>67.48</v>
      </c>
      <c r="Y76" s="357" t="s">
        <v>408</v>
      </c>
      <c r="Z76" s="365" t="s">
        <v>2689</v>
      </c>
      <c r="AA76" s="350">
        <v>0</v>
      </c>
      <c r="AB76" s="349" t="s">
        <v>2685</v>
      </c>
      <c r="AC76" s="350">
        <v>0</v>
      </c>
      <c r="AD76" s="349" t="s">
        <v>2685</v>
      </c>
      <c r="AE76" s="364">
        <v>0</v>
      </c>
      <c r="AF76" s="366">
        <v>0</v>
      </c>
      <c r="AG76" s="363">
        <v>0</v>
      </c>
      <c r="AH76" s="635" t="s">
        <v>408</v>
      </c>
      <c r="AI76" s="324"/>
      <c r="AL76" s="487" t="s">
        <v>14166</v>
      </c>
      <c r="AM76" s="477" t="s">
        <v>71</v>
      </c>
      <c r="AN76" s="637" t="s">
        <v>7148</v>
      </c>
      <c r="AO76" s="478">
        <v>-282</v>
      </c>
      <c r="AP76" s="463">
        <v>-240</v>
      </c>
      <c r="AQ76" s="479">
        <v>-42</v>
      </c>
      <c r="AR76" s="476" t="s">
        <v>16803</v>
      </c>
      <c r="BA76" s="313" t="s">
        <v>2785</v>
      </c>
    </row>
    <row r="77" spans="2:53" ht="16.5" customHeight="1">
      <c r="B77" s="367" t="s">
        <v>8003</v>
      </c>
      <c r="C77" s="351" t="s">
        <v>8004</v>
      </c>
      <c r="D77" s="353">
        <v>-422</v>
      </c>
      <c r="E77" s="352" t="s">
        <v>408</v>
      </c>
      <c r="F77" s="341">
        <v>97.75</v>
      </c>
      <c r="G77" s="355" t="s">
        <v>8009</v>
      </c>
      <c r="H77" s="356" t="s">
        <v>8010</v>
      </c>
      <c r="I77" s="354" t="s">
        <v>196</v>
      </c>
      <c r="J77" s="340" t="s">
        <v>8011</v>
      </c>
      <c r="K77" s="339" t="s">
        <v>70</v>
      </c>
      <c r="L77" s="357">
        <v>12</v>
      </c>
      <c r="M77" s="358" t="s">
        <v>8012</v>
      </c>
      <c r="N77" s="359">
        <v>600</v>
      </c>
      <c r="O77" s="360" t="s">
        <v>530</v>
      </c>
      <c r="P77" s="343" t="s">
        <v>530</v>
      </c>
      <c r="Q77" s="342" t="s">
        <v>2688</v>
      </c>
      <c r="R77" s="344">
        <v>33</v>
      </c>
      <c r="S77" s="345">
        <v>40</v>
      </c>
      <c r="T77" s="362">
        <v>27</v>
      </c>
      <c r="U77" s="361">
        <v>97.75</v>
      </c>
      <c r="V77" s="346">
        <v>132.78669264197555</v>
      </c>
      <c r="W77" s="348">
        <v>132.50684849382881</v>
      </c>
      <c r="X77" s="347">
        <v>67</v>
      </c>
      <c r="Y77" s="357" t="s">
        <v>408</v>
      </c>
      <c r="Z77" s="365" t="s">
        <v>2689</v>
      </c>
      <c r="AA77" s="350">
        <v>0</v>
      </c>
      <c r="AB77" s="349" t="s">
        <v>2685</v>
      </c>
      <c r="AC77" s="350">
        <v>0</v>
      </c>
      <c r="AD77" s="349" t="s">
        <v>2685</v>
      </c>
      <c r="AE77" s="364">
        <v>0</v>
      </c>
      <c r="AF77" s="366">
        <v>3</v>
      </c>
      <c r="AG77" s="363">
        <v>0</v>
      </c>
      <c r="AH77" s="635" t="s">
        <v>2690</v>
      </c>
      <c r="AI77" s="324"/>
      <c r="AL77" s="487" t="s">
        <v>14167</v>
      </c>
      <c r="AM77" s="477" t="s">
        <v>70</v>
      </c>
      <c r="AN77" s="637" t="s">
        <v>7146</v>
      </c>
      <c r="AO77" s="478">
        <v>-422</v>
      </c>
      <c r="AP77" s="463">
        <v>-422</v>
      </c>
      <c r="AQ77" s="479">
        <v>0</v>
      </c>
      <c r="AR77" s="476" t="s">
        <v>14168</v>
      </c>
      <c r="BA77" s="313" t="s">
        <v>2786</v>
      </c>
    </row>
    <row r="78" spans="2:53" ht="16.5" customHeight="1">
      <c r="B78" s="367" t="s">
        <v>2809</v>
      </c>
      <c r="C78" s="351" t="s">
        <v>2810</v>
      </c>
      <c r="D78" s="353">
        <v>-284</v>
      </c>
      <c r="E78" s="352" t="s">
        <v>408</v>
      </c>
      <c r="F78" s="341">
        <v>97.74</v>
      </c>
      <c r="G78" s="355" t="s">
        <v>8013</v>
      </c>
      <c r="H78" s="356" t="s">
        <v>8014</v>
      </c>
      <c r="I78" s="354" t="s">
        <v>207</v>
      </c>
      <c r="J78" s="340" t="s">
        <v>205</v>
      </c>
      <c r="K78" s="339" t="s">
        <v>70</v>
      </c>
      <c r="L78" s="357">
        <v>11</v>
      </c>
      <c r="M78" s="358" t="s">
        <v>8015</v>
      </c>
      <c r="N78" s="359">
        <v>1000</v>
      </c>
      <c r="O78" s="360" t="s">
        <v>454</v>
      </c>
      <c r="P78" s="343" t="s">
        <v>454</v>
      </c>
      <c r="Q78" s="342" t="s">
        <v>2738</v>
      </c>
      <c r="R78" s="344">
        <v>25</v>
      </c>
      <c r="S78" s="345">
        <v>25</v>
      </c>
      <c r="T78" s="362">
        <v>20</v>
      </c>
      <c r="U78" s="361">
        <v>97.74</v>
      </c>
      <c r="V78" s="346">
        <v>132.76791979949874</v>
      </c>
      <c r="W78" s="348">
        <v>132.37543859649125</v>
      </c>
      <c r="X78" s="347">
        <v>66.989999999999995</v>
      </c>
      <c r="Y78" s="357" t="s">
        <v>408</v>
      </c>
      <c r="Z78" s="365" t="s">
        <v>2689</v>
      </c>
      <c r="AA78" s="350">
        <v>200</v>
      </c>
      <c r="AB78" s="349" t="s">
        <v>2685</v>
      </c>
      <c r="AC78" s="350">
        <v>100</v>
      </c>
      <c r="AD78" s="349" t="s">
        <v>2685</v>
      </c>
      <c r="AE78" s="364">
        <v>0</v>
      </c>
      <c r="AF78" s="366">
        <v>12.218</v>
      </c>
      <c r="AG78" s="363">
        <v>0</v>
      </c>
      <c r="AH78" s="635" t="s">
        <v>8016</v>
      </c>
      <c r="AI78" s="324"/>
      <c r="AL78" s="487" t="s">
        <v>7180</v>
      </c>
      <c r="AM78" s="480" t="s">
        <v>70</v>
      </c>
      <c r="AN78" s="637" t="s">
        <v>7148</v>
      </c>
      <c r="AO78" s="478">
        <v>-284</v>
      </c>
      <c r="AP78" s="463">
        <v>-284</v>
      </c>
      <c r="AQ78" s="479">
        <v>0</v>
      </c>
      <c r="AR78" s="476" t="s">
        <v>14169</v>
      </c>
      <c r="BA78" s="313" t="s">
        <v>2787</v>
      </c>
    </row>
    <row r="79" spans="2:53" ht="16.5" customHeight="1">
      <c r="B79" s="367" t="s">
        <v>2806</v>
      </c>
      <c r="C79" s="351" t="s">
        <v>2807</v>
      </c>
      <c r="D79" s="353">
        <v>-568</v>
      </c>
      <c r="E79" s="352" t="s">
        <v>408</v>
      </c>
      <c r="F79" s="341">
        <v>97.74</v>
      </c>
      <c r="G79" s="355" t="s">
        <v>8017</v>
      </c>
      <c r="H79" s="356" t="s">
        <v>8018</v>
      </c>
      <c r="I79" s="354" t="s">
        <v>302</v>
      </c>
      <c r="J79" s="340" t="s">
        <v>8019</v>
      </c>
      <c r="K79" s="339" t="s">
        <v>70</v>
      </c>
      <c r="L79" s="357">
        <v>10</v>
      </c>
      <c r="M79" s="358" t="s">
        <v>8020</v>
      </c>
      <c r="N79" s="359">
        <v>600</v>
      </c>
      <c r="O79" s="360" t="s">
        <v>530</v>
      </c>
      <c r="P79" s="343" t="s">
        <v>531</v>
      </c>
      <c r="Q79" s="342" t="s">
        <v>2688</v>
      </c>
      <c r="R79" s="344">
        <v>37</v>
      </c>
      <c r="S79" s="345">
        <v>43</v>
      </c>
      <c r="T79" s="362">
        <v>20</v>
      </c>
      <c r="U79" s="361">
        <v>97.74</v>
      </c>
      <c r="V79" s="346">
        <v>132.77386129549097</v>
      </c>
      <c r="W79" s="348">
        <v>132.4170290684367</v>
      </c>
      <c r="X79" s="347">
        <v>66.989999999999995</v>
      </c>
      <c r="Y79" s="357">
        <v>69.33</v>
      </c>
      <c r="Z79" s="365" t="s">
        <v>2689</v>
      </c>
      <c r="AA79" s="350">
        <v>100</v>
      </c>
      <c r="AB79" s="349" t="s">
        <v>2685</v>
      </c>
      <c r="AC79" s="350">
        <v>10</v>
      </c>
      <c r="AD79" s="349" t="s">
        <v>2685</v>
      </c>
      <c r="AE79" s="364">
        <v>0</v>
      </c>
      <c r="AF79" s="366">
        <v>0.3</v>
      </c>
      <c r="AG79" s="363">
        <v>0</v>
      </c>
      <c r="AH79" s="635" t="s">
        <v>8021</v>
      </c>
      <c r="AI79" s="324"/>
      <c r="AL79" s="487" t="s">
        <v>14170</v>
      </c>
      <c r="AM79" s="477" t="s">
        <v>70</v>
      </c>
      <c r="AN79" s="637">
        <v>100</v>
      </c>
      <c r="AO79" s="478">
        <v>-568</v>
      </c>
      <c r="AP79" s="463">
        <v>-568</v>
      </c>
      <c r="AQ79" s="479">
        <v>0</v>
      </c>
      <c r="AR79" s="476" t="s">
        <v>16804</v>
      </c>
      <c r="BA79" s="313" t="s">
        <v>2788</v>
      </c>
    </row>
    <row r="80" spans="2:53" ht="16.5" customHeight="1">
      <c r="B80" s="367" t="s">
        <v>2809</v>
      </c>
      <c r="C80" s="351" t="s">
        <v>2810</v>
      </c>
      <c r="D80" s="353">
        <v>-427</v>
      </c>
      <c r="E80" s="352" t="s">
        <v>408</v>
      </c>
      <c r="F80" s="341">
        <v>97.74</v>
      </c>
      <c r="G80" s="355" t="s">
        <v>8022</v>
      </c>
      <c r="H80" s="356" t="s">
        <v>18361</v>
      </c>
      <c r="I80" s="354" t="s">
        <v>196</v>
      </c>
      <c r="J80" s="340" t="s">
        <v>8023</v>
      </c>
      <c r="K80" s="339" t="s">
        <v>70</v>
      </c>
      <c r="L80" s="357">
        <v>27</v>
      </c>
      <c r="M80" s="358" t="s">
        <v>2961</v>
      </c>
      <c r="N80" s="359">
        <v>600</v>
      </c>
      <c r="O80" s="360" t="s">
        <v>530</v>
      </c>
      <c r="P80" s="343" t="s">
        <v>530</v>
      </c>
      <c r="Q80" s="342" t="s">
        <v>2688</v>
      </c>
      <c r="R80" s="344">
        <v>33</v>
      </c>
      <c r="S80" s="345">
        <v>40</v>
      </c>
      <c r="T80" s="362">
        <v>27</v>
      </c>
      <c r="U80" s="361">
        <v>97.74</v>
      </c>
      <c r="V80" s="346">
        <v>132.76716716831771</v>
      </c>
      <c r="W80" s="348">
        <v>132.37017017822396</v>
      </c>
      <c r="X80" s="347">
        <v>66.989999999999995</v>
      </c>
      <c r="Y80" s="357" t="s">
        <v>408</v>
      </c>
      <c r="Z80" s="365" t="s">
        <v>2689</v>
      </c>
      <c r="AA80" s="350">
        <v>0</v>
      </c>
      <c r="AB80" s="349" t="s">
        <v>2685</v>
      </c>
      <c r="AC80" s="350">
        <v>0</v>
      </c>
      <c r="AD80" s="349" t="s">
        <v>2685</v>
      </c>
      <c r="AE80" s="364">
        <v>0</v>
      </c>
      <c r="AF80" s="366">
        <v>3</v>
      </c>
      <c r="AG80" s="363">
        <v>0</v>
      </c>
      <c r="AH80" s="635" t="s">
        <v>2690</v>
      </c>
      <c r="AI80" s="324"/>
      <c r="AL80" s="487" t="s">
        <v>14171</v>
      </c>
      <c r="AM80" s="477" t="s">
        <v>70</v>
      </c>
      <c r="AN80" s="637" t="s">
        <v>7146</v>
      </c>
      <c r="AO80" s="478">
        <v>-427</v>
      </c>
      <c r="AP80" s="463">
        <v>-427</v>
      </c>
      <c r="AQ80" s="479">
        <v>0</v>
      </c>
      <c r="AR80" s="476" t="s">
        <v>14172</v>
      </c>
      <c r="BA80" s="313" t="s">
        <v>2789</v>
      </c>
    </row>
    <row r="81" spans="2:53" ht="16.5" customHeight="1">
      <c r="B81" s="367" t="s">
        <v>2812</v>
      </c>
      <c r="C81" s="351" t="s">
        <v>2813</v>
      </c>
      <c r="D81" s="353">
        <v>-427</v>
      </c>
      <c r="E81" s="352" t="s">
        <v>408</v>
      </c>
      <c r="F81" s="341">
        <v>97.73</v>
      </c>
      <c r="G81" s="355" t="s">
        <v>8024</v>
      </c>
      <c r="H81" s="356" t="s">
        <v>8025</v>
      </c>
      <c r="I81" s="354" t="s">
        <v>196</v>
      </c>
      <c r="J81" s="340" t="s">
        <v>8026</v>
      </c>
      <c r="K81" s="339" t="s">
        <v>70</v>
      </c>
      <c r="L81" s="357">
        <v>54</v>
      </c>
      <c r="M81" s="358" t="s">
        <v>8027</v>
      </c>
      <c r="N81" s="359">
        <v>600</v>
      </c>
      <c r="O81" s="360" t="s">
        <v>530</v>
      </c>
      <c r="P81" s="343" t="s">
        <v>530</v>
      </c>
      <c r="Q81" s="342" t="s">
        <v>2688</v>
      </c>
      <c r="R81" s="344">
        <v>33</v>
      </c>
      <c r="S81" s="345">
        <v>40</v>
      </c>
      <c r="T81" s="362">
        <v>27</v>
      </c>
      <c r="U81" s="361">
        <v>97.73</v>
      </c>
      <c r="V81" s="346">
        <v>132.75740443148879</v>
      </c>
      <c r="W81" s="348">
        <v>132.3018310204215</v>
      </c>
      <c r="X81" s="347">
        <v>66.989999999999995</v>
      </c>
      <c r="Y81" s="357" t="s">
        <v>408</v>
      </c>
      <c r="Z81" s="365" t="s">
        <v>2689</v>
      </c>
      <c r="AA81" s="350">
        <v>0</v>
      </c>
      <c r="AB81" s="349" t="s">
        <v>2685</v>
      </c>
      <c r="AC81" s="350">
        <v>0</v>
      </c>
      <c r="AD81" s="349" t="s">
        <v>2685</v>
      </c>
      <c r="AE81" s="364">
        <v>0</v>
      </c>
      <c r="AF81" s="366">
        <v>3</v>
      </c>
      <c r="AG81" s="363">
        <v>0</v>
      </c>
      <c r="AH81" s="635" t="s">
        <v>2690</v>
      </c>
      <c r="AI81" s="324"/>
      <c r="AL81" s="487" t="s">
        <v>14173</v>
      </c>
      <c r="AM81" s="480" t="s">
        <v>70</v>
      </c>
      <c r="AN81" s="637" t="s">
        <v>7146</v>
      </c>
      <c r="AO81" s="478">
        <v>-427</v>
      </c>
      <c r="AP81" s="463">
        <v>-427</v>
      </c>
      <c r="AQ81" s="479">
        <v>0</v>
      </c>
      <c r="AR81" s="476" t="s">
        <v>14174</v>
      </c>
      <c r="BA81" s="313" t="s">
        <v>2790</v>
      </c>
    </row>
    <row r="82" spans="2:53" ht="16.5" customHeight="1">
      <c r="B82" s="367" t="s">
        <v>2815</v>
      </c>
      <c r="C82" s="351" t="s">
        <v>2816</v>
      </c>
      <c r="D82" s="353">
        <v>-569</v>
      </c>
      <c r="E82" s="352" t="s">
        <v>408</v>
      </c>
      <c r="F82" s="341">
        <v>97.72</v>
      </c>
      <c r="G82" s="355" t="s">
        <v>8028</v>
      </c>
      <c r="H82" s="356" t="s">
        <v>2943</v>
      </c>
      <c r="I82" s="354" t="s">
        <v>252</v>
      </c>
      <c r="J82" s="340" t="s">
        <v>427</v>
      </c>
      <c r="K82" s="339" t="s">
        <v>70</v>
      </c>
      <c r="L82" s="357">
        <v>8</v>
      </c>
      <c r="M82" s="358" t="s">
        <v>8029</v>
      </c>
      <c r="N82" s="359">
        <v>1000</v>
      </c>
      <c r="O82" s="360" t="s">
        <v>530</v>
      </c>
      <c r="P82" s="343" t="s">
        <v>530</v>
      </c>
      <c r="Q82" s="342" t="s">
        <v>2688</v>
      </c>
      <c r="R82" s="344">
        <v>20</v>
      </c>
      <c r="S82" s="345">
        <v>30</v>
      </c>
      <c r="T82" s="362">
        <v>20</v>
      </c>
      <c r="U82" s="361">
        <v>97.72</v>
      </c>
      <c r="V82" s="346">
        <v>132.74261615313802</v>
      </c>
      <c r="W82" s="348">
        <v>132.19831307196611</v>
      </c>
      <c r="X82" s="347">
        <v>66.98</v>
      </c>
      <c r="Y82" s="357" t="s">
        <v>408</v>
      </c>
      <c r="Z82" s="365" t="s">
        <v>2689</v>
      </c>
      <c r="AA82" s="350">
        <v>202.5</v>
      </c>
      <c r="AB82" s="349" t="s">
        <v>2685</v>
      </c>
      <c r="AC82" s="350">
        <v>0</v>
      </c>
      <c r="AD82" s="349" t="s">
        <v>2685</v>
      </c>
      <c r="AE82" s="364">
        <v>0</v>
      </c>
      <c r="AF82" s="366">
        <v>0</v>
      </c>
      <c r="AG82" s="363">
        <v>0</v>
      </c>
      <c r="AH82" s="635" t="s">
        <v>408</v>
      </c>
      <c r="AI82" s="324"/>
      <c r="AL82" s="487" t="s">
        <v>7165</v>
      </c>
      <c r="AM82" s="477" t="s">
        <v>70</v>
      </c>
      <c r="AN82" s="637">
        <v>100</v>
      </c>
      <c r="AO82" s="478">
        <v>-569</v>
      </c>
      <c r="AP82" s="463">
        <v>-569</v>
      </c>
      <c r="AQ82" s="479">
        <v>0</v>
      </c>
      <c r="AR82" s="476" t="s">
        <v>16805</v>
      </c>
      <c r="BA82" s="313" t="s">
        <v>2793</v>
      </c>
    </row>
    <row r="83" spans="2:53" ht="16.5" customHeight="1">
      <c r="B83" s="367" t="s">
        <v>8030</v>
      </c>
      <c r="C83" s="351" t="s">
        <v>8031</v>
      </c>
      <c r="D83" s="353">
        <v>-428</v>
      </c>
      <c r="E83" s="352" t="s">
        <v>408</v>
      </c>
      <c r="F83" s="341">
        <v>97.72</v>
      </c>
      <c r="G83" s="355" t="s">
        <v>8032</v>
      </c>
      <c r="H83" s="356" t="s">
        <v>2914</v>
      </c>
      <c r="I83" s="354" t="s">
        <v>196</v>
      </c>
      <c r="J83" s="340" t="s">
        <v>8033</v>
      </c>
      <c r="K83" s="339" t="s">
        <v>70</v>
      </c>
      <c r="L83" s="357">
        <v>21</v>
      </c>
      <c r="M83" s="358" t="s">
        <v>8034</v>
      </c>
      <c r="N83" s="359">
        <v>600</v>
      </c>
      <c r="O83" s="360" t="s">
        <v>530</v>
      </c>
      <c r="P83" s="343" t="s">
        <v>530</v>
      </c>
      <c r="Q83" s="342" t="s">
        <v>2688</v>
      </c>
      <c r="R83" s="344">
        <v>33</v>
      </c>
      <c r="S83" s="345">
        <v>40</v>
      </c>
      <c r="T83" s="362">
        <v>27</v>
      </c>
      <c r="U83" s="361">
        <v>97.72</v>
      </c>
      <c r="V83" s="346">
        <v>132.73787895783096</v>
      </c>
      <c r="W83" s="348">
        <v>132.16515270481662</v>
      </c>
      <c r="X83" s="347">
        <v>66.98</v>
      </c>
      <c r="Y83" s="357" t="s">
        <v>408</v>
      </c>
      <c r="Z83" s="365" t="s">
        <v>2689</v>
      </c>
      <c r="AA83" s="350">
        <v>0</v>
      </c>
      <c r="AB83" s="349" t="s">
        <v>2685</v>
      </c>
      <c r="AC83" s="350">
        <v>0</v>
      </c>
      <c r="AD83" s="349" t="s">
        <v>2685</v>
      </c>
      <c r="AE83" s="364">
        <v>0</v>
      </c>
      <c r="AF83" s="366">
        <v>3</v>
      </c>
      <c r="AG83" s="363">
        <v>0</v>
      </c>
      <c r="AH83" s="635" t="s">
        <v>2690</v>
      </c>
      <c r="AI83" s="324"/>
      <c r="AL83" s="487" t="s">
        <v>14175</v>
      </c>
      <c r="AM83" s="477" t="s">
        <v>70</v>
      </c>
      <c r="AN83" s="637" t="s">
        <v>7146</v>
      </c>
      <c r="AO83" s="478">
        <v>-428</v>
      </c>
      <c r="AP83" s="463">
        <v>-428</v>
      </c>
      <c r="AQ83" s="479">
        <v>0</v>
      </c>
      <c r="AR83" s="476" t="s">
        <v>14176</v>
      </c>
      <c r="BA83" s="313" t="s">
        <v>2794</v>
      </c>
    </row>
    <row r="84" spans="2:53" ht="16.5" customHeight="1">
      <c r="B84" s="367" t="s">
        <v>8030</v>
      </c>
      <c r="C84" s="351" t="s">
        <v>8031</v>
      </c>
      <c r="D84" s="353">
        <v>-429</v>
      </c>
      <c r="E84" s="352" t="s">
        <v>408</v>
      </c>
      <c r="F84" s="341">
        <v>97.72</v>
      </c>
      <c r="G84" s="355" t="s">
        <v>8032</v>
      </c>
      <c r="H84" s="356" t="s">
        <v>2953</v>
      </c>
      <c r="I84" s="354" t="s">
        <v>196</v>
      </c>
      <c r="J84" s="340" t="s">
        <v>8035</v>
      </c>
      <c r="K84" s="339" t="s">
        <v>70</v>
      </c>
      <c r="L84" s="357">
        <v>5</v>
      </c>
      <c r="M84" s="358" t="s">
        <v>8034</v>
      </c>
      <c r="N84" s="359">
        <v>600</v>
      </c>
      <c r="O84" s="360" t="s">
        <v>530</v>
      </c>
      <c r="P84" s="343" t="s">
        <v>530</v>
      </c>
      <c r="Q84" s="342" t="s">
        <v>2688</v>
      </c>
      <c r="R84" s="344">
        <v>33</v>
      </c>
      <c r="S84" s="345">
        <v>40</v>
      </c>
      <c r="T84" s="362">
        <v>27</v>
      </c>
      <c r="U84" s="361">
        <v>97.72</v>
      </c>
      <c r="V84" s="346">
        <v>132.73787895783096</v>
      </c>
      <c r="W84" s="348">
        <v>132.16515270481662</v>
      </c>
      <c r="X84" s="347">
        <v>66.98</v>
      </c>
      <c r="Y84" s="357" t="s">
        <v>408</v>
      </c>
      <c r="Z84" s="365" t="s">
        <v>2689</v>
      </c>
      <c r="AA84" s="350">
        <v>0</v>
      </c>
      <c r="AB84" s="349" t="s">
        <v>2685</v>
      </c>
      <c r="AC84" s="350">
        <v>0</v>
      </c>
      <c r="AD84" s="349" t="s">
        <v>2685</v>
      </c>
      <c r="AE84" s="364">
        <v>0</v>
      </c>
      <c r="AF84" s="366">
        <v>3</v>
      </c>
      <c r="AG84" s="363">
        <v>0</v>
      </c>
      <c r="AH84" s="635" t="s">
        <v>2818</v>
      </c>
      <c r="AI84" s="324"/>
      <c r="AL84" s="487" t="s">
        <v>14177</v>
      </c>
      <c r="AM84" s="477" t="s">
        <v>70</v>
      </c>
      <c r="AN84" s="637" t="s">
        <v>7146</v>
      </c>
      <c r="AO84" s="478">
        <v>-429</v>
      </c>
      <c r="AP84" s="463">
        <v>-429</v>
      </c>
      <c r="AQ84" s="479">
        <v>0</v>
      </c>
      <c r="AR84" s="476" t="s">
        <v>14176</v>
      </c>
      <c r="BA84" s="313" t="s">
        <v>2795</v>
      </c>
    </row>
    <row r="85" spans="2:53" ht="16.5" customHeight="1">
      <c r="B85" s="367" t="s">
        <v>2820</v>
      </c>
      <c r="C85" s="351" t="s">
        <v>2821</v>
      </c>
      <c r="D85" s="353">
        <v>-576</v>
      </c>
      <c r="E85" s="352" t="s">
        <v>408</v>
      </c>
      <c r="F85" s="341">
        <v>97.7</v>
      </c>
      <c r="G85" s="355" t="s">
        <v>8040</v>
      </c>
      <c r="H85" s="356" t="s">
        <v>8103</v>
      </c>
      <c r="I85" s="354" t="s">
        <v>216</v>
      </c>
      <c r="J85" s="340" t="s">
        <v>8042</v>
      </c>
      <c r="K85" s="339" t="s">
        <v>70</v>
      </c>
      <c r="L85" s="357">
        <v>34</v>
      </c>
      <c r="M85" s="358" t="s">
        <v>8043</v>
      </c>
      <c r="N85" s="359">
        <v>300</v>
      </c>
      <c r="O85" s="360" t="s">
        <v>530</v>
      </c>
      <c r="P85" s="343" t="s">
        <v>530</v>
      </c>
      <c r="Q85" s="342" t="s">
        <v>2688</v>
      </c>
      <c r="R85" s="344">
        <v>25</v>
      </c>
      <c r="S85" s="345">
        <v>45</v>
      </c>
      <c r="T85" s="362">
        <v>30</v>
      </c>
      <c r="U85" s="361">
        <v>97.7</v>
      </c>
      <c r="V85" s="346">
        <v>132.70963546669006</v>
      </c>
      <c r="W85" s="348">
        <v>131.99638314075892</v>
      </c>
      <c r="X85" s="347">
        <v>66.959999999999994</v>
      </c>
      <c r="Y85" s="357" t="s">
        <v>408</v>
      </c>
      <c r="Z85" s="365" t="s">
        <v>2689</v>
      </c>
      <c r="AA85" s="350">
        <v>0</v>
      </c>
      <c r="AB85" s="349" t="s">
        <v>2685</v>
      </c>
      <c r="AC85" s="350">
        <v>0</v>
      </c>
      <c r="AD85" s="349" t="s">
        <v>2685</v>
      </c>
      <c r="AE85" s="364">
        <v>0</v>
      </c>
      <c r="AF85" s="366">
        <v>0</v>
      </c>
      <c r="AG85" s="363">
        <v>0</v>
      </c>
      <c r="AH85" s="635" t="s">
        <v>408</v>
      </c>
      <c r="AI85" s="324"/>
      <c r="AL85" s="487" t="s">
        <v>14178</v>
      </c>
      <c r="AM85" s="477" t="s">
        <v>70</v>
      </c>
      <c r="AN85" s="637">
        <v>100</v>
      </c>
      <c r="AO85" s="478">
        <v>-576</v>
      </c>
      <c r="AP85" s="463">
        <v>-576</v>
      </c>
      <c r="AQ85" s="479">
        <v>0</v>
      </c>
      <c r="AR85" s="476" t="s">
        <v>14179</v>
      </c>
      <c r="BA85" s="313" t="s">
        <v>2796</v>
      </c>
    </row>
    <row r="86" spans="2:53" ht="16.5" customHeight="1">
      <c r="B86" s="367" t="s">
        <v>2824</v>
      </c>
      <c r="C86" s="351" t="s">
        <v>2825</v>
      </c>
      <c r="D86" s="353">
        <v>-491</v>
      </c>
      <c r="E86" s="352" t="s">
        <v>408</v>
      </c>
      <c r="F86" s="341">
        <v>97.68</v>
      </c>
      <c r="G86" s="355" t="s">
        <v>8044</v>
      </c>
      <c r="H86" s="356" t="s">
        <v>8045</v>
      </c>
      <c r="I86" s="354" t="s">
        <v>209</v>
      </c>
      <c r="J86" s="340" t="s">
        <v>7981</v>
      </c>
      <c r="K86" s="339" t="s">
        <v>70</v>
      </c>
      <c r="L86" s="357">
        <v>12</v>
      </c>
      <c r="M86" s="358" t="s">
        <v>8046</v>
      </c>
      <c r="N86" s="359">
        <v>1000</v>
      </c>
      <c r="O86" s="360" t="s">
        <v>530</v>
      </c>
      <c r="P86" s="343" t="s">
        <v>530</v>
      </c>
      <c r="Q86" s="342" t="s">
        <v>2688</v>
      </c>
      <c r="R86" s="344">
        <v>20</v>
      </c>
      <c r="S86" s="345">
        <v>30</v>
      </c>
      <c r="T86" s="362">
        <v>30</v>
      </c>
      <c r="U86" s="361">
        <v>97.68</v>
      </c>
      <c r="V86" s="346">
        <v>132.68506328981667</v>
      </c>
      <c r="W86" s="348">
        <v>131.97727144763516</v>
      </c>
      <c r="X86" s="347">
        <v>66.95</v>
      </c>
      <c r="Y86" s="357" t="s">
        <v>408</v>
      </c>
      <c r="Z86" s="365" t="s">
        <v>2689</v>
      </c>
      <c r="AA86" s="350">
        <v>200</v>
      </c>
      <c r="AB86" s="349" t="s">
        <v>2685</v>
      </c>
      <c r="AC86" s="350">
        <v>10</v>
      </c>
      <c r="AD86" s="349" t="s">
        <v>2685</v>
      </c>
      <c r="AE86" s="364">
        <v>0</v>
      </c>
      <c r="AF86" s="366">
        <v>0</v>
      </c>
      <c r="AG86" s="363">
        <v>0</v>
      </c>
      <c r="AH86" s="635" t="s">
        <v>408</v>
      </c>
      <c r="AI86" s="324"/>
      <c r="AL86" s="487" t="s">
        <v>14180</v>
      </c>
      <c r="AM86" s="477" t="s">
        <v>70</v>
      </c>
      <c r="AN86" s="637" t="s">
        <v>7178</v>
      </c>
      <c r="AO86" s="478">
        <v>-491</v>
      </c>
      <c r="AP86" s="463">
        <v>-491</v>
      </c>
      <c r="AQ86" s="479">
        <v>0</v>
      </c>
      <c r="AR86" s="476" t="s">
        <v>16806</v>
      </c>
      <c r="BA86" s="313" t="s">
        <v>2797</v>
      </c>
    </row>
    <row r="87" spans="2:53" ht="16.5" customHeight="1">
      <c r="B87" s="367" t="s">
        <v>8047</v>
      </c>
      <c r="C87" s="351" t="s">
        <v>8048</v>
      </c>
      <c r="D87" s="353">
        <v>-578</v>
      </c>
      <c r="E87" s="352" t="s">
        <v>408</v>
      </c>
      <c r="F87" s="341">
        <v>97.67</v>
      </c>
      <c r="G87" s="355" t="s">
        <v>8049</v>
      </c>
      <c r="H87" s="356" t="s">
        <v>18362</v>
      </c>
      <c r="I87" s="354" t="s">
        <v>245</v>
      </c>
      <c r="J87" s="340" t="s">
        <v>198</v>
      </c>
      <c r="K87" s="339" t="s">
        <v>70</v>
      </c>
      <c r="L87" s="357">
        <v>10</v>
      </c>
      <c r="M87" s="358" t="s">
        <v>8050</v>
      </c>
      <c r="N87" s="359">
        <v>800</v>
      </c>
      <c r="O87" s="360" t="s">
        <v>454</v>
      </c>
      <c r="P87" s="343" t="s">
        <v>454</v>
      </c>
      <c r="Q87" s="342" t="s">
        <v>2738</v>
      </c>
      <c r="R87" s="344">
        <v>25</v>
      </c>
      <c r="S87" s="345">
        <v>35</v>
      </c>
      <c r="T87" s="362">
        <v>15</v>
      </c>
      <c r="U87" s="361">
        <v>97.67</v>
      </c>
      <c r="V87" s="346">
        <v>132.66666666666669</v>
      </c>
      <c r="W87" s="348">
        <v>131.96296296296296</v>
      </c>
      <c r="X87" s="347">
        <v>66.94</v>
      </c>
      <c r="Y87" s="357" t="s">
        <v>408</v>
      </c>
      <c r="Z87" s="365" t="s">
        <v>2689</v>
      </c>
      <c r="AA87" s="350">
        <v>200</v>
      </c>
      <c r="AB87" s="349" t="s">
        <v>2685</v>
      </c>
      <c r="AC87" s="350">
        <v>10</v>
      </c>
      <c r="AD87" s="349" t="s">
        <v>2685</v>
      </c>
      <c r="AE87" s="364">
        <v>0</v>
      </c>
      <c r="AF87" s="366">
        <v>0</v>
      </c>
      <c r="AG87" s="363">
        <v>0</v>
      </c>
      <c r="AH87" s="635" t="s">
        <v>408</v>
      </c>
      <c r="AI87" s="324"/>
      <c r="AL87" s="487" t="s">
        <v>7163</v>
      </c>
      <c r="AM87" s="477" t="s">
        <v>70</v>
      </c>
      <c r="AN87" s="637">
        <v>100</v>
      </c>
      <c r="AO87" s="478">
        <v>-578</v>
      </c>
      <c r="AP87" s="463">
        <v>-578</v>
      </c>
      <c r="AQ87" s="479">
        <v>0</v>
      </c>
      <c r="AR87" s="476" t="s">
        <v>14181</v>
      </c>
      <c r="BA87" s="313" t="s">
        <v>2798</v>
      </c>
    </row>
    <row r="88" spans="2:53" ht="16.5" customHeight="1">
      <c r="B88" s="367" t="s">
        <v>8047</v>
      </c>
      <c r="C88" s="351" t="s">
        <v>8048</v>
      </c>
      <c r="D88" s="353">
        <v>-290</v>
      </c>
      <c r="E88" s="352" t="s">
        <v>408</v>
      </c>
      <c r="F88" s="341">
        <v>97.67</v>
      </c>
      <c r="G88" s="355" t="s">
        <v>8049</v>
      </c>
      <c r="H88" s="356" t="s">
        <v>2969</v>
      </c>
      <c r="I88" s="354" t="s">
        <v>245</v>
      </c>
      <c r="J88" s="340" t="s">
        <v>427</v>
      </c>
      <c r="K88" s="339" t="s">
        <v>70</v>
      </c>
      <c r="L88" s="357">
        <v>28</v>
      </c>
      <c r="M88" s="358" t="s">
        <v>8050</v>
      </c>
      <c r="N88" s="359">
        <v>800</v>
      </c>
      <c r="O88" s="360" t="s">
        <v>454</v>
      </c>
      <c r="P88" s="343" t="s">
        <v>454</v>
      </c>
      <c r="Q88" s="342" t="s">
        <v>2738</v>
      </c>
      <c r="R88" s="344">
        <v>25</v>
      </c>
      <c r="S88" s="345">
        <v>35</v>
      </c>
      <c r="T88" s="362">
        <v>15</v>
      </c>
      <c r="U88" s="361">
        <v>97.67</v>
      </c>
      <c r="V88" s="346">
        <v>132.66666666666669</v>
      </c>
      <c r="W88" s="348">
        <v>131.96296296296296</v>
      </c>
      <c r="X88" s="347">
        <v>66.94</v>
      </c>
      <c r="Y88" s="357" t="s">
        <v>408</v>
      </c>
      <c r="Z88" s="365" t="s">
        <v>2689</v>
      </c>
      <c r="AA88" s="350">
        <v>200</v>
      </c>
      <c r="AB88" s="349" t="s">
        <v>2685</v>
      </c>
      <c r="AC88" s="350">
        <v>10</v>
      </c>
      <c r="AD88" s="349" t="s">
        <v>2685</v>
      </c>
      <c r="AE88" s="364">
        <v>0</v>
      </c>
      <c r="AF88" s="366">
        <v>0</v>
      </c>
      <c r="AG88" s="363">
        <v>0</v>
      </c>
      <c r="AH88" s="635" t="s">
        <v>408</v>
      </c>
      <c r="AI88" s="324"/>
      <c r="AL88" s="487" t="s">
        <v>7157</v>
      </c>
      <c r="AM88" s="477" t="s">
        <v>70</v>
      </c>
      <c r="AN88" s="637" t="s">
        <v>7148</v>
      </c>
      <c r="AO88" s="478">
        <v>-290</v>
      </c>
      <c r="AP88" s="463">
        <v>-290</v>
      </c>
      <c r="AQ88" s="479">
        <v>0</v>
      </c>
      <c r="AR88" s="476" t="s">
        <v>14182</v>
      </c>
      <c r="BA88" s="313" t="s">
        <v>2799</v>
      </c>
    </row>
    <row r="89" spans="2:53" ht="16.5" customHeight="1">
      <c r="B89" s="367" t="s">
        <v>8047</v>
      </c>
      <c r="C89" s="351" t="s">
        <v>8048</v>
      </c>
      <c r="D89" s="353">
        <v>-580</v>
      </c>
      <c r="E89" s="352" t="s">
        <v>408</v>
      </c>
      <c r="F89" s="341">
        <v>97.67</v>
      </c>
      <c r="G89" s="355" t="s">
        <v>8049</v>
      </c>
      <c r="H89" s="356" t="s">
        <v>8051</v>
      </c>
      <c r="I89" s="354" t="s">
        <v>219</v>
      </c>
      <c r="J89" s="340" t="s">
        <v>240</v>
      </c>
      <c r="K89" s="339" t="s">
        <v>70</v>
      </c>
      <c r="L89" s="357">
        <v>21</v>
      </c>
      <c r="M89" s="358" t="s">
        <v>8052</v>
      </c>
      <c r="N89" s="359">
        <v>400</v>
      </c>
      <c r="O89" s="360" t="s">
        <v>454</v>
      </c>
      <c r="P89" s="343" t="s">
        <v>454</v>
      </c>
      <c r="Q89" s="342" t="s">
        <v>2688</v>
      </c>
      <c r="R89" s="344">
        <v>25</v>
      </c>
      <c r="S89" s="345">
        <v>25</v>
      </c>
      <c r="T89" s="362">
        <v>25</v>
      </c>
      <c r="U89" s="361">
        <v>97.67</v>
      </c>
      <c r="V89" s="346">
        <v>132.66666666666669</v>
      </c>
      <c r="W89" s="348">
        <v>131.96296296296296</v>
      </c>
      <c r="X89" s="347">
        <v>66.94</v>
      </c>
      <c r="Y89" s="357" t="s">
        <v>408</v>
      </c>
      <c r="Z89" s="365" t="s">
        <v>2689</v>
      </c>
      <c r="AA89" s="350">
        <v>100</v>
      </c>
      <c r="AB89" s="349" t="s">
        <v>2685</v>
      </c>
      <c r="AC89" s="350">
        <v>5</v>
      </c>
      <c r="AD89" s="349" t="s">
        <v>2685</v>
      </c>
      <c r="AE89" s="364">
        <v>0</v>
      </c>
      <c r="AF89" s="366">
        <v>0</v>
      </c>
      <c r="AG89" s="363">
        <v>0</v>
      </c>
      <c r="AH89" s="635" t="s">
        <v>8053</v>
      </c>
      <c r="AI89" s="324"/>
      <c r="AL89" s="487" t="s">
        <v>7160</v>
      </c>
      <c r="AM89" s="480" t="s">
        <v>70</v>
      </c>
      <c r="AN89" s="637">
        <v>100</v>
      </c>
      <c r="AO89" s="478">
        <v>-580</v>
      </c>
      <c r="AP89" s="463">
        <v>-580</v>
      </c>
      <c r="AQ89" s="479">
        <v>0</v>
      </c>
      <c r="AR89" s="476" t="s">
        <v>14181</v>
      </c>
      <c r="BA89" s="313" t="s">
        <v>2800</v>
      </c>
    </row>
    <row r="90" spans="2:53" ht="16.5" customHeight="1">
      <c r="B90" s="367" t="s">
        <v>8047</v>
      </c>
      <c r="C90" s="351" t="s">
        <v>8048</v>
      </c>
      <c r="D90" s="353">
        <v>-435</v>
      </c>
      <c r="E90" s="352" t="s">
        <v>408</v>
      </c>
      <c r="F90" s="341">
        <v>97.66</v>
      </c>
      <c r="G90" s="355" t="s">
        <v>8054</v>
      </c>
      <c r="H90" s="356" t="s">
        <v>8055</v>
      </c>
      <c r="I90" s="354" t="s">
        <v>196</v>
      </c>
      <c r="J90" s="340" t="s">
        <v>8056</v>
      </c>
      <c r="K90" s="339" t="s">
        <v>70</v>
      </c>
      <c r="L90" s="357">
        <v>12</v>
      </c>
      <c r="M90" s="358" t="s">
        <v>8057</v>
      </c>
      <c r="N90" s="359">
        <v>600</v>
      </c>
      <c r="O90" s="360" t="s">
        <v>530</v>
      </c>
      <c r="P90" s="343" t="s">
        <v>530</v>
      </c>
      <c r="Q90" s="342" t="s">
        <v>2688</v>
      </c>
      <c r="R90" s="344">
        <v>33</v>
      </c>
      <c r="S90" s="345">
        <v>40</v>
      </c>
      <c r="T90" s="362">
        <v>27</v>
      </c>
      <c r="U90" s="361">
        <v>97.66</v>
      </c>
      <c r="V90" s="346">
        <v>132.65720743092601</v>
      </c>
      <c r="W90" s="348">
        <v>131.9556057796091</v>
      </c>
      <c r="X90" s="347">
        <v>66.930000000000007</v>
      </c>
      <c r="Y90" s="357" t="s">
        <v>408</v>
      </c>
      <c r="Z90" s="365" t="s">
        <v>2689</v>
      </c>
      <c r="AA90" s="350">
        <v>0</v>
      </c>
      <c r="AB90" s="349" t="s">
        <v>2685</v>
      </c>
      <c r="AC90" s="350">
        <v>0</v>
      </c>
      <c r="AD90" s="349" t="s">
        <v>2685</v>
      </c>
      <c r="AE90" s="364">
        <v>0</v>
      </c>
      <c r="AF90" s="366">
        <v>3</v>
      </c>
      <c r="AG90" s="363">
        <v>0</v>
      </c>
      <c r="AH90" s="635" t="s">
        <v>2818</v>
      </c>
      <c r="AI90" s="324"/>
      <c r="AL90" s="487" t="s">
        <v>14183</v>
      </c>
      <c r="AM90" s="477" t="s">
        <v>70</v>
      </c>
      <c r="AN90" s="637" t="s">
        <v>7146</v>
      </c>
      <c r="AO90" s="478">
        <v>-435</v>
      </c>
      <c r="AP90" s="463">
        <v>-435</v>
      </c>
      <c r="AQ90" s="479">
        <v>0</v>
      </c>
      <c r="AR90" s="476" t="s">
        <v>16807</v>
      </c>
      <c r="BA90" s="313" t="s">
        <v>2804</v>
      </c>
    </row>
    <row r="91" spans="2:53" ht="16.5" customHeight="1">
      <c r="B91" s="367" t="s">
        <v>8058</v>
      </c>
      <c r="C91" s="351" t="s">
        <v>8059</v>
      </c>
      <c r="D91" s="353">
        <v>-581</v>
      </c>
      <c r="E91" s="352" t="s">
        <v>408</v>
      </c>
      <c r="F91" s="341">
        <v>97.61</v>
      </c>
      <c r="G91" s="355" t="s">
        <v>8060</v>
      </c>
      <c r="H91" s="356" t="s">
        <v>18363</v>
      </c>
      <c r="I91" s="354" t="s">
        <v>251</v>
      </c>
      <c r="J91" s="340" t="s">
        <v>7770</v>
      </c>
      <c r="K91" s="339" t="s">
        <v>70</v>
      </c>
      <c r="L91" s="357">
        <v>40</v>
      </c>
      <c r="M91" s="358" t="s">
        <v>8061</v>
      </c>
      <c r="N91" s="359">
        <v>1000</v>
      </c>
      <c r="O91" s="360" t="s">
        <v>532</v>
      </c>
      <c r="P91" s="343" t="s">
        <v>454</v>
      </c>
      <c r="Q91" s="342" t="s">
        <v>2688</v>
      </c>
      <c r="R91" s="344">
        <v>25</v>
      </c>
      <c r="S91" s="345">
        <v>35</v>
      </c>
      <c r="T91" s="362">
        <v>25</v>
      </c>
      <c r="U91" s="361">
        <v>97.61</v>
      </c>
      <c r="V91" s="346">
        <v>132.57864518149097</v>
      </c>
      <c r="W91" s="348">
        <v>131.89450180782629</v>
      </c>
      <c r="X91" s="347">
        <v>66.89</v>
      </c>
      <c r="Y91" s="357" t="s">
        <v>408</v>
      </c>
      <c r="Z91" s="365" t="s">
        <v>2689</v>
      </c>
      <c r="AA91" s="350">
        <v>150</v>
      </c>
      <c r="AB91" s="349" t="s">
        <v>2685</v>
      </c>
      <c r="AC91" s="350">
        <v>5</v>
      </c>
      <c r="AD91" s="349" t="s">
        <v>2685</v>
      </c>
      <c r="AE91" s="364">
        <v>0</v>
      </c>
      <c r="AF91" s="366">
        <v>6.101</v>
      </c>
      <c r="AG91" s="363">
        <v>0</v>
      </c>
      <c r="AH91" s="635" t="s">
        <v>8062</v>
      </c>
      <c r="AI91" s="324"/>
      <c r="AL91" s="487" t="s">
        <v>14185</v>
      </c>
      <c r="AM91" s="477" t="s">
        <v>70</v>
      </c>
      <c r="AN91" s="637">
        <v>100</v>
      </c>
      <c r="AO91" s="478">
        <v>-581</v>
      </c>
      <c r="AP91" s="463">
        <v>-581</v>
      </c>
      <c r="AQ91" s="479">
        <v>0</v>
      </c>
      <c r="AR91" s="476" t="s">
        <v>14186</v>
      </c>
      <c r="BA91" s="313" t="s">
        <v>2805</v>
      </c>
    </row>
    <row r="92" spans="2:53" ht="16.5" customHeight="1">
      <c r="B92" s="367" t="s">
        <v>2834</v>
      </c>
      <c r="C92" s="351" t="s">
        <v>2835</v>
      </c>
      <c r="D92" s="353">
        <v>-437</v>
      </c>
      <c r="E92" s="352" t="s">
        <v>408</v>
      </c>
      <c r="F92" s="341">
        <v>97.58</v>
      </c>
      <c r="G92" s="355" t="s">
        <v>8063</v>
      </c>
      <c r="H92" s="356" t="s">
        <v>2969</v>
      </c>
      <c r="I92" s="354" t="s">
        <v>196</v>
      </c>
      <c r="J92" s="340" t="s">
        <v>8064</v>
      </c>
      <c r="K92" s="339" t="s">
        <v>70</v>
      </c>
      <c r="L92" s="357">
        <v>14</v>
      </c>
      <c r="M92" s="358" t="s">
        <v>8065</v>
      </c>
      <c r="N92" s="359">
        <v>600</v>
      </c>
      <c r="O92" s="360" t="s">
        <v>530</v>
      </c>
      <c r="P92" s="343" t="s">
        <v>530</v>
      </c>
      <c r="Q92" s="342" t="s">
        <v>2688</v>
      </c>
      <c r="R92" s="344">
        <v>33</v>
      </c>
      <c r="S92" s="345">
        <v>40</v>
      </c>
      <c r="T92" s="362">
        <v>27</v>
      </c>
      <c r="U92" s="361">
        <v>97.58</v>
      </c>
      <c r="V92" s="346">
        <v>132.54905936429927</v>
      </c>
      <c r="W92" s="348">
        <v>131.87149061667719</v>
      </c>
      <c r="X92" s="347">
        <v>66.87</v>
      </c>
      <c r="Y92" s="357" t="s">
        <v>408</v>
      </c>
      <c r="Z92" s="365" t="s">
        <v>2689</v>
      </c>
      <c r="AA92" s="350">
        <v>0</v>
      </c>
      <c r="AB92" s="349" t="s">
        <v>2685</v>
      </c>
      <c r="AC92" s="350">
        <v>0</v>
      </c>
      <c r="AD92" s="349" t="s">
        <v>2685</v>
      </c>
      <c r="AE92" s="364">
        <v>0</v>
      </c>
      <c r="AF92" s="366">
        <v>3</v>
      </c>
      <c r="AG92" s="363">
        <v>0</v>
      </c>
      <c r="AH92" s="635" t="s">
        <v>2818</v>
      </c>
      <c r="AI92" s="324"/>
      <c r="AL92" s="487" t="s">
        <v>14187</v>
      </c>
      <c r="AM92" s="480" t="s">
        <v>70</v>
      </c>
      <c r="AN92" s="637" t="s">
        <v>7146</v>
      </c>
      <c r="AO92" s="478">
        <v>-437</v>
      </c>
      <c r="AP92" s="463">
        <v>-437</v>
      </c>
      <c r="AQ92" s="479">
        <v>0</v>
      </c>
      <c r="AR92" s="476" t="s">
        <v>14188</v>
      </c>
      <c r="BA92" s="313" t="s">
        <v>2808</v>
      </c>
    </row>
    <row r="93" spans="2:53" ht="16.5" customHeight="1">
      <c r="B93" s="367" t="s">
        <v>8066</v>
      </c>
      <c r="C93" s="351" t="s">
        <v>8067</v>
      </c>
      <c r="D93" s="353">
        <v>-584</v>
      </c>
      <c r="E93" s="352" t="s">
        <v>408</v>
      </c>
      <c r="F93" s="341">
        <v>97.56</v>
      </c>
      <c r="G93" s="355" t="s">
        <v>8068</v>
      </c>
      <c r="H93" s="356" t="s">
        <v>8037</v>
      </c>
      <c r="I93" s="354" t="s">
        <v>223</v>
      </c>
      <c r="J93" s="340" t="s">
        <v>240</v>
      </c>
      <c r="K93" s="339" t="s">
        <v>70</v>
      </c>
      <c r="L93" s="357">
        <v>19</v>
      </c>
      <c r="M93" s="358" t="s">
        <v>2924</v>
      </c>
      <c r="N93" s="359">
        <v>800</v>
      </c>
      <c r="O93" s="360" t="s">
        <v>454</v>
      </c>
      <c r="P93" s="343" t="s">
        <v>454</v>
      </c>
      <c r="Q93" s="342" t="s">
        <v>2688</v>
      </c>
      <c r="R93" s="344">
        <v>25</v>
      </c>
      <c r="S93" s="345">
        <v>35</v>
      </c>
      <c r="T93" s="362">
        <v>30</v>
      </c>
      <c r="U93" s="361">
        <v>97.56</v>
      </c>
      <c r="V93" s="346">
        <v>132.50793650793653</v>
      </c>
      <c r="W93" s="348">
        <v>131.83950617283949</v>
      </c>
      <c r="X93" s="347">
        <v>66.86</v>
      </c>
      <c r="Y93" s="357" t="s">
        <v>408</v>
      </c>
      <c r="Z93" s="365" t="s">
        <v>2689</v>
      </c>
      <c r="AA93" s="350">
        <v>80</v>
      </c>
      <c r="AB93" s="349" t="s">
        <v>2685</v>
      </c>
      <c r="AC93" s="350">
        <v>10</v>
      </c>
      <c r="AD93" s="349" t="s">
        <v>2685</v>
      </c>
      <c r="AE93" s="364">
        <v>0</v>
      </c>
      <c r="AF93" s="366">
        <v>0</v>
      </c>
      <c r="AG93" s="363">
        <v>0</v>
      </c>
      <c r="AH93" s="635" t="s">
        <v>408</v>
      </c>
      <c r="AI93" s="324"/>
      <c r="AL93" s="487" t="s">
        <v>7156</v>
      </c>
      <c r="AM93" s="477" t="s">
        <v>70</v>
      </c>
      <c r="AN93" s="637">
        <v>100</v>
      </c>
      <c r="AO93" s="478">
        <v>-584</v>
      </c>
      <c r="AP93" s="463">
        <v>-584</v>
      </c>
      <c r="AQ93" s="479">
        <v>0</v>
      </c>
      <c r="AR93" s="476" t="s">
        <v>14190</v>
      </c>
      <c r="BA93" s="313" t="s">
        <v>2811</v>
      </c>
    </row>
    <row r="94" spans="2:53" ht="16.5" customHeight="1">
      <c r="B94" s="367" t="s">
        <v>8066</v>
      </c>
      <c r="C94" s="351" t="s">
        <v>8067</v>
      </c>
      <c r="D94" s="353">
        <v>-587</v>
      </c>
      <c r="E94" s="352" t="s">
        <v>408</v>
      </c>
      <c r="F94" s="341">
        <v>97.55</v>
      </c>
      <c r="G94" s="355" t="s">
        <v>8069</v>
      </c>
      <c r="H94" s="356" t="s">
        <v>8070</v>
      </c>
      <c r="I94" s="354" t="s">
        <v>197</v>
      </c>
      <c r="J94" s="340" t="s">
        <v>7770</v>
      </c>
      <c r="K94" s="339" t="s">
        <v>70</v>
      </c>
      <c r="L94" s="357">
        <v>16</v>
      </c>
      <c r="M94" s="358" t="s">
        <v>8071</v>
      </c>
      <c r="N94" s="359">
        <v>500</v>
      </c>
      <c r="O94" s="360" t="s">
        <v>454</v>
      </c>
      <c r="P94" s="343" t="s">
        <v>454</v>
      </c>
      <c r="Q94" s="342" t="s">
        <v>2688</v>
      </c>
      <c r="R94" s="344">
        <v>20</v>
      </c>
      <c r="S94" s="345">
        <v>30</v>
      </c>
      <c r="T94" s="362">
        <v>30</v>
      </c>
      <c r="U94" s="361">
        <v>97.55</v>
      </c>
      <c r="V94" s="346">
        <v>132.50602409638557</v>
      </c>
      <c r="W94" s="348">
        <v>131.83801874163319</v>
      </c>
      <c r="X94" s="347">
        <v>66.849999999999994</v>
      </c>
      <c r="Y94" s="357" t="s">
        <v>408</v>
      </c>
      <c r="Z94" s="365" t="s">
        <v>2689</v>
      </c>
      <c r="AA94" s="350">
        <v>100</v>
      </c>
      <c r="AB94" s="349" t="s">
        <v>2685</v>
      </c>
      <c r="AC94" s="350">
        <v>1.5</v>
      </c>
      <c r="AD94" s="349" t="s">
        <v>2685</v>
      </c>
      <c r="AE94" s="364">
        <v>0</v>
      </c>
      <c r="AF94" s="366">
        <v>14.632999999999999</v>
      </c>
      <c r="AG94" s="363">
        <v>0</v>
      </c>
      <c r="AH94" s="635" t="s">
        <v>6224</v>
      </c>
      <c r="AI94" s="324"/>
      <c r="AL94" s="487" t="s">
        <v>14189</v>
      </c>
      <c r="AM94" s="477" t="s">
        <v>70</v>
      </c>
      <c r="AN94" s="637">
        <v>100</v>
      </c>
      <c r="AO94" s="478">
        <v>-587</v>
      </c>
      <c r="AP94" s="463">
        <v>-587</v>
      </c>
      <c r="AQ94" s="479">
        <v>0</v>
      </c>
      <c r="AR94" s="476" t="s">
        <v>14190</v>
      </c>
      <c r="BA94" s="313" t="s">
        <v>2814</v>
      </c>
    </row>
    <row r="95" spans="2:53" ht="16.5" customHeight="1">
      <c r="B95" s="367" t="s">
        <v>8066</v>
      </c>
      <c r="C95" s="351" t="s">
        <v>8067</v>
      </c>
      <c r="D95" s="353">
        <v>-440</v>
      </c>
      <c r="E95" s="352" t="s">
        <v>408</v>
      </c>
      <c r="F95" s="341">
        <v>97.54</v>
      </c>
      <c r="G95" s="355" t="s">
        <v>8072</v>
      </c>
      <c r="H95" s="356" t="s">
        <v>18364</v>
      </c>
      <c r="I95" s="354" t="s">
        <v>221</v>
      </c>
      <c r="J95" s="340" t="s">
        <v>7917</v>
      </c>
      <c r="K95" s="339" t="s">
        <v>70</v>
      </c>
      <c r="L95" s="357">
        <v>10</v>
      </c>
      <c r="M95" s="358" t="s">
        <v>8074</v>
      </c>
      <c r="N95" s="359">
        <v>1000</v>
      </c>
      <c r="O95" s="360" t="s">
        <v>532</v>
      </c>
      <c r="P95" s="343" t="s">
        <v>533</v>
      </c>
      <c r="Q95" s="342" t="s">
        <v>2688</v>
      </c>
      <c r="R95" s="344">
        <v>20</v>
      </c>
      <c r="S95" s="345">
        <v>35</v>
      </c>
      <c r="T95" s="362">
        <v>30</v>
      </c>
      <c r="U95" s="361">
        <v>97.54</v>
      </c>
      <c r="V95" s="346">
        <v>132.49115347910677</v>
      </c>
      <c r="W95" s="348">
        <v>131.82645270597192</v>
      </c>
      <c r="X95" s="347">
        <v>66.849999999999994</v>
      </c>
      <c r="Y95" s="357">
        <v>68.13000000000001</v>
      </c>
      <c r="Z95" s="365" t="s">
        <v>2689</v>
      </c>
      <c r="AA95" s="350">
        <v>150</v>
      </c>
      <c r="AB95" s="349" t="s">
        <v>2685</v>
      </c>
      <c r="AC95" s="350">
        <v>0</v>
      </c>
      <c r="AD95" s="349" t="s">
        <v>2685</v>
      </c>
      <c r="AE95" s="364">
        <v>0</v>
      </c>
      <c r="AF95" s="366">
        <v>18.638999999999999</v>
      </c>
      <c r="AG95" s="363">
        <v>0</v>
      </c>
      <c r="AH95" s="635" t="s">
        <v>7882</v>
      </c>
      <c r="AI95" s="324"/>
      <c r="AL95" s="487" t="s">
        <v>14191</v>
      </c>
      <c r="AM95" s="480" t="s">
        <v>70</v>
      </c>
      <c r="AN95" s="637" t="s">
        <v>7146</v>
      </c>
      <c r="AO95" s="478">
        <v>-440</v>
      </c>
      <c r="AP95" s="463">
        <v>-440</v>
      </c>
      <c r="AQ95" s="479">
        <v>0</v>
      </c>
      <c r="AR95" s="476" t="s">
        <v>16808</v>
      </c>
      <c r="BA95" s="313" t="s">
        <v>2817</v>
      </c>
    </row>
    <row r="96" spans="2:53" ht="16.5" customHeight="1">
      <c r="B96" s="367" t="s">
        <v>2838</v>
      </c>
      <c r="C96" s="351" t="s">
        <v>2839</v>
      </c>
      <c r="D96" s="353">
        <v>-287</v>
      </c>
      <c r="E96" s="352" t="s">
        <v>408</v>
      </c>
      <c r="F96" s="341">
        <v>97.54</v>
      </c>
      <c r="G96" s="355" t="s">
        <v>8075</v>
      </c>
      <c r="H96" s="356" t="s">
        <v>8076</v>
      </c>
      <c r="I96" s="354" t="s">
        <v>202</v>
      </c>
      <c r="J96" s="340" t="s">
        <v>430</v>
      </c>
      <c r="K96" s="339" t="s">
        <v>70</v>
      </c>
      <c r="L96" s="357">
        <v>30</v>
      </c>
      <c r="M96" s="358" t="s">
        <v>8077</v>
      </c>
      <c r="N96" s="359">
        <v>600</v>
      </c>
      <c r="O96" s="360" t="s">
        <v>530</v>
      </c>
      <c r="P96" s="343" t="s">
        <v>530</v>
      </c>
      <c r="Q96" s="342" t="s">
        <v>2688</v>
      </c>
      <c r="R96" s="344">
        <v>33</v>
      </c>
      <c r="S96" s="345">
        <v>33</v>
      </c>
      <c r="T96" s="362">
        <v>33</v>
      </c>
      <c r="U96" s="361">
        <v>97.54</v>
      </c>
      <c r="V96" s="346">
        <v>132.48648737297111</v>
      </c>
      <c r="W96" s="348">
        <v>131.82282351231086</v>
      </c>
      <c r="X96" s="347">
        <v>66.849999999999994</v>
      </c>
      <c r="Y96" s="357" t="s">
        <v>408</v>
      </c>
      <c r="Z96" s="365" t="s">
        <v>2689</v>
      </c>
      <c r="AA96" s="350">
        <v>100</v>
      </c>
      <c r="AB96" s="349" t="s">
        <v>2685</v>
      </c>
      <c r="AC96" s="350">
        <v>5</v>
      </c>
      <c r="AD96" s="349" t="s">
        <v>2685</v>
      </c>
      <c r="AE96" s="364">
        <v>0</v>
      </c>
      <c r="AF96" s="366">
        <v>0</v>
      </c>
      <c r="AG96" s="363">
        <v>0</v>
      </c>
      <c r="AH96" s="635" t="s">
        <v>408</v>
      </c>
      <c r="AI96" s="324"/>
      <c r="AL96" s="487" t="s">
        <v>7159</v>
      </c>
      <c r="AM96" s="480" t="s">
        <v>70</v>
      </c>
      <c r="AN96" s="637" t="s">
        <v>7148</v>
      </c>
      <c r="AO96" s="478">
        <v>-287</v>
      </c>
      <c r="AP96" s="463">
        <v>-287</v>
      </c>
      <c r="AQ96" s="479">
        <v>0</v>
      </c>
      <c r="AR96" s="476" t="s">
        <v>14192</v>
      </c>
      <c r="BA96" s="313" t="s">
        <v>2819</v>
      </c>
    </row>
    <row r="97" spans="2:53" ht="16.5" customHeight="1">
      <c r="B97" s="367" t="s">
        <v>2838</v>
      </c>
      <c r="C97" s="351" t="s">
        <v>2839</v>
      </c>
      <c r="D97" s="353">
        <v>-573</v>
      </c>
      <c r="E97" s="352" t="s">
        <v>408</v>
      </c>
      <c r="F97" s="341">
        <v>97.54</v>
      </c>
      <c r="G97" s="355" t="s">
        <v>8075</v>
      </c>
      <c r="H97" s="356" t="s">
        <v>18365</v>
      </c>
      <c r="I97" s="354" t="s">
        <v>202</v>
      </c>
      <c r="J97" s="340" t="s">
        <v>240</v>
      </c>
      <c r="K97" s="339" t="s">
        <v>70</v>
      </c>
      <c r="L97" s="357">
        <v>22</v>
      </c>
      <c r="M97" s="358" t="s">
        <v>8077</v>
      </c>
      <c r="N97" s="359">
        <v>600</v>
      </c>
      <c r="O97" s="360" t="s">
        <v>530</v>
      </c>
      <c r="P97" s="343" t="s">
        <v>530</v>
      </c>
      <c r="Q97" s="342" t="s">
        <v>2688</v>
      </c>
      <c r="R97" s="344">
        <v>33</v>
      </c>
      <c r="S97" s="345">
        <v>33</v>
      </c>
      <c r="T97" s="362">
        <v>33</v>
      </c>
      <c r="U97" s="361">
        <v>97.54</v>
      </c>
      <c r="V97" s="346">
        <v>132.48648737297111</v>
      </c>
      <c r="W97" s="348">
        <v>131.82282351231086</v>
      </c>
      <c r="X97" s="347">
        <v>66.849999999999994</v>
      </c>
      <c r="Y97" s="357" t="s">
        <v>408</v>
      </c>
      <c r="Z97" s="365" t="s">
        <v>2689</v>
      </c>
      <c r="AA97" s="350">
        <v>100</v>
      </c>
      <c r="AB97" s="349" t="s">
        <v>2685</v>
      </c>
      <c r="AC97" s="350">
        <v>5</v>
      </c>
      <c r="AD97" s="349" t="s">
        <v>2685</v>
      </c>
      <c r="AE97" s="364">
        <v>0</v>
      </c>
      <c r="AF97" s="366">
        <v>0</v>
      </c>
      <c r="AG97" s="363">
        <v>0</v>
      </c>
      <c r="AH97" s="635" t="s">
        <v>408</v>
      </c>
      <c r="AI97" s="324"/>
      <c r="AL97" s="487" t="s">
        <v>7155</v>
      </c>
      <c r="AM97" s="480" t="s">
        <v>70</v>
      </c>
      <c r="AN97" s="637">
        <v>100</v>
      </c>
      <c r="AO97" s="478">
        <v>-573</v>
      </c>
      <c r="AP97" s="463">
        <v>-573</v>
      </c>
      <c r="AQ97" s="479">
        <v>0</v>
      </c>
      <c r="AR97" s="476" t="s">
        <v>16809</v>
      </c>
      <c r="BA97" s="313" t="s">
        <v>2822</v>
      </c>
    </row>
    <row r="98" spans="2:53" ht="16.5" customHeight="1">
      <c r="B98" s="367" t="s">
        <v>2838</v>
      </c>
      <c r="C98" s="351" t="s">
        <v>2839</v>
      </c>
      <c r="D98" s="353">
        <v>-444</v>
      </c>
      <c r="E98" s="352" t="s">
        <v>408</v>
      </c>
      <c r="F98" s="341">
        <v>97.53</v>
      </c>
      <c r="G98" s="355" t="s">
        <v>8078</v>
      </c>
      <c r="H98" s="356" t="s">
        <v>8079</v>
      </c>
      <c r="I98" s="354" t="s">
        <v>196</v>
      </c>
      <c r="J98" s="340" t="s">
        <v>8080</v>
      </c>
      <c r="K98" s="339" t="s">
        <v>70</v>
      </c>
      <c r="L98" s="357">
        <v>32</v>
      </c>
      <c r="M98" s="358" t="s">
        <v>8081</v>
      </c>
      <c r="N98" s="359">
        <v>600</v>
      </c>
      <c r="O98" s="360" t="s">
        <v>530</v>
      </c>
      <c r="P98" s="343" t="s">
        <v>530</v>
      </c>
      <c r="Q98" s="342" t="s">
        <v>2688</v>
      </c>
      <c r="R98" s="344">
        <v>33</v>
      </c>
      <c r="S98" s="345">
        <v>40</v>
      </c>
      <c r="T98" s="362">
        <v>27</v>
      </c>
      <c r="U98" s="361">
        <v>97.53</v>
      </c>
      <c r="V98" s="346">
        <v>132.47696065321477</v>
      </c>
      <c r="W98" s="348">
        <v>131.81541384138924</v>
      </c>
      <c r="X98" s="347">
        <v>66.84</v>
      </c>
      <c r="Y98" s="357" t="s">
        <v>408</v>
      </c>
      <c r="Z98" s="365" t="s">
        <v>2689</v>
      </c>
      <c r="AA98" s="350">
        <v>0</v>
      </c>
      <c r="AB98" s="349" t="s">
        <v>2685</v>
      </c>
      <c r="AC98" s="350">
        <v>0</v>
      </c>
      <c r="AD98" s="349" t="s">
        <v>2685</v>
      </c>
      <c r="AE98" s="364">
        <v>0</v>
      </c>
      <c r="AF98" s="366">
        <v>3</v>
      </c>
      <c r="AG98" s="363">
        <v>0</v>
      </c>
      <c r="AH98" s="635" t="s">
        <v>2690</v>
      </c>
      <c r="AI98" s="324"/>
      <c r="AL98" s="487" t="s">
        <v>14193</v>
      </c>
      <c r="AM98" s="477" t="s">
        <v>70</v>
      </c>
      <c r="AN98" s="637" t="s">
        <v>7146</v>
      </c>
      <c r="AO98" s="478">
        <v>-444</v>
      </c>
      <c r="AP98" s="463">
        <v>-444</v>
      </c>
      <c r="AQ98" s="479">
        <v>0</v>
      </c>
      <c r="AR98" s="476" t="s">
        <v>16810</v>
      </c>
      <c r="BA98" s="313" t="s">
        <v>2823</v>
      </c>
    </row>
    <row r="99" spans="2:53" ht="16.5" customHeight="1">
      <c r="B99" s="367" t="s">
        <v>2841</v>
      </c>
      <c r="C99" s="351" t="s">
        <v>2842</v>
      </c>
      <c r="D99" s="353">
        <v>-504</v>
      </c>
      <c r="E99" s="352" t="s">
        <v>408</v>
      </c>
      <c r="F99" s="341">
        <v>97.52</v>
      </c>
      <c r="G99" s="355" t="s">
        <v>8082</v>
      </c>
      <c r="H99" s="356" t="s">
        <v>18366</v>
      </c>
      <c r="I99" s="354" t="s">
        <v>216</v>
      </c>
      <c r="J99" s="340" t="s">
        <v>7868</v>
      </c>
      <c r="K99" s="339" t="s">
        <v>70</v>
      </c>
      <c r="L99" s="357">
        <v>12</v>
      </c>
      <c r="M99" s="358" t="s">
        <v>8083</v>
      </c>
      <c r="N99" s="359">
        <v>300</v>
      </c>
      <c r="O99" s="360" t="s">
        <v>530</v>
      </c>
      <c r="P99" s="343" t="s">
        <v>530</v>
      </c>
      <c r="Q99" s="342" t="s">
        <v>2688</v>
      </c>
      <c r="R99" s="344">
        <v>25</v>
      </c>
      <c r="S99" s="345">
        <v>45</v>
      </c>
      <c r="T99" s="362">
        <v>30</v>
      </c>
      <c r="U99" s="361">
        <v>97.52</v>
      </c>
      <c r="V99" s="346">
        <v>132.46197743128636</v>
      </c>
      <c r="W99" s="348">
        <v>131.80376022433381</v>
      </c>
      <c r="X99" s="347">
        <v>66.83</v>
      </c>
      <c r="Y99" s="357" t="s">
        <v>408</v>
      </c>
      <c r="Z99" s="365" t="s">
        <v>2689</v>
      </c>
      <c r="AA99" s="350">
        <v>0</v>
      </c>
      <c r="AB99" s="349" t="s">
        <v>2685</v>
      </c>
      <c r="AC99" s="350">
        <v>0</v>
      </c>
      <c r="AD99" s="349" t="s">
        <v>2685</v>
      </c>
      <c r="AE99" s="364">
        <v>0</v>
      </c>
      <c r="AF99" s="366">
        <v>0</v>
      </c>
      <c r="AG99" s="363">
        <v>0</v>
      </c>
      <c r="AH99" s="635" t="s">
        <v>408</v>
      </c>
      <c r="AI99" s="324"/>
      <c r="AL99" s="487" t="s">
        <v>14194</v>
      </c>
      <c r="AM99" s="477" t="s">
        <v>70</v>
      </c>
      <c r="AN99" s="637" t="s">
        <v>7178</v>
      </c>
      <c r="AO99" s="478">
        <v>-504</v>
      </c>
      <c r="AP99" s="463">
        <v>-504</v>
      </c>
      <c r="AQ99" s="479">
        <v>0</v>
      </c>
      <c r="AR99" s="476" t="s">
        <v>14195</v>
      </c>
      <c r="BA99" s="313" t="s">
        <v>2826</v>
      </c>
    </row>
    <row r="100" spans="2:53" ht="16.5" customHeight="1">
      <c r="B100" s="367" t="s">
        <v>8084</v>
      </c>
      <c r="C100" s="351" t="s">
        <v>8085</v>
      </c>
      <c r="D100" s="353">
        <v>-595</v>
      </c>
      <c r="E100" s="352" t="s">
        <v>408</v>
      </c>
      <c r="F100" s="341">
        <v>97.5</v>
      </c>
      <c r="G100" s="355" t="s">
        <v>8087</v>
      </c>
      <c r="H100" s="356" t="s">
        <v>2960</v>
      </c>
      <c r="I100" s="354" t="s">
        <v>244</v>
      </c>
      <c r="J100" s="340" t="s">
        <v>426</v>
      </c>
      <c r="K100" s="339" t="s">
        <v>70</v>
      </c>
      <c r="L100" s="357">
        <v>17</v>
      </c>
      <c r="M100" s="358" t="s">
        <v>8088</v>
      </c>
      <c r="N100" s="359">
        <v>1000</v>
      </c>
      <c r="O100" s="360" t="s">
        <v>454</v>
      </c>
      <c r="P100" s="343" t="s">
        <v>454</v>
      </c>
      <c r="Q100" s="342" t="s">
        <v>2688</v>
      </c>
      <c r="R100" s="344">
        <v>20</v>
      </c>
      <c r="S100" s="345">
        <v>30</v>
      </c>
      <c r="T100" s="362">
        <v>30</v>
      </c>
      <c r="U100" s="361">
        <v>97.5</v>
      </c>
      <c r="V100" s="346">
        <v>132.42857142857144</v>
      </c>
      <c r="W100" s="348">
        <v>131.77777777777777</v>
      </c>
      <c r="X100" s="347">
        <v>66.81</v>
      </c>
      <c r="Y100" s="357" t="s">
        <v>408</v>
      </c>
      <c r="Z100" s="365" t="s">
        <v>2689</v>
      </c>
      <c r="AA100" s="350">
        <v>200</v>
      </c>
      <c r="AB100" s="349" t="s">
        <v>2685</v>
      </c>
      <c r="AC100" s="350">
        <v>0</v>
      </c>
      <c r="AD100" s="349" t="s">
        <v>2685</v>
      </c>
      <c r="AE100" s="364">
        <v>0</v>
      </c>
      <c r="AF100" s="366">
        <v>0</v>
      </c>
      <c r="AG100" s="363">
        <v>0</v>
      </c>
      <c r="AH100" s="635" t="s">
        <v>8089</v>
      </c>
      <c r="AI100" s="324"/>
      <c r="AL100" s="487" t="s">
        <v>7158</v>
      </c>
      <c r="AM100" s="477" t="s">
        <v>70</v>
      </c>
      <c r="AN100" s="637">
        <v>100</v>
      </c>
      <c r="AO100" s="478">
        <v>-595</v>
      </c>
      <c r="AP100" s="463">
        <v>-595</v>
      </c>
      <c r="AQ100" s="479">
        <v>0</v>
      </c>
      <c r="AR100" s="476" t="s">
        <v>16811</v>
      </c>
      <c r="BA100" s="313" t="s">
        <v>2827</v>
      </c>
    </row>
    <row r="101" spans="2:53" ht="16.5" customHeight="1">
      <c r="B101" s="367" t="s">
        <v>8090</v>
      </c>
      <c r="C101" s="351" t="s">
        <v>8091</v>
      </c>
      <c r="D101" s="353">
        <v>-447</v>
      </c>
      <c r="E101" s="352" t="s">
        <v>408</v>
      </c>
      <c r="F101" s="341">
        <v>97.46</v>
      </c>
      <c r="G101" s="355" t="s">
        <v>8094</v>
      </c>
      <c r="H101" s="356" t="s">
        <v>8095</v>
      </c>
      <c r="I101" s="354" t="s">
        <v>196</v>
      </c>
      <c r="J101" s="340" t="s">
        <v>8096</v>
      </c>
      <c r="K101" s="339" t="s">
        <v>70</v>
      </c>
      <c r="L101" s="357">
        <v>14</v>
      </c>
      <c r="M101" s="358" t="s">
        <v>8097</v>
      </c>
      <c r="N101" s="359">
        <v>600</v>
      </c>
      <c r="O101" s="360" t="s">
        <v>530</v>
      </c>
      <c r="P101" s="343" t="s">
        <v>530</v>
      </c>
      <c r="Q101" s="342" t="s">
        <v>2688</v>
      </c>
      <c r="R101" s="344">
        <v>33</v>
      </c>
      <c r="S101" s="345">
        <v>40</v>
      </c>
      <c r="T101" s="362">
        <v>27</v>
      </c>
      <c r="U101" s="361">
        <v>97.46</v>
      </c>
      <c r="V101" s="346">
        <v>132.36881258658801</v>
      </c>
      <c r="W101" s="348">
        <v>131.73129867845734</v>
      </c>
      <c r="X101" s="347">
        <v>66.78</v>
      </c>
      <c r="Y101" s="357" t="s">
        <v>408</v>
      </c>
      <c r="Z101" s="365" t="s">
        <v>2689</v>
      </c>
      <c r="AA101" s="350">
        <v>0</v>
      </c>
      <c r="AB101" s="349" t="s">
        <v>2685</v>
      </c>
      <c r="AC101" s="350">
        <v>0</v>
      </c>
      <c r="AD101" s="349" t="s">
        <v>2685</v>
      </c>
      <c r="AE101" s="364">
        <v>0</v>
      </c>
      <c r="AF101" s="366">
        <v>3</v>
      </c>
      <c r="AG101" s="363">
        <v>0</v>
      </c>
      <c r="AH101" s="635" t="s">
        <v>2818</v>
      </c>
      <c r="AI101" s="324"/>
      <c r="AL101" s="487" t="s">
        <v>14196</v>
      </c>
      <c r="AM101" s="477" t="s">
        <v>70</v>
      </c>
      <c r="AN101" s="637" t="s">
        <v>7146</v>
      </c>
      <c r="AO101" s="478">
        <v>-447</v>
      </c>
      <c r="AP101" s="463">
        <v>-447</v>
      </c>
      <c r="AQ101" s="479">
        <v>0</v>
      </c>
      <c r="AR101" s="476" t="s">
        <v>14197</v>
      </c>
      <c r="BA101" s="313" t="s">
        <v>2828</v>
      </c>
    </row>
    <row r="102" spans="2:53" ht="16.5" customHeight="1">
      <c r="B102" s="367" t="s">
        <v>8090</v>
      </c>
      <c r="C102" s="351" t="s">
        <v>8091</v>
      </c>
      <c r="D102" s="353">
        <v>-449</v>
      </c>
      <c r="E102" s="352" t="s">
        <v>408</v>
      </c>
      <c r="F102" s="341">
        <v>97.46</v>
      </c>
      <c r="G102" s="355" t="s">
        <v>8094</v>
      </c>
      <c r="H102" s="356" t="s">
        <v>8095</v>
      </c>
      <c r="I102" s="354" t="s">
        <v>196</v>
      </c>
      <c r="J102" s="340" t="s">
        <v>8098</v>
      </c>
      <c r="K102" s="339" t="s">
        <v>70</v>
      </c>
      <c r="L102" s="357">
        <v>7</v>
      </c>
      <c r="M102" s="358" t="s">
        <v>8097</v>
      </c>
      <c r="N102" s="359">
        <v>600</v>
      </c>
      <c r="O102" s="360" t="s">
        <v>530</v>
      </c>
      <c r="P102" s="343" t="s">
        <v>530</v>
      </c>
      <c r="Q102" s="342" t="s">
        <v>2688</v>
      </c>
      <c r="R102" s="344">
        <v>33</v>
      </c>
      <c r="S102" s="345">
        <v>40</v>
      </c>
      <c r="T102" s="362">
        <v>27</v>
      </c>
      <c r="U102" s="361">
        <v>97.46</v>
      </c>
      <c r="V102" s="346">
        <v>132.36881258658801</v>
      </c>
      <c r="W102" s="348">
        <v>131.73129867845734</v>
      </c>
      <c r="X102" s="347">
        <v>66.78</v>
      </c>
      <c r="Y102" s="357" t="s">
        <v>408</v>
      </c>
      <c r="Z102" s="365" t="s">
        <v>2689</v>
      </c>
      <c r="AA102" s="350">
        <v>0</v>
      </c>
      <c r="AB102" s="349" t="s">
        <v>2685</v>
      </c>
      <c r="AC102" s="350">
        <v>0</v>
      </c>
      <c r="AD102" s="349" t="s">
        <v>2685</v>
      </c>
      <c r="AE102" s="364">
        <v>0</v>
      </c>
      <c r="AF102" s="366">
        <v>3</v>
      </c>
      <c r="AG102" s="363">
        <v>0</v>
      </c>
      <c r="AH102" s="635" t="s">
        <v>2690</v>
      </c>
      <c r="AI102" s="324"/>
      <c r="AL102" s="487" t="s">
        <v>14198</v>
      </c>
      <c r="AM102" s="477" t="s">
        <v>70</v>
      </c>
      <c r="AN102" s="637" t="s">
        <v>7146</v>
      </c>
      <c r="AO102" s="478">
        <v>-449</v>
      </c>
      <c r="AP102" s="463">
        <v>-449</v>
      </c>
      <c r="AQ102" s="479">
        <v>0</v>
      </c>
      <c r="AR102" s="476" t="s">
        <v>14197</v>
      </c>
      <c r="BA102" s="313" t="s">
        <v>2831</v>
      </c>
    </row>
    <row r="103" spans="2:53" ht="16.5" customHeight="1">
      <c r="B103" s="367" t="s">
        <v>8099</v>
      </c>
      <c r="C103" s="351" t="s">
        <v>8100</v>
      </c>
      <c r="D103" s="353">
        <v>-299</v>
      </c>
      <c r="E103" s="352" t="s">
        <v>408</v>
      </c>
      <c r="F103" s="341">
        <v>97.43</v>
      </c>
      <c r="G103" s="355" t="s">
        <v>8101</v>
      </c>
      <c r="H103" s="356" t="s">
        <v>2994</v>
      </c>
      <c r="I103" s="354" t="s">
        <v>211</v>
      </c>
      <c r="J103" s="340" t="s">
        <v>7857</v>
      </c>
      <c r="K103" s="339" t="s">
        <v>70</v>
      </c>
      <c r="L103" s="357">
        <v>8</v>
      </c>
      <c r="M103" s="358" t="s">
        <v>8102</v>
      </c>
      <c r="N103" s="359">
        <v>500</v>
      </c>
      <c r="O103" s="360" t="s">
        <v>530</v>
      </c>
      <c r="P103" s="343" t="s">
        <v>531</v>
      </c>
      <c r="Q103" s="342" t="s">
        <v>2688</v>
      </c>
      <c r="R103" s="344">
        <v>30</v>
      </c>
      <c r="S103" s="345">
        <v>40</v>
      </c>
      <c r="T103" s="362">
        <v>30</v>
      </c>
      <c r="U103" s="361">
        <v>97.43</v>
      </c>
      <c r="V103" s="346">
        <v>132.32419738590366</v>
      </c>
      <c r="W103" s="348">
        <v>131.69659796681395</v>
      </c>
      <c r="X103" s="347">
        <v>66.760000000000005</v>
      </c>
      <c r="Y103" s="357">
        <v>68.11</v>
      </c>
      <c r="Z103" s="365" t="s">
        <v>2689</v>
      </c>
      <c r="AA103" s="350">
        <v>30</v>
      </c>
      <c r="AB103" s="349" t="s">
        <v>2685</v>
      </c>
      <c r="AC103" s="350">
        <v>5</v>
      </c>
      <c r="AD103" s="349" t="s">
        <v>2685</v>
      </c>
      <c r="AE103" s="364">
        <v>0</v>
      </c>
      <c r="AF103" s="366">
        <v>0</v>
      </c>
      <c r="AG103" s="363">
        <v>0</v>
      </c>
      <c r="AH103" s="635" t="s">
        <v>408</v>
      </c>
      <c r="AI103" s="324"/>
      <c r="AL103" s="487" t="s">
        <v>14199</v>
      </c>
      <c r="AM103" s="480" t="s">
        <v>70</v>
      </c>
      <c r="AN103" s="637" t="s">
        <v>7148</v>
      </c>
      <c r="AO103" s="478">
        <v>-299</v>
      </c>
      <c r="AP103" s="463">
        <v>-299</v>
      </c>
      <c r="AQ103" s="479">
        <v>0</v>
      </c>
      <c r="AR103" s="476" t="s">
        <v>16812</v>
      </c>
      <c r="BA103" s="313" t="s">
        <v>2832</v>
      </c>
    </row>
    <row r="104" spans="2:53" ht="16.5" customHeight="1">
      <c r="B104" s="367" t="s">
        <v>2829</v>
      </c>
      <c r="C104" s="351" t="s">
        <v>2830</v>
      </c>
      <c r="D104" s="353">
        <v>-299</v>
      </c>
      <c r="E104" s="352" t="s">
        <v>408</v>
      </c>
      <c r="F104" s="341">
        <v>97.42</v>
      </c>
      <c r="G104" s="355" t="s">
        <v>3044</v>
      </c>
      <c r="H104" s="356" t="s">
        <v>2976</v>
      </c>
      <c r="I104" s="354" t="s">
        <v>201</v>
      </c>
      <c r="J104" s="340" t="s">
        <v>199</v>
      </c>
      <c r="K104" s="339" t="s">
        <v>78</v>
      </c>
      <c r="L104" s="357">
        <v>4</v>
      </c>
      <c r="M104" s="358" t="s">
        <v>8104</v>
      </c>
      <c r="N104" s="359">
        <v>800</v>
      </c>
      <c r="O104" s="360" t="s">
        <v>530</v>
      </c>
      <c r="P104" s="343" t="s">
        <v>531</v>
      </c>
      <c r="Q104" s="342" t="s">
        <v>2688</v>
      </c>
      <c r="R104" s="344">
        <v>25</v>
      </c>
      <c r="S104" s="345">
        <v>25</v>
      </c>
      <c r="T104" s="362">
        <v>25</v>
      </c>
      <c r="U104" s="361">
        <v>97.42</v>
      </c>
      <c r="V104" s="346">
        <v>132.31969673037435</v>
      </c>
      <c r="W104" s="348">
        <v>131.69309745695782</v>
      </c>
      <c r="X104" s="347">
        <v>67.2</v>
      </c>
      <c r="Y104" s="357">
        <v>67.680000000000007</v>
      </c>
      <c r="Z104" s="365" t="s">
        <v>2689</v>
      </c>
      <c r="AA104" s="350">
        <v>139</v>
      </c>
      <c r="AB104" s="349" t="s">
        <v>2685</v>
      </c>
      <c r="AC104" s="350">
        <v>0</v>
      </c>
      <c r="AD104" s="349" t="s">
        <v>2685</v>
      </c>
      <c r="AE104" s="364">
        <v>0</v>
      </c>
      <c r="AF104" s="366">
        <v>0</v>
      </c>
      <c r="AG104" s="363">
        <v>0</v>
      </c>
      <c r="AH104" s="635" t="s">
        <v>8105</v>
      </c>
      <c r="AI104" s="324"/>
      <c r="AL104" s="487" t="s">
        <v>7175</v>
      </c>
      <c r="AM104" s="477" t="s">
        <v>78</v>
      </c>
      <c r="AN104" s="637" t="s">
        <v>7148</v>
      </c>
      <c r="AO104" s="478">
        <v>-299</v>
      </c>
      <c r="AP104" s="463">
        <v>-253</v>
      </c>
      <c r="AQ104" s="479">
        <v>-46</v>
      </c>
      <c r="AR104" s="476" t="s">
        <v>16813</v>
      </c>
      <c r="BA104" s="313" t="s">
        <v>2833</v>
      </c>
    </row>
    <row r="105" spans="2:53" ht="16.5" customHeight="1">
      <c r="B105" s="367" t="s">
        <v>2848</v>
      </c>
      <c r="C105" s="351" t="s">
        <v>2849</v>
      </c>
      <c r="D105" s="353">
        <v>-449</v>
      </c>
      <c r="E105" s="352" t="s">
        <v>408</v>
      </c>
      <c r="F105" s="341">
        <v>97.4</v>
      </c>
      <c r="G105" s="355" t="s">
        <v>8109</v>
      </c>
      <c r="H105" s="356" t="s">
        <v>7976</v>
      </c>
      <c r="I105" s="354" t="s">
        <v>73</v>
      </c>
      <c r="J105" s="340" t="s">
        <v>7917</v>
      </c>
      <c r="K105" s="339" t="s">
        <v>70</v>
      </c>
      <c r="L105" s="357">
        <v>13</v>
      </c>
      <c r="M105" s="358" t="s">
        <v>8111</v>
      </c>
      <c r="N105" s="359">
        <v>1000</v>
      </c>
      <c r="O105" s="360" t="s">
        <v>530</v>
      </c>
      <c r="P105" s="343" t="s">
        <v>531</v>
      </c>
      <c r="Q105" s="342" t="s">
        <v>2688</v>
      </c>
      <c r="R105" s="344">
        <v>22</v>
      </c>
      <c r="S105" s="345">
        <v>33</v>
      </c>
      <c r="T105" s="362">
        <v>33</v>
      </c>
      <c r="U105" s="361">
        <v>97.4</v>
      </c>
      <c r="V105" s="346">
        <v>132.28399838610639</v>
      </c>
      <c r="W105" s="348">
        <v>131.66533207808274</v>
      </c>
      <c r="X105" s="347">
        <v>66.739999999999995</v>
      </c>
      <c r="Y105" s="357">
        <v>67.660000000000011</v>
      </c>
      <c r="Z105" s="365" t="s">
        <v>2689</v>
      </c>
      <c r="AA105" s="350">
        <v>111.11</v>
      </c>
      <c r="AB105" s="349" t="s">
        <v>2685</v>
      </c>
      <c r="AC105" s="350">
        <v>0</v>
      </c>
      <c r="AD105" s="349" t="s">
        <v>2685</v>
      </c>
      <c r="AE105" s="364">
        <v>0</v>
      </c>
      <c r="AF105" s="366">
        <v>6.766</v>
      </c>
      <c r="AG105" s="363">
        <v>0</v>
      </c>
      <c r="AH105" s="635" t="s">
        <v>7791</v>
      </c>
      <c r="AI105" s="324"/>
      <c r="AL105" s="487" t="s">
        <v>14200</v>
      </c>
      <c r="AM105" s="480" t="s">
        <v>70</v>
      </c>
      <c r="AN105" s="637" t="s">
        <v>7146</v>
      </c>
      <c r="AO105" s="478">
        <v>-449</v>
      </c>
      <c r="AP105" s="463">
        <v>-449</v>
      </c>
      <c r="AQ105" s="479">
        <v>0</v>
      </c>
      <c r="AR105" s="476" t="s">
        <v>14201</v>
      </c>
      <c r="BA105" s="313" t="s">
        <v>2836</v>
      </c>
    </row>
    <row r="106" spans="2:53" ht="16.5" customHeight="1">
      <c r="B106" s="367" t="s">
        <v>2852</v>
      </c>
      <c r="C106" s="351" t="s">
        <v>2853</v>
      </c>
      <c r="D106" s="353">
        <v>-602</v>
      </c>
      <c r="E106" s="352" t="s">
        <v>408</v>
      </c>
      <c r="F106" s="341">
        <v>97.39</v>
      </c>
      <c r="G106" s="355" t="s">
        <v>8112</v>
      </c>
      <c r="H106" s="356" t="s">
        <v>2974</v>
      </c>
      <c r="I106" s="354" t="s">
        <v>496</v>
      </c>
      <c r="J106" s="340" t="s">
        <v>8042</v>
      </c>
      <c r="K106" s="339" t="s">
        <v>70</v>
      </c>
      <c r="L106" s="357">
        <v>3</v>
      </c>
      <c r="M106" s="358" t="s">
        <v>8113</v>
      </c>
      <c r="N106" s="359">
        <v>1000</v>
      </c>
      <c r="O106" s="360" t="s">
        <v>530</v>
      </c>
      <c r="P106" s="343" t="s">
        <v>531</v>
      </c>
      <c r="Q106" s="342" t="s">
        <v>2688</v>
      </c>
      <c r="R106" s="344">
        <v>22</v>
      </c>
      <c r="S106" s="345">
        <v>33</v>
      </c>
      <c r="T106" s="362">
        <v>33</v>
      </c>
      <c r="U106" s="361">
        <v>97.39</v>
      </c>
      <c r="V106" s="346">
        <v>132.27728533179496</v>
      </c>
      <c r="W106" s="348">
        <v>131.6601108136183</v>
      </c>
      <c r="X106" s="347">
        <v>66.73</v>
      </c>
      <c r="Y106" s="357">
        <v>67.650000000000006</v>
      </c>
      <c r="Z106" s="365" t="s">
        <v>2689</v>
      </c>
      <c r="AA106" s="350">
        <v>111.11</v>
      </c>
      <c r="AB106" s="349" t="s">
        <v>2685</v>
      </c>
      <c r="AC106" s="350">
        <v>0</v>
      </c>
      <c r="AD106" s="349" t="s">
        <v>2685</v>
      </c>
      <c r="AE106" s="364">
        <v>0</v>
      </c>
      <c r="AF106" s="366">
        <v>6.7649999999999997</v>
      </c>
      <c r="AG106" s="363">
        <v>0</v>
      </c>
      <c r="AH106" s="635" t="s">
        <v>7791</v>
      </c>
      <c r="AI106" s="324"/>
      <c r="AL106" s="487" t="s">
        <v>14202</v>
      </c>
      <c r="AM106" s="477" t="s">
        <v>70</v>
      </c>
      <c r="AN106" s="637">
        <v>100</v>
      </c>
      <c r="AO106" s="478">
        <v>-602</v>
      </c>
      <c r="AP106" s="463">
        <v>-602</v>
      </c>
      <c r="AQ106" s="479">
        <v>0</v>
      </c>
      <c r="AR106" s="476" t="s">
        <v>14203</v>
      </c>
      <c r="BA106" s="313" t="s">
        <v>2837</v>
      </c>
    </row>
    <row r="107" spans="2:53" ht="16.5" customHeight="1">
      <c r="B107" s="367" t="s">
        <v>2859</v>
      </c>
      <c r="C107" s="351" t="s">
        <v>2860</v>
      </c>
      <c r="D107" s="353">
        <v>-293</v>
      </c>
      <c r="E107" s="352" t="s">
        <v>408</v>
      </c>
      <c r="F107" s="341">
        <v>97.38</v>
      </c>
      <c r="G107" s="355" t="s">
        <v>8114</v>
      </c>
      <c r="H107" s="356" t="s">
        <v>8115</v>
      </c>
      <c r="I107" s="354" t="s">
        <v>195</v>
      </c>
      <c r="J107" s="340" t="s">
        <v>8116</v>
      </c>
      <c r="K107" s="339" t="s">
        <v>70</v>
      </c>
      <c r="L107" s="357">
        <v>23</v>
      </c>
      <c r="M107" s="358" t="s">
        <v>8117</v>
      </c>
      <c r="N107" s="359">
        <v>100</v>
      </c>
      <c r="O107" s="360" t="s">
        <v>454</v>
      </c>
      <c r="P107" s="343" t="s">
        <v>454</v>
      </c>
      <c r="Q107" s="342" t="s">
        <v>2688</v>
      </c>
      <c r="R107" s="344">
        <v>25</v>
      </c>
      <c r="S107" s="345">
        <v>30</v>
      </c>
      <c r="T107" s="362">
        <v>25</v>
      </c>
      <c r="U107" s="361">
        <v>97.38</v>
      </c>
      <c r="V107" s="346">
        <v>132.25</v>
      </c>
      <c r="W107" s="348">
        <v>131.63888888888889</v>
      </c>
      <c r="X107" s="347">
        <v>66.72</v>
      </c>
      <c r="Y107" s="357" t="s">
        <v>408</v>
      </c>
      <c r="Z107" s="365" t="s">
        <v>2689</v>
      </c>
      <c r="AA107" s="350">
        <v>19.600000000000001</v>
      </c>
      <c r="AB107" s="349" t="s">
        <v>2685</v>
      </c>
      <c r="AC107" s="350">
        <v>0</v>
      </c>
      <c r="AD107" s="349" t="s">
        <v>2685</v>
      </c>
      <c r="AE107" s="364">
        <v>0</v>
      </c>
      <c r="AF107" s="366">
        <v>0</v>
      </c>
      <c r="AG107" s="363">
        <v>0</v>
      </c>
      <c r="AH107" s="635" t="s">
        <v>408</v>
      </c>
      <c r="AI107" s="324"/>
      <c r="AL107" s="487" t="s">
        <v>14205</v>
      </c>
      <c r="AM107" s="480" t="s">
        <v>70</v>
      </c>
      <c r="AN107" s="637" t="s">
        <v>7148</v>
      </c>
      <c r="AO107" s="478">
        <v>-293</v>
      </c>
      <c r="AP107" s="463">
        <v>-293</v>
      </c>
      <c r="AQ107" s="479">
        <v>0</v>
      </c>
      <c r="AR107" s="476" t="s">
        <v>16814</v>
      </c>
      <c r="BA107" s="313" t="s">
        <v>2840</v>
      </c>
    </row>
    <row r="108" spans="2:53" ht="16.5" customHeight="1">
      <c r="B108" s="367" t="s">
        <v>8118</v>
      </c>
      <c r="C108" s="351" t="s">
        <v>8119</v>
      </c>
      <c r="D108" s="353">
        <v>-497</v>
      </c>
      <c r="E108" s="352" t="s">
        <v>408</v>
      </c>
      <c r="F108" s="341">
        <v>97.36</v>
      </c>
      <c r="G108" s="355" t="s">
        <v>8120</v>
      </c>
      <c r="H108" s="356" t="s">
        <v>18367</v>
      </c>
      <c r="I108" s="354" t="s">
        <v>215</v>
      </c>
      <c r="J108" s="340" t="s">
        <v>7917</v>
      </c>
      <c r="K108" s="339" t="s">
        <v>70</v>
      </c>
      <c r="L108" s="357">
        <v>6</v>
      </c>
      <c r="M108" s="358" t="s">
        <v>8121</v>
      </c>
      <c r="N108" s="359">
        <v>1000</v>
      </c>
      <c r="O108" s="360" t="s">
        <v>530</v>
      </c>
      <c r="P108" s="343" t="s">
        <v>531</v>
      </c>
      <c r="Q108" s="342" t="s">
        <v>2688</v>
      </c>
      <c r="R108" s="344">
        <v>25</v>
      </c>
      <c r="S108" s="345">
        <v>38</v>
      </c>
      <c r="T108" s="362">
        <v>25</v>
      </c>
      <c r="U108" s="361">
        <v>97.36</v>
      </c>
      <c r="V108" s="346">
        <v>132.22971029381551</v>
      </c>
      <c r="W108" s="348">
        <v>131.62310800630095</v>
      </c>
      <c r="X108" s="347">
        <v>66.709999999999994</v>
      </c>
      <c r="Y108" s="357">
        <v>68.050000000000011</v>
      </c>
      <c r="Z108" s="365" t="s">
        <v>2689</v>
      </c>
      <c r="AA108" s="350">
        <v>125</v>
      </c>
      <c r="AB108" s="349" t="s">
        <v>2685</v>
      </c>
      <c r="AC108" s="350">
        <v>10</v>
      </c>
      <c r="AD108" s="349" t="s">
        <v>2685</v>
      </c>
      <c r="AE108" s="364">
        <v>0</v>
      </c>
      <c r="AF108" s="366">
        <v>0</v>
      </c>
      <c r="AG108" s="363">
        <v>0</v>
      </c>
      <c r="AH108" s="635" t="s">
        <v>408</v>
      </c>
      <c r="AI108" s="324"/>
      <c r="AL108" s="487" t="s">
        <v>14206</v>
      </c>
      <c r="AM108" s="477" t="s">
        <v>70</v>
      </c>
      <c r="AN108" s="637" t="s">
        <v>7178</v>
      </c>
      <c r="AO108" s="478">
        <v>-497</v>
      </c>
      <c r="AP108" s="463">
        <v>-497</v>
      </c>
      <c r="AQ108" s="479">
        <v>0</v>
      </c>
      <c r="AR108" s="476" t="s">
        <v>14207</v>
      </c>
      <c r="BA108" s="313" t="s">
        <v>2843</v>
      </c>
    </row>
    <row r="109" spans="2:53" ht="16.5" customHeight="1">
      <c r="B109" s="367" t="s">
        <v>8118</v>
      </c>
      <c r="C109" s="351" t="s">
        <v>8119</v>
      </c>
      <c r="D109" s="353">
        <v>-439</v>
      </c>
      <c r="E109" s="352" t="s">
        <v>8106</v>
      </c>
      <c r="F109" s="341">
        <v>97.36</v>
      </c>
      <c r="G109" s="355" t="s">
        <v>8120</v>
      </c>
      <c r="H109" s="356" t="s">
        <v>18368</v>
      </c>
      <c r="I109" s="354" t="s">
        <v>478</v>
      </c>
      <c r="J109" s="340" t="s">
        <v>198</v>
      </c>
      <c r="K109" s="339" t="s">
        <v>70</v>
      </c>
      <c r="L109" s="357">
        <v>13</v>
      </c>
      <c r="M109" s="358" t="s">
        <v>8122</v>
      </c>
      <c r="N109" s="359">
        <v>1000</v>
      </c>
      <c r="O109" s="360" t="s">
        <v>532</v>
      </c>
      <c r="P109" s="343" t="s">
        <v>533</v>
      </c>
      <c r="Q109" s="342" t="s">
        <v>2688</v>
      </c>
      <c r="R109" s="344">
        <v>25</v>
      </c>
      <c r="S109" s="345">
        <v>35</v>
      </c>
      <c r="T109" s="362">
        <v>25</v>
      </c>
      <c r="U109" s="361">
        <v>97.36</v>
      </c>
      <c r="V109" s="346">
        <v>132.22940880991069</v>
      </c>
      <c r="W109" s="348">
        <v>131.62287351881943</v>
      </c>
      <c r="X109" s="347">
        <v>66.709999999999994</v>
      </c>
      <c r="Y109" s="357">
        <v>67.63000000000001</v>
      </c>
      <c r="Z109" s="365" t="s">
        <v>2689</v>
      </c>
      <c r="AA109" s="350">
        <v>150</v>
      </c>
      <c r="AB109" s="349" t="s">
        <v>2685</v>
      </c>
      <c r="AC109" s="350">
        <v>10</v>
      </c>
      <c r="AD109" s="349" t="s">
        <v>2685</v>
      </c>
      <c r="AE109" s="364">
        <v>0</v>
      </c>
      <c r="AF109" s="366">
        <v>7.2460000000000004</v>
      </c>
      <c r="AG109" s="363">
        <v>0</v>
      </c>
      <c r="AH109" s="635" t="s">
        <v>8123</v>
      </c>
      <c r="AI109" s="324"/>
      <c r="AL109" s="487" t="s">
        <v>7164</v>
      </c>
      <c r="AM109" s="477" t="s">
        <v>70</v>
      </c>
      <c r="AN109" s="637" t="s">
        <v>7146</v>
      </c>
      <c r="AO109" s="478">
        <v>-439</v>
      </c>
      <c r="AP109" s="463">
        <v>-439</v>
      </c>
      <c r="AQ109" s="479">
        <v>0</v>
      </c>
      <c r="AR109" s="476" t="s">
        <v>14208</v>
      </c>
      <c r="BA109" s="313" t="s">
        <v>2845</v>
      </c>
    </row>
    <row r="110" spans="2:53" ht="16.5" customHeight="1">
      <c r="B110" s="367" t="s">
        <v>8118</v>
      </c>
      <c r="C110" s="351" t="s">
        <v>8119</v>
      </c>
      <c r="D110" s="353">
        <v>-458</v>
      </c>
      <c r="E110" s="352" t="s">
        <v>8106</v>
      </c>
      <c r="F110" s="341">
        <v>97.36</v>
      </c>
      <c r="G110" s="355" t="s">
        <v>8124</v>
      </c>
      <c r="H110" s="356" t="s">
        <v>8125</v>
      </c>
      <c r="I110" s="354" t="s">
        <v>196</v>
      </c>
      <c r="J110" s="340" t="s">
        <v>8126</v>
      </c>
      <c r="K110" s="339" t="s">
        <v>70</v>
      </c>
      <c r="L110" s="357">
        <v>20</v>
      </c>
      <c r="M110" s="358" t="s">
        <v>3020</v>
      </c>
      <c r="N110" s="359">
        <v>600</v>
      </c>
      <c r="O110" s="360" t="s">
        <v>530</v>
      </c>
      <c r="P110" s="343" t="s">
        <v>530</v>
      </c>
      <c r="Q110" s="342" t="s">
        <v>2688</v>
      </c>
      <c r="R110" s="344">
        <v>33</v>
      </c>
      <c r="S110" s="345">
        <v>40</v>
      </c>
      <c r="T110" s="362">
        <v>27</v>
      </c>
      <c r="U110" s="361">
        <v>97.36</v>
      </c>
      <c r="V110" s="346">
        <v>132.22461516441899</v>
      </c>
      <c r="W110" s="348">
        <v>131.61914512788144</v>
      </c>
      <c r="X110" s="347">
        <v>66.709999999999994</v>
      </c>
      <c r="Y110" s="357" t="s">
        <v>408</v>
      </c>
      <c r="Z110" s="365" t="s">
        <v>2689</v>
      </c>
      <c r="AA110" s="350">
        <v>0</v>
      </c>
      <c r="AB110" s="349" t="s">
        <v>2685</v>
      </c>
      <c r="AC110" s="350">
        <v>0</v>
      </c>
      <c r="AD110" s="349" t="s">
        <v>2685</v>
      </c>
      <c r="AE110" s="364">
        <v>0</v>
      </c>
      <c r="AF110" s="366">
        <v>3</v>
      </c>
      <c r="AG110" s="363">
        <v>0</v>
      </c>
      <c r="AH110" s="635" t="s">
        <v>2690</v>
      </c>
      <c r="AI110" s="324"/>
      <c r="AL110" s="487" t="s">
        <v>14210</v>
      </c>
      <c r="AM110" s="477" t="s">
        <v>70</v>
      </c>
      <c r="AN110" s="637" t="s">
        <v>7146</v>
      </c>
      <c r="AO110" s="478">
        <v>-458</v>
      </c>
      <c r="AP110" s="463">
        <v>-458</v>
      </c>
      <c r="AQ110" s="479">
        <v>0</v>
      </c>
      <c r="AR110" s="476" t="s">
        <v>14211</v>
      </c>
      <c r="BA110" s="313" t="s">
        <v>2846</v>
      </c>
    </row>
    <row r="111" spans="2:53" ht="16.5" customHeight="1">
      <c r="B111" s="367" t="s">
        <v>2864</v>
      </c>
      <c r="C111" s="351" t="s">
        <v>2865</v>
      </c>
      <c r="D111" s="353">
        <v>-609</v>
      </c>
      <c r="E111" s="352" t="s">
        <v>408</v>
      </c>
      <c r="F111" s="341">
        <v>97.34</v>
      </c>
      <c r="G111" s="355" t="s">
        <v>3083</v>
      </c>
      <c r="H111" s="356" t="s">
        <v>8110</v>
      </c>
      <c r="I111" s="354" t="s">
        <v>8000</v>
      </c>
      <c r="J111" s="340" t="s">
        <v>7770</v>
      </c>
      <c r="K111" s="339" t="s">
        <v>70</v>
      </c>
      <c r="L111" s="357">
        <v>13</v>
      </c>
      <c r="M111" s="358" t="s">
        <v>8001</v>
      </c>
      <c r="N111" s="359">
        <v>1000</v>
      </c>
      <c r="O111" s="360" t="s">
        <v>532</v>
      </c>
      <c r="P111" s="343" t="s">
        <v>532</v>
      </c>
      <c r="Q111" s="342" t="s">
        <v>2688</v>
      </c>
      <c r="R111" s="344">
        <v>25</v>
      </c>
      <c r="S111" s="345">
        <v>30</v>
      </c>
      <c r="T111" s="362">
        <v>25</v>
      </c>
      <c r="U111" s="361">
        <v>97.34</v>
      </c>
      <c r="V111" s="346">
        <v>132.20442996444288</v>
      </c>
      <c r="W111" s="348">
        <v>131.60344552790005</v>
      </c>
      <c r="X111" s="347" t="s">
        <v>18369</v>
      </c>
      <c r="Y111" s="357" t="s">
        <v>408</v>
      </c>
      <c r="Z111" s="365" t="s">
        <v>2689</v>
      </c>
      <c r="AA111" s="350">
        <v>200</v>
      </c>
      <c r="AB111" s="349" t="s">
        <v>2685</v>
      </c>
      <c r="AC111" s="350">
        <v>0</v>
      </c>
      <c r="AD111" s="349" t="s">
        <v>2685</v>
      </c>
      <c r="AE111" s="364">
        <v>0</v>
      </c>
      <c r="AF111" s="366">
        <v>12.164</v>
      </c>
      <c r="AG111" s="363">
        <v>0</v>
      </c>
      <c r="AH111" s="635" t="s">
        <v>8002</v>
      </c>
      <c r="AI111" s="324"/>
      <c r="AL111" s="487" t="s">
        <v>14156</v>
      </c>
      <c r="AM111" s="480" t="s">
        <v>70</v>
      </c>
      <c r="AN111" s="637">
        <v>100</v>
      </c>
      <c r="AO111" s="478">
        <v>-609</v>
      </c>
      <c r="AP111" s="463">
        <v>-609</v>
      </c>
      <c r="AQ111" s="479">
        <v>0</v>
      </c>
      <c r="AR111" s="476" t="s">
        <v>17108</v>
      </c>
      <c r="BA111" s="313" t="s">
        <v>2847</v>
      </c>
    </row>
    <row r="112" spans="2:53" ht="16.5" customHeight="1">
      <c r="B112" s="367" t="s">
        <v>2870</v>
      </c>
      <c r="C112" s="351" t="s">
        <v>2871</v>
      </c>
      <c r="D112" s="353">
        <v>-610</v>
      </c>
      <c r="E112" s="352" t="s">
        <v>408</v>
      </c>
      <c r="F112" s="341">
        <v>97.33</v>
      </c>
      <c r="G112" s="355" t="s">
        <v>8127</v>
      </c>
      <c r="H112" s="356" t="s">
        <v>18370</v>
      </c>
      <c r="I112" s="354" t="s">
        <v>243</v>
      </c>
      <c r="J112" s="340" t="s">
        <v>427</v>
      </c>
      <c r="K112" s="339" t="s">
        <v>70</v>
      </c>
      <c r="L112" s="357">
        <v>21</v>
      </c>
      <c r="M112" s="358" t="s">
        <v>8128</v>
      </c>
      <c r="N112" s="359">
        <v>800</v>
      </c>
      <c r="O112" s="360" t="s">
        <v>530</v>
      </c>
      <c r="P112" s="343" t="s">
        <v>530</v>
      </c>
      <c r="Q112" s="342" t="s">
        <v>2688</v>
      </c>
      <c r="R112" s="344">
        <v>25</v>
      </c>
      <c r="S112" s="345">
        <v>25</v>
      </c>
      <c r="T112" s="362">
        <v>25</v>
      </c>
      <c r="U112" s="361">
        <v>97.33</v>
      </c>
      <c r="V112" s="346">
        <v>132.17947670010702</v>
      </c>
      <c r="W112" s="348">
        <v>131.58403743341657</v>
      </c>
      <c r="X112" s="347">
        <v>66.680000000000007</v>
      </c>
      <c r="Y112" s="357" t="s">
        <v>408</v>
      </c>
      <c r="Z112" s="365" t="s">
        <v>2689</v>
      </c>
      <c r="AA112" s="350">
        <v>200</v>
      </c>
      <c r="AB112" s="349" t="s">
        <v>2685</v>
      </c>
      <c r="AC112" s="350">
        <v>1</v>
      </c>
      <c r="AD112" s="349" t="s">
        <v>2685</v>
      </c>
      <c r="AE112" s="364">
        <v>0</v>
      </c>
      <c r="AF112" s="366">
        <v>6.6680000000000001</v>
      </c>
      <c r="AG112" s="363">
        <v>0</v>
      </c>
      <c r="AH112" s="635" t="s">
        <v>7923</v>
      </c>
      <c r="AI112" s="324"/>
      <c r="AL112" s="487" t="s">
        <v>7161</v>
      </c>
      <c r="AM112" s="477" t="s">
        <v>70</v>
      </c>
      <c r="AN112" s="637">
        <v>100</v>
      </c>
      <c r="AO112" s="478">
        <v>-610</v>
      </c>
      <c r="AP112" s="463">
        <v>-610</v>
      </c>
      <c r="AQ112" s="479">
        <v>0</v>
      </c>
      <c r="AR112" s="476" t="s">
        <v>16815</v>
      </c>
      <c r="BA112" s="313" t="s">
        <v>2850</v>
      </c>
    </row>
    <row r="113" spans="2:53" ht="16.5" customHeight="1">
      <c r="B113" s="367" t="s">
        <v>8132</v>
      </c>
      <c r="C113" s="351" t="s">
        <v>8133</v>
      </c>
      <c r="D113" s="353">
        <v>-504</v>
      </c>
      <c r="E113" s="352" t="s">
        <v>408</v>
      </c>
      <c r="F113" s="341">
        <v>97.29</v>
      </c>
      <c r="G113" s="355" t="s">
        <v>3054</v>
      </c>
      <c r="H113" s="356" t="s">
        <v>8134</v>
      </c>
      <c r="I113" s="354" t="s">
        <v>215</v>
      </c>
      <c r="J113" s="340" t="s">
        <v>7868</v>
      </c>
      <c r="K113" s="339" t="s">
        <v>70</v>
      </c>
      <c r="L113" s="357">
        <v>6</v>
      </c>
      <c r="M113" s="358" t="s">
        <v>8135</v>
      </c>
      <c r="N113" s="359">
        <v>1000</v>
      </c>
      <c r="O113" s="360" t="s">
        <v>530</v>
      </c>
      <c r="P113" s="343" t="s">
        <v>531</v>
      </c>
      <c r="Q113" s="342" t="s">
        <v>2688</v>
      </c>
      <c r="R113" s="344">
        <v>25</v>
      </c>
      <c r="S113" s="345">
        <v>38</v>
      </c>
      <c r="T113" s="362">
        <v>25</v>
      </c>
      <c r="U113" s="361">
        <v>97.29</v>
      </c>
      <c r="V113" s="346">
        <v>132.12862132730635</v>
      </c>
      <c r="W113" s="348">
        <v>131.54448325457162</v>
      </c>
      <c r="X113" s="347">
        <v>66.650000000000006</v>
      </c>
      <c r="Y113" s="357">
        <v>68</v>
      </c>
      <c r="Z113" s="365" t="s">
        <v>2689</v>
      </c>
      <c r="AA113" s="350">
        <v>125</v>
      </c>
      <c r="AB113" s="349" t="s">
        <v>2685</v>
      </c>
      <c r="AC113" s="350">
        <v>10</v>
      </c>
      <c r="AD113" s="349" t="s">
        <v>2685</v>
      </c>
      <c r="AE113" s="364">
        <v>0</v>
      </c>
      <c r="AF113" s="366">
        <v>0</v>
      </c>
      <c r="AG113" s="363">
        <v>0</v>
      </c>
      <c r="AH113" s="635" t="s">
        <v>408</v>
      </c>
      <c r="AI113" s="324"/>
      <c r="AL113" s="487" t="s">
        <v>14212</v>
      </c>
      <c r="AM113" s="477" t="s">
        <v>70</v>
      </c>
      <c r="AN113" s="637" t="s">
        <v>7178</v>
      </c>
      <c r="AO113" s="478">
        <v>-504</v>
      </c>
      <c r="AP113" s="463">
        <v>-504</v>
      </c>
      <c r="AQ113" s="479">
        <v>0</v>
      </c>
      <c r="AR113" s="476" t="s">
        <v>14213</v>
      </c>
      <c r="BA113" s="313" t="s">
        <v>2851</v>
      </c>
    </row>
    <row r="114" spans="2:53" ht="16.5" customHeight="1">
      <c r="B114" s="367" t="s">
        <v>8084</v>
      </c>
      <c r="C114" s="351" t="s">
        <v>8085</v>
      </c>
      <c r="D114" s="353">
        <v>-308</v>
      </c>
      <c r="E114" s="352" t="s">
        <v>408</v>
      </c>
      <c r="F114" s="341">
        <v>97.28</v>
      </c>
      <c r="G114" s="355" t="s">
        <v>8087</v>
      </c>
      <c r="H114" s="356" t="s">
        <v>2999</v>
      </c>
      <c r="I114" s="354" t="s">
        <v>196</v>
      </c>
      <c r="J114" s="340" t="s">
        <v>8107</v>
      </c>
      <c r="K114" s="339" t="s">
        <v>71</v>
      </c>
      <c r="L114" s="357">
        <v>8</v>
      </c>
      <c r="M114" s="358" t="s">
        <v>8108</v>
      </c>
      <c r="N114" s="359">
        <v>600</v>
      </c>
      <c r="O114" s="360" t="s">
        <v>530</v>
      </c>
      <c r="P114" s="343" t="s">
        <v>530</v>
      </c>
      <c r="Q114" s="342" t="s">
        <v>2688</v>
      </c>
      <c r="R114" s="344">
        <v>33</v>
      </c>
      <c r="S114" s="345">
        <v>40</v>
      </c>
      <c r="T114" s="362">
        <v>27</v>
      </c>
      <c r="U114" s="361">
        <v>97.28</v>
      </c>
      <c r="V114" s="346">
        <v>132.11607269632097</v>
      </c>
      <c r="W114" s="348">
        <v>131.53472320824966</v>
      </c>
      <c r="X114" s="347">
        <v>67.09</v>
      </c>
      <c r="Y114" s="357" t="s">
        <v>408</v>
      </c>
      <c r="Z114" s="365" t="s">
        <v>2689</v>
      </c>
      <c r="AA114" s="350">
        <v>0</v>
      </c>
      <c r="AB114" s="349" t="s">
        <v>2685</v>
      </c>
      <c r="AC114" s="350">
        <v>0</v>
      </c>
      <c r="AD114" s="349" t="s">
        <v>2685</v>
      </c>
      <c r="AE114" s="364">
        <v>0</v>
      </c>
      <c r="AF114" s="366">
        <v>0</v>
      </c>
      <c r="AG114" s="363">
        <v>0</v>
      </c>
      <c r="AH114" s="635" t="s">
        <v>408</v>
      </c>
      <c r="AI114" s="324"/>
      <c r="AL114" s="487" t="s">
        <v>14214</v>
      </c>
      <c r="AM114" s="477" t="s">
        <v>71</v>
      </c>
      <c r="AN114" s="637" t="s">
        <v>7148</v>
      </c>
      <c r="AO114" s="478">
        <v>-308</v>
      </c>
      <c r="AP114" s="463">
        <v>-260</v>
      </c>
      <c r="AQ114" s="479">
        <v>-48</v>
      </c>
      <c r="AR114" s="476" t="s">
        <v>16816</v>
      </c>
      <c r="BA114" s="313" t="s">
        <v>2855</v>
      </c>
    </row>
    <row r="115" spans="2:53" ht="16.5" customHeight="1">
      <c r="B115" s="367" t="s">
        <v>8084</v>
      </c>
      <c r="C115" s="351" t="s">
        <v>8085</v>
      </c>
      <c r="D115" s="353">
        <v>-309</v>
      </c>
      <c r="E115" s="352" t="s">
        <v>408</v>
      </c>
      <c r="F115" s="341">
        <v>97.28</v>
      </c>
      <c r="G115" s="355" t="s">
        <v>8087</v>
      </c>
      <c r="H115" s="356" t="s">
        <v>2999</v>
      </c>
      <c r="I115" s="354" t="s">
        <v>196</v>
      </c>
      <c r="J115" s="340" t="s">
        <v>491</v>
      </c>
      <c r="K115" s="339" t="s">
        <v>71</v>
      </c>
      <c r="L115" s="357">
        <v>56</v>
      </c>
      <c r="M115" s="358" t="s">
        <v>8108</v>
      </c>
      <c r="N115" s="359">
        <v>600</v>
      </c>
      <c r="O115" s="360" t="s">
        <v>530</v>
      </c>
      <c r="P115" s="343" t="s">
        <v>530</v>
      </c>
      <c r="Q115" s="342" t="s">
        <v>2688</v>
      </c>
      <c r="R115" s="344">
        <v>33</v>
      </c>
      <c r="S115" s="345">
        <v>40</v>
      </c>
      <c r="T115" s="362">
        <v>27</v>
      </c>
      <c r="U115" s="361">
        <v>97.28</v>
      </c>
      <c r="V115" s="346">
        <v>132.11607269632097</v>
      </c>
      <c r="W115" s="348">
        <v>131.53472320824966</v>
      </c>
      <c r="X115" s="347">
        <v>67.09</v>
      </c>
      <c r="Y115" s="357" t="s">
        <v>408</v>
      </c>
      <c r="Z115" s="365" t="s">
        <v>2689</v>
      </c>
      <c r="AA115" s="350">
        <v>0</v>
      </c>
      <c r="AB115" s="349" t="s">
        <v>2685</v>
      </c>
      <c r="AC115" s="350">
        <v>0</v>
      </c>
      <c r="AD115" s="349" t="s">
        <v>2685</v>
      </c>
      <c r="AE115" s="364">
        <v>0</v>
      </c>
      <c r="AF115" s="366">
        <v>0</v>
      </c>
      <c r="AG115" s="363">
        <v>0</v>
      </c>
      <c r="AH115" s="635" t="s">
        <v>408</v>
      </c>
      <c r="AI115" s="324"/>
      <c r="AL115" s="487" t="s">
        <v>14215</v>
      </c>
      <c r="AM115" s="477" t="s">
        <v>71</v>
      </c>
      <c r="AN115" s="637" t="s">
        <v>7148</v>
      </c>
      <c r="AO115" s="478">
        <v>-309</v>
      </c>
      <c r="AP115" s="463">
        <v>-261</v>
      </c>
      <c r="AQ115" s="479">
        <v>-48</v>
      </c>
      <c r="AR115" s="476" t="s">
        <v>16816</v>
      </c>
      <c r="BA115" s="313" t="s">
        <v>2856</v>
      </c>
    </row>
    <row r="116" spans="2:53" ht="16.5" customHeight="1">
      <c r="B116" s="367" t="s">
        <v>8136</v>
      </c>
      <c r="C116" s="351" t="s">
        <v>8137</v>
      </c>
      <c r="D116" s="353">
        <v>-465</v>
      </c>
      <c r="E116" s="352" t="s">
        <v>408</v>
      </c>
      <c r="F116" s="341">
        <v>97.26</v>
      </c>
      <c r="G116" s="355" t="s">
        <v>3149</v>
      </c>
      <c r="H116" s="356" t="s">
        <v>3008</v>
      </c>
      <c r="I116" s="354" t="s">
        <v>196</v>
      </c>
      <c r="J116" s="340" t="s">
        <v>559</v>
      </c>
      <c r="K116" s="339" t="s">
        <v>70</v>
      </c>
      <c r="L116" s="357">
        <v>17</v>
      </c>
      <c r="M116" s="358" t="s">
        <v>8138</v>
      </c>
      <c r="N116" s="359">
        <v>600</v>
      </c>
      <c r="O116" s="360" t="s">
        <v>530</v>
      </c>
      <c r="P116" s="343" t="s">
        <v>530</v>
      </c>
      <c r="Q116" s="342" t="s">
        <v>2688</v>
      </c>
      <c r="R116" s="344">
        <v>33</v>
      </c>
      <c r="S116" s="345">
        <v>40</v>
      </c>
      <c r="T116" s="362">
        <v>27</v>
      </c>
      <c r="U116" s="361">
        <v>97.26</v>
      </c>
      <c r="V116" s="346">
        <v>132.08041774225001</v>
      </c>
      <c r="W116" s="348">
        <v>131.50699157730557</v>
      </c>
      <c r="X116" s="347">
        <v>66.63</v>
      </c>
      <c r="Y116" s="357" t="s">
        <v>408</v>
      </c>
      <c r="Z116" s="365" t="s">
        <v>2689</v>
      </c>
      <c r="AA116" s="350">
        <v>0</v>
      </c>
      <c r="AB116" s="349" t="s">
        <v>2685</v>
      </c>
      <c r="AC116" s="350">
        <v>0</v>
      </c>
      <c r="AD116" s="349" t="s">
        <v>2685</v>
      </c>
      <c r="AE116" s="364">
        <v>0</v>
      </c>
      <c r="AF116" s="366">
        <v>3</v>
      </c>
      <c r="AG116" s="363">
        <v>0</v>
      </c>
      <c r="AH116" s="635" t="s">
        <v>2690</v>
      </c>
      <c r="AI116" s="324"/>
      <c r="AL116" s="487" t="s">
        <v>14216</v>
      </c>
      <c r="AM116" s="480" t="s">
        <v>70</v>
      </c>
      <c r="AN116" s="637" t="s">
        <v>7146</v>
      </c>
      <c r="AO116" s="478">
        <v>-465</v>
      </c>
      <c r="AP116" s="463">
        <v>-465</v>
      </c>
      <c r="AQ116" s="479">
        <v>0</v>
      </c>
      <c r="AR116" s="476" t="s">
        <v>14217</v>
      </c>
      <c r="BA116" s="313" t="s">
        <v>2857</v>
      </c>
    </row>
    <row r="117" spans="2:53" ht="16.5" customHeight="1">
      <c r="B117" s="367" t="s">
        <v>8136</v>
      </c>
      <c r="C117" s="351" t="s">
        <v>8137</v>
      </c>
      <c r="D117" s="353">
        <v>-618</v>
      </c>
      <c r="E117" s="352" t="s">
        <v>408</v>
      </c>
      <c r="F117" s="341">
        <v>97.25</v>
      </c>
      <c r="G117" s="355" t="s">
        <v>8139</v>
      </c>
      <c r="H117" s="356" t="s">
        <v>18371</v>
      </c>
      <c r="I117" s="354" t="s">
        <v>77</v>
      </c>
      <c r="J117" s="340" t="s">
        <v>8141</v>
      </c>
      <c r="K117" s="339" t="s">
        <v>70</v>
      </c>
      <c r="L117" s="357">
        <v>10</v>
      </c>
      <c r="M117" s="358" t="s">
        <v>8142</v>
      </c>
      <c r="N117" s="359">
        <v>1000</v>
      </c>
      <c r="O117" s="360" t="s">
        <v>530</v>
      </c>
      <c r="P117" s="343" t="s">
        <v>531</v>
      </c>
      <c r="Q117" s="342" t="s">
        <v>2738</v>
      </c>
      <c r="R117" s="344">
        <v>20</v>
      </c>
      <c r="S117" s="345">
        <v>40</v>
      </c>
      <c r="T117" s="362">
        <v>30</v>
      </c>
      <c r="U117" s="361">
        <v>97.25</v>
      </c>
      <c r="V117" s="346">
        <v>132.06964398389468</v>
      </c>
      <c r="W117" s="348">
        <v>131.49861198747365</v>
      </c>
      <c r="X117" s="347">
        <v>66.63</v>
      </c>
      <c r="Y117" s="357">
        <v>67.260000000000005</v>
      </c>
      <c r="Z117" s="365" t="s">
        <v>2689</v>
      </c>
      <c r="AA117" s="350">
        <v>63.5</v>
      </c>
      <c r="AB117" s="349" t="s">
        <v>2685</v>
      </c>
      <c r="AC117" s="350">
        <v>0</v>
      </c>
      <c r="AD117" s="349" t="s">
        <v>2685</v>
      </c>
      <c r="AE117" s="364">
        <v>0</v>
      </c>
      <c r="AF117" s="366">
        <v>10.089</v>
      </c>
      <c r="AG117" s="363">
        <v>0</v>
      </c>
      <c r="AH117" s="635" t="s">
        <v>7787</v>
      </c>
      <c r="AI117" s="324"/>
      <c r="AL117" s="487" t="s">
        <v>14218</v>
      </c>
      <c r="AM117" s="480" t="s">
        <v>70</v>
      </c>
      <c r="AN117" s="637">
        <v>100</v>
      </c>
      <c r="AO117" s="478">
        <v>-618</v>
      </c>
      <c r="AP117" s="463">
        <v>-618</v>
      </c>
      <c r="AQ117" s="479">
        <v>0</v>
      </c>
      <c r="AR117" s="476" t="s">
        <v>14220</v>
      </c>
      <c r="BA117" s="313" t="s">
        <v>2858</v>
      </c>
    </row>
    <row r="118" spans="2:53" ht="16.5" customHeight="1">
      <c r="B118" s="367" t="s">
        <v>8136</v>
      </c>
      <c r="C118" s="351" t="s">
        <v>8137</v>
      </c>
      <c r="D118" s="353">
        <v>-620</v>
      </c>
      <c r="E118" s="352" t="s">
        <v>8129</v>
      </c>
      <c r="F118" s="341">
        <v>97.25</v>
      </c>
      <c r="G118" s="355" t="s">
        <v>8139</v>
      </c>
      <c r="H118" s="356" t="s">
        <v>8140</v>
      </c>
      <c r="I118" s="354" t="s">
        <v>77</v>
      </c>
      <c r="J118" s="340" t="s">
        <v>8143</v>
      </c>
      <c r="K118" s="339" t="s">
        <v>70</v>
      </c>
      <c r="L118" s="357">
        <v>30</v>
      </c>
      <c r="M118" s="358" t="s">
        <v>8142</v>
      </c>
      <c r="N118" s="359">
        <v>1000</v>
      </c>
      <c r="O118" s="360" t="s">
        <v>530</v>
      </c>
      <c r="P118" s="343" t="s">
        <v>531</v>
      </c>
      <c r="Q118" s="342" t="s">
        <v>2738</v>
      </c>
      <c r="R118" s="344">
        <v>20</v>
      </c>
      <c r="S118" s="345">
        <v>40</v>
      </c>
      <c r="T118" s="362">
        <v>30</v>
      </c>
      <c r="U118" s="361">
        <v>97.25</v>
      </c>
      <c r="V118" s="346">
        <v>132.06964398389468</v>
      </c>
      <c r="W118" s="348">
        <v>131.49861198747365</v>
      </c>
      <c r="X118" s="347">
        <v>66.63</v>
      </c>
      <c r="Y118" s="357">
        <v>67.260000000000005</v>
      </c>
      <c r="Z118" s="365" t="s">
        <v>2689</v>
      </c>
      <c r="AA118" s="350">
        <v>63.5</v>
      </c>
      <c r="AB118" s="349" t="s">
        <v>2685</v>
      </c>
      <c r="AC118" s="350">
        <v>0</v>
      </c>
      <c r="AD118" s="349" t="s">
        <v>2685</v>
      </c>
      <c r="AE118" s="364">
        <v>0</v>
      </c>
      <c r="AF118" s="366">
        <v>10.089</v>
      </c>
      <c r="AG118" s="363">
        <v>0</v>
      </c>
      <c r="AH118" s="635" t="s">
        <v>7787</v>
      </c>
      <c r="AI118" s="324"/>
      <c r="AL118" s="487" t="s">
        <v>14219</v>
      </c>
      <c r="AM118" s="477" t="s">
        <v>70</v>
      </c>
      <c r="AN118" s="637">
        <v>100</v>
      </c>
      <c r="AO118" s="478">
        <v>-620</v>
      </c>
      <c r="AP118" s="463">
        <v>-620</v>
      </c>
      <c r="AQ118" s="479">
        <v>0</v>
      </c>
      <c r="AR118" s="476" t="s">
        <v>14220</v>
      </c>
      <c r="BA118" s="313" t="s">
        <v>2861</v>
      </c>
    </row>
    <row r="119" spans="2:53" ht="16.5" customHeight="1">
      <c r="B119" s="367" t="s">
        <v>8144</v>
      </c>
      <c r="C119" s="351" t="s">
        <v>8145</v>
      </c>
      <c r="D119" s="353">
        <v>-465</v>
      </c>
      <c r="E119" s="352" t="s">
        <v>408</v>
      </c>
      <c r="F119" s="341">
        <v>97.21</v>
      </c>
      <c r="G119" s="355" t="s">
        <v>8146</v>
      </c>
      <c r="H119" s="356" t="s">
        <v>8147</v>
      </c>
      <c r="I119" s="354" t="s">
        <v>196</v>
      </c>
      <c r="J119" s="340" t="s">
        <v>8148</v>
      </c>
      <c r="K119" s="339" t="s">
        <v>70</v>
      </c>
      <c r="L119" s="357">
        <v>15</v>
      </c>
      <c r="M119" s="358" t="s">
        <v>8149</v>
      </c>
      <c r="N119" s="359">
        <v>600</v>
      </c>
      <c r="O119" s="360" t="s">
        <v>530</v>
      </c>
      <c r="P119" s="343" t="s">
        <v>530</v>
      </c>
      <c r="Q119" s="342" t="s">
        <v>2688</v>
      </c>
      <c r="R119" s="344">
        <v>33</v>
      </c>
      <c r="S119" s="345">
        <v>40</v>
      </c>
      <c r="T119" s="362">
        <v>27</v>
      </c>
      <c r="U119" s="361">
        <v>97.21</v>
      </c>
      <c r="V119" s="346">
        <v>132.00831903116548</v>
      </c>
      <c r="W119" s="348">
        <v>131.45091480201762</v>
      </c>
      <c r="X119" s="347">
        <v>66.599999999999994</v>
      </c>
      <c r="Y119" s="357" t="s">
        <v>408</v>
      </c>
      <c r="Z119" s="365" t="s">
        <v>2689</v>
      </c>
      <c r="AA119" s="350">
        <v>0</v>
      </c>
      <c r="AB119" s="349" t="s">
        <v>2685</v>
      </c>
      <c r="AC119" s="350">
        <v>0</v>
      </c>
      <c r="AD119" s="349" t="s">
        <v>2685</v>
      </c>
      <c r="AE119" s="364">
        <v>0</v>
      </c>
      <c r="AF119" s="366">
        <v>3</v>
      </c>
      <c r="AG119" s="363">
        <v>0</v>
      </c>
      <c r="AH119" s="635" t="s">
        <v>2690</v>
      </c>
      <c r="AI119" s="324"/>
      <c r="AL119" s="487" t="s">
        <v>14221</v>
      </c>
      <c r="AM119" s="477" t="s">
        <v>70</v>
      </c>
      <c r="AN119" s="637" t="s">
        <v>7146</v>
      </c>
      <c r="AO119" s="478">
        <v>-465</v>
      </c>
      <c r="AP119" s="463">
        <v>-465</v>
      </c>
      <c r="AQ119" s="479">
        <v>0</v>
      </c>
      <c r="AR119" s="476" t="s">
        <v>14222</v>
      </c>
      <c r="BA119" s="313" t="s">
        <v>2862</v>
      </c>
    </row>
    <row r="120" spans="2:53" ht="16.5" customHeight="1">
      <c r="B120" s="367" t="s">
        <v>2848</v>
      </c>
      <c r="C120" s="351" t="s">
        <v>2849</v>
      </c>
      <c r="D120" s="353">
        <v>-312</v>
      </c>
      <c r="E120" s="352" t="s">
        <v>408</v>
      </c>
      <c r="F120" s="341">
        <v>97.18</v>
      </c>
      <c r="G120" s="355" t="s">
        <v>8109</v>
      </c>
      <c r="H120" s="356" t="s">
        <v>7980</v>
      </c>
      <c r="I120" s="354" t="s">
        <v>196</v>
      </c>
      <c r="J120" s="340" t="s">
        <v>8130</v>
      </c>
      <c r="K120" s="339" t="s">
        <v>71</v>
      </c>
      <c r="L120" s="357">
        <v>13</v>
      </c>
      <c r="M120" s="358" t="s">
        <v>8131</v>
      </c>
      <c r="N120" s="359">
        <v>600</v>
      </c>
      <c r="O120" s="360" t="s">
        <v>530</v>
      </c>
      <c r="P120" s="343" t="s">
        <v>530</v>
      </c>
      <c r="Q120" s="342" t="s">
        <v>2688</v>
      </c>
      <c r="R120" s="344">
        <v>33</v>
      </c>
      <c r="S120" s="345">
        <v>40</v>
      </c>
      <c r="T120" s="362">
        <v>27</v>
      </c>
      <c r="U120" s="361">
        <v>97.18</v>
      </c>
      <c r="V120" s="346">
        <v>131.97659076065847</v>
      </c>
      <c r="W120" s="348">
        <v>131.42103520510292</v>
      </c>
      <c r="X120" s="347">
        <v>67.010000000000005</v>
      </c>
      <c r="Y120" s="357" t="s">
        <v>408</v>
      </c>
      <c r="Z120" s="365" t="s">
        <v>2689</v>
      </c>
      <c r="AA120" s="350">
        <v>0</v>
      </c>
      <c r="AB120" s="349" t="s">
        <v>2685</v>
      </c>
      <c r="AC120" s="350">
        <v>0</v>
      </c>
      <c r="AD120" s="349" t="s">
        <v>2685</v>
      </c>
      <c r="AE120" s="364">
        <v>0</v>
      </c>
      <c r="AF120" s="366">
        <v>0</v>
      </c>
      <c r="AG120" s="363">
        <v>0</v>
      </c>
      <c r="AH120" s="635" t="s">
        <v>408</v>
      </c>
      <c r="AI120" s="324"/>
      <c r="AL120" s="487" t="s">
        <v>14223</v>
      </c>
      <c r="AM120" s="480" t="s">
        <v>71</v>
      </c>
      <c r="AN120" s="637" t="s">
        <v>7148</v>
      </c>
      <c r="AO120" s="478">
        <v>-312</v>
      </c>
      <c r="AP120" s="463">
        <v>-263</v>
      </c>
      <c r="AQ120" s="479">
        <v>-49</v>
      </c>
      <c r="AR120" s="476" t="s">
        <v>16817</v>
      </c>
      <c r="BA120" s="313" t="s">
        <v>2863</v>
      </c>
    </row>
    <row r="121" spans="2:53" ht="16.5" customHeight="1">
      <c r="B121" s="367" t="s">
        <v>8151</v>
      </c>
      <c r="C121" s="351" t="s">
        <v>8152</v>
      </c>
      <c r="D121" s="353">
        <v>-563</v>
      </c>
      <c r="E121" s="352" t="s">
        <v>408</v>
      </c>
      <c r="F121" s="341">
        <v>97.18</v>
      </c>
      <c r="G121" s="355" t="s">
        <v>8153</v>
      </c>
      <c r="H121" s="356" t="s">
        <v>8154</v>
      </c>
      <c r="I121" s="354" t="s">
        <v>196</v>
      </c>
      <c r="J121" s="340" t="s">
        <v>8155</v>
      </c>
      <c r="K121" s="339" t="s">
        <v>70</v>
      </c>
      <c r="L121" s="357">
        <v>10</v>
      </c>
      <c r="M121" s="358" t="s">
        <v>8156</v>
      </c>
      <c r="N121" s="359">
        <v>600</v>
      </c>
      <c r="O121" s="360" t="s">
        <v>530</v>
      </c>
      <c r="P121" s="343" t="s">
        <v>530</v>
      </c>
      <c r="Q121" s="342" t="s">
        <v>2688</v>
      </c>
      <c r="R121" s="344">
        <v>33</v>
      </c>
      <c r="S121" s="345">
        <v>40</v>
      </c>
      <c r="T121" s="362">
        <v>27</v>
      </c>
      <c r="U121" s="361">
        <v>97.18</v>
      </c>
      <c r="V121" s="346">
        <v>131.97655369387192</v>
      </c>
      <c r="W121" s="348">
        <v>131.42099813831638</v>
      </c>
      <c r="X121" s="347">
        <v>66.569999999999993</v>
      </c>
      <c r="Y121" s="357" t="s">
        <v>408</v>
      </c>
      <c r="Z121" s="365" t="s">
        <v>2689</v>
      </c>
      <c r="AA121" s="350">
        <v>0</v>
      </c>
      <c r="AB121" s="349" t="s">
        <v>2685</v>
      </c>
      <c r="AC121" s="350">
        <v>0</v>
      </c>
      <c r="AD121" s="349" t="s">
        <v>2685</v>
      </c>
      <c r="AE121" s="364">
        <v>0</v>
      </c>
      <c r="AF121" s="366">
        <v>3</v>
      </c>
      <c r="AG121" s="363">
        <v>0</v>
      </c>
      <c r="AH121" s="635" t="s">
        <v>2690</v>
      </c>
      <c r="AI121" s="324"/>
      <c r="AL121" s="487" t="s">
        <v>14224</v>
      </c>
      <c r="AM121" s="477" t="s">
        <v>70</v>
      </c>
      <c r="AN121" s="637" t="s">
        <v>14225</v>
      </c>
      <c r="AO121" s="478">
        <v>-563</v>
      </c>
      <c r="AP121" s="463">
        <v>-563</v>
      </c>
      <c r="AQ121" s="479">
        <v>0</v>
      </c>
      <c r="AR121" s="476" t="s">
        <v>16818</v>
      </c>
      <c r="BA121" s="313" t="s">
        <v>2866</v>
      </c>
    </row>
    <row r="122" spans="2:53" ht="16.5" customHeight="1">
      <c r="B122" s="367" t="s">
        <v>2881</v>
      </c>
      <c r="C122" s="351" t="s">
        <v>2882</v>
      </c>
      <c r="D122" s="353">
        <v>-624</v>
      </c>
      <c r="E122" s="352" t="s">
        <v>408</v>
      </c>
      <c r="F122" s="341">
        <v>97.16</v>
      </c>
      <c r="G122" s="355" t="s">
        <v>8041</v>
      </c>
      <c r="H122" s="356" t="s">
        <v>3008</v>
      </c>
      <c r="I122" s="354" t="s">
        <v>77</v>
      </c>
      <c r="J122" s="340" t="s">
        <v>8157</v>
      </c>
      <c r="K122" s="339" t="s">
        <v>70</v>
      </c>
      <c r="L122" s="357">
        <v>25</v>
      </c>
      <c r="M122" s="358" t="s">
        <v>8158</v>
      </c>
      <c r="N122" s="359">
        <v>1000</v>
      </c>
      <c r="O122" s="360" t="s">
        <v>530</v>
      </c>
      <c r="P122" s="343" t="s">
        <v>531</v>
      </c>
      <c r="Q122" s="342" t="s">
        <v>2688</v>
      </c>
      <c r="R122" s="344">
        <v>20</v>
      </c>
      <c r="S122" s="345">
        <v>40</v>
      </c>
      <c r="T122" s="362">
        <v>30</v>
      </c>
      <c r="U122" s="361">
        <v>97.16</v>
      </c>
      <c r="V122" s="346">
        <v>131.95136669832019</v>
      </c>
      <c r="W122" s="348">
        <v>131.39581114276464</v>
      </c>
      <c r="X122" s="347">
        <v>66.56</v>
      </c>
      <c r="Y122" s="357">
        <v>67.210000000000008</v>
      </c>
      <c r="Z122" s="365" t="s">
        <v>2689</v>
      </c>
      <c r="AA122" s="350">
        <v>63.5</v>
      </c>
      <c r="AB122" s="349" t="s">
        <v>2685</v>
      </c>
      <c r="AC122" s="350">
        <v>0</v>
      </c>
      <c r="AD122" s="349" t="s">
        <v>2685</v>
      </c>
      <c r="AE122" s="364">
        <v>0</v>
      </c>
      <c r="AF122" s="366">
        <v>10.082000000000001</v>
      </c>
      <c r="AG122" s="363">
        <v>0</v>
      </c>
      <c r="AH122" s="635" t="s">
        <v>7787</v>
      </c>
      <c r="AI122" s="324"/>
      <c r="AL122" s="487" t="s">
        <v>14226</v>
      </c>
      <c r="AM122" s="480" t="s">
        <v>70</v>
      </c>
      <c r="AN122" s="637">
        <v>100</v>
      </c>
      <c r="AO122" s="478">
        <v>-624</v>
      </c>
      <c r="AP122" s="463">
        <v>-624</v>
      </c>
      <c r="AQ122" s="479">
        <v>0</v>
      </c>
      <c r="AR122" s="476" t="s">
        <v>14227</v>
      </c>
      <c r="BA122" s="313" t="s">
        <v>2868</v>
      </c>
    </row>
    <row r="123" spans="2:53" ht="16.5" customHeight="1">
      <c r="B123" s="367" t="s">
        <v>2884</v>
      </c>
      <c r="C123" s="351" t="s">
        <v>2885</v>
      </c>
      <c r="D123" s="353">
        <v>-472</v>
      </c>
      <c r="E123" s="352" t="s">
        <v>408</v>
      </c>
      <c r="F123" s="341">
        <v>97.14</v>
      </c>
      <c r="G123" s="355" t="s">
        <v>8159</v>
      </c>
      <c r="H123" s="356" t="s">
        <v>8160</v>
      </c>
      <c r="I123" s="354" t="s">
        <v>254</v>
      </c>
      <c r="J123" s="340" t="s">
        <v>7981</v>
      </c>
      <c r="K123" s="339" t="s">
        <v>70</v>
      </c>
      <c r="L123" s="357">
        <v>52</v>
      </c>
      <c r="M123" s="358" t="s">
        <v>6609</v>
      </c>
      <c r="N123" s="359">
        <v>1000</v>
      </c>
      <c r="O123" s="360" t="s">
        <v>532</v>
      </c>
      <c r="P123" s="343" t="s">
        <v>533</v>
      </c>
      <c r="Q123" s="342" t="s">
        <v>2688</v>
      </c>
      <c r="R123" s="344">
        <v>25</v>
      </c>
      <c r="S123" s="345">
        <v>35</v>
      </c>
      <c r="T123" s="362">
        <v>20</v>
      </c>
      <c r="U123" s="361">
        <v>97.14</v>
      </c>
      <c r="V123" s="346">
        <v>131.92786753263275</v>
      </c>
      <c r="W123" s="348">
        <v>131.3723119770772</v>
      </c>
      <c r="X123" s="347">
        <v>66.540000000000006</v>
      </c>
      <c r="Y123" s="357">
        <v>67.47</v>
      </c>
      <c r="Z123" s="365" t="s">
        <v>2689</v>
      </c>
      <c r="AA123" s="350">
        <v>200</v>
      </c>
      <c r="AB123" s="349" t="s">
        <v>2685</v>
      </c>
      <c r="AC123" s="350">
        <v>3</v>
      </c>
      <c r="AD123" s="349" t="s">
        <v>2685</v>
      </c>
      <c r="AE123" s="364">
        <v>0</v>
      </c>
      <c r="AF123" s="366">
        <v>0</v>
      </c>
      <c r="AG123" s="363">
        <v>0</v>
      </c>
      <c r="AH123" s="635" t="s">
        <v>408</v>
      </c>
      <c r="AI123" s="324"/>
      <c r="AL123" s="487" t="s">
        <v>14228</v>
      </c>
      <c r="AM123" s="480" t="s">
        <v>70</v>
      </c>
      <c r="AN123" s="637" t="s">
        <v>7146</v>
      </c>
      <c r="AO123" s="478">
        <v>-472</v>
      </c>
      <c r="AP123" s="463">
        <v>-472</v>
      </c>
      <c r="AQ123" s="479">
        <v>0</v>
      </c>
      <c r="AR123" s="476" t="s">
        <v>14229</v>
      </c>
      <c r="BA123" s="313" t="s">
        <v>2869</v>
      </c>
    </row>
    <row r="124" spans="2:53" ht="16.5" customHeight="1">
      <c r="B124" s="367" t="s">
        <v>2884</v>
      </c>
      <c r="C124" s="351" t="s">
        <v>2885</v>
      </c>
      <c r="D124" s="353">
        <v>-315</v>
      </c>
      <c r="E124" s="352" t="s">
        <v>408</v>
      </c>
      <c r="F124" s="341">
        <v>97.13</v>
      </c>
      <c r="G124" s="355" t="s">
        <v>8161</v>
      </c>
      <c r="H124" s="356" t="s">
        <v>8162</v>
      </c>
      <c r="I124" s="354" t="s">
        <v>8163</v>
      </c>
      <c r="J124" s="340" t="s">
        <v>253</v>
      </c>
      <c r="K124" s="339" t="s">
        <v>70</v>
      </c>
      <c r="L124" s="357">
        <v>15</v>
      </c>
      <c r="M124" s="358" t="s">
        <v>8164</v>
      </c>
      <c r="N124" s="359">
        <v>1000</v>
      </c>
      <c r="O124" s="360" t="s">
        <v>454</v>
      </c>
      <c r="P124" s="343" t="s">
        <v>454</v>
      </c>
      <c r="Q124" s="342" t="s">
        <v>2688</v>
      </c>
      <c r="R124" s="344">
        <v>20</v>
      </c>
      <c r="S124" s="345">
        <v>25</v>
      </c>
      <c r="T124" s="362">
        <v>30</v>
      </c>
      <c r="U124" s="361">
        <v>97.13</v>
      </c>
      <c r="V124" s="346">
        <v>131.92592592592592</v>
      </c>
      <c r="W124" s="348">
        <v>131.37037037037038</v>
      </c>
      <c r="X124" s="347">
        <v>66.540000000000006</v>
      </c>
      <c r="Y124" s="357" t="s">
        <v>408</v>
      </c>
      <c r="Z124" s="365" t="s">
        <v>2689</v>
      </c>
      <c r="AA124" s="350">
        <v>200</v>
      </c>
      <c r="AB124" s="349" t="s">
        <v>2685</v>
      </c>
      <c r="AC124" s="350">
        <v>50</v>
      </c>
      <c r="AD124" s="349" t="s">
        <v>2685</v>
      </c>
      <c r="AE124" s="364">
        <v>0</v>
      </c>
      <c r="AF124" s="366">
        <v>0</v>
      </c>
      <c r="AG124" s="363">
        <v>0</v>
      </c>
      <c r="AH124" s="635" t="s">
        <v>408</v>
      </c>
      <c r="AI124" s="324"/>
      <c r="AL124" s="487" t="s">
        <v>14230</v>
      </c>
      <c r="AM124" s="477" t="s">
        <v>70</v>
      </c>
      <c r="AN124" s="637" t="s">
        <v>7148</v>
      </c>
      <c r="AO124" s="478">
        <v>-315</v>
      </c>
      <c r="AP124" s="463">
        <v>-315</v>
      </c>
      <c r="AQ124" s="479">
        <v>0</v>
      </c>
      <c r="AR124" s="476" t="s">
        <v>16819</v>
      </c>
      <c r="BA124" s="313" t="s">
        <v>2872</v>
      </c>
    </row>
    <row r="125" spans="2:53" ht="16.5" customHeight="1">
      <c r="B125" s="367" t="s">
        <v>2889</v>
      </c>
      <c r="C125" s="351" t="s">
        <v>2890</v>
      </c>
      <c r="D125" s="353">
        <v>-537</v>
      </c>
      <c r="E125" s="352" t="s">
        <v>408</v>
      </c>
      <c r="F125" s="341">
        <v>97.12</v>
      </c>
      <c r="G125" s="355" t="s">
        <v>8165</v>
      </c>
      <c r="H125" s="356" t="s">
        <v>8166</v>
      </c>
      <c r="I125" s="354" t="s">
        <v>216</v>
      </c>
      <c r="J125" s="340" t="s">
        <v>7917</v>
      </c>
      <c r="K125" s="339" t="s">
        <v>70</v>
      </c>
      <c r="L125" s="357">
        <v>10</v>
      </c>
      <c r="M125" s="358" t="s">
        <v>8167</v>
      </c>
      <c r="N125" s="359">
        <v>300</v>
      </c>
      <c r="O125" s="360" t="s">
        <v>530</v>
      </c>
      <c r="P125" s="343" t="s">
        <v>530</v>
      </c>
      <c r="Q125" s="342" t="s">
        <v>2688</v>
      </c>
      <c r="R125" s="344">
        <v>25</v>
      </c>
      <c r="S125" s="345">
        <v>45</v>
      </c>
      <c r="T125" s="362">
        <v>30</v>
      </c>
      <c r="U125" s="361">
        <v>97.12</v>
      </c>
      <c r="V125" s="346">
        <v>131.90604782425797</v>
      </c>
      <c r="W125" s="348">
        <v>131.35049226870242</v>
      </c>
      <c r="X125" s="347">
        <v>66.53</v>
      </c>
      <c r="Y125" s="357" t="s">
        <v>408</v>
      </c>
      <c r="Z125" s="365" t="s">
        <v>2689</v>
      </c>
      <c r="AA125" s="350">
        <v>0</v>
      </c>
      <c r="AB125" s="349" t="s">
        <v>2685</v>
      </c>
      <c r="AC125" s="350">
        <v>0</v>
      </c>
      <c r="AD125" s="349" t="s">
        <v>2685</v>
      </c>
      <c r="AE125" s="364">
        <v>0</v>
      </c>
      <c r="AF125" s="366">
        <v>0</v>
      </c>
      <c r="AG125" s="363">
        <v>0</v>
      </c>
      <c r="AH125" s="635" t="s">
        <v>408</v>
      </c>
      <c r="AI125" s="324"/>
      <c r="AL125" s="487" t="s">
        <v>14231</v>
      </c>
      <c r="AM125" s="480" t="s">
        <v>70</v>
      </c>
      <c r="AN125" s="637" t="s">
        <v>7178</v>
      </c>
      <c r="AO125" s="478">
        <v>-537</v>
      </c>
      <c r="AP125" s="463">
        <v>-537</v>
      </c>
      <c r="AQ125" s="479">
        <v>0</v>
      </c>
      <c r="AR125" s="476" t="s">
        <v>14232</v>
      </c>
      <c r="BA125" s="313" t="s">
        <v>2873</v>
      </c>
    </row>
    <row r="126" spans="2:53" ht="16.5" customHeight="1">
      <c r="B126" s="367" t="s">
        <v>2884</v>
      </c>
      <c r="C126" s="351" t="s">
        <v>2885</v>
      </c>
      <c r="D126" s="353">
        <v>-476</v>
      </c>
      <c r="E126" s="352" t="s">
        <v>408</v>
      </c>
      <c r="F126" s="341">
        <v>97.12</v>
      </c>
      <c r="G126" s="355" t="s">
        <v>3118</v>
      </c>
      <c r="H126" s="356" t="s">
        <v>18372</v>
      </c>
      <c r="I126" s="354" t="s">
        <v>196</v>
      </c>
      <c r="J126" s="340" t="s">
        <v>8168</v>
      </c>
      <c r="K126" s="339" t="s">
        <v>70</v>
      </c>
      <c r="L126" s="357">
        <v>33</v>
      </c>
      <c r="M126" s="358" t="s">
        <v>2783</v>
      </c>
      <c r="N126" s="359">
        <v>600</v>
      </c>
      <c r="O126" s="360" t="s">
        <v>530</v>
      </c>
      <c r="P126" s="343" t="s">
        <v>530</v>
      </c>
      <c r="Q126" s="342" t="s">
        <v>2688</v>
      </c>
      <c r="R126" s="344">
        <v>33</v>
      </c>
      <c r="S126" s="345">
        <v>40</v>
      </c>
      <c r="T126" s="362">
        <v>27</v>
      </c>
      <c r="U126" s="361">
        <v>97.12</v>
      </c>
      <c r="V126" s="346">
        <v>131.91559340979595</v>
      </c>
      <c r="W126" s="348">
        <v>131.3600378542404</v>
      </c>
      <c r="X126" s="347">
        <v>66.53</v>
      </c>
      <c r="Y126" s="357" t="s">
        <v>408</v>
      </c>
      <c r="Z126" s="365" t="s">
        <v>2689</v>
      </c>
      <c r="AA126" s="350">
        <v>0</v>
      </c>
      <c r="AB126" s="349" t="s">
        <v>2685</v>
      </c>
      <c r="AC126" s="350">
        <v>0</v>
      </c>
      <c r="AD126" s="349" t="s">
        <v>2685</v>
      </c>
      <c r="AE126" s="364">
        <v>0</v>
      </c>
      <c r="AF126" s="366">
        <v>3</v>
      </c>
      <c r="AG126" s="363">
        <v>0</v>
      </c>
      <c r="AH126" s="635" t="s">
        <v>2818</v>
      </c>
      <c r="AI126" s="324"/>
      <c r="AL126" s="487" t="s">
        <v>14233</v>
      </c>
      <c r="AM126" s="480" t="s">
        <v>70</v>
      </c>
      <c r="AN126" s="637" t="s">
        <v>7146</v>
      </c>
      <c r="AO126" s="478">
        <v>-476</v>
      </c>
      <c r="AP126" s="463">
        <v>-476</v>
      </c>
      <c r="AQ126" s="479">
        <v>0</v>
      </c>
      <c r="AR126" s="476" t="s">
        <v>14234</v>
      </c>
      <c r="BA126" s="313" t="s">
        <v>2874</v>
      </c>
    </row>
    <row r="127" spans="2:53" ht="16.5" customHeight="1">
      <c r="B127" s="367" t="s">
        <v>18184</v>
      </c>
      <c r="C127" s="351" t="s">
        <v>18185</v>
      </c>
      <c r="D127" s="353">
        <v>-291</v>
      </c>
      <c r="E127" s="352" t="s">
        <v>408</v>
      </c>
      <c r="F127" s="341">
        <v>97.09</v>
      </c>
      <c r="G127" s="355" t="s">
        <v>18373</v>
      </c>
      <c r="H127" s="356" t="s">
        <v>3038</v>
      </c>
      <c r="I127" s="354" t="s">
        <v>212</v>
      </c>
      <c r="J127" s="340" t="s">
        <v>8038</v>
      </c>
      <c r="K127" s="339" t="s">
        <v>70</v>
      </c>
      <c r="L127" s="357">
        <v>4</v>
      </c>
      <c r="M127" s="358" t="s">
        <v>8039</v>
      </c>
      <c r="N127" s="359">
        <v>800</v>
      </c>
      <c r="O127" s="360" t="s">
        <v>532</v>
      </c>
      <c r="P127" s="343" t="s">
        <v>532</v>
      </c>
      <c r="Q127" s="342" t="s">
        <v>2688</v>
      </c>
      <c r="R127" s="344">
        <v>30</v>
      </c>
      <c r="S127" s="345">
        <v>40</v>
      </c>
      <c r="T127" s="362">
        <v>30</v>
      </c>
      <c r="U127" s="361">
        <v>97.09</v>
      </c>
      <c r="V127" s="346">
        <v>131.88078013582722</v>
      </c>
      <c r="W127" s="348">
        <v>131.32522458027168</v>
      </c>
      <c r="X127" s="347" t="s">
        <v>18374</v>
      </c>
      <c r="Y127" s="357" t="s">
        <v>408</v>
      </c>
      <c r="Z127" s="365" t="s">
        <v>2689</v>
      </c>
      <c r="AA127" s="350">
        <v>200</v>
      </c>
      <c r="AB127" s="349" t="s">
        <v>2685</v>
      </c>
      <c r="AC127" s="350">
        <v>10</v>
      </c>
      <c r="AD127" s="349" t="s">
        <v>2685</v>
      </c>
      <c r="AE127" s="364">
        <v>0</v>
      </c>
      <c r="AF127" s="366">
        <v>0</v>
      </c>
      <c r="AG127" s="363">
        <v>0</v>
      </c>
      <c r="AH127" s="635" t="s">
        <v>408</v>
      </c>
      <c r="AI127" s="324"/>
      <c r="AL127" s="487" t="s">
        <v>14184</v>
      </c>
      <c r="AM127" s="477" t="s">
        <v>70</v>
      </c>
      <c r="AN127" s="637" t="s">
        <v>7148</v>
      </c>
      <c r="AO127" s="478">
        <v>-291</v>
      </c>
      <c r="AP127" s="463">
        <v>-291</v>
      </c>
      <c r="AQ127" s="479">
        <v>0</v>
      </c>
      <c r="AR127" s="476" t="s">
        <v>17109</v>
      </c>
      <c r="BA127" s="313" t="s">
        <v>2875</v>
      </c>
    </row>
    <row r="128" spans="2:53" ht="16.5" customHeight="1">
      <c r="B128" s="367" t="s">
        <v>2894</v>
      </c>
      <c r="C128" s="351" t="s">
        <v>2895</v>
      </c>
      <c r="D128" s="353">
        <v>-634</v>
      </c>
      <c r="E128" s="352" t="s">
        <v>408</v>
      </c>
      <c r="F128" s="341">
        <v>97.06</v>
      </c>
      <c r="G128" s="355" t="s">
        <v>8169</v>
      </c>
      <c r="H128" s="356" t="s">
        <v>8166</v>
      </c>
      <c r="I128" s="354" t="s">
        <v>249</v>
      </c>
      <c r="J128" s="340" t="s">
        <v>240</v>
      </c>
      <c r="K128" s="339" t="s">
        <v>70</v>
      </c>
      <c r="L128" s="357">
        <v>36</v>
      </c>
      <c r="M128" s="358" t="s">
        <v>8170</v>
      </c>
      <c r="N128" s="359">
        <v>1000</v>
      </c>
      <c r="O128" s="360" t="s">
        <v>454</v>
      </c>
      <c r="P128" s="343" t="s">
        <v>454</v>
      </c>
      <c r="Q128" s="342" t="s">
        <v>2688</v>
      </c>
      <c r="R128" s="344">
        <v>20</v>
      </c>
      <c r="S128" s="345">
        <v>30</v>
      </c>
      <c r="T128" s="362">
        <v>30</v>
      </c>
      <c r="U128" s="361">
        <v>97.06</v>
      </c>
      <c r="V128" s="346">
        <v>131.84950602246582</v>
      </c>
      <c r="W128" s="348">
        <v>131.29395046691027</v>
      </c>
      <c r="X128" s="347">
        <v>66.489999999999995</v>
      </c>
      <c r="Y128" s="357" t="s">
        <v>408</v>
      </c>
      <c r="Z128" s="365" t="s">
        <v>2689</v>
      </c>
      <c r="AA128" s="350">
        <v>200</v>
      </c>
      <c r="AB128" s="349" t="s">
        <v>2685</v>
      </c>
      <c r="AC128" s="350">
        <v>10</v>
      </c>
      <c r="AD128" s="349" t="s">
        <v>2685</v>
      </c>
      <c r="AE128" s="364">
        <v>0</v>
      </c>
      <c r="AF128" s="366">
        <v>20.382999999999999</v>
      </c>
      <c r="AG128" s="363">
        <v>0</v>
      </c>
      <c r="AH128" s="635" t="s">
        <v>8171</v>
      </c>
      <c r="AI128" s="324"/>
      <c r="AL128" s="487" t="s">
        <v>14236</v>
      </c>
      <c r="AM128" s="477" t="s">
        <v>70</v>
      </c>
      <c r="AN128" s="637">
        <v>100</v>
      </c>
      <c r="AO128" s="478">
        <v>-634</v>
      </c>
      <c r="AP128" s="463">
        <v>-634</v>
      </c>
      <c r="AQ128" s="479">
        <v>0</v>
      </c>
      <c r="AR128" s="476" t="s">
        <v>14237</v>
      </c>
      <c r="BA128" s="313" t="s">
        <v>2876</v>
      </c>
    </row>
    <row r="129" spans="2:53" ht="16.5" customHeight="1">
      <c r="B129" s="367" t="s">
        <v>2897</v>
      </c>
      <c r="C129" s="351" t="s">
        <v>2898</v>
      </c>
      <c r="D129" s="353">
        <v>-635</v>
      </c>
      <c r="E129" s="352" t="s">
        <v>408</v>
      </c>
      <c r="F129" s="341">
        <v>97.06</v>
      </c>
      <c r="G129" s="355" t="s">
        <v>8172</v>
      </c>
      <c r="H129" s="356" t="s">
        <v>8173</v>
      </c>
      <c r="I129" s="354" t="s">
        <v>77</v>
      </c>
      <c r="J129" s="340" t="s">
        <v>8174</v>
      </c>
      <c r="K129" s="339" t="s">
        <v>70</v>
      </c>
      <c r="L129" s="357">
        <v>21</v>
      </c>
      <c r="M129" s="358" t="s">
        <v>8175</v>
      </c>
      <c r="N129" s="359">
        <v>1000</v>
      </c>
      <c r="O129" s="360" t="s">
        <v>530</v>
      </c>
      <c r="P129" s="343" t="s">
        <v>531</v>
      </c>
      <c r="Q129" s="342" t="s">
        <v>2688</v>
      </c>
      <c r="R129" s="344">
        <v>20</v>
      </c>
      <c r="S129" s="345">
        <v>40</v>
      </c>
      <c r="T129" s="362">
        <v>30</v>
      </c>
      <c r="U129" s="361">
        <v>97.06</v>
      </c>
      <c r="V129" s="346">
        <v>131.84304663419471</v>
      </c>
      <c r="W129" s="348">
        <v>131.28749107863916</v>
      </c>
      <c r="X129" s="347">
        <v>66.48</v>
      </c>
      <c r="Y129" s="357">
        <v>67.150000000000006</v>
      </c>
      <c r="Z129" s="365" t="s">
        <v>2689</v>
      </c>
      <c r="AA129" s="350">
        <v>63.5</v>
      </c>
      <c r="AB129" s="349" t="s">
        <v>2685</v>
      </c>
      <c r="AC129" s="350">
        <v>0</v>
      </c>
      <c r="AD129" s="349" t="s">
        <v>2685</v>
      </c>
      <c r="AE129" s="364">
        <v>0</v>
      </c>
      <c r="AF129" s="366">
        <v>10.073</v>
      </c>
      <c r="AG129" s="363">
        <v>0</v>
      </c>
      <c r="AH129" s="635" t="s">
        <v>7787</v>
      </c>
      <c r="AI129" s="324"/>
      <c r="AL129" s="487" t="s">
        <v>14238</v>
      </c>
      <c r="AM129" s="477" t="s">
        <v>70</v>
      </c>
      <c r="AN129" s="637">
        <v>100</v>
      </c>
      <c r="AO129" s="478">
        <v>-635</v>
      </c>
      <c r="AP129" s="463">
        <v>-635</v>
      </c>
      <c r="AQ129" s="479">
        <v>0</v>
      </c>
      <c r="AR129" s="476" t="s">
        <v>14239</v>
      </c>
      <c r="BA129" s="313" t="s">
        <v>2877</v>
      </c>
    </row>
    <row r="130" spans="2:53" ht="16.5" customHeight="1">
      <c r="B130" s="367" t="s">
        <v>2902</v>
      </c>
      <c r="C130" s="351" t="s">
        <v>2903</v>
      </c>
      <c r="D130" s="353">
        <v>-635</v>
      </c>
      <c r="E130" s="352" t="s">
        <v>408</v>
      </c>
      <c r="F130" s="341">
        <v>97.04</v>
      </c>
      <c r="G130" s="355" t="s">
        <v>8176</v>
      </c>
      <c r="H130" s="356" t="s">
        <v>18372</v>
      </c>
      <c r="I130" s="354" t="s">
        <v>218</v>
      </c>
      <c r="J130" s="340" t="s">
        <v>8178</v>
      </c>
      <c r="K130" s="339" t="s">
        <v>70</v>
      </c>
      <c r="L130" s="357">
        <v>5</v>
      </c>
      <c r="M130" s="358" t="s">
        <v>8179</v>
      </c>
      <c r="N130" s="359">
        <v>300</v>
      </c>
      <c r="O130" s="360" t="s">
        <v>454</v>
      </c>
      <c r="P130" s="343" t="s">
        <v>454</v>
      </c>
      <c r="Q130" s="342" t="s">
        <v>2688</v>
      </c>
      <c r="R130" s="344">
        <v>0</v>
      </c>
      <c r="S130" s="345">
        <v>33</v>
      </c>
      <c r="T130" s="362">
        <v>33</v>
      </c>
      <c r="U130" s="361">
        <v>97.04</v>
      </c>
      <c r="V130" s="346">
        <v>131.82222222222222</v>
      </c>
      <c r="W130" s="348">
        <v>131.26666666666668</v>
      </c>
      <c r="X130" s="347">
        <v>66.47</v>
      </c>
      <c r="Y130" s="357" t="s">
        <v>408</v>
      </c>
      <c r="Z130" s="365" t="s">
        <v>2689</v>
      </c>
      <c r="AA130" s="350">
        <v>100</v>
      </c>
      <c r="AB130" s="349" t="s">
        <v>2685</v>
      </c>
      <c r="AC130" s="350">
        <v>0</v>
      </c>
      <c r="AD130" s="349" t="s">
        <v>2685</v>
      </c>
      <c r="AE130" s="364">
        <v>0</v>
      </c>
      <c r="AF130" s="366">
        <v>0</v>
      </c>
      <c r="AG130" s="363">
        <v>0</v>
      </c>
      <c r="AH130" s="635" t="s">
        <v>7926</v>
      </c>
      <c r="AI130" s="324"/>
      <c r="AL130" s="487" t="s">
        <v>14240</v>
      </c>
      <c r="AM130" s="477" t="s">
        <v>70</v>
      </c>
      <c r="AN130" s="637">
        <v>100</v>
      </c>
      <c r="AO130" s="478">
        <v>-635</v>
      </c>
      <c r="AP130" s="463">
        <v>-635</v>
      </c>
      <c r="AQ130" s="479">
        <v>0</v>
      </c>
      <c r="AR130" s="476" t="s">
        <v>14241</v>
      </c>
      <c r="BA130" s="313" t="s">
        <v>2878</v>
      </c>
    </row>
    <row r="131" spans="2:53" ht="16.5" customHeight="1">
      <c r="B131" s="367" t="s">
        <v>2902</v>
      </c>
      <c r="C131" s="351" t="s">
        <v>2903</v>
      </c>
      <c r="D131" s="353">
        <v>-573</v>
      </c>
      <c r="E131" s="352" t="s">
        <v>408</v>
      </c>
      <c r="F131" s="341">
        <v>97.04</v>
      </c>
      <c r="G131" s="355" t="s">
        <v>8176</v>
      </c>
      <c r="H131" s="356" t="s">
        <v>8009</v>
      </c>
      <c r="I131" s="354" t="s">
        <v>196</v>
      </c>
      <c r="J131" s="340" t="s">
        <v>7248</v>
      </c>
      <c r="K131" s="339" t="s">
        <v>70</v>
      </c>
      <c r="L131" s="357">
        <v>10</v>
      </c>
      <c r="M131" s="358" t="s">
        <v>8180</v>
      </c>
      <c r="N131" s="359">
        <v>600</v>
      </c>
      <c r="O131" s="360" t="s">
        <v>530</v>
      </c>
      <c r="P131" s="343" t="s">
        <v>530</v>
      </c>
      <c r="Q131" s="342" t="s">
        <v>2688</v>
      </c>
      <c r="R131" s="344">
        <v>33</v>
      </c>
      <c r="S131" s="345">
        <v>40</v>
      </c>
      <c r="T131" s="362">
        <v>27</v>
      </c>
      <c r="U131" s="361">
        <v>97.04</v>
      </c>
      <c r="V131" s="346">
        <v>131.82498315078442</v>
      </c>
      <c r="W131" s="348">
        <v>131.26942759522888</v>
      </c>
      <c r="X131" s="347">
        <v>66.47</v>
      </c>
      <c r="Y131" s="357" t="s">
        <v>408</v>
      </c>
      <c r="Z131" s="365" t="s">
        <v>2689</v>
      </c>
      <c r="AA131" s="350">
        <v>0</v>
      </c>
      <c r="AB131" s="349" t="s">
        <v>2685</v>
      </c>
      <c r="AC131" s="350">
        <v>0</v>
      </c>
      <c r="AD131" s="349" t="s">
        <v>2685</v>
      </c>
      <c r="AE131" s="364">
        <v>0</v>
      </c>
      <c r="AF131" s="366">
        <v>3</v>
      </c>
      <c r="AG131" s="363">
        <v>0</v>
      </c>
      <c r="AH131" s="635" t="s">
        <v>2690</v>
      </c>
      <c r="AI131" s="324"/>
      <c r="AL131" s="487" t="s">
        <v>14242</v>
      </c>
      <c r="AM131" s="477" t="s">
        <v>70</v>
      </c>
      <c r="AN131" s="637" t="s">
        <v>14225</v>
      </c>
      <c r="AO131" s="478">
        <v>-573</v>
      </c>
      <c r="AP131" s="463">
        <v>-573</v>
      </c>
      <c r="AQ131" s="479">
        <v>0</v>
      </c>
      <c r="AR131" s="476" t="s">
        <v>14243</v>
      </c>
      <c r="BA131" s="313" t="s">
        <v>2879</v>
      </c>
    </row>
    <row r="132" spans="2:53" ht="16.5" customHeight="1">
      <c r="B132" s="367" t="s">
        <v>8181</v>
      </c>
      <c r="C132" s="351" t="s">
        <v>8182</v>
      </c>
      <c r="D132" s="353">
        <v>-319</v>
      </c>
      <c r="E132" s="352" t="s">
        <v>408</v>
      </c>
      <c r="F132" s="341">
        <v>97.03</v>
      </c>
      <c r="G132" s="355" t="s">
        <v>8183</v>
      </c>
      <c r="H132" s="356" t="s">
        <v>8177</v>
      </c>
      <c r="I132" s="354" t="s">
        <v>245</v>
      </c>
      <c r="J132" s="340" t="s">
        <v>429</v>
      </c>
      <c r="K132" s="339" t="s">
        <v>70</v>
      </c>
      <c r="L132" s="357">
        <v>19</v>
      </c>
      <c r="M132" s="358" t="s">
        <v>8184</v>
      </c>
      <c r="N132" s="359">
        <v>800</v>
      </c>
      <c r="O132" s="360" t="s">
        <v>454</v>
      </c>
      <c r="P132" s="343" t="s">
        <v>454</v>
      </c>
      <c r="Q132" s="342" t="s">
        <v>2738</v>
      </c>
      <c r="R132" s="344">
        <v>25</v>
      </c>
      <c r="S132" s="345">
        <v>35</v>
      </c>
      <c r="T132" s="362">
        <v>15</v>
      </c>
      <c r="U132" s="361">
        <v>97.03</v>
      </c>
      <c r="V132" s="346">
        <v>131.81481481481481</v>
      </c>
      <c r="W132" s="348">
        <v>131.25925925925927</v>
      </c>
      <c r="X132" s="347">
        <v>66.459999999999994</v>
      </c>
      <c r="Y132" s="357" t="s">
        <v>408</v>
      </c>
      <c r="Z132" s="365" t="s">
        <v>2689</v>
      </c>
      <c r="AA132" s="350">
        <v>200</v>
      </c>
      <c r="AB132" s="349" t="s">
        <v>2685</v>
      </c>
      <c r="AC132" s="350">
        <v>10</v>
      </c>
      <c r="AD132" s="349" t="s">
        <v>2685</v>
      </c>
      <c r="AE132" s="364">
        <v>0</v>
      </c>
      <c r="AF132" s="366">
        <v>0</v>
      </c>
      <c r="AG132" s="363">
        <v>0</v>
      </c>
      <c r="AH132" s="635" t="s">
        <v>408</v>
      </c>
      <c r="AI132" s="324"/>
      <c r="AL132" s="487" t="s">
        <v>7166</v>
      </c>
      <c r="AM132" s="477" t="s">
        <v>70</v>
      </c>
      <c r="AN132" s="637" t="s">
        <v>7148</v>
      </c>
      <c r="AO132" s="478">
        <v>-319</v>
      </c>
      <c r="AP132" s="463">
        <v>-319</v>
      </c>
      <c r="AQ132" s="479">
        <v>0</v>
      </c>
      <c r="AR132" s="476" t="s">
        <v>14244</v>
      </c>
      <c r="BA132" s="313" t="s">
        <v>2880</v>
      </c>
    </row>
    <row r="133" spans="2:53" ht="16.5" customHeight="1">
      <c r="B133" s="367" t="s">
        <v>2905</v>
      </c>
      <c r="C133" s="351" t="s">
        <v>2906</v>
      </c>
      <c r="D133" s="353">
        <v>-638</v>
      </c>
      <c r="E133" s="352" t="s">
        <v>408</v>
      </c>
      <c r="F133" s="341">
        <v>97.02</v>
      </c>
      <c r="G133" s="355" t="s">
        <v>8185</v>
      </c>
      <c r="H133" s="356" t="s">
        <v>18375</v>
      </c>
      <c r="I133" s="354" t="s">
        <v>7970</v>
      </c>
      <c r="J133" s="340" t="s">
        <v>240</v>
      </c>
      <c r="K133" s="339" t="s">
        <v>70</v>
      </c>
      <c r="L133" s="357">
        <v>14</v>
      </c>
      <c r="M133" s="358" t="s">
        <v>8186</v>
      </c>
      <c r="N133" s="359">
        <v>1000</v>
      </c>
      <c r="O133" s="360" t="s">
        <v>454</v>
      </c>
      <c r="P133" s="343" t="s">
        <v>454</v>
      </c>
      <c r="Q133" s="342" t="s">
        <v>2688</v>
      </c>
      <c r="R133" s="344">
        <v>25</v>
      </c>
      <c r="S133" s="345">
        <v>35</v>
      </c>
      <c r="T133" s="362">
        <v>20</v>
      </c>
      <c r="U133" s="361">
        <v>97.02</v>
      </c>
      <c r="V133" s="346">
        <v>131.7984817115252</v>
      </c>
      <c r="W133" s="348">
        <v>131.24292615596966</v>
      </c>
      <c r="X133" s="347">
        <v>66.45</v>
      </c>
      <c r="Y133" s="357" t="s">
        <v>408</v>
      </c>
      <c r="Z133" s="365" t="s">
        <v>2689</v>
      </c>
      <c r="AA133" s="350">
        <v>200</v>
      </c>
      <c r="AB133" s="349" t="s">
        <v>2685</v>
      </c>
      <c r="AC133" s="350">
        <v>10</v>
      </c>
      <c r="AD133" s="349" t="s">
        <v>2685</v>
      </c>
      <c r="AE133" s="364">
        <v>0</v>
      </c>
      <c r="AF133" s="366">
        <v>4.851</v>
      </c>
      <c r="AG133" s="363">
        <v>0</v>
      </c>
      <c r="AH133" s="635" t="s">
        <v>8062</v>
      </c>
      <c r="AI133" s="324"/>
      <c r="AL133" s="487" t="s">
        <v>14245</v>
      </c>
      <c r="AM133" s="477" t="s">
        <v>70</v>
      </c>
      <c r="AN133" s="637">
        <v>100</v>
      </c>
      <c r="AO133" s="478">
        <v>-638</v>
      </c>
      <c r="AP133" s="463">
        <v>-638</v>
      </c>
      <c r="AQ133" s="479">
        <v>0</v>
      </c>
      <c r="AR133" s="476" t="s">
        <v>17110</v>
      </c>
      <c r="BA133" s="313" t="s">
        <v>2883</v>
      </c>
    </row>
    <row r="134" spans="2:53" ht="16.5" customHeight="1">
      <c r="B134" s="367" t="s">
        <v>8192</v>
      </c>
      <c r="C134" s="351" t="s">
        <v>8193</v>
      </c>
      <c r="D134" s="353">
        <v>-624</v>
      </c>
      <c r="E134" s="352" t="s">
        <v>408</v>
      </c>
      <c r="F134" s="341">
        <v>97</v>
      </c>
      <c r="G134" s="355" t="s">
        <v>8194</v>
      </c>
      <c r="H134" s="356" t="s">
        <v>8195</v>
      </c>
      <c r="I134" s="354" t="s">
        <v>223</v>
      </c>
      <c r="J134" s="340" t="s">
        <v>427</v>
      </c>
      <c r="K134" s="339" t="s">
        <v>70</v>
      </c>
      <c r="L134" s="357">
        <v>22</v>
      </c>
      <c r="M134" s="358" t="s">
        <v>8196</v>
      </c>
      <c r="N134" s="359">
        <v>800</v>
      </c>
      <c r="O134" s="360" t="s">
        <v>454</v>
      </c>
      <c r="P134" s="343" t="s">
        <v>454</v>
      </c>
      <c r="Q134" s="342" t="s">
        <v>2688</v>
      </c>
      <c r="R134" s="344">
        <v>25</v>
      </c>
      <c r="S134" s="345">
        <v>35</v>
      </c>
      <c r="T134" s="362">
        <v>30</v>
      </c>
      <c r="U134" s="361">
        <v>97</v>
      </c>
      <c r="V134" s="346">
        <v>131.77777777777777</v>
      </c>
      <c r="W134" s="348">
        <v>131.22222222222223</v>
      </c>
      <c r="X134" s="347">
        <v>66.44</v>
      </c>
      <c r="Y134" s="357" t="s">
        <v>408</v>
      </c>
      <c r="Z134" s="365" t="s">
        <v>2689</v>
      </c>
      <c r="AA134" s="350">
        <v>80</v>
      </c>
      <c r="AB134" s="349" t="s">
        <v>2685</v>
      </c>
      <c r="AC134" s="350">
        <v>10</v>
      </c>
      <c r="AD134" s="349" t="s">
        <v>2685</v>
      </c>
      <c r="AE134" s="364">
        <v>0</v>
      </c>
      <c r="AF134" s="366">
        <v>0</v>
      </c>
      <c r="AG134" s="363">
        <v>0</v>
      </c>
      <c r="AH134" s="635" t="s">
        <v>408</v>
      </c>
      <c r="AI134" s="324"/>
      <c r="AL134" s="487" t="s">
        <v>7167</v>
      </c>
      <c r="AM134" s="480" t="s">
        <v>70</v>
      </c>
      <c r="AN134" s="637">
        <v>100</v>
      </c>
      <c r="AO134" s="478">
        <v>-624</v>
      </c>
      <c r="AP134" s="463">
        <v>-624</v>
      </c>
      <c r="AQ134" s="479">
        <v>0</v>
      </c>
      <c r="AR134" s="476" t="s">
        <v>14246</v>
      </c>
      <c r="BA134" s="313" t="s">
        <v>2886</v>
      </c>
    </row>
    <row r="135" spans="2:53" ht="16.5" customHeight="1">
      <c r="B135" s="367" t="s">
        <v>2912</v>
      </c>
      <c r="C135" s="351" t="s">
        <v>2913</v>
      </c>
      <c r="D135" s="353">
        <v>-312</v>
      </c>
      <c r="E135" s="352" t="s">
        <v>408</v>
      </c>
      <c r="F135" s="341">
        <v>96.98</v>
      </c>
      <c r="G135" s="355" t="s">
        <v>8198</v>
      </c>
      <c r="H135" s="356" t="s">
        <v>18376</v>
      </c>
      <c r="I135" s="354" t="s">
        <v>224</v>
      </c>
      <c r="J135" s="340" t="s">
        <v>8199</v>
      </c>
      <c r="K135" s="339" t="s">
        <v>71</v>
      </c>
      <c r="L135" s="357">
        <v>20</v>
      </c>
      <c r="M135" s="358" t="s">
        <v>8200</v>
      </c>
      <c r="N135" s="359">
        <v>1000</v>
      </c>
      <c r="O135" s="360" t="s">
        <v>532</v>
      </c>
      <c r="P135" s="343" t="s">
        <v>533</v>
      </c>
      <c r="Q135" s="342" t="s">
        <v>2688</v>
      </c>
      <c r="R135" s="344">
        <v>25</v>
      </c>
      <c r="S135" s="345">
        <v>30</v>
      </c>
      <c r="T135" s="362">
        <v>25</v>
      </c>
      <c r="U135" s="361">
        <v>96.98</v>
      </c>
      <c r="V135" s="346">
        <v>131.7502873164166</v>
      </c>
      <c r="W135" s="348">
        <v>131.19473176086106</v>
      </c>
      <c r="X135" s="347">
        <v>66.41</v>
      </c>
      <c r="Y135" s="357">
        <v>67.760000000000005</v>
      </c>
      <c r="Z135" s="365" t="s">
        <v>2689</v>
      </c>
      <c r="AA135" s="350">
        <v>200</v>
      </c>
      <c r="AB135" s="349" t="s">
        <v>2685</v>
      </c>
      <c r="AC135" s="350">
        <v>10</v>
      </c>
      <c r="AD135" s="349" t="s">
        <v>2685</v>
      </c>
      <c r="AE135" s="364">
        <v>0</v>
      </c>
      <c r="AF135" s="366">
        <v>14.493</v>
      </c>
      <c r="AG135" s="363">
        <v>0</v>
      </c>
      <c r="AH135" s="635" t="s">
        <v>7854</v>
      </c>
      <c r="AI135" s="324"/>
      <c r="AL135" s="487" t="s">
        <v>14247</v>
      </c>
      <c r="AM135" s="480" t="s">
        <v>71</v>
      </c>
      <c r="AN135" s="637" t="s">
        <v>7148</v>
      </c>
      <c r="AO135" s="478">
        <v>-312</v>
      </c>
      <c r="AP135" s="463">
        <v>-262</v>
      </c>
      <c r="AQ135" s="479">
        <v>-50</v>
      </c>
      <c r="AR135" s="476" t="s">
        <v>14248</v>
      </c>
      <c r="BA135" s="313" t="s">
        <v>2887</v>
      </c>
    </row>
    <row r="136" spans="2:53" ht="16.5" customHeight="1">
      <c r="B136" s="367" t="s">
        <v>8192</v>
      </c>
      <c r="C136" s="351" t="s">
        <v>8193</v>
      </c>
      <c r="D136" s="353">
        <v>-624</v>
      </c>
      <c r="E136" s="352" t="s">
        <v>408</v>
      </c>
      <c r="F136" s="341">
        <v>96.98</v>
      </c>
      <c r="G136" s="355" t="s">
        <v>8201</v>
      </c>
      <c r="H136" s="356" t="s">
        <v>8202</v>
      </c>
      <c r="I136" s="354" t="s">
        <v>77</v>
      </c>
      <c r="J136" s="340" t="s">
        <v>8203</v>
      </c>
      <c r="K136" s="339" t="s">
        <v>70</v>
      </c>
      <c r="L136" s="357">
        <v>11</v>
      </c>
      <c r="M136" s="358" t="s">
        <v>8204</v>
      </c>
      <c r="N136" s="359">
        <v>1000</v>
      </c>
      <c r="O136" s="360" t="s">
        <v>530</v>
      </c>
      <c r="P136" s="343" t="s">
        <v>531</v>
      </c>
      <c r="Q136" s="342" t="s">
        <v>2738</v>
      </c>
      <c r="R136" s="344">
        <v>20</v>
      </c>
      <c r="S136" s="345">
        <v>40</v>
      </c>
      <c r="T136" s="362">
        <v>30</v>
      </c>
      <c r="U136" s="361">
        <v>96.98</v>
      </c>
      <c r="V136" s="346">
        <v>131.75284606290384</v>
      </c>
      <c r="W136" s="348">
        <v>131.1972905073483</v>
      </c>
      <c r="X136" s="347">
        <v>66.41</v>
      </c>
      <c r="Y136" s="357">
        <v>67.11</v>
      </c>
      <c r="Z136" s="365" t="s">
        <v>2689</v>
      </c>
      <c r="AA136" s="350">
        <v>63.5</v>
      </c>
      <c r="AB136" s="349" t="s">
        <v>2685</v>
      </c>
      <c r="AC136" s="350">
        <v>0</v>
      </c>
      <c r="AD136" s="349" t="s">
        <v>2685</v>
      </c>
      <c r="AE136" s="364">
        <v>0</v>
      </c>
      <c r="AF136" s="366">
        <v>10.067</v>
      </c>
      <c r="AG136" s="363">
        <v>0</v>
      </c>
      <c r="AH136" s="635" t="s">
        <v>7787</v>
      </c>
      <c r="AI136" s="324"/>
      <c r="AL136" s="487" t="s">
        <v>14249</v>
      </c>
      <c r="AM136" s="480" t="s">
        <v>70</v>
      </c>
      <c r="AN136" s="637">
        <v>100</v>
      </c>
      <c r="AO136" s="478">
        <v>-624</v>
      </c>
      <c r="AP136" s="463">
        <v>-624</v>
      </c>
      <c r="AQ136" s="479">
        <v>0</v>
      </c>
      <c r="AR136" s="476" t="s">
        <v>14246</v>
      </c>
      <c r="BA136" s="313" t="s">
        <v>2888</v>
      </c>
    </row>
    <row r="137" spans="2:53" ht="16.5" customHeight="1">
      <c r="B137" s="367" t="s">
        <v>2912</v>
      </c>
      <c r="C137" s="351" t="s">
        <v>2913</v>
      </c>
      <c r="D137" s="353">
        <v>-575</v>
      </c>
      <c r="E137" s="352" t="s">
        <v>8189</v>
      </c>
      <c r="F137" s="341">
        <v>96.94</v>
      </c>
      <c r="G137" s="355" t="s">
        <v>8207</v>
      </c>
      <c r="H137" s="356" t="s">
        <v>8208</v>
      </c>
      <c r="I137" s="354" t="s">
        <v>196</v>
      </c>
      <c r="J137" s="340" t="s">
        <v>541</v>
      </c>
      <c r="K137" s="339" t="s">
        <v>70</v>
      </c>
      <c r="L137" s="357">
        <v>11</v>
      </c>
      <c r="M137" s="358" t="s">
        <v>8209</v>
      </c>
      <c r="N137" s="359">
        <v>600</v>
      </c>
      <c r="O137" s="360" t="s">
        <v>530</v>
      </c>
      <c r="P137" s="343" t="s">
        <v>530</v>
      </c>
      <c r="Q137" s="342" t="s">
        <v>2688</v>
      </c>
      <c r="R137" s="344">
        <v>33</v>
      </c>
      <c r="S137" s="345">
        <v>40</v>
      </c>
      <c r="T137" s="362">
        <v>27</v>
      </c>
      <c r="U137" s="361">
        <v>96.94</v>
      </c>
      <c r="V137" s="346">
        <v>131.70810319863406</v>
      </c>
      <c r="W137" s="348">
        <v>131.15254764307852</v>
      </c>
      <c r="X137" s="347">
        <v>66.38</v>
      </c>
      <c r="Y137" s="357" t="s">
        <v>408</v>
      </c>
      <c r="Z137" s="365" t="s">
        <v>2689</v>
      </c>
      <c r="AA137" s="350">
        <v>0</v>
      </c>
      <c r="AB137" s="349" t="s">
        <v>2685</v>
      </c>
      <c r="AC137" s="350">
        <v>0</v>
      </c>
      <c r="AD137" s="349" t="s">
        <v>2685</v>
      </c>
      <c r="AE137" s="364">
        <v>0</v>
      </c>
      <c r="AF137" s="366">
        <v>3</v>
      </c>
      <c r="AG137" s="363">
        <v>0</v>
      </c>
      <c r="AH137" s="635" t="s">
        <v>2818</v>
      </c>
      <c r="AI137" s="324"/>
      <c r="AL137" s="487" t="s">
        <v>14250</v>
      </c>
      <c r="AM137" s="477" t="s">
        <v>70</v>
      </c>
      <c r="AN137" s="637" t="s">
        <v>14225</v>
      </c>
      <c r="AO137" s="478">
        <v>-575</v>
      </c>
      <c r="AP137" s="463">
        <v>-575</v>
      </c>
      <c r="AQ137" s="479">
        <v>0</v>
      </c>
      <c r="AR137" s="476" t="s">
        <v>16820</v>
      </c>
      <c r="BA137" s="313" t="s">
        <v>2891</v>
      </c>
    </row>
    <row r="138" spans="2:53" ht="16.5" customHeight="1">
      <c r="B138" s="367" t="s">
        <v>8210</v>
      </c>
      <c r="C138" s="351" t="s">
        <v>8211</v>
      </c>
      <c r="D138" s="353">
        <v>-639</v>
      </c>
      <c r="E138" s="352" t="s">
        <v>8189</v>
      </c>
      <c r="F138" s="341">
        <v>96.93</v>
      </c>
      <c r="G138" s="355" t="s">
        <v>8212</v>
      </c>
      <c r="H138" s="356" t="s">
        <v>3028</v>
      </c>
      <c r="I138" s="354" t="s">
        <v>213</v>
      </c>
      <c r="J138" s="340" t="s">
        <v>7770</v>
      </c>
      <c r="K138" s="339" t="s">
        <v>70</v>
      </c>
      <c r="L138" s="357">
        <v>21</v>
      </c>
      <c r="M138" s="358" t="s">
        <v>8213</v>
      </c>
      <c r="N138" s="359">
        <v>1000</v>
      </c>
      <c r="O138" s="360" t="s">
        <v>454</v>
      </c>
      <c r="P138" s="343" t="s">
        <v>454</v>
      </c>
      <c r="Q138" s="342" t="s">
        <v>2688</v>
      </c>
      <c r="R138" s="344">
        <v>20</v>
      </c>
      <c r="S138" s="345">
        <v>30</v>
      </c>
      <c r="T138" s="362">
        <v>30</v>
      </c>
      <c r="U138" s="361">
        <v>96.93</v>
      </c>
      <c r="V138" s="346">
        <v>131.69444444444443</v>
      </c>
      <c r="W138" s="348">
        <v>131.13888888888889</v>
      </c>
      <c r="X138" s="347">
        <v>66.37</v>
      </c>
      <c r="Y138" s="357" t="s">
        <v>408</v>
      </c>
      <c r="Z138" s="365" t="s">
        <v>2689</v>
      </c>
      <c r="AA138" s="350">
        <v>200</v>
      </c>
      <c r="AB138" s="349" t="s">
        <v>2685</v>
      </c>
      <c r="AC138" s="350">
        <v>10</v>
      </c>
      <c r="AD138" s="349" t="s">
        <v>2685</v>
      </c>
      <c r="AE138" s="364">
        <v>0</v>
      </c>
      <c r="AF138" s="366">
        <v>0</v>
      </c>
      <c r="AG138" s="363">
        <v>0</v>
      </c>
      <c r="AH138" s="635" t="s">
        <v>408</v>
      </c>
      <c r="AI138" s="324"/>
      <c r="AL138" s="487" t="s">
        <v>14251</v>
      </c>
      <c r="AM138" s="477" t="s">
        <v>70</v>
      </c>
      <c r="AN138" s="637">
        <v>100</v>
      </c>
      <c r="AO138" s="478">
        <v>-639</v>
      </c>
      <c r="AP138" s="463">
        <v>-639</v>
      </c>
      <c r="AQ138" s="479">
        <v>0</v>
      </c>
      <c r="AR138" s="476" t="s">
        <v>16821</v>
      </c>
      <c r="BA138" s="313" t="s">
        <v>2892</v>
      </c>
    </row>
    <row r="139" spans="2:53" ht="16.5" customHeight="1">
      <c r="B139" s="367" t="s">
        <v>8210</v>
      </c>
      <c r="C139" s="351" t="s">
        <v>8211</v>
      </c>
      <c r="D139" s="353">
        <v>-640</v>
      </c>
      <c r="E139" s="352" t="s">
        <v>408</v>
      </c>
      <c r="F139" s="341">
        <v>96.9</v>
      </c>
      <c r="G139" s="355" t="s">
        <v>8218</v>
      </c>
      <c r="H139" s="356" t="s">
        <v>8013</v>
      </c>
      <c r="I139" s="354" t="s">
        <v>77</v>
      </c>
      <c r="J139" s="340" t="s">
        <v>8220</v>
      </c>
      <c r="K139" s="339" t="s">
        <v>70</v>
      </c>
      <c r="L139" s="357">
        <v>10</v>
      </c>
      <c r="M139" s="358" t="s">
        <v>8221</v>
      </c>
      <c r="N139" s="359">
        <v>1000</v>
      </c>
      <c r="O139" s="360" t="s">
        <v>530</v>
      </c>
      <c r="P139" s="343" t="s">
        <v>531</v>
      </c>
      <c r="Q139" s="342" t="s">
        <v>2738</v>
      </c>
      <c r="R139" s="344">
        <v>20</v>
      </c>
      <c r="S139" s="345">
        <v>40</v>
      </c>
      <c r="T139" s="362">
        <v>30</v>
      </c>
      <c r="U139" s="361">
        <v>96.9</v>
      </c>
      <c r="V139" s="346">
        <v>131.67029240302489</v>
      </c>
      <c r="W139" s="348">
        <v>131.11473684746935</v>
      </c>
      <c r="X139" s="347">
        <v>66.349999999999994</v>
      </c>
      <c r="Y139" s="357">
        <v>67.070000000000007</v>
      </c>
      <c r="Z139" s="365" t="s">
        <v>2689</v>
      </c>
      <c r="AA139" s="350">
        <v>63.5</v>
      </c>
      <c r="AB139" s="349" t="s">
        <v>2685</v>
      </c>
      <c r="AC139" s="350">
        <v>0</v>
      </c>
      <c r="AD139" s="349" t="s">
        <v>2685</v>
      </c>
      <c r="AE139" s="364">
        <v>0</v>
      </c>
      <c r="AF139" s="366">
        <v>10.061</v>
      </c>
      <c r="AG139" s="363">
        <v>0</v>
      </c>
      <c r="AH139" s="635" t="s">
        <v>7787</v>
      </c>
      <c r="AI139" s="324"/>
      <c r="AL139" s="487" t="s">
        <v>14252</v>
      </c>
      <c r="AM139" s="477" t="s">
        <v>70</v>
      </c>
      <c r="AN139" s="637">
        <v>100</v>
      </c>
      <c r="AO139" s="478">
        <v>-640</v>
      </c>
      <c r="AP139" s="463">
        <v>-640</v>
      </c>
      <c r="AQ139" s="479">
        <v>0</v>
      </c>
      <c r="AR139" s="476" t="s">
        <v>14253</v>
      </c>
      <c r="BA139" s="313" t="s">
        <v>2893</v>
      </c>
    </row>
    <row r="140" spans="2:53" ht="16.5" customHeight="1">
      <c r="B140" s="367" t="s">
        <v>2889</v>
      </c>
      <c r="C140" s="351" t="s">
        <v>2890</v>
      </c>
      <c r="D140" s="353">
        <v>-321</v>
      </c>
      <c r="E140" s="352" t="s">
        <v>3127</v>
      </c>
      <c r="F140" s="341">
        <v>96.88</v>
      </c>
      <c r="G140" s="355" t="s">
        <v>18377</v>
      </c>
      <c r="H140" s="356" t="s">
        <v>3036</v>
      </c>
      <c r="I140" s="354" t="s">
        <v>196</v>
      </c>
      <c r="J140" s="340" t="s">
        <v>8190</v>
      </c>
      <c r="K140" s="339" t="s">
        <v>71</v>
      </c>
      <c r="L140" s="357">
        <v>10</v>
      </c>
      <c r="M140" s="358" t="s">
        <v>8191</v>
      </c>
      <c r="N140" s="359">
        <v>600</v>
      </c>
      <c r="O140" s="360" t="s">
        <v>530</v>
      </c>
      <c r="P140" s="343" t="s">
        <v>530</v>
      </c>
      <c r="Q140" s="342" t="s">
        <v>2688</v>
      </c>
      <c r="R140" s="344">
        <v>33</v>
      </c>
      <c r="S140" s="345">
        <v>40</v>
      </c>
      <c r="T140" s="362">
        <v>27</v>
      </c>
      <c r="U140" s="361">
        <v>96.88</v>
      </c>
      <c r="V140" s="346">
        <v>131.64699683351171</v>
      </c>
      <c r="W140" s="348">
        <v>131.09144127795616</v>
      </c>
      <c r="X140" s="347">
        <v>66.78</v>
      </c>
      <c r="Y140" s="357" t="s">
        <v>408</v>
      </c>
      <c r="Z140" s="365" t="s">
        <v>2689</v>
      </c>
      <c r="AA140" s="350">
        <v>0</v>
      </c>
      <c r="AB140" s="349" t="s">
        <v>2685</v>
      </c>
      <c r="AC140" s="350">
        <v>0</v>
      </c>
      <c r="AD140" s="349" t="s">
        <v>2685</v>
      </c>
      <c r="AE140" s="364">
        <v>0</v>
      </c>
      <c r="AF140" s="366">
        <v>0</v>
      </c>
      <c r="AG140" s="363">
        <v>0</v>
      </c>
      <c r="AH140" s="635" t="s">
        <v>408</v>
      </c>
      <c r="AI140" s="324"/>
      <c r="AL140" s="487" t="s">
        <v>14255</v>
      </c>
      <c r="AM140" s="477" t="s">
        <v>71</v>
      </c>
      <c r="AN140" s="637" t="s">
        <v>7148</v>
      </c>
      <c r="AO140" s="478">
        <v>-321</v>
      </c>
      <c r="AP140" s="463">
        <v>-269</v>
      </c>
      <c r="AQ140" s="479">
        <v>-52</v>
      </c>
      <c r="AR140" s="476" t="s">
        <v>16822</v>
      </c>
      <c r="BA140" s="313" t="s">
        <v>2896</v>
      </c>
    </row>
    <row r="141" spans="2:53" ht="16.5" customHeight="1">
      <c r="B141" s="367" t="s">
        <v>2889</v>
      </c>
      <c r="C141" s="351" t="s">
        <v>2890</v>
      </c>
      <c r="D141" s="353">
        <v>-321</v>
      </c>
      <c r="E141" s="352" t="s">
        <v>408</v>
      </c>
      <c r="F141" s="341">
        <v>96.88</v>
      </c>
      <c r="G141" s="355" t="s">
        <v>18377</v>
      </c>
      <c r="H141" s="356" t="s">
        <v>3036</v>
      </c>
      <c r="I141" s="354" t="s">
        <v>196</v>
      </c>
      <c r="J141" s="340" t="s">
        <v>229</v>
      </c>
      <c r="K141" s="339" t="s">
        <v>71</v>
      </c>
      <c r="L141" s="357">
        <v>66</v>
      </c>
      <c r="M141" s="358" t="s">
        <v>8191</v>
      </c>
      <c r="N141" s="359">
        <v>600</v>
      </c>
      <c r="O141" s="360" t="s">
        <v>530</v>
      </c>
      <c r="P141" s="343" t="s">
        <v>530</v>
      </c>
      <c r="Q141" s="342" t="s">
        <v>2688</v>
      </c>
      <c r="R141" s="344">
        <v>33</v>
      </c>
      <c r="S141" s="345">
        <v>40</v>
      </c>
      <c r="T141" s="362">
        <v>27</v>
      </c>
      <c r="U141" s="361">
        <v>96.88</v>
      </c>
      <c r="V141" s="346">
        <v>131.64699683351171</v>
      </c>
      <c r="W141" s="348">
        <v>131.09144127795616</v>
      </c>
      <c r="X141" s="347">
        <v>66.78</v>
      </c>
      <c r="Y141" s="357" t="s">
        <v>408</v>
      </c>
      <c r="Z141" s="365" t="s">
        <v>2689</v>
      </c>
      <c r="AA141" s="350">
        <v>0</v>
      </c>
      <c r="AB141" s="349" t="s">
        <v>2685</v>
      </c>
      <c r="AC141" s="350">
        <v>0</v>
      </c>
      <c r="AD141" s="349" t="s">
        <v>2685</v>
      </c>
      <c r="AE141" s="364">
        <v>0</v>
      </c>
      <c r="AF141" s="366">
        <v>0</v>
      </c>
      <c r="AG141" s="363">
        <v>0</v>
      </c>
      <c r="AH141" s="635" t="s">
        <v>408</v>
      </c>
      <c r="AI141" s="324"/>
      <c r="AL141" s="487" t="s">
        <v>7174</v>
      </c>
      <c r="AM141" s="477" t="s">
        <v>71</v>
      </c>
      <c r="AN141" s="637" t="s">
        <v>7148</v>
      </c>
      <c r="AO141" s="478">
        <v>-321</v>
      </c>
      <c r="AP141" s="463">
        <v>-269</v>
      </c>
      <c r="AQ141" s="479">
        <v>-52</v>
      </c>
      <c r="AR141" s="476" t="s">
        <v>16822</v>
      </c>
      <c r="BA141" s="313" t="s">
        <v>2899</v>
      </c>
    </row>
    <row r="142" spans="2:53" ht="16.5" customHeight="1">
      <c r="B142" s="367" t="s">
        <v>8187</v>
      </c>
      <c r="C142" s="351" t="s">
        <v>8188</v>
      </c>
      <c r="D142" s="353">
        <v>-579</v>
      </c>
      <c r="E142" s="352" t="s">
        <v>408</v>
      </c>
      <c r="F142" s="341">
        <v>96.86</v>
      </c>
      <c r="G142" s="355" t="s">
        <v>18378</v>
      </c>
      <c r="H142" s="356" t="s">
        <v>3019</v>
      </c>
      <c r="I142" s="354" t="s">
        <v>196</v>
      </c>
      <c r="J142" s="340" t="s">
        <v>8197</v>
      </c>
      <c r="K142" s="339" t="s">
        <v>71</v>
      </c>
      <c r="L142" s="357">
        <v>10</v>
      </c>
      <c r="M142" s="358" t="s">
        <v>6681</v>
      </c>
      <c r="N142" s="359">
        <v>600</v>
      </c>
      <c r="O142" s="360" t="s">
        <v>530</v>
      </c>
      <c r="P142" s="343" t="s">
        <v>530</v>
      </c>
      <c r="Q142" s="342" t="s">
        <v>2688</v>
      </c>
      <c r="R142" s="344">
        <v>33</v>
      </c>
      <c r="S142" s="345">
        <v>40</v>
      </c>
      <c r="T142" s="362">
        <v>27</v>
      </c>
      <c r="U142" s="361">
        <v>96.86</v>
      </c>
      <c r="V142" s="346">
        <v>131.61677196860262</v>
      </c>
      <c r="W142" s="348">
        <v>131.06121641304708</v>
      </c>
      <c r="X142" s="347">
        <v>66.760000000000005</v>
      </c>
      <c r="Y142" s="357" t="s">
        <v>408</v>
      </c>
      <c r="Z142" s="365" t="s">
        <v>2689</v>
      </c>
      <c r="AA142" s="350">
        <v>0</v>
      </c>
      <c r="AB142" s="349" t="s">
        <v>2685</v>
      </c>
      <c r="AC142" s="350">
        <v>0</v>
      </c>
      <c r="AD142" s="349" t="s">
        <v>2685</v>
      </c>
      <c r="AE142" s="364">
        <v>0</v>
      </c>
      <c r="AF142" s="366">
        <v>0</v>
      </c>
      <c r="AG142" s="363">
        <v>0</v>
      </c>
      <c r="AH142" s="635" t="s">
        <v>408</v>
      </c>
      <c r="AI142" s="324"/>
      <c r="AL142" s="487" t="s">
        <v>14256</v>
      </c>
      <c r="AM142" s="480" t="s">
        <v>71</v>
      </c>
      <c r="AN142" s="637" t="s">
        <v>14225</v>
      </c>
      <c r="AO142" s="478">
        <v>-579</v>
      </c>
      <c r="AP142" s="463">
        <v>-478</v>
      </c>
      <c r="AQ142" s="479">
        <v>-101</v>
      </c>
      <c r="AR142" s="476" t="s">
        <v>14261</v>
      </c>
      <c r="BA142" s="313" t="s">
        <v>2901</v>
      </c>
    </row>
    <row r="143" spans="2:53" ht="16.5" customHeight="1">
      <c r="B143" s="367" t="s">
        <v>2916</v>
      </c>
      <c r="C143" s="351" t="s">
        <v>2917</v>
      </c>
      <c r="D143" s="353">
        <v>-578</v>
      </c>
      <c r="E143" s="352" t="s">
        <v>408</v>
      </c>
      <c r="F143" s="341">
        <v>96.86</v>
      </c>
      <c r="G143" s="355" t="s">
        <v>3148</v>
      </c>
      <c r="H143" s="356" t="s">
        <v>8073</v>
      </c>
      <c r="I143" s="354" t="s">
        <v>196</v>
      </c>
      <c r="J143" s="340" t="s">
        <v>8224</v>
      </c>
      <c r="K143" s="339" t="s">
        <v>70</v>
      </c>
      <c r="L143" s="357">
        <v>8</v>
      </c>
      <c r="M143" s="358" t="s">
        <v>8052</v>
      </c>
      <c r="N143" s="359">
        <v>600</v>
      </c>
      <c r="O143" s="360" t="s">
        <v>530</v>
      </c>
      <c r="P143" s="343" t="s">
        <v>530</v>
      </c>
      <c r="Q143" s="342" t="s">
        <v>2688</v>
      </c>
      <c r="R143" s="344">
        <v>33</v>
      </c>
      <c r="S143" s="345">
        <v>40</v>
      </c>
      <c r="T143" s="362">
        <v>27</v>
      </c>
      <c r="U143" s="361">
        <v>96.86</v>
      </c>
      <c r="V143" s="346">
        <v>131.62212609358053</v>
      </c>
      <c r="W143" s="348">
        <v>131.06657053802496</v>
      </c>
      <c r="X143" s="347">
        <v>66.31</v>
      </c>
      <c r="Y143" s="357" t="s">
        <v>408</v>
      </c>
      <c r="Z143" s="365" t="s">
        <v>2689</v>
      </c>
      <c r="AA143" s="350">
        <v>0</v>
      </c>
      <c r="AB143" s="349" t="s">
        <v>2685</v>
      </c>
      <c r="AC143" s="350">
        <v>0</v>
      </c>
      <c r="AD143" s="349" t="s">
        <v>2685</v>
      </c>
      <c r="AE143" s="364">
        <v>0</v>
      </c>
      <c r="AF143" s="366">
        <v>3</v>
      </c>
      <c r="AG143" s="363">
        <v>0</v>
      </c>
      <c r="AH143" s="635" t="s">
        <v>2818</v>
      </c>
      <c r="AI143" s="324"/>
      <c r="AL143" s="487" t="s">
        <v>14257</v>
      </c>
      <c r="AM143" s="477" t="s">
        <v>70</v>
      </c>
      <c r="AN143" s="637" t="s">
        <v>14225</v>
      </c>
      <c r="AO143" s="478">
        <v>-578</v>
      </c>
      <c r="AP143" s="463">
        <v>-578</v>
      </c>
      <c r="AQ143" s="479">
        <v>0</v>
      </c>
      <c r="AR143" s="476" t="s">
        <v>14258</v>
      </c>
      <c r="BA143" s="313" t="s">
        <v>2904</v>
      </c>
    </row>
    <row r="144" spans="2:53" ht="16.5" customHeight="1">
      <c r="B144" s="367" t="s">
        <v>2916</v>
      </c>
      <c r="C144" s="351" t="s">
        <v>2917</v>
      </c>
      <c r="D144" s="353">
        <v>-643</v>
      </c>
      <c r="E144" s="352" t="s">
        <v>408</v>
      </c>
      <c r="F144" s="341">
        <v>96.84</v>
      </c>
      <c r="G144" s="355" t="s">
        <v>8225</v>
      </c>
      <c r="H144" s="356" t="s">
        <v>3068</v>
      </c>
      <c r="I144" s="354" t="s">
        <v>201</v>
      </c>
      <c r="J144" s="340" t="s">
        <v>433</v>
      </c>
      <c r="K144" s="339" t="s">
        <v>70</v>
      </c>
      <c r="L144" s="357">
        <v>13</v>
      </c>
      <c r="M144" s="358" t="s">
        <v>8226</v>
      </c>
      <c r="N144" s="359">
        <v>800</v>
      </c>
      <c r="O144" s="360" t="s">
        <v>530</v>
      </c>
      <c r="P144" s="343" t="s">
        <v>531</v>
      </c>
      <c r="Q144" s="342" t="s">
        <v>2688</v>
      </c>
      <c r="R144" s="344">
        <v>25</v>
      </c>
      <c r="S144" s="345">
        <v>25</v>
      </c>
      <c r="T144" s="362">
        <v>25</v>
      </c>
      <c r="U144" s="361">
        <v>96.84</v>
      </c>
      <c r="V144" s="346">
        <v>131.60310528869479</v>
      </c>
      <c r="W144" s="348">
        <v>131.04754973313925</v>
      </c>
      <c r="X144" s="347">
        <v>66.290000000000006</v>
      </c>
      <c r="Y144" s="357">
        <v>67.260000000000005</v>
      </c>
      <c r="Z144" s="365" t="s">
        <v>2689</v>
      </c>
      <c r="AA144" s="350">
        <v>139</v>
      </c>
      <c r="AB144" s="349" t="s">
        <v>2685</v>
      </c>
      <c r="AC144" s="350">
        <v>0</v>
      </c>
      <c r="AD144" s="349" t="s">
        <v>2685</v>
      </c>
      <c r="AE144" s="364">
        <v>0</v>
      </c>
      <c r="AF144" s="366">
        <v>0</v>
      </c>
      <c r="AG144" s="363">
        <v>0</v>
      </c>
      <c r="AH144" s="635" t="s">
        <v>8105</v>
      </c>
      <c r="AI144" s="324"/>
      <c r="AL144" s="487" t="s">
        <v>7169</v>
      </c>
      <c r="AM144" s="477" t="s">
        <v>70</v>
      </c>
      <c r="AN144" s="637">
        <v>100</v>
      </c>
      <c r="AO144" s="478">
        <v>-643</v>
      </c>
      <c r="AP144" s="463">
        <v>-643</v>
      </c>
      <c r="AQ144" s="479">
        <v>0</v>
      </c>
      <c r="AR144" s="476" t="s">
        <v>14259</v>
      </c>
      <c r="BA144" s="313" t="s">
        <v>2907</v>
      </c>
    </row>
    <row r="145" spans="2:53" ht="16.5" customHeight="1">
      <c r="B145" s="367" t="s">
        <v>2916</v>
      </c>
      <c r="C145" s="351" t="s">
        <v>2917</v>
      </c>
      <c r="D145" s="353">
        <v>-478</v>
      </c>
      <c r="E145" s="352" t="s">
        <v>408</v>
      </c>
      <c r="F145" s="341">
        <v>96.84</v>
      </c>
      <c r="G145" s="355" t="s">
        <v>8227</v>
      </c>
      <c r="H145" s="356" t="s">
        <v>8228</v>
      </c>
      <c r="I145" s="354" t="s">
        <v>224</v>
      </c>
      <c r="J145" s="340" t="s">
        <v>8229</v>
      </c>
      <c r="K145" s="339" t="s">
        <v>70</v>
      </c>
      <c r="L145" s="357">
        <v>71</v>
      </c>
      <c r="M145" s="358" t="s">
        <v>8230</v>
      </c>
      <c r="N145" s="359">
        <v>1000</v>
      </c>
      <c r="O145" s="360" t="s">
        <v>532</v>
      </c>
      <c r="P145" s="343" t="s">
        <v>533</v>
      </c>
      <c r="Q145" s="342" t="s">
        <v>2688</v>
      </c>
      <c r="R145" s="344">
        <v>25</v>
      </c>
      <c r="S145" s="345">
        <v>30</v>
      </c>
      <c r="T145" s="362">
        <v>25</v>
      </c>
      <c r="U145" s="361">
        <v>96.84</v>
      </c>
      <c r="V145" s="346">
        <v>131.59568094543238</v>
      </c>
      <c r="W145" s="348">
        <v>131.04012538987681</v>
      </c>
      <c r="X145" s="347">
        <v>66.290000000000006</v>
      </c>
      <c r="Y145" s="357">
        <v>67.650000000000006</v>
      </c>
      <c r="Z145" s="365" t="s">
        <v>2689</v>
      </c>
      <c r="AA145" s="350">
        <v>200</v>
      </c>
      <c r="AB145" s="349" t="s">
        <v>2685</v>
      </c>
      <c r="AC145" s="350">
        <v>10</v>
      </c>
      <c r="AD145" s="349" t="s">
        <v>2685</v>
      </c>
      <c r="AE145" s="364">
        <v>0</v>
      </c>
      <c r="AF145" s="366">
        <v>14.47</v>
      </c>
      <c r="AG145" s="363">
        <v>0</v>
      </c>
      <c r="AH145" s="635" t="s">
        <v>7854</v>
      </c>
      <c r="AI145" s="324"/>
      <c r="AL145" s="487" t="s">
        <v>14260</v>
      </c>
      <c r="AM145" s="477" t="s">
        <v>70</v>
      </c>
      <c r="AN145" s="637" t="s">
        <v>7146</v>
      </c>
      <c r="AO145" s="478">
        <v>-478</v>
      </c>
      <c r="AP145" s="463">
        <v>-478</v>
      </c>
      <c r="AQ145" s="479">
        <v>0</v>
      </c>
      <c r="AR145" s="476" t="s">
        <v>14261</v>
      </c>
      <c r="BA145" s="313" t="s">
        <v>2908</v>
      </c>
    </row>
    <row r="146" spans="2:53" ht="16.5" customHeight="1">
      <c r="B146" s="367" t="s">
        <v>2919</v>
      </c>
      <c r="C146" s="351" t="s">
        <v>2920</v>
      </c>
      <c r="D146" s="353">
        <v>-305</v>
      </c>
      <c r="E146" s="352" t="s">
        <v>8198</v>
      </c>
      <c r="F146" s="341">
        <v>96.82</v>
      </c>
      <c r="G146" s="355" t="s">
        <v>8390</v>
      </c>
      <c r="H146" s="356" t="s">
        <v>18379</v>
      </c>
      <c r="I146" s="354" t="s">
        <v>212</v>
      </c>
      <c r="J146" s="340" t="s">
        <v>8092</v>
      </c>
      <c r="K146" s="339" t="s">
        <v>70</v>
      </c>
      <c r="L146" s="357">
        <v>9</v>
      </c>
      <c r="M146" s="358" t="s">
        <v>8093</v>
      </c>
      <c r="N146" s="359">
        <v>800</v>
      </c>
      <c r="O146" s="360" t="s">
        <v>532</v>
      </c>
      <c r="P146" s="343" t="s">
        <v>532</v>
      </c>
      <c r="Q146" s="342" t="s">
        <v>2688</v>
      </c>
      <c r="R146" s="344">
        <v>30</v>
      </c>
      <c r="S146" s="345">
        <v>40</v>
      </c>
      <c r="T146" s="362">
        <v>30</v>
      </c>
      <c r="U146" s="361">
        <v>96.82</v>
      </c>
      <c r="V146" s="346">
        <v>131.57513894670316</v>
      </c>
      <c r="W146" s="348">
        <v>131.01958339114759</v>
      </c>
      <c r="X146" s="347" t="s">
        <v>18380</v>
      </c>
      <c r="Y146" s="357" t="s">
        <v>408</v>
      </c>
      <c r="Z146" s="365" t="s">
        <v>2689</v>
      </c>
      <c r="AA146" s="350">
        <v>200</v>
      </c>
      <c r="AB146" s="349" t="s">
        <v>2685</v>
      </c>
      <c r="AC146" s="350">
        <v>10</v>
      </c>
      <c r="AD146" s="349" t="s">
        <v>2685</v>
      </c>
      <c r="AE146" s="364">
        <v>0</v>
      </c>
      <c r="AF146" s="366">
        <v>0</v>
      </c>
      <c r="AG146" s="363">
        <v>0</v>
      </c>
      <c r="AH146" s="635" t="s">
        <v>408</v>
      </c>
      <c r="AI146" s="324"/>
      <c r="AL146" s="487" t="s">
        <v>14209</v>
      </c>
      <c r="AM146" s="477" t="s">
        <v>70</v>
      </c>
      <c r="AN146" s="637" t="s">
        <v>7148</v>
      </c>
      <c r="AO146" s="478">
        <v>-305</v>
      </c>
      <c r="AP146" s="463">
        <v>-305</v>
      </c>
      <c r="AQ146" s="479">
        <v>0</v>
      </c>
      <c r="AR146" s="476" t="s">
        <v>17111</v>
      </c>
      <c r="BA146" s="313" t="s">
        <v>2910</v>
      </c>
    </row>
    <row r="147" spans="2:53" ht="16.5" customHeight="1">
      <c r="B147" s="367" t="s">
        <v>2919</v>
      </c>
      <c r="C147" s="351" t="s">
        <v>2920</v>
      </c>
      <c r="D147" s="353">
        <v>-573</v>
      </c>
      <c r="E147" s="352" t="s">
        <v>8198</v>
      </c>
      <c r="F147" s="341">
        <v>96.81</v>
      </c>
      <c r="G147" s="355" t="s">
        <v>8234</v>
      </c>
      <c r="H147" s="356" t="s">
        <v>8235</v>
      </c>
      <c r="I147" s="354" t="s">
        <v>196</v>
      </c>
      <c r="J147" s="340" t="s">
        <v>8236</v>
      </c>
      <c r="K147" s="339" t="s">
        <v>70</v>
      </c>
      <c r="L147" s="357">
        <v>16</v>
      </c>
      <c r="M147" s="358" t="s">
        <v>8237</v>
      </c>
      <c r="N147" s="359">
        <v>600</v>
      </c>
      <c r="O147" s="360" t="s">
        <v>530</v>
      </c>
      <c r="P147" s="343" t="s">
        <v>530</v>
      </c>
      <c r="Q147" s="342" t="s">
        <v>2688</v>
      </c>
      <c r="R147" s="344">
        <v>33</v>
      </c>
      <c r="S147" s="345">
        <v>40</v>
      </c>
      <c r="T147" s="362">
        <v>27</v>
      </c>
      <c r="U147" s="361">
        <v>96.81</v>
      </c>
      <c r="V147" s="346">
        <v>131.56480802354483</v>
      </c>
      <c r="W147" s="348">
        <v>131.00925246798926</v>
      </c>
      <c r="X147" s="347">
        <v>66.260000000000005</v>
      </c>
      <c r="Y147" s="357" t="s">
        <v>408</v>
      </c>
      <c r="Z147" s="365" t="s">
        <v>2689</v>
      </c>
      <c r="AA147" s="350">
        <v>0</v>
      </c>
      <c r="AB147" s="349" t="s">
        <v>2685</v>
      </c>
      <c r="AC147" s="350">
        <v>0</v>
      </c>
      <c r="AD147" s="349" t="s">
        <v>2685</v>
      </c>
      <c r="AE147" s="364">
        <v>0</v>
      </c>
      <c r="AF147" s="366">
        <v>3</v>
      </c>
      <c r="AG147" s="363">
        <v>0</v>
      </c>
      <c r="AH147" s="635" t="s">
        <v>2818</v>
      </c>
      <c r="AI147" s="324"/>
      <c r="AL147" s="487" t="s">
        <v>14262</v>
      </c>
      <c r="AM147" s="480" t="s">
        <v>70</v>
      </c>
      <c r="AN147" s="637" t="s">
        <v>14225</v>
      </c>
      <c r="AO147" s="478">
        <v>-573</v>
      </c>
      <c r="AP147" s="463">
        <v>-573</v>
      </c>
      <c r="AQ147" s="479">
        <v>0</v>
      </c>
      <c r="AR147" s="476" t="s">
        <v>14263</v>
      </c>
      <c r="BA147" s="313" t="s">
        <v>2911</v>
      </c>
    </row>
    <row r="148" spans="2:53" ht="16.5" customHeight="1">
      <c r="B148" s="367" t="s">
        <v>2919</v>
      </c>
      <c r="C148" s="351" t="s">
        <v>2920</v>
      </c>
      <c r="D148" s="353">
        <v>-637</v>
      </c>
      <c r="E148" s="352" t="s">
        <v>8198</v>
      </c>
      <c r="F148" s="341">
        <v>96.79</v>
      </c>
      <c r="G148" s="355" t="s">
        <v>8238</v>
      </c>
      <c r="H148" s="356" t="s">
        <v>3036</v>
      </c>
      <c r="I148" s="354" t="s">
        <v>80</v>
      </c>
      <c r="J148" s="340" t="s">
        <v>8239</v>
      </c>
      <c r="K148" s="339" t="s">
        <v>70</v>
      </c>
      <c r="L148" s="357">
        <v>63</v>
      </c>
      <c r="M148" s="358" t="s">
        <v>8240</v>
      </c>
      <c r="N148" s="359">
        <v>1000</v>
      </c>
      <c r="O148" s="360" t="s">
        <v>532</v>
      </c>
      <c r="P148" s="343" t="s">
        <v>533</v>
      </c>
      <c r="Q148" s="342" t="s">
        <v>2688</v>
      </c>
      <c r="R148" s="344">
        <v>25</v>
      </c>
      <c r="S148" s="345">
        <v>40</v>
      </c>
      <c r="T148" s="362">
        <v>25</v>
      </c>
      <c r="U148" s="361">
        <v>96.79</v>
      </c>
      <c r="V148" s="346">
        <v>131.54482945165975</v>
      </c>
      <c r="W148" s="348">
        <v>130.9879331331172</v>
      </c>
      <c r="X148" s="347">
        <v>66.25</v>
      </c>
      <c r="Y148" s="357">
        <v>68.150000000000006</v>
      </c>
      <c r="Z148" s="365" t="s">
        <v>2689</v>
      </c>
      <c r="AA148" s="350">
        <v>100</v>
      </c>
      <c r="AB148" s="349" t="s">
        <v>2685</v>
      </c>
      <c r="AC148" s="350">
        <v>0</v>
      </c>
      <c r="AD148" s="349" t="s">
        <v>2685</v>
      </c>
      <c r="AE148" s="364">
        <v>0</v>
      </c>
      <c r="AF148" s="366">
        <v>0</v>
      </c>
      <c r="AG148" s="363">
        <v>0</v>
      </c>
      <c r="AH148" s="635" t="s">
        <v>408</v>
      </c>
      <c r="AI148" s="324"/>
      <c r="AL148" s="487" t="s">
        <v>14266</v>
      </c>
      <c r="AM148" s="477" t="s">
        <v>70</v>
      </c>
      <c r="AN148" s="637">
        <v>100</v>
      </c>
      <c r="AO148" s="478">
        <v>-637</v>
      </c>
      <c r="AP148" s="463">
        <v>-637</v>
      </c>
      <c r="AQ148" s="479">
        <v>0</v>
      </c>
      <c r="AR148" s="476" t="s">
        <v>14265</v>
      </c>
      <c r="BA148" s="313" t="s">
        <v>2915</v>
      </c>
    </row>
    <row r="149" spans="2:53" ht="16.5" customHeight="1">
      <c r="B149" s="367" t="s">
        <v>2922</v>
      </c>
      <c r="C149" s="351" t="s">
        <v>2923</v>
      </c>
      <c r="D149" s="353">
        <v>-637</v>
      </c>
      <c r="E149" s="352" t="s">
        <v>408</v>
      </c>
      <c r="F149" s="341">
        <v>96.78</v>
      </c>
      <c r="G149" s="355" t="s">
        <v>8241</v>
      </c>
      <c r="H149" s="356" t="s">
        <v>18381</v>
      </c>
      <c r="I149" s="354" t="s">
        <v>202</v>
      </c>
      <c r="J149" s="340" t="s">
        <v>433</v>
      </c>
      <c r="K149" s="339" t="s">
        <v>70</v>
      </c>
      <c r="L149" s="357">
        <v>38</v>
      </c>
      <c r="M149" s="358" t="s">
        <v>8242</v>
      </c>
      <c r="N149" s="359">
        <v>600</v>
      </c>
      <c r="O149" s="360" t="s">
        <v>530</v>
      </c>
      <c r="P149" s="343" t="s">
        <v>530</v>
      </c>
      <c r="Q149" s="342" t="s">
        <v>2688</v>
      </c>
      <c r="R149" s="344">
        <v>33</v>
      </c>
      <c r="S149" s="345">
        <v>33</v>
      </c>
      <c r="T149" s="362">
        <v>33</v>
      </c>
      <c r="U149" s="361">
        <v>96.78</v>
      </c>
      <c r="V149" s="346">
        <v>131.53661994397424</v>
      </c>
      <c r="W149" s="348">
        <v>130.978697436971</v>
      </c>
      <c r="X149" s="347">
        <v>66.239999999999995</v>
      </c>
      <c r="Y149" s="357" t="s">
        <v>408</v>
      </c>
      <c r="Z149" s="365" t="s">
        <v>2689</v>
      </c>
      <c r="AA149" s="350">
        <v>100</v>
      </c>
      <c r="AB149" s="349" t="s">
        <v>2685</v>
      </c>
      <c r="AC149" s="350">
        <v>5</v>
      </c>
      <c r="AD149" s="349" t="s">
        <v>2685</v>
      </c>
      <c r="AE149" s="364">
        <v>0</v>
      </c>
      <c r="AF149" s="366">
        <v>0</v>
      </c>
      <c r="AG149" s="363">
        <v>0</v>
      </c>
      <c r="AH149" s="635" t="s">
        <v>408</v>
      </c>
      <c r="AI149" s="324"/>
      <c r="AL149" s="487" t="s">
        <v>7168</v>
      </c>
      <c r="AM149" s="477" t="s">
        <v>70</v>
      </c>
      <c r="AN149" s="637">
        <v>100</v>
      </c>
      <c r="AO149" s="478">
        <v>-637</v>
      </c>
      <c r="AP149" s="463">
        <v>-637</v>
      </c>
      <c r="AQ149" s="479">
        <v>0</v>
      </c>
      <c r="AR149" s="476" t="s">
        <v>16823</v>
      </c>
      <c r="BA149" s="313" t="s">
        <v>2918</v>
      </c>
    </row>
    <row r="150" spans="2:53" ht="16.5" customHeight="1">
      <c r="B150" s="367" t="s">
        <v>2922</v>
      </c>
      <c r="C150" s="351" t="s">
        <v>2923</v>
      </c>
      <c r="D150" s="353">
        <v>-637</v>
      </c>
      <c r="E150" s="352" t="s">
        <v>408</v>
      </c>
      <c r="F150" s="341">
        <v>96.78</v>
      </c>
      <c r="G150" s="355" t="s">
        <v>8241</v>
      </c>
      <c r="H150" s="356" t="s">
        <v>18381</v>
      </c>
      <c r="I150" s="354" t="s">
        <v>202</v>
      </c>
      <c r="J150" s="340" t="s">
        <v>198</v>
      </c>
      <c r="K150" s="339" t="s">
        <v>70</v>
      </c>
      <c r="L150" s="357">
        <v>7</v>
      </c>
      <c r="M150" s="358" t="s">
        <v>8242</v>
      </c>
      <c r="N150" s="359">
        <v>600</v>
      </c>
      <c r="O150" s="360" t="s">
        <v>530</v>
      </c>
      <c r="P150" s="343" t="s">
        <v>530</v>
      </c>
      <c r="Q150" s="342" t="s">
        <v>2688</v>
      </c>
      <c r="R150" s="344">
        <v>33</v>
      </c>
      <c r="S150" s="345">
        <v>33</v>
      </c>
      <c r="T150" s="362">
        <v>33</v>
      </c>
      <c r="U150" s="361">
        <v>96.78</v>
      </c>
      <c r="V150" s="346">
        <v>131.53661994397424</v>
      </c>
      <c r="W150" s="348">
        <v>130.978697436971</v>
      </c>
      <c r="X150" s="347">
        <v>66.239999999999995</v>
      </c>
      <c r="Y150" s="357" t="s">
        <v>408</v>
      </c>
      <c r="Z150" s="365" t="s">
        <v>2689</v>
      </c>
      <c r="AA150" s="350">
        <v>100</v>
      </c>
      <c r="AB150" s="349" t="s">
        <v>2685</v>
      </c>
      <c r="AC150" s="350">
        <v>5</v>
      </c>
      <c r="AD150" s="349" t="s">
        <v>2685</v>
      </c>
      <c r="AE150" s="364">
        <v>0</v>
      </c>
      <c r="AF150" s="366">
        <v>0</v>
      </c>
      <c r="AG150" s="363">
        <v>0</v>
      </c>
      <c r="AH150" s="635" t="s">
        <v>408</v>
      </c>
      <c r="AI150" s="324"/>
      <c r="AL150" s="487" t="s">
        <v>7171</v>
      </c>
      <c r="AM150" s="477" t="s">
        <v>70</v>
      </c>
      <c r="AN150" s="637">
        <v>100</v>
      </c>
      <c r="AO150" s="478">
        <v>-637</v>
      </c>
      <c r="AP150" s="463">
        <v>-637</v>
      </c>
      <c r="AQ150" s="479">
        <v>0</v>
      </c>
      <c r="AR150" s="476" t="s">
        <v>16823</v>
      </c>
      <c r="BA150" s="313" t="s">
        <v>2921</v>
      </c>
    </row>
    <row r="151" spans="2:53" ht="16.5" customHeight="1">
      <c r="B151" s="367" t="s">
        <v>2922</v>
      </c>
      <c r="C151" s="351" t="s">
        <v>2923</v>
      </c>
      <c r="D151" s="353">
        <v>-581</v>
      </c>
      <c r="E151" s="352" t="s">
        <v>408</v>
      </c>
      <c r="F151" s="341">
        <v>96.78</v>
      </c>
      <c r="G151" s="355" t="s">
        <v>3156</v>
      </c>
      <c r="H151" s="356" t="s">
        <v>8235</v>
      </c>
      <c r="I151" s="354" t="s">
        <v>196</v>
      </c>
      <c r="J151" s="340" t="s">
        <v>8243</v>
      </c>
      <c r="K151" s="339" t="s">
        <v>70</v>
      </c>
      <c r="L151" s="357">
        <v>16</v>
      </c>
      <c r="M151" s="358" t="s">
        <v>8244</v>
      </c>
      <c r="N151" s="359">
        <v>600</v>
      </c>
      <c r="O151" s="360" t="s">
        <v>530</v>
      </c>
      <c r="P151" s="343" t="s">
        <v>530</v>
      </c>
      <c r="Q151" s="342" t="s">
        <v>2688</v>
      </c>
      <c r="R151" s="344">
        <v>33</v>
      </c>
      <c r="S151" s="345">
        <v>40</v>
      </c>
      <c r="T151" s="362">
        <v>27</v>
      </c>
      <c r="U151" s="361">
        <v>96.78</v>
      </c>
      <c r="V151" s="346">
        <v>131.53694886329458</v>
      </c>
      <c r="W151" s="348">
        <v>130.97906747120641</v>
      </c>
      <c r="X151" s="347">
        <v>66.25</v>
      </c>
      <c r="Y151" s="357" t="s">
        <v>408</v>
      </c>
      <c r="Z151" s="365" t="s">
        <v>2689</v>
      </c>
      <c r="AA151" s="350">
        <v>0</v>
      </c>
      <c r="AB151" s="349" t="s">
        <v>2685</v>
      </c>
      <c r="AC151" s="350">
        <v>0</v>
      </c>
      <c r="AD151" s="349" t="s">
        <v>2685</v>
      </c>
      <c r="AE151" s="364">
        <v>0</v>
      </c>
      <c r="AF151" s="366">
        <v>3</v>
      </c>
      <c r="AG151" s="363">
        <v>0</v>
      </c>
      <c r="AH151" s="635" t="s">
        <v>2690</v>
      </c>
      <c r="AI151" s="324"/>
      <c r="AL151" s="487" t="s">
        <v>14267</v>
      </c>
      <c r="AM151" s="477" t="s">
        <v>70</v>
      </c>
      <c r="AN151" s="637" t="s">
        <v>14225</v>
      </c>
      <c r="AO151" s="478">
        <v>-581</v>
      </c>
      <c r="AP151" s="463">
        <v>-581</v>
      </c>
      <c r="AQ151" s="479">
        <v>0</v>
      </c>
      <c r="AR151" s="476" t="s">
        <v>14263</v>
      </c>
      <c r="BA151" s="313" t="s">
        <v>2925</v>
      </c>
    </row>
    <row r="152" spans="2:53" ht="16.5" customHeight="1">
      <c r="B152" s="367" t="s">
        <v>2922</v>
      </c>
      <c r="C152" s="351" t="s">
        <v>2923</v>
      </c>
      <c r="D152" s="353">
        <v>-576</v>
      </c>
      <c r="E152" s="352" t="s">
        <v>408</v>
      </c>
      <c r="F152" s="341">
        <v>96.78</v>
      </c>
      <c r="G152" s="355" t="s">
        <v>3156</v>
      </c>
      <c r="H152" s="356" t="s">
        <v>18382</v>
      </c>
      <c r="I152" s="354" t="s">
        <v>196</v>
      </c>
      <c r="J152" s="340" t="s">
        <v>8245</v>
      </c>
      <c r="K152" s="339" t="s">
        <v>70</v>
      </c>
      <c r="L152" s="357">
        <v>20</v>
      </c>
      <c r="M152" s="358" t="s">
        <v>8244</v>
      </c>
      <c r="N152" s="359">
        <v>600</v>
      </c>
      <c r="O152" s="360" t="s">
        <v>530</v>
      </c>
      <c r="P152" s="343" t="s">
        <v>530</v>
      </c>
      <c r="Q152" s="342" t="s">
        <v>2688</v>
      </c>
      <c r="R152" s="344">
        <v>33</v>
      </c>
      <c r="S152" s="345">
        <v>40</v>
      </c>
      <c r="T152" s="362">
        <v>27</v>
      </c>
      <c r="U152" s="361">
        <v>96.78</v>
      </c>
      <c r="V152" s="346">
        <v>131.53694886329458</v>
      </c>
      <c r="W152" s="348">
        <v>130.97906747120641</v>
      </c>
      <c r="X152" s="347">
        <v>66.25</v>
      </c>
      <c r="Y152" s="357" t="s">
        <v>408</v>
      </c>
      <c r="Z152" s="365" t="s">
        <v>2689</v>
      </c>
      <c r="AA152" s="350">
        <v>0</v>
      </c>
      <c r="AB152" s="349" t="s">
        <v>2685</v>
      </c>
      <c r="AC152" s="350">
        <v>0</v>
      </c>
      <c r="AD152" s="349" t="s">
        <v>2685</v>
      </c>
      <c r="AE152" s="364">
        <v>0</v>
      </c>
      <c r="AF152" s="366">
        <v>3</v>
      </c>
      <c r="AG152" s="363">
        <v>0</v>
      </c>
      <c r="AH152" s="635" t="s">
        <v>2818</v>
      </c>
      <c r="AI152" s="324"/>
      <c r="AL152" s="487" t="s">
        <v>14268</v>
      </c>
      <c r="AM152" s="477" t="s">
        <v>70</v>
      </c>
      <c r="AN152" s="637" t="s">
        <v>14225</v>
      </c>
      <c r="AO152" s="478">
        <v>-576</v>
      </c>
      <c r="AP152" s="463">
        <v>-576</v>
      </c>
      <c r="AQ152" s="479">
        <v>0</v>
      </c>
      <c r="AR152" s="476" t="s">
        <v>14269</v>
      </c>
      <c r="BA152" s="313" t="s">
        <v>2926</v>
      </c>
    </row>
    <row r="153" spans="2:53" ht="16.5" customHeight="1">
      <c r="B153" s="367" t="s">
        <v>8192</v>
      </c>
      <c r="C153" s="351" t="s">
        <v>8193</v>
      </c>
      <c r="D153" s="353">
        <v>-320</v>
      </c>
      <c r="E153" s="352" t="s">
        <v>408</v>
      </c>
      <c r="F153" s="341">
        <v>96.77</v>
      </c>
      <c r="G153" s="355" t="s">
        <v>18383</v>
      </c>
      <c r="H153" s="356" t="s">
        <v>8028</v>
      </c>
      <c r="I153" s="354" t="s">
        <v>196</v>
      </c>
      <c r="J153" s="340" t="s">
        <v>8214</v>
      </c>
      <c r="K153" s="339" t="s">
        <v>71</v>
      </c>
      <c r="L153" s="357">
        <v>9</v>
      </c>
      <c r="M153" s="358" t="s">
        <v>8215</v>
      </c>
      <c r="N153" s="359">
        <v>600</v>
      </c>
      <c r="O153" s="360" t="s">
        <v>530</v>
      </c>
      <c r="P153" s="343" t="s">
        <v>530</v>
      </c>
      <c r="Q153" s="342" t="s">
        <v>2688</v>
      </c>
      <c r="R153" s="344">
        <v>33</v>
      </c>
      <c r="S153" s="345">
        <v>40</v>
      </c>
      <c r="T153" s="362">
        <v>27</v>
      </c>
      <c r="U153" s="361">
        <v>96.77</v>
      </c>
      <c r="V153" s="346">
        <v>131.52735323307064</v>
      </c>
      <c r="W153" s="348">
        <v>130.96827238720445</v>
      </c>
      <c r="X153" s="347">
        <v>66.69</v>
      </c>
      <c r="Y153" s="357" t="s">
        <v>408</v>
      </c>
      <c r="Z153" s="365" t="s">
        <v>2689</v>
      </c>
      <c r="AA153" s="350">
        <v>0</v>
      </c>
      <c r="AB153" s="349" t="s">
        <v>2685</v>
      </c>
      <c r="AC153" s="350">
        <v>0</v>
      </c>
      <c r="AD153" s="349" t="s">
        <v>2685</v>
      </c>
      <c r="AE153" s="364">
        <v>0</v>
      </c>
      <c r="AF153" s="366">
        <v>0</v>
      </c>
      <c r="AG153" s="363">
        <v>0</v>
      </c>
      <c r="AH153" s="635" t="s">
        <v>408</v>
      </c>
      <c r="AI153" s="324"/>
      <c r="AL153" s="487" t="s">
        <v>14270</v>
      </c>
      <c r="AM153" s="477" t="s">
        <v>71</v>
      </c>
      <c r="AN153" s="637" t="s">
        <v>7148</v>
      </c>
      <c r="AO153" s="478">
        <v>-320</v>
      </c>
      <c r="AP153" s="463">
        <v>-268</v>
      </c>
      <c r="AQ153" s="479">
        <v>-52</v>
      </c>
      <c r="AR153" s="476" t="s">
        <v>16824</v>
      </c>
      <c r="BA153" s="313" t="s">
        <v>2928</v>
      </c>
    </row>
    <row r="154" spans="2:53" ht="16.5" customHeight="1">
      <c r="B154" s="367" t="s">
        <v>8192</v>
      </c>
      <c r="C154" s="351" t="s">
        <v>8193</v>
      </c>
      <c r="D154" s="353">
        <v>-321</v>
      </c>
      <c r="E154" s="352" t="s">
        <v>8231</v>
      </c>
      <c r="F154" s="341">
        <v>96.77</v>
      </c>
      <c r="G154" s="355" t="s">
        <v>18383</v>
      </c>
      <c r="H154" s="356" t="s">
        <v>8028</v>
      </c>
      <c r="I154" s="354" t="s">
        <v>196</v>
      </c>
      <c r="J154" s="340" t="s">
        <v>8216</v>
      </c>
      <c r="K154" s="339" t="s">
        <v>71</v>
      </c>
      <c r="L154" s="357">
        <v>8</v>
      </c>
      <c r="M154" s="358" t="s">
        <v>8215</v>
      </c>
      <c r="N154" s="359">
        <v>600</v>
      </c>
      <c r="O154" s="360" t="s">
        <v>530</v>
      </c>
      <c r="P154" s="343" t="s">
        <v>530</v>
      </c>
      <c r="Q154" s="342" t="s">
        <v>2688</v>
      </c>
      <c r="R154" s="344">
        <v>33</v>
      </c>
      <c r="S154" s="345">
        <v>40</v>
      </c>
      <c r="T154" s="362">
        <v>27</v>
      </c>
      <c r="U154" s="361">
        <v>96.77</v>
      </c>
      <c r="V154" s="346">
        <v>131.52735323307064</v>
      </c>
      <c r="W154" s="348">
        <v>130.96827238720445</v>
      </c>
      <c r="X154" s="347">
        <v>66.69</v>
      </c>
      <c r="Y154" s="357" t="s">
        <v>408</v>
      </c>
      <c r="Z154" s="365" t="s">
        <v>2689</v>
      </c>
      <c r="AA154" s="350">
        <v>0</v>
      </c>
      <c r="AB154" s="349" t="s">
        <v>2685</v>
      </c>
      <c r="AC154" s="350">
        <v>0</v>
      </c>
      <c r="AD154" s="349" t="s">
        <v>2685</v>
      </c>
      <c r="AE154" s="364">
        <v>0</v>
      </c>
      <c r="AF154" s="366">
        <v>0</v>
      </c>
      <c r="AG154" s="363">
        <v>0</v>
      </c>
      <c r="AH154" s="635" t="s">
        <v>408</v>
      </c>
      <c r="AI154" s="324"/>
      <c r="AL154" s="487" t="s">
        <v>14271</v>
      </c>
      <c r="AM154" s="477" t="s">
        <v>71</v>
      </c>
      <c r="AN154" s="637" t="s">
        <v>7148</v>
      </c>
      <c r="AO154" s="478">
        <v>-321</v>
      </c>
      <c r="AP154" s="463">
        <v>-269</v>
      </c>
      <c r="AQ154" s="479">
        <v>-52</v>
      </c>
      <c r="AR154" s="476" t="s">
        <v>16824</v>
      </c>
      <c r="BA154" s="313" t="s">
        <v>2929</v>
      </c>
    </row>
    <row r="155" spans="2:53" ht="16.5" customHeight="1">
      <c r="B155" s="367" t="s">
        <v>8192</v>
      </c>
      <c r="C155" s="351" t="s">
        <v>8193</v>
      </c>
      <c r="D155" s="353">
        <v>-321</v>
      </c>
      <c r="E155" s="352" t="s">
        <v>408</v>
      </c>
      <c r="F155" s="341">
        <v>96.77</v>
      </c>
      <c r="G155" s="355" t="s">
        <v>18383</v>
      </c>
      <c r="H155" s="356" t="s">
        <v>8028</v>
      </c>
      <c r="I155" s="354" t="s">
        <v>196</v>
      </c>
      <c r="J155" s="340" t="s">
        <v>8217</v>
      </c>
      <c r="K155" s="339" t="s">
        <v>71</v>
      </c>
      <c r="L155" s="357">
        <v>10</v>
      </c>
      <c r="M155" s="358" t="s">
        <v>8215</v>
      </c>
      <c r="N155" s="359">
        <v>600</v>
      </c>
      <c r="O155" s="360" t="s">
        <v>530</v>
      </c>
      <c r="P155" s="343" t="s">
        <v>530</v>
      </c>
      <c r="Q155" s="342" t="s">
        <v>2688</v>
      </c>
      <c r="R155" s="344">
        <v>33</v>
      </c>
      <c r="S155" s="345">
        <v>40</v>
      </c>
      <c r="T155" s="362">
        <v>27</v>
      </c>
      <c r="U155" s="361">
        <v>96.77</v>
      </c>
      <c r="V155" s="346">
        <v>131.52735323307064</v>
      </c>
      <c r="W155" s="348">
        <v>130.96827238720445</v>
      </c>
      <c r="X155" s="347">
        <v>66.69</v>
      </c>
      <c r="Y155" s="357" t="s">
        <v>408</v>
      </c>
      <c r="Z155" s="365" t="s">
        <v>2689</v>
      </c>
      <c r="AA155" s="350">
        <v>0</v>
      </c>
      <c r="AB155" s="349" t="s">
        <v>2685</v>
      </c>
      <c r="AC155" s="350">
        <v>0</v>
      </c>
      <c r="AD155" s="349" t="s">
        <v>2685</v>
      </c>
      <c r="AE155" s="364">
        <v>0</v>
      </c>
      <c r="AF155" s="366">
        <v>0</v>
      </c>
      <c r="AG155" s="363">
        <v>0</v>
      </c>
      <c r="AH155" s="635" t="s">
        <v>408</v>
      </c>
      <c r="AI155" s="324"/>
      <c r="AL155" s="487" t="s">
        <v>14272</v>
      </c>
      <c r="AM155" s="477" t="s">
        <v>71</v>
      </c>
      <c r="AN155" s="637" t="s">
        <v>7148</v>
      </c>
      <c r="AO155" s="478">
        <v>-321</v>
      </c>
      <c r="AP155" s="463">
        <v>-269</v>
      </c>
      <c r="AQ155" s="479">
        <v>-52</v>
      </c>
      <c r="AR155" s="476" t="s">
        <v>16824</v>
      </c>
      <c r="BA155" s="313" t="s">
        <v>2932</v>
      </c>
    </row>
    <row r="156" spans="2:53" ht="16.5" customHeight="1">
      <c r="B156" s="367" t="s">
        <v>8246</v>
      </c>
      <c r="C156" s="351" t="s">
        <v>8247</v>
      </c>
      <c r="D156" s="353">
        <v>-546</v>
      </c>
      <c r="E156" s="352" t="s">
        <v>408</v>
      </c>
      <c r="F156" s="341">
        <v>96.76</v>
      </c>
      <c r="G156" s="355" t="s">
        <v>3260</v>
      </c>
      <c r="H156" s="356" t="s">
        <v>8248</v>
      </c>
      <c r="I156" s="354" t="s">
        <v>216</v>
      </c>
      <c r="J156" s="340" t="s">
        <v>8249</v>
      </c>
      <c r="K156" s="339" t="s">
        <v>70</v>
      </c>
      <c r="L156" s="357">
        <v>4</v>
      </c>
      <c r="M156" s="358" t="s">
        <v>8250</v>
      </c>
      <c r="N156" s="359">
        <v>300</v>
      </c>
      <c r="O156" s="360" t="s">
        <v>530</v>
      </c>
      <c r="P156" s="343" t="s">
        <v>530</v>
      </c>
      <c r="Q156" s="342" t="s">
        <v>2688</v>
      </c>
      <c r="R156" s="344">
        <v>25</v>
      </c>
      <c r="S156" s="345">
        <v>45</v>
      </c>
      <c r="T156" s="362">
        <v>30</v>
      </c>
      <c r="U156" s="361">
        <v>96.76</v>
      </c>
      <c r="V156" s="346">
        <v>131.50706507953294</v>
      </c>
      <c r="W156" s="348">
        <v>130.94544821447454</v>
      </c>
      <c r="X156" s="347">
        <v>66.22</v>
      </c>
      <c r="Y156" s="357" t="s">
        <v>408</v>
      </c>
      <c r="Z156" s="365" t="s">
        <v>2689</v>
      </c>
      <c r="AA156" s="350">
        <v>0</v>
      </c>
      <c r="AB156" s="349" t="s">
        <v>2685</v>
      </c>
      <c r="AC156" s="350">
        <v>0</v>
      </c>
      <c r="AD156" s="349" t="s">
        <v>2685</v>
      </c>
      <c r="AE156" s="364">
        <v>0</v>
      </c>
      <c r="AF156" s="366">
        <v>0</v>
      </c>
      <c r="AG156" s="363">
        <v>0</v>
      </c>
      <c r="AH156" s="635" t="s">
        <v>408</v>
      </c>
      <c r="AI156" s="324"/>
      <c r="AL156" s="487" t="s">
        <v>14273</v>
      </c>
      <c r="AM156" s="477" t="s">
        <v>70</v>
      </c>
      <c r="AN156" s="637" t="s">
        <v>7178</v>
      </c>
      <c r="AO156" s="478">
        <v>-546</v>
      </c>
      <c r="AP156" s="463">
        <v>-546</v>
      </c>
      <c r="AQ156" s="479">
        <v>0</v>
      </c>
      <c r="AR156" s="476" t="s">
        <v>14274</v>
      </c>
      <c r="BA156" s="313" t="s">
        <v>2933</v>
      </c>
    </row>
    <row r="157" spans="2:53" ht="16.5" customHeight="1">
      <c r="B157" s="367" t="s">
        <v>8246</v>
      </c>
      <c r="C157" s="351" t="s">
        <v>8247</v>
      </c>
      <c r="D157" s="353">
        <v>-641</v>
      </c>
      <c r="E157" s="352" t="s">
        <v>408</v>
      </c>
      <c r="F157" s="341">
        <v>96.75</v>
      </c>
      <c r="G157" s="355" t="s">
        <v>8251</v>
      </c>
      <c r="H157" s="356" t="s">
        <v>8219</v>
      </c>
      <c r="I157" s="354" t="s">
        <v>7970</v>
      </c>
      <c r="J157" s="340" t="s">
        <v>8252</v>
      </c>
      <c r="K157" s="339" t="s">
        <v>70</v>
      </c>
      <c r="L157" s="357">
        <v>10</v>
      </c>
      <c r="M157" s="358" t="s">
        <v>8253</v>
      </c>
      <c r="N157" s="359">
        <v>1000</v>
      </c>
      <c r="O157" s="360" t="s">
        <v>454</v>
      </c>
      <c r="P157" s="343" t="s">
        <v>454</v>
      </c>
      <c r="Q157" s="342" t="s">
        <v>2688</v>
      </c>
      <c r="R157" s="344">
        <v>25</v>
      </c>
      <c r="S157" s="345">
        <v>35</v>
      </c>
      <c r="T157" s="362">
        <v>20</v>
      </c>
      <c r="U157" s="361">
        <v>96.75</v>
      </c>
      <c r="V157" s="346">
        <v>131.5</v>
      </c>
      <c r="W157" s="348">
        <v>130.9375</v>
      </c>
      <c r="X157" s="347">
        <v>66.22</v>
      </c>
      <c r="Y157" s="357" t="s">
        <v>408</v>
      </c>
      <c r="Z157" s="365" t="s">
        <v>2689</v>
      </c>
      <c r="AA157" s="350">
        <v>200</v>
      </c>
      <c r="AB157" s="349" t="s">
        <v>2685</v>
      </c>
      <c r="AC157" s="350">
        <v>10</v>
      </c>
      <c r="AD157" s="349" t="s">
        <v>2685</v>
      </c>
      <c r="AE157" s="364">
        <v>0</v>
      </c>
      <c r="AF157" s="366">
        <v>0</v>
      </c>
      <c r="AG157" s="363">
        <v>0</v>
      </c>
      <c r="AH157" s="635" t="s">
        <v>408</v>
      </c>
      <c r="AI157" s="324"/>
      <c r="AL157" s="487" t="s">
        <v>14275</v>
      </c>
      <c r="AM157" s="477" t="s">
        <v>70</v>
      </c>
      <c r="AN157" s="637">
        <v>100</v>
      </c>
      <c r="AO157" s="478">
        <v>-641</v>
      </c>
      <c r="AP157" s="463">
        <v>-641</v>
      </c>
      <c r="AQ157" s="479">
        <v>0</v>
      </c>
      <c r="AR157" s="476" t="s">
        <v>17112</v>
      </c>
      <c r="BA157" s="313" t="s">
        <v>2934</v>
      </c>
    </row>
    <row r="158" spans="2:53" ht="16.5" customHeight="1">
      <c r="B158" s="367" t="s">
        <v>2930</v>
      </c>
      <c r="C158" s="351" t="s">
        <v>2931</v>
      </c>
      <c r="D158" s="353">
        <v>-333</v>
      </c>
      <c r="E158" s="352" t="s">
        <v>408</v>
      </c>
      <c r="F158" s="341">
        <v>96.73</v>
      </c>
      <c r="G158" s="355" t="s">
        <v>8257</v>
      </c>
      <c r="H158" s="356" t="s">
        <v>8258</v>
      </c>
      <c r="I158" s="354" t="s">
        <v>245</v>
      </c>
      <c r="J158" s="340" t="s">
        <v>432</v>
      </c>
      <c r="K158" s="339" t="s">
        <v>70</v>
      </c>
      <c r="L158" s="357">
        <v>13</v>
      </c>
      <c r="M158" s="358" t="s">
        <v>8259</v>
      </c>
      <c r="N158" s="359">
        <v>800</v>
      </c>
      <c r="O158" s="360" t="s">
        <v>454</v>
      </c>
      <c r="P158" s="343" t="s">
        <v>454</v>
      </c>
      <c r="Q158" s="342" t="s">
        <v>2738</v>
      </c>
      <c r="R158" s="344">
        <v>25</v>
      </c>
      <c r="S158" s="345">
        <v>35</v>
      </c>
      <c r="T158" s="362">
        <v>15</v>
      </c>
      <c r="U158" s="361">
        <v>96.73</v>
      </c>
      <c r="V158" s="346">
        <v>131.4814814814815</v>
      </c>
      <c r="W158" s="348">
        <v>130.91666666666669</v>
      </c>
      <c r="X158" s="347">
        <v>66.2</v>
      </c>
      <c r="Y158" s="357" t="s">
        <v>408</v>
      </c>
      <c r="Z158" s="365" t="s">
        <v>2689</v>
      </c>
      <c r="AA158" s="350">
        <v>200</v>
      </c>
      <c r="AB158" s="349" t="s">
        <v>2685</v>
      </c>
      <c r="AC158" s="350">
        <v>10</v>
      </c>
      <c r="AD158" s="349" t="s">
        <v>2685</v>
      </c>
      <c r="AE158" s="364">
        <v>0</v>
      </c>
      <c r="AF158" s="366">
        <v>0</v>
      </c>
      <c r="AG158" s="363">
        <v>0</v>
      </c>
      <c r="AH158" s="635" t="s">
        <v>408</v>
      </c>
      <c r="AI158" s="324"/>
      <c r="AL158" s="487" t="s">
        <v>7172</v>
      </c>
      <c r="AM158" s="477" t="s">
        <v>70</v>
      </c>
      <c r="AN158" s="637" t="s">
        <v>7148</v>
      </c>
      <c r="AO158" s="478">
        <v>-333</v>
      </c>
      <c r="AP158" s="463">
        <v>-333</v>
      </c>
      <c r="AQ158" s="479">
        <v>0</v>
      </c>
      <c r="AR158" s="476" t="s">
        <v>14276</v>
      </c>
      <c r="BA158" s="313" t="s">
        <v>2937</v>
      </c>
    </row>
    <row r="159" spans="2:53" ht="16.5" customHeight="1">
      <c r="B159" s="367" t="s">
        <v>8260</v>
      </c>
      <c r="C159" s="351" t="s">
        <v>8261</v>
      </c>
      <c r="D159" s="353">
        <v>-513</v>
      </c>
      <c r="E159" s="352" t="s">
        <v>408</v>
      </c>
      <c r="F159" s="341">
        <v>96.72</v>
      </c>
      <c r="G159" s="355" t="s">
        <v>3169</v>
      </c>
      <c r="H159" s="356" t="s">
        <v>18384</v>
      </c>
      <c r="I159" s="354" t="s">
        <v>214</v>
      </c>
      <c r="J159" s="340" t="s">
        <v>7868</v>
      </c>
      <c r="K159" s="339" t="s">
        <v>70</v>
      </c>
      <c r="L159" s="357">
        <v>15</v>
      </c>
      <c r="M159" s="358" t="s">
        <v>8086</v>
      </c>
      <c r="N159" s="359">
        <v>200</v>
      </c>
      <c r="O159" s="360" t="s">
        <v>532</v>
      </c>
      <c r="P159" s="343" t="s">
        <v>532</v>
      </c>
      <c r="Q159" s="342" t="s">
        <v>2688</v>
      </c>
      <c r="R159" s="344">
        <v>20</v>
      </c>
      <c r="S159" s="345">
        <v>30</v>
      </c>
      <c r="T159" s="362">
        <v>30</v>
      </c>
      <c r="U159" s="361">
        <v>96.72</v>
      </c>
      <c r="V159" s="346">
        <v>131.46798224678668</v>
      </c>
      <c r="W159" s="348">
        <v>130.90148002763499</v>
      </c>
      <c r="X159" s="347" t="s">
        <v>18385</v>
      </c>
      <c r="Y159" s="357" t="s">
        <v>408</v>
      </c>
      <c r="Z159" s="365" t="s">
        <v>2689</v>
      </c>
      <c r="AA159" s="350">
        <v>40</v>
      </c>
      <c r="AB159" s="349" t="s">
        <v>2685</v>
      </c>
      <c r="AC159" s="350">
        <v>0</v>
      </c>
      <c r="AD159" s="349" t="s">
        <v>2685</v>
      </c>
      <c r="AE159" s="364">
        <v>0</v>
      </c>
      <c r="AF159" s="366">
        <v>0</v>
      </c>
      <c r="AG159" s="363">
        <v>0</v>
      </c>
      <c r="AH159" s="635" t="s">
        <v>408</v>
      </c>
      <c r="AI159" s="324"/>
      <c r="AL159" s="487" t="s">
        <v>14204</v>
      </c>
      <c r="AM159" s="477" t="s">
        <v>70</v>
      </c>
      <c r="AN159" s="637" t="s">
        <v>7178</v>
      </c>
      <c r="AO159" s="478">
        <v>-513</v>
      </c>
      <c r="AP159" s="463">
        <v>-513</v>
      </c>
      <c r="AQ159" s="479">
        <v>0</v>
      </c>
      <c r="AR159" s="476" t="s">
        <v>17113</v>
      </c>
      <c r="BA159" s="313" t="s">
        <v>2939</v>
      </c>
    </row>
    <row r="160" spans="2:53" ht="16.5" customHeight="1">
      <c r="B160" s="367" t="s">
        <v>8260</v>
      </c>
      <c r="C160" s="351" t="s">
        <v>8261</v>
      </c>
      <c r="D160" s="353">
        <v>-665</v>
      </c>
      <c r="E160" s="352" t="s">
        <v>408</v>
      </c>
      <c r="F160" s="341">
        <v>96.71</v>
      </c>
      <c r="G160" s="355" t="s">
        <v>8262</v>
      </c>
      <c r="H160" s="356" t="s">
        <v>8032</v>
      </c>
      <c r="I160" s="354" t="s">
        <v>73</v>
      </c>
      <c r="J160" s="340" t="s">
        <v>8019</v>
      </c>
      <c r="K160" s="339" t="s">
        <v>70</v>
      </c>
      <c r="L160" s="357">
        <v>25</v>
      </c>
      <c r="M160" s="358" t="s">
        <v>8263</v>
      </c>
      <c r="N160" s="359">
        <v>1000</v>
      </c>
      <c r="O160" s="360" t="s">
        <v>530</v>
      </c>
      <c r="P160" s="343" t="s">
        <v>531</v>
      </c>
      <c r="Q160" s="342" t="s">
        <v>2688</v>
      </c>
      <c r="R160" s="344">
        <v>22</v>
      </c>
      <c r="S160" s="345">
        <v>33</v>
      </c>
      <c r="T160" s="362">
        <v>33</v>
      </c>
      <c r="U160" s="361">
        <v>96.71</v>
      </c>
      <c r="V160" s="346">
        <v>131.45588988237159</v>
      </c>
      <c r="W160" s="348">
        <v>130.88787611766804</v>
      </c>
      <c r="X160" s="347">
        <v>66.180000000000007</v>
      </c>
      <c r="Y160" s="357">
        <v>67.17</v>
      </c>
      <c r="Z160" s="365" t="s">
        <v>2689</v>
      </c>
      <c r="AA160" s="350">
        <v>111.11</v>
      </c>
      <c r="AB160" s="349" t="s">
        <v>2685</v>
      </c>
      <c r="AC160" s="350">
        <v>0</v>
      </c>
      <c r="AD160" s="349" t="s">
        <v>2685</v>
      </c>
      <c r="AE160" s="364">
        <v>0</v>
      </c>
      <c r="AF160" s="366">
        <v>6.7169999999999996</v>
      </c>
      <c r="AG160" s="363">
        <v>0</v>
      </c>
      <c r="AH160" s="635" t="s">
        <v>7791</v>
      </c>
      <c r="AI160" s="324"/>
      <c r="AL160" s="487" t="s">
        <v>14277</v>
      </c>
      <c r="AM160" s="477" t="s">
        <v>70</v>
      </c>
      <c r="AN160" s="637">
        <v>100</v>
      </c>
      <c r="AO160" s="478">
        <v>-665</v>
      </c>
      <c r="AP160" s="463">
        <v>-665</v>
      </c>
      <c r="AQ160" s="479">
        <v>0</v>
      </c>
      <c r="AR160" s="476" t="s">
        <v>14278</v>
      </c>
      <c r="BA160" s="313" t="s">
        <v>2940</v>
      </c>
    </row>
    <row r="161" spans="2:53" ht="16.5" customHeight="1">
      <c r="B161" s="367" t="s">
        <v>2912</v>
      </c>
      <c r="C161" s="351" t="s">
        <v>2913</v>
      </c>
      <c r="D161" s="353">
        <v>-333</v>
      </c>
      <c r="E161" s="352" t="s">
        <v>408</v>
      </c>
      <c r="F161" s="341">
        <v>96.7</v>
      </c>
      <c r="G161" s="355" t="s">
        <v>3109</v>
      </c>
      <c r="H161" s="356" t="s">
        <v>8036</v>
      </c>
      <c r="I161" s="354" t="s">
        <v>196</v>
      </c>
      <c r="J161" s="340" t="s">
        <v>8232</v>
      </c>
      <c r="K161" s="339" t="s">
        <v>71</v>
      </c>
      <c r="L161" s="357">
        <v>8</v>
      </c>
      <c r="M161" s="358" t="s">
        <v>8233</v>
      </c>
      <c r="N161" s="359">
        <v>600</v>
      </c>
      <c r="O161" s="360" t="s">
        <v>530</v>
      </c>
      <c r="P161" s="343" t="s">
        <v>530</v>
      </c>
      <c r="Q161" s="342" t="s">
        <v>2688</v>
      </c>
      <c r="R161" s="344">
        <v>33</v>
      </c>
      <c r="S161" s="345">
        <v>40</v>
      </c>
      <c r="T161" s="362">
        <v>27</v>
      </c>
      <c r="U161" s="361">
        <v>96.7</v>
      </c>
      <c r="V161" s="346">
        <v>131.44055189371042</v>
      </c>
      <c r="W161" s="348">
        <v>130.87062088042418</v>
      </c>
      <c r="X161" s="347">
        <v>66.63</v>
      </c>
      <c r="Y161" s="357" t="s">
        <v>408</v>
      </c>
      <c r="Z161" s="365" t="s">
        <v>2689</v>
      </c>
      <c r="AA161" s="350">
        <v>0</v>
      </c>
      <c r="AB161" s="349" t="s">
        <v>2685</v>
      </c>
      <c r="AC161" s="350">
        <v>0</v>
      </c>
      <c r="AD161" s="349" t="s">
        <v>2685</v>
      </c>
      <c r="AE161" s="364">
        <v>0</v>
      </c>
      <c r="AF161" s="366">
        <v>0</v>
      </c>
      <c r="AG161" s="363">
        <v>0</v>
      </c>
      <c r="AH161" s="635" t="s">
        <v>408</v>
      </c>
      <c r="AI161" s="324"/>
      <c r="AL161" s="487" t="s">
        <v>14279</v>
      </c>
      <c r="AM161" s="477" t="s">
        <v>71</v>
      </c>
      <c r="AN161" s="637" t="s">
        <v>7148</v>
      </c>
      <c r="AO161" s="478">
        <v>-333</v>
      </c>
      <c r="AP161" s="463">
        <v>-278</v>
      </c>
      <c r="AQ161" s="479">
        <v>-55</v>
      </c>
      <c r="AR161" s="476" t="s">
        <v>16825</v>
      </c>
      <c r="BA161" s="313" t="s">
        <v>2945</v>
      </c>
    </row>
    <row r="162" spans="2:53" ht="16.5" customHeight="1">
      <c r="B162" s="367" t="s">
        <v>2941</v>
      </c>
      <c r="C162" s="351" t="s">
        <v>2942</v>
      </c>
      <c r="D162" s="353">
        <v>-665</v>
      </c>
      <c r="E162" s="352" t="s">
        <v>408</v>
      </c>
      <c r="F162" s="341">
        <v>96.68</v>
      </c>
      <c r="G162" s="355" t="s">
        <v>8264</v>
      </c>
      <c r="H162" s="356" t="s">
        <v>8177</v>
      </c>
      <c r="I162" s="354" t="s">
        <v>494</v>
      </c>
      <c r="J162" s="340" t="s">
        <v>7917</v>
      </c>
      <c r="K162" s="339" t="s">
        <v>70</v>
      </c>
      <c r="L162" s="357">
        <v>6</v>
      </c>
      <c r="M162" s="358" t="s">
        <v>8265</v>
      </c>
      <c r="N162" s="359">
        <v>1000</v>
      </c>
      <c r="O162" s="360" t="s">
        <v>532</v>
      </c>
      <c r="P162" s="343" t="s">
        <v>533</v>
      </c>
      <c r="Q162" s="342" t="s">
        <v>2688</v>
      </c>
      <c r="R162" s="344">
        <v>20</v>
      </c>
      <c r="S162" s="345">
        <v>35</v>
      </c>
      <c r="T162" s="362">
        <v>25</v>
      </c>
      <c r="U162" s="361">
        <v>96.68</v>
      </c>
      <c r="V162" s="346">
        <v>131.41943430203597</v>
      </c>
      <c r="W162" s="348">
        <v>130.84686358979044</v>
      </c>
      <c r="X162" s="347">
        <v>66.150000000000006</v>
      </c>
      <c r="Y162" s="357">
        <v>67.52000000000001</v>
      </c>
      <c r="Z162" s="365" t="s">
        <v>2689</v>
      </c>
      <c r="AA162" s="350">
        <v>200</v>
      </c>
      <c r="AB162" s="349" t="s">
        <v>2685</v>
      </c>
      <c r="AC162" s="350">
        <v>0</v>
      </c>
      <c r="AD162" s="349" t="s">
        <v>2685</v>
      </c>
      <c r="AE162" s="364">
        <v>0</v>
      </c>
      <c r="AF162" s="366">
        <v>0</v>
      </c>
      <c r="AG162" s="363">
        <v>0</v>
      </c>
      <c r="AH162" s="635" t="s">
        <v>408</v>
      </c>
      <c r="AI162" s="324"/>
      <c r="AL162" s="487" t="s">
        <v>14280</v>
      </c>
      <c r="AM162" s="477" t="s">
        <v>70</v>
      </c>
      <c r="AN162" s="637">
        <v>100</v>
      </c>
      <c r="AO162" s="478">
        <v>-665</v>
      </c>
      <c r="AP162" s="463">
        <v>-665</v>
      </c>
      <c r="AQ162" s="479">
        <v>0</v>
      </c>
      <c r="AR162" s="476" t="s">
        <v>14281</v>
      </c>
      <c r="BA162" s="313" t="s">
        <v>2946</v>
      </c>
    </row>
    <row r="163" spans="2:53" ht="16.5" customHeight="1">
      <c r="B163" s="367" t="s">
        <v>8210</v>
      </c>
      <c r="C163" s="351" t="s">
        <v>8211</v>
      </c>
      <c r="D163" s="353">
        <v>-323</v>
      </c>
      <c r="E163" s="352" t="s">
        <v>8254</v>
      </c>
      <c r="F163" s="341">
        <v>96.67</v>
      </c>
      <c r="G163" s="355" t="s">
        <v>8231</v>
      </c>
      <c r="H163" s="356" t="s">
        <v>18386</v>
      </c>
      <c r="I163" s="354" t="s">
        <v>200</v>
      </c>
      <c r="J163" s="340" t="s">
        <v>199</v>
      </c>
      <c r="K163" s="339" t="s">
        <v>78</v>
      </c>
      <c r="L163" s="357">
        <v>9</v>
      </c>
      <c r="M163" s="358" t="s">
        <v>8268</v>
      </c>
      <c r="N163" s="359">
        <v>400</v>
      </c>
      <c r="O163" s="360" t="s">
        <v>454</v>
      </c>
      <c r="P163" s="343" t="s">
        <v>454</v>
      </c>
      <c r="Q163" s="342" t="s">
        <v>2688</v>
      </c>
      <c r="R163" s="344">
        <v>25</v>
      </c>
      <c r="S163" s="345">
        <v>25</v>
      </c>
      <c r="T163" s="362">
        <v>0</v>
      </c>
      <c r="U163" s="361">
        <v>96.67</v>
      </c>
      <c r="V163" s="346">
        <v>131.40740740740742</v>
      </c>
      <c r="W163" s="348">
        <v>130.83333333333334</v>
      </c>
      <c r="X163" s="347">
        <v>66.61</v>
      </c>
      <c r="Y163" s="357" t="s">
        <v>408</v>
      </c>
      <c r="Z163" s="365" t="s">
        <v>2689</v>
      </c>
      <c r="AA163" s="350">
        <v>100</v>
      </c>
      <c r="AB163" s="349" t="s">
        <v>2685</v>
      </c>
      <c r="AC163" s="350">
        <v>10</v>
      </c>
      <c r="AD163" s="349" t="s">
        <v>2685</v>
      </c>
      <c r="AE163" s="364">
        <v>0</v>
      </c>
      <c r="AF163" s="366">
        <v>0</v>
      </c>
      <c r="AG163" s="363">
        <v>0</v>
      </c>
      <c r="AH163" s="635" t="s">
        <v>408</v>
      </c>
      <c r="AI163" s="324"/>
      <c r="AL163" s="487" t="s">
        <v>7181</v>
      </c>
      <c r="AM163" s="480" t="s">
        <v>78</v>
      </c>
      <c r="AN163" s="637" t="s">
        <v>7148</v>
      </c>
      <c r="AO163" s="478">
        <v>-323</v>
      </c>
      <c r="AP163" s="463">
        <v>-269</v>
      </c>
      <c r="AQ163" s="479">
        <v>-54</v>
      </c>
      <c r="AR163" s="476" t="s">
        <v>16826</v>
      </c>
      <c r="BA163" s="313" t="s">
        <v>2947</v>
      </c>
    </row>
    <row r="164" spans="2:53" ht="16.5" customHeight="1">
      <c r="B164" s="367" t="s">
        <v>2916</v>
      </c>
      <c r="C164" s="351" t="s">
        <v>2917</v>
      </c>
      <c r="D164" s="353">
        <v>-484</v>
      </c>
      <c r="E164" s="352" t="s">
        <v>408</v>
      </c>
      <c r="F164" s="341">
        <v>96.62</v>
      </c>
      <c r="G164" s="355" t="s">
        <v>18387</v>
      </c>
      <c r="H164" s="356" t="s">
        <v>18388</v>
      </c>
      <c r="I164" s="354" t="s">
        <v>196</v>
      </c>
      <c r="J164" s="340" t="s">
        <v>8255</v>
      </c>
      <c r="K164" s="339" t="s">
        <v>71</v>
      </c>
      <c r="L164" s="357">
        <v>23</v>
      </c>
      <c r="M164" s="358" t="s">
        <v>8256</v>
      </c>
      <c r="N164" s="359">
        <v>600</v>
      </c>
      <c r="O164" s="360" t="s">
        <v>530</v>
      </c>
      <c r="P164" s="343" t="s">
        <v>530</v>
      </c>
      <c r="Q164" s="342" t="s">
        <v>2688</v>
      </c>
      <c r="R164" s="344">
        <v>33</v>
      </c>
      <c r="S164" s="345">
        <v>40</v>
      </c>
      <c r="T164" s="362">
        <v>27</v>
      </c>
      <c r="U164" s="361">
        <v>96.62</v>
      </c>
      <c r="V164" s="346">
        <v>131.35391258536765</v>
      </c>
      <c r="W164" s="348">
        <v>130.77315165853861</v>
      </c>
      <c r="X164" s="347">
        <v>66.569999999999993</v>
      </c>
      <c r="Y164" s="357" t="s">
        <v>408</v>
      </c>
      <c r="Z164" s="365" t="s">
        <v>2689</v>
      </c>
      <c r="AA164" s="350">
        <v>0</v>
      </c>
      <c r="AB164" s="349" t="s">
        <v>2685</v>
      </c>
      <c r="AC164" s="350">
        <v>0</v>
      </c>
      <c r="AD164" s="349" t="s">
        <v>2685</v>
      </c>
      <c r="AE164" s="364">
        <v>0</v>
      </c>
      <c r="AF164" s="366">
        <v>0</v>
      </c>
      <c r="AG164" s="363">
        <v>0</v>
      </c>
      <c r="AH164" s="635" t="s">
        <v>408</v>
      </c>
      <c r="AI164" s="324"/>
      <c r="AL164" s="487" t="s">
        <v>14282</v>
      </c>
      <c r="AM164" s="480" t="s">
        <v>71</v>
      </c>
      <c r="AN164" s="637" t="s">
        <v>7146</v>
      </c>
      <c r="AO164" s="478">
        <v>-484</v>
      </c>
      <c r="AP164" s="463">
        <v>-400</v>
      </c>
      <c r="AQ164" s="479">
        <v>-84</v>
      </c>
      <c r="AR164" s="476" t="s">
        <v>16827</v>
      </c>
      <c r="BA164" s="313" t="s">
        <v>2948</v>
      </c>
    </row>
    <row r="165" spans="2:53" ht="16.5" customHeight="1">
      <c r="B165" s="367" t="s">
        <v>2956</v>
      </c>
      <c r="C165" s="351" t="s">
        <v>2957</v>
      </c>
      <c r="D165" s="353">
        <v>-549</v>
      </c>
      <c r="E165" s="352" t="s">
        <v>408</v>
      </c>
      <c r="F165" s="341">
        <v>96.6</v>
      </c>
      <c r="G165" s="355" t="s">
        <v>8272</v>
      </c>
      <c r="H165" s="356" t="s">
        <v>8068</v>
      </c>
      <c r="I165" s="354" t="s">
        <v>211</v>
      </c>
      <c r="J165" s="340" t="s">
        <v>7868</v>
      </c>
      <c r="K165" s="339" t="s">
        <v>70</v>
      </c>
      <c r="L165" s="357">
        <v>15</v>
      </c>
      <c r="M165" s="358" t="s">
        <v>8273</v>
      </c>
      <c r="N165" s="359">
        <v>500</v>
      </c>
      <c r="O165" s="360" t="s">
        <v>530</v>
      </c>
      <c r="P165" s="343" t="s">
        <v>531</v>
      </c>
      <c r="Q165" s="342" t="s">
        <v>2688</v>
      </c>
      <c r="R165" s="344">
        <v>30</v>
      </c>
      <c r="S165" s="345">
        <v>40</v>
      </c>
      <c r="T165" s="362">
        <v>30</v>
      </c>
      <c r="U165" s="361">
        <v>96.6</v>
      </c>
      <c r="V165" s="346">
        <v>131.32816039490146</v>
      </c>
      <c r="W165" s="348">
        <v>130.74418044426415</v>
      </c>
      <c r="X165" s="347">
        <v>66.069999999999993</v>
      </c>
      <c r="Y165" s="357">
        <v>67.460000000000008</v>
      </c>
      <c r="Z165" s="365" t="s">
        <v>2689</v>
      </c>
      <c r="AA165" s="350">
        <v>30</v>
      </c>
      <c r="AB165" s="349" t="s">
        <v>2685</v>
      </c>
      <c r="AC165" s="350">
        <v>5</v>
      </c>
      <c r="AD165" s="349" t="s">
        <v>2685</v>
      </c>
      <c r="AE165" s="364">
        <v>0</v>
      </c>
      <c r="AF165" s="366">
        <v>0</v>
      </c>
      <c r="AG165" s="363">
        <v>0</v>
      </c>
      <c r="AH165" s="635" t="s">
        <v>408</v>
      </c>
      <c r="AI165" s="324"/>
      <c r="AL165" s="487" t="s">
        <v>14283</v>
      </c>
      <c r="AM165" s="477" t="s">
        <v>70</v>
      </c>
      <c r="AN165" s="637" t="s">
        <v>7178</v>
      </c>
      <c r="AO165" s="478">
        <v>-549</v>
      </c>
      <c r="AP165" s="463">
        <v>-549</v>
      </c>
      <c r="AQ165" s="479">
        <v>0</v>
      </c>
      <c r="AR165" s="476" t="s">
        <v>14284</v>
      </c>
      <c r="BA165" s="313" t="s">
        <v>2951</v>
      </c>
    </row>
    <row r="166" spans="2:53" ht="16.5" customHeight="1">
      <c r="B166" s="367" t="s">
        <v>2964</v>
      </c>
      <c r="C166" s="351" t="s">
        <v>2965</v>
      </c>
      <c r="D166" s="353">
        <v>-582</v>
      </c>
      <c r="E166" s="352" t="s">
        <v>408</v>
      </c>
      <c r="F166" s="341">
        <v>96.59</v>
      </c>
      <c r="G166" s="355" t="s">
        <v>8277</v>
      </c>
      <c r="H166" s="356" t="s">
        <v>8280</v>
      </c>
      <c r="I166" s="354" t="s">
        <v>196</v>
      </c>
      <c r="J166" s="340" t="s">
        <v>8279</v>
      </c>
      <c r="K166" s="339" t="s">
        <v>70</v>
      </c>
      <c r="L166" s="357">
        <v>25</v>
      </c>
      <c r="M166" s="358" t="s">
        <v>8131</v>
      </c>
      <c r="N166" s="359">
        <v>600</v>
      </c>
      <c r="O166" s="360" t="s">
        <v>530</v>
      </c>
      <c r="P166" s="343" t="s">
        <v>530</v>
      </c>
      <c r="Q166" s="342" t="s">
        <v>2688</v>
      </c>
      <c r="R166" s="344">
        <v>33</v>
      </c>
      <c r="S166" s="345">
        <v>40</v>
      </c>
      <c r="T166" s="362">
        <v>27</v>
      </c>
      <c r="U166" s="361">
        <v>96.59</v>
      </c>
      <c r="V166" s="346">
        <v>131.31746676643127</v>
      </c>
      <c r="W166" s="348">
        <v>130.73215011223516</v>
      </c>
      <c r="X166" s="347">
        <v>66.069999999999993</v>
      </c>
      <c r="Y166" s="357" t="s">
        <v>408</v>
      </c>
      <c r="Z166" s="365" t="s">
        <v>2689</v>
      </c>
      <c r="AA166" s="350">
        <v>0</v>
      </c>
      <c r="AB166" s="349" t="s">
        <v>2685</v>
      </c>
      <c r="AC166" s="350">
        <v>0</v>
      </c>
      <c r="AD166" s="349" t="s">
        <v>2685</v>
      </c>
      <c r="AE166" s="364">
        <v>0</v>
      </c>
      <c r="AF166" s="366">
        <v>3</v>
      </c>
      <c r="AG166" s="363">
        <v>0</v>
      </c>
      <c r="AH166" s="635" t="s">
        <v>2818</v>
      </c>
      <c r="AI166" s="324"/>
      <c r="AL166" s="487" t="s">
        <v>14285</v>
      </c>
      <c r="AM166" s="477" t="s">
        <v>70</v>
      </c>
      <c r="AN166" s="637" t="s">
        <v>14225</v>
      </c>
      <c r="AO166" s="478">
        <v>-582</v>
      </c>
      <c r="AP166" s="463">
        <v>-582</v>
      </c>
      <c r="AQ166" s="479">
        <v>0</v>
      </c>
      <c r="AR166" s="476" t="s">
        <v>14286</v>
      </c>
      <c r="BA166" s="313" t="s">
        <v>2952</v>
      </c>
    </row>
    <row r="167" spans="2:53" ht="16.5" customHeight="1">
      <c r="B167" s="367" t="s">
        <v>2964</v>
      </c>
      <c r="C167" s="351" t="s">
        <v>2965</v>
      </c>
      <c r="D167" s="353">
        <v>-582</v>
      </c>
      <c r="E167" s="352" t="s">
        <v>3166</v>
      </c>
      <c r="F167" s="341">
        <v>96.59</v>
      </c>
      <c r="G167" s="355" t="s">
        <v>8277</v>
      </c>
      <c r="H167" s="356" t="s">
        <v>8280</v>
      </c>
      <c r="I167" s="354" t="s">
        <v>196</v>
      </c>
      <c r="J167" s="340" t="s">
        <v>8281</v>
      </c>
      <c r="K167" s="339" t="s">
        <v>70</v>
      </c>
      <c r="L167" s="357">
        <v>18</v>
      </c>
      <c r="M167" s="358" t="s">
        <v>8131</v>
      </c>
      <c r="N167" s="359">
        <v>600</v>
      </c>
      <c r="O167" s="360" t="s">
        <v>530</v>
      </c>
      <c r="P167" s="343" t="s">
        <v>530</v>
      </c>
      <c r="Q167" s="342" t="s">
        <v>2688</v>
      </c>
      <c r="R167" s="344">
        <v>33</v>
      </c>
      <c r="S167" s="345">
        <v>40</v>
      </c>
      <c r="T167" s="362">
        <v>27</v>
      </c>
      <c r="U167" s="361">
        <v>96.59</v>
      </c>
      <c r="V167" s="346">
        <v>131.31746676643127</v>
      </c>
      <c r="W167" s="348">
        <v>130.73215011223516</v>
      </c>
      <c r="X167" s="347">
        <v>66.069999999999993</v>
      </c>
      <c r="Y167" s="357" t="s">
        <v>408</v>
      </c>
      <c r="Z167" s="365" t="s">
        <v>2689</v>
      </c>
      <c r="AA167" s="350">
        <v>0</v>
      </c>
      <c r="AB167" s="349" t="s">
        <v>2685</v>
      </c>
      <c r="AC167" s="350">
        <v>0</v>
      </c>
      <c r="AD167" s="349" t="s">
        <v>2685</v>
      </c>
      <c r="AE167" s="364">
        <v>0</v>
      </c>
      <c r="AF167" s="366">
        <v>3</v>
      </c>
      <c r="AG167" s="363">
        <v>0</v>
      </c>
      <c r="AH167" s="635" t="s">
        <v>2690</v>
      </c>
      <c r="AI167" s="324"/>
      <c r="AL167" s="487" t="s">
        <v>14287</v>
      </c>
      <c r="AM167" s="480" t="s">
        <v>70</v>
      </c>
      <c r="AN167" s="637" t="s">
        <v>14225</v>
      </c>
      <c r="AO167" s="478">
        <v>-582</v>
      </c>
      <c r="AP167" s="463">
        <v>-582</v>
      </c>
      <c r="AQ167" s="479">
        <v>0</v>
      </c>
      <c r="AR167" s="476" t="s">
        <v>14286</v>
      </c>
      <c r="BA167" s="313" t="s">
        <v>2954</v>
      </c>
    </row>
    <row r="168" spans="2:53" ht="16.5" customHeight="1">
      <c r="B168" s="367" t="s">
        <v>2964</v>
      </c>
      <c r="C168" s="351" t="s">
        <v>2965</v>
      </c>
      <c r="D168" s="353">
        <v>-608</v>
      </c>
      <c r="E168" s="352" t="s">
        <v>408</v>
      </c>
      <c r="F168" s="341">
        <v>96.59</v>
      </c>
      <c r="G168" s="355" t="s">
        <v>8277</v>
      </c>
      <c r="H168" s="356" t="s">
        <v>8282</v>
      </c>
      <c r="I168" s="354" t="s">
        <v>196</v>
      </c>
      <c r="J168" s="340" t="s">
        <v>8283</v>
      </c>
      <c r="K168" s="339" t="s">
        <v>70</v>
      </c>
      <c r="L168" s="357">
        <v>10</v>
      </c>
      <c r="M168" s="358" t="s">
        <v>8131</v>
      </c>
      <c r="N168" s="359">
        <v>600</v>
      </c>
      <c r="O168" s="360" t="s">
        <v>530</v>
      </c>
      <c r="P168" s="343" t="s">
        <v>530</v>
      </c>
      <c r="Q168" s="342" t="s">
        <v>2688</v>
      </c>
      <c r="R168" s="344">
        <v>33</v>
      </c>
      <c r="S168" s="345">
        <v>40</v>
      </c>
      <c r="T168" s="362">
        <v>27</v>
      </c>
      <c r="U168" s="361">
        <v>96.59</v>
      </c>
      <c r="V168" s="346">
        <v>131.31746676643127</v>
      </c>
      <c r="W168" s="348">
        <v>130.73215011223516</v>
      </c>
      <c r="X168" s="347">
        <v>66.069999999999993</v>
      </c>
      <c r="Y168" s="357" t="s">
        <v>408</v>
      </c>
      <c r="Z168" s="365" t="s">
        <v>2689</v>
      </c>
      <c r="AA168" s="350">
        <v>0</v>
      </c>
      <c r="AB168" s="349" t="s">
        <v>2685</v>
      </c>
      <c r="AC168" s="350">
        <v>0</v>
      </c>
      <c r="AD168" s="349" t="s">
        <v>2685</v>
      </c>
      <c r="AE168" s="364">
        <v>0</v>
      </c>
      <c r="AF168" s="366">
        <v>3</v>
      </c>
      <c r="AG168" s="363">
        <v>0</v>
      </c>
      <c r="AH168" s="635" t="s">
        <v>2690</v>
      </c>
      <c r="AI168" s="324"/>
      <c r="AL168" s="487" t="s">
        <v>14288</v>
      </c>
      <c r="AM168" s="477" t="s">
        <v>70</v>
      </c>
      <c r="AN168" s="637" t="s">
        <v>14225</v>
      </c>
      <c r="AO168" s="478">
        <v>-608</v>
      </c>
      <c r="AP168" s="463">
        <v>-608</v>
      </c>
      <c r="AQ168" s="479">
        <v>0</v>
      </c>
      <c r="AR168" s="476" t="s">
        <v>14289</v>
      </c>
      <c r="BA168" s="313" t="s">
        <v>2955</v>
      </c>
    </row>
    <row r="169" spans="2:53" ht="16.5" customHeight="1">
      <c r="B169" s="367" t="s">
        <v>2971</v>
      </c>
      <c r="C169" s="351" t="s">
        <v>2972</v>
      </c>
      <c r="D169" s="353">
        <v>-576</v>
      </c>
      <c r="E169" s="352" t="s">
        <v>3169</v>
      </c>
      <c r="F169" s="341">
        <v>96.57</v>
      </c>
      <c r="G169" s="355" t="s">
        <v>8284</v>
      </c>
      <c r="H169" s="356" t="s">
        <v>8286</v>
      </c>
      <c r="I169" s="354" t="s">
        <v>211</v>
      </c>
      <c r="J169" s="340" t="s">
        <v>7917</v>
      </c>
      <c r="K169" s="339" t="s">
        <v>70</v>
      </c>
      <c r="L169" s="357">
        <v>9</v>
      </c>
      <c r="M169" s="358" t="s">
        <v>8287</v>
      </c>
      <c r="N169" s="359">
        <v>500</v>
      </c>
      <c r="O169" s="360" t="s">
        <v>530</v>
      </c>
      <c r="P169" s="343" t="s">
        <v>531</v>
      </c>
      <c r="Q169" s="342" t="s">
        <v>2688</v>
      </c>
      <c r="R169" s="344">
        <v>30</v>
      </c>
      <c r="S169" s="345">
        <v>40</v>
      </c>
      <c r="T169" s="362">
        <v>30</v>
      </c>
      <c r="U169" s="361">
        <v>96.57</v>
      </c>
      <c r="V169" s="346">
        <v>131.30111235081313</v>
      </c>
      <c r="W169" s="348">
        <v>130.71375139466477</v>
      </c>
      <c r="X169" s="347">
        <v>66.05</v>
      </c>
      <c r="Y169" s="357">
        <v>67.430000000000007</v>
      </c>
      <c r="Z169" s="365" t="s">
        <v>2689</v>
      </c>
      <c r="AA169" s="350">
        <v>30</v>
      </c>
      <c r="AB169" s="349" t="s">
        <v>2685</v>
      </c>
      <c r="AC169" s="350">
        <v>5</v>
      </c>
      <c r="AD169" s="349" t="s">
        <v>2685</v>
      </c>
      <c r="AE169" s="364">
        <v>0</v>
      </c>
      <c r="AF169" s="366">
        <v>0</v>
      </c>
      <c r="AG169" s="363">
        <v>0</v>
      </c>
      <c r="AH169" s="635" t="s">
        <v>408</v>
      </c>
      <c r="AI169" s="324"/>
      <c r="AL169" s="487" t="s">
        <v>14290</v>
      </c>
      <c r="AM169" s="477" t="s">
        <v>70</v>
      </c>
      <c r="AN169" s="637" t="s">
        <v>7178</v>
      </c>
      <c r="AO169" s="478">
        <v>-576</v>
      </c>
      <c r="AP169" s="463">
        <v>-576</v>
      </c>
      <c r="AQ169" s="479">
        <v>0</v>
      </c>
      <c r="AR169" s="476" t="s">
        <v>16828</v>
      </c>
      <c r="BA169" s="313" t="s">
        <v>2958</v>
      </c>
    </row>
    <row r="170" spans="2:53" ht="16.5" customHeight="1">
      <c r="B170" s="367" t="s">
        <v>2971</v>
      </c>
      <c r="C170" s="351" t="s">
        <v>2972</v>
      </c>
      <c r="D170" s="353">
        <v>-678</v>
      </c>
      <c r="E170" s="352" t="s">
        <v>408</v>
      </c>
      <c r="F170" s="341">
        <v>96.57</v>
      </c>
      <c r="G170" s="355" t="s">
        <v>8288</v>
      </c>
      <c r="H170" s="356" t="s">
        <v>18389</v>
      </c>
      <c r="I170" s="354" t="s">
        <v>209</v>
      </c>
      <c r="J170" s="340" t="s">
        <v>432</v>
      </c>
      <c r="K170" s="339" t="s">
        <v>70</v>
      </c>
      <c r="L170" s="357">
        <v>22</v>
      </c>
      <c r="M170" s="358" t="s">
        <v>6557</v>
      </c>
      <c r="N170" s="359">
        <v>1000</v>
      </c>
      <c r="O170" s="360" t="s">
        <v>530</v>
      </c>
      <c r="P170" s="343" t="s">
        <v>530</v>
      </c>
      <c r="Q170" s="342" t="s">
        <v>2688</v>
      </c>
      <c r="R170" s="344">
        <v>20</v>
      </c>
      <c r="S170" s="345">
        <v>30</v>
      </c>
      <c r="T170" s="362">
        <v>30</v>
      </c>
      <c r="U170" s="361">
        <v>96.57</v>
      </c>
      <c r="V170" s="346">
        <v>131.29600360545979</v>
      </c>
      <c r="W170" s="348">
        <v>130.70800405614227</v>
      </c>
      <c r="X170" s="347">
        <v>66.05</v>
      </c>
      <c r="Y170" s="357" t="s">
        <v>408</v>
      </c>
      <c r="Z170" s="365" t="s">
        <v>2689</v>
      </c>
      <c r="AA170" s="350">
        <v>200</v>
      </c>
      <c r="AB170" s="349" t="s">
        <v>2685</v>
      </c>
      <c r="AC170" s="350">
        <v>10</v>
      </c>
      <c r="AD170" s="349" t="s">
        <v>2685</v>
      </c>
      <c r="AE170" s="364">
        <v>0</v>
      </c>
      <c r="AF170" s="366">
        <v>0</v>
      </c>
      <c r="AG170" s="363">
        <v>0</v>
      </c>
      <c r="AH170" s="635" t="s">
        <v>408</v>
      </c>
      <c r="AI170" s="324"/>
      <c r="AL170" s="487" t="s">
        <v>14291</v>
      </c>
      <c r="AM170" s="477" t="s">
        <v>70</v>
      </c>
      <c r="AN170" s="637">
        <v>100</v>
      </c>
      <c r="AO170" s="478">
        <v>-678</v>
      </c>
      <c r="AP170" s="463">
        <v>-678</v>
      </c>
      <c r="AQ170" s="479">
        <v>0</v>
      </c>
      <c r="AR170" s="476" t="s">
        <v>14292</v>
      </c>
      <c r="BA170" s="313" t="s">
        <v>2959</v>
      </c>
    </row>
    <row r="171" spans="2:53" ht="16.5" customHeight="1">
      <c r="B171" s="367" t="s">
        <v>2978</v>
      </c>
      <c r="C171" s="351" t="s">
        <v>2979</v>
      </c>
      <c r="D171" s="353">
        <v>-540</v>
      </c>
      <c r="E171" s="352" t="s">
        <v>408</v>
      </c>
      <c r="F171" s="341">
        <v>96.56</v>
      </c>
      <c r="G171" s="355" t="s">
        <v>18390</v>
      </c>
      <c r="H171" s="356" t="s">
        <v>18391</v>
      </c>
      <c r="I171" s="354" t="s">
        <v>212</v>
      </c>
      <c r="J171" s="340" t="s">
        <v>7981</v>
      </c>
      <c r="K171" s="339" t="s">
        <v>70</v>
      </c>
      <c r="L171" s="357">
        <v>11</v>
      </c>
      <c r="M171" s="358" t="s">
        <v>8150</v>
      </c>
      <c r="N171" s="359">
        <v>800</v>
      </c>
      <c r="O171" s="360" t="s">
        <v>532</v>
      </c>
      <c r="P171" s="343" t="s">
        <v>532</v>
      </c>
      <c r="Q171" s="342" t="s">
        <v>2688</v>
      </c>
      <c r="R171" s="344">
        <v>30</v>
      </c>
      <c r="S171" s="345">
        <v>40</v>
      </c>
      <c r="T171" s="362">
        <v>30</v>
      </c>
      <c r="U171" s="361">
        <v>96.56</v>
      </c>
      <c r="V171" s="346">
        <v>131.2846207873975</v>
      </c>
      <c r="W171" s="348">
        <v>130.69519838582218</v>
      </c>
      <c r="X171" s="347" t="s">
        <v>18392</v>
      </c>
      <c r="Y171" s="357" t="s">
        <v>408</v>
      </c>
      <c r="Z171" s="365" t="s">
        <v>2689</v>
      </c>
      <c r="AA171" s="350">
        <v>200</v>
      </c>
      <c r="AB171" s="349" t="s">
        <v>2685</v>
      </c>
      <c r="AC171" s="350">
        <v>10</v>
      </c>
      <c r="AD171" s="349" t="s">
        <v>2685</v>
      </c>
      <c r="AE171" s="364">
        <v>0</v>
      </c>
      <c r="AF171" s="366">
        <v>0</v>
      </c>
      <c r="AG171" s="363">
        <v>0</v>
      </c>
      <c r="AH171" s="635" t="s">
        <v>408</v>
      </c>
      <c r="AI171" s="324"/>
      <c r="AL171" s="487" t="s">
        <v>14235</v>
      </c>
      <c r="AM171" s="477" t="s">
        <v>70</v>
      </c>
      <c r="AN171" s="637" t="s">
        <v>7178</v>
      </c>
      <c r="AO171" s="478">
        <v>-540</v>
      </c>
      <c r="AP171" s="463">
        <v>-540</v>
      </c>
      <c r="AQ171" s="479">
        <v>0</v>
      </c>
      <c r="AR171" s="476" t="s">
        <v>17114</v>
      </c>
      <c r="BA171" s="313" t="s">
        <v>2962</v>
      </c>
    </row>
    <row r="172" spans="2:53" ht="16.5" customHeight="1">
      <c r="B172" s="367" t="s">
        <v>2922</v>
      </c>
      <c r="C172" s="351" t="s">
        <v>2923</v>
      </c>
      <c r="D172" s="353">
        <v>-340</v>
      </c>
      <c r="E172" s="352" t="s">
        <v>8274</v>
      </c>
      <c r="F172" s="341">
        <v>96.54</v>
      </c>
      <c r="G172" s="355" t="s">
        <v>18393</v>
      </c>
      <c r="H172" s="356" t="s">
        <v>3073</v>
      </c>
      <c r="I172" s="354" t="s">
        <v>196</v>
      </c>
      <c r="J172" s="340" t="s">
        <v>8266</v>
      </c>
      <c r="K172" s="339" t="s">
        <v>71</v>
      </c>
      <c r="L172" s="357">
        <v>8</v>
      </c>
      <c r="M172" s="358" t="s">
        <v>8267</v>
      </c>
      <c r="N172" s="359">
        <v>600</v>
      </c>
      <c r="O172" s="360" t="s">
        <v>530</v>
      </c>
      <c r="P172" s="343" t="s">
        <v>530</v>
      </c>
      <c r="Q172" s="342" t="s">
        <v>2688</v>
      </c>
      <c r="R172" s="344">
        <v>33</v>
      </c>
      <c r="S172" s="345">
        <v>40</v>
      </c>
      <c r="T172" s="362">
        <v>27</v>
      </c>
      <c r="U172" s="361">
        <v>96.54</v>
      </c>
      <c r="V172" s="346">
        <v>131.26748470097431</v>
      </c>
      <c r="W172" s="348">
        <v>130.6759202885961</v>
      </c>
      <c r="X172" s="347">
        <v>66.510000000000005</v>
      </c>
      <c r="Y172" s="357" t="s">
        <v>408</v>
      </c>
      <c r="Z172" s="365" t="s">
        <v>2689</v>
      </c>
      <c r="AA172" s="350">
        <v>0</v>
      </c>
      <c r="AB172" s="349" t="s">
        <v>2685</v>
      </c>
      <c r="AC172" s="350">
        <v>0</v>
      </c>
      <c r="AD172" s="349" t="s">
        <v>2685</v>
      </c>
      <c r="AE172" s="364">
        <v>0</v>
      </c>
      <c r="AF172" s="366">
        <v>0</v>
      </c>
      <c r="AG172" s="363">
        <v>0</v>
      </c>
      <c r="AH172" s="635" t="s">
        <v>408</v>
      </c>
      <c r="AI172" s="324"/>
      <c r="AL172" s="487" t="s">
        <v>14293</v>
      </c>
      <c r="AM172" s="477" t="s">
        <v>71</v>
      </c>
      <c r="AN172" s="637" t="s">
        <v>7148</v>
      </c>
      <c r="AO172" s="478">
        <v>-340</v>
      </c>
      <c r="AP172" s="463">
        <v>-282</v>
      </c>
      <c r="AQ172" s="479">
        <v>-58</v>
      </c>
      <c r="AR172" s="476" t="s">
        <v>16829</v>
      </c>
      <c r="BA172" s="313" t="s">
        <v>2963</v>
      </c>
    </row>
    <row r="173" spans="2:53" ht="16.5" customHeight="1">
      <c r="B173" s="367" t="s">
        <v>8291</v>
      </c>
      <c r="C173" s="351" t="s">
        <v>8292</v>
      </c>
      <c r="D173" s="353">
        <v>-681</v>
      </c>
      <c r="E173" s="352" t="s">
        <v>408</v>
      </c>
      <c r="F173" s="341">
        <v>96.53</v>
      </c>
      <c r="G173" s="355" t="s">
        <v>3161</v>
      </c>
      <c r="H173" s="356" t="s">
        <v>3057</v>
      </c>
      <c r="I173" s="354" t="s">
        <v>77</v>
      </c>
      <c r="J173" s="340" t="s">
        <v>8293</v>
      </c>
      <c r="K173" s="339" t="s">
        <v>71</v>
      </c>
      <c r="L173" s="357">
        <v>44</v>
      </c>
      <c r="M173" s="358" t="s">
        <v>8294</v>
      </c>
      <c r="N173" s="359">
        <v>1000</v>
      </c>
      <c r="O173" s="360" t="s">
        <v>530</v>
      </c>
      <c r="P173" s="343" t="s">
        <v>531</v>
      </c>
      <c r="Q173" s="342" t="s">
        <v>2738</v>
      </c>
      <c r="R173" s="344">
        <v>35</v>
      </c>
      <c r="S173" s="345">
        <v>25</v>
      </c>
      <c r="T173" s="362">
        <v>30</v>
      </c>
      <c r="U173" s="361">
        <v>96.53</v>
      </c>
      <c r="V173" s="346">
        <v>131.25363580212252</v>
      </c>
      <c r="W173" s="348">
        <v>130.6603402773878</v>
      </c>
      <c r="X173" s="347">
        <v>66.5</v>
      </c>
      <c r="Y173" s="357">
        <v>66.89</v>
      </c>
      <c r="Z173" s="365" t="s">
        <v>2689</v>
      </c>
      <c r="AA173" s="350">
        <v>63.5</v>
      </c>
      <c r="AB173" s="349" t="s">
        <v>2685</v>
      </c>
      <c r="AC173" s="350">
        <v>0</v>
      </c>
      <c r="AD173" s="349" t="s">
        <v>2685</v>
      </c>
      <c r="AE173" s="364">
        <v>0</v>
      </c>
      <c r="AF173" s="366">
        <v>0</v>
      </c>
      <c r="AG173" s="363">
        <v>0</v>
      </c>
      <c r="AH173" s="635" t="s">
        <v>408</v>
      </c>
      <c r="AI173" s="324"/>
      <c r="AL173" s="487" t="s">
        <v>14294</v>
      </c>
      <c r="AM173" s="477" t="s">
        <v>71</v>
      </c>
      <c r="AN173" s="637">
        <v>100</v>
      </c>
      <c r="AO173" s="478">
        <v>-681</v>
      </c>
      <c r="AP173" s="463">
        <v>-556</v>
      </c>
      <c r="AQ173" s="479">
        <v>-125</v>
      </c>
      <c r="AR173" s="476" t="s">
        <v>16830</v>
      </c>
      <c r="BA173" s="313" t="s">
        <v>2967</v>
      </c>
    </row>
    <row r="174" spans="2:53" ht="16.5" customHeight="1">
      <c r="B174" s="367" t="s">
        <v>8246</v>
      </c>
      <c r="C174" s="351" t="s">
        <v>8247</v>
      </c>
      <c r="D174" s="353">
        <v>-326</v>
      </c>
      <c r="E174" s="352" t="s">
        <v>408</v>
      </c>
      <c r="F174" s="341">
        <v>96.51</v>
      </c>
      <c r="G174" s="355" t="s">
        <v>8251</v>
      </c>
      <c r="H174" s="356" t="s">
        <v>8120</v>
      </c>
      <c r="I174" s="354" t="s">
        <v>196</v>
      </c>
      <c r="J174" s="340" t="s">
        <v>8269</v>
      </c>
      <c r="K174" s="339" t="s">
        <v>71</v>
      </c>
      <c r="L174" s="357">
        <v>6</v>
      </c>
      <c r="M174" s="358" t="s">
        <v>8270</v>
      </c>
      <c r="N174" s="359">
        <v>600</v>
      </c>
      <c r="O174" s="360" t="s">
        <v>530</v>
      </c>
      <c r="P174" s="343" t="s">
        <v>530</v>
      </c>
      <c r="Q174" s="342" t="s">
        <v>2688</v>
      </c>
      <c r="R174" s="344">
        <v>33</v>
      </c>
      <c r="S174" s="345">
        <v>40</v>
      </c>
      <c r="T174" s="362">
        <v>27</v>
      </c>
      <c r="U174" s="361">
        <v>96.51</v>
      </c>
      <c r="V174" s="346">
        <v>131.23869736067763</v>
      </c>
      <c r="W174" s="348">
        <v>130.64353453076234</v>
      </c>
      <c r="X174" s="347">
        <v>66.489999999999995</v>
      </c>
      <c r="Y174" s="357" t="s">
        <v>408</v>
      </c>
      <c r="Z174" s="365" t="s">
        <v>2689</v>
      </c>
      <c r="AA174" s="350">
        <v>0</v>
      </c>
      <c r="AB174" s="349" t="s">
        <v>2685</v>
      </c>
      <c r="AC174" s="350">
        <v>0</v>
      </c>
      <c r="AD174" s="349" t="s">
        <v>2685</v>
      </c>
      <c r="AE174" s="364">
        <v>0</v>
      </c>
      <c r="AF174" s="366">
        <v>0</v>
      </c>
      <c r="AG174" s="363">
        <v>0</v>
      </c>
      <c r="AH174" s="635" t="s">
        <v>408</v>
      </c>
      <c r="AI174" s="324"/>
      <c r="AL174" s="487" t="s">
        <v>14296</v>
      </c>
      <c r="AM174" s="477" t="s">
        <v>71</v>
      </c>
      <c r="AN174" s="637" t="s">
        <v>7148</v>
      </c>
      <c r="AO174" s="478">
        <v>-326</v>
      </c>
      <c r="AP174" s="463">
        <v>-271</v>
      </c>
      <c r="AQ174" s="479">
        <v>-55</v>
      </c>
      <c r="AR174" s="476" t="s">
        <v>16831</v>
      </c>
      <c r="BA174" s="313" t="s">
        <v>2968</v>
      </c>
    </row>
    <row r="175" spans="2:53" ht="16.5" customHeight="1">
      <c r="B175" s="367" t="s">
        <v>2989</v>
      </c>
      <c r="C175" s="351" t="s">
        <v>2990</v>
      </c>
      <c r="D175" s="353">
        <v>-488</v>
      </c>
      <c r="E175" s="352" t="s">
        <v>408</v>
      </c>
      <c r="F175" s="341">
        <v>96.5</v>
      </c>
      <c r="G175" s="355" t="s">
        <v>8295</v>
      </c>
      <c r="H175" s="356" t="s">
        <v>8296</v>
      </c>
      <c r="I175" s="354" t="s">
        <v>195</v>
      </c>
      <c r="J175" s="340" t="s">
        <v>7917</v>
      </c>
      <c r="K175" s="339" t="s">
        <v>70</v>
      </c>
      <c r="L175" s="357">
        <v>15</v>
      </c>
      <c r="M175" s="358" t="s">
        <v>8297</v>
      </c>
      <c r="N175" s="359">
        <v>100</v>
      </c>
      <c r="O175" s="360" t="s">
        <v>454</v>
      </c>
      <c r="P175" s="343" t="s">
        <v>454</v>
      </c>
      <c r="Q175" s="342" t="s">
        <v>2688</v>
      </c>
      <c r="R175" s="344">
        <v>25</v>
      </c>
      <c r="S175" s="345">
        <v>30</v>
      </c>
      <c r="T175" s="362">
        <v>25</v>
      </c>
      <c r="U175" s="361">
        <v>96.5</v>
      </c>
      <c r="V175" s="346">
        <v>131.2222222222222</v>
      </c>
      <c r="W175" s="348">
        <v>130.62499999999997</v>
      </c>
      <c r="X175" s="347">
        <v>65.989999999999995</v>
      </c>
      <c r="Y175" s="357" t="s">
        <v>408</v>
      </c>
      <c r="Z175" s="365" t="s">
        <v>2689</v>
      </c>
      <c r="AA175" s="350">
        <v>19.600000000000001</v>
      </c>
      <c r="AB175" s="349" t="s">
        <v>2685</v>
      </c>
      <c r="AC175" s="350">
        <v>0</v>
      </c>
      <c r="AD175" s="349" t="s">
        <v>2685</v>
      </c>
      <c r="AE175" s="364">
        <v>0</v>
      </c>
      <c r="AF175" s="366">
        <v>0</v>
      </c>
      <c r="AG175" s="363">
        <v>0</v>
      </c>
      <c r="AH175" s="635" t="s">
        <v>408</v>
      </c>
      <c r="AI175" s="324"/>
      <c r="AL175" s="487" t="s">
        <v>14297</v>
      </c>
      <c r="AM175" s="477" t="s">
        <v>70</v>
      </c>
      <c r="AN175" s="637" t="s">
        <v>7146</v>
      </c>
      <c r="AO175" s="478">
        <v>-488</v>
      </c>
      <c r="AP175" s="463">
        <v>-488</v>
      </c>
      <c r="AQ175" s="479">
        <v>0</v>
      </c>
      <c r="AR175" s="476" t="s">
        <v>14298</v>
      </c>
      <c r="BA175" s="313" t="s">
        <v>2970</v>
      </c>
    </row>
    <row r="176" spans="2:53" ht="16.5" customHeight="1">
      <c r="B176" s="367" t="s">
        <v>8301</v>
      </c>
      <c r="C176" s="351" t="s">
        <v>8302</v>
      </c>
      <c r="D176" s="353">
        <v>-592</v>
      </c>
      <c r="E176" s="352" t="s">
        <v>408</v>
      </c>
      <c r="F176" s="341">
        <v>96.49</v>
      </c>
      <c r="G176" s="355" t="s">
        <v>8303</v>
      </c>
      <c r="H176" s="356" t="s">
        <v>8304</v>
      </c>
      <c r="I176" s="354" t="s">
        <v>196</v>
      </c>
      <c r="J176" s="340" t="s">
        <v>8305</v>
      </c>
      <c r="K176" s="339" t="s">
        <v>70</v>
      </c>
      <c r="L176" s="357">
        <v>8</v>
      </c>
      <c r="M176" s="358" t="s">
        <v>8306</v>
      </c>
      <c r="N176" s="359">
        <v>600</v>
      </c>
      <c r="O176" s="360" t="s">
        <v>530</v>
      </c>
      <c r="P176" s="343" t="s">
        <v>530</v>
      </c>
      <c r="Q176" s="342" t="s">
        <v>2688</v>
      </c>
      <c r="R176" s="344">
        <v>33</v>
      </c>
      <c r="S176" s="345">
        <v>40</v>
      </c>
      <c r="T176" s="362">
        <v>27</v>
      </c>
      <c r="U176" s="361">
        <v>96.49</v>
      </c>
      <c r="V176" s="346">
        <v>131.208762444819</v>
      </c>
      <c r="W176" s="348">
        <v>130.60985775042136</v>
      </c>
      <c r="X176" s="347">
        <v>65.98</v>
      </c>
      <c r="Y176" s="357" t="s">
        <v>408</v>
      </c>
      <c r="Z176" s="365" t="s">
        <v>2689</v>
      </c>
      <c r="AA176" s="350">
        <v>0</v>
      </c>
      <c r="AB176" s="349" t="s">
        <v>2685</v>
      </c>
      <c r="AC176" s="350">
        <v>0</v>
      </c>
      <c r="AD176" s="349" t="s">
        <v>2685</v>
      </c>
      <c r="AE176" s="364">
        <v>0</v>
      </c>
      <c r="AF176" s="366">
        <v>3</v>
      </c>
      <c r="AG176" s="363">
        <v>0</v>
      </c>
      <c r="AH176" s="635" t="s">
        <v>2690</v>
      </c>
      <c r="AI176" s="324"/>
      <c r="AL176" s="487" t="s">
        <v>14299</v>
      </c>
      <c r="AM176" s="477" t="s">
        <v>70</v>
      </c>
      <c r="AN176" s="637" t="s">
        <v>14225</v>
      </c>
      <c r="AO176" s="478">
        <v>-592</v>
      </c>
      <c r="AP176" s="463">
        <v>-592</v>
      </c>
      <c r="AQ176" s="479">
        <v>0</v>
      </c>
      <c r="AR176" s="476" t="s">
        <v>14300</v>
      </c>
      <c r="BA176" s="313" t="s">
        <v>2973</v>
      </c>
    </row>
    <row r="177" spans="2:53" ht="16.5" customHeight="1">
      <c r="B177" s="367" t="s">
        <v>8301</v>
      </c>
      <c r="C177" s="351" t="s">
        <v>8302</v>
      </c>
      <c r="D177" s="353">
        <v>-592</v>
      </c>
      <c r="E177" s="352" t="s">
        <v>408</v>
      </c>
      <c r="F177" s="341">
        <v>96.49</v>
      </c>
      <c r="G177" s="355" t="s">
        <v>8303</v>
      </c>
      <c r="H177" s="356" t="s">
        <v>8304</v>
      </c>
      <c r="I177" s="354" t="s">
        <v>196</v>
      </c>
      <c r="J177" s="340" t="s">
        <v>8307</v>
      </c>
      <c r="K177" s="339" t="s">
        <v>70</v>
      </c>
      <c r="L177" s="357">
        <v>14</v>
      </c>
      <c r="M177" s="358" t="s">
        <v>8306</v>
      </c>
      <c r="N177" s="359">
        <v>600</v>
      </c>
      <c r="O177" s="360" t="s">
        <v>530</v>
      </c>
      <c r="P177" s="343" t="s">
        <v>530</v>
      </c>
      <c r="Q177" s="342" t="s">
        <v>2688</v>
      </c>
      <c r="R177" s="344">
        <v>33</v>
      </c>
      <c r="S177" s="345">
        <v>40</v>
      </c>
      <c r="T177" s="362">
        <v>27</v>
      </c>
      <c r="U177" s="361">
        <v>96.49</v>
      </c>
      <c r="V177" s="346">
        <v>131.208762444819</v>
      </c>
      <c r="W177" s="348">
        <v>130.60985775042136</v>
      </c>
      <c r="X177" s="347">
        <v>65.98</v>
      </c>
      <c r="Y177" s="357" t="s">
        <v>408</v>
      </c>
      <c r="Z177" s="365" t="s">
        <v>2689</v>
      </c>
      <c r="AA177" s="350">
        <v>0</v>
      </c>
      <c r="AB177" s="349" t="s">
        <v>2685</v>
      </c>
      <c r="AC177" s="350">
        <v>0</v>
      </c>
      <c r="AD177" s="349" t="s">
        <v>2685</v>
      </c>
      <c r="AE177" s="364">
        <v>0</v>
      </c>
      <c r="AF177" s="366">
        <v>3</v>
      </c>
      <c r="AG177" s="363">
        <v>0</v>
      </c>
      <c r="AH177" s="635" t="s">
        <v>2690</v>
      </c>
      <c r="AI177" s="324"/>
      <c r="AL177" s="487" t="s">
        <v>14301</v>
      </c>
      <c r="AM177" s="477" t="s">
        <v>70</v>
      </c>
      <c r="AN177" s="637" t="s">
        <v>14225</v>
      </c>
      <c r="AO177" s="478">
        <v>-592</v>
      </c>
      <c r="AP177" s="463">
        <v>-592</v>
      </c>
      <c r="AQ177" s="479">
        <v>0</v>
      </c>
      <c r="AR177" s="476" t="s">
        <v>14300</v>
      </c>
      <c r="BA177" s="313" t="s">
        <v>2975</v>
      </c>
    </row>
    <row r="178" spans="2:53" ht="16.5" customHeight="1">
      <c r="B178" s="367" t="s">
        <v>8309</v>
      </c>
      <c r="C178" s="351" t="s">
        <v>8310</v>
      </c>
      <c r="D178" s="353">
        <v>-658</v>
      </c>
      <c r="E178" s="352" t="s">
        <v>408</v>
      </c>
      <c r="F178" s="341">
        <v>96.46</v>
      </c>
      <c r="G178" s="355" t="s">
        <v>8311</v>
      </c>
      <c r="H178" s="356" t="s">
        <v>18394</v>
      </c>
      <c r="I178" s="354" t="s">
        <v>203</v>
      </c>
      <c r="J178" s="340" t="s">
        <v>205</v>
      </c>
      <c r="K178" s="339" t="s">
        <v>70</v>
      </c>
      <c r="L178" s="357">
        <v>9</v>
      </c>
      <c r="M178" s="358" t="s">
        <v>8312</v>
      </c>
      <c r="N178" s="359">
        <v>1000</v>
      </c>
      <c r="O178" s="360" t="s">
        <v>454</v>
      </c>
      <c r="P178" s="343" t="s">
        <v>454</v>
      </c>
      <c r="Q178" s="342" t="s">
        <v>2688</v>
      </c>
      <c r="R178" s="344">
        <v>27</v>
      </c>
      <c r="S178" s="345">
        <v>28</v>
      </c>
      <c r="T178" s="362">
        <v>25</v>
      </c>
      <c r="U178" s="361">
        <v>96.46</v>
      </c>
      <c r="V178" s="346">
        <v>131.18055555555557</v>
      </c>
      <c r="W178" s="348">
        <v>130.578125</v>
      </c>
      <c r="X178" s="347">
        <v>65.95</v>
      </c>
      <c r="Y178" s="357" t="s">
        <v>408</v>
      </c>
      <c r="Z178" s="365" t="s">
        <v>2689</v>
      </c>
      <c r="AA178" s="350">
        <v>200</v>
      </c>
      <c r="AB178" s="349" t="s">
        <v>2685</v>
      </c>
      <c r="AC178" s="350">
        <v>5</v>
      </c>
      <c r="AD178" s="349" t="s">
        <v>2685</v>
      </c>
      <c r="AE178" s="364">
        <v>0</v>
      </c>
      <c r="AF178" s="366">
        <v>6</v>
      </c>
      <c r="AG178" s="363">
        <v>0</v>
      </c>
      <c r="AH178" s="635" t="s">
        <v>8313</v>
      </c>
      <c r="AI178" s="324"/>
      <c r="AL178" s="487" t="s">
        <v>14304</v>
      </c>
      <c r="AM178" s="477" t="s">
        <v>70</v>
      </c>
      <c r="AN178" s="637">
        <v>100</v>
      </c>
      <c r="AO178" s="478">
        <v>-658</v>
      </c>
      <c r="AP178" s="463">
        <v>-658</v>
      </c>
      <c r="AQ178" s="479">
        <v>0</v>
      </c>
      <c r="AR178" s="476" t="s">
        <v>14305</v>
      </c>
      <c r="BA178" s="313" t="s">
        <v>2977</v>
      </c>
    </row>
    <row r="179" spans="2:53" ht="16.5" customHeight="1">
      <c r="B179" s="367" t="s">
        <v>2935</v>
      </c>
      <c r="C179" s="351" t="s">
        <v>2936</v>
      </c>
      <c r="D179" s="353">
        <v>-334</v>
      </c>
      <c r="E179" s="352" t="s">
        <v>8289</v>
      </c>
      <c r="F179" s="341">
        <v>96.46</v>
      </c>
      <c r="G179" s="355" t="s">
        <v>18395</v>
      </c>
      <c r="H179" s="356" t="s">
        <v>3088</v>
      </c>
      <c r="I179" s="354" t="s">
        <v>196</v>
      </c>
      <c r="J179" s="340" t="s">
        <v>8275</v>
      </c>
      <c r="K179" s="339" t="s">
        <v>71</v>
      </c>
      <c r="L179" s="357">
        <v>7</v>
      </c>
      <c r="M179" s="358" t="s">
        <v>8276</v>
      </c>
      <c r="N179" s="359">
        <v>600</v>
      </c>
      <c r="O179" s="360" t="s">
        <v>530</v>
      </c>
      <c r="P179" s="343" t="s">
        <v>530</v>
      </c>
      <c r="Q179" s="342" t="s">
        <v>2688</v>
      </c>
      <c r="R179" s="344">
        <v>33</v>
      </c>
      <c r="S179" s="345">
        <v>40</v>
      </c>
      <c r="T179" s="362">
        <v>27</v>
      </c>
      <c r="U179" s="361">
        <v>96.46</v>
      </c>
      <c r="V179" s="346">
        <v>131.18172360307611</v>
      </c>
      <c r="W179" s="348">
        <v>130.57943905346062</v>
      </c>
      <c r="X179" s="347">
        <v>66.45</v>
      </c>
      <c r="Y179" s="357" t="s">
        <v>408</v>
      </c>
      <c r="Z179" s="365" t="s">
        <v>2689</v>
      </c>
      <c r="AA179" s="350">
        <v>0</v>
      </c>
      <c r="AB179" s="349" t="s">
        <v>2685</v>
      </c>
      <c r="AC179" s="350">
        <v>0</v>
      </c>
      <c r="AD179" s="349" t="s">
        <v>2685</v>
      </c>
      <c r="AE179" s="364">
        <v>0</v>
      </c>
      <c r="AF179" s="366">
        <v>0</v>
      </c>
      <c r="AG179" s="363">
        <v>0</v>
      </c>
      <c r="AH179" s="635" t="s">
        <v>408</v>
      </c>
      <c r="AI179" s="324"/>
      <c r="AL179" s="487" t="s">
        <v>14306</v>
      </c>
      <c r="AM179" s="480" t="s">
        <v>71</v>
      </c>
      <c r="AN179" s="637" t="s">
        <v>7148</v>
      </c>
      <c r="AO179" s="478">
        <v>-334</v>
      </c>
      <c r="AP179" s="463">
        <v>-277</v>
      </c>
      <c r="AQ179" s="479">
        <v>-57</v>
      </c>
      <c r="AR179" s="476" t="s">
        <v>16832</v>
      </c>
      <c r="BA179" s="313" t="s">
        <v>2981</v>
      </c>
    </row>
    <row r="180" spans="2:53" ht="16.5" customHeight="1">
      <c r="B180" s="367" t="s">
        <v>3010</v>
      </c>
      <c r="C180" s="351" t="s">
        <v>3011</v>
      </c>
      <c r="D180" s="353">
        <v>-608</v>
      </c>
      <c r="E180" s="352" t="s">
        <v>3207</v>
      </c>
      <c r="F180" s="341">
        <v>96.42</v>
      </c>
      <c r="G180" s="355" t="s">
        <v>8314</v>
      </c>
      <c r="H180" s="356" t="s">
        <v>8315</v>
      </c>
      <c r="I180" s="354" t="s">
        <v>196</v>
      </c>
      <c r="J180" s="340" t="s">
        <v>8316</v>
      </c>
      <c r="K180" s="339" t="s">
        <v>70</v>
      </c>
      <c r="L180" s="357">
        <v>10</v>
      </c>
      <c r="M180" s="358" t="s">
        <v>8317</v>
      </c>
      <c r="N180" s="359">
        <v>600</v>
      </c>
      <c r="O180" s="360" t="s">
        <v>530</v>
      </c>
      <c r="P180" s="343" t="s">
        <v>530</v>
      </c>
      <c r="Q180" s="342" t="s">
        <v>2688</v>
      </c>
      <c r="R180" s="344">
        <v>33</v>
      </c>
      <c r="S180" s="345">
        <v>40</v>
      </c>
      <c r="T180" s="362">
        <v>27</v>
      </c>
      <c r="U180" s="361">
        <v>96.42</v>
      </c>
      <c r="V180" s="346">
        <v>131.12947045237516</v>
      </c>
      <c r="W180" s="348">
        <v>130.52065425892206</v>
      </c>
      <c r="X180" s="347">
        <v>65.900000000000006</v>
      </c>
      <c r="Y180" s="357" t="s">
        <v>408</v>
      </c>
      <c r="Z180" s="365" t="s">
        <v>2689</v>
      </c>
      <c r="AA180" s="350">
        <v>0</v>
      </c>
      <c r="AB180" s="349" t="s">
        <v>2685</v>
      </c>
      <c r="AC180" s="350">
        <v>0</v>
      </c>
      <c r="AD180" s="349" t="s">
        <v>2685</v>
      </c>
      <c r="AE180" s="364">
        <v>0</v>
      </c>
      <c r="AF180" s="366">
        <v>3</v>
      </c>
      <c r="AG180" s="363">
        <v>0</v>
      </c>
      <c r="AH180" s="635" t="s">
        <v>2818</v>
      </c>
      <c r="AI180" s="324"/>
      <c r="AL180" s="487" t="s">
        <v>14307</v>
      </c>
      <c r="AM180" s="477" t="s">
        <v>70</v>
      </c>
      <c r="AN180" s="637" t="s">
        <v>14225</v>
      </c>
      <c r="AO180" s="478">
        <v>-608</v>
      </c>
      <c r="AP180" s="463">
        <v>-608</v>
      </c>
      <c r="AQ180" s="479">
        <v>0</v>
      </c>
      <c r="AR180" s="476" t="s">
        <v>14308</v>
      </c>
      <c r="BA180" s="313" t="s">
        <v>2983</v>
      </c>
    </row>
    <row r="181" spans="2:53" ht="16.5" customHeight="1">
      <c r="B181" s="367" t="s">
        <v>2949</v>
      </c>
      <c r="C181" s="351" t="s">
        <v>2950</v>
      </c>
      <c r="D181" s="353">
        <v>-338</v>
      </c>
      <c r="E181" s="352" t="s">
        <v>408</v>
      </c>
      <c r="F181" s="341">
        <v>96.41</v>
      </c>
      <c r="G181" s="355" t="s">
        <v>18396</v>
      </c>
      <c r="H181" s="356" t="s">
        <v>18397</v>
      </c>
      <c r="I181" s="354" t="s">
        <v>196</v>
      </c>
      <c r="J181" s="340" t="s">
        <v>8290</v>
      </c>
      <c r="K181" s="339" t="s">
        <v>71</v>
      </c>
      <c r="L181" s="357">
        <v>15</v>
      </c>
      <c r="M181" s="358" t="s">
        <v>3032</v>
      </c>
      <c r="N181" s="359">
        <v>600</v>
      </c>
      <c r="O181" s="360" t="s">
        <v>530</v>
      </c>
      <c r="P181" s="343" t="s">
        <v>530</v>
      </c>
      <c r="Q181" s="342" t="s">
        <v>2688</v>
      </c>
      <c r="R181" s="344">
        <v>33</v>
      </c>
      <c r="S181" s="345">
        <v>40</v>
      </c>
      <c r="T181" s="362">
        <v>27</v>
      </c>
      <c r="U181" s="361">
        <v>96.41</v>
      </c>
      <c r="V181" s="346">
        <v>131.12499073111405</v>
      </c>
      <c r="W181" s="348">
        <v>130.5156145725033</v>
      </c>
      <c r="X181" s="347">
        <v>66.41</v>
      </c>
      <c r="Y181" s="357" t="s">
        <v>408</v>
      </c>
      <c r="Z181" s="365" t="s">
        <v>2689</v>
      </c>
      <c r="AA181" s="350">
        <v>0</v>
      </c>
      <c r="AB181" s="349" t="s">
        <v>2685</v>
      </c>
      <c r="AC181" s="350">
        <v>0</v>
      </c>
      <c r="AD181" s="349" t="s">
        <v>2685</v>
      </c>
      <c r="AE181" s="364">
        <v>0</v>
      </c>
      <c r="AF181" s="366">
        <v>0</v>
      </c>
      <c r="AG181" s="363">
        <v>0</v>
      </c>
      <c r="AH181" s="635" t="s">
        <v>408</v>
      </c>
      <c r="AI181" s="324"/>
      <c r="AL181" s="487" t="s">
        <v>14309</v>
      </c>
      <c r="AM181" s="480" t="s">
        <v>71</v>
      </c>
      <c r="AN181" s="637" t="s">
        <v>7148</v>
      </c>
      <c r="AO181" s="478">
        <v>-338</v>
      </c>
      <c r="AP181" s="463">
        <v>-279</v>
      </c>
      <c r="AQ181" s="479">
        <v>-59</v>
      </c>
      <c r="AR181" s="476" t="s">
        <v>16833</v>
      </c>
      <c r="BA181" s="313" t="s">
        <v>2984</v>
      </c>
    </row>
    <row r="182" spans="2:53" ht="16.5" customHeight="1">
      <c r="B182" s="367" t="s">
        <v>3034</v>
      </c>
      <c r="C182" s="351" t="s">
        <v>3035</v>
      </c>
      <c r="D182" s="353">
        <v>-321</v>
      </c>
      <c r="E182" s="352" t="s">
        <v>8298</v>
      </c>
      <c r="F182" s="341">
        <v>96.37</v>
      </c>
      <c r="G182" s="355" t="s">
        <v>18398</v>
      </c>
      <c r="H182" s="356" t="s">
        <v>18399</v>
      </c>
      <c r="I182" s="354" t="s">
        <v>212</v>
      </c>
      <c r="J182" s="340" t="s">
        <v>8205</v>
      </c>
      <c r="K182" s="339" t="s">
        <v>70</v>
      </c>
      <c r="L182" s="357">
        <v>9</v>
      </c>
      <c r="M182" s="358" t="s">
        <v>8206</v>
      </c>
      <c r="N182" s="359">
        <v>800</v>
      </c>
      <c r="O182" s="360" t="s">
        <v>532</v>
      </c>
      <c r="P182" s="343" t="s">
        <v>532</v>
      </c>
      <c r="Q182" s="342" t="s">
        <v>2688</v>
      </c>
      <c r="R182" s="344">
        <v>30</v>
      </c>
      <c r="S182" s="345">
        <v>40</v>
      </c>
      <c r="T182" s="362">
        <v>30</v>
      </c>
      <c r="U182" s="361">
        <v>96.37</v>
      </c>
      <c r="V182" s="346">
        <v>131.07928297123883</v>
      </c>
      <c r="W182" s="348">
        <v>130.46419334264368</v>
      </c>
      <c r="X182" s="347" t="s">
        <v>18400</v>
      </c>
      <c r="Y182" s="357" t="s">
        <v>408</v>
      </c>
      <c r="Z182" s="365" t="s">
        <v>2689</v>
      </c>
      <c r="AA182" s="350">
        <v>200</v>
      </c>
      <c r="AB182" s="349" t="s">
        <v>2685</v>
      </c>
      <c r="AC182" s="350">
        <v>10</v>
      </c>
      <c r="AD182" s="349" t="s">
        <v>2685</v>
      </c>
      <c r="AE182" s="364">
        <v>0</v>
      </c>
      <c r="AF182" s="366">
        <v>0</v>
      </c>
      <c r="AG182" s="363">
        <v>0</v>
      </c>
      <c r="AH182" s="635" t="s">
        <v>408</v>
      </c>
      <c r="AI182" s="324"/>
      <c r="AL182" s="487" t="s">
        <v>14254</v>
      </c>
      <c r="AM182" s="480" t="s">
        <v>70</v>
      </c>
      <c r="AN182" s="637" t="s">
        <v>7148</v>
      </c>
      <c r="AO182" s="478">
        <v>-321</v>
      </c>
      <c r="AP182" s="463">
        <v>-321</v>
      </c>
      <c r="AQ182" s="479">
        <v>0</v>
      </c>
      <c r="AR182" s="476" t="s">
        <v>17115</v>
      </c>
      <c r="BA182" s="313" t="s">
        <v>2985</v>
      </c>
    </row>
    <row r="183" spans="2:53" ht="16.5" customHeight="1">
      <c r="B183" s="367" t="s">
        <v>8321</v>
      </c>
      <c r="C183" s="351" t="s">
        <v>8322</v>
      </c>
      <c r="D183" s="353">
        <v>-510</v>
      </c>
      <c r="E183" s="352" t="s">
        <v>408</v>
      </c>
      <c r="F183" s="341">
        <v>96.37</v>
      </c>
      <c r="G183" s="355" t="s">
        <v>3248</v>
      </c>
      <c r="H183" s="356" t="s">
        <v>8331</v>
      </c>
      <c r="I183" s="354" t="s">
        <v>196</v>
      </c>
      <c r="J183" s="340" t="s">
        <v>8323</v>
      </c>
      <c r="K183" s="339" t="s">
        <v>70</v>
      </c>
      <c r="L183" s="357">
        <v>4</v>
      </c>
      <c r="M183" s="358" t="s">
        <v>8324</v>
      </c>
      <c r="N183" s="359">
        <v>600</v>
      </c>
      <c r="O183" s="360" t="s">
        <v>530</v>
      </c>
      <c r="P183" s="343" t="s">
        <v>530</v>
      </c>
      <c r="Q183" s="342" t="s">
        <v>2688</v>
      </c>
      <c r="R183" s="344">
        <v>33</v>
      </c>
      <c r="S183" s="345">
        <v>40</v>
      </c>
      <c r="T183" s="362">
        <v>27</v>
      </c>
      <c r="U183" s="361">
        <v>96.37</v>
      </c>
      <c r="V183" s="346">
        <v>131.07548751814741</v>
      </c>
      <c r="W183" s="348">
        <v>130.45992345791586</v>
      </c>
      <c r="X183" s="347">
        <v>65.86</v>
      </c>
      <c r="Y183" s="357" t="s">
        <v>408</v>
      </c>
      <c r="Z183" s="365" t="s">
        <v>2689</v>
      </c>
      <c r="AA183" s="350">
        <v>0</v>
      </c>
      <c r="AB183" s="349" t="s">
        <v>2685</v>
      </c>
      <c r="AC183" s="350">
        <v>0</v>
      </c>
      <c r="AD183" s="349" t="s">
        <v>2685</v>
      </c>
      <c r="AE183" s="364">
        <v>0</v>
      </c>
      <c r="AF183" s="366">
        <v>3</v>
      </c>
      <c r="AG183" s="363">
        <v>0</v>
      </c>
      <c r="AH183" s="635" t="s">
        <v>2818</v>
      </c>
      <c r="AI183" s="324"/>
      <c r="AL183" s="487" t="s">
        <v>14310</v>
      </c>
      <c r="AM183" s="477" t="s">
        <v>70</v>
      </c>
      <c r="AN183" s="637" t="s">
        <v>7146</v>
      </c>
      <c r="AO183" s="478">
        <v>-510</v>
      </c>
      <c r="AP183" s="463">
        <v>-510</v>
      </c>
      <c r="AQ183" s="479">
        <v>0</v>
      </c>
      <c r="AR183" s="476" t="s">
        <v>16834</v>
      </c>
      <c r="BA183" s="313" t="s">
        <v>2987</v>
      </c>
    </row>
    <row r="184" spans="2:53" ht="16.5" customHeight="1">
      <c r="B184" s="367" t="s">
        <v>18186</v>
      </c>
      <c r="C184" s="351" t="s">
        <v>18187</v>
      </c>
      <c r="D184" s="353">
        <v>-340</v>
      </c>
      <c r="E184" s="352" t="s">
        <v>408</v>
      </c>
      <c r="F184" s="341">
        <v>96.36</v>
      </c>
      <c r="G184" s="355" t="s">
        <v>3187</v>
      </c>
      <c r="H184" s="356" t="s">
        <v>8041</v>
      </c>
      <c r="I184" s="354" t="s">
        <v>196</v>
      </c>
      <c r="J184" s="340" t="s">
        <v>8299</v>
      </c>
      <c r="K184" s="339" t="s">
        <v>71</v>
      </c>
      <c r="L184" s="357">
        <v>10</v>
      </c>
      <c r="M184" s="358" t="s">
        <v>8300</v>
      </c>
      <c r="N184" s="359">
        <v>600</v>
      </c>
      <c r="O184" s="360" t="s">
        <v>530</v>
      </c>
      <c r="P184" s="343" t="s">
        <v>530</v>
      </c>
      <c r="Q184" s="342" t="s">
        <v>2688</v>
      </c>
      <c r="R184" s="344">
        <v>33</v>
      </c>
      <c r="S184" s="345">
        <v>40</v>
      </c>
      <c r="T184" s="362">
        <v>27</v>
      </c>
      <c r="U184" s="361">
        <v>96.36</v>
      </c>
      <c r="V184" s="346">
        <v>131.06761829636389</v>
      </c>
      <c r="W184" s="348">
        <v>130.45107058340938</v>
      </c>
      <c r="X184" s="347">
        <v>66.37</v>
      </c>
      <c r="Y184" s="357" t="s">
        <v>408</v>
      </c>
      <c r="Z184" s="365" t="s">
        <v>2689</v>
      </c>
      <c r="AA184" s="350">
        <v>0</v>
      </c>
      <c r="AB184" s="349" t="s">
        <v>2685</v>
      </c>
      <c r="AC184" s="350">
        <v>0</v>
      </c>
      <c r="AD184" s="349" t="s">
        <v>2685</v>
      </c>
      <c r="AE184" s="364">
        <v>0</v>
      </c>
      <c r="AF184" s="366">
        <v>0</v>
      </c>
      <c r="AG184" s="363">
        <v>0</v>
      </c>
      <c r="AH184" s="635" t="s">
        <v>408</v>
      </c>
      <c r="AI184" s="324"/>
      <c r="AL184" s="487" t="s">
        <v>14311</v>
      </c>
      <c r="AM184" s="480" t="s">
        <v>71</v>
      </c>
      <c r="AN184" s="637" t="s">
        <v>7148</v>
      </c>
      <c r="AO184" s="478">
        <v>-340</v>
      </c>
      <c r="AP184" s="463">
        <v>-280</v>
      </c>
      <c r="AQ184" s="479">
        <v>-60</v>
      </c>
      <c r="AR184" s="476" t="s">
        <v>16835</v>
      </c>
      <c r="BA184" s="313" t="s">
        <v>2988</v>
      </c>
    </row>
    <row r="185" spans="2:53" ht="16.5" customHeight="1">
      <c r="B185" s="367" t="s">
        <v>8325</v>
      </c>
      <c r="C185" s="351" t="s">
        <v>8326</v>
      </c>
      <c r="D185" s="353">
        <v>-676</v>
      </c>
      <c r="E185" s="352" t="s">
        <v>3202</v>
      </c>
      <c r="F185" s="341">
        <v>96.35</v>
      </c>
      <c r="G185" s="355" t="s">
        <v>3304</v>
      </c>
      <c r="H185" s="356" t="s">
        <v>8161</v>
      </c>
      <c r="I185" s="354" t="s">
        <v>75</v>
      </c>
      <c r="J185" s="340" t="s">
        <v>8327</v>
      </c>
      <c r="K185" s="339" t="s">
        <v>70</v>
      </c>
      <c r="L185" s="357">
        <v>10</v>
      </c>
      <c r="M185" s="358" t="s">
        <v>7999</v>
      </c>
      <c r="N185" s="359">
        <v>1000</v>
      </c>
      <c r="O185" s="360" t="s">
        <v>530</v>
      </c>
      <c r="P185" s="343" t="s">
        <v>531</v>
      </c>
      <c r="Q185" s="342" t="s">
        <v>2688</v>
      </c>
      <c r="R185" s="344">
        <v>31</v>
      </c>
      <c r="S185" s="345">
        <v>38</v>
      </c>
      <c r="T185" s="362">
        <v>31</v>
      </c>
      <c r="U185" s="361">
        <v>96.35</v>
      </c>
      <c r="V185" s="346">
        <v>131.05378151260504</v>
      </c>
      <c r="W185" s="348">
        <v>130.43550420168069</v>
      </c>
      <c r="X185" s="347">
        <v>65.84</v>
      </c>
      <c r="Y185" s="357">
        <v>67.25</v>
      </c>
      <c r="Z185" s="365" t="s">
        <v>2689</v>
      </c>
      <c r="AA185" s="350">
        <v>0</v>
      </c>
      <c r="AB185" s="349" t="s">
        <v>2685</v>
      </c>
      <c r="AC185" s="350">
        <v>10</v>
      </c>
      <c r="AD185" s="349" t="s">
        <v>2685</v>
      </c>
      <c r="AE185" s="364">
        <v>0</v>
      </c>
      <c r="AF185" s="366">
        <v>0</v>
      </c>
      <c r="AG185" s="363">
        <v>0</v>
      </c>
      <c r="AH185" s="635" t="s">
        <v>408</v>
      </c>
      <c r="AI185" s="324"/>
      <c r="AL185" s="487" t="s">
        <v>14312</v>
      </c>
      <c r="AM185" s="477" t="s">
        <v>70</v>
      </c>
      <c r="AN185" s="637">
        <v>100</v>
      </c>
      <c r="AO185" s="478">
        <v>-676</v>
      </c>
      <c r="AP185" s="463">
        <v>-676</v>
      </c>
      <c r="AQ185" s="479">
        <v>0</v>
      </c>
      <c r="AR185" s="476" t="s">
        <v>17116</v>
      </c>
      <c r="BA185" s="313" t="s">
        <v>2992</v>
      </c>
    </row>
    <row r="186" spans="2:53" ht="16.5" customHeight="1">
      <c r="B186" s="367" t="s">
        <v>8325</v>
      </c>
      <c r="C186" s="351" t="s">
        <v>8326</v>
      </c>
      <c r="D186" s="353">
        <v>-680</v>
      </c>
      <c r="E186" s="352" t="s">
        <v>408</v>
      </c>
      <c r="F186" s="341">
        <v>96.34</v>
      </c>
      <c r="G186" s="355" t="s">
        <v>18401</v>
      </c>
      <c r="H186" s="356" t="s">
        <v>18402</v>
      </c>
      <c r="I186" s="354" t="s">
        <v>222</v>
      </c>
      <c r="J186" s="340" t="s">
        <v>7981</v>
      </c>
      <c r="K186" s="339" t="s">
        <v>70</v>
      </c>
      <c r="L186" s="357">
        <v>10</v>
      </c>
      <c r="M186" s="358" t="s">
        <v>8223</v>
      </c>
      <c r="N186" s="359">
        <v>800</v>
      </c>
      <c r="O186" s="360" t="s">
        <v>530</v>
      </c>
      <c r="P186" s="343" t="s">
        <v>532</v>
      </c>
      <c r="Q186" s="342" t="s">
        <v>2688</v>
      </c>
      <c r="R186" s="344">
        <v>30</v>
      </c>
      <c r="S186" s="345">
        <v>30</v>
      </c>
      <c r="T186" s="362">
        <v>15</v>
      </c>
      <c r="U186" s="361">
        <v>96.34</v>
      </c>
      <c r="V186" s="346">
        <v>131.04935326989488</v>
      </c>
      <c r="W186" s="348">
        <v>130.43052242863172</v>
      </c>
      <c r="X186" s="347" t="s">
        <v>18403</v>
      </c>
      <c r="Y186" s="357" t="s">
        <v>408</v>
      </c>
      <c r="Z186" s="365" t="s">
        <v>2689</v>
      </c>
      <c r="AA186" s="350">
        <v>80</v>
      </c>
      <c r="AB186" s="349" t="s">
        <v>2685</v>
      </c>
      <c r="AC186" s="350">
        <v>6</v>
      </c>
      <c r="AD186" s="349" t="s">
        <v>2685</v>
      </c>
      <c r="AE186" s="364">
        <v>0</v>
      </c>
      <c r="AF186" s="366">
        <v>0</v>
      </c>
      <c r="AG186" s="363">
        <v>0</v>
      </c>
      <c r="AH186" s="635" t="s">
        <v>7914</v>
      </c>
      <c r="AI186" s="324"/>
      <c r="AL186" s="487" t="s">
        <v>14264</v>
      </c>
      <c r="AM186" s="477" t="s">
        <v>70</v>
      </c>
      <c r="AN186" s="637">
        <v>100</v>
      </c>
      <c r="AO186" s="478">
        <v>-680</v>
      </c>
      <c r="AP186" s="463">
        <v>-680</v>
      </c>
      <c r="AQ186" s="479">
        <v>0</v>
      </c>
      <c r="AR186" s="476" t="s">
        <v>17117</v>
      </c>
      <c r="BA186" s="313" t="s">
        <v>2993</v>
      </c>
    </row>
    <row r="187" spans="2:53" ht="16.5" customHeight="1">
      <c r="B187" s="367" t="s">
        <v>8328</v>
      </c>
      <c r="C187" s="351" t="s">
        <v>8329</v>
      </c>
      <c r="D187" s="353">
        <v>-680</v>
      </c>
      <c r="E187" s="352" t="s">
        <v>408</v>
      </c>
      <c r="F187" s="341">
        <v>96.33</v>
      </c>
      <c r="G187" s="355" t="s">
        <v>8330</v>
      </c>
      <c r="H187" s="356" t="s">
        <v>18377</v>
      </c>
      <c r="I187" s="354" t="s">
        <v>200</v>
      </c>
      <c r="J187" s="340" t="s">
        <v>433</v>
      </c>
      <c r="K187" s="339" t="s">
        <v>70</v>
      </c>
      <c r="L187" s="357">
        <v>12</v>
      </c>
      <c r="M187" s="358" t="s">
        <v>8332</v>
      </c>
      <c r="N187" s="359">
        <v>400</v>
      </c>
      <c r="O187" s="360" t="s">
        <v>454</v>
      </c>
      <c r="P187" s="343" t="s">
        <v>454</v>
      </c>
      <c r="Q187" s="342" t="s">
        <v>2688</v>
      </c>
      <c r="R187" s="344">
        <v>25</v>
      </c>
      <c r="S187" s="345">
        <v>25</v>
      </c>
      <c r="T187" s="362">
        <v>25</v>
      </c>
      <c r="U187" s="361">
        <v>96.33</v>
      </c>
      <c r="V187" s="346">
        <v>131.03703703703704</v>
      </c>
      <c r="W187" s="348">
        <v>130.41666666666666</v>
      </c>
      <c r="X187" s="347">
        <v>65.83</v>
      </c>
      <c r="Y187" s="357" t="s">
        <v>408</v>
      </c>
      <c r="Z187" s="365" t="s">
        <v>2689</v>
      </c>
      <c r="AA187" s="350">
        <v>100</v>
      </c>
      <c r="AB187" s="349" t="s">
        <v>2685</v>
      </c>
      <c r="AC187" s="350">
        <v>10</v>
      </c>
      <c r="AD187" s="349" t="s">
        <v>2685</v>
      </c>
      <c r="AE187" s="364">
        <v>0</v>
      </c>
      <c r="AF187" s="366">
        <v>0</v>
      </c>
      <c r="AG187" s="363">
        <v>0</v>
      </c>
      <c r="AH187" s="635" t="s">
        <v>408</v>
      </c>
      <c r="AI187" s="324"/>
      <c r="AL187" s="487" t="s">
        <v>7170</v>
      </c>
      <c r="AM187" s="477" t="s">
        <v>70</v>
      </c>
      <c r="AN187" s="637">
        <v>100</v>
      </c>
      <c r="AO187" s="478">
        <v>-680</v>
      </c>
      <c r="AP187" s="463">
        <v>-680</v>
      </c>
      <c r="AQ187" s="479">
        <v>0</v>
      </c>
      <c r="AR187" s="476" t="s">
        <v>17118</v>
      </c>
      <c r="BA187" s="313" t="s">
        <v>2995</v>
      </c>
    </row>
    <row r="188" spans="2:53" ht="16.5" customHeight="1">
      <c r="B188" s="367" t="s">
        <v>18188</v>
      </c>
      <c r="C188" s="351" t="s">
        <v>18189</v>
      </c>
      <c r="D188" s="353">
        <v>-346</v>
      </c>
      <c r="E188" s="352" t="s">
        <v>8318</v>
      </c>
      <c r="F188" s="341">
        <v>96.33</v>
      </c>
      <c r="G188" s="355" t="s">
        <v>18404</v>
      </c>
      <c r="H188" s="356" t="s">
        <v>18402</v>
      </c>
      <c r="I188" s="354" t="s">
        <v>196</v>
      </c>
      <c r="J188" s="340" t="s">
        <v>542</v>
      </c>
      <c r="K188" s="339" t="s">
        <v>71</v>
      </c>
      <c r="L188" s="357">
        <v>7</v>
      </c>
      <c r="M188" s="358" t="s">
        <v>8308</v>
      </c>
      <c r="N188" s="359">
        <v>600</v>
      </c>
      <c r="O188" s="360" t="s">
        <v>530</v>
      </c>
      <c r="P188" s="343" t="s">
        <v>530</v>
      </c>
      <c r="Q188" s="342" t="s">
        <v>2688</v>
      </c>
      <c r="R188" s="344">
        <v>33</v>
      </c>
      <c r="S188" s="345">
        <v>40</v>
      </c>
      <c r="T188" s="362">
        <v>27</v>
      </c>
      <c r="U188" s="361">
        <v>96.33</v>
      </c>
      <c r="V188" s="346">
        <v>131.03882850588687</v>
      </c>
      <c r="W188" s="348">
        <v>130.41868206912272</v>
      </c>
      <c r="X188" s="347">
        <v>66.349999999999994</v>
      </c>
      <c r="Y188" s="357" t="s">
        <v>408</v>
      </c>
      <c r="Z188" s="365" t="s">
        <v>2689</v>
      </c>
      <c r="AA188" s="350">
        <v>0</v>
      </c>
      <c r="AB188" s="349" t="s">
        <v>2685</v>
      </c>
      <c r="AC188" s="350">
        <v>0</v>
      </c>
      <c r="AD188" s="349" t="s">
        <v>2685</v>
      </c>
      <c r="AE188" s="364">
        <v>0</v>
      </c>
      <c r="AF188" s="366">
        <v>0</v>
      </c>
      <c r="AG188" s="363">
        <v>0</v>
      </c>
      <c r="AH188" s="635" t="s">
        <v>408</v>
      </c>
      <c r="AI188" s="324"/>
      <c r="AL188" s="487" t="s">
        <v>14313</v>
      </c>
      <c r="AM188" s="477" t="s">
        <v>71</v>
      </c>
      <c r="AN188" s="637" t="s">
        <v>7148</v>
      </c>
      <c r="AO188" s="478">
        <v>-346</v>
      </c>
      <c r="AP188" s="463">
        <v>-284</v>
      </c>
      <c r="AQ188" s="479">
        <v>-62</v>
      </c>
      <c r="AR188" s="476" t="s">
        <v>16836</v>
      </c>
      <c r="BA188" s="313" t="s">
        <v>2997</v>
      </c>
    </row>
    <row r="189" spans="2:53" ht="16.5" customHeight="1">
      <c r="B189" s="367" t="s">
        <v>8333</v>
      </c>
      <c r="C189" s="351" t="s">
        <v>8334</v>
      </c>
      <c r="D189" s="353">
        <v>-692</v>
      </c>
      <c r="E189" s="352" t="s">
        <v>408</v>
      </c>
      <c r="F189" s="341">
        <v>96.31</v>
      </c>
      <c r="G189" s="355" t="s">
        <v>8335</v>
      </c>
      <c r="H189" s="356" t="s">
        <v>18378</v>
      </c>
      <c r="I189" s="354" t="s">
        <v>242</v>
      </c>
      <c r="J189" s="340" t="s">
        <v>432</v>
      </c>
      <c r="K189" s="339" t="s">
        <v>70</v>
      </c>
      <c r="L189" s="357">
        <v>6</v>
      </c>
      <c r="M189" s="358" t="s">
        <v>8336</v>
      </c>
      <c r="N189" s="359">
        <v>800</v>
      </c>
      <c r="O189" s="360" t="s">
        <v>530</v>
      </c>
      <c r="P189" s="343" t="s">
        <v>530</v>
      </c>
      <c r="Q189" s="342" t="s">
        <v>2688</v>
      </c>
      <c r="R189" s="344">
        <v>25</v>
      </c>
      <c r="S189" s="345">
        <v>25</v>
      </c>
      <c r="T189" s="362">
        <v>25</v>
      </c>
      <c r="U189" s="361">
        <v>96.31</v>
      </c>
      <c r="V189" s="346">
        <v>131.00882891956451</v>
      </c>
      <c r="W189" s="348">
        <v>130.38493253451009</v>
      </c>
      <c r="X189" s="347">
        <v>65.8</v>
      </c>
      <c r="Y189" s="357" t="s">
        <v>408</v>
      </c>
      <c r="Z189" s="365" t="s">
        <v>2689</v>
      </c>
      <c r="AA189" s="350">
        <v>135</v>
      </c>
      <c r="AB189" s="349" t="s">
        <v>2685</v>
      </c>
      <c r="AC189" s="350">
        <v>0</v>
      </c>
      <c r="AD189" s="349" t="s">
        <v>2685</v>
      </c>
      <c r="AE189" s="364">
        <v>0</v>
      </c>
      <c r="AF189" s="366">
        <v>0</v>
      </c>
      <c r="AG189" s="363">
        <v>0</v>
      </c>
      <c r="AH189" s="635" t="s">
        <v>408</v>
      </c>
      <c r="AI189" s="324"/>
      <c r="AL189" s="487" t="s">
        <v>7184</v>
      </c>
      <c r="AM189" s="477" t="s">
        <v>70</v>
      </c>
      <c r="AN189" s="637">
        <v>100</v>
      </c>
      <c r="AO189" s="478">
        <v>-692</v>
      </c>
      <c r="AP189" s="463">
        <v>-692</v>
      </c>
      <c r="AQ189" s="479">
        <v>0</v>
      </c>
      <c r="AR189" s="476" t="s">
        <v>17119</v>
      </c>
      <c r="BA189" s="313" t="s">
        <v>2998</v>
      </c>
    </row>
    <row r="190" spans="2:53" ht="16.5" customHeight="1">
      <c r="B190" s="367" t="s">
        <v>18190</v>
      </c>
      <c r="C190" s="351" t="s">
        <v>18191</v>
      </c>
      <c r="D190" s="353">
        <v>-371</v>
      </c>
      <c r="E190" s="352" t="s">
        <v>408</v>
      </c>
      <c r="F190" s="341">
        <v>96.26</v>
      </c>
      <c r="G190" s="355" t="s">
        <v>18405</v>
      </c>
      <c r="H190" s="356" t="s">
        <v>3125</v>
      </c>
      <c r="I190" s="354" t="s">
        <v>196</v>
      </c>
      <c r="J190" s="340" t="s">
        <v>8319</v>
      </c>
      <c r="K190" s="339" t="s">
        <v>71</v>
      </c>
      <c r="L190" s="357">
        <v>8</v>
      </c>
      <c r="M190" s="358" t="s">
        <v>8320</v>
      </c>
      <c r="N190" s="359">
        <v>600</v>
      </c>
      <c r="O190" s="360" t="s">
        <v>530</v>
      </c>
      <c r="P190" s="343" t="s">
        <v>530</v>
      </c>
      <c r="Q190" s="342" t="s">
        <v>2688</v>
      </c>
      <c r="R190" s="344">
        <v>33</v>
      </c>
      <c r="S190" s="345">
        <v>40</v>
      </c>
      <c r="T190" s="362">
        <v>27</v>
      </c>
      <c r="U190" s="361">
        <v>96.26</v>
      </c>
      <c r="V190" s="346">
        <v>130.95245913445578</v>
      </c>
      <c r="W190" s="348">
        <v>130.32151652626277</v>
      </c>
      <c r="X190" s="347">
        <v>66.290000000000006</v>
      </c>
      <c r="Y190" s="357" t="s">
        <v>408</v>
      </c>
      <c r="Z190" s="365" t="s">
        <v>2689</v>
      </c>
      <c r="AA190" s="350">
        <v>0</v>
      </c>
      <c r="AB190" s="349" t="s">
        <v>2685</v>
      </c>
      <c r="AC190" s="350">
        <v>0</v>
      </c>
      <c r="AD190" s="349" t="s">
        <v>2685</v>
      </c>
      <c r="AE190" s="364">
        <v>0</v>
      </c>
      <c r="AF190" s="366">
        <v>0</v>
      </c>
      <c r="AG190" s="363">
        <v>0</v>
      </c>
      <c r="AH190" s="635" t="s">
        <v>408</v>
      </c>
      <c r="AI190" s="324"/>
      <c r="AL190" s="487" t="s">
        <v>14314</v>
      </c>
      <c r="AM190" s="477" t="s">
        <v>71</v>
      </c>
      <c r="AN190" s="637" t="s">
        <v>7148</v>
      </c>
      <c r="AO190" s="478">
        <v>-371</v>
      </c>
      <c r="AP190" s="463">
        <v>-304</v>
      </c>
      <c r="AQ190" s="479">
        <v>-67</v>
      </c>
      <c r="AR190" s="476" t="s">
        <v>16837</v>
      </c>
      <c r="BA190" s="313" t="s">
        <v>3000</v>
      </c>
    </row>
    <row r="191" spans="2:53" ht="16.5" customHeight="1">
      <c r="B191" s="367" t="s">
        <v>8342</v>
      </c>
      <c r="C191" s="351" t="s">
        <v>8343</v>
      </c>
      <c r="D191" s="353">
        <v>-740</v>
      </c>
      <c r="E191" s="352" t="s">
        <v>408</v>
      </c>
      <c r="F191" s="341">
        <v>96.25</v>
      </c>
      <c r="G191" s="355" t="s">
        <v>8344</v>
      </c>
      <c r="H191" s="356" t="s">
        <v>18406</v>
      </c>
      <c r="I191" s="354" t="s">
        <v>75</v>
      </c>
      <c r="J191" s="340" t="s">
        <v>8345</v>
      </c>
      <c r="K191" s="339" t="s">
        <v>70</v>
      </c>
      <c r="L191" s="357">
        <v>20</v>
      </c>
      <c r="M191" s="358" t="s">
        <v>3099</v>
      </c>
      <c r="N191" s="359">
        <v>1000</v>
      </c>
      <c r="O191" s="360" t="s">
        <v>530</v>
      </c>
      <c r="P191" s="343" t="s">
        <v>531</v>
      </c>
      <c r="Q191" s="342" t="s">
        <v>2688</v>
      </c>
      <c r="R191" s="344">
        <v>31</v>
      </c>
      <c r="S191" s="345">
        <v>38</v>
      </c>
      <c r="T191" s="362">
        <v>31</v>
      </c>
      <c r="U191" s="361">
        <v>96.25</v>
      </c>
      <c r="V191" s="346">
        <v>130.94957983193277</v>
      </c>
      <c r="W191" s="348">
        <v>130.31827731092437</v>
      </c>
      <c r="X191" s="347">
        <v>65.760000000000005</v>
      </c>
      <c r="Y191" s="357">
        <v>67.17</v>
      </c>
      <c r="Z191" s="365" t="s">
        <v>2689</v>
      </c>
      <c r="AA191" s="350">
        <v>0</v>
      </c>
      <c r="AB191" s="349" t="s">
        <v>2685</v>
      </c>
      <c r="AC191" s="350">
        <v>10</v>
      </c>
      <c r="AD191" s="349" t="s">
        <v>2685</v>
      </c>
      <c r="AE191" s="364">
        <v>0</v>
      </c>
      <c r="AF191" s="366">
        <v>0</v>
      </c>
      <c r="AG191" s="363">
        <v>0</v>
      </c>
      <c r="AH191" s="635" t="s">
        <v>408</v>
      </c>
      <c r="AI191" s="324"/>
      <c r="AL191" s="487" t="s">
        <v>14315</v>
      </c>
      <c r="AM191" s="477" t="s">
        <v>70</v>
      </c>
      <c r="AN191" s="637">
        <v>100</v>
      </c>
      <c r="AO191" s="478">
        <v>-740</v>
      </c>
      <c r="AP191" s="463">
        <v>-740</v>
      </c>
      <c r="AQ191" s="479">
        <v>0</v>
      </c>
      <c r="AR191" s="476" t="s">
        <v>14316</v>
      </c>
      <c r="BA191" s="313" t="s">
        <v>3001</v>
      </c>
    </row>
    <row r="192" spans="2:53" ht="16.5" customHeight="1">
      <c r="B192" s="367" t="s">
        <v>3063</v>
      </c>
      <c r="C192" s="351" t="s">
        <v>3064</v>
      </c>
      <c r="D192" s="353">
        <v>-741</v>
      </c>
      <c r="E192" s="352" t="s">
        <v>408</v>
      </c>
      <c r="F192" s="341">
        <v>96.23</v>
      </c>
      <c r="G192" s="355" t="s">
        <v>3281</v>
      </c>
      <c r="H192" s="356" t="s">
        <v>18407</v>
      </c>
      <c r="I192" s="354" t="s">
        <v>75</v>
      </c>
      <c r="J192" s="340" t="s">
        <v>8347</v>
      </c>
      <c r="K192" s="339" t="s">
        <v>71</v>
      </c>
      <c r="L192" s="357">
        <v>18</v>
      </c>
      <c r="M192" s="358" t="s">
        <v>8348</v>
      </c>
      <c r="N192" s="359">
        <v>1000</v>
      </c>
      <c r="O192" s="360" t="s">
        <v>530</v>
      </c>
      <c r="P192" s="343" t="s">
        <v>531</v>
      </c>
      <c r="Q192" s="342" t="s">
        <v>2688</v>
      </c>
      <c r="R192" s="344">
        <v>36</v>
      </c>
      <c r="S192" s="345">
        <v>36</v>
      </c>
      <c r="T192" s="362">
        <v>29</v>
      </c>
      <c r="U192" s="361">
        <v>96.23</v>
      </c>
      <c r="V192" s="346">
        <v>130.9205773836494</v>
      </c>
      <c r="W192" s="348">
        <v>130.28564955660559</v>
      </c>
      <c r="X192" s="347">
        <v>66.27</v>
      </c>
      <c r="Y192" s="357">
        <v>66.850000000000009</v>
      </c>
      <c r="Z192" s="365" t="s">
        <v>2689</v>
      </c>
      <c r="AA192" s="350">
        <v>0</v>
      </c>
      <c r="AB192" s="349" t="s">
        <v>2685</v>
      </c>
      <c r="AC192" s="350">
        <v>10</v>
      </c>
      <c r="AD192" s="349" t="s">
        <v>2685</v>
      </c>
      <c r="AE192" s="364">
        <v>0</v>
      </c>
      <c r="AF192" s="366">
        <v>0</v>
      </c>
      <c r="AG192" s="363">
        <v>0</v>
      </c>
      <c r="AH192" s="635" t="s">
        <v>408</v>
      </c>
      <c r="AI192" s="324"/>
      <c r="AL192" s="487" t="s">
        <v>14317</v>
      </c>
      <c r="AM192" s="477" t="s">
        <v>71</v>
      </c>
      <c r="AN192" s="637">
        <v>100</v>
      </c>
      <c r="AO192" s="478">
        <v>-741</v>
      </c>
      <c r="AP192" s="463">
        <v>-594</v>
      </c>
      <c r="AQ192" s="479">
        <v>-147</v>
      </c>
      <c r="AR192" s="476" t="s">
        <v>17120</v>
      </c>
      <c r="BA192" s="313" t="s">
        <v>3002</v>
      </c>
    </row>
    <row r="193" spans="2:53" ht="16.5" customHeight="1">
      <c r="B193" s="367" t="s">
        <v>8349</v>
      </c>
      <c r="C193" s="351" t="s">
        <v>8350</v>
      </c>
      <c r="D193" s="353">
        <v>-741</v>
      </c>
      <c r="E193" s="352" t="s">
        <v>408</v>
      </c>
      <c r="F193" s="341">
        <v>96.22</v>
      </c>
      <c r="G193" s="355" t="s">
        <v>8351</v>
      </c>
      <c r="H193" s="356" t="s">
        <v>8185</v>
      </c>
      <c r="I193" s="354" t="s">
        <v>227</v>
      </c>
      <c r="J193" s="340" t="s">
        <v>7917</v>
      </c>
      <c r="K193" s="339" t="s">
        <v>70</v>
      </c>
      <c r="L193" s="357">
        <v>11</v>
      </c>
      <c r="M193" s="358" t="s">
        <v>8352</v>
      </c>
      <c r="N193" s="359">
        <v>1000</v>
      </c>
      <c r="O193" s="360" t="s">
        <v>454</v>
      </c>
      <c r="P193" s="343" t="s">
        <v>454</v>
      </c>
      <c r="Q193" s="342" t="s">
        <v>2688</v>
      </c>
      <c r="R193" s="344">
        <v>0</v>
      </c>
      <c r="S193" s="345">
        <v>40</v>
      </c>
      <c r="T193" s="362">
        <v>30</v>
      </c>
      <c r="U193" s="361">
        <v>96.22</v>
      </c>
      <c r="V193" s="346">
        <v>130.91390728476821</v>
      </c>
      <c r="W193" s="348">
        <v>130.27814569536423</v>
      </c>
      <c r="X193" s="347">
        <v>65.72</v>
      </c>
      <c r="Y193" s="357" t="s">
        <v>408</v>
      </c>
      <c r="Z193" s="365" t="s">
        <v>2689</v>
      </c>
      <c r="AA193" s="350">
        <v>300</v>
      </c>
      <c r="AB193" s="349" t="s">
        <v>2685</v>
      </c>
      <c r="AC193" s="350">
        <v>0</v>
      </c>
      <c r="AD193" s="349" t="s">
        <v>2685</v>
      </c>
      <c r="AE193" s="364">
        <v>0</v>
      </c>
      <c r="AF193" s="366">
        <v>52.920999999999999</v>
      </c>
      <c r="AG193" s="363">
        <v>0</v>
      </c>
      <c r="AH193" s="635" t="s">
        <v>8353</v>
      </c>
      <c r="AI193" s="324"/>
      <c r="AL193" s="487" t="s">
        <v>14318</v>
      </c>
      <c r="AM193" s="477" t="s">
        <v>70</v>
      </c>
      <c r="AN193" s="637">
        <v>100</v>
      </c>
      <c r="AO193" s="478">
        <v>-741</v>
      </c>
      <c r="AP193" s="463">
        <v>-741</v>
      </c>
      <c r="AQ193" s="479">
        <v>0</v>
      </c>
      <c r="AR193" s="476" t="s">
        <v>14319</v>
      </c>
      <c r="BA193" s="313" t="s">
        <v>3003</v>
      </c>
    </row>
    <row r="194" spans="2:53" ht="16.5" customHeight="1">
      <c r="B194" s="367" t="s">
        <v>3051</v>
      </c>
      <c r="C194" s="351" t="s">
        <v>3052</v>
      </c>
      <c r="D194" s="353">
        <v>-385</v>
      </c>
      <c r="E194" s="352" t="s">
        <v>3243</v>
      </c>
      <c r="F194" s="341">
        <v>96.21</v>
      </c>
      <c r="G194" s="355" t="s">
        <v>3268</v>
      </c>
      <c r="H194" s="356" t="s">
        <v>8231</v>
      </c>
      <c r="I194" s="354" t="s">
        <v>251</v>
      </c>
      <c r="J194" s="340" t="s">
        <v>7857</v>
      </c>
      <c r="K194" s="339" t="s">
        <v>70</v>
      </c>
      <c r="L194" s="357">
        <v>55</v>
      </c>
      <c r="M194" s="358" t="s">
        <v>8354</v>
      </c>
      <c r="N194" s="359">
        <v>1000</v>
      </c>
      <c r="O194" s="360" t="s">
        <v>532</v>
      </c>
      <c r="P194" s="343" t="s">
        <v>454</v>
      </c>
      <c r="Q194" s="342" t="s">
        <v>2688</v>
      </c>
      <c r="R194" s="344">
        <v>25</v>
      </c>
      <c r="S194" s="345">
        <v>35</v>
      </c>
      <c r="T194" s="362">
        <v>25</v>
      </c>
      <c r="U194" s="361">
        <v>96.21</v>
      </c>
      <c r="V194" s="346">
        <v>130.89623702394033</v>
      </c>
      <c r="W194" s="348">
        <v>130.25826665193287</v>
      </c>
      <c r="X194" s="347">
        <v>65.709999999999994</v>
      </c>
      <c r="Y194" s="357" t="s">
        <v>408</v>
      </c>
      <c r="Z194" s="365" t="s">
        <v>2689</v>
      </c>
      <c r="AA194" s="350">
        <v>150</v>
      </c>
      <c r="AB194" s="349" t="s">
        <v>2685</v>
      </c>
      <c r="AC194" s="350">
        <v>5</v>
      </c>
      <c r="AD194" s="349" t="s">
        <v>2685</v>
      </c>
      <c r="AE194" s="364">
        <v>0</v>
      </c>
      <c r="AF194" s="366">
        <v>6.0129999999999999</v>
      </c>
      <c r="AG194" s="363">
        <v>0</v>
      </c>
      <c r="AH194" s="635" t="s">
        <v>8062</v>
      </c>
      <c r="AI194" s="324"/>
      <c r="AL194" s="487" t="s">
        <v>14320</v>
      </c>
      <c r="AM194" s="477" t="s">
        <v>70</v>
      </c>
      <c r="AN194" s="637" t="s">
        <v>7148</v>
      </c>
      <c r="AO194" s="478">
        <v>-385</v>
      </c>
      <c r="AP194" s="463">
        <v>-385</v>
      </c>
      <c r="AQ194" s="479">
        <v>0</v>
      </c>
      <c r="AR194" s="476" t="s">
        <v>14321</v>
      </c>
      <c r="BA194" s="313" t="s">
        <v>3004</v>
      </c>
    </row>
    <row r="195" spans="2:53" ht="16.5" customHeight="1">
      <c r="B195" s="367" t="s">
        <v>3010</v>
      </c>
      <c r="C195" s="351" t="s">
        <v>3011</v>
      </c>
      <c r="D195" s="353">
        <v>-374</v>
      </c>
      <c r="E195" s="352" t="s">
        <v>408</v>
      </c>
      <c r="F195" s="341">
        <v>96.15</v>
      </c>
      <c r="G195" s="355" t="s">
        <v>3228</v>
      </c>
      <c r="H195" s="356" t="s">
        <v>18408</v>
      </c>
      <c r="I195" s="354" t="s">
        <v>196</v>
      </c>
      <c r="J195" s="340" t="s">
        <v>8337</v>
      </c>
      <c r="K195" s="339" t="s">
        <v>71</v>
      </c>
      <c r="L195" s="357">
        <v>6</v>
      </c>
      <c r="M195" s="358" t="s">
        <v>8338</v>
      </c>
      <c r="N195" s="359">
        <v>600</v>
      </c>
      <c r="O195" s="360" t="s">
        <v>530</v>
      </c>
      <c r="P195" s="343" t="s">
        <v>530</v>
      </c>
      <c r="Q195" s="342" t="s">
        <v>2688</v>
      </c>
      <c r="R195" s="344">
        <v>33</v>
      </c>
      <c r="S195" s="345">
        <v>40</v>
      </c>
      <c r="T195" s="362">
        <v>27</v>
      </c>
      <c r="U195" s="361">
        <v>96.15</v>
      </c>
      <c r="V195" s="346">
        <v>130.83442432910439</v>
      </c>
      <c r="W195" s="348">
        <v>130.18872737024245</v>
      </c>
      <c r="X195" s="347">
        <v>66.209999999999994</v>
      </c>
      <c r="Y195" s="357" t="s">
        <v>408</v>
      </c>
      <c r="Z195" s="365" t="s">
        <v>2689</v>
      </c>
      <c r="AA195" s="350">
        <v>0</v>
      </c>
      <c r="AB195" s="349" t="s">
        <v>2685</v>
      </c>
      <c r="AC195" s="350">
        <v>0</v>
      </c>
      <c r="AD195" s="349" t="s">
        <v>2685</v>
      </c>
      <c r="AE195" s="364">
        <v>0</v>
      </c>
      <c r="AF195" s="366">
        <v>0</v>
      </c>
      <c r="AG195" s="363">
        <v>0</v>
      </c>
      <c r="AH195" s="635" t="s">
        <v>408</v>
      </c>
      <c r="AI195" s="324"/>
      <c r="AL195" s="487" t="s">
        <v>14324</v>
      </c>
      <c r="AM195" s="477" t="s">
        <v>71</v>
      </c>
      <c r="AN195" s="637" t="s">
        <v>7148</v>
      </c>
      <c r="AO195" s="478">
        <v>-374</v>
      </c>
      <c r="AP195" s="463">
        <v>-304</v>
      </c>
      <c r="AQ195" s="479">
        <v>-70</v>
      </c>
      <c r="AR195" s="476" t="s">
        <v>16838</v>
      </c>
      <c r="BA195" s="313" t="s">
        <v>3005</v>
      </c>
    </row>
    <row r="196" spans="2:53" ht="16.5" customHeight="1">
      <c r="B196" s="367" t="s">
        <v>8358</v>
      </c>
      <c r="C196" s="351" t="s">
        <v>8359</v>
      </c>
      <c r="D196" s="353">
        <v>-638</v>
      </c>
      <c r="E196" s="352" t="s">
        <v>408</v>
      </c>
      <c r="F196" s="341">
        <v>96.07</v>
      </c>
      <c r="G196" s="355" t="s">
        <v>8360</v>
      </c>
      <c r="H196" s="356" t="s">
        <v>3144</v>
      </c>
      <c r="I196" s="354" t="s">
        <v>197</v>
      </c>
      <c r="J196" s="340" t="s">
        <v>7868</v>
      </c>
      <c r="K196" s="339" t="s">
        <v>70</v>
      </c>
      <c r="L196" s="357">
        <v>10</v>
      </c>
      <c r="M196" s="358" t="s">
        <v>8361</v>
      </c>
      <c r="N196" s="359">
        <v>500</v>
      </c>
      <c r="O196" s="360" t="s">
        <v>454</v>
      </c>
      <c r="P196" s="343" t="s">
        <v>454</v>
      </c>
      <c r="Q196" s="342" t="s">
        <v>2688</v>
      </c>
      <c r="R196" s="344">
        <v>20</v>
      </c>
      <c r="S196" s="345">
        <v>30</v>
      </c>
      <c r="T196" s="362">
        <v>30</v>
      </c>
      <c r="U196" s="361">
        <v>96.07</v>
      </c>
      <c r="V196" s="346">
        <v>130.74698795180723</v>
      </c>
      <c r="W196" s="348">
        <v>130.09036144578315</v>
      </c>
      <c r="X196" s="347">
        <v>65.63</v>
      </c>
      <c r="Y196" s="357" t="s">
        <v>408</v>
      </c>
      <c r="Z196" s="365" t="s">
        <v>2689</v>
      </c>
      <c r="AA196" s="350">
        <v>100</v>
      </c>
      <c r="AB196" s="349" t="s">
        <v>2685</v>
      </c>
      <c r="AC196" s="350">
        <v>1.5</v>
      </c>
      <c r="AD196" s="349" t="s">
        <v>2685</v>
      </c>
      <c r="AE196" s="364">
        <v>0</v>
      </c>
      <c r="AF196" s="366">
        <v>14.411</v>
      </c>
      <c r="AG196" s="363">
        <v>0</v>
      </c>
      <c r="AH196" s="635" t="s">
        <v>6224</v>
      </c>
      <c r="AI196" s="324"/>
      <c r="AL196" s="487" t="s">
        <v>14325</v>
      </c>
      <c r="AM196" s="477" t="s">
        <v>70</v>
      </c>
      <c r="AN196" s="637" t="s">
        <v>7178</v>
      </c>
      <c r="AO196" s="478">
        <v>-638</v>
      </c>
      <c r="AP196" s="463">
        <v>-638</v>
      </c>
      <c r="AQ196" s="479">
        <v>0</v>
      </c>
      <c r="AR196" s="476" t="s">
        <v>14326</v>
      </c>
      <c r="BA196" s="313" t="s">
        <v>3006</v>
      </c>
    </row>
    <row r="197" spans="2:53" ht="16.5" customHeight="1">
      <c r="B197" s="367" t="s">
        <v>8362</v>
      </c>
      <c r="C197" s="351" t="s">
        <v>8363</v>
      </c>
      <c r="D197" s="353">
        <v>-748</v>
      </c>
      <c r="E197" s="352" t="s">
        <v>408</v>
      </c>
      <c r="F197" s="341">
        <v>96.05</v>
      </c>
      <c r="G197" s="355" t="s">
        <v>8364</v>
      </c>
      <c r="H197" s="356" t="s">
        <v>8365</v>
      </c>
      <c r="I197" s="354" t="s">
        <v>242</v>
      </c>
      <c r="J197" s="340" t="s">
        <v>198</v>
      </c>
      <c r="K197" s="339" t="s">
        <v>70</v>
      </c>
      <c r="L197" s="357">
        <v>6</v>
      </c>
      <c r="M197" s="358" t="s">
        <v>8366</v>
      </c>
      <c r="N197" s="359">
        <v>800</v>
      </c>
      <c r="O197" s="360" t="s">
        <v>530</v>
      </c>
      <c r="P197" s="343" t="s">
        <v>530</v>
      </c>
      <c r="Q197" s="342" t="s">
        <v>2688</v>
      </c>
      <c r="R197" s="344">
        <v>25</v>
      </c>
      <c r="S197" s="345">
        <v>25</v>
      </c>
      <c r="T197" s="362">
        <v>25</v>
      </c>
      <c r="U197" s="361">
        <v>96.05</v>
      </c>
      <c r="V197" s="346">
        <v>130.72011336091211</v>
      </c>
      <c r="W197" s="348">
        <v>130.06012753102613</v>
      </c>
      <c r="X197" s="347">
        <v>65.61</v>
      </c>
      <c r="Y197" s="357" t="s">
        <v>408</v>
      </c>
      <c r="Z197" s="365" t="s">
        <v>2689</v>
      </c>
      <c r="AA197" s="350">
        <v>135</v>
      </c>
      <c r="AB197" s="349" t="s">
        <v>2685</v>
      </c>
      <c r="AC197" s="350">
        <v>0</v>
      </c>
      <c r="AD197" s="349" t="s">
        <v>2685</v>
      </c>
      <c r="AE197" s="364">
        <v>0</v>
      </c>
      <c r="AF197" s="366">
        <v>0</v>
      </c>
      <c r="AG197" s="363">
        <v>0</v>
      </c>
      <c r="AH197" s="635" t="s">
        <v>408</v>
      </c>
      <c r="AI197" s="324"/>
      <c r="AL197" s="487" t="s">
        <v>7185</v>
      </c>
      <c r="AM197" s="477" t="s">
        <v>70</v>
      </c>
      <c r="AN197" s="637">
        <v>100</v>
      </c>
      <c r="AO197" s="478">
        <v>-748</v>
      </c>
      <c r="AP197" s="463">
        <v>-748</v>
      </c>
      <c r="AQ197" s="479">
        <v>0</v>
      </c>
      <c r="AR197" s="476" t="s">
        <v>14328</v>
      </c>
      <c r="BA197" s="313" t="s">
        <v>3007</v>
      </c>
    </row>
    <row r="198" spans="2:53" ht="16.5" customHeight="1">
      <c r="B198" s="367" t="s">
        <v>3071</v>
      </c>
      <c r="C198" s="351" t="s">
        <v>3072</v>
      </c>
      <c r="D198" s="353">
        <v>-750</v>
      </c>
      <c r="E198" s="352" t="s">
        <v>8346</v>
      </c>
      <c r="F198" s="341">
        <v>96.04</v>
      </c>
      <c r="G198" s="355" t="s">
        <v>8367</v>
      </c>
      <c r="H198" s="356" t="s">
        <v>8222</v>
      </c>
      <c r="I198" s="354" t="s">
        <v>211</v>
      </c>
      <c r="J198" s="340" t="s">
        <v>8042</v>
      </c>
      <c r="K198" s="339" t="s">
        <v>70</v>
      </c>
      <c r="L198" s="357">
        <v>38</v>
      </c>
      <c r="M198" s="358" t="s">
        <v>8368</v>
      </c>
      <c r="N198" s="359">
        <v>500</v>
      </c>
      <c r="O198" s="360" t="s">
        <v>530</v>
      </c>
      <c r="P198" s="343" t="s">
        <v>531</v>
      </c>
      <c r="Q198" s="342" t="s">
        <v>2688</v>
      </c>
      <c r="R198" s="344">
        <v>30</v>
      </c>
      <c r="S198" s="345">
        <v>40</v>
      </c>
      <c r="T198" s="362">
        <v>30</v>
      </c>
      <c r="U198" s="361">
        <v>96.04</v>
      </c>
      <c r="V198" s="346">
        <v>130.70605538087028</v>
      </c>
      <c r="W198" s="348">
        <v>130.04431230347907</v>
      </c>
      <c r="X198" s="347">
        <v>65.599999999999994</v>
      </c>
      <c r="Y198" s="357">
        <v>67.010000000000005</v>
      </c>
      <c r="Z198" s="365" t="s">
        <v>2689</v>
      </c>
      <c r="AA198" s="350">
        <v>30</v>
      </c>
      <c r="AB198" s="349" t="s">
        <v>2685</v>
      </c>
      <c r="AC198" s="350">
        <v>5</v>
      </c>
      <c r="AD198" s="349" t="s">
        <v>2685</v>
      </c>
      <c r="AE198" s="364">
        <v>0</v>
      </c>
      <c r="AF198" s="366">
        <v>0</v>
      </c>
      <c r="AG198" s="363">
        <v>0</v>
      </c>
      <c r="AH198" s="635" t="s">
        <v>408</v>
      </c>
      <c r="AI198" s="324"/>
      <c r="AL198" s="487" t="s">
        <v>14330</v>
      </c>
      <c r="AM198" s="477" t="s">
        <v>70</v>
      </c>
      <c r="AN198" s="637">
        <v>100</v>
      </c>
      <c r="AO198" s="478">
        <v>-750</v>
      </c>
      <c r="AP198" s="463">
        <v>-750</v>
      </c>
      <c r="AQ198" s="479">
        <v>0</v>
      </c>
      <c r="AR198" s="476" t="s">
        <v>14331</v>
      </c>
      <c r="BA198" s="313" t="s">
        <v>3009</v>
      </c>
    </row>
    <row r="199" spans="2:53" ht="16.5" customHeight="1">
      <c r="B199" s="367" t="s">
        <v>8369</v>
      </c>
      <c r="C199" s="351" t="s">
        <v>8370</v>
      </c>
      <c r="D199" s="353">
        <v>-750</v>
      </c>
      <c r="E199" s="352" t="s">
        <v>408</v>
      </c>
      <c r="F199" s="341">
        <v>96.03</v>
      </c>
      <c r="G199" s="355" t="s">
        <v>8371</v>
      </c>
      <c r="H199" s="356" t="s">
        <v>8372</v>
      </c>
      <c r="I199" s="354" t="s">
        <v>223</v>
      </c>
      <c r="J199" s="340" t="s">
        <v>432</v>
      </c>
      <c r="K199" s="339" t="s">
        <v>70</v>
      </c>
      <c r="L199" s="357">
        <v>15</v>
      </c>
      <c r="M199" s="358" t="s">
        <v>8373</v>
      </c>
      <c r="N199" s="359">
        <v>800</v>
      </c>
      <c r="O199" s="360" t="s">
        <v>454</v>
      </c>
      <c r="P199" s="343" t="s">
        <v>454</v>
      </c>
      <c r="Q199" s="342" t="s">
        <v>2688</v>
      </c>
      <c r="R199" s="344">
        <v>25</v>
      </c>
      <c r="S199" s="345">
        <v>35</v>
      </c>
      <c r="T199" s="362">
        <v>30</v>
      </c>
      <c r="U199" s="361">
        <v>96.03</v>
      </c>
      <c r="V199" s="346">
        <v>130.69753086419752</v>
      </c>
      <c r="W199" s="348">
        <v>130.03472222222223</v>
      </c>
      <c r="X199" s="347">
        <v>65.599999999999994</v>
      </c>
      <c r="Y199" s="357" t="s">
        <v>408</v>
      </c>
      <c r="Z199" s="365" t="s">
        <v>2689</v>
      </c>
      <c r="AA199" s="350">
        <v>80</v>
      </c>
      <c r="AB199" s="349" t="s">
        <v>2685</v>
      </c>
      <c r="AC199" s="350">
        <v>10</v>
      </c>
      <c r="AD199" s="349" t="s">
        <v>2685</v>
      </c>
      <c r="AE199" s="364">
        <v>0</v>
      </c>
      <c r="AF199" s="366">
        <v>0</v>
      </c>
      <c r="AG199" s="363">
        <v>0</v>
      </c>
      <c r="AH199" s="635" t="s">
        <v>408</v>
      </c>
      <c r="AI199" s="324"/>
      <c r="AL199" s="487" t="s">
        <v>7186</v>
      </c>
      <c r="AM199" s="477" t="s">
        <v>70</v>
      </c>
      <c r="AN199" s="637">
        <v>100</v>
      </c>
      <c r="AO199" s="478">
        <v>-750</v>
      </c>
      <c r="AP199" s="463">
        <v>-750</v>
      </c>
      <c r="AQ199" s="479">
        <v>0</v>
      </c>
      <c r="AR199" s="476" t="s">
        <v>14332</v>
      </c>
      <c r="BA199" s="313" t="s">
        <v>3012</v>
      </c>
    </row>
    <row r="200" spans="2:53" ht="16.5" customHeight="1">
      <c r="B200" s="367" t="s">
        <v>3075</v>
      </c>
      <c r="C200" s="351" t="s">
        <v>3076</v>
      </c>
      <c r="D200" s="353">
        <v>-751</v>
      </c>
      <c r="E200" s="352" t="s">
        <v>408</v>
      </c>
      <c r="F200" s="341">
        <v>96.02</v>
      </c>
      <c r="G200" s="355" t="s">
        <v>8374</v>
      </c>
      <c r="H200" s="356" t="s">
        <v>8375</v>
      </c>
      <c r="I200" s="354" t="s">
        <v>208</v>
      </c>
      <c r="J200" s="340" t="s">
        <v>205</v>
      </c>
      <c r="K200" s="339" t="s">
        <v>70</v>
      </c>
      <c r="L200" s="357">
        <v>17</v>
      </c>
      <c r="M200" s="358" t="s">
        <v>8376</v>
      </c>
      <c r="N200" s="359">
        <v>1000</v>
      </c>
      <c r="O200" s="360" t="s">
        <v>454</v>
      </c>
      <c r="P200" s="343" t="s">
        <v>454</v>
      </c>
      <c r="Q200" s="342" t="s">
        <v>2688</v>
      </c>
      <c r="R200" s="344">
        <v>30</v>
      </c>
      <c r="S200" s="345">
        <v>30</v>
      </c>
      <c r="T200" s="362">
        <v>30</v>
      </c>
      <c r="U200" s="361">
        <v>96.02</v>
      </c>
      <c r="V200" s="346">
        <v>130.69056152927121</v>
      </c>
      <c r="W200" s="348">
        <v>130.02688172043011</v>
      </c>
      <c r="X200" s="347">
        <v>65.59</v>
      </c>
      <c r="Y200" s="357" t="s">
        <v>408</v>
      </c>
      <c r="Z200" s="365" t="s">
        <v>2689</v>
      </c>
      <c r="AA200" s="350">
        <v>100</v>
      </c>
      <c r="AB200" s="349" t="s">
        <v>2685</v>
      </c>
      <c r="AC200" s="350">
        <v>0</v>
      </c>
      <c r="AD200" s="349" t="s">
        <v>2685</v>
      </c>
      <c r="AE200" s="364">
        <v>0</v>
      </c>
      <c r="AF200" s="366">
        <v>28.806000000000001</v>
      </c>
      <c r="AG200" s="363">
        <v>0</v>
      </c>
      <c r="AH200" s="635" t="s">
        <v>8377</v>
      </c>
      <c r="AI200" s="324"/>
      <c r="AL200" s="487" t="s">
        <v>7182</v>
      </c>
      <c r="AM200" s="477" t="s">
        <v>70</v>
      </c>
      <c r="AN200" s="637">
        <v>100</v>
      </c>
      <c r="AO200" s="478">
        <v>-751</v>
      </c>
      <c r="AP200" s="463">
        <v>-751</v>
      </c>
      <c r="AQ200" s="479">
        <v>0</v>
      </c>
      <c r="AR200" s="476" t="s">
        <v>16839</v>
      </c>
      <c r="BA200" s="313" t="s">
        <v>3013</v>
      </c>
    </row>
    <row r="201" spans="2:53" ht="16.5" customHeight="1">
      <c r="B201" s="367" t="s">
        <v>8378</v>
      </c>
      <c r="C201" s="351" t="s">
        <v>8379</v>
      </c>
      <c r="D201" s="353">
        <v>-379</v>
      </c>
      <c r="E201" s="352" t="s">
        <v>408</v>
      </c>
      <c r="F201" s="341">
        <v>96</v>
      </c>
      <c r="G201" s="355" t="s">
        <v>3293</v>
      </c>
      <c r="H201" s="356" t="s">
        <v>18387</v>
      </c>
      <c r="I201" s="354" t="s">
        <v>204</v>
      </c>
      <c r="J201" s="340" t="s">
        <v>8380</v>
      </c>
      <c r="K201" s="339" t="s">
        <v>71</v>
      </c>
      <c r="L201" s="357">
        <v>15</v>
      </c>
      <c r="M201" s="358" t="s">
        <v>8381</v>
      </c>
      <c r="N201" s="359">
        <v>1000</v>
      </c>
      <c r="O201" s="360" t="s">
        <v>454</v>
      </c>
      <c r="P201" s="343" t="s">
        <v>454</v>
      </c>
      <c r="Q201" s="342" t="s">
        <v>2688</v>
      </c>
      <c r="R201" s="344">
        <v>20</v>
      </c>
      <c r="S201" s="345">
        <v>40</v>
      </c>
      <c r="T201" s="362">
        <v>20</v>
      </c>
      <c r="U201" s="361">
        <v>96</v>
      </c>
      <c r="V201" s="346">
        <v>130.66666666666666</v>
      </c>
      <c r="W201" s="348">
        <v>130</v>
      </c>
      <c r="X201" s="347">
        <v>65.58</v>
      </c>
      <c r="Y201" s="357" t="s">
        <v>408</v>
      </c>
      <c r="Z201" s="365" t="s">
        <v>2689</v>
      </c>
      <c r="AA201" s="350">
        <v>200</v>
      </c>
      <c r="AB201" s="349" t="s">
        <v>2685</v>
      </c>
      <c r="AC201" s="350">
        <v>3</v>
      </c>
      <c r="AD201" s="349" t="s">
        <v>2685</v>
      </c>
      <c r="AE201" s="364">
        <v>0</v>
      </c>
      <c r="AF201" s="366">
        <v>0</v>
      </c>
      <c r="AG201" s="363">
        <v>0</v>
      </c>
      <c r="AH201" s="635" t="s">
        <v>408</v>
      </c>
      <c r="AI201" s="324"/>
      <c r="AL201" s="487" t="s">
        <v>14333</v>
      </c>
      <c r="AM201" s="480" t="s">
        <v>71</v>
      </c>
      <c r="AN201" s="637" t="s">
        <v>7148</v>
      </c>
      <c r="AO201" s="478">
        <v>-379</v>
      </c>
      <c r="AP201" s="463">
        <v>-306</v>
      </c>
      <c r="AQ201" s="479">
        <v>-73</v>
      </c>
      <c r="AR201" s="476" t="s">
        <v>14334</v>
      </c>
      <c r="BA201" s="313" t="s">
        <v>3014</v>
      </c>
    </row>
    <row r="202" spans="2:53" ht="16.5" customHeight="1">
      <c r="B202" s="367" t="s">
        <v>8378</v>
      </c>
      <c r="C202" s="351" t="s">
        <v>8379</v>
      </c>
      <c r="D202" s="353">
        <v>-754</v>
      </c>
      <c r="E202" s="352" t="s">
        <v>408</v>
      </c>
      <c r="F202" s="341">
        <v>96</v>
      </c>
      <c r="G202" s="355" t="s">
        <v>3293</v>
      </c>
      <c r="H202" s="356" t="s">
        <v>3148</v>
      </c>
      <c r="I202" s="354" t="s">
        <v>223</v>
      </c>
      <c r="J202" s="340" t="s">
        <v>198</v>
      </c>
      <c r="K202" s="339" t="s">
        <v>70</v>
      </c>
      <c r="L202" s="357">
        <v>16</v>
      </c>
      <c r="M202" s="358" t="s">
        <v>8382</v>
      </c>
      <c r="N202" s="359">
        <v>800</v>
      </c>
      <c r="O202" s="360" t="s">
        <v>454</v>
      </c>
      <c r="P202" s="343" t="s">
        <v>454</v>
      </c>
      <c r="Q202" s="342" t="s">
        <v>2688</v>
      </c>
      <c r="R202" s="344">
        <v>25</v>
      </c>
      <c r="S202" s="345">
        <v>35</v>
      </c>
      <c r="T202" s="362">
        <v>30</v>
      </c>
      <c r="U202" s="361">
        <v>96</v>
      </c>
      <c r="V202" s="346">
        <v>130.66666666666669</v>
      </c>
      <c r="W202" s="348">
        <v>130.00000000000003</v>
      </c>
      <c r="X202" s="347">
        <v>65.58</v>
      </c>
      <c r="Y202" s="357" t="s">
        <v>408</v>
      </c>
      <c r="Z202" s="365" t="s">
        <v>2689</v>
      </c>
      <c r="AA202" s="350">
        <v>80</v>
      </c>
      <c r="AB202" s="349" t="s">
        <v>2685</v>
      </c>
      <c r="AC202" s="350">
        <v>10</v>
      </c>
      <c r="AD202" s="349" t="s">
        <v>2685</v>
      </c>
      <c r="AE202" s="364">
        <v>0</v>
      </c>
      <c r="AF202" s="366">
        <v>0</v>
      </c>
      <c r="AG202" s="363">
        <v>0</v>
      </c>
      <c r="AH202" s="635" t="s">
        <v>408</v>
      </c>
      <c r="AI202" s="324"/>
      <c r="AL202" s="487" t="s">
        <v>7183</v>
      </c>
      <c r="AM202" s="477" t="s">
        <v>70</v>
      </c>
      <c r="AN202" s="637">
        <v>100</v>
      </c>
      <c r="AO202" s="478">
        <v>-754</v>
      </c>
      <c r="AP202" s="463">
        <v>-754</v>
      </c>
      <c r="AQ202" s="479">
        <v>0</v>
      </c>
      <c r="AR202" s="476" t="s">
        <v>14335</v>
      </c>
      <c r="BA202" s="313" t="s">
        <v>3015</v>
      </c>
    </row>
    <row r="203" spans="2:53" ht="16.5" customHeight="1">
      <c r="B203" s="367" t="s">
        <v>8378</v>
      </c>
      <c r="C203" s="351" t="s">
        <v>8379</v>
      </c>
      <c r="D203" s="353">
        <v>-754</v>
      </c>
      <c r="E203" s="352" t="s">
        <v>408</v>
      </c>
      <c r="F203" s="341">
        <v>96</v>
      </c>
      <c r="G203" s="355" t="s">
        <v>8383</v>
      </c>
      <c r="H203" s="356" t="s">
        <v>18409</v>
      </c>
      <c r="I203" s="354" t="s">
        <v>75</v>
      </c>
      <c r="J203" s="340" t="s">
        <v>8384</v>
      </c>
      <c r="K203" s="339" t="s">
        <v>70</v>
      </c>
      <c r="L203" s="357">
        <v>32</v>
      </c>
      <c r="M203" s="358" t="s">
        <v>8385</v>
      </c>
      <c r="N203" s="359">
        <v>1000</v>
      </c>
      <c r="O203" s="360" t="s">
        <v>530</v>
      </c>
      <c r="P203" s="343" t="s">
        <v>531</v>
      </c>
      <c r="Q203" s="342" t="s">
        <v>2688</v>
      </c>
      <c r="R203" s="344">
        <v>31</v>
      </c>
      <c r="S203" s="345">
        <v>38</v>
      </c>
      <c r="T203" s="362">
        <v>31</v>
      </c>
      <c r="U203" s="361">
        <v>96</v>
      </c>
      <c r="V203" s="346">
        <v>130.66361031518625</v>
      </c>
      <c r="W203" s="348">
        <v>129.98624641833811</v>
      </c>
      <c r="X203" s="347">
        <v>65.58</v>
      </c>
      <c r="Y203" s="357">
        <v>66.959999999999994</v>
      </c>
      <c r="Z203" s="365" t="s">
        <v>2689</v>
      </c>
      <c r="AA203" s="350">
        <v>0</v>
      </c>
      <c r="AB203" s="349" t="s">
        <v>2685</v>
      </c>
      <c r="AC203" s="350">
        <v>10</v>
      </c>
      <c r="AD203" s="349" t="s">
        <v>2685</v>
      </c>
      <c r="AE203" s="364">
        <v>0</v>
      </c>
      <c r="AF203" s="366">
        <v>0</v>
      </c>
      <c r="AG203" s="363">
        <v>0</v>
      </c>
      <c r="AH203" s="635" t="s">
        <v>408</v>
      </c>
      <c r="AI203" s="324"/>
      <c r="AL203" s="487" t="s">
        <v>14336</v>
      </c>
      <c r="AM203" s="477" t="s">
        <v>70</v>
      </c>
      <c r="AN203" s="637">
        <v>100</v>
      </c>
      <c r="AO203" s="478">
        <v>-754</v>
      </c>
      <c r="AP203" s="463">
        <v>-754</v>
      </c>
      <c r="AQ203" s="479">
        <v>0</v>
      </c>
      <c r="AR203" s="476" t="s">
        <v>17121</v>
      </c>
      <c r="BA203" s="313" t="s">
        <v>3016</v>
      </c>
    </row>
    <row r="204" spans="2:53" ht="16.5" customHeight="1">
      <c r="B204" s="367" t="s">
        <v>8386</v>
      </c>
      <c r="C204" s="351" t="s">
        <v>8387</v>
      </c>
      <c r="D204" s="353">
        <v>-565</v>
      </c>
      <c r="E204" s="352" t="s">
        <v>408</v>
      </c>
      <c r="F204" s="341">
        <v>95.98</v>
      </c>
      <c r="G204" s="355" t="s">
        <v>3346</v>
      </c>
      <c r="H204" s="356" t="s">
        <v>18410</v>
      </c>
      <c r="I204" s="354" t="s">
        <v>212</v>
      </c>
      <c r="J204" s="340" t="s">
        <v>7868</v>
      </c>
      <c r="K204" s="339" t="s">
        <v>70</v>
      </c>
      <c r="L204" s="357">
        <v>16</v>
      </c>
      <c r="M204" s="358" t="s">
        <v>8285</v>
      </c>
      <c r="N204" s="359">
        <v>800</v>
      </c>
      <c r="O204" s="360" t="s">
        <v>532</v>
      </c>
      <c r="P204" s="343" t="s">
        <v>532</v>
      </c>
      <c r="Q204" s="342" t="s">
        <v>2688</v>
      </c>
      <c r="R204" s="344">
        <v>30</v>
      </c>
      <c r="S204" s="345">
        <v>40</v>
      </c>
      <c r="T204" s="362">
        <v>30</v>
      </c>
      <c r="U204" s="361">
        <v>95.98</v>
      </c>
      <c r="V204" s="346">
        <v>130.64172219080123</v>
      </c>
      <c r="W204" s="348">
        <v>129.88774985860564</v>
      </c>
      <c r="X204" s="347" t="s">
        <v>18411</v>
      </c>
      <c r="Y204" s="357" t="s">
        <v>408</v>
      </c>
      <c r="Z204" s="365" t="s">
        <v>2689</v>
      </c>
      <c r="AA204" s="350">
        <v>200</v>
      </c>
      <c r="AB204" s="349" t="s">
        <v>2685</v>
      </c>
      <c r="AC204" s="350">
        <v>10</v>
      </c>
      <c r="AD204" s="349" t="s">
        <v>2685</v>
      </c>
      <c r="AE204" s="364">
        <v>0</v>
      </c>
      <c r="AF204" s="366">
        <v>0</v>
      </c>
      <c r="AG204" s="363">
        <v>0</v>
      </c>
      <c r="AH204" s="635" t="s">
        <v>408</v>
      </c>
      <c r="AI204" s="324"/>
      <c r="AL204" s="487" t="s">
        <v>14302</v>
      </c>
      <c r="AM204" s="477" t="s">
        <v>70</v>
      </c>
      <c r="AN204" s="637" t="s">
        <v>7178</v>
      </c>
      <c r="AO204" s="478">
        <v>-565</v>
      </c>
      <c r="AP204" s="463">
        <v>-565</v>
      </c>
      <c r="AQ204" s="479">
        <v>0</v>
      </c>
      <c r="AR204" s="476" t="s">
        <v>17122</v>
      </c>
      <c r="BA204" s="313" t="s">
        <v>3018</v>
      </c>
    </row>
    <row r="205" spans="2:53" ht="16.5" customHeight="1">
      <c r="B205" s="367" t="s">
        <v>3086</v>
      </c>
      <c r="C205" s="351" t="s">
        <v>3087</v>
      </c>
      <c r="D205" s="353">
        <v>-758</v>
      </c>
      <c r="E205" s="352" t="s">
        <v>408</v>
      </c>
      <c r="F205" s="341">
        <v>95.97</v>
      </c>
      <c r="G205" s="355" t="s">
        <v>8389</v>
      </c>
      <c r="H205" s="356" t="s">
        <v>18412</v>
      </c>
      <c r="I205" s="354" t="s">
        <v>75</v>
      </c>
      <c r="J205" s="340" t="s">
        <v>7250</v>
      </c>
      <c r="K205" s="339" t="s">
        <v>70</v>
      </c>
      <c r="L205" s="357">
        <v>65</v>
      </c>
      <c r="M205" s="358" t="s">
        <v>8391</v>
      </c>
      <c r="N205" s="359">
        <v>1000</v>
      </c>
      <c r="O205" s="360" t="s">
        <v>530</v>
      </c>
      <c r="P205" s="343" t="s">
        <v>531</v>
      </c>
      <c r="Q205" s="342" t="s">
        <v>2688</v>
      </c>
      <c r="R205" s="344">
        <v>31</v>
      </c>
      <c r="S205" s="345">
        <v>38</v>
      </c>
      <c r="T205" s="362">
        <v>31</v>
      </c>
      <c r="U205" s="361">
        <v>95.97</v>
      </c>
      <c r="V205" s="346">
        <v>130.63276895024745</v>
      </c>
      <c r="W205" s="348">
        <v>129.84746027611357</v>
      </c>
      <c r="X205" s="347">
        <v>65.56</v>
      </c>
      <c r="Y205" s="357">
        <v>66.940000000000012</v>
      </c>
      <c r="Z205" s="365" t="s">
        <v>2689</v>
      </c>
      <c r="AA205" s="350">
        <v>0</v>
      </c>
      <c r="AB205" s="349" t="s">
        <v>2685</v>
      </c>
      <c r="AC205" s="350">
        <v>10</v>
      </c>
      <c r="AD205" s="349" t="s">
        <v>2685</v>
      </c>
      <c r="AE205" s="364">
        <v>0</v>
      </c>
      <c r="AF205" s="366">
        <v>0</v>
      </c>
      <c r="AG205" s="363">
        <v>0</v>
      </c>
      <c r="AH205" s="635" t="s">
        <v>408</v>
      </c>
      <c r="AI205" s="324"/>
      <c r="AL205" s="487" t="s">
        <v>14340</v>
      </c>
      <c r="AM205" s="477" t="s">
        <v>70</v>
      </c>
      <c r="AN205" s="637">
        <v>100</v>
      </c>
      <c r="AO205" s="478">
        <v>-758</v>
      </c>
      <c r="AP205" s="463">
        <v>-758</v>
      </c>
      <c r="AQ205" s="479">
        <v>0</v>
      </c>
      <c r="AR205" s="476" t="s">
        <v>17123</v>
      </c>
      <c r="BA205" s="313" t="s">
        <v>3021</v>
      </c>
    </row>
    <row r="206" spans="2:53" ht="16.5" customHeight="1">
      <c r="B206" s="367" t="s">
        <v>3095</v>
      </c>
      <c r="C206" s="351" t="s">
        <v>3096</v>
      </c>
      <c r="D206" s="353">
        <v>-762</v>
      </c>
      <c r="E206" s="352" t="s">
        <v>408</v>
      </c>
      <c r="F206" s="341">
        <v>95.95</v>
      </c>
      <c r="G206" s="355" t="s">
        <v>8393</v>
      </c>
      <c r="H206" s="356" t="s">
        <v>18413</v>
      </c>
      <c r="I206" s="354" t="s">
        <v>80</v>
      </c>
      <c r="J206" s="340" t="s">
        <v>8011</v>
      </c>
      <c r="K206" s="339" t="s">
        <v>70</v>
      </c>
      <c r="L206" s="357">
        <v>21</v>
      </c>
      <c r="M206" s="358" t="s">
        <v>8394</v>
      </c>
      <c r="N206" s="359">
        <v>1000</v>
      </c>
      <c r="O206" s="360" t="s">
        <v>532</v>
      </c>
      <c r="P206" s="343" t="s">
        <v>533</v>
      </c>
      <c r="Q206" s="342" t="s">
        <v>2688</v>
      </c>
      <c r="R206" s="344">
        <v>25</v>
      </c>
      <c r="S206" s="345">
        <v>40</v>
      </c>
      <c r="T206" s="362">
        <v>25</v>
      </c>
      <c r="U206" s="361">
        <v>95.95</v>
      </c>
      <c r="V206" s="346">
        <v>130.60870578641348</v>
      </c>
      <c r="W206" s="348">
        <v>129.73917603886076</v>
      </c>
      <c r="X206" s="347">
        <v>65.55</v>
      </c>
      <c r="Y206" s="357">
        <v>67.77000000000001</v>
      </c>
      <c r="Z206" s="365" t="s">
        <v>2689</v>
      </c>
      <c r="AA206" s="350">
        <v>100</v>
      </c>
      <c r="AB206" s="349" t="s">
        <v>2685</v>
      </c>
      <c r="AC206" s="350">
        <v>0</v>
      </c>
      <c r="AD206" s="349" t="s">
        <v>2685</v>
      </c>
      <c r="AE206" s="364">
        <v>0</v>
      </c>
      <c r="AF206" s="366">
        <v>0</v>
      </c>
      <c r="AG206" s="363">
        <v>0</v>
      </c>
      <c r="AH206" s="635" t="s">
        <v>408</v>
      </c>
      <c r="AI206" s="324"/>
      <c r="AL206" s="487" t="s">
        <v>14341</v>
      </c>
      <c r="AM206" s="477" t="s">
        <v>70</v>
      </c>
      <c r="AN206" s="637">
        <v>100</v>
      </c>
      <c r="AO206" s="478">
        <v>-762</v>
      </c>
      <c r="AP206" s="463">
        <v>-762</v>
      </c>
      <c r="AQ206" s="479">
        <v>0</v>
      </c>
      <c r="AR206" s="476" t="s">
        <v>14342</v>
      </c>
      <c r="BA206" s="313" t="s">
        <v>3022</v>
      </c>
    </row>
    <row r="207" spans="2:53" ht="16.5" customHeight="1">
      <c r="B207" s="367" t="s">
        <v>3095</v>
      </c>
      <c r="C207" s="351" t="s">
        <v>3096</v>
      </c>
      <c r="D207" s="353">
        <v>-763</v>
      </c>
      <c r="E207" s="352" t="s">
        <v>408</v>
      </c>
      <c r="F207" s="341">
        <v>95.94</v>
      </c>
      <c r="G207" s="355" t="s">
        <v>8395</v>
      </c>
      <c r="H207" s="356" t="s">
        <v>18414</v>
      </c>
      <c r="I207" s="354" t="s">
        <v>80</v>
      </c>
      <c r="J207" s="340" t="s">
        <v>8396</v>
      </c>
      <c r="K207" s="339" t="s">
        <v>70</v>
      </c>
      <c r="L207" s="357">
        <v>22</v>
      </c>
      <c r="M207" s="358" t="s">
        <v>8397</v>
      </c>
      <c r="N207" s="359">
        <v>1000</v>
      </c>
      <c r="O207" s="360" t="s">
        <v>532</v>
      </c>
      <c r="P207" s="343" t="s">
        <v>533</v>
      </c>
      <c r="Q207" s="342" t="s">
        <v>2688</v>
      </c>
      <c r="R207" s="344">
        <v>25</v>
      </c>
      <c r="S207" s="345">
        <v>40</v>
      </c>
      <c r="T207" s="362">
        <v>25</v>
      </c>
      <c r="U207" s="361">
        <v>95.94</v>
      </c>
      <c r="V207" s="346">
        <v>130.60370756828081</v>
      </c>
      <c r="W207" s="348">
        <v>129.71668405726376</v>
      </c>
      <c r="X207" s="347">
        <v>65.540000000000006</v>
      </c>
      <c r="Y207" s="357">
        <v>67.77000000000001</v>
      </c>
      <c r="Z207" s="365" t="s">
        <v>2689</v>
      </c>
      <c r="AA207" s="350">
        <v>100</v>
      </c>
      <c r="AB207" s="349" t="s">
        <v>2685</v>
      </c>
      <c r="AC207" s="350">
        <v>0</v>
      </c>
      <c r="AD207" s="349" t="s">
        <v>2685</v>
      </c>
      <c r="AE207" s="364">
        <v>0</v>
      </c>
      <c r="AF207" s="366">
        <v>0</v>
      </c>
      <c r="AG207" s="363">
        <v>0</v>
      </c>
      <c r="AH207" s="635" t="s">
        <v>408</v>
      </c>
      <c r="AI207" s="324"/>
      <c r="AL207" s="487" t="s">
        <v>14343</v>
      </c>
      <c r="AM207" s="477" t="s">
        <v>70</v>
      </c>
      <c r="AN207" s="637">
        <v>100</v>
      </c>
      <c r="AO207" s="478">
        <v>-763</v>
      </c>
      <c r="AP207" s="463">
        <v>-763</v>
      </c>
      <c r="AQ207" s="479">
        <v>0</v>
      </c>
      <c r="AR207" s="476" t="s">
        <v>14344</v>
      </c>
      <c r="BA207" s="313" t="s">
        <v>3023</v>
      </c>
    </row>
    <row r="208" spans="2:53" ht="16.5" customHeight="1">
      <c r="B208" s="367" t="s">
        <v>8398</v>
      </c>
      <c r="C208" s="351" t="s">
        <v>8399</v>
      </c>
      <c r="D208" s="353">
        <v>-763</v>
      </c>
      <c r="E208" s="352" t="s">
        <v>408</v>
      </c>
      <c r="F208" s="341">
        <v>95.94</v>
      </c>
      <c r="G208" s="355" t="s">
        <v>3306</v>
      </c>
      <c r="H208" s="356" t="s">
        <v>18415</v>
      </c>
      <c r="I208" s="354" t="s">
        <v>80</v>
      </c>
      <c r="J208" s="340" t="s">
        <v>8168</v>
      </c>
      <c r="K208" s="339" t="s">
        <v>70</v>
      </c>
      <c r="L208" s="357">
        <v>65</v>
      </c>
      <c r="M208" s="358" t="s">
        <v>8400</v>
      </c>
      <c r="N208" s="359">
        <v>1000</v>
      </c>
      <c r="O208" s="360" t="s">
        <v>532</v>
      </c>
      <c r="P208" s="343" t="s">
        <v>533</v>
      </c>
      <c r="Q208" s="342" t="s">
        <v>2688</v>
      </c>
      <c r="R208" s="344">
        <v>25</v>
      </c>
      <c r="S208" s="345">
        <v>40</v>
      </c>
      <c r="T208" s="362">
        <v>25</v>
      </c>
      <c r="U208" s="361">
        <v>95.94</v>
      </c>
      <c r="V208" s="346">
        <v>130.59558546381524</v>
      </c>
      <c r="W208" s="348">
        <v>129.68013458716862</v>
      </c>
      <c r="X208" s="347">
        <v>65.540000000000006</v>
      </c>
      <c r="Y208" s="357">
        <v>67.77000000000001</v>
      </c>
      <c r="Z208" s="365" t="s">
        <v>2689</v>
      </c>
      <c r="AA208" s="350">
        <v>100</v>
      </c>
      <c r="AB208" s="349" t="s">
        <v>2685</v>
      </c>
      <c r="AC208" s="350">
        <v>0</v>
      </c>
      <c r="AD208" s="349" t="s">
        <v>2685</v>
      </c>
      <c r="AE208" s="364">
        <v>0</v>
      </c>
      <c r="AF208" s="366">
        <v>0</v>
      </c>
      <c r="AG208" s="363">
        <v>0</v>
      </c>
      <c r="AH208" s="635" t="s">
        <v>408</v>
      </c>
      <c r="AI208" s="324"/>
      <c r="AL208" s="487" t="s">
        <v>14345</v>
      </c>
      <c r="AM208" s="477" t="s">
        <v>70</v>
      </c>
      <c r="AN208" s="637">
        <v>100</v>
      </c>
      <c r="AO208" s="478">
        <v>-763</v>
      </c>
      <c r="AP208" s="463">
        <v>-763</v>
      </c>
      <c r="AQ208" s="479">
        <v>0</v>
      </c>
      <c r="AR208" s="476" t="s">
        <v>17124</v>
      </c>
      <c r="BA208" s="313" t="s">
        <v>3025</v>
      </c>
    </row>
    <row r="209" spans="2:53" ht="16.5" customHeight="1">
      <c r="B209" s="367" t="s">
        <v>3095</v>
      </c>
      <c r="C209" s="351" t="s">
        <v>3096</v>
      </c>
      <c r="D209" s="353">
        <v>-763</v>
      </c>
      <c r="E209" s="352" t="s">
        <v>408</v>
      </c>
      <c r="F209" s="341">
        <v>95.94</v>
      </c>
      <c r="G209" s="355" t="s">
        <v>8395</v>
      </c>
      <c r="H209" s="356" t="s">
        <v>18416</v>
      </c>
      <c r="I209" s="354" t="s">
        <v>73</v>
      </c>
      <c r="J209" s="340" t="s">
        <v>8307</v>
      </c>
      <c r="K209" s="339" t="s">
        <v>71</v>
      </c>
      <c r="L209" s="357">
        <v>11</v>
      </c>
      <c r="M209" s="358" t="s">
        <v>8401</v>
      </c>
      <c r="N209" s="359">
        <v>1000</v>
      </c>
      <c r="O209" s="360" t="s">
        <v>530</v>
      </c>
      <c r="P209" s="343" t="s">
        <v>531</v>
      </c>
      <c r="Q209" s="342" t="s">
        <v>2688</v>
      </c>
      <c r="R209" s="344">
        <v>33</v>
      </c>
      <c r="S209" s="345">
        <v>33</v>
      </c>
      <c r="T209" s="362">
        <v>17</v>
      </c>
      <c r="U209" s="361">
        <v>95.94</v>
      </c>
      <c r="V209" s="346">
        <v>130.60385121790651</v>
      </c>
      <c r="W209" s="348">
        <v>129.71733048057934</v>
      </c>
      <c r="X209" s="347">
        <v>65.540000000000006</v>
      </c>
      <c r="Y209" s="357">
        <v>66.660000000000011</v>
      </c>
      <c r="Z209" s="365" t="s">
        <v>2689</v>
      </c>
      <c r="AA209" s="350">
        <v>166.67</v>
      </c>
      <c r="AB209" s="349" t="s">
        <v>2685</v>
      </c>
      <c r="AC209" s="350">
        <v>0</v>
      </c>
      <c r="AD209" s="349" t="s">
        <v>2685</v>
      </c>
      <c r="AE209" s="364">
        <v>0</v>
      </c>
      <c r="AF209" s="366">
        <v>0</v>
      </c>
      <c r="AG209" s="363">
        <v>0</v>
      </c>
      <c r="AH209" s="635" t="s">
        <v>408</v>
      </c>
      <c r="AI209" s="324"/>
      <c r="AL209" s="487" t="s">
        <v>14346</v>
      </c>
      <c r="AM209" s="477" t="s">
        <v>71</v>
      </c>
      <c r="AN209" s="637">
        <v>100</v>
      </c>
      <c r="AO209" s="478">
        <v>-763</v>
      </c>
      <c r="AP209" s="463">
        <v>-593</v>
      </c>
      <c r="AQ209" s="479">
        <v>-170</v>
      </c>
      <c r="AR209" s="476" t="s">
        <v>17125</v>
      </c>
      <c r="BA209" s="313" t="s">
        <v>3026</v>
      </c>
    </row>
    <row r="210" spans="2:53" ht="16.5" customHeight="1">
      <c r="B210" s="367" t="s">
        <v>8402</v>
      </c>
      <c r="C210" s="351" t="s">
        <v>8403</v>
      </c>
      <c r="D210" s="353">
        <v>-565</v>
      </c>
      <c r="E210" s="352" t="s">
        <v>408</v>
      </c>
      <c r="F210" s="341">
        <v>95.93</v>
      </c>
      <c r="G210" s="355" t="s">
        <v>18417</v>
      </c>
      <c r="H210" s="356" t="s">
        <v>18418</v>
      </c>
      <c r="I210" s="354" t="s">
        <v>8000</v>
      </c>
      <c r="J210" s="340" t="s">
        <v>7917</v>
      </c>
      <c r="K210" s="339" t="s">
        <v>70</v>
      </c>
      <c r="L210" s="357">
        <v>6</v>
      </c>
      <c r="M210" s="358" t="s">
        <v>5594</v>
      </c>
      <c r="N210" s="359">
        <v>1000</v>
      </c>
      <c r="O210" s="360" t="s">
        <v>532</v>
      </c>
      <c r="P210" s="343" t="s">
        <v>532</v>
      </c>
      <c r="Q210" s="342" t="s">
        <v>2688</v>
      </c>
      <c r="R210" s="344">
        <v>25</v>
      </c>
      <c r="S210" s="345">
        <v>30</v>
      </c>
      <c r="T210" s="362">
        <v>25</v>
      </c>
      <c r="U210" s="361">
        <v>95.93</v>
      </c>
      <c r="V210" s="346">
        <v>130.58730322687049</v>
      </c>
      <c r="W210" s="348">
        <v>129.64286452091727</v>
      </c>
      <c r="X210" s="347" t="s">
        <v>18419</v>
      </c>
      <c r="Y210" s="357" t="s">
        <v>408</v>
      </c>
      <c r="Z210" s="365" t="s">
        <v>2689</v>
      </c>
      <c r="AA210" s="350">
        <v>200</v>
      </c>
      <c r="AB210" s="349" t="s">
        <v>2685</v>
      </c>
      <c r="AC210" s="350">
        <v>0</v>
      </c>
      <c r="AD210" s="349" t="s">
        <v>2685</v>
      </c>
      <c r="AE210" s="364">
        <v>0</v>
      </c>
      <c r="AF210" s="366">
        <v>11.994</v>
      </c>
      <c r="AG210" s="363">
        <v>0</v>
      </c>
      <c r="AH210" s="635" t="s">
        <v>8002</v>
      </c>
      <c r="AI210" s="324"/>
      <c r="AL210" s="487" t="s">
        <v>14303</v>
      </c>
      <c r="AM210" s="477" t="s">
        <v>70</v>
      </c>
      <c r="AN210" s="637" t="s">
        <v>7178</v>
      </c>
      <c r="AO210" s="478">
        <v>-565</v>
      </c>
      <c r="AP210" s="463">
        <v>-565</v>
      </c>
      <c r="AQ210" s="479">
        <v>0</v>
      </c>
      <c r="AR210" s="476" t="s">
        <v>17126</v>
      </c>
      <c r="BA210" s="313" t="s">
        <v>3027</v>
      </c>
    </row>
    <row r="211" spans="2:53" ht="16.5" customHeight="1">
      <c r="B211" s="367" t="s">
        <v>8398</v>
      </c>
      <c r="C211" s="351" t="s">
        <v>8399</v>
      </c>
      <c r="D211" s="353">
        <v>-768</v>
      </c>
      <c r="E211" s="352" t="s">
        <v>408</v>
      </c>
      <c r="F211" s="341">
        <v>95.93</v>
      </c>
      <c r="G211" s="355" t="s">
        <v>3290</v>
      </c>
      <c r="H211" s="356" t="s">
        <v>18415</v>
      </c>
      <c r="I211" s="354" t="s">
        <v>214</v>
      </c>
      <c r="J211" s="340" t="s">
        <v>8042</v>
      </c>
      <c r="K211" s="339" t="s">
        <v>70</v>
      </c>
      <c r="L211" s="357">
        <v>41</v>
      </c>
      <c r="M211" s="358" t="s">
        <v>8271</v>
      </c>
      <c r="N211" s="359">
        <v>200</v>
      </c>
      <c r="O211" s="360" t="s">
        <v>532</v>
      </c>
      <c r="P211" s="343" t="s">
        <v>532</v>
      </c>
      <c r="Q211" s="342" t="s">
        <v>2688</v>
      </c>
      <c r="R211" s="344">
        <v>20</v>
      </c>
      <c r="S211" s="345">
        <v>30</v>
      </c>
      <c r="T211" s="362">
        <v>30</v>
      </c>
      <c r="U211" s="361">
        <v>95.93</v>
      </c>
      <c r="V211" s="346">
        <v>130.59416301936463</v>
      </c>
      <c r="W211" s="348">
        <v>129.67373358714093</v>
      </c>
      <c r="X211" s="347" t="s">
        <v>18419</v>
      </c>
      <c r="Y211" s="357" t="s">
        <v>408</v>
      </c>
      <c r="Z211" s="365" t="s">
        <v>2689</v>
      </c>
      <c r="AA211" s="350">
        <v>40</v>
      </c>
      <c r="AB211" s="349" t="s">
        <v>2685</v>
      </c>
      <c r="AC211" s="350">
        <v>0</v>
      </c>
      <c r="AD211" s="349" t="s">
        <v>2685</v>
      </c>
      <c r="AE211" s="364">
        <v>0</v>
      </c>
      <c r="AF211" s="366">
        <v>0</v>
      </c>
      <c r="AG211" s="363">
        <v>0</v>
      </c>
      <c r="AH211" s="635" t="s">
        <v>408</v>
      </c>
      <c r="AI211" s="324"/>
      <c r="AL211" s="487" t="s">
        <v>14295</v>
      </c>
      <c r="AM211" s="477" t="s">
        <v>70</v>
      </c>
      <c r="AN211" s="637">
        <v>100</v>
      </c>
      <c r="AO211" s="478">
        <v>-768</v>
      </c>
      <c r="AP211" s="463">
        <v>-768</v>
      </c>
      <c r="AQ211" s="479">
        <v>0</v>
      </c>
      <c r="AR211" s="476" t="s">
        <v>17124</v>
      </c>
      <c r="BA211" s="313" t="s">
        <v>3029</v>
      </c>
    </row>
    <row r="212" spans="2:53" ht="16.5" customHeight="1">
      <c r="B212" s="367" t="s">
        <v>8402</v>
      </c>
      <c r="C212" s="351" t="s">
        <v>8403</v>
      </c>
      <c r="D212" s="353">
        <v>-770</v>
      </c>
      <c r="E212" s="352" t="s">
        <v>408</v>
      </c>
      <c r="F212" s="341">
        <v>95.93</v>
      </c>
      <c r="G212" s="355" t="s">
        <v>8404</v>
      </c>
      <c r="H212" s="356" t="s">
        <v>18410</v>
      </c>
      <c r="I212" s="354" t="s">
        <v>73</v>
      </c>
      <c r="J212" s="340" t="s">
        <v>7250</v>
      </c>
      <c r="K212" s="339" t="s">
        <v>70</v>
      </c>
      <c r="L212" s="357">
        <v>86</v>
      </c>
      <c r="M212" s="358" t="s">
        <v>8405</v>
      </c>
      <c r="N212" s="359">
        <v>1000</v>
      </c>
      <c r="O212" s="360" t="s">
        <v>530</v>
      </c>
      <c r="P212" s="343" t="s">
        <v>531</v>
      </c>
      <c r="Q212" s="342" t="s">
        <v>2688</v>
      </c>
      <c r="R212" s="344">
        <v>22</v>
      </c>
      <c r="S212" s="345">
        <v>33</v>
      </c>
      <c r="T212" s="362">
        <v>33</v>
      </c>
      <c r="U212" s="361">
        <v>95.93</v>
      </c>
      <c r="V212" s="346">
        <v>130.58846423444675</v>
      </c>
      <c r="W212" s="348">
        <v>129.64808905501036</v>
      </c>
      <c r="X212" s="347">
        <v>65.540000000000006</v>
      </c>
      <c r="Y212" s="357">
        <v>66.650000000000006</v>
      </c>
      <c r="Z212" s="365" t="s">
        <v>2689</v>
      </c>
      <c r="AA212" s="350">
        <v>111.11</v>
      </c>
      <c r="AB212" s="349" t="s">
        <v>2685</v>
      </c>
      <c r="AC212" s="350">
        <v>0</v>
      </c>
      <c r="AD212" s="349" t="s">
        <v>2685</v>
      </c>
      <c r="AE212" s="364">
        <v>0</v>
      </c>
      <c r="AF212" s="366">
        <v>6.665</v>
      </c>
      <c r="AG212" s="363">
        <v>0</v>
      </c>
      <c r="AH212" s="635" t="s">
        <v>7791</v>
      </c>
      <c r="AI212" s="324"/>
      <c r="AL212" s="487" t="s">
        <v>14347</v>
      </c>
      <c r="AM212" s="477" t="s">
        <v>70</v>
      </c>
      <c r="AN212" s="637">
        <v>100</v>
      </c>
      <c r="AO212" s="478">
        <v>-770</v>
      </c>
      <c r="AP212" s="463">
        <v>-770</v>
      </c>
      <c r="AQ212" s="479">
        <v>0</v>
      </c>
      <c r="AR212" s="476" t="s">
        <v>16840</v>
      </c>
      <c r="BA212" s="313" t="s">
        <v>3030</v>
      </c>
    </row>
    <row r="213" spans="2:53" ht="16.5" customHeight="1">
      <c r="B213" s="367" t="s">
        <v>8408</v>
      </c>
      <c r="C213" s="351" t="s">
        <v>8409</v>
      </c>
      <c r="D213" s="353">
        <v>-770</v>
      </c>
      <c r="E213" s="352" t="s">
        <v>408</v>
      </c>
      <c r="F213" s="341">
        <v>95.92</v>
      </c>
      <c r="G213" s="355" t="s">
        <v>3298</v>
      </c>
      <c r="H213" s="356" t="s">
        <v>18420</v>
      </c>
      <c r="I213" s="354" t="s">
        <v>75</v>
      </c>
      <c r="J213" s="340" t="s">
        <v>8410</v>
      </c>
      <c r="K213" s="339" t="s">
        <v>70</v>
      </c>
      <c r="L213" s="357">
        <v>28</v>
      </c>
      <c r="M213" s="358" t="s">
        <v>8411</v>
      </c>
      <c r="N213" s="359">
        <v>1000</v>
      </c>
      <c r="O213" s="360" t="s">
        <v>530</v>
      </c>
      <c r="P213" s="343" t="s">
        <v>531</v>
      </c>
      <c r="Q213" s="342" t="s">
        <v>2688</v>
      </c>
      <c r="R213" s="344">
        <v>31</v>
      </c>
      <c r="S213" s="345">
        <v>38</v>
      </c>
      <c r="T213" s="362">
        <v>31</v>
      </c>
      <c r="U213" s="361">
        <v>95.92</v>
      </c>
      <c r="V213" s="346">
        <v>130.57775462359987</v>
      </c>
      <c r="W213" s="348">
        <v>129.59989580619953</v>
      </c>
      <c r="X213" s="347">
        <v>65.53</v>
      </c>
      <c r="Y213" s="357">
        <v>66.910000000000011</v>
      </c>
      <c r="Z213" s="365" t="s">
        <v>2689</v>
      </c>
      <c r="AA213" s="350">
        <v>0</v>
      </c>
      <c r="AB213" s="349" t="s">
        <v>2685</v>
      </c>
      <c r="AC213" s="350">
        <v>10</v>
      </c>
      <c r="AD213" s="349" t="s">
        <v>2685</v>
      </c>
      <c r="AE213" s="364">
        <v>0</v>
      </c>
      <c r="AF213" s="366">
        <v>0</v>
      </c>
      <c r="AG213" s="363">
        <v>0</v>
      </c>
      <c r="AH213" s="635" t="s">
        <v>408</v>
      </c>
      <c r="AI213" s="324"/>
      <c r="AL213" s="487" t="s">
        <v>14348</v>
      </c>
      <c r="AM213" s="480" t="s">
        <v>70</v>
      </c>
      <c r="AN213" s="637">
        <v>100</v>
      </c>
      <c r="AO213" s="478">
        <v>-770</v>
      </c>
      <c r="AP213" s="463">
        <v>-770</v>
      </c>
      <c r="AQ213" s="479">
        <v>0</v>
      </c>
      <c r="AR213" s="476" t="s">
        <v>17127</v>
      </c>
      <c r="BA213" s="313" t="s">
        <v>3031</v>
      </c>
    </row>
    <row r="214" spans="2:53" ht="16.5" customHeight="1">
      <c r="B214" s="367" t="s">
        <v>8412</v>
      </c>
      <c r="C214" s="351" t="s">
        <v>8413</v>
      </c>
      <c r="D214" s="353">
        <v>-771</v>
      </c>
      <c r="E214" s="352" t="s">
        <v>408</v>
      </c>
      <c r="F214" s="341">
        <v>95.91</v>
      </c>
      <c r="G214" s="355" t="s">
        <v>8414</v>
      </c>
      <c r="H214" s="356" t="s">
        <v>18421</v>
      </c>
      <c r="I214" s="354" t="s">
        <v>80</v>
      </c>
      <c r="J214" s="340" t="s">
        <v>8415</v>
      </c>
      <c r="K214" s="339" t="s">
        <v>70</v>
      </c>
      <c r="L214" s="357">
        <v>14</v>
      </c>
      <c r="M214" s="358" t="s">
        <v>8416</v>
      </c>
      <c r="N214" s="359">
        <v>1000</v>
      </c>
      <c r="O214" s="360" t="s">
        <v>532</v>
      </c>
      <c r="P214" s="343" t="s">
        <v>533</v>
      </c>
      <c r="Q214" s="342" t="s">
        <v>2688</v>
      </c>
      <c r="R214" s="344">
        <v>25</v>
      </c>
      <c r="S214" s="345">
        <v>40</v>
      </c>
      <c r="T214" s="362">
        <v>25</v>
      </c>
      <c r="U214" s="361">
        <v>95.91</v>
      </c>
      <c r="V214" s="346">
        <v>130.5630970459529</v>
      </c>
      <c r="W214" s="348">
        <v>129.5339367067881</v>
      </c>
      <c r="X214" s="347">
        <v>65.52</v>
      </c>
      <c r="Y214" s="357">
        <v>67.760000000000005</v>
      </c>
      <c r="Z214" s="365" t="s">
        <v>2689</v>
      </c>
      <c r="AA214" s="350">
        <v>100</v>
      </c>
      <c r="AB214" s="349" t="s">
        <v>2685</v>
      </c>
      <c r="AC214" s="350">
        <v>0</v>
      </c>
      <c r="AD214" s="349" t="s">
        <v>2685</v>
      </c>
      <c r="AE214" s="364">
        <v>0</v>
      </c>
      <c r="AF214" s="366">
        <v>0</v>
      </c>
      <c r="AG214" s="363">
        <v>0</v>
      </c>
      <c r="AH214" s="635" t="s">
        <v>408</v>
      </c>
      <c r="AI214" s="324"/>
      <c r="AL214" s="487" t="s">
        <v>14349</v>
      </c>
      <c r="AM214" s="477" t="s">
        <v>70</v>
      </c>
      <c r="AN214" s="637">
        <v>100</v>
      </c>
      <c r="AO214" s="478">
        <v>-771</v>
      </c>
      <c r="AP214" s="463">
        <v>-771</v>
      </c>
      <c r="AQ214" s="479">
        <v>0</v>
      </c>
      <c r="AR214" s="476" t="s">
        <v>17128</v>
      </c>
      <c r="BA214" s="313" t="s">
        <v>3033</v>
      </c>
    </row>
    <row r="215" spans="2:53" ht="16.5" customHeight="1">
      <c r="B215" s="367" t="s">
        <v>3102</v>
      </c>
      <c r="C215" s="351" t="s">
        <v>3103</v>
      </c>
      <c r="D215" s="353">
        <v>-774</v>
      </c>
      <c r="E215" s="352" t="s">
        <v>408</v>
      </c>
      <c r="F215" s="341">
        <v>95.91</v>
      </c>
      <c r="G215" s="355" t="s">
        <v>8417</v>
      </c>
      <c r="H215" s="356" t="s">
        <v>8522</v>
      </c>
      <c r="I215" s="354" t="s">
        <v>80</v>
      </c>
      <c r="J215" s="340" t="s">
        <v>8418</v>
      </c>
      <c r="K215" s="339" t="s">
        <v>70</v>
      </c>
      <c r="L215" s="357">
        <v>25</v>
      </c>
      <c r="M215" s="358" t="s">
        <v>8419</v>
      </c>
      <c r="N215" s="359">
        <v>1000</v>
      </c>
      <c r="O215" s="360" t="s">
        <v>532</v>
      </c>
      <c r="P215" s="343" t="s">
        <v>533</v>
      </c>
      <c r="Q215" s="342" t="s">
        <v>2688</v>
      </c>
      <c r="R215" s="344">
        <v>25</v>
      </c>
      <c r="S215" s="345">
        <v>40</v>
      </c>
      <c r="T215" s="362">
        <v>25</v>
      </c>
      <c r="U215" s="361">
        <v>95.91</v>
      </c>
      <c r="V215" s="346">
        <v>130.56497137775264</v>
      </c>
      <c r="W215" s="348">
        <v>129.54237119988699</v>
      </c>
      <c r="X215" s="347">
        <v>65.52</v>
      </c>
      <c r="Y215" s="357">
        <v>67.760000000000005</v>
      </c>
      <c r="Z215" s="365" t="s">
        <v>2689</v>
      </c>
      <c r="AA215" s="350">
        <v>100</v>
      </c>
      <c r="AB215" s="349" t="s">
        <v>2685</v>
      </c>
      <c r="AC215" s="350">
        <v>0</v>
      </c>
      <c r="AD215" s="349" t="s">
        <v>2685</v>
      </c>
      <c r="AE215" s="364">
        <v>0</v>
      </c>
      <c r="AF215" s="366">
        <v>0</v>
      </c>
      <c r="AG215" s="363">
        <v>0</v>
      </c>
      <c r="AH215" s="635" t="s">
        <v>408</v>
      </c>
      <c r="AI215" s="324"/>
      <c r="AL215" s="487" t="s">
        <v>14351</v>
      </c>
      <c r="AM215" s="480" t="s">
        <v>70</v>
      </c>
      <c r="AN215" s="637">
        <v>100</v>
      </c>
      <c r="AO215" s="478">
        <v>-774</v>
      </c>
      <c r="AP215" s="463">
        <v>-774</v>
      </c>
      <c r="AQ215" s="479">
        <v>0</v>
      </c>
      <c r="AR215" s="476" t="s">
        <v>14350</v>
      </c>
      <c r="BA215" s="313" t="s">
        <v>3037</v>
      </c>
    </row>
    <row r="216" spans="2:53" ht="16.5" customHeight="1">
      <c r="B216" s="367" t="s">
        <v>8412</v>
      </c>
      <c r="C216" s="351" t="s">
        <v>8413</v>
      </c>
      <c r="D216" s="353">
        <v>-775</v>
      </c>
      <c r="E216" s="352" t="s">
        <v>408</v>
      </c>
      <c r="F216" s="341">
        <v>95.9</v>
      </c>
      <c r="G216" s="355" t="s">
        <v>8420</v>
      </c>
      <c r="H216" s="356" t="s">
        <v>3252</v>
      </c>
      <c r="I216" s="354" t="s">
        <v>256</v>
      </c>
      <c r="J216" s="340" t="s">
        <v>198</v>
      </c>
      <c r="K216" s="339" t="s">
        <v>70</v>
      </c>
      <c r="L216" s="357">
        <v>21</v>
      </c>
      <c r="M216" s="358" t="s">
        <v>8421</v>
      </c>
      <c r="N216" s="359">
        <v>800</v>
      </c>
      <c r="O216" s="360" t="s">
        <v>530</v>
      </c>
      <c r="P216" s="343" t="s">
        <v>530</v>
      </c>
      <c r="Q216" s="342" t="s">
        <v>2688</v>
      </c>
      <c r="R216" s="344">
        <v>25</v>
      </c>
      <c r="S216" s="345">
        <v>30</v>
      </c>
      <c r="T216" s="362">
        <v>25</v>
      </c>
      <c r="U216" s="361">
        <v>95.9</v>
      </c>
      <c r="V216" s="346">
        <v>130.55956677289606</v>
      </c>
      <c r="W216" s="348">
        <v>129.51805047803236</v>
      </c>
      <c r="X216" s="347">
        <v>65.52</v>
      </c>
      <c r="Y216" s="357" t="s">
        <v>408</v>
      </c>
      <c r="Z216" s="365" t="s">
        <v>2689</v>
      </c>
      <c r="AA216" s="350">
        <v>160</v>
      </c>
      <c r="AB216" s="349" t="s">
        <v>2685</v>
      </c>
      <c r="AC216" s="350">
        <v>0</v>
      </c>
      <c r="AD216" s="349" t="s">
        <v>2685</v>
      </c>
      <c r="AE216" s="364">
        <v>0</v>
      </c>
      <c r="AF216" s="366">
        <v>2</v>
      </c>
      <c r="AG216" s="363">
        <v>0</v>
      </c>
      <c r="AH216" s="635" t="s">
        <v>8422</v>
      </c>
      <c r="AI216" s="324"/>
      <c r="AL216" s="487" t="s">
        <v>7173</v>
      </c>
      <c r="AM216" s="477" t="s">
        <v>70</v>
      </c>
      <c r="AN216" s="637">
        <v>100</v>
      </c>
      <c r="AO216" s="478">
        <v>-775</v>
      </c>
      <c r="AP216" s="463">
        <v>-775</v>
      </c>
      <c r="AQ216" s="479">
        <v>0</v>
      </c>
      <c r="AR216" s="476" t="s">
        <v>17129</v>
      </c>
      <c r="BA216" s="313" t="s">
        <v>3039</v>
      </c>
    </row>
    <row r="217" spans="2:53" ht="16.5" customHeight="1">
      <c r="B217" s="367" t="s">
        <v>8412</v>
      </c>
      <c r="C217" s="351" t="s">
        <v>8413</v>
      </c>
      <c r="D217" s="353">
        <v>-665</v>
      </c>
      <c r="E217" s="352" t="s">
        <v>408</v>
      </c>
      <c r="F217" s="341">
        <v>95.9</v>
      </c>
      <c r="G217" s="355" t="s">
        <v>8420</v>
      </c>
      <c r="H217" s="356" t="s">
        <v>8278</v>
      </c>
      <c r="I217" s="354" t="s">
        <v>197</v>
      </c>
      <c r="J217" s="340" t="s">
        <v>7917</v>
      </c>
      <c r="K217" s="339" t="s">
        <v>70</v>
      </c>
      <c r="L217" s="357">
        <v>12</v>
      </c>
      <c r="M217" s="358" t="s">
        <v>8423</v>
      </c>
      <c r="N217" s="359">
        <v>500</v>
      </c>
      <c r="O217" s="360" t="s">
        <v>454</v>
      </c>
      <c r="P217" s="343" t="s">
        <v>454</v>
      </c>
      <c r="Q217" s="342" t="s">
        <v>2688</v>
      </c>
      <c r="R217" s="344">
        <v>20</v>
      </c>
      <c r="S217" s="345">
        <v>30</v>
      </c>
      <c r="T217" s="362">
        <v>30</v>
      </c>
      <c r="U217" s="361">
        <v>95.9</v>
      </c>
      <c r="V217" s="346">
        <v>130.55957161981257</v>
      </c>
      <c r="W217" s="348">
        <v>129.51807228915661</v>
      </c>
      <c r="X217" s="347">
        <v>65.52</v>
      </c>
      <c r="Y217" s="357" t="s">
        <v>408</v>
      </c>
      <c r="Z217" s="365" t="s">
        <v>2689</v>
      </c>
      <c r="AA217" s="350">
        <v>100</v>
      </c>
      <c r="AB217" s="349" t="s">
        <v>2685</v>
      </c>
      <c r="AC217" s="350">
        <v>1.5</v>
      </c>
      <c r="AD217" s="349" t="s">
        <v>2685</v>
      </c>
      <c r="AE217" s="364">
        <v>0</v>
      </c>
      <c r="AF217" s="366">
        <v>14.385</v>
      </c>
      <c r="AG217" s="363">
        <v>0</v>
      </c>
      <c r="AH217" s="635" t="s">
        <v>6224</v>
      </c>
      <c r="AI217" s="324"/>
      <c r="AL217" s="487" t="s">
        <v>14352</v>
      </c>
      <c r="AM217" s="477" t="s">
        <v>70</v>
      </c>
      <c r="AN217" s="637" t="s">
        <v>7178</v>
      </c>
      <c r="AO217" s="478">
        <v>-665</v>
      </c>
      <c r="AP217" s="463">
        <v>-665</v>
      </c>
      <c r="AQ217" s="479">
        <v>0</v>
      </c>
      <c r="AR217" s="476" t="s">
        <v>14353</v>
      </c>
      <c r="BA217" s="313" t="s">
        <v>3040</v>
      </c>
    </row>
    <row r="218" spans="2:53" ht="16.5" customHeight="1">
      <c r="B218" s="367" t="s">
        <v>3107</v>
      </c>
      <c r="C218" s="351" t="s">
        <v>3108</v>
      </c>
      <c r="D218" s="353">
        <v>-776</v>
      </c>
      <c r="E218" s="352" t="s">
        <v>408</v>
      </c>
      <c r="F218" s="341">
        <v>95.89</v>
      </c>
      <c r="G218" s="355" t="s">
        <v>8424</v>
      </c>
      <c r="H218" s="356" t="s">
        <v>18395</v>
      </c>
      <c r="I218" s="354" t="s">
        <v>75</v>
      </c>
      <c r="J218" s="340" t="s">
        <v>8425</v>
      </c>
      <c r="K218" s="339" t="s">
        <v>70</v>
      </c>
      <c r="L218" s="357">
        <v>32</v>
      </c>
      <c r="M218" s="358" t="s">
        <v>8426</v>
      </c>
      <c r="N218" s="359">
        <v>1000</v>
      </c>
      <c r="O218" s="360" t="s">
        <v>530</v>
      </c>
      <c r="P218" s="343" t="s">
        <v>531</v>
      </c>
      <c r="Q218" s="342" t="s">
        <v>2688</v>
      </c>
      <c r="R218" s="344">
        <v>31</v>
      </c>
      <c r="S218" s="345">
        <v>38</v>
      </c>
      <c r="T218" s="362">
        <v>31</v>
      </c>
      <c r="U218" s="361">
        <v>95.89</v>
      </c>
      <c r="V218" s="346">
        <v>130.54441260744986</v>
      </c>
      <c r="W218" s="348">
        <v>129.44985673352437</v>
      </c>
      <c r="X218" s="347">
        <v>65.510000000000005</v>
      </c>
      <c r="Y218" s="357">
        <v>66.89</v>
      </c>
      <c r="Z218" s="365" t="s">
        <v>2689</v>
      </c>
      <c r="AA218" s="350">
        <v>0</v>
      </c>
      <c r="AB218" s="349" t="s">
        <v>2685</v>
      </c>
      <c r="AC218" s="350">
        <v>10</v>
      </c>
      <c r="AD218" s="349" t="s">
        <v>2685</v>
      </c>
      <c r="AE218" s="364">
        <v>0</v>
      </c>
      <c r="AF218" s="366">
        <v>0</v>
      </c>
      <c r="AG218" s="363">
        <v>0</v>
      </c>
      <c r="AH218" s="635" t="s">
        <v>408</v>
      </c>
      <c r="AI218" s="324"/>
      <c r="AL218" s="487" t="s">
        <v>14354</v>
      </c>
      <c r="AM218" s="477" t="s">
        <v>70</v>
      </c>
      <c r="AN218" s="637">
        <v>100</v>
      </c>
      <c r="AO218" s="478">
        <v>-776</v>
      </c>
      <c r="AP218" s="463">
        <v>-776</v>
      </c>
      <c r="AQ218" s="479">
        <v>0</v>
      </c>
      <c r="AR218" s="476" t="s">
        <v>14355</v>
      </c>
      <c r="BA218" s="313" t="s">
        <v>3041</v>
      </c>
    </row>
    <row r="219" spans="2:53" ht="16.5" customHeight="1">
      <c r="B219" s="367" t="s">
        <v>8427</v>
      </c>
      <c r="C219" s="351" t="s">
        <v>8428</v>
      </c>
      <c r="D219" s="353">
        <v>-779</v>
      </c>
      <c r="E219" s="352" t="s">
        <v>408</v>
      </c>
      <c r="F219" s="341">
        <v>95.89</v>
      </c>
      <c r="G219" s="355" t="s">
        <v>8429</v>
      </c>
      <c r="H219" s="356" t="s">
        <v>8533</v>
      </c>
      <c r="I219" s="354" t="s">
        <v>73</v>
      </c>
      <c r="J219" s="340" t="s">
        <v>8011</v>
      </c>
      <c r="K219" s="339" t="s">
        <v>70</v>
      </c>
      <c r="L219" s="357">
        <v>16</v>
      </c>
      <c r="M219" s="358" t="s">
        <v>8430</v>
      </c>
      <c r="N219" s="359">
        <v>1000</v>
      </c>
      <c r="O219" s="360" t="s">
        <v>530</v>
      </c>
      <c r="P219" s="343" t="s">
        <v>531</v>
      </c>
      <c r="Q219" s="342" t="s">
        <v>2688</v>
      </c>
      <c r="R219" s="344">
        <v>22</v>
      </c>
      <c r="S219" s="345">
        <v>33</v>
      </c>
      <c r="T219" s="362">
        <v>33</v>
      </c>
      <c r="U219" s="361">
        <v>95.89</v>
      </c>
      <c r="V219" s="346">
        <v>130.5393553302049</v>
      </c>
      <c r="W219" s="348">
        <v>129.4270989859221</v>
      </c>
      <c r="X219" s="347">
        <v>65.510000000000005</v>
      </c>
      <c r="Y219" s="357">
        <v>66.62</v>
      </c>
      <c r="Z219" s="365" t="s">
        <v>2689</v>
      </c>
      <c r="AA219" s="350">
        <v>111.11</v>
      </c>
      <c r="AB219" s="349" t="s">
        <v>2685</v>
      </c>
      <c r="AC219" s="350">
        <v>0</v>
      </c>
      <c r="AD219" s="349" t="s">
        <v>2685</v>
      </c>
      <c r="AE219" s="364">
        <v>0</v>
      </c>
      <c r="AF219" s="366">
        <v>6.6619999999999999</v>
      </c>
      <c r="AG219" s="363">
        <v>0</v>
      </c>
      <c r="AH219" s="635" t="s">
        <v>7791</v>
      </c>
      <c r="AI219" s="324"/>
      <c r="AL219" s="487" t="s">
        <v>14356</v>
      </c>
      <c r="AM219" s="477" t="s">
        <v>70</v>
      </c>
      <c r="AN219" s="637">
        <v>100</v>
      </c>
      <c r="AO219" s="478">
        <v>-779</v>
      </c>
      <c r="AP219" s="463">
        <v>-779</v>
      </c>
      <c r="AQ219" s="479">
        <v>0</v>
      </c>
      <c r="AR219" s="476" t="s">
        <v>17130</v>
      </c>
      <c r="BA219" s="313" t="s">
        <v>3042</v>
      </c>
    </row>
    <row r="220" spans="2:53" ht="16.5" customHeight="1">
      <c r="B220" s="367" t="s">
        <v>3116</v>
      </c>
      <c r="C220" s="351" t="s">
        <v>3117</v>
      </c>
      <c r="D220" s="353">
        <v>-780</v>
      </c>
      <c r="E220" s="352" t="s">
        <v>8406</v>
      </c>
      <c r="F220" s="341">
        <v>95.88</v>
      </c>
      <c r="G220" s="355" t="s">
        <v>8431</v>
      </c>
      <c r="H220" s="356" t="s">
        <v>18422</v>
      </c>
      <c r="I220" s="354" t="s">
        <v>204</v>
      </c>
      <c r="J220" s="340" t="s">
        <v>8433</v>
      </c>
      <c r="K220" s="339" t="s">
        <v>70</v>
      </c>
      <c r="L220" s="357">
        <v>21</v>
      </c>
      <c r="M220" s="358" t="s">
        <v>8434</v>
      </c>
      <c r="N220" s="359">
        <v>1000</v>
      </c>
      <c r="O220" s="360" t="s">
        <v>454</v>
      </c>
      <c r="P220" s="343" t="s">
        <v>454</v>
      </c>
      <c r="Q220" s="342" t="s">
        <v>2688</v>
      </c>
      <c r="R220" s="344">
        <v>20</v>
      </c>
      <c r="S220" s="345">
        <v>40</v>
      </c>
      <c r="T220" s="362">
        <v>20</v>
      </c>
      <c r="U220" s="361">
        <v>95.88</v>
      </c>
      <c r="V220" s="346">
        <v>130.52777777777777</v>
      </c>
      <c r="W220" s="348">
        <v>129.37499999999997</v>
      </c>
      <c r="X220" s="347">
        <v>65.5</v>
      </c>
      <c r="Y220" s="357" t="s">
        <v>408</v>
      </c>
      <c r="Z220" s="365" t="s">
        <v>2689</v>
      </c>
      <c r="AA220" s="350">
        <v>200</v>
      </c>
      <c r="AB220" s="349" t="s">
        <v>2685</v>
      </c>
      <c r="AC220" s="350">
        <v>3</v>
      </c>
      <c r="AD220" s="349" t="s">
        <v>2685</v>
      </c>
      <c r="AE220" s="364">
        <v>0</v>
      </c>
      <c r="AF220" s="366">
        <v>0</v>
      </c>
      <c r="AG220" s="363">
        <v>0</v>
      </c>
      <c r="AH220" s="635" t="s">
        <v>408</v>
      </c>
      <c r="AI220" s="324"/>
      <c r="AL220" s="487" t="s">
        <v>14357</v>
      </c>
      <c r="AM220" s="477" t="s">
        <v>70</v>
      </c>
      <c r="AN220" s="637">
        <v>100</v>
      </c>
      <c r="AO220" s="478">
        <v>-780</v>
      </c>
      <c r="AP220" s="463">
        <v>-780</v>
      </c>
      <c r="AQ220" s="479">
        <v>0</v>
      </c>
      <c r="AR220" s="476" t="s">
        <v>17131</v>
      </c>
      <c r="BA220" s="313" t="s">
        <v>3043</v>
      </c>
    </row>
    <row r="221" spans="2:53" ht="16.5" customHeight="1">
      <c r="B221" s="367" t="s">
        <v>3111</v>
      </c>
      <c r="C221" s="351" t="s">
        <v>3112</v>
      </c>
      <c r="D221" s="353">
        <v>-782</v>
      </c>
      <c r="E221" s="352" t="s">
        <v>408</v>
      </c>
      <c r="F221" s="341">
        <v>95.88</v>
      </c>
      <c r="G221" s="355" t="s">
        <v>8435</v>
      </c>
      <c r="H221" s="356" t="s">
        <v>18418</v>
      </c>
      <c r="I221" s="354" t="s">
        <v>80</v>
      </c>
      <c r="J221" s="340" t="s">
        <v>8384</v>
      </c>
      <c r="K221" s="339" t="s">
        <v>70</v>
      </c>
      <c r="L221" s="357">
        <v>41</v>
      </c>
      <c r="M221" s="358" t="s">
        <v>8436</v>
      </c>
      <c r="N221" s="359">
        <v>1000</v>
      </c>
      <c r="O221" s="360" t="s">
        <v>532</v>
      </c>
      <c r="P221" s="343" t="s">
        <v>533</v>
      </c>
      <c r="Q221" s="342" t="s">
        <v>2688</v>
      </c>
      <c r="R221" s="344">
        <v>25</v>
      </c>
      <c r="S221" s="345">
        <v>40</v>
      </c>
      <c r="T221" s="362">
        <v>25</v>
      </c>
      <c r="U221" s="361">
        <v>95.88</v>
      </c>
      <c r="V221" s="346">
        <v>130.53435729169007</v>
      </c>
      <c r="W221" s="348">
        <v>129.40460781260532</v>
      </c>
      <c r="X221" s="347">
        <v>65.510000000000005</v>
      </c>
      <c r="Y221" s="357">
        <v>67.740000000000009</v>
      </c>
      <c r="Z221" s="365" t="s">
        <v>2689</v>
      </c>
      <c r="AA221" s="350">
        <v>100</v>
      </c>
      <c r="AB221" s="349" t="s">
        <v>2685</v>
      </c>
      <c r="AC221" s="350">
        <v>0</v>
      </c>
      <c r="AD221" s="349" t="s">
        <v>2685</v>
      </c>
      <c r="AE221" s="364">
        <v>0</v>
      </c>
      <c r="AF221" s="366">
        <v>0</v>
      </c>
      <c r="AG221" s="363">
        <v>0</v>
      </c>
      <c r="AH221" s="635" t="s">
        <v>408</v>
      </c>
      <c r="AI221" s="324"/>
      <c r="AL221" s="487" t="s">
        <v>14358</v>
      </c>
      <c r="AM221" s="477" t="s">
        <v>70</v>
      </c>
      <c r="AN221" s="637">
        <v>100</v>
      </c>
      <c r="AO221" s="478">
        <v>-782</v>
      </c>
      <c r="AP221" s="463">
        <v>-782</v>
      </c>
      <c r="AQ221" s="479">
        <v>0</v>
      </c>
      <c r="AR221" s="476" t="s">
        <v>17132</v>
      </c>
      <c r="BA221" s="313" t="s">
        <v>3045</v>
      </c>
    </row>
    <row r="222" spans="2:53" ht="16.5" customHeight="1">
      <c r="B222" s="367" t="s">
        <v>8437</v>
      </c>
      <c r="C222" s="351" t="s">
        <v>8438</v>
      </c>
      <c r="D222" s="353">
        <v>-782</v>
      </c>
      <c r="E222" s="352" t="s">
        <v>408</v>
      </c>
      <c r="F222" s="341">
        <v>95.87</v>
      </c>
      <c r="G222" s="355" t="s">
        <v>8439</v>
      </c>
      <c r="H222" s="356" t="s">
        <v>8432</v>
      </c>
      <c r="I222" s="354" t="s">
        <v>80</v>
      </c>
      <c r="J222" s="340" t="s">
        <v>8440</v>
      </c>
      <c r="K222" s="339" t="s">
        <v>70</v>
      </c>
      <c r="L222" s="357">
        <v>65</v>
      </c>
      <c r="M222" s="358" t="s">
        <v>8441</v>
      </c>
      <c r="N222" s="359">
        <v>1000</v>
      </c>
      <c r="O222" s="360" t="s">
        <v>532</v>
      </c>
      <c r="P222" s="343" t="s">
        <v>533</v>
      </c>
      <c r="Q222" s="342" t="s">
        <v>2688</v>
      </c>
      <c r="R222" s="344">
        <v>25</v>
      </c>
      <c r="S222" s="345">
        <v>40</v>
      </c>
      <c r="T222" s="362">
        <v>25</v>
      </c>
      <c r="U222" s="361">
        <v>95.87</v>
      </c>
      <c r="V222" s="346">
        <v>130.51873786002548</v>
      </c>
      <c r="W222" s="348">
        <v>129.33432037011471</v>
      </c>
      <c r="X222" s="347">
        <v>65.5</v>
      </c>
      <c r="Y222" s="357">
        <v>67.740000000000009</v>
      </c>
      <c r="Z222" s="365" t="s">
        <v>2689</v>
      </c>
      <c r="AA222" s="350">
        <v>100</v>
      </c>
      <c r="AB222" s="349" t="s">
        <v>2685</v>
      </c>
      <c r="AC222" s="350">
        <v>0</v>
      </c>
      <c r="AD222" s="349" t="s">
        <v>2685</v>
      </c>
      <c r="AE222" s="364">
        <v>0</v>
      </c>
      <c r="AF222" s="366">
        <v>0</v>
      </c>
      <c r="AG222" s="363">
        <v>0</v>
      </c>
      <c r="AH222" s="635" t="s">
        <v>408</v>
      </c>
      <c r="AI222" s="324"/>
      <c r="AL222" s="487" t="s">
        <v>14359</v>
      </c>
      <c r="AM222" s="477" t="s">
        <v>70</v>
      </c>
      <c r="AN222" s="637">
        <v>100</v>
      </c>
      <c r="AO222" s="478">
        <v>-782</v>
      </c>
      <c r="AP222" s="463">
        <v>-782</v>
      </c>
      <c r="AQ222" s="479">
        <v>0</v>
      </c>
      <c r="AR222" s="476" t="s">
        <v>14361</v>
      </c>
      <c r="BA222" s="313" t="s">
        <v>3046</v>
      </c>
    </row>
    <row r="223" spans="2:53" ht="16.5" customHeight="1">
      <c r="B223" s="367" t="s">
        <v>8437</v>
      </c>
      <c r="C223" s="351" t="s">
        <v>8438</v>
      </c>
      <c r="D223" s="353">
        <v>-749</v>
      </c>
      <c r="E223" s="352" t="s">
        <v>408</v>
      </c>
      <c r="F223" s="341">
        <v>95.87</v>
      </c>
      <c r="G223" s="355" t="s">
        <v>8442</v>
      </c>
      <c r="H223" s="356" t="s">
        <v>18423</v>
      </c>
      <c r="I223" s="354" t="s">
        <v>73</v>
      </c>
      <c r="J223" s="340" t="s">
        <v>8443</v>
      </c>
      <c r="K223" s="339" t="s">
        <v>70</v>
      </c>
      <c r="L223" s="357">
        <v>20</v>
      </c>
      <c r="M223" s="358" t="s">
        <v>8444</v>
      </c>
      <c r="N223" s="359">
        <v>1000</v>
      </c>
      <c r="O223" s="360" t="s">
        <v>530</v>
      </c>
      <c r="P223" s="343" t="s">
        <v>531</v>
      </c>
      <c r="Q223" s="342" t="s">
        <v>2688</v>
      </c>
      <c r="R223" s="344">
        <v>22</v>
      </c>
      <c r="S223" s="345">
        <v>33</v>
      </c>
      <c r="T223" s="362">
        <v>33</v>
      </c>
      <c r="U223" s="361">
        <v>95.87</v>
      </c>
      <c r="V223" s="346">
        <v>130.51710521897533</v>
      </c>
      <c r="W223" s="348">
        <v>129.32697348538906</v>
      </c>
      <c r="X223" s="347">
        <v>65.5</v>
      </c>
      <c r="Y223" s="357">
        <v>66.61</v>
      </c>
      <c r="Z223" s="365" t="s">
        <v>2689</v>
      </c>
      <c r="AA223" s="350">
        <v>111.11</v>
      </c>
      <c r="AB223" s="349" t="s">
        <v>2685</v>
      </c>
      <c r="AC223" s="350">
        <v>0</v>
      </c>
      <c r="AD223" s="349" t="s">
        <v>2685</v>
      </c>
      <c r="AE223" s="364">
        <v>0</v>
      </c>
      <c r="AF223" s="366">
        <v>6.6609999999999996</v>
      </c>
      <c r="AG223" s="363">
        <v>0</v>
      </c>
      <c r="AH223" s="635" t="s">
        <v>7791</v>
      </c>
      <c r="AI223" s="324"/>
      <c r="AL223" s="487" t="s">
        <v>14360</v>
      </c>
      <c r="AM223" s="477" t="s">
        <v>70</v>
      </c>
      <c r="AN223" s="637">
        <v>100</v>
      </c>
      <c r="AO223" s="478">
        <v>-749</v>
      </c>
      <c r="AP223" s="463">
        <v>-749</v>
      </c>
      <c r="AQ223" s="479">
        <v>0</v>
      </c>
      <c r="AR223" s="476" t="s">
        <v>17133</v>
      </c>
      <c r="BA223" s="313" t="s">
        <v>3047</v>
      </c>
    </row>
    <row r="224" spans="2:53" ht="16.5" customHeight="1">
      <c r="B224" s="367" t="s">
        <v>3120</v>
      </c>
      <c r="C224" s="351" t="s">
        <v>3121</v>
      </c>
      <c r="D224" s="353">
        <v>-794</v>
      </c>
      <c r="E224" s="352" t="s">
        <v>408</v>
      </c>
      <c r="F224" s="341">
        <v>95.86</v>
      </c>
      <c r="G224" s="355" t="s">
        <v>8445</v>
      </c>
      <c r="H224" s="356" t="s">
        <v>8446</v>
      </c>
      <c r="I224" s="354" t="s">
        <v>216</v>
      </c>
      <c r="J224" s="340" t="s">
        <v>8178</v>
      </c>
      <c r="K224" s="339" t="s">
        <v>70</v>
      </c>
      <c r="L224" s="357">
        <v>13</v>
      </c>
      <c r="M224" s="358" t="s">
        <v>8447</v>
      </c>
      <c r="N224" s="359">
        <v>300</v>
      </c>
      <c r="O224" s="360" t="s">
        <v>530</v>
      </c>
      <c r="P224" s="343" t="s">
        <v>530</v>
      </c>
      <c r="Q224" s="342" t="s">
        <v>2688</v>
      </c>
      <c r="R224" s="344">
        <v>25</v>
      </c>
      <c r="S224" s="345">
        <v>45</v>
      </c>
      <c r="T224" s="362">
        <v>30</v>
      </c>
      <c r="U224" s="361">
        <v>95.86</v>
      </c>
      <c r="V224" s="346">
        <v>130.51047271957597</v>
      </c>
      <c r="W224" s="348">
        <v>129.29712723809195</v>
      </c>
      <c r="X224" s="347">
        <v>65.489999999999995</v>
      </c>
      <c r="Y224" s="357" t="s">
        <v>408</v>
      </c>
      <c r="Z224" s="365" t="s">
        <v>2689</v>
      </c>
      <c r="AA224" s="350">
        <v>0</v>
      </c>
      <c r="AB224" s="349" t="s">
        <v>2685</v>
      </c>
      <c r="AC224" s="350">
        <v>0</v>
      </c>
      <c r="AD224" s="349" t="s">
        <v>2685</v>
      </c>
      <c r="AE224" s="364">
        <v>0</v>
      </c>
      <c r="AF224" s="366">
        <v>0</v>
      </c>
      <c r="AG224" s="363">
        <v>0</v>
      </c>
      <c r="AH224" s="635" t="s">
        <v>408</v>
      </c>
      <c r="AI224" s="324"/>
      <c r="AL224" s="487" t="s">
        <v>14362</v>
      </c>
      <c r="AM224" s="477" t="s">
        <v>70</v>
      </c>
      <c r="AN224" s="637" t="s">
        <v>14078</v>
      </c>
      <c r="AO224" s="478">
        <v>-794</v>
      </c>
      <c r="AP224" s="463">
        <v>-794</v>
      </c>
      <c r="AQ224" s="479">
        <v>0</v>
      </c>
      <c r="AR224" s="476" t="s">
        <v>14363</v>
      </c>
      <c r="BA224" s="313" t="s">
        <v>3048</v>
      </c>
    </row>
    <row r="225" spans="2:53" ht="16.5" customHeight="1">
      <c r="B225" s="367" t="s">
        <v>3120</v>
      </c>
      <c r="C225" s="351" t="s">
        <v>3121</v>
      </c>
      <c r="D225" s="353">
        <v>-753</v>
      </c>
      <c r="E225" s="352" t="s">
        <v>408</v>
      </c>
      <c r="F225" s="341">
        <v>95.86</v>
      </c>
      <c r="G225" s="355" t="s">
        <v>8445</v>
      </c>
      <c r="H225" s="356" t="s">
        <v>18424</v>
      </c>
      <c r="I225" s="354" t="s">
        <v>80</v>
      </c>
      <c r="J225" s="340" t="s">
        <v>8448</v>
      </c>
      <c r="K225" s="339" t="s">
        <v>70</v>
      </c>
      <c r="L225" s="357">
        <v>17</v>
      </c>
      <c r="M225" s="358" t="s">
        <v>8449</v>
      </c>
      <c r="N225" s="359">
        <v>1000</v>
      </c>
      <c r="O225" s="360" t="s">
        <v>532</v>
      </c>
      <c r="P225" s="343" t="s">
        <v>533</v>
      </c>
      <c r="Q225" s="342" t="s">
        <v>2688</v>
      </c>
      <c r="R225" s="344">
        <v>25</v>
      </c>
      <c r="S225" s="345">
        <v>40</v>
      </c>
      <c r="T225" s="362">
        <v>25</v>
      </c>
      <c r="U225" s="361">
        <v>95.86</v>
      </c>
      <c r="V225" s="346">
        <v>130.5099909782933</v>
      </c>
      <c r="W225" s="348">
        <v>129.29495940231996</v>
      </c>
      <c r="X225" s="347">
        <v>65.489999999999995</v>
      </c>
      <c r="Y225" s="357">
        <v>67.740000000000009</v>
      </c>
      <c r="Z225" s="365" t="s">
        <v>2689</v>
      </c>
      <c r="AA225" s="350">
        <v>100</v>
      </c>
      <c r="AB225" s="349" t="s">
        <v>2685</v>
      </c>
      <c r="AC225" s="350">
        <v>0</v>
      </c>
      <c r="AD225" s="349" t="s">
        <v>2685</v>
      </c>
      <c r="AE225" s="364">
        <v>0</v>
      </c>
      <c r="AF225" s="366">
        <v>0</v>
      </c>
      <c r="AG225" s="363">
        <v>0</v>
      </c>
      <c r="AH225" s="635" t="s">
        <v>408</v>
      </c>
      <c r="AI225" s="324"/>
      <c r="AL225" s="487" t="s">
        <v>14364</v>
      </c>
      <c r="AM225" s="477" t="s">
        <v>70</v>
      </c>
      <c r="AN225" s="637">
        <v>100</v>
      </c>
      <c r="AO225" s="478">
        <v>-753</v>
      </c>
      <c r="AP225" s="463">
        <v>-753</v>
      </c>
      <c r="AQ225" s="479">
        <v>0</v>
      </c>
      <c r="AR225" s="476" t="s">
        <v>17134</v>
      </c>
      <c r="BA225" s="313" t="s">
        <v>3049</v>
      </c>
    </row>
    <row r="226" spans="2:53" ht="16.5" customHeight="1">
      <c r="B226" s="367" t="s">
        <v>3120</v>
      </c>
      <c r="C226" s="351" t="s">
        <v>3121</v>
      </c>
      <c r="D226" s="353">
        <v>-753</v>
      </c>
      <c r="E226" s="352" t="s">
        <v>408</v>
      </c>
      <c r="F226" s="341">
        <v>95.86</v>
      </c>
      <c r="G226" s="355" t="s">
        <v>3320</v>
      </c>
      <c r="H226" s="356" t="s">
        <v>18424</v>
      </c>
      <c r="I226" s="354" t="s">
        <v>75</v>
      </c>
      <c r="J226" s="340" t="s">
        <v>8450</v>
      </c>
      <c r="K226" s="339" t="s">
        <v>70</v>
      </c>
      <c r="L226" s="357">
        <v>17</v>
      </c>
      <c r="M226" s="358" t="s">
        <v>8451</v>
      </c>
      <c r="N226" s="359">
        <v>1000</v>
      </c>
      <c r="O226" s="360" t="s">
        <v>530</v>
      </c>
      <c r="P226" s="343" t="s">
        <v>531</v>
      </c>
      <c r="Q226" s="342" t="s">
        <v>2688</v>
      </c>
      <c r="R226" s="344">
        <v>31</v>
      </c>
      <c r="S226" s="345">
        <v>38</v>
      </c>
      <c r="T226" s="362">
        <v>31</v>
      </c>
      <c r="U226" s="361">
        <v>95.86</v>
      </c>
      <c r="V226" s="346">
        <v>130.51107059129981</v>
      </c>
      <c r="W226" s="348">
        <v>129.29981766084916</v>
      </c>
      <c r="X226" s="347">
        <v>65.489999999999995</v>
      </c>
      <c r="Y226" s="357">
        <v>66.87</v>
      </c>
      <c r="Z226" s="365" t="s">
        <v>2689</v>
      </c>
      <c r="AA226" s="350">
        <v>0</v>
      </c>
      <c r="AB226" s="349" t="s">
        <v>2685</v>
      </c>
      <c r="AC226" s="350">
        <v>10</v>
      </c>
      <c r="AD226" s="349" t="s">
        <v>2685</v>
      </c>
      <c r="AE226" s="364">
        <v>0</v>
      </c>
      <c r="AF226" s="366">
        <v>0</v>
      </c>
      <c r="AG226" s="363">
        <v>0</v>
      </c>
      <c r="AH226" s="635" t="s">
        <v>408</v>
      </c>
      <c r="AI226" s="324"/>
      <c r="AL226" s="487" t="s">
        <v>14365</v>
      </c>
      <c r="AM226" s="477" t="s">
        <v>70</v>
      </c>
      <c r="AN226" s="637">
        <v>100</v>
      </c>
      <c r="AO226" s="478">
        <v>-753</v>
      </c>
      <c r="AP226" s="463">
        <v>-753</v>
      </c>
      <c r="AQ226" s="479">
        <v>0</v>
      </c>
      <c r="AR226" s="476" t="s">
        <v>17134</v>
      </c>
      <c r="BA226" s="313" t="s">
        <v>3050</v>
      </c>
    </row>
    <row r="227" spans="2:53" ht="16.5" customHeight="1">
      <c r="B227" s="367" t="s">
        <v>3078</v>
      </c>
      <c r="C227" s="351" t="s">
        <v>3079</v>
      </c>
      <c r="D227" s="353">
        <v>-400</v>
      </c>
      <c r="E227" s="352" t="s">
        <v>408</v>
      </c>
      <c r="F227" s="341">
        <v>95.86</v>
      </c>
      <c r="G227" s="355" t="s">
        <v>18425</v>
      </c>
      <c r="H227" s="356" t="s">
        <v>18426</v>
      </c>
      <c r="I227" s="354" t="s">
        <v>196</v>
      </c>
      <c r="J227" s="340" t="s">
        <v>499</v>
      </c>
      <c r="K227" s="339" t="s">
        <v>71</v>
      </c>
      <c r="L227" s="357">
        <v>6</v>
      </c>
      <c r="M227" s="358" t="s">
        <v>8407</v>
      </c>
      <c r="N227" s="359">
        <v>600</v>
      </c>
      <c r="O227" s="360" t="s">
        <v>530</v>
      </c>
      <c r="P227" s="343" t="s">
        <v>530</v>
      </c>
      <c r="Q227" s="342" t="s">
        <v>2688</v>
      </c>
      <c r="R227" s="344">
        <v>33</v>
      </c>
      <c r="S227" s="345">
        <v>40</v>
      </c>
      <c r="T227" s="362">
        <v>27</v>
      </c>
      <c r="U227" s="361">
        <v>95.86</v>
      </c>
      <c r="V227" s="346">
        <v>130.51176898173247</v>
      </c>
      <c r="W227" s="348">
        <v>129.30296041779613</v>
      </c>
      <c r="X227" s="347">
        <v>66.02</v>
      </c>
      <c r="Y227" s="357" t="s">
        <v>408</v>
      </c>
      <c r="Z227" s="365" t="s">
        <v>2689</v>
      </c>
      <c r="AA227" s="350">
        <v>0</v>
      </c>
      <c r="AB227" s="349" t="s">
        <v>2685</v>
      </c>
      <c r="AC227" s="350">
        <v>0</v>
      </c>
      <c r="AD227" s="349" t="s">
        <v>2685</v>
      </c>
      <c r="AE227" s="364">
        <v>0</v>
      </c>
      <c r="AF227" s="366">
        <v>0</v>
      </c>
      <c r="AG227" s="363">
        <v>0</v>
      </c>
      <c r="AH227" s="635" t="s">
        <v>408</v>
      </c>
      <c r="AI227" s="324"/>
      <c r="AL227" s="487" t="s">
        <v>14366</v>
      </c>
      <c r="AM227" s="477" t="s">
        <v>71</v>
      </c>
      <c r="AN227" s="637" t="s">
        <v>7148</v>
      </c>
      <c r="AO227" s="478">
        <v>-400</v>
      </c>
      <c r="AP227" s="463">
        <v>-318</v>
      </c>
      <c r="AQ227" s="479">
        <v>-82</v>
      </c>
      <c r="AR227" s="476" t="s">
        <v>16841</v>
      </c>
      <c r="BA227" s="313" t="s">
        <v>3053</v>
      </c>
    </row>
    <row r="228" spans="2:53" ht="16.5" customHeight="1">
      <c r="B228" s="367" t="s">
        <v>3123</v>
      </c>
      <c r="C228" s="351" t="s">
        <v>3124</v>
      </c>
      <c r="D228" s="353">
        <v>-794</v>
      </c>
      <c r="E228" s="352" t="s">
        <v>408</v>
      </c>
      <c r="F228" s="341">
        <v>95.85</v>
      </c>
      <c r="G228" s="355" t="s">
        <v>3326</v>
      </c>
      <c r="H228" s="356" t="s">
        <v>18427</v>
      </c>
      <c r="I228" s="354" t="s">
        <v>73</v>
      </c>
      <c r="J228" s="340" t="s">
        <v>8168</v>
      </c>
      <c r="K228" s="339" t="s">
        <v>70</v>
      </c>
      <c r="L228" s="357">
        <v>48</v>
      </c>
      <c r="M228" s="358" t="s">
        <v>8452</v>
      </c>
      <c r="N228" s="359">
        <v>1000</v>
      </c>
      <c r="O228" s="360" t="s">
        <v>530</v>
      </c>
      <c r="P228" s="343" t="s">
        <v>531</v>
      </c>
      <c r="Q228" s="342" t="s">
        <v>2688</v>
      </c>
      <c r="R228" s="344">
        <v>22</v>
      </c>
      <c r="S228" s="345">
        <v>33</v>
      </c>
      <c r="T228" s="362">
        <v>33</v>
      </c>
      <c r="U228" s="361">
        <v>95.85</v>
      </c>
      <c r="V228" s="346">
        <v>130.49868937988464</v>
      </c>
      <c r="W228" s="348">
        <v>129.24410220948096</v>
      </c>
      <c r="X228" s="347">
        <v>65.489999999999995</v>
      </c>
      <c r="Y228" s="357">
        <v>66.600000000000009</v>
      </c>
      <c r="Z228" s="365" t="s">
        <v>2689</v>
      </c>
      <c r="AA228" s="350">
        <v>111.11</v>
      </c>
      <c r="AB228" s="349" t="s">
        <v>2685</v>
      </c>
      <c r="AC228" s="350">
        <v>0</v>
      </c>
      <c r="AD228" s="349" t="s">
        <v>2685</v>
      </c>
      <c r="AE228" s="364">
        <v>0</v>
      </c>
      <c r="AF228" s="366">
        <v>6.66</v>
      </c>
      <c r="AG228" s="363">
        <v>0</v>
      </c>
      <c r="AH228" s="635" t="s">
        <v>7791</v>
      </c>
      <c r="AI228" s="324"/>
      <c r="AL228" s="487" t="s">
        <v>14367</v>
      </c>
      <c r="AM228" s="477" t="s">
        <v>70</v>
      </c>
      <c r="AN228" s="637">
        <v>100</v>
      </c>
      <c r="AO228" s="478">
        <v>-794</v>
      </c>
      <c r="AP228" s="463">
        <v>-794</v>
      </c>
      <c r="AQ228" s="479">
        <v>0</v>
      </c>
      <c r="AR228" s="476" t="s">
        <v>14368</v>
      </c>
      <c r="BA228" s="313" t="s">
        <v>3055</v>
      </c>
    </row>
    <row r="229" spans="2:53" ht="16.5" customHeight="1">
      <c r="B229" s="367" t="s">
        <v>8453</v>
      </c>
      <c r="C229" s="351" t="s">
        <v>8454</v>
      </c>
      <c r="D229" s="353">
        <v>-795</v>
      </c>
      <c r="E229" s="352" t="s">
        <v>408</v>
      </c>
      <c r="F229" s="341">
        <v>95.84</v>
      </c>
      <c r="G229" s="355" t="s">
        <v>3301</v>
      </c>
      <c r="H229" s="356" t="s">
        <v>3171</v>
      </c>
      <c r="I229" s="354" t="s">
        <v>73</v>
      </c>
      <c r="J229" s="340" t="s">
        <v>8456</v>
      </c>
      <c r="K229" s="339" t="s">
        <v>71</v>
      </c>
      <c r="L229" s="357">
        <v>23</v>
      </c>
      <c r="M229" s="358" t="s">
        <v>8457</v>
      </c>
      <c r="N229" s="359">
        <v>900</v>
      </c>
      <c r="O229" s="360" t="s">
        <v>530</v>
      </c>
      <c r="P229" s="343" t="s">
        <v>531</v>
      </c>
      <c r="Q229" s="342" t="s">
        <v>2688</v>
      </c>
      <c r="R229" s="344">
        <v>33</v>
      </c>
      <c r="S229" s="345">
        <v>33</v>
      </c>
      <c r="T229" s="362">
        <v>17</v>
      </c>
      <c r="U229" s="361">
        <v>95.84</v>
      </c>
      <c r="V229" s="346">
        <v>130.4894667544437</v>
      </c>
      <c r="W229" s="348">
        <v>129.20260039499672</v>
      </c>
      <c r="X229" s="347">
        <v>66</v>
      </c>
      <c r="Y229" s="357">
        <v>66.59</v>
      </c>
      <c r="Z229" s="365" t="s">
        <v>2689</v>
      </c>
      <c r="AA229" s="350">
        <v>150</v>
      </c>
      <c r="AB229" s="349" t="s">
        <v>2685</v>
      </c>
      <c r="AC229" s="350">
        <v>0</v>
      </c>
      <c r="AD229" s="349" t="s">
        <v>2685</v>
      </c>
      <c r="AE229" s="364">
        <v>0</v>
      </c>
      <c r="AF229" s="366">
        <v>0</v>
      </c>
      <c r="AG229" s="363">
        <v>0</v>
      </c>
      <c r="AH229" s="635" t="s">
        <v>408</v>
      </c>
      <c r="AI229" s="324"/>
      <c r="AL229" s="487" t="s">
        <v>14369</v>
      </c>
      <c r="AM229" s="477" t="s">
        <v>71</v>
      </c>
      <c r="AN229" s="637">
        <v>100</v>
      </c>
      <c r="AO229" s="478">
        <v>-795</v>
      </c>
      <c r="AP229" s="463">
        <v>-621</v>
      </c>
      <c r="AQ229" s="479">
        <v>-174</v>
      </c>
      <c r="AR229" s="476" t="s">
        <v>16842</v>
      </c>
      <c r="BA229" s="313" t="s">
        <v>3056</v>
      </c>
    </row>
    <row r="230" spans="2:53" ht="16.5" customHeight="1">
      <c r="B230" s="367" t="s">
        <v>8458</v>
      </c>
      <c r="C230" s="351" t="s">
        <v>8459</v>
      </c>
      <c r="D230" s="353">
        <v>-797</v>
      </c>
      <c r="E230" s="352" t="s">
        <v>408</v>
      </c>
      <c r="F230" s="341">
        <v>95.83</v>
      </c>
      <c r="G230" s="355" t="s">
        <v>8460</v>
      </c>
      <c r="H230" s="356" t="s">
        <v>18428</v>
      </c>
      <c r="I230" s="354" t="s">
        <v>215</v>
      </c>
      <c r="J230" s="340" t="s">
        <v>8461</v>
      </c>
      <c r="K230" s="339" t="s">
        <v>70</v>
      </c>
      <c r="L230" s="357">
        <v>12</v>
      </c>
      <c r="M230" s="358" t="s">
        <v>8462</v>
      </c>
      <c r="N230" s="359">
        <v>1000</v>
      </c>
      <c r="O230" s="360" t="s">
        <v>530</v>
      </c>
      <c r="P230" s="343" t="s">
        <v>531</v>
      </c>
      <c r="Q230" s="342" t="s">
        <v>2688</v>
      </c>
      <c r="R230" s="344">
        <v>25</v>
      </c>
      <c r="S230" s="345">
        <v>38</v>
      </c>
      <c r="T230" s="362">
        <v>25</v>
      </c>
      <c r="U230" s="361">
        <v>95.83</v>
      </c>
      <c r="V230" s="346">
        <v>130.47225292947158</v>
      </c>
      <c r="W230" s="348">
        <v>129.12513818262215</v>
      </c>
      <c r="X230" s="347">
        <v>65.47</v>
      </c>
      <c r="Y230" s="357">
        <v>66.850000000000009</v>
      </c>
      <c r="Z230" s="365" t="s">
        <v>3017</v>
      </c>
      <c r="AA230" s="350">
        <v>121.25</v>
      </c>
      <c r="AB230" s="349" t="s">
        <v>2685</v>
      </c>
      <c r="AC230" s="350">
        <v>10</v>
      </c>
      <c r="AD230" s="349" t="s">
        <v>2685</v>
      </c>
      <c r="AE230" s="364">
        <v>0</v>
      </c>
      <c r="AF230" s="366">
        <v>0</v>
      </c>
      <c r="AG230" s="363">
        <v>0</v>
      </c>
      <c r="AH230" s="635" t="s">
        <v>408</v>
      </c>
      <c r="AI230" s="324"/>
      <c r="AL230" s="487" t="s">
        <v>14370</v>
      </c>
      <c r="AM230" s="477" t="s">
        <v>70</v>
      </c>
      <c r="AN230" s="637">
        <v>100</v>
      </c>
      <c r="AO230" s="478">
        <v>-797</v>
      </c>
      <c r="AP230" s="463">
        <v>-797</v>
      </c>
      <c r="AQ230" s="479">
        <v>0</v>
      </c>
      <c r="AR230" s="476" t="s">
        <v>17135</v>
      </c>
      <c r="BA230" s="313" t="s">
        <v>3058</v>
      </c>
    </row>
    <row r="231" spans="2:53" ht="16.5" customHeight="1">
      <c r="B231" s="367" t="s">
        <v>8463</v>
      </c>
      <c r="C231" s="351" t="s">
        <v>8464</v>
      </c>
      <c r="D231" s="353">
        <v>-800</v>
      </c>
      <c r="E231" s="352" t="s">
        <v>408</v>
      </c>
      <c r="F231" s="341">
        <v>95.81</v>
      </c>
      <c r="G231" s="355" t="s">
        <v>8465</v>
      </c>
      <c r="H231" s="356" t="s">
        <v>18429</v>
      </c>
      <c r="I231" s="354" t="s">
        <v>226</v>
      </c>
      <c r="J231" s="340" t="s">
        <v>198</v>
      </c>
      <c r="K231" s="339" t="s">
        <v>70</v>
      </c>
      <c r="L231" s="357">
        <v>15</v>
      </c>
      <c r="M231" s="358" t="s">
        <v>8466</v>
      </c>
      <c r="N231" s="359">
        <v>100</v>
      </c>
      <c r="O231" s="360" t="s">
        <v>532</v>
      </c>
      <c r="P231" s="343" t="s">
        <v>533</v>
      </c>
      <c r="Q231" s="342" t="s">
        <v>2688</v>
      </c>
      <c r="R231" s="344">
        <v>20</v>
      </c>
      <c r="S231" s="345">
        <v>30</v>
      </c>
      <c r="T231" s="362">
        <v>30</v>
      </c>
      <c r="U231" s="361">
        <v>95.81</v>
      </c>
      <c r="V231" s="346">
        <v>130.45611053004538</v>
      </c>
      <c r="W231" s="348">
        <v>129.05249738520428</v>
      </c>
      <c r="X231" s="347">
        <v>65.459999999999994</v>
      </c>
      <c r="Y231" s="357">
        <v>66.83</v>
      </c>
      <c r="Z231" s="365" t="s">
        <v>2689</v>
      </c>
      <c r="AA231" s="350">
        <v>20</v>
      </c>
      <c r="AB231" s="349" t="s">
        <v>2685</v>
      </c>
      <c r="AC231" s="350">
        <v>0</v>
      </c>
      <c r="AD231" s="349" t="s">
        <v>2685</v>
      </c>
      <c r="AE231" s="364">
        <v>0</v>
      </c>
      <c r="AF231" s="366">
        <v>0.71499999999999997</v>
      </c>
      <c r="AG231" s="363">
        <v>0</v>
      </c>
      <c r="AH231" s="635" t="s">
        <v>8467</v>
      </c>
      <c r="AI231" s="324"/>
      <c r="AL231" s="487" t="s">
        <v>7190</v>
      </c>
      <c r="AM231" s="477" t="s">
        <v>70</v>
      </c>
      <c r="AN231" s="637">
        <v>100</v>
      </c>
      <c r="AO231" s="478">
        <v>-800</v>
      </c>
      <c r="AP231" s="463">
        <v>-800</v>
      </c>
      <c r="AQ231" s="479">
        <v>0</v>
      </c>
      <c r="AR231" s="476" t="s">
        <v>14371</v>
      </c>
      <c r="BA231" s="313" t="s">
        <v>3059</v>
      </c>
    </row>
    <row r="232" spans="2:53" ht="16.5" customHeight="1">
      <c r="B232" s="367" t="s">
        <v>8468</v>
      </c>
      <c r="C232" s="351" t="s">
        <v>8469</v>
      </c>
      <c r="D232" s="353">
        <v>-800</v>
      </c>
      <c r="E232" s="352" t="s">
        <v>408</v>
      </c>
      <c r="F232" s="341">
        <v>95.81</v>
      </c>
      <c r="G232" s="355" t="s">
        <v>8470</v>
      </c>
      <c r="H232" s="356" t="s">
        <v>3191</v>
      </c>
      <c r="I232" s="354" t="s">
        <v>80</v>
      </c>
      <c r="J232" s="340" t="s">
        <v>8471</v>
      </c>
      <c r="K232" s="339" t="s">
        <v>70</v>
      </c>
      <c r="L232" s="357">
        <v>12</v>
      </c>
      <c r="M232" s="358" t="s">
        <v>8472</v>
      </c>
      <c r="N232" s="359">
        <v>1000</v>
      </c>
      <c r="O232" s="360" t="s">
        <v>532</v>
      </c>
      <c r="P232" s="343" t="s">
        <v>533</v>
      </c>
      <c r="Q232" s="342" t="s">
        <v>2688</v>
      </c>
      <c r="R232" s="344">
        <v>25</v>
      </c>
      <c r="S232" s="345">
        <v>40</v>
      </c>
      <c r="T232" s="362">
        <v>25</v>
      </c>
      <c r="U232" s="361">
        <v>95.81</v>
      </c>
      <c r="V232" s="346">
        <v>130.45188669250106</v>
      </c>
      <c r="W232" s="348">
        <v>129.0334901162548</v>
      </c>
      <c r="X232" s="347">
        <v>65.459999999999994</v>
      </c>
      <c r="Y232" s="357">
        <v>67.72</v>
      </c>
      <c r="Z232" s="365" t="s">
        <v>2689</v>
      </c>
      <c r="AA232" s="350">
        <v>100</v>
      </c>
      <c r="AB232" s="349" t="s">
        <v>2685</v>
      </c>
      <c r="AC232" s="350">
        <v>0</v>
      </c>
      <c r="AD232" s="349" t="s">
        <v>2685</v>
      </c>
      <c r="AE232" s="364">
        <v>0</v>
      </c>
      <c r="AF232" s="366">
        <v>0</v>
      </c>
      <c r="AG232" s="363">
        <v>0</v>
      </c>
      <c r="AH232" s="635" t="s">
        <v>408</v>
      </c>
      <c r="AI232" s="324"/>
      <c r="AL232" s="487" t="s">
        <v>14372</v>
      </c>
      <c r="AM232" s="477" t="s">
        <v>70</v>
      </c>
      <c r="AN232" s="637">
        <v>100</v>
      </c>
      <c r="AO232" s="478">
        <v>-800</v>
      </c>
      <c r="AP232" s="463">
        <v>-800</v>
      </c>
      <c r="AQ232" s="479">
        <v>0</v>
      </c>
      <c r="AR232" s="476" t="s">
        <v>14373</v>
      </c>
      <c r="BA232" s="313" t="s">
        <v>3060</v>
      </c>
    </row>
    <row r="233" spans="2:53" ht="16.5" customHeight="1">
      <c r="B233" s="367" t="s">
        <v>3131</v>
      </c>
      <c r="C233" s="351" t="s">
        <v>3132</v>
      </c>
      <c r="D233" s="353">
        <v>-802</v>
      </c>
      <c r="E233" s="352" t="s">
        <v>408</v>
      </c>
      <c r="F233" s="341">
        <v>95.8</v>
      </c>
      <c r="G233" s="355" t="s">
        <v>3340</v>
      </c>
      <c r="H233" s="356" t="s">
        <v>18430</v>
      </c>
      <c r="I233" s="354" t="s">
        <v>73</v>
      </c>
      <c r="J233" s="340" t="s">
        <v>8473</v>
      </c>
      <c r="K233" s="339" t="s">
        <v>71</v>
      </c>
      <c r="L233" s="357">
        <v>10</v>
      </c>
      <c r="M233" s="358" t="s">
        <v>8474</v>
      </c>
      <c r="N233" s="359">
        <v>1000</v>
      </c>
      <c r="O233" s="360" t="s">
        <v>530</v>
      </c>
      <c r="P233" s="343" t="s">
        <v>531</v>
      </c>
      <c r="Q233" s="342" t="s">
        <v>2688</v>
      </c>
      <c r="R233" s="344">
        <v>33</v>
      </c>
      <c r="S233" s="345">
        <v>33</v>
      </c>
      <c r="T233" s="362">
        <v>17</v>
      </c>
      <c r="U233" s="361">
        <v>95.8</v>
      </c>
      <c r="V233" s="346">
        <v>130.44184168012922</v>
      </c>
      <c r="W233" s="348">
        <v>128.99765751211632</v>
      </c>
      <c r="X233" s="347">
        <v>65.459999999999994</v>
      </c>
      <c r="Y233" s="357">
        <v>66.570000000000007</v>
      </c>
      <c r="Z233" s="365" t="s">
        <v>2689</v>
      </c>
      <c r="AA233" s="350">
        <v>166.67</v>
      </c>
      <c r="AB233" s="349" t="s">
        <v>2685</v>
      </c>
      <c r="AC233" s="350">
        <v>0</v>
      </c>
      <c r="AD233" s="349" t="s">
        <v>2685</v>
      </c>
      <c r="AE233" s="364">
        <v>0</v>
      </c>
      <c r="AF233" s="366">
        <v>0</v>
      </c>
      <c r="AG233" s="363">
        <v>0</v>
      </c>
      <c r="AH233" s="635" t="s">
        <v>408</v>
      </c>
      <c r="AI233" s="324"/>
      <c r="AL233" s="487" t="s">
        <v>14374</v>
      </c>
      <c r="AM233" s="477" t="s">
        <v>71</v>
      </c>
      <c r="AN233" s="637">
        <v>100</v>
      </c>
      <c r="AO233" s="478">
        <v>-802</v>
      </c>
      <c r="AP233" s="463">
        <v>-611</v>
      </c>
      <c r="AQ233" s="479">
        <v>-191</v>
      </c>
      <c r="AR233" s="476" t="s">
        <v>16843</v>
      </c>
      <c r="BA233" s="313" t="s">
        <v>3061</v>
      </c>
    </row>
    <row r="234" spans="2:53" ht="16.5" customHeight="1">
      <c r="B234" s="367" t="s">
        <v>8475</v>
      </c>
      <c r="C234" s="351" t="s">
        <v>8476</v>
      </c>
      <c r="D234" s="353">
        <v>-807</v>
      </c>
      <c r="E234" s="352" t="s">
        <v>408</v>
      </c>
      <c r="F234" s="341">
        <v>95.78</v>
      </c>
      <c r="G234" s="355" t="s">
        <v>3324</v>
      </c>
      <c r="H234" s="356" t="s">
        <v>3196</v>
      </c>
      <c r="I234" s="354" t="s">
        <v>75</v>
      </c>
      <c r="J234" s="340" t="s">
        <v>8478</v>
      </c>
      <c r="K234" s="339" t="s">
        <v>70</v>
      </c>
      <c r="L234" s="357">
        <v>31</v>
      </c>
      <c r="M234" s="358" t="s">
        <v>8479</v>
      </c>
      <c r="N234" s="359">
        <v>1000</v>
      </c>
      <c r="O234" s="360" t="s">
        <v>530</v>
      </c>
      <c r="P234" s="343" t="s">
        <v>531</v>
      </c>
      <c r="Q234" s="342" t="s">
        <v>2688</v>
      </c>
      <c r="R234" s="344">
        <v>31</v>
      </c>
      <c r="S234" s="345">
        <v>38</v>
      </c>
      <c r="T234" s="362">
        <v>31</v>
      </c>
      <c r="U234" s="361">
        <v>95.78</v>
      </c>
      <c r="V234" s="346">
        <v>130.41953543776057</v>
      </c>
      <c r="W234" s="348">
        <v>128.97758189398451</v>
      </c>
      <c r="X234" s="347">
        <v>65.44</v>
      </c>
      <c r="Y234" s="357">
        <v>66.81</v>
      </c>
      <c r="Z234" s="365" t="s">
        <v>2689</v>
      </c>
      <c r="AA234" s="350">
        <v>0</v>
      </c>
      <c r="AB234" s="349" t="s">
        <v>2685</v>
      </c>
      <c r="AC234" s="350">
        <v>10</v>
      </c>
      <c r="AD234" s="349" t="s">
        <v>2685</v>
      </c>
      <c r="AE234" s="364">
        <v>0</v>
      </c>
      <c r="AF234" s="366">
        <v>0</v>
      </c>
      <c r="AG234" s="363">
        <v>0</v>
      </c>
      <c r="AH234" s="635" t="s">
        <v>408</v>
      </c>
      <c r="AI234" s="324"/>
      <c r="AL234" s="487" t="s">
        <v>14375</v>
      </c>
      <c r="AM234" s="477" t="s">
        <v>70</v>
      </c>
      <c r="AN234" s="637">
        <v>100</v>
      </c>
      <c r="AO234" s="478">
        <v>-807</v>
      </c>
      <c r="AP234" s="463">
        <v>-807</v>
      </c>
      <c r="AQ234" s="479">
        <v>0</v>
      </c>
      <c r="AR234" s="476" t="s">
        <v>14376</v>
      </c>
      <c r="BA234" s="313" t="s">
        <v>3062</v>
      </c>
    </row>
    <row r="235" spans="2:53" ht="16.5" customHeight="1">
      <c r="B235" s="367" t="s">
        <v>8475</v>
      </c>
      <c r="C235" s="351" t="s">
        <v>8476</v>
      </c>
      <c r="D235" s="353">
        <v>-810</v>
      </c>
      <c r="E235" s="352" t="s">
        <v>408</v>
      </c>
      <c r="F235" s="341">
        <v>95.78</v>
      </c>
      <c r="G235" s="355" t="s">
        <v>3324</v>
      </c>
      <c r="H235" s="356" t="s">
        <v>8477</v>
      </c>
      <c r="I235" s="354" t="s">
        <v>75</v>
      </c>
      <c r="J235" s="340" t="s">
        <v>8480</v>
      </c>
      <c r="K235" s="339" t="s">
        <v>70</v>
      </c>
      <c r="L235" s="357">
        <v>24</v>
      </c>
      <c r="M235" s="358" t="s">
        <v>8479</v>
      </c>
      <c r="N235" s="359">
        <v>1000</v>
      </c>
      <c r="O235" s="360" t="s">
        <v>530</v>
      </c>
      <c r="P235" s="343" t="s">
        <v>531</v>
      </c>
      <c r="Q235" s="342" t="s">
        <v>2688</v>
      </c>
      <c r="R235" s="344">
        <v>31</v>
      </c>
      <c r="S235" s="345">
        <v>38</v>
      </c>
      <c r="T235" s="362">
        <v>31</v>
      </c>
      <c r="U235" s="361">
        <v>95.78</v>
      </c>
      <c r="V235" s="346">
        <v>130.41953543776057</v>
      </c>
      <c r="W235" s="348">
        <v>128.97758189398451</v>
      </c>
      <c r="X235" s="347">
        <v>65.44</v>
      </c>
      <c r="Y235" s="357">
        <v>66.81</v>
      </c>
      <c r="Z235" s="365" t="s">
        <v>2689</v>
      </c>
      <c r="AA235" s="350">
        <v>0</v>
      </c>
      <c r="AB235" s="349" t="s">
        <v>2685</v>
      </c>
      <c r="AC235" s="350">
        <v>10</v>
      </c>
      <c r="AD235" s="349" t="s">
        <v>2685</v>
      </c>
      <c r="AE235" s="364">
        <v>0</v>
      </c>
      <c r="AF235" s="366">
        <v>0</v>
      </c>
      <c r="AG235" s="363">
        <v>0</v>
      </c>
      <c r="AH235" s="635" t="s">
        <v>408</v>
      </c>
      <c r="AI235" s="324"/>
      <c r="AL235" s="487" t="s">
        <v>14377</v>
      </c>
      <c r="AM235" s="477" t="s">
        <v>70</v>
      </c>
      <c r="AN235" s="637">
        <v>100</v>
      </c>
      <c r="AO235" s="478">
        <v>-810</v>
      </c>
      <c r="AP235" s="463">
        <v>-810</v>
      </c>
      <c r="AQ235" s="479">
        <v>0</v>
      </c>
      <c r="AR235" s="476" t="s">
        <v>14376</v>
      </c>
      <c r="BA235" s="313" t="s">
        <v>3065</v>
      </c>
    </row>
    <row r="236" spans="2:53" ht="16.5" customHeight="1">
      <c r="B236" s="367" t="s">
        <v>3134</v>
      </c>
      <c r="C236" s="351" t="s">
        <v>3135</v>
      </c>
      <c r="D236" s="353">
        <v>-809</v>
      </c>
      <c r="E236" s="352" t="s">
        <v>8455</v>
      </c>
      <c r="F236" s="341">
        <v>95.76</v>
      </c>
      <c r="G236" s="355" t="s">
        <v>8481</v>
      </c>
      <c r="H236" s="356" t="s">
        <v>18431</v>
      </c>
      <c r="I236" s="354" t="s">
        <v>75</v>
      </c>
      <c r="J236" s="340" t="s">
        <v>8482</v>
      </c>
      <c r="K236" s="339" t="s">
        <v>70</v>
      </c>
      <c r="L236" s="357">
        <v>8</v>
      </c>
      <c r="M236" s="358" t="s">
        <v>8483</v>
      </c>
      <c r="N236" s="359">
        <v>1000</v>
      </c>
      <c r="O236" s="360" t="s">
        <v>530</v>
      </c>
      <c r="P236" s="343" t="s">
        <v>531</v>
      </c>
      <c r="Q236" s="342" t="s">
        <v>2688</v>
      </c>
      <c r="R236" s="344">
        <v>31</v>
      </c>
      <c r="S236" s="345">
        <v>38</v>
      </c>
      <c r="T236" s="362">
        <v>31</v>
      </c>
      <c r="U236" s="361">
        <v>95.76</v>
      </c>
      <c r="V236" s="346">
        <v>130.40428826682546</v>
      </c>
      <c r="W236" s="348">
        <v>128.96385944014295</v>
      </c>
      <c r="X236" s="347">
        <v>65.44</v>
      </c>
      <c r="Y236" s="357">
        <v>66.790000000000006</v>
      </c>
      <c r="Z236" s="365" t="s">
        <v>2689</v>
      </c>
      <c r="AA236" s="350">
        <v>0</v>
      </c>
      <c r="AB236" s="349" t="s">
        <v>2685</v>
      </c>
      <c r="AC236" s="350">
        <v>10</v>
      </c>
      <c r="AD236" s="349" t="s">
        <v>2685</v>
      </c>
      <c r="AE236" s="364">
        <v>0</v>
      </c>
      <c r="AF236" s="366">
        <v>0</v>
      </c>
      <c r="AG236" s="363">
        <v>0</v>
      </c>
      <c r="AH236" s="635" t="s">
        <v>408</v>
      </c>
      <c r="AI236" s="324"/>
      <c r="AL236" s="487" t="s">
        <v>14378</v>
      </c>
      <c r="AM236" s="477" t="s">
        <v>70</v>
      </c>
      <c r="AN236" s="637">
        <v>100</v>
      </c>
      <c r="AO236" s="478">
        <v>-809</v>
      </c>
      <c r="AP236" s="463">
        <v>-809</v>
      </c>
      <c r="AQ236" s="479">
        <v>0</v>
      </c>
      <c r="AR236" s="476" t="s">
        <v>14379</v>
      </c>
      <c r="BA236" s="313" t="s">
        <v>3066</v>
      </c>
    </row>
    <row r="237" spans="2:53" ht="16.5" customHeight="1">
      <c r="B237" s="367" t="s">
        <v>3142</v>
      </c>
      <c r="C237" s="351" t="s">
        <v>3143</v>
      </c>
      <c r="D237" s="353">
        <v>-809</v>
      </c>
      <c r="E237" s="352" t="s">
        <v>408</v>
      </c>
      <c r="F237" s="341">
        <v>95.72</v>
      </c>
      <c r="G237" s="355" t="s">
        <v>8484</v>
      </c>
      <c r="H237" s="356" t="s">
        <v>3211</v>
      </c>
      <c r="I237" s="354" t="s">
        <v>220</v>
      </c>
      <c r="J237" s="340" t="s">
        <v>198</v>
      </c>
      <c r="K237" s="339" t="s">
        <v>70</v>
      </c>
      <c r="L237" s="357">
        <v>21</v>
      </c>
      <c r="M237" s="358" t="s">
        <v>8485</v>
      </c>
      <c r="N237" s="359">
        <v>1000</v>
      </c>
      <c r="O237" s="360" t="s">
        <v>454</v>
      </c>
      <c r="P237" s="343" t="s">
        <v>454</v>
      </c>
      <c r="Q237" s="342" t="s">
        <v>2688</v>
      </c>
      <c r="R237" s="344">
        <v>25</v>
      </c>
      <c r="S237" s="345">
        <v>30</v>
      </c>
      <c r="T237" s="362">
        <v>20</v>
      </c>
      <c r="U237" s="361">
        <v>95.72</v>
      </c>
      <c r="V237" s="346">
        <v>130.35538261997405</v>
      </c>
      <c r="W237" s="348">
        <v>128.91984435797667</v>
      </c>
      <c r="X237" s="347">
        <v>65.41</v>
      </c>
      <c r="Y237" s="357" t="s">
        <v>408</v>
      </c>
      <c r="Z237" s="365" t="s">
        <v>2689</v>
      </c>
      <c r="AA237" s="350">
        <v>245</v>
      </c>
      <c r="AB237" s="349" t="s">
        <v>2685</v>
      </c>
      <c r="AC237" s="350">
        <v>0</v>
      </c>
      <c r="AD237" s="349" t="s">
        <v>2685</v>
      </c>
      <c r="AE237" s="364">
        <v>0</v>
      </c>
      <c r="AF237" s="366">
        <v>20.100999999999999</v>
      </c>
      <c r="AG237" s="363">
        <v>0</v>
      </c>
      <c r="AH237" s="635" t="s">
        <v>8486</v>
      </c>
      <c r="AI237" s="324"/>
      <c r="AL237" s="487" t="s">
        <v>7187</v>
      </c>
      <c r="AM237" s="477" t="s">
        <v>70</v>
      </c>
      <c r="AN237" s="637">
        <v>100</v>
      </c>
      <c r="AO237" s="478">
        <v>-809</v>
      </c>
      <c r="AP237" s="463">
        <v>-809</v>
      </c>
      <c r="AQ237" s="479">
        <v>0</v>
      </c>
      <c r="AR237" s="476" t="s">
        <v>14380</v>
      </c>
      <c r="BA237" s="313" t="s">
        <v>3067</v>
      </c>
    </row>
    <row r="238" spans="2:53" ht="16.5" customHeight="1">
      <c r="B238" s="367" t="s">
        <v>8487</v>
      </c>
      <c r="C238" s="351" t="s">
        <v>8488</v>
      </c>
      <c r="D238" s="353">
        <v>-812</v>
      </c>
      <c r="E238" s="352" t="s">
        <v>408</v>
      </c>
      <c r="F238" s="341">
        <v>95.7</v>
      </c>
      <c r="G238" s="355" t="s">
        <v>8489</v>
      </c>
      <c r="H238" s="356" t="s">
        <v>8490</v>
      </c>
      <c r="I238" s="354" t="s">
        <v>77</v>
      </c>
      <c r="J238" s="340" t="s">
        <v>8491</v>
      </c>
      <c r="K238" s="339" t="s">
        <v>70</v>
      </c>
      <c r="L238" s="357">
        <v>28</v>
      </c>
      <c r="M238" s="358" t="s">
        <v>8492</v>
      </c>
      <c r="N238" s="359">
        <v>1000</v>
      </c>
      <c r="O238" s="360" t="s">
        <v>530</v>
      </c>
      <c r="P238" s="343" t="s">
        <v>531</v>
      </c>
      <c r="Q238" s="342" t="s">
        <v>2688</v>
      </c>
      <c r="R238" s="344">
        <v>20</v>
      </c>
      <c r="S238" s="345">
        <v>40</v>
      </c>
      <c r="T238" s="362">
        <v>30</v>
      </c>
      <c r="U238" s="361">
        <v>95.7</v>
      </c>
      <c r="V238" s="346">
        <v>130.33523574022763</v>
      </c>
      <c r="W238" s="348">
        <v>128.90171216620487</v>
      </c>
      <c r="X238" s="347">
        <v>65.400000000000006</v>
      </c>
      <c r="Y238" s="357">
        <v>66.45</v>
      </c>
      <c r="Z238" s="365" t="s">
        <v>2689</v>
      </c>
      <c r="AA238" s="350">
        <v>63.5</v>
      </c>
      <c r="AB238" s="349" t="s">
        <v>2685</v>
      </c>
      <c r="AC238" s="350">
        <v>0</v>
      </c>
      <c r="AD238" s="349" t="s">
        <v>2685</v>
      </c>
      <c r="AE238" s="364">
        <v>0</v>
      </c>
      <c r="AF238" s="366">
        <v>9.968</v>
      </c>
      <c r="AG238" s="363">
        <v>0</v>
      </c>
      <c r="AH238" s="635" t="s">
        <v>7787</v>
      </c>
      <c r="AI238" s="324"/>
      <c r="AL238" s="487" t="s">
        <v>14381</v>
      </c>
      <c r="AM238" s="477" t="s">
        <v>70</v>
      </c>
      <c r="AN238" s="637">
        <v>100</v>
      </c>
      <c r="AO238" s="478">
        <v>-812</v>
      </c>
      <c r="AP238" s="463">
        <v>-812</v>
      </c>
      <c r="AQ238" s="479">
        <v>0</v>
      </c>
      <c r="AR238" s="476" t="s">
        <v>17136</v>
      </c>
      <c r="BA238" s="313" t="s">
        <v>3069</v>
      </c>
    </row>
    <row r="239" spans="2:53" ht="16.5" customHeight="1">
      <c r="B239" s="367" t="s">
        <v>8487</v>
      </c>
      <c r="C239" s="351" t="s">
        <v>8488</v>
      </c>
      <c r="D239" s="353">
        <v>-812</v>
      </c>
      <c r="E239" s="352" t="s">
        <v>408</v>
      </c>
      <c r="F239" s="341">
        <v>95.7</v>
      </c>
      <c r="G239" s="355" t="s">
        <v>3354</v>
      </c>
      <c r="H239" s="356" t="s">
        <v>8490</v>
      </c>
      <c r="I239" s="354" t="s">
        <v>75</v>
      </c>
      <c r="J239" s="340" t="s">
        <v>551</v>
      </c>
      <c r="K239" s="339" t="s">
        <v>70</v>
      </c>
      <c r="L239" s="357">
        <v>15</v>
      </c>
      <c r="M239" s="358" t="s">
        <v>8494</v>
      </c>
      <c r="N239" s="359">
        <v>1000</v>
      </c>
      <c r="O239" s="360" t="s">
        <v>530</v>
      </c>
      <c r="P239" s="343" t="s">
        <v>531</v>
      </c>
      <c r="Q239" s="342" t="s">
        <v>2688</v>
      </c>
      <c r="R239" s="344">
        <v>31</v>
      </c>
      <c r="S239" s="345">
        <v>38</v>
      </c>
      <c r="T239" s="362">
        <v>31</v>
      </c>
      <c r="U239" s="361">
        <v>95.7</v>
      </c>
      <c r="V239" s="346">
        <v>130.33186420488386</v>
      </c>
      <c r="W239" s="348">
        <v>128.89867778439549</v>
      </c>
      <c r="X239" s="347">
        <v>65.39</v>
      </c>
      <c r="Y239" s="357">
        <v>66.75</v>
      </c>
      <c r="Z239" s="365" t="s">
        <v>2689</v>
      </c>
      <c r="AA239" s="350">
        <v>0</v>
      </c>
      <c r="AB239" s="349" t="s">
        <v>2685</v>
      </c>
      <c r="AC239" s="350">
        <v>10</v>
      </c>
      <c r="AD239" s="349" t="s">
        <v>2685</v>
      </c>
      <c r="AE239" s="364">
        <v>0</v>
      </c>
      <c r="AF239" s="366">
        <v>0</v>
      </c>
      <c r="AG239" s="363">
        <v>0</v>
      </c>
      <c r="AH239" s="635" t="s">
        <v>408</v>
      </c>
      <c r="AI239" s="324"/>
      <c r="AL239" s="487" t="s">
        <v>14383</v>
      </c>
      <c r="AM239" s="477" t="s">
        <v>70</v>
      </c>
      <c r="AN239" s="637">
        <v>100</v>
      </c>
      <c r="AO239" s="478">
        <v>-812</v>
      </c>
      <c r="AP239" s="463">
        <v>-812</v>
      </c>
      <c r="AQ239" s="479">
        <v>0</v>
      </c>
      <c r="AR239" s="476" t="s">
        <v>17136</v>
      </c>
      <c r="BA239" s="313" t="s">
        <v>3070</v>
      </c>
    </row>
    <row r="240" spans="2:53" ht="16.5" customHeight="1">
      <c r="B240" s="367" t="s">
        <v>3146</v>
      </c>
      <c r="C240" s="351" t="s">
        <v>3147</v>
      </c>
      <c r="D240" s="353">
        <v>-813</v>
      </c>
      <c r="E240" s="352" t="s">
        <v>408</v>
      </c>
      <c r="F240" s="341">
        <v>95.7</v>
      </c>
      <c r="G240" s="355" t="s">
        <v>8495</v>
      </c>
      <c r="H240" s="356" t="s">
        <v>8493</v>
      </c>
      <c r="I240" s="354" t="s">
        <v>73</v>
      </c>
      <c r="J240" s="340" t="s">
        <v>8496</v>
      </c>
      <c r="K240" s="339" t="s">
        <v>70</v>
      </c>
      <c r="L240" s="357">
        <v>33</v>
      </c>
      <c r="M240" s="358" t="s">
        <v>8497</v>
      </c>
      <c r="N240" s="359">
        <v>1000</v>
      </c>
      <c r="O240" s="360" t="s">
        <v>530</v>
      </c>
      <c r="P240" s="343" t="s">
        <v>531</v>
      </c>
      <c r="Q240" s="342" t="s">
        <v>2688</v>
      </c>
      <c r="R240" s="344">
        <v>22</v>
      </c>
      <c r="S240" s="345">
        <v>33</v>
      </c>
      <c r="T240" s="362">
        <v>33</v>
      </c>
      <c r="U240" s="361">
        <v>95.7</v>
      </c>
      <c r="V240" s="346">
        <v>130.33841989035895</v>
      </c>
      <c r="W240" s="348">
        <v>128.90457790132308</v>
      </c>
      <c r="X240" s="347">
        <v>65.400000000000006</v>
      </c>
      <c r="Y240" s="357">
        <v>66.5</v>
      </c>
      <c r="Z240" s="365" t="s">
        <v>2689</v>
      </c>
      <c r="AA240" s="350">
        <v>111.11</v>
      </c>
      <c r="AB240" s="349" t="s">
        <v>2685</v>
      </c>
      <c r="AC240" s="350">
        <v>0</v>
      </c>
      <c r="AD240" s="349" t="s">
        <v>2685</v>
      </c>
      <c r="AE240" s="364">
        <v>0</v>
      </c>
      <c r="AF240" s="366">
        <v>6.65</v>
      </c>
      <c r="AG240" s="363">
        <v>0</v>
      </c>
      <c r="AH240" s="635" t="s">
        <v>7791</v>
      </c>
      <c r="AI240" s="324"/>
      <c r="AL240" s="487" t="s">
        <v>14384</v>
      </c>
      <c r="AM240" s="477" t="s">
        <v>70</v>
      </c>
      <c r="AN240" s="637">
        <v>100</v>
      </c>
      <c r="AO240" s="478">
        <v>-813</v>
      </c>
      <c r="AP240" s="463">
        <v>-813</v>
      </c>
      <c r="AQ240" s="479">
        <v>0</v>
      </c>
      <c r="AR240" s="476" t="s">
        <v>14382</v>
      </c>
      <c r="BA240" s="313" t="s">
        <v>3074</v>
      </c>
    </row>
    <row r="241" spans="2:53" ht="16.5" customHeight="1">
      <c r="B241" s="367" t="s">
        <v>3151</v>
      </c>
      <c r="C241" s="351" t="s">
        <v>3152</v>
      </c>
      <c r="D241" s="353">
        <v>-813</v>
      </c>
      <c r="E241" s="352" t="s">
        <v>408</v>
      </c>
      <c r="F241" s="341">
        <v>95.67</v>
      </c>
      <c r="G241" s="355" t="s">
        <v>3341</v>
      </c>
      <c r="H241" s="356" t="s">
        <v>8520</v>
      </c>
      <c r="I241" s="354" t="s">
        <v>219</v>
      </c>
      <c r="J241" s="340" t="s">
        <v>198</v>
      </c>
      <c r="K241" s="339" t="s">
        <v>70</v>
      </c>
      <c r="L241" s="357">
        <v>7</v>
      </c>
      <c r="M241" s="358" t="s">
        <v>8499</v>
      </c>
      <c r="N241" s="359">
        <v>400</v>
      </c>
      <c r="O241" s="360" t="s">
        <v>454</v>
      </c>
      <c r="P241" s="343" t="s">
        <v>454</v>
      </c>
      <c r="Q241" s="342" t="s">
        <v>2688</v>
      </c>
      <c r="R241" s="344">
        <v>25</v>
      </c>
      <c r="S241" s="345">
        <v>25</v>
      </c>
      <c r="T241" s="362">
        <v>25</v>
      </c>
      <c r="U241" s="361">
        <v>95.67</v>
      </c>
      <c r="V241" s="346">
        <v>130.29629629629628</v>
      </c>
      <c r="W241" s="348">
        <v>128.86666666666667</v>
      </c>
      <c r="X241" s="347">
        <v>65.37</v>
      </c>
      <c r="Y241" s="357" t="s">
        <v>408</v>
      </c>
      <c r="Z241" s="365" t="s">
        <v>2689</v>
      </c>
      <c r="AA241" s="350">
        <v>100</v>
      </c>
      <c r="AB241" s="349" t="s">
        <v>2685</v>
      </c>
      <c r="AC241" s="350">
        <v>5</v>
      </c>
      <c r="AD241" s="349" t="s">
        <v>2685</v>
      </c>
      <c r="AE241" s="364">
        <v>0</v>
      </c>
      <c r="AF241" s="366">
        <v>0</v>
      </c>
      <c r="AG241" s="363">
        <v>0</v>
      </c>
      <c r="AH241" s="635" t="s">
        <v>8500</v>
      </c>
      <c r="AI241" s="324"/>
      <c r="AL241" s="487" t="s">
        <v>7188</v>
      </c>
      <c r="AM241" s="477" t="s">
        <v>70</v>
      </c>
      <c r="AN241" s="637">
        <v>100</v>
      </c>
      <c r="AO241" s="478">
        <v>-813</v>
      </c>
      <c r="AP241" s="463">
        <v>-813</v>
      </c>
      <c r="AQ241" s="479">
        <v>0</v>
      </c>
      <c r="AR241" s="476" t="s">
        <v>14386</v>
      </c>
      <c r="BA241" s="313" t="s">
        <v>3077</v>
      </c>
    </row>
    <row r="242" spans="2:53" ht="16.5" customHeight="1">
      <c r="B242" s="367" t="s">
        <v>18192</v>
      </c>
      <c r="C242" s="351" t="s">
        <v>18193</v>
      </c>
      <c r="D242" s="353">
        <v>-634</v>
      </c>
      <c r="E242" s="352" t="s">
        <v>408</v>
      </c>
      <c r="F242" s="341">
        <v>95.67</v>
      </c>
      <c r="G242" s="355" t="s">
        <v>18432</v>
      </c>
      <c r="H242" s="356" t="s">
        <v>8516</v>
      </c>
      <c r="I242" s="354" t="s">
        <v>214</v>
      </c>
      <c r="J242" s="340" t="s">
        <v>8339</v>
      </c>
      <c r="K242" s="339" t="s">
        <v>70</v>
      </c>
      <c r="L242" s="357">
        <v>3</v>
      </c>
      <c r="M242" s="358" t="s">
        <v>8340</v>
      </c>
      <c r="N242" s="359">
        <v>200</v>
      </c>
      <c r="O242" s="360" t="s">
        <v>532</v>
      </c>
      <c r="P242" s="343" t="s">
        <v>532</v>
      </c>
      <c r="Q242" s="342" t="s">
        <v>2688</v>
      </c>
      <c r="R242" s="344">
        <v>20</v>
      </c>
      <c r="S242" s="345">
        <v>30</v>
      </c>
      <c r="T242" s="362">
        <v>30</v>
      </c>
      <c r="U242" s="361">
        <v>95.67</v>
      </c>
      <c r="V242" s="346">
        <v>130.30403722085001</v>
      </c>
      <c r="W242" s="348">
        <v>128.873633498765</v>
      </c>
      <c r="X242" s="347" t="s">
        <v>18433</v>
      </c>
      <c r="Y242" s="357" t="s">
        <v>408</v>
      </c>
      <c r="Z242" s="365" t="s">
        <v>2689</v>
      </c>
      <c r="AA242" s="350">
        <v>40</v>
      </c>
      <c r="AB242" s="349" t="s">
        <v>2685</v>
      </c>
      <c r="AC242" s="350">
        <v>0</v>
      </c>
      <c r="AD242" s="349" t="s">
        <v>2685</v>
      </c>
      <c r="AE242" s="364">
        <v>0</v>
      </c>
      <c r="AF242" s="366">
        <v>0</v>
      </c>
      <c r="AG242" s="363">
        <v>0</v>
      </c>
      <c r="AH242" s="635" t="s">
        <v>8341</v>
      </c>
      <c r="AI242" s="324"/>
      <c r="AL242" s="487" t="s">
        <v>14322</v>
      </c>
      <c r="AM242" s="477" t="s">
        <v>70</v>
      </c>
      <c r="AN242" s="637" t="s">
        <v>7178</v>
      </c>
      <c r="AO242" s="478">
        <v>-634</v>
      </c>
      <c r="AP242" s="463">
        <v>-634</v>
      </c>
      <c r="AQ242" s="479">
        <v>0</v>
      </c>
      <c r="AR242" s="476" t="s">
        <v>14415</v>
      </c>
      <c r="BA242" s="313" t="s">
        <v>3080</v>
      </c>
    </row>
    <row r="243" spans="2:53" ht="16.5" customHeight="1">
      <c r="B243" s="367" t="s">
        <v>18192</v>
      </c>
      <c r="C243" s="351" t="s">
        <v>18193</v>
      </c>
      <c r="D243" s="353">
        <v>-635</v>
      </c>
      <c r="E243" s="352" t="s">
        <v>408</v>
      </c>
      <c r="F243" s="341">
        <v>95.67</v>
      </c>
      <c r="G243" s="355" t="s">
        <v>18432</v>
      </c>
      <c r="H243" s="356" t="s">
        <v>8516</v>
      </c>
      <c r="I243" s="354" t="s">
        <v>214</v>
      </c>
      <c r="J243" s="340" t="s">
        <v>7917</v>
      </c>
      <c r="K243" s="339" t="s">
        <v>70</v>
      </c>
      <c r="L243" s="357">
        <v>3</v>
      </c>
      <c r="M243" s="358" t="s">
        <v>8340</v>
      </c>
      <c r="N243" s="359">
        <v>200</v>
      </c>
      <c r="O243" s="360" t="s">
        <v>532</v>
      </c>
      <c r="P243" s="343" t="s">
        <v>532</v>
      </c>
      <c r="Q243" s="342" t="s">
        <v>2688</v>
      </c>
      <c r="R243" s="344">
        <v>20</v>
      </c>
      <c r="S243" s="345">
        <v>30</v>
      </c>
      <c r="T243" s="362">
        <v>30</v>
      </c>
      <c r="U243" s="361">
        <v>95.67</v>
      </c>
      <c r="V243" s="346">
        <v>130.30403722085001</v>
      </c>
      <c r="W243" s="348">
        <v>128.873633498765</v>
      </c>
      <c r="X243" s="347" t="s">
        <v>18433</v>
      </c>
      <c r="Y243" s="357" t="s">
        <v>408</v>
      </c>
      <c r="Z243" s="365" t="s">
        <v>2689</v>
      </c>
      <c r="AA243" s="350">
        <v>40</v>
      </c>
      <c r="AB243" s="349" t="s">
        <v>2685</v>
      </c>
      <c r="AC243" s="350">
        <v>0</v>
      </c>
      <c r="AD243" s="349" t="s">
        <v>2685</v>
      </c>
      <c r="AE243" s="364">
        <v>0</v>
      </c>
      <c r="AF243" s="366">
        <v>0</v>
      </c>
      <c r="AG243" s="363">
        <v>0</v>
      </c>
      <c r="AH243" s="635" t="s">
        <v>8341</v>
      </c>
      <c r="AI243" s="324"/>
      <c r="AL243" s="487" t="s">
        <v>14323</v>
      </c>
      <c r="AM243" s="477" t="s">
        <v>70</v>
      </c>
      <c r="AN243" s="637" t="s">
        <v>7178</v>
      </c>
      <c r="AO243" s="478">
        <v>-635</v>
      </c>
      <c r="AP243" s="463">
        <v>-635</v>
      </c>
      <c r="AQ243" s="479">
        <v>0</v>
      </c>
      <c r="AR243" s="476" t="s">
        <v>14415</v>
      </c>
      <c r="BA243" s="313" t="s">
        <v>3082</v>
      </c>
    </row>
    <row r="244" spans="2:53" ht="16.5" customHeight="1">
      <c r="B244" s="367" t="s">
        <v>3151</v>
      </c>
      <c r="C244" s="351" t="s">
        <v>3152</v>
      </c>
      <c r="D244" s="353">
        <v>-819</v>
      </c>
      <c r="E244" s="352" t="s">
        <v>408</v>
      </c>
      <c r="F244" s="341">
        <v>95.66</v>
      </c>
      <c r="G244" s="355" t="s">
        <v>8501</v>
      </c>
      <c r="H244" s="356" t="s">
        <v>8520</v>
      </c>
      <c r="I244" s="354" t="s">
        <v>80</v>
      </c>
      <c r="J244" s="340" t="s">
        <v>8502</v>
      </c>
      <c r="K244" s="339" t="s">
        <v>70</v>
      </c>
      <c r="L244" s="357">
        <v>21</v>
      </c>
      <c r="M244" s="358" t="s">
        <v>8503</v>
      </c>
      <c r="N244" s="359">
        <v>1000</v>
      </c>
      <c r="O244" s="360" t="s">
        <v>532</v>
      </c>
      <c r="P244" s="343" t="s">
        <v>533</v>
      </c>
      <c r="Q244" s="342" t="s">
        <v>2688</v>
      </c>
      <c r="R244" s="344">
        <v>25</v>
      </c>
      <c r="S244" s="345">
        <v>40</v>
      </c>
      <c r="T244" s="362">
        <v>25</v>
      </c>
      <c r="U244" s="361">
        <v>95.66</v>
      </c>
      <c r="V244" s="346">
        <v>130.28869563654982</v>
      </c>
      <c r="W244" s="348">
        <v>128.85982607289486</v>
      </c>
      <c r="X244" s="347">
        <v>65.37</v>
      </c>
      <c r="Y244" s="357">
        <v>67.650000000000006</v>
      </c>
      <c r="Z244" s="365" t="s">
        <v>2689</v>
      </c>
      <c r="AA244" s="350">
        <v>100</v>
      </c>
      <c r="AB244" s="349" t="s">
        <v>2685</v>
      </c>
      <c r="AC244" s="350">
        <v>0</v>
      </c>
      <c r="AD244" s="349" t="s">
        <v>2685</v>
      </c>
      <c r="AE244" s="364">
        <v>0</v>
      </c>
      <c r="AF244" s="366">
        <v>0</v>
      </c>
      <c r="AG244" s="363">
        <v>0</v>
      </c>
      <c r="AH244" s="635" t="s">
        <v>408</v>
      </c>
      <c r="AI244" s="324"/>
      <c r="AL244" s="487" t="s">
        <v>14387</v>
      </c>
      <c r="AM244" s="477" t="s">
        <v>70</v>
      </c>
      <c r="AN244" s="637">
        <v>100</v>
      </c>
      <c r="AO244" s="478">
        <v>-819</v>
      </c>
      <c r="AP244" s="463">
        <v>-819</v>
      </c>
      <c r="AQ244" s="479">
        <v>0</v>
      </c>
      <c r="AR244" s="476" t="s">
        <v>17137</v>
      </c>
      <c r="BA244" s="313" t="s">
        <v>3084</v>
      </c>
    </row>
    <row r="245" spans="2:53" ht="16.5" customHeight="1">
      <c r="B245" s="367" t="s">
        <v>3151</v>
      </c>
      <c r="C245" s="351" t="s">
        <v>3152</v>
      </c>
      <c r="D245" s="353">
        <v>-790</v>
      </c>
      <c r="E245" s="352" t="s">
        <v>408</v>
      </c>
      <c r="F245" s="341">
        <v>95.66</v>
      </c>
      <c r="G245" s="355" t="s">
        <v>3363</v>
      </c>
      <c r="H245" s="356" t="s">
        <v>8498</v>
      </c>
      <c r="I245" s="354" t="s">
        <v>75</v>
      </c>
      <c r="J245" s="340" t="s">
        <v>8504</v>
      </c>
      <c r="K245" s="339" t="s">
        <v>70</v>
      </c>
      <c r="L245" s="357">
        <v>13</v>
      </c>
      <c r="M245" s="358" t="s">
        <v>8505</v>
      </c>
      <c r="N245" s="359">
        <v>1000</v>
      </c>
      <c r="O245" s="360" t="s">
        <v>530</v>
      </c>
      <c r="P245" s="343" t="s">
        <v>531</v>
      </c>
      <c r="Q245" s="342" t="s">
        <v>2688</v>
      </c>
      <c r="R245" s="344">
        <v>31</v>
      </c>
      <c r="S245" s="345">
        <v>38</v>
      </c>
      <c r="T245" s="362">
        <v>31</v>
      </c>
      <c r="U245" s="361">
        <v>95.66</v>
      </c>
      <c r="V245" s="346">
        <v>130.28612269207861</v>
      </c>
      <c r="W245" s="348">
        <v>128.85751042287075</v>
      </c>
      <c r="X245" s="347">
        <v>65.37</v>
      </c>
      <c r="Y245" s="357">
        <v>66.72</v>
      </c>
      <c r="Z245" s="365" t="s">
        <v>2689</v>
      </c>
      <c r="AA245" s="350">
        <v>0</v>
      </c>
      <c r="AB245" s="349" t="s">
        <v>2685</v>
      </c>
      <c r="AC245" s="350">
        <v>10</v>
      </c>
      <c r="AD245" s="349" t="s">
        <v>2685</v>
      </c>
      <c r="AE245" s="364">
        <v>0</v>
      </c>
      <c r="AF245" s="366">
        <v>0</v>
      </c>
      <c r="AG245" s="363">
        <v>0</v>
      </c>
      <c r="AH245" s="635" t="s">
        <v>408</v>
      </c>
      <c r="AI245" s="324"/>
      <c r="AL245" s="487" t="s">
        <v>14389</v>
      </c>
      <c r="AM245" s="477" t="s">
        <v>70</v>
      </c>
      <c r="AN245" s="637">
        <v>100</v>
      </c>
      <c r="AO245" s="478">
        <v>-790</v>
      </c>
      <c r="AP245" s="463">
        <v>-790</v>
      </c>
      <c r="AQ245" s="479">
        <v>0</v>
      </c>
      <c r="AR245" s="476" t="s">
        <v>14388</v>
      </c>
      <c r="BA245" s="313" t="s">
        <v>3085</v>
      </c>
    </row>
    <row r="246" spans="2:53" ht="16.5" customHeight="1">
      <c r="B246" s="367" t="s">
        <v>8506</v>
      </c>
      <c r="C246" s="351" t="s">
        <v>8507</v>
      </c>
      <c r="D246" s="353">
        <v>-790</v>
      </c>
      <c r="E246" s="352" t="s">
        <v>408</v>
      </c>
      <c r="F246" s="341">
        <v>95.64</v>
      </c>
      <c r="G246" s="355" t="s">
        <v>8508</v>
      </c>
      <c r="H246" s="356" t="s">
        <v>8511</v>
      </c>
      <c r="I246" s="354" t="s">
        <v>80</v>
      </c>
      <c r="J246" s="340" t="s">
        <v>8443</v>
      </c>
      <c r="K246" s="339" t="s">
        <v>70</v>
      </c>
      <c r="L246" s="357">
        <v>13</v>
      </c>
      <c r="M246" s="358" t="s">
        <v>8509</v>
      </c>
      <c r="N246" s="359">
        <v>1000</v>
      </c>
      <c r="O246" s="360" t="s">
        <v>532</v>
      </c>
      <c r="P246" s="343" t="s">
        <v>533</v>
      </c>
      <c r="Q246" s="342" t="s">
        <v>2688</v>
      </c>
      <c r="R246" s="344">
        <v>25</v>
      </c>
      <c r="S246" s="345">
        <v>40</v>
      </c>
      <c r="T246" s="362">
        <v>25</v>
      </c>
      <c r="U246" s="361">
        <v>95.64</v>
      </c>
      <c r="V246" s="346">
        <v>130.2677165778764</v>
      </c>
      <c r="W246" s="348">
        <v>128.84094492008876</v>
      </c>
      <c r="X246" s="347">
        <v>65.36</v>
      </c>
      <c r="Y246" s="357">
        <v>67.64</v>
      </c>
      <c r="Z246" s="365" t="s">
        <v>2689</v>
      </c>
      <c r="AA246" s="350">
        <v>100</v>
      </c>
      <c r="AB246" s="349" t="s">
        <v>2685</v>
      </c>
      <c r="AC246" s="350">
        <v>0</v>
      </c>
      <c r="AD246" s="349" t="s">
        <v>2685</v>
      </c>
      <c r="AE246" s="364">
        <v>0</v>
      </c>
      <c r="AF246" s="366">
        <v>0</v>
      </c>
      <c r="AG246" s="363">
        <v>0</v>
      </c>
      <c r="AH246" s="635" t="s">
        <v>408</v>
      </c>
      <c r="AI246" s="324"/>
      <c r="AL246" s="487" t="s">
        <v>14390</v>
      </c>
      <c r="AM246" s="477" t="s">
        <v>70</v>
      </c>
      <c r="AN246" s="637">
        <v>100</v>
      </c>
      <c r="AO246" s="478">
        <v>-790</v>
      </c>
      <c r="AP246" s="463">
        <v>-790</v>
      </c>
      <c r="AQ246" s="479">
        <v>0</v>
      </c>
      <c r="AR246" s="476" t="s">
        <v>17138</v>
      </c>
      <c r="BA246" s="313" t="s">
        <v>3089</v>
      </c>
    </row>
    <row r="247" spans="2:53" ht="16.5" customHeight="1">
      <c r="B247" s="367" t="s">
        <v>18194</v>
      </c>
      <c r="C247" s="351" t="s">
        <v>18195</v>
      </c>
      <c r="D247" s="353">
        <v>-794</v>
      </c>
      <c r="E247" s="352" t="s">
        <v>408</v>
      </c>
      <c r="F247" s="341">
        <v>95.62</v>
      </c>
      <c r="G247" s="355" t="s">
        <v>3368</v>
      </c>
      <c r="H247" s="356" t="s">
        <v>8511</v>
      </c>
      <c r="I247" s="354" t="s">
        <v>8000</v>
      </c>
      <c r="J247" s="340" t="s">
        <v>8042</v>
      </c>
      <c r="K247" s="339" t="s">
        <v>70</v>
      </c>
      <c r="L247" s="357">
        <v>36</v>
      </c>
      <c r="M247" s="358" t="s">
        <v>8388</v>
      </c>
      <c r="N247" s="359">
        <v>1000</v>
      </c>
      <c r="O247" s="360" t="s">
        <v>532</v>
      </c>
      <c r="P247" s="343" t="s">
        <v>532</v>
      </c>
      <c r="Q247" s="342" t="s">
        <v>2688</v>
      </c>
      <c r="R247" s="344">
        <v>25</v>
      </c>
      <c r="S247" s="345">
        <v>30</v>
      </c>
      <c r="T247" s="362">
        <v>25</v>
      </c>
      <c r="U247" s="361">
        <v>95.62</v>
      </c>
      <c r="V247" s="346">
        <v>130.24385888068997</v>
      </c>
      <c r="W247" s="348">
        <v>128.81947299262097</v>
      </c>
      <c r="X247" s="347" t="s">
        <v>18434</v>
      </c>
      <c r="Y247" s="357" t="s">
        <v>408</v>
      </c>
      <c r="Z247" s="365" t="s">
        <v>2689</v>
      </c>
      <c r="AA247" s="350">
        <v>200</v>
      </c>
      <c r="AB247" s="349" t="s">
        <v>2685</v>
      </c>
      <c r="AC247" s="350">
        <v>0</v>
      </c>
      <c r="AD247" s="349" t="s">
        <v>2685</v>
      </c>
      <c r="AE247" s="364">
        <v>0</v>
      </c>
      <c r="AF247" s="366">
        <v>11.968</v>
      </c>
      <c r="AG247" s="363">
        <v>0</v>
      </c>
      <c r="AH247" s="635" t="s">
        <v>8002</v>
      </c>
      <c r="AI247" s="324"/>
      <c r="AL247" s="487" t="s">
        <v>14327</v>
      </c>
      <c r="AM247" s="477" t="s">
        <v>70</v>
      </c>
      <c r="AN247" s="637">
        <v>100</v>
      </c>
      <c r="AO247" s="478">
        <v>-794</v>
      </c>
      <c r="AP247" s="463">
        <v>-794</v>
      </c>
      <c r="AQ247" s="479">
        <v>0</v>
      </c>
      <c r="AR247" s="476" t="s">
        <v>17139</v>
      </c>
      <c r="BA247" s="313" t="s">
        <v>3090</v>
      </c>
    </row>
    <row r="248" spans="2:53" ht="16.5" customHeight="1">
      <c r="B248" s="367" t="s">
        <v>3154</v>
      </c>
      <c r="C248" s="351" t="s">
        <v>3155</v>
      </c>
      <c r="D248" s="353">
        <v>-794</v>
      </c>
      <c r="E248" s="352" t="s">
        <v>408</v>
      </c>
      <c r="F248" s="341">
        <v>95.61</v>
      </c>
      <c r="G248" s="355" t="s">
        <v>8510</v>
      </c>
      <c r="H248" s="356" t="s">
        <v>8303</v>
      </c>
      <c r="I248" s="354" t="s">
        <v>80</v>
      </c>
      <c r="J248" s="340" t="s">
        <v>550</v>
      </c>
      <c r="K248" s="339" t="s">
        <v>70</v>
      </c>
      <c r="L248" s="357">
        <v>15</v>
      </c>
      <c r="M248" s="358" t="s">
        <v>8512</v>
      </c>
      <c r="N248" s="359">
        <v>1000</v>
      </c>
      <c r="O248" s="360" t="s">
        <v>532</v>
      </c>
      <c r="P248" s="343" t="s">
        <v>533</v>
      </c>
      <c r="Q248" s="342" t="s">
        <v>2688</v>
      </c>
      <c r="R248" s="344">
        <v>25</v>
      </c>
      <c r="S248" s="345">
        <v>40</v>
      </c>
      <c r="T248" s="362">
        <v>25</v>
      </c>
      <c r="U248" s="361">
        <v>95.61</v>
      </c>
      <c r="V248" s="346">
        <v>130.23100322519787</v>
      </c>
      <c r="W248" s="348">
        <v>128.80790290267808</v>
      </c>
      <c r="X248" s="347">
        <v>65.34</v>
      </c>
      <c r="Y248" s="357">
        <v>67.63000000000001</v>
      </c>
      <c r="Z248" s="365" t="s">
        <v>2689</v>
      </c>
      <c r="AA248" s="350">
        <v>100</v>
      </c>
      <c r="AB248" s="349" t="s">
        <v>2685</v>
      </c>
      <c r="AC248" s="350">
        <v>0</v>
      </c>
      <c r="AD248" s="349" t="s">
        <v>2685</v>
      </c>
      <c r="AE248" s="364">
        <v>0</v>
      </c>
      <c r="AF248" s="366">
        <v>0</v>
      </c>
      <c r="AG248" s="363">
        <v>0</v>
      </c>
      <c r="AH248" s="635" t="s">
        <v>408</v>
      </c>
      <c r="AI248" s="324"/>
      <c r="AL248" s="487" t="s">
        <v>14391</v>
      </c>
      <c r="AM248" s="477" t="s">
        <v>70</v>
      </c>
      <c r="AN248" s="637">
        <v>100</v>
      </c>
      <c r="AO248" s="478">
        <v>-794</v>
      </c>
      <c r="AP248" s="463">
        <v>-794</v>
      </c>
      <c r="AQ248" s="479">
        <v>0</v>
      </c>
      <c r="AR248" s="476" t="s">
        <v>17140</v>
      </c>
      <c r="BA248" s="313" t="s">
        <v>3091</v>
      </c>
    </row>
    <row r="249" spans="2:53" ht="16.5" customHeight="1">
      <c r="B249" s="367" t="s">
        <v>8513</v>
      </c>
      <c r="C249" s="351" t="s">
        <v>8514</v>
      </c>
      <c r="D249" s="353">
        <v>-797</v>
      </c>
      <c r="E249" s="352" t="s">
        <v>408</v>
      </c>
      <c r="F249" s="341">
        <v>95.6</v>
      </c>
      <c r="G249" s="355" t="s">
        <v>8515</v>
      </c>
      <c r="H249" s="356" t="s">
        <v>8303</v>
      </c>
      <c r="I249" s="354" t="s">
        <v>255</v>
      </c>
      <c r="J249" s="340" t="s">
        <v>198</v>
      </c>
      <c r="K249" s="339" t="s">
        <v>70</v>
      </c>
      <c r="L249" s="357">
        <v>35</v>
      </c>
      <c r="M249" s="358" t="s">
        <v>3081</v>
      </c>
      <c r="N249" s="359">
        <v>1000</v>
      </c>
      <c r="O249" s="360" t="s">
        <v>454</v>
      </c>
      <c r="P249" s="343" t="s">
        <v>454</v>
      </c>
      <c r="Q249" s="342" t="s">
        <v>2688</v>
      </c>
      <c r="R249" s="344">
        <v>20</v>
      </c>
      <c r="S249" s="345">
        <v>30</v>
      </c>
      <c r="T249" s="362">
        <v>25</v>
      </c>
      <c r="U249" s="361">
        <v>95.6</v>
      </c>
      <c r="V249" s="346">
        <v>130.22222222222223</v>
      </c>
      <c r="W249" s="348">
        <v>128.80000000000001</v>
      </c>
      <c r="X249" s="347">
        <v>65.33</v>
      </c>
      <c r="Y249" s="357" t="s">
        <v>408</v>
      </c>
      <c r="Z249" s="365" t="s">
        <v>2689</v>
      </c>
      <c r="AA249" s="350">
        <v>250</v>
      </c>
      <c r="AB249" s="349" t="s">
        <v>2685</v>
      </c>
      <c r="AC249" s="350">
        <v>10</v>
      </c>
      <c r="AD249" s="349" t="s">
        <v>2685</v>
      </c>
      <c r="AE249" s="364">
        <v>0</v>
      </c>
      <c r="AF249" s="366">
        <v>0</v>
      </c>
      <c r="AG249" s="363">
        <v>0</v>
      </c>
      <c r="AH249" s="635" t="s">
        <v>408</v>
      </c>
      <c r="AI249" s="324"/>
      <c r="AL249" s="487" t="s">
        <v>7193</v>
      </c>
      <c r="AM249" s="477" t="s">
        <v>70</v>
      </c>
      <c r="AN249" s="637">
        <v>100</v>
      </c>
      <c r="AO249" s="478">
        <v>-797</v>
      </c>
      <c r="AP249" s="463">
        <v>-797</v>
      </c>
      <c r="AQ249" s="479">
        <v>0</v>
      </c>
      <c r="AR249" s="476" t="s">
        <v>17141</v>
      </c>
      <c r="BA249" s="313" t="s">
        <v>3092</v>
      </c>
    </row>
    <row r="250" spans="2:53" ht="16.5" customHeight="1">
      <c r="B250" s="367" t="s">
        <v>3159</v>
      </c>
      <c r="C250" s="351" t="s">
        <v>3160</v>
      </c>
      <c r="D250" s="353">
        <v>-642</v>
      </c>
      <c r="E250" s="352" t="s">
        <v>408</v>
      </c>
      <c r="F250" s="341">
        <v>95.59</v>
      </c>
      <c r="G250" s="355" t="s">
        <v>8933</v>
      </c>
      <c r="H250" s="356" t="s">
        <v>18435</v>
      </c>
      <c r="I250" s="354" t="s">
        <v>8000</v>
      </c>
      <c r="J250" s="340" t="s">
        <v>7868</v>
      </c>
      <c r="K250" s="339" t="s">
        <v>70</v>
      </c>
      <c r="L250" s="357">
        <v>7</v>
      </c>
      <c r="M250" s="358" t="s">
        <v>8392</v>
      </c>
      <c r="N250" s="359">
        <v>1000</v>
      </c>
      <c r="O250" s="360" t="s">
        <v>532</v>
      </c>
      <c r="P250" s="343" t="s">
        <v>532</v>
      </c>
      <c r="Q250" s="342" t="s">
        <v>2688</v>
      </c>
      <c r="R250" s="344">
        <v>25</v>
      </c>
      <c r="S250" s="345">
        <v>30</v>
      </c>
      <c r="T250" s="362">
        <v>25</v>
      </c>
      <c r="U250" s="361">
        <v>95.59</v>
      </c>
      <c r="V250" s="346">
        <v>130.20815455337288</v>
      </c>
      <c r="W250" s="348">
        <v>128.7873390980356</v>
      </c>
      <c r="X250" s="347" t="s">
        <v>18434</v>
      </c>
      <c r="Y250" s="357" t="s">
        <v>408</v>
      </c>
      <c r="Z250" s="365" t="s">
        <v>2689</v>
      </c>
      <c r="AA250" s="350">
        <v>200</v>
      </c>
      <c r="AB250" s="349" t="s">
        <v>2685</v>
      </c>
      <c r="AC250" s="350">
        <v>0</v>
      </c>
      <c r="AD250" s="349" t="s">
        <v>2685</v>
      </c>
      <c r="AE250" s="364">
        <v>0</v>
      </c>
      <c r="AF250" s="366">
        <v>11.968</v>
      </c>
      <c r="AG250" s="363">
        <v>0</v>
      </c>
      <c r="AH250" s="635" t="s">
        <v>8002</v>
      </c>
      <c r="AI250" s="324"/>
      <c r="AL250" s="487" t="s">
        <v>14329</v>
      </c>
      <c r="AM250" s="477" t="s">
        <v>70</v>
      </c>
      <c r="AN250" s="637" t="s">
        <v>7178</v>
      </c>
      <c r="AO250" s="478">
        <v>-642</v>
      </c>
      <c r="AP250" s="463">
        <v>-642</v>
      </c>
      <c r="AQ250" s="479">
        <v>0</v>
      </c>
      <c r="AR250" s="476" t="s">
        <v>17142</v>
      </c>
      <c r="BA250" s="313" t="s">
        <v>3093</v>
      </c>
    </row>
    <row r="251" spans="2:53" ht="16.5" customHeight="1">
      <c r="B251" s="367" t="s">
        <v>3164</v>
      </c>
      <c r="C251" s="351" t="s">
        <v>3165</v>
      </c>
      <c r="D251" s="353">
        <v>-837</v>
      </c>
      <c r="E251" s="352" t="s">
        <v>408</v>
      </c>
      <c r="F251" s="341">
        <v>95.57</v>
      </c>
      <c r="G251" s="355" t="s">
        <v>3377</v>
      </c>
      <c r="H251" s="356" t="s">
        <v>8516</v>
      </c>
      <c r="I251" s="354" t="s">
        <v>75</v>
      </c>
      <c r="J251" s="340" t="s">
        <v>8033</v>
      </c>
      <c r="K251" s="339" t="s">
        <v>70</v>
      </c>
      <c r="L251" s="357">
        <v>25</v>
      </c>
      <c r="M251" s="358" t="s">
        <v>8517</v>
      </c>
      <c r="N251" s="359">
        <v>1000</v>
      </c>
      <c r="O251" s="360" t="s">
        <v>530</v>
      </c>
      <c r="P251" s="343" t="s">
        <v>531</v>
      </c>
      <c r="Q251" s="342" t="s">
        <v>2688</v>
      </c>
      <c r="R251" s="344">
        <v>31</v>
      </c>
      <c r="S251" s="345">
        <v>38</v>
      </c>
      <c r="T251" s="362">
        <v>31</v>
      </c>
      <c r="U251" s="361">
        <v>95.57</v>
      </c>
      <c r="V251" s="346">
        <v>130.19273377010123</v>
      </c>
      <c r="W251" s="348">
        <v>128.77346039309111</v>
      </c>
      <c r="X251" s="347">
        <v>65.319999999999993</v>
      </c>
      <c r="Y251" s="357">
        <v>66.660000000000011</v>
      </c>
      <c r="Z251" s="365" t="s">
        <v>2689</v>
      </c>
      <c r="AA251" s="350">
        <v>0</v>
      </c>
      <c r="AB251" s="349" t="s">
        <v>2685</v>
      </c>
      <c r="AC251" s="350">
        <v>10</v>
      </c>
      <c r="AD251" s="349" t="s">
        <v>2685</v>
      </c>
      <c r="AE251" s="364">
        <v>0</v>
      </c>
      <c r="AF251" s="366">
        <v>0</v>
      </c>
      <c r="AG251" s="363">
        <v>0</v>
      </c>
      <c r="AH251" s="635" t="s">
        <v>408</v>
      </c>
      <c r="AI251" s="324"/>
      <c r="AL251" s="487" t="s">
        <v>14392</v>
      </c>
      <c r="AM251" s="477" t="s">
        <v>70</v>
      </c>
      <c r="AN251" s="637">
        <v>100</v>
      </c>
      <c r="AO251" s="478">
        <v>-837</v>
      </c>
      <c r="AP251" s="463">
        <v>-837</v>
      </c>
      <c r="AQ251" s="479">
        <v>0</v>
      </c>
      <c r="AR251" s="476" t="s">
        <v>14393</v>
      </c>
      <c r="BA251" s="313" t="s">
        <v>3094</v>
      </c>
    </row>
    <row r="252" spans="2:53" ht="16.5" customHeight="1">
      <c r="B252" s="367" t="s">
        <v>8518</v>
      </c>
      <c r="C252" s="351" t="s">
        <v>8519</v>
      </c>
      <c r="D252" s="353">
        <v>-838</v>
      </c>
      <c r="E252" s="352" t="s">
        <v>408</v>
      </c>
      <c r="F252" s="341">
        <v>95.55</v>
      </c>
      <c r="G252" s="355" t="s">
        <v>8460</v>
      </c>
      <c r="H252" s="356" t="s">
        <v>18428</v>
      </c>
      <c r="I252" s="354" t="s">
        <v>80</v>
      </c>
      <c r="J252" s="340" t="s">
        <v>8523</v>
      </c>
      <c r="K252" s="339" t="s">
        <v>71</v>
      </c>
      <c r="L252" s="357">
        <v>62</v>
      </c>
      <c r="M252" s="358" t="s">
        <v>8524</v>
      </c>
      <c r="N252" s="359">
        <v>1000</v>
      </c>
      <c r="O252" s="360" t="s">
        <v>532</v>
      </c>
      <c r="P252" s="343" t="s">
        <v>533</v>
      </c>
      <c r="Q252" s="342" t="s">
        <v>2688</v>
      </c>
      <c r="R252" s="344">
        <v>35</v>
      </c>
      <c r="S252" s="345">
        <v>35</v>
      </c>
      <c r="T252" s="362">
        <v>20</v>
      </c>
      <c r="U252" s="361">
        <v>95.55</v>
      </c>
      <c r="V252" s="346">
        <v>130.17205176016549</v>
      </c>
      <c r="W252" s="348">
        <v>128.75484658414894</v>
      </c>
      <c r="X252" s="347">
        <v>65.81</v>
      </c>
      <c r="Y252" s="357">
        <v>67.61</v>
      </c>
      <c r="Z252" s="365" t="s">
        <v>2689</v>
      </c>
      <c r="AA252" s="350">
        <v>100</v>
      </c>
      <c r="AB252" s="349" t="s">
        <v>2685</v>
      </c>
      <c r="AC252" s="350">
        <v>0</v>
      </c>
      <c r="AD252" s="349" t="s">
        <v>2685</v>
      </c>
      <c r="AE252" s="364">
        <v>0</v>
      </c>
      <c r="AF252" s="366">
        <v>0</v>
      </c>
      <c r="AG252" s="363">
        <v>0</v>
      </c>
      <c r="AH252" s="635" t="s">
        <v>408</v>
      </c>
      <c r="AI252" s="324"/>
      <c r="AL252" s="487" t="s">
        <v>14394</v>
      </c>
      <c r="AM252" s="477" t="s">
        <v>71</v>
      </c>
      <c r="AN252" s="637">
        <v>100</v>
      </c>
      <c r="AO252" s="478">
        <v>-838</v>
      </c>
      <c r="AP252" s="463">
        <v>-642</v>
      </c>
      <c r="AQ252" s="479">
        <v>-196</v>
      </c>
      <c r="AR252" s="476" t="s">
        <v>16844</v>
      </c>
      <c r="BA252" s="313" t="s">
        <v>3097</v>
      </c>
    </row>
    <row r="253" spans="2:53" ht="16.5" customHeight="1">
      <c r="B253" s="367" t="s">
        <v>8525</v>
      </c>
      <c r="C253" s="351" t="s">
        <v>8526</v>
      </c>
      <c r="D253" s="353">
        <v>-840</v>
      </c>
      <c r="E253" s="352" t="s">
        <v>408</v>
      </c>
      <c r="F253" s="341">
        <v>95.54</v>
      </c>
      <c r="G253" s="355" t="s">
        <v>3381</v>
      </c>
      <c r="H253" s="356" t="s">
        <v>3281</v>
      </c>
      <c r="I253" s="354" t="s">
        <v>75</v>
      </c>
      <c r="J253" s="340" t="s">
        <v>8527</v>
      </c>
      <c r="K253" s="339" t="s">
        <v>70</v>
      </c>
      <c r="L253" s="357">
        <v>11</v>
      </c>
      <c r="M253" s="358" t="s">
        <v>8528</v>
      </c>
      <c r="N253" s="359">
        <v>1000</v>
      </c>
      <c r="O253" s="360" t="s">
        <v>530</v>
      </c>
      <c r="P253" s="343" t="s">
        <v>531</v>
      </c>
      <c r="Q253" s="342" t="s">
        <v>2688</v>
      </c>
      <c r="R253" s="344">
        <v>31</v>
      </c>
      <c r="S253" s="345">
        <v>38</v>
      </c>
      <c r="T253" s="362">
        <v>31</v>
      </c>
      <c r="U253" s="361">
        <v>95.54</v>
      </c>
      <c r="V253" s="346">
        <v>130.15270994639667</v>
      </c>
      <c r="W253" s="348">
        <v>128.73743895175699</v>
      </c>
      <c r="X253" s="347">
        <v>65.290000000000006</v>
      </c>
      <c r="Y253" s="357">
        <v>66.64</v>
      </c>
      <c r="Z253" s="365" t="s">
        <v>2689</v>
      </c>
      <c r="AA253" s="350">
        <v>0</v>
      </c>
      <c r="AB253" s="349" t="s">
        <v>2685</v>
      </c>
      <c r="AC253" s="350">
        <v>10</v>
      </c>
      <c r="AD253" s="349" t="s">
        <v>2685</v>
      </c>
      <c r="AE253" s="364">
        <v>0</v>
      </c>
      <c r="AF253" s="366">
        <v>0</v>
      </c>
      <c r="AG253" s="363">
        <v>0</v>
      </c>
      <c r="AH253" s="635" t="s">
        <v>408</v>
      </c>
      <c r="AI253" s="324"/>
      <c r="AL253" s="487" t="s">
        <v>14395</v>
      </c>
      <c r="AM253" s="477" t="s">
        <v>70</v>
      </c>
      <c r="AN253" s="637">
        <v>100</v>
      </c>
      <c r="AO253" s="478">
        <v>-840</v>
      </c>
      <c r="AP253" s="463">
        <v>-840</v>
      </c>
      <c r="AQ253" s="479">
        <v>0</v>
      </c>
      <c r="AR253" s="476" t="s">
        <v>14396</v>
      </c>
      <c r="BA253" s="313" t="s">
        <v>3098</v>
      </c>
    </row>
    <row r="254" spans="2:53" ht="16.5" customHeight="1">
      <c r="B254" s="367" t="s">
        <v>3194</v>
      </c>
      <c r="C254" s="351" t="s">
        <v>3195</v>
      </c>
      <c r="D254" s="353">
        <v>-844</v>
      </c>
      <c r="E254" s="352" t="s">
        <v>408</v>
      </c>
      <c r="F254" s="341">
        <v>95.52</v>
      </c>
      <c r="G254" s="355" t="s">
        <v>8465</v>
      </c>
      <c r="H254" s="356" t="s">
        <v>18404</v>
      </c>
      <c r="I254" s="354" t="s">
        <v>75</v>
      </c>
      <c r="J254" s="340" t="s">
        <v>7910</v>
      </c>
      <c r="K254" s="339" t="s">
        <v>71</v>
      </c>
      <c r="L254" s="357">
        <v>19</v>
      </c>
      <c r="M254" s="358" t="s">
        <v>8529</v>
      </c>
      <c r="N254" s="359">
        <v>1000</v>
      </c>
      <c r="O254" s="360" t="s">
        <v>530</v>
      </c>
      <c r="P254" s="343" t="s">
        <v>531</v>
      </c>
      <c r="Q254" s="342" t="s">
        <v>2688</v>
      </c>
      <c r="R254" s="344">
        <v>36</v>
      </c>
      <c r="S254" s="345">
        <v>36</v>
      </c>
      <c r="T254" s="362">
        <v>29</v>
      </c>
      <c r="U254" s="361">
        <v>95.52</v>
      </c>
      <c r="V254" s="346">
        <v>130.13737658674188</v>
      </c>
      <c r="W254" s="348">
        <v>128.72363892806769</v>
      </c>
      <c r="X254" s="347">
        <v>65.78</v>
      </c>
      <c r="Y254" s="357">
        <v>66.38000000000001</v>
      </c>
      <c r="Z254" s="365" t="s">
        <v>2689</v>
      </c>
      <c r="AA254" s="350">
        <v>0</v>
      </c>
      <c r="AB254" s="349" t="s">
        <v>2685</v>
      </c>
      <c r="AC254" s="350">
        <v>10</v>
      </c>
      <c r="AD254" s="349" t="s">
        <v>2685</v>
      </c>
      <c r="AE254" s="364">
        <v>0</v>
      </c>
      <c r="AF254" s="366">
        <v>0</v>
      </c>
      <c r="AG254" s="363">
        <v>0</v>
      </c>
      <c r="AH254" s="635" t="s">
        <v>408</v>
      </c>
      <c r="AI254" s="324"/>
      <c r="AL254" s="487" t="s">
        <v>14397</v>
      </c>
      <c r="AM254" s="477" t="s">
        <v>71</v>
      </c>
      <c r="AN254" s="637">
        <v>100</v>
      </c>
      <c r="AO254" s="478">
        <v>-844</v>
      </c>
      <c r="AP254" s="463">
        <v>-642</v>
      </c>
      <c r="AQ254" s="479">
        <v>-202</v>
      </c>
      <c r="AR254" s="476" t="s">
        <v>16845</v>
      </c>
      <c r="BA254" s="313" t="s">
        <v>3100</v>
      </c>
    </row>
    <row r="255" spans="2:53" ht="16.5" customHeight="1">
      <c r="B255" s="367" t="s">
        <v>8530</v>
      </c>
      <c r="C255" s="351" t="s">
        <v>8531</v>
      </c>
      <c r="D255" s="353">
        <v>-848</v>
      </c>
      <c r="E255" s="352" t="s">
        <v>408</v>
      </c>
      <c r="F255" s="341">
        <v>95.5</v>
      </c>
      <c r="G255" s="355" t="s">
        <v>3340</v>
      </c>
      <c r="H255" s="356" t="s">
        <v>18431</v>
      </c>
      <c r="I255" s="354" t="s">
        <v>75</v>
      </c>
      <c r="J255" s="340" t="s">
        <v>8534</v>
      </c>
      <c r="K255" s="339" t="s">
        <v>71</v>
      </c>
      <c r="L255" s="357">
        <v>23</v>
      </c>
      <c r="M255" s="358" t="s">
        <v>8535</v>
      </c>
      <c r="N255" s="359">
        <v>1000</v>
      </c>
      <c r="O255" s="360" t="s">
        <v>530</v>
      </c>
      <c r="P255" s="343" t="s">
        <v>531</v>
      </c>
      <c r="Q255" s="342" t="s">
        <v>2688</v>
      </c>
      <c r="R255" s="344">
        <v>36</v>
      </c>
      <c r="S255" s="345">
        <v>36</v>
      </c>
      <c r="T255" s="362">
        <v>29</v>
      </c>
      <c r="U255" s="361">
        <v>95.5</v>
      </c>
      <c r="V255" s="346">
        <v>130.11170662905499</v>
      </c>
      <c r="W255" s="348">
        <v>128.70053596614949</v>
      </c>
      <c r="X255" s="347">
        <v>65.77</v>
      </c>
      <c r="Y255" s="357">
        <v>66.37</v>
      </c>
      <c r="Z255" s="365" t="s">
        <v>2689</v>
      </c>
      <c r="AA255" s="350">
        <v>0</v>
      </c>
      <c r="AB255" s="349" t="s">
        <v>2685</v>
      </c>
      <c r="AC255" s="350">
        <v>10</v>
      </c>
      <c r="AD255" s="349" t="s">
        <v>2685</v>
      </c>
      <c r="AE255" s="364">
        <v>0</v>
      </c>
      <c r="AF255" s="366">
        <v>0</v>
      </c>
      <c r="AG255" s="363">
        <v>0</v>
      </c>
      <c r="AH255" s="635" t="s">
        <v>408</v>
      </c>
      <c r="AI255" s="324"/>
      <c r="AL255" s="487" t="s">
        <v>14398</v>
      </c>
      <c r="AM255" s="477" t="s">
        <v>71</v>
      </c>
      <c r="AN255" s="637">
        <v>100</v>
      </c>
      <c r="AO255" s="478">
        <v>-848</v>
      </c>
      <c r="AP255" s="463">
        <v>-645</v>
      </c>
      <c r="AQ255" s="479">
        <v>-203</v>
      </c>
      <c r="AR255" s="476" t="s">
        <v>16846</v>
      </c>
      <c r="BA255" s="313" t="s">
        <v>3101</v>
      </c>
    </row>
    <row r="256" spans="2:53" ht="16.5" customHeight="1">
      <c r="B256" s="367" t="s">
        <v>3174</v>
      </c>
      <c r="C256" s="351" t="s">
        <v>3175</v>
      </c>
      <c r="D256" s="353">
        <v>-849</v>
      </c>
      <c r="E256" s="352" t="s">
        <v>3359</v>
      </c>
      <c r="F256" s="341">
        <v>95.48</v>
      </c>
      <c r="G256" s="355" t="s">
        <v>8536</v>
      </c>
      <c r="H256" s="356" t="s">
        <v>8537</v>
      </c>
      <c r="I256" s="354" t="s">
        <v>80</v>
      </c>
      <c r="J256" s="340" t="s">
        <v>8538</v>
      </c>
      <c r="K256" s="339" t="s">
        <v>70</v>
      </c>
      <c r="L256" s="357">
        <v>19</v>
      </c>
      <c r="M256" s="358" t="s">
        <v>8539</v>
      </c>
      <c r="N256" s="359">
        <v>1000</v>
      </c>
      <c r="O256" s="360" t="s">
        <v>532</v>
      </c>
      <c r="P256" s="343" t="s">
        <v>533</v>
      </c>
      <c r="Q256" s="342" t="s">
        <v>2688</v>
      </c>
      <c r="R256" s="344">
        <v>25</v>
      </c>
      <c r="S256" s="345">
        <v>40</v>
      </c>
      <c r="T256" s="362">
        <v>25</v>
      </c>
      <c r="U256" s="361">
        <v>95.48</v>
      </c>
      <c r="V256" s="346">
        <v>130.0893945791521</v>
      </c>
      <c r="W256" s="348">
        <v>128.68045512123689</v>
      </c>
      <c r="X256" s="347">
        <v>65.260000000000005</v>
      </c>
      <c r="Y256" s="357">
        <v>67.58</v>
      </c>
      <c r="Z256" s="365" t="s">
        <v>2689</v>
      </c>
      <c r="AA256" s="350">
        <v>100</v>
      </c>
      <c r="AB256" s="349" t="s">
        <v>2685</v>
      </c>
      <c r="AC256" s="350">
        <v>0</v>
      </c>
      <c r="AD256" s="349" t="s">
        <v>2685</v>
      </c>
      <c r="AE256" s="364">
        <v>0</v>
      </c>
      <c r="AF256" s="366">
        <v>0</v>
      </c>
      <c r="AG256" s="363">
        <v>0</v>
      </c>
      <c r="AH256" s="635" t="s">
        <v>408</v>
      </c>
      <c r="AI256" s="324"/>
      <c r="AL256" s="487" t="s">
        <v>14399</v>
      </c>
      <c r="AM256" s="477" t="s">
        <v>70</v>
      </c>
      <c r="AN256" s="637">
        <v>100</v>
      </c>
      <c r="AO256" s="478">
        <v>-849</v>
      </c>
      <c r="AP256" s="463">
        <v>-849</v>
      </c>
      <c r="AQ256" s="479">
        <v>0</v>
      </c>
      <c r="AR256" s="476" t="s">
        <v>14400</v>
      </c>
      <c r="BA256" s="313" t="s">
        <v>3104</v>
      </c>
    </row>
    <row r="257" spans="2:53" ht="16.5" customHeight="1">
      <c r="B257" s="367" t="s">
        <v>3174</v>
      </c>
      <c r="C257" s="351" t="s">
        <v>3175</v>
      </c>
      <c r="D257" s="353">
        <v>-849</v>
      </c>
      <c r="E257" s="352" t="s">
        <v>408</v>
      </c>
      <c r="F257" s="341">
        <v>95.48</v>
      </c>
      <c r="G257" s="355" t="s">
        <v>8536</v>
      </c>
      <c r="H257" s="356" t="s">
        <v>8537</v>
      </c>
      <c r="I257" s="354" t="s">
        <v>75</v>
      </c>
      <c r="J257" s="340" t="s">
        <v>8540</v>
      </c>
      <c r="K257" s="339" t="s">
        <v>70</v>
      </c>
      <c r="L257" s="357">
        <v>21</v>
      </c>
      <c r="M257" s="358" t="s">
        <v>8541</v>
      </c>
      <c r="N257" s="359">
        <v>1000</v>
      </c>
      <c r="O257" s="360" t="s">
        <v>530</v>
      </c>
      <c r="P257" s="343" t="s">
        <v>531</v>
      </c>
      <c r="Q257" s="342" t="s">
        <v>2688</v>
      </c>
      <c r="R257" s="344">
        <v>31</v>
      </c>
      <c r="S257" s="345">
        <v>38</v>
      </c>
      <c r="T257" s="362">
        <v>31</v>
      </c>
      <c r="U257" s="361">
        <v>95.48</v>
      </c>
      <c r="V257" s="346">
        <v>130.08981536628946</v>
      </c>
      <c r="W257" s="348">
        <v>128.68083382966051</v>
      </c>
      <c r="X257" s="347">
        <v>65.260000000000005</v>
      </c>
      <c r="Y257" s="357">
        <v>66.600000000000009</v>
      </c>
      <c r="Z257" s="365" t="s">
        <v>2689</v>
      </c>
      <c r="AA257" s="350">
        <v>0</v>
      </c>
      <c r="AB257" s="349" t="s">
        <v>2685</v>
      </c>
      <c r="AC257" s="350">
        <v>10</v>
      </c>
      <c r="AD257" s="349" t="s">
        <v>2685</v>
      </c>
      <c r="AE257" s="364">
        <v>0</v>
      </c>
      <c r="AF257" s="366">
        <v>0</v>
      </c>
      <c r="AG257" s="363">
        <v>0</v>
      </c>
      <c r="AH257" s="635" t="s">
        <v>408</v>
      </c>
      <c r="AI257" s="324"/>
      <c r="AL257" s="487" t="s">
        <v>14401</v>
      </c>
      <c r="AM257" s="477" t="s">
        <v>70</v>
      </c>
      <c r="AN257" s="637">
        <v>100</v>
      </c>
      <c r="AO257" s="478">
        <v>-849</v>
      </c>
      <c r="AP257" s="463">
        <v>-849</v>
      </c>
      <c r="AQ257" s="479">
        <v>0</v>
      </c>
      <c r="AR257" s="476" t="s">
        <v>14400</v>
      </c>
      <c r="BA257" s="313" t="s">
        <v>3105</v>
      </c>
    </row>
    <row r="258" spans="2:53" ht="16.5" customHeight="1">
      <c r="B258" s="367" t="s">
        <v>3177</v>
      </c>
      <c r="C258" s="351" t="s">
        <v>3178</v>
      </c>
      <c r="D258" s="353">
        <v>-849</v>
      </c>
      <c r="E258" s="352" t="s">
        <v>3391</v>
      </c>
      <c r="F258" s="341">
        <v>95.47</v>
      </c>
      <c r="G258" s="355" t="s">
        <v>8542</v>
      </c>
      <c r="H258" s="356" t="s">
        <v>3218</v>
      </c>
      <c r="I258" s="354" t="s">
        <v>80</v>
      </c>
      <c r="J258" s="340" t="s">
        <v>551</v>
      </c>
      <c r="K258" s="339" t="s">
        <v>70</v>
      </c>
      <c r="L258" s="357">
        <v>17</v>
      </c>
      <c r="M258" s="358" t="s">
        <v>8543</v>
      </c>
      <c r="N258" s="359">
        <v>1000</v>
      </c>
      <c r="O258" s="360" t="s">
        <v>532</v>
      </c>
      <c r="P258" s="343" t="s">
        <v>533</v>
      </c>
      <c r="Q258" s="342" t="s">
        <v>2688</v>
      </c>
      <c r="R258" s="344">
        <v>25</v>
      </c>
      <c r="S258" s="345">
        <v>40</v>
      </c>
      <c r="T258" s="362">
        <v>25</v>
      </c>
      <c r="U258" s="361">
        <v>95.47</v>
      </c>
      <c r="V258" s="346">
        <v>130.08240155959427</v>
      </c>
      <c r="W258" s="348">
        <v>128.67416140363483</v>
      </c>
      <c r="X258" s="347">
        <v>65.260000000000005</v>
      </c>
      <c r="Y258" s="357">
        <v>67.570000000000007</v>
      </c>
      <c r="Z258" s="365" t="s">
        <v>2689</v>
      </c>
      <c r="AA258" s="350">
        <v>100</v>
      </c>
      <c r="AB258" s="349" t="s">
        <v>2685</v>
      </c>
      <c r="AC258" s="350">
        <v>0</v>
      </c>
      <c r="AD258" s="349" t="s">
        <v>2685</v>
      </c>
      <c r="AE258" s="364">
        <v>0</v>
      </c>
      <c r="AF258" s="366">
        <v>0</v>
      </c>
      <c r="AG258" s="363">
        <v>0</v>
      </c>
      <c r="AH258" s="635" t="s">
        <v>408</v>
      </c>
      <c r="AI258" s="324"/>
      <c r="AL258" s="487" t="s">
        <v>14402</v>
      </c>
      <c r="AM258" s="477" t="s">
        <v>70</v>
      </c>
      <c r="AN258" s="637">
        <v>100</v>
      </c>
      <c r="AO258" s="478">
        <v>-849</v>
      </c>
      <c r="AP258" s="463">
        <v>-849</v>
      </c>
      <c r="AQ258" s="479">
        <v>0</v>
      </c>
      <c r="AR258" s="476" t="s">
        <v>14403</v>
      </c>
      <c r="BA258" s="313" t="s">
        <v>3106</v>
      </c>
    </row>
    <row r="259" spans="2:53" ht="16.5" customHeight="1">
      <c r="B259" s="367" t="s">
        <v>3181</v>
      </c>
      <c r="C259" s="351" t="s">
        <v>3182</v>
      </c>
      <c r="D259" s="353">
        <v>-850</v>
      </c>
      <c r="E259" s="352" t="s">
        <v>8532</v>
      </c>
      <c r="F259" s="341">
        <v>95.46</v>
      </c>
      <c r="G259" s="355" t="s">
        <v>8544</v>
      </c>
      <c r="H259" s="356" t="s">
        <v>8311</v>
      </c>
      <c r="I259" s="354" t="s">
        <v>73</v>
      </c>
      <c r="J259" s="340" t="s">
        <v>8384</v>
      </c>
      <c r="K259" s="339" t="s">
        <v>70</v>
      </c>
      <c r="L259" s="357">
        <v>41</v>
      </c>
      <c r="M259" s="358" t="s">
        <v>8545</v>
      </c>
      <c r="N259" s="359">
        <v>1000</v>
      </c>
      <c r="O259" s="360" t="s">
        <v>530</v>
      </c>
      <c r="P259" s="343" t="s">
        <v>531</v>
      </c>
      <c r="Q259" s="342" t="s">
        <v>2688</v>
      </c>
      <c r="R259" s="344">
        <v>22</v>
      </c>
      <c r="S259" s="345">
        <v>33</v>
      </c>
      <c r="T259" s="362">
        <v>33</v>
      </c>
      <c r="U259" s="361">
        <v>95.46</v>
      </c>
      <c r="V259" s="346">
        <v>130.06939009743721</v>
      </c>
      <c r="W259" s="348">
        <v>128.66245108769348</v>
      </c>
      <c r="X259" s="347">
        <v>65.25</v>
      </c>
      <c r="Y259" s="357">
        <v>66.350000000000009</v>
      </c>
      <c r="Z259" s="365" t="s">
        <v>2689</v>
      </c>
      <c r="AA259" s="350">
        <v>111.11</v>
      </c>
      <c r="AB259" s="349" t="s">
        <v>2685</v>
      </c>
      <c r="AC259" s="350">
        <v>0</v>
      </c>
      <c r="AD259" s="349" t="s">
        <v>2685</v>
      </c>
      <c r="AE259" s="364">
        <v>0</v>
      </c>
      <c r="AF259" s="366">
        <v>6.6349999999999998</v>
      </c>
      <c r="AG259" s="363">
        <v>0</v>
      </c>
      <c r="AH259" s="635" t="s">
        <v>7791</v>
      </c>
      <c r="AI259" s="324"/>
      <c r="AL259" s="487" t="s">
        <v>14404</v>
      </c>
      <c r="AM259" s="477" t="s">
        <v>70</v>
      </c>
      <c r="AN259" s="637">
        <v>100</v>
      </c>
      <c r="AO259" s="478">
        <v>-850</v>
      </c>
      <c r="AP259" s="463">
        <v>-850</v>
      </c>
      <c r="AQ259" s="479">
        <v>0</v>
      </c>
      <c r="AR259" s="476" t="s">
        <v>17143</v>
      </c>
      <c r="BA259" s="313" t="s">
        <v>3110</v>
      </c>
    </row>
    <row r="260" spans="2:53" ht="16.5" customHeight="1">
      <c r="B260" s="367" t="s">
        <v>3185</v>
      </c>
      <c r="C260" s="351" t="s">
        <v>3186</v>
      </c>
      <c r="D260" s="353">
        <v>-814</v>
      </c>
      <c r="E260" s="352" t="s">
        <v>408</v>
      </c>
      <c r="F260" s="341">
        <v>95.45</v>
      </c>
      <c r="G260" s="355" t="s">
        <v>8968</v>
      </c>
      <c r="H260" s="356" t="s">
        <v>18436</v>
      </c>
      <c r="I260" s="354" t="s">
        <v>7872</v>
      </c>
      <c r="J260" s="340" t="s">
        <v>427</v>
      </c>
      <c r="K260" s="339" t="s">
        <v>70</v>
      </c>
      <c r="L260" s="357">
        <v>28</v>
      </c>
      <c r="M260" s="358" t="s">
        <v>8355</v>
      </c>
      <c r="N260" s="359">
        <v>1000</v>
      </c>
      <c r="O260" s="360" t="s">
        <v>532</v>
      </c>
      <c r="P260" s="343" t="s">
        <v>532</v>
      </c>
      <c r="Q260" s="342" t="s">
        <v>2688</v>
      </c>
      <c r="R260" s="344">
        <v>20</v>
      </c>
      <c r="S260" s="345">
        <v>30</v>
      </c>
      <c r="T260" s="362">
        <v>30</v>
      </c>
      <c r="U260" s="361">
        <v>95.45</v>
      </c>
      <c r="V260" s="346">
        <v>130.05858745639563</v>
      </c>
      <c r="W260" s="348">
        <v>128.65272871075607</v>
      </c>
      <c r="X260" s="347" t="s">
        <v>18437</v>
      </c>
      <c r="Y260" s="357" t="s">
        <v>408</v>
      </c>
      <c r="Z260" s="365" t="s">
        <v>2689</v>
      </c>
      <c r="AA260" s="350">
        <v>200</v>
      </c>
      <c r="AB260" s="349" t="s">
        <v>2685</v>
      </c>
      <c r="AC260" s="350">
        <v>0</v>
      </c>
      <c r="AD260" s="349" t="s">
        <v>2685</v>
      </c>
      <c r="AE260" s="364">
        <v>0</v>
      </c>
      <c r="AF260" s="366">
        <v>0</v>
      </c>
      <c r="AG260" s="363">
        <v>0</v>
      </c>
      <c r="AH260" s="635" t="s">
        <v>408</v>
      </c>
      <c r="AI260" s="324"/>
      <c r="AL260" s="487" t="s">
        <v>14339</v>
      </c>
      <c r="AM260" s="477" t="s">
        <v>70</v>
      </c>
      <c r="AN260" s="637">
        <v>100</v>
      </c>
      <c r="AO260" s="478">
        <v>-814</v>
      </c>
      <c r="AP260" s="463">
        <v>-814</v>
      </c>
      <c r="AQ260" s="479">
        <v>0</v>
      </c>
      <c r="AR260" s="476" t="s">
        <v>17144</v>
      </c>
      <c r="BA260" s="313" t="s">
        <v>3113</v>
      </c>
    </row>
    <row r="261" spans="2:53" ht="16.5" customHeight="1">
      <c r="B261" s="367" t="s">
        <v>3189</v>
      </c>
      <c r="C261" s="351" t="s">
        <v>3190</v>
      </c>
      <c r="D261" s="353">
        <v>-814</v>
      </c>
      <c r="E261" s="352" t="s">
        <v>408</v>
      </c>
      <c r="F261" s="341">
        <v>95.44</v>
      </c>
      <c r="G261" s="355" t="s">
        <v>3436</v>
      </c>
      <c r="H261" s="356" t="s">
        <v>18438</v>
      </c>
      <c r="I261" s="354" t="s">
        <v>214</v>
      </c>
      <c r="J261" s="340" t="s">
        <v>8178</v>
      </c>
      <c r="K261" s="339" t="s">
        <v>70</v>
      </c>
      <c r="L261" s="357">
        <v>4</v>
      </c>
      <c r="M261" s="358" t="s">
        <v>8356</v>
      </c>
      <c r="N261" s="359">
        <v>200</v>
      </c>
      <c r="O261" s="360" t="s">
        <v>532</v>
      </c>
      <c r="P261" s="343" t="s">
        <v>532</v>
      </c>
      <c r="Q261" s="342" t="s">
        <v>2688</v>
      </c>
      <c r="R261" s="344">
        <v>20</v>
      </c>
      <c r="S261" s="345">
        <v>30</v>
      </c>
      <c r="T261" s="362">
        <v>30</v>
      </c>
      <c r="U261" s="361">
        <v>95.44</v>
      </c>
      <c r="V261" s="346">
        <v>130.04184266354329</v>
      </c>
      <c r="W261" s="348">
        <v>128.63765839718894</v>
      </c>
      <c r="X261" s="347" t="s">
        <v>18437</v>
      </c>
      <c r="Y261" s="357" t="s">
        <v>408</v>
      </c>
      <c r="Z261" s="365" t="s">
        <v>2689</v>
      </c>
      <c r="AA261" s="350">
        <v>40</v>
      </c>
      <c r="AB261" s="349" t="s">
        <v>2685</v>
      </c>
      <c r="AC261" s="350">
        <v>0</v>
      </c>
      <c r="AD261" s="349" t="s">
        <v>2685</v>
      </c>
      <c r="AE261" s="364">
        <v>0</v>
      </c>
      <c r="AF261" s="366">
        <v>0</v>
      </c>
      <c r="AG261" s="363">
        <v>0</v>
      </c>
      <c r="AH261" s="635" t="s">
        <v>8341</v>
      </c>
      <c r="AI261" s="324"/>
      <c r="AL261" s="487" t="s">
        <v>14337</v>
      </c>
      <c r="AM261" s="477" t="s">
        <v>70</v>
      </c>
      <c r="AN261" s="637">
        <v>100</v>
      </c>
      <c r="AO261" s="478">
        <v>-814</v>
      </c>
      <c r="AP261" s="463">
        <v>-814</v>
      </c>
      <c r="AQ261" s="479">
        <v>0</v>
      </c>
      <c r="AR261" s="476" t="s">
        <v>17145</v>
      </c>
      <c r="BA261" s="313" t="s">
        <v>3114</v>
      </c>
    </row>
    <row r="262" spans="2:53" ht="16.5" customHeight="1">
      <c r="B262" s="367" t="s">
        <v>3189</v>
      </c>
      <c r="C262" s="351" t="s">
        <v>3190</v>
      </c>
      <c r="D262" s="353">
        <v>-851</v>
      </c>
      <c r="E262" s="352" t="s">
        <v>408</v>
      </c>
      <c r="F262" s="341">
        <v>95.44</v>
      </c>
      <c r="G262" s="355" t="s">
        <v>3436</v>
      </c>
      <c r="H262" s="356" t="s">
        <v>3224</v>
      </c>
      <c r="I262" s="354" t="s">
        <v>214</v>
      </c>
      <c r="J262" s="340" t="s">
        <v>8357</v>
      </c>
      <c r="K262" s="339" t="s">
        <v>70</v>
      </c>
      <c r="L262" s="357">
        <v>4</v>
      </c>
      <c r="M262" s="358" t="s">
        <v>8356</v>
      </c>
      <c r="N262" s="359">
        <v>200</v>
      </c>
      <c r="O262" s="360" t="s">
        <v>532</v>
      </c>
      <c r="P262" s="343" t="s">
        <v>532</v>
      </c>
      <c r="Q262" s="342" t="s">
        <v>2688</v>
      </c>
      <c r="R262" s="344">
        <v>20</v>
      </c>
      <c r="S262" s="345">
        <v>30</v>
      </c>
      <c r="T262" s="362">
        <v>30</v>
      </c>
      <c r="U262" s="361">
        <v>95.44</v>
      </c>
      <c r="V262" s="346">
        <v>130.04184266354329</v>
      </c>
      <c r="W262" s="348">
        <v>128.63765839718894</v>
      </c>
      <c r="X262" s="347" t="s">
        <v>18437</v>
      </c>
      <c r="Y262" s="357" t="s">
        <v>408</v>
      </c>
      <c r="Z262" s="365" t="s">
        <v>2689</v>
      </c>
      <c r="AA262" s="350">
        <v>40</v>
      </c>
      <c r="AB262" s="349" t="s">
        <v>2685</v>
      </c>
      <c r="AC262" s="350">
        <v>0</v>
      </c>
      <c r="AD262" s="349" t="s">
        <v>2685</v>
      </c>
      <c r="AE262" s="364">
        <v>0</v>
      </c>
      <c r="AF262" s="366">
        <v>0</v>
      </c>
      <c r="AG262" s="363">
        <v>0</v>
      </c>
      <c r="AH262" s="635" t="s">
        <v>408</v>
      </c>
      <c r="AI262" s="324"/>
      <c r="AL262" s="487" t="s">
        <v>14338</v>
      </c>
      <c r="AM262" s="477" t="s">
        <v>70</v>
      </c>
      <c r="AN262" s="637">
        <v>100</v>
      </c>
      <c r="AO262" s="478">
        <v>-851</v>
      </c>
      <c r="AP262" s="463">
        <v>-851</v>
      </c>
      <c r="AQ262" s="479">
        <v>0</v>
      </c>
      <c r="AR262" s="476" t="s">
        <v>17146</v>
      </c>
      <c r="BA262" s="313" t="s">
        <v>3115</v>
      </c>
    </row>
    <row r="263" spans="2:53" ht="16.5" customHeight="1">
      <c r="B263" s="367" t="s">
        <v>3189</v>
      </c>
      <c r="C263" s="351" t="s">
        <v>3190</v>
      </c>
      <c r="D263" s="353">
        <v>-814</v>
      </c>
      <c r="E263" s="352" t="s">
        <v>408</v>
      </c>
      <c r="F263" s="341">
        <v>95.43</v>
      </c>
      <c r="G263" s="355" t="s">
        <v>8546</v>
      </c>
      <c r="H263" s="356" t="s">
        <v>8547</v>
      </c>
      <c r="I263" s="354" t="s">
        <v>73</v>
      </c>
      <c r="J263" s="340" t="s">
        <v>8548</v>
      </c>
      <c r="K263" s="339" t="s">
        <v>70</v>
      </c>
      <c r="L263" s="357">
        <v>59</v>
      </c>
      <c r="M263" s="358" t="s">
        <v>8549</v>
      </c>
      <c r="N263" s="359">
        <v>1000</v>
      </c>
      <c r="O263" s="360" t="s">
        <v>530</v>
      </c>
      <c r="P263" s="343" t="s">
        <v>531</v>
      </c>
      <c r="Q263" s="342" t="s">
        <v>2688</v>
      </c>
      <c r="R263" s="344">
        <v>22</v>
      </c>
      <c r="S263" s="345">
        <v>33</v>
      </c>
      <c r="T263" s="362">
        <v>33</v>
      </c>
      <c r="U263" s="361">
        <v>95.43</v>
      </c>
      <c r="V263" s="346">
        <v>130.0333233248746</v>
      </c>
      <c r="W263" s="348">
        <v>128.62999099238712</v>
      </c>
      <c r="X263" s="347">
        <v>65.23</v>
      </c>
      <c r="Y263" s="357">
        <v>66.33</v>
      </c>
      <c r="Z263" s="365" t="s">
        <v>2689</v>
      </c>
      <c r="AA263" s="350">
        <v>111.11</v>
      </c>
      <c r="AB263" s="349" t="s">
        <v>2685</v>
      </c>
      <c r="AC263" s="350">
        <v>0</v>
      </c>
      <c r="AD263" s="349" t="s">
        <v>2685</v>
      </c>
      <c r="AE263" s="364">
        <v>0</v>
      </c>
      <c r="AF263" s="366">
        <v>6.633</v>
      </c>
      <c r="AG263" s="363">
        <v>0</v>
      </c>
      <c r="AH263" s="635" t="s">
        <v>7791</v>
      </c>
      <c r="AI263" s="324"/>
      <c r="AL263" s="487" t="s">
        <v>14405</v>
      </c>
      <c r="AM263" s="477" t="s">
        <v>70</v>
      </c>
      <c r="AN263" s="637">
        <v>100</v>
      </c>
      <c r="AO263" s="478">
        <v>-814</v>
      </c>
      <c r="AP263" s="463">
        <v>-814</v>
      </c>
      <c r="AQ263" s="479">
        <v>0</v>
      </c>
      <c r="AR263" s="476" t="s">
        <v>14406</v>
      </c>
      <c r="BA263" s="313" t="s">
        <v>3119</v>
      </c>
    </row>
    <row r="264" spans="2:53" ht="16.5" customHeight="1">
      <c r="B264" s="367" t="s">
        <v>3200</v>
      </c>
      <c r="C264" s="351" t="s">
        <v>3201</v>
      </c>
      <c r="D264" s="353">
        <v>-814</v>
      </c>
      <c r="E264" s="352" t="s">
        <v>408</v>
      </c>
      <c r="F264" s="341">
        <v>95.4</v>
      </c>
      <c r="G264" s="355" t="s">
        <v>8532</v>
      </c>
      <c r="H264" s="356" t="s">
        <v>3197</v>
      </c>
      <c r="I264" s="354" t="s">
        <v>73</v>
      </c>
      <c r="J264" s="340" t="s">
        <v>555</v>
      </c>
      <c r="K264" s="339" t="s">
        <v>70</v>
      </c>
      <c r="L264" s="357">
        <v>18</v>
      </c>
      <c r="M264" s="358" t="s">
        <v>8550</v>
      </c>
      <c r="N264" s="359">
        <v>1000</v>
      </c>
      <c r="O264" s="360" t="s">
        <v>530</v>
      </c>
      <c r="P264" s="343" t="s">
        <v>531</v>
      </c>
      <c r="Q264" s="342" t="s">
        <v>2688</v>
      </c>
      <c r="R264" s="344">
        <v>22</v>
      </c>
      <c r="S264" s="345">
        <v>33</v>
      </c>
      <c r="T264" s="362">
        <v>33</v>
      </c>
      <c r="U264" s="361">
        <v>95.4</v>
      </c>
      <c r="V264" s="346">
        <v>129.99576819138886</v>
      </c>
      <c r="W264" s="348">
        <v>128.59534501052772</v>
      </c>
      <c r="X264" s="347">
        <v>65.209999999999994</v>
      </c>
      <c r="Y264" s="357">
        <v>66.31</v>
      </c>
      <c r="Z264" s="365" t="s">
        <v>2689</v>
      </c>
      <c r="AA264" s="350">
        <v>111.11</v>
      </c>
      <c r="AB264" s="349" t="s">
        <v>2685</v>
      </c>
      <c r="AC264" s="350">
        <v>0</v>
      </c>
      <c r="AD264" s="349" t="s">
        <v>2685</v>
      </c>
      <c r="AE264" s="364">
        <v>0</v>
      </c>
      <c r="AF264" s="366">
        <v>6.6310000000000002</v>
      </c>
      <c r="AG264" s="363">
        <v>0</v>
      </c>
      <c r="AH264" s="635" t="s">
        <v>7791</v>
      </c>
      <c r="AI264" s="324"/>
      <c r="AL264" s="487" t="s">
        <v>14407</v>
      </c>
      <c r="AM264" s="477" t="s">
        <v>70</v>
      </c>
      <c r="AN264" s="637">
        <v>100</v>
      </c>
      <c r="AO264" s="478">
        <v>-814</v>
      </c>
      <c r="AP264" s="463">
        <v>-814</v>
      </c>
      <c r="AQ264" s="479">
        <v>0</v>
      </c>
      <c r="AR264" s="476" t="s">
        <v>17147</v>
      </c>
      <c r="BA264" s="313" t="s">
        <v>3122</v>
      </c>
    </row>
    <row r="265" spans="2:53" ht="16.5" customHeight="1">
      <c r="B265" s="367" t="s">
        <v>8530</v>
      </c>
      <c r="C265" s="351" t="s">
        <v>8531</v>
      </c>
      <c r="D265" s="353">
        <v>-853</v>
      </c>
      <c r="E265" s="352" t="s">
        <v>408</v>
      </c>
      <c r="F265" s="341">
        <v>95.39</v>
      </c>
      <c r="G265" s="355" t="s">
        <v>8551</v>
      </c>
      <c r="H265" s="356" t="s">
        <v>3234</v>
      </c>
      <c r="I265" s="354" t="s">
        <v>73</v>
      </c>
      <c r="J265" s="340" t="s">
        <v>8552</v>
      </c>
      <c r="K265" s="339" t="s">
        <v>70</v>
      </c>
      <c r="L265" s="357">
        <v>10</v>
      </c>
      <c r="M265" s="358" t="s">
        <v>8553</v>
      </c>
      <c r="N265" s="359">
        <v>1000</v>
      </c>
      <c r="O265" s="360" t="s">
        <v>530</v>
      </c>
      <c r="P265" s="343" t="s">
        <v>531</v>
      </c>
      <c r="Q265" s="342" t="s">
        <v>2688</v>
      </c>
      <c r="R265" s="344">
        <v>22</v>
      </c>
      <c r="S265" s="345">
        <v>33</v>
      </c>
      <c r="T265" s="362">
        <v>33</v>
      </c>
      <c r="U265" s="361">
        <v>95.39</v>
      </c>
      <c r="V265" s="346">
        <v>129.9883449110533</v>
      </c>
      <c r="W265" s="348">
        <v>128.58717940215863</v>
      </c>
      <c r="X265" s="347">
        <v>65.209999999999994</v>
      </c>
      <c r="Y265" s="357">
        <v>66.300000000000011</v>
      </c>
      <c r="Z265" s="365" t="s">
        <v>2689</v>
      </c>
      <c r="AA265" s="350">
        <v>111.11</v>
      </c>
      <c r="AB265" s="349" t="s">
        <v>2685</v>
      </c>
      <c r="AC265" s="350">
        <v>0</v>
      </c>
      <c r="AD265" s="349" t="s">
        <v>2685</v>
      </c>
      <c r="AE265" s="364">
        <v>0</v>
      </c>
      <c r="AF265" s="366">
        <v>6.63</v>
      </c>
      <c r="AG265" s="363">
        <v>0</v>
      </c>
      <c r="AH265" s="635" t="s">
        <v>7791</v>
      </c>
      <c r="AI265" s="324"/>
      <c r="AL265" s="487" t="s">
        <v>14408</v>
      </c>
      <c r="AM265" s="477" t="s">
        <v>70</v>
      </c>
      <c r="AN265" s="637">
        <v>100</v>
      </c>
      <c r="AO265" s="478">
        <v>-853</v>
      </c>
      <c r="AP265" s="463">
        <v>-853</v>
      </c>
      <c r="AQ265" s="479">
        <v>0</v>
      </c>
      <c r="AR265" s="476" t="s">
        <v>14410</v>
      </c>
      <c r="BA265" s="313" t="s">
        <v>3126</v>
      </c>
    </row>
    <row r="266" spans="2:53" ht="16.5" customHeight="1">
      <c r="B266" s="367" t="s">
        <v>8530</v>
      </c>
      <c r="C266" s="351" t="s">
        <v>8531</v>
      </c>
      <c r="D266" s="353">
        <v>-855</v>
      </c>
      <c r="E266" s="352" t="s">
        <v>408</v>
      </c>
      <c r="F266" s="341">
        <v>95.39</v>
      </c>
      <c r="G266" s="355" t="s">
        <v>8554</v>
      </c>
      <c r="H266" s="356" t="s">
        <v>18439</v>
      </c>
      <c r="I266" s="354" t="s">
        <v>73</v>
      </c>
      <c r="J266" s="340" t="s">
        <v>8555</v>
      </c>
      <c r="K266" s="339" t="s">
        <v>70</v>
      </c>
      <c r="L266" s="357">
        <v>15</v>
      </c>
      <c r="M266" s="358" t="s">
        <v>4608</v>
      </c>
      <c r="N266" s="359">
        <v>1000</v>
      </c>
      <c r="O266" s="360" t="s">
        <v>530</v>
      </c>
      <c r="P266" s="343" t="s">
        <v>531</v>
      </c>
      <c r="Q266" s="342" t="s">
        <v>2688</v>
      </c>
      <c r="R266" s="344">
        <v>22</v>
      </c>
      <c r="S266" s="345">
        <v>33</v>
      </c>
      <c r="T266" s="362">
        <v>33</v>
      </c>
      <c r="U266" s="361">
        <v>95.39</v>
      </c>
      <c r="V266" s="346">
        <v>129.99274665517186</v>
      </c>
      <c r="W266" s="348">
        <v>128.59202132068904</v>
      </c>
      <c r="X266" s="347">
        <v>65.209999999999994</v>
      </c>
      <c r="Y266" s="357">
        <v>66.300000000000011</v>
      </c>
      <c r="Z266" s="365" t="s">
        <v>2689</v>
      </c>
      <c r="AA266" s="350">
        <v>111.11</v>
      </c>
      <c r="AB266" s="349" t="s">
        <v>2685</v>
      </c>
      <c r="AC266" s="350">
        <v>0</v>
      </c>
      <c r="AD266" s="349" t="s">
        <v>2685</v>
      </c>
      <c r="AE266" s="364">
        <v>0</v>
      </c>
      <c r="AF266" s="366">
        <v>6.63</v>
      </c>
      <c r="AG266" s="363">
        <v>0</v>
      </c>
      <c r="AH266" s="635" t="s">
        <v>7791</v>
      </c>
      <c r="AI266" s="324"/>
      <c r="AL266" s="487" t="s">
        <v>14409</v>
      </c>
      <c r="AM266" s="477" t="s">
        <v>70</v>
      </c>
      <c r="AN266" s="637">
        <v>100</v>
      </c>
      <c r="AO266" s="478">
        <v>-855</v>
      </c>
      <c r="AP266" s="463">
        <v>-855</v>
      </c>
      <c r="AQ266" s="479">
        <v>0</v>
      </c>
      <c r="AR266" s="476" t="s">
        <v>14410</v>
      </c>
      <c r="BA266" s="313" t="s">
        <v>3128</v>
      </c>
    </row>
    <row r="267" spans="2:53" ht="16.5" customHeight="1">
      <c r="B267" s="367" t="s">
        <v>8530</v>
      </c>
      <c r="C267" s="351" t="s">
        <v>8531</v>
      </c>
      <c r="D267" s="353">
        <v>-856</v>
      </c>
      <c r="E267" s="352" t="s">
        <v>408</v>
      </c>
      <c r="F267" s="341">
        <v>95.38</v>
      </c>
      <c r="G267" s="355" t="s">
        <v>8556</v>
      </c>
      <c r="H267" s="356" t="s">
        <v>8557</v>
      </c>
      <c r="I267" s="354" t="s">
        <v>80</v>
      </c>
      <c r="J267" s="340" t="s">
        <v>8558</v>
      </c>
      <c r="K267" s="339" t="s">
        <v>70</v>
      </c>
      <c r="L267" s="357">
        <v>17</v>
      </c>
      <c r="M267" s="358" t="s">
        <v>8559</v>
      </c>
      <c r="N267" s="359">
        <v>1000</v>
      </c>
      <c r="O267" s="360" t="s">
        <v>532</v>
      </c>
      <c r="P267" s="343" t="s">
        <v>533</v>
      </c>
      <c r="Q267" s="342" t="s">
        <v>2688</v>
      </c>
      <c r="R267" s="344">
        <v>25</v>
      </c>
      <c r="S267" s="345">
        <v>40</v>
      </c>
      <c r="T267" s="362">
        <v>25</v>
      </c>
      <c r="U267" s="361">
        <v>95.38</v>
      </c>
      <c r="V267" s="346">
        <v>129.98503145732795</v>
      </c>
      <c r="W267" s="348">
        <v>128.58353460306074</v>
      </c>
      <c r="X267" s="347">
        <v>65.209999999999994</v>
      </c>
      <c r="Y267" s="357">
        <v>67.53</v>
      </c>
      <c r="Z267" s="365" t="s">
        <v>2689</v>
      </c>
      <c r="AA267" s="350">
        <v>100</v>
      </c>
      <c r="AB267" s="349" t="s">
        <v>2685</v>
      </c>
      <c r="AC267" s="350">
        <v>0</v>
      </c>
      <c r="AD267" s="349" t="s">
        <v>2685</v>
      </c>
      <c r="AE267" s="364">
        <v>0</v>
      </c>
      <c r="AF267" s="366">
        <v>0</v>
      </c>
      <c r="AG267" s="363">
        <v>0</v>
      </c>
      <c r="AH267" s="635" t="s">
        <v>408</v>
      </c>
      <c r="AI267" s="324"/>
      <c r="AL267" s="487" t="s">
        <v>14411</v>
      </c>
      <c r="AM267" s="477" t="s">
        <v>70</v>
      </c>
      <c r="AN267" s="637">
        <v>100</v>
      </c>
      <c r="AO267" s="478">
        <v>-856</v>
      </c>
      <c r="AP267" s="463">
        <v>-856</v>
      </c>
      <c r="AQ267" s="479">
        <v>0</v>
      </c>
      <c r="AR267" s="476" t="s">
        <v>14412</v>
      </c>
      <c r="BA267" s="313" t="s">
        <v>3129</v>
      </c>
    </row>
    <row r="268" spans="2:53" ht="16.5" customHeight="1">
      <c r="B268" s="367" t="s">
        <v>3205</v>
      </c>
      <c r="C268" s="351" t="s">
        <v>3206</v>
      </c>
      <c r="D268" s="353">
        <v>-856</v>
      </c>
      <c r="E268" s="352" t="s">
        <v>408</v>
      </c>
      <c r="F268" s="341">
        <v>95.38</v>
      </c>
      <c r="G268" s="355" t="s">
        <v>8560</v>
      </c>
      <c r="H268" s="356" t="s">
        <v>3312</v>
      </c>
      <c r="I268" s="354" t="s">
        <v>73</v>
      </c>
      <c r="J268" s="340" t="s">
        <v>8561</v>
      </c>
      <c r="K268" s="339" t="s">
        <v>71</v>
      </c>
      <c r="L268" s="357">
        <v>10</v>
      </c>
      <c r="M268" s="358" t="s">
        <v>8562</v>
      </c>
      <c r="N268" s="359">
        <v>1000</v>
      </c>
      <c r="O268" s="360" t="s">
        <v>530</v>
      </c>
      <c r="P268" s="343" t="s">
        <v>531</v>
      </c>
      <c r="Q268" s="342" t="s">
        <v>2688</v>
      </c>
      <c r="R268" s="344">
        <v>33</v>
      </c>
      <c r="S268" s="345">
        <v>33</v>
      </c>
      <c r="T268" s="362">
        <v>17</v>
      </c>
      <c r="U268" s="361">
        <v>95.38</v>
      </c>
      <c r="V268" s="346">
        <v>129.98002139800283</v>
      </c>
      <c r="W268" s="348">
        <v>128.57802353780312</v>
      </c>
      <c r="X268" s="347">
        <v>65.209999999999994</v>
      </c>
      <c r="Y268" s="357">
        <v>66.300000000000011</v>
      </c>
      <c r="Z268" s="365" t="s">
        <v>2689</v>
      </c>
      <c r="AA268" s="350">
        <v>166.67</v>
      </c>
      <c r="AB268" s="349" t="s">
        <v>2685</v>
      </c>
      <c r="AC268" s="350">
        <v>0</v>
      </c>
      <c r="AD268" s="349" t="s">
        <v>2685</v>
      </c>
      <c r="AE268" s="364">
        <v>0</v>
      </c>
      <c r="AF268" s="366">
        <v>0</v>
      </c>
      <c r="AG268" s="363">
        <v>0</v>
      </c>
      <c r="AH268" s="635" t="s">
        <v>408</v>
      </c>
      <c r="AI268" s="324"/>
      <c r="AL268" s="487" t="s">
        <v>14413</v>
      </c>
      <c r="AM268" s="477" t="s">
        <v>71</v>
      </c>
      <c r="AN268" s="637">
        <v>100</v>
      </c>
      <c r="AO268" s="478">
        <v>-856</v>
      </c>
      <c r="AP268" s="463">
        <v>-635</v>
      </c>
      <c r="AQ268" s="479">
        <v>-221</v>
      </c>
      <c r="AR268" s="476" t="s">
        <v>16847</v>
      </c>
      <c r="BA268" s="313" t="s">
        <v>3130</v>
      </c>
    </row>
    <row r="269" spans="2:53" ht="16.5" customHeight="1">
      <c r="B269" s="367" t="s">
        <v>3205</v>
      </c>
      <c r="C269" s="351" t="s">
        <v>3206</v>
      </c>
      <c r="D269" s="353">
        <v>-821</v>
      </c>
      <c r="E269" s="352" t="s">
        <v>408</v>
      </c>
      <c r="F269" s="341">
        <v>95.37</v>
      </c>
      <c r="G269" s="355" t="s">
        <v>18440</v>
      </c>
      <c r="H269" s="356" t="s">
        <v>8729</v>
      </c>
      <c r="I269" s="354" t="s">
        <v>80</v>
      </c>
      <c r="J269" s="340" t="s">
        <v>8563</v>
      </c>
      <c r="K269" s="339" t="s">
        <v>71</v>
      </c>
      <c r="L269" s="357">
        <v>17</v>
      </c>
      <c r="M269" s="358" t="s">
        <v>8564</v>
      </c>
      <c r="N269" s="359">
        <v>1000</v>
      </c>
      <c r="O269" s="360" t="s">
        <v>532</v>
      </c>
      <c r="P269" s="343" t="s">
        <v>533</v>
      </c>
      <c r="Q269" s="342" t="s">
        <v>2688</v>
      </c>
      <c r="R269" s="344">
        <v>35</v>
      </c>
      <c r="S269" s="345">
        <v>35</v>
      </c>
      <c r="T269" s="362">
        <v>20</v>
      </c>
      <c r="U269" s="361">
        <v>95.37</v>
      </c>
      <c r="V269" s="346">
        <v>129.96905825329051</v>
      </c>
      <c r="W269" s="348">
        <v>128.56596407861954</v>
      </c>
      <c r="X269" s="347">
        <v>65.680000000000007</v>
      </c>
      <c r="Y269" s="357">
        <v>67.53</v>
      </c>
      <c r="Z269" s="365" t="s">
        <v>2689</v>
      </c>
      <c r="AA269" s="350">
        <v>100</v>
      </c>
      <c r="AB269" s="349" t="s">
        <v>2685</v>
      </c>
      <c r="AC269" s="350">
        <v>0</v>
      </c>
      <c r="AD269" s="349" t="s">
        <v>2685</v>
      </c>
      <c r="AE269" s="364">
        <v>0</v>
      </c>
      <c r="AF269" s="366">
        <v>0</v>
      </c>
      <c r="AG269" s="363">
        <v>0</v>
      </c>
      <c r="AH269" s="635" t="s">
        <v>408</v>
      </c>
      <c r="AI269" s="324"/>
      <c r="AL269" s="487" t="s">
        <v>14414</v>
      </c>
      <c r="AM269" s="477" t="s">
        <v>71</v>
      </c>
      <c r="AN269" s="637">
        <v>100</v>
      </c>
      <c r="AO269" s="478">
        <v>-821</v>
      </c>
      <c r="AP269" s="463">
        <v>-619</v>
      </c>
      <c r="AQ269" s="479">
        <v>-202</v>
      </c>
      <c r="AR269" s="476" t="s">
        <v>17148</v>
      </c>
      <c r="BA269" s="313" t="s">
        <v>3133</v>
      </c>
    </row>
    <row r="270" spans="2:53" ht="16.5" customHeight="1">
      <c r="B270" s="367" t="s">
        <v>3205</v>
      </c>
      <c r="C270" s="351" t="s">
        <v>3206</v>
      </c>
      <c r="D270" s="353">
        <v>-821</v>
      </c>
      <c r="E270" s="352" t="s">
        <v>3398</v>
      </c>
      <c r="F270" s="341">
        <v>95.37</v>
      </c>
      <c r="G270" s="355" t="s">
        <v>8565</v>
      </c>
      <c r="H270" s="356" t="s">
        <v>18441</v>
      </c>
      <c r="I270" s="354" t="s">
        <v>302</v>
      </c>
      <c r="J270" s="340" t="s">
        <v>8566</v>
      </c>
      <c r="K270" s="339" t="s">
        <v>71</v>
      </c>
      <c r="L270" s="357">
        <v>47</v>
      </c>
      <c r="M270" s="358" t="s">
        <v>8567</v>
      </c>
      <c r="N270" s="359">
        <v>600</v>
      </c>
      <c r="O270" s="360" t="s">
        <v>530</v>
      </c>
      <c r="P270" s="343" t="s">
        <v>531</v>
      </c>
      <c r="Q270" s="342" t="s">
        <v>2688</v>
      </c>
      <c r="R270" s="344">
        <v>37</v>
      </c>
      <c r="S270" s="345">
        <v>43</v>
      </c>
      <c r="T270" s="362">
        <v>20</v>
      </c>
      <c r="U270" s="361">
        <v>95.37</v>
      </c>
      <c r="V270" s="346">
        <v>129.97591181273816</v>
      </c>
      <c r="W270" s="348">
        <v>128.57350299401199</v>
      </c>
      <c r="X270" s="347">
        <v>65.209999999999994</v>
      </c>
      <c r="Y270" s="357">
        <v>68.58</v>
      </c>
      <c r="Z270" s="365" t="s">
        <v>2689</v>
      </c>
      <c r="AA270" s="350">
        <v>100</v>
      </c>
      <c r="AB270" s="349" t="s">
        <v>2685</v>
      </c>
      <c r="AC270" s="350">
        <v>10</v>
      </c>
      <c r="AD270" s="349" t="s">
        <v>2685</v>
      </c>
      <c r="AE270" s="364">
        <v>0</v>
      </c>
      <c r="AF270" s="366">
        <v>0</v>
      </c>
      <c r="AG270" s="363">
        <v>0</v>
      </c>
      <c r="AH270" s="635" t="s">
        <v>408</v>
      </c>
      <c r="AI270" s="324"/>
      <c r="AL270" s="487" t="s">
        <v>14416</v>
      </c>
      <c r="AM270" s="477" t="s">
        <v>71</v>
      </c>
      <c r="AN270" s="637">
        <v>100</v>
      </c>
      <c r="AO270" s="478">
        <v>-821</v>
      </c>
      <c r="AP270" s="463">
        <v>-609</v>
      </c>
      <c r="AQ270" s="479">
        <v>-212</v>
      </c>
      <c r="AR270" s="476" t="s">
        <v>16848</v>
      </c>
      <c r="BA270" s="313" t="s">
        <v>3136</v>
      </c>
    </row>
    <row r="271" spans="2:53" ht="16.5" customHeight="1">
      <c r="B271" s="367" t="s">
        <v>3209</v>
      </c>
      <c r="C271" s="351" t="s">
        <v>3210</v>
      </c>
      <c r="D271" s="353">
        <v>-857</v>
      </c>
      <c r="E271" s="352" t="s">
        <v>408</v>
      </c>
      <c r="F271" s="341">
        <v>95.36</v>
      </c>
      <c r="G271" s="355" t="s">
        <v>8568</v>
      </c>
      <c r="H271" s="356" t="s">
        <v>18442</v>
      </c>
      <c r="I271" s="354" t="s">
        <v>213</v>
      </c>
      <c r="J271" s="340" t="s">
        <v>8042</v>
      </c>
      <c r="K271" s="339" t="s">
        <v>70</v>
      </c>
      <c r="L271" s="357">
        <v>14</v>
      </c>
      <c r="M271" s="358" t="s">
        <v>8569</v>
      </c>
      <c r="N271" s="359">
        <v>1000</v>
      </c>
      <c r="O271" s="360" t="s">
        <v>454</v>
      </c>
      <c r="P271" s="343" t="s">
        <v>454</v>
      </c>
      <c r="Q271" s="342" t="s">
        <v>2688</v>
      </c>
      <c r="R271" s="344">
        <v>20</v>
      </c>
      <c r="S271" s="345">
        <v>30</v>
      </c>
      <c r="T271" s="362">
        <v>30</v>
      </c>
      <c r="U271" s="361">
        <v>95.36</v>
      </c>
      <c r="V271" s="346">
        <v>129.96022727272728</v>
      </c>
      <c r="W271" s="348">
        <v>128.55625000000001</v>
      </c>
      <c r="X271" s="347">
        <v>65.2</v>
      </c>
      <c r="Y271" s="357" t="s">
        <v>408</v>
      </c>
      <c r="Z271" s="365" t="s">
        <v>2689</v>
      </c>
      <c r="AA271" s="350">
        <v>200</v>
      </c>
      <c r="AB271" s="349" t="s">
        <v>2685</v>
      </c>
      <c r="AC271" s="350">
        <v>10</v>
      </c>
      <c r="AD271" s="349" t="s">
        <v>2685</v>
      </c>
      <c r="AE271" s="364">
        <v>0</v>
      </c>
      <c r="AF271" s="366">
        <v>0</v>
      </c>
      <c r="AG271" s="363">
        <v>0</v>
      </c>
      <c r="AH271" s="635" t="s">
        <v>408</v>
      </c>
      <c r="AI271" s="324"/>
      <c r="AL271" s="487" t="s">
        <v>14417</v>
      </c>
      <c r="AM271" s="477" t="s">
        <v>70</v>
      </c>
      <c r="AN271" s="637">
        <v>100</v>
      </c>
      <c r="AO271" s="478">
        <v>-857</v>
      </c>
      <c r="AP271" s="463">
        <v>-857</v>
      </c>
      <c r="AQ271" s="479">
        <v>0</v>
      </c>
      <c r="AR271" s="476" t="s">
        <v>17149</v>
      </c>
      <c r="BA271" s="313" t="s">
        <v>3137</v>
      </c>
    </row>
    <row r="272" spans="2:53" ht="16.5" customHeight="1">
      <c r="B272" s="367" t="s">
        <v>3209</v>
      </c>
      <c r="C272" s="351" t="s">
        <v>3210</v>
      </c>
      <c r="D272" s="353">
        <v>-858</v>
      </c>
      <c r="E272" s="352" t="s">
        <v>408</v>
      </c>
      <c r="F272" s="341">
        <v>95.36</v>
      </c>
      <c r="G272" s="355" t="s">
        <v>3363</v>
      </c>
      <c r="H272" s="356" t="s">
        <v>18398</v>
      </c>
      <c r="I272" s="354" t="s">
        <v>77</v>
      </c>
      <c r="J272" s="340" t="s">
        <v>8571</v>
      </c>
      <c r="K272" s="339" t="s">
        <v>71</v>
      </c>
      <c r="L272" s="357">
        <v>11</v>
      </c>
      <c r="M272" s="358" t="s">
        <v>8572</v>
      </c>
      <c r="N272" s="359">
        <v>1000</v>
      </c>
      <c r="O272" s="360" t="s">
        <v>530</v>
      </c>
      <c r="P272" s="343" t="s">
        <v>531</v>
      </c>
      <c r="Q272" s="342" t="s">
        <v>2688</v>
      </c>
      <c r="R272" s="344">
        <v>35</v>
      </c>
      <c r="S272" s="345">
        <v>25</v>
      </c>
      <c r="T272" s="362">
        <v>30</v>
      </c>
      <c r="U272" s="361">
        <v>95.36</v>
      </c>
      <c r="V272" s="346">
        <v>129.96263137407553</v>
      </c>
      <c r="W272" s="348">
        <v>128.55889451148306</v>
      </c>
      <c r="X272" s="347">
        <v>65.680000000000007</v>
      </c>
      <c r="Y272" s="357">
        <v>66.240000000000009</v>
      </c>
      <c r="Z272" s="365" t="s">
        <v>2689</v>
      </c>
      <c r="AA272" s="350">
        <v>63.5</v>
      </c>
      <c r="AB272" s="349" t="s">
        <v>2685</v>
      </c>
      <c r="AC272" s="350">
        <v>0</v>
      </c>
      <c r="AD272" s="349" t="s">
        <v>2685</v>
      </c>
      <c r="AE272" s="364">
        <v>0</v>
      </c>
      <c r="AF272" s="366">
        <v>0</v>
      </c>
      <c r="AG272" s="363">
        <v>0</v>
      </c>
      <c r="AH272" s="635" t="s">
        <v>408</v>
      </c>
      <c r="AI272" s="324"/>
      <c r="AL272" s="487" t="s">
        <v>14418</v>
      </c>
      <c r="AM272" s="477" t="s">
        <v>71</v>
      </c>
      <c r="AN272" s="637">
        <v>100</v>
      </c>
      <c r="AO272" s="478">
        <v>-858</v>
      </c>
      <c r="AP272" s="463">
        <v>-645</v>
      </c>
      <c r="AQ272" s="479">
        <v>-213</v>
      </c>
      <c r="AR272" s="476" t="s">
        <v>16849</v>
      </c>
      <c r="BA272" s="313" t="s">
        <v>3138</v>
      </c>
    </row>
    <row r="273" spans="2:53" ht="16.5" customHeight="1">
      <c r="B273" s="367" t="s">
        <v>8573</v>
      </c>
      <c r="C273" s="351" t="s">
        <v>8574</v>
      </c>
      <c r="D273" s="353">
        <v>-859</v>
      </c>
      <c r="E273" s="352" t="s">
        <v>8570</v>
      </c>
      <c r="F273" s="341">
        <v>95.35</v>
      </c>
      <c r="G273" s="355" t="s">
        <v>3446</v>
      </c>
      <c r="H273" s="356" t="s">
        <v>8575</v>
      </c>
      <c r="I273" s="354" t="s">
        <v>75</v>
      </c>
      <c r="J273" s="340" t="s">
        <v>8283</v>
      </c>
      <c r="K273" s="339" t="s">
        <v>70</v>
      </c>
      <c r="L273" s="357">
        <v>11</v>
      </c>
      <c r="M273" s="358" t="s">
        <v>8576</v>
      </c>
      <c r="N273" s="359">
        <v>1000</v>
      </c>
      <c r="O273" s="360" t="s">
        <v>530</v>
      </c>
      <c r="P273" s="343" t="s">
        <v>531</v>
      </c>
      <c r="Q273" s="342" t="s">
        <v>2688</v>
      </c>
      <c r="R273" s="344">
        <v>31</v>
      </c>
      <c r="S273" s="345">
        <v>38</v>
      </c>
      <c r="T273" s="362">
        <v>31</v>
      </c>
      <c r="U273" s="361">
        <v>95.35</v>
      </c>
      <c r="V273" s="346">
        <v>129.95404430705821</v>
      </c>
      <c r="W273" s="348">
        <v>128.54944873776404</v>
      </c>
      <c r="X273" s="347">
        <v>65.19</v>
      </c>
      <c r="Y273" s="357">
        <v>66.5</v>
      </c>
      <c r="Z273" s="365" t="s">
        <v>2689</v>
      </c>
      <c r="AA273" s="350">
        <v>0</v>
      </c>
      <c r="AB273" s="349" t="s">
        <v>2685</v>
      </c>
      <c r="AC273" s="350">
        <v>10</v>
      </c>
      <c r="AD273" s="349" t="s">
        <v>2685</v>
      </c>
      <c r="AE273" s="364">
        <v>0</v>
      </c>
      <c r="AF273" s="366">
        <v>0</v>
      </c>
      <c r="AG273" s="363">
        <v>0</v>
      </c>
      <c r="AH273" s="635" t="s">
        <v>408</v>
      </c>
      <c r="AI273" s="324"/>
      <c r="AL273" s="487" t="s">
        <v>14419</v>
      </c>
      <c r="AM273" s="477" t="s">
        <v>70</v>
      </c>
      <c r="AN273" s="637">
        <v>100</v>
      </c>
      <c r="AO273" s="478">
        <v>-859</v>
      </c>
      <c r="AP273" s="463">
        <v>-859</v>
      </c>
      <c r="AQ273" s="479">
        <v>0</v>
      </c>
      <c r="AR273" s="476" t="s">
        <v>17149</v>
      </c>
      <c r="BA273" s="313" t="s">
        <v>3139</v>
      </c>
    </row>
    <row r="274" spans="2:53" ht="16.5" customHeight="1">
      <c r="B274" s="367" t="s">
        <v>8577</v>
      </c>
      <c r="C274" s="351" t="s">
        <v>8578</v>
      </c>
      <c r="D274" s="353">
        <v>-859</v>
      </c>
      <c r="E274" s="352" t="s">
        <v>408</v>
      </c>
      <c r="F274" s="341">
        <v>95.33</v>
      </c>
      <c r="G274" s="355" t="s">
        <v>8579</v>
      </c>
      <c r="H274" s="356" t="s">
        <v>3250</v>
      </c>
      <c r="I274" s="354" t="s">
        <v>75</v>
      </c>
      <c r="J274" s="340" t="s">
        <v>8580</v>
      </c>
      <c r="K274" s="339" t="s">
        <v>70</v>
      </c>
      <c r="L274" s="357">
        <v>30</v>
      </c>
      <c r="M274" s="358" t="s">
        <v>8581</v>
      </c>
      <c r="N274" s="359">
        <v>1000</v>
      </c>
      <c r="O274" s="360" t="s">
        <v>530</v>
      </c>
      <c r="P274" s="343" t="s">
        <v>531</v>
      </c>
      <c r="Q274" s="342" t="s">
        <v>2688</v>
      </c>
      <c r="R274" s="344">
        <v>31</v>
      </c>
      <c r="S274" s="345">
        <v>38</v>
      </c>
      <c r="T274" s="362">
        <v>31</v>
      </c>
      <c r="U274" s="361">
        <v>95.33</v>
      </c>
      <c r="V274" s="346">
        <v>129.93920659453889</v>
      </c>
      <c r="W274" s="348">
        <v>128.53312725399277</v>
      </c>
      <c r="X274" s="347">
        <v>65.180000000000007</v>
      </c>
      <c r="Y274" s="357">
        <v>66.490000000000009</v>
      </c>
      <c r="Z274" s="365" t="s">
        <v>2689</v>
      </c>
      <c r="AA274" s="350">
        <v>0</v>
      </c>
      <c r="AB274" s="349" t="s">
        <v>2685</v>
      </c>
      <c r="AC274" s="350">
        <v>10</v>
      </c>
      <c r="AD274" s="349" t="s">
        <v>2685</v>
      </c>
      <c r="AE274" s="364">
        <v>0</v>
      </c>
      <c r="AF274" s="366">
        <v>0</v>
      </c>
      <c r="AG274" s="363">
        <v>0</v>
      </c>
      <c r="AH274" s="635" t="s">
        <v>408</v>
      </c>
      <c r="AI274" s="324"/>
      <c r="AL274" s="487" t="s">
        <v>14420</v>
      </c>
      <c r="AM274" s="477" t="s">
        <v>70</v>
      </c>
      <c r="AN274" s="637">
        <v>100</v>
      </c>
      <c r="AO274" s="478">
        <v>-859</v>
      </c>
      <c r="AP274" s="463">
        <v>-859</v>
      </c>
      <c r="AQ274" s="479">
        <v>0</v>
      </c>
      <c r="AR274" s="476" t="s">
        <v>14421</v>
      </c>
      <c r="BA274" s="313" t="s">
        <v>3140</v>
      </c>
    </row>
    <row r="275" spans="2:53" ht="16.5" customHeight="1">
      <c r="B275" s="367" t="s">
        <v>3213</v>
      </c>
      <c r="C275" s="351" t="s">
        <v>3214</v>
      </c>
      <c r="D275" s="353">
        <v>-859</v>
      </c>
      <c r="E275" s="352" t="s">
        <v>408</v>
      </c>
      <c r="F275" s="341">
        <v>95.32</v>
      </c>
      <c r="G275" s="355" t="s">
        <v>8582</v>
      </c>
      <c r="H275" s="356" t="s">
        <v>3255</v>
      </c>
      <c r="I275" s="354" t="s">
        <v>80</v>
      </c>
      <c r="J275" s="340" t="s">
        <v>418</v>
      </c>
      <c r="K275" s="339" t="s">
        <v>70</v>
      </c>
      <c r="L275" s="357">
        <v>18</v>
      </c>
      <c r="M275" s="358" t="s">
        <v>8583</v>
      </c>
      <c r="N275" s="359">
        <v>1000</v>
      </c>
      <c r="O275" s="360" t="s">
        <v>532</v>
      </c>
      <c r="P275" s="343" t="s">
        <v>533</v>
      </c>
      <c r="Q275" s="342" t="s">
        <v>2688</v>
      </c>
      <c r="R275" s="344">
        <v>25</v>
      </c>
      <c r="S275" s="345">
        <v>40</v>
      </c>
      <c r="T275" s="362">
        <v>25</v>
      </c>
      <c r="U275" s="361">
        <v>95.32</v>
      </c>
      <c r="V275" s="346">
        <v>129.93041498725333</v>
      </c>
      <c r="W275" s="348">
        <v>128.52345648597867</v>
      </c>
      <c r="X275" s="347">
        <v>65.180000000000007</v>
      </c>
      <c r="Y275" s="357">
        <v>67.510000000000005</v>
      </c>
      <c r="Z275" s="365" t="s">
        <v>2689</v>
      </c>
      <c r="AA275" s="350">
        <v>100</v>
      </c>
      <c r="AB275" s="349" t="s">
        <v>2685</v>
      </c>
      <c r="AC275" s="350">
        <v>0</v>
      </c>
      <c r="AD275" s="349" t="s">
        <v>2685</v>
      </c>
      <c r="AE275" s="364">
        <v>0</v>
      </c>
      <c r="AF275" s="366">
        <v>0</v>
      </c>
      <c r="AG275" s="363">
        <v>0</v>
      </c>
      <c r="AH275" s="635" t="s">
        <v>408</v>
      </c>
      <c r="AI275" s="324"/>
      <c r="AL275" s="487" t="s">
        <v>14422</v>
      </c>
      <c r="AM275" s="477" t="s">
        <v>70</v>
      </c>
      <c r="AN275" s="637">
        <v>100</v>
      </c>
      <c r="AO275" s="478">
        <v>-859</v>
      </c>
      <c r="AP275" s="463">
        <v>-859</v>
      </c>
      <c r="AQ275" s="479">
        <v>0</v>
      </c>
      <c r="AR275" s="476" t="s">
        <v>14421</v>
      </c>
      <c r="BA275" s="313" t="s">
        <v>3141</v>
      </c>
    </row>
    <row r="276" spans="2:53" ht="16.5" customHeight="1">
      <c r="B276" s="367" t="s">
        <v>8584</v>
      </c>
      <c r="C276" s="351" t="s">
        <v>8585</v>
      </c>
      <c r="D276" s="353">
        <v>-829</v>
      </c>
      <c r="E276" s="352" t="s">
        <v>408</v>
      </c>
      <c r="F276" s="341">
        <v>95.32</v>
      </c>
      <c r="G276" s="355" t="s">
        <v>8586</v>
      </c>
      <c r="H276" s="356" t="s">
        <v>8330</v>
      </c>
      <c r="I276" s="354" t="s">
        <v>77</v>
      </c>
      <c r="J276" s="340" t="s">
        <v>8587</v>
      </c>
      <c r="K276" s="339" t="s">
        <v>70</v>
      </c>
      <c r="L276" s="357">
        <v>112</v>
      </c>
      <c r="M276" s="358" t="s">
        <v>8588</v>
      </c>
      <c r="N276" s="359">
        <v>1000</v>
      </c>
      <c r="O276" s="360" t="s">
        <v>530</v>
      </c>
      <c r="P276" s="343" t="s">
        <v>531</v>
      </c>
      <c r="Q276" s="342" t="s">
        <v>2688</v>
      </c>
      <c r="R276" s="344">
        <v>20</v>
      </c>
      <c r="S276" s="345">
        <v>40</v>
      </c>
      <c r="T276" s="362">
        <v>30</v>
      </c>
      <c r="U276" s="361">
        <v>95.32</v>
      </c>
      <c r="V276" s="346">
        <v>129.92442106649855</v>
      </c>
      <c r="W276" s="348">
        <v>128.51686317314841</v>
      </c>
      <c r="X276" s="347">
        <v>65.17</v>
      </c>
      <c r="Y276" s="357">
        <v>66.22</v>
      </c>
      <c r="Z276" s="365" t="s">
        <v>2689</v>
      </c>
      <c r="AA276" s="350">
        <v>63.5</v>
      </c>
      <c r="AB276" s="349" t="s">
        <v>2685</v>
      </c>
      <c r="AC276" s="350">
        <v>0</v>
      </c>
      <c r="AD276" s="349" t="s">
        <v>2685</v>
      </c>
      <c r="AE276" s="364">
        <v>0</v>
      </c>
      <c r="AF276" s="366">
        <v>9.9329999999999998</v>
      </c>
      <c r="AG276" s="363">
        <v>0</v>
      </c>
      <c r="AH276" s="635" t="s">
        <v>7787</v>
      </c>
      <c r="AI276" s="324"/>
      <c r="AL276" s="487" t="s">
        <v>14423</v>
      </c>
      <c r="AM276" s="477" t="s">
        <v>70</v>
      </c>
      <c r="AN276" s="637">
        <v>100</v>
      </c>
      <c r="AO276" s="478">
        <v>-829</v>
      </c>
      <c r="AP276" s="463">
        <v>-829</v>
      </c>
      <c r="AQ276" s="479">
        <v>0</v>
      </c>
      <c r="AR276" s="476" t="s">
        <v>14425</v>
      </c>
      <c r="BA276" s="313" t="s">
        <v>3145</v>
      </c>
    </row>
    <row r="277" spans="2:53" ht="16.5" customHeight="1">
      <c r="B277" s="367" t="s">
        <v>8584</v>
      </c>
      <c r="C277" s="351" t="s">
        <v>8585</v>
      </c>
      <c r="D277" s="353">
        <v>-829</v>
      </c>
      <c r="E277" s="352" t="s">
        <v>408</v>
      </c>
      <c r="F277" s="341">
        <v>95.31</v>
      </c>
      <c r="G277" s="355" t="s">
        <v>8589</v>
      </c>
      <c r="H277" s="356" t="s">
        <v>8330</v>
      </c>
      <c r="I277" s="354" t="s">
        <v>75</v>
      </c>
      <c r="J277" s="340" t="s">
        <v>8590</v>
      </c>
      <c r="K277" s="339" t="s">
        <v>70</v>
      </c>
      <c r="L277" s="357">
        <v>17</v>
      </c>
      <c r="M277" s="358" t="s">
        <v>8591</v>
      </c>
      <c r="N277" s="359">
        <v>1000</v>
      </c>
      <c r="O277" s="360" t="s">
        <v>530</v>
      </c>
      <c r="P277" s="343" t="s">
        <v>531</v>
      </c>
      <c r="Q277" s="342" t="s">
        <v>2688</v>
      </c>
      <c r="R277" s="344">
        <v>31</v>
      </c>
      <c r="S277" s="345">
        <v>38</v>
      </c>
      <c r="T277" s="362">
        <v>31</v>
      </c>
      <c r="U277" s="361">
        <v>95.31</v>
      </c>
      <c r="V277" s="346">
        <v>129.91942297784647</v>
      </c>
      <c r="W277" s="348">
        <v>128.51136527563111</v>
      </c>
      <c r="X277" s="347">
        <v>65.17</v>
      </c>
      <c r="Y277" s="357">
        <v>66.48</v>
      </c>
      <c r="Z277" s="365" t="s">
        <v>2689</v>
      </c>
      <c r="AA277" s="350">
        <v>0</v>
      </c>
      <c r="AB277" s="349" t="s">
        <v>2685</v>
      </c>
      <c r="AC277" s="350">
        <v>10</v>
      </c>
      <c r="AD277" s="349" t="s">
        <v>2685</v>
      </c>
      <c r="AE277" s="364">
        <v>0</v>
      </c>
      <c r="AF277" s="366">
        <v>0</v>
      </c>
      <c r="AG277" s="363">
        <v>0</v>
      </c>
      <c r="AH277" s="635" t="s">
        <v>408</v>
      </c>
      <c r="AI277" s="324"/>
      <c r="AL277" s="487" t="s">
        <v>14424</v>
      </c>
      <c r="AM277" s="477" t="s">
        <v>70</v>
      </c>
      <c r="AN277" s="637">
        <v>100</v>
      </c>
      <c r="AO277" s="478">
        <v>-829</v>
      </c>
      <c r="AP277" s="463">
        <v>-829</v>
      </c>
      <c r="AQ277" s="479">
        <v>0</v>
      </c>
      <c r="AR277" s="476" t="s">
        <v>14425</v>
      </c>
      <c r="BA277" s="313" t="s">
        <v>3150</v>
      </c>
    </row>
    <row r="278" spans="2:53" ht="16.5" customHeight="1">
      <c r="B278" s="367" t="s">
        <v>8592</v>
      </c>
      <c r="C278" s="351" t="s">
        <v>8593</v>
      </c>
      <c r="D278" s="353">
        <v>-860</v>
      </c>
      <c r="E278" s="352" t="s">
        <v>408</v>
      </c>
      <c r="F278" s="341">
        <v>95.3</v>
      </c>
      <c r="G278" s="355" t="s">
        <v>8928</v>
      </c>
      <c r="H278" s="356" t="s">
        <v>18443</v>
      </c>
      <c r="I278" s="354" t="s">
        <v>75</v>
      </c>
      <c r="J278" s="340" t="s">
        <v>8595</v>
      </c>
      <c r="K278" s="339" t="s">
        <v>71</v>
      </c>
      <c r="L278" s="357">
        <v>19</v>
      </c>
      <c r="M278" s="358" t="s">
        <v>8596</v>
      </c>
      <c r="N278" s="359">
        <v>1000</v>
      </c>
      <c r="O278" s="360" t="s">
        <v>530</v>
      </c>
      <c r="P278" s="343" t="s">
        <v>531</v>
      </c>
      <c r="Q278" s="342" t="s">
        <v>2688</v>
      </c>
      <c r="R278" s="344">
        <v>36</v>
      </c>
      <c r="S278" s="345">
        <v>36</v>
      </c>
      <c r="T278" s="362">
        <v>29</v>
      </c>
      <c r="U278" s="361">
        <v>95.3</v>
      </c>
      <c r="V278" s="346">
        <v>129.90949445129471</v>
      </c>
      <c r="W278" s="348">
        <v>128.50044389642417</v>
      </c>
      <c r="X278" s="347">
        <v>65.650000000000006</v>
      </c>
      <c r="Y278" s="357">
        <v>66.240000000000009</v>
      </c>
      <c r="Z278" s="365" t="s">
        <v>2689</v>
      </c>
      <c r="AA278" s="350">
        <v>0</v>
      </c>
      <c r="AB278" s="349" t="s">
        <v>2685</v>
      </c>
      <c r="AC278" s="350">
        <v>10</v>
      </c>
      <c r="AD278" s="349" t="s">
        <v>2685</v>
      </c>
      <c r="AE278" s="364">
        <v>0</v>
      </c>
      <c r="AF278" s="366">
        <v>0</v>
      </c>
      <c r="AG278" s="363">
        <v>0</v>
      </c>
      <c r="AH278" s="635" t="s">
        <v>408</v>
      </c>
      <c r="AI278" s="324"/>
      <c r="AL278" s="487" t="s">
        <v>14426</v>
      </c>
      <c r="AM278" s="477" t="s">
        <v>71</v>
      </c>
      <c r="AN278" s="637">
        <v>100</v>
      </c>
      <c r="AO278" s="478">
        <v>-860</v>
      </c>
      <c r="AP278" s="463">
        <v>-646</v>
      </c>
      <c r="AQ278" s="479">
        <v>-214</v>
      </c>
      <c r="AR278" s="476" t="s">
        <v>14468</v>
      </c>
      <c r="BA278" s="313" t="s">
        <v>3153</v>
      </c>
    </row>
    <row r="279" spans="2:53" ht="16.5" customHeight="1">
      <c r="B279" s="367" t="s">
        <v>8597</v>
      </c>
      <c r="C279" s="351" t="s">
        <v>8598</v>
      </c>
      <c r="D279" s="353">
        <v>-861</v>
      </c>
      <c r="E279" s="352" t="s">
        <v>8594</v>
      </c>
      <c r="F279" s="341">
        <v>95.29</v>
      </c>
      <c r="G279" s="355" t="s">
        <v>8599</v>
      </c>
      <c r="H279" s="356" t="s">
        <v>8600</v>
      </c>
      <c r="I279" s="354" t="s">
        <v>80</v>
      </c>
      <c r="J279" s="340" t="s">
        <v>8601</v>
      </c>
      <c r="K279" s="339" t="s">
        <v>70</v>
      </c>
      <c r="L279" s="357">
        <v>14</v>
      </c>
      <c r="M279" s="358" t="s">
        <v>8602</v>
      </c>
      <c r="N279" s="359">
        <v>1000</v>
      </c>
      <c r="O279" s="360" t="s">
        <v>532</v>
      </c>
      <c r="P279" s="343" t="s">
        <v>533</v>
      </c>
      <c r="Q279" s="342" t="s">
        <v>2688</v>
      </c>
      <c r="R279" s="344">
        <v>25</v>
      </c>
      <c r="S279" s="345">
        <v>40</v>
      </c>
      <c r="T279" s="362">
        <v>25</v>
      </c>
      <c r="U279" s="361">
        <v>95.29</v>
      </c>
      <c r="V279" s="346">
        <v>129.90310675221602</v>
      </c>
      <c r="W279" s="348">
        <v>128.49341742743763</v>
      </c>
      <c r="X279" s="347">
        <v>65.16</v>
      </c>
      <c r="Y279" s="357">
        <v>67.5</v>
      </c>
      <c r="Z279" s="365" t="s">
        <v>2689</v>
      </c>
      <c r="AA279" s="350">
        <v>100</v>
      </c>
      <c r="AB279" s="349" t="s">
        <v>2685</v>
      </c>
      <c r="AC279" s="350">
        <v>0</v>
      </c>
      <c r="AD279" s="349" t="s">
        <v>2685</v>
      </c>
      <c r="AE279" s="364">
        <v>0</v>
      </c>
      <c r="AF279" s="366">
        <v>0</v>
      </c>
      <c r="AG279" s="363">
        <v>0</v>
      </c>
      <c r="AH279" s="635" t="s">
        <v>408</v>
      </c>
      <c r="AI279" s="324"/>
      <c r="AL279" s="487" t="s">
        <v>14427</v>
      </c>
      <c r="AM279" s="477" t="s">
        <v>70</v>
      </c>
      <c r="AN279" s="637">
        <v>100</v>
      </c>
      <c r="AO279" s="478">
        <v>-861</v>
      </c>
      <c r="AP279" s="463">
        <v>-861</v>
      </c>
      <c r="AQ279" s="479">
        <v>0</v>
      </c>
      <c r="AR279" s="476" t="s">
        <v>14428</v>
      </c>
      <c r="BA279" s="313" t="s">
        <v>3157</v>
      </c>
    </row>
    <row r="280" spans="2:53" ht="16.5" customHeight="1">
      <c r="B280" s="367" t="s">
        <v>8597</v>
      </c>
      <c r="C280" s="351" t="s">
        <v>8598</v>
      </c>
      <c r="D280" s="353">
        <v>-862</v>
      </c>
      <c r="E280" s="352" t="s">
        <v>408</v>
      </c>
      <c r="F280" s="341">
        <v>95.28</v>
      </c>
      <c r="G280" s="355" t="s">
        <v>3396</v>
      </c>
      <c r="H280" s="356" t="s">
        <v>8330</v>
      </c>
      <c r="I280" s="354" t="s">
        <v>75</v>
      </c>
      <c r="J280" s="340" t="s">
        <v>8148</v>
      </c>
      <c r="K280" s="339" t="s">
        <v>70</v>
      </c>
      <c r="L280" s="357">
        <v>10</v>
      </c>
      <c r="M280" s="358" t="s">
        <v>8603</v>
      </c>
      <c r="N280" s="359">
        <v>1000</v>
      </c>
      <c r="O280" s="360" t="s">
        <v>530</v>
      </c>
      <c r="P280" s="343" t="s">
        <v>531</v>
      </c>
      <c r="Q280" s="342" t="s">
        <v>2688</v>
      </c>
      <c r="R280" s="344">
        <v>31</v>
      </c>
      <c r="S280" s="345">
        <v>38</v>
      </c>
      <c r="T280" s="362">
        <v>31</v>
      </c>
      <c r="U280" s="361">
        <v>95.28</v>
      </c>
      <c r="V280" s="346">
        <v>129.88974755280785</v>
      </c>
      <c r="W280" s="348">
        <v>128.47872230808863</v>
      </c>
      <c r="X280" s="347">
        <v>65.16</v>
      </c>
      <c r="Y280" s="357">
        <v>66.45</v>
      </c>
      <c r="Z280" s="365" t="s">
        <v>2689</v>
      </c>
      <c r="AA280" s="350">
        <v>0</v>
      </c>
      <c r="AB280" s="349" t="s">
        <v>2685</v>
      </c>
      <c r="AC280" s="350">
        <v>10</v>
      </c>
      <c r="AD280" s="349" t="s">
        <v>2685</v>
      </c>
      <c r="AE280" s="364">
        <v>0</v>
      </c>
      <c r="AF280" s="366">
        <v>0</v>
      </c>
      <c r="AG280" s="363">
        <v>0</v>
      </c>
      <c r="AH280" s="635" t="s">
        <v>408</v>
      </c>
      <c r="AI280" s="324"/>
      <c r="AL280" s="487" t="s">
        <v>14429</v>
      </c>
      <c r="AM280" s="477" t="s">
        <v>70</v>
      </c>
      <c r="AN280" s="637">
        <v>100</v>
      </c>
      <c r="AO280" s="478">
        <v>-862</v>
      </c>
      <c r="AP280" s="463">
        <v>-862</v>
      </c>
      <c r="AQ280" s="479">
        <v>0</v>
      </c>
      <c r="AR280" s="476" t="s">
        <v>14430</v>
      </c>
      <c r="BA280" s="313" t="s">
        <v>3158</v>
      </c>
    </row>
    <row r="281" spans="2:53" ht="16.5" customHeight="1">
      <c r="B281" s="367" t="s">
        <v>8604</v>
      </c>
      <c r="C281" s="351" t="s">
        <v>8605</v>
      </c>
      <c r="D281" s="353">
        <v>-863</v>
      </c>
      <c r="E281" s="352" t="s">
        <v>408</v>
      </c>
      <c r="F281" s="341">
        <v>95.27</v>
      </c>
      <c r="G281" s="355" t="s">
        <v>8606</v>
      </c>
      <c r="H281" s="356" t="s">
        <v>8607</v>
      </c>
      <c r="I281" s="354" t="s">
        <v>225</v>
      </c>
      <c r="J281" s="340" t="s">
        <v>198</v>
      </c>
      <c r="K281" s="339" t="s">
        <v>70</v>
      </c>
      <c r="L281" s="357">
        <v>25</v>
      </c>
      <c r="M281" s="358" t="s">
        <v>8608</v>
      </c>
      <c r="N281" s="359">
        <v>1000</v>
      </c>
      <c r="O281" s="360" t="s">
        <v>454</v>
      </c>
      <c r="P281" s="343" t="s">
        <v>454</v>
      </c>
      <c r="Q281" s="342" t="s">
        <v>2688</v>
      </c>
      <c r="R281" s="344">
        <v>25</v>
      </c>
      <c r="S281" s="345">
        <v>30</v>
      </c>
      <c r="T281" s="362">
        <v>20</v>
      </c>
      <c r="U281" s="361">
        <v>95.27</v>
      </c>
      <c r="V281" s="346">
        <v>129.87878787878788</v>
      </c>
      <c r="W281" s="348">
        <v>128.46666666666667</v>
      </c>
      <c r="X281" s="347">
        <v>65.150000000000006</v>
      </c>
      <c r="Y281" s="357" t="s">
        <v>408</v>
      </c>
      <c r="Z281" s="365" t="s">
        <v>2689</v>
      </c>
      <c r="AA281" s="350">
        <v>250</v>
      </c>
      <c r="AB281" s="349" t="s">
        <v>2685</v>
      </c>
      <c r="AC281" s="350">
        <v>3</v>
      </c>
      <c r="AD281" s="349" t="s">
        <v>2685</v>
      </c>
      <c r="AE281" s="364">
        <v>0</v>
      </c>
      <c r="AF281" s="366">
        <v>0</v>
      </c>
      <c r="AG281" s="363">
        <v>0</v>
      </c>
      <c r="AH281" s="635" t="s">
        <v>408</v>
      </c>
      <c r="AI281" s="324"/>
      <c r="AL281" s="487" t="s">
        <v>7191</v>
      </c>
      <c r="AM281" s="477" t="s">
        <v>70</v>
      </c>
      <c r="AN281" s="637">
        <v>100</v>
      </c>
      <c r="AO281" s="478">
        <v>-863</v>
      </c>
      <c r="AP281" s="463">
        <v>-863</v>
      </c>
      <c r="AQ281" s="479">
        <v>0</v>
      </c>
      <c r="AR281" s="476" t="s">
        <v>14430</v>
      </c>
      <c r="BA281" s="313" t="s">
        <v>3162</v>
      </c>
    </row>
    <row r="282" spans="2:53" ht="16.5" customHeight="1">
      <c r="B282" s="367" t="s">
        <v>8604</v>
      </c>
      <c r="C282" s="351" t="s">
        <v>8605</v>
      </c>
      <c r="D282" s="353">
        <v>-863</v>
      </c>
      <c r="E282" s="352" t="s">
        <v>408</v>
      </c>
      <c r="F282" s="341">
        <v>95.26</v>
      </c>
      <c r="G282" s="355" t="s">
        <v>8609</v>
      </c>
      <c r="H282" s="356" t="s">
        <v>8607</v>
      </c>
      <c r="I282" s="354" t="s">
        <v>211</v>
      </c>
      <c r="J282" s="340" t="s">
        <v>8610</v>
      </c>
      <c r="K282" s="339" t="s">
        <v>70</v>
      </c>
      <c r="L282" s="357">
        <v>5</v>
      </c>
      <c r="M282" s="358" t="s">
        <v>8611</v>
      </c>
      <c r="N282" s="359">
        <v>500</v>
      </c>
      <c r="O282" s="360" t="s">
        <v>530</v>
      </c>
      <c r="P282" s="343" t="s">
        <v>531</v>
      </c>
      <c r="Q282" s="342" t="s">
        <v>2688</v>
      </c>
      <c r="R282" s="344">
        <v>30</v>
      </c>
      <c r="S282" s="345">
        <v>40</v>
      </c>
      <c r="T282" s="362">
        <v>30</v>
      </c>
      <c r="U282" s="361">
        <v>95.26</v>
      </c>
      <c r="V282" s="346">
        <v>129.87274194345184</v>
      </c>
      <c r="W282" s="348">
        <v>128.46001613779703</v>
      </c>
      <c r="X282" s="347">
        <v>65.150000000000006</v>
      </c>
      <c r="Y282" s="357">
        <v>66.440000000000012</v>
      </c>
      <c r="Z282" s="365" t="s">
        <v>2689</v>
      </c>
      <c r="AA282" s="350">
        <v>30</v>
      </c>
      <c r="AB282" s="349" t="s">
        <v>2685</v>
      </c>
      <c r="AC282" s="350">
        <v>5</v>
      </c>
      <c r="AD282" s="349" t="s">
        <v>2685</v>
      </c>
      <c r="AE282" s="364">
        <v>0</v>
      </c>
      <c r="AF282" s="366">
        <v>0</v>
      </c>
      <c r="AG282" s="363">
        <v>0</v>
      </c>
      <c r="AH282" s="635" t="s">
        <v>408</v>
      </c>
      <c r="AI282" s="324"/>
      <c r="AL282" s="487" t="s">
        <v>14431</v>
      </c>
      <c r="AM282" s="477" t="s">
        <v>70</v>
      </c>
      <c r="AN282" s="637" t="s">
        <v>14078</v>
      </c>
      <c r="AO282" s="478">
        <v>-863</v>
      </c>
      <c r="AP282" s="463">
        <v>-863</v>
      </c>
      <c r="AQ282" s="479">
        <v>0</v>
      </c>
      <c r="AR282" s="476" t="s">
        <v>14430</v>
      </c>
      <c r="BA282" s="313" t="s">
        <v>3163</v>
      </c>
    </row>
    <row r="283" spans="2:53" ht="16.5" customHeight="1">
      <c r="B283" s="367" t="s">
        <v>8604</v>
      </c>
      <c r="C283" s="351" t="s">
        <v>8605</v>
      </c>
      <c r="D283" s="353">
        <v>-867</v>
      </c>
      <c r="E283" s="352" t="s">
        <v>408</v>
      </c>
      <c r="F283" s="341">
        <v>95.26</v>
      </c>
      <c r="G283" s="355" t="s">
        <v>8612</v>
      </c>
      <c r="H283" s="356" t="s">
        <v>8613</v>
      </c>
      <c r="I283" s="354" t="s">
        <v>80</v>
      </c>
      <c r="J283" s="340" t="s">
        <v>8614</v>
      </c>
      <c r="K283" s="339" t="s">
        <v>70</v>
      </c>
      <c r="L283" s="357">
        <v>27</v>
      </c>
      <c r="M283" s="358" t="s">
        <v>8615</v>
      </c>
      <c r="N283" s="359">
        <v>1000</v>
      </c>
      <c r="O283" s="360" t="s">
        <v>532</v>
      </c>
      <c r="P283" s="343" t="s">
        <v>533</v>
      </c>
      <c r="Q283" s="342" t="s">
        <v>2688</v>
      </c>
      <c r="R283" s="344">
        <v>25</v>
      </c>
      <c r="S283" s="345">
        <v>40</v>
      </c>
      <c r="T283" s="362">
        <v>25</v>
      </c>
      <c r="U283" s="361">
        <v>95.26</v>
      </c>
      <c r="V283" s="346">
        <v>129.87579851717874</v>
      </c>
      <c r="W283" s="348">
        <v>128.46337836889663</v>
      </c>
      <c r="X283" s="347">
        <v>65.150000000000006</v>
      </c>
      <c r="Y283" s="357">
        <v>67.48</v>
      </c>
      <c r="Z283" s="365" t="s">
        <v>2689</v>
      </c>
      <c r="AA283" s="350">
        <v>100</v>
      </c>
      <c r="AB283" s="349" t="s">
        <v>2685</v>
      </c>
      <c r="AC283" s="350">
        <v>0</v>
      </c>
      <c r="AD283" s="349" t="s">
        <v>2685</v>
      </c>
      <c r="AE283" s="364">
        <v>0</v>
      </c>
      <c r="AF283" s="366">
        <v>0</v>
      </c>
      <c r="AG283" s="363">
        <v>0</v>
      </c>
      <c r="AH283" s="635" t="s">
        <v>408</v>
      </c>
      <c r="AI283" s="324"/>
      <c r="AL283" s="487" t="s">
        <v>14432</v>
      </c>
      <c r="AM283" s="477" t="s">
        <v>70</v>
      </c>
      <c r="AN283" s="637">
        <v>100</v>
      </c>
      <c r="AO283" s="478">
        <v>-867</v>
      </c>
      <c r="AP283" s="463">
        <v>-867</v>
      </c>
      <c r="AQ283" s="479">
        <v>0</v>
      </c>
      <c r="AR283" s="476" t="s">
        <v>14430</v>
      </c>
      <c r="BA283" s="313" t="s">
        <v>3167</v>
      </c>
    </row>
    <row r="284" spans="2:53" ht="16.5" customHeight="1">
      <c r="B284" s="367" t="s">
        <v>8604</v>
      </c>
      <c r="C284" s="351" t="s">
        <v>8605</v>
      </c>
      <c r="D284" s="353">
        <v>-737</v>
      </c>
      <c r="E284" s="352" t="s">
        <v>408</v>
      </c>
      <c r="F284" s="341">
        <v>95.25</v>
      </c>
      <c r="G284" s="355" t="s">
        <v>8616</v>
      </c>
      <c r="H284" s="356" t="s">
        <v>8344</v>
      </c>
      <c r="I284" s="354" t="s">
        <v>213</v>
      </c>
      <c r="J284" s="340" t="s">
        <v>7868</v>
      </c>
      <c r="K284" s="339" t="s">
        <v>70</v>
      </c>
      <c r="L284" s="357">
        <v>17</v>
      </c>
      <c r="M284" s="358" t="s">
        <v>3232</v>
      </c>
      <c r="N284" s="359">
        <v>1000</v>
      </c>
      <c r="O284" s="360" t="s">
        <v>454</v>
      </c>
      <c r="P284" s="343" t="s">
        <v>454</v>
      </c>
      <c r="Q284" s="342" t="s">
        <v>2688</v>
      </c>
      <c r="R284" s="344">
        <v>20</v>
      </c>
      <c r="S284" s="345">
        <v>30</v>
      </c>
      <c r="T284" s="362">
        <v>30</v>
      </c>
      <c r="U284" s="361">
        <v>95.25</v>
      </c>
      <c r="V284" s="346">
        <v>129.86363636363637</v>
      </c>
      <c r="W284" s="348">
        <v>128.44999999999999</v>
      </c>
      <c r="X284" s="347">
        <v>65.14</v>
      </c>
      <c r="Y284" s="357" t="s">
        <v>408</v>
      </c>
      <c r="Z284" s="365" t="s">
        <v>2689</v>
      </c>
      <c r="AA284" s="350">
        <v>200</v>
      </c>
      <c r="AB284" s="349" t="s">
        <v>2685</v>
      </c>
      <c r="AC284" s="350">
        <v>10</v>
      </c>
      <c r="AD284" s="349" t="s">
        <v>2685</v>
      </c>
      <c r="AE284" s="364">
        <v>0</v>
      </c>
      <c r="AF284" s="366">
        <v>0</v>
      </c>
      <c r="AG284" s="363">
        <v>0</v>
      </c>
      <c r="AH284" s="635" t="s">
        <v>408</v>
      </c>
      <c r="AI284" s="324"/>
      <c r="AL284" s="487" t="s">
        <v>14433</v>
      </c>
      <c r="AM284" s="477" t="s">
        <v>70</v>
      </c>
      <c r="AN284" s="637" t="s">
        <v>7178</v>
      </c>
      <c r="AO284" s="478">
        <v>-737</v>
      </c>
      <c r="AP284" s="463">
        <v>-737</v>
      </c>
      <c r="AQ284" s="479">
        <v>0</v>
      </c>
      <c r="AR284" s="476" t="s">
        <v>14434</v>
      </c>
      <c r="BA284" s="313" t="s">
        <v>3168</v>
      </c>
    </row>
    <row r="285" spans="2:53" ht="16.5" customHeight="1">
      <c r="B285" s="367" t="s">
        <v>3241</v>
      </c>
      <c r="C285" s="351" t="s">
        <v>3242</v>
      </c>
      <c r="D285" s="353">
        <v>-871</v>
      </c>
      <c r="E285" s="352" t="s">
        <v>408</v>
      </c>
      <c r="F285" s="341">
        <v>95.25</v>
      </c>
      <c r="G285" s="355" t="s">
        <v>3379</v>
      </c>
      <c r="H285" s="356" t="s">
        <v>8330</v>
      </c>
      <c r="I285" s="354" t="s">
        <v>75</v>
      </c>
      <c r="J285" s="340" t="s">
        <v>8618</v>
      </c>
      <c r="K285" s="339" t="s">
        <v>71</v>
      </c>
      <c r="L285" s="357">
        <v>16</v>
      </c>
      <c r="M285" s="358" t="s">
        <v>8619</v>
      </c>
      <c r="N285" s="359">
        <v>1000</v>
      </c>
      <c r="O285" s="360" t="s">
        <v>530</v>
      </c>
      <c r="P285" s="343" t="s">
        <v>531</v>
      </c>
      <c r="Q285" s="342" t="s">
        <v>2688</v>
      </c>
      <c r="R285" s="344">
        <v>36</v>
      </c>
      <c r="S285" s="345">
        <v>36</v>
      </c>
      <c r="T285" s="362">
        <v>29</v>
      </c>
      <c r="U285" s="361">
        <v>95.25</v>
      </c>
      <c r="V285" s="346">
        <v>129.86288532675707</v>
      </c>
      <c r="W285" s="348">
        <v>128.44917385943279</v>
      </c>
      <c r="X285" s="347">
        <v>65.61</v>
      </c>
      <c r="Y285" s="357">
        <v>66.210000000000008</v>
      </c>
      <c r="Z285" s="365" t="s">
        <v>2689</v>
      </c>
      <c r="AA285" s="350">
        <v>0</v>
      </c>
      <c r="AB285" s="349" t="s">
        <v>2685</v>
      </c>
      <c r="AC285" s="350">
        <v>10</v>
      </c>
      <c r="AD285" s="349" t="s">
        <v>2685</v>
      </c>
      <c r="AE285" s="364">
        <v>0</v>
      </c>
      <c r="AF285" s="366">
        <v>0</v>
      </c>
      <c r="AG285" s="363">
        <v>0</v>
      </c>
      <c r="AH285" s="635" t="s">
        <v>408</v>
      </c>
      <c r="AI285" s="324"/>
      <c r="AL285" s="487" t="s">
        <v>14435</v>
      </c>
      <c r="AM285" s="477" t="s">
        <v>71</v>
      </c>
      <c r="AN285" s="637">
        <v>100</v>
      </c>
      <c r="AO285" s="478">
        <v>-871</v>
      </c>
      <c r="AP285" s="463">
        <v>-654</v>
      </c>
      <c r="AQ285" s="479">
        <v>-217</v>
      </c>
      <c r="AR285" s="476" t="s">
        <v>16850</v>
      </c>
      <c r="BA285" s="313" t="s">
        <v>3170</v>
      </c>
    </row>
    <row r="286" spans="2:53" ht="16.5" customHeight="1">
      <c r="B286" s="367" t="s">
        <v>8604</v>
      </c>
      <c r="C286" s="351" t="s">
        <v>8605</v>
      </c>
      <c r="D286" s="353">
        <v>-845</v>
      </c>
      <c r="E286" s="352" t="s">
        <v>8617</v>
      </c>
      <c r="F286" s="341">
        <v>95.24</v>
      </c>
      <c r="G286" s="355" t="s">
        <v>8620</v>
      </c>
      <c r="H286" s="356" t="s">
        <v>3219</v>
      </c>
      <c r="I286" s="354" t="s">
        <v>206</v>
      </c>
      <c r="J286" s="340" t="s">
        <v>205</v>
      </c>
      <c r="K286" s="339" t="s">
        <v>70</v>
      </c>
      <c r="L286" s="357">
        <v>6</v>
      </c>
      <c r="M286" s="358" t="s">
        <v>8149</v>
      </c>
      <c r="N286" s="359">
        <v>400</v>
      </c>
      <c r="O286" s="360" t="s">
        <v>454</v>
      </c>
      <c r="P286" s="343" t="s">
        <v>454</v>
      </c>
      <c r="Q286" s="342" t="s">
        <v>2688</v>
      </c>
      <c r="R286" s="344">
        <v>20</v>
      </c>
      <c r="S286" s="345">
        <v>30</v>
      </c>
      <c r="T286" s="362">
        <v>30</v>
      </c>
      <c r="U286" s="361">
        <v>95.24</v>
      </c>
      <c r="V286" s="346">
        <v>129.85674931129478</v>
      </c>
      <c r="W286" s="348">
        <v>128.44242424242427</v>
      </c>
      <c r="X286" s="347">
        <v>65.14</v>
      </c>
      <c r="Y286" s="357" t="s">
        <v>408</v>
      </c>
      <c r="Z286" s="365" t="s">
        <v>2689</v>
      </c>
      <c r="AA286" s="350">
        <v>80</v>
      </c>
      <c r="AB286" s="349" t="s">
        <v>2685</v>
      </c>
      <c r="AC286" s="350">
        <v>5</v>
      </c>
      <c r="AD286" s="349" t="s">
        <v>2685</v>
      </c>
      <c r="AE286" s="364">
        <v>0</v>
      </c>
      <c r="AF286" s="366">
        <v>9.5239999999999991</v>
      </c>
      <c r="AG286" s="363">
        <v>0</v>
      </c>
      <c r="AH286" s="635" t="s">
        <v>8621</v>
      </c>
      <c r="AI286" s="324"/>
      <c r="AL286" s="487" t="s">
        <v>7179</v>
      </c>
      <c r="AM286" s="477" t="s">
        <v>70</v>
      </c>
      <c r="AN286" s="637">
        <v>100</v>
      </c>
      <c r="AO286" s="478">
        <v>-845</v>
      </c>
      <c r="AP286" s="463">
        <v>-845</v>
      </c>
      <c r="AQ286" s="479">
        <v>0</v>
      </c>
      <c r="AR286" s="476" t="s">
        <v>14437</v>
      </c>
      <c r="BA286" s="313" t="s">
        <v>3172</v>
      </c>
    </row>
    <row r="287" spans="2:53" ht="16.5" customHeight="1">
      <c r="B287" s="367" t="s">
        <v>8604</v>
      </c>
      <c r="C287" s="351" t="s">
        <v>8605</v>
      </c>
      <c r="D287" s="353">
        <v>-845</v>
      </c>
      <c r="E287" s="352" t="s">
        <v>408</v>
      </c>
      <c r="F287" s="341">
        <v>95.23</v>
      </c>
      <c r="G287" s="355" t="s">
        <v>8622</v>
      </c>
      <c r="H287" s="356" t="s">
        <v>8623</v>
      </c>
      <c r="I287" s="354" t="s">
        <v>80</v>
      </c>
      <c r="J287" s="340" t="s">
        <v>8624</v>
      </c>
      <c r="K287" s="339" t="s">
        <v>70</v>
      </c>
      <c r="L287" s="357">
        <v>23</v>
      </c>
      <c r="M287" s="358" t="s">
        <v>8625</v>
      </c>
      <c r="N287" s="359">
        <v>1000</v>
      </c>
      <c r="O287" s="360" t="s">
        <v>532</v>
      </c>
      <c r="P287" s="343" t="s">
        <v>533</v>
      </c>
      <c r="Q287" s="342" t="s">
        <v>2688</v>
      </c>
      <c r="R287" s="344">
        <v>25</v>
      </c>
      <c r="S287" s="345">
        <v>40</v>
      </c>
      <c r="T287" s="362">
        <v>25</v>
      </c>
      <c r="U287" s="361">
        <v>95.23</v>
      </c>
      <c r="V287" s="346">
        <v>129.84849028214143</v>
      </c>
      <c r="W287" s="348">
        <v>128.43333931035559</v>
      </c>
      <c r="X287" s="347">
        <v>65.13</v>
      </c>
      <c r="Y287" s="357">
        <v>67.47</v>
      </c>
      <c r="Z287" s="365" t="s">
        <v>2689</v>
      </c>
      <c r="AA287" s="350">
        <v>100</v>
      </c>
      <c r="AB287" s="349" t="s">
        <v>2685</v>
      </c>
      <c r="AC287" s="350">
        <v>0</v>
      </c>
      <c r="AD287" s="349" t="s">
        <v>2685</v>
      </c>
      <c r="AE287" s="364">
        <v>0</v>
      </c>
      <c r="AF287" s="366">
        <v>0</v>
      </c>
      <c r="AG287" s="363">
        <v>0</v>
      </c>
      <c r="AH287" s="635" t="s">
        <v>408</v>
      </c>
      <c r="AI287" s="324"/>
      <c r="AL287" s="487" t="s">
        <v>14436</v>
      </c>
      <c r="AM287" s="477" t="s">
        <v>70</v>
      </c>
      <c r="AN287" s="637">
        <v>100</v>
      </c>
      <c r="AO287" s="478">
        <v>-845</v>
      </c>
      <c r="AP287" s="463">
        <v>-845</v>
      </c>
      <c r="AQ287" s="479">
        <v>0</v>
      </c>
      <c r="AR287" s="476" t="s">
        <v>14437</v>
      </c>
      <c r="BA287" s="313" t="s">
        <v>3173</v>
      </c>
    </row>
    <row r="288" spans="2:53" ht="16.5" customHeight="1">
      <c r="B288" s="367" t="s">
        <v>3216</v>
      </c>
      <c r="C288" s="351" t="s">
        <v>3217</v>
      </c>
      <c r="D288" s="353">
        <v>-850</v>
      </c>
      <c r="E288" s="352" t="s">
        <v>408</v>
      </c>
      <c r="F288" s="341">
        <v>95.23</v>
      </c>
      <c r="G288" s="355" t="s">
        <v>8626</v>
      </c>
      <c r="H288" s="356" t="s">
        <v>3297</v>
      </c>
      <c r="I288" s="354" t="s">
        <v>73</v>
      </c>
      <c r="J288" s="340" t="s">
        <v>8627</v>
      </c>
      <c r="K288" s="339" t="s">
        <v>71</v>
      </c>
      <c r="L288" s="357">
        <v>11</v>
      </c>
      <c r="M288" s="358" t="s">
        <v>8628</v>
      </c>
      <c r="N288" s="359">
        <v>1000</v>
      </c>
      <c r="O288" s="360" t="s">
        <v>530</v>
      </c>
      <c r="P288" s="343" t="s">
        <v>531</v>
      </c>
      <c r="Q288" s="342" t="s">
        <v>2688</v>
      </c>
      <c r="R288" s="344">
        <v>33</v>
      </c>
      <c r="S288" s="345">
        <v>33</v>
      </c>
      <c r="T288" s="362">
        <v>17</v>
      </c>
      <c r="U288" s="361">
        <v>95.23</v>
      </c>
      <c r="V288" s="346">
        <v>129.84093437945793</v>
      </c>
      <c r="W288" s="348">
        <v>128.42502781740373</v>
      </c>
      <c r="X288" s="347">
        <v>65.13</v>
      </c>
      <c r="Y288" s="357">
        <v>66.2</v>
      </c>
      <c r="Z288" s="365" t="s">
        <v>2689</v>
      </c>
      <c r="AA288" s="350">
        <v>166.67</v>
      </c>
      <c r="AB288" s="349" t="s">
        <v>2685</v>
      </c>
      <c r="AC288" s="350">
        <v>0</v>
      </c>
      <c r="AD288" s="349" t="s">
        <v>2685</v>
      </c>
      <c r="AE288" s="364">
        <v>0</v>
      </c>
      <c r="AF288" s="366">
        <v>0</v>
      </c>
      <c r="AG288" s="363">
        <v>0</v>
      </c>
      <c r="AH288" s="635" t="s">
        <v>408</v>
      </c>
      <c r="AI288" s="324"/>
      <c r="AL288" s="487" t="s">
        <v>14438</v>
      </c>
      <c r="AM288" s="477" t="s">
        <v>71</v>
      </c>
      <c r="AN288" s="637">
        <v>100</v>
      </c>
      <c r="AO288" s="478">
        <v>-850</v>
      </c>
      <c r="AP288" s="463">
        <v>-622</v>
      </c>
      <c r="AQ288" s="479">
        <v>-228</v>
      </c>
      <c r="AR288" s="476" t="s">
        <v>17150</v>
      </c>
      <c r="BA288" s="313" t="s">
        <v>3176</v>
      </c>
    </row>
    <row r="289" spans="2:53" ht="16.5" customHeight="1">
      <c r="B289" s="367" t="s">
        <v>3216</v>
      </c>
      <c r="C289" s="351" t="s">
        <v>3217</v>
      </c>
      <c r="D289" s="353">
        <v>-849</v>
      </c>
      <c r="E289" s="352" t="s">
        <v>408</v>
      </c>
      <c r="F289" s="341">
        <v>95.2</v>
      </c>
      <c r="G289" s="355" t="s">
        <v>8629</v>
      </c>
      <c r="H289" s="356" t="s">
        <v>18444</v>
      </c>
      <c r="I289" s="354" t="s">
        <v>73</v>
      </c>
      <c r="J289" s="340" t="s">
        <v>8630</v>
      </c>
      <c r="K289" s="339" t="s">
        <v>70</v>
      </c>
      <c r="L289" s="357">
        <v>5</v>
      </c>
      <c r="M289" s="358" t="s">
        <v>8631</v>
      </c>
      <c r="N289" s="359">
        <v>1000</v>
      </c>
      <c r="O289" s="360" t="s">
        <v>530</v>
      </c>
      <c r="P289" s="343" t="s">
        <v>531</v>
      </c>
      <c r="Q289" s="342" t="s">
        <v>2688</v>
      </c>
      <c r="R289" s="344">
        <v>22</v>
      </c>
      <c r="S289" s="345">
        <v>33</v>
      </c>
      <c r="T289" s="362">
        <v>33</v>
      </c>
      <c r="U289" s="361">
        <v>95.2</v>
      </c>
      <c r="V289" s="346">
        <v>129.82128380058691</v>
      </c>
      <c r="W289" s="348">
        <v>128.40341218064563</v>
      </c>
      <c r="X289" s="347">
        <v>65.12</v>
      </c>
      <c r="Y289" s="357">
        <v>66.180000000000007</v>
      </c>
      <c r="Z289" s="365" t="s">
        <v>2689</v>
      </c>
      <c r="AA289" s="350">
        <v>111.11</v>
      </c>
      <c r="AB289" s="349" t="s">
        <v>2685</v>
      </c>
      <c r="AC289" s="350">
        <v>0</v>
      </c>
      <c r="AD289" s="349" t="s">
        <v>2685</v>
      </c>
      <c r="AE289" s="364">
        <v>0</v>
      </c>
      <c r="AF289" s="366">
        <v>6.6180000000000003</v>
      </c>
      <c r="AG289" s="363">
        <v>0</v>
      </c>
      <c r="AH289" s="635" t="s">
        <v>7791</v>
      </c>
      <c r="AI289" s="324"/>
      <c r="AL289" s="487" t="s">
        <v>14439</v>
      </c>
      <c r="AM289" s="477" t="s">
        <v>70</v>
      </c>
      <c r="AN289" s="637">
        <v>100</v>
      </c>
      <c r="AO289" s="478">
        <v>-849</v>
      </c>
      <c r="AP289" s="463">
        <v>-849</v>
      </c>
      <c r="AQ289" s="479">
        <v>0</v>
      </c>
      <c r="AR289" s="476" t="s">
        <v>14440</v>
      </c>
      <c r="BA289" s="313" t="s">
        <v>3179</v>
      </c>
    </row>
    <row r="290" spans="2:53" ht="16.5" customHeight="1">
      <c r="B290" s="367" t="s">
        <v>3222</v>
      </c>
      <c r="C290" s="351" t="s">
        <v>3223</v>
      </c>
      <c r="D290" s="353">
        <v>-849</v>
      </c>
      <c r="E290" s="352" t="s">
        <v>408</v>
      </c>
      <c r="F290" s="341">
        <v>95.18</v>
      </c>
      <c r="G290" s="355" t="s">
        <v>3401</v>
      </c>
      <c r="H290" s="356" t="s">
        <v>8344</v>
      </c>
      <c r="I290" s="354" t="s">
        <v>75</v>
      </c>
      <c r="J290" s="340" t="s">
        <v>8168</v>
      </c>
      <c r="K290" s="339" t="s">
        <v>70</v>
      </c>
      <c r="L290" s="357">
        <v>37</v>
      </c>
      <c r="M290" s="358" t="s">
        <v>8632</v>
      </c>
      <c r="N290" s="359">
        <v>1000</v>
      </c>
      <c r="O290" s="360" t="s">
        <v>530</v>
      </c>
      <c r="P290" s="343" t="s">
        <v>531</v>
      </c>
      <c r="Q290" s="342" t="s">
        <v>2688</v>
      </c>
      <c r="R290" s="344">
        <v>31</v>
      </c>
      <c r="S290" s="345">
        <v>38</v>
      </c>
      <c r="T290" s="362">
        <v>31</v>
      </c>
      <c r="U290" s="361">
        <v>95.18</v>
      </c>
      <c r="V290" s="346">
        <v>129.80072127769191</v>
      </c>
      <c r="W290" s="348">
        <v>128.38079340546111</v>
      </c>
      <c r="X290" s="347">
        <v>65.099999999999994</v>
      </c>
      <c r="Y290" s="357">
        <v>66.38000000000001</v>
      </c>
      <c r="Z290" s="365" t="s">
        <v>2689</v>
      </c>
      <c r="AA290" s="350">
        <v>0</v>
      </c>
      <c r="AB290" s="349" t="s">
        <v>2685</v>
      </c>
      <c r="AC290" s="350">
        <v>10</v>
      </c>
      <c r="AD290" s="349" t="s">
        <v>2685</v>
      </c>
      <c r="AE290" s="364">
        <v>0</v>
      </c>
      <c r="AF290" s="366">
        <v>0</v>
      </c>
      <c r="AG290" s="363">
        <v>0</v>
      </c>
      <c r="AH290" s="635" t="s">
        <v>408</v>
      </c>
      <c r="AI290" s="324"/>
      <c r="AL290" s="487" t="s">
        <v>14441</v>
      </c>
      <c r="AM290" s="477" t="s">
        <v>70</v>
      </c>
      <c r="AN290" s="637">
        <v>100</v>
      </c>
      <c r="AO290" s="478">
        <v>-849</v>
      </c>
      <c r="AP290" s="463">
        <v>-849</v>
      </c>
      <c r="AQ290" s="479">
        <v>0</v>
      </c>
      <c r="AR290" s="476" t="s">
        <v>14442</v>
      </c>
      <c r="BA290" s="313" t="s">
        <v>3180</v>
      </c>
    </row>
    <row r="291" spans="2:53" ht="16.5" customHeight="1">
      <c r="B291" s="367" t="s">
        <v>3222</v>
      </c>
      <c r="C291" s="351" t="s">
        <v>3223</v>
      </c>
      <c r="D291" s="353">
        <v>-882</v>
      </c>
      <c r="E291" s="352" t="s">
        <v>408</v>
      </c>
      <c r="F291" s="341">
        <v>95.18</v>
      </c>
      <c r="G291" s="355" t="s">
        <v>3401</v>
      </c>
      <c r="H291" s="356" t="s">
        <v>8749</v>
      </c>
      <c r="I291" s="354" t="s">
        <v>73</v>
      </c>
      <c r="J291" s="340" t="s">
        <v>8633</v>
      </c>
      <c r="K291" s="339" t="s">
        <v>70</v>
      </c>
      <c r="L291" s="357">
        <v>37</v>
      </c>
      <c r="M291" s="358" t="s">
        <v>8634</v>
      </c>
      <c r="N291" s="359">
        <v>1000</v>
      </c>
      <c r="O291" s="360" t="s">
        <v>530</v>
      </c>
      <c r="P291" s="343" t="s">
        <v>531</v>
      </c>
      <c r="Q291" s="342" t="s">
        <v>2688</v>
      </c>
      <c r="R291" s="344">
        <v>33</v>
      </c>
      <c r="S291" s="345">
        <v>33</v>
      </c>
      <c r="T291" s="362">
        <v>17</v>
      </c>
      <c r="U291" s="361">
        <v>95.18</v>
      </c>
      <c r="V291" s="346">
        <v>129.79993580599142</v>
      </c>
      <c r="W291" s="348">
        <v>128.37992938659059</v>
      </c>
      <c r="X291" s="347">
        <v>65.11</v>
      </c>
      <c r="Y291" s="357">
        <v>66.17</v>
      </c>
      <c r="Z291" s="365" t="s">
        <v>2689</v>
      </c>
      <c r="AA291" s="350">
        <v>166.67</v>
      </c>
      <c r="AB291" s="349" t="s">
        <v>2685</v>
      </c>
      <c r="AC291" s="350">
        <v>0</v>
      </c>
      <c r="AD291" s="349" t="s">
        <v>2685</v>
      </c>
      <c r="AE291" s="364">
        <v>0</v>
      </c>
      <c r="AF291" s="366">
        <v>0</v>
      </c>
      <c r="AG291" s="363">
        <v>0</v>
      </c>
      <c r="AH291" s="635" t="s">
        <v>408</v>
      </c>
      <c r="AI291" s="324"/>
      <c r="AL291" s="487" t="s">
        <v>14443</v>
      </c>
      <c r="AM291" s="477" t="s">
        <v>70</v>
      </c>
      <c r="AN291" s="637">
        <v>100</v>
      </c>
      <c r="AO291" s="478">
        <v>-882</v>
      </c>
      <c r="AP291" s="463">
        <v>-882</v>
      </c>
      <c r="AQ291" s="479">
        <v>0</v>
      </c>
      <c r="AR291" s="476" t="s">
        <v>17151</v>
      </c>
      <c r="BA291" s="313" t="s">
        <v>3183</v>
      </c>
    </row>
    <row r="292" spans="2:53" ht="16.5" customHeight="1">
      <c r="B292" s="367" t="s">
        <v>8635</v>
      </c>
      <c r="C292" s="351" t="s">
        <v>8636</v>
      </c>
      <c r="D292" s="353">
        <v>-884</v>
      </c>
      <c r="E292" s="352" t="s">
        <v>408</v>
      </c>
      <c r="F292" s="341">
        <v>95.16</v>
      </c>
      <c r="G292" s="355" t="s">
        <v>8637</v>
      </c>
      <c r="H292" s="356" t="s">
        <v>18445</v>
      </c>
      <c r="I292" s="354" t="s">
        <v>80</v>
      </c>
      <c r="J292" s="340" t="s">
        <v>8307</v>
      </c>
      <c r="K292" s="339" t="s">
        <v>70</v>
      </c>
      <c r="L292" s="357">
        <v>8</v>
      </c>
      <c r="M292" s="358" t="s">
        <v>8638</v>
      </c>
      <c r="N292" s="359">
        <v>1000</v>
      </c>
      <c r="O292" s="360" t="s">
        <v>532</v>
      </c>
      <c r="P292" s="343" t="s">
        <v>533</v>
      </c>
      <c r="Q292" s="342" t="s">
        <v>2688</v>
      </c>
      <c r="R292" s="344">
        <v>25</v>
      </c>
      <c r="S292" s="345">
        <v>40</v>
      </c>
      <c r="T292" s="362">
        <v>25</v>
      </c>
      <c r="U292" s="361">
        <v>95.16</v>
      </c>
      <c r="V292" s="346">
        <v>129.78021969454818</v>
      </c>
      <c r="W292" s="348">
        <v>128.358241664003</v>
      </c>
      <c r="X292" s="347">
        <v>65.099999999999994</v>
      </c>
      <c r="Y292" s="357">
        <v>67.440000000000012</v>
      </c>
      <c r="Z292" s="365" t="s">
        <v>2689</v>
      </c>
      <c r="AA292" s="350">
        <v>100</v>
      </c>
      <c r="AB292" s="349" t="s">
        <v>2685</v>
      </c>
      <c r="AC292" s="350">
        <v>0</v>
      </c>
      <c r="AD292" s="349" t="s">
        <v>2685</v>
      </c>
      <c r="AE292" s="364">
        <v>0</v>
      </c>
      <c r="AF292" s="366">
        <v>0</v>
      </c>
      <c r="AG292" s="363">
        <v>0</v>
      </c>
      <c r="AH292" s="635" t="s">
        <v>408</v>
      </c>
      <c r="AI292" s="324"/>
      <c r="AL292" s="487" t="s">
        <v>14444</v>
      </c>
      <c r="AM292" s="477" t="s">
        <v>70</v>
      </c>
      <c r="AN292" s="637">
        <v>100</v>
      </c>
      <c r="AO292" s="478">
        <v>-884</v>
      </c>
      <c r="AP292" s="463">
        <v>-884</v>
      </c>
      <c r="AQ292" s="479">
        <v>0</v>
      </c>
      <c r="AR292" s="476" t="s">
        <v>14445</v>
      </c>
      <c r="BA292" s="313" t="s">
        <v>3184</v>
      </c>
    </row>
    <row r="293" spans="2:53" ht="16.5" customHeight="1">
      <c r="B293" s="367" t="s">
        <v>3230</v>
      </c>
      <c r="C293" s="351" t="s">
        <v>3231</v>
      </c>
      <c r="D293" s="353">
        <v>-885</v>
      </c>
      <c r="E293" s="352" t="s">
        <v>408</v>
      </c>
      <c r="F293" s="341">
        <v>95.16</v>
      </c>
      <c r="G293" s="355" t="s">
        <v>3409</v>
      </c>
      <c r="H293" s="356" t="s">
        <v>8639</v>
      </c>
      <c r="I293" s="354" t="s">
        <v>73</v>
      </c>
      <c r="J293" s="340" t="s">
        <v>8640</v>
      </c>
      <c r="K293" s="339" t="s">
        <v>70</v>
      </c>
      <c r="L293" s="357">
        <v>14</v>
      </c>
      <c r="M293" s="358" t="s">
        <v>8641</v>
      </c>
      <c r="N293" s="359">
        <v>1000</v>
      </c>
      <c r="O293" s="360" t="s">
        <v>530</v>
      </c>
      <c r="P293" s="343" t="s">
        <v>531</v>
      </c>
      <c r="Q293" s="342" t="s">
        <v>2688</v>
      </c>
      <c r="R293" s="344">
        <v>22</v>
      </c>
      <c r="S293" s="345">
        <v>33</v>
      </c>
      <c r="T293" s="362">
        <v>33</v>
      </c>
      <c r="U293" s="361">
        <v>95.16</v>
      </c>
      <c r="V293" s="346">
        <v>129.77786320606131</v>
      </c>
      <c r="W293" s="348">
        <v>128.35564952666746</v>
      </c>
      <c r="X293" s="347">
        <v>65.09</v>
      </c>
      <c r="Y293" s="357">
        <v>66.160000000000011</v>
      </c>
      <c r="Z293" s="365" t="s">
        <v>2689</v>
      </c>
      <c r="AA293" s="350">
        <v>111.11</v>
      </c>
      <c r="AB293" s="349" t="s">
        <v>2685</v>
      </c>
      <c r="AC293" s="350">
        <v>0</v>
      </c>
      <c r="AD293" s="349" t="s">
        <v>2685</v>
      </c>
      <c r="AE293" s="364">
        <v>0</v>
      </c>
      <c r="AF293" s="366">
        <v>6.6159999999999997</v>
      </c>
      <c r="AG293" s="363">
        <v>0</v>
      </c>
      <c r="AH293" s="635" t="s">
        <v>7791</v>
      </c>
      <c r="AI293" s="324"/>
      <c r="AL293" s="487" t="s">
        <v>14446</v>
      </c>
      <c r="AM293" s="477" t="s">
        <v>70</v>
      </c>
      <c r="AN293" s="637">
        <v>100</v>
      </c>
      <c r="AO293" s="478">
        <v>-885</v>
      </c>
      <c r="AP293" s="463">
        <v>-885</v>
      </c>
      <c r="AQ293" s="479">
        <v>0</v>
      </c>
      <c r="AR293" s="476" t="s">
        <v>14445</v>
      </c>
      <c r="BA293" s="313" t="s">
        <v>3188</v>
      </c>
    </row>
    <row r="294" spans="2:53" ht="16.5" customHeight="1">
      <c r="B294" s="367" t="s">
        <v>3230</v>
      </c>
      <c r="C294" s="351" t="s">
        <v>3231</v>
      </c>
      <c r="D294" s="353">
        <v>-888</v>
      </c>
      <c r="E294" s="352" t="s">
        <v>408</v>
      </c>
      <c r="F294" s="341">
        <v>95.15</v>
      </c>
      <c r="G294" s="355" t="s">
        <v>8642</v>
      </c>
      <c r="H294" s="356" t="s">
        <v>8643</v>
      </c>
      <c r="I294" s="354" t="s">
        <v>213</v>
      </c>
      <c r="J294" s="340" t="s">
        <v>7917</v>
      </c>
      <c r="K294" s="339" t="s">
        <v>70</v>
      </c>
      <c r="L294" s="357">
        <v>9</v>
      </c>
      <c r="M294" s="358" t="s">
        <v>8644</v>
      </c>
      <c r="N294" s="359">
        <v>1000</v>
      </c>
      <c r="O294" s="360" t="s">
        <v>454</v>
      </c>
      <c r="P294" s="343" t="s">
        <v>454</v>
      </c>
      <c r="Q294" s="342" t="s">
        <v>2688</v>
      </c>
      <c r="R294" s="344">
        <v>20</v>
      </c>
      <c r="S294" s="345">
        <v>30</v>
      </c>
      <c r="T294" s="362">
        <v>30</v>
      </c>
      <c r="U294" s="361">
        <v>95.15</v>
      </c>
      <c r="V294" s="346">
        <v>129.77272727272728</v>
      </c>
      <c r="W294" s="348">
        <v>128.35000000000002</v>
      </c>
      <c r="X294" s="347">
        <v>65.09</v>
      </c>
      <c r="Y294" s="357" t="s">
        <v>408</v>
      </c>
      <c r="Z294" s="365" t="s">
        <v>2689</v>
      </c>
      <c r="AA294" s="350">
        <v>200</v>
      </c>
      <c r="AB294" s="349" t="s">
        <v>2685</v>
      </c>
      <c r="AC294" s="350">
        <v>10</v>
      </c>
      <c r="AD294" s="349" t="s">
        <v>2685</v>
      </c>
      <c r="AE294" s="364">
        <v>0</v>
      </c>
      <c r="AF294" s="366">
        <v>0</v>
      </c>
      <c r="AG294" s="363">
        <v>0</v>
      </c>
      <c r="AH294" s="635" t="s">
        <v>408</v>
      </c>
      <c r="AI294" s="324"/>
      <c r="AL294" s="487" t="s">
        <v>14447</v>
      </c>
      <c r="AM294" s="477" t="s">
        <v>70</v>
      </c>
      <c r="AN294" s="637">
        <v>100</v>
      </c>
      <c r="AO294" s="478">
        <v>-888</v>
      </c>
      <c r="AP294" s="463">
        <v>-888</v>
      </c>
      <c r="AQ294" s="479">
        <v>0</v>
      </c>
      <c r="AR294" s="476" t="s">
        <v>14448</v>
      </c>
      <c r="BA294" s="313" t="s">
        <v>3192</v>
      </c>
    </row>
    <row r="295" spans="2:53" ht="16.5" customHeight="1">
      <c r="B295" s="367" t="s">
        <v>3236</v>
      </c>
      <c r="C295" s="351" t="s">
        <v>3237</v>
      </c>
      <c r="D295" s="353">
        <v>-888</v>
      </c>
      <c r="E295" s="352" t="s">
        <v>408</v>
      </c>
      <c r="F295" s="341">
        <v>95.14</v>
      </c>
      <c r="G295" s="355" t="s">
        <v>18446</v>
      </c>
      <c r="H295" s="356" t="s">
        <v>18447</v>
      </c>
      <c r="I295" s="354" t="s">
        <v>77</v>
      </c>
      <c r="J295" s="340" t="s">
        <v>8646</v>
      </c>
      <c r="K295" s="339" t="s">
        <v>71</v>
      </c>
      <c r="L295" s="357">
        <v>24</v>
      </c>
      <c r="M295" s="358" t="s">
        <v>8647</v>
      </c>
      <c r="N295" s="359">
        <v>1000</v>
      </c>
      <c r="O295" s="360" t="s">
        <v>530</v>
      </c>
      <c r="P295" s="343" t="s">
        <v>531</v>
      </c>
      <c r="Q295" s="342" t="s">
        <v>2688</v>
      </c>
      <c r="R295" s="344">
        <v>35</v>
      </c>
      <c r="S295" s="345">
        <v>25</v>
      </c>
      <c r="T295" s="362">
        <v>30</v>
      </c>
      <c r="U295" s="361">
        <v>95.14</v>
      </c>
      <c r="V295" s="346">
        <v>129.76800311405216</v>
      </c>
      <c r="W295" s="348">
        <v>128.3448034254574</v>
      </c>
      <c r="X295" s="347">
        <v>65.55</v>
      </c>
      <c r="Y295" s="357">
        <v>66.11</v>
      </c>
      <c r="Z295" s="365" t="s">
        <v>2689</v>
      </c>
      <c r="AA295" s="350">
        <v>63.5</v>
      </c>
      <c r="AB295" s="349" t="s">
        <v>2685</v>
      </c>
      <c r="AC295" s="350">
        <v>0</v>
      </c>
      <c r="AD295" s="349" t="s">
        <v>2685</v>
      </c>
      <c r="AE295" s="364">
        <v>0</v>
      </c>
      <c r="AF295" s="366">
        <v>0</v>
      </c>
      <c r="AG295" s="363">
        <v>0</v>
      </c>
      <c r="AH295" s="635" t="s">
        <v>408</v>
      </c>
      <c r="AI295" s="324"/>
      <c r="AL295" s="487" t="s">
        <v>14449</v>
      </c>
      <c r="AM295" s="477" t="s">
        <v>71</v>
      </c>
      <c r="AN295" s="637">
        <v>100</v>
      </c>
      <c r="AO295" s="478">
        <v>-888</v>
      </c>
      <c r="AP295" s="463">
        <v>-662</v>
      </c>
      <c r="AQ295" s="479">
        <v>-226</v>
      </c>
      <c r="AR295" s="476" t="s">
        <v>16851</v>
      </c>
      <c r="BA295" s="313" t="s">
        <v>3193</v>
      </c>
    </row>
    <row r="296" spans="2:53" ht="16.5" customHeight="1">
      <c r="B296" s="367" t="s">
        <v>3246</v>
      </c>
      <c r="C296" s="351" t="s">
        <v>3247</v>
      </c>
      <c r="D296" s="353">
        <v>-890</v>
      </c>
      <c r="E296" s="352" t="s">
        <v>8645</v>
      </c>
      <c r="F296" s="341">
        <v>95.13</v>
      </c>
      <c r="G296" s="355" t="s">
        <v>8648</v>
      </c>
      <c r="H296" s="356" t="s">
        <v>18448</v>
      </c>
      <c r="I296" s="354" t="s">
        <v>73</v>
      </c>
      <c r="J296" s="340" t="s">
        <v>8649</v>
      </c>
      <c r="K296" s="339" t="s">
        <v>70</v>
      </c>
      <c r="L296" s="357">
        <v>14</v>
      </c>
      <c r="M296" s="358" t="s">
        <v>8650</v>
      </c>
      <c r="N296" s="359">
        <v>1000</v>
      </c>
      <c r="O296" s="360" t="s">
        <v>530</v>
      </c>
      <c r="P296" s="343" t="s">
        <v>531</v>
      </c>
      <c r="Q296" s="342" t="s">
        <v>2688</v>
      </c>
      <c r="R296" s="344">
        <v>22</v>
      </c>
      <c r="S296" s="345">
        <v>33</v>
      </c>
      <c r="T296" s="362">
        <v>33</v>
      </c>
      <c r="U296" s="361">
        <v>95.13</v>
      </c>
      <c r="V296" s="346">
        <v>129.75581718255219</v>
      </c>
      <c r="W296" s="348">
        <v>128.33139890080744</v>
      </c>
      <c r="X296" s="347">
        <v>65.08</v>
      </c>
      <c r="Y296" s="357">
        <v>66.14</v>
      </c>
      <c r="Z296" s="365" t="s">
        <v>2689</v>
      </c>
      <c r="AA296" s="350">
        <v>111.11</v>
      </c>
      <c r="AB296" s="349" t="s">
        <v>2685</v>
      </c>
      <c r="AC296" s="350">
        <v>0</v>
      </c>
      <c r="AD296" s="349" t="s">
        <v>2685</v>
      </c>
      <c r="AE296" s="364">
        <v>0</v>
      </c>
      <c r="AF296" s="366">
        <v>6.6139999999999999</v>
      </c>
      <c r="AG296" s="363">
        <v>0</v>
      </c>
      <c r="AH296" s="635" t="s">
        <v>7791</v>
      </c>
      <c r="AI296" s="324"/>
      <c r="AL296" s="487" t="s">
        <v>14450</v>
      </c>
      <c r="AM296" s="477" t="s">
        <v>70</v>
      </c>
      <c r="AN296" s="637">
        <v>100</v>
      </c>
      <c r="AO296" s="478">
        <v>-890</v>
      </c>
      <c r="AP296" s="463">
        <v>-890</v>
      </c>
      <c r="AQ296" s="479">
        <v>0</v>
      </c>
      <c r="AR296" s="476" t="s">
        <v>14451</v>
      </c>
      <c r="BA296" s="313" t="s">
        <v>3198</v>
      </c>
    </row>
    <row r="297" spans="2:53" ht="16.5" customHeight="1">
      <c r="B297" s="367" t="s">
        <v>8651</v>
      </c>
      <c r="C297" s="351" t="s">
        <v>8652</v>
      </c>
      <c r="D297" s="353">
        <v>-889</v>
      </c>
      <c r="E297" s="352" t="s">
        <v>408</v>
      </c>
      <c r="F297" s="341">
        <v>95.11</v>
      </c>
      <c r="G297" s="355" t="s">
        <v>8979</v>
      </c>
      <c r="H297" s="356" t="s">
        <v>3238</v>
      </c>
      <c r="I297" s="354" t="s">
        <v>75</v>
      </c>
      <c r="J297" s="340" t="s">
        <v>8654</v>
      </c>
      <c r="K297" s="339" t="s">
        <v>71</v>
      </c>
      <c r="L297" s="357">
        <v>27</v>
      </c>
      <c r="M297" s="358" t="s">
        <v>8655</v>
      </c>
      <c r="N297" s="359">
        <v>1000</v>
      </c>
      <c r="O297" s="360" t="s">
        <v>530</v>
      </c>
      <c r="P297" s="343" t="s">
        <v>531</v>
      </c>
      <c r="Q297" s="342" t="s">
        <v>2688</v>
      </c>
      <c r="R297" s="344">
        <v>36</v>
      </c>
      <c r="S297" s="345">
        <v>36</v>
      </c>
      <c r="T297" s="362">
        <v>29</v>
      </c>
      <c r="U297" s="361">
        <v>95.11</v>
      </c>
      <c r="V297" s="346">
        <v>129.73514180024657</v>
      </c>
      <c r="W297" s="348">
        <v>128.30865598027125</v>
      </c>
      <c r="X297" s="347">
        <v>65.53</v>
      </c>
      <c r="Y297" s="357">
        <v>66.12</v>
      </c>
      <c r="Z297" s="365" t="s">
        <v>2689</v>
      </c>
      <c r="AA297" s="350">
        <v>0</v>
      </c>
      <c r="AB297" s="349" t="s">
        <v>2685</v>
      </c>
      <c r="AC297" s="350">
        <v>10</v>
      </c>
      <c r="AD297" s="349" t="s">
        <v>2685</v>
      </c>
      <c r="AE297" s="364">
        <v>0</v>
      </c>
      <c r="AF297" s="366">
        <v>0</v>
      </c>
      <c r="AG297" s="363">
        <v>0</v>
      </c>
      <c r="AH297" s="635" t="s">
        <v>408</v>
      </c>
      <c r="AI297" s="324"/>
      <c r="AL297" s="487" t="s">
        <v>14452</v>
      </c>
      <c r="AM297" s="477" t="s">
        <v>71</v>
      </c>
      <c r="AN297" s="637">
        <v>100</v>
      </c>
      <c r="AO297" s="478">
        <v>-889</v>
      </c>
      <c r="AP297" s="463">
        <v>-659</v>
      </c>
      <c r="AQ297" s="479">
        <v>-230</v>
      </c>
      <c r="AR297" s="476" t="s">
        <v>16852</v>
      </c>
      <c r="BA297" s="313" t="s">
        <v>3199</v>
      </c>
    </row>
    <row r="298" spans="2:53" ht="16.5" customHeight="1">
      <c r="B298" s="367" t="s">
        <v>8656</v>
      </c>
      <c r="C298" s="351" t="s">
        <v>8657</v>
      </c>
      <c r="D298" s="353">
        <v>-889</v>
      </c>
      <c r="E298" s="352" t="s">
        <v>8653</v>
      </c>
      <c r="F298" s="341">
        <v>95.11</v>
      </c>
      <c r="G298" s="355" t="s">
        <v>8546</v>
      </c>
      <c r="H298" s="356" t="s">
        <v>8639</v>
      </c>
      <c r="I298" s="354" t="s">
        <v>75</v>
      </c>
      <c r="J298" s="340" t="s">
        <v>8659</v>
      </c>
      <c r="K298" s="339" t="s">
        <v>71</v>
      </c>
      <c r="L298" s="357">
        <v>34</v>
      </c>
      <c r="M298" s="358" t="s">
        <v>8660</v>
      </c>
      <c r="N298" s="359">
        <v>1000</v>
      </c>
      <c r="O298" s="360" t="s">
        <v>530</v>
      </c>
      <c r="P298" s="343" t="s">
        <v>531</v>
      </c>
      <c r="Q298" s="342" t="s">
        <v>2688</v>
      </c>
      <c r="R298" s="344">
        <v>36</v>
      </c>
      <c r="S298" s="345">
        <v>36</v>
      </c>
      <c r="T298" s="362">
        <v>29</v>
      </c>
      <c r="U298" s="361">
        <v>95.11</v>
      </c>
      <c r="V298" s="346">
        <v>129.74032059186189</v>
      </c>
      <c r="W298" s="348">
        <v>128.3143526510481</v>
      </c>
      <c r="X298" s="347">
        <v>65.540000000000006</v>
      </c>
      <c r="Y298" s="357">
        <v>66.12</v>
      </c>
      <c r="Z298" s="365" t="s">
        <v>2689</v>
      </c>
      <c r="AA298" s="350">
        <v>0</v>
      </c>
      <c r="AB298" s="349" t="s">
        <v>2685</v>
      </c>
      <c r="AC298" s="350">
        <v>10</v>
      </c>
      <c r="AD298" s="349" t="s">
        <v>2685</v>
      </c>
      <c r="AE298" s="364">
        <v>0</v>
      </c>
      <c r="AF298" s="366">
        <v>0</v>
      </c>
      <c r="AG298" s="363">
        <v>0</v>
      </c>
      <c r="AH298" s="635" t="s">
        <v>408</v>
      </c>
      <c r="AI298" s="324"/>
      <c r="AL298" s="487" t="s">
        <v>14453</v>
      </c>
      <c r="AM298" s="477" t="s">
        <v>71</v>
      </c>
      <c r="AN298" s="637">
        <v>100</v>
      </c>
      <c r="AO298" s="478">
        <v>-889</v>
      </c>
      <c r="AP298" s="463">
        <v>-660</v>
      </c>
      <c r="AQ298" s="479">
        <v>-229</v>
      </c>
      <c r="AR298" s="476" t="s">
        <v>14491</v>
      </c>
      <c r="BA298" s="313" t="s">
        <v>3203</v>
      </c>
    </row>
    <row r="299" spans="2:53" ht="16.5" customHeight="1">
      <c r="B299" s="367" t="s">
        <v>8661</v>
      </c>
      <c r="C299" s="351" t="s">
        <v>8662</v>
      </c>
      <c r="D299" s="353">
        <v>-860</v>
      </c>
      <c r="E299" s="352" t="s">
        <v>8658</v>
      </c>
      <c r="F299" s="341">
        <v>95.09</v>
      </c>
      <c r="G299" s="355" t="s">
        <v>8663</v>
      </c>
      <c r="H299" s="356" t="s">
        <v>8779</v>
      </c>
      <c r="I299" s="354" t="s">
        <v>73</v>
      </c>
      <c r="J299" s="340" t="s">
        <v>8664</v>
      </c>
      <c r="K299" s="339" t="s">
        <v>70</v>
      </c>
      <c r="L299" s="357">
        <v>7</v>
      </c>
      <c r="M299" s="358" t="s">
        <v>8665</v>
      </c>
      <c r="N299" s="359">
        <v>1000</v>
      </c>
      <c r="O299" s="360" t="s">
        <v>530</v>
      </c>
      <c r="P299" s="343" t="s">
        <v>531</v>
      </c>
      <c r="Q299" s="342" t="s">
        <v>2688</v>
      </c>
      <c r="R299" s="344">
        <v>22</v>
      </c>
      <c r="S299" s="345">
        <v>33</v>
      </c>
      <c r="T299" s="362">
        <v>33</v>
      </c>
      <c r="U299" s="361">
        <v>95.09</v>
      </c>
      <c r="V299" s="346">
        <v>129.71767495067726</v>
      </c>
      <c r="W299" s="348">
        <v>128.28944244574501</v>
      </c>
      <c r="X299" s="347">
        <v>65.06</v>
      </c>
      <c r="Y299" s="357">
        <v>66.11</v>
      </c>
      <c r="Z299" s="365" t="s">
        <v>2689</v>
      </c>
      <c r="AA299" s="350">
        <v>111.11</v>
      </c>
      <c r="AB299" s="349" t="s">
        <v>2685</v>
      </c>
      <c r="AC299" s="350">
        <v>0</v>
      </c>
      <c r="AD299" s="349" t="s">
        <v>2685</v>
      </c>
      <c r="AE299" s="364">
        <v>0</v>
      </c>
      <c r="AF299" s="366">
        <v>6.6109999999999998</v>
      </c>
      <c r="AG299" s="363">
        <v>0</v>
      </c>
      <c r="AH299" s="635" t="s">
        <v>7791</v>
      </c>
      <c r="AI299" s="324"/>
      <c r="AL299" s="487" t="s">
        <v>14454</v>
      </c>
      <c r="AM299" s="477" t="s">
        <v>70</v>
      </c>
      <c r="AN299" s="637">
        <v>100</v>
      </c>
      <c r="AO299" s="478">
        <v>-860</v>
      </c>
      <c r="AP299" s="463">
        <v>-860</v>
      </c>
      <c r="AQ299" s="479">
        <v>0</v>
      </c>
      <c r="AR299" s="476" t="s">
        <v>17152</v>
      </c>
      <c r="BA299" s="313" t="s">
        <v>3204</v>
      </c>
    </row>
    <row r="300" spans="2:53" ht="16.5" customHeight="1">
      <c r="B300" s="367" t="s">
        <v>8666</v>
      </c>
      <c r="C300" s="351" t="s">
        <v>8667</v>
      </c>
      <c r="D300" s="353">
        <v>-860</v>
      </c>
      <c r="E300" s="352" t="s">
        <v>408</v>
      </c>
      <c r="F300" s="341">
        <v>95.08</v>
      </c>
      <c r="G300" s="355" t="s">
        <v>8668</v>
      </c>
      <c r="H300" s="356" t="s">
        <v>3276</v>
      </c>
      <c r="I300" s="354" t="s">
        <v>75</v>
      </c>
      <c r="J300" s="340" t="s">
        <v>8669</v>
      </c>
      <c r="K300" s="339" t="s">
        <v>70</v>
      </c>
      <c r="L300" s="357">
        <v>12</v>
      </c>
      <c r="M300" s="358" t="s">
        <v>8670</v>
      </c>
      <c r="N300" s="359">
        <v>1000</v>
      </c>
      <c r="O300" s="360" t="s">
        <v>530</v>
      </c>
      <c r="P300" s="343" t="s">
        <v>531</v>
      </c>
      <c r="Q300" s="342" t="s">
        <v>2688</v>
      </c>
      <c r="R300" s="344">
        <v>31</v>
      </c>
      <c r="S300" s="345">
        <v>38</v>
      </c>
      <c r="T300" s="362">
        <v>31</v>
      </c>
      <c r="U300" s="361">
        <v>95.08</v>
      </c>
      <c r="V300" s="346">
        <v>129.71004636785162</v>
      </c>
      <c r="W300" s="348">
        <v>128.28105100463679</v>
      </c>
      <c r="X300" s="347">
        <v>65.05</v>
      </c>
      <c r="Y300" s="357">
        <v>66.31</v>
      </c>
      <c r="Z300" s="365" t="s">
        <v>2689</v>
      </c>
      <c r="AA300" s="350">
        <v>0</v>
      </c>
      <c r="AB300" s="349" t="s">
        <v>2685</v>
      </c>
      <c r="AC300" s="350">
        <v>10</v>
      </c>
      <c r="AD300" s="349" t="s">
        <v>2685</v>
      </c>
      <c r="AE300" s="364">
        <v>0</v>
      </c>
      <c r="AF300" s="366">
        <v>0</v>
      </c>
      <c r="AG300" s="363">
        <v>0</v>
      </c>
      <c r="AH300" s="635" t="s">
        <v>408</v>
      </c>
      <c r="AI300" s="324"/>
      <c r="AL300" s="487" t="s">
        <v>14455</v>
      </c>
      <c r="AM300" s="477" t="s">
        <v>70</v>
      </c>
      <c r="AN300" s="637">
        <v>100</v>
      </c>
      <c r="AO300" s="478">
        <v>-860</v>
      </c>
      <c r="AP300" s="463">
        <v>-860</v>
      </c>
      <c r="AQ300" s="479">
        <v>0</v>
      </c>
      <c r="AR300" s="476" t="s">
        <v>14456</v>
      </c>
      <c r="BA300" s="313" t="s">
        <v>3208</v>
      </c>
    </row>
    <row r="301" spans="2:53" ht="16.5" customHeight="1">
      <c r="B301" s="367" t="s">
        <v>8671</v>
      </c>
      <c r="C301" s="351" t="s">
        <v>8672</v>
      </c>
      <c r="D301" s="353">
        <v>-861</v>
      </c>
      <c r="E301" s="352" t="s">
        <v>408</v>
      </c>
      <c r="F301" s="341">
        <v>95.07</v>
      </c>
      <c r="G301" s="355" t="s">
        <v>8673</v>
      </c>
      <c r="H301" s="356" t="s">
        <v>8674</v>
      </c>
      <c r="I301" s="354" t="s">
        <v>73</v>
      </c>
      <c r="J301" s="340" t="s">
        <v>550</v>
      </c>
      <c r="K301" s="339" t="s">
        <v>70</v>
      </c>
      <c r="L301" s="357">
        <v>13</v>
      </c>
      <c r="M301" s="358" t="s">
        <v>8675</v>
      </c>
      <c r="N301" s="359">
        <v>1000</v>
      </c>
      <c r="O301" s="360" t="s">
        <v>530</v>
      </c>
      <c r="P301" s="343" t="s">
        <v>531</v>
      </c>
      <c r="Q301" s="342" t="s">
        <v>2688</v>
      </c>
      <c r="R301" s="344">
        <v>22</v>
      </c>
      <c r="S301" s="345">
        <v>33</v>
      </c>
      <c r="T301" s="362">
        <v>33</v>
      </c>
      <c r="U301" s="361">
        <v>95.07</v>
      </c>
      <c r="V301" s="346">
        <v>129.69906079546396</v>
      </c>
      <c r="W301" s="348">
        <v>128.26896687501039</v>
      </c>
      <c r="X301" s="347">
        <v>65.05</v>
      </c>
      <c r="Y301" s="357">
        <v>66.100000000000009</v>
      </c>
      <c r="Z301" s="365" t="s">
        <v>2689</v>
      </c>
      <c r="AA301" s="350">
        <v>111.11</v>
      </c>
      <c r="AB301" s="349" t="s">
        <v>2685</v>
      </c>
      <c r="AC301" s="350">
        <v>0</v>
      </c>
      <c r="AD301" s="349" t="s">
        <v>2685</v>
      </c>
      <c r="AE301" s="364">
        <v>0</v>
      </c>
      <c r="AF301" s="366">
        <v>6.61</v>
      </c>
      <c r="AG301" s="363">
        <v>0</v>
      </c>
      <c r="AH301" s="635" t="s">
        <v>7791</v>
      </c>
      <c r="AI301" s="324"/>
      <c r="AL301" s="487" t="s">
        <v>14457</v>
      </c>
      <c r="AM301" s="477" t="s">
        <v>70</v>
      </c>
      <c r="AN301" s="637">
        <v>100</v>
      </c>
      <c r="AO301" s="478">
        <v>-861</v>
      </c>
      <c r="AP301" s="463">
        <v>-861</v>
      </c>
      <c r="AQ301" s="479">
        <v>0</v>
      </c>
      <c r="AR301" s="476" t="s">
        <v>14458</v>
      </c>
      <c r="BA301" s="313" t="s">
        <v>3212</v>
      </c>
    </row>
    <row r="302" spans="2:53" ht="16.5" customHeight="1">
      <c r="B302" s="367" t="s">
        <v>8676</v>
      </c>
      <c r="C302" s="351" t="s">
        <v>8677</v>
      </c>
      <c r="D302" s="353">
        <v>-861</v>
      </c>
      <c r="E302" s="352" t="s">
        <v>408</v>
      </c>
      <c r="F302" s="341">
        <v>95.05</v>
      </c>
      <c r="G302" s="355" t="s">
        <v>8678</v>
      </c>
      <c r="H302" s="356" t="s">
        <v>8679</v>
      </c>
      <c r="I302" s="354" t="s">
        <v>80</v>
      </c>
      <c r="J302" s="340" t="s">
        <v>8680</v>
      </c>
      <c r="K302" s="339" t="s">
        <v>70</v>
      </c>
      <c r="L302" s="357">
        <v>13</v>
      </c>
      <c r="M302" s="358" t="s">
        <v>8681</v>
      </c>
      <c r="N302" s="359">
        <v>1000</v>
      </c>
      <c r="O302" s="360" t="s">
        <v>532</v>
      </c>
      <c r="P302" s="343" t="s">
        <v>533</v>
      </c>
      <c r="Q302" s="342" t="s">
        <v>2688</v>
      </c>
      <c r="R302" s="344">
        <v>25</v>
      </c>
      <c r="S302" s="345">
        <v>40</v>
      </c>
      <c r="T302" s="362">
        <v>25</v>
      </c>
      <c r="U302" s="361">
        <v>95.05</v>
      </c>
      <c r="V302" s="346">
        <v>129.68160662358014</v>
      </c>
      <c r="W302" s="348">
        <v>128.24976728593816</v>
      </c>
      <c r="X302" s="347">
        <v>65.040000000000006</v>
      </c>
      <c r="Y302" s="357">
        <v>67.400000000000006</v>
      </c>
      <c r="Z302" s="365" t="s">
        <v>2689</v>
      </c>
      <c r="AA302" s="350">
        <v>100</v>
      </c>
      <c r="AB302" s="349" t="s">
        <v>2685</v>
      </c>
      <c r="AC302" s="350">
        <v>0</v>
      </c>
      <c r="AD302" s="349" t="s">
        <v>2685</v>
      </c>
      <c r="AE302" s="364">
        <v>0</v>
      </c>
      <c r="AF302" s="366">
        <v>0</v>
      </c>
      <c r="AG302" s="363">
        <v>0</v>
      </c>
      <c r="AH302" s="635" t="s">
        <v>408</v>
      </c>
      <c r="AI302" s="324"/>
      <c r="AL302" s="487" t="s">
        <v>14459</v>
      </c>
      <c r="AM302" s="477" t="s">
        <v>70</v>
      </c>
      <c r="AN302" s="637">
        <v>100</v>
      </c>
      <c r="AO302" s="478">
        <v>-861</v>
      </c>
      <c r="AP302" s="463">
        <v>-861</v>
      </c>
      <c r="AQ302" s="479">
        <v>0</v>
      </c>
      <c r="AR302" s="476" t="s">
        <v>14460</v>
      </c>
      <c r="BA302" s="313" t="s">
        <v>3215</v>
      </c>
    </row>
    <row r="303" spans="2:53" ht="16.5" customHeight="1">
      <c r="B303" s="367" t="s">
        <v>8676</v>
      </c>
      <c r="C303" s="351" t="s">
        <v>8677</v>
      </c>
      <c r="D303" s="353">
        <v>-899</v>
      </c>
      <c r="E303" s="352" t="s">
        <v>408</v>
      </c>
      <c r="F303" s="341">
        <v>95.05</v>
      </c>
      <c r="G303" s="355" t="s">
        <v>8678</v>
      </c>
      <c r="H303" s="356" t="s">
        <v>18449</v>
      </c>
      <c r="I303" s="354" t="s">
        <v>302</v>
      </c>
      <c r="J303" s="340" t="s">
        <v>8538</v>
      </c>
      <c r="K303" s="339" t="s">
        <v>70</v>
      </c>
      <c r="L303" s="357">
        <v>19</v>
      </c>
      <c r="M303" s="358" t="s">
        <v>8682</v>
      </c>
      <c r="N303" s="359">
        <v>600</v>
      </c>
      <c r="O303" s="360" t="s">
        <v>530</v>
      </c>
      <c r="P303" s="343" t="s">
        <v>531</v>
      </c>
      <c r="Q303" s="342" t="s">
        <v>2688</v>
      </c>
      <c r="R303" s="344">
        <v>37</v>
      </c>
      <c r="S303" s="345">
        <v>43</v>
      </c>
      <c r="T303" s="362">
        <v>20</v>
      </c>
      <c r="U303" s="361">
        <v>95.05</v>
      </c>
      <c r="V303" s="346">
        <v>129.68154842190449</v>
      </c>
      <c r="W303" s="348">
        <v>128.24970326409496</v>
      </c>
      <c r="X303" s="347">
        <v>65.040000000000006</v>
      </c>
      <c r="Y303" s="357">
        <v>68.400000000000006</v>
      </c>
      <c r="Z303" s="365" t="s">
        <v>2689</v>
      </c>
      <c r="AA303" s="350">
        <v>100</v>
      </c>
      <c r="AB303" s="349" t="s">
        <v>2685</v>
      </c>
      <c r="AC303" s="350">
        <v>10</v>
      </c>
      <c r="AD303" s="349" t="s">
        <v>2685</v>
      </c>
      <c r="AE303" s="364">
        <v>0</v>
      </c>
      <c r="AF303" s="366">
        <v>0.3</v>
      </c>
      <c r="AG303" s="363">
        <v>0</v>
      </c>
      <c r="AH303" s="635" t="s">
        <v>8021</v>
      </c>
      <c r="AI303" s="324"/>
      <c r="AL303" s="487" t="s">
        <v>14461</v>
      </c>
      <c r="AM303" s="477" t="s">
        <v>70</v>
      </c>
      <c r="AN303" s="637">
        <v>100</v>
      </c>
      <c r="AO303" s="478">
        <v>-899</v>
      </c>
      <c r="AP303" s="463">
        <v>-899</v>
      </c>
      <c r="AQ303" s="479">
        <v>0</v>
      </c>
      <c r="AR303" s="476" t="s">
        <v>17153</v>
      </c>
      <c r="BA303" s="313" t="s">
        <v>3220</v>
      </c>
    </row>
    <row r="304" spans="2:53" ht="16.5" customHeight="1">
      <c r="B304" s="367" t="s">
        <v>3257</v>
      </c>
      <c r="C304" s="351" t="s">
        <v>3258</v>
      </c>
      <c r="D304" s="353">
        <v>-902</v>
      </c>
      <c r="E304" s="352" t="s">
        <v>408</v>
      </c>
      <c r="F304" s="341">
        <v>95.03</v>
      </c>
      <c r="G304" s="355" t="s">
        <v>8683</v>
      </c>
      <c r="H304" s="356" t="s">
        <v>18450</v>
      </c>
      <c r="I304" s="354" t="s">
        <v>203</v>
      </c>
      <c r="J304" s="340" t="s">
        <v>434</v>
      </c>
      <c r="K304" s="339" t="s">
        <v>70</v>
      </c>
      <c r="L304" s="357">
        <v>5</v>
      </c>
      <c r="M304" s="358" t="s">
        <v>8644</v>
      </c>
      <c r="N304" s="359">
        <v>1000</v>
      </c>
      <c r="O304" s="360" t="s">
        <v>454</v>
      </c>
      <c r="P304" s="343" t="s">
        <v>454</v>
      </c>
      <c r="Q304" s="342" t="s">
        <v>2688</v>
      </c>
      <c r="R304" s="344">
        <v>27</v>
      </c>
      <c r="S304" s="345">
        <v>28</v>
      </c>
      <c r="T304" s="362">
        <v>25</v>
      </c>
      <c r="U304" s="361">
        <v>95.03</v>
      </c>
      <c r="V304" s="346">
        <v>129.65909090909091</v>
      </c>
      <c r="W304" s="348">
        <v>128.22499999999999</v>
      </c>
      <c r="X304" s="347">
        <v>65.03</v>
      </c>
      <c r="Y304" s="357" t="s">
        <v>408</v>
      </c>
      <c r="Z304" s="365" t="s">
        <v>2689</v>
      </c>
      <c r="AA304" s="350">
        <v>200</v>
      </c>
      <c r="AB304" s="349" t="s">
        <v>2685</v>
      </c>
      <c r="AC304" s="350">
        <v>5</v>
      </c>
      <c r="AD304" s="349" t="s">
        <v>2685</v>
      </c>
      <c r="AE304" s="364">
        <v>0</v>
      </c>
      <c r="AF304" s="366">
        <v>6</v>
      </c>
      <c r="AG304" s="363">
        <v>0</v>
      </c>
      <c r="AH304" s="635" t="s">
        <v>8313</v>
      </c>
      <c r="AI304" s="324"/>
      <c r="AL304" s="487" t="s">
        <v>7176</v>
      </c>
      <c r="AM304" s="477" t="s">
        <v>70</v>
      </c>
      <c r="AN304" s="637">
        <v>100</v>
      </c>
      <c r="AO304" s="478">
        <v>-902</v>
      </c>
      <c r="AP304" s="463">
        <v>-902</v>
      </c>
      <c r="AQ304" s="479">
        <v>0</v>
      </c>
      <c r="AR304" s="476" t="s">
        <v>14463</v>
      </c>
      <c r="BA304" s="313" t="s">
        <v>3221</v>
      </c>
    </row>
    <row r="305" spans="2:53" ht="16.5" customHeight="1">
      <c r="B305" s="367" t="s">
        <v>8685</v>
      </c>
      <c r="C305" s="351" t="s">
        <v>8686</v>
      </c>
      <c r="D305" s="353">
        <v>-863</v>
      </c>
      <c r="E305" s="352" t="s">
        <v>408</v>
      </c>
      <c r="F305" s="341">
        <v>95.03</v>
      </c>
      <c r="G305" s="355" t="s">
        <v>8687</v>
      </c>
      <c r="H305" s="356" t="s">
        <v>3328</v>
      </c>
      <c r="I305" s="354" t="s">
        <v>75</v>
      </c>
      <c r="J305" s="340" t="s">
        <v>8007</v>
      </c>
      <c r="K305" s="339" t="s">
        <v>70</v>
      </c>
      <c r="L305" s="357">
        <v>10</v>
      </c>
      <c r="M305" s="358" t="s">
        <v>8688</v>
      </c>
      <c r="N305" s="359">
        <v>1000</v>
      </c>
      <c r="O305" s="360" t="s">
        <v>530</v>
      </c>
      <c r="P305" s="343" t="s">
        <v>531</v>
      </c>
      <c r="Q305" s="342" t="s">
        <v>2688</v>
      </c>
      <c r="R305" s="344">
        <v>31</v>
      </c>
      <c r="S305" s="345">
        <v>38</v>
      </c>
      <c r="T305" s="362">
        <v>31</v>
      </c>
      <c r="U305" s="361">
        <v>95.03</v>
      </c>
      <c r="V305" s="346">
        <v>129.66058732612055</v>
      </c>
      <c r="W305" s="348">
        <v>128.22664605873263</v>
      </c>
      <c r="X305" s="347">
        <v>65.03</v>
      </c>
      <c r="Y305" s="357">
        <v>66.28</v>
      </c>
      <c r="Z305" s="365" t="s">
        <v>2689</v>
      </c>
      <c r="AA305" s="350">
        <v>0</v>
      </c>
      <c r="AB305" s="349" t="s">
        <v>2685</v>
      </c>
      <c r="AC305" s="350">
        <v>10</v>
      </c>
      <c r="AD305" s="349" t="s">
        <v>2685</v>
      </c>
      <c r="AE305" s="364">
        <v>0</v>
      </c>
      <c r="AF305" s="366">
        <v>0</v>
      </c>
      <c r="AG305" s="363">
        <v>0</v>
      </c>
      <c r="AH305" s="635" t="s">
        <v>408</v>
      </c>
      <c r="AI305" s="324"/>
      <c r="AL305" s="487" t="s">
        <v>14462</v>
      </c>
      <c r="AM305" s="477" t="s">
        <v>70</v>
      </c>
      <c r="AN305" s="637">
        <v>100</v>
      </c>
      <c r="AO305" s="478">
        <v>-863</v>
      </c>
      <c r="AP305" s="463">
        <v>-863</v>
      </c>
      <c r="AQ305" s="479">
        <v>0</v>
      </c>
      <c r="AR305" s="476" t="s">
        <v>17154</v>
      </c>
      <c r="BA305" s="313" t="s">
        <v>3225</v>
      </c>
    </row>
    <row r="306" spans="2:53" ht="16.5" customHeight="1">
      <c r="B306" s="367" t="s">
        <v>8689</v>
      </c>
      <c r="C306" s="351" t="s">
        <v>8690</v>
      </c>
      <c r="D306" s="353">
        <v>-863</v>
      </c>
      <c r="E306" s="352" t="s">
        <v>408</v>
      </c>
      <c r="F306" s="341">
        <v>95.03</v>
      </c>
      <c r="G306" s="355" t="s">
        <v>3415</v>
      </c>
      <c r="H306" s="356" t="s">
        <v>8684</v>
      </c>
      <c r="I306" s="354" t="s">
        <v>73</v>
      </c>
      <c r="J306" s="340" t="s">
        <v>8691</v>
      </c>
      <c r="K306" s="339" t="s">
        <v>70</v>
      </c>
      <c r="L306" s="357">
        <v>28</v>
      </c>
      <c r="M306" s="358" t="s">
        <v>8692</v>
      </c>
      <c r="N306" s="359">
        <v>1000</v>
      </c>
      <c r="O306" s="360" t="s">
        <v>530</v>
      </c>
      <c r="P306" s="343" t="s">
        <v>531</v>
      </c>
      <c r="Q306" s="342" t="s">
        <v>2688</v>
      </c>
      <c r="R306" s="344">
        <v>22</v>
      </c>
      <c r="S306" s="345">
        <v>33</v>
      </c>
      <c r="T306" s="362">
        <v>33</v>
      </c>
      <c r="U306" s="361">
        <v>95.03</v>
      </c>
      <c r="V306" s="346">
        <v>129.66793151184575</v>
      </c>
      <c r="W306" s="348">
        <v>128.23472466303033</v>
      </c>
      <c r="X306" s="347">
        <v>65.03</v>
      </c>
      <c r="Y306" s="357">
        <v>66.070000000000007</v>
      </c>
      <c r="Z306" s="365" t="s">
        <v>2689</v>
      </c>
      <c r="AA306" s="350">
        <v>111.11</v>
      </c>
      <c r="AB306" s="349" t="s">
        <v>2685</v>
      </c>
      <c r="AC306" s="350">
        <v>0</v>
      </c>
      <c r="AD306" s="349" t="s">
        <v>2685</v>
      </c>
      <c r="AE306" s="364">
        <v>0</v>
      </c>
      <c r="AF306" s="366">
        <v>6.6070000000000002</v>
      </c>
      <c r="AG306" s="363">
        <v>0</v>
      </c>
      <c r="AH306" s="635" t="s">
        <v>7791</v>
      </c>
      <c r="AI306" s="324"/>
      <c r="AL306" s="487" t="s">
        <v>14464</v>
      </c>
      <c r="AM306" s="477" t="s">
        <v>70</v>
      </c>
      <c r="AN306" s="637">
        <v>100</v>
      </c>
      <c r="AO306" s="478">
        <v>-863</v>
      </c>
      <c r="AP306" s="463">
        <v>-863</v>
      </c>
      <c r="AQ306" s="479">
        <v>0</v>
      </c>
      <c r="AR306" s="476" t="s">
        <v>14465</v>
      </c>
      <c r="BA306" s="313" t="s">
        <v>3226</v>
      </c>
    </row>
    <row r="307" spans="2:53" ht="16.5" customHeight="1">
      <c r="B307" s="367" t="s">
        <v>8656</v>
      </c>
      <c r="C307" s="351" t="s">
        <v>8657</v>
      </c>
      <c r="D307" s="353">
        <v>-864</v>
      </c>
      <c r="E307" s="352" t="s">
        <v>408</v>
      </c>
      <c r="F307" s="341">
        <v>95</v>
      </c>
      <c r="G307" s="355" t="s">
        <v>8693</v>
      </c>
      <c r="H307" s="356" t="s">
        <v>8694</v>
      </c>
      <c r="I307" s="354" t="s">
        <v>206</v>
      </c>
      <c r="J307" s="340" t="s">
        <v>198</v>
      </c>
      <c r="K307" s="339" t="s">
        <v>70</v>
      </c>
      <c r="L307" s="357">
        <v>21</v>
      </c>
      <c r="M307" s="358" t="s">
        <v>8695</v>
      </c>
      <c r="N307" s="359">
        <v>400</v>
      </c>
      <c r="O307" s="360" t="s">
        <v>454</v>
      </c>
      <c r="P307" s="343" t="s">
        <v>454</v>
      </c>
      <c r="Q307" s="342" t="s">
        <v>2688</v>
      </c>
      <c r="R307" s="344">
        <v>20</v>
      </c>
      <c r="S307" s="345">
        <v>30</v>
      </c>
      <c r="T307" s="362">
        <v>30</v>
      </c>
      <c r="U307" s="361">
        <v>95</v>
      </c>
      <c r="V307" s="346">
        <v>129.63636363636363</v>
      </c>
      <c r="W307" s="348">
        <v>128.19999999999999</v>
      </c>
      <c r="X307" s="347">
        <v>65.02</v>
      </c>
      <c r="Y307" s="357" t="s">
        <v>408</v>
      </c>
      <c r="Z307" s="365" t="s">
        <v>2689</v>
      </c>
      <c r="AA307" s="350">
        <v>80</v>
      </c>
      <c r="AB307" s="349" t="s">
        <v>2685</v>
      </c>
      <c r="AC307" s="350">
        <v>5</v>
      </c>
      <c r="AD307" s="349" t="s">
        <v>2685</v>
      </c>
      <c r="AE307" s="364">
        <v>0</v>
      </c>
      <c r="AF307" s="366">
        <v>9.5</v>
      </c>
      <c r="AG307" s="363">
        <v>0</v>
      </c>
      <c r="AH307" s="635" t="s">
        <v>8621</v>
      </c>
      <c r="AI307" s="324"/>
      <c r="AL307" s="487" t="s">
        <v>7192</v>
      </c>
      <c r="AM307" s="477" t="s">
        <v>70</v>
      </c>
      <c r="AN307" s="637">
        <v>100</v>
      </c>
      <c r="AO307" s="478">
        <v>-864</v>
      </c>
      <c r="AP307" s="463">
        <v>-864</v>
      </c>
      <c r="AQ307" s="479">
        <v>0</v>
      </c>
      <c r="AR307" s="476" t="s">
        <v>14466</v>
      </c>
      <c r="BA307" s="313" t="s">
        <v>3227</v>
      </c>
    </row>
    <row r="308" spans="2:53" ht="16.5" customHeight="1">
      <c r="B308" s="367" t="s">
        <v>8651</v>
      </c>
      <c r="C308" s="351" t="s">
        <v>8652</v>
      </c>
      <c r="D308" s="353">
        <v>-910</v>
      </c>
      <c r="E308" s="352" t="s">
        <v>408</v>
      </c>
      <c r="F308" s="341">
        <v>94.99</v>
      </c>
      <c r="G308" s="355" t="s">
        <v>18451</v>
      </c>
      <c r="H308" s="356" t="s">
        <v>8360</v>
      </c>
      <c r="I308" s="354" t="s">
        <v>73</v>
      </c>
      <c r="J308" s="340" t="s">
        <v>8696</v>
      </c>
      <c r="K308" s="339" t="s">
        <v>71</v>
      </c>
      <c r="L308" s="357">
        <v>166</v>
      </c>
      <c r="M308" s="358" t="s">
        <v>8697</v>
      </c>
      <c r="N308" s="359">
        <v>1000</v>
      </c>
      <c r="O308" s="360" t="s">
        <v>530</v>
      </c>
      <c r="P308" s="343" t="s">
        <v>531</v>
      </c>
      <c r="Q308" s="342" t="s">
        <v>2688</v>
      </c>
      <c r="R308" s="344">
        <v>38</v>
      </c>
      <c r="S308" s="345">
        <v>25</v>
      </c>
      <c r="T308" s="362">
        <v>25</v>
      </c>
      <c r="U308" s="361">
        <v>94.99</v>
      </c>
      <c r="V308" s="346">
        <v>129.6255176296639</v>
      </c>
      <c r="W308" s="348">
        <v>128.1880693926303</v>
      </c>
      <c r="X308" s="347">
        <v>65.47</v>
      </c>
      <c r="Y308" s="357">
        <v>66.050000000000011</v>
      </c>
      <c r="Z308" s="365" t="s">
        <v>2689</v>
      </c>
      <c r="AA308" s="350">
        <v>125</v>
      </c>
      <c r="AB308" s="349" t="s">
        <v>2685</v>
      </c>
      <c r="AC308" s="350">
        <v>0</v>
      </c>
      <c r="AD308" s="349" t="s">
        <v>2685</v>
      </c>
      <c r="AE308" s="364">
        <v>0</v>
      </c>
      <c r="AF308" s="366">
        <v>4.9539999999999997</v>
      </c>
      <c r="AG308" s="363">
        <v>0</v>
      </c>
      <c r="AH308" s="635" t="s">
        <v>8698</v>
      </c>
      <c r="AI308" s="324"/>
      <c r="AL308" s="487" t="s">
        <v>14467</v>
      </c>
      <c r="AM308" s="477" t="s">
        <v>71</v>
      </c>
      <c r="AN308" s="637">
        <v>100</v>
      </c>
      <c r="AO308" s="478">
        <v>-910</v>
      </c>
      <c r="AP308" s="463">
        <v>-668</v>
      </c>
      <c r="AQ308" s="479">
        <v>-242</v>
      </c>
      <c r="AR308" s="476" t="s">
        <v>17155</v>
      </c>
      <c r="BA308" s="313" t="s">
        <v>3229</v>
      </c>
    </row>
    <row r="309" spans="2:53" ht="16.5" customHeight="1">
      <c r="B309" s="367" t="s">
        <v>8699</v>
      </c>
      <c r="C309" s="351" t="s">
        <v>8700</v>
      </c>
      <c r="D309" s="353">
        <v>-871</v>
      </c>
      <c r="E309" s="352" t="s">
        <v>8653</v>
      </c>
      <c r="F309" s="341">
        <v>94.98</v>
      </c>
      <c r="G309" s="355" t="s">
        <v>8701</v>
      </c>
      <c r="H309" s="356" t="s">
        <v>18452</v>
      </c>
      <c r="I309" s="354" t="s">
        <v>302</v>
      </c>
      <c r="J309" s="340" t="s">
        <v>8702</v>
      </c>
      <c r="K309" s="339" t="s">
        <v>70</v>
      </c>
      <c r="L309" s="357">
        <v>36</v>
      </c>
      <c r="M309" s="358" t="s">
        <v>8703</v>
      </c>
      <c r="N309" s="359">
        <v>600</v>
      </c>
      <c r="O309" s="360" t="s">
        <v>530</v>
      </c>
      <c r="P309" s="343" t="s">
        <v>531</v>
      </c>
      <c r="Q309" s="342" t="s">
        <v>2688</v>
      </c>
      <c r="R309" s="344">
        <v>37</v>
      </c>
      <c r="S309" s="345">
        <v>43</v>
      </c>
      <c r="T309" s="362">
        <v>20</v>
      </c>
      <c r="U309" s="361">
        <v>94.98</v>
      </c>
      <c r="V309" s="346">
        <v>129.62167832167833</v>
      </c>
      <c r="W309" s="348">
        <v>128.18384615384616</v>
      </c>
      <c r="X309" s="347">
        <v>65.010000000000005</v>
      </c>
      <c r="Y309" s="357">
        <v>68.460000000000008</v>
      </c>
      <c r="Z309" s="365" t="s">
        <v>2689</v>
      </c>
      <c r="AA309" s="350">
        <v>100</v>
      </c>
      <c r="AB309" s="349" t="s">
        <v>2685</v>
      </c>
      <c r="AC309" s="350">
        <v>10</v>
      </c>
      <c r="AD309" s="349" t="s">
        <v>2685</v>
      </c>
      <c r="AE309" s="364">
        <v>0</v>
      </c>
      <c r="AF309" s="366">
        <v>0.3</v>
      </c>
      <c r="AG309" s="363">
        <v>0</v>
      </c>
      <c r="AH309" s="635" t="s">
        <v>8021</v>
      </c>
      <c r="AI309" s="324"/>
      <c r="AL309" s="487" t="s">
        <v>14469</v>
      </c>
      <c r="AM309" s="477" t="s">
        <v>70</v>
      </c>
      <c r="AN309" s="637">
        <v>100</v>
      </c>
      <c r="AO309" s="478">
        <v>-871</v>
      </c>
      <c r="AP309" s="463">
        <v>-871</v>
      </c>
      <c r="AQ309" s="479">
        <v>0</v>
      </c>
      <c r="AR309" s="476" t="s">
        <v>17156</v>
      </c>
      <c r="BA309" s="313" t="s">
        <v>3233</v>
      </c>
    </row>
    <row r="310" spans="2:53" ht="16.5" customHeight="1">
      <c r="B310" s="367" t="s">
        <v>8704</v>
      </c>
      <c r="C310" s="351" t="s">
        <v>8705</v>
      </c>
      <c r="D310" s="353">
        <v>-871</v>
      </c>
      <c r="E310" s="352" t="s">
        <v>408</v>
      </c>
      <c r="F310" s="341">
        <v>94.97</v>
      </c>
      <c r="G310" s="355" t="s">
        <v>3392</v>
      </c>
      <c r="H310" s="356" t="s">
        <v>8371</v>
      </c>
      <c r="I310" s="354" t="s">
        <v>75</v>
      </c>
      <c r="J310" s="340" t="s">
        <v>7965</v>
      </c>
      <c r="K310" s="339" t="s">
        <v>71</v>
      </c>
      <c r="L310" s="357">
        <v>25</v>
      </c>
      <c r="M310" s="358" t="s">
        <v>8708</v>
      </c>
      <c r="N310" s="359">
        <v>1000</v>
      </c>
      <c r="O310" s="360" t="s">
        <v>530</v>
      </c>
      <c r="P310" s="343" t="s">
        <v>531</v>
      </c>
      <c r="Q310" s="342" t="s">
        <v>2688</v>
      </c>
      <c r="R310" s="344">
        <v>36</v>
      </c>
      <c r="S310" s="345">
        <v>36</v>
      </c>
      <c r="T310" s="362">
        <v>29</v>
      </c>
      <c r="U310" s="361">
        <v>94.97</v>
      </c>
      <c r="V310" s="346">
        <v>129.60538116591928</v>
      </c>
      <c r="W310" s="348">
        <v>128.1659192825112</v>
      </c>
      <c r="X310" s="347">
        <v>65.459999999999994</v>
      </c>
      <c r="Y310" s="357">
        <v>66.03</v>
      </c>
      <c r="Z310" s="365" t="s">
        <v>2689</v>
      </c>
      <c r="AA310" s="350">
        <v>0</v>
      </c>
      <c r="AB310" s="349" t="s">
        <v>2685</v>
      </c>
      <c r="AC310" s="350">
        <v>10</v>
      </c>
      <c r="AD310" s="349" t="s">
        <v>2685</v>
      </c>
      <c r="AE310" s="364">
        <v>0</v>
      </c>
      <c r="AF310" s="366">
        <v>0</v>
      </c>
      <c r="AG310" s="363">
        <v>0</v>
      </c>
      <c r="AH310" s="635" t="s">
        <v>408</v>
      </c>
      <c r="AI310" s="324"/>
      <c r="AL310" s="487" t="s">
        <v>14470</v>
      </c>
      <c r="AM310" s="477" t="s">
        <v>71</v>
      </c>
      <c r="AN310" s="637">
        <v>100</v>
      </c>
      <c r="AO310" s="478">
        <v>-871</v>
      </c>
      <c r="AP310" s="463">
        <v>-639</v>
      </c>
      <c r="AQ310" s="479">
        <v>-232</v>
      </c>
      <c r="AR310" s="476" t="s">
        <v>16853</v>
      </c>
      <c r="BA310" s="313" t="s">
        <v>3235</v>
      </c>
    </row>
    <row r="311" spans="2:53" ht="16.5" customHeight="1">
      <c r="B311" s="367" t="s">
        <v>8709</v>
      </c>
      <c r="C311" s="351" t="s">
        <v>8710</v>
      </c>
      <c r="D311" s="353">
        <v>-873</v>
      </c>
      <c r="E311" s="352" t="s">
        <v>8706</v>
      </c>
      <c r="F311" s="341">
        <v>94.96</v>
      </c>
      <c r="G311" s="355" t="s">
        <v>8711</v>
      </c>
      <c r="H311" s="356" t="s">
        <v>8367</v>
      </c>
      <c r="I311" s="354" t="s">
        <v>75</v>
      </c>
      <c r="J311" s="340" t="s">
        <v>8712</v>
      </c>
      <c r="K311" s="339" t="s">
        <v>70</v>
      </c>
      <c r="L311" s="357">
        <v>21</v>
      </c>
      <c r="M311" s="358" t="s">
        <v>8713</v>
      </c>
      <c r="N311" s="359">
        <v>1000</v>
      </c>
      <c r="O311" s="360" t="s">
        <v>530</v>
      </c>
      <c r="P311" s="343" t="s">
        <v>531</v>
      </c>
      <c r="Q311" s="342" t="s">
        <v>2688</v>
      </c>
      <c r="R311" s="344">
        <v>31</v>
      </c>
      <c r="S311" s="345">
        <v>38</v>
      </c>
      <c r="T311" s="362">
        <v>31</v>
      </c>
      <c r="U311" s="361">
        <v>94.96</v>
      </c>
      <c r="V311" s="346">
        <v>129.60241758241759</v>
      </c>
      <c r="W311" s="348">
        <v>128.16265934065933</v>
      </c>
      <c r="X311" s="347">
        <v>65</v>
      </c>
      <c r="Y311" s="357">
        <v>66.23</v>
      </c>
      <c r="Z311" s="365" t="s">
        <v>2689</v>
      </c>
      <c r="AA311" s="350">
        <v>0</v>
      </c>
      <c r="AB311" s="349" t="s">
        <v>2685</v>
      </c>
      <c r="AC311" s="350">
        <v>10</v>
      </c>
      <c r="AD311" s="349" t="s">
        <v>2685</v>
      </c>
      <c r="AE311" s="364">
        <v>0</v>
      </c>
      <c r="AF311" s="366">
        <v>0</v>
      </c>
      <c r="AG311" s="363">
        <v>0</v>
      </c>
      <c r="AH311" s="635" t="s">
        <v>408</v>
      </c>
      <c r="AI311" s="324"/>
      <c r="AL311" s="487" t="s">
        <v>14471</v>
      </c>
      <c r="AM311" s="477" t="s">
        <v>70</v>
      </c>
      <c r="AN311" s="637">
        <v>100</v>
      </c>
      <c r="AO311" s="478">
        <v>-873</v>
      </c>
      <c r="AP311" s="463">
        <v>-873</v>
      </c>
      <c r="AQ311" s="479">
        <v>0</v>
      </c>
      <c r="AR311" s="476" t="s">
        <v>14472</v>
      </c>
      <c r="BA311" s="313" t="s">
        <v>3239</v>
      </c>
    </row>
    <row r="312" spans="2:53" ht="16.5" customHeight="1">
      <c r="B312" s="367" t="s">
        <v>3263</v>
      </c>
      <c r="C312" s="351" t="s">
        <v>3264</v>
      </c>
      <c r="D312" s="353">
        <v>-914</v>
      </c>
      <c r="E312" s="352" t="s">
        <v>408</v>
      </c>
      <c r="F312" s="341">
        <v>94.95</v>
      </c>
      <c r="G312" s="355" t="s">
        <v>8714</v>
      </c>
      <c r="H312" s="356" t="s">
        <v>18453</v>
      </c>
      <c r="I312" s="354" t="s">
        <v>82</v>
      </c>
      <c r="J312" s="340" t="s">
        <v>8715</v>
      </c>
      <c r="K312" s="339" t="s">
        <v>70</v>
      </c>
      <c r="L312" s="357">
        <v>19</v>
      </c>
      <c r="M312" s="358" t="s">
        <v>8716</v>
      </c>
      <c r="N312" s="359">
        <v>800</v>
      </c>
      <c r="O312" s="360" t="s">
        <v>530</v>
      </c>
      <c r="P312" s="343" t="s">
        <v>531</v>
      </c>
      <c r="Q312" s="342" t="s">
        <v>2688</v>
      </c>
      <c r="R312" s="344">
        <v>20</v>
      </c>
      <c r="S312" s="345">
        <v>35</v>
      </c>
      <c r="T312" s="362">
        <v>30</v>
      </c>
      <c r="U312" s="361">
        <v>94.95</v>
      </c>
      <c r="V312" s="346">
        <v>129.59411514765242</v>
      </c>
      <c r="W312" s="348">
        <v>128.15352666241768</v>
      </c>
      <c r="X312" s="347">
        <v>64.989999999999995</v>
      </c>
      <c r="Y312" s="357">
        <v>66.03</v>
      </c>
      <c r="Z312" s="365" t="s">
        <v>3017</v>
      </c>
      <c r="AA312" s="350">
        <v>117.6</v>
      </c>
      <c r="AB312" s="349" t="s">
        <v>2685</v>
      </c>
      <c r="AC312" s="350">
        <v>0</v>
      </c>
      <c r="AD312" s="349" t="s">
        <v>2685</v>
      </c>
      <c r="AE312" s="364">
        <v>0</v>
      </c>
      <c r="AF312" s="366">
        <v>9.6</v>
      </c>
      <c r="AG312" s="363">
        <v>0</v>
      </c>
      <c r="AH312" s="635" t="s">
        <v>7814</v>
      </c>
      <c r="AI312" s="324"/>
      <c r="AL312" s="487" t="s">
        <v>14473</v>
      </c>
      <c r="AM312" s="477" t="s">
        <v>70</v>
      </c>
      <c r="AN312" s="637">
        <v>100</v>
      </c>
      <c r="AO312" s="478">
        <v>-914</v>
      </c>
      <c r="AP312" s="463">
        <v>-914</v>
      </c>
      <c r="AQ312" s="479">
        <v>0</v>
      </c>
      <c r="AR312" s="476" t="s">
        <v>17157</v>
      </c>
      <c r="BA312" s="313" t="s">
        <v>3240</v>
      </c>
    </row>
    <row r="313" spans="2:53" ht="16.5" customHeight="1">
      <c r="B313" s="367" t="s">
        <v>8720</v>
      </c>
      <c r="C313" s="351" t="s">
        <v>8721</v>
      </c>
      <c r="D313" s="353">
        <v>-878</v>
      </c>
      <c r="E313" s="352" t="s">
        <v>408</v>
      </c>
      <c r="F313" s="341">
        <v>94.94</v>
      </c>
      <c r="G313" s="355" t="s">
        <v>8722</v>
      </c>
      <c r="H313" s="356" t="s">
        <v>3337</v>
      </c>
      <c r="I313" s="354" t="s">
        <v>8000</v>
      </c>
      <c r="J313" s="340" t="s">
        <v>8178</v>
      </c>
      <c r="K313" s="339" t="s">
        <v>70</v>
      </c>
      <c r="L313" s="357">
        <v>6</v>
      </c>
      <c r="M313" s="358" t="s">
        <v>8521</v>
      </c>
      <c r="N313" s="359">
        <v>1000</v>
      </c>
      <c r="O313" s="360" t="s">
        <v>532</v>
      </c>
      <c r="P313" s="343" t="s">
        <v>532</v>
      </c>
      <c r="Q313" s="342" t="s">
        <v>2688</v>
      </c>
      <c r="R313" s="344">
        <v>25</v>
      </c>
      <c r="S313" s="345">
        <v>30</v>
      </c>
      <c r="T313" s="362">
        <v>25</v>
      </c>
      <c r="U313" s="361">
        <v>94.94</v>
      </c>
      <c r="V313" s="346">
        <v>129.58486964705614</v>
      </c>
      <c r="W313" s="348">
        <v>128.14335661176173</v>
      </c>
      <c r="X313" s="347" t="s">
        <v>18454</v>
      </c>
      <c r="Y313" s="357" t="s">
        <v>408</v>
      </c>
      <c r="Z313" s="365" t="s">
        <v>2689</v>
      </c>
      <c r="AA313" s="350">
        <v>200</v>
      </c>
      <c r="AB313" s="349" t="s">
        <v>2685</v>
      </c>
      <c r="AC313" s="350">
        <v>0</v>
      </c>
      <c r="AD313" s="349" t="s">
        <v>2685</v>
      </c>
      <c r="AE313" s="364">
        <v>0</v>
      </c>
      <c r="AF313" s="366">
        <v>11.913</v>
      </c>
      <c r="AG313" s="363">
        <v>0</v>
      </c>
      <c r="AH313" s="635" t="s">
        <v>8002</v>
      </c>
      <c r="AI313" s="324"/>
      <c r="AL313" s="487" t="s">
        <v>14385</v>
      </c>
      <c r="AM313" s="477" t="s">
        <v>70</v>
      </c>
      <c r="AN313" s="637">
        <v>100</v>
      </c>
      <c r="AO313" s="478">
        <v>-878</v>
      </c>
      <c r="AP313" s="463">
        <v>-878</v>
      </c>
      <c r="AQ313" s="479">
        <v>0</v>
      </c>
      <c r="AR313" s="476" t="s">
        <v>17158</v>
      </c>
      <c r="BA313" s="313" t="s">
        <v>3244</v>
      </c>
    </row>
    <row r="314" spans="2:53" ht="16.5" customHeight="1">
      <c r="B314" s="367" t="s">
        <v>3266</v>
      </c>
      <c r="C314" s="351" t="s">
        <v>3267</v>
      </c>
      <c r="D314" s="353">
        <v>-878</v>
      </c>
      <c r="E314" s="352" t="s">
        <v>408</v>
      </c>
      <c r="F314" s="341">
        <v>94.94</v>
      </c>
      <c r="G314" s="355" t="s">
        <v>8717</v>
      </c>
      <c r="H314" s="356" t="s">
        <v>8383</v>
      </c>
      <c r="I314" s="354" t="s">
        <v>77</v>
      </c>
      <c r="J314" s="340" t="s">
        <v>8718</v>
      </c>
      <c r="K314" s="339" t="s">
        <v>70</v>
      </c>
      <c r="L314" s="357">
        <v>300</v>
      </c>
      <c r="M314" s="358" t="s">
        <v>8719</v>
      </c>
      <c r="N314" s="359">
        <v>1000</v>
      </c>
      <c r="O314" s="360" t="s">
        <v>530</v>
      </c>
      <c r="P314" s="343" t="s">
        <v>531</v>
      </c>
      <c r="Q314" s="342" t="s">
        <v>2688</v>
      </c>
      <c r="R314" s="344">
        <v>20</v>
      </c>
      <c r="S314" s="345">
        <v>40</v>
      </c>
      <c r="T314" s="362">
        <v>30</v>
      </c>
      <c r="U314" s="361">
        <v>94.94</v>
      </c>
      <c r="V314" s="346">
        <v>129.57897897146574</v>
      </c>
      <c r="W314" s="348">
        <v>128.13687686861232</v>
      </c>
      <c r="X314" s="347">
        <v>64.98</v>
      </c>
      <c r="Y314" s="357">
        <v>66.010000000000005</v>
      </c>
      <c r="Z314" s="365" t="s">
        <v>2689</v>
      </c>
      <c r="AA314" s="350">
        <v>63.5</v>
      </c>
      <c r="AB314" s="349" t="s">
        <v>2685</v>
      </c>
      <c r="AC314" s="350">
        <v>0</v>
      </c>
      <c r="AD314" s="349" t="s">
        <v>2685</v>
      </c>
      <c r="AE314" s="364">
        <v>0</v>
      </c>
      <c r="AF314" s="366">
        <v>9.9019999999999992</v>
      </c>
      <c r="AG314" s="363">
        <v>0</v>
      </c>
      <c r="AH314" s="635" t="s">
        <v>7787</v>
      </c>
      <c r="AI314" s="324"/>
      <c r="AL314" s="487" t="s">
        <v>14474</v>
      </c>
      <c r="AM314" s="477" t="s">
        <v>70</v>
      </c>
      <c r="AN314" s="637">
        <v>100</v>
      </c>
      <c r="AO314" s="478">
        <v>-878</v>
      </c>
      <c r="AP314" s="463">
        <v>-878</v>
      </c>
      <c r="AQ314" s="479">
        <v>0</v>
      </c>
      <c r="AR314" s="476" t="s">
        <v>14475</v>
      </c>
      <c r="BA314" s="313" t="s">
        <v>3245</v>
      </c>
    </row>
    <row r="315" spans="2:53" ht="16.5" customHeight="1">
      <c r="B315" s="367" t="s">
        <v>8720</v>
      </c>
      <c r="C315" s="351" t="s">
        <v>8721</v>
      </c>
      <c r="D315" s="353">
        <v>-879</v>
      </c>
      <c r="E315" s="352" t="s">
        <v>408</v>
      </c>
      <c r="F315" s="341">
        <v>94.94</v>
      </c>
      <c r="G315" s="355" t="s">
        <v>8722</v>
      </c>
      <c r="H315" s="356" t="s">
        <v>3337</v>
      </c>
      <c r="I315" s="354" t="s">
        <v>302</v>
      </c>
      <c r="J315" s="340" t="s">
        <v>550</v>
      </c>
      <c r="K315" s="339" t="s">
        <v>70</v>
      </c>
      <c r="L315" s="357">
        <v>16</v>
      </c>
      <c r="M315" s="358" t="s">
        <v>8723</v>
      </c>
      <c r="N315" s="359">
        <v>600</v>
      </c>
      <c r="O315" s="360" t="s">
        <v>530</v>
      </c>
      <c r="P315" s="343" t="s">
        <v>531</v>
      </c>
      <c r="Q315" s="342" t="s">
        <v>2688</v>
      </c>
      <c r="R315" s="344">
        <v>37</v>
      </c>
      <c r="S315" s="345">
        <v>43</v>
      </c>
      <c r="T315" s="362">
        <v>20</v>
      </c>
      <c r="U315" s="361">
        <v>94.94</v>
      </c>
      <c r="V315" s="346">
        <v>129.58554921342059</v>
      </c>
      <c r="W315" s="348">
        <v>128.14410413476264</v>
      </c>
      <c r="X315" s="347">
        <v>64.989999999999995</v>
      </c>
      <c r="Y315" s="357">
        <v>68.37</v>
      </c>
      <c r="Z315" s="365" t="s">
        <v>2689</v>
      </c>
      <c r="AA315" s="350">
        <v>100</v>
      </c>
      <c r="AB315" s="349" t="s">
        <v>2685</v>
      </c>
      <c r="AC315" s="350">
        <v>10</v>
      </c>
      <c r="AD315" s="349" t="s">
        <v>2685</v>
      </c>
      <c r="AE315" s="364">
        <v>0</v>
      </c>
      <c r="AF315" s="366">
        <v>0.3</v>
      </c>
      <c r="AG315" s="363">
        <v>0</v>
      </c>
      <c r="AH315" s="635" t="s">
        <v>8021</v>
      </c>
      <c r="AI315" s="324"/>
      <c r="AL315" s="487" t="s">
        <v>14476</v>
      </c>
      <c r="AM315" s="477" t="s">
        <v>70</v>
      </c>
      <c r="AN315" s="637">
        <v>100</v>
      </c>
      <c r="AO315" s="478">
        <v>-879</v>
      </c>
      <c r="AP315" s="463">
        <v>-879</v>
      </c>
      <c r="AQ315" s="479">
        <v>0</v>
      </c>
      <c r="AR315" s="476" t="s">
        <v>17158</v>
      </c>
      <c r="BA315" s="313" t="s">
        <v>3249</v>
      </c>
    </row>
    <row r="316" spans="2:53" ht="16.5" customHeight="1">
      <c r="B316" s="367" t="s">
        <v>8724</v>
      </c>
      <c r="C316" s="351" t="s">
        <v>8725</v>
      </c>
      <c r="D316" s="353">
        <v>-881</v>
      </c>
      <c r="E316" s="352" t="s">
        <v>3434</v>
      </c>
      <c r="F316" s="341">
        <v>94.92</v>
      </c>
      <c r="G316" s="355" t="s">
        <v>18455</v>
      </c>
      <c r="H316" s="356" t="s">
        <v>3293</v>
      </c>
      <c r="I316" s="354" t="s">
        <v>75</v>
      </c>
      <c r="J316" s="340" t="s">
        <v>8726</v>
      </c>
      <c r="K316" s="339" t="s">
        <v>71</v>
      </c>
      <c r="L316" s="357">
        <v>21</v>
      </c>
      <c r="M316" s="358" t="s">
        <v>8727</v>
      </c>
      <c r="N316" s="359">
        <v>1000</v>
      </c>
      <c r="O316" s="360" t="s">
        <v>530</v>
      </c>
      <c r="P316" s="343" t="s">
        <v>531</v>
      </c>
      <c r="Q316" s="342" t="s">
        <v>2688</v>
      </c>
      <c r="R316" s="344">
        <v>36</v>
      </c>
      <c r="S316" s="345">
        <v>36</v>
      </c>
      <c r="T316" s="362">
        <v>29</v>
      </c>
      <c r="U316" s="361">
        <v>94.92</v>
      </c>
      <c r="V316" s="346">
        <v>129.56660511738329</v>
      </c>
      <c r="W316" s="348">
        <v>128.12326562912159</v>
      </c>
      <c r="X316" s="347">
        <v>65.44</v>
      </c>
      <c r="Y316" s="357">
        <v>66</v>
      </c>
      <c r="Z316" s="365" t="s">
        <v>2689</v>
      </c>
      <c r="AA316" s="350">
        <v>0</v>
      </c>
      <c r="AB316" s="349" t="s">
        <v>2685</v>
      </c>
      <c r="AC316" s="350">
        <v>10</v>
      </c>
      <c r="AD316" s="349" t="s">
        <v>2685</v>
      </c>
      <c r="AE316" s="364">
        <v>0</v>
      </c>
      <c r="AF316" s="366">
        <v>0</v>
      </c>
      <c r="AG316" s="363">
        <v>0</v>
      </c>
      <c r="AH316" s="635" t="s">
        <v>408</v>
      </c>
      <c r="AI316" s="324"/>
      <c r="AL316" s="487" t="s">
        <v>14477</v>
      </c>
      <c r="AM316" s="477" t="s">
        <v>71</v>
      </c>
      <c r="AN316" s="637">
        <v>100</v>
      </c>
      <c r="AO316" s="478">
        <v>-881</v>
      </c>
      <c r="AP316" s="463">
        <v>-643</v>
      </c>
      <c r="AQ316" s="479">
        <v>-238</v>
      </c>
      <c r="AR316" s="476" t="s">
        <v>16854</v>
      </c>
      <c r="BA316" s="313" t="s">
        <v>3251</v>
      </c>
    </row>
    <row r="317" spans="2:53" ht="16.5" customHeight="1">
      <c r="B317" s="367" t="s">
        <v>8724</v>
      </c>
      <c r="C317" s="351" t="s">
        <v>8725</v>
      </c>
      <c r="D317" s="353">
        <v>-881</v>
      </c>
      <c r="E317" s="352" t="s">
        <v>8728</v>
      </c>
      <c r="F317" s="341">
        <v>94.89</v>
      </c>
      <c r="G317" s="355" t="s">
        <v>8629</v>
      </c>
      <c r="H317" s="356" t="s">
        <v>8782</v>
      </c>
      <c r="I317" s="354" t="s">
        <v>75</v>
      </c>
      <c r="J317" s="340" t="s">
        <v>8217</v>
      </c>
      <c r="K317" s="339" t="s">
        <v>71</v>
      </c>
      <c r="L317" s="357">
        <v>21</v>
      </c>
      <c r="M317" s="358" t="s">
        <v>8730</v>
      </c>
      <c r="N317" s="359">
        <v>1000</v>
      </c>
      <c r="O317" s="360" t="s">
        <v>530</v>
      </c>
      <c r="P317" s="343" t="s">
        <v>531</v>
      </c>
      <c r="Q317" s="342" t="s">
        <v>2688</v>
      </c>
      <c r="R317" s="344">
        <v>36</v>
      </c>
      <c r="S317" s="345">
        <v>36</v>
      </c>
      <c r="T317" s="362">
        <v>29</v>
      </c>
      <c r="U317" s="361">
        <v>94.89</v>
      </c>
      <c r="V317" s="346">
        <v>129.53706146135588</v>
      </c>
      <c r="W317" s="348">
        <v>128.09076760749141</v>
      </c>
      <c r="X317" s="347">
        <v>65.42</v>
      </c>
      <c r="Y317" s="357">
        <v>65.990000000000009</v>
      </c>
      <c r="Z317" s="365" t="s">
        <v>2689</v>
      </c>
      <c r="AA317" s="350">
        <v>0</v>
      </c>
      <c r="AB317" s="349" t="s">
        <v>2685</v>
      </c>
      <c r="AC317" s="350">
        <v>10</v>
      </c>
      <c r="AD317" s="349" t="s">
        <v>2685</v>
      </c>
      <c r="AE317" s="364">
        <v>0</v>
      </c>
      <c r="AF317" s="366">
        <v>0</v>
      </c>
      <c r="AG317" s="363">
        <v>0</v>
      </c>
      <c r="AH317" s="635" t="s">
        <v>408</v>
      </c>
      <c r="AI317" s="324"/>
      <c r="AL317" s="487" t="s">
        <v>14478</v>
      </c>
      <c r="AM317" s="477" t="s">
        <v>71</v>
      </c>
      <c r="AN317" s="637">
        <v>100</v>
      </c>
      <c r="AO317" s="478">
        <v>-881</v>
      </c>
      <c r="AP317" s="463">
        <v>-642</v>
      </c>
      <c r="AQ317" s="479">
        <v>-239</v>
      </c>
      <c r="AR317" s="476" t="s">
        <v>17159</v>
      </c>
      <c r="BA317" s="313" t="s">
        <v>3253</v>
      </c>
    </row>
    <row r="318" spans="2:53" ht="16.5" customHeight="1">
      <c r="B318" s="367" t="s">
        <v>3273</v>
      </c>
      <c r="C318" s="351" t="s">
        <v>3274</v>
      </c>
      <c r="D318" s="353">
        <v>-915</v>
      </c>
      <c r="E318" s="352" t="s">
        <v>408</v>
      </c>
      <c r="F318" s="341">
        <v>94.88</v>
      </c>
      <c r="G318" s="355" t="s">
        <v>3497</v>
      </c>
      <c r="H318" s="356" t="s">
        <v>18456</v>
      </c>
      <c r="I318" s="354" t="s">
        <v>251</v>
      </c>
      <c r="J318" s="340" t="s">
        <v>7917</v>
      </c>
      <c r="K318" s="339" t="s">
        <v>70</v>
      </c>
      <c r="L318" s="357">
        <v>22</v>
      </c>
      <c r="M318" s="358" t="s">
        <v>8732</v>
      </c>
      <c r="N318" s="359">
        <v>1000</v>
      </c>
      <c r="O318" s="360" t="s">
        <v>532</v>
      </c>
      <c r="P318" s="343" t="s">
        <v>454</v>
      </c>
      <c r="Q318" s="342" t="s">
        <v>2688</v>
      </c>
      <c r="R318" s="344">
        <v>25</v>
      </c>
      <c r="S318" s="345">
        <v>35</v>
      </c>
      <c r="T318" s="362">
        <v>25</v>
      </c>
      <c r="U318" s="361">
        <v>94.88</v>
      </c>
      <c r="V318" s="346">
        <v>129.52826077669076</v>
      </c>
      <c r="W318" s="348">
        <v>128.0810868543598</v>
      </c>
      <c r="X318" s="347">
        <v>64.959999999999994</v>
      </c>
      <c r="Y318" s="357" t="s">
        <v>408</v>
      </c>
      <c r="Z318" s="365" t="s">
        <v>2689</v>
      </c>
      <c r="AA318" s="350">
        <v>150</v>
      </c>
      <c r="AB318" s="349" t="s">
        <v>2685</v>
      </c>
      <c r="AC318" s="350">
        <v>5</v>
      </c>
      <c r="AD318" s="349" t="s">
        <v>2685</v>
      </c>
      <c r="AE318" s="364">
        <v>0</v>
      </c>
      <c r="AF318" s="366">
        <v>5.93</v>
      </c>
      <c r="AG318" s="363">
        <v>0</v>
      </c>
      <c r="AH318" s="635" t="s">
        <v>8062</v>
      </c>
      <c r="AI318" s="324"/>
      <c r="AL318" s="487" t="s">
        <v>14479</v>
      </c>
      <c r="AM318" s="477" t="s">
        <v>70</v>
      </c>
      <c r="AN318" s="637">
        <v>100</v>
      </c>
      <c r="AO318" s="478">
        <v>-915</v>
      </c>
      <c r="AP318" s="463">
        <v>-915</v>
      </c>
      <c r="AQ318" s="479">
        <v>0</v>
      </c>
      <c r="AR318" s="476" t="s">
        <v>14480</v>
      </c>
      <c r="BA318" s="313" t="s">
        <v>3254</v>
      </c>
    </row>
    <row r="319" spans="2:53" ht="16.5" customHeight="1">
      <c r="B319" s="367" t="s">
        <v>3273</v>
      </c>
      <c r="C319" s="351" t="s">
        <v>3274</v>
      </c>
      <c r="D319" s="353">
        <v>-915</v>
      </c>
      <c r="E319" s="352" t="s">
        <v>408</v>
      </c>
      <c r="F319" s="341">
        <v>94.88</v>
      </c>
      <c r="G319" s="355" t="s">
        <v>3497</v>
      </c>
      <c r="H319" s="356" t="s">
        <v>18456</v>
      </c>
      <c r="I319" s="354" t="s">
        <v>77</v>
      </c>
      <c r="J319" s="340" t="s">
        <v>8283</v>
      </c>
      <c r="K319" s="339" t="s">
        <v>70</v>
      </c>
      <c r="L319" s="357">
        <v>15</v>
      </c>
      <c r="M319" s="358" t="s">
        <v>8733</v>
      </c>
      <c r="N319" s="359">
        <v>1000</v>
      </c>
      <c r="O319" s="360" t="s">
        <v>530</v>
      </c>
      <c r="P319" s="343" t="s">
        <v>531</v>
      </c>
      <c r="Q319" s="342" t="s">
        <v>2688</v>
      </c>
      <c r="R319" s="344">
        <v>20</v>
      </c>
      <c r="S319" s="345">
        <v>40</v>
      </c>
      <c r="T319" s="362">
        <v>30</v>
      </c>
      <c r="U319" s="361">
        <v>94.88</v>
      </c>
      <c r="V319" s="346">
        <v>129.52894081737327</v>
      </c>
      <c r="W319" s="348">
        <v>128.08183489911059</v>
      </c>
      <c r="X319" s="347">
        <v>64.95</v>
      </c>
      <c r="Y319" s="357">
        <v>66</v>
      </c>
      <c r="Z319" s="365" t="s">
        <v>2689</v>
      </c>
      <c r="AA319" s="350">
        <v>63.5</v>
      </c>
      <c r="AB319" s="349" t="s">
        <v>2685</v>
      </c>
      <c r="AC319" s="350">
        <v>0</v>
      </c>
      <c r="AD319" s="349" t="s">
        <v>2685</v>
      </c>
      <c r="AE319" s="364">
        <v>0</v>
      </c>
      <c r="AF319" s="366">
        <v>9.9</v>
      </c>
      <c r="AG319" s="363">
        <v>0</v>
      </c>
      <c r="AH319" s="635" t="s">
        <v>7787</v>
      </c>
      <c r="AI319" s="324"/>
      <c r="AL319" s="487" t="s">
        <v>14481</v>
      </c>
      <c r="AM319" s="477" t="s">
        <v>70</v>
      </c>
      <c r="AN319" s="637">
        <v>100</v>
      </c>
      <c r="AO319" s="478">
        <v>-915</v>
      </c>
      <c r="AP319" s="463">
        <v>-915</v>
      </c>
      <c r="AQ319" s="479">
        <v>0</v>
      </c>
      <c r="AR319" s="476" t="s">
        <v>14480</v>
      </c>
      <c r="BA319" s="313" t="s">
        <v>3256</v>
      </c>
    </row>
    <row r="320" spans="2:53" ht="16.5" customHeight="1">
      <c r="B320" s="367" t="s">
        <v>3273</v>
      </c>
      <c r="C320" s="351" t="s">
        <v>3274</v>
      </c>
      <c r="D320" s="353">
        <v>-888</v>
      </c>
      <c r="E320" s="352" t="s">
        <v>408</v>
      </c>
      <c r="F320" s="341">
        <v>94.88</v>
      </c>
      <c r="G320" s="355" t="s">
        <v>3497</v>
      </c>
      <c r="H320" s="356" t="s">
        <v>18457</v>
      </c>
      <c r="I320" s="354" t="s">
        <v>302</v>
      </c>
      <c r="J320" s="340" t="s">
        <v>551</v>
      </c>
      <c r="K320" s="339" t="s">
        <v>70</v>
      </c>
      <c r="L320" s="357">
        <v>15</v>
      </c>
      <c r="M320" s="358" t="s">
        <v>8734</v>
      </c>
      <c r="N320" s="359">
        <v>600</v>
      </c>
      <c r="O320" s="360" t="s">
        <v>530</v>
      </c>
      <c r="P320" s="343" t="s">
        <v>531</v>
      </c>
      <c r="Q320" s="342" t="s">
        <v>2688</v>
      </c>
      <c r="R320" s="344">
        <v>37</v>
      </c>
      <c r="S320" s="345">
        <v>43</v>
      </c>
      <c r="T320" s="362">
        <v>20</v>
      </c>
      <c r="U320" s="361">
        <v>94.88</v>
      </c>
      <c r="V320" s="346">
        <v>129.52986217457888</v>
      </c>
      <c r="W320" s="348">
        <v>128.08284839203674</v>
      </c>
      <c r="X320" s="347">
        <v>64.95</v>
      </c>
      <c r="Y320" s="357">
        <v>68.350000000000009</v>
      </c>
      <c r="Z320" s="365" t="s">
        <v>2689</v>
      </c>
      <c r="AA320" s="350">
        <v>100</v>
      </c>
      <c r="AB320" s="349" t="s">
        <v>2685</v>
      </c>
      <c r="AC320" s="350">
        <v>10</v>
      </c>
      <c r="AD320" s="349" t="s">
        <v>2685</v>
      </c>
      <c r="AE320" s="364">
        <v>0</v>
      </c>
      <c r="AF320" s="366">
        <v>0.3</v>
      </c>
      <c r="AG320" s="363">
        <v>0</v>
      </c>
      <c r="AH320" s="635" t="s">
        <v>8021</v>
      </c>
      <c r="AI320" s="324"/>
      <c r="AL320" s="487" t="s">
        <v>14482</v>
      </c>
      <c r="AM320" s="477" t="s">
        <v>70</v>
      </c>
      <c r="AN320" s="637">
        <v>100</v>
      </c>
      <c r="AO320" s="478">
        <v>-888</v>
      </c>
      <c r="AP320" s="463">
        <v>-888</v>
      </c>
      <c r="AQ320" s="479">
        <v>0</v>
      </c>
      <c r="AR320" s="476" t="s">
        <v>14483</v>
      </c>
      <c r="BA320" s="313" t="s">
        <v>3259</v>
      </c>
    </row>
    <row r="321" spans="2:53" ht="16.5" customHeight="1">
      <c r="B321" s="367" t="s">
        <v>8735</v>
      </c>
      <c r="C321" s="351" t="s">
        <v>8736</v>
      </c>
      <c r="D321" s="353">
        <v>-888</v>
      </c>
      <c r="E321" s="352" t="s">
        <v>8737</v>
      </c>
      <c r="F321" s="341">
        <v>94.85</v>
      </c>
      <c r="G321" s="355" t="s">
        <v>8637</v>
      </c>
      <c r="H321" s="356" t="s">
        <v>18458</v>
      </c>
      <c r="I321" s="354" t="s">
        <v>75</v>
      </c>
      <c r="J321" s="340" t="s">
        <v>8255</v>
      </c>
      <c r="K321" s="339" t="s">
        <v>71</v>
      </c>
      <c r="L321" s="357">
        <v>22</v>
      </c>
      <c r="M321" s="358" t="s">
        <v>8738</v>
      </c>
      <c r="N321" s="359">
        <v>1000</v>
      </c>
      <c r="O321" s="360" t="s">
        <v>530</v>
      </c>
      <c r="P321" s="343" t="s">
        <v>531</v>
      </c>
      <c r="Q321" s="342" t="s">
        <v>2688</v>
      </c>
      <c r="R321" s="344">
        <v>36</v>
      </c>
      <c r="S321" s="345">
        <v>36</v>
      </c>
      <c r="T321" s="362">
        <v>29</v>
      </c>
      <c r="U321" s="361">
        <v>94.85</v>
      </c>
      <c r="V321" s="346">
        <v>129.49643893431812</v>
      </c>
      <c r="W321" s="348">
        <v>128.04608282774993</v>
      </c>
      <c r="X321" s="347">
        <v>65.39</v>
      </c>
      <c r="Y321" s="357">
        <v>65.97</v>
      </c>
      <c r="Z321" s="365" t="s">
        <v>2689</v>
      </c>
      <c r="AA321" s="350">
        <v>0</v>
      </c>
      <c r="AB321" s="349" t="s">
        <v>2685</v>
      </c>
      <c r="AC321" s="350">
        <v>10</v>
      </c>
      <c r="AD321" s="349" t="s">
        <v>2685</v>
      </c>
      <c r="AE321" s="364">
        <v>0</v>
      </c>
      <c r="AF321" s="366">
        <v>0</v>
      </c>
      <c r="AG321" s="363">
        <v>0</v>
      </c>
      <c r="AH321" s="635" t="s">
        <v>408</v>
      </c>
      <c r="AI321" s="324"/>
      <c r="AL321" s="487" t="s">
        <v>14484</v>
      </c>
      <c r="AM321" s="477" t="s">
        <v>71</v>
      </c>
      <c r="AN321" s="637">
        <v>100</v>
      </c>
      <c r="AO321" s="478">
        <v>-888</v>
      </c>
      <c r="AP321" s="463">
        <v>-644</v>
      </c>
      <c r="AQ321" s="479">
        <v>-244</v>
      </c>
      <c r="AR321" s="476" t="s">
        <v>16855</v>
      </c>
      <c r="BA321" s="313" t="s">
        <v>3261</v>
      </c>
    </row>
    <row r="322" spans="2:53" ht="16.5" customHeight="1">
      <c r="B322" s="367" t="s">
        <v>8739</v>
      </c>
      <c r="C322" s="351" t="s">
        <v>8740</v>
      </c>
      <c r="D322" s="353">
        <v>-889</v>
      </c>
      <c r="E322" s="352" t="s">
        <v>8741</v>
      </c>
      <c r="F322" s="341">
        <v>94.83</v>
      </c>
      <c r="G322" s="355" t="s">
        <v>8645</v>
      </c>
      <c r="H322" s="356" t="s">
        <v>18459</v>
      </c>
      <c r="I322" s="354" t="s">
        <v>75</v>
      </c>
      <c r="J322" s="340" t="s">
        <v>8742</v>
      </c>
      <c r="K322" s="339" t="s">
        <v>71</v>
      </c>
      <c r="L322" s="357">
        <v>11</v>
      </c>
      <c r="M322" s="358" t="s">
        <v>8743</v>
      </c>
      <c r="N322" s="359">
        <v>1000</v>
      </c>
      <c r="O322" s="360" t="s">
        <v>530</v>
      </c>
      <c r="P322" s="343" t="s">
        <v>531</v>
      </c>
      <c r="Q322" s="342" t="s">
        <v>2688</v>
      </c>
      <c r="R322" s="344">
        <v>36</v>
      </c>
      <c r="S322" s="345">
        <v>36</v>
      </c>
      <c r="T322" s="362">
        <v>29</v>
      </c>
      <c r="U322" s="361">
        <v>94.83</v>
      </c>
      <c r="V322" s="346">
        <v>129.48536006330781</v>
      </c>
      <c r="W322" s="348">
        <v>128.03389606963859</v>
      </c>
      <c r="X322" s="347">
        <v>65.39</v>
      </c>
      <c r="Y322" s="357">
        <v>65.95</v>
      </c>
      <c r="Z322" s="365" t="s">
        <v>2689</v>
      </c>
      <c r="AA322" s="350">
        <v>0</v>
      </c>
      <c r="AB322" s="349" t="s">
        <v>2685</v>
      </c>
      <c r="AC322" s="350">
        <v>10</v>
      </c>
      <c r="AD322" s="349" t="s">
        <v>2685</v>
      </c>
      <c r="AE322" s="364">
        <v>0</v>
      </c>
      <c r="AF322" s="366">
        <v>0</v>
      </c>
      <c r="AG322" s="363">
        <v>0</v>
      </c>
      <c r="AH322" s="635" t="s">
        <v>408</v>
      </c>
      <c r="AI322" s="324"/>
      <c r="AL322" s="487" t="s">
        <v>14485</v>
      </c>
      <c r="AM322" s="477" t="s">
        <v>71</v>
      </c>
      <c r="AN322" s="637">
        <v>100</v>
      </c>
      <c r="AO322" s="478">
        <v>-889</v>
      </c>
      <c r="AP322" s="463">
        <v>-644</v>
      </c>
      <c r="AQ322" s="479">
        <v>-245</v>
      </c>
      <c r="AR322" s="476" t="s">
        <v>16856</v>
      </c>
      <c r="BA322" s="313" t="s">
        <v>3262</v>
      </c>
    </row>
    <row r="323" spans="2:53" ht="16.5" customHeight="1">
      <c r="B323" s="367" t="s">
        <v>3279</v>
      </c>
      <c r="C323" s="351" t="s">
        <v>3280</v>
      </c>
      <c r="D323" s="353">
        <v>-894</v>
      </c>
      <c r="E323" s="352" t="s">
        <v>408</v>
      </c>
      <c r="F323" s="341">
        <v>94.83</v>
      </c>
      <c r="G323" s="355" t="s">
        <v>3427</v>
      </c>
      <c r="H323" s="356" t="s">
        <v>18460</v>
      </c>
      <c r="I323" s="354" t="s">
        <v>73</v>
      </c>
      <c r="J323" s="340" t="s">
        <v>8744</v>
      </c>
      <c r="K323" s="339" t="s">
        <v>70</v>
      </c>
      <c r="L323" s="357">
        <v>28</v>
      </c>
      <c r="M323" s="358" t="s">
        <v>8745</v>
      </c>
      <c r="N323" s="359">
        <v>1000</v>
      </c>
      <c r="O323" s="360" t="s">
        <v>530</v>
      </c>
      <c r="P323" s="343" t="s">
        <v>531</v>
      </c>
      <c r="Q323" s="342" t="s">
        <v>2688</v>
      </c>
      <c r="R323" s="344">
        <v>22</v>
      </c>
      <c r="S323" s="345">
        <v>33</v>
      </c>
      <c r="T323" s="362">
        <v>33</v>
      </c>
      <c r="U323" s="361">
        <v>94.83</v>
      </c>
      <c r="V323" s="346">
        <v>129.48033121642965</v>
      </c>
      <c r="W323" s="348">
        <v>128.02836433807258</v>
      </c>
      <c r="X323" s="347">
        <v>64.930000000000007</v>
      </c>
      <c r="Y323" s="357">
        <v>65.960000000000008</v>
      </c>
      <c r="Z323" s="365" t="s">
        <v>2689</v>
      </c>
      <c r="AA323" s="350">
        <v>111.11</v>
      </c>
      <c r="AB323" s="349" t="s">
        <v>2685</v>
      </c>
      <c r="AC323" s="350">
        <v>0</v>
      </c>
      <c r="AD323" s="349" t="s">
        <v>2685</v>
      </c>
      <c r="AE323" s="364">
        <v>0</v>
      </c>
      <c r="AF323" s="366">
        <v>6.5960000000000001</v>
      </c>
      <c r="AG323" s="363">
        <v>0</v>
      </c>
      <c r="AH323" s="635" t="s">
        <v>7791</v>
      </c>
      <c r="AI323" s="324"/>
      <c r="AL323" s="487" t="s">
        <v>14486</v>
      </c>
      <c r="AM323" s="477" t="s">
        <v>70</v>
      </c>
      <c r="AN323" s="637">
        <v>100</v>
      </c>
      <c r="AO323" s="478">
        <v>-894</v>
      </c>
      <c r="AP323" s="463">
        <v>-894</v>
      </c>
      <c r="AQ323" s="479">
        <v>0</v>
      </c>
      <c r="AR323" s="476" t="s">
        <v>17160</v>
      </c>
      <c r="BA323" s="313" t="s">
        <v>3265</v>
      </c>
    </row>
    <row r="324" spans="2:53" ht="16.5" customHeight="1">
      <c r="B324" s="367" t="s">
        <v>3283</v>
      </c>
      <c r="C324" s="351" t="s">
        <v>3284</v>
      </c>
      <c r="D324" s="353">
        <v>-895</v>
      </c>
      <c r="E324" s="352" t="s">
        <v>408</v>
      </c>
      <c r="F324" s="341">
        <v>94.81</v>
      </c>
      <c r="G324" s="355" t="s">
        <v>3432</v>
      </c>
      <c r="H324" s="356" t="s">
        <v>18460</v>
      </c>
      <c r="I324" s="354" t="s">
        <v>75</v>
      </c>
      <c r="J324" s="340" t="s">
        <v>550</v>
      </c>
      <c r="K324" s="339" t="s">
        <v>70</v>
      </c>
      <c r="L324" s="357">
        <v>16</v>
      </c>
      <c r="M324" s="358" t="s">
        <v>8746</v>
      </c>
      <c r="N324" s="359">
        <v>1000</v>
      </c>
      <c r="O324" s="360" t="s">
        <v>530</v>
      </c>
      <c r="P324" s="343" t="s">
        <v>531</v>
      </c>
      <c r="Q324" s="342" t="s">
        <v>2688</v>
      </c>
      <c r="R324" s="344">
        <v>31</v>
      </c>
      <c r="S324" s="345">
        <v>38</v>
      </c>
      <c r="T324" s="362">
        <v>31</v>
      </c>
      <c r="U324" s="361">
        <v>94.81</v>
      </c>
      <c r="V324" s="346">
        <v>129.46351648351651</v>
      </c>
      <c r="W324" s="348">
        <v>128.00986813186813</v>
      </c>
      <c r="X324" s="347">
        <v>64.92</v>
      </c>
      <c r="Y324" s="357">
        <v>66.14</v>
      </c>
      <c r="Z324" s="365" t="s">
        <v>2689</v>
      </c>
      <c r="AA324" s="350">
        <v>0</v>
      </c>
      <c r="AB324" s="349" t="s">
        <v>2685</v>
      </c>
      <c r="AC324" s="350">
        <v>10</v>
      </c>
      <c r="AD324" s="349" t="s">
        <v>2685</v>
      </c>
      <c r="AE324" s="364">
        <v>0</v>
      </c>
      <c r="AF324" s="366">
        <v>0</v>
      </c>
      <c r="AG324" s="363">
        <v>0</v>
      </c>
      <c r="AH324" s="635" t="s">
        <v>408</v>
      </c>
      <c r="AI324" s="324"/>
      <c r="AL324" s="487" t="s">
        <v>14487</v>
      </c>
      <c r="AM324" s="477" t="s">
        <v>70</v>
      </c>
      <c r="AN324" s="637">
        <v>100</v>
      </c>
      <c r="AO324" s="478">
        <v>-895</v>
      </c>
      <c r="AP324" s="463">
        <v>-895</v>
      </c>
      <c r="AQ324" s="479">
        <v>0</v>
      </c>
      <c r="AR324" s="476" t="s">
        <v>17160</v>
      </c>
      <c r="BA324" s="313" t="s">
        <v>3269</v>
      </c>
    </row>
    <row r="325" spans="2:53" ht="16.5" customHeight="1">
      <c r="B325" s="367" t="s">
        <v>8739</v>
      </c>
      <c r="C325" s="351" t="s">
        <v>8740</v>
      </c>
      <c r="D325" s="353">
        <v>-895</v>
      </c>
      <c r="E325" s="352" t="s">
        <v>8747</v>
      </c>
      <c r="F325" s="341">
        <v>94.8</v>
      </c>
      <c r="G325" s="355" t="s">
        <v>18461</v>
      </c>
      <c r="H325" s="356" t="s">
        <v>8888</v>
      </c>
      <c r="I325" s="354" t="s">
        <v>75</v>
      </c>
      <c r="J325" s="340" t="s">
        <v>560</v>
      </c>
      <c r="K325" s="339" t="s">
        <v>71</v>
      </c>
      <c r="L325" s="357">
        <v>9</v>
      </c>
      <c r="M325" s="358" t="s">
        <v>3369</v>
      </c>
      <c r="N325" s="359">
        <v>1000</v>
      </c>
      <c r="O325" s="360" t="s">
        <v>530</v>
      </c>
      <c r="P325" s="343" t="s">
        <v>531</v>
      </c>
      <c r="Q325" s="342" t="s">
        <v>2688</v>
      </c>
      <c r="R325" s="344">
        <v>36</v>
      </c>
      <c r="S325" s="345">
        <v>36</v>
      </c>
      <c r="T325" s="362">
        <v>29</v>
      </c>
      <c r="U325" s="361">
        <v>94.8</v>
      </c>
      <c r="V325" s="346">
        <v>129.4576628857821</v>
      </c>
      <c r="W325" s="348">
        <v>128.00342917436029</v>
      </c>
      <c r="X325" s="347">
        <v>65.37</v>
      </c>
      <c r="Y325" s="357">
        <v>65.940000000000012</v>
      </c>
      <c r="Z325" s="365" t="s">
        <v>2689</v>
      </c>
      <c r="AA325" s="350">
        <v>0</v>
      </c>
      <c r="AB325" s="349" t="s">
        <v>2685</v>
      </c>
      <c r="AC325" s="350">
        <v>10</v>
      </c>
      <c r="AD325" s="349" t="s">
        <v>2685</v>
      </c>
      <c r="AE325" s="364">
        <v>0</v>
      </c>
      <c r="AF325" s="366">
        <v>0</v>
      </c>
      <c r="AG325" s="363">
        <v>0</v>
      </c>
      <c r="AH325" s="635" t="s">
        <v>408</v>
      </c>
      <c r="AI325" s="324"/>
      <c r="AL325" s="487" t="s">
        <v>14489</v>
      </c>
      <c r="AM325" s="477" t="s">
        <v>71</v>
      </c>
      <c r="AN325" s="637">
        <v>100</v>
      </c>
      <c r="AO325" s="478">
        <v>-895</v>
      </c>
      <c r="AP325" s="463">
        <v>-648</v>
      </c>
      <c r="AQ325" s="479">
        <v>-247</v>
      </c>
      <c r="AR325" s="476" t="s">
        <v>16856</v>
      </c>
      <c r="BA325" s="313" t="s">
        <v>3270</v>
      </c>
    </row>
    <row r="326" spans="2:53" ht="16.5" customHeight="1">
      <c r="B326" s="367" t="s">
        <v>8724</v>
      </c>
      <c r="C326" s="351" t="s">
        <v>8725</v>
      </c>
      <c r="D326" s="353">
        <v>-896</v>
      </c>
      <c r="E326" s="352" t="s">
        <v>8748</v>
      </c>
      <c r="F326" s="341">
        <v>94.8</v>
      </c>
      <c r="G326" s="355" t="s">
        <v>3420</v>
      </c>
      <c r="H326" s="356" t="s">
        <v>8888</v>
      </c>
      <c r="I326" s="354" t="s">
        <v>73</v>
      </c>
      <c r="J326" s="340" t="s">
        <v>8654</v>
      </c>
      <c r="K326" s="339" t="s">
        <v>71</v>
      </c>
      <c r="L326" s="357">
        <v>39</v>
      </c>
      <c r="M326" s="358" t="s">
        <v>8750</v>
      </c>
      <c r="N326" s="359">
        <v>1000</v>
      </c>
      <c r="O326" s="360" t="s">
        <v>530</v>
      </c>
      <c r="P326" s="343" t="s">
        <v>531</v>
      </c>
      <c r="Q326" s="342" t="s">
        <v>2688</v>
      </c>
      <c r="R326" s="344">
        <v>38</v>
      </c>
      <c r="S326" s="345">
        <v>25</v>
      </c>
      <c r="T326" s="362">
        <v>25</v>
      </c>
      <c r="U326" s="361">
        <v>94.8</v>
      </c>
      <c r="V326" s="346">
        <v>129.4532688838232</v>
      </c>
      <c r="W326" s="348">
        <v>127.99882981017124</v>
      </c>
      <c r="X326" s="347">
        <v>65.37</v>
      </c>
      <c r="Y326" s="357">
        <v>65.95</v>
      </c>
      <c r="Z326" s="365" t="s">
        <v>2689</v>
      </c>
      <c r="AA326" s="350">
        <v>125</v>
      </c>
      <c r="AB326" s="349" t="s">
        <v>2685</v>
      </c>
      <c r="AC326" s="350">
        <v>0</v>
      </c>
      <c r="AD326" s="349" t="s">
        <v>2685</v>
      </c>
      <c r="AE326" s="364">
        <v>0</v>
      </c>
      <c r="AF326" s="366">
        <v>4.9459999999999997</v>
      </c>
      <c r="AG326" s="363">
        <v>0</v>
      </c>
      <c r="AH326" s="635" t="s">
        <v>8698</v>
      </c>
      <c r="AI326" s="324"/>
      <c r="AL326" s="487" t="s">
        <v>14490</v>
      </c>
      <c r="AM326" s="477" t="s">
        <v>71</v>
      </c>
      <c r="AN326" s="637">
        <v>100</v>
      </c>
      <c r="AO326" s="478">
        <v>-896</v>
      </c>
      <c r="AP326" s="463">
        <v>-649</v>
      </c>
      <c r="AQ326" s="479">
        <v>-247</v>
      </c>
      <c r="AR326" s="476" t="s">
        <v>16856</v>
      </c>
      <c r="BA326" s="313" t="s">
        <v>3271</v>
      </c>
    </row>
    <row r="327" spans="2:53" ht="16.5" customHeight="1">
      <c r="B327" s="367" t="s">
        <v>8724</v>
      </c>
      <c r="C327" s="351" t="s">
        <v>8725</v>
      </c>
      <c r="D327" s="353">
        <v>-901</v>
      </c>
      <c r="E327" s="352" t="s">
        <v>408</v>
      </c>
      <c r="F327" s="341">
        <v>94.79</v>
      </c>
      <c r="G327" s="355" t="s">
        <v>8751</v>
      </c>
      <c r="H327" s="356" t="s">
        <v>3306</v>
      </c>
      <c r="I327" s="354" t="s">
        <v>75</v>
      </c>
      <c r="J327" s="340" t="s">
        <v>555</v>
      </c>
      <c r="K327" s="339" t="s">
        <v>70</v>
      </c>
      <c r="L327" s="357">
        <v>12</v>
      </c>
      <c r="M327" s="358" t="s">
        <v>8752</v>
      </c>
      <c r="N327" s="359">
        <v>1000</v>
      </c>
      <c r="O327" s="360" t="s">
        <v>530</v>
      </c>
      <c r="P327" s="343" t="s">
        <v>531</v>
      </c>
      <c r="Q327" s="342" t="s">
        <v>2688</v>
      </c>
      <c r="R327" s="344">
        <v>31</v>
      </c>
      <c r="S327" s="345">
        <v>38</v>
      </c>
      <c r="T327" s="362">
        <v>31</v>
      </c>
      <c r="U327" s="361">
        <v>94.79</v>
      </c>
      <c r="V327" s="346">
        <v>129.4416374269006</v>
      </c>
      <c r="W327" s="348">
        <v>127.98816764132555</v>
      </c>
      <c r="X327" s="347">
        <v>64.91</v>
      </c>
      <c r="Y327" s="357">
        <v>66.13000000000001</v>
      </c>
      <c r="Z327" s="365" t="s">
        <v>2689</v>
      </c>
      <c r="AA327" s="350">
        <v>0</v>
      </c>
      <c r="AB327" s="349" t="s">
        <v>2685</v>
      </c>
      <c r="AC327" s="350">
        <v>10</v>
      </c>
      <c r="AD327" s="349" t="s">
        <v>2685</v>
      </c>
      <c r="AE327" s="364">
        <v>0</v>
      </c>
      <c r="AF327" s="366">
        <v>0</v>
      </c>
      <c r="AG327" s="363">
        <v>0</v>
      </c>
      <c r="AH327" s="635" t="s">
        <v>408</v>
      </c>
      <c r="AI327" s="324"/>
      <c r="AL327" s="487" t="s">
        <v>14492</v>
      </c>
      <c r="AM327" s="477" t="s">
        <v>70</v>
      </c>
      <c r="AN327" s="637">
        <v>100</v>
      </c>
      <c r="AO327" s="478">
        <v>-901</v>
      </c>
      <c r="AP327" s="463">
        <v>-901</v>
      </c>
      <c r="AQ327" s="479">
        <v>0</v>
      </c>
      <c r="AR327" s="476" t="s">
        <v>14488</v>
      </c>
      <c r="BA327" s="313" t="s">
        <v>3272</v>
      </c>
    </row>
    <row r="328" spans="2:53" ht="16.5" customHeight="1">
      <c r="B328" s="367" t="s">
        <v>8739</v>
      </c>
      <c r="C328" s="351" t="s">
        <v>8740</v>
      </c>
      <c r="D328" s="353">
        <v>-901</v>
      </c>
      <c r="E328" s="352" t="s">
        <v>3445</v>
      </c>
      <c r="F328" s="341">
        <v>94.78</v>
      </c>
      <c r="G328" s="355" t="s">
        <v>18462</v>
      </c>
      <c r="H328" s="356" t="s">
        <v>18459</v>
      </c>
      <c r="I328" s="354" t="s">
        <v>75</v>
      </c>
      <c r="J328" s="340" t="s">
        <v>8753</v>
      </c>
      <c r="K328" s="339" t="s">
        <v>71</v>
      </c>
      <c r="L328" s="357">
        <v>13</v>
      </c>
      <c r="M328" s="358" t="s">
        <v>8754</v>
      </c>
      <c r="N328" s="359">
        <v>1000</v>
      </c>
      <c r="O328" s="360" t="s">
        <v>530</v>
      </c>
      <c r="P328" s="343" t="s">
        <v>531</v>
      </c>
      <c r="Q328" s="342" t="s">
        <v>2688</v>
      </c>
      <c r="R328" s="344">
        <v>36</v>
      </c>
      <c r="S328" s="345">
        <v>36</v>
      </c>
      <c r="T328" s="362">
        <v>29</v>
      </c>
      <c r="U328" s="361">
        <v>94.78</v>
      </c>
      <c r="V328" s="346">
        <v>129.44017593935703</v>
      </c>
      <c r="W328" s="348">
        <v>127.98682794441062</v>
      </c>
      <c r="X328" s="347">
        <v>65.37</v>
      </c>
      <c r="Y328" s="357">
        <v>65.930000000000007</v>
      </c>
      <c r="Z328" s="365" t="s">
        <v>2689</v>
      </c>
      <c r="AA328" s="350">
        <v>0</v>
      </c>
      <c r="AB328" s="349" t="s">
        <v>2685</v>
      </c>
      <c r="AC328" s="350">
        <v>10</v>
      </c>
      <c r="AD328" s="349" t="s">
        <v>2685</v>
      </c>
      <c r="AE328" s="364">
        <v>0</v>
      </c>
      <c r="AF328" s="366">
        <v>0</v>
      </c>
      <c r="AG328" s="363">
        <v>0</v>
      </c>
      <c r="AH328" s="635" t="s">
        <v>408</v>
      </c>
      <c r="AI328" s="324"/>
      <c r="AL328" s="487" t="s">
        <v>14493</v>
      </c>
      <c r="AM328" s="477" t="s">
        <v>71</v>
      </c>
      <c r="AN328" s="637">
        <v>100</v>
      </c>
      <c r="AO328" s="478">
        <v>-901</v>
      </c>
      <c r="AP328" s="463">
        <v>-652</v>
      </c>
      <c r="AQ328" s="479">
        <v>-249</v>
      </c>
      <c r="AR328" s="476" t="s">
        <v>16856</v>
      </c>
      <c r="BA328" s="313" t="s">
        <v>3275</v>
      </c>
    </row>
    <row r="329" spans="2:53" ht="16.5" customHeight="1">
      <c r="B329" s="367" t="s">
        <v>8735</v>
      </c>
      <c r="C329" s="351" t="s">
        <v>8736</v>
      </c>
      <c r="D329" s="353">
        <v>-903</v>
      </c>
      <c r="E329" s="352" t="s">
        <v>408</v>
      </c>
      <c r="F329" s="341">
        <v>94.76</v>
      </c>
      <c r="G329" s="355" t="s">
        <v>8755</v>
      </c>
      <c r="H329" s="356" t="s">
        <v>3306</v>
      </c>
      <c r="I329" s="354" t="s">
        <v>77</v>
      </c>
      <c r="J329" s="340" t="s">
        <v>8126</v>
      </c>
      <c r="K329" s="339" t="s">
        <v>70</v>
      </c>
      <c r="L329" s="357">
        <v>10</v>
      </c>
      <c r="M329" s="358" t="s">
        <v>8756</v>
      </c>
      <c r="N329" s="359">
        <v>1000</v>
      </c>
      <c r="O329" s="360" t="s">
        <v>530</v>
      </c>
      <c r="P329" s="343" t="s">
        <v>531</v>
      </c>
      <c r="Q329" s="342" t="s">
        <v>2688</v>
      </c>
      <c r="R329" s="344">
        <v>20</v>
      </c>
      <c r="S329" s="345">
        <v>40</v>
      </c>
      <c r="T329" s="362">
        <v>30</v>
      </c>
      <c r="U329" s="361">
        <v>94.76</v>
      </c>
      <c r="V329" s="346">
        <v>129.42076146489944</v>
      </c>
      <c r="W329" s="348">
        <v>127.96903134282448</v>
      </c>
      <c r="X329" s="347">
        <v>64.900000000000006</v>
      </c>
      <c r="Y329" s="357">
        <v>65.97</v>
      </c>
      <c r="Z329" s="365" t="s">
        <v>2689</v>
      </c>
      <c r="AA329" s="350">
        <v>63.5</v>
      </c>
      <c r="AB329" s="349" t="s">
        <v>2685</v>
      </c>
      <c r="AC329" s="350">
        <v>0</v>
      </c>
      <c r="AD329" s="349" t="s">
        <v>2685</v>
      </c>
      <c r="AE329" s="364">
        <v>0</v>
      </c>
      <c r="AF329" s="366">
        <v>9.8960000000000008</v>
      </c>
      <c r="AG329" s="363">
        <v>0</v>
      </c>
      <c r="AH329" s="635" t="s">
        <v>7787</v>
      </c>
      <c r="AI329" s="324"/>
      <c r="AL329" s="487" t="s">
        <v>14494</v>
      </c>
      <c r="AM329" s="477" t="s">
        <v>70</v>
      </c>
      <c r="AN329" s="637">
        <v>100</v>
      </c>
      <c r="AO329" s="478">
        <v>-903</v>
      </c>
      <c r="AP329" s="463">
        <v>-903</v>
      </c>
      <c r="AQ329" s="479">
        <v>0</v>
      </c>
      <c r="AR329" s="476" t="s">
        <v>17160</v>
      </c>
      <c r="BA329" s="313" t="s">
        <v>3277</v>
      </c>
    </row>
    <row r="330" spans="2:53" ht="16.5" customHeight="1">
      <c r="B330" s="367" t="s">
        <v>8735</v>
      </c>
      <c r="C330" s="351" t="s">
        <v>8736</v>
      </c>
      <c r="D330" s="353">
        <v>-903</v>
      </c>
      <c r="E330" s="352" t="s">
        <v>408</v>
      </c>
      <c r="F330" s="341">
        <v>94.76</v>
      </c>
      <c r="G330" s="355" t="s">
        <v>8755</v>
      </c>
      <c r="H330" s="356" t="s">
        <v>3306</v>
      </c>
      <c r="I330" s="354" t="s">
        <v>302</v>
      </c>
      <c r="J330" s="340" t="s">
        <v>8757</v>
      </c>
      <c r="K330" s="339" t="s">
        <v>70</v>
      </c>
      <c r="L330" s="357">
        <v>30</v>
      </c>
      <c r="M330" s="358" t="s">
        <v>8758</v>
      </c>
      <c r="N330" s="359">
        <v>600</v>
      </c>
      <c r="O330" s="360" t="s">
        <v>530</v>
      </c>
      <c r="P330" s="343" t="s">
        <v>531</v>
      </c>
      <c r="Q330" s="342" t="s">
        <v>2688</v>
      </c>
      <c r="R330" s="344">
        <v>37</v>
      </c>
      <c r="S330" s="345">
        <v>43</v>
      </c>
      <c r="T330" s="362">
        <v>20</v>
      </c>
      <c r="U330" s="361">
        <v>94.76</v>
      </c>
      <c r="V330" s="346">
        <v>129.41902183538699</v>
      </c>
      <c r="W330" s="348">
        <v>127.96743668243805</v>
      </c>
      <c r="X330" s="347">
        <v>64.900000000000006</v>
      </c>
      <c r="Y330" s="357">
        <v>68.320000000000007</v>
      </c>
      <c r="Z330" s="365" t="s">
        <v>2689</v>
      </c>
      <c r="AA330" s="350">
        <v>100</v>
      </c>
      <c r="AB330" s="349" t="s">
        <v>2685</v>
      </c>
      <c r="AC330" s="350">
        <v>10</v>
      </c>
      <c r="AD330" s="349" t="s">
        <v>2685</v>
      </c>
      <c r="AE330" s="364">
        <v>0</v>
      </c>
      <c r="AF330" s="366">
        <v>0.3</v>
      </c>
      <c r="AG330" s="363">
        <v>0</v>
      </c>
      <c r="AH330" s="635" t="s">
        <v>8021</v>
      </c>
      <c r="AI330" s="324"/>
      <c r="AL330" s="487" t="s">
        <v>14495</v>
      </c>
      <c r="AM330" s="477" t="s">
        <v>70</v>
      </c>
      <c r="AN330" s="637">
        <v>100</v>
      </c>
      <c r="AO330" s="478">
        <v>-903</v>
      </c>
      <c r="AP330" s="463">
        <v>-903</v>
      </c>
      <c r="AQ330" s="479">
        <v>0</v>
      </c>
      <c r="AR330" s="476" t="s">
        <v>17160</v>
      </c>
      <c r="BA330" s="313" t="s">
        <v>3278</v>
      </c>
    </row>
    <row r="331" spans="2:53" ht="16.5" customHeight="1">
      <c r="B331" s="367" t="s">
        <v>8735</v>
      </c>
      <c r="C331" s="351" t="s">
        <v>8736</v>
      </c>
      <c r="D331" s="353">
        <v>-906</v>
      </c>
      <c r="E331" s="352" t="s">
        <v>408</v>
      </c>
      <c r="F331" s="341">
        <v>94.75</v>
      </c>
      <c r="G331" s="355" t="s">
        <v>8759</v>
      </c>
      <c r="H331" s="356" t="s">
        <v>3306</v>
      </c>
      <c r="I331" s="354" t="s">
        <v>302</v>
      </c>
      <c r="J331" s="340" t="s">
        <v>8480</v>
      </c>
      <c r="K331" s="339" t="s">
        <v>70</v>
      </c>
      <c r="L331" s="357">
        <v>36</v>
      </c>
      <c r="M331" s="358" t="s">
        <v>8760</v>
      </c>
      <c r="N331" s="359">
        <v>600</v>
      </c>
      <c r="O331" s="360" t="s">
        <v>530</v>
      </c>
      <c r="P331" s="343" t="s">
        <v>531</v>
      </c>
      <c r="Q331" s="342" t="s">
        <v>2688</v>
      </c>
      <c r="R331" s="344">
        <v>37</v>
      </c>
      <c r="S331" s="345">
        <v>43</v>
      </c>
      <c r="T331" s="362">
        <v>20</v>
      </c>
      <c r="U331" s="361">
        <v>94.75</v>
      </c>
      <c r="V331" s="346">
        <v>129.40763606001568</v>
      </c>
      <c r="W331" s="348">
        <v>127.95699972168103</v>
      </c>
      <c r="X331" s="347">
        <v>64.89</v>
      </c>
      <c r="Y331" s="357">
        <v>68.320000000000007</v>
      </c>
      <c r="Z331" s="365" t="s">
        <v>2689</v>
      </c>
      <c r="AA331" s="350">
        <v>100</v>
      </c>
      <c r="AB331" s="349" t="s">
        <v>2685</v>
      </c>
      <c r="AC331" s="350">
        <v>10</v>
      </c>
      <c r="AD331" s="349" t="s">
        <v>2685</v>
      </c>
      <c r="AE331" s="364">
        <v>0</v>
      </c>
      <c r="AF331" s="366">
        <v>0.3</v>
      </c>
      <c r="AG331" s="363">
        <v>0</v>
      </c>
      <c r="AH331" s="635" t="s">
        <v>8021</v>
      </c>
      <c r="AI331" s="324"/>
      <c r="AL331" s="487" t="s">
        <v>14496</v>
      </c>
      <c r="AM331" s="477" t="s">
        <v>70</v>
      </c>
      <c r="AN331" s="637">
        <v>100</v>
      </c>
      <c r="AO331" s="478">
        <v>-906</v>
      </c>
      <c r="AP331" s="463">
        <v>-906</v>
      </c>
      <c r="AQ331" s="479">
        <v>0</v>
      </c>
      <c r="AR331" s="476" t="s">
        <v>14497</v>
      </c>
      <c r="BA331" s="313" t="s">
        <v>3282</v>
      </c>
    </row>
    <row r="332" spans="2:53" ht="16.5" customHeight="1">
      <c r="B332" s="367" t="s">
        <v>8739</v>
      </c>
      <c r="C332" s="351" t="s">
        <v>8740</v>
      </c>
      <c r="D332" s="353">
        <v>-909</v>
      </c>
      <c r="E332" s="352" t="s">
        <v>8761</v>
      </c>
      <c r="F332" s="341">
        <v>94.74</v>
      </c>
      <c r="G332" s="355" t="s">
        <v>18463</v>
      </c>
      <c r="H332" s="356" t="s">
        <v>3346</v>
      </c>
      <c r="I332" s="354" t="s">
        <v>75</v>
      </c>
      <c r="J332" s="340" t="s">
        <v>8216</v>
      </c>
      <c r="K332" s="339" t="s">
        <v>71</v>
      </c>
      <c r="L332" s="357">
        <v>15</v>
      </c>
      <c r="M332" s="358" t="s">
        <v>8762</v>
      </c>
      <c r="N332" s="359">
        <v>1000</v>
      </c>
      <c r="O332" s="360" t="s">
        <v>530</v>
      </c>
      <c r="P332" s="343" t="s">
        <v>531</v>
      </c>
      <c r="Q332" s="342" t="s">
        <v>2688</v>
      </c>
      <c r="R332" s="344">
        <v>36</v>
      </c>
      <c r="S332" s="345">
        <v>36</v>
      </c>
      <c r="T332" s="362">
        <v>29</v>
      </c>
      <c r="U332" s="361">
        <v>94.74</v>
      </c>
      <c r="V332" s="346">
        <v>129.40283561836134</v>
      </c>
      <c r="W332" s="348">
        <v>127.95259931683121</v>
      </c>
      <c r="X332" s="347">
        <v>65.34</v>
      </c>
      <c r="Y332" s="357">
        <v>65.910000000000011</v>
      </c>
      <c r="Z332" s="365" t="s">
        <v>2689</v>
      </c>
      <c r="AA332" s="350">
        <v>0</v>
      </c>
      <c r="AB332" s="349" t="s">
        <v>2685</v>
      </c>
      <c r="AC332" s="350">
        <v>10</v>
      </c>
      <c r="AD332" s="349" t="s">
        <v>2685</v>
      </c>
      <c r="AE332" s="364">
        <v>0</v>
      </c>
      <c r="AF332" s="366">
        <v>0</v>
      </c>
      <c r="AG332" s="363">
        <v>0</v>
      </c>
      <c r="AH332" s="635" t="s">
        <v>408</v>
      </c>
      <c r="AI332" s="324"/>
      <c r="AL332" s="487" t="s">
        <v>14498</v>
      </c>
      <c r="AM332" s="477" t="s">
        <v>71</v>
      </c>
      <c r="AN332" s="637">
        <v>100</v>
      </c>
      <c r="AO332" s="478">
        <v>-909</v>
      </c>
      <c r="AP332" s="463">
        <v>-658</v>
      </c>
      <c r="AQ332" s="479">
        <v>-251</v>
      </c>
      <c r="AR332" s="476" t="s">
        <v>14527</v>
      </c>
      <c r="BA332" s="313" t="s">
        <v>3285</v>
      </c>
    </row>
    <row r="333" spans="2:53" ht="16.5" customHeight="1">
      <c r="B333" s="367" t="s">
        <v>8735</v>
      </c>
      <c r="C333" s="351" t="s">
        <v>8736</v>
      </c>
      <c r="D333" s="353">
        <v>-910</v>
      </c>
      <c r="E333" s="352" t="s">
        <v>3428</v>
      </c>
      <c r="F333" s="341">
        <v>94.74</v>
      </c>
      <c r="G333" s="355" t="s">
        <v>18464</v>
      </c>
      <c r="H333" s="356" t="s">
        <v>18459</v>
      </c>
      <c r="I333" s="354" t="s">
        <v>73</v>
      </c>
      <c r="J333" s="340" t="s">
        <v>8763</v>
      </c>
      <c r="K333" s="339" t="s">
        <v>71</v>
      </c>
      <c r="L333" s="357">
        <v>70</v>
      </c>
      <c r="M333" s="358" t="s">
        <v>8764</v>
      </c>
      <c r="N333" s="359">
        <v>1000</v>
      </c>
      <c r="O333" s="360" t="s">
        <v>530</v>
      </c>
      <c r="P333" s="343" t="s">
        <v>531</v>
      </c>
      <c r="Q333" s="342" t="s">
        <v>2688</v>
      </c>
      <c r="R333" s="344">
        <v>38</v>
      </c>
      <c r="S333" s="345">
        <v>25</v>
      </c>
      <c r="T333" s="362">
        <v>25</v>
      </c>
      <c r="U333" s="361">
        <v>94.74</v>
      </c>
      <c r="V333" s="346">
        <v>129.39747570704344</v>
      </c>
      <c r="W333" s="348">
        <v>127.94768606478981</v>
      </c>
      <c r="X333" s="347">
        <v>65.34</v>
      </c>
      <c r="Y333" s="357">
        <v>65.92</v>
      </c>
      <c r="Z333" s="365" t="s">
        <v>2689</v>
      </c>
      <c r="AA333" s="350">
        <v>125</v>
      </c>
      <c r="AB333" s="349" t="s">
        <v>2685</v>
      </c>
      <c r="AC333" s="350">
        <v>0</v>
      </c>
      <c r="AD333" s="349" t="s">
        <v>2685</v>
      </c>
      <c r="AE333" s="364">
        <v>0</v>
      </c>
      <c r="AF333" s="366">
        <v>4.944</v>
      </c>
      <c r="AG333" s="363">
        <v>0</v>
      </c>
      <c r="AH333" s="635" t="s">
        <v>8698</v>
      </c>
      <c r="AI333" s="324"/>
      <c r="AL333" s="487" t="s">
        <v>14499</v>
      </c>
      <c r="AM333" s="477" t="s">
        <v>71</v>
      </c>
      <c r="AN333" s="637">
        <v>100</v>
      </c>
      <c r="AO333" s="478">
        <v>-910</v>
      </c>
      <c r="AP333" s="463">
        <v>-659</v>
      </c>
      <c r="AQ333" s="479">
        <v>-251</v>
      </c>
      <c r="AR333" s="476" t="s">
        <v>14527</v>
      </c>
      <c r="BA333" s="313" t="s">
        <v>3289</v>
      </c>
    </row>
    <row r="334" spans="2:53" ht="16.5" customHeight="1">
      <c r="B334" s="367" t="s">
        <v>8739</v>
      </c>
      <c r="C334" s="351" t="s">
        <v>8740</v>
      </c>
      <c r="D334" s="353">
        <v>-912</v>
      </c>
      <c r="E334" s="352" t="s">
        <v>8765</v>
      </c>
      <c r="F334" s="341">
        <v>94.7</v>
      </c>
      <c r="G334" s="355" t="s">
        <v>18465</v>
      </c>
      <c r="H334" s="356" t="s">
        <v>8406</v>
      </c>
      <c r="I334" s="354" t="s">
        <v>75</v>
      </c>
      <c r="J334" s="340" t="s">
        <v>8767</v>
      </c>
      <c r="K334" s="339" t="s">
        <v>71</v>
      </c>
      <c r="L334" s="357">
        <v>6</v>
      </c>
      <c r="M334" s="358" t="s">
        <v>8768</v>
      </c>
      <c r="N334" s="359">
        <v>1000</v>
      </c>
      <c r="O334" s="360" t="s">
        <v>530</v>
      </c>
      <c r="P334" s="343" t="s">
        <v>531</v>
      </c>
      <c r="Q334" s="342" t="s">
        <v>2688</v>
      </c>
      <c r="R334" s="344">
        <v>36</v>
      </c>
      <c r="S334" s="345">
        <v>36</v>
      </c>
      <c r="T334" s="362">
        <v>29</v>
      </c>
      <c r="U334" s="361">
        <v>94.7</v>
      </c>
      <c r="V334" s="346">
        <v>129.36549529736558</v>
      </c>
      <c r="W334" s="348">
        <v>127.91837068925179</v>
      </c>
      <c r="X334" s="347">
        <v>65.319999999999993</v>
      </c>
      <c r="Y334" s="357">
        <v>65.89</v>
      </c>
      <c r="Z334" s="365" t="s">
        <v>2689</v>
      </c>
      <c r="AA334" s="350">
        <v>0</v>
      </c>
      <c r="AB334" s="349" t="s">
        <v>2685</v>
      </c>
      <c r="AC334" s="350">
        <v>10</v>
      </c>
      <c r="AD334" s="349" t="s">
        <v>2685</v>
      </c>
      <c r="AE334" s="364">
        <v>0</v>
      </c>
      <c r="AF334" s="366">
        <v>0</v>
      </c>
      <c r="AG334" s="363">
        <v>0</v>
      </c>
      <c r="AH334" s="635" t="s">
        <v>408</v>
      </c>
      <c r="AI334" s="324"/>
      <c r="AL334" s="487" t="s">
        <v>14500</v>
      </c>
      <c r="AM334" s="477" t="s">
        <v>71</v>
      </c>
      <c r="AN334" s="637">
        <v>100</v>
      </c>
      <c r="AO334" s="478">
        <v>-912</v>
      </c>
      <c r="AP334" s="463">
        <v>-660</v>
      </c>
      <c r="AQ334" s="479">
        <v>-252</v>
      </c>
      <c r="AR334" s="476" t="s">
        <v>14502</v>
      </c>
      <c r="BA334" s="313" t="s">
        <v>3291</v>
      </c>
    </row>
    <row r="335" spans="2:53" ht="16.5" customHeight="1">
      <c r="B335" s="367" t="s">
        <v>8739</v>
      </c>
      <c r="C335" s="351" t="s">
        <v>8740</v>
      </c>
      <c r="D335" s="353">
        <v>-912</v>
      </c>
      <c r="E335" s="352" t="s">
        <v>408</v>
      </c>
      <c r="F335" s="341">
        <v>94.7</v>
      </c>
      <c r="G335" s="355" t="s">
        <v>8769</v>
      </c>
      <c r="H335" s="356" t="s">
        <v>3288</v>
      </c>
      <c r="I335" s="354" t="s">
        <v>73</v>
      </c>
      <c r="J335" s="340" t="s">
        <v>8770</v>
      </c>
      <c r="K335" s="339" t="s">
        <v>71</v>
      </c>
      <c r="L335" s="357">
        <v>11</v>
      </c>
      <c r="M335" s="358" t="s">
        <v>8771</v>
      </c>
      <c r="N335" s="359">
        <v>1000</v>
      </c>
      <c r="O335" s="360" t="s">
        <v>530</v>
      </c>
      <c r="P335" s="343" t="s">
        <v>531</v>
      </c>
      <c r="Q335" s="342" t="s">
        <v>2688</v>
      </c>
      <c r="R335" s="344">
        <v>33</v>
      </c>
      <c r="S335" s="345">
        <v>33</v>
      </c>
      <c r="T335" s="362">
        <v>17</v>
      </c>
      <c r="U335" s="361">
        <v>94.7</v>
      </c>
      <c r="V335" s="346">
        <v>129.35912254967332</v>
      </c>
      <c r="W335" s="348">
        <v>127.91252900386721</v>
      </c>
      <c r="X335" s="347">
        <v>64.86</v>
      </c>
      <c r="Y335" s="357">
        <v>65.900000000000006</v>
      </c>
      <c r="Z335" s="365" t="s">
        <v>2689</v>
      </c>
      <c r="AA335" s="350">
        <v>166.67</v>
      </c>
      <c r="AB335" s="349" t="s">
        <v>2685</v>
      </c>
      <c r="AC335" s="350">
        <v>0</v>
      </c>
      <c r="AD335" s="349" t="s">
        <v>2685</v>
      </c>
      <c r="AE335" s="364">
        <v>0</v>
      </c>
      <c r="AF335" s="366">
        <v>0</v>
      </c>
      <c r="AG335" s="363">
        <v>0</v>
      </c>
      <c r="AH335" s="635" t="s">
        <v>408</v>
      </c>
      <c r="AI335" s="324"/>
      <c r="AL335" s="487" t="s">
        <v>14501</v>
      </c>
      <c r="AM335" s="477" t="s">
        <v>71</v>
      </c>
      <c r="AN335" s="637">
        <v>100</v>
      </c>
      <c r="AO335" s="478">
        <v>-912</v>
      </c>
      <c r="AP335" s="463">
        <v>-655</v>
      </c>
      <c r="AQ335" s="479">
        <v>-257</v>
      </c>
      <c r="AR335" s="476" t="s">
        <v>16857</v>
      </c>
      <c r="BA335" s="313" t="s">
        <v>3292</v>
      </c>
    </row>
    <row r="336" spans="2:53" ht="16.5" customHeight="1">
      <c r="B336" s="367" t="s">
        <v>8739</v>
      </c>
      <c r="C336" s="351" t="s">
        <v>8740</v>
      </c>
      <c r="D336" s="353">
        <v>-912</v>
      </c>
      <c r="E336" s="352" t="s">
        <v>3448</v>
      </c>
      <c r="F336" s="341">
        <v>94.69</v>
      </c>
      <c r="G336" s="355" t="s">
        <v>18466</v>
      </c>
      <c r="H336" s="356" t="s">
        <v>8406</v>
      </c>
      <c r="I336" s="354" t="s">
        <v>75</v>
      </c>
      <c r="J336" s="340" t="s">
        <v>8772</v>
      </c>
      <c r="K336" s="339" t="s">
        <v>71</v>
      </c>
      <c r="L336" s="357">
        <v>13</v>
      </c>
      <c r="M336" s="358" t="s">
        <v>8773</v>
      </c>
      <c r="N336" s="359">
        <v>1000</v>
      </c>
      <c r="O336" s="360" t="s">
        <v>530</v>
      </c>
      <c r="P336" s="343" t="s">
        <v>531</v>
      </c>
      <c r="Q336" s="342" t="s">
        <v>2688</v>
      </c>
      <c r="R336" s="344">
        <v>36</v>
      </c>
      <c r="S336" s="345">
        <v>36</v>
      </c>
      <c r="T336" s="362">
        <v>29</v>
      </c>
      <c r="U336" s="361">
        <v>94.69</v>
      </c>
      <c r="V336" s="346">
        <v>129.35763417715597</v>
      </c>
      <c r="W336" s="348">
        <v>127.91116466239296</v>
      </c>
      <c r="X336" s="347">
        <v>65.319999999999993</v>
      </c>
      <c r="Y336" s="357">
        <v>65.88000000000001</v>
      </c>
      <c r="Z336" s="365" t="s">
        <v>2689</v>
      </c>
      <c r="AA336" s="350">
        <v>0</v>
      </c>
      <c r="AB336" s="349" t="s">
        <v>2685</v>
      </c>
      <c r="AC336" s="350">
        <v>10</v>
      </c>
      <c r="AD336" s="349" t="s">
        <v>2685</v>
      </c>
      <c r="AE336" s="364">
        <v>0</v>
      </c>
      <c r="AF336" s="366">
        <v>0</v>
      </c>
      <c r="AG336" s="363">
        <v>0</v>
      </c>
      <c r="AH336" s="635" t="s">
        <v>408</v>
      </c>
      <c r="AI336" s="324"/>
      <c r="AL336" s="487" t="s">
        <v>14503</v>
      </c>
      <c r="AM336" s="477" t="s">
        <v>71</v>
      </c>
      <c r="AN336" s="637">
        <v>100</v>
      </c>
      <c r="AO336" s="478">
        <v>-912</v>
      </c>
      <c r="AP336" s="463">
        <v>-660</v>
      </c>
      <c r="AQ336" s="479">
        <v>-252</v>
      </c>
      <c r="AR336" s="476" t="s">
        <v>14502</v>
      </c>
      <c r="BA336" s="313" t="s">
        <v>3294</v>
      </c>
    </row>
    <row r="337" spans="2:53" ht="16.5" customHeight="1">
      <c r="B337" s="367" t="s">
        <v>8739</v>
      </c>
      <c r="C337" s="351" t="s">
        <v>8740</v>
      </c>
      <c r="D337" s="353">
        <v>-919</v>
      </c>
      <c r="E337" s="352" t="s">
        <v>8774</v>
      </c>
      <c r="F337" s="341">
        <v>94.69</v>
      </c>
      <c r="G337" s="355" t="s">
        <v>18467</v>
      </c>
      <c r="H337" s="356" t="s">
        <v>3346</v>
      </c>
      <c r="I337" s="354" t="s">
        <v>73</v>
      </c>
      <c r="J337" s="340" t="s">
        <v>8775</v>
      </c>
      <c r="K337" s="339" t="s">
        <v>71</v>
      </c>
      <c r="L337" s="357">
        <v>19</v>
      </c>
      <c r="M337" s="358" t="s">
        <v>8776</v>
      </c>
      <c r="N337" s="359">
        <v>1000</v>
      </c>
      <c r="O337" s="360" t="s">
        <v>530</v>
      </c>
      <c r="P337" s="343" t="s">
        <v>531</v>
      </c>
      <c r="Q337" s="342" t="s">
        <v>2688</v>
      </c>
      <c r="R337" s="344">
        <v>38</v>
      </c>
      <c r="S337" s="345">
        <v>25</v>
      </c>
      <c r="T337" s="362">
        <v>25</v>
      </c>
      <c r="U337" s="361">
        <v>94.69</v>
      </c>
      <c r="V337" s="346">
        <v>129.35601228791461</v>
      </c>
      <c r="W337" s="348">
        <v>127.90967793058839</v>
      </c>
      <c r="X337" s="347">
        <v>65.319999999999993</v>
      </c>
      <c r="Y337" s="357">
        <v>65.89</v>
      </c>
      <c r="Z337" s="365" t="s">
        <v>2689</v>
      </c>
      <c r="AA337" s="350">
        <v>125</v>
      </c>
      <c r="AB337" s="349" t="s">
        <v>2685</v>
      </c>
      <c r="AC337" s="350">
        <v>0</v>
      </c>
      <c r="AD337" s="349" t="s">
        <v>2685</v>
      </c>
      <c r="AE337" s="364">
        <v>0</v>
      </c>
      <c r="AF337" s="366">
        <v>4.9420000000000002</v>
      </c>
      <c r="AG337" s="363">
        <v>0</v>
      </c>
      <c r="AH337" s="635" t="s">
        <v>8698</v>
      </c>
      <c r="AI337" s="324"/>
      <c r="AL337" s="487" t="s">
        <v>14504</v>
      </c>
      <c r="AM337" s="477" t="s">
        <v>71</v>
      </c>
      <c r="AN337" s="637">
        <v>100</v>
      </c>
      <c r="AO337" s="478">
        <v>-919</v>
      </c>
      <c r="AP337" s="463">
        <v>-665</v>
      </c>
      <c r="AQ337" s="479">
        <v>-254</v>
      </c>
      <c r="AR337" s="476" t="s">
        <v>14527</v>
      </c>
      <c r="BA337" s="313" t="s">
        <v>3295</v>
      </c>
    </row>
    <row r="338" spans="2:53" ht="16.5" customHeight="1">
      <c r="B338" s="367" t="s">
        <v>8739</v>
      </c>
      <c r="C338" s="351" t="s">
        <v>8740</v>
      </c>
      <c r="D338" s="353">
        <v>-917</v>
      </c>
      <c r="E338" s="352" t="s">
        <v>408</v>
      </c>
      <c r="F338" s="341">
        <v>94.67</v>
      </c>
      <c r="G338" s="355" t="s">
        <v>8777</v>
      </c>
      <c r="H338" s="356" t="s">
        <v>3306</v>
      </c>
      <c r="I338" s="354" t="s">
        <v>75</v>
      </c>
      <c r="J338" s="340" t="s">
        <v>8778</v>
      </c>
      <c r="K338" s="339" t="s">
        <v>70</v>
      </c>
      <c r="L338" s="357">
        <v>9</v>
      </c>
      <c r="M338" s="358" t="s">
        <v>8743</v>
      </c>
      <c r="N338" s="359">
        <v>1000</v>
      </c>
      <c r="O338" s="360" t="s">
        <v>530</v>
      </c>
      <c r="P338" s="343" t="s">
        <v>531</v>
      </c>
      <c r="Q338" s="342" t="s">
        <v>2688</v>
      </c>
      <c r="R338" s="344">
        <v>31</v>
      </c>
      <c r="S338" s="345">
        <v>38</v>
      </c>
      <c r="T338" s="362">
        <v>31</v>
      </c>
      <c r="U338" s="361">
        <v>94.67</v>
      </c>
      <c r="V338" s="346">
        <v>129.33497076023392</v>
      </c>
      <c r="W338" s="348">
        <v>127.89038986354775</v>
      </c>
      <c r="X338" s="347">
        <v>64.849999999999994</v>
      </c>
      <c r="Y338" s="357">
        <v>66.06</v>
      </c>
      <c r="Z338" s="365" t="s">
        <v>2689</v>
      </c>
      <c r="AA338" s="350">
        <v>0</v>
      </c>
      <c r="AB338" s="349" t="s">
        <v>2685</v>
      </c>
      <c r="AC338" s="350">
        <v>10</v>
      </c>
      <c r="AD338" s="349" t="s">
        <v>2685</v>
      </c>
      <c r="AE338" s="364">
        <v>0</v>
      </c>
      <c r="AF338" s="366">
        <v>0</v>
      </c>
      <c r="AG338" s="363">
        <v>0</v>
      </c>
      <c r="AH338" s="635" t="s">
        <v>408</v>
      </c>
      <c r="AI338" s="324"/>
      <c r="AL338" s="487" t="s">
        <v>14505</v>
      </c>
      <c r="AM338" s="477" t="s">
        <v>70</v>
      </c>
      <c r="AN338" s="637">
        <v>100</v>
      </c>
      <c r="AO338" s="478">
        <v>-917</v>
      </c>
      <c r="AP338" s="463">
        <v>-917</v>
      </c>
      <c r="AQ338" s="479">
        <v>0</v>
      </c>
      <c r="AR338" s="476" t="s">
        <v>14497</v>
      </c>
      <c r="BA338" s="313" t="s">
        <v>3296</v>
      </c>
    </row>
    <row r="339" spans="2:53" ht="16.5" customHeight="1">
      <c r="B339" s="367" t="s">
        <v>8739</v>
      </c>
      <c r="C339" s="351" t="s">
        <v>8740</v>
      </c>
      <c r="D339" s="353">
        <v>-917</v>
      </c>
      <c r="E339" s="352" t="s">
        <v>3443</v>
      </c>
      <c r="F339" s="341">
        <v>94.65</v>
      </c>
      <c r="G339" s="355" t="s">
        <v>18468</v>
      </c>
      <c r="H339" s="356" t="s">
        <v>8406</v>
      </c>
      <c r="I339" s="354" t="s">
        <v>302</v>
      </c>
      <c r="J339" s="340" t="s">
        <v>8659</v>
      </c>
      <c r="K339" s="339" t="s">
        <v>71</v>
      </c>
      <c r="L339" s="357">
        <v>59</v>
      </c>
      <c r="M339" s="358" t="s">
        <v>8780</v>
      </c>
      <c r="N339" s="359">
        <v>600</v>
      </c>
      <c r="O339" s="360" t="s">
        <v>530</v>
      </c>
      <c r="P339" s="343" t="s">
        <v>531</v>
      </c>
      <c r="Q339" s="342" t="s">
        <v>2688</v>
      </c>
      <c r="R339" s="344">
        <v>37</v>
      </c>
      <c r="S339" s="345">
        <v>43</v>
      </c>
      <c r="T339" s="362">
        <v>20</v>
      </c>
      <c r="U339" s="361">
        <v>94.65</v>
      </c>
      <c r="V339" s="346">
        <v>129.32001141878391</v>
      </c>
      <c r="W339" s="348">
        <v>127.87667713388525</v>
      </c>
      <c r="X339" s="347">
        <v>65.3</v>
      </c>
      <c r="Y339" s="357">
        <v>68.010000000000005</v>
      </c>
      <c r="Z339" s="365" t="s">
        <v>2689</v>
      </c>
      <c r="AA339" s="350">
        <v>100</v>
      </c>
      <c r="AB339" s="349" t="s">
        <v>2685</v>
      </c>
      <c r="AC339" s="350">
        <v>10</v>
      </c>
      <c r="AD339" s="349" t="s">
        <v>2685</v>
      </c>
      <c r="AE339" s="364">
        <v>0</v>
      </c>
      <c r="AF339" s="366">
        <v>0</v>
      </c>
      <c r="AG339" s="363">
        <v>0</v>
      </c>
      <c r="AH339" s="635" t="s">
        <v>408</v>
      </c>
      <c r="AI339" s="324"/>
      <c r="AL339" s="487" t="s">
        <v>14506</v>
      </c>
      <c r="AM339" s="477" t="s">
        <v>71</v>
      </c>
      <c r="AN339" s="637">
        <v>100</v>
      </c>
      <c r="AO339" s="478">
        <v>-917</v>
      </c>
      <c r="AP339" s="463">
        <v>-664</v>
      </c>
      <c r="AQ339" s="479">
        <v>-253</v>
      </c>
      <c r="AR339" s="476" t="s">
        <v>14508</v>
      </c>
      <c r="BA339" s="313" t="s">
        <v>3299</v>
      </c>
    </row>
    <row r="340" spans="2:53" ht="16.5" customHeight="1">
      <c r="B340" s="367" t="s">
        <v>8739</v>
      </c>
      <c r="C340" s="351" t="s">
        <v>8740</v>
      </c>
      <c r="D340" s="353">
        <v>-917</v>
      </c>
      <c r="E340" s="352" t="s">
        <v>408</v>
      </c>
      <c r="F340" s="341">
        <v>94.65</v>
      </c>
      <c r="G340" s="355" t="s">
        <v>8781</v>
      </c>
      <c r="H340" s="356" t="s">
        <v>18469</v>
      </c>
      <c r="I340" s="354" t="s">
        <v>75</v>
      </c>
      <c r="J340" s="340" t="s">
        <v>8783</v>
      </c>
      <c r="K340" s="339" t="s">
        <v>8784</v>
      </c>
      <c r="L340" s="357">
        <v>16</v>
      </c>
      <c r="M340" s="358" t="s">
        <v>8785</v>
      </c>
      <c r="N340" s="359">
        <v>800</v>
      </c>
      <c r="O340" s="360" t="s">
        <v>530</v>
      </c>
      <c r="P340" s="343" t="s">
        <v>531</v>
      </c>
      <c r="Q340" s="342" t="s">
        <v>2688</v>
      </c>
      <c r="R340" s="344">
        <v>31</v>
      </c>
      <c r="S340" s="345">
        <v>38</v>
      </c>
      <c r="T340" s="362">
        <v>31</v>
      </c>
      <c r="U340" s="361">
        <v>94.65</v>
      </c>
      <c r="V340" s="346">
        <v>129.32046783625734</v>
      </c>
      <c r="W340" s="348">
        <v>127.87709551656921</v>
      </c>
      <c r="X340" s="347">
        <v>64.84</v>
      </c>
      <c r="Y340" s="357">
        <v>66.040000000000006</v>
      </c>
      <c r="Z340" s="365" t="s">
        <v>2689</v>
      </c>
      <c r="AA340" s="350">
        <v>0</v>
      </c>
      <c r="AB340" s="349" t="s">
        <v>2685</v>
      </c>
      <c r="AC340" s="350">
        <v>10</v>
      </c>
      <c r="AD340" s="349" t="s">
        <v>2685</v>
      </c>
      <c r="AE340" s="364">
        <v>0</v>
      </c>
      <c r="AF340" s="366">
        <v>0</v>
      </c>
      <c r="AG340" s="363">
        <v>0</v>
      </c>
      <c r="AH340" s="635" t="s">
        <v>408</v>
      </c>
      <c r="AI340" s="324"/>
      <c r="AL340" s="487" t="s">
        <v>14507</v>
      </c>
      <c r="AM340" s="477" t="s">
        <v>8784</v>
      </c>
      <c r="AN340" s="637">
        <v>100</v>
      </c>
      <c r="AO340" s="478">
        <v>-917</v>
      </c>
      <c r="AP340" s="463">
        <v>-657</v>
      </c>
      <c r="AQ340" s="479">
        <v>-260</v>
      </c>
      <c r="AR340" s="476" t="s">
        <v>16858</v>
      </c>
      <c r="BA340" s="313" t="s">
        <v>3300</v>
      </c>
    </row>
    <row r="341" spans="2:53" ht="16.5" customHeight="1">
      <c r="B341" s="367" t="s">
        <v>8739</v>
      </c>
      <c r="C341" s="351" t="s">
        <v>8740</v>
      </c>
      <c r="D341" s="353">
        <v>-917</v>
      </c>
      <c r="E341" s="352" t="s">
        <v>8786</v>
      </c>
      <c r="F341" s="341">
        <v>94.63</v>
      </c>
      <c r="G341" s="355" t="s">
        <v>8714</v>
      </c>
      <c r="H341" s="356" t="s">
        <v>8406</v>
      </c>
      <c r="I341" s="354" t="s">
        <v>73</v>
      </c>
      <c r="J341" s="340" t="s">
        <v>8787</v>
      </c>
      <c r="K341" s="339" t="s">
        <v>71</v>
      </c>
      <c r="L341" s="357">
        <v>31</v>
      </c>
      <c r="M341" s="358" t="s">
        <v>8788</v>
      </c>
      <c r="N341" s="359">
        <v>1000</v>
      </c>
      <c r="O341" s="360" t="s">
        <v>530</v>
      </c>
      <c r="P341" s="343" t="s">
        <v>531</v>
      </c>
      <c r="Q341" s="342" t="s">
        <v>2688</v>
      </c>
      <c r="R341" s="344">
        <v>38</v>
      </c>
      <c r="S341" s="345">
        <v>25</v>
      </c>
      <c r="T341" s="362">
        <v>25</v>
      </c>
      <c r="U341" s="361">
        <v>94.63</v>
      </c>
      <c r="V341" s="346">
        <v>129.29951146878173</v>
      </c>
      <c r="W341" s="348">
        <v>127.85788551304991</v>
      </c>
      <c r="X341" s="347">
        <v>65.290000000000006</v>
      </c>
      <c r="Y341" s="357">
        <v>65.86</v>
      </c>
      <c r="Z341" s="365" t="s">
        <v>2689</v>
      </c>
      <c r="AA341" s="350">
        <v>125</v>
      </c>
      <c r="AB341" s="349" t="s">
        <v>2685</v>
      </c>
      <c r="AC341" s="350">
        <v>0</v>
      </c>
      <c r="AD341" s="349" t="s">
        <v>2685</v>
      </c>
      <c r="AE341" s="364">
        <v>0</v>
      </c>
      <c r="AF341" s="366">
        <v>4.9400000000000004</v>
      </c>
      <c r="AG341" s="363">
        <v>0</v>
      </c>
      <c r="AH341" s="635" t="s">
        <v>8698</v>
      </c>
      <c r="AI341" s="324"/>
      <c r="AL341" s="487" t="s">
        <v>14509</v>
      </c>
      <c r="AM341" s="477" t="s">
        <v>71</v>
      </c>
      <c r="AN341" s="637">
        <v>100</v>
      </c>
      <c r="AO341" s="478">
        <v>-917</v>
      </c>
      <c r="AP341" s="463">
        <v>-664</v>
      </c>
      <c r="AQ341" s="479">
        <v>-253</v>
      </c>
      <c r="AR341" s="476" t="s">
        <v>14508</v>
      </c>
      <c r="BA341" s="313" t="s">
        <v>3302</v>
      </c>
    </row>
    <row r="342" spans="2:53" ht="16.5" customHeight="1">
      <c r="B342" s="367" t="s">
        <v>8739</v>
      </c>
      <c r="C342" s="351" t="s">
        <v>8740</v>
      </c>
      <c r="D342" s="353">
        <v>-917</v>
      </c>
      <c r="E342" s="352" t="s">
        <v>3555</v>
      </c>
      <c r="F342" s="341">
        <v>94.6</v>
      </c>
      <c r="G342" s="355" t="s">
        <v>18470</v>
      </c>
      <c r="H342" s="356" t="s">
        <v>3303</v>
      </c>
      <c r="I342" s="354" t="s">
        <v>73</v>
      </c>
      <c r="J342" s="340" t="s">
        <v>8789</v>
      </c>
      <c r="K342" s="339" t="s">
        <v>71</v>
      </c>
      <c r="L342" s="357">
        <v>16</v>
      </c>
      <c r="M342" s="358" t="s">
        <v>8790</v>
      </c>
      <c r="N342" s="359">
        <v>900</v>
      </c>
      <c r="O342" s="360" t="s">
        <v>530</v>
      </c>
      <c r="P342" s="343" t="s">
        <v>531</v>
      </c>
      <c r="Q342" s="342" t="s">
        <v>2688</v>
      </c>
      <c r="R342" s="344">
        <v>33</v>
      </c>
      <c r="S342" s="345">
        <v>33</v>
      </c>
      <c r="T342" s="362">
        <v>17</v>
      </c>
      <c r="U342" s="361">
        <v>94.6</v>
      </c>
      <c r="V342" s="346">
        <v>129.2711028137085</v>
      </c>
      <c r="W342" s="348">
        <v>127.83184424589943</v>
      </c>
      <c r="X342" s="347">
        <v>65.27</v>
      </c>
      <c r="Y342" s="357">
        <v>65.84</v>
      </c>
      <c r="Z342" s="365" t="s">
        <v>2689</v>
      </c>
      <c r="AA342" s="350">
        <v>150</v>
      </c>
      <c r="AB342" s="349" t="s">
        <v>2685</v>
      </c>
      <c r="AC342" s="350">
        <v>0</v>
      </c>
      <c r="AD342" s="349" t="s">
        <v>2685</v>
      </c>
      <c r="AE342" s="364">
        <v>0</v>
      </c>
      <c r="AF342" s="366">
        <v>0</v>
      </c>
      <c r="AG342" s="363">
        <v>0</v>
      </c>
      <c r="AH342" s="635" t="s">
        <v>408</v>
      </c>
      <c r="AI342" s="324"/>
      <c r="AL342" s="487" t="s">
        <v>14510</v>
      </c>
      <c r="AM342" s="477" t="s">
        <v>71</v>
      </c>
      <c r="AN342" s="637">
        <v>100</v>
      </c>
      <c r="AO342" s="478">
        <v>-917</v>
      </c>
      <c r="AP342" s="463">
        <v>-664</v>
      </c>
      <c r="AQ342" s="479">
        <v>-253</v>
      </c>
      <c r="AR342" s="476" t="s">
        <v>14508</v>
      </c>
      <c r="BA342" s="313" t="s">
        <v>3305</v>
      </c>
    </row>
    <row r="343" spans="2:53" ht="16.5" customHeight="1">
      <c r="B343" s="367" t="s">
        <v>8739</v>
      </c>
      <c r="C343" s="351" t="s">
        <v>8740</v>
      </c>
      <c r="D343" s="353">
        <v>-917</v>
      </c>
      <c r="E343" s="352" t="s">
        <v>8791</v>
      </c>
      <c r="F343" s="341">
        <v>94.58</v>
      </c>
      <c r="G343" s="355" t="s">
        <v>18471</v>
      </c>
      <c r="H343" s="356" t="s">
        <v>3303</v>
      </c>
      <c r="I343" s="354" t="s">
        <v>302</v>
      </c>
      <c r="J343" s="340" t="s">
        <v>489</v>
      </c>
      <c r="K343" s="339" t="s">
        <v>71</v>
      </c>
      <c r="L343" s="357">
        <v>83</v>
      </c>
      <c r="M343" s="358" t="s">
        <v>8792</v>
      </c>
      <c r="N343" s="359">
        <v>600</v>
      </c>
      <c r="O343" s="360" t="s">
        <v>530</v>
      </c>
      <c r="P343" s="343" t="s">
        <v>531</v>
      </c>
      <c r="Q343" s="342" t="s">
        <v>2688</v>
      </c>
      <c r="R343" s="344">
        <v>37</v>
      </c>
      <c r="S343" s="345">
        <v>43</v>
      </c>
      <c r="T343" s="362">
        <v>20</v>
      </c>
      <c r="U343" s="361">
        <v>94.58</v>
      </c>
      <c r="V343" s="346">
        <v>129.25772714296838</v>
      </c>
      <c r="W343" s="348">
        <v>127.81958321438766</v>
      </c>
      <c r="X343" s="347">
        <v>65.260000000000005</v>
      </c>
      <c r="Y343" s="357">
        <v>68</v>
      </c>
      <c r="Z343" s="365" t="s">
        <v>2689</v>
      </c>
      <c r="AA343" s="350">
        <v>100</v>
      </c>
      <c r="AB343" s="349" t="s">
        <v>2685</v>
      </c>
      <c r="AC343" s="350">
        <v>10</v>
      </c>
      <c r="AD343" s="349" t="s">
        <v>2685</v>
      </c>
      <c r="AE343" s="364">
        <v>0</v>
      </c>
      <c r="AF343" s="366">
        <v>0</v>
      </c>
      <c r="AG343" s="363">
        <v>0</v>
      </c>
      <c r="AH343" s="635" t="s">
        <v>408</v>
      </c>
      <c r="AI343" s="324"/>
      <c r="AL343" s="487" t="s">
        <v>14511</v>
      </c>
      <c r="AM343" s="477" t="s">
        <v>71</v>
      </c>
      <c r="AN343" s="637">
        <v>100</v>
      </c>
      <c r="AO343" s="478">
        <v>-917</v>
      </c>
      <c r="AP343" s="463">
        <v>-664</v>
      </c>
      <c r="AQ343" s="479">
        <v>-253</v>
      </c>
      <c r="AR343" s="476" t="s">
        <v>14508</v>
      </c>
      <c r="BA343" s="313" t="s">
        <v>3307</v>
      </c>
    </row>
    <row r="344" spans="2:53" ht="16.5" customHeight="1">
      <c r="B344" s="367" t="s">
        <v>8739</v>
      </c>
      <c r="C344" s="351" t="s">
        <v>8740</v>
      </c>
      <c r="D344" s="353">
        <v>-921</v>
      </c>
      <c r="E344" s="352" t="s">
        <v>8793</v>
      </c>
      <c r="F344" s="341">
        <v>94.58</v>
      </c>
      <c r="G344" s="355" t="s">
        <v>18472</v>
      </c>
      <c r="H344" s="356" t="s">
        <v>18473</v>
      </c>
      <c r="I344" s="354" t="s">
        <v>73</v>
      </c>
      <c r="J344" s="340" t="s">
        <v>8618</v>
      </c>
      <c r="K344" s="339" t="s">
        <v>71</v>
      </c>
      <c r="L344" s="357">
        <v>21</v>
      </c>
      <c r="M344" s="358" t="s">
        <v>8794</v>
      </c>
      <c r="N344" s="359">
        <v>1000</v>
      </c>
      <c r="O344" s="360" t="s">
        <v>530</v>
      </c>
      <c r="P344" s="343" t="s">
        <v>531</v>
      </c>
      <c r="Q344" s="342" t="s">
        <v>2688</v>
      </c>
      <c r="R344" s="344">
        <v>38</v>
      </c>
      <c r="S344" s="345">
        <v>25</v>
      </c>
      <c r="T344" s="362">
        <v>25</v>
      </c>
      <c r="U344" s="361">
        <v>94.58</v>
      </c>
      <c r="V344" s="346">
        <v>129.2511706505334</v>
      </c>
      <c r="W344" s="348">
        <v>127.81357309632227</v>
      </c>
      <c r="X344" s="347">
        <v>65.260000000000005</v>
      </c>
      <c r="Y344" s="357">
        <v>65.83</v>
      </c>
      <c r="Z344" s="365" t="s">
        <v>2689</v>
      </c>
      <c r="AA344" s="350">
        <v>125</v>
      </c>
      <c r="AB344" s="349" t="s">
        <v>2685</v>
      </c>
      <c r="AC344" s="350">
        <v>0</v>
      </c>
      <c r="AD344" s="349" t="s">
        <v>2685</v>
      </c>
      <c r="AE344" s="364">
        <v>0</v>
      </c>
      <c r="AF344" s="366">
        <v>4.9370000000000003</v>
      </c>
      <c r="AG344" s="363">
        <v>0</v>
      </c>
      <c r="AH344" s="635" t="s">
        <v>8698</v>
      </c>
      <c r="AI344" s="324"/>
      <c r="AL344" s="487" t="s">
        <v>14512</v>
      </c>
      <c r="AM344" s="477" t="s">
        <v>71</v>
      </c>
      <c r="AN344" s="637">
        <v>100</v>
      </c>
      <c r="AO344" s="478">
        <v>-921</v>
      </c>
      <c r="AP344" s="463">
        <v>-666</v>
      </c>
      <c r="AQ344" s="479">
        <v>-255</v>
      </c>
      <c r="AR344" s="476" t="s">
        <v>14544</v>
      </c>
      <c r="BA344" s="313" t="s">
        <v>3309</v>
      </c>
    </row>
    <row r="345" spans="2:53" ht="16.5" customHeight="1">
      <c r="B345" s="367" t="s">
        <v>8739</v>
      </c>
      <c r="C345" s="351" t="s">
        <v>8740</v>
      </c>
      <c r="D345" s="353">
        <v>-922</v>
      </c>
      <c r="E345" s="352" t="s">
        <v>3459</v>
      </c>
      <c r="F345" s="341">
        <v>94.55</v>
      </c>
      <c r="G345" s="355" t="s">
        <v>18474</v>
      </c>
      <c r="H345" s="356" t="s">
        <v>18473</v>
      </c>
      <c r="I345" s="354" t="s">
        <v>75</v>
      </c>
      <c r="J345" s="340" t="s">
        <v>7365</v>
      </c>
      <c r="K345" s="339" t="s">
        <v>71</v>
      </c>
      <c r="L345" s="357">
        <v>9</v>
      </c>
      <c r="M345" s="358" t="s">
        <v>8796</v>
      </c>
      <c r="N345" s="359">
        <v>1000</v>
      </c>
      <c r="O345" s="360" t="s">
        <v>530</v>
      </c>
      <c r="P345" s="343" t="s">
        <v>531</v>
      </c>
      <c r="Q345" s="342" t="s">
        <v>2688</v>
      </c>
      <c r="R345" s="344">
        <v>36</v>
      </c>
      <c r="S345" s="345">
        <v>36</v>
      </c>
      <c r="T345" s="362">
        <v>29</v>
      </c>
      <c r="U345" s="361">
        <v>94.55</v>
      </c>
      <c r="V345" s="346">
        <v>129.22596041364466</v>
      </c>
      <c r="W345" s="348">
        <v>127.7904637125076</v>
      </c>
      <c r="X345" s="347">
        <v>65.25</v>
      </c>
      <c r="Y345" s="357">
        <v>65.81</v>
      </c>
      <c r="Z345" s="365" t="s">
        <v>2689</v>
      </c>
      <c r="AA345" s="350">
        <v>0</v>
      </c>
      <c r="AB345" s="349" t="s">
        <v>2685</v>
      </c>
      <c r="AC345" s="350">
        <v>10</v>
      </c>
      <c r="AD345" s="349" t="s">
        <v>2685</v>
      </c>
      <c r="AE345" s="364">
        <v>0</v>
      </c>
      <c r="AF345" s="366">
        <v>0</v>
      </c>
      <c r="AG345" s="363">
        <v>0</v>
      </c>
      <c r="AH345" s="635" t="s">
        <v>408</v>
      </c>
      <c r="AI345" s="324"/>
      <c r="AL345" s="487" t="s">
        <v>14513</v>
      </c>
      <c r="AM345" s="477" t="s">
        <v>71</v>
      </c>
      <c r="AN345" s="637">
        <v>100</v>
      </c>
      <c r="AO345" s="478">
        <v>-922</v>
      </c>
      <c r="AP345" s="463">
        <v>-667</v>
      </c>
      <c r="AQ345" s="479">
        <v>-255</v>
      </c>
      <c r="AR345" s="476" t="s">
        <v>14544</v>
      </c>
      <c r="BA345" s="313" t="s">
        <v>3310</v>
      </c>
    </row>
    <row r="346" spans="2:53" ht="16.5" customHeight="1">
      <c r="B346" s="367" t="s">
        <v>8739</v>
      </c>
      <c r="C346" s="351" t="s">
        <v>8740</v>
      </c>
      <c r="D346" s="353">
        <v>-923</v>
      </c>
      <c r="E346" s="352" t="s">
        <v>3459</v>
      </c>
      <c r="F346" s="341">
        <v>94.55</v>
      </c>
      <c r="G346" s="355" t="s">
        <v>18474</v>
      </c>
      <c r="H346" s="356" t="s">
        <v>18473</v>
      </c>
      <c r="I346" s="354" t="s">
        <v>75</v>
      </c>
      <c r="J346" s="340" t="s">
        <v>8797</v>
      </c>
      <c r="K346" s="339" t="s">
        <v>71</v>
      </c>
      <c r="L346" s="357">
        <v>9</v>
      </c>
      <c r="M346" s="358" t="s">
        <v>8796</v>
      </c>
      <c r="N346" s="359">
        <v>1000</v>
      </c>
      <c r="O346" s="360" t="s">
        <v>530</v>
      </c>
      <c r="P346" s="343" t="s">
        <v>531</v>
      </c>
      <c r="Q346" s="342" t="s">
        <v>2688</v>
      </c>
      <c r="R346" s="344">
        <v>36</v>
      </c>
      <c r="S346" s="345">
        <v>36</v>
      </c>
      <c r="T346" s="362">
        <v>29</v>
      </c>
      <c r="U346" s="361">
        <v>94.55</v>
      </c>
      <c r="V346" s="346">
        <v>129.22596041364466</v>
      </c>
      <c r="W346" s="348">
        <v>127.7904637125076</v>
      </c>
      <c r="X346" s="347">
        <v>65.25</v>
      </c>
      <c r="Y346" s="357">
        <v>65.81</v>
      </c>
      <c r="Z346" s="365" t="s">
        <v>2689</v>
      </c>
      <c r="AA346" s="350">
        <v>0</v>
      </c>
      <c r="AB346" s="349" t="s">
        <v>2685</v>
      </c>
      <c r="AC346" s="350">
        <v>10</v>
      </c>
      <c r="AD346" s="349" t="s">
        <v>2685</v>
      </c>
      <c r="AE346" s="364">
        <v>0</v>
      </c>
      <c r="AF346" s="366">
        <v>0</v>
      </c>
      <c r="AG346" s="363">
        <v>0</v>
      </c>
      <c r="AH346" s="635" t="s">
        <v>408</v>
      </c>
      <c r="AI346" s="324"/>
      <c r="AL346" s="487" t="s">
        <v>14514</v>
      </c>
      <c r="AM346" s="477" t="s">
        <v>71</v>
      </c>
      <c r="AN346" s="637">
        <v>100</v>
      </c>
      <c r="AO346" s="478">
        <v>-923</v>
      </c>
      <c r="AP346" s="463">
        <v>-668</v>
      </c>
      <c r="AQ346" s="479">
        <v>-255</v>
      </c>
      <c r="AR346" s="476" t="s">
        <v>14544</v>
      </c>
      <c r="BA346" s="313" t="s">
        <v>3311</v>
      </c>
    </row>
    <row r="347" spans="2:53" ht="16.5" customHeight="1">
      <c r="B347" s="367" t="s">
        <v>8739</v>
      </c>
      <c r="C347" s="351" t="s">
        <v>8740</v>
      </c>
      <c r="D347" s="353">
        <v>-924</v>
      </c>
      <c r="E347" s="352" t="s">
        <v>408</v>
      </c>
      <c r="F347" s="341">
        <v>94.53</v>
      </c>
      <c r="G347" s="355" t="s">
        <v>8798</v>
      </c>
      <c r="H347" s="356" t="s">
        <v>3308</v>
      </c>
      <c r="I347" s="354" t="s">
        <v>80</v>
      </c>
      <c r="J347" s="340" t="s">
        <v>8640</v>
      </c>
      <c r="K347" s="339" t="s">
        <v>70</v>
      </c>
      <c r="L347" s="357">
        <v>16</v>
      </c>
      <c r="M347" s="358" t="s">
        <v>8799</v>
      </c>
      <c r="N347" s="359">
        <v>1000</v>
      </c>
      <c r="O347" s="360" t="s">
        <v>532</v>
      </c>
      <c r="P347" s="343" t="s">
        <v>533</v>
      </c>
      <c r="Q347" s="342" t="s">
        <v>2688</v>
      </c>
      <c r="R347" s="344">
        <v>25</v>
      </c>
      <c r="S347" s="345">
        <v>40</v>
      </c>
      <c r="T347" s="362">
        <v>25</v>
      </c>
      <c r="U347" s="361">
        <v>94.53</v>
      </c>
      <c r="V347" s="346">
        <v>129.21170807070308</v>
      </c>
      <c r="W347" s="348">
        <v>127.77739906481116</v>
      </c>
      <c r="X347" s="347">
        <v>64.78</v>
      </c>
      <c r="Y347" s="357">
        <v>67.210000000000008</v>
      </c>
      <c r="Z347" s="365" t="s">
        <v>2689</v>
      </c>
      <c r="AA347" s="350">
        <v>100</v>
      </c>
      <c r="AB347" s="349" t="s">
        <v>2685</v>
      </c>
      <c r="AC347" s="350">
        <v>0</v>
      </c>
      <c r="AD347" s="349" t="s">
        <v>2685</v>
      </c>
      <c r="AE347" s="364">
        <v>0</v>
      </c>
      <c r="AF347" s="366">
        <v>0</v>
      </c>
      <c r="AG347" s="363">
        <v>0</v>
      </c>
      <c r="AH347" s="635" t="s">
        <v>408</v>
      </c>
      <c r="AI347" s="324"/>
      <c r="AL347" s="487" t="s">
        <v>14515</v>
      </c>
      <c r="AM347" s="477" t="s">
        <v>70</v>
      </c>
      <c r="AN347" s="637">
        <v>100</v>
      </c>
      <c r="AO347" s="478">
        <v>-924</v>
      </c>
      <c r="AP347" s="463">
        <v>-924</v>
      </c>
      <c r="AQ347" s="479">
        <v>0</v>
      </c>
      <c r="AR347" s="476" t="s">
        <v>14516</v>
      </c>
      <c r="BA347" s="313" t="s">
        <v>3313</v>
      </c>
    </row>
    <row r="348" spans="2:53" ht="16.5" customHeight="1">
      <c r="B348" s="367" t="s">
        <v>8739</v>
      </c>
      <c r="C348" s="351" t="s">
        <v>8740</v>
      </c>
      <c r="D348" s="353">
        <v>-925</v>
      </c>
      <c r="E348" s="352" t="s">
        <v>408</v>
      </c>
      <c r="F348" s="341">
        <v>94.5</v>
      </c>
      <c r="G348" s="355" t="s">
        <v>3450</v>
      </c>
      <c r="H348" s="356" t="s">
        <v>8731</v>
      </c>
      <c r="I348" s="354" t="s">
        <v>80</v>
      </c>
      <c r="J348" s="340" t="s">
        <v>555</v>
      </c>
      <c r="K348" s="339" t="s">
        <v>70</v>
      </c>
      <c r="L348" s="357">
        <v>20</v>
      </c>
      <c r="M348" s="358" t="s">
        <v>8800</v>
      </c>
      <c r="N348" s="359">
        <v>1000</v>
      </c>
      <c r="O348" s="360" t="s">
        <v>532</v>
      </c>
      <c r="P348" s="343" t="s">
        <v>533</v>
      </c>
      <c r="Q348" s="342" t="s">
        <v>2688</v>
      </c>
      <c r="R348" s="344">
        <v>25</v>
      </c>
      <c r="S348" s="345">
        <v>40</v>
      </c>
      <c r="T348" s="362">
        <v>25</v>
      </c>
      <c r="U348" s="361">
        <v>94.5</v>
      </c>
      <c r="V348" s="346">
        <v>129.17912860608692</v>
      </c>
      <c r="W348" s="348">
        <v>127.74753455557968</v>
      </c>
      <c r="X348" s="347">
        <v>64.760000000000005</v>
      </c>
      <c r="Y348" s="357">
        <v>67.19</v>
      </c>
      <c r="Z348" s="365" t="s">
        <v>2689</v>
      </c>
      <c r="AA348" s="350">
        <v>100</v>
      </c>
      <c r="AB348" s="349" t="s">
        <v>2685</v>
      </c>
      <c r="AC348" s="350">
        <v>0</v>
      </c>
      <c r="AD348" s="349" t="s">
        <v>2685</v>
      </c>
      <c r="AE348" s="364">
        <v>0</v>
      </c>
      <c r="AF348" s="366">
        <v>0</v>
      </c>
      <c r="AG348" s="363">
        <v>0</v>
      </c>
      <c r="AH348" s="635" t="s">
        <v>408</v>
      </c>
      <c r="AI348" s="324"/>
      <c r="AL348" s="487" t="s">
        <v>14517</v>
      </c>
      <c r="AM348" s="477" t="s">
        <v>70</v>
      </c>
      <c r="AN348" s="637">
        <v>100</v>
      </c>
      <c r="AO348" s="478">
        <v>-925</v>
      </c>
      <c r="AP348" s="463">
        <v>-925</v>
      </c>
      <c r="AQ348" s="479">
        <v>0</v>
      </c>
      <c r="AR348" s="476" t="s">
        <v>14516</v>
      </c>
      <c r="BA348" s="313" t="s">
        <v>3316</v>
      </c>
    </row>
    <row r="349" spans="2:53" ht="16.5" customHeight="1">
      <c r="B349" s="367" t="s">
        <v>8801</v>
      </c>
      <c r="C349" s="351" t="s">
        <v>8802</v>
      </c>
      <c r="D349" s="353">
        <v>-926</v>
      </c>
      <c r="E349" s="352" t="s">
        <v>8803</v>
      </c>
      <c r="F349" s="341">
        <v>94.46</v>
      </c>
      <c r="G349" s="355" t="s">
        <v>3418</v>
      </c>
      <c r="H349" s="356" t="s">
        <v>18475</v>
      </c>
      <c r="I349" s="354" t="s">
        <v>75</v>
      </c>
      <c r="J349" s="340" t="s">
        <v>8804</v>
      </c>
      <c r="K349" s="339" t="s">
        <v>71</v>
      </c>
      <c r="L349" s="357">
        <v>11</v>
      </c>
      <c r="M349" s="358" t="s">
        <v>8805</v>
      </c>
      <c r="N349" s="359">
        <v>1000</v>
      </c>
      <c r="O349" s="360" t="s">
        <v>530</v>
      </c>
      <c r="P349" s="343" t="s">
        <v>531</v>
      </c>
      <c r="Q349" s="342" t="s">
        <v>2688</v>
      </c>
      <c r="R349" s="344">
        <v>36</v>
      </c>
      <c r="S349" s="345">
        <v>36</v>
      </c>
      <c r="T349" s="362">
        <v>29</v>
      </c>
      <c r="U349" s="361">
        <v>94.46</v>
      </c>
      <c r="V349" s="346">
        <v>129.14341865144354</v>
      </c>
      <c r="W349" s="348">
        <v>127.71480043048989</v>
      </c>
      <c r="X349" s="347">
        <v>65.2</v>
      </c>
      <c r="Y349" s="357">
        <v>65.760000000000005</v>
      </c>
      <c r="Z349" s="365" t="s">
        <v>2689</v>
      </c>
      <c r="AA349" s="350">
        <v>0</v>
      </c>
      <c r="AB349" s="349" t="s">
        <v>2685</v>
      </c>
      <c r="AC349" s="350">
        <v>10</v>
      </c>
      <c r="AD349" s="349" t="s">
        <v>2685</v>
      </c>
      <c r="AE349" s="364">
        <v>0</v>
      </c>
      <c r="AF349" s="366">
        <v>0</v>
      </c>
      <c r="AG349" s="363">
        <v>0</v>
      </c>
      <c r="AH349" s="635" t="s">
        <v>408</v>
      </c>
      <c r="AI349" s="324"/>
      <c r="AL349" s="487" t="s">
        <v>14518</v>
      </c>
      <c r="AM349" s="477" t="s">
        <v>71</v>
      </c>
      <c r="AN349" s="637">
        <v>100</v>
      </c>
      <c r="AO349" s="478">
        <v>-926</v>
      </c>
      <c r="AP349" s="463">
        <v>-670</v>
      </c>
      <c r="AQ349" s="479">
        <v>-256</v>
      </c>
      <c r="AR349" s="476" t="s">
        <v>14548</v>
      </c>
      <c r="BA349" s="313" t="s">
        <v>3317</v>
      </c>
    </row>
    <row r="350" spans="2:53" ht="16.5" customHeight="1">
      <c r="B350" s="367" t="s">
        <v>8806</v>
      </c>
      <c r="C350" s="351" t="s">
        <v>8807</v>
      </c>
      <c r="D350" s="353">
        <v>-927</v>
      </c>
      <c r="E350" s="352" t="s">
        <v>8808</v>
      </c>
      <c r="F350" s="341">
        <v>94.45</v>
      </c>
      <c r="G350" s="355" t="s">
        <v>8728</v>
      </c>
      <c r="H350" s="356" t="s">
        <v>18475</v>
      </c>
      <c r="I350" s="354" t="s">
        <v>75</v>
      </c>
      <c r="J350" s="340" t="s">
        <v>8232</v>
      </c>
      <c r="K350" s="339" t="s">
        <v>71</v>
      </c>
      <c r="L350" s="357">
        <v>8</v>
      </c>
      <c r="M350" s="358" t="s">
        <v>8809</v>
      </c>
      <c r="N350" s="359">
        <v>1000</v>
      </c>
      <c r="O350" s="360" t="s">
        <v>530</v>
      </c>
      <c r="P350" s="343" t="s">
        <v>531</v>
      </c>
      <c r="Q350" s="342" t="s">
        <v>2688</v>
      </c>
      <c r="R350" s="344">
        <v>36</v>
      </c>
      <c r="S350" s="345">
        <v>36</v>
      </c>
      <c r="T350" s="362">
        <v>29</v>
      </c>
      <c r="U350" s="361">
        <v>94.45</v>
      </c>
      <c r="V350" s="346">
        <v>129.13359225118151</v>
      </c>
      <c r="W350" s="348">
        <v>127.70579289691636</v>
      </c>
      <c r="X350" s="347">
        <v>65.2</v>
      </c>
      <c r="Y350" s="357">
        <v>65.75</v>
      </c>
      <c r="Z350" s="365" t="s">
        <v>2689</v>
      </c>
      <c r="AA350" s="350">
        <v>0</v>
      </c>
      <c r="AB350" s="349" t="s">
        <v>2685</v>
      </c>
      <c r="AC350" s="350">
        <v>10</v>
      </c>
      <c r="AD350" s="349" t="s">
        <v>2685</v>
      </c>
      <c r="AE350" s="364">
        <v>0</v>
      </c>
      <c r="AF350" s="366">
        <v>0</v>
      </c>
      <c r="AG350" s="363">
        <v>0</v>
      </c>
      <c r="AH350" s="635" t="s">
        <v>408</v>
      </c>
      <c r="AI350" s="324"/>
      <c r="AL350" s="487" t="s">
        <v>14519</v>
      </c>
      <c r="AM350" s="477" t="s">
        <v>71</v>
      </c>
      <c r="AN350" s="637">
        <v>100</v>
      </c>
      <c r="AO350" s="478">
        <v>-927</v>
      </c>
      <c r="AP350" s="463">
        <v>-671</v>
      </c>
      <c r="AQ350" s="479">
        <v>-256</v>
      </c>
      <c r="AR350" s="476" t="s">
        <v>14548</v>
      </c>
      <c r="BA350" s="313" t="s">
        <v>3321</v>
      </c>
    </row>
    <row r="351" spans="2:53" ht="16.5" customHeight="1">
      <c r="B351" s="367" t="s">
        <v>8806</v>
      </c>
      <c r="C351" s="351" t="s">
        <v>8807</v>
      </c>
      <c r="D351" s="353">
        <v>-928</v>
      </c>
      <c r="E351" s="352" t="s">
        <v>8808</v>
      </c>
      <c r="F351" s="341">
        <v>94.45</v>
      </c>
      <c r="G351" s="355" t="s">
        <v>8728</v>
      </c>
      <c r="H351" s="356" t="s">
        <v>18475</v>
      </c>
      <c r="I351" s="354" t="s">
        <v>75</v>
      </c>
      <c r="J351" s="340" t="s">
        <v>542</v>
      </c>
      <c r="K351" s="339" t="s">
        <v>71</v>
      </c>
      <c r="L351" s="357">
        <v>9</v>
      </c>
      <c r="M351" s="358" t="s">
        <v>8809</v>
      </c>
      <c r="N351" s="359">
        <v>1000</v>
      </c>
      <c r="O351" s="360" t="s">
        <v>530</v>
      </c>
      <c r="P351" s="343" t="s">
        <v>531</v>
      </c>
      <c r="Q351" s="342" t="s">
        <v>2688</v>
      </c>
      <c r="R351" s="344">
        <v>36</v>
      </c>
      <c r="S351" s="345">
        <v>36</v>
      </c>
      <c r="T351" s="362">
        <v>29</v>
      </c>
      <c r="U351" s="361">
        <v>94.45</v>
      </c>
      <c r="V351" s="346">
        <v>129.13359225118151</v>
      </c>
      <c r="W351" s="348">
        <v>127.70579289691636</v>
      </c>
      <c r="X351" s="347">
        <v>65.2</v>
      </c>
      <c r="Y351" s="357">
        <v>65.75</v>
      </c>
      <c r="Z351" s="365" t="s">
        <v>2689</v>
      </c>
      <c r="AA351" s="350">
        <v>0</v>
      </c>
      <c r="AB351" s="349" t="s">
        <v>2685</v>
      </c>
      <c r="AC351" s="350">
        <v>10</v>
      </c>
      <c r="AD351" s="349" t="s">
        <v>2685</v>
      </c>
      <c r="AE351" s="364">
        <v>0</v>
      </c>
      <c r="AF351" s="366">
        <v>0</v>
      </c>
      <c r="AG351" s="363">
        <v>0</v>
      </c>
      <c r="AH351" s="635" t="s">
        <v>408</v>
      </c>
      <c r="AI351" s="324"/>
      <c r="AL351" s="487" t="s">
        <v>14520</v>
      </c>
      <c r="AM351" s="477" t="s">
        <v>71</v>
      </c>
      <c r="AN351" s="637">
        <v>100</v>
      </c>
      <c r="AO351" s="478">
        <v>-928</v>
      </c>
      <c r="AP351" s="463">
        <v>-671</v>
      </c>
      <c r="AQ351" s="479">
        <v>-257</v>
      </c>
      <c r="AR351" s="476" t="s">
        <v>14548</v>
      </c>
      <c r="BA351" s="313" t="s">
        <v>3325</v>
      </c>
    </row>
    <row r="352" spans="2:53" ht="16.5" customHeight="1">
      <c r="B352" s="367" t="s">
        <v>8806</v>
      </c>
      <c r="C352" s="351" t="s">
        <v>8807</v>
      </c>
      <c r="D352" s="353">
        <v>-929</v>
      </c>
      <c r="E352" s="352" t="s">
        <v>8808</v>
      </c>
      <c r="F352" s="341">
        <v>94.45</v>
      </c>
      <c r="G352" s="355" t="s">
        <v>8728</v>
      </c>
      <c r="H352" s="356" t="s">
        <v>18475</v>
      </c>
      <c r="I352" s="354" t="s">
        <v>75</v>
      </c>
      <c r="J352" s="340" t="s">
        <v>8190</v>
      </c>
      <c r="K352" s="339" t="s">
        <v>71</v>
      </c>
      <c r="L352" s="357">
        <v>12</v>
      </c>
      <c r="M352" s="358" t="s">
        <v>8809</v>
      </c>
      <c r="N352" s="359">
        <v>1000</v>
      </c>
      <c r="O352" s="360" t="s">
        <v>530</v>
      </c>
      <c r="P352" s="343" t="s">
        <v>531</v>
      </c>
      <c r="Q352" s="342" t="s">
        <v>2688</v>
      </c>
      <c r="R352" s="344">
        <v>36</v>
      </c>
      <c r="S352" s="345">
        <v>36</v>
      </c>
      <c r="T352" s="362">
        <v>29</v>
      </c>
      <c r="U352" s="361">
        <v>94.45</v>
      </c>
      <c r="V352" s="346">
        <v>129.13359225118151</v>
      </c>
      <c r="W352" s="348">
        <v>127.70579289691636</v>
      </c>
      <c r="X352" s="347">
        <v>65.2</v>
      </c>
      <c r="Y352" s="357">
        <v>65.75</v>
      </c>
      <c r="Z352" s="365" t="s">
        <v>2689</v>
      </c>
      <c r="AA352" s="350">
        <v>0</v>
      </c>
      <c r="AB352" s="349" t="s">
        <v>2685</v>
      </c>
      <c r="AC352" s="350">
        <v>10</v>
      </c>
      <c r="AD352" s="349" t="s">
        <v>2685</v>
      </c>
      <c r="AE352" s="364">
        <v>0</v>
      </c>
      <c r="AF352" s="366">
        <v>0</v>
      </c>
      <c r="AG352" s="363">
        <v>0</v>
      </c>
      <c r="AH352" s="635" t="s">
        <v>408</v>
      </c>
      <c r="AI352" s="324"/>
      <c r="AL352" s="487" t="s">
        <v>14521</v>
      </c>
      <c r="AM352" s="477" t="s">
        <v>71</v>
      </c>
      <c r="AN352" s="637">
        <v>100</v>
      </c>
      <c r="AO352" s="478">
        <v>-929</v>
      </c>
      <c r="AP352" s="463">
        <v>-672</v>
      </c>
      <c r="AQ352" s="479">
        <v>-257</v>
      </c>
      <c r="AR352" s="476" t="s">
        <v>14548</v>
      </c>
      <c r="BA352" s="313" t="s">
        <v>3327</v>
      </c>
    </row>
    <row r="353" spans="2:53" ht="16.5" customHeight="1">
      <c r="B353" s="367" t="s">
        <v>8739</v>
      </c>
      <c r="C353" s="351" t="s">
        <v>8740</v>
      </c>
      <c r="D353" s="353">
        <v>-930</v>
      </c>
      <c r="E353" s="352" t="s">
        <v>8810</v>
      </c>
      <c r="F353" s="341">
        <v>94.44</v>
      </c>
      <c r="G353" s="355" t="s">
        <v>3438</v>
      </c>
      <c r="H353" s="356" t="s">
        <v>8389</v>
      </c>
      <c r="I353" s="354" t="s">
        <v>77</v>
      </c>
      <c r="J353" s="340" t="s">
        <v>8696</v>
      </c>
      <c r="K353" s="339" t="s">
        <v>71</v>
      </c>
      <c r="L353" s="357">
        <v>91</v>
      </c>
      <c r="M353" s="358" t="s">
        <v>8811</v>
      </c>
      <c r="N353" s="359">
        <v>1000</v>
      </c>
      <c r="O353" s="360" t="s">
        <v>530</v>
      </c>
      <c r="P353" s="343" t="s">
        <v>531</v>
      </c>
      <c r="Q353" s="342" t="s">
        <v>2688</v>
      </c>
      <c r="R353" s="344">
        <v>35</v>
      </c>
      <c r="S353" s="345">
        <v>25</v>
      </c>
      <c r="T353" s="362">
        <v>30</v>
      </c>
      <c r="U353" s="361">
        <v>94.44</v>
      </c>
      <c r="V353" s="346">
        <v>129.1269095717999</v>
      </c>
      <c r="W353" s="348">
        <v>127.69966710748324</v>
      </c>
      <c r="X353" s="347">
        <v>65.19</v>
      </c>
      <c r="Y353" s="357">
        <v>65.900000000000006</v>
      </c>
      <c r="Z353" s="365" t="s">
        <v>2689</v>
      </c>
      <c r="AA353" s="350">
        <v>63.5</v>
      </c>
      <c r="AB353" s="349" t="s">
        <v>2685</v>
      </c>
      <c r="AC353" s="350">
        <v>0</v>
      </c>
      <c r="AD353" s="349" t="s">
        <v>2685</v>
      </c>
      <c r="AE353" s="364">
        <v>0</v>
      </c>
      <c r="AF353" s="366">
        <v>0</v>
      </c>
      <c r="AG353" s="363">
        <v>0</v>
      </c>
      <c r="AH353" s="635" t="s">
        <v>408</v>
      </c>
      <c r="AI353" s="324"/>
      <c r="AL353" s="487" t="s">
        <v>14522</v>
      </c>
      <c r="AM353" s="477" t="s">
        <v>71</v>
      </c>
      <c r="AN353" s="637">
        <v>100</v>
      </c>
      <c r="AO353" s="478">
        <v>-930</v>
      </c>
      <c r="AP353" s="463">
        <v>-673</v>
      </c>
      <c r="AQ353" s="479">
        <v>-257</v>
      </c>
      <c r="AR353" s="476" t="s">
        <v>14548</v>
      </c>
      <c r="BA353" s="313" t="s">
        <v>3329</v>
      </c>
    </row>
    <row r="354" spans="2:53" ht="16.5" customHeight="1">
      <c r="B354" s="367" t="s">
        <v>8739</v>
      </c>
      <c r="C354" s="351" t="s">
        <v>8740</v>
      </c>
      <c r="D354" s="353">
        <v>-931</v>
      </c>
      <c r="E354" s="352" t="s">
        <v>408</v>
      </c>
      <c r="F354" s="341">
        <v>94.42</v>
      </c>
      <c r="G354" s="355" t="s">
        <v>8812</v>
      </c>
      <c r="H354" s="356" t="s">
        <v>8404</v>
      </c>
      <c r="I354" s="354" t="s">
        <v>73</v>
      </c>
      <c r="J354" s="340" t="s">
        <v>8813</v>
      </c>
      <c r="K354" s="339" t="s">
        <v>70</v>
      </c>
      <c r="L354" s="357">
        <v>10</v>
      </c>
      <c r="M354" s="358" t="s">
        <v>8814</v>
      </c>
      <c r="N354" s="359">
        <v>1000</v>
      </c>
      <c r="O354" s="360" t="s">
        <v>530</v>
      </c>
      <c r="P354" s="343" t="s">
        <v>531</v>
      </c>
      <c r="Q354" s="342" t="s">
        <v>2688</v>
      </c>
      <c r="R354" s="344">
        <v>22</v>
      </c>
      <c r="S354" s="345">
        <v>33</v>
      </c>
      <c r="T354" s="362">
        <v>33</v>
      </c>
      <c r="U354" s="361">
        <v>94.42</v>
      </c>
      <c r="V354" s="346">
        <v>129.1056705782635</v>
      </c>
      <c r="W354" s="348">
        <v>127.68019803007486</v>
      </c>
      <c r="X354" s="347">
        <v>64.72</v>
      </c>
      <c r="Y354" s="357">
        <v>65.75</v>
      </c>
      <c r="Z354" s="365" t="s">
        <v>2689</v>
      </c>
      <c r="AA354" s="350">
        <v>111.11</v>
      </c>
      <c r="AB354" s="349" t="s">
        <v>2685</v>
      </c>
      <c r="AC354" s="350">
        <v>0</v>
      </c>
      <c r="AD354" s="349" t="s">
        <v>2685</v>
      </c>
      <c r="AE354" s="364">
        <v>0</v>
      </c>
      <c r="AF354" s="366">
        <v>6.5750000000000002</v>
      </c>
      <c r="AG354" s="363">
        <v>0</v>
      </c>
      <c r="AH354" s="635" t="s">
        <v>7791</v>
      </c>
      <c r="AI354" s="324"/>
      <c r="AL354" s="487" t="s">
        <v>14523</v>
      </c>
      <c r="AM354" s="477" t="s">
        <v>70</v>
      </c>
      <c r="AN354" s="637">
        <v>100</v>
      </c>
      <c r="AO354" s="478">
        <v>-931</v>
      </c>
      <c r="AP354" s="463">
        <v>-931</v>
      </c>
      <c r="AQ354" s="479">
        <v>0</v>
      </c>
      <c r="AR354" s="476" t="s">
        <v>14524</v>
      </c>
      <c r="BA354" s="313" t="s">
        <v>3330</v>
      </c>
    </row>
    <row r="355" spans="2:53" ht="16.5" customHeight="1">
      <c r="B355" s="367" t="s">
        <v>8739</v>
      </c>
      <c r="C355" s="351" t="s">
        <v>8740</v>
      </c>
      <c r="D355" s="353">
        <v>-932</v>
      </c>
      <c r="E355" s="352" t="s">
        <v>408</v>
      </c>
      <c r="F355" s="341">
        <v>94.4</v>
      </c>
      <c r="G355" s="355" t="s">
        <v>3462</v>
      </c>
      <c r="H355" s="356" t="s">
        <v>8404</v>
      </c>
      <c r="I355" s="354" t="s">
        <v>302</v>
      </c>
      <c r="J355" s="340" t="s">
        <v>8815</v>
      </c>
      <c r="K355" s="339" t="s">
        <v>70</v>
      </c>
      <c r="L355" s="357">
        <v>35</v>
      </c>
      <c r="M355" s="358" t="s">
        <v>8816</v>
      </c>
      <c r="N355" s="359">
        <v>600</v>
      </c>
      <c r="O355" s="360" t="s">
        <v>530</v>
      </c>
      <c r="P355" s="343" t="s">
        <v>531</v>
      </c>
      <c r="Q355" s="342" t="s">
        <v>2688</v>
      </c>
      <c r="R355" s="344">
        <v>37</v>
      </c>
      <c r="S355" s="345">
        <v>43</v>
      </c>
      <c r="T355" s="362">
        <v>20</v>
      </c>
      <c r="U355" s="361">
        <v>94.4</v>
      </c>
      <c r="V355" s="346">
        <v>129.09141767323587</v>
      </c>
      <c r="W355" s="348">
        <v>127.66713286713285</v>
      </c>
      <c r="X355" s="347">
        <v>64.72</v>
      </c>
      <c r="Y355" s="357">
        <v>68.31</v>
      </c>
      <c r="Z355" s="365" t="s">
        <v>2689</v>
      </c>
      <c r="AA355" s="350">
        <v>100</v>
      </c>
      <c r="AB355" s="349" t="s">
        <v>2685</v>
      </c>
      <c r="AC355" s="350">
        <v>10</v>
      </c>
      <c r="AD355" s="349" t="s">
        <v>2685</v>
      </c>
      <c r="AE355" s="364">
        <v>0</v>
      </c>
      <c r="AF355" s="366">
        <v>0.3</v>
      </c>
      <c r="AG355" s="363">
        <v>0</v>
      </c>
      <c r="AH355" s="635" t="s">
        <v>8021</v>
      </c>
      <c r="AI355" s="324"/>
      <c r="AL355" s="487" t="s">
        <v>14525</v>
      </c>
      <c r="AM355" s="477" t="s">
        <v>70</v>
      </c>
      <c r="AN355" s="637">
        <v>100</v>
      </c>
      <c r="AO355" s="478">
        <v>-932</v>
      </c>
      <c r="AP355" s="463">
        <v>-932</v>
      </c>
      <c r="AQ355" s="479">
        <v>0</v>
      </c>
      <c r="AR355" s="476" t="s">
        <v>14524</v>
      </c>
      <c r="BA355" s="313" t="s">
        <v>3331</v>
      </c>
    </row>
    <row r="356" spans="2:53" ht="16.5" customHeight="1">
      <c r="B356" s="367" t="s">
        <v>8817</v>
      </c>
      <c r="C356" s="351" t="s">
        <v>8818</v>
      </c>
      <c r="D356" s="353">
        <v>-933</v>
      </c>
      <c r="E356" s="352" t="s">
        <v>8819</v>
      </c>
      <c r="F356" s="341">
        <v>94.38</v>
      </c>
      <c r="G356" s="355" t="s">
        <v>8741</v>
      </c>
      <c r="H356" s="356" t="s">
        <v>18476</v>
      </c>
      <c r="I356" s="354" t="s">
        <v>75</v>
      </c>
      <c r="J356" s="340" t="s">
        <v>8820</v>
      </c>
      <c r="K356" s="339" t="s">
        <v>71</v>
      </c>
      <c r="L356" s="357">
        <v>7</v>
      </c>
      <c r="M356" s="358" t="s">
        <v>8821</v>
      </c>
      <c r="N356" s="359">
        <v>1000</v>
      </c>
      <c r="O356" s="360" t="s">
        <v>530</v>
      </c>
      <c r="P356" s="343" t="s">
        <v>531</v>
      </c>
      <c r="Q356" s="342" t="s">
        <v>2688</v>
      </c>
      <c r="R356" s="344">
        <v>36</v>
      </c>
      <c r="S356" s="345">
        <v>36</v>
      </c>
      <c r="T356" s="362">
        <v>29</v>
      </c>
      <c r="U356" s="361">
        <v>94.38</v>
      </c>
      <c r="V356" s="346">
        <v>129.07463384960928</v>
      </c>
      <c r="W356" s="348">
        <v>127.65174769547517</v>
      </c>
      <c r="X356" s="347">
        <v>65.16</v>
      </c>
      <c r="Y356" s="357">
        <v>65.72</v>
      </c>
      <c r="Z356" s="365" t="s">
        <v>2689</v>
      </c>
      <c r="AA356" s="350">
        <v>0</v>
      </c>
      <c r="AB356" s="349" t="s">
        <v>2685</v>
      </c>
      <c r="AC356" s="350">
        <v>10</v>
      </c>
      <c r="AD356" s="349" t="s">
        <v>2685</v>
      </c>
      <c r="AE356" s="364">
        <v>0</v>
      </c>
      <c r="AF356" s="366">
        <v>0</v>
      </c>
      <c r="AG356" s="363">
        <v>0</v>
      </c>
      <c r="AH356" s="635" t="s">
        <v>408</v>
      </c>
      <c r="AI356" s="324"/>
      <c r="AL356" s="487" t="s">
        <v>14526</v>
      </c>
      <c r="AM356" s="477" t="s">
        <v>71</v>
      </c>
      <c r="AN356" s="637">
        <v>100</v>
      </c>
      <c r="AO356" s="478">
        <v>-933</v>
      </c>
      <c r="AP356" s="463">
        <v>-671</v>
      </c>
      <c r="AQ356" s="479">
        <v>-262</v>
      </c>
      <c r="AR356" s="476" t="s">
        <v>16859</v>
      </c>
      <c r="BA356" s="313" t="s">
        <v>3332</v>
      </c>
    </row>
    <row r="357" spans="2:53" ht="16.5" customHeight="1">
      <c r="B357" s="367" t="s">
        <v>3286</v>
      </c>
      <c r="C357" s="351" t="s">
        <v>3287</v>
      </c>
      <c r="D357" s="353">
        <v>-934</v>
      </c>
      <c r="E357" s="352" t="s">
        <v>8822</v>
      </c>
      <c r="F357" s="341">
        <v>94.38</v>
      </c>
      <c r="G357" s="355" t="s">
        <v>8741</v>
      </c>
      <c r="H357" s="356" t="s">
        <v>18476</v>
      </c>
      <c r="I357" s="354" t="s">
        <v>73</v>
      </c>
      <c r="J357" s="340" t="s">
        <v>8753</v>
      </c>
      <c r="K357" s="339" t="s">
        <v>71</v>
      </c>
      <c r="L357" s="357">
        <v>17</v>
      </c>
      <c r="M357" s="358" t="s">
        <v>8823</v>
      </c>
      <c r="N357" s="359">
        <v>1000</v>
      </c>
      <c r="O357" s="360" t="s">
        <v>530</v>
      </c>
      <c r="P357" s="343" t="s">
        <v>531</v>
      </c>
      <c r="Q357" s="342" t="s">
        <v>2688</v>
      </c>
      <c r="R357" s="344">
        <v>38</v>
      </c>
      <c r="S357" s="345">
        <v>25</v>
      </c>
      <c r="T357" s="362">
        <v>25</v>
      </c>
      <c r="U357" s="361">
        <v>94.38</v>
      </c>
      <c r="V357" s="346">
        <v>129.07583014372145</v>
      </c>
      <c r="W357" s="348">
        <v>127.65284429841131</v>
      </c>
      <c r="X357" s="347">
        <v>65.16</v>
      </c>
      <c r="Y357" s="357">
        <v>65.73</v>
      </c>
      <c r="Z357" s="365" t="s">
        <v>2689</v>
      </c>
      <c r="AA357" s="350">
        <v>125</v>
      </c>
      <c r="AB357" s="349" t="s">
        <v>2685</v>
      </c>
      <c r="AC357" s="350">
        <v>0</v>
      </c>
      <c r="AD357" s="349" t="s">
        <v>2685</v>
      </c>
      <c r="AE357" s="364">
        <v>0</v>
      </c>
      <c r="AF357" s="366">
        <v>4.93</v>
      </c>
      <c r="AG357" s="363">
        <v>0</v>
      </c>
      <c r="AH357" s="635" t="s">
        <v>8698</v>
      </c>
      <c r="AI357" s="324"/>
      <c r="AL357" s="487" t="s">
        <v>14528</v>
      </c>
      <c r="AM357" s="477" t="s">
        <v>71</v>
      </c>
      <c r="AN357" s="637">
        <v>100</v>
      </c>
      <c r="AO357" s="478">
        <v>-934</v>
      </c>
      <c r="AP357" s="463">
        <v>-672</v>
      </c>
      <c r="AQ357" s="479">
        <v>-262</v>
      </c>
      <c r="AR357" s="476" t="s">
        <v>16859</v>
      </c>
      <c r="BA357" s="313" t="s">
        <v>3334</v>
      </c>
    </row>
    <row r="358" spans="2:53" ht="16.5" customHeight="1">
      <c r="B358" s="367" t="s">
        <v>8824</v>
      </c>
      <c r="C358" s="351" t="s">
        <v>8825</v>
      </c>
      <c r="D358" s="353">
        <v>-935</v>
      </c>
      <c r="E358" s="352" t="s">
        <v>8826</v>
      </c>
      <c r="F358" s="341">
        <v>94.35</v>
      </c>
      <c r="G358" s="355" t="s">
        <v>9038</v>
      </c>
      <c r="H358" s="356" t="s">
        <v>3306</v>
      </c>
      <c r="I358" s="354" t="s">
        <v>75</v>
      </c>
      <c r="J358" s="340" t="s">
        <v>8827</v>
      </c>
      <c r="K358" s="339" t="s">
        <v>71</v>
      </c>
      <c r="L358" s="357">
        <v>12</v>
      </c>
      <c r="M358" s="358" t="s">
        <v>8828</v>
      </c>
      <c r="N358" s="359">
        <v>1000</v>
      </c>
      <c r="O358" s="360" t="s">
        <v>530</v>
      </c>
      <c r="P358" s="343" t="s">
        <v>531</v>
      </c>
      <c r="Q358" s="342" t="s">
        <v>2688</v>
      </c>
      <c r="R358" s="344">
        <v>36</v>
      </c>
      <c r="S358" s="345">
        <v>36</v>
      </c>
      <c r="T358" s="362">
        <v>29</v>
      </c>
      <c r="U358" s="361">
        <v>94.35</v>
      </c>
      <c r="V358" s="346">
        <v>129.04318936877075</v>
      </c>
      <c r="W358" s="348">
        <v>127.62292358803985</v>
      </c>
      <c r="X358" s="347">
        <v>65.14</v>
      </c>
      <c r="Y358" s="357">
        <v>65.7</v>
      </c>
      <c r="Z358" s="365" t="s">
        <v>2689</v>
      </c>
      <c r="AA358" s="350">
        <v>0</v>
      </c>
      <c r="AB358" s="349" t="s">
        <v>2685</v>
      </c>
      <c r="AC358" s="350">
        <v>10</v>
      </c>
      <c r="AD358" s="349" t="s">
        <v>2685</v>
      </c>
      <c r="AE358" s="364">
        <v>0</v>
      </c>
      <c r="AF358" s="366">
        <v>0</v>
      </c>
      <c r="AG358" s="363">
        <v>0</v>
      </c>
      <c r="AH358" s="635" t="s">
        <v>408</v>
      </c>
      <c r="AI358" s="324"/>
      <c r="AL358" s="487" t="s">
        <v>14529</v>
      </c>
      <c r="AM358" s="477" t="s">
        <v>71</v>
      </c>
      <c r="AN358" s="637">
        <v>100</v>
      </c>
      <c r="AO358" s="478">
        <v>-935</v>
      </c>
      <c r="AP358" s="463">
        <v>-670</v>
      </c>
      <c r="AQ358" s="479">
        <v>-265</v>
      </c>
      <c r="AR358" s="476" t="s">
        <v>16860</v>
      </c>
      <c r="BA358" s="313" t="s">
        <v>3335</v>
      </c>
    </row>
    <row r="359" spans="2:53" ht="16.5" customHeight="1">
      <c r="B359" s="367" t="s">
        <v>8829</v>
      </c>
      <c r="C359" s="351" t="s">
        <v>8830</v>
      </c>
      <c r="D359" s="353">
        <v>-936</v>
      </c>
      <c r="E359" s="352" t="s">
        <v>3468</v>
      </c>
      <c r="F359" s="341">
        <v>94.33</v>
      </c>
      <c r="G359" s="355" t="s">
        <v>18477</v>
      </c>
      <c r="H359" s="356" t="s">
        <v>18478</v>
      </c>
      <c r="I359" s="354" t="s">
        <v>73</v>
      </c>
      <c r="J359" s="340" t="s">
        <v>561</v>
      </c>
      <c r="K359" s="339" t="s">
        <v>71</v>
      </c>
      <c r="L359" s="357">
        <v>17</v>
      </c>
      <c r="M359" s="358" t="s">
        <v>8831</v>
      </c>
      <c r="N359" s="359">
        <v>1000</v>
      </c>
      <c r="O359" s="360" t="s">
        <v>530</v>
      </c>
      <c r="P359" s="343" t="s">
        <v>531</v>
      </c>
      <c r="Q359" s="342" t="s">
        <v>2688</v>
      </c>
      <c r="R359" s="344">
        <v>38</v>
      </c>
      <c r="S359" s="345">
        <v>25</v>
      </c>
      <c r="T359" s="362">
        <v>25</v>
      </c>
      <c r="U359" s="361">
        <v>94.33</v>
      </c>
      <c r="V359" s="346">
        <v>129.0272903010613</v>
      </c>
      <c r="W359" s="348">
        <v>127.60834944263951</v>
      </c>
      <c r="X359" s="347">
        <v>65.13</v>
      </c>
      <c r="Y359" s="357">
        <v>65.7</v>
      </c>
      <c r="Z359" s="365" t="s">
        <v>2689</v>
      </c>
      <c r="AA359" s="350">
        <v>125</v>
      </c>
      <c r="AB359" s="349" t="s">
        <v>2685</v>
      </c>
      <c r="AC359" s="350">
        <v>0</v>
      </c>
      <c r="AD359" s="349" t="s">
        <v>2685</v>
      </c>
      <c r="AE359" s="364">
        <v>0</v>
      </c>
      <c r="AF359" s="366">
        <v>4.9279999999999999</v>
      </c>
      <c r="AG359" s="363">
        <v>0</v>
      </c>
      <c r="AH359" s="635" t="s">
        <v>8698</v>
      </c>
      <c r="AI359" s="324"/>
      <c r="AL359" s="487" t="s">
        <v>14530</v>
      </c>
      <c r="AM359" s="477" t="s">
        <v>71</v>
      </c>
      <c r="AN359" s="637">
        <v>100</v>
      </c>
      <c r="AO359" s="478">
        <v>-936</v>
      </c>
      <c r="AP359" s="463">
        <v>-671</v>
      </c>
      <c r="AQ359" s="479">
        <v>-265</v>
      </c>
      <c r="AR359" s="476" t="s">
        <v>16861</v>
      </c>
      <c r="BA359" s="313" t="s">
        <v>3336</v>
      </c>
    </row>
    <row r="360" spans="2:53" ht="16.5" customHeight="1">
      <c r="B360" s="367" t="s">
        <v>8832</v>
      </c>
      <c r="C360" s="351" t="s">
        <v>8833</v>
      </c>
      <c r="D360" s="353">
        <v>-937</v>
      </c>
      <c r="E360" s="352" t="s">
        <v>408</v>
      </c>
      <c r="F360" s="341">
        <v>94.3</v>
      </c>
      <c r="G360" s="355" t="s">
        <v>8834</v>
      </c>
      <c r="H360" s="356" t="s">
        <v>8431</v>
      </c>
      <c r="I360" s="354" t="s">
        <v>302</v>
      </c>
      <c r="J360" s="340" t="s">
        <v>8835</v>
      </c>
      <c r="K360" s="339" t="s">
        <v>70</v>
      </c>
      <c r="L360" s="357">
        <v>36</v>
      </c>
      <c r="M360" s="358" t="s">
        <v>8836</v>
      </c>
      <c r="N360" s="359">
        <v>600</v>
      </c>
      <c r="O360" s="360" t="s">
        <v>530</v>
      </c>
      <c r="P360" s="343" t="s">
        <v>531</v>
      </c>
      <c r="Q360" s="342" t="s">
        <v>2688</v>
      </c>
      <c r="R360" s="344">
        <v>37</v>
      </c>
      <c r="S360" s="345">
        <v>43</v>
      </c>
      <c r="T360" s="362">
        <v>20</v>
      </c>
      <c r="U360" s="361">
        <v>94.3</v>
      </c>
      <c r="V360" s="346">
        <v>129.00154340510588</v>
      </c>
      <c r="W360" s="348">
        <v>127.58474812134705</v>
      </c>
      <c r="X360" s="347">
        <v>64.67</v>
      </c>
      <c r="Y360" s="357">
        <v>68.2</v>
      </c>
      <c r="Z360" s="365" t="s">
        <v>2689</v>
      </c>
      <c r="AA360" s="350">
        <v>100</v>
      </c>
      <c r="AB360" s="349" t="s">
        <v>2685</v>
      </c>
      <c r="AC360" s="350">
        <v>10</v>
      </c>
      <c r="AD360" s="349" t="s">
        <v>2685</v>
      </c>
      <c r="AE360" s="364">
        <v>0</v>
      </c>
      <c r="AF360" s="366">
        <v>0.3</v>
      </c>
      <c r="AG360" s="363">
        <v>0</v>
      </c>
      <c r="AH360" s="635" t="s">
        <v>8021</v>
      </c>
      <c r="AI360" s="324"/>
      <c r="AL360" s="487" t="s">
        <v>14531</v>
      </c>
      <c r="AM360" s="477" t="s">
        <v>70</v>
      </c>
      <c r="AN360" s="637">
        <v>100</v>
      </c>
      <c r="AO360" s="478">
        <v>-937</v>
      </c>
      <c r="AP360" s="463">
        <v>-937</v>
      </c>
      <c r="AQ360" s="479">
        <v>0</v>
      </c>
      <c r="AR360" s="476" t="s">
        <v>17161</v>
      </c>
      <c r="BA360" s="313" t="s">
        <v>3338</v>
      </c>
    </row>
    <row r="361" spans="2:53" ht="16.5" customHeight="1">
      <c r="B361" s="367" t="s">
        <v>8837</v>
      </c>
      <c r="C361" s="351" t="s">
        <v>8838</v>
      </c>
      <c r="D361" s="353">
        <v>-938</v>
      </c>
      <c r="E361" s="352" t="s">
        <v>8839</v>
      </c>
      <c r="F361" s="341">
        <v>94.3</v>
      </c>
      <c r="G361" s="355" t="s">
        <v>18479</v>
      </c>
      <c r="H361" s="356" t="s">
        <v>8420</v>
      </c>
      <c r="I361" s="354" t="s">
        <v>73</v>
      </c>
      <c r="J361" s="340" t="s">
        <v>8797</v>
      </c>
      <c r="K361" s="339" t="s">
        <v>71</v>
      </c>
      <c r="L361" s="357">
        <v>14</v>
      </c>
      <c r="M361" s="358" t="s">
        <v>8840</v>
      </c>
      <c r="N361" s="359">
        <v>1000</v>
      </c>
      <c r="O361" s="360" t="s">
        <v>530</v>
      </c>
      <c r="P361" s="343" t="s">
        <v>531</v>
      </c>
      <c r="Q361" s="342" t="s">
        <v>2688</v>
      </c>
      <c r="R361" s="344">
        <v>38</v>
      </c>
      <c r="S361" s="345">
        <v>25</v>
      </c>
      <c r="T361" s="362">
        <v>25</v>
      </c>
      <c r="U361" s="361">
        <v>94.3</v>
      </c>
      <c r="V361" s="346">
        <v>128.99801159870046</v>
      </c>
      <c r="W361" s="348">
        <v>127.58151063214208</v>
      </c>
      <c r="X361" s="347">
        <v>65.12</v>
      </c>
      <c r="Y361" s="357">
        <v>65.680000000000007</v>
      </c>
      <c r="Z361" s="365" t="s">
        <v>2689</v>
      </c>
      <c r="AA361" s="350">
        <v>125</v>
      </c>
      <c r="AB361" s="349" t="s">
        <v>2685</v>
      </c>
      <c r="AC361" s="350">
        <v>0</v>
      </c>
      <c r="AD361" s="349" t="s">
        <v>2685</v>
      </c>
      <c r="AE361" s="364">
        <v>0</v>
      </c>
      <c r="AF361" s="366">
        <v>4.9260000000000002</v>
      </c>
      <c r="AG361" s="363">
        <v>0</v>
      </c>
      <c r="AH361" s="635" t="s">
        <v>8698</v>
      </c>
      <c r="AI361" s="324"/>
      <c r="AL361" s="487" t="s">
        <v>14532</v>
      </c>
      <c r="AM361" s="477" t="s">
        <v>71</v>
      </c>
      <c r="AN361" s="637">
        <v>100</v>
      </c>
      <c r="AO361" s="478">
        <v>-938</v>
      </c>
      <c r="AP361" s="463">
        <v>-667</v>
      </c>
      <c r="AQ361" s="479">
        <v>-271</v>
      </c>
      <c r="AR361" s="476" t="s">
        <v>16862</v>
      </c>
      <c r="BA361" s="313" t="s">
        <v>3339</v>
      </c>
    </row>
    <row r="362" spans="2:53" ht="16.5" customHeight="1">
      <c r="B362" s="367" t="s">
        <v>8837</v>
      </c>
      <c r="C362" s="351" t="s">
        <v>8838</v>
      </c>
      <c r="D362" s="353">
        <v>-939</v>
      </c>
      <c r="E362" s="352" t="s">
        <v>8839</v>
      </c>
      <c r="F362" s="341">
        <v>94.3</v>
      </c>
      <c r="G362" s="355" t="s">
        <v>18479</v>
      </c>
      <c r="H362" s="356" t="s">
        <v>8420</v>
      </c>
      <c r="I362" s="354" t="s">
        <v>73</v>
      </c>
      <c r="J362" s="340" t="s">
        <v>8726</v>
      </c>
      <c r="K362" s="339" t="s">
        <v>71</v>
      </c>
      <c r="L362" s="357">
        <v>37</v>
      </c>
      <c r="M362" s="358" t="s">
        <v>8841</v>
      </c>
      <c r="N362" s="359">
        <v>1000</v>
      </c>
      <c r="O362" s="360" t="s">
        <v>530</v>
      </c>
      <c r="P362" s="343" t="s">
        <v>531</v>
      </c>
      <c r="Q362" s="342" t="s">
        <v>2688</v>
      </c>
      <c r="R362" s="344">
        <v>38</v>
      </c>
      <c r="S362" s="345">
        <v>25</v>
      </c>
      <c r="T362" s="362">
        <v>25</v>
      </c>
      <c r="U362" s="361">
        <v>94.3</v>
      </c>
      <c r="V362" s="346">
        <v>129.00000184281865</v>
      </c>
      <c r="W362" s="348">
        <v>127.58333502258375</v>
      </c>
      <c r="X362" s="347">
        <v>65.12</v>
      </c>
      <c r="Y362" s="357">
        <v>65.680000000000007</v>
      </c>
      <c r="Z362" s="365" t="s">
        <v>2689</v>
      </c>
      <c r="AA362" s="350">
        <v>125</v>
      </c>
      <c r="AB362" s="349" t="s">
        <v>2685</v>
      </c>
      <c r="AC362" s="350">
        <v>0</v>
      </c>
      <c r="AD362" s="349" t="s">
        <v>2685</v>
      </c>
      <c r="AE362" s="364">
        <v>0</v>
      </c>
      <c r="AF362" s="366">
        <v>4.9260000000000002</v>
      </c>
      <c r="AG362" s="363">
        <v>0</v>
      </c>
      <c r="AH362" s="635" t="s">
        <v>8698</v>
      </c>
      <c r="AI362" s="324"/>
      <c r="AL362" s="487" t="s">
        <v>14533</v>
      </c>
      <c r="AM362" s="477" t="s">
        <v>71</v>
      </c>
      <c r="AN362" s="637">
        <v>100</v>
      </c>
      <c r="AO362" s="478">
        <v>-939</v>
      </c>
      <c r="AP362" s="463">
        <v>-667</v>
      </c>
      <c r="AQ362" s="479">
        <v>-272</v>
      </c>
      <c r="AR362" s="476" t="s">
        <v>16862</v>
      </c>
      <c r="BA362" s="313" t="s">
        <v>3342</v>
      </c>
    </row>
    <row r="363" spans="2:53" ht="16.5" customHeight="1">
      <c r="B363" s="367" t="s">
        <v>8842</v>
      </c>
      <c r="C363" s="351" t="s">
        <v>8843</v>
      </c>
      <c r="D363" s="353">
        <v>-940</v>
      </c>
      <c r="E363" s="352" t="s">
        <v>8844</v>
      </c>
      <c r="F363" s="341">
        <v>94.29</v>
      </c>
      <c r="G363" s="355" t="s">
        <v>18480</v>
      </c>
      <c r="H363" s="356" t="s">
        <v>18481</v>
      </c>
      <c r="I363" s="354" t="s">
        <v>73</v>
      </c>
      <c r="J363" s="340" t="s">
        <v>499</v>
      </c>
      <c r="K363" s="339" t="s">
        <v>71</v>
      </c>
      <c r="L363" s="357">
        <v>14</v>
      </c>
      <c r="M363" s="358" t="s">
        <v>8845</v>
      </c>
      <c r="N363" s="359">
        <v>1000</v>
      </c>
      <c r="O363" s="360" t="s">
        <v>530</v>
      </c>
      <c r="P363" s="343" t="s">
        <v>531</v>
      </c>
      <c r="Q363" s="342" t="s">
        <v>2688</v>
      </c>
      <c r="R363" s="344">
        <v>38</v>
      </c>
      <c r="S363" s="345">
        <v>25</v>
      </c>
      <c r="T363" s="362">
        <v>25</v>
      </c>
      <c r="U363" s="361">
        <v>94.29</v>
      </c>
      <c r="V363" s="346">
        <v>128.98737484957994</v>
      </c>
      <c r="W363" s="348">
        <v>127.5717602787816</v>
      </c>
      <c r="X363" s="347">
        <v>65.11</v>
      </c>
      <c r="Y363" s="357">
        <v>65.680000000000007</v>
      </c>
      <c r="Z363" s="365" t="s">
        <v>2689</v>
      </c>
      <c r="AA363" s="350">
        <v>125</v>
      </c>
      <c r="AB363" s="349" t="s">
        <v>2685</v>
      </c>
      <c r="AC363" s="350">
        <v>0</v>
      </c>
      <c r="AD363" s="349" t="s">
        <v>2685</v>
      </c>
      <c r="AE363" s="364">
        <v>0</v>
      </c>
      <c r="AF363" s="366">
        <v>4.9260000000000002</v>
      </c>
      <c r="AG363" s="363">
        <v>0</v>
      </c>
      <c r="AH363" s="635" t="s">
        <v>8698</v>
      </c>
      <c r="AI363" s="324"/>
      <c r="AL363" s="487" t="s">
        <v>14534</v>
      </c>
      <c r="AM363" s="477" t="s">
        <v>71</v>
      </c>
      <c r="AN363" s="637">
        <v>100</v>
      </c>
      <c r="AO363" s="478">
        <v>-940</v>
      </c>
      <c r="AP363" s="463">
        <v>-668</v>
      </c>
      <c r="AQ363" s="479">
        <v>-272</v>
      </c>
      <c r="AR363" s="476" t="s">
        <v>16863</v>
      </c>
      <c r="BA363" s="313" t="s">
        <v>3345</v>
      </c>
    </row>
    <row r="364" spans="2:53" ht="16.5" customHeight="1">
      <c r="B364" s="367" t="s">
        <v>8846</v>
      </c>
      <c r="C364" s="351" t="s">
        <v>8847</v>
      </c>
      <c r="D364" s="353">
        <v>-941</v>
      </c>
      <c r="E364" s="352" t="s">
        <v>408</v>
      </c>
      <c r="F364" s="341">
        <v>94.22</v>
      </c>
      <c r="G364" s="355" t="s">
        <v>8848</v>
      </c>
      <c r="H364" s="356" t="s">
        <v>18482</v>
      </c>
      <c r="I364" s="354" t="s">
        <v>302</v>
      </c>
      <c r="J364" s="340" t="s">
        <v>555</v>
      </c>
      <c r="K364" s="339" t="s">
        <v>70</v>
      </c>
      <c r="L364" s="357">
        <v>15</v>
      </c>
      <c r="M364" s="358" t="s">
        <v>8849</v>
      </c>
      <c r="N364" s="359">
        <v>600</v>
      </c>
      <c r="O364" s="360" t="s">
        <v>530</v>
      </c>
      <c r="P364" s="343" t="s">
        <v>531</v>
      </c>
      <c r="Q364" s="342" t="s">
        <v>2688</v>
      </c>
      <c r="R364" s="344">
        <v>37</v>
      </c>
      <c r="S364" s="345">
        <v>43</v>
      </c>
      <c r="T364" s="362">
        <v>20</v>
      </c>
      <c r="U364" s="361">
        <v>94.22</v>
      </c>
      <c r="V364" s="346">
        <v>128.92563823596385</v>
      </c>
      <c r="W364" s="348">
        <v>127.51516838296686</v>
      </c>
      <c r="X364" s="347">
        <v>64.62</v>
      </c>
      <c r="Y364" s="357">
        <v>68.180000000000007</v>
      </c>
      <c r="Z364" s="365" t="s">
        <v>2689</v>
      </c>
      <c r="AA364" s="350">
        <v>100</v>
      </c>
      <c r="AB364" s="349" t="s">
        <v>2685</v>
      </c>
      <c r="AC364" s="350">
        <v>10</v>
      </c>
      <c r="AD364" s="349" t="s">
        <v>2685</v>
      </c>
      <c r="AE364" s="364">
        <v>0</v>
      </c>
      <c r="AF364" s="366">
        <v>0.3</v>
      </c>
      <c r="AG364" s="363">
        <v>0</v>
      </c>
      <c r="AH364" s="635" t="s">
        <v>8021</v>
      </c>
      <c r="AI364" s="324"/>
      <c r="AL364" s="487" t="s">
        <v>14535</v>
      </c>
      <c r="AM364" s="477" t="s">
        <v>70</v>
      </c>
      <c r="AN364" s="637">
        <v>100</v>
      </c>
      <c r="AO364" s="478">
        <v>-941</v>
      </c>
      <c r="AP364" s="463">
        <v>-941</v>
      </c>
      <c r="AQ364" s="479">
        <v>0</v>
      </c>
      <c r="AR364" s="476" t="s">
        <v>14536</v>
      </c>
      <c r="BA364" s="313" t="s">
        <v>3347</v>
      </c>
    </row>
    <row r="365" spans="2:53" ht="16.5" customHeight="1">
      <c r="B365" s="367" t="s">
        <v>8846</v>
      </c>
      <c r="C365" s="351" t="s">
        <v>8847</v>
      </c>
      <c r="D365" s="353">
        <v>-942</v>
      </c>
      <c r="E365" s="352" t="s">
        <v>408</v>
      </c>
      <c r="F365" s="341">
        <v>94.21</v>
      </c>
      <c r="G365" s="355" t="s">
        <v>8850</v>
      </c>
      <c r="H365" s="356" t="s">
        <v>8851</v>
      </c>
      <c r="I365" s="354" t="s">
        <v>302</v>
      </c>
      <c r="J365" s="340" t="s">
        <v>8410</v>
      </c>
      <c r="K365" s="339" t="s">
        <v>70</v>
      </c>
      <c r="L365" s="357">
        <v>10</v>
      </c>
      <c r="M365" s="358" t="s">
        <v>8852</v>
      </c>
      <c r="N365" s="359">
        <v>600</v>
      </c>
      <c r="O365" s="360" t="s">
        <v>530</v>
      </c>
      <c r="P365" s="343" t="s">
        <v>531</v>
      </c>
      <c r="Q365" s="342" t="s">
        <v>2688</v>
      </c>
      <c r="R365" s="344">
        <v>37</v>
      </c>
      <c r="S365" s="345">
        <v>43</v>
      </c>
      <c r="T365" s="362">
        <v>20</v>
      </c>
      <c r="U365" s="361">
        <v>94.21</v>
      </c>
      <c r="V365" s="346">
        <v>128.92184297750677</v>
      </c>
      <c r="W365" s="348">
        <v>127.51168939604786</v>
      </c>
      <c r="X365" s="347">
        <v>64.62</v>
      </c>
      <c r="Y365" s="357">
        <v>68.180000000000007</v>
      </c>
      <c r="Z365" s="365" t="s">
        <v>2689</v>
      </c>
      <c r="AA365" s="350">
        <v>100</v>
      </c>
      <c r="AB365" s="349" t="s">
        <v>2685</v>
      </c>
      <c r="AC365" s="350">
        <v>10</v>
      </c>
      <c r="AD365" s="349" t="s">
        <v>2685</v>
      </c>
      <c r="AE365" s="364">
        <v>0</v>
      </c>
      <c r="AF365" s="366">
        <v>0.3</v>
      </c>
      <c r="AG365" s="363">
        <v>0</v>
      </c>
      <c r="AH365" s="635" t="s">
        <v>8021</v>
      </c>
      <c r="AI365" s="324"/>
      <c r="AL365" s="487" t="s">
        <v>14537</v>
      </c>
      <c r="AM365" s="477" t="s">
        <v>70</v>
      </c>
      <c r="AN365" s="637">
        <v>100</v>
      </c>
      <c r="AO365" s="478">
        <v>-942</v>
      </c>
      <c r="AP365" s="463">
        <v>-942</v>
      </c>
      <c r="AQ365" s="479">
        <v>0</v>
      </c>
      <c r="AR365" s="476" t="s">
        <v>14538</v>
      </c>
      <c r="BA365" s="313" t="s">
        <v>3348</v>
      </c>
    </row>
    <row r="366" spans="2:53" ht="16.5" customHeight="1">
      <c r="B366" s="367" t="s">
        <v>8853</v>
      </c>
      <c r="C366" s="351" t="s">
        <v>8854</v>
      </c>
      <c r="D366" s="353">
        <v>-943</v>
      </c>
      <c r="E366" s="352" t="s">
        <v>408</v>
      </c>
      <c r="F366" s="341">
        <v>94.21</v>
      </c>
      <c r="G366" s="355" t="s">
        <v>8855</v>
      </c>
      <c r="H366" s="356" t="s">
        <v>8851</v>
      </c>
      <c r="I366" s="354" t="s">
        <v>302</v>
      </c>
      <c r="J366" s="340" t="s">
        <v>8856</v>
      </c>
      <c r="K366" s="339" t="s">
        <v>70</v>
      </c>
      <c r="L366" s="357">
        <v>34</v>
      </c>
      <c r="M366" s="358" t="s">
        <v>8857</v>
      </c>
      <c r="N366" s="359">
        <v>600</v>
      </c>
      <c r="O366" s="360" t="s">
        <v>530</v>
      </c>
      <c r="P366" s="343" t="s">
        <v>531</v>
      </c>
      <c r="Q366" s="342" t="s">
        <v>2688</v>
      </c>
      <c r="R366" s="344">
        <v>37</v>
      </c>
      <c r="S366" s="345">
        <v>43</v>
      </c>
      <c r="T366" s="362">
        <v>20</v>
      </c>
      <c r="U366" s="361">
        <v>94.21</v>
      </c>
      <c r="V366" s="346">
        <v>128.91804771904967</v>
      </c>
      <c r="W366" s="348">
        <v>127.50821040912886</v>
      </c>
      <c r="X366" s="347">
        <v>64.62</v>
      </c>
      <c r="Y366" s="357">
        <v>68.180000000000007</v>
      </c>
      <c r="Z366" s="365" t="s">
        <v>2689</v>
      </c>
      <c r="AA366" s="350">
        <v>100</v>
      </c>
      <c r="AB366" s="349" t="s">
        <v>2685</v>
      </c>
      <c r="AC366" s="350">
        <v>10</v>
      </c>
      <c r="AD366" s="349" t="s">
        <v>2685</v>
      </c>
      <c r="AE366" s="364">
        <v>0</v>
      </c>
      <c r="AF366" s="366">
        <v>0.3</v>
      </c>
      <c r="AG366" s="363">
        <v>0</v>
      </c>
      <c r="AH366" s="635" t="s">
        <v>8021</v>
      </c>
      <c r="AI366" s="324"/>
      <c r="AL366" s="487" t="s">
        <v>14539</v>
      </c>
      <c r="AM366" s="477" t="s">
        <v>70</v>
      </c>
      <c r="AN366" s="637">
        <v>100</v>
      </c>
      <c r="AO366" s="478">
        <v>-943</v>
      </c>
      <c r="AP366" s="463">
        <v>-943</v>
      </c>
      <c r="AQ366" s="479">
        <v>0</v>
      </c>
      <c r="AR366" s="476" t="s">
        <v>14540</v>
      </c>
      <c r="BA366" s="313" t="s">
        <v>3349</v>
      </c>
    </row>
    <row r="367" spans="2:53" ht="16.5" customHeight="1">
      <c r="B367" s="367" t="s">
        <v>8846</v>
      </c>
      <c r="C367" s="351" t="s">
        <v>8847</v>
      </c>
      <c r="D367" s="353">
        <v>-944</v>
      </c>
      <c r="E367" s="352" t="s">
        <v>408</v>
      </c>
      <c r="F367" s="341">
        <v>94.21</v>
      </c>
      <c r="G367" s="355" t="s">
        <v>8858</v>
      </c>
      <c r="H367" s="356" t="s">
        <v>8851</v>
      </c>
      <c r="I367" s="354" t="s">
        <v>73</v>
      </c>
      <c r="J367" s="340" t="s">
        <v>551</v>
      </c>
      <c r="K367" s="339" t="s">
        <v>70</v>
      </c>
      <c r="L367" s="357">
        <v>16</v>
      </c>
      <c r="M367" s="358" t="s">
        <v>8859</v>
      </c>
      <c r="N367" s="359">
        <v>1000</v>
      </c>
      <c r="O367" s="360" t="s">
        <v>530</v>
      </c>
      <c r="P367" s="343" t="s">
        <v>531</v>
      </c>
      <c r="Q367" s="342" t="s">
        <v>2688</v>
      </c>
      <c r="R367" s="344">
        <v>22</v>
      </c>
      <c r="S367" s="345">
        <v>33</v>
      </c>
      <c r="T367" s="362">
        <v>33</v>
      </c>
      <c r="U367" s="361">
        <v>94.21</v>
      </c>
      <c r="V367" s="346">
        <v>128.92107928465907</v>
      </c>
      <c r="W367" s="348">
        <v>127.51098934427083</v>
      </c>
      <c r="X367" s="347">
        <v>64.62</v>
      </c>
      <c r="Y367" s="357">
        <v>65.64</v>
      </c>
      <c r="Z367" s="365" t="s">
        <v>2689</v>
      </c>
      <c r="AA367" s="350">
        <v>111.11</v>
      </c>
      <c r="AB367" s="349" t="s">
        <v>2685</v>
      </c>
      <c r="AC367" s="350">
        <v>0</v>
      </c>
      <c r="AD367" s="349" t="s">
        <v>2685</v>
      </c>
      <c r="AE367" s="364">
        <v>0</v>
      </c>
      <c r="AF367" s="366">
        <v>6.5640000000000001</v>
      </c>
      <c r="AG367" s="363">
        <v>0</v>
      </c>
      <c r="AH367" s="635" t="s">
        <v>7791</v>
      </c>
      <c r="AI367" s="324"/>
      <c r="AL367" s="487" t="s">
        <v>14541</v>
      </c>
      <c r="AM367" s="477" t="s">
        <v>70</v>
      </c>
      <c r="AN367" s="637">
        <v>100</v>
      </c>
      <c r="AO367" s="478">
        <v>-944</v>
      </c>
      <c r="AP367" s="463">
        <v>-944</v>
      </c>
      <c r="AQ367" s="479">
        <v>0</v>
      </c>
      <c r="AR367" s="476" t="s">
        <v>14540</v>
      </c>
      <c r="BA367" s="313" t="s">
        <v>3352</v>
      </c>
    </row>
    <row r="368" spans="2:53" ht="16.5" customHeight="1">
      <c r="B368" s="367" t="s">
        <v>8860</v>
      </c>
      <c r="C368" s="351" t="s">
        <v>8861</v>
      </c>
      <c r="D368" s="353">
        <v>-945</v>
      </c>
      <c r="E368" s="352" t="s">
        <v>8862</v>
      </c>
      <c r="F368" s="341">
        <v>94.2</v>
      </c>
      <c r="G368" s="355" t="s">
        <v>8798</v>
      </c>
      <c r="H368" s="356" t="s">
        <v>8928</v>
      </c>
      <c r="I368" s="354" t="s">
        <v>75</v>
      </c>
      <c r="J368" s="340" t="s">
        <v>8863</v>
      </c>
      <c r="K368" s="339" t="s">
        <v>71</v>
      </c>
      <c r="L368" s="357">
        <v>11</v>
      </c>
      <c r="M368" s="358" t="s">
        <v>8864</v>
      </c>
      <c r="N368" s="359">
        <v>1000</v>
      </c>
      <c r="O368" s="360" t="s">
        <v>530</v>
      </c>
      <c r="P368" s="343" t="s">
        <v>531</v>
      </c>
      <c r="Q368" s="342" t="s">
        <v>2688</v>
      </c>
      <c r="R368" s="344">
        <v>36</v>
      </c>
      <c r="S368" s="345">
        <v>36</v>
      </c>
      <c r="T368" s="362">
        <v>29</v>
      </c>
      <c r="U368" s="361">
        <v>94.2</v>
      </c>
      <c r="V368" s="346">
        <v>128.91348088531186</v>
      </c>
      <c r="W368" s="348">
        <v>127.50402414486921</v>
      </c>
      <c r="X368" s="347">
        <v>65.069999999999993</v>
      </c>
      <c r="Y368" s="357">
        <v>65.62</v>
      </c>
      <c r="Z368" s="365" t="s">
        <v>2689</v>
      </c>
      <c r="AA368" s="350">
        <v>0</v>
      </c>
      <c r="AB368" s="349" t="s">
        <v>2685</v>
      </c>
      <c r="AC368" s="350">
        <v>10</v>
      </c>
      <c r="AD368" s="349" t="s">
        <v>2685</v>
      </c>
      <c r="AE368" s="364">
        <v>0</v>
      </c>
      <c r="AF368" s="366">
        <v>0</v>
      </c>
      <c r="AG368" s="363">
        <v>0</v>
      </c>
      <c r="AH368" s="635" t="s">
        <v>408</v>
      </c>
      <c r="AI368" s="324"/>
      <c r="AL368" s="487" t="s">
        <v>14542</v>
      </c>
      <c r="AM368" s="477" t="s">
        <v>71</v>
      </c>
      <c r="AN368" s="637">
        <v>100</v>
      </c>
      <c r="AO368" s="478">
        <v>-945</v>
      </c>
      <c r="AP368" s="463">
        <v>-667</v>
      </c>
      <c r="AQ368" s="479">
        <v>-278</v>
      </c>
      <c r="AR368" s="476" t="s">
        <v>16864</v>
      </c>
      <c r="BA368" s="313" t="s">
        <v>3353</v>
      </c>
    </row>
    <row r="369" spans="2:53" ht="16.5" customHeight="1">
      <c r="B369" s="367" t="s">
        <v>8865</v>
      </c>
      <c r="C369" s="351" t="s">
        <v>8866</v>
      </c>
      <c r="D369" s="353">
        <v>-946</v>
      </c>
      <c r="E369" s="352" t="s">
        <v>3470</v>
      </c>
      <c r="F369" s="341">
        <v>94.2</v>
      </c>
      <c r="G369" s="355" t="s">
        <v>18483</v>
      </c>
      <c r="H369" s="356" t="s">
        <v>8515</v>
      </c>
      <c r="I369" s="354" t="s">
        <v>73</v>
      </c>
      <c r="J369" s="340" t="s">
        <v>8863</v>
      </c>
      <c r="K369" s="339" t="s">
        <v>71</v>
      </c>
      <c r="L369" s="357">
        <v>22</v>
      </c>
      <c r="M369" s="358" t="s">
        <v>8868</v>
      </c>
      <c r="N369" s="359">
        <v>1000</v>
      </c>
      <c r="O369" s="360" t="s">
        <v>530</v>
      </c>
      <c r="P369" s="343" t="s">
        <v>531</v>
      </c>
      <c r="Q369" s="342" t="s">
        <v>2688</v>
      </c>
      <c r="R369" s="344">
        <v>38</v>
      </c>
      <c r="S369" s="345">
        <v>25</v>
      </c>
      <c r="T369" s="362">
        <v>25</v>
      </c>
      <c r="U369" s="361">
        <v>94.2</v>
      </c>
      <c r="V369" s="346">
        <v>128.90661516602873</v>
      </c>
      <c r="W369" s="348">
        <v>127.49773056885968</v>
      </c>
      <c r="X369" s="347">
        <v>65.069999999999993</v>
      </c>
      <c r="Y369" s="357">
        <v>65.63000000000001</v>
      </c>
      <c r="Z369" s="365" t="s">
        <v>2689</v>
      </c>
      <c r="AA369" s="350">
        <v>125</v>
      </c>
      <c r="AB369" s="349" t="s">
        <v>2685</v>
      </c>
      <c r="AC369" s="350">
        <v>0</v>
      </c>
      <c r="AD369" s="349" t="s">
        <v>2685</v>
      </c>
      <c r="AE369" s="364">
        <v>0</v>
      </c>
      <c r="AF369" s="366">
        <v>4.9219999999999997</v>
      </c>
      <c r="AG369" s="363">
        <v>0</v>
      </c>
      <c r="AH369" s="635" t="s">
        <v>8698</v>
      </c>
      <c r="AI369" s="324"/>
      <c r="AL369" s="487" t="s">
        <v>14543</v>
      </c>
      <c r="AM369" s="477" t="s">
        <v>71</v>
      </c>
      <c r="AN369" s="637">
        <v>100</v>
      </c>
      <c r="AO369" s="478">
        <v>-946</v>
      </c>
      <c r="AP369" s="463">
        <v>-667</v>
      </c>
      <c r="AQ369" s="479">
        <v>-279</v>
      </c>
      <c r="AR369" s="476" t="s">
        <v>16865</v>
      </c>
      <c r="BA369" s="313" t="s">
        <v>3355</v>
      </c>
    </row>
    <row r="370" spans="2:53" ht="16.5" customHeight="1">
      <c r="B370" s="367" t="s">
        <v>8869</v>
      </c>
      <c r="C370" s="351" t="s">
        <v>8870</v>
      </c>
      <c r="D370" s="353">
        <v>-947</v>
      </c>
      <c r="E370" s="352" t="s">
        <v>408</v>
      </c>
      <c r="F370" s="341">
        <v>94.18</v>
      </c>
      <c r="G370" s="355" t="s">
        <v>8871</v>
      </c>
      <c r="H370" s="356" t="s">
        <v>3333</v>
      </c>
      <c r="I370" s="354" t="s">
        <v>77</v>
      </c>
      <c r="J370" s="340" t="s">
        <v>8872</v>
      </c>
      <c r="K370" s="339" t="s">
        <v>70</v>
      </c>
      <c r="L370" s="357">
        <v>15</v>
      </c>
      <c r="M370" s="358" t="s">
        <v>3463</v>
      </c>
      <c r="N370" s="359">
        <v>1000</v>
      </c>
      <c r="O370" s="360" t="s">
        <v>530</v>
      </c>
      <c r="P370" s="343" t="s">
        <v>531</v>
      </c>
      <c r="Q370" s="342" t="s">
        <v>2688</v>
      </c>
      <c r="R370" s="344">
        <v>20</v>
      </c>
      <c r="S370" s="345">
        <v>40</v>
      </c>
      <c r="T370" s="362">
        <v>30</v>
      </c>
      <c r="U370" s="361">
        <v>94.18</v>
      </c>
      <c r="V370" s="346">
        <v>128.88636791435013</v>
      </c>
      <c r="W370" s="348">
        <v>127.47917058815428</v>
      </c>
      <c r="X370" s="347">
        <v>64.599999999999994</v>
      </c>
      <c r="Y370" s="357">
        <v>65.84</v>
      </c>
      <c r="Z370" s="365" t="s">
        <v>2689</v>
      </c>
      <c r="AA370" s="350">
        <v>63.5</v>
      </c>
      <c r="AB370" s="349" t="s">
        <v>2685</v>
      </c>
      <c r="AC370" s="350">
        <v>0</v>
      </c>
      <c r="AD370" s="349" t="s">
        <v>2685</v>
      </c>
      <c r="AE370" s="364">
        <v>0</v>
      </c>
      <c r="AF370" s="366">
        <v>9.8759999999999994</v>
      </c>
      <c r="AG370" s="363">
        <v>0</v>
      </c>
      <c r="AH370" s="635" t="s">
        <v>7787</v>
      </c>
      <c r="AI370" s="324"/>
      <c r="AL370" s="487" t="s">
        <v>14545</v>
      </c>
      <c r="AM370" s="477" t="s">
        <v>70</v>
      </c>
      <c r="AN370" s="637">
        <v>100</v>
      </c>
      <c r="AO370" s="478">
        <v>-947</v>
      </c>
      <c r="AP370" s="463">
        <v>-947</v>
      </c>
      <c r="AQ370" s="479">
        <v>0</v>
      </c>
      <c r="AR370" s="476" t="s">
        <v>17162</v>
      </c>
      <c r="BA370" s="313" t="s">
        <v>3356</v>
      </c>
    </row>
    <row r="371" spans="2:53" ht="16.5" customHeight="1">
      <c r="B371" s="367" t="s">
        <v>3314</v>
      </c>
      <c r="C371" s="351" t="s">
        <v>3315</v>
      </c>
      <c r="D371" s="353">
        <v>-948</v>
      </c>
      <c r="E371" s="352" t="s">
        <v>8873</v>
      </c>
      <c r="F371" s="341">
        <v>94.13</v>
      </c>
      <c r="G371" s="355" t="s">
        <v>18484</v>
      </c>
      <c r="H371" s="356" t="s">
        <v>18485</v>
      </c>
      <c r="I371" s="354" t="s">
        <v>302</v>
      </c>
      <c r="J371" s="340" t="s">
        <v>8874</v>
      </c>
      <c r="K371" s="339" t="s">
        <v>71</v>
      </c>
      <c r="L371" s="357">
        <v>23</v>
      </c>
      <c r="M371" s="358" t="s">
        <v>8875</v>
      </c>
      <c r="N371" s="359">
        <v>600</v>
      </c>
      <c r="O371" s="360" t="s">
        <v>530</v>
      </c>
      <c r="P371" s="343" t="s">
        <v>531</v>
      </c>
      <c r="Q371" s="342" t="s">
        <v>2688</v>
      </c>
      <c r="R371" s="344">
        <v>37</v>
      </c>
      <c r="S371" s="345">
        <v>43</v>
      </c>
      <c r="T371" s="362">
        <v>20</v>
      </c>
      <c r="U371" s="361">
        <v>94.13</v>
      </c>
      <c r="V371" s="346">
        <v>128.84120104845198</v>
      </c>
      <c r="W371" s="348">
        <v>127.43776762774763</v>
      </c>
      <c r="X371" s="347">
        <v>65.03</v>
      </c>
      <c r="Y371" s="357">
        <v>67.900000000000006</v>
      </c>
      <c r="Z371" s="365" t="s">
        <v>2689</v>
      </c>
      <c r="AA371" s="350">
        <v>100</v>
      </c>
      <c r="AB371" s="349" t="s">
        <v>2685</v>
      </c>
      <c r="AC371" s="350">
        <v>10</v>
      </c>
      <c r="AD371" s="349" t="s">
        <v>2685</v>
      </c>
      <c r="AE371" s="364">
        <v>0</v>
      </c>
      <c r="AF371" s="366">
        <v>0</v>
      </c>
      <c r="AG371" s="363">
        <v>0</v>
      </c>
      <c r="AH371" s="635" t="s">
        <v>408</v>
      </c>
      <c r="AI371" s="324"/>
      <c r="AL371" s="487" t="s">
        <v>14546</v>
      </c>
      <c r="AM371" s="477" t="s">
        <v>71</v>
      </c>
      <c r="AN371" s="637">
        <v>100</v>
      </c>
      <c r="AO371" s="478">
        <v>-948</v>
      </c>
      <c r="AP371" s="463">
        <v>-665</v>
      </c>
      <c r="AQ371" s="479">
        <v>-283</v>
      </c>
      <c r="AR371" s="476" t="s">
        <v>14571</v>
      </c>
      <c r="BA371" s="313" t="s">
        <v>3358</v>
      </c>
    </row>
    <row r="372" spans="2:53" ht="16.5" customHeight="1">
      <c r="B372" s="367" t="s">
        <v>3350</v>
      </c>
      <c r="C372" s="351" t="s">
        <v>3351</v>
      </c>
      <c r="D372" s="353">
        <v>-949</v>
      </c>
      <c r="E372" s="352" t="s">
        <v>8876</v>
      </c>
      <c r="F372" s="341">
        <v>94.11</v>
      </c>
      <c r="G372" s="355" t="s">
        <v>18486</v>
      </c>
      <c r="H372" s="356" t="s">
        <v>3377</v>
      </c>
      <c r="I372" s="354" t="s">
        <v>75</v>
      </c>
      <c r="J372" s="340" t="s">
        <v>8877</v>
      </c>
      <c r="K372" s="339" t="s">
        <v>71</v>
      </c>
      <c r="L372" s="357">
        <v>15</v>
      </c>
      <c r="M372" s="358" t="s">
        <v>8878</v>
      </c>
      <c r="N372" s="359">
        <v>1000</v>
      </c>
      <c r="O372" s="360" t="s">
        <v>530</v>
      </c>
      <c r="P372" s="343" t="s">
        <v>531</v>
      </c>
      <c r="Q372" s="342" t="s">
        <v>2688</v>
      </c>
      <c r="R372" s="344">
        <v>36</v>
      </c>
      <c r="S372" s="345">
        <v>36</v>
      </c>
      <c r="T372" s="362">
        <v>29</v>
      </c>
      <c r="U372" s="361">
        <v>94.11</v>
      </c>
      <c r="V372" s="346">
        <v>128.83093912311074</v>
      </c>
      <c r="W372" s="348">
        <v>127.42836086285152</v>
      </c>
      <c r="X372" s="347">
        <v>65.02</v>
      </c>
      <c r="Y372" s="357">
        <v>65.570000000000007</v>
      </c>
      <c r="Z372" s="365" t="s">
        <v>2689</v>
      </c>
      <c r="AA372" s="350">
        <v>0</v>
      </c>
      <c r="AB372" s="349" t="s">
        <v>2685</v>
      </c>
      <c r="AC372" s="350">
        <v>10</v>
      </c>
      <c r="AD372" s="349" t="s">
        <v>2685</v>
      </c>
      <c r="AE372" s="364">
        <v>0</v>
      </c>
      <c r="AF372" s="366">
        <v>0</v>
      </c>
      <c r="AG372" s="363">
        <v>0</v>
      </c>
      <c r="AH372" s="635" t="s">
        <v>408</v>
      </c>
      <c r="AI372" s="324"/>
      <c r="AL372" s="487" t="s">
        <v>14547</v>
      </c>
      <c r="AM372" s="477" t="s">
        <v>71</v>
      </c>
      <c r="AN372" s="637">
        <v>100</v>
      </c>
      <c r="AO372" s="478">
        <v>-949</v>
      </c>
      <c r="AP372" s="463">
        <v>-665</v>
      </c>
      <c r="AQ372" s="479">
        <v>-284</v>
      </c>
      <c r="AR372" s="476" t="s">
        <v>16866</v>
      </c>
      <c r="BA372" s="313" t="s">
        <v>3360</v>
      </c>
    </row>
    <row r="373" spans="2:53" ht="16.5" customHeight="1">
      <c r="B373" s="367" t="s">
        <v>3318</v>
      </c>
      <c r="C373" s="351" t="s">
        <v>3319</v>
      </c>
      <c r="D373" s="353">
        <v>-950</v>
      </c>
      <c r="E373" s="352" t="s">
        <v>3481</v>
      </c>
      <c r="F373" s="341">
        <v>94.1</v>
      </c>
      <c r="G373" s="355" t="s">
        <v>18487</v>
      </c>
      <c r="H373" s="356" t="s">
        <v>3357</v>
      </c>
      <c r="I373" s="354" t="s">
        <v>73</v>
      </c>
      <c r="J373" s="340" t="s">
        <v>560</v>
      </c>
      <c r="K373" s="339" t="s">
        <v>71</v>
      </c>
      <c r="L373" s="357">
        <v>18</v>
      </c>
      <c r="M373" s="358" t="s">
        <v>8879</v>
      </c>
      <c r="N373" s="359">
        <v>1000</v>
      </c>
      <c r="O373" s="360" t="s">
        <v>530</v>
      </c>
      <c r="P373" s="343" t="s">
        <v>531</v>
      </c>
      <c r="Q373" s="342" t="s">
        <v>2688</v>
      </c>
      <c r="R373" s="344">
        <v>38</v>
      </c>
      <c r="S373" s="345">
        <v>25</v>
      </c>
      <c r="T373" s="362">
        <v>25</v>
      </c>
      <c r="U373" s="361">
        <v>94.1</v>
      </c>
      <c r="V373" s="346">
        <v>128.8149975951217</v>
      </c>
      <c r="W373" s="348">
        <v>127.41374779552821</v>
      </c>
      <c r="X373" s="347">
        <v>65.02</v>
      </c>
      <c r="Y373" s="357">
        <v>65.58</v>
      </c>
      <c r="Z373" s="365" t="s">
        <v>2689</v>
      </c>
      <c r="AA373" s="350">
        <v>125</v>
      </c>
      <c r="AB373" s="349" t="s">
        <v>2685</v>
      </c>
      <c r="AC373" s="350">
        <v>0</v>
      </c>
      <c r="AD373" s="349" t="s">
        <v>2685</v>
      </c>
      <c r="AE373" s="364">
        <v>0</v>
      </c>
      <c r="AF373" s="366">
        <v>4.9189999999999996</v>
      </c>
      <c r="AG373" s="363">
        <v>0</v>
      </c>
      <c r="AH373" s="635" t="s">
        <v>8698</v>
      </c>
      <c r="AI373" s="324"/>
      <c r="AL373" s="487" t="s">
        <v>14549</v>
      </c>
      <c r="AM373" s="477" t="s">
        <v>71</v>
      </c>
      <c r="AN373" s="637">
        <v>100</v>
      </c>
      <c r="AO373" s="478">
        <v>-950</v>
      </c>
      <c r="AP373" s="463">
        <v>-665</v>
      </c>
      <c r="AQ373" s="479">
        <v>-285</v>
      </c>
      <c r="AR373" s="476" t="s">
        <v>16867</v>
      </c>
      <c r="BA373" s="313" t="s">
        <v>3361</v>
      </c>
    </row>
    <row r="374" spans="2:53" ht="16.5" customHeight="1">
      <c r="B374" s="367" t="s">
        <v>3318</v>
      </c>
      <c r="C374" s="351" t="s">
        <v>3319</v>
      </c>
      <c r="D374" s="353">
        <v>-951</v>
      </c>
      <c r="E374" s="352" t="s">
        <v>3481</v>
      </c>
      <c r="F374" s="341">
        <v>94.1</v>
      </c>
      <c r="G374" s="355" t="s">
        <v>9165</v>
      </c>
      <c r="H374" s="356" t="s">
        <v>18488</v>
      </c>
      <c r="I374" s="354" t="s">
        <v>73</v>
      </c>
      <c r="J374" s="340" t="s">
        <v>8534</v>
      </c>
      <c r="K374" s="339" t="s">
        <v>71</v>
      </c>
      <c r="L374" s="357">
        <v>43</v>
      </c>
      <c r="M374" s="358" t="s">
        <v>8880</v>
      </c>
      <c r="N374" s="359">
        <v>1000</v>
      </c>
      <c r="O374" s="360" t="s">
        <v>530</v>
      </c>
      <c r="P374" s="343" t="s">
        <v>531</v>
      </c>
      <c r="Q374" s="342" t="s">
        <v>2688</v>
      </c>
      <c r="R374" s="344">
        <v>38</v>
      </c>
      <c r="S374" s="345">
        <v>25</v>
      </c>
      <c r="T374" s="362">
        <v>25</v>
      </c>
      <c r="U374" s="361">
        <v>94.1</v>
      </c>
      <c r="V374" s="346">
        <v>128.81815987188725</v>
      </c>
      <c r="W374" s="348">
        <v>127.41664654922998</v>
      </c>
      <c r="X374" s="347">
        <v>65.02</v>
      </c>
      <c r="Y374" s="357">
        <v>65.58</v>
      </c>
      <c r="Z374" s="365" t="s">
        <v>2689</v>
      </c>
      <c r="AA374" s="350">
        <v>125</v>
      </c>
      <c r="AB374" s="349" t="s">
        <v>2685</v>
      </c>
      <c r="AC374" s="350">
        <v>0</v>
      </c>
      <c r="AD374" s="349" t="s">
        <v>2685</v>
      </c>
      <c r="AE374" s="364">
        <v>0</v>
      </c>
      <c r="AF374" s="366">
        <v>4.9189999999999996</v>
      </c>
      <c r="AG374" s="363">
        <v>0</v>
      </c>
      <c r="AH374" s="635" t="s">
        <v>8698</v>
      </c>
      <c r="AI374" s="324"/>
      <c r="AL374" s="487" t="s">
        <v>14550</v>
      </c>
      <c r="AM374" s="477" t="s">
        <v>71</v>
      </c>
      <c r="AN374" s="637">
        <v>100</v>
      </c>
      <c r="AO374" s="478">
        <v>-951</v>
      </c>
      <c r="AP374" s="463">
        <v>-666</v>
      </c>
      <c r="AQ374" s="479">
        <v>-285</v>
      </c>
      <c r="AR374" s="476" t="s">
        <v>16866</v>
      </c>
      <c r="BA374" s="313" t="s">
        <v>3362</v>
      </c>
    </row>
    <row r="375" spans="2:53" ht="16.5" customHeight="1">
      <c r="B375" s="367" t="s">
        <v>3318</v>
      </c>
      <c r="C375" s="351" t="s">
        <v>3319</v>
      </c>
      <c r="D375" s="353">
        <v>-952</v>
      </c>
      <c r="E375" s="352" t="s">
        <v>408</v>
      </c>
      <c r="F375" s="341">
        <v>94.1</v>
      </c>
      <c r="G375" s="355" t="s">
        <v>8881</v>
      </c>
      <c r="H375" s="356" t="s">
        <v>18489</v>
      </c>
      <c r="I375" s="354" t="s">
        <v>73</v>
      </c>
      <c r="J375" s="340" t="s">
        <v>8033</v>
      </c>
      <c r="K375" s="339" t="s">
        <v>70</v>
      </c>
      <c r="L375" s="357">
        <v>20</v>
      </c>
      <c r="M375" s="358" t="s">
        <v>8882</v>
      </c>
      <c r="N375" s="359">
        <v>1000</v>
      </c>
      <c r="O375" s="360" t="s">
        <v>530</v>
      </c>
      <c r="P375" s="343" t="s">
        <v>531</v>
      </c>
      <c r="Q375" s="342" t="s">
        <v>2688</v>
      </c>
      <c r="R375" s="344">
        <v>22</v>
      </c>
      <c r="S375" s="345">
        <v>33</v>
      </c>
      <c r="T375" s="362">
        <v>33</v>
      </c>
      <c r="U375" s="361">
        <v>94.1</v>
      </c>
      <c r="V375" s="346">
        <v>128.81744870668294</v>
      </c>
      <c r="W375" s="348">
        <v>127.4159946477927</v>
      </c>
      <c r="X375" s="347">
        <v>64.56</v>
      </c>
      <c r="Y375" s="357">
        <v>65.58</v>
      </c>
      <c r="Z375" s="365" t="s">
        <v>2689</v>
      </c>
      <c r="AA375" s="350">
        <v>111.11</v>
      </c>
      <c r="AB375" s="349" t="s">
        <v>2685</v>
      </c>
      <c r="AC375" s="350">
        <v>0</v>
      </c>
      <c r="AD375" s="349" t="s">
        <v>2685</v>
      </c>
      <c r="AE375" s="364">
        <v>0</v>
      </c>
      <c r="AF375" s="366">
        <v>6.5579999999999998</v>
      </c>
      <c r="AG375" s="363">
        <v>0</v>
      </c>
      <c r="AH375" s="635" t="s">
        <v>7791</v>
      </c>
      <c r="AI375" s="324"/>
      <c r="AL375" s="487" t="s">
        <v>14551</v>
      </c>
      <c r="AM375" s="477" t="s">
        <v>70</v>
      </c>
      <c r="AN375" s="637">
        <v>100</v>
      </c>
      <c r="AO375" s="478">
        <v>-952</v>
      </c>
      <c r="AP375" s="463">
        <v>-952</v>
      </c>
      <c r="AQ375" s="479">
        <v>0</v>
      </c>
      <c r="AR375" s="476" t="s">
        <v>14552</v>
      </c>
      <c r="BA375" s="313" t="s">
        <v>3364</v>
      </c>
    </row>
    <row r="376" spans="2:53" ht="16.5" customHeight="1">
      <c r="B376" s="367" t="s">
        <v>3365</v>
      </c>
      <c r="C376" s="351" t="s">
        <v>3366</v>
      </c>
      <c r="D376" s="353">
        <v>-953</v>
      </c>
      <c r="E376" s="352" t="s">
        <v>3505</v>
      </c>
      <c r="F376" s="341">
        <v>94.09</v>
      </c>
      <c r="G376" s="355" t="s">
        <v>9089</v>
      </c>
      <c r="H376" s="356" t="s">
        <v>3357</v>
      </c>
      <c r="I376" s="354" t="s">
        <v>75</v>
      </c>
      <c r="J376" s="340" t="s">
        <v>8883</v>
      </c>
      <c r="K376" s="339" t="s">
        <v>71</v>
      </c>
      <c r="L376" s="357">
        <v>11</v>
      </c>
      <c r="M376" s="358" t="s">
        <v>8884</v>
      </c>
      <c r="N376" s="359">
        <v>1000</v>
      </c>
      <c r="O376" s="360" t="s">
        <v>530</v>
      </c>
      <c r="P376" s="343" t="s">
        <v>531</v>
      </c>
      <c r="Q376" s="342" t="s">
        <v>2688</v>
      </c>
      <c r="R376" s="344">
        <v>36</v>
      </c>
      <c r="S376" s="345">
        <v>36</v>
      </c>
      <c r="T376" s="362">
        <v>29</v>
      </c>
      <c r="U376" s="361">
        <v>94.09</v>
      </c>
      <c r="V376" s="346">
        <v>128.80932104253426</v>
      </c>
      <c r="W376" s="348">
        <v>127.40854428898973</v>
      </c>
      <c r="X376" s="347">
        <v>65.010000000000005</v>
      </c>
      <c r="Y376" s="357">
        <v>65.56</v>
      </c>
      <c r="Z376" s="365" t="s">
        <v>2689</v>
      </c>
      <c r="AA376" s="350">
        <v>0</v>
      </c>
      <c r="AB376" s="349" t="s">
        <v>2685</v>
      </c>
      <c r="AC376" s="350">
        <v>10</v>
      </c>
      <c r="AD376" s="349" t="s">
        <v>2685</v>
      </c>
      <c r="AE376" s="364">
        <v>0</v>
      </c>
      <c r="AF376" s="366">
        <v>0</v>
      </c>
      <c r="AG376" s="363">
        <v>0</v>
      </c>
      <c r="AH376" s="635" t="s">
        <v>408</v>
      </c>
      <c r="AI376" s="324"/>
      <c r="AL376" s="487" t="s">
        <v>14553</v>
      </c>
      <c r="AM376" s="477" t="s">
        <v>71</v>
      </c>
      <c r="AN376" s="637">
        <v>100</v>
      </c>
      <c r="AO376" s="478">
        <v>-953</v>
      </c>
      <c r="AP376" s="463">
        <v>-667</v>
      </c>
      <c r="AQ376" s="479">
        <v>-286</v>
      </c>
      <c r="AR376" s="476" t="s">
        <v>16867</v>
      </c>
      <c r="BA376" s="313" t="s">
        <v>3367</v>
      </c>
    </row>
    <row r="377" spans="2:53" ht="16.5" customHeight="1">
      <c r="B377" s="367" t="s">
        <v>3322</v>
      </c>
      <c r="C377" s="351" t="s">
        <v>3323</v>
      </c>
      <c r="D377" s="353">
        <v>-954</v>
      </c>
      <c r="E377" s="352" t="s">
        <v>8885</v>
      </c>
      <c r="F377" s="341">
        <v>94.07</v>
      </c>
      <c r="G377" s="355" t="s">
        <v>3466</v>
      </c>
      <c r="H377" s="356" t="s">
        <v>18490</v>
      </c>
      <c r="I377" s="354" t="s">
        <v>77</v>
      </c>
      <c r="J377" s="340" t="s">
        <v>8886</v>
      </c>
      <c r="K377" s="339" t="s">
        <v>71</v>
      </c>
      <c r="L377" s="357">
        <v>30</v>
      </c>
      <c r="M377" s="358" t="s">
        <v>8887</v>
      </c>
      <c r="N377" s="359">
        <v>1000</v>
      </c>
      <c r="O377" s="360" t="s">
        <v>530</v>
      </c>
      <c r="P377" s="343" t="s">
        <v>531</v>
      </c>
      <c r="Q377" s="342" t="s">
        <v>2688</v>
      </c>
      <c r="R377" s="344">
        <v>35</v>
      </c>
      <c r="S377" s="345">
        <v>25</v>
      </c>
      <c r="T377" s="362">
        <v>30</v>
      </c>
      <c r="U377" s="361">
        <v>94.07</v>
      </c>
      <c r="V377" s="346">
        <v>128.7876328149938</v>
      </c>
      <c r="W377" s="348">
        <v>127.38866341374433</v>
      </c>
      <c r="X377" s="347">
        <v>65</v>
      </c>
      <c r="Y377" s="357">
        <v>65.81</v>
      </c>
      <c r="Z377" s="365" t="s">
        <v>2689</v>
      </c>
      <c r="AA377" s="350">
        <v>63.5</v>
      </c>
      <c r="AB377" s="349" t="s">
        <v>2685</v>
      </c>
      <c r="AC377" s="350">
        <v>0</v>
      </c>
      <c r="AD377" s="349" t="s">
        <v>2685</v>
      </c>
      <c r="AE377" s="364">
        <v>0</v>
      </c>
      <c r="AF377" s="366">
        <v>0</v>
      </c>
      <c r="AG377" s="363">
        <v>0</v>
      </c>
      <c r="AH377" s="635" t="s">
        <v>408</v>
      </c>
      <c r="AI377" s="324"/>
      <c r="AL377" s="487" t="s">
        <v>14554</v>
      </c>
      <c r="AM377" s="477" t="s">
        <v>71</v>
      </c>
      <c r="AN377" s="637">
        <v>100</v>
      </c>
      <c r="AO377" s="478">
        <v>-954</v>
      </c>
      <c r="AP377" s="463">
        <v>-668</v>
      </c>
      <c r="AQ377" s="479">
        <v>-286</v>
      </c>
      <c r="AR377" s="476" t="s">
        <v>16868</v>
      </c>
      <c r="BA377" s="313" t="s">
        <v>3370</v>
      </c>
    </row>
    <row r="378" spans="2:53" ht="16.5" customHeight="1">
      <c r="B378" s="367" t="s">
        <v>3322</v>
      </c>
      <c r="C378" s="351" t="s">
        <v>3323</v>
      </c>
      <c r="D378" s="353">
        <v>-955</v>
      </c>
      <c r="E378" s="352" t="s">
        <v>8885</v>
      </c>
      <c r="F378" s="341">
        <v>94.06</v>
      </c>
      <c r="G378" s="355" t="s">
        <v>18491</v>
      </c>
      <c r="H378" s="356" t="s">
        <v>18490</v>
      </c>
      <c r="I378" s="354" t="s">
        <v>302</v>
      </c>
      <c r="J378" s="340" t="s">
        <v>8889</v>
      </c>
      <c r="K378" s="339" t="s">
        <v>71</v>
      </c>
      <c r="L378" s="357">
        <v>12</v>
      </c>
      <c r="M378" s="358" t="s">
        <v>8890</v>
      </c>
      <c r="N378" s="359">
        <v>600</v>
      </c>
      <c r="O378" s="360" t="s">
        <v>530</v>
      </c>
      <c r="P378" s="343" t="s">
        <v>531</v>
      </c>
      <c r="Q378" s="342" t="s">
        <v>2688</v>
      </c>
      <c r="R378" s="344">
        <v>37</v>
      </c>
      <c r="S378" s="345">
        <v>43</v>
      </c>
      <c r="T378" s="362">
        <v>20</v>
      </c>
      <c r="U378" s="361">
        <v>94.06</v>
      </c>
      <c r="V378" s="346">
        <v>128.77891677263642</v>
      </c>
      <c r="W378" s="348">
        <v>127.38067370825004</v>
      </c>
      <c r="X378" s="347">
        <v>65</v>
      </c>
      <c r="Y378" s="357">
        <v>67.89</v>
      </c>
      <c r="Z378" s="365" t="s">
        <v>2689</v>
      </c>
      <c r="AA378" s="350">
        <v>100</v>
      </c>
      <c r="AB378" s="349" t="s">
        <v>2685</v>
      </c>
      <c r="AC378" s="350">
        <v>10</v>
      </c>
      <c r="AD378" s="349" t="s">
        <v>2685</v>
      </c>
      <c r="AE378" s="364">
        <v>0</v>
      </c>
      <c r="AF378" s="366">
        <v>0</v>
      </c>
      <c r="AG378" s="363">
        <v>0</v>
      </c>
      <c r="AH378" s="635" t="s">
        <v>408</v>
      </c>
      <c r="AI378" s="324"/>
      <c r="AL378" s="487" t="s">
        <v>14555</v>
      </c>
      <c r="AM378" s="477" t="s">
        <v>71</v>
      </c>
      <c r="AN378" s="637">
        <v>100</v>
      </c>
      <c r="AO378" s="478">
        <v>-955</v>
      </c>
      <c r="AP378" s="463">
        <v>-668</v>
      </c>
      <c r="AQ378" s="479">
        <v>-287</v>
      </c>
      <c r="AR378" s="476" t="s">
        <v>14573</v>
      </c>
      <c r="BA378" s="313" t="s">
        <v>3372</v>
      </c>
    </row>
    <row r="379" spans="2:53" ht="16.5" customHeight="1">
      <c r="B379" s="367" t="s">
        <v>3343</v>
      </c>
      <c r="C379" s="351" t="s">
        <v>3344</v>
      </c>
      <c r="D379" s="353">
        <v>-956</v>
      </c>
      <c r="E379" s="352" t="s">
        <v>408</v>
      </c>
      <c r="F379" s="341">
        <v>94.05</v>
      </c>
      <c r="G379" s="355" t="s">
        <v>8891</v>
      </c>
      <c r="H379" s="356" t="s">
        <v>18492</v>
      </c>
      <c r="I379" s="354" t="s">
        <v>197</v>
      </c>
      <c r="J379" s="340" t="s">
        <v>8893</v>
      </c>
      <c r="K379" s="339" t="s">
        <v>70</v>
      </c>
      <c r="L379" s="357">
        <v>10</v>
      </c>
      <c r="M379" s="358" t="s">
        <v>8894</v>
      </c>
      <c r="N379" s="359">
        <v>500</v>
      </c>
      <c r="O379" s="360" t="s">
        <v>454</v>
      </c>
      <c r="P379" s="343" t="s">
        <v>454</v>
      </c>
      <c r="Q379" s="342" t="s">
        <v>2688</v>
      </c>
      <c r="R379" s="344">
        <v>20</v>
      </c>
      <c r="S379" s="345">
        <v>30</v>
      </c>
      <c r="T379" s="362">
        <v>30</v>
      </c>
      <c r="U379" s="361">
        <v>94.05</v>
      </c>
      <c r="V379" s="346">
        <v>128.77108433734938</v>
      </c>
      <c r="W379" s="348">
        <v>127.37349397590361</v>
      </c>
      <c r="X379" s="347">
        <v>64.540000000000006</v>
      </c>
      <c r="Y379" s="357" t="s">
        <v>408</v>
      </c>
      <c r="Z379" s="365" t="s">
        <v>2689</v>
      </c>
      <c r="AA379" s="350">
        <v>100</v>
      </c>
      <c r="AB379" s="349" t="s">
        <v>2685</v>
      </c>
      <c r="AC379" s="350">
        <v>1.5</v>
      </c>
      <c r="AD379" s="349" t="s">
        <v>2685</v>
      </c>
      <c r="AE379" s="364">
        <v>0</v>
      </c>
      <c r="AF379" s="366">
        <v>14.108000000000001</v>
      </c>
      <c r="AG379" s="363">
        <v>0</v>
      </c>
      <c r="AH379" s="635" t="s">
        <v>6224</v>
      </c>
      <c r="AI379" s="324"/>
      <c r="AL379" s="487" t="s">
        <v>14556</v>
      </c>
      <c r="AM379" s="477" t="s">
        <v>70</v>
      </c>
      <c r="AN379" s="637">
        <v>100</v>
      </c>
      <c r="AO379" s="478">
        <v>-956</v>
      </c>
      <c r="AP379" s="463">
        <v>-956</v>
      </c>
      <c r="AQ379" s="479">
        <v>0</v>
      </c>
      <c r="AR379" s="476" t="s">
        <v>14557</v>
      </c>
      <c r="BA379" s="313" t="s">
        <v>3373</v>
      </c>
    </row>
    <row r="380" spans="2:53" ht="16.5" customHeight="1">
      <c r="B380" s="367" t="s">
        <v>3350</v>
      </c>
      <c r="C380" s="351" t="s">
        <v>3351</v>
      </c>
      <c r="D380" s="353">
        <v>-957</v>
      </c>
      <c r="E380" s="352" t="s">
        <v>408</v>
      </c>
      <c r="F380" s="341">
        <v>94.02</v>
      </c>
      <c r="G380" s="355" t="s">
        <v>8876</v>
      </c>
      <c r="H380" s="356" t="s">
        <v>18493</v>
      </c>
      <c r="I380" s="354" t="s">
        <v>77</v>
      </c>
      <c r="J380" s="340" t="s">
        <v>565</v>
      </c>
      <c r="K380" s="339" t="s">
        <v>70</v>
      </c>
      <c r="L380" s="357">
        <v>162</v>
      </c>
      <c r="M380" s="358" t="s">
        <v>8896</v>
      </c>
      <c r="N380" s="359">
        <v>1000</v>
      </c>
      <c r="O380" s="360" t="s">
        <v>530</v>
      </c>
      <c r="P380" s="343" t="s">
        <v>531</v>
      </c>
      <c r="Q380" s="342" t="s">
        <v>2688</v>
      </c>
      <c r="R380" s="344">
        <v>20</v>
      </c>
      <c r="S380" s="345">
        <v>40</v>
      </c>
      <c r="T380" s="362">
        <v>30</v>
      </c>
      <c r="U380" s="361">
        <v>94.02</v>
      </c>
      <c r="V380" s="346">
        <v>128.7486376178168</v>
      </c>
      <c r="W380" s="348">
        <v>127.35291781633205</v>
      </c>
      <c r="X380" s="347">
        <v>64.52</v>
      </c>
      <c r="Y380" s="357">
        <v>65.800000000000011</v>
      </c>
      <c r="Z380" s="365" t="s">
        <v>2689</v>
      </c>
      <c r="AA380" s="350">
        <v>63.5</v>
      </c>
      <c r="AB380" s="349" t="s">
        <v>2685</v>
      </c>
      <c r="AC380" s="350">
        <v>0</v>
      </c>
      <c r="AD380" s="349" t="s">
        <v>2685</v>
      </c>
      <c r="AE380" s="364">
        <v>0</v>
      </c>
      <c r="AF380" s="366">
        <v>9.8699999999999992</v>
      </c>
      <c r="AG380" s="363">
        <v>0</v>
      </c>
      <c r="AH380" s="635" t="s">
        <v>7787</v>
      </c>
      <c r="AI380" s="324"/>
      <c r="AL380" s="487" t="s">
        <v>14558</v>
      </c>
      <c r="AM380" s="477" t="s">
        <v>70</v>
      </c>
      <c r="AN380" s="637">
        <v>100</v>
      </c>
      <c r="AO380" s="478">
        <v>-957</v>
      </c>
      <c r="AP380" s="463">
        <v>-957</v>
      </c>
      <c r="AQ380" s="479">
        <v>0</v>
      </c>
      <c r="AR380" s="476" t="s">
        <v>14559</v>
      </c>
      <c r="BA380" s="313" t="s">
        <v>3376</v>
      </c>
    </row>
    <row r="381" spans="2:53" ht="16.5" customHeight="1">
      <c r="B381" s="367" t="s">
        <v>3365</v>
      </c>
      <c r="C381" s="351" t="s">
        <v>3366</v>
      </c>
      <c r="D381" s="353">
        <v>-958</v>
      </c>
      <c r="E381" s="352" t="s">
        <v>3505</v>
      </c>
      <c r="F381" s="341">
        <v>94</v>
      </c>
      <c r="G381" s="355" t="s">
        <v>18494</v>
      </c>
      <c r="H381" s="356" t="s">
        <v>8892</v>
      </c>
      <c r="I381" s="354" t="s">
        <v>80</v>
      </c>
      <c r="J381" s="340" t="s">
        <v>8898</v>
      </c>
      <c r="K381" s="339" t="s">
        <v>71</v>
      </c>
      <c r="L381" s="357">
        <v>21</v>
      </c>
      <c r="M381" s="358" t="s">
        <v>8899</v>
      </c>
      <c r="N381" s="359">
        <v>1000</v>
      </c>
      <c r="O381" s="360" t="s">
        <v>532</v>
      </c>
      <c r="P381" s="343" t="s">
        <v>533</v>
      </c>
      <c r="Q381" s="342" t="s">
        <v>2688</v>
      </c>
      <c r="R381" s="344">
        <v>35</v>
      </c>
      <c r="S381" s="345">
        <v>35</v>
      </c>
      <c r="T381" s="362">
        <v>20</v>
      </c>
      <c r="U381" s="361">
        <v>94</v>
      </c>
      <c r="V381" s="346">
        <v>128.72659533128962</v>
      </c>
      <c r="W381" s="348">
        <v>127.33271238701548</v>
      </c>
      <c r="X381" s="347">
        <v>64.97</v>
      </c>
      <c r="Y381" s="357">
        <v>67.010000000000005</v>
      </c>
      <c r="Z381" s="365" t="s">
        <v>2689</v>
      </c>
      <c r="AA381" s="350">
        <v>100</v>
      </c>
      <c r="AB381" s="349" t="s">
        <v>2685</v>
      </c>
      <c r="AC381" s="350">
        <v>0</v>
      </c>
      <c r="AD381" s="349" t="s">
        <v>2685</v>
      </c>
      <c r="AE381" s="364">
        <v>0</v>
      </c>
      <c r="AF381" s="366">
        <v>0</v>
      </c>
      <c r="AG381" s="363">
        <v>0</v>
      </c>
      <c r="AH381" s="635" t="s">
        <v>408</v>
      </c>
      <c r="AI381" s="324"/>
      <c r="AL381" s="487" t="s">
        <v>14560</v>
      </c>
      <c r="AM381" s="477" t="s">
        <v>71</v>
      </c>
      <c r="AN381" s="637">
        <v>100</v>
      </c>
      <c r="AO381" s="478">
        <v>-958</v>
      </c>
      <c r="AP381" s="463">
        <v>-671</v>
      </c>
      <c r="AQ381" s="479">
        <v>-287</v>
      </c>
      <c r="AR381" s="476" t="s">
        <v>14575</v>
      </c>
      <c r="BA381" s="313" t="s">
        <v>3378</v>
      </c>
    </row>
    <row r="382" spans="2:53" ht="16.5" customHeight="1">
      <c r="B382" s="367" t="s">
        <v>3365</v>
      </c>
      <c r="C382" s="351" t="s">
        <v>3366</v>
      </c>
      <c r="D382" s="353">
        <v>-959</v>
      </c>
      <c r="E382" s="352" t="s">
        <v>3505</v>
      </c>
      <c r="F382" s="341">
        <v>94</v>
      </c>
      <c r="G382" s="355" t="s">
        <v>18494</v>
      </c>
      <c r="H382" s="356" t="s">
        <v>8892</v>
      </c>
      <c r="I382" s="354" t="s">
        <v>302</v>
      </c>
      <c r="J382" s="340" t="s">
        <v>8900</v>
      </c>
      <c r="K382" s="339" t="s">
        <v>71</v>
      </c>
      <c r="L382" s="357">
        <v>6</v>
      </c>
      <c r="M382" s="358" t="s">
        <v>8901</v>
      </c>
      <c r="N382" s="359">
        <v>600</v>
      </c>
      <c r="O382" s="360" t="s">
        <v>530</v>
      </c>
      <c r="P382" s="343" t="s">
        <v>531</v>
      </c>
      <c r="Q382" s="342" t="s">
        <v>2688</v>
      </c>
      <c r="R382" s="344">
        <v>37</v>
      </c>
      <c r="S382" s="345">
        <v>43</v>
      </c>
      <c r="T382" s="362">
        <v>20</v>
      </c>
      <c r="U382" s="361">
        <v>94</v>
      </c>
      <c r="V382" s="346">
        <v>128.72831079853628</v>
      </c>
      <c r="W382" s="348">
        <v>127.33428489865825</v>
      </c>
      <c r="X382" s="347">
        <v>64.959999999999994</v>
      </c>
      <c r="Y382" s="357">
        <v>67.87</v>
      </c>
      <c r="Z382" s="365" t="s">
        <v>2689</v>
      </c>
      <c r="AA382" s="350">
        <v>100</v>
      </c>
      <c r="AB382" s="349" t="s">
        <v>2685</v>
      </c>
      <c r="AC382" s="350">
        <v>10</v>
      </c>
      <c r="AD382" s="349" t="s">
        <v>2685</v>
      </c>
      <c r="AE382" s="364">
        <v>0</v>
      </c>
      <c r="AF382" s="366">
        <v>0</v>
      </c>
      <c r="AG382" s="363">
        <v>0</v>
      </c>
      <c r="AH382" s="635" t="s">
        <v>408</v>
      </c>
      <c r="AI382" s="324"/>
      <c r="AL382" s="487" t="s">
        <v>14561</v>
      </c>
      <c r="AM382" s="477" t="s">
        <v>71</v>
      </c>
      <c r="AN382" s="637">
        <v>100</v>
      </c>
      <c r="AO382" s="478">
        <v>-959</v>
      </c>
      <c r="AP382" s="463">
        <v>-671</v>
      </c>
      <c r="AQ382" s="479">
        <v>-288</v>
      </c>
      <c r="AR382" s="476" t="s">
        <v>14575</v>
      </c>
      <c r="BA382" s="313" t="s">
        <v>3380</v>
      </c>
    </row>
    <row r="383" spans="2:53" ht="16.5" customHeight="1">
      <c r="B383" s="367" t="s">
        <v>3374</v>
      </c>
      <c r="C383" s="351" t="s">
        <v>3375</v>
      </c>
      <c r="D383" s="353">
        <v>-960</v>
      </c>
      <c r="E383" s="352" t="s">
        <v>3507</v>
      </c>
      <c r="F383" s="341">
        <v>93.98</v>
      </c>
      <c r="G383" s="355" t="s">
        <v>18495</v>
      </c>
      <c r="H383" s="356" t="s">
        <v>18496</v>
      </c>
      <c r="I383" s="354" t="s">
        <v>302</v>
      </c>
      <c r="J383" s="340" t="s">
        <v>8902</v>
      </c>
      <c r="K383" s="339" t="s">
        <v>71</v>
      </c>
      <c r="L383" s="357">
        <v>47</v>
      </c>
      <c r="M383" s="358" t="s">
        <v>8903</v>
      </c>
      <c r="N383" s="359">
        <v>600</v>
      </c>
      <c r="O383" s="360" t="s">
        <v>530</v>
      </c>
      <c r="P383" s="343" t="s">
        <v>531</v>
      </c>
      <c r="Q383" s="342" t="s">
        <v>2688</v>
      </c>
      <c r="R383" s="344">
        <v>37</v>
      </c>
      <c r="S383" s="345">
        <v>43</v>
      </c>
      <c r="T383" s="362">
        <v>20</v>
      </c>
      <c r="U383" s="361">
        <v>93.98</v>
      </c>
      <c r="V383" s="346">
        <v>128.71000072980266</v>
      </c>
      <c r="W383" s="348">
        <v>127.31750066898579</v>
      </c>
      <c r="X383" s="347">
        <v>64.959999999999994</v>
      </c>
      <c r="Y383" s="357">
        <v>67.87</v>
      </c>
      <c r="Z383" s="365" t="s">
        <v>2689</v>
      </c>
      <c r="AA383" s="350">
        <v>100</v>
      </c>
      <c r="AB383" s="349" t="s">
        <v>2685</v>
      </c>
      <c r="AC383" s="350">
        <v>10</v>
      </c>
      <c r="AD383" s="349" t="s">
        <v>2685</v>
      </c>
      <c r="AE383" s="364">
        <v>0</v>
      </c>
      <c r="AF383" s="366">
        <v>0</v>
      </c>
      <c r="AG383" s="363">
        <v>0</v>
      </c>
      <c r="AH383" s="635" t="s">
        <v>408</v>
      </c>
      <c r="AI383" s="324"/>
      <c r="AL383" s="487" t="s">
        <v>14562</v>
      </c>
      <c r="AM383" s="477" t="s">
        <v>71</v>
      </c>
      <c r="AN383" s="637">
        <v>100</v>
      </c>
      <c r="AO383" s="478">
        <v>-960</v>
      </c>
      <c r="AP383" s="463">
        <v>-668</v>
      </c>
      <c r="AQ383" s="479">
        <v>-292</v>
      </c>
      <c r="AR383" s="476" t="s">
        <v>16869</v>
      </c>
      <c r="BA383" s="313" t="s">
        <v>3382</v>
      </c>
    </row>
    <row r="384" spans="2:53" ht="16.5" customHeight="1">
      <c r="B384" s="367" t="s">
        <v>3383</v>
      </c>
      <c r="C384" s="351" t="s">
        <v>3384</v>
      </c>
      <c r="D384" s="353">
        <v>-961</v>
      </c>
      <c r="E384" s="352" t="s">
        <v>3501</v>
      </c>
      <c r="F384" s="341">
        <v>93.94</v>
      </c>
      <c r="G384" s="355" t="s">
        <v>18497</v>
      </c>
      <c r="H384" s="356" t="s">
        <v>8952</v>
      </c>
      <c r="I384" s="354" t="s">
        <v>73</v>
      </c>
      <c r="J384" s="340" t="s">
        <v>8905</v>
      </c>
      <c r="K384" s="339" t="s">
        <v>71</v>
      </c>
      <c r="L384" s="357">
        <v>74</v>
      </c>
      <c r="M384" s="358" t="s">
        <v>8906</v>
      </c>
      <c r="N384" s="359">
        <v>900</v>
      </c>
      <c r="O384" s="360" t="s">
        <v>530</v>
      </c>
      <c r="P384" s="343" t="s">
        <v>531</v>
      </c>
      <c r="Q384" s="342" t="s">
        <v>2688</v>
      </c>
      <c r="R384" s="344">
        <v>33</v>
      </c>
      <c r="S384" s="345">
        <v>33</v>
      </c>
      <c r="T384" s="362">
        <v>17</v>
      </c>
      <c r="U384" s="361">
        <v>93.94</v>
      </c>
      <c r="V384" s="346">
        <v>128.67726330338633</v>
      </c>
      <c r="W384" s="348">
        <v>127.28749136143747</v>
      </c>
      <c r="X384" s="347">
        <v>64.94</v>
      </c>
      <c r="Y384" s="357">
        <v>65.5</v>
      </c>
      <c r="Z384" s="365" t="s">
        <v>2689</v>
      </c>
      <c r="AA384" s="350">
        <v>150</v>
      </c>
      <c r="AB384" s="349" t="s">
        <v>2685</v>
      </c>
      <c r="AC384" s="350">
        <v>0</v>
      </c>
      <c r="AD384" s="349" t="s">
        <v>2685</v>
      </c>
      <c r="AE384" s="364">
        <v>0</v>
      </c>
      <c r="AF384" s="366">
        <v>0</v>
      </c>
      <c r="AG384" s="363">
        <v>0</v>
      </c>
      <c r="AH384" s="635" t="s">
        <v>408</v>
      </c>
      <c r="AI384" s="324"/>
      <c r="AL384" s="487" t="s">
        <v>14563</v>
      </c>
      <c r="AM384" s="477" t="s">
        <v>71</v>
      </c>
      <c r="AN384" s="637">
        <v>100</v>
      </c>
      <c r="AO384" s="478">
        <v>-961</v>
      </c>
      <c r="AP384" s="463">
        <v>-668</v>
      </c>
      <c r="AQ384" s="479">
        <v>-293</v>
      </c>
      <c r="AR384" s="476" t="s">
        <v>16870</v>
      </c>
      <c r="BA384" s="313" t="s">
        <v>3385</v>
      </c>
    </row>
    <row r="385" spans="2:53" ht="16.5" customHeight="1">
      <c r="B385" s="367" t="s">
        <v>3387</v>
      </c>
      <c r="C385" s="351" t="s">
        <v>3388</v>
      </c>
      <c r="D385" s="353">
        <v>-962</v>
      </c>
      <c r="E385" s="352" t="s">
        <v>8907</v>
      </c>
      <c r="F385" s="341">
        <v>93.93</v>
      </c>
      <c r="G385" s="355" t="s">
        <v>18498</v>
      </c>
      <c r="H385" s="356" t="s">
        <v>8895</v>
      </c>
      <c r="I385" s="354" t="s">
        <v>75</v>
      </c>
      <c r="J385" s="340" t="s">
        <v>7984</v>
      </c>
      <c r="K385" s="339" t="s">
        <v>71</v>
      </c>
      <c r="L385" s="357">
        <v>84</v>
      </c>
      <c r="M385" s="358" t="s">
        <v>8908</v>
      </c>
      <c r="N385" s="359">
        <v>1000</v>
      </c>
      <c r="O385" s="360" t="s">
        <v>530</v>
      </c>
      <c r="P385" s="343" t="s">
        <v>531</v>
      </c>
      <c r="Q385" s="342" t="s">
        <v>2688</v>
      </c>
      <c r="R385" s="344">
        <v>36</v>
      </c>
      <c r="S385" s="345">
        <v>36</v>
      </c>
      <c r="T385" s="362">
        <v>29</v>
      </c>
      <c r="U385" s="361">
        <v>93.93</v>
      </c>
      <c r="V385" s="346">
        <v>128.66473049470832</v>
      </c>
      <c r="W385" s="348">
        <v>127.27600295348263</v>
      </c>
      <c r="X385" s="347">
        <v>64.930000000000007</v>
      </c>
      <c r="Y385" s="357">
        <v>65.48</v>
      </c>
      <c r="Z385" s="365" t="s">
        <v>2689</v>
      </c>
      <c r="AA385" s="350">
        <v>0</v>
      </c>
      <c r="AB385" s="349" t="s">
        <v>2685</v>
      </c>
      <c r="AC385" s="350">
        <v>10</v>
      </c>
      <c r="AD385" s="349" t="s">
        <v>2685</v>
      </c>
      <c r="AE385" s="364">
        <v>0</v>
      </c>
      <c r="AF385" s="366">
        <v>0</v>
      </c>
      <c r="AG385" s="363">
        <v>0</v>
      </c>
      <c r="AH385" s="635" t="s">
        <v>408</v>
      </c>
      <c r="AI385" s="324"/>
      <c r="AL385" s="487" t="s">
        <v>14564</v>
      </c>
      <c r="AM385" s="477" t="s">
        <v>71</v>
      </c>
      <c r="AN385" s="637">
        <v>100</v>
      </c>
      <c r="AO385" s="478">
        <v>-962</v>
      </c>
      <c r="AP385" s="463">
        <v>-666</v>
      </c>
      <c r="AQ385" s="479">
        <v>-296</v>
      </c>
      <c r="AR385" s="476" t="s">
        <v>14578</v>
      </c>
      <c r="BA385" s="313" t="s">
        <v>3386</v>
      </c>
    </row>
    <row r="386" spans="2:53" ht="16.5" customHeight="1">
      <c r="B386" s="367" t="s">
        <v>8909</v>
      </c>
      <c r="C386" s="351" t="s">
        <v>8910</v>
      </c>
      <c r="D386" s="353">
        <v>-963</v>
      </c>
      <c r="E386" s="352" t="s">
        <v>8911</v>
      </c>
      <c r="F386" s="341">
        <v>93.9</v>
      </c>
      <c r="G386" s="355" t="s">
        <v>18499</v>
      </c>
      <c r="H386" s="356" t="s">
        <v>8968</v>
      </c>
      <c r="I386" s="354" t="s">
        <v>302</v>
      </c>
      <c r="J386" s="340" t="s">
        <v>8912</v>
      </c>
      <c r="K386" s="339" t="s">
        <v>71</v>
      </c>
      <c r="L386" s="357">
        <v>17</v>
      </c>
      <c r="M386" s="358" t="s">
        <v>8913</v>
      </c>
      <c r="N386" s="359">
        <v>600</v>
      </c>
      <c r="O386" s="360" t="s">
        <v>530</v>
      </c>
      <c r="P386" s="343" t="s">
        <v>531</v>
      </c>
      <c r="Q386" s="342" t="s">
        <v>2688</v>
      </c>
      <c r="R386" s="344">
        <v>37</v>
      </c>
      <c r="S386" s="345">
        <v>43</v>
      </c>
      <c r="T386" s="362">
        <v>20</v>
      </c>
      <c r="U386" s="361">
        <v>93.9</v>
      </c>
      <c r="V386" s="346">
        <v>128.63337144525261</v>
      </c>
      <c r="W386" s="348">
        <v>127.24725715814823</v>
      </c>
      <c r="X386" s="347">
        <v>64.91</v>
      </c>
      <c r="Y386" s="357">
        <v>67.84</v>
      </c>
      <c r="Z386" s="365" t="s">
        <v>2689</v>
      </c>
      <c r="AA386" s="350">
        <v>100</v>
      </c>
      <c r="AB386" s="349" t="s">
        <v>2685</v>
      </c>
      <c r="AC386" s="350">
        <v>10</v>
      </c>
      <c r="AD386" s="349" t="s">
        <v>2685</v>
      </c>
      <c r="AE386" s="364">
        <v>0</v>
      </c>
      <c r="AF386" s="366">
        <v>0</v>
      </c>
      <c r="AG386" s="363">
        <v>0</v>
      </c>
      <c r="AH386" s="635" t="s">
        <v>408</v>
      </c>
      <c r="AI386" s="324"/>
      <c r="AL386" s="487" t="s">
        <v>14565</v>
      </c>
      <c r="AM386" s="477" t="s">
        <v>71</v>
      </c>
      <c r="AN386" s="637">
        <v>100</v>
      </c>
      <c r="AO386" s="478">
        <v>-963</v>
      </c>
      <c r="AP386" s="463">
        <v>-664</v>
      </c>
      <c r="AQ386" s="479">
        <v>-299</v>
      </c>
      <c r="AR386" s="476" t="s">
        <v>16871</v>
      </c>
      <c r="BA386" s="313" t="s">
        <v>3390</v>
      </c>
    </row>
    <row r="387" spans="2:53" ht="16.5" customHeight="1">
      <c r="B387" s="367" t="s">
        <v>8914</v>
      </c>
      <c r="C387" s="351" t="s">
        <v>8915</v>
      </c>
      <c r="D387" s="353">
        <v>-964</v>
      </c>
      <c r="E387" s="352" t="s">
        <v>408</v>
      </c>
      <c r="F387" s="341">
        <v>93.87</v>
      </c>
      <c r="G387" s="355" t="s">
        <v>3519</v>
      </c>
      <c r="H387" s="356" t="s">
        <v>8532</v>
      </c>
      <c r="I387" s="354" t="s">
        <v>77</v>
      </c>
      <c r="J387" s="340" t="s">
        <v>8916</v>
      </c>
      <c r="K387" s="339" t="s">
        <v>70</v>
      </c>
      <c r="L387" s="357">
        <v>83</v>
      </c>
      <c r="M387" s="358" t="s">
        <v>8917</v>
      </c>
      <c r="N387" s="359">
        <v>1000</v>
      </c>
      <c r="O387" s="360" t="s">
        <v>530</v>
      </c>
      <c r="P387" s="343" t="s">
        <v>531</v>
      </c>
      <c r="Q387" s="342" t="s">
        <v>2688</v>
      </c>
      <c r="R387" s="344">
        <v>20</v>
      </c>
      <c r="S387" s="345">
        <v>40</v>
      </c>
      <c r="T387" s="362">
        <v>30</v>
      </c>
      <c r="U387" s="361">
        <v>93.87</v>
      </c>
      <c r="V387" s="346">
        <v>128.60722672055823</v>
      </c>
      <c r="W387" s="348">
        <v>127.22329116051172</v>
      </c>
      <c r="X387" s="347">
        <v>64.459999999999994</v>
      </c>
      <c r="Y387" s="357">
        <v>65.760000000000005</v>
      </c>
      <c r="Z387" s="365" t="s">
        <v>2689</v>
      </c>
      <c r="AA387" s="350">
        <v>63.5</v>
      </c>
      <c r="AB387" s="349" t="s">
        <v>2685</v>
      </c>
      <c r="AC387" s="350">
        <v>0</v>
      </c>
      <c r="AD387" s="349" t="s">
        <v>2685</v>
      </c>
      <c r="AE387" s="364">
        <v>0</v>
      </c>
      <c r="AF387" s="366">
        <v>9.8640000000000008</v>
      </c>
      <c r="AG387" s="363">
        <v>0</v>
      </c>
      <c r="AH387" s="635" t="s">
        <v>7787</v>
      </c>
      <c r="AI387" s="324"/>
      <c r="AL387" s="487" t="s">
        <v>14566</v>
      </c>
      <c r="AM387" s="477" t="s">
        <v>70</v>
      </c>
      <c r="AN387" s="637">
        <v>100</v>
      </c>
      <c r="AO387" s="478">
        <v>-964</v>
      </c>
      <c r="AP387" s="463">
        <v>-964</v>
      </c>
      <c r="AQ387" s="479">
        <v>0</v>
      </c>
      <c r="AR387" s="476" t="s">
        <v>14567</v>
      </c>
      <c r="BA387" s="313" t="s">
        <v>3393</v>
      </c>
    </row>
    <row r="388" spans="2:53" ht="16.5" customHeight="1">
      <c r="B388" s="367" t="s">
        <v>3394</v>
      </c>
      <c r="C388" s="351" t="s">
        <v>3395</v>
      </c>
      <c r="D388" s="353">
        <v>-965</v>
      </c>
      <c r="E388" s="352" t="s">
        <v>8918</v>
      </c>
      <c r="F388" s="341">
        <v>93.83</v>
      </c>
      <c r="G388" s="355" t="s">
        <v>9168</v>
      </c>
      <c r="H388" s="356" t="s">
        <v>18500</v>
      </c>
      <c r="I388" s="354" t="s">
        <v>80</v>
      </c>
      <c r="J388" s="340" t="s">
        <v>8919</v>
      </c>
      <c r="K388" s="339" t="s">
        <v>71</v>
      </c>
      <c r="L388" s="357">
        <v>55</v>
      </c>
      <c r="M388" s="358" t="s">
        <v>8920</v>
      </c>
      <c r="N388" s="359">
        <v>1000</v>
      </c>
      <c r="O388" s="360" t="s">
        <v>532</v>
      </c>
      <c r="P388" s="343" t="s">
        <v>533</v>
      </c>
      <c r="Q388" s="342" t="s">
        <v>2688</v>
      </c>
      <c r="R388" s="344">
        <v>35</v>
      </c>
      <c r="S388" s="345">
        <v>35</v>
      </c>
      <c r="T388" s="362">
        <v>20</v>
      </c>
      <c r="U388" s="361">
        <v>93.83</v>
      </c>
      <c r="V388" s="346">
        <v>128.57188024351495</v>
      </c>
      <c r="W388" s="348">
        <v>127.19089022322206</v>
      </c>
      <c r="X388" s="347">
        <v>64.88</v>
      </c>
      <c r="Y388" s="357">
        <v>66.960000000000008</v>
      </c>
      <c r="Z388" s="365" t="s">
        <v>2689</v>
      </c>
      <c r="AA388" s="350">
        <v>100</v>
      </c>
      <c r="AB388" s="349" t="s">
        <v>2685</v>
      </c>
      <c r="AC388" s="350">
        <v>0</v>
      </c>
      <c r="AD388" s="349" t="s">
        <v>2685</v>
      </c>
      <c r="AE388" s="364">
        <v>0</v>
      </c>
      <c r="AF388" s="366">
        <v>0</v>
      </c>
      <c r="AG388" s="363">
        <v>0</v>
      </c>
      <c r="AH388" s="635" t="s">
        <v>408</v>
      </c>
      <c r="AI388" s="324"/>
      <c r="AL388" s="487" t="s">
        <v>14568</v>
      </c>
      <c r="AM388" s="477" t="s">
        <v>71</v>
      </c>
      <c r="AN388" s="637">
        <v>100</v>
      </c>
      <c r="AO388" s="478">
        <v>-965</v>
      </c>
      <c r="AP388" s="463">
        <v>-662</v>
      </c>
      <c r="AQ388" s="479">
        <v>-303</v>
      </c>
      <c r="AR388" s="476" t="s">
        <v>16872</v>
      </c>
      <c r="BA388" s="313" t="s">
        <v>3397</v>
      </c>
    </row>
    <row r="389" spans="2:53" ht="16.5" customHeight="1">
      <c r="B389" s="367" t="s">
        <v>8921</v>
      </c>
      <c r="C389" s="351" t="s">
        <v>8922</v>
      </c>
      <c r="D389" s="353">
        <v>-966</v>
      </c>
      <c r="E389" s="352" t="s">
        <v>8923</v>
      </c>
      <c r="F389" s="341">
        <v>93.82</v>
      </c>
      <c r="G389" s="355" t="s">
        <v>18501</v>
      </c>
      <c r="H389" s="356" t="s">
        <v>3389</v>
      </c>
      <c r="I389" s="354" t="s">
        <v>73</v>
      </c>
      <c r="J389" s="340" t="s">
        <v>8925</v>
      </c>
      <c r="K389" s="339" t="s">
        <v>71</v>
      </c>
      <c r="L389" s="357">
        <v>23</v>
      </c>
      <c r="M389" s="358" t="s">
        <v>8926</v>
      </c>
      <c r="N389" s="359">
        <v>1000</v>
      </c>
      <c r="O389" s="360" t="s">
        <v>530</v>
      </c>
      <c r="P389" s="343" t="s">
        <v>531</v>
      </c>
      <c r="Q389" s="342" t="s">
        <v>2688</v>
      </c>
      <c r="R389" s="344">
        <v>38</v>
      </c>
      <c r="S389" s="345">
        <v>25</v>
      </c>
      <c r="T389" s="362">
        <v>25</v>
      </c>
      <c r="U389" s="361">
        <v>93.82</v>
      </c>
      <c r="V389" s="346">
        <v>128.55937375716599</v>
      </c>
      <c r="W389" s="348">
        <v>127.17942594406884</v>
      </c>
      <c r="X389" s="347">
        <v>64.88</v>
      </c>
      <c r="Y389" s="357">
        <v>65.440000000000012</v>
      </c>
      <c r="Z389" s="365" t="s">
        <v>2689</v>
      </c>
      <c r="AA389" s="350">
        <v>125</v>
      </c>
      <c r="AB389" s="349" t="s">
        <v>2685</v>
      </c>
      <c r="AC389" s="350">
        <v>0</v>
      </c>
      <c r="AD389" s="349" t="s">
        <v>2685</v>
      </c>
      <c r="AE389" s="364">
        <v>0</v>
      </c>
      <c r="AF389" s="366">
        <v>4.9080000000000004</v>
      </c>
      <c r="AG389" s="363">
        <v>0</v>
      </c>
      <c r="AH389" s="635" t="s">
        <v>8698</v>
      </c>
      <c r="AI389" s="324"/>
      <c r="AL389" s="487" t="s">
        <v>14569</v>
      </c>
      <c r="AM389" s="477" t="s">
        <v>71</v>
      </c>
      <c r="AN389" s="637">
        <v>100</v>
      </c>
      <c r="AO389" s="478">
        <v>-966</v>
      </c>
      <c r="AP389" s="463">
        <v>-662</v>
      </c>
      <c r="AQ389" s="479">
        <v>-304</v>
      </c>
      <c r="AR389" s="476" t="s">
        <v>16873</v>
      </c>
      <c r="BA389" s="313" t="s">
        <v>3399</v>
      </c>
    </row>
    <row r="390" spans="2:53" ht="16.5" customHeight="1">
      <c r="B390" s="367" t="s">
        <v>3406</v>
      </c>
      <c r="C390" s="351" t="s">
        <v>3407</v>
      </c>
      <c r="D390" s="353">
        <v>-967</v>
      </c>
      <c r="E390" s="352" t="s">
        <v>3558</v>
      </c>
      <c r="F390" s="341">
        <v>93.79</v>
      </c>
      <c r="G390" s="355" t="s">
        <v>8897</v>
      </c>
      <c r="H390" s="356" t="s">
        <v>8556</v>
      </c>
      <c r="I390" s="354" t="s">
        <v>75</v>
      </c>
      <c r="J390" s="340" t="s">
        <v>562</v>
      </c>
      <c r="K390" s="339" t="s">
        <v>71</v>
      </c>
      <c r="L390" s="357">
        <v>6</v>
      </c>
      <c r="M390" s="358" t="s">
        <v>8929</v>
      </c>
      <c r="N390" s="359">
        <v>1000</v>
      </c>
      <c r="O390" s="360" t="s">
        <v>530</v>
      </c>
      <c r="P390" s="343" t="s">
        <v>531</v>
      </c>
      <c r="Q390" s="342" t="s">
        <v>2688</v>
      </c>
      <c r="R390" s="344">
        <v>36</v>
      </c>
      <c r="S390" s="345">
        <v>36</v>
      </c>
      <c r="T390" s="362">
        <v>29</v>
      </c>
      <c r="U390" s="361">
        <v>93.79</v>
      </c>
      <c r="V390" s="346">
        <v>128.53241447206497</v>
      </c>
      <c r="W390" s="348">
        <v>127.15471326605956</v>
      </c>
      <c r="X390" s="347">
        <v>64.86</v>
      </c>
      <c r="Y390" s="357">
        <v>65.42</v>
      </c>
      <c r="Z390" s="365" t="s">
        <v>2689</v>
      </c>
      <c r="AA390" s="350">
        <v>0</v>
      </c>
      <c r="AB390" s="349" t="s">
        <v>2685</v>
      </c>
      <c r="AC390" s="350">
        <v>10</v>
      </c>
      <c r="AD390" s="349" t="s">
        <v>2685</v>
      </c>
      <c r="AE390" s="364">
        <v>0</v>
      </c>
      <c r="AF390" s="366">
        <v>0</v>
      </c>
      <c r="AG390" s="363">
        <v>0</v>
      </c>
      <c r="AH390" s="635" t="s">
        <v>408</v>
      </c>
      <c r="AI390" s="324"/>
      <c r="AL390" s="487" t="s">
        <v>14570</v>
      </c>
      <c r="AM390" s="477" t="s">
        <v>71</v>
      </c>
      <c r="AN390" s="637">
        <v>100</v>
      </c>
      <c r="AO390" s="478">
        <v>-967</v>
      </c>
      <c r="AP390" s="463">
        <v>-661</v>
      </c>
      <c r="AQ390" s="479">
        <v>-306</v>
      </c>
      <c r="AR390" s="476" t="s">
        <v>16874</v>
      </c>
      <c r="BA390" s="313" t="s">
        <v>3400</v>
      </c>
    </row>
    <row r="391" spans="2:53" ht="16.5" customHeight="1">
      <c r="B391" s="367" t="s">
        <v>8930</v>
      </c>
      <c r="C391" s="351" t="s">
        <v>8931</v>
      </c>
      <c r="D391" s="353">
        <v>-968</v>
      </c>
      <c r="E391" s="352" t="s">
        <v>8932</v>
      </c>
      <c r="F391" s="341">
        <v>93.71</v>
      </c>
      <c r="G391" s="355" t="s">
        <v>3492</v>
      </c>
      <c r="H391" s="356" t="s">
        <v>3392</v>
      </c>
      <c r="I391" s="354" t="s">
        <v>75</v>
      </c>
      <c r="J391" s="340" t="s">
        <v>8934</v>
      </c>
      <c r="K391" s="339" t="s">
        <v>71</v>
      </c>
      <c r="L391" s="357">
        <v>10</v>
      </c>
      <c r="M391" s="358" t="s">
        <v>8935</v>
      </c>
      <c r="N391" s="359">
        <v>1000</v>
      </c>
      <c r="O391" s="360" t="s">
        <v>530</v>
      </c>
      <c r="P391" s="343" t="s">
        <v>531</v>
      </c>
      <c r="Q391" s="342" t="s">
        <v>2688</v>
      </c>
      <c r="R391" s="344">
        <v>36</v>
      </c>
      <c r="S391" s="345">
        <v>36</v>
      </c>
      <c r="T391" s="362">
        <v>29</v>
      </c>
      <c r="U391" s="361">
        <v>93.71</v>
      </c>
      <c r="V391" s="346">
        <v>128.46005414718189</v>
      </c>
      <c r="W391" s="348">
        <v>127.08838296825007</v>
      </c>
      <c r="X391" s="347">
        <v>64.83</v>
      </c>
      <c r="Y391" s="357">
        <v>65.38000000000001</v>
      </c>
      <c r="Z391" s="365" t="s">
        <v>2689</v>
      </c>
      <c r="AA391" s="350">
        <v>0</v>
      </c>
      <c r="AB391" s="349" t="s">
        <v>2685</v>
      </c>
      <c r="AC391" s="350">
        <v>10</v>
      </c>
      <c r="AD391" s="349" t="s">
        <v>2685</v>
      </c>
      <c r="AE391" s="364">
        <v>0</v>
      </c>
      <c r="AF391" s="366">
        <v>0</v>
      </c>
      <c r="AG391" s="363">
        <v>0</v>
      </c>
      <c r="AH391" s="635" t="s">
        <v>408</v>
      </c>
      <c r="AI391" s="324"/>
      <c r="AL391" s="487" t="s">
        <v>14572</v>
      </c>
      <c r="AM391" s="477" t="s">
        <v>71</v>
      </c>
      <c r="AN391" s="637">
        <v>100</v>
      </c>
      <c r="AO391" s="478">
        <v>-968</v>
      </c>
      <c r="AP391" s="463">
        <v>-656</v>
      </c>
      <c r="AQ391" s="479">
        <v>-312</v>
      </c>
      <c r="AR391" s="476" t="s">
        <v>16875</v>
      </c>
      <c r="BA391" s="313" t="s">
        <v>3402</v>
      </c>
    </row>
    <row r="392" spans="2:53" ht="16.5" customHeight="1">
      <c r="B392" s="367" t="s">
        <v>3406</v>
      </c>
      <c r="C392" s="351" t="s">
        <v>3407</v>
      </c>
      <c r="D392" s="353">
        <v>-969</v>
      </c>
      <c r="E392" s="352" t="s">
        <v>8936</v>
      </c>
      <c r="F392" s="341">
        <v>93.67</v>
      </c>
      <c r="G392" s="355" t="s">
        <v>3505</v>
      </c>
      <c r="H392" s="356" t="s">
        <v>9005</v>
      </c>
      <c r="I392" s="354" t="s">
        <v>83</v>
      </c>
      <c r="J392" s="340" t="s">
        <v>8938</v>
      </c>
      <c r="K392" s="339" t="s">
        <v>71</v>
      </c>
      <c r="L392" s="357">
        <v>16</v>
      </c>
      <c r="M392" s="358" t="s">
        <v>8939</v>
      </c>
      <c r="N392" s="359">
        <v>1000</v>
      </c>
      <c r="O392" s="360" t="s">
        <v>532</v>
      </c>
      <c r="P392" s="343" t="s">
        <v>533</v>
      </c>
      <c r="Q392" s="342" t="s">
        <v>2688</v>
      </c>
      <c r="R392" s="344">
        <v>35</v>
      </c>
      <c r="S392" s="345">
        <v>40</v>
      </c>
      <c r="T392" s="362">
        <v>10</v>
      </c>
      <c r="U392" s="361">
        <v>93.67</v>
      </c>
      <c r="V392" s="346">
        <v>128.42303576604763</v>
      </c>
      <c r="W392" s="348">
        <v>127.05444945221032</v>
      </c>
      <c r="X392" s="347">
        <v>64.81</v>
      </c>
      <c r="Y392" s="357">
        <v>64.92</v>
      </c>
      <c r="Z392" s="365" t="s">
        <v>3017</v>
      </c>
      <c r="AA392" s="350">
        <v>148</v>
      </c>
      <c r="AB392" s="349" t="s">
        <v>2685</v>
      </c>
      <c r="AC392" s="350">
        <v>0</v>
      </c>
      <c r="AD392" s="349" t="s">
        <v>2685</v>
      </c>
      <c r="AE392" s="364">
        <v>0</v>
      </c>
      <c r="AF392" s="366">
        <v>2.7869999999999999</v>
      </c>
      <c r="AG392" s="363">
        <v>0</v>
      </c>
      <c r="AH392" s="635" t="s">
        <v>8698</v>
      </c>
      <c r="AI392" s="324"/>
      <c r="AL392" s="487" t="s">
        <v>14574</v>
      </c>
      <c r="AM392" s="477" t="s">
        <v>71</v>
      </c>
      <c r="AN392" s="637">
        <v>100</v>
      </c>
      <c r="AO392" s="478">
        <v>-969</v>
      </c>
      <c r="AP392" s="463">
        <v>-656</v>
      </c>
      <c r="AQ392" s="479">
        <v>-313</v>
      </c>
      <c r="AR392" s="476" t="s">
        <v>16876</v>
      </c>
      <c r="BA392" s="313" t="s">
        <v>3405</v>
      </c>
    </row>
    <row r="393" spans="2:53" ht="16.5" customHeight="1">
      <c r="B393" s="367" t="s">
        <v>8940</v>
      </c>
      <c r="C393" s="351" t="s">
        <v>8941</v>
      </c>
      <c r="D393" s="353">
        <v>-970</v>
      </c>
      <c r="E393" s="352" t="s">
        <v>8942</v>
      </c>
      <c r="F393" s="341">
        <v>93.66</v>
      </c>
      <c r="G393" s="355" t="s">
        <v>3505</v>
      </c>
      <c r="H393" s="356" t="s">
        <v>9005</v>
      </c>
      <c r="I393" s="354" t="s">
        <v>77</v>
      </c>
      <c r="J393" s="340" t="s">
        <v>8772</v>
      </c>
      <c r="K393" s="339" t="s">
        <v>71</v>
      </c>
      <c r="L393" s="357">
        <v>15</v>
      </c>
      <c r="M393" s="358" t="s">
        <v>8943</v>
      </c>
      <c r="N393" s="359">
        <v>1000</v>
      </c>
      <c r="O393" s="360" t="s">
        <v>530</v>
      </c>
      <c r="P393" s="343" t="s">
        <v>531</v>
      </c>
      <c r="Q393" s="342" t="s">
        <v>2688</v>
      </c>
      <c r="R393" s="344">
        <v>35</v>
      </c>
      <c r="S393" s="345">
        <v>25</v>
      </c>
      <c r="T393" s="362">
        <v>30</v>
      </c>
      <c r="U393" s="361">
        <v>93.66</v>
      </c>
      <c r="V393" s="346">
        <v>128.42110822587034</v>
      </c>
      <c r="W393" s="348">
        <v>127.05268254038114</v>
      </c>
      <c r="X393" s="347">
        <v>64.81</v>
      </c>
      <c r="Y393" s="357">
        <v>65.7</v>
      </c>
      <c r="Z393" s="365" t="s">
        <v>2689</v>
      </c>
      <c r="AA393" s="350">
        <v>63.5</v>
      </c>
      <c r="AB393" s="349" t="s">
        <v>2685</v>
      </c>
      <c r="AC393" s="350">
        <v>0</v>
      </c>
      <c r="AD393" s="349" t="s">
        <v>2685</v>
      </c>
      <c r="AE393" s="364">
        <v>0</v>
      </c>
      <c r="AF393" s="366">
        <v>0</v>
      </c>
      <c r="AG393" s="363">
        <v>0</v>
      </c>
      <c r="AH393" s="635" t="s">
        <v>408</v>
      </c>
      <c r="AI393" s="324"/>
      <c r="AL393" s="487" t="s">
        <v>14576</v>
      </c>
      <c r="AM393" s="477" t="s">
        <v>71</v>
      </c>
      <c r="AN393" s="637">
        <v>100</v>
      </c>
      <c r="AO393" s="478">
        <v>-970</v>
      </c>
      <c r="AP393" s="463">
        <v>-657</v>
      </c>
      <c r="AQ393" s="479">
        <v>-313</v>
      </c>
      <c r="AR393" s="476" t="s">
        <v>16876</v>
      </c>
      <c r="BA393" s="313" t="s">
        <v>3408</v>
      </c>
    </row>
    <row r="394" spans="2:53" ht="16.5" customHeight="1">
      <c r="B394" s="367" t="s">
        <v>8944</v>
      </c>
      <c r="C394" s="351" t="s">
        <v>8945</v>
      </c>
      <c r="D394" s="353">
        <v>-971</v>
      </c>
      <c r="E394" s="352" t="s">
        <v>8946</v>
      </c>
      <c r="F394" s="341">
        <v>93.6</v>
      </c>
      <c r="G394" s="355" t="s">
        <v>9271</v>
      </c>
      <c r="H394" s="356" t="s">
        <v>3403</v>
      </c>
      <c r="I394" s="354" t="s">
        <v>302</v>
      </c>
      <c r="J394" s="340" t="s">
        <v>8947</v>
      </c>
      <c r="K394" s="339" t="s">
        <v>71</v>
      </c>
      <c r="L394" s="357">
        <v>28</v>
      </c>
      <c r="M394" s="358" t="s">
        <v>8948</v>
      </c>
      <c r="N394" s="359">
        <v>600</v>
      </c>
      <c r="O394" s="360" t="s">
        <v>530</v>
      </c>
      <c r="P394" s="343" t="s">
        <v>531</v>
      </c>
      <c r="Q394" s="342" t="s">
        <v>2688</v>
      </c>
      <c r="R394" s="344">
        <v>37</v>
      </c>
      <c r="S394" s="345">
        <v>43</v>
      </c>
      <c r="T394" s="362">
        <v>20</v>
      </c>
      <c r="U394" s="361">
        <v>93.6</v>
      </c>
      <c r="V394" s="346">
        <v>128.36699345610236</v>
      </c>
      <c r="W394" s="348">
        <v>127.00307733476049</v>
      </c>
      <c r="X394" s="347">
        <v>64.78</v>
      </c>
      <c r="Y394" s="357">
        <v>67.740000000000009</v>
      </c>
      <c r="Z394" s="365" t="s">
        <v>2689</v>
      </c>
      <c r="AA394" s="350">
        <v>100</v>
      </c>
      <c r="AB394" s="349" t="s">
        <v>2685</v>
      </c>
      <c r="AC394" s="350">
        <v>10</v>
      </c>
      <c r="AD394" s="349" t="s">
        <v>2685</v>
      </c>
      <c r="AE394" s="364">
        <v>0</v>
      </c>
      <c r="AF394" s="366">
        <v>0</v>
      </c>
      <c r="AG394" s="363">
        <v>0</v>
      </c>
      <c r="AH394" s="635" t="s">
        <v>408</v>
      </c>
      <c r="AI394" s="324"/>
      <c r="AL394" s="487" t="s">
        <v>14577</v>
      </c>
      <c r="AM394" s="477" t="s">
        <v>71</v>
      </c>
      <c r="AN394" s="637">
        <v>100</v>
      </c>
      <c r="AO394" s="478">
        <v>-971</v>
      </c>
      <c r="AP394" s="463">
        <v>-653</v>
      </c>
      <c r="AQ394" s="479">
        <v>-318</v>
      </c>
      <c r="AR394" s="476" t="s">
        <v>14593</v>
      </c>
      <c r="BA394" s="313" t="s">
        <v>3410</v>
      </c>
    </row>
    <row r="395" spans="2:53" ht="16.5" customHeight="1">
      <c r="B395" s="367" t="s">
        <v>8949</v>
      </c>
      <c r="C395" s="351" t="s">
        <v>8950</v>
      </c>
      <c r="D395" s="353">
        <v>-972</v>
      </c>
      <c r="E395" s="352" t="s">
        <v>8951</v>
      </c>
      <c r="F395" s="341">
        <v>93.58</v>
      </c>
      <c r="G395" s="355" t="s">
        <v>8911</v>
      </c>
      <c r="H395" s="356" t="s">
        <v>18502</v>
      </c>
      <c r="I395" s="354" t="s">
        <v>73</v>
      </c>
      <c r="J395" s="340" t="s">
        <v>8953</v>
      </c>
      <c r="K395" s="339" t="s">
        <v>71</v>
      </c>
      <c r="L395" s="357">
        <v>14</v>
      </c>
      <c r="M395" s="358" t="s">
        <v>8954</v>
      </c>
      <c r="N395" s="359">
        <v>1000</v>
      </c>
      <c r="O395" s="360" t="s">
        <v>530</v>
      </c>
      <c r="P395" s="343" t="s">
        <v>531</v>
      </c>
      <c r="Q395" s="342" t="s">
        <v>2688</v>
      </c>
      <c r="R395" s="344">
        <v>38</v>
      </c>
      <c r="S395" s="345">
        <v>25</v>
      </c>
      <c r="T395" s="362">
        <v>25</v>
      </c>
      <c r="U395" s="361">
        <v>93.58</v>
      </c>
      <c r="V395" s="346">
        <v>128.34108646234534</v>
      </c>
      <c r="W395" s="348">
        <v>126.96456444082841</v>
      </c>
      <c r="X395" s="347">
        <v>64.77</v>
      </c>
      <c r="Y395" s="357">
        <v>65.34</v>
      </c>
      <c r="Z395" s="365" t="s">
        <v>2689</v>
      </c>
      <c r="AA395" s="350">
        <v>125</v>
      </c>
      <c r="AB395" s="349" t="s">
        <v>2685</v>
      </c>
      <c r="AC395" s="350">
        <v>0</v>
      </c>
      <c r="AD395" s="349" t="s">
        <v>2685</v>
      </c>
      <c r="AE395" s="364">
        <v>0</v>
      </c>
      <c r="AF395" s="366">
        <v>4.9009999999999998</v>
      </c>
      <c r="AG395" s="363">
        <v>0</v>
      </c>
      <c r="AH395" s="635" t="s">
        <v>8698</v>
      </c>
      <c r="AI395" s="324"/>
      <c r="AL395" s="487" t="s">
        <v>14579</v>
      </c>
      <c r="AM395" s="477" t="s">
        <v>71</v>
      </c>
      <c r="AN395" s="637">
        <v>100</v>
      </c>
      <c r="AO395" s="478">
        <v>-972</v>
      </c>
      <c r="AP395" s="463">
        <v>-653</v>
      </c>
      <c r="AQ395" s="479">
        <v>-319</v>
      </c>
      <c r="AR395" s="476" t="s">
        <v>17163</v>
      </c>
      <c r="BA395" s="313" t="s">
        <v>3413</v>
      </c>
    </row>
    <row r="396" spans="2:53" ht="16.5" customHeight="1">
      <c r="B396" s="367" t="s">
        <v>3411</v>
      </c>
      <c r="C396" s="351" t="s">
        <v>3412</v>
      </c>
      <c r="D396" s="353">
        <v>-973</v>
      </c>
      <c r="E396" s="352" t="s">
        <v>8955</v>
      </c>
      <c r="F396" s="341">
        <v>93.56</v>
      </c>
      <c r="G396" s="355" t="s">
        <v>18503</v>
      </c>
      <c r="H396" s="356" t="s">
        <v>8642</v>
      </c>
      <c r="I396" s="354" t="s">
        <v>83</v>
      </c>
      <c r="J396" s="340" t="s">
        <v>8957</v>
      </c>
      <c r="K396" s="339" t="s">
        <v>71</v>
      </c>
      <c r="L396" s="357">
        <v>29</v>
      </c>
      <c r="M396" s="358" t="s">
        <v>8958</v>
      </c>
      <c r="N396" s="359">
        <v>1000</v>
      </c>
      <c r="O396" s="360" t="s">
        <v>532</v>
      </c>
      <c r="P396" s="343" t="s">
        <v>533</v>
      </c>
      <c r="Q396" s="342" t="s">
        <v>2688</v>
      </c>
      <c r="R396" s="344">
        <v>35</v>
      </c>
      <c r="S396" s="345">
        <v>40</v>
      </c>
      <c r="T396" s="362">
        <v>10</v>
      </c>
      <c r="U396" s="361">
        <v>93.56</v>
      </c>
      <c r="V396" s="346">
        <v>128.32794479540721</v>
      </c>
      <c r="W396" s="348">
        <v>126.9439132499256</v>
      </c>
      <c r="X396" s="347">
        <v>64.760000000000005</v>
      </c>
      <c r="Y396" s="357">
        <v>64.87</v>
      </c>
      <c r="Z396" s="365" t="s">
        <v>3017</v>
      </c>
      <c r="AA396" s="350">
        <v>148</v>
      </c>
      <c r="AB396" s="349" t="s">
        <v>2685</v>
      </c>
      <c r="AC396" s="350">
        <v>0</v>
      </c>
      <c r="AD396" s="349" t="s">
        <v>2685</v>
      </c>
      <c r="AE396" s="364">
        <v>0</v>
      </c>
      <c r="AF396" s="366">
        <v>2.7850000000000001</v>
      </c>
      <c r="AG396" s="363">
        <v>0</v>
      </c>
      <c r="AH396" s="635" t="s">
        <v>8698</v>
      </c>
      <c r="AI396" s="324"/>
      <c r="AL396" s="487" t="s">
        <v>14580</v>
      </c>
      <c r="AM396" s="477" t="s">
        <v>71</v>
      </c>
      <c r="AN396" s="637">
        <v>100</v>
      </c>
      <c r="AO396" s="478">
        <v>-973</v>
      </c>
      <c r="AP396" s="463">
        <v>-654</v>
      </c>
      <c r="AQ396" s="479">
        <v>-319</v>
      </c>
      <c r="AR396" s="476" t="s">
        <v>16877</v>
      </c>
      <c r="BA396" s="313" t="s">
        <v>3414</v>
      </c>
    </row>
    <row r="397" spans="2:53" ht="16.5" customHeight="1">
      <c r="B397" s="367" t="s">
        <v>8959</v>
      </c>
      <c r="C397" s="351" t="s">
        <v>8960</v>
      </c>
      <c r="D397" s="353">
        <v>-974</v>
      </c>
      <c r="E397" s="352" t="s">
        <v>8961</v>
      </c>
      <c r="F397" s="341">
        <v>93.54</v>
      </c>
      <c r="G397" s="355" t="s">
        <v>18504</v>
      </c>
      <c r="H397" s="356" t="s">
        <v>8648</v>
      </c>
      <c r="I397" s="354" t="s">
        <v>77</v>
      </c>
      <c r="J397" s="340" t="s">
        <v>483</v>
      </c>
      <c r="K397" s="339" t="s">
        <v>71</v>
      </c>
      <c r="L397" s="357">
        <v>217</v>
      </c>
      <c r="M397" s="358" t="s">
        <v>8963</v>
      </c>
      <c r="N397" s="359">
        <v>1000</v>
      </c>
      <c r="O397" s="360" t="s">
        <v>530</v>
      </c>
      <c r="P397" s="343" t="s">
        <v>531</v>
      </c>
      <c r="Q397" s="342" t="s">
        <v>2688</v>
      </c>
      <c r="R397" s="344">
        <v>35</v>
      </c>
      <c r="S397" s="345">
        <v>25</v>
      </c>
      <c r="T397" s="362">
        <v>30</v>
      </c>
      <c r="U397" s="361">
        <v>93.54</v>
      </c>
      <c r="V397" s="346">
        <v>128.31100908893509</v>
      </c>
      <c r="W397" s="348">
        <v>126.917299996898</v>
      </c>
      <c r="X397" s="347">
        <v>64.75</v>
      </c>
      <c r="Y397" s="357">
        <v>65.67</v>
      </c>
      <c r="Z397" s="365" t="s">
        <v>2689</v>
      </c>
      <c r="AA397" s="350">
        <v>63.5</v>
      </c>
      <c r="AB397" s="349" t="s">
        <v>2685</v>
      </c>
      <c r="AC397" s="350">
        <v>0</v>
      </c>
      <c r="AD397" s="349" t="s">
        <v>2685</v>
      </c>
      <c r="AE397" s="364">
        <v>0</v>
      </c>
      <c r="AF397" s="366">
        <v>0</v>
      </c>
      <c r="AG397" s="363">
        <v>0</v>
      </c>
      <c r="AH397" s="635" t="s">
        <v>408</v>
      </c>
      <c r="AI397" s="324"/>
      <c r="AL397" s="487" t="s">
        <v>14581</v>
      </c>
      <c r="AM397" s="477" t="s">
        <v>71</v>
      </c>
      <c r="AN397" s="637">
        <v>100</v>
      </c>
      <c r="AO397" s="478">
        <v>-974</v>
      </c>
      <c r="AP397" s="463">
        <v>-654</v>
      </c>
      <c r="AQ397" s="479">
        <v>-320</v>
      </c>
      <c r="AR397" s="476" t="s">
        <v>16878</v>
      </c>
      <c r="BA397" s="313" t="s">
        <v>3416</v>
      </c>
    </row>
    <row r="398" spans="2:53" ht="16.5" customHeight="1">
      <c r="B398" s="367" t="s">
        <v>8964</v>
      </c>
      <c r="C398" s="351" t="s">
        <v>8965</v>
      </c>
      <c r="D398" s="353">
        <v>-975</v>
      </c>
      <c r="E398" s="352" t="s">
        <v>8966</v>
      </c>
      <c r="F398" s="341">
        <v>93.51</v>
      </c>
      <c r="G398" s="355" t="s">
        <v>9225</v>
      </c>
      <c r="H398" s="356" t="s">
        <v>18505</v>
      </c>
      <c r="I398" s="354" t="s">
        <v>77</v>
      </c>
      <c r="J398" s="340" t="s">
        <v>8969</v>
      </c>
      <c r="K398" s="339" t="s">
        <v>71</v>
      </c>
      <c r="L398" s="357">
        <v>15</v>
      </c>
      <c r="M398" s="358" t="s">
        <v>5772</v>
      </c>
      <c r="N398" s="359">
        <v>1000</v>
      </c>
      <c r="O398" s="360" t="s">
        <v>530</v>
      </c>
      <c r="P398" s="343" t="s">
        <v>531</v>
      </c>
      <c r="Q398" s="342" t="s">
        <v>2688</v>
      </c>
      <c r="R398" s="344">
        <v>35</v>
      </c>
      <c r="S398" s="345">
        <v>25</v>
      </c>
      <c r="T398" s="362">
        <v>30</v>
      </c>
      <c r="U398" s="361">
        <v>93.51</v>
      </c>
      <c r="V398" s="346">
        <v>128.28495207370415</v>
      </c>
      <c r="W398" s="348">
        <v>126.87635325867792</v>
      </c>
      <c r="X398" s="347">
        <v>64.73</v>
      </c>
      <c r="Y398" s="357">
        <v>65.660000000000011</v>
      </c>
      <c r="Z398" s="365" t="s">
        <v>2689</v>
      </c>
      <c r="AA398" s="350">
        <v>63.5</v>
      </c>
      <c r="AB398" s="349" t="s">
        <v>2685</v>
      </c>
      <c r="AC398" s="350">
        <v>0</v>
      </c>
      <c r="AD398" s="349" t="s">
        <v>2685</v>
      </c>
      <c r="AE398" s="364">
        <v>0</v>
      </c>
      <c r="AF398" s="366">
        <v>0</v>
      </c>
      <c r="AG398" s="363">
        <v>0</v>
      </c>
      <c r="AH398" s="635" t="s">
        <v>408</v>
      </c>
      <c r="AI398" s="324"/>
      <c r="AL398" s="487" t="s">
        <v>14582</v>
      </c>
      <c r="AM398" s="477" t="s">
        <v>71</v>
      </c>
      <c r="AN398" s="637">
        <v>100</v>
      </c>
      <c r="AO398" s="478">
        <v>-975</v>
      </c>
      <c r="AP398" s="463">
        <v>-651</v>
      </c>
      <c r="AQ398" s="479">
        <v>-324</v>
      </c>
      <c r="AR398" s="476" t="s">
        <v>16879</v>
      </c>
      <c r="BA398" s="313" t="s">
        <v>3417</v>
      </c>
    </row>
    <row r="399" spans="2:53" ht="16.5" customHeight="1">
      <c r="B399" s="367" t="s">
        <v>8970</v>
      </c>
      <c r="C399" s="351" t="s">
        <v>8971</v>
      </c>
      <c r="D399" s="353">
        <v>-976</v>
      </c>
      <c r="E399" s="352" t="s">
        <v>3588</v>
      </c>
      <c r="F399" s="341">
        <v>93.5</v>
      </c>
      <c r="G399" s="355" t="s">
        <v>3528</v>
      </c>
      <c r="H399" s="356" t="s">
        <v>9016</v>
      </c>
      <c r="I399" s="354" t="s">
        <v>80</v>
      </c>
      <c r="J399" s="340" t="s">
        <v>8633</v>
      </c>
      <c r="K399" s="339" t="s">
        <v>71</v>
      </c>
      <c r="L399" s="357">
        <v>13</v>
      </c>
      <c r="M399" s="358" t="s">
        <v>8972</v>
      </c>
      <c r="N399" s="359">
        <v>1000</v>
      </c>
      <c r="O399" s="360" t="s">
        <v>532</v>
      </c>
      <c r="P399" s="343" t="s">
        <v>533</v>
      </c>
      <c r="Q399" s="342" t="s">
        <v>2688</v>
      </c>
      <c r="R399" s="344">
        <v>35</v>
      </c>
      <c r="S399" s="345">
        <v>30</v>
      </c>
      <c r="T399" s="362">
        <v>25</v>
      </c>
      <c r="U399" s="361">
        <v>93.5</v>
      </c>
      <c r="V399" s="346">
        <v>128.27537020197556</v>
      </c>
      <c r="W399" s="348">
        <v>126.86129603167589</v>
      </c>
      <c r="X399" s="347">
        <v>64.73</v>
      </c>
      <c r="Y399" s="357">
        <v>66.86</v>
      </c>
      <c r="Z399" s="365" t="s">
        <v>2689</v>
      </c>
      <c r="AA399" s="350">
        <v>100</v>
      </c>
      <c r="AB399" s="349" t="s">
        <v>2685</v>
      </c>
      <c r="AC399" s="350">
        <v>0</v>
      </c>
      <c r="AD399" s="349" t="s">
        <v>2685</v>
      </c>
      <c r="AE399" s="364">
        <v>0</v>
      </c>
      <c r="AF399" s="366">
        <v>0</v>
      </c>
      <c r="AG399" s="363">
        <v>0</v>
      </c>
      <c r="AH399" s="635" t="s">
        <v>408</v>
      </c>
      <c r="AI399" s="324"/>
      <c r="AL399" s="487" t="s">
        <v>14583</v>
      </c>
      <c r="AM399" s="477" t="s">
        <v>71</v>
      </c>
      <c r="AN399" s="637">
        <v>100</v>
      </c>
      <c r="AO399" s="478">
        <v>-976</v>
      </c>
      <c r="AP399" s="463">
        <v>-651</v>
      </c>
      <c r="AQ399" s="479">
        <v>-325</v>
      </c>
      <c r="AR399" s="476" t="s">
        <v>16880</v>
      </c>
      <c r="BA399" s="313" t="s">
        <v>3419</v>
      </c>
    </row>
    <row r="400" spans="2:53" ht="16.5" customHeight="1">
      <c r="B400" s="367" t="s">
        <v>8970</v>
      </c>
      <c r="C400" s="351" t="s">
        <v>8971</v>
      </c>
      <c r="D400" s="353">
        <v>-977</v>
      </c>
      <c r="E400" s="352" t="s">
        <v>8973</v>
      </c>
      <c r="F400" s="341">
        <v>93.49</v>
      </c>
      <c r="G400" s="355" t="s">
        <v>18506</v>
      </c>
      <c r="H400" s="356" t="s">
        <v>3404</v>
      </c>
      <c r="I400" s="354" t="s">
        <v>77</v>
      </c>
      <c r="J400" s="340" t="s">
        <v>8974</v>
      </c>
      <c r="K400" s="339" t="s">
        <v>71</v>
      </c>
      <c r="L400" s="357">
        <v>16</v>
      </c>
      <c r="M400" s="358" t="s">
        <v>8975</v>
      </c>
      <c r="N400" s="359">
        <v>1000</v>
      </c>
      <c r="O400" s="360" t="s">
        <v>530</v>
      </c>
      <c r="P400" s="343" t="s">
        <v>531</v>
      </c>
      <c r="Q400" s="342" t="s">
        <v>2688</v>
      </c>
      <c r="R400" s="344">
        <v>35</v>
      </c>
      <c r="S400" s="345">
        <v>25</v>
      </c>
      <c r="T400" s="362">
        <v>30</v>
      </c>
      <c r="U400" s="361">
        <v>93.49</v>
      </c>
      <c r="V400" s="346">
        <v>128.26323789434502</v>
      </c>
      <c r="W400" s="348">
        <v>126.84223097682786</v>
      </c>
      <c r="X400" s="347">
        <v>64.73</v>
      </c>
      <c r="Y400" s="357">
        <v>65.660000000000011</v>
      </c>
      <c r="Z400" s="365" t="s">
        <v>2689</v>
      </c>
      <c r="AA400" s="350">
        <v>63.5</v>
      </c>
      <c r="AB400" s="349" t="s">
        <v>2685</v>
      </c>
      <c r="AC400" s="350">
        <v>0</v>
      </c>
      <c r="AD400" s="349" t="s">
        <v>2685</v>
      </c>
      <c r="AE400" s="364">
        <v>0</v>
      </c>
      <c r="AF400" s="366">
        <v>0</v>
      </c>
      <c r="AG400" s="363">
        <v>0</v>
      </c>
      <c r="AH400" s="635" t="s">
        <v>408</v>
      </c>
      <c r="AI400" s="324"/>
      <c r="AL400" s="487" t="s">
        <v>14584</v>
      </c>
      <c r="AM400" s="477" t="s">
        <v>71</v>
      </c>
      <c r="AN400" s="637">
        <v>100</v>
      </c>
      <c r="AO400" s="478">
        <v>-977</v>
      </c>
      <c r="AP400" s="463">
        <v>-652</v>
      </c>
      <c r="AQ400" s="479">
        <v>-325</v>
      </c>
      <c r="AR400" s="476" t="s">
        <v>16881</v>
      </c>
      <c r="BA400" s="313" t="s">
        <v>3421</v>
      </c>
    </row>
    <row r="401" spans="2:53" ht="16.5" customHeight="1">
      <c r="B401" s="367" t="s">
        <v>8976</v>
      </c>
      <c r="C401" s="351" t="s">
        <v>8977</v>
      </c>
      <c r="D401" s="353">
        <v>-978</v>
      </c>
      <c r="E401" s="352" t="s">
        <v>8978</v>
      </c>
      <c r="F401" s="341">
        <v>93.47</v>
      </c>
      <c r="G401" s="355" t="s">
        <v>3542</v>
      </c>
      <c r="H401" s="356" t="s">
        <v>8707</v>
      </c>
      <c r="I401" s="354" t="s">
        <v>77</v>
      </c>
      <c r="J401" s="340" t="s">
        <v>8980</v>
      </c>
      <c r="K401" s="339" t="s">
        <v>71</v>
      </c>
      <c r="L401" s="357">
        <v>198</v>
      </c>
      <c r="M401" s="358" t="s">
        <v>8981</v>
      </c>
      <c r="N401" s="359">
        <v>1000</v>
      </c>
      <c r="O401" s="360" t="s">
        <v>530</v>
      </c>
      <c r="P401" s="343" t="s">
        <v>531</v>
      </c>
      <c r="Q401" s="342" t="s">
        <v>2688</v>
      </c>
      <c r="R401" s="344">
        <v>35</v>
      </c>
      <c r="S401" s="345">
        <v>25</v>
      </c>
      <c r="T401" s="362">
        <v>30</v>
      </c>
      <c r="U401" s="361">
        <v>93.47</v>
      </c>
      <c r="V401" s="346">
        <v>128.2458665508577</v>
      </c>
      <c r="W401" s="348">
        <v>126.81493315134782</v>
      </c>
      <c r="X401" s="347">
        <v>64.72</v>
      </c>
      <c r="Y401" s="357">
        <v>65.650000000000006</v>
      </c>
      <c r="Z401" s="365" t="s">
        <v>2689</v>
      </c>
      <c r="AA401" s="350">
        <v>63.5</v>
      </c>
      <c r="AB401" s="349" t="s">
        <v>2685</v>
      </c>
      <c r="AC401" s="350">
        <v>0</v>
      </c>
      <c r="AD401" s="349" t="s">
        <v>2685</v>
      </c>
      <c r="AE401" s="364">
        <v>0</v>
      </c>
      <c r="AF401" s="366">
        <v>0</v>
      </c>
      <c r="AG401" s="363">
        <v>0</v>
      </c>
      <c r="AH401" s="635" t="s">
        <v>408</v>
      </c>
      <c r="AI401" s="324"/>
      <c r="AL401" s="487" t="s">
        <v>14585</v>
      </c>
      <c r="AM401" s="477" t="s">
        <v>71</v>
      </c>
      <c r="AN401" s="637">
        <v>100</v>
      </c>
      <c r="AO401" s="478">
        <v>-978</v>
      </c>
      <c r="AP401" s="463">
        <v>-653</v>
      </c>
      <c r="AQ401" s="479">
        <v>-325</v>
      </c>
      <c r="AR401" s="476" t="s">
        <v>17164</v>
      </c>
      <c r="BA401" s="313" t="s">
        <v>3422</v>
      </c>
    </row>
    <row r="402" spans="2:53" ht="16.5" customHeight="1">
      <c r="B402" s="367" t="s">
        <v>8982</v>
      </c>
      <c r="C402" s="351" t="s">
        <v>8983</v>
      </c>
      <c r="D402" s="353">
        <v>-979</v>
      </c>
      <c r="E402" s="352" t="s">
        <v>8984</v>
      </c>
      <c r="F402" s="341">
        <v>93.45</v>
      </c>
      <c r="G402" s="355" t="s">
        <v>9260</v>
      </c>
      <c r="H402" s="356" t="s">
        <v>8678</v>
      </c>
      <c r="I402" s="354" t="s">
        <v>80</v>
      </c>
      <c r="J402" s="340" t="s">
        <v>8190</v>
      </c>
      <c r="K402" s="339" t="s">
        <v>71</v>
      </c>
      <c r="L402" s="357">
        <v>10</v>
      </c>
      <c r="M402" s="358" t="s">
        <v>8985</v>
      </c>
      <c r="N402" s="359">
        <v>1000</v>
      </c>
      <c r="O402" s="360" t="s">
        <v>532</v>
      </c>
      <c r="P402" s="343" t="s">
        <v>533</v>
      </c>
      <c r="Q402" s="342" t="s">
        <v>2688</v>
      </c>
      <c r="R402" s="344">
        <v>35</v>
      </c>
      <c r="S402" s="345">
        <v>30</v>
      </c>
      <c r="T402" s="362">
        <v>25</v>
      </c>
      <c r="U402" s="361">
        <v>93.45</v>
      </c>
      <c r="V402" s="346">
        <v>128.22440688182323</v>
      </c>
      <c r="W402" s="348">
        <v>126.78121081429364</v>
      </c>
      <c r="X402" s="347">
        <v>64.709999999999994</v>
      </c>
      <c r="Y402" s="357">
        <v>66.850000000000009</v>
      </c>
      <c r="Z402" s="365" t="s">
        <v>2689</v>
      </c>
      <c r="AA402" s="350">
        <v>100</v>
      </c>
      <c r="AB402" s="349" t="s">
        <v>2685</v>
      </c>
      <c r="AC402" s="350">
        <v>0</v>
      </c>
      <c r="AD402" s="349" t="s">
        <v>2685</v>
      </c>
      <c r="AE402" s="364">
        <v>0</v>
      </c>
      <c r="AF402" s="366">
        <v>0</v>
      </c>
      <c r="AG402" s="363">
        <v>0</v>
      </c>
      <c r="AH402" s="635" t="s">
        <v>408</v>
      </c>
      <c r="AI402" s="324"/>
      <c r="AL402" s="487" t="s">
        <v>14586</v>
      </c>
      <c r="AM402" s="477" t="s">
        <v>71</v>
      </c>
      <c r="AN402" s="637">
        <v>100</v>
      </c>
      <c r="AO402" s="478">
        <v>-979</v>
      </c>
      <c r="AP402" s="463">
        <v>-650</v>
      </c>
      <c r="AQ402" s="479">
        <v>-329</v>
      </c>
      <c r="AR402" s="476" t="s">
        <v>16882</v>
      </c>
      <c r="BA402" s="313" t="s">
        <v>3423</v>
      </c>
    </row>
    <row r="403" spans="2:53" ht="16.5" customHeight="1">
      <c r="B403" s="367" t="s">
        <v>3425</v>
      </c>
      <c r="C403" s="351" t="s">
        <v>3426</v>
      </c>
      <c r="D403" s="353">
        <v>-980</v>
      </c>
      <c r="E403" s="352" t="s">
        <v>408</v>
      </c>
      <c r="F403" s="341">
        <v>93.42</v>
      </c>
      <c r="G403" s="355" t="s">
        <v>8986</v>
      </c>
      <c r="H403" s="356" t="s">
        <v>8987</v>
      </c>
      <c r="I403" s="354" t="s">
        <v>236</v>
      </c>
      <c r="J403" s="340" t="s">
        <v>8988</v>
      </c>
      <c r="K403" s="339" t="s">
        <v>70</v>
      </c>
      <c r="L403" s="357">
        <v>8</v>
      </c>
      <c r="M403" s="358" t="s">
        <v>8989</v>
      </c>
      <c r="N403" s="359">
        <v>1000</v>
      </c>
      <c r="O403" s="360" t="s">
        <v>532</v>
      </c>
      <c r="P403" s="343" t="s">
        <v>533</v>
      </c>
      <c r="Q403" s="342" t="s">
        <v>2688</v>
      </c>
      <c r="R403" s="344">
        <v>20</v>
      </c>
      <c r="S403" s="345">
        <v>35</v>
      </c>
      <c r="T403" s="362">
        <v>25</v>
      </c>
      <c r="U403" s="361">
        <v>93.42</v>
      </c>
      <c r="V403" s="346">
        <v>128.20088397602575</v>
      </c>
      <c r="W403" s="348">
        <v>126.74424624804045</v>
      </c>
      <c r="X403" s="347">
        <v>64.28</v>
      </c>
      <c r="Y403" s="357">
        <v>65.260000000000005</v>
      </c>
      <c r="Z403" s="365" t="s">
        <v>3017</v>
      </c>
      <c r="AA403" s="350">
        <v>194</v>
      </c>
      <c r="AB403" s="349" t="s">
        <v>2685</v>
      </c>
      <c r="AC403" s="350">
        <v>4</v>
      </c>
      <c r="AD403" s="349" t="s">
        <v>2685</v>
      </c>
      <c r="AE403" s="364">
        <v>0</v>
      </c>
      <c r="AF403" s="366">
        <v>11.007999999999999</v>
      </c>
      <c r="AG403" s="363">
        <v>0</v>
      </c>
      <c r="AH403" s="635" t="s">
        <v>8990</v>
      </c>
      <c r="AI403" s="324"/>
      <c r="AL403" s="487" t="s">
        <v>14587</v>
      </c>
      <c r="AM403" s="477" t="s">
        <v>70</v>
      </c>
      <c r="AN403" s="637">
        <v>100</v>
      </c>
      <c r="AO403" s="478">
        <v>-980</v>
      </c>
      <c r="AP403" s="463">
        <v>-980</v>
      </c>
      <c r="AQ403" s="479">
        <v>0</v>
      </c>
      <c r="AR403" s="476" t="s">
        <v>14588</v>
      </c>
      <c r="BA403" s="313" t="s">
        <v>3424</v>
      </c>
    </row>
    <row r="404" spans="2:53" ht="16.5" customHeight="1">
      <c r="B404" s="367" t="s">
        <v>3430</v>
      </c>
      <c r="C404" s="351" t="s">
        <v>3431</v>
      </c>
      <c r="D404" s="353">
        <v>-981</v>
      </c>
      <c r="E404" s="352" t="s">
        <v>3576</v>
      </c>
      <c r="F404" s="341">
        <v>93.39</v>
      </c>
      <c r="G404" s="355" t="s">
        <v>8956</v>
      </c>
      <c r="H404" s="356" t="s">
        <v>8653</v>
      </c>
      <c r="I404" s="354" t="s">
        <v>80</v>
      </c>
      <c r="J404" s="340" t="s">
        <v>489</v>
      </c>
      <c r="K404" s="339" t="s">
        <v>71</v>
      </c>
      <c r="L404" s="357">
        <v>72</v>
      </c>
      <c r="M404" s="358" t="s">
        <v>8992</v>
      </c>
      <c r="N404" s="359">
        <v>1000</v>
      </c>
      <c r="O404" s="360" t="s">
        <v>532</v>
      </c>
      <c r="P404" s="343" t="s">
        <v>533</v>
      </c>
      <c r="Q404" s="342" t="s">
        <v>2688</v>
      </c>
      <c r="R404" s="344">
        <v>35</v>
      </c>
      <c r="S404" s="345">
        <v>35</v>
      </c>
      <c r="T404" s="362">
        <v>20</v>
      </c>
      <c r="U404" s="361">
        <v>93.39</v>
      </c>
      <c r="V404" s="346">
        <v>128.17660189988734</v>
      </c>
      <c r="W404" s="348">
        <v>126.70608869982296</v>
      </c>
      <c r="X404" s="347">
        <v>64.680000000000007</v>
      </c>
      <c r="Y404" s="357">
        <v>66.83</v>
      </c>
      <c r="Z404" s="365" t="s">
        <v>2689</v>
      </c>
      <c r="AA404" s="350">
        <v>100</v>
      </c>
      <c r="AB404" s="349" t="s">
        <v>2685</v>
      </c>
      <c r="AC404" s="350">
        <v>0</v>
      </c>
      <c r="AD404" s="349" t="s">
        <v>2685</v>
      </c>
      <c r="AE404" s="364">
        <v>0</v>
      </c>
      <c r="AF404" s="366">
        <v>0</v>
      </c>
      <c r="AG404" s="363">
        <v>0</v>
      </c>
      <c r="AH404" s="635" t="s">
        <v>408</v>
      </c>
      <c r="AI404" s="324"/>
      <c r="AL404" s="487" t="s">
        <v>14589</v>
      </c>
      <c r="AM404" s="477" t="s">
        <v>71</v>
      </c>
      <c r="AN404" s="637">
        <v>100</v>
      </c>
      <c r="AO404" s="478">
        <v>-981</v>
      </c>
      <c r="AP404" s="463">
        <v>-649</v>
      </c>
      <c r="AQ404" s="479">
        <v>-332</v>
      </c>
      <c r="AR404" s="476" t="s">
        <v>16883</v>
      </c>
      <c r="BA404" s="313" t="s">
        <v>3429</v>
      </c>
    </row>
    <row r="405" spans="2:53" ht="16.5" customHeight="1">
      <c r="B405" s="367" t="s">
        <v>8993</v>
      </c>
      <c r="C405" s="351" t="s">
        <v>8994</v>
      </c>
      <c r="D405" s="353">
        <v>-982</v>
      </c>
      <c r="E405" s="352" t="s">
        <v>8995</v>
      </c>
      <c r="F405" s="341">
        <v>93.38</v>
      </c>
      <c r="G405" s="355" t="s">
        <v>18507</v>
      </c>
      <c r="H405" s="356" t="s">
        <v>8701</v>
      </c>
      <c r="I405" s="354" t="s">
        <v>80</v>
      </c>
      <c r="J405" s="340" t="s">
        <v>8997</v>
      </c>
      <c r="K405" s="339" t="s">
        <v>71</v>
      </c>
      <c r="L405" s="357">
        <v>14</v>
      </c>
      <c r="M405" s="358" t="s">
        <v>8998</v>
      </c>
      <c r="N405" s="359">
        <v>1000</v>
      </c>
      <c r="O405" s="360" t="s">
        <v>532</v>
      </c>
      <c r="P405" s="343" t="s">
        <v>533</v>
      </c>
      <c r="Q405" s="342" t="s">
        <v>2688</v>
      </c>
      <c r="R405" s="344">
        <v>35</v>
      </c>
      <c r="S405" s="345">
        <v>30</v>
      </c>
      <c r="T405" s="362">
        <v>25</v>
      </c>
      <c r="U405" s="361">
        <v>93.38</v>
      </c>
      <c r="V405" s="346">
        <v>128.16636532276084</v>
      </c>
      <c r="W405" s="348">
        <v>126.69000265005275</v>
      </c>
      <c r="X405" s="347">
        <v>64.680000000000007</v>
      </c>
      <c r="Y405" s="357">
        <v>66.83</v>
      </c>
      <c r="Z405" s="365" t="s">
        <v>2689</v>
      </c>
      <c r="AA405" s="350">
        <v>100</v>
      </c>
      <c r="AB405" s="349" t="s">
        <v>2685</v>
      </c>
      <c r="AC405" s="350">
        <v>0</v>
      </c>
      <c r="AD405" s="349" t="s">
        <v>2685</v>
      </c>
      <c r="AE405" s="364">
        <v>0</v>
      </c>
      <c r="AF405" s="366">
        <v>0</v>
      </c>
      <c r="AG405" s="363">
        <v>0</v>
      </c>
      <c r="AH405" s="635" t="s">
        <v>408</v>
      </c>
      <c r="AI405" s="324"/>
      <c r="AL405" s="487" t="s">
        <v>14590</v>
      </c>
      <c r="AM405" s="477" t="s">
        <v>71</v>
      </c>
      <c r="AN405" s="637">
        <v>100</v>
      </c>
      <c r="AO405" s="478">
        <v>-982</v>
      </c>
      <c r="AP405" s="463">
        <v>-648</v>
      </c>
      <c r="AQ405" s="479">
        <v>-334</v>
      </c>
      <c r="AR405" s="476" t="s">
        <v>16884</v>
      </c>
      <c r="BA405" s="313" t="s">
        <v>3433</v>
      </c>
    </row>
    <row r="406" spans="2:53" ht="16.5" customHeight="1">
      <c r="B406" s="367" t="s">
        <v>8999</v>
      </c>
      <c r="C406" s="351" t="s">
        <v>9000</v>
      </c>
      <c r="D406" s="353">
        <v>-983</v>
      </c>
      <c r="E406" s="352" t="s">
        <v>3580</v>
      </c>
      <c r="F406" s="341">
        <v>93.38</v>
      </c>
      <c r="G406" s="355" t="s">
        <v>18508</v>
      </c>
      <c r="H406" s="356" t="s">
        <v>8701</v>
      </c>
      <c r="I406" s="354" t="s">
        <v>302</v>
      </c>
      <c r="J406" s="340" t="s">
        <v>9002</v>
      </c>
      <c r="K406" s="339" t="s">
        <v>71</v>
      </c>
      <c r="L406" s="357">
        <v>30</v>
      </c>
      <c r="M406" s="358" t="s">
        <v>9003</v>
      </c>
      <c r="N406" s="359">
        <v>600</v>
      </c>
      <c r="O406" s="360" t="s">
        <v>530</v>
      </c>
      <c r="P406" s="343" t="s">
        <v>531</v>
      </c>
      <c r="Q406" s="342" t="s">
        <v>2688</v>
      </c>
      <c r="R406" s="344">
        <v>37</v>
      </c>
      <c r="S406" s="345">
        <v>43</v>
      </c>
      <c r="T406" s="362">
        <v>20</v>
      </c>
      <c r="U406" s="361">
        <v>93.38</v>
      </c>
      <c r="V406" s="346">
        <v>128.16294905654371</v>
      </c>
      <c r="W406" s="348">
        <v>126.68463423171156</v>
      </c>
      <c r="X406" s="347">
        <v>64.680000000000007</v>
      </c>
      <c r="Y406" s="357">
        <v>67.660000000000011</v>
      </c>
      <c r="Z406" s="365" t="s">
        <v>2689</v>
      </c>
      <c r="AA406" s="350">
        <v>100</v>
      </c>
      <c r="AB406" s="349" t="s">
        <v>2685</v>
      </c>
      <c r="AC406" s="350">
        <v>10</v>
      </c>
      <c r="AD406" s="349" t="s">
        <v>2685</v>
      </c>
      <c r="AE406" s="364">
        <v>0</v>
      </c>
      <c r="AF406" s="366">
        <v>0</v>
      </c>
      <c r="AG406" s="363">
        <v>0</v>
      </c>
      <c r="AH406" s="635" t="s">
        <v>408</v>
      </c>
      <c r="AI406" s="324"/>
      <c r="AL406" s="487" t="s">
        <v>14591</v>
      </c>
      <c r="AM406" s="477" t="s">
        <v>71</v>
      </c>
      <c r="AN406" s="637">
        <v>100</v>
      </c>
      <c r="AO406" s="478">
        <v>-983</v>
      </c>
      <c r="AP406" s="463">
        <v>-649</v>
      </c>
      <c r="AQ406" s="479">
        <v>-334</v>
      </c>
      <c r="AR406" s="476" t="s">
        <v>16884</v>
      </c>
      <c r="BA406" s="313" t="s">
        <v>3435</v>
      </c>
    </row>
    <row r="407" spans="2:53" ht="16.5" customHeight="1">
      <c r="B407" s="367" t="s">
        <v>3440</v>
      </c>
      <c r="C407" s="351" t="s">
        <v>3441</v>
      </c>
      <c r="D407" s="353">
        <v>-984</v>
      </c>
      <c r="E407" s="352" t="s">
        <v>3584</v>
      </c>
      <c r="F407" s="341">
        <v>93.34</v>
      </c>
      <c r="G407" s="355" t="s">
        <v>18509</v>
      </c>
      <c r="H407" s="356" t="s">
        <v>8714</v>
      </c>
      <c r="I407" s="354" t="s">
        <v>80</v>
      </c>
      <c r="J407" s="340" t="s">
        <v>8534</v>
      </c>
      <c r="K407" s="339" t="s">
        <v>71</v>
      </c>
      <c r="L407" s="357">
        <v>14</v>
      </c>
      <c r="M407" s="358" t="s">
        <v>9006</v>
      </c>
      <c r="N407" s="359">
        <v>1000</v>
      </c>
      <c r="O407" s="360" t="s">
        <v>532</v>
      </c>
      <c r="P407" s="343" t="s">
        <v>533</v>
      </c>
      <c r="Q407" s="342" t="s">
        <v>2688</v>
      </c>
      <c r="R407" s="344">
        <v>35</v>
      </c>
      <c r="S407" s="345">
        <v>30</v>
      </c>
      <c r="T407" s="362">
        <v>25</v>
      </c>
      <c r="U407" s="361">
        <v>93.34</v>
      </c>
      <c r="V407" s="346">
        <v>128.1309741282106</v>
      </c>
      <c r="W407" s="348">
        <v>126.63438791575952</v>
      </c>
      <c r="X407" s="347">
        <v>64.66</v>
      </c>
      <c r="Y407" s="357">
        <v>66.820000000000007</v>
      </c>
      <c r="Z407" s="365" t="s">
        <v>2689</v>
      </c>
      <c r="AA407" s="350">
        <v>100</v>
      </c>
      <c r="AB407" s="349" t="s">
        <v>2685</v>
      </c>
      <c r="AC407" s="350">
        <v>0</v>
      </c>
      <c r="AD407" s="349" t="s">
        <v>2685</v>
      </c>
      <c r="AE407" s="364">
        <v>0</v>
      </c>
      <c r="AF407" s="366">
        <v>0</v>
      </c>
      <c r="AG407" s="363">
        <v>0</v>
      </c>
      <c r="AH407" s="635" t="s">
        <v>408</v>
      </c>
      <c r="AI407" s="324"/>
      <c r="AL407" s="487" t="s">
        <v>14592</v>
      </c>
      <c r="AM407" s="477" t="s">
        <v>71</v>
      </c>
      <c r="AN407" s="637">
        <v>100</v>
      </c>
      <c r="AO407" s="478">
        <v>-984</v>
      </c>
      <c r="AP407" s="463">
        <v>-647</v>
      </c>
      <c r="AQ407" s="479">
        <v>-337</v>
      </c>
      <c r="AR407" s="476" t="s">
        <v>16885</v>
      </c>
      <c r="BA407" s="313" t="s">
        <v>3437</v>
      </c>
    </row>
    <row r="408" spans="2:53" ht="16.5" customHeight="1">
      <c r="B408" s="367" t="s">
        <v>9007</v>
      </c>
      <c r="C408" s="351" t="s">
        <v>9008</v>
      </c>
      <c r="D408" s="353">
        <v>-985</v>
      </c>
      <c r="E408" s="352" t="s">
        <v>9009</v>
      </c>
      <c r="F408" s="341">
        <v>93.28</v>
      </c>
      <c r="G408" s="355" t="s">
        <v>18510</v>
      </c>
      <c r="H408" s="356" t="s">
        <v>9058</v>
      </c>
      <c r="I408" s="354" t="s">
        <v>80</v>
      </c>
      <c r="J408" s="340" t="s">
        <v>8883</v>
      </c>
      <c r="K408" s="339" t="s">
        <v>71</v>
      </c>
      <c r="L408" s="357">
        <v>7</v>
      </c>
      <c r="M408" s="358" t="s">
        <v>9011</v>
      </c>
      <c r="N408" s="359">
        <v>1000</v>
      </c>
      <c r="O408" s="360" t="s">
        <v>532</v>
      </c>
      <c r="P408" s="343" t="s">
        <v>533</v>
      </c>
      <c r="Q408" s="342" t="s">
        <v>2688</v>
      </c>
      <c r="R408" s="344">
        <v>35</v>
      </c>
      <c r="S408" s="345">
        <v>30</v>
      </c>
      <c r="T408" s="362">
        <v>25</v>
      </c>
      <c r="U408" s="361">
        <v>93.28</v>
      </c>
      <c r="V408" s="346">
        <v>128.07010127358419</v>
      </c>
      <c r="W408" s="348">
        <v>126.53873057277514</v>
      </c>
      <c r="X408" s="347">
        <v>64.63</v>
      </c>
      <c r="Y408" s="357">
        <v>66.800000000000011</v>
      </c>
      <c r="Z408" s="365" t="s">
        <v>2689</v>
      </c>
      <c r="AA408" s="350">
        <v>100</v>
      </c>
      <c r="AB408" s="349" t="s">
        <v>2685</v>
      </c>
      <c r="AC408" s="350">
        <v>0</v>
      </c>
      <c r="AD408" s="349" t="s">
        <v>2685</v>
      </c>
      <c r="AE408" s="364">
        <v>0</v>
      </c>
      <c r="AF408" s="366">
        <v>0</v>
      </c>
      <c r="AG408" s="363">
        <v>0</v>
      </c>
      <c r="AH408" s="635" t="s">
        <v>408</v>
      </c>
      <c r="AI408" s="324"/>
      <c r="AL408" s="487" t="s">
        <v>14594</v>
      </c>
      <c r="AM408" s="477" t="s">
        <v>71</v>
      </c>
      <c r="AN408" s="637">
        <v>100</v>
      </c>
      <c r="AO408" s="478">
        <v>-985</v>
      </c>
      <c r="AP408" s="463">
        <v>-644</v>
      </c>
      <c r="AQ408" s="479">
        <v>-341</v>
      </c>
      <c r="AR408" s="476" t="s">
        <v>16886</v>
      </c>
      <c r="BA408" s="313" t="s">
        <v>3439</v>
      </c>
    </row>
    <row r="409" spans="2:53" ht="16.5" customHeight="1">
      <c r="B409" s="367" t="s">
        <v>9012</v>
      </c>
      <c r="C409" s="351" t="s">
        <v>9013</v>
      </c>
      <c r="D409" s="353">
        <v>-986</v>
      </c>
      <c r="E409" s="352" t="s">
        <v>9014</v>
      </c>
      <c r="F409" s="341">
        <v>93.2</v>
      </c>
      <c r="G409" s="355" t="s">
        <v>8984</v>
      </c>
      <c r="H409" s="356" t="s">
        <v>8766</v>
      </c>
      <c r="I409" s="354" t="s">
        <v>80</v>
      </c>
      <c r="J409" s="340" t="s">
        <v>9017</v>
      </c>
      <c r="K409" s="339" t="s">
        <v>71</v>
      </c>
      <c r="L409" s="357">
        <v>9</v>
      </c>
      <c r="M409" s="358" t="s">
        <v>9018</v>
      </c>
      <c r="N409" s="359">
        <v>1000</v>
      </c>
      <c r="O409" s="360" t="s">
        <v>532</v>
      </c>
      <c r="P409" s="343" t="s">
        <v>533</v>
      </c>
      <c r="Q409" s="342" t="s">
        <v>2688</v>
      </c>
      <c r="R409" s="344">
        <v>35</v>
      </c>
      <c r="S409" s="345">
        <v>30</v>
      </c>
      <c r="T409" s="362">
        <v>25</v>
      </c>
      <c r="U409" s="361">
        <v>93.2</v>
      </c>
      <c r="V409" s="346">
        <v>127.99668172089463</v>
      </c>
      <c r="W409" s="348">
        <v>126.42288295010508</v>
      </c>
      <c r="X409" s="347">
        <v>64.59</v>
      </c>
      <c r="Y409" s="357">
        <v>66.77</v>
      </c>
      <c r="Z409" s="365" t="s">
        <v>2689</v>
      </c>
      <c r="AA409" s="350">
        <v>100</v>
      </c>
      <c r="AB409" s="349" t="s">
        <v>2685</v>
      </c>
      <c r="AC409" s="350">
        <v>0</v>
      </c>
      <c r="AD409" s="349" t="s">
        <v>2685</v>
      </c>
      <c r="AE409" s="364">
        <v>0</v>
      </c>
      <c r="AF409" s="366">
        <v>0</v>
      </c>
      <c r="AG409" s="363">
        <v>0</v>
      </c>
      <c r="AH409" s="635" t="s">
        <v>408</v>
      </c>
      <c r="AI409" s="324"/>
      <c r="AL409" s="487" t="s">
        <v>14595</v>
      </c>
      <c r="AM409" s="477" t="s">
        <v>71</v>
      </c>
      <c r="AN409" s="637">
        <v>100</v>
      </c>
      <c r="AO409" s="478">
        <v>-986</v>
      </c>
      <c r="AP409" s="463">
        <v>-639</v>
      </c>
      <c r="AQ409" s="479">
        <v>-347</v>
      </c>
      <c r="AR409" s="476" t="s">
        <v>16887</v>
      </c>
      <c r="BA409" s="313" t="s">
        <v>3442</v>
      </c>
    </row>
    <row r="410" spans="2:53" ht="16.5" customHeight="1">
      <c r="B410" s="367" t="s">
        <v>9019</v>
      </c>
      <c r="C410" s="351" t="s">
        <v>9020</v>
      </c>
      <c r="D410" s="353">
        <v>-987</v>
      </c>
      <c r="E410" s="352" t="s">
        <v>3611</v>
      </c>
      <c r="F410" s="341">
        <v>93.19</v>
      </c>
      <c r="G410" s="355" t="s">
        <v>9004</v>
      </c>
      <c r="H410" s="356" t="s">
        <v>8748</v>
      </c>
      <c r="I410" s="354" t="s">
        <v>75</v>
      </c>
      <c r="J410" s="340" t="s">
        <v>561</v>
      </c>
      <c r="K410" s="339" t="s">
        <v>71</v>
      </c>
      <c r="L410" s="357">
        <v>10</v>
      </c>
      <c r="M410" s="358" t="s">
        <v>9022</v>
      </c>
      <c r="N410" s="359">
        <v>1000</v>
      </c>
      <c r="O410" s="360" t="s">
        <v>530</v>
      </c>
      <c r="P410" s="343" t="s">
        <v>531</v>
      </c>
      <c r="Q410" s="342" t="s">
        <v>2688</v>
      </c>
      <c r="R410" s="344">
        <v>36</v>
      </c>
      <c r="S410" s="345">
        <v>36</v>
      </c>
      <c r="T410" s="362">
        <v>29</v>
      </c>
      <c r="U410" s="361">
        <v>93.19</v>
      </c>
      <c r="V410" s="346">
        <v>127.98754391568188</v>
      </c>
      <c r="W410" s="348">
        <v>126.40721814116895</v>
      </c>
      <c r="X410" s="347">
        <v>64.58</v>
      </c>
      <c r="Y410" s="357">
        <v>65.150000000000006</v>
      </c>
      <c r="Z410" s="365" t="s">
        <v>2689</v>
      </c>
      <c r="AA410" s="350">
        <v>0</v>
      </c>
      <c r="AB410" s="349" t="s">
        <v>2685</v>
      </c>
      <c r="AC410" s="350">
        <v>10</v>
      </c>
      <c r="AD410" s="349" t="s">
        <v>2685</v>
      </c>
      <c r="AE410" s="364">
        <v>0</v>
      </c>
      <c r="AF410" s="366">
        <v>0</v>
      </c>
      <c r="AG410" s="363">
        <v>0</v>
      </c>
      <c r="AH410" s="635" t="s">
        <v>408</v>
      </c>
      <c r="AI410" s="324"/>
      <c r="AL410" s="487" t="s">
        <v>14596</v>
      </c>
      <c r="AM410" s="477" t="s">
        <v>71</v>
      </c>
      <c r="AN410" s="637">
        <v>100</v>
      </c>
      <c r="AO410" s="478">
        <v>-987</v>
      </c>
      <c r="AP410" s="463">
        <v>-640</v>
      </c>
      <c r="AQ410" s="479">
        <v>-347</v>
      </c>
      <c r="AR410" s="476" t="s">
        <v>16888</v>
      </c>
      <c r="BA410" s="313" t="s">
        <v>3444</v>
      </c>
    </row>
    <row r="411" spans="2:53" ht="16.5" customHeight="1">
      <c r="B411" s="367" t="s">
        <v>9023</v>
      </c>
      <c r="C411" s="351" t="s">
        <v>9024</v>
      </c>
      <c r="D411" s="353">
        <v>-988</v>
      </c>
      <c r="E411" s="352" t="s">
        <v>9025</v>
      </c>
      <c r="F411" s="341">
        <v>93.15</v>
      </c>
      <c r="G411" s="355" t="s">
        <v>9485</v>
      </c>
      <c r="H411" s="356" t="s">
        <v>8755</v>
      </c>
      <c r="I411" s="354" t="s">
        <v>80</v>
      </c>
      <c r="J411" s="340" t="s">
        <v>9026</v>
      </c>
      <c r="K411" s="339" t="s">
        <v>71</v>
      </c>
      <c r="L411" s="357">
        <v>8</v>
      </c>
      <c r="M411" s="358" t="s">
        <v>9027</v>
      </c>
      <c r="N411" s="359">
        <v>1000</v>
      </c>
      <c r="O411" s="360" t="s">
        <v>532</v>
      </c>
      <c r="P411" s="343" t="s">
        <v>533</v>
      </c>
      <c r="Q411" s="342" t="s">
        <v>2688</v>
      </c>
      <c r="R411" s="344">
        <v>35</v>
      </c>
      <c r="S411" s="345">
        <v>30</v>
      </c>
      <c r="T411" s="362">
        <v>25</v>
      </c>
      <c r="U411" s="361">
        <v>93.15</v>
      </c>
      <c r="V411" s="346">
        <v>127.95522218076857</v>
      </c>
      <c r="W411" s="348">
        <v>126.35180945274612</v>
      </c>
      <c r="X411" s="347">
        <v>64.569999999999993</v>
      </c>
      <c r="Y411" s="357">
        <v>66.760000000000005</v>
      </c>
      <c r="Z411" s="365" t="s">
        <v>2689</v>
      </c>
      <c r="AA411" s="350">
        <v>100</v>
      </c>
      <c r="AB411" s="349" t="s">
        <v>2685</v>
      </c>
      <c r="AC411" s="350">
        <v>0</v>
      </c>
      <c r="AD411" s="349" t="s">
        <v>2685</v>
      </c>
      <c r="AE411" s="364">
        <v>0</v>
      </c>
      <c r="AF411" s="366">
        <v>0</v>
      </c>
      <c r="AG411" s="363">
        <v>0</v>
      </c>
      <c r="AH411" s="635" t="s">
        <v>408</v>
      </c>
      <c r="AI411" s="324"/>
      <c r="AL411" s="487" t="s">
        <v>14597</v>
      </c>
      <c r="AM411" s="477" t="s">
        <v>71</v>
      </c>
      <c r="AN411" s="637">
        <v>100</v>
      </c>
      <c r="AO411" s="478">
        <v>-988</v>
      </c>
      <c r="AP411" s="463">
        <v>-639</v>
      </c>
      <c r="AQ411" s="479">
        <v>-349</v>
      </c>
      <c r="AR411" s="476" t="s">
        <v>16889</v>
      </c>
      <c r="BA411" s="313" t="s">
        <v>3447</v>
      </c>
    </row>
    <row r="412" spans="2:53" ht="16.5" customHeight="1">
      <c r="B412" s="367" t="s">
        <v>3457</v>
      </c>
      <c r="C412" s="351" t="s">
        <v>3458</v>
      </c>
      <c r="D412" s="353">
        <v>-989</v>
      </c>
      <c r="E412" s="352" t="s">
        <v>408</v>
      </c>
      <c r="F412" s="341">
        <v>93.13</v>
      </c>
      <c r="G412" s="355" t="s">
        <v>9028</v>
      </c>
      <c r="H412" s="356" t="s">
        <v>18511</v>
      </c>
      <c r="I412" s="354" t="s">
        <v>83</v>
      </c>
      <c r="J412" s="340" t="s">
        <v>9029</v>
      </c>
      <c r="K412" s="339" t="s">
        <v>70</v>
      </c>
      <c r="L412" s="357">
        <v>5</v>
      </c>
      <c r="M412" s="358" t="s">
        <v>9030</v>
      </c>
      <c r="N412" s="359">
        <v>1000</v>
      </c>
      <c r="O412" s="360" t="s">
        <v>532</v>
      </c>
      <c r="P412" s="343" t="s">
        <v>533</v>
      </c>
      <c r="Q412" s="342" t="s">
        <v>2688</v>
      </c>
      <c r="R412" s="344">
        <v>20</v>
      </c>
      <c r="S412" s="345">
        <v>40</v>
      </c>
      <c r="T412" s="362">
        <v>30</v>
      </c>
      <c r="U412" s="361">
        <v>93.13</v>
      </c>
      <c r="V412" s="346">
        <v>127.94143212545241</v>
      </c>
      <c r="W412" s="348">
        <v>126.32816935791841</v>
      </c>
      <c r="X412" s="347">
        <v>64.16</v>
      </c>
      <c r="Y412" s="357">
        <v>64.63000000000001</v>
      </c>
      <c r="Z412" s="365" t="s">
        <v>3017</v>
      </c>
      <c r="AA412" s="350">
        <v>98</v>
      </c>
      <c r="AB412" s="349" t="s">
        <v>2685</v>
      </c>
      <c r="AC412" s="350">
        <v>0</v>
      </c>
      <c r="AD412" s="349" t="s">
        <v>2685</v>
      </c>
      <c r="AE412" s="364">
        <v>0</v>
      </c>
      <c r="AF412" s="366">
        <v>19.353000000000002</v>
      </c>
      <c r="AG412" s="363">
        <v>0</v>
      </c>
      <c r="AH412" s="635" t="s">
        <v>7791</v>
      </c>
      <c r="AI412" s="324"/>
      <c r="AL412" s="487" t="s">
        <v>14598</v>
      </c>
      <c r="AM412" s="477" t="s">
        <v>70</v>
      </c>
      <c r="AN412" s="637">
        <v>100</v>
      </c>
      <c r="AO412" s="478">
        <v>-989</v>
      </c>
      <c r="AP412" s="463">
        <v>-989</v>
      </c>
      <c r="AQ412" s="479">
        <v>0</v>
      </c>
      <c r="AR412" s="476" t="s">
        <v>14599</v>
      </c>
      <c r="BA412" s="313" t="s">
        <v>3449</v>
      </c>
    </row>
    <row r="413" spans="2:53" ht="16.5" customHeight="1">
      <c r="B413" s="367" t="s">
        <v>9031</v>
      </c>
      <c r="C413" s="351" t="s">
        <v>9032</v>
      </c>
      <c r="D413" s="353">
        <v>-990</v>
      </c>
      <c r="E413" s="352" t="s">
        <v>408</v>
      </c>
      <c r="F413" s="341">
        <v>93.11</v>
      </c>
      <c r="G413" s="355" t="s">
        <v>3606</v>
      </c>
      <c r="H413" s="356" t="s">
        <v>9033</v>
      </c>
      <c r="I413" s="354" t="s">
        <v>83</v>
      </c>
      <c r="J413" s="340" t="s">
        <v>8410</v>
      </c>
      <c r="K413" s="339" t="s">
        <v>70</v>
      </c>
      <c r="L413" s="357">
        <v>8</v>
      </c>
      <c r="M413" s="358" t="s">
        <v>9034</v>
      </c>
      <c r="N413" s="359">
        <v>1000</v>
      </c>
      <c r="O413" s="360" t="s">
        <v>532</v>
      </c>
      <c r="P413" s="343" t="s">
        <v>533</v>
      </c>
      <c r="Q413" s="342" t="s">
        <v>2688</v>
      </c>
      <c r="R413" s="344">
        <v>20</v>
      </c>
      <c r="S413" s="345">
        <v>40</v>
      </c>
      <c r="T413" s="362">
        <v>30</v>
      </c>
      <c r="U413" s="361">
        <v>93.11</v>
      </c>
      <c r="V413" s="346">
        <v>127.92909801455869</v>
      </c>
      <c r="W413" s="348">
        <v>126.3070251678149</v>
      </c>
      <c r="X413" s="347">
        <v>64.16</v>
      </c>
      <c r="Y413" s="357">
        <v>64.62</v>
      </c>
      <c r="Z413" s="365" t="s">
        <v>3017</v>
      </c>
      <c r="AA413" s="350">
        <v>98</v>
      </c>
      <c r="AB413" s="349" t="s">
        <v>2685</v>
      </c>
      <c r="AC413" s="350">
        <v>0</v>
      </c>
      <c r="AD413" s="349" t="s">
        <v>2685</v>
      </c>
      <c r="AE413" s="364">
        <v>0</v>
      </c>
      <c r="AF413" s="366">
        <v>19.350000000000001</v>
      </c>
      <c r="AG413" s="363">
        <v>0</v>
      </c>
      <c r="AH413" s="635" t="s">
        <v>7791</v>
      </c>
      <c r="AI413" s="324"/>
      <c r="AL413" s="487" t="s">
        <v>14600</v>
      </c>
      <c r="AM413" s="477" t="s">
        <v>70</v>
      </c>
      <c r="AN413" s="637">
        <v>100</v>
      </c>
      <c r="AO413" s="478">
        <v>-990</v>
      </c>
      <c r="AP413" s="463">
        <v>-990</v>
      </c>
      <c r="AQ413" s="479">
        <v>0</v>
      </c>
      <c r="AR413" s="476" t="s">
        <v>17165</v>
      </c>
      <c r="BA413" s="313" t="s">
        <v>3451</v>
      </c>
    </row>
    <row r="414" spans="2:53" ht="16.5" customHeight="1">
      <c r="B414" s="367" t="s">
        <v>9035</v>
      </c>
      <c r="C414" s="351" t="s">
        <v>9036</v>
      </c>
      <c r="D414" s="353">
        <v>-991</v>
      </c>
      <c r="E414" s="352" t="s">
        <v>408</v>
      </c>
      <c r="F414" s="341">
        <v>93.08</v>
      </c>
      <c r="G414" s="355" t="s">
        <v>9037</v>
      </c>
      <c r="H414" s="356" t="s">
        <v>9038</v>
      </c>
      <c r="I414" s="354" t="s">
        <v>83</v>
      </c>
      <c r="J414" s="340" t="s">
        <v>9039</v>
      </c>
      <c r="K414" s="339" t="s">
        <v>70</v>
      </c>
      <c r="L414" s="357">
        <v>58</v>
      </c>
      <c r="M414" s="358" t="s">
        <v>9040</v>
      </c>
      <c r="N414" s="359">
        <v>1000</v>
      </c>
      <c r="O414" s="360" t="s">
        <v>532</v>
      </c>
      <c r="P414" s="343" t="s">
        <v>533</v>
      </c>
      <c r="Q414" s="342" t="s">
        <v>2688</v>
      </c>
      <c r="R414" s="344">
        <v>20</v>
      </c>
      <c r="S414" s="345">
        <v>40</v>
      </c>
      <c r="T414" s="362">
        <v>30</v>
      </c>
      <c r="U414" s="361">
        <v>93.08</v>
      </c>
      <c r="V414" s="346">
        <v>127.89882337872862</v>
      </c>
      <c r="W414" s="348">
        <v>126.25512579210623</v>
      </c>
      <c r="X414" s="347">
        <v>64.14</v>
      </c>
      <c r="Y414" s="357">
        <v>64.600000000000009</v>
      </c>
      <c r="Z414" s="365" t="s">
        <v>3017</v>
      </c>
      <c r="AA414" s="350">
        <v>98</v>
      </c>
      <c r="AB414" s="349" t="s">
        <v>2685</v>
      </c>
      <c r="AC414" s="350">
        <v>0</v>
      </c>
      <c r="AD414" s="349" t="s">
        <v>2685</v>
      </c>
      <c r="AE414" s="364">
        <v>0</v>
      </c>
      <c r="AF414" s="366">
        <v>19.344000000000001</v>
      </c>
      <c r="AG414" s="363">
        <v>0</v>
      </c>
      <c r="AH414" s="635" t="s">
        <v>7791</v>
      </c>
      <c r="AI414" s="324"/>
      <c r="AL414" s="487" t="s">
        <v>14601</v>
      </c>
      <c r="AM414" s="477" t="s">
        <v>70</v>
      </c>
      <c r="AN414" s="637">
        <v>100</v>
      </c>
      <c r="AO414" s="478">
        <v>-991</v>
      </c>
      <c r="AP414" s="463">
        <v>-991</v>
      </c>
      <c r="AQ414" s="479">
        <v>0</v>
      </c>
      <c r="AR414" s="476" t="s">
        <v>14602</v>
      </c>
      <c r="BA414" s="313" t="s">
        <v>3453</v>
      </c>
    </row>
    <row r="415" spans="2:53" ht="16.5" customHeight="1">
      <c r="B415" s="367" t="s">
        <v>9041</v>
      </c>
      <c r="C415" s="351" t="s">
        <v>9042</v>
      </c>
      <c r="D415" s="353">
        <v>-992</v>
      </c>
      <c r="E415" s="352" t="s">
        <v>3616</v>
      </c>
      <c r="F415" s="341">
        <v>93.07</v>
      </c>
      <c r="G415" s="355" t="s">
        <v>18512</v>
      </c>
      <c r="H415" s="356" t="s">
        <v>18477</v>
      </c>
      <c r="I415" s="354" t="s">
        <v>80</v>
      </c>
      <c r="J415" s="340" t="s">
        <v>8216</v>
      </c>
      <c r="K415" s="339" t="s">
        <v>71</v>
      </c>
      <c r="L415" s="357">
        <v>11</v>
      </c>
      <c r="M415" s="358" t="s">
        <v>9043</v>
      </c>
      <c r="N415" s="359">
        <v>1000</v>
      </c>
      <c r="O415" s="360" t="s">
        <v>532</v>
      </c>
      <c r="P415" s="343" t="s">
        <v>533</v>
      </c>
      <c r="Q415" s="342" t="s">
        <v>2688</v>
      </c>
      <c r="R415" s="344">
        <v>35</v>
      </c>
      <c r="S415" s="345">
        <v>30</v>
      </c>
      <c r="T415" s="362">
        <v>25</v>
      </c>
      <c r="U415" s="361">
        <v>93.07</v>
      </c>
      <c r="V415" s="346">
        <v>127.88968935927898</v>
      </c>
      <c r="W415" s="348">
        <v>126.23946747304969</v>
      </c>
      <c r="X415" s="347">
        <v>64.53</v>
      </c>
      <c r="Y415" s="357">
        <v>66.740000000000009</v>
      </c>
      <c r="Z415" s="365" t="s">
        <v>2689</v>
      </c>
      <c r="AA415" s="350">
        <v>100</v>
      </c>
      <c r="AB415" s="349" t="s">
        <v>2685</v>
      </c>
      <c r="AC415" s="350">
        <v>0</v>
      </c>
      <c r="AD415" s="349" t="s">
        <v>2685</v>
      </c>
      <c r="AE415" s="364">
        <v>0</v>
      </c>
      <c r="AF415" s="366">
        <v>0</v>
      </c>
      <c r="AG415" s="363">
        <v>0</v>
      </c>
      <c r="AH415" s="635" t="s">
        <v>408</v>
      </c>
      <c r="AI415" s="324"/>
      <c r="AL415" s="487" t="s">
        <v>14603</v>
      </c>
      <c r="AM415" s="477" t="s">
        <v>71</v>
      </c>
      <c r="AN415" s="637">
        <v>100</v>
      </c>
      <c r="AO415" s="478">
        <v>-992</v>
      </c>
      <c r="AP415" s="463">
        <v>-636</v>
      </c>
      <c r="AQ415" s="479">
        <v>-356</v>
      </c>
      <c r="AR415" s="476" t="s">
        <v>14623</v>
      </c>
      <c r="BA415" s="313" t="s">
        <v>3454</v>
      </c>
    </row>
    <row r="416" spans="2:53" ht="16.5" customHeight="1">
      <c r="B416" s="367" t="s">
        <v>9035</v>
      </c>
      <c r="C416" s="351" t="s">
        <v>9036</v>
      </c>
      <c r="D416" s="353">
        <v>-993</v>
      </c>
      <c r="E416" s="352" t="s">
        <v>9037</v>
      </c>
      <c r="F416" s="341">
        <v>93.07</v>
      </c>
      <c r="G416" s="355" t="s">
        <v>18513</v>
      </c>
      <c r="H416" s="356" t="s">
        <v>8795</v>
      </c>
      <c r="I416" s="354" t="s">
        <v>80</v>
      </c>
      <c r="J416" s="340" t="s">
        <v>8654</v>
      </c>
      <c r="K416" s="339" t="s">
        <v>71</v>
      </c>
      <c r="L416" s="357">
        <v>24</v>
      </c>
      <c r="M416" s="358" t="s">
        <v>9044</v>
      </c>
      <c r="N416" s="359">
        <v>1000</v>
      </c>
      <c r="O416" s="360" t="s">
        <v>532</v>
      </c>
      <c r="P416" s="343" t="s">
        <v>533</v>
      </c>
      <c r="Q416" s="342" t="s">
        <v>2688</v>
      </c>
      <c r="R416" s="344">
        <v>35</v>
      </c>
      <c r="S416" s="345">
        <v>30</v>
      </c>
      <c r="T416" s="362">
        <v>25</v>
      </c>
      <c r="U416" s="361">
        <v>93.07</v>
      </c>
      <c r="V416" s="346">
        <v>127.89370157283956</v>
      </c>
      <c r="W416" s="348">
        <v>126.24634555343926</v>
      </c>
      <c r="X416" s="347">
        <v>64.53</v>
      </c>
      <c r="Y416" s="357">
        <v>66.740000000000009</v>
      </c>
      <c r="Z416" s="365" t="s">
        <v>2689</v>
      </c>
      <c r="AA416" s="350">
        <v>100</v>
      </c>
      <c r="AB416" s="349" t="s">
        <v>2685</v>
      </c>
      <c r="AC416" s="350">
        <v>0</v>
      </c>
      <c r="AD416" s="349" t="s">
        <v>2685</v>
      </c>
      <c r="AE416" s="364">
        <v>0</v>
      </c>
      <c r="AF416" s="366">
        <v>0</v>
      </c>
      <c r="AG416" s="363">
        <v>0</v>
      </c>
      <c r="AH416" s="635" t="s">
        <v>408</v>
      </c>
      <c r="AI416" s="324"/>
      <c r="AL416" s="487" t="s">
        <v>14604</v>
      </c>
      <c r="AM416" s="477" t="s">
        <v>71</v>
      </c>
      <c r="AN416" s="637">
        <v>100</v>
      </c>
      <c r="AO416" s="478">
        <v>-993</v>
      </c>
      <c r="AP416" s="463">
        <v>-637</v>
      </c>
      <c r="AQ416" s="479">
        <v>-356</v>
      </c>
      <c r="AR416" s="476" t="s">
        <v>16890</v>
      </c>
      <c r="BA416" s="313" t="s">
        <v>3455</v>
      </c>
    </row>
    <row r="417" spans="2:53" ht="16.5" customHeight="1">
      <c r="B417" s="367" t="s">
        <v>9035</v>
      </c>
      <c r="C417" s="351" t="s">
        <v>9036</v>
      </c>
      <c r="D417" s="353">
        <v>-994</v>
      </c>
      <c r="E417" s="352" t="s">
        <v>9037</v>
      </c>
      <c r="F417" s="341">
        <v>93.07</v>
      </c>
      <c r="G417" s="355" t="s">
        <v>18513</v>
      </c>
      <c r="H417" s="356" t="s">
        <v>8795</v>
      </c>
      <c r="I417" s="354" t="s">
        <v>80</v>
      </c>
      <c r="J417" s="340" t="s">
        <v>7365</v>
      </c>
      <c r="K417" s="339" t="s">
        <v>71</v>
      </c>
      <c r="L417" s="357">
        <v>9</v>
      </c>
      <c r="M417" s="358" t="s">
        <v>9044</v>
      </c>
      <c r="N417" s="359">
        <v>1000</v>
      </c>
      <c r="O417" s="360" t="s">
        <v>532</v>
      </c>
      <c r="P417" s="343" t="s">
        <v>533</v>
      </c>
      <c r="Q417" s="342" t="s">
        <v>2688</v>
      </c>
      <c r="R417" s="344">
        <v>35</v>
      </c>
      <c r="S417" s="345">
        <v>30</v>
      </c>
      <c r="T417" s="362">
        <v>25</v>
      </c>
      <c r="U417" s="361">
        <v>93.07</v>
      </c>
      <c r="V417" s="346">
        <v>127.89370157283956</v>
      </c>
      <c r="W417" s="348">
        <v>126.24634555343926</v>
      </c>
      <c r="X417" s="347">
        <v>64.53</v>
      </c>
      <c r="Y417" s="357">
        <v>66.740000000000009</v>
      </c>
      <c r="Z417" s="365" t="s">
        <v>2689</v>
      </c>
      <c r="AA417" s="350">
        <v>100</v>
      </c>
      <c r="AB417" s="349" t="s">
        <v>2685</v>
      </c>
      <c r="AC417" s="350">
        <v>0</v>
      </c>
      <c r="AD417" s="349" t="s">
        <v>2685</v>
      </c>
      <c r="AE417" s="364">
        <v>0</v>
      </c>
      <c r="AF417" s="366">
        <v>0</v>
      </c>
      <c r="AG417" s="363">
        <v>0</v>
      </c>
      <c r="AH417" s="635" t="s">
        <v>408</v>
      </c>
      <c r="AI417" s="324"/>
      <c r="AL417" s="487" t="s">
        <v>14605</v>
      </c>
      <c r="AM417" s="477" t="s">
        <v>71</v>
      </c>
      <c r="AN417" s="637">
        <v>100</v>
      </c>
      <c r="AO417" s="478">
        <v>-994</v>
      </c>
      <c r="AP417" s="463">
        <v>-637</v>
      </c>
      <c r="AQ417" s="479">
        <v>-357</v>
      </c>
      <c r="AR417" s="476" t="s">
        <v>16890</v>
      </c>
      <c r="BA417" s="313" t="s">
        <v>3456</v>
      </c>
    </row>
    <row r="418" spans="2:53" ht="16.5" customHeight="1">
      <c r="B418" s="367" t="s">
        <v>3472</v>
      </c>
      <c r="C418" s="351" t="s">
        <v>3473</v>
      </c>
      <c r="D418" s="353">
        <v>-995</v>
      </c>
      <c r="E418" s="352" t="s">
        <v>9045</v>
      </c>
      <c r="F418" s="341">
        <v>93.06</v>
      </c>
      <c r="G418" s="355" t="s">
        <v>18514</v>
      </c>
      <c r="H418" s="356" t="s">
        <v>3443</v>
      </c>
      <c r="I418" s="354" t="s">
        <v>75</v>
      </c>
      <c r="J418" s="340" t="s">
        <v>9046</v>
      </c>
      <c r="K418" s="339" t="s">
        <v>71</v>
      </c>
      <c r="L418" s="357">
        <v>5</v>
      </c>
      <c r="M418" s="358" t="s">
        <v>9047</v>
      </c>
      <c r="N418" s="359">
        <v>1000</v>
      </c>
      <c r="O418" s="360" t="s">
        <v>530</v>
      </c>
      <c r="P418" s="343" t="s">
        <v>531</v>
      </c>
      <c r="Q418" s="342" t="s">
        <v>2688</v>
      </c>
      <c r="R418" s="344">
        <v>36</v>
      </c>
      <c r="S418" s="345">
        <v>36</v>
      </c>
      <c r="T418" s="362">
        <v>29</v>
      </c>
      <c r="U418" s="361">
        <v>93.06</v>
      </c>
      <c r="V418" s="346">
        <v>127.885819227084</v>
      </c>
      <c r="W418" s="348">
        <v>126.23283296071543</v>
      </c>
      <c r="X418" s="347">
        <v>64.53</v>
      </c>
      <c r="Y418" s="357">
        <v>65.09</v>
      </c>
      <c r="Z418" s="365" t="s">
        <v>2689</v>
      </c>
      <c r="AA418" s="350">
        <v>0</v>
      </c>
      <c r="AB418" s="349" t="s">
        <v>2685</v>
      </c>
      <c r="AC418" s="350">
        <v>10</v>
      </c>
      <c r="AD418" s="349" t="s">
        <v>2685</v>
      </c>
      <c r="AE418" s="364">
        <v>0</v>
      </c>
      <c r="AF418" s="366">
        <v>0</v>
      </c>
      <c r="AG418" s="363">
        <v>0</v>
      </c>
      <c r="AH418" s="635" t="s">
        <v>408</v>
      </c>
      <c r="AI418" s="324"/>
      <c r="AL418" s="487" t="s">
        <v>14606</v>
      </c>
      <c r="AM418" s="477" t="s">
        <v>71</v>
      </c>
      <c r="AN418" s="637">
        <v>100</v>
      </c>
      <c r="AO418" s="478">
        <v>-995</v>
      </c>
      <c r="AP418" s="463">
        <v>-637</v>
      </c>
      <c r="AQ418" s="479">
        <v>-358</v>
      </c>
      <c r="AR418" s="476" t="s">
        <v>16891</v>
      </c>
      <c r="BA418" s="313" t="s">
        <v>3460</v>
      </c>
    </row>
    <row r="419" spans="2:53" ht="16.5" customHeight="1">
      <c r="B419" s="367" t="s">
        <v>9048</v>
      </c>
      <c r="C419" s="351" t="s">
        <v>9049</v>
      </c>
      <c r="D419" s="353">
        <v>-996</v>
      </c>
      <c r="E419" s="352" t="s">
        <v>9050</v>
      </c>
      <c r="F419" s="341">
        <v>93.05</v>
      </c>
      <c r="G419" s="355" t="s">
        <v>3590</v>
      </c>
      <c r="H419" s="356" t="s">
        <v>18515</v>
      </c>
      <c r="I419" s="354" t="s">
        <v>73</v>
      </c>
      <c r="J419" s="340" t="s">
        <v>8214</v>
      </c>
      <c r="K419" s="339" t="s">
        <v>71</v>
      </c>
      <c r="L419" s="357">
        <v>17</v>
      </c>
      <c r="M419" s="358" t="s">
        <v>9051</v>
      </c>
      <c r="N419" s="359">
        <v>1000</v>
      </c>
      <c r="O419" s="360" t="s">
        <v>530</v>
      </c>
      <c r="P419" s="343" t="s">
        <v>531</v>
      </c>
      <c r="Q419" s="342" t="s">
        <v>2688</v>
      </c>
      <c r="R419" s="344">
        <v>38</v>
      </c>
      <c r="S419" s="345">
        <v>25</v>
      </c>
      <c r="T419" s="362">
        <v>25</v>
      </c>
      <c r="U419" s="361">
        <v>93.05</v>
      </c>
      <c r="V419" s="346">
        <v>127.87280531452647</v>
      </c>
      <c r="W419" s="348">
        <v>126.21052339633111</v>
      </c>
      <c r="X419" s="347">
        <v>64.52</v>
      </c>
      <c r="Y419" s="357">
        <v>65.100000000000009</v>
      </c>
      <c r="Z419" s="365" t="s">
        <v>2689</v>
      </c>
      <c r="AA419" s="350">
        <v>125</v>
      </c>
      <c r="AB419" s="349" t="s">
        <v>2685</v>
      </c>
      <c r="AC419" s="350">
        <v>0</v>
      </c>
      <c r="AD419" s="349" t="s">
        <v>2685</v>
      </c>
      <c r="AE419" s="364">
        <v>0</v>
      </c>
      <c r="AF419" s="366">
        <v>4.883</v>
      </c>
      <c r="AG419" s="363">
        <v>0</v>
      </c>
      <c r="AH419" s="635" t="s">
        <v>8698</v>
      </c>
      <c r="AI419" s="324"/>
      <c r="AL419" s="487" t="s">
        <v>14607</v>
      </c>
      <c r="AM419" s="477" t="s">
        <v>71</v>
      </c>
      <c r="AN419" s="637">
        <v>100</v>
      </c>
      <c r="AO419" s="478">
        <v>-996</v>
      </c>
      <c r="AP419" s="463">
        <v>-637</v>
      </c>
      <c r="AQ419" s="479">
        <v>-359</v>
      </c>
      <c r="AR419" s="476" t="s">
        <v>16892</v>
      </c>
      <c r="BA419" s="313" t="s">
        <v>3461</v>
      </c>
    </row>
    <row r="420" spans="2:53" ht="16.5" customHeight="1">
      <c r="B420" s="367" t="s">
        <v>9052</v>
      </c>
      <c r="C420" s="351" t="s">
        <v>9053</v>
      </c>
      <c r="D420" s="353">
        <v>-997</v>
      </c>
      <c r="E420" s="352" t="s">
        <v>9054</v>
      </c>
      <c r="F420" s="341">
        <v>93.01</v>
      </c>
      <c r="G420" s="355" t="s">
        <v>18516</v>
      </c>
      <c r="H420" s="356" t="s">
        <v>3555</v>
      </c>
      <c r="I420" s="354" t="s">
        <v>228</v>
      </c>
      <c r="J420" s="340" t="s">
        <v>8775</v>
      </c>
      <c r="K420" s="339" t="s">
        <v>71</v>
      </c>
      <c r="L420" s="357">
        <v>18</v>
      </c>
      <c r="M420" s="358" t="s">
        <v>9055</v>
      </c>
      <c r="N420" s="359">
        <v>1000</v>
      </c>
      <c r="O420" s="360" t="s">
        <v>530</v>
      </c>
      <c r="P420" s="343" t="s">
        <v>531</v>
      </c>
      <c r="Q420" s="342" t="s">
        <v>2688</v>
      </c>
      <c r="R420" s="344">
        <v>30</v>
      </c>
      <c r="S420" s="345">
        <v>40</v>
      </c>
      <c r="T420" s="362">
        <v>30</v>
      </c>
      <c r="U420" s="361">
        <v>93.01</v>
      </c>
      <c r="V420" s="346">
        <v>127.84342754598474</v>
      </c>
      <c r="W420" s="348">
        <v>126.16016150740242</v>
      </c>
      <c r="X420" s="347">
        <v>64.5</v>
      </c>
      <c r="Y420" s="357">
        <v>66.510000000000005</v>
      </c>
      <c r="Z420" s="365" t="s">
        <v>2689</v>
      </c>
      <c r="AA420" s="350">
        <v>100</v>
      </c>
      <c r="AB420" s="349" t="s">
        <v>2685</v>
      </c>
      <c r="AC420" s="350">
        <v>10</v>
      </c>
      <c r="AD420" s="349" t="s">
        <v>2685</v>
      </c>
      <c r="AE420" s="364">
        <v>0</v>
      </c>
      <c r="AF420" s="366">
        <v>0</v>
      </c>
      <c r="AG420" s="363">
        <v>0</v>
      </c>
      <c r="AH420" s="635" t="s">
        <v>408</v>
      </c>
      <c r="AI420" s="324"/>
      <c r="AL420" s="487" t="s">
        <v>14608</v>
      </c>
      <c r="AM420" s="477" t="s">
        <v>71</v>
      </c>
      <c r="AN420" s="637">
        <v>100</v>
      </c>
      <c r="AO420" s="478">
        <v>-997</v>
      </c>
      <c r="AP420" s="463">
        <v>-635</v>
      </c>
      <c r="AQ420" s="479">
        <v>-362</v>
      </c>
      <c r="AR420" s="476" t="s">
        <v>16893</v>
      </c>
      <c r="BA420" s="313" t="s">
        <v>3464</v>
      </c>
    </row>
    <row r="421" spans="2:53" ht="16.5" customHeight="1">
      <c r="B421" s="367" t="s">
        <v>9056</v>
      </c>
      <c r="C421" s="351" t="s">
        <v>9057</v>
      </c>
      <c r="D421" s="353">
        <v>-998</v>
      </c>
      <c r="E421" s="352" t="s">
        <v>3631</v>
      </c>
      <c r="F421" s="341">
        <v>92.97</v>
      </c>
      <c r="G421" s="355" t="s">
        <v>9662</v>
      </c>
      <c r="H421" s="356" t="s">
        <v>18517</v>
      </c>
      <c r="I421" s="354" t="s">
        <v>80</v>
      </c>
      <c r="J421" s="340" t="s">
        <v>9059</v>
      </c>
      <c r="K421" s="339" t="s">
        <v>71</v>
      </c>
      <c r="L421" s="357">
        <v>8</v>
      </c>
      <c r="M421" s="358" t="s">
        <v>9060</v>
      </c>
      <c r="N421" s="359">
        <v>1000</v>
      </c>
      <c r="O421" s="360" t="s">
        <v>532</v>
      </c>
      <c r="P421" s="343" t="s">
        <v>533</v>
      </c>
      <c r="Q421" s="342" t="s">
        <v>2688</v>
      </c>
      <c r="R421" s="344">
        <v>35</v>
      </c>
      <c r="S421" s="345">
        <v>30</v>
      </c>
      <c r="T421" s="362">
        <v>25</v>
      </c>
      <c r="U421" s="361">
        <v>92.97</v>
      </c>
      <c r="V421" s="346">
        <v>127.8088104759814</v>
      </c>
      <c r="W421" s="348">
        <v>126.10081795882529</v>
      </c>
      <c r="X421" s="347">
        <v>64.48</v>
      </c>
      <c r="Y421" s="357">
        <v>66.7</v>
      </c>
      <c r="Z421" s="365" t="s">
        <v>2689</v>
      </c>
      <c r="AA421" s="350">
        <v>100</v>
      </c>
      <c r="AB421" s="349" t="s">
        <v>2685</v>
      </c>
      <c r="AC421" s="350">
        <v>0</v>
      </c>
      <c r="AD421" s="349" t="s">
        <v>2685</v>
      </c>
      <c r="AE421" s="364">
        <v>0</v>
      </c>
      <c r="AF421" s="366">
        <v>0</v>
      </c>
      <c r="AG421" s="363">
        <v>0</v>
      </c>
      <c r="AH421" s="635" t="s">
        <v>408</v>
      </c>
      <c r="AI421" s="324"/>
      <c r="AL421" s="487" t="s">
        <v>14609</v>
      </c>
      <c r="AM421" s="477" t="s">
        <v>71</v>
      </c>
      <c r="AN421" s="637">
        <v>100</v>
      </c>
      <c r="AO421" s="478">
        <v>-998</v>
      </c>
      <c r="AP421" s="463">
        <v>-634</v>
      </c>
      <c r="AQ421" s="479">
        <v>-364</v>
      </c>
      <c r="AR421" s="476" t="s">
        <v>16894</v>
      </c>
      <c r="BA421" s="313" t="s">
        <v>3465</v>
      </c>
    </row>
    <row r="422" spans="2:53" ht="16.5" customHeight="1">
      <c r="B422" s="367" t="s">
        <v>9056</v>
      </c>
      <c r="C422" s="351" t="s">
        <v>9057</v>
      </c>
      <c r="D422" s="353">
        <v>-999</v>
      </c>
      <c r="E422" s="352" t="s">
        <v>3629</v>
      </c>
      <c r="F422" s="341">
        <v>92.97</v>
      </c>
      <c r="G422" s="355" t="s">
        <v>9502</v>
      </c>
      <c r="H422" s="356" t="s">
        <v>18518</v>
      </c>
      <c r="I422" s="354" t="s">
        <v>73</v>
      </c>
      <c r="J422" s="340" t="s">
        <v>9061</v>
      </c>
      <c r="K422" s="339" t="s">
        <v>71</v>
      </c>
      <c r="L422" s="357" t="s">
        <v>408</v>
      </c>
      <c r="M422" s="358" t="s">
        <v>9062</v>
      </c>
      <c r="N422" s="359">
        <v>1000</v>
      </c>
      <c r="O422" s="360" t="s">
        <v>530</v>
      </c>
      <c r="P422" s="343" t="s">
        <v>531</v>
      </c>
      <c r="Q422" s="342" t="s">
        <v>2688</v>
      </c>
      <c r="R422" s="344">
        <v>38</v>
      </c>
      <c r="S422" s="345">
        <v>25</v>
      </c>
      <c r="T422" s="362">
        <v>25</v>
      </c>
      <c r="U422" s="361">
        <v>92.97</v>
      </c>
      <c r="V422" s="346">
        <v>127.81000735054522</v>
      </c>
      <c r="W422" s="348">
        <v>126.10286974379183</v>
      </c>
      <c r="X422" s="347">
        <v>64.48</v>
      </c>
      <c r="Y422" s="357">
        <v>65.06</v>
      </c>
      <c r="Z422" s="365" t="s">
        <v>2689</v>
      </c>
      <c r="AA422" s="350">
        <v>125</v>
      </c>
      <c r="AB422" s="349" t="s">
        <v>2685</v>
      </c>
      <c r="AC422" s="350">
        <v>0</v>
      </c>
      <c r="AD422" s="349" t="s">
        <v>2685</v>
      </c>
      <c r="AE422" s="364">
        <v>0</v>
      </c>
      <c r="AF422" s="366">
        <v>4.88</v>
      </c>
      <c r="AG422" s="363">
        <v>0</v>
      </c>
      <c r="AH422" s="635" t="s">
        <v>8698</v>
      </c>
      <c r="AI422" s="324"/>
      <c r="AL422" s="487" t="s">
        <v>14610</v>
      </c>
      <c r="AM422" s="477" t="s">
        <v>71</v>
      </c>
      <c r="AN422" s="637">
        <v>100</v>
      </c>
      <c r="AO422" s="478">
        <v>-999</v>
      </c>
      <c r="AP422" s="463">
        <v>-635</v>
      </c>
      <c r="AQ422" s="479">
        <v>-364</v>
      </c>
      <c r="AR422" s="476" t="s">
        <v>16895</v>
      </c>
      <c r="BA422" s="313" t="s">
        <v>3467</v>
      </c>
    </row>
    <row r="423" spans="2:53" ht="16.5" customHeight="1">
      <c r="B423" s="367" t="s">
        <v>3475</v>
      </c>
      <c r="C423" s="351" t="s">
        <v>3476</v>
      </c>
      <c r="D423" s="353">
        <v>-1000</v>
      </c>
      <c r="E423" s="352" t="s">
        <v>9063</v>
      </c>
      <c r="F423" s="341">
        <v>92.94</v>
      </c>
      <c r="G423" s="355" t="s">
        <v>3599</v>
      </c>
      <c r="H423" s="356" t="s">
        <v>18519</v>
      </c>
      <c r="I423" s="354" t="s">
        <v>73</v>
      </c>
      <c r="J423" s="340" t="s">
        <v>8883</v>
      </c>
      <c r="K423" s="339" t="s">
        <v>71</v>
      </c>
      <c r="L423" s="357">
        <v>17</v>
      </c>
      <c r="M423" s="358" t="s">
        <v>9064</v>
      </c>
      <c r="N423" s="359">
        <v>1000</v>
      </c>
      <c r="O423" s="360" t="s">
        <v>530</v>
      </c>
      <c r="P423" s="343" t="s">
        <v>531</v>
      </c>
      <c r="Q423" s="342" t="s">
        <v>2688</v>
      </c>
      <c r="R423" s="344">
        <v>38</v>
      </c>
      <c r="S423" s="345">
        <v>25</v>
      </c>
      <c r="T423" s="362">
        <v>25</v>
      </c>
      <c r="U423" s="361">
        <v>92.94</v>
      </c>
      <c r="V423" s="346">
        <v>127.78293663122744</v>
      </c>
      <c r="W423" s="348">
        <v>126.05646279638991</v>
      </c>
      <c r="X423" s="347">
        <v>64.47</v>
      </c>
      <c r="Y423" s="357">
        <v>65.040000000000006</v>
      </c>
      <c r="Z423" s="365" t="s">
        <v>2689</v>
      </c>
      <c r="AA423" s="350">
        <v>125</v>
      </c>
      <c r="AB423" s="349" t="s">
        <v>2685</v>
      </c>
      <c r="AC423" s="350">
        <v>0</v>
      </c>
      <c r="AD423" s="349" t="s">
        <v>2685</v>
      </c>
      <c r="AE423" s="364">
        <v>0</v>
      </c>
      <c r="AF423" s="366">
        <v>4.8780000000000001</v>
      </c>
      <c r="AG423" s="363">
        <v>0</v>
      </c>
      <c r="AH423" s="635" t="s">
        <v>8698</v>
      </c>
      <c r="AI423" s="324"/>
      <c r="AL423" s="487" t="s">
        <v>14611</v>
      </c>
      <c r="AM423" s="477" t="s">
        <v>71</v>
      </c>
      <c r="AN423" s="637">
        <v>100</v>
      </c>
      <c r="AO423" s="478">
        <v>-1000</v>
      </c>
      <c r="AP423" s="463">
        <v>-635</v>
      </c>
      <c r="AQ423" s="479">
        <v>-365</v>
      </c>
      <c r="AR423" s="476" t="s">
        <v>16896</v>
      </c>
      <c r="BA423" s="313" t="s">
        <v>3469</v>
      </c>
    </row>
    <row r="424" spans="2:53" ht="16.5" customHeight="1">
      <c r="B424" s="367" t="s">
        <v>9065</v>
      </c>
      <c r="C424" s="351" t="s">
        <v>9066</v>
      </c>
      <c r="D424" s="353">
        <v>-1001</v>
      </c>
      <c r="E424" s="352" t="s">
        <v>408</v>
      </c>
      <c r="F424" s="341">
        <v>92.91</v>
      </c>
      <c r="G424" s="355" t="s">
        <v>9067</v>
      </c>
      <c r="H424" s="356" t="s">
        <v>3450</v>
      </c>
      <c r="I424" s="354" t="s">
        <v>228</v>
      </c>
      <c r="J424" s="340" t="s">
        <v>9068</v>
      </c>
      <c r="K424" s="339" t="s">
        <v>70</v>
      </c>
      <c r="L424" s="357">
        <v>152</v>
      </c>
      <c r="M424" s="358" t="s">
        <v>9069</v>
      </c>
      <c r="N424" s="359">
        <v>1000</v>
      </c>
      <c r="O424" s="360" t="s">
        <v>530</v>
      </c>
      <c r="P424" s="343" t="s">
        <v>531</v>
      </c>
      <c r="Q424" s="342" t="s">
        <v>2688</v>
      </c>
      <c r="R424" s="344">
        <v>30</v>
      </c>
      <c r="S424" s="345">
        <v>35</v>
      </c>
      <c r="T424" s="362">
        <v>35</v>
      </c>
      <c r="U424" s="361">
        <v>92.91</v>
      </c>
      <c r="V424" s="346">
        <v>127.75439619158651</v>
      </c>
      <c r="W424" s="348">
        <v>126.00753632843403</v>
      </c>
      <c r="X424" s="347">
        <v>64.069999999999993</v>
      </c>
      <c r="Y424" s="357">
        <v>66.47</v>
      </c>
      <c r="Z424" s="365" t="s">
        <v>2689</v>
      </c>
      <c r="AA424" s="350">
        <v>100</v>
      </c>
      <c r="AB424" s="349" t="s">
        <v>2685</v>
      </c>
      <c r="AC424" s="350">
        <v>10</v>
      </c>
      <c r="AD424" s="349" t="s">
        <v>2685</v>
      </c>
      <c r="AE424" s="364">
        <v>0</v>
      </c>
      <c r="AF424" s="366">
        <v>11.632</v>
      </c>
      <c r="AG424" s="363">
        <v>0</v>
      </c>
      <c r="AH424" s="635" t="s">
        <v>7787</v>
      </c>
      <c r="AI424" s="324"/>
      <c r="AL424" s="487" t="s">
        <v>14612</v>
      </c>
      <c r="AM424" s="477" t="s">
        <v>70</v>
      </c>
      <c r="AN424" s="637">
        <v>100</v>
      </c>
      <c r="AO424" s="478">
        <v>-1001</v>
      </c>
      <c r="AP424" s="463">
        <v>-1001</v>
      </c>
      <c r="AQ424" s="479">
        <v>0</v>
      </c>
      <c r="AR424" s="476" t="s">
        <v>14613</v>
      </c>
      <c r="BA424" s="313" t="s">
        <v>3471</v>
      </c>
    </row>
    <row r="425" spans="2:53" ht="16.5" customHeight="1">
      <c r="B425" s="367" t="s">
        <v>9070</v>
      </c>
      <c r="C425" s="351" t="s">
        <v>9071</v>
      </c>
      <c r="D425" s="353">
        <v>-1002</v>
      </c>
      <c r="E425" s="352" t="s">
        <v>408</v>
      </c>
      <c r="F425" s="341">
        <v>92.88</v>
      </c>
      <c r="G425" s="355" t="s">
        <v>9072</v>
      </c>
      <c r="H425" s="356" t="s">
        <v>9073</v>
      </c>
      <c r="I425" s="354" t="s">
        <v>83</v>
      </c>
      <c r="J425" s="340" t="s">
        <v>9074</v>
      </c>
      <c r="K425" s="339" t="s">
        <v>70</v>
      </c>
      <c r="L425" s="357">
        <v>17</v>
      </c>
      <c r="M425" s="358" t="s">
        <v>9075</v>
      </c>
      <c r="N425" s="359">
        <v>1000</v>
      </c>
      <c r="O425" s="360" t="s">
        <v>532</v>
      </c>
      <c r="P425" s="343" t="s">
        <v>533</v>
      </c>
      <c r="Q425" s="342" t="s">
        <v>2688</v>
      </c>
      <c r="R425" s="344">
        <v>20</v>
      </c>
      <c r="S425" s="345">
        <v>40</v>
      </c>
      <c r="T425" s="362">
        <v>30</v>
      </c>
      <c r="U425" s="361">
        <v>92.88</v>
      </c>
      <c r="V425" s="346">
        <v>127.7350615155092</v>
      </c>
      <c r="W425" s="348">
        <v>125.9850615155092</v>
      </c>
      <c r="X425" s="347">
        <v>64.06</v>
      </c>
      <c r="Y425" s="357">
        <v>64.510000000000005</v>
      </c>
      <c r="Z425" s="365" t="s">
        <v>3017</v>
      </c>
      <c r="AA425" s="350">
        <v>98</v>
      </c>
      <c r="AB425" s="349" t="s">
        <v>2685</v>
      </c>
      <c r="AC425" s="350">
        <v>0</v>
      </c>
      <c r="AD425" s="349" t="s">
        <v>2685</v>
      </c>
      <c r="AE425" s="364">
        <v>0</v>
      </c>
      <c r="AF425" s="366">
        <v>19.317</v>
      </c>
      <c r="AG425" s="363">
        <v>0</v>
      </c>
      <c r="AH425" s="635" t="s">
        <v>7791</v>
      </c>
      <c r="AI425" s="324"/>
      <c r="AL425" s="487" t="s">
        <v>14614</v>
      </c>
      <c r="AM425" s="477" t="s">
        <v>70</v>
      </c>
      <c r="AN425" s="637">
        <v>100</v>
      </c>
      <c r="AO425" s="478">
        <v>-1002</v>
      </c>
      <c r="AP425" s="463">
        <v>-1002</v>
      </c>
      <c r="AQ425" s="479">
        <v>0</v>
      </c>
      <c r="AR425" s="476" t="s">
        <v>14615</v>
      </c>
      <c r="BA425" s="313" t="s">
        <v>3474</v>
      </c>
    </row>
    <row r="426" spans="2:53" ht="16.5" customHeight="1">
      <c r="B426" s="367" t="s">
        <v>9070</v>
      </c>
      <c r="C426" s="351" t="s">
        <v>9071</v>
      </c>
      <c r="D426" s="353">
        <v>-1003</v>
      </c>
      <c r="E426" s="352" t="s">
        <v>9076</v>
      </c>
      <c r="F426" s="341">
        <v>92.87</v>
      </c>
      <c r="G426" s="355" t="s">
        <v>3611</v>
      </c>
      <c r="H426" s="356" t="s">
        <v>9144</v>
      </c>
      <c r="I426" s="354" t="s">
        <v>80</v>
      </c>
      <c r="J426" s="340" t="s">
        <v>9077</v>
      </c>
      <c r="K426" s="339" t="s">
        <v>71</v>
      </c>
      <c r="L426" s="357">
        <v>34</v>
      </c>
      <c r="M426" s="358" t="s">
        <v>9078</v>
      </c>
      <c r="N426" s="359">
        <v>1000</v>
      </c>
      <c r="O426" s="360" t="s">
        <v>532</v>
      </c>
      <c r="P426" s="343" t="s">
        <v>533</v>
      </c>
      <c r="Q426" s="342" t="s">
        <v>2688</v>
      </c>
      <c r="R426" s="344">
        <v>35</v>
      </c>
      <c r="S426" s="345">
        <v>30</v>
      </c>
      <c r="T426" s="362">
        <v>25</v>
      </c>
      <c r="U426" s="361">
        <v>92.87</v>
      </c>
      <c r="V426" s="346">
        <v>127.72765535073817</v>
      </c>
      <c r="W426" s="348">
        <v>125.97765535073817</v>
      </c>
      <c r="X426" s="347">
        <v>64.44</v>
      </c>
      <c r="Y426" s="357">
        <v>66.67</v>
      </c>
      <c r="Z426" s="365" t="s">
        <v>2689</v>
      </c>
      <c r="AA426" s="350">
        <v>100</v>
      </c>
      <c r="AB426" s="349" t="s">
        <v>2685</v>
      </c>
      <c r="AC426" s="350">
        <v>0</v>
      </c>
      <c r="AD426" s="349" t="s">
        <v>2685</v>
      </c>
      <c r="AE426" s="364">
        <v>0</v>
      </c>
      <c r="AF426" s="366">
        <v>0</v>
      </c>
      <c r="AG426" s="363">
        <v>0</v>
      </c>
      <c r="AH426" s="635" t="s">
        <v>408</v>
      </c>
      <c r="AI426" s="324"/>
      <c r="AL426" s="487" t="s">
        <v>14616</v>
      </c>
      <c r="AM426" s="477" t="s">
        <v>71</v>
      </c>
      <c r="AN426" s="637">
        <v>100</v>
      </c>
      <c r="AO426" s="478">
        <v>-1003</v>
      </c>
      <c r="AP426" s="463">
        <v>-632</v>
      </c>
      <c r="AQ426" s="479">
        <v>-371</v>
      </c>
      <c r="AR426" s="476" t="s">
        <v>16897</v>
      </c>
      <c r="BA426" s="313" t="s">
        <v>3477</v>
      </c>
    </row>
    <row r="427" spans="2:53" ht="16.5" customHeight="1">
      <c r="B427" s="367" t="s">
        <v>9070</v>
      </c>
      <c r="C427" s="351" t="s">
        <v>9071</v>
      </c>
      <c r="D427" s="353">
        <v>-1004</v>
      </c>
      <c r="E427" s="352" t="s">
        <v>9079</v>
      </c>
      <c r="F427" s="341">
        <v>92.87</v>
      </c>
      <c r="G427" s="355" t="s">
        <v>18520</v>
      </c>
      <c r="H427" s="356" t="s">
        <v>9144</v>
      </c>
      <c r="I427" s="354" t="s">
        <v>80</v>
      </c>
      <c r="J427" s="340" t="s">
        <v>8618</v>
      </c>
      <c r="K427" s="339" t="s">
        <v>71</v>
      </c>
      <c r="L427" s="357">
        <v>12</v>
      </c>
      <c r="M427" s="358" t="s">
        <v>9080</v>
      </c>
      <c r="N427" s="359">
        <v>1000</v>
      </c>
      <c r="O427" s="360" t="s">
        <v>532</v>
      </c>
      <c r="P427" s="343" t="s">
        <v>533</v>
      </c>
      <c r="Q427" s="342" t="s">
        <v>2688</v>
      </c>
      <c r="R427" s="344">
        <v>35</v>
      </c>
      <c r="S427" s="345">
        <v>30</v>
      </c>
      <c r="T427" s="362">
        <v>25</v>
      </c>
      <c r="U427" s="361">
        <v>92.87</v>
      </c>
      <c r="V427" s="346">
        <v>127.72440904162148</v>
      </c>
      <c r="W427" s="348">
        <v>125.97440904162148</v>
      </c>
      <c r="X427" s="347">
        <v>64.44</v>
      </c>
      <c r="Y427" s="357">
        <v>66.67</v>
      </c>
      <c r="Z427" s="365" t="s">
        <v>2689</v>
      </c>
      <c r="AA427" s="350">
        <v>100</v>
      </c>
      <c r="AB427" s="349" t="s">
        <v>2685</v>
      </c>
      <c r="AC427" s="350">
        <v>0</v>
      </c>
      <c r="AD427" s="349" t="s">
        <v>2685</v>
      </c>
      <c r="AE427" s="364">
        <v>0</v>
      </c>
      <c r="AF427" s="366">
        <v>0</v>
      </c>
      <c r="AG427" s="363">
        <v>0</v>
      </c>
      <c r="AH427" s="635" t="s">
        <v>408</v>
      </c>
      <c r="AI427" s="324"/>
      <c r="AL427" s="487" t="s">
        <v>14617</v>
      </c>
      <c r="AM427" s="477" t="s">
        <v>71</v>
      </c>
      <c r="AN427" s="637">
        <v>100</v>
      </c>
      <c r="AO427" s="478">
        <v>-1004</v>
      </c>
      <c r="AP427" s="463">
        <v>-633</v>
      </c>
      <c r="AQ427" s="479">
        <v>-371</v>
      </c>
      <c r="AR427" s="476" t="s">
        <v>16897</v>
      </c>
      <c r="BA427" s="313" t="s">
        <v>3480</v>
      </c>
    </row>
    <row r="428" spans="2:53" ht="16.5" customHeight="1">
      <c r="B428" s="367" t="s">
        <v>3478</v>
      </c>
      <c r="C428" s="351" t="s">
        <v>3479</v>
      </c>
      <c r="D428" s="353">
        <v>-1005</v>
      </c>
      <c r="E428" s="352" t="s">
        <v>9081</v>
      </c>
      <c r="F428" s="341">
        <v>92.86</v>
      </c>
      <c r="G428" s="355" t="s">
        <v>18521</v>
      </c>
      <c r="H428" s="356" t="s">
        <v>18522</v>
      </c>
      <c r="I428" s="354" t="s">
        <v>80</v>
      </c>
      <c r="J428" s="340" t="s">
        <v>8753</v>
      </c>
      <c r="K428" s="339" t="s">
        <v>71</v>
      </c>
      <c r="L428" s="357">
        <v>19</v>
      </c>
      <c r="M428" s="358" t="s">
        <v>9082</v>
      </c>
      <c r="N428" s="359">
        <v>1000</v>
      </c>
      <c r="O428" s="360" t="s">
        <v>532</v>
      </c>
      <c r="P428" s="343" t="s">
        <v>533</v>
      </c>
      <c r="Q428" s="342" t="s">
        <v>2688</v>
      </c>
      <c r="R428" s="344">
        <v>35</v>
      </c>
      <c r="S428" s="345">
        <v>30</v>
      </c>
      <c r="T428" s="362">
        <v>25</v>
      </c>
      <c r="U428" s="361">
        <v>92.86</v>
      </c>
      <c r="V428" s="346">
        <v>127.71304695971308</v>
      </c>
      <c r="W428" s="348">
        <v>125.96304695971308</v>
      </c>
      <c r="X428" s="347">
        <v>64.430000000000007</v>
      </c>
      <c r="Y428" s="357">
        <v>66.67</v>
      </c>
      <c r="Z428" s="365" t="s">
        <v>2689</v>
      </c>
      <c r="AA428" s="350">
        <v>100</v>
      </c>
      <c r="AB428" s="349" t="s">
        <v>2685</v>
      </c>
      <c r="AC428" s="350">
        <v>0</v>
      </c>
      <c r="AD428" s="349" t="s">
        <v>2685</v>
      </c>
      <c r="AE428" s="364">
        <v>0</v>
      </c>
      <c r="AF428" s="366">
        <v>0</v>
      </c>
      <c r="AG428" s="363">
        <v>0</v>
      </c>
      <c r="AH428" s="635" t="s">
        <v>408</v>
      </c>
      <c r="AI428" s="324"/>
      <c r="AL428" s="487" t="s">
        <v>14618</v>
      </c>
      <c r="AM428" s="477" t="s">
        <v>71</v>
      </c>
      <c r="AN428" s="637">
        <v>100</v>
      </c>
      <c r="AO428" s="478">
        <v>-1005</v>
      </c>
      <c r="AP428" s="463">
        <v>-632</v>
      </c>
      <c r="AQ428" s="479">
        <v>-373</v>
      </c>
      <c r="AR428" s="476" t="s">
        <v>16898</v>
      </c>
      <c r="BA428" s="313" t="s">
        <v>3482</v>
      </c>
    </row>
    <row r="429" spans="2:53" ht="16.5" customHeight="1">
      <c r="B429" s="367" t="s">
        <v>3478</v>
      </c>
      <c r="C429" s="351" t="s">
        <v>3479</v>
      </c>
      <c r="D429" s="353">
        <v>-1006</v>
      </c>
      <c r="E429" s="352" t="s">
        <v>9081</v>
      </c>
      <c r="F429" s="341">
        <v>92.86</v>
      </c>
      <c r="G429" s="355" t="s">
        <v>3606</v>
      </c>
      <c r="H429" s="356" t="s">
        <v>18523</v>
      </c>
      <c r="I429" s="354" t="s">
        <v>73</v>
      </c>
      <c r="J429" s="340" t="s">
        <v>9083</v>
      </c>
      <c r="K429" s="339" t="s">
        <v>71</v>
      </c>
      <c r="L429" s="357">
        <v>21</v>
      </c>
      <c r="M429" s="358" t="s">
        <v>9084</v>
      </c>
      <c r="N429" s="359">
        <v>1000</v>
      </c>
      <c r="O429" s="360" t="s">
        <v>530</v>
      </c>
      <c r="P429" s="343" t="s">
        <v>531</v>
      </c>
      <c r="Q429" s="342" t="s">
        <v>2688</v>
      </c>
      <c r="R429" s="344">
        <v>38</v>
      </c>
      <c r="S429" s="345">
        <v>25</v>
      </c>
      <c r="T429" s="362">
        <v>25</v>
      </c>
      <c r="U429" s="361">
        <v>92.86</v>
      </c>
      <c r="V429" s="346">
        <v>127.71940285972244</v>
      </c>
      <c r="W429" s="348">
        <v>125.96940285972244</v>
      </c>
      <c r="X429" s="347">
        <v>64.430000000000007</v>
      </c>
      <c r="Y429" s="357">
        <v>65</v>
      </c>
      <c r="Z429" s="365" t="s">
        <v>2689</v>
      </c>
      <c r="AA429" s="350">
        <v>125</v>
      </c>
      <c r="AB429" s="349" t="s">
        <v>2685</v>
      </c>
      <c r="AC429" s="350">
        <v>0</v>
      </c>
      <c r="AD429" s="349" t="s">
        <v>2685</v>
      </c>
      <c r="AE429" s="364">
        <v>0</v>
      </c>
      <c r="AF429" s="366">
        <v>4.875</v>
      </c>
      <c r="AG429" s="363">
        <v>0</v>
      </c>
      <c r="AH429" s="635" t="s">
        <v>8698</v>
      </c>
      <c r="AI429" s="324"/>
      <c r="AL429" s="487" t="s">
        <v>14619</v>
      </c>
      <c r="AM429" s="477" t="s">
        <v>71</v>
      </c>
      <c r="AN429" s="637">
        <v>100</v>
      </c>
      <c r="AO429" s="478">
        <v>-1006</v>
      </c>
      <c r="AP429" s="463">
        <v>-633</v>
      </c>
      <c r="AQ429" s="479">
        <v>-373</v>
      </c>
      <c r="AR429" s="476" t="s">
        <v>16899</v>
      </c>
      <c r="BA429" s="313" t="s">
        <v>3485</v>
      </c>
    </row>
    <row r="430" spans="2:53" ht="16.5" customHeight="1">
      <c r="B430" s="367" t="s">
        <v>3483</v>
      </c>
      <c r="C430" s="351" t="s">
        <v>3484</v>
      </c>
      <c r="D430" s="353">
        <v>-1007</v>
      </c>
      <c r="E430" s="352" t="s">
        <v>408</v>
      </c>
      <c r="F430" s="341">
        <v>92.83</v>
      </c>
      <c r="G430" s="355" t="s">
        <v>3661</v>
      </c>
      <c r="H430" s="356" t="s">
        <v>8810</v>
      </c>
      <c r="I430" s="354" t="s">
        <v>83</v>
      </c>
      <c r="J430" s="340" t="s">
        <v>9085</v>
      </c>
      <c r="K430" s="339" t="s">
        <v>70</v>
      </c>
      <c r="L430" s="357">
        <v>10</v>
      </c>
      <c r="M430" s="358" t="s">
        <v>9086</v>
      </c>
      <c r="N430" s="359">
        <v>1000</v>
      </c>
      <c r="O430" s="360" t="s">
        <v>532</v>
      </c>
      <c r="P430" s="343" t="s">
        <v>533</v>
      </c>
      <c r="Q430" s="342" t="s">
        <v>2688</v>
      </c>
      <c r="R430" s="344">
        <v>20</v>
      </c>
      <c r="S430" s="345">
        <v>40</v>
      </c>
      <c r="T430" s="362">
        <v>30</v>
      </c>
      <c r="U430" s="361">
        <v>92.83</v>
      </c>
      <c r="V430" s="346">
        <v>127.69144126966913</v>
      </c>
      <c r="W430" s="348">
        <v>125.94144126966913</v>
      </c>
      <c r="X430" s="347">
        <v>64.040000000000006</v>
      </c>
      <c r="Y430" s="357">
        <v>64.490000000000009</v>
      </c>
      <c r="Z430" s="365" t="s">
        <v>3017</v>
      </c>
      <c r="AA430" s="350">
        <v>98</v>
      </c>
      <c r="AB430" s="349" t="s">
        <v>2685</v>
      </c>
      <c r="AC430" s="350">
        <v>0</v>
      </c>
      <c r="AD430" s="349" t="s">
        <v>2685</v>
      </c>
      <c r="AE430" s="364">
        <v>0</v>
      </c>
      <c r="AF430" s="366">
        <v>19.311</v>
      </c>
      <c r="AG430" s="363">
        <v>0</v>
      </c>
      <c r="AH430" s="635" t="s">
        <v>7791</v>
      </c>
      <c r="AI430" s="324"/>
      <c r="AL430" s="487" t="s">
        <v>14620</v>
      </c>
      <c r="AM430" s="477" t="s">
        <v>70</v>
      </c>
      <c r="AN430" s="637">
        <v>100</v>
      </c>
      <c r="AO430" s="478">
        <v>-1007</v>
      </c>
      <c r="AP430" s="463">
        <v>-1007</v>
      </c>
      <c r="AQ430" s="479">
        <v>0</v>
      </c>
      <c r="AR430" s="476" t="s">
        <v>14621</v>
      </c>
      <c r="BA430" s="313" t="s">
        <v>3486</v>
      </c>
    </row>
    <row r="431" spans="2:53" ht="16.5" customHeight="1">
      <c r="B431" s="367" t="s">
        <v>3503</v>
      </c>
      <c r="C431" s="351" t="s">
        <v>3504</v>
      </c>
      <c r="D431" s="353">
        <v>-1008</v>
      </c>
      <c r="E431" s="352" t="s">
        <v>3666</v>
      </c>
      <c r="F431" s="341">
        <v>92.8</v>
      </c>
      <c r="G431" s="355" t="s">
        <v>3618</v>
      </c>
      <c r="H431" s="356" t="s">
        <v>8810</v>
      </c>
      <c r="I431" s="354" t="s">
        <v>80</v>
      </c>
      <c r="J431" s="340" t="s">
        <v>8863</v>
      </c>
      <c r="K431" s="339" t="s">
        <v>71</v>
      </c>
      <c r="L431" s="357">
        <v>9</v>
      </c>
      <c r="M431" s="358" t="s">
        <v>9087</v>
      </c>
      <c r="N431" s="359">
        <v>1000</v>
      </c>
      <c r="O431" s="360" t="s">
        <v>532</v>
      </c>
      <c r="P431" s="343" t="s">
        <v>533</v>
      </c>
      <c r="Q431" s="342" t="s">
        <v>2688</v>
      </c>
      <c r="R431" s="344">
        <v>35</v>
      </c>
      <c r="S431" s="345">
        <v>30</v>
      </c>
      <c r="T431" s="362">
        <v>25</v>
      </c>
      <c r="U431" s="361">
        <v>92.8</v>
      </c>
      <c r="V431" s="346">
        <v>127.66922178663773</v>
      </c>
      <c r="W431" s="348">
        <v>125.91922178663773</v>
      </c>
      <c r="X431" s="347">
        <v>64.41</v>
      </c>
      <c r="Y431" s="357">
        <v>66.64</v>
      </c>
      <c r="Z431" s="365" t="s">
        <v>2689</v>
      </c>
      <c r="AA431" s="350">
        <v>100</v>
      </c>
      <c r="AB431" s="349" t="s">
        <v>2685</v>
      </c>
      <c r="AC431" s="350">
        <v>0</v>
      </c>
      <c r="AD431" s="349" t="s">
        <v>2685</v>
      </c>
      <c r="AE431" s="364">
        <v>0</v>
      </c>
      <c r="AF431" s="366">
        <v>0</v>
      </c>
      <c r="AG431" s="363">
        <v>0</v>
      </c>
      <c r="AH431" s="635" t="s">
        <v>408</v>
      </c>
      <c r="AI431" s="324"/>
      <c r="AL431" s="487" t="s">
        <v>14622</v>
      </c>
      <c r="AM431" s="477" t="s">
        <v>71</v>
      </c>
      <c r="AN431" s="637">
        <v>100</v>
      </c>
      <c r="AO431" s="478">
        <v>-1008</v>
      </c>
      <c r="AP431" s="463">
        <v>-634</v>
      </c>
      <c r="AQ431" s="479">
        <v>-374</v>
      </c>
      <c r="AR431" s="476" t="s">
        <v>14647</v>
      </c>
      <c r="BA431" s="313" t="s">
        <v>3488</v>
      </c>
    </row>
    <row r="432" spans="2:53" ht="16.5" customHeight="1">
      <c r="B432" s="367" t="s">
        <v>3511</v>
      </c>
      <c r="C432" s="351" t="s">
        <v>3512</v>
      </c>
      <c r="D432" s="353">
        <v>-1009</v>
      </c>
      <c r="E432" s="352" t="s">
        <v>3670</v>
      </c>
      <c r="F432" s="341">
        <v>92.79</v>
      </c>
      <c r="G432" s="355" t="s">
        <v>9050</v>
      </c>
      <c r="H432" s="356" t="s">
        <v>3459</v>
      </c>
      <c r="I432" s="354" t="s">
        <v>73</v>
      </c>
      <c r="J432" s="340" t="s">
        <v>8217</v>
      </c>
      <c r="K432" s="339" t="s">
        <v>71</v>
      </c>
      <c r="L432" s="357">
        <v>17</v>
      </c>
      <c r="M432" s="358" t="s">
        <v>9088</v>
      </c>
      <c r="N432" s="359">
        <v>1000</v>
      </c>
      <c r="O432" s="360" t="s">
        <v>530</v>
      </c>
      <c r="P432" s="343" t="s">
        <v>531</v>
      </c>
      <c r="Q432" s="342" t="s">
        <v>2688</v>
      </c>
      <c r="R432" s="344">
        <v>38</v>
      </c>
      <c r="S432" s="345">
        <v>25</v>
      </c>
      <c r="T432" s="362">
        <v>25</v>
      </c>
      <c r="U432" s="361">
        <v>92.79</v>
      </c>
      <c r="V432" s="346">
        <v>127.65857601780503</v>
      </c>
      <c r="W432" s="348">
        <v>125.90857601780503</v>
      </c>
      <c r="X432" s="347">
        <v>64.400000000000006</v>
      </c>
      <c r="Y432" s="357">
        <v>64.960000000000008</v>
      </c>
      <c r="Z432" s="365" t="s">
        <v>2689</v>
      </c>
      <c r="AA432" s="350">
        <v>125</v>
      </c>
      <c r="AB432" s="349" t="s">
        <v>2685</v>
      </c>
      <c r="AC432" s="350">
        <v>0</v>
      </c>
      <c r="AD432" s="349" t="s">
        <v>2685</v>
      </c>
      <c r="AE432" s="364">
        <v>0</v>
      </c>
      <c r="AF432" s="366">
        <v>4.8719999999999999</v>
      </c>
      <c r="AG432" s="363">
        <v>0</v>
      </c>
      <c r="AH432" s="635" t="s">
        <v>8698</v>
      </c>
      <c r="AI432" s="324"/>
      <c r="AL432" s="487" t="s">
        <v>14624</v>
      </c>
      <c r="AM432" s="477" t="s">
        <v>71</v>
      </c>
      <c r="AN432" s="637">
        <v>100</v>
      </c>
      <c r="AO432" s="478">
        <v>-1009</v>
      </c>
      <c r="AP432" s="463">
        <v>-634</v>
      </c>
      <c r="AQ432" s="479">
        <v>-375</v>
      </c>
      <c r="AR432" s="476" t="s">
        <v>16900</v>
      </c>
      <c r="BA432" s="313" t="s">
        <v>3489</v>
      </c>
    </row>
    <row r="433" spans="2:53" ht="16.5" customHeight="1">
      <c r="B433" s="367" t="s">
        <v>3511</v>
      </c>
      <c r="C433" s="351" t="s">
        <v>3512</v>
      </c>
      <c r="D433" s="353">
        <v>-1010</v>
      </c>
      <c r="E433" s="352" t="s">
        <v>408</v>
      </c>
      <c r="F433" s="341">
        <v>92.78</v>
      </c>
      <c r="G433" s="355" t="s">
        <v>3672</v>
      </c>
      <c r="H433" s="356" t="s">
        <v>9089</v>
      </c>
      <c r="I433" s="354" t="s">
        <v>228</v>
      </c>
      <c r="J433" s="340" t="s">
        <v>9090</v>
      </c>
      <c r="K433" s="339" t="s">
        <v>70</v>
      </c>
      <c r="L433" s="357">
        <v>84</v>
      </c>
      <c r="M433" s="358" t="s">
        <v>9091</v>
      </c>
      <c r="N433" s="359">
        <v>1000</v>
      </c>
      <c r="O433" s="360" t="s">
        <v>530</v>
      </c>
      <c r="P433" s="343" t="s">
        <v>531</v>
      </c>
      <c r="Q433" s="342" t="s">
        <v>2688</v>
      </c>
      <c r="R433" s="344">
        <v>30</v>
      </c>
      <c r="S433" s="345">
        <v>35</v>
      </c>
      <c r="T433" s="362">
        <v>35</v>
      </c>
      <c r="U433" s="361">
        <v>92.78</v>
      </c>
      <c r="V433" s="346">
        <v>127.65400544074058</v>
      </c>
      <c r="W433" s="348">
        <v>125.90400544074058</v>
      </c>
      <c r="X433" s="347">
        <v>64.02</v>
      </c>
      <c r="Y433" s="357">
        <v>66.42</v>
      </c>
      <c r="Z433" s="365" t="s">
        <v>2689</v>
      </c>
      <c r="AA433" s="350">
        <v>100</v>
      </c>
      <c r="AB433" s="349" t="s">
        <v>2685</v>
      </c>
      <c r="AC433" s="350">
        <v>10</v>
      </c>
      <c r="AD433" s="349" t="s">
        <v>2685</v>
      </c>
      <c r="AE433" s="364">
        <v>0</v>
      </c>
      <c r="AF433" s="366">
        <v>11.624000000000001</v>
      </c>
      <c r="AG433" s="363">
        <v>0</v>
      </c>
      <c r="AH433" s="635" t="s">
        <v>7787</v>
      </c>
      <c r="AI433" s="324"/>
      <c r="AL433" s="487" t="s">
        <v>14625</v>
      </c>
      <c r="AM433" s="477" t="s">
        <v>70</v>
      </c>
      <c r="AN433" s="637">
        <v>100</v>
      </c>
      <c r="AO433" s="478">
        <v>-1010</v>
      </c>
      <c r="AP433" s="463">
        <v>-1010</v>
      </c>
      <c r="AQ433" s="479">
        <v>0</v>
      </c>
      <c r="AR433" s="476" t="s">
        <v>14626</v>
      </c>
      <c r="BA433" s="313" t="s">
        <v>3490</v>
      </c>
    </row>
    <row r="434" spans="2:53" ht="16.5" customHeight="1">
      <c r="B434" s="367" t="s">
        <v>9092</v>
      </c>
      <c r="C434" s="351" t="s">
        <v>9093</v>
      </c>
      <c r="D434" s="353">
        <v>-1011</v>
      </c>
      <c r="E434" s="352" t="s">
        <v>408</v>
      </c>
      <c r="F434" s="341">
        <v>92.77</v>
      </c>
      <c r="G434" s="355" t="s">
        <v>9094</v>
      </c>
      <c r="H434" s="356" t="s">
        <v>9095</v>
      </c>
      <c r="I434" s="354" t="s">
        <v>83</v>
      </c>
      <c r="J434" s="340" t="s">
        <v>8418</v>
      </c>
      <c r="K434" s="339" t="s">
        <v>70</v>
      </c>
      <c r="L434" s="357">
        <v>18</v>
      </c>
      <c r="M434" s="358" t="s">
        <v>9096</v>
      </c>
      <c r="N434" s="359">
        <v>1000</v>
      </c>
      <c r="O434" s="360" t="s">
        <v>532</v>
      </c>
      <c r="P434" s="343" t="s">
        <v>533</v>
      </c>
      <c r="Q434" s="342" t="s">
        <v>2688</v>
      </c>
      <c r="R434" s="344">
        <v>20</v>
      </c>
      <c r="S434" s="345">
        <v>40</v>
      </c>
      <c r="T434" s="362">
        <v>30</v>
      </c>
      <c r="U434" s="361">
        <v>92.77</v>
      </c>
      <c r="V434" s="346">
        <v>127.63764296646636</v>
      </c>
      <c r="W434" s="348">
        <v>125.88764296646636</v>
      </c>
      <c r="X434" s="347">
        <v>64.010000000000005</v>
      </c>
      <c r="Y434" s="357">
        <v>64.460000000000008</v>
      </c>
      <c r="Z434" s="365" t="s">
        <v>3017</v>
      </c>
      <c r="AA434" s="350">
        <v>98</v>
      </c>
      <c r="AB434" s="349" t="s">
        <v>2685</v>
      </c>
      <c r="AC434" s="350">
        <v>0</v>
      </c>
      <c r="AD434" s="349" t="s">
        <v>2685</v>
      </c>
      <c r="AE434" s="364">
        <v>0</v>
      </c>
      <c r="AF434" s="366">
        <v>19.302</v>
      </c>
      <c r="AG434" s="363">
        <v>0</v>
      </c>
      <c r="AH434" s="635" t="s">
        <v>7791</v>
      </c>
      <c r="AI434" s="324"/>
      <c r="AL434" s="487" t="s">
        <v>14627</v>
      </c>
      <c r="AM434" s="477" t="s">
        <v>70</v>
      </c>
      <c r="AN434" s="637">
        <v>100</v>
      </c>
      <c r="AO434" s="478">
        <v>-1011</v>
      </c>
      <c r="AP434" s="463">
        <v>-1011</v>
      </c>
      <c r="AQ434" s="479">
        <v>0</v>
      </c>
      <c r="AR434" s="476" t="s">
        <v>14628</v>
      </c>
      <c r="BA434" s="313" t="s">
        <v>3491</v>
      </c>
    </row>
    <row r="435" spans="2:53" ht="16.5" customHeight="1">
      <c r="B435" s="367" t="s">
        <v>9097</v>
      </c>
      <c r="C435" s="351" t="s">
        <v>9098</v>
      </c>
      <c r="D435" s="353">
        <v>-1012</v>
      </c>
      <c r="E435" s="352" t="s">
        <v>408</v>
      </c>
      <c r="F435" s="341">
        <v>92.75</v>
      </c>
      <c r="G435" s="355" t="s">
        <v>9099</v>
      </c>
      <c r="H435" s="356" t="s">
        <v>3462</v>
      </c>
      <c r="I435" s="354" t="s">
        <v>83</v>
      </c>
      <c r="J435" s="340" t="s">
        <v>9100</v>
      </c>
      <c r="K435" s="339" t="s">
        <v>70</v>
      </c>
      <c r="L435" s="357">
        <v>2</v>
      </c>
      <c r="M435" s="358" t="s">
        <v>9101</v>
      </c>
      <c r="N435" s="359">
        <v>1000</v>
      </c>
      <c r="O435" s="360" t="s">
        <v>532</v>
      </c>
      <c r="P435" s="343" t="s">
        <v>533</v>
      </c>
      <c r="Q435" s="342" t="s">
        <v>2688</v>
      </c>
      <c r="R435" s="344">
        <v>20</v>
      </c>
      <c r="S435" s="345">
        <v>40</v>
      </c>
      <c r="T435" s="362">
        <v>30</v>
      </c>
      <c r="U435" s="361">
        <v>92.75</v>
      </c>
      <c r="V435" s="346">
        <v>127.62891891729834</v>
      </c>
      <c r="W435" s="348">
        <v>125.87891891729834</v>
      </c>
      <c r="X435" s="347">
        <v>64.010000000000005</v>
      </c>
      <c r="Y435" s="357">
        <v>64.45</v>
      </c>
      <c r="Z435" s="365" t="s">
        <v>3017</v>
      </c>
      <c r="AA435" s="350">
        <v>98</v>
      </c>
      <c r="AB435" s="349" t="s">
        <v>2685</v>
      </c>
      <c r="AC435" s="350">
        <v>0</v>
      </c>
      <c r="AD435" s="349" t="s">
        <v>2685</v>
      </c>
      <c r="AE435" s="364">
        <v>0</v>
      </c>
      <c r="AF435" s="366">
        <v>19.298999999999999</v>
      </c>
      <c r="AG435" s="363">
        <v>0</v>
      </c>
      <c r="AH435" s="635" t="s">
        <v>7791</v>
      </c>
      <c r="AI435" s="324"/>
      <c r="AL435" s="487" t="s">
        <v>14629</v>
      </c>
      <c r="AM435" s="477" t="s">
        <v>70</v>
      </c>
      <c r="AN435" s="637">
        <v>100</v>
      </c>
      <c r="AO435" s="478">
        <v>-1012</v>
      </c>
      <c r="AP435" s="463">
        <v>-1012</v>
      </c>
      <c r="AQ435" s="479">
        <v>0</v>
      </c>
      <c r="AR435" s="476" t="s">
        <v>14630</v>
      </c>
      <c r="BA435" s="313" t="s">
        <v>3495</v>
      </c>
    </row>
    <row r="436" spans="2:53" ht="16.5" customHeight="1">
      <c r="B436" s="367" t="s">
        <v>9097</v>
      </c>
      <c r="C436" s="351" t="s">
        <v>9098</v>
      </c>
      <c r="D436" s="353">
        <v>-1013</v>
      </c>
      <c r="E436" s="352" t="s">
        <v>408</v>
      </c>
      <c r="F436" s="341">
        <v>92.75</v>
      </c>
      <c r="G436" s="355" t="s">
        <v>3676</v>
      </c>
      <c r="H436" s="356" t="s">
        <v>9102</v>
      </c>
      <c r="I436" s="354" t="s">
        <v>83</v>
      </c>
      <c r="J436" s="340" t="s">
        <v>9103</v>
      </c>
      <c r="K436" s="339" t="s">
        <v>70</v>
      </c>
      <c r="L436" s="357">
        <v>16</v>
      </c>
      <c r="M436" s="358" t="s">
        <v>9104</v>
      </c>
      <c r="N436" s="359">
        <v>1000</v>
      </c>
      <c r="O436" s="360" t="s">
        <v>532</v>
      </c>
      <c r="P436" s="343" t="s">
        <v>533</v>
      </c>
      <c r="Q436" s="342" t="s">
        <v>2688</v>
      </c>
      <c r="R436" s="344">
        <v>20</v>
      </c>
      <c r="S436" s="345">
        <v>35</v>
      </c>
      <c r="T436" s="362">
        <v>35</v>
      </c>
      <c r="U436" s="361">
        <v>92.75</v>
      </c>
      <c r="V436" s="346">
        <v>127.62084598194178</v>
      </c>
      <c r="W436" s="348">
        <v>125.87084598194178</v>
      </c>
      <c r="X436" s="347">
        <v>64</v>
      </c>
      <c r="Y436" s="357">
        <v>64.45</v>
      </c>
      <c r="Z436" s="365" t="s">
        <v>3017</v>
      </c>
      <c r="AA436" s="350">
        <v>98</v>
      </c>
      <c r="AB436" s="349" t="s">
        <v>2685</v>
      </c>
      <c r="AC436" s="350">
        <v>0</v>
      </c>
      <c r="AD436" s="349" t="s">
        <v>2685</v>
      </c>
      <c r="AE436" s="364">
        <v>0</v>
      </c>
      <c r="AF436" s="366">
        <v>22.515999999999998</v>
      </c>
      <c r="AG436" s="363">
        <v>0</v>
      </c>
      <c r="AH436" s="635" t="s">
        <v>7791</v>
      </c>
      <c r="AI436" s="324"/>
      <c r="AL436" s="487" t="s">
        <v>14631</v>
      </c>
      <c r="AM436" s="477" t="s">
        <v>70</v>
      </c>
      <c r="AN436" s="637">
        <v>100</v>
      </c>
      <c r="AO436" s="478">
        <v>-1013</v>
      </c>
      <c r="AP436" s="463">
        <v>-1013</v>
      </c>
      <c r="AQ436" s="479">
        <v>0</v>
      </c>
      <c r="AR436" s="476" t="s">
        <v>14632</v>
      </c>
      <c r="BA436" s="313" t="s">
        <v>3496</v>
      </c>
    </row>
    <row r="437" spans="2:53" ht="16.5" customHeight="1">
      <c r="B437" s="367" t="s">
        <v>3521</v>
      </c>
      <c r="C437" s="351" t="s">
        <v>3522</v>
      </c>
      <c r="D437" s="353">
        <v>-1014</v>
      </c>
      <c r="E437" s="352" t="s">
        <v>408</v>
      </c>
      <c r="F437" s="341">
        <v>92.66</v>
      </c>
      <c r="G437" s="355" t="s">
        <v>9105</v>
      </c>
      <c r="H437" s="356" t="s">
        <v>9106</v>
      </c>
      <c r="I437" s="354" t="s">
        <v>83</v>
      </c>
      <c r="J437" s="340" t="s">
        <v>9107</v>
      </c>
      <c r="K437" s="339" t="s">
        <v>70</v>
      </c>
      <c r="L437" s="357">
        <v>15</v>
      </c>
      <c r="M437" s="358" t="s">
        <v>9108</v>
      </c>
      <c r="N437" s="359">
        <v>1000</v>
      </c>
      <c r="O437" s="360" t="s">
        <v>532</v>
      </c>
      <c r="P437" s="343" t="s">
        <v>533</v>
      </c>
      <c r="Q437" s="342" t="s">
        <v>2688</v>
      </c>
      <c r="R437" s="344">
        <v>20</v>
      </c>
      <c r="S437" s="345">
        <v>40</v>
      </c>
      <c r="T437" s="362">
        <v>30</v>
      </c>
      <c r="U437" s="361">
        <v>92.66</v>
      </c>
      <c r="V437" s="346">
        <v>127.54749445839683</v>
      </c>
      <c r="W437" s="348">
        <v>125.79749445839683</v>
      </c>
      <c r="X437" s="347">
        <v>63.97</v>
      </c>
      <c r="Y437" s="357">
        <v>64.410000000000011</v>
      </c>
      <c r="Z437" s="365" t="s">
        <v>3017</v>
      </c>
      <c r="AA437" s="350">
        <v>98</v>
      </c>
      <c r="AB437" s="349" t="s">
        <v>2685</v>
      </c>
      <c r="AC437" s="350">
        <v>0</v>
      </c>
      <c r="AD437" s="349" t="s">
        <v>2685</v>
      </c>
      <c r="AE437" s="364">
        <v>0</v>
      </c>
      <c r="AF437" s="366">
        <v>19.286999999999999</v>
      </c>
      <c r="AG437" s="363">
        <v>0</v>
      </c>
      <c r="AH437" s="635" t="s">
        <v>7791</v>
      </c>
      <c r="AI437" s="324"/>
      <c r="AL437" s="487" t="s">
        <v>14633</v>
      </c>
      <c r="AM437" s="477" t="s">
        <v>70</v>
      </c>
      <c r="AN437" s="637">
        <v>100</v>
      </c>
      <c r="AO437" s="478">
        <v>-1014</v>
      </c>
      <c r="AP437" s="463">
        <v>-1014</v>
      </c>
      <c r="AQ437" s="479">
        <v>0</v>
      </c>
      <c r="AR437" s="476" t="s">
        <v>14634</v>
      </c>
      <c r="BA437" s="313" t="s">
        <v>3499</v>
      </c>
    </row>
    <row r="438" spans="2:53" ht="16.5" customHeight="1">
      <c r="B438" s="367" t="s">
        <v>3521</v>
      </c>
      <c r="C438" s="351" t="s">
        <v>3522</v>
      </c>
      <c r="D438" s="353">
        <v>-1015</v>
      </c>
      <c r="E438" s="352" t="s">
        <v>408</v>
      </c>
      <c r="F438" s="341">
        <v>92.66</v>
      </c>
      <c r="G438" s="355" t="s">
        <v>9109</v>
      </c>
      <c r="H438" s="356" t="s">
        <v>18524</v>
      </c>
      <c r="I438" s="354" t="s">
        <v>82</v>
      </c>
      <c r="J438" s="340" t="s">
        <v>9110</v>
      </c>
      <c r="K438" s="339" t="s">
        <v>70</v>
      </c>
      <c r="L438" s="357">
        <v>9</v>
      </c>
      <c r="M438" s="358" t="s">
        <v>9111</v>
      </c>
      <c r="N438" s="359">
        <v>800</v>
      </c>
      <c r="O438" s="360" t="s">
        <v>530</v>
      </c>
      <c r="P438" s="343" t="s">
        <v>531</v>
      </c>
      <c r="Q438" s="342" t="s">
        <v>2688</v>
      </c>
      <c r="R438" s="344">
        <v>20</v>
      </c>
      <c r="S438" s="345">
        <v>35</v>
      </c>
      <c r="T438" s="362">
        <v>30</v>
      </c>
      <c r="U438" s="361">
        <v>92.66</v>
      </c>
      <c r="V438" s="346">
        <v>127.5512022327179</v>
      </c>
      <c r="W438" s="348">
        <v>125.8012022327179</v>
      </c>
      <c r="X438" s="347">
        <v>63.97</v>
      </c>
      <c r="Y438" s="357">
        <v>64.89</v>
      </c>
      <c r="Z438" s="365" t="s">
        <v>3017</v>
      </c>
      <c r="AA438" s="350">
        <v>117.6</v>
      </c>
      <c r="AB438" s="349" t="s">
        <v>2685</v>
      </c>
      <c r="AC438" s="350">
        <v>0</v>
      </c>
      <c r="AD438" s="349" t="s">
        <v>2685</v>
      </c>
      <c r="AE438" s="364">
        <v>0</v>
      </c>
      <c r="AF438" s="366">
        <v>9.6</v>
      </c>
      <c r="AG438" s="363">
        <v>0</v>
      </c>
      <c r="AH438" s="635" t="s">
        <v>7814</v>
      </c>
      <c r="AI438" s="324"/>
      <c r="AL438" s="487" t="s">
        <v>14635</v>
      </c>
      <c r="AM438" s="477" t="s">
        <v>70</v>
      </c>
      <c r="AN438" s="637">
        <v>100</v>
      </c>
      <c r="AO438" s="478">
        <v>-1015</v>
      </c>
      <c r="AP438" s="463">
        <v>-1015</v>
      </c>
      <c r="AQ438" s="479">
        <v>0</v>
      </c>
      <c r="AR438" s="476" t="s">
        <v>17166</v>
      </c>
      <c r="BA438" s="313" t="s">
        <v>3500</v>
      </c>
    </row>
    <row r="439" spans="2:53" ht="16.5" customHeight="1">
      <c r="B439" s="367" t="s">
        <v>9112</v>
      </c>
      <c r="C439" s="351" t="s">
        <v>9113</v>
      </c>
      <c r="D439" s="353">
        <v>-1016</v>
      </c>
      <c r="E439" s="352" t="s">
        <v>408</v>
      </c>
      <c r="F439" s="341">
        <v>92.64</v>
      </c>
      <c r="G439" s="355" t="s">
        <v>3698</v>
      </c>
      <c r="H439" s="356" t="s">
        <v>18494</v>
      </c>
      <c r="I439" s="354" t="s">
        <v>82</v>
      </c>
      <c r="J439" s="340" t="s">
        <v>9114</v>
      </c>
      <c r="K439" s="339" t="s">
        <v>70</v>
      </c>
      <c r="L439" s="357">
        <v>36</v>
      </c>
      <c r="M439" s="358" t="s">
        <v>9115</v>
      </c>
      <c r="N439" s="359">
        <v>800</v>
      </c>
      <c r="O439" s="360" t="s">
        <v>530</v>
      </c>
      <c r="P439" s="343" t="s">
        <v>531</v>
      </c>
      <c r="Q439" s="342" t="s">
        <v>2688</v>
      </c>
      <c r="R439" s="344">
        <v>20</v>
      </c>
      <c r="S439" s="345">
        <v>35</v>
      </c>
      <c r="T439" s="362">
        <v>30</v>
      </c>
      <c r="U439" s="361">
        <v>92.64</v>
      </c>
      <c r="V439" s="346">
        <v>127.53241734650064</v>
      </c>
      <c r="W439" s="348">
        <v>125.78241734650064</v>
      </c>
      <c r="X439" s="347">
        <v>63.96</v>
      </c>
      <c r="Y439" s="357">
        <v>64.88000000000001</v>
      </c>
      <c r="Z439" s="365" t="s">
        <v>3017</v>
      </c>
      <c r="AA439" s="350">
        <v>117.6</v>
      </c>
      <c r="AB439" s="349" t="s">
        <v>2685</v>
      </c>
      <c r="AC439" s="350">
        <v>0</v>
      </c>
      <c r="AD439" s="349" t="s">
        <v>2685</v>
      </c>
      <c r="AE439" s="364">
        <v>0</v>
      </c>
      <c r="AF439" s="366">
        <v>9.6</v>
      </c>
      <c r="AG439" s="363">
        <v>0</v>
      </c>
      <c r="AH439" s="635" t="s">
        <v>7814</v>
      </c>
      <c r="AI439" s="324"/>
      <c r="AL439" s="487" t="s">
        <v>14636</v>
      </c>
      <c r="AM439" s="477" t="s">
        <v>70</v>
      </c>
      <c r="AN439" s="637">
        <v>100</v>
      </c>
      <c r="AO439" s="478">
        <v>-1016</v>
      </c>
      <c r="AP439" s="463">
        <v>-1016</v>
      </c>
      <c r="AQ439" s="479">
        <v>0</v>
      </c>
      <c r="AR439" s="476" t="s">
        <v>17167</v>
      </c>
      <c r="BA439" s="313" t="s">
        <v>3502</v>
      </c>
    </row>
    <row r="440" spans="2:53" ht="16.5" customHeight="1">
      <c r="B440" s="367" t="s">
        <v>9116</v>
      </c>
      <c r="C440" s="351" t="s">
        <v>9117</v>
      </c>
      <c r="D440" s="353">
        <v>-1017</v>
      </c>
      <c r="E440" s="352" t="s">
        <v>408</v>
      </c>
      <c r="F440" s="341">
        <v>92.62</v>
      </c>
      <c r="G440" s="355" t="s">
        <v>9118</v>
      </c>
      <c r="H440" s="356" t="s">
        <v>8904</v>
      </c>
      <c r="I440" s="354" t="s">
        <v>217</v>
      </c>
      <c r="J440" s="340" t="s">
        <v>9119</v>
      </c>
      <c r="K440" s="339" t="s">
        <v>71</v>
      </c>
      <c r="L440" s="357">
        <v>62</v>
      </c>
      <c r="M440" s="358" t="s">
        <v>9120</v>
      </c>
      <c r="N440" s="359">
        <v>1000</v>
      </c>
      <c r="O440" s="360" t="s">
        <v>530</v>
      </c>
      <c r="P440" s="343" t="s">
        <v>531</v>
      </c>
      <c r="Q440" s="342" t="s">
        <v>2688</v>
      </c>
      <c r="R440" s="344">
        <v>30</v>
      </c>
      <c r="S440" s="345">
        <v>40</v>
      </c>
      <c r="T440" s="362">
        <v>20</v>
      </c>
      <c r="U440" s="361">
        <v>92.62</v>
      </c>
      <c r="V440" s="346">
        <v>127.51760268231348</v>
      </c>
      <c r="W440" s="348">
        <v>125.76760268231348</v>
      </c>
      <c r="X440" s="347">
        <v>63.95</v>
      </c>
      <c r="Y440" s="357">
        <v>64.86</v>
      </c>
      <c r="Z440" s="365" t="s">
        <v>3017</v>
      </c>
      <c r="AA440" s="350">
        <v>98.5</v>
      </c>
      <c r="AB440" s="349" t="s">
        <v>2685</v>
      </c>
      <c r="AC440" s="350">
        <v>0</v>
      </c>
      <c r="AD440" s="349" t="s">
        <v>2685</v>
      </c>
      <c r="AE440" s="364">
        <v>0</v>
      </c>
      <c r="AF440" s="366">
        <v>0</v>
      </c>
      <c r="AG440" s="363">
        <v>0</v>
      </c>
      <c r="AH440" s="635" t="s">
        <v>408</v>
      </c>
      <c r="AI440" s="324"/>
      <c r="AL440" s="487" t="s">
        <v>14637</v>
      </c>
      <c r="AM440" s="477" t="s">
        <v>71</v>
      </c>
      <c r="AN440" s="637">
        <v>100</v>
      </c>
      <c r="AO440" s="478">
        <v>-1017</v>
      </c>
      <c r="AP440" s="463">
        <v>-623</v>
      </c>
      <c r="AQ440" s="479">
        <v>-394</v>
      </c>
      <c r="AR440" s="476" t="s">
        <v>16901</v>
      </c>
      <c r="BA440" s="313" t="s">
        <v>3506</v>
      </c>
    </row>
    <row r="441" spans="2:53" ht="16.5" customHeight="1">
      <c r="B441" s="367" t="s">
        <v>3526</v>
      </c>
      <c r="C441" s="351" t="s">
        <v>3527</v>
      </c>
      <c r="D441" s="353">
        <v>-1018</v>
      </c>
      <c r="E441" s="352" t="s">
        <v>408</v>
      </c>
      <c r="F441" s="341">
        <v>92.61</v>
      </c>
      <c r="G441" s="355" t="s">
        <v>9121</v>
      </c>
      <c r="H441" s="356" t="s">
        <v>8867</v>
      </c>
      <c r="I441" s="354" t="s">
        <v>83</v>
      </c>
      <c r="J441" s="340" t="s">
        <v>7910</v>
      </c>
      <c r="K441" s="339" t="s">
        <v>70</v>
      </c>
      <c r="L441" s="357">
        <v>10</v>
      </c>
      <c r="M441" s="358" t="s">
        <v>9122</v>
      </c>
      <c r="N441" s="359">
        <v>1000</v>
      </c>
      <c r="O441" s="360" t="s">
        <v>532</v>
      </c>
      <c r="P441" s="343" t="s">
        <v>533</v>
      </c>
      <c r="Q441" s="342" t="s">
        <v>2688</v>
      </c>
      <c r="R441" s="344">
        <v>20</v>
      </c>
      <c r="S441" s="345">
        <v>40</v>
      </c>
      <c r="T441" s="362">
        <v>30</v>
      </c>
      <c r="U441" s="361">
        <v>92.61</v>
      </c>
      <c r="V441" s="346">
        <v>127.51114425353009</v>
      </c>
      <c r="W441" s="348">
        <v>125.76114425353009</v>
      </c>
      <c r="X441" s="347">
        <v>63.95</v>
      </c>
      <c r="Y441" s="357">
        <v>64.38000000000001</v>
      </c>
      <c r="Z441" s="365" t="s">
        <v>3017</v>
      </c>
      <c r="AA441" s="350">
        <v>98</v>
      </c>
      <c r="AB441" s="349" t="s">
        <v>2685</v>
      </c>
      <c r="AC441" s="350">
        <v>0</v>
      </c>
      <c r="AD441" s="349" t="s">
        <v>2685</v>
      </c>
      <c r="AE441" s="364">
        <v>0</v>
      </c>
      <c r="AF441" s="366">
        <v>19.277999999999999</v>
      </c>
      <c r="AG441" s="363">
        <v>0</v>
      </c>
      <c r="AH441" s="635" t="s">
        <v>7791</v>
      </c>
      <c r="AI441" s="324"/>
      <c r="AL441" s="487" t="s">
        <v>14638</v>
      </c>
      <c r="AM441" s="477" t="s">
        <v>70</v>
      </c>
      <c r="AN441" s="637">
        <v>100</v>
      </c>
      <c r="AO441" s="478">
        <v>-1018</v>
      </c>
      <c r="AP441" s="463">
        <v>-1018</v>
      </c>
      <c r="AQ441" s="479">
        <v>0</v>
      </c>
      <c r="AR441" s="476" t="s">
        <v>14639</v>
      </c>
      <c r="BA441" s="313" t="s">
        <v>3508</v>
      </c>
    </row>
    <row r="442" spans="2:53" ht="16.5" customHeight="1">
      <c r="B442" s="367" t="s">
        <v>3532</v>
      </c>
      <c r="C442" s="351" t="s">
        <v>3533</v>
      </c>
      <c r="D442" s="353">
        <v>-1019</v>
      </c>
      <c r="E442" s="352" t="s">
        <v>408</v>
      </c>
      <c r="F442" s="341">
        <v>92.59</v>
      </c>
      <c r="G442" s="355" t="s">
        <v>9123</v>
      </c>
      <c r="H442" s="356" t="s">
        <v>8834</v>
      </c>
      <c r="I442" s="354" t="s">
        <v>83</v>
      </c>
      <c r="J442" s="340" t="s">
        <v>9124</v>
      </c>
      <c r="K442" s="339" t="s">
        <v>70</v>
      </c>
      <c r="L442" s="357">
        <v>23</v>
      </c>
      <c r="M442" s="358" t="s">
        <v>9125</v>
      </c>
      <c r="N442" s="359">
        <v>1000</v>
      </c>
      <c r="O442" s="360" t="s">
        <v>532</v>
      </c>
      <c r="P442" s="343" t="s">
        <v>533</v>
      </c>
      <c r="Q442" s="342" t="s">
        <v>2688</v>
      </c>
      <c r="R442" s="344">
        <v>20</v>
      </c>
      <c r="S442" s="345">
        <v>40</v>
      </c>
      <c r="T442" s="362">
        <v>30</v>
      </c>
      <c r="U442" s="361">
        <v>92.59</v>
      </c>
      <c r="V442" s="346">
        <v>127.49369615519406</v>
      </c>
      <c r="W442" s="348">
        <v>125.74369615519406</v>
      </c>
      <c r="X442" s="347">
        <v>63.94</v>
      </c>
      <c r="Y442" s="357">
        <v>64.37</v>
      </c>
      <c r="Z442" s="365" t="s">
        <v>3017</v>
      </c>
      <c r="AA442" s="350">
        <v>98</v>
      </c>
      <c r="AB442" s="349" t="s">
        <v>2685</v>
      </c>
      <c r="AC442" s="350">
        <v>0</v>
      </c>
      <c r="AD442" s="349" t="s">
        <v>2685</v>
      </c>
      <c r="AE442" s="364">
        <v>0</v>
      </c>
      <c r="AF442" s="366">
        <v>19.274999999999999</v>
      </c>
      <c r="AG442" s="363">
        <v>0</v>
      </c>
      <c r="AH442" s="635" t="s">
        <v>7791</v>
      </c>
      <c r="AI442" s="324"/>
      <c r="AL442" s="487" t="s">
        <v>14640</v>
      </c>
      <c r="AM442" s="477" t="s">
        <v>70</v>
      </c>
      <c r="AN442" s="637">
        <v>100</v>
      </c>
      <c r="AO442" s="478">
        <v>-1019</v>
      </c>
      <c r="AP442" s="463">
        <v>-1019</v>
      </c>
      <c r="AQ442" s="479">
        <v>0</v>
      </c>
      <c r="AR442" s="476" t="s">
        <v>17168</v>
      </c>
      <c r="BA442" s="313" t="s">
        <v>3510</v>
      </c>
    </row>
    <row r="443" spans="2:53" ht="16.5" customHeight="1">
      <c r="B443" s="367" t="s">
        <v>9126</v>
      </c>
      <c r="C443" s="351" t="s">
        <v>9127</v>
      </c>
      <c r="D443" s="353">
        <v>-1020</v>
      </c>
      <c r="E443" s="352" t="s">
        <v>9128</v>
      </c>
      <c r="F443" s="341">
        <v>92.58</v>
      </c>
      <c r="G443" s="355" t="s">
        <v>9079</v>
      </c>
      <c r="H443" s="356" t="s">
        <v>8819</v>
      </c>
      <c r="I443" s="354" t="s">
        <v>82</v>
      </c>
      <c r="J443" s="340" t="s">
        <v>9130</v>
      </c>
      <c r="K443" s="339" t="s">
        <v>71</v>
      </c>
      <c r="L443" s="357">
        <v>12</v>
      </c>
      <c r="M443" s="358" t="s">
        <v>9131</v>
      </c>
      <c r="N443" s="359">
        <v>800</v>
      </c>
      <c r="O443" s="360" t="s">
        <v>530</v>
      </c>
      <c r="P443" s="343" t="s">
        <v>531</v>
      </c>
      <c r="Q443" s="342" t="s">
        <v>2688</v>
      </c>
      <c r="R443" s="344">
        <v>30</v>
      </c>
      <c r="S443" s="345">
        <v>30</v>
      </c>
      <c r="T443" s="362">
        <v>25</v>
      </c>
      <c r="U443" s="361">
        <v>92.58</v>
      </c>
      <c r="V443" s="346">
        <v>127.48747276688452</v>
      </c>
      <c r="W443" s="348">
        <v>125.73747276688452</v>
      </c>
      <c r="X443" s="347">
        <v>64.3</v>
      </c>
      <c r="Y443" s="357">
        <v>64.850000000000009</v>
      </c>
      <c r="Z443" s="365" t="s">
        <v>3017</v>
      </c>
      <c r="AA443" s="350">
        <v>117.6</v>
      </c>
      <c r="AB443" s="349" t="s">
        <v>2685</v>
      </c>
      <c r="AC443" s="350">
        <v>0</v>
      </c>
      <c r="AD443" s="349" t="s">
        <v>2685</v>
      </c>
      <c r="AE443" s="364">
        <v>0</v>
      </c>
      <c r="AF443" s="366">
        <v>0</v>
      </c>
      <c r="AG443" s="363">
        <v>0</v>
      </c>
      <c r="AH443" s="635" t="s">
        <v>408</v>
      </c>
      <c r="AI443" s="324"/>
      <c r="AL443" s="487" t="s">
        <v>14641</v>
      </c>
      <c r="AM443" s="477" t="s">
        <v>71</v>
      </c>
      <c r="AN443" s="637">
        <v>100</v>
      </c>
      <c r="AO443" s="478">
        <v>-1020</v>
      </c>
      <c r="AP443" s="463">
        <v>-632</v>
      </c>
      <c r="AQ443" s="479">
        <v>-388</v>
      </c>
      <c r="AR443" s="476" t="s">
        <v>16902</v>
      </c>
      <c r="BA443" s="313" t="s">
        <v>3513</v>
      </c>
    </row>
    <row r="444" spans="2:53" ht="16.5" customHeight="1">
      <c r="B444" s="367" t="s">
        <v>9126</v>
      </c>
      <c r="C444" s="351" t="s">
        <v>9127</v>
      </c>
      <c r="D444" s="353">
        <v>-1021</v>
      </c>
      <c r="E444" s="352" t="s">
        <v>9128</v>
      </c>
      <c r="F444" s="341">
        <v>92.58</v>
      </c>
      <c r="G444" s="355" t="s">
        <v>18525</v>
      </c>
      <c r="H444" s="356" t="s">
        <v>18526</v>
      </c>
      <c r="I444" s="354" t="s">
        <v>80</v>
      </c>
      <c r="J444" s="340" t="s">
        <v>8726</v>
      </c>
      <c r="K444" s="339" t="s">
        <v>71</v>
      </c>
      <c r="L444" s="357">
        <v>16</v>
      </c>
      <c r="M444" s="358" t="s">
        <v>9132</v>
      </c>
      <c r="N444" s="359">
        <v>1000</v>
      </c>
      <c r="O444" s="360" t="s">
        <v>532</v>
      </c>
      <c r="P444" s="343" t="s">
        <v>533</v>
      </c>
      <c r="Q444" s="342" t="s">
        <v>2688</v>
      </c>
      <c r="R444" s="344">
        <v>35</v>
      </c>
      <c r="S444" s="345">
        <v>30</v>
      </c>
      <c r="T444" s="362">
        <v>25</v>
      </c>
      <c r="U444" s="361">
        <v>92.58</v>
      </c>
      <c r="V444" s="346">
        <v>127.4841821669864</v>
      </c>
      <c r="W444" s="348">
        <v>125.7341821669864</v>
      </c>
      <c r="X444" s="347">
        <v>64.3</v>
      </c>
      <c r="Y444" s="357">
        <v>66.570000000000007</v>
      </c>
      <c r="Z444" s="365" t="s">
        <v>2689</v>
      </c>
      <c r="AA444" s="350">
        <v>100</v>
      </c>
      <c r="AB444" s="349" t="s">
        <v>2685</v>
      </c>
      <c r="AC444" s="350">
        <v>0</v>
      </c>
      <c r="AD444" s="349" t="s">
        <v>2685</v>
      </c>
      <c r="AE444" s="364">
        <v>0</v>
      </c>
      <c r="AF444" s="366">
        <v>0</v>
      </c>
      <c r="AG444" s="363">
        <v>0</v>
      </c>
      <c r="AH444" s="635" t="s">
        <v>408</v>
      </c>
      <c r="AI444" s="324"/>
      <c r="AL444" s="487" t="s">
        <v>14642</v>
      </c>
      <c r="AM444" s="477" t="s">
        <v>71</v>
      </c>
      <c r="AN444" s="637">
        <v>100</v>
      </c>
      <c r="AO444" s="478">
        <v>-1021</v>
      </c>
      <c r="AP444" s="463">
        <v>-632</v>
      </c>
      <c r="AQ444" s="479">
        <v>-389</v>
      </c>
      <c r="AR444" s="476" t="s">
        <v>16903</v>
      </c>
      <c r="BA444" s="313" t="s">
        <v>3514</v>
      </c>
    </row>
    <row r="445" spans="2:53" ht="16.5" customHeight="1">
      <c r="B445" s="367" t="s">
        <v>3535</v>
      </c>
      <c r="C445" s="351" t="s">
        <v>3536</v>
      </c>
      <c r="D445" s="353">
        <v>-1022</v>
      </c>
      <c r="E445" s="352" t="s">
        <v>408</v>
      </c>
      <c r="F445" s="341">
        <v>92.57</v>
      </c>
      <c r="G445" s="355" t="s">
        <v>9133</v>
      </c>
      <c r="H445" s="356" t="s">
        <v>9134</v>
      </c>
      <c r="I445" s="354" t="s">
        <v>80</v>
      </c>
      <c r="J445" s="340" t="s">
        <v>8283</v>
      </c>
      <c r="K445" s="339" t="s">
        <v>70</v>
      </c>
      <c r="L445" s="357">
        <v>8</v>
      </c>
      <c r="M445" s="358" t="s">
        <v>9135</v>
      </c>
      <c r="N445" s="359">
        <v>1000</v>
      </c>
      <c r="O445" s="360" t="s">
        <v>532</v>
      </c>
      <c r="P445" s="343" t="s">
        <v>533</v>
      </c>
      <c r="Q445" s="342" t="s">
        <v>2688</v>
      </c>
      <c r="R445" s="344">
        <v>25</v>
      </c>
      <c r="S445" s="345">
        <v>40</v>
      </c>
      <c r="T445" s="362">
        <v>25</v>
      </c>
      <c r="U445" s="361">
        <v>92.57</v>
      </c>
      <c r="V445" s="346">
        <v>127.47526504716589</v>
      </c>
      <c r="W445" s="348">
        <v>125.72526504716589</v>
      </c>
      <c r="X445" s="347">
        <v>63.93</v>
      </c>
      <c r="Y445" s="357">
        <v>66.56</v>
      </c>
      <c r="Z445" s="365" t="s">
        <v>2689</v>
      </c>
      <c r="AA445" s="350">
        <v>100</v>
      </c>
      <c r="AB445" s="349" t="s">
        <v>2685</v>
      </c>
      <c r="AC445" s="350">
        <v>0</v>
      </c>
      <c r="AD445" s="349" t="s">
        <v>2685</v>
      </c>
      <c r="AE445" s="364">
        <v>0</v>
      </c>
      <c r="AF445" s="366">
        <v>0</v>
      </c>
      <c r="AG445" s="363">
        <v>0</v>
      </c>
      <c r="AH445" s="635" t="s">
        <v>408</v>
      </c>
      <c r="AI445" s="324"/>
      <c r="AL445" s="487" t="s">
        <v>14643</v>
      </c>
      <c r="AM445" s="477" t="s">
        <v>70</v>
      </c>
      <c r="AN445" s="637">
        <v>100</v>
      </c>
      <c r="AO445" s="478">
        <v>-1022</v>
      </c>
      <c r="AP445" s="463">
        <v>-1022</v>
      </c>
      <c r="AQ445" s="479">
        <v>0</v>
      </c>
      <c r="AR445" s="476" t="s">
        <v>14644</v>
      </c>
      <c r="BA445" s="313" t="s">
        <v>3515</v>
      </c>
    </row>
    <row r="446" spans="2:53" ht="16.5" customHeight="1">
      <c r="B446" s="367" t="s">
        <v>3540</v>
      </c>
      <c r="C446" s="351" t="s">
        <v>3541</v>
      </c>
      <c r="D446" s="353">
        <v>-1023</v>
      </c>
      <c r="E446" s="352" t="s">
        <v>3711</v>
      </c>
      <c r="F446" s="341">
        <v>92.53</v>
      </c>
      <c r="G446" s="355" t="s">
        <v>9478</v>
      </c>
      <c r="H446" s="356" t="s">
        <v>18498</v>
      </c>
      <c r="I446" s="354" t="s">
        <v>80</v>
      </c>
      <c r="J446" s="340" t="s">
        <v>9136</v>
      </c>
      <c r="K446" s="339" t="s">
        <v>71</v>
      </c>
      <c r="L446" s="357">
        <v>10</v>
      </c>
      <c r="M446" s="358" t="s">
        <v>9137</v>
      </c>
      <c r="N446" s="359">
        <v>1000</v>
      </c>
      <c r="O446" s="360" t="s">
        <v>532</v>
      </c>
      <c r="P446" s="343" t="s">
        <v>533</v>
      </c>
      <c r="Q446" s="342" t="s">
        <v>2688</v>
      </c>
      <c r="R446" s="344">
        <v>35</v>
      </c>
      <c r="S446" s="345">
        <v>30</v>
      </c>
      <c r="T446" s="362">
        <v>25</v>
      </c>
      <c r="U446" s="361">
        <v>92.53</v>
      </c>
      <c r="V446" s="346">
        <v>127.44360330302777</v>
      </c>
      <c r="W446" s="348">
        <v>125.69360330302777</v>
      </c>
      <c r="X446" s="347">
        <v>64.28</v>
      </c>
      <c r="Y446" s="357">
        <v>66.550000000000011</v>
      </c>
      <c r="Z446" s="365" t="s">
        <v>2689</v>
      </c>
      <c r="AA446" s="350">
        <v>100</v>
      </c>
      <c r="AB446" s="349" t="s">
        <v>2685</v>
      </c>
      <c r="AC446" s="350">
        <v>0</v>
      </c>
      <c r="AD446" s="349" t="s">
        <v>2685</v>
      </c>
      <c r="AE446" s="364">
        <v>0</v>
      </c>
      <c r="AF446" s="366">
        <v>0</v>
      </c>
      <c r="AG446" s="363">
        <v>0</v>
      </c>
      <c r="AH446" s="635" t="s">
        <v>408</v>
      </c>
      <c r="AI446" s="324"/>
      <c r="AL446" s="487" t="s">
        <v>14645</v>
      </c>
      <c r="AM446" s="477" t="s">
        <v>71</v>
      </c>
      <c r="AN446" s="637">
        <v>100</v>
      </c>
      <c r="AO446" s="478">
        <v>-1023</v>
      </c>
      <c r="AP446" s="463">
        <v>-633</v>
      </c>
      <c r="AQ446" s="479">
        <v>-390</v>
      </c>
      <c r="AR446" s="476" t="s">
        <v>16904</v>
      </c>
      <c r="BA446" s="313" t="s">
        <v>3517</v>
      </c>
    </row>
    <row r="447" spans="2:53" ht="16.5" customHeight="1">
      <c r="B447" s="367" t="s">
        <v>9138</v>
      </c>
      <c r="C447" s="351" t="s">
        <v>9139</v>
      </c>
      <c r="D447" s="353">
        <v>-1024</v>
      </c>
      <c r="E447" s="352" t="s">
        <v>9140</v>
      </c>
      <c r="F447" s="341">
        <v>92.51</v>
      </c>
      <c r="G447" s="355" t="s">
        <v>3666</v>
      </c>
      <c r="H447" s="356" t="s">
        <v>9148</v>
      </c>
      <c r="I447" s="354" t="s">
        <v>80</v>
      </c>
      <c r="J447" s="340" t="s">
        <v>9141</v>
      </c>
      <c r="K447" s="339" t="s">
        <v>71</v>
      </c>
      <c r="L447" s="357">
        <v>16</v>
      </c>
      <c r="M447" s="358" t="s">
        <v>9142</v>
      </c>
      <c r="N447" s="359">
        <v>1000</v>
      </c>
      <c r="O447" s="360" t="s">
        <v>532</v>
      </c>
      <c r="P447" s="343" t="s">
        <v>533</v>
      </c>
      <c r="Q447" s="342" t="s">
        <v>2688</v>
      </c>
      <c r="R447" s="344">
        <v>35</v>
      </c>
      <c r="S447" s="345">
        <v>30</v>
      </c>
      <c r="T447" s="362">
        <v>25</v>
      </c>
      <c r="U447" s="361">
        <v>92.51</v>
      </c>
      <c r="V447" s="346">
        <v>127.42899491200268</v>
      </c>
      <c r="W447" s="348">
        <v>125.67899491200268</v>
      </c>
      <c r="X447" s="347">
        <v>64.27</v>
      </c>
      <c r="Y447" s="357">
        <v>66.540000000000006</v>
      </c>
      <c r="Z447" s="365" t="s">
        <v>2689</v>
      </c>
      <c r="AA447" s="350">
        <v>100</v>
      </c>
      <c r="AB447" s="349" t="s">
        <v>2685</v>
      </c>
      <c r="AC447" s="350">
        <v>0</v>
      </c>
      <c r="AD447" s="349" t="s">
        <v>2685</v>
      </c>
      <c r="AE447" s="364">
        <v>0</v>
      </c>
      <c r="AF447" s="366">
        <v>0</v>
      </c>
      <c r="AG447" s="363">
        <v>0</v>
      </c>
      <c r="AH447" s="635" t="s">
        <v>408</v>
      </c>
      <c r="AI447" s="324"/>
      <c r="AL447" s="487" t="s">
        <v>14646</v>
      </c>
      <c r="AM447" s="477" t="s">
        <v>71</v>
      </c>
      <c r="AN447" s="637">
        <v>100</v>
      </c>
      <c r="AO447" s="478">
        <v>-1024</v>
      </c>
      <c r="AP447" s="463">
        <v>-634</v>
      </c>
      <c r="AQ447" s="479">
        <v>-390</v>
      </c>
      <c r="AR447" s="476" t="s">
        <v>16905</v>
      </c>
      <c r="BA447" s="313" t="s">
        <v>3518</v>
      </c>
    </row>
    <row r="448" spans="2:53" ht="16.5" customHeight="1">
      <c r="B448" s="367" t="s">
        <v>3544</v>
      </c>
      <c r="C448" s="351" t="s">
        <v>3545</v>
      </c>
      <c r="D448" s="353">
        <v>-1025</v>
      </c>
      <c r="E448" s="352" t="s">
        <v>9143</v>
      </c>
      <c r="F448" s="341">
        <v>92.49</v>
      </c>
      <c r="G448" s="355" t="s">
        <v>18527</v>
      </c>
      <c r="H448" s="356" t="s">
        <v>9251</v>
      </c>
      <c r="I448" s="354" t="s">
        <v>83</v>
      </c>
      <c r="J448" s="340" t="s">
        <v>489</v>
      </c>
      <c r="K448" s="339" t="s">
        <v>71</v>
      </c>
      <c r="L448" s="357">
        <v>79</v>
      </c>
      <c r="M448" s="358" t="s">
        <v>9145</v>
      </c>
      <c r="N448" s="359">
        <v>1000</v>
      </c>
      <c r="O448" s="360" t="s">
        <v>532</v>
      </c>
      <c r="P448" s="343" t="s">
        <v>533</v>
      </c>
      <c r="Q448" s="342" t="s">
        <v>2688</v>
      </c>
      <c r="R448" s="344">
        <v>35</v>
      </c>
      <c r="S448" s="345">
        <v>40</v>
      </c>
      <c r="T448" s="362">
        <v>10</v>
      </c>
      <c r="U448" s="361">
        <v>92.49</v>
      </c>
      <c r="V448" s="346">
        <v>127.41171878791405</v>
      </c>
      <c r="W448" s="348">
        <v>125.66171878791405</v>
      </c>
      <c r="X448" s="347">
        <v>64.260000000000005</v>
      </c>
      <c r="Y448" s="357">
        <v>64.34</v>
      </c>
      <c r="Z448" s="365" t="s">
        <v>3017</v>
      </c>
      <c r="AA448" s="350">
        <v>148</v>
      </c>
      <c r="AB448" s="349" t="s">
        <v>2685</v>
      </c>
      <c r="AC448" s="350">
        <v>0</v>
      </c>
      <c r="AD448" s="349" t="s">
        <v>2685</v>
      </c>
      <c r="AE448" s="364">
        <v>0</v>
      </c>
      <c r="AF448" s="366">
        <v>2.762</v>
      </c>
      <c r="AG448" s="363">
        <v>0</v>
      </c>
      <c r="AH448" s="635" t="s">
        <v>8698</v>
      </c>
      <c r="AI448" s="324"/>
      <c r="AL448" s="487" t="s">
        <v>14648</v>
      </c>
      <c r="AM448" s="477" t="s">
        <v>71</v>
      </c>
      <c r="AN448" s="637">
        <v>100</v>
      </c>
      <c r="AO448" s="478">
        <v>-1025</v>
      </c>
      <c r="AP448" s="463">
        <v>-634</v>
      </c>
      <c r="AQ448" s="479">
        <v>-391</v>
      </c>
      <c r="AR448" s="476" t="s">
        <v>16906</v>
      </c>
      <c r="BA448" s="313" t="s">
        <v>3520</v>
      </c>
    </row>
    <row r="449" spans="2:53" ht="16.5" customHeight="1">
      <c r="B449" s="367" t="s">
        <v>3548</v>
      </c>
      <c r="C449" s="351" t="s">
        <v>3549</v>
      </c>
      <c r="D449" s="353">
        <v>-1026</v>
      </c>
      <c r="E449" s="352" t="s">
        <v>3721</v>
      </c>
      <c r="F449" s="341">
        <v>92.49</v>
      </c>
      <c r="G449" s="355" t="s">
        <v>18528</v>
      </c>
      <c r="H449" s="356" t="s">
        <v>18529</v>
      </c>
      <c r="I449" s="354" t="s">
        <v>73</v>
      </c>
      <c r="J449" s="340" t="s">
        <v>491</v>
      </c>
      <c r="K449" s="339" t="s">
        <v>71</v>
      </c>
      <c r="L449" s="357">
        <v>48</v>
      </c>
      <c r="M449" s="358" t="s">
        <v>9146</v>
      </c>
      <c r="N449" s="359">
        <v>1000</v>
      </c>
      <c r="O449" s="360" t="s">
        <v>530</v>
      </c>
      <c r="P449" s="343" t="s">
        <v>531</v>
      </c>
      <c r="Q449" s="342" t="s">
        <v>2688</v>
      </c>
      <c r="R449" s="344">
        <v>38</v>
      </c>
      <c r="S449" s="345">
        <v>25</v>
      </c>
      <c r="T449" s="362">
        <v>25</v>
      </c>
      <c r="U449" s="361">
        <v>92.49</v>
      </c>
      <c r="V449" s="346">
        <v>127.41016650219413</v>
      </c>
      <c r="W449" s="348">
        <v>125.66016650219413</v>
      </c>
      <c r="X449" s="347">
        <v>64.25</v>
      </c>
      <c r="Y449" s="357">
        <v>64.800000000000011</v>
      </c>
      <c r="Z449" s="365" t="s">
        <v>2689</v>
      </c>
      <c r="AA449" s="350">
        <v>125</v>
      </c>
      <c r="AB449" s="349" t="s">
        <v>2685</v>
      </c>
      <c r="AC449" s="350">
        <v>0</v>
      </c>
      <c r="AD449" s="349" t="s">
        <v>2685</v>
      </c>
      <c r="AE449" s="364">
        <v>0</v>
      </c>
      <c r="AF449" s="366">
        <v>4.8600000000000003</v>
      </c>
      <c r="AG449" s="363">
        <v>0</v>
      </c>
      <c r="AH449" s="635" t="s">
        <v>8698</v>
      </c>
      <c r="AI449" s="324"/>
      <c r="AL449" s="487" t="s">
        <v>14649</v>
      </c>
      <c r="AM449" s="477" t="s">
        <v>71</v>
      </c>
      <c r="AN449" s="637">
        <v>100</v>
      </c>
      <c r="AO449" s="478">
        <v>-1026</v>
      </c>
      <c r="AP449" s="463">
        <v>-635</v>
      </c>
      <c r="AQ449" s="479">
        <v>-391</v>
      </c>
      <c r="AR449" s="476" t="s">
        <v>16907</v>
      </c>
      <c r="BA449" s="313" t="s">
        <v>3523</v>
      </c>
    </row>
    <row r="450" spans="2:53" ht="16.5" customHeight="1">
      <c r="B450" s="367" t="s">
        <v>3553</v>
      </c>
      <c r="C450" s="351" t="s">
        <v>3554</v>
      </c>
      <c r="D450" s="353">
        <v>-1027</v>
      </c>
      <c r="E450" s="352" t="s">
        <v>408</v>
      </c>
      <c r="F450" s="341">
        <v>92.47</v>
      </c>
      <c r="G450" s="355" t="s">
        <v>9147</v>
      </c>
      <c r="H450" s="356" t="s">
        <v>8826</v>
      </c>
      <c r="I450" s="354" t="s">
        <v>83</v>
      </c>
      <c r="J450" s="340" t="s">
        <v>8640</v>
      </c>
      <c r="K450" s="339" t="s">
        <v>70</v>
      </c>
      <c r="L450" s="357">
        <v>7</v>
      </c>
      <c r="M450" s="358" t="s">
        <v>9149</v>
      </c>
      <c r="N450" s="359">
        <v>1000</v>
      </c>
      <c r="O450" s="360" t="s">
        <v>532</v>
      </c>
      <c r="P450" s="343" t="s">
        <v>533</v>
      </c>
      <c r="Q450" s="342" t="s">
        <v>2688</v>
      </c>
      <c r="R450" s="344">
        <v>20</v>
      </c>
      <c r="S450" s="345">
        <v>40</v>
      </c>
      <c r="T450" s="362">
        <v>30</v>
      </c>
      <c r="U450" s="361">
        <v>92.47</v>
      </c>
      <c r="V450" s="346">
        <v>127.39482359795652</v>
      </c>
      <c r="W450" s="348">
        <v>125.64482359795652</v>
      </c>
      <c r="X450" s="347">
        <v>63.89</v>
      </c>
      <c r="Y450" s="357">
        <v>64.320000000000007</v>
      </c>
      <c r="Z450" s="365" t="s">
        <v>3017</v>
      </c>
      <c r="AA450" s="350">
        <v>98</v>
      </c>
      <c r="AB450" s="349" t="s">
        <v>2685</v>
      </c>
      <c r="AC450" s="350">
        <v>0</v>
      </c>
      <c r="AD450" s="349" t="s">
        <v>2685</v>
      </c>
      <c r="AE450" s="364">
        <v>0</v>
      </c>
      <c r="AF450" s="366">
        <v>19.260000000000002</v>
      </c>
      <c r="AG450" s="363">
        <v>0</v>
      </c>
      <c r="AH450" s="635" t="s">
        <v>7791</v>
      </c>
      <c r="AI450" s="324"/>
      <c r="AL450" s="487" t="s">
        <v>14650</v>
      </c>
      <c r="AM450" s="477" t="s">
        <v>70</v>
      </c>
      <c r="AN450" s="637">
        <v>100</v>
      </c>
      <c r="AO450" s="478">
        <v>-1027</v>
      </c>
      <c r="AP450" s="463">
        <v>-1027</v>
      </c>
      <c r="AQ450" s="479">
        <v>0</v>
      </c>
      <c r="AR450" s="476" t="s">
        <v>17169</v>
      </c>
      <c r="BA450" s="313" t="s">
        <v>3525</v>
      </c>
    </row>
    <row r="451" spans="2:53" ht="16.5" customHeight="1">
      <c r="B451" s="367" t="s">
        <v>9150</v>
      </c>
      <c r="C451" s="351" t="s">
        <v>9151</v>
      </c>
      <c r="D451" s="353">
        <v>-1028</v>
      </c>
      <c r="E451" s="352" t="s">
        <v>9152</v>
      </c>
      <c r="F451" s="341">
        <v>92.44</v>
      </c>
      <c r="G451" s="355" t="s">
        <v>18530</v>
      </c>
      <c r="H451" s="356" t="s">
        <v>9168</v>
      </c>
      <c r="I451" s="354" t="s">
        <v>224</v>
      </c>
      <c r="J451" s="340" t="s">
        <v>9154</v>
      </c>
      <c r="K451" s="339" t="s">
        <v>71</v>
      </c>
      <c r="L451" s="357">
        <v>22</v>
      </c>
      <c r="M451" s="358" t="s">
        <v>9155</v>
      </c>
      <c r="N451" s="359">
        <v>1000</v>
      </c>
      <c r="O451" s="360" t="s">
        <v>532</v>
      </c>
      <c r="P451" s="343" t="s">
        <v>533</v>
      </c>
      <c r="Q451" s="342" t="s">
        <v>2688</v>
      </c>
      <c r="R451" s="344">
        <v>30</v>
      </c>
      <c r="S451" s="345">
        <v>30</v>
      </c>
      <c r="T451" s="362">
        <v>20</v>
      </c>
      <c r="U451" s="361">
        <v>92.44</v>
      </c>
      <c r="V451" s="346">
        <v>127.36794911659292</v>
      </c>
      <c r="W451" s="348">
        <v>125.61794911659292</v>
      </c>
      <c r="X451" s="347">
        <v>64.23</v>
      </c>
      <c r="Y451" s="357">
        <v>64.650000000000006</v>
      </c>
      <c r="Z451" s="365" t="s">
        <v>3017</v>
      </c>
      <c r="AA451" s="350">
        <v>196</v>
      </c>
      <c r="AB451" s="349" t="s">
        <v>2685</v>
      </c>
      <c r="AC451" s="350">
        <v>10</v>
      </c>
      <c r="AD451" s="349" t="s">
        <v>2685</v>
      </c>
      <c r="AE451" s="364">
        <v>0</v>
      </c>
      <c r="AF451" s="366">
        <v>0</v>
      </c>
      <c r="AG451" s="363">
        <v>0</v>
      </c>
      <c r="AH451" s="635" t="s">
        <v>408</v>
      </c>
      <c r="AI451" s="324"/>
      <c r="AL451" s="487" t="s">
        <v>14651</v>
      </c>
      <c r="AM451" s="477" t="s">
        <v>71</v>
      </c>
      <c r="AN451" s="637">
        <v>100</v>
      </c>
      <c r="AO451" s="478">
        <v>-1028</v>
      </c>
      <c r="AP451" s="463">
        <v>-632</v>
      </c>
      <c r="AQ451" s="479">
        <v>-396</v>
      </c>
      <c r="AR451" s="476" t="s">
        <v>16908</v>
      </c>
      <c r="BA451" s="313" t="s">
        <v>3529</v>
      </c>
    </row>
    <row r="452" spans="2:53" ht="16.5" customHeight="1">
      <c r="B452" s="367" t="s">
        <v>9156</v>
      </c>
      <c r="C452" s="351" t="s">
        <v>9157</v>
      </c>
      <c r="D452" s="353">
        <v>-1029</v>
      </c>
      <c r="E452" s="352" t="s">
        <v>9158</v>
      </c>
      <c r="F452" s="341">
        <v>92.4</v>
      </c>
      <c r="G452" s="355" t="s">
        <v>3688</v>
      </c>
      <c r="H452" s="356" t="s">
        <v>8897</v>
      </c>
      <c r="I452" s="354" t="s">
        <v>82</v>
      </c>
      <c r="J452" s="340" t="s">
        <v>8654</v>
      </c>
      <c r="K452" s="339" t="s">
        <v>71</v>
      </c>
      <c r="L452" s="357">
        <v>19</v>
      </c>
      <c r="M452" s="358" t="s">
        <v>9159</v>
      </c>
      <c r="N452" s="359">
        <v>800</v>
      </c>
      <c r="O452" s="360" t="s">
        <v>530</v>
      </c>
      <c r="P452" s="343" t="s">
        <v>531</v>
      </c>
      <c r="Q452" s="342" t="s">
        <v>2688</v>
      </c>
      <c r="R452" s="344">
        <v>35</v>
      </c>
      <c r="S452" s="345">
        <v>20</v>
      </c>
      <c r="T452" s="362">
        <v>30</v>
      </c>
      <c r="U452" s="361">
        <v>92.4</v>
      </c>
      <c r="V452" s="346">
        <v>127.33651781880633</v>
      </c>
      <c r="W452" s="348">
        <v>125.58651781880633</v>
      </c>
      <c r="X452" s="347">
        <v>64.209999999999994</v>
      </c>
      <c r="Y452" s="357">
        <v>64.760000000000005</v>
      </c>
      <c r="Z452" s="365" t="s">
        <v>3017</v>
      </c>
      <c r="AA452" s="350">
        <v>117.6</v>
      </c>
      <c r="AB452" s="349" t="s">
        <v>2685</v>
      </c>
      <c r="AC452" s="350">
        <v>0</v>
      </c>
      <c r="AD452" s="349" t="s">
        <v>2685</v>
      </c>
      <c r="AE452" s="364">
        <v>0</v>
      </c>
      <c r="AF452" s="366">
        <v>9.6</v>
      </c>
      <c r="AG452" s="363">
        <v>0</v>
      </c>
      <c r="AH452" s="635" t="s">
        <v>7879</v>
      </c>
      <c r="AI452" s="324"/>
      <c r="AL452" s="487" t="s">
        <v>14652</v>
      </c>
      <c r="AM452" s="477" t="s">
        <v>71</v>
      </c>
      <c r="AN452" s="637">
        <v>100</v>
      </c>
      <c r="AO452" s="478">
        <v>-1029</v>
      </c>
      <c r="AP452" s="463">
        <v>-631</v>
      </c>
      <c r="AQ452" s="479">
        <v>-398</v>
      </c>
      <c r="AR452" s="476" t="s">
        <v>17170</v>
      </c>
      <c r="BA452" s="313" t="s">
        <v>3531</v>
      </c>
    </row>
    <row r="453" spans="2:53" ht="16.5" customHeight="1">
      <c r="B453" s="367" t="s">
        <v>9160</v>
      </c>
      <c r="C453" s="351" t="s">
        <v>9161</v>
      </c>
      <c r="D453" s="353">
        <v>-1030</v>
      </c>
      <c r="E453" s="352" t="s">
        <v>408</v>
      </c>
      <c r="F453" s="341">
        <v>92.39</v>
      </c>
      <c r="G453" s="355" t="s">
        <v>3727</v>
      </c>
      <c r="H453" s="356" t="s">
        <v>18531</v>
      </c>
      <c r="I453" s="354" t="s">
        <v>217</v>
      </c>
      <c r="J453" s="340" t="s">
        <v>7250</v>
      </c>
      <c r="K453" s="339" t="s">
        <v>70</v>
      </c>
      <c r="L453" s="357">
        <v>66</v>
      </c>
      <c r="M453" s="358" t="s">
        <v>9162</v>
      </c>
      <c r="N453" s="359">
        <v>1000</v>
      </c>
      <c r="O453" s="360" t="s">
        <v>530</v>
      </c>
      <c r="P453" s="343" t="s">
        <v>531</v>
      </c>
      <c r="Q453" s="342" t="s">
        <v>2688</v>
      </c>
      <c r="R453" s="344">
        <v>30</v>
      </c>
      <c r="S453" s="345">
        <v>40</v>
      </c>
      <c r="T453" s="362">
        <v>20</v>
      </c>
      <c r="U453" s="361">
        <v>92.39</v>
      </c>
      <c r="V453" s="346">
        <v>127.32481139983236</v>
      </c>
      <c r="W453" s="348">
        <v>125.57481139983236</v>
      </c>
      <c r="X453" s="347">
        <v>63.86</v>
      </c>
      <c r="Y453" s="357">
        <v>64.740000000000009</v>
      </c>
      <c r="Z453" s="365" t="s">
        <v>3017</v>
      </c>
      <c r="AA453" s="350">
        <v>98.5</v>
      </c>
      <c r="AB453" s="349" t="s">
        <v>2685</v>
      </c>
      <c r="AC453" s="350">
        <v>0</v>
      </c>
      <c r="AD453" s="349" t="s">
        <v>2685</v>
      </c>
      <c r="AE453" s="364">
        <v>0</v>
      </c>
      <c r="AF453" s="366">
        <v>0</v>
      </c>
      <c r="AG453" s="363">
        <v>0</v>
      </c>
      <c r="AH453" s="635" t="s">
        <v>408</v>
      </c>
      <c r="AI453" s="324"/>
      <c r="AL453" s="487" t="s">
        <v>14653</v>
      </c>
      <c r="AM453" s="477" t="s">
        <v>70</v>
      </c>
      <c r="AN453" s="637">
        <v>100</v>
      </c>
      <c r="AO453" s="478">
        <v>-1030</v>
      </c>
      <c r="AP453" s="463">
        <v>-1030</v>
      </c>
      <c r="AQ453" s="479">
        <v>0</v>
      </c>
      <c r="AR453" s="476" t="s">
        <v>17171</v>
      </c>
      <c r="BA453" s="313" t="s">
        <v>3534</v>
      </c>
    </row>
    <row r="454" spans="2:53" ht="16.5" customHeight="1">
      <c r="B454" s="367" t="s">
        <v>9160</v>
      </c>
      <c r="C454" s="351" t="s">
        <v>9161</v>
      </c>
      <c r="D454" s="353">
        <v>-1031</v>
      </c>
      <c r="E454" s="352" t="s">
        <v>9163</v>
      </c>
      <c r="F454" s="341">
        <v>92.38</v>
      </c>
      <c r="G454" s="355" t="s">
        <v>3690</v>
      </c>
      <c r="H454" s="356" t="s">
        <v>8881</v>
      </c>
      <c r="I454" s="354" t="s">
        <v>83</v>
      </c>
      <c r="J454" s="340" t="s">
        <v>491</v>
      </c>
      <c r="K454" s="339" t="s">
        <v>71</v>
      </c>
      <c r="L454" s="357">
        <v>32</v>
      </c>
      <c r="M454" s="358" t="s">
        <v>9166</v>
      </c>
      <c r="N454" s="359">
        <v>1000</v>
      </c>
      <c r="O454" s="360" t="s">
        <v>532</v>
      </c>
      <c r="P454" s="343" t="s">
        <v>533</v>
      </c>
      <c r="Q454" s="342" t="s">
        <v>2688</v>
      </c>
      <c r="R454" s="344">
        <v>35</v>
      </c>
      <c r="S454" s="345">
        <v>40</v>
      </c>
      <c r="T454" s="362">
        <v>10</v>
      </c>
      <c r="U454" s="361">
        <v>92.38</v>
      </c>
      <c r="V454" s="346">
        <v>127.3195435963228</v>
      </c>
      <c r="W454" s="348">
        <v>125.5695435963228</v>
      </c>
      <c r="X454" s="347">
        <v>64.209999999999994</v>
      </c>
      <c r="Y454" s="357">
        <v>64.28</v>
      </c>
      <c r="Z454" s="365" t="s">
        <v>3017</v>
      </c>
      <c r="AA454" s="350">
        <v>148</v>
      </c>
      <c r="AB454" s="349" t="s">
        <v>2685</v>
      </c>
      <c r="AC454" s="350">
        <v>0</v>
      </c>
      <c r="AD454" s="349" t="s">
        <v>2685</v>
      </c>
      <c r="AE454" s="364">
        <v>0</v>
      </c>
      <c r="AF454" s="366">
        <v>2.7589999999999999</v>
      </c>
      <c r="AG454" s="363">
        <v>0</v>
      </c>
      <c r="AH454" s="635" t="s">
        <v>8698</v>
      </c>
      <c r="AI454" s="324"/>
      <c r="AL454" s="487" t="s">
        <v>14654</v>
      </c>
      <c r="AM454" s="477" t="s">
        <v>71</v>
      </c>
      <c r="AN454" s="637">
        <v>100</v>
      </c>
      <c r="AO454" s="478">
        <v>-1031</v>
      </c>
      <c r="AP454" s="463">
        <v>-633</v>
      </c>
      <c r="AQ454" s="479">
        <v>-398</v>
      </c>
      <c r="AR454" s="476" t="s">
        <v>16909</v>
      </c>
      <c r="BA454" s="313" t="s">
        <v>3538</v>
      </c>
    </row>
    <row r="455" spans="2:53" ht="16.5" customHeight="1">
      <c r="B455" s="367" t="s">
        <v>9160</v>
      </c>
      <c r="C455" s="351" t="s">
        <v>9161</v>
      </c>
      <c r="D455" s="353">
        <v>-1032</v>
      </c>
      <c r="E455" s="352" t="s">
        <v>408</v>
      </c>
      <c r="F455" s="341">
        <v>92.38</v>
      </c>
      <c r="G455" s="355" t="s">
        <v>9167</v>
      </c>
      <c r="H455" s="356" t="s">
        <v>9265</v>
      </c>
      <c r="I455" s="354" t="s">
        <v>82</v>
      </c>
      <c r="J455" s="340" t="s">
        <v>7965</v>
      </c>
      <c r="K455" s="339" t="s">
        <v>70</v>
      </c>
      <c r="L455" s="357">
        <v>56</v>
      </c>
      <c r="M455" s="358" t="s">
        <v>9169</v>
      </c>
      <c r="N455" s="359">
        <v>800</v>
      </c>
      <c r="O455" s="360" t="s">
        <v>530</v>
      </c>
      <c r="P455" s="343" t="s">
        <v>531</v>
      </c>
      <c r="Q455" s="342" t="s">
        <v>2688</v>
      </c>
      <c r="R455" s="344">
        <v>20</v>
      </c>
      <c r="S455" s="345">
        <v>35</v>
      </c>
      <c r="T455" s="362">
        <v>30</v>
      </c>
      <c r="U455" s="361">
        <v>92.38</v>
      </c>
      <c r="V455" s="346">
        <v>127.32041648776297</v>
      </c>
      <c r="W455" s="348">
        <v>125.57041648776297</v>
      </c>
      <c r="X455" s="347">
        <v>63.85</v>
      </c>
      <c r="Y455" s="357">
        <v>64.75</v>
      </c>
      <c r="Z455" s="365" t="s">
        <v>3017</v>
      </c>
      <c r="AA455" s="350">
        <v>117.6</v>
      </c>
      <c r="AB455" s="349" t="s">
        <v>2685</v>
      </c>
      <c r="AC455" s="350">
        <v>0</v>
      </c>
      <c r="AD455" s="349" t="s">
        <v>2685</v>
      </c>
      <c r="AE455" s="364">
        <v>0</v>
      </c>
      <c r="AF455" s="366">
        <v>0</v>
      </c>
      <c r="AG455" s="363">
        <v>0</v>
      </c>
      <c r="AH455" s="635" t="s">
        <v>408</v>
      </c>
      <c r="AI455" s="324"/>
      <c r="AL455" s="487" t="s">
        <v>14655</v>
      </c>
      <c r="AM455" s="477" t="s">
        <v>70</v>
      </c>
      <c r="AN455" s="637">
        <v>100</v>
      </c>
      <c r="AO455" s="478">
        <v>-1032</v>
      </c>
      <c r="AP455" s="463">
        <v>-1032</v>
      </c>
      <c r="AQ455" s="479">
        <v>0</v>
      </c>
      <c r="AR455" s="476" t="s">
        <v>14656</v>
      </c>
      <c r="BA455" s="313" t="s">
        <v>3539</v>
      </c>
    </row>
    <row r="456" spans="2:53" ht="16.5" customHeight="1">
      <c r="B456" s="367" t="s">
        <v>9170</v>
      </c>
      <c r="C456" s="351" t="s">
        <v>9171</v>
      </c>
      <c r="D456" s="353">
        <v>-1033</v>
      </c>
      <c r="E456" s="352" t="s">
        <v>408</v>
      </c>
      <c r="F456" s="341">
        <v>92.35</v>
      </c>
      <c r="G456" s="355" t="s">
        <v>9172</v>
      </c>
      <c r="H456" s="356" t="s">
        <v>9188</v>
      </c>
      <c r="I456" s="354" t="s">
        <v>228</v>
      </c>
      <c r="J456" s="340" t="s">
        <v>9173</v>
      </c>
      <c r="K456" s="339" t="s">
        <v>70</v>
      </c>
      <c r="L456" s="357">
        <v>18</v>
      </c>
      <c r="M456" s="358" t="s">
        <v>9174</v>
      </c>
      <c r="N456" s="359">
        <v>1000</v>
      </c>
      <c r="O456" s="360" t="s">
        <v>530</v>
      </c>
      <c r="P456" s="343" t="s">
        <v>531</v>
      </c>
      <c r="Q456" s="342" t="s">
        <v>2688</v>
      </c>
      <c r="R456" s="344">
        <v>30</v>
      </c>
      <c r="S456" s="345">
        <v>35</v>
      </c>
      <c r="T456" s="362">
        <v>35</v>
      </c>
      <c r="U456" s="361">
        <v>92.35</v>
      </c>
      <c r="V456" s="346">
        <v>127.2885825652686</v>
      </c>
      <c r="W456" s="348">
        <v>125.5385825652686</v>
      </c>
      <c r="X456" s="347">
        <v>63.84</v>
      </c>
      <c r="Y456" s="357">
        <v>66.260000000000005</v>
      </c>
      <c r="Z456" s="365" t="s">
        <v>2689</v>
      </c>
      <c r="AA456" s="350">
        <v>100</v>
      </c>
      <c r="AB456" s="349" t="s">
        <v>2685</v>
      </c>
      <c r="AC456" s="350">
        <v>10</v>
      </c>
      <c r="AD456" s="349" t="s">
        <v>2685</v>
      </c>
      <c r="AE456" s="364">
        <v>0</v>
      </c>
      <c r="AF456" s="366">
        <v>11.596</v>
      </c>
      <c r="AG456" s="363">
        <v>0</v>
      </c>
      <c r="AH456" s="635" t="s">
        <v>7787</v>
      </c>
      <c r="AI456" s="324"/>
      <c r="AL456" s="487" t="s">
        <v>14657</v>
      </c>
      <c r="AM456" s="477" t="s">
        <v>70</v>
      </c>
      <c r="AN456" s="637">
        <v>100</v>
      </c>
      <c r="AO456" s="478">
        <v>-1033</v>
      </c>
      <c r="AP456" s="463">
        <v>-1033</v>
      </c>
      <c r="AQ456" s="479">
        <v>0</v>
      </c>
      <c r="AR456" s="476" t="s">
        <v>14658</v>
      </c>
      <c r="BA456" s="313" t="s">
        <v>3543</v>
      </c>
    </row>
    <row r="457" spans="2:53" ht="16.5" customHeight="1">
      <c r="B457" s="367" t="s">
        <v>3568</v>
      </c>
      <c r="C457" s="351" t="s">
        <v>3569</v>
      </c>
      <c r="D457" s="353">
        <v>-1034</v>
      </c>
      <c r="E457" s="352" t="s">
        <v>9175</v>
      </c>
      <c r="F457" s="341">
        <v>92.35</v>
      </c>
      <c r="G457" s="355" t="s">
        <v>18532</v>
      </c>
      <c r="H457" s="356" t="s">
        <v>8885</v>
      </c>
      <c r="I457" s="354" t="s">
        <v>80</v>
      </c>
      <c r="J457" s="340" t="s">
        <v>8217</v>
      </c>
      <c r="K457" s="339" t="s">
        <v>71</v>
      </c>
      <c r="L457" s="357">
        <v>13</v>
      </c>
      <c r="M457" s="358" t="s">
        <v>9176</v>
      </c>
      <c r="N457" s="359">
        <v>1000</v>
      </c>
      <c r="O457" s="360" t="s">
        <v>532</v>
      </c>
      <c r="P457" s="343" t="s">
        <v>533</v>
      </c>
      <c r="Q457" s="342" t="s">
        <v>2688</v>
      </c>
      <c r="R457" s="344">
        <v>35</v>
      </c>
      <c r="S457" s="345">
        <v>30</v>
      </c>
      <c r="T457" s="362">
        <v>25</v>
      </c>
      <c r="U457" s="361">
        <v>92.35</v>
      </c>
      <c r="V457" s="346">
        <v>127.28940361998499</v>
      </c>
      <c r="W457" s="348">
        <v>125.53940361998499</v>
      </c>
      <c r="X457" s="347">
        <v>64.19</v>
      </c>
      <c r="Y457" s="357">
        <v>66.490000000000009</v>
      </c>
      <c r="Z457" s="365" t="s">
        <v>2689</v>
      </c>
      <c r="AA457" s="350">
        <v>100</v>
      </c>
      <c r="AB457" s="349" t="s">
        <v>2685</v>
      </c>
      <c r="AC457" s="350">
        <v>0</v>
      </c>
      <c r="AD457" s="349" t="s">
        <v>2685</v>
      </c>
      <c r="AE457" s="364">
        <v>0</v>
      </c>
      <c r="AF457" s="366">
        <v>0</v>
      </c>
      <c r="AG457" s="363">
        <v>0</v>
      </c>
      <c r="AH457" s="635" t="s">
        <v>408</v>
      </c>
      <c r="AI457" s="324"/>
      <c r="AL457" s="487" t="s">
        <v>14659</v>
      </c>
      <c r="AM457" s="477" t="s">
        <v>71</v>
      </c>
      <c r="AN457" s="637">
        <v>100</v>
      </c>
      <c r="AO457" s="478">
        <v>-1034</v>
      </c>
      <c r="AP457" s="463">
        <v>-634</v>
      </c>
      <c r="AQ457" s="479">
        <v>-400</v>
      </c>
      <c r="AR457" s="476" t="s">
        <v>16910</v>
      </c>
      <c r="BA457" s="313" t="s">
        <v>3547</v>
      </c>
    </row>
    <row r="458" spans="2:53" ht="16.5" customHeight="1">
      <c r="B458" s="367" t="s">
        <v>9177</v>
      </c>
      <c r="C458" s="351" t="s">
        <v>9178</v>
      </c>
      <c r="D458" s="353">
        <v>-1035</v>
      </c>
      <c r="E458" s="352" t="s">
        <v>408</v>
      </c>
      <c r="F458" s="341">
        <v>92.3</v>
      </c>
      <c r="G458" s="355" t="s">
        <v>3736</v>
      </c>
      <c r="H458" s="356" t="s">
        <v>9236</v>
      </c>
      <c r="I458" s="354" t="s">
        <v>228</v>
      </c>
      <c r="J458" s="340" t="s">
        <v>555</v>
      </c>
      <c r="K458" s="339" t="s">
        <v>70</v>
      </c>
      <c r="L458" s="357">
        <v>17</v>
      </c>
      <c r="M458" s="358" t="s">
        <v>9179</v>
      </c>
      <c r="N458" s="359">
        <v>1000</v>
      </c>
      <c r="O458" s="360" t="s">
        <v>530</v>
      </c>
      <c r="P458" s="343" t="s">
        <v>531</v>
      </c>
      <c r="Q458" s="342" t="s">
        <v>2688</v>
      </c>
      <c r="R458" s="344">
        <v>30</v>
      </c>
      <c r="S458" s="345">
        <v>35</v>
      </c>
      <c r="T458" s="362">
        <v>35</v>
      </c>
      <c r="U458" s="361">
        <v>92.3</v>
      </c>
      <c r="V458" s="346">
        <v>127.24798002354947</v>
      </c>
      <c r="W458" s="348">
        <v>125.49798002354947</v>
      </c>
      <c r="X458" s="347">
        <v>63.82</v>
      </c>
      <c r="Y458" s="357">
        <v>66.240000000000009</v>
      </c>
      <c r="Z458" s="365" t="s">
        <v>2689</v>
      </c>
      <c r="AA458" s="350">
        <v>100</v>
      </c>
      <c r="AB458" s="349" t="s">
        <v>2685</v>
      </c>
      <c r="AC458" s="350">
        <v>10</v>
      </c>
      <c r="AD458" s="349" t="s">
        <v>2685</v>
      </c>
      <c r="AE458" s="364">
        <v>0</v>
      </c>
      <c r="AF458" s="366">
        <v>11.592000000000001</v>
      </c>
      <c r="AG458" s="363">
        <v>0</v>
      </c>
      <c r="AH458" s="635" t="s">
        <v>7787</v>
      </c>
      <c r="AI458" s="324"/>
      <c r="AL458" s="487" t="s">
        <v>14660</v>
      </c>
      <c r="AM458" s="477" t="s">
        <v>70</v>
      </c>
      <c r="AN458" s="637">
        <v>100</v>
      </c>
      <c r="AO458" s="478">
        <v>-1035</v>
      </c>
      <c r="AP458" s="463">
        <v>-1035</v>
      </c>
      <c r="AQ458" s="479">
        <v>0</v>
      </c>
      <c r="AR458" s="476" t="s">
        <v>17172</v>
      </c>
      <c r="BA458" s="313" t="s">
        <v>3550</v>
      </c>
    </row>
    <row r="459" spans="2:53" ht="16.5" customHeight="1">
      <c r="B459" s="367" t="s">
        <v>9180</v>
      </c>
      <c r="C459" s="351" t="s">
        <v>9181</v>
      </c>
      <c r="D459" s="353">
        <v>-1036</v>
      </c>
      <c r="E459" s="352" t="s">
        <v>3745</v>
      </c>
      <c r="F459" s="341">
        <v>92.27</v>
      </c>
      <c r="G459" s="355" t="s">
        <v>9153</v>
      </c>
      <c r="H459" s="356" t="s">
        <v>18533</v>
      </c>
      <c r="I459" s="354" t="s">
        <v>82</v>
      </c>
      <c r="J459" s="340" t="s">
        <v>8883</v>
      </c>
      <c r="K459" s="339" t="s">
        <v>71</v>
      </c>
      <c r="L459" s="357">
        <v>14</v>
      </c>
      <c r="M459" s="358" t="s">
        <v>9182</v>
      </c>
      <c r="N459" s="359">
        <v>800</v>
      </c>
      <c r="O459" s="360" t="s">
        <v>530</v>
      </c>
      <c r="P459" s="343" t="s">
        <v>531</v>
      </c>
      <c r="Q459" s="342" t="s">
        <v>2688</v>
      </c>
      <c r="R459" s="344">
        <v>35</v>
      </c>
      <c r="S459" s="345">
        <v>20</v>
      </c>
      <c r="T459" s="362">
        <v>30</v>
      </c>
      <c r="U459" s="361">
        <v>92.27</v>
      </c>
      <c r="V459" s="346">
        <v>127.2264920566767</v>
      </c>
      <c r="W459" s="348">
        <v>125.4764920566767</v>
      </c>
      <c r="X459" s="347">
        <v>64.150000000000006</v>
      </c>
      <c r="Y459" s="357">
        <v>64.690000000000012</v>
      </c>
      <c r="Z459" s="365" t="s">
        <v>3017</v>
      </c>
      <c r="AA459" s="350">
        <v>117.6</v>
      </c>
      <c r="AB459" s="349" t="s">
        <v>2685</v>
      </c>
      <c r="AC459" s="350">
        <v>0</v>
      </c>
      <c r="AD459" s="349" t="s">
        <v>2685</v>
      </c>
      <c r="AE459" s="364">
        <v>0</v>
      </c>
      <c r="AF459" s="366">
        <v>9.6</v>
      </c>
      <c r="AG459" s="363">
        <v>0</v>
      </c>
      <c r="AH459" s="635" t="s">
        <v>7879</v>
      </c>
      <c r="AI459" s="324"/>
      <c r="AL459" s="487" t="s">
        <v>14661</v>
      </c>
      <c r="AM459" s="477" t="s">
        <v>71</v>
      </c>
      <c r="AN459" s="637">
        <v>100</v>
      </c>
      <c r="AO459" s="478">
        <v>-1036</v>
      </c>
      <c r="AP459" s="463">
        <v>-632</v>
      </c>
      <c r="AQ459" s="479">
        <v>-404</v>
      </c>
      <c r="AR459" s="476" t="s">
        <v>14677</v>
      </c>
      <c r="BA459" s="313" t="s">
        <v>3552</v>
      </c>
    </row>
    <row r="460" spans="2:53" ht="16.5" customHeight="1">
      <c r="B460" s="367" t="s">
        <v>9183</v>
      </c>
      <c r="C460" s="351" t="s">
        <v>9184</v>
      </c>
      <c r="D460" s="353">
        <v>-1037</v>
      </c>
      <c r="E460" s="352" t="s">
        <v>408</v>
      </c>
      <c r="F460" s="341">
        <v>92.24</v>
      </c>
      <c r="G460" s="355" t="s">
        <v>9185</v>
      </c>
      <c r="H460" s="356" t="s">
        <v>18534</v>
      </c>
      <c r="I460" s="354" t="s">
        <v>82</v>
      </c>
      <c r="J460" s="340" t="s">
        <v>555</v>
      </c>
      <c r="K460" s="339" t="s">
        <v>70</v>
      </c>
      <c r="L460" s="357">
        <v>19</v>
      </c>
      <c r="M460" s="358" t="s">
        <v>9186</v>
      </c>
      <c r="N460" s="359">
        <v>800</v>
      </c>
      <c r="O460" s="360" t="s">
        <v>530</v>
      </c>
      <c r="P460" s="343" t="s">
        <v>531</v>
      </c>
      <c r="Q460" s="342" t="s">
        <v>2688</v>
      </c>
      <c r="R460" s="344">
        <v>20</v>
      </c>
      <c r="S460" s="345">
        <v>35</v>
      </c>
      <c r="T460" s="362">
        <v>30</v>
      </c>
      <c r="U460" s="361">
        <v>92.24</v>
      </c>
      <c r="V460" s="346">
        <v>127.20234006011161</v>
      </c>
      <c r="W460" s="348">
        <v>125.45234006011161</v>
      </c>
      <c r="X460" s="347">
        <v>63.8</v>
      </c>
      <c r="Y460" s="357">
        <v>64.67</v>
      </c>
      <c r="Z460" s="365" t="s">
        <v>3017</v>
      </c>
      <c r="AA460" s="350">
        <v>117.6</v>
      </c>
      <c r="AB460" s="349" t="s">
        <v>2685</v>
      </c>
      <c r="AC460" s="350">
        <v>0</v>
      </c>
      <c r="AD460" s="349" t="s">
        <v>2685</v>
      </c>
      <c r="AE460" s="364">
        <v>0</v>
      </c>
      <c r="AF460" s="366">
        <v>9.6</v>
      </c>
      <c r="AG460" s="363">
        <v>0</v>
      </c>
      <c r="AH460" s="635" t="s">
        <v>7814</v>
      </c>
      <c r="AI460" s="324"/>
      <c r="AL460" s="487" t="s">
        <v>14662</v>
      </c>
      <c r="AM460" s="477" t="s">
        <v>70</v>
      </c>
      <c r="AN460" s="637">
        <v>100</v>
      </c>
      <c r="AO460" s="478">
        <v>-1037</v>
      </c>
      <c r="AP460" s="463">
        <v>-1037</v>
      </c>
      <c r="AQ460" s="479">
        <v>0</v>
      </c>
      <c r="AR460" s="476" t="s">
        <v>17173</v>
      </c>
      <c r="BA460" s="313" t="s">
        <v>3556</v>
      </c>
    </row>
    <row r="461" spans="2:53" ht="16.5" customHeight="1">
      <c r="B461" s="367" t="s">
        <v>9193</v>
      </c>
      <c r="C461" s="351" t="s">
        <v>9194</v>
      </c>
      <c r="D461" s="353">
        <v>-1038</v>
      </c>
      <c r="E461" s="352" t="s">
        <v>9187</v>
      </c>
      <c r="F461" s="341">
        <v>92.19</v>
      </c>
      <c r="G461" s="355" t="s">
        <v>3752</v>
      </c>
      <c r="H461" s="356" t="s">
        <v>3507</v>
      </c>
      <c r="I461" s="354" t="s">
        <v>83</v>
      </c>
      <c r="J461" s="340" t="s">
        <v>8538</v>
      </c>
      <c r="K461" s="339" t="s">
        <v>70</v>
      </c>
      <c r="L461" s="357">
        <v>14</v>
      </c>
      <c r="M461" s="358" t="s">
        <v>9195</v>
      </c>
      <c r="N461" s="359">
        <v>1000</v>
      </c>
      <c r="O461" s="360" t="s">
        <v>532</v>
      </c>
      <c r="P461" s="343" t="s">
        <v>533</v>
      </c>
      <c r="Q461" s="342" t="s">
        <v>2688</v>
      </c>
      <c r="R461" s="344">
        <v>20</v>
      </c>
      <c r="S461" s="345">
        <v>40</v>
      </c>
      <c r="T461" s="362">
        <v>30</v>
      </c>
      <c r="U461" s="361">
        <v>92.19</v>
      </c>
      <c r="V461" s="346">
        <v>127.16218228680937</v>
      </c>
      <c r="W461" s="348">
        <v>125.41218228680937</v>
      </c>
      <c r="X461" s="347">
        <v>63.78</v>
      </c>
      <c r="Y461" s="357">
        <v>64.180000000000007</v>
      </c>
      <c r="Z461" s="365" t="s">
        <v>3017</v>
      </c>
      <c r="AA461" s="350">
        <v>98</v>
      </c>
      <c r="AB461" s="349" t="s">
        <v>2685</v>
      </c>
      <c r="AC461" s="350">
        <v>0</v>
      </c>
      <c r="AD461" s="349" t="s">
        <v>2685</v>
      </c>
      <c r="AE461" s="364">
        <v>0</v>
      </c>
      <c r="AF461" s="366">
        <v>19.218</v>
      </c>
      <c r="AG461" s="363">
        <v>0</v>
      </c>
      <c r="AH461" s="635" t="s">
        <v>7791</v>
      </c>
      <c r="AI461" s="324"/>
      <c r="AL461" s="487" t="s">
        <v>14663</v>
      </c>
      <c r="AM461" s="477" t="s">
        <v>70</v>
      </c>
      <c r="AN461" s="637">
        <v>100</v>
      </c>
      <c r="AO461" s="478">
        <v>-1038</v>
      </c>
      <c r="AP461" s="463">
        <v>-1038</v>
      </c>
      <c r="AQ461" s="479">
        <v>0</v>
      </c>
      <c r="AR461" s="476" t="s">
        <v>17174</v>
      </c>
      <c r="BA461" s="313" t="s">
        <v>3557</v>
      </c>
    </row>
    <row r="462" spans="2:53" ht="16.5" customHeight="1">
      <c r="B462" s="367" t="s">
        <v>9193</v>
      </c>
      <c r="C462" s="351" t="s">
        <v>9194</v>
      </c>
      <c r="D462" s="353">
        <v>-1039</v>
      </c>
      <c r="E462" s="352" t="s">
        <v>408</v>
      </c>
      <c r="F462" s="341">
        <v>92.19</v>
      </c>
      <c r="G462" s="355" t="s">
        <v>3758</v>
      </c>
      <c r="H462" s="356" t="s">
        <v>3493</v>
      </c>
      <c r="I462" s="354" t="s">
        <v>82</v>
      </c>
      <c r="J462" s="340" t="s">
        <v>9196</v>
      </c>
      <c r="K462" s="339" t="s">
        <v>70</v>
      </c>
      <c r="L462" s="357">
        <v>64</v>
      </c>
      <c r="M462" s="358" t="s">
        <v>9197</v>
      </c>
      <c r="N462" s="359">
        <v>800</v>
      </c>
      <c r="O462" s="360" t="s">
        <v>530</v>
      </c>
      <c r="P462" s="343" t="s">
        <v>531</v>
      </c>
      <c r="Q462" s="342" t="s">
        <v>2688</v>
      </c>
      <c r="R462" s="344">
        <v>20</v>
      </c>
      <c r="S462" s="345">
        <v>35</v>
      </c>
      <c r="T462" s="362">
        <v>30</v>
      </c>
      <c r="U462" s="361">
        <v>92.19</v>
      </c>
      <c r="V462" s="346">
        <v>127.15940317732931</v>
      </c>
      <c r="W462" s="348">
        <v>125.40940317732931</v>
      </c>
      <c r="X462" s="347">
        <v>63.78</v>
      </c>
      <c r="Y462" s="357">
        <v>64.650000000000006</v>
      </c>
      <c r="Z462" s="365" t="s">
        <v>3017</v>
      </c>
      <c r="AA462" s="350">
        <v>117.6</v>
      </c>
      <c r="AB462" s="349" t="s">
        <v>2685</v>
      </c>
      <c r="AC462" s="350">
        <v>0</v>
      </c>
      <c r="AD462" s="349" t="s">
        <v>2685</v>
      </c>
      <c r="AE462" s="364">
        <v>0</v>
      </c>
      <c r="AF462" s="366">
        <v>9.6</v>
      </c>
      <c r="AG462" s="363">
        <v>0</v>
      </c>
      <c r="AH462" s="635" t="s">
        <v>7814</v>
      </c>
      <c r="AI462" s="324"/>
      <c r="AL462" s="487" t="s">
        <v>14664</v>
      </c>
      <c r="AM462" s="477" t="s">
        <v>70</v>
      </c>
      <c r="AN462" s="637">
        <v>100</v>
      </c>
      <c r="AO462" s="478">
        <v>-1039</v>
      </c>
      <c r="AP462" s="463">
        <v>-1039</v>
      </c>
      <c r="AQ462" s="479">
        <v>0</v>
      </c>
      <c r="AR462" s="476" t="s">
        <v>17174</v>
      </c>
      <c r="BA462" s="313" t="s">
        <v>3559</v>
      </c>
    </row>
    <row r="463" spans="2:53" ht="16.5" customHeight="1">
      <c r="B463" s="367" t="s">
        <v>3573</v>
      </c>
      <c r="C463" s="351" t="s">
        <v>3574</v>
      </c>
      <c r="D463" s="353">
        <v>-1040</v>
      </c>
      <c r="E463" s="352" t="s">
        <v>408</v>
      </c>
      <c r="F463" s="341">
        <v>92.15</v>
      </c>
      <c r="G463" s="355" t="s">
        <v>9198</v>
      </c>
      <c r="H463" s="356" t="s">
        <v>8924</v>
      </c>
      <c r="I463" s="354" t="s">
        <v>217</v>
      </c>
      <c r="J463" s="340" t="s">
        <v>7825</v>
      </c>
      <c r="K463" s="339" t="s">
        <v>70</v>
      </c>
      <c r="L463" s="357">
        <v>50</v>
      </c>
      <c r="M463" s="358" t="s">
        <v>9199</v>
      </c>
      <c r="N463" s="359">
        <v>1000</v>
      </c>
      <c r="O463" s="360" t="s">
        <v>530</v>
      </c>
      <c r="P463" s="343" t="s">
        <v>531</v>
      </c>
      <c r="Q463" s="342" t="s">
        <v>2688</v>
      </c>
      <c r="R463" s="344">
        <v>30</v>
      </c>
      <c r="S463" s="345">
        <v>40</v>
      </c>
      <c r="T463" s="362">
        <v>20</v>
      </c>
      <c r="U463" s="361">
        <v>92.15</v>
      </c>
      <c r="V463" s="346">
        <v>127.12154233025984</v>
      </c>
      <c r="W463" s="348">
        <v>125.37154233025984</v>
      </c>
      <c r="X463" s="347">
        <v>63.76</v>
      </c>
      <c r="Y463" s="357">
        <v>64.61</v>
      </c>
      <c r="Z463" s="365" t="s">
        <v>3017</v>
      </c>
      <c r="AA463" s="350">
        <v>98.5</v>
      </c>
      <c r="AB463" s="349" t="s">
        <v>2685</v>
      </c>
      <c r="AC463" s="350">
        <v>0</v>
      </c>
      <c r="AD463" s="349" t="s">
        <v>2685</v>
      </c>
      <c r="AE463" s="364">
        <v>0</v>
      </c>
      <c r="AF463" s="366">
        <v>0</v>
      </c>
      <c r="AG463" s="363">
        <v>0</v>
      </c>
      <c r="AH463" s="635" t="s">
        <v>408</v>
      </c>
      <c r="AI463" s="324"/>
      <c r="AL463" s="487" t="s">
        <v>14665</v>
      </c>
      <c r="AM463" s="477" t="s">
        <v>70</v>
      </c>
      <c r="AN463" s="637">
        <v>100</v>
      </c>
      <c r="AO463" s="478">
        <v>-1040</v>
      </c>
      <c r="AP463" s="463">
        <v>-1040</v>
      </c>
      <c r="AQ463" s="479">
        <v>0</v>
      </c>
      <c r="AR463" s="476" t="s">
        <v>17175</v>
      </c>
      <c r="BA463" s="313" t="s">
        <v>3560</v>
      </c>
    </row>
    <row r="464" spans="2:53" ht="16.5" customHeight="1">
      <c r="B464" s="367" t="s">
        <v>3578</v>
      </c>
      <c r="C464" s="351" t="s">
        <v>3579</v>
      </c>
      <c r="D464" s="353">
        <v>-1041</v>
      </c>
      <c r="E464" s="352" t="s">
        <v>408</v>
      </c>
      <c r="F464" s="341">
        <v>92.13</v>
      </c>
      <c r="G464" s="355" t="s">
        <v>9640</v>
      </c>
      <c r="H464" s="356" t="s">
        <v>8927</v>
      </c>
      <c r="I464" s="354" t="s">
        <v>228</v>
      </c>
      <c r="J464" s="340" t="s">
        <v>9201</v>
      </c>
      <c r="K464" s="339" t="s">
        <v>71</v>
      </c>
      <c r="L464" s="357">
        <v>210</v>
      </c>
      <c r="M464" s="358" t="s">
        <v>9202</v>
      </c>
      <c r="N464" s="359">
        <v>1000</v>
      </c>
      <c r="O464" s="360" t="s">
        <v>530</v>
      </c>
      <c r="P464" s="343" t="s">
        <v>531</v>
      </c>
      <c r="Q464" s="342" t="s">
        <v>2688</v>
      </c>
      <c r="R464" s="344">
        <v>30</v>
      </c>
      <c r="S464" s="345">
        <v>40</v>
      </c>
      <c r="T464" s="362">
        <v>30</v>
      </c>
      <c r="U464" s="361">
        <v>92.13</v>
      </c>
      <c r="V464" s="346">
        <v>127.11092851273622</v>
      </c>
      <c r="W464" s="348">
        <v>125.36092851273622</v>
      </c>
      <c r="X464" s="347">
        <v>64.09</v>
      </c>
      <c r="Y464" s="357">
        <v>66.17</v>
      </c>
      <c r="Z464" s="365" t="s">
        <v>2689</v>
      </c>
      <c r="AA464" s="350">
        <v>100</v>
      </c>
      <c r="AB464" s="349" t="s">
        <v>2685</v>
      </c>
      <c r="AC464" s="350">
        <v>10</v>
      </c>
      <c r="AD464" s="349" t="s">
        <v>2685</v>
      </c>
      <c r="AE464" s="364">
        <v>0</v>
      </c>
      <c r="AF464" s="366">
        <v>0</v>
      </c>
      <c r="AG464" s="363">
        <v>0</v>
      </c>
      <c r="AH464" s="635" t="s">
        <v>408</v>
      </c>
      <c r="AI464" s="324"/>
      <c r="AL464" s="487" t="s">
        <v>14666</v>
      </c>
      <c r="AM464" s="477" t="s">
        <v>71</v>
      </c>
      <c r="AN464" s="637">
        <v>100</v>
      </c>
      <c r="AO464" s="478">
        <v>-1041</v>
      </c>
      <c r="AP464" s="463">
        <v>-631</v>
      </c>
      <c r="AQ464" s="479">
        <v>-410</v>
      </c>
      <c r="AR464" s="476" t="s">
        <v>16911</v>
      </c>
      <c r="BA464" s="313" t="s">
        <v>3561</v>
      </c>
    </row>
    <row r="465" spans="2:53" ht="16.5" customHeight="1">
      <c r="B465" s="367" t="s">
        <v>9203</v>
      </c>
      <c r="C465" s="351" t="s">
        <v>9204</v>
      </c>
      <c r="D465" s="353">
        <v>-1042</v>
      </c>
      <c r="E465" s="352" t="s">
        <v>9200</v>
      </c>
      <c r="F465" s="341">
        <v>92.12</v>
      </c>
      <c r="G465" s="355" t="s">
        <v>9205</v>
      </c>
      <c r="H465" s="356" t="s">
        <v>8927</v>
      </c>
      <c r="I465" s="354" t="s">
        <v>217</v>
      </c>
      <c r="J465" s="340" t="s">
        <v>9206</v>
      </c>
      <c r="K465" s="339" t="s">
        <v>70</v>
      </c>
      <c r="L465" s="357">
        <v>20</v>
      </c>
      <c r="M465" s="358" t="s">
        <v>9207</v>
      </c>
      <c r="N465" s="359">
        <v>1000</v>
      </c>
      <c r="O465" s="360" t="s">
        <v>530</v>
      </c>
      <c r="P465" s="343" t="s">
        <v>531</v>
      </c>
      <c r="Q465" s="342" t="s">
        <v>2688</v>
      </c>
      <c r="R465" s="344">
        <v>30</v>
      </c>
      <c r="S465" s="345">
        <v>40</v>
      </c>
      <c r="T465" s="362">
        <v>20</v>
      </c>
      <c r="U465" s="361">
        <v>92.12</v>
      </c>
      <c r="V465" s="346">
        <v>127.09639564124056</v>
      </c>
      <c r="W465" s="348">
        <v>125.34639564124056</v>
      </c>
      <c r="X465" s="347">
        <v>63.74</v>
      </c>
      <c r="Y465" s="357">
        <v>64.600000000000009</v>
      </c>
      <c r="Z465" s="365" t="s">
        <v>3017</v>
      </c>
      <c r="AA465" s="350">
        <v>98.5</v>
      </c>
      <c r="AB465" s="349" t="s">
        <v>2685</v>
      </c>
      <c r="AC465" s="350">
        <v>0</v>
      </c>
      <c r="AD465" s="349" t="s">
        <v>2685</v>
      </c>
      <c r="AE465" s="364">
        <v>0</v>
      </c>
      <c r="AF465" s="366">
        <v>0</v>
      </c>
      <c r="AG465" s="363">
        <v>0</v>
      </c>
      <c r="AH465" s="635" t="s">
        <v>408</v>
      </c>
      <c r="AI465" s="324"/>
      <c r="AL465" s="487" t="s">
        <v>14667</v>
      </c>
      <c r="AM465" s="477" t="s">
        <v>70</v>
      </c>
      <c r="AN465" s="637">
        <v>100</v>
      </c>
      <c r="AO465" s="478">
        <v>-1042</v>
      </c>
      <c r="AP465" s="463">
        <v>-1042</v>
      </c>
      <c r="AQ465" s="479">
        <v>0</v>
      </c>
      <c r="AR465" s="476" t="s">
        <v>14668</v>
      </c>
      <c r="BA465" s="313" t="s">
        <v>3562</v>
      </c>
    </row>
    <row r="466" spans="2:53" ht="16.5" customHeight="1">
      <c r="B466" s="367" t="s">
        <v>9203</v>
      </c>
      <c r="C466" s="351" t="s">
        <v>9204</v>
      </c>
      <c r="D466" s="353">
        <v>-1043</v>
      </c>
      <c r="E466" s="352" t="s">
        <v>408</v>
      </c>
      <c r="F466" s="341">
        <v>92.11</v>
      </c>
      <c r="G466" s="355" t="s">
        <v>9610</v>
      </c>
      <c r="H466" s="356" t="s">
        <v>3516</v>
      </c>
      <c r="I466" s="354" t="s">
        <v>233</v>
      </c>
      <c r="J466" s="340" t="s">
        <v>9209</v>
      </c>
      <c r="K466" s="339" t="s">
        <v>71</v>
      </c>
      <c r="L466" s="357">
        <v>7</v>
      </c>
      <c r="M466" s="358" t="s">
        <v>9210</v>
      </c>
      <c r="N466" s="359">
        <v>1000</v>
      </c>
      <c r="O466" s="360" t="s">
        <v>530</v>
      </c>
      <c r="P466" s="343" t="s">
        <v>531</v>
      </c>
      <c r="Q466" s="342" t="s">
        <v>2688</v>
      </c>
      <c r="R466" s="344">
        <v>35</v>
      </c>
      <c r="S466" s="345">
        <v>25</v>
      </c>
      <c r="T466" s="362">
        <v>25</v>
      </c>
      <c r="U466" s="361">
        <v>92.11</v>
      </c>
      <c r="V466" s="346">
        <v>127.08790849673204</v>
      </c>
      <c r="W466" s="348">
        <v>125.33790849673204</v>
      </c>
      <c r="X466" s="347">
        <v>64.069999999999993</v>
      </c>
      <c r="Y466" s="357">
        <v>64.600000000000009</v>
      </c>
      <c r="Z466" s="365" t="s">
        <v>3017</v>
      </c>
      <c r="AA466" s="350">
        <v>149.25</v>
      </c>
      <c r="AB466" s="349" t="s">
        <v>2685</v>
      </c>
      <c r="AC466" s="350">
        <v>0</v>
      </c>
      <c r="AD466" s="349" t="s">
        <v>2685</v>
      </c>
      <c r="AE466" s="364">
        <v>0</v>
      </c>
      <c r="AF466" s="366">
        <v>0</v>
      </c>
      <c r="AG466" s="363">
        <v>0</v>
      </c>
      <c r="AH466" s="635" t="s">
        <v>408</v>
      </c>
      <c r="AI466" s="324"/>
      <c r="AL466" s="487" t="s">
        <v>14669</v>
      </c>
      <c r="AM466" s="477" t="s">
        <v>71</v>
      </c>
      <c r="AN466" s="637">
        <v>100</v>
      </c>
      <c r="AO466" s="478">
        <v>-1043</v>
      </c>
      <c r="AP466" s="463">
        <v>-631</v>
      </c>
      <c r="AQ466" s="479">
        <v>-412</v>
      </c>
      <c r="AR466" s="476" t="s">
        <v>16912</v>
      </c>
      <c r="BA466" s="313" t="s">
        <v>3564</v>
      </c>
    </row>
    <row r="467" spans="2:53" ht="16.5" customHeight="1">
      <c r="B467" s="367" t="s">
        <v>3586</v>
      </c>
      <c r="C467" s="351" t="s">
        <v>3587</v>
      </c>
      <c r="D467" s="353">
        <v>-1044</v>
      </c>
      <c r="E467" s="352" t="s">
        <v>9208</v>
      </c>
      <c r="F467" s="341">
        <v>92.09</v>
      </c>
      <c r="G467" s="355" t="s">
        <v>9211</v>
      </c>
      <c r="H467" s="356" t="s">
        <v>18535</v>
      </c>
      <c r="I467" s="354" t="s">
        <v>82</v>
      </c>
      <c r="J467" s="340" t="s">
        <v>9212</v>
      </c>
      <c r="K467" s="339" t="s">
        <v>70</v>
      </c>
      <c r="L467" s="357">
        <v>16</v>
      </c>
      <c r="M467" s="358" t="s">
        <v>3452</v>
      </c>
      <c r="N467" s="359">
        <v>800</v>
      </c>
      <c r="O467" s="360" t="s">
        <v>530</v>
      </c>
      <c r="P467" s="343" t="s">
        <v>531</v>
      </c>
      <c r="Q467" s="342" t="s">
        <v>2688</v>
      </c>
      <c r="R467" s="344">
        <v>20</v>
      </c>
      <c r="S467" s="345">
        <v>35</v>
      </c>
      <c r="T467" s="362">
        <v>30</v>
      </c>
      <c r="U467" s="361">
        <v>92.09</v>
      </c>
      <c r="V467" s="346">
        <v>127.0762129669386</v>
      </c>
      <c r="W467" s="348">
        <v>125.3262129669386</v>
      </c>
      <c r="X467" s="347">
        <v>63.73</v>
      </c>
      <c r="Y467" s="357">
        <v>64.59</v>
      </c>
      <c r="Z467" s="365" t="s">
        <v>3017</v>
      </c>
      <c r="AA467" s="350">
        <v>117.6</v>
      </c>
      <c r="AB467" s="349" t="s">
        <v>2685</v>
      </c>
      <c r="AC467" s="350">
        <v>0</v>
      </c>
      <c r="AD467" s="349" t="s">
        <v>2685</v>
      </c>
      <c r="AE467" s="364">
        <v>0</v>
      </c>
      <c r="AF467" s="366">
        <v>9.6</v>
      </c>
      <c r="AG467" s="363">
        <v>0</v>
      </c>
      <c r="AH467" s="635" t="s">
        <v>7814</v>
      </c>
      <c r="AI467" s="324"/>
      <c r="AL467" s="487" t="s">
        <v>14670</v>
      </c>
      <c r="AM467" s="477" t="s">
        <v>70</v>
      </c>
      <c r="AN467" s="637">
        <v>100</v>
      </c>
      <c r="AO467" s="478">
        <v>-1044</v>
      </c>
      <c r="AP467" s="463">
        <v>-1044</v>
      </c>
      <c r="AQ467" s="479">
        <v>0</v>
      </c>
      <c r="AR467" s="476" t="s">
        <v>17176</v>
      </c>
      <c r="BA467" s="313" t="s">
        <v>3565</v>
      </c>
    </row>
    <row r="468" spans="2:53" ht="16.5" customHeight="1">
      <c r="B468" s="367" t="s">
        <v>9213</v>
      </c>
      <c r="C468" s="351" t="s">
        <v>9214</v>
      </c>
      <c r="D468" s="353">
        <v>-1045</v>
      </c>
      <c r="E468" s="352" t="s">
        <v>408</v>
      </c>
      <c r="F468" s="341">
        <v>92.05</v>
      </c>
      <c r="G468" s="355" t="s">
        <v>9215</v>
      </c>
      <c r="H468" s="356" t="s">
        <v>9298</v>
      </c>
      <c r="I468" s="354" t="s">
        <v>228</v>
      </c>
      <c r="J468" s="340" t="s">
        <v>551</v>
      </c>
      <c r="K468" s="339" t="s">
        <v>70</v>
      </c>
      <c r="L468" s="357">
        <v>16</v>
      </c>
      <c r="M468" s="358" t="s">
        <v>9216</v>
      </c>
      <c r="N468" s="359">
        <v>1000</v>
      </c>
      <c r="O468" s="360" t="s">
        <v>530</v>
      </c>
      <c r="P468" s="343" t="s">
        <v>531</v>
      </c>
      <c r="Q468" s="342" t="s">
        <v>2688</v>
      </c>
      <c r="R468" s="344">
        <v>30</v>
      </c>
      <c r="S468" s="345">
        <v>35</v>
      </c>
      <c r="T468" s="362">
        <v>35</v>
      </c>
      <c r="U468" s="361">
        <v>92.05</v>
      </c>
      <c r="V468" s="346">
        <v>127.04496731495391</v>
      </c>
      <c r="W468" s="348">
        <v>125.29496731495391</v>
      </c>
      <c r="X468" s="347">
        <v>63.72</v>
      </c>
      <c r="Y468" s="357">
        <v>66.14</v>
      </c>
      <c r="Z468" s="365" t="s">
        <v>2689</v>
      </c>
      <c r="AA468" s="350">
        <v>100</v>
      </c>
      <c r="AB468" s="349" t="s">
        <v>2685</v>
      </c>
      <c r="AC468" s="350">
        <v>10</v>
      </c>
      <c r="AD468" s="349" t="s">
        <v>2685</v>
      </c>
      <c r="AE468" s="364">
        <v>0</v>
      </c>
      <c r="AF468" s="366">
        <v>11.574999999999999</v>
      </c>
      <c r="AG468" s="363">
        <v>0</v>
      </c>
      <c r="AH468" s="635" t="s">
        <v>7787</v>
      </c>
      <c r="AI468" s="324"/>
      <c r="AL468" s="487" t="s">
        <v>14671</v>
      </c>
      <c r="AM468" s="477" t="s">
        <v>70</v>
      </c>
      <c r="AN468" s="637">
        <v>100</v>
      </c>
      <c r="AO468" s="478">
        <v>-1045</v>
      </c>
      <c r="AP468" s="463">
        <v>-1045</v>
      </c>
      <c r="AQ468" s="479">
        <v>0</v>
      </c>
      <c r="AR468" s="476" t="s">
        <v>17177</v>
      </c>
      <c r="BA468" s="313" t="s">
        <v>3566</v>
      </c>
    </row>
    <row r="469" spans="2:53" ht="16.5" customHeight="1">
      <c r="B469" s="367" t="s">
        <v>9217</v>
      </c>
      <c r="C469" s="351" t="s">
        <v>9218</v>
      </c>
      <c r="D469" s="353">
        <v>-1046</v>
      </c>
      <c r="E469" s="352" t="s">
        <v>408</v>
      </c>
      <c r="F469" s="341">
        <v>92.03</v>
      </c>
      <c r="G469" s="355" t="s">
        <v>3774</v>
      </c>
      <c r="H469" s="356" t="s">
        <v>8918</v>
      </c>
      <c r="I469" s="354" t="s">
        <v>228</v>
      </c>
      <c r="J469" s="340" t="s">
        <v>8168</v>
      </c>
      <c r="K469" s="339" t="s">
        <v>70</v>
      </c>
      <c r="L469" s="357">
        <v>69</v>
      </c>
      <c r="M469" s="358" t="s">
        <v>9219</v>
      </c>
      <c r="N469" s="359">
        <v>1000</v>
      </c>
      <c r="O469" s="360" t="s">
        <v>530</v>
      </c>
      <c r="P469" s="343" t="s">
        <v>531</v>
      </c>
      <c r="Q469" s="342" t="s">
        <v>2688</v>
      </c>
      <c r="R469" s="344">
        <v>30</v>
      </c>
      <c r="S469" s="345">
        <v>35</v>
      </c>
      <c r="T469" s="362">
        <v>35</v>
      </c>
      <c r="U469" s="361">
        <v>92.03</v>
      </c>
      <c r="V469" s="346">
        <v>127.02466604409435</v>
      </c>
      <c r="W469" s="348">
        <v>125.27466604409435</v>
      </c>
      <c r="X469" s="347">
        <v>63.71</v>
      </c>
      <c r="Y469" s="357">
        <v>66.14</v>
      </c>
      <c r="Z469" s="365" t="s">
        <v>2689</v>
      </c>
      <c r="AA469" s="350">
        <v>100</v>
      </c>
      <c r="AB469" s="349" t="s">
        <v>2685</v>
      </c>
      <c r="AC469" s="350">
        <v>10</v>
      </c>
      <c r="AD469" s="349" t="s">
        <v>2685</v>
      </c>
      <c r="AE469" s="364">
        <v>0</v>
      </c>
      <c r="AF469" s="366">
        <v>11.574999999999999</v>
      </c>
      <c r="AG469" s="363">
        <v>0</v>
      </c>
      <c r="AH469" s="635" t="s">
        <v>7787</v>
      </c>
      <c r="AI469" s="324"/>
      <c r="AL469" s="487" t="s">
        <v>14673</v>
      </c>
      <c r="AM469" s="477" t="s">
        <v>70</v>
      </c>
      <c r="AN469" s="637">
        <v>100</v>
      </c>
      <c r="AO469" s="478">
        <v>-1046</v>
      </c>
      <c r="AP469" s="463">
        <v>-1046</v>
      </c>
      <c r="AQ469" s="479">
        <v>0</v>
      </c>
      <c r="AR469" s="476" t="s">
        <v>17178</v>
      </c>
      <c r="BA469" s="313" t="s">
        <v>3567</v>
      </c>
    </row>
    <row r="470" spans="2:53" ht="16.5" customHeight="1">
      <c r="B470" s="367" t="s">
        <v>9217</v>
      </c>
      <c r="C470" s="351" t="s">
        <v>9218</v>
      </c>
      <c r="D470" s="353">
        <v>-1047</v>
      </c>
      <c r="E470" s="352" t="s">
        <v>408</v>
      </c>
      <c r="F470" s="341">
        <v>92.02</v>
      </c>
      <c r="G470" s="355" t="s">
        <v>18536</v>
      </c>
      <c r="H470" s="356" t="s">
        <v>18537</v>
      </c>
      <c r="I470" s="354" t="s">
        <v>73</v>
      </c>
      <c r="J470" s="340" t="s">
        <v>9220</v>
      </c>
      <c r="K470" s="339" t="s">
        <v>71</v>
      </c>
      <c r="L470" s="357">
        <v>5</v>
      </c>
      <c r="M470" s="358" t="s">
        <v>9221</v>
      </c>
      <c r="N470" s="359">
        <v>1000</v>
      </c>
      <c r="O470" s="360" t="s">
        <v>530</v>
      </c>
      <c r="P470" s="343" t="s">
        <v>531</v>
      </c>
      <c r="Q470" s="342" t="s">
        <v>2688</v>
      </c>
      <c r="R470" s="344">
        <v>38</v>
      </c>
      <c r="S470" s="345">
        <v>25</v>
      </c>
      <c r="T470" s="362">
        <v>25</v>
      </c>
      <c r="U470" s="361">
        <v>92.02</v>
      </c>
      <c r="V470" s="346">
        <v>127.02042958825874</v>
      </c>
      <c r="W470" s="348">
        <v>125.27042958825874</v>
      </c>
      <c r="X470" s="347">
        <v>64.03</v>
      </c>
      <c r="Y470" s="357">
        <v>64.56</v>
      </c>
      <c r="Z470" s="365" t="s">
        <v>2689</v>
      </c>
      <c r="AA470" s="350">
        <v>125</v>
      </c>
      <c r="AB470" s="349" t="s">
        <v>2685</v>
      </c>
      <c r="AC470" s="350">
        <v>0</v>
      </c>
      <c r="AD470" s="349" t="s">
        <v>2685</v>
      </c>
      <c r="AE470" s="364">
        <v>0</v>
      </c>
      <c r="AF470" s="366">
        <v>4.8419999999999996</v>
      </c>
      <c r="AG470" s="363">
        <v>0</v>
      </c>
      <c r="AH470" s="635" t="s">
        <v>8698</v>
      </c>
      <c r="AI470" s="324"/>
      <c r="AL470" s="487" t="s">
        <v>14674</v>
      </c>
      <c r="AM470" s="477" t="s">
        <v>71</v>
      </c>
      <c r="AN470" s="637">
        <v>100</v>
      </c>
      <c r="AO470" s="478">
        <v>-1047</v>
      </c>
      <c r="AP470" s="463">
        <v>-630</v>
      </c>
      <c r="AQ470" s="479">
        <v>-417</v>
      </c>
      <c r="AR470" s="476" t="s">
        <v>16913</v>
      </c>
      <c r="BA470" s="313" t="s">
        <v>3570</v>
      </c>
    </row>
    <row r="471" spans="2:53" ht="16.5" customHeight="1">
      <c r="B471" s="367" t="s">
        <v>9222</v>
      </c>
      <c r="C471" s="351" t="s">
        <v>9223</v>
      </c>
      <c r="D471" s="353">
        <v>-1048</v>
      </c>
      <c r="E471" s="352" t="s">
        <v>3774</v>
      </c>
      <c r="F471" s="341">
        <v>92.01</v>
      </c>
      <c r="G471" s="355" t="s">
        <v>9224</v>
      </c>
      <c r="H471" s="356" t="s">
        <v>8923</v>
      </c>
      <c r="I471" s="354" t="s">
        <v>83</v>
      </c>
      <c r="J471" s="340" t="s">
        <v>551</v>
      </c>
      <c r="K471" s="339" t="s">
        <v>70</v>
      </c>
      <c r="L471" s="357">
        <v>15</v>
      </c>
      <c r="M471" s="358" t="s">
        <v>9226</v>
      </c>
      <c r="N471" s="359">
        <v>1000</v>
      </c>
      <c r="O471" s="360" t="s">
        <v>532</v>
      </c>
      <c r="P471" s="343" t="s">
        <v>533</v>
      </c>
      <c r="Q471" s="342" t="s">
        <v>2688</v>
      </c>
      <c r="R471" s="344">
        <v>20</v>
      </c>
      <c r="S471" s="345">
        <v>40</v>
      </c>
      <c r="T471" s="362">
        <v>30</v>
      </c>
      <c r="U471" s="361">
        <v>92.01</v>
      </c>
      <c r="V471" s="346">
        <v>127.01096543456372</v>
      </c>
      <c r="W471" s="348">
        <v>125.26096543456372</v>
      </c>
      <c r="X471" s="347">
        <v>63.7</v>
      </c>
      <c r="Y471" s="357">
        <v>64.100000000000009</v>
      </c>
      <c r="Z471" s="365" t="s">
        <v>3017</v>
      </c>
      <c r="AA471" s="350">
        <v>98</v>
      </c>
      <c r="AB471" s="349" t="s">
        <v>2685</v>
      </c>
      <c r="AC471" s="350">
        <v>0</v>
      </c>
      <c r="AD471" s="349" t="s">
        <v>2685</v>
      </c>
      <c r="AE471" s="364">
        <v>0</v>
      </c>
      <c r="AF471" s="366">
        <v>19.193999999999999</v>
      </c>
      <c r="AG471" s="363">
        <v>0</v>
      </c>
      <c r="AH471" s="635" t="s">
        <v>7791</v>
      </c>
      <c r="AI471" s="324"/>
      <c r="AL471" s="487" t="s">
        <v>14675</v>
      </c>
      <c r="AM471" s="477" t="s">
        <v>70</v>
      </c>
      <c r="AN471" s="637">
        <v>100</v>
      </c>
      <c r="AO471" s="478">
        <v>-1048</v>
      </c>
      <c r="AP471" s="463">
        <v>-1048</v>
      </c>
      <c r="AQ471" s="479">
        <v>0</v>
      </c>
      <c r="AR471" s="476" t="s">
        <v>17179</v>
      </c>
      <c r="BA471" s="313" t="s">
        <v>3571</v>
      </c>
    </row>
    <row r="472" spans="2:53" ht="16.5" customHeight="1">
      <c r="B472" s="367" t="s">
        <v>9222</v>
      </c>
      <c r="C472" s="351" t="s">
        <v>9223</v>
      </c>
      <c r="D472" s="353">
        <v>-1049</v>
      </c>
      <c r="E472" s="352" t="s">
        <v>408</v>
      </c>
      <c r="F472" s="341">
        <v>92.01</v>
      </c>
      <c r="G472" s="355" t="s">
        <v>18538</v>
      </c>
      <c r="H472" s="356" t="s">
        <v>3524</v>
      </c>
      <c r="I472" s="354" t="s">
        <v>82</v>
      </c>
      <c r="J472" s="340" t="s">
        <v>9228</v>
      </c>
      <c r="K472" s="339" t="s">
        <v>71</v>
      </c>
      <c r="L472" s="357">
        <v>17</v>
      </c>
      <c r="M472" s="358" t="s">
        <v>9229</v>
      </c>
      <c r="N472" s="359">
        <v>800</v>
      </c>
      <c r="O472" s="360" t="s">
        <v>530</v>
      </c>
      <c r="P472" s="343" t="s">
        <v>531</v>
      </c>
      <c r="Q472" s="342" t="s">
        <v>2688</v>
      </c>
      <c r="R472" s="344">
        <v>35</v>
      </c>
      <c r="S472" s="345">
        <v>20</v>
      </c>
      <c r="T472" s="362">
        <v>30</v>
      </c>
      <c r="U472" s="361">
        <v>92.01</v>
      </c>
      <c r="V472" s="346">
        <v>127.00644053241733</v>
      </c>
      <c r="W472" s="348">
        <v>125.25644053241733</v>
      </c>
      <c r="X472" s="347">
        <v>64.03</v>
      </c>
      <c r="Y472" s="357">
        <v>64.550000000000011</v>
      </c>
      <c r="Z472" s="365" t="s">
        <v>3017</v>
      </c>
      <c r="AA472" s="350">
        <v>117.6</v>
      </c>
      <c r="AB472" s="349" t="s">
        <v>2685</v>
      </c>
      <c r="AC472" s="350">
        <v>0</v>
      </c>
      <c r="AD472" s="349" t="s">
        <v>2685</v>
      </c>
      <c r="AE472" s="364">
        <v>0</v>
      </c>
      <c r="AF472" s="366">
        <v>9.6</v>
      </c>
      <c r="AG472" s="363">
        <v>0</v>
      </c>
      <c r="AH472" s="635" t="s">
        <v>7879</v>
      </c>
      <c r="AI472" s="324"/>
      <c r="AL472" s="487" t="s">
        <v>14676</v>
      </c>
      <c r="AM472" s="477" t="s">
        <v>71</v>
      </c>
      <c r="AN472" s="637">
        <v>100</v>
      </c>
      <c r="AO472" s="478">
        <v>-1049</v>
      </c>
      <c r="AP472" s="463">
        <v>-632</v>
      </c>
      <c r="AQ472" s="479">
        <v>-417</v>
      </c>
      <c r="AR472" s="476" t="s">
        <v>17180</v>
      </c>
      <c r="BA472" s="313" t="s">
        <v>3572</v>
      </c>
    </row>
    <row r="473" spans="2:53" ht="16.5" customHeight="1">
      <c r="B473" s="367" t="s">
        <v>9230</v>
      </c>
      <c r="C473" s="351" t="s">
        <v>9231</v>
      </c>
      <c r="D473" s="353">
        <v>-1050</v>
      </c>
      <c r="E473" s="352" t="s">
        <v>9227</v>
      </c>
      <c r="F473" s="341">
        <v>92.01</v>
      </c>
      <c r="G473" s="355" t="s">
        <v>18539</v>
      </c>
      <c r="H473" s="356" t="s">
        <v>8937</v>
      </c>
      <c r="I473" s="354" t="s">
        <v>82</v>
      </c>
      <c r="J473" s="340" t="s">
        <v>8863</v>
      </c>
      <c r="K473" s="339" t="s">
        <v>71</v>
      </c>
      <c r="L473" s="357">
        <v>12</v>
      </c>
      <c r="M473" s="358" t="s">
        <v>9233</v>
      </c>
      <c r="N473" s="359">
        <v>800</v>
      </c>
      <c r="O473" s="360" t="s">
        <v>530</v>
      </c>
      <c r="P473" s="343" t="s">
        <v>531</v>
      </c>
      <c r="Q473" s="342" t="s">
        <v>2688</v>
      </c>
      <c r="R473" s="344">
        <v>35</v>
      </c>
      <c r="S473" s="345">
        <v>20</v>
      </c>
      <c r="T473" s="362">
        <v>30</v>
      </c>
      <c r="U473" s="361">
        <v>92.01</v>
      </c>
      <c r="V473" s="346">
        <v>127.01180764276512</v>
      </c>
      <c r="W473" s="348">
        <v>125.26180764276512</v>
      </c>
      <c r="X473" s="347">
        <v>64.03</v>
      </c>
      <c r="Y473" s="357">
        <v>64.550000000000011</v>
      </c>
      <c r="Z473" s="365" t="s">
        <v>3017</v>
      </c>
      <c r="AA473" s="350">
        <v>117.6</v>
      </c>
      <c r="AB473" s="349" t="s">
        <v>2685</v>
      </c>
      <c r="AC473" s="350">
        <v>0</v>
      </c>
      <c r="AD473" s="349" t="s">
        <v>2685</v>
      </c>
      <c r="AE473" s="364">
        <v>0</v>
      </c>
      <c r="AF473" s="366">
        <v>9.6</v>
      </c>
      <c r="AG473" s="363">
        <v>0</v>
      </c>
      <c r="AH473" s="635" t="s">
        <v>7879</v>
      </c>
      <c r="AI473" s="324"/>
      <c r="AL473" s="487" t="s">
        <v>14678</v>
      </c>
      <c r="AM473" s="477" t="s">
        <v>71</v>
      </c>
      <c r="AN473" s="637">
        <v>100</v>
      </c>
      <c r="AO473" s="478">
        <v>-1050</v>
      </c>
      <c r="AP473" s="463">
        <v>-632</v>
      </c>
      <c r="AQ473" s="479">
        <v>-418</v>
      </c>
      <c r="AR473" s="476" t="s">
        <v>17181</v>
      </c>
      <c r="BA473" s="313" t="s">
        <v>3575</v>
      </c>
    </row>
    <row r="474" spans="2:53" ht="16.5" customHeight="1">
      <c r="B474" s="367" t="s">
        <v>9222</v>
      </c>
      <c r="C474" s="351" t="s">
        <v>9223</v>
      </c>
      <c r="D474" s="353">
        <v>-1051</v>
      </c>
      <c r="E474" s="352" t="s">
        <v>9232</v>
      </c>
      <c r="F474" s="341">
        <v>92.01</v>
      </c>
      <c r="G474" s="355" t="s">
        <v>3780</v>
      </c>
      <c r="H474" s="356" t="s">
        <v>18540</v>
      </c>
      <c r="I474" s="354" t="s">
        <v>228</v>
      </c>
      <c r="J474" s="340" t="s">
        <v>8538</v>
      </c>
      <c r="K474" s="339" t="s">
        <v>70</v>
      </c>
      <c r="L474" s="357">
        <v>20</v>
      </c>
      <c r="M474" s="358" t="s">
        <v>9234</v>
      </c>
      <c r="N474" s="359">
        <v>1000</v>
      </c>
      <c r="O474" s="360" t="s">
        <v>530</v>
      </c>
      <c r="P474" s="343" t="s">
        <v>531</v>
      </c>
      <c r="Q474" s="342" t="s">
        <v>2688</v>
      </c>
      <c r="R474" s="344">
        <v>30</v>
      </c>
      <c r="S474" s="345">
        <v>35</v>
      </c>
      <c r="T474" s="362">
        <v>35</v>
      </c>
      <c r="U474" s="361">
        <v>92.01</v>
      </c>
      <c r="V474" s="346">
        <v>127.00436477323481</v>
      </c>
      <c r="W474" s="348">
        <v>125.25436477323481</v>
      </c>
      <c r="X474" s="347">
        <v>63.7</v>
      </c>
      <c r="Y474" s="357">
        <v>66.13000000000001</v>
      </c>
      <c r="Z474" s="365" t="s">
        <v>2689</v>
      </c>
      <c r="AA474" s="350">
        <v>100</v>
      </c>
      <c r="AB474" s="349" t="s">
        <v>2685</v>
      </c>
      <c r="AC474" s="350">
        <v>10</v>
      </c>
      <c r="AD474" s="349" t="s">
        <v>2685</v>
      </c>
      <c r="AE474" s="364">
        <v>0</v>
      </c>
      <c r="AF474" s="366">
        <v>11.573</v>
      </c>
      <c r="AG474" s="363">
        <v>0</v>
      </c>
      <c r="AH474" s="635" t="s">
        <v>7787</v>
      </c>
      <c r="AI474" s="324"/>
      <c r="AL474" s="487" t="s">
        <v>14679</v>
      </c>
      <c r="AM474" s="477" t="s">
        <v>70</v>
      </c>
      <c r="AN474" s="637">
        <v>100</v>
      </c>
      <c r="AO474" s="478">
        <v>-1051</v>
      </c>
      <c r="AP474" s="463">
        <v>-1051</v>
      </c>
      <c r="AQ474" s="479">
        <v>0</v>
      </c>
      <c r="AR474" s="476" t="s">
        <v>14680</v>
      </c>
      <c r="BA474" s="313" t="s">
        <v>3577</v>
      </c>
    </row>
    <row r="475" spans="2:53" ht="16.5" customHeight="1">
      <c r="B475" s="367" t="s">
        <v>3592</v>
      </c>
      <c r="C475" s="351" t="s">
        <v>3593</v>
      </c>
      <c r="D475" s="353">
        <v>-1052</v>
      </c>
      <c r="E475" s="352" t="s">
        <v>408</v>
      </c>
      <c r="F475" s="341">
        <v>92</v>
      </c>
      <c r="G475" s="355" t="s">
        <v>18541</v>
      </c>
      <c r="H475" s="356" t="s">
        <v>3542</v>
      </c>
      <c r="I475" s="354" t="s">
        <v>217</v>
      </c>
      <c r="J475" s="340" t="s">
        <v>9141</v>
      </c>
      <c r="K475" s="339" t="s">
        <v>71</v>
      </c>
      <c r="L475" s="357">
        <v>5</v>
      </c>
      <c r="M475" s="358" t="s">
        <v>9237</v>
      </c>
      <c r="N475" s="359">
        <v>1000</v>
      </c>
      <c r="O475" s="360" t="s">
        <v>530</v>
      </c>
      <c r="P475" s="343" t="s">
        <v>531</v>
      </c>
      <c r="Q475" s="342" t="s">
        <v>2688</v>
      </c>
      <c r="R475" s="344">
        <v>40</v>
      </c>
      <c r="S475" s="345">
        <v>30</v>
      </c>
      <c r="T475" s="362">
        <v>20</v>
      </c>
      <c r="U475" s="361">
        <v>92</v>
      </c>
      <c r="V475" s="346">
        <v>127.00314333612744</v>
      </c>
      <c r="W475" s="348">
        <v>125.25314333612744</v>
      </c>
      <c r="X475" s="347">
        <v>64.03</v>
      </c>
      <c r="Y475" s="357">
        <v>64.53</v>
      </c>
      <c r="Z475" s="365" t="s">
        <v>3017</v>
      </c>
      <c r="AA475" s="350">
        <v>98.5</v>
      </c>
      <c r="AB475" s="349" t="s">
        <v>2685</v>
      </c>
      <c r="AC475" s="350">
        <v>0</v>
      </c>
      <c r="AD475" s="349" t="s">
        <v>2685</v>
      </c>
      <c r="AE475" s="364">
        <v>0</v>
      </c>
      <c r="AF475" s="366">
        <v>0</v>
      </c>
      <c r="AG475" s="363">
        <v>0</v>
      </c>
      <c r="AH475" s="635" t="s">
        <v>408</v>
      </c>
      <c r="AI475" s="324"/>
      <c r="AL475" s="487" t="s">
        <v>14681</v>
      </c>
      <c r="AM475" s="477" t="s">
        <v>71</v>
      </c>
      <c r="AN475" s="637">
        <v>100</v>
      </c>
      <c r="AO475" s="478">
        <v>-1052</v>
      </c>
      <c r="AP475" s="463">
        <v>-633</v>
      </c>
      <c r="AQ475" s="479">
        <v>-419</v>
      </c>
      <c r="AR475" s="476" t="s">
        <v>14698</v>
      </c>
      <c r="BA475" s="313" t="s">
        <v>3581</v>
      </c>
    </row>
    <row r="476" spans="2:53" ht="16.5" customHeight="1">
      <c r="B476" s="367" t="s">
        <v>9238</v>
      </c>
      <c r="C476" s="351" t="s">
        <v>9239</v>
      </c>
      <c r="D476" s="353">
        <v>-1053</v>
      </c>
      <c r="E476" s="352" t="s">
        <v>9235</v>
      </c>
      <c r="F476" s="341">
        <v>91.99</v>
      </c>
      <c r="G476" s="355" t="s">
        <v>9152</v>
      </c>
      <c r="H476" s="356" t="s">
        <v>3530</v>
      </c>
      <c r="I476" s="354" t="s">
        <v>82</v>
      </c>
      <c r="J476" s="340" t="s">
        <v>9241</v>
      </c>
      <c r="K476" s="339" t="s">
        <v>71</v>
      </c>
      <c r="L476" s="357">
        <v>16</v>
      </c>
      <c r="M476" s="358" t="s">
        <v>9242</v>
      </c>
      <c r="N476" s="359">
        <v>800</v>
      </c>
      <c r="O476" s="360" t="s">
        <v>530</v>
      </c>
      <c r="P476" s="343" t="s">
        <v>531</v>
      </c>
      <c r="Q476" s="342" t="s">
        <v>2688</v>
      </c>
      <c r="R476" s="344">
        <v>35</v>
      </c>
      <c r="S476" s="345">
        <v>20</v>
      </c>
      <c r="T476" s="362">
        <v>30</v>
      </c>
      <c r="U476" s="361">
        <v>91.99</v>
      </c>
      <c r="V476" s="346">
        <v>126.98938011327876</v>
      </c>
      <c r="W476" s="348">
        <v>125.23849512271866</v>
      </c>
      <c r="X476" s="347">
        <v>64.02</v>
      </c>
      <c r="Y476" s="357">
        <v>64.540000000000006</v>
      </c>
      <c r="Z476" s="365" t="s">
        <v>3017</v>
      </c>
      <c r="AA476" s="350">
        <v>117.6</v>
      </c>
      <c r="AB476" s="349" t="s">
        <v>2685</v>
      </c>
      <c r="AC476" s="350">
        <v>0</v>
      </c>
      <c r="AD476" s="349" t="s">
        <v>2685</v>
      </c>
      <c r="AE476" s="364">
        <v>0</v>
      </c>
      <c r="AF476" s="366">
        <v>9.6</v>
      </c>
      <c r="AG476" s="363">
        <v>0</v>
      </c>
      <c r="AH476" s="635" t="s">
        <v>7879</v>
      </c>
      <c r="AI476" s="324"/>
      <c r="AL476" s="487" t="s">
        <v>14682</v>
      </c>
      <c r="AM476" s="477" t="s">
        <v>71</v>
      </c>
      <c r="AN476" s="637">
        <v>100</v>
      </c>
      <c r="AO476" s="478">
        <v>-1053</v>
      </c>
      <c r="AP476" s="463">
        <v>-633</v>
      </c>
      <c r="AQ476" s="479">
        <v>-420</v>
      </c>
      <c r="AR476" s="476" t="s">
        <v>14701</v>
      </c>
      <c r="BA476" s="313" t="s">
        <v>3583</v>
      </c>
    </row>
    <row r="477" spans="2:53" ht="16.5" customHeight="1">
      <c r="B477" s="367" t="s">
        <v>9243</v>
      </c>
      <c r="C477" s="351" t="s">
        <v>9244</v>
      </c>
      <c r="D477" s="353">
        <v>-1054</v>
      </c>
      <c r="E477" s="352" t="s">
        <v>9240</v>
      </c>
      <c r="F477" s="341">
        <v>91.96</v>
      </c>
      <c r="G477" s="355" t="s">
        <v>3784</v>
      </c>
      <c r="H477" s="356" t="s">
        <v>8937</v>
      </c>
      <c r="I477" s="354" t="s">
        <v>224</v>
      </c>
      <c r="J477" s="340" t="s">
        <v>9245</v>
      </c>
      <c r="K477" s="339" t="s">
        <v>70</v>
      </c>
      <c r="L477" s="357">
        <v>15</v>
      </c>
      <c r="M477" s="358" t="s">
        <v>9246</v>
      </c>
      <c r="N477" s="359">
        <v>1000</v>
      </c>
      <c r="O477" s="360" t="s">
        <v>532</v>
      </c>
      <c r="P477" s="343" t="s">
        <v>533</v>
      </c>
      <c r="Q477" s="342" t="s">
        <v>2688</v>
      </c>
      <c r="R477" s="344">
        <v>25</v>
      </c>
      <c r="S477" s="345">
        <v>30</v>
      </c>
      <c r="T477" s="362">
        <v>25</v>
      </c>
      <c r="U477" s="361">
        <v>91.96</v>
      </c>
      <c r="V477" s="346">
        <v>126.96666137943193</v>
      </c>
      <c r="W477" s="348">
        <v>125.21388316105126</v>
      </c>
      <c r="X477" s="347">
        <v>63.68</v>
      </c>
      <c r="Y477" s="357">
        <v>64.7</v>
      </c>
      <c r="Z477" s="365" t="s">
        <v>3017</v>
      </c>
      <c r="AA477" s="350">
        <v>196</v>
      </c>
      <c r="AB477" s="349" t="s">
        <v>2685</v>
      </c>
      <c r="AC477" s="350">
        <v>10</v>
      </c>
      <c r="AD477" s="349" t="s">
        <v>2685</v>
      </c>
      <c r="AE477" s="364">
        <v>0</v>
      </c>
      <c r="AF477" s="366">
        <v>13.839</v>
      </c>
      <c r="AG477" s="363">
        <v>0</v>
      </c>
      <c r="AH477" s="635" t="s">
        <v>7854</v>
      </c>
      <c r="AI477" s="324"/>
      <c r="AL477" s="487" t="s">
        <v>14683</v>
      </c>
      <c r="AM477" s="477" t="s">
        <v>70</v>
      </c>
      <c r="AN477" s="637">
        <v>100</v>
      </c>
      <c r="AO477" s="478">
        <v>-1054</v>
      </c>
      <c r="AP477" s="463">
        <v>-1054</v>
      </c>
      <c r="AQ477" s="479">
        <v>0</v>
      </c>
      <c r="AR477" s="476" t="s">
        <v>14684</v>
      </c>
      <c r="BA477" s="313" t="s">
        <v>3585</v>
      </c>
    </row>
    <row r="478" spans="2:53" ht="16.5" customHeight="1">
      <c r="B478" s="367" t="s">
        <v>3597</v>
      </c>
      <c r="C478" s="351" t="s">
        <v>3598</v>
      </c>
      <c r="D478" s="353">
        <v>-1055</v>
      </c>
      <c r="E478" s="352" t="s">
        <v>408</v>
      </c>
      <c r="F478" s="341">
        <v>91.94</v>
      </c>
      <c r="G478" s="355" t="s">
        <v>9247</v>
      </c>
      <c r="H478" s="356" t="s">
        <v>3537</v>
      </c>
      <c r="I478" s="354" t="s">
        <v>82</v>
      </c>
      <c r="J478" s="340" t="s">
        <v>9248</v>
      </c>
      <c r="K478" s="339" t="s">
        <v>70</v>
      </c>
      <c r="L478" s="357">
        <v>30</v>
      </c>
      <c r="M478" s="358" t="s">
        <v>9249</v>
      </c>
      <c r="N478" s="359">
        <v>800</v>
      </c>
      <c r="O478" s="360" t="s">
        <v>530</v>
      </c>
      <c r="P478" s="343" t="s">
        <v>531</v>
      </c>
      <c r="Q478" s="342" t="s">
        <v>2688</v>
      </c>
      <c r="R478" s="344">
        <v>20</v>
      </c>
      <c r="S478" s="345">
        <v>35</v>
      </c>
      <c r="T478" s="362">
        <v>30</v>
      </c>
      <c r="U478" s="361">
        <v>91.94</v>
      </c>
      <c r="V478" s="346">
        <v>126.95755649443774</v>
      </c>
      <c r="W478" s="348">
        <v>125.20401953564088</v>
      </c>
      <c r="X478" s="347">
        <v>63.67</v>
      </c>
      <c r="Y478" s="357">
        <v>64.52000000000001</v>
      </c>
      <c r="Z478" s="365" t="s">
        <v>3017</v>
      </c>
      <c r="AA478" s="350">
        <v>117.6</v>
      </c>
      <c r="AB478" s="349" t="s">
        <v>2685</v>
      </c>
      <c r="AC478" s="350">
        <v>0</v>
      </c>
      <c r="AD478" s="349" t="s">
        <v>2685</v>
      </c>
      <c r="AE478" s="364">
        <v>0</v>
      </c>
      <c r="AF478" s="366">
        <v>9.6</v>
      </c>
      <c r="AG478" s="363">
        <v>0</v>
      </c>
      <c r="AH478" s="635" t="s">
        <v>7814</v>
      </c>
      <c r="AI478" s="324"/>
      <c r="AL478" s="487" t="s">
        <v>14685</v>
      </c>
      <c r="AM478" s="477" t="s">
        <v>70</v>
      </c>
      <c r="AN478" s="637">
        <v>100</v>
      </c>
      <c r="AO478" s="478">
        <v>-1055</v>
      </c>
      <c r="AP478" s="463">
        <v>-1055</v>
      </c>
      <c r="AQ478" s="479">
        <v>0</v>
      </c>
      <c r="AR478" s="476" t="s">
        <v>17182</v>
      </c>
      <c r="BA478" s="313" t="s">
        <v>3589</v>
      </c>
    </row>
    <row r="479" spans="2:53" ht="16.5" customHeight="1">
      <c r="B479" s="367" t="s">
        <v>3597</v>
      </c>
      <c r="C479" s="351" t="s">
        <v>3598</v>
      </c>
      <c r="D479" s="353">
        <v>-1056</v>
      </c>
      <c r="E479" s="352" t="s">
        <v>408</v>
      </c>
      <c r="F479" s="341">
        <v>91.93</v>
      </c>
      <c r="G479" s="355" t="s">
        <v>9250</v>
      </c>
      <c r="H479" s="356" t="s">
        <v>3537</v>
      </c>
      <c r="I479" s="354" t="s">
        <v>82</v>
      </c>
      <c r="J479" s="340" t="s">
        <v>9252</v>
      </c>
      <c r="K479" s="339" t="s">
        <v>70</v>
      </c>
      <c r="L479" s="357">
        <v>19</v>
      </c>
      <c r="M479" s="358" t="s">
        <v>9253</v>
      </c>
      <c r="N479" s="359">
        <v>800</v>
      </c>
      <c r="O479" s="360" t="s">
        <v>530</v>
      </c>
      <c r="P479" s="343" t="s">
        <v>531</v>
      </c>
      <c r="Q479" s="342" t="s">
        <v>2688</v>
      </c>
      <c r="R479" s="344">
        <v>20</v>
      </c>
      <c r="S479" s="345">
        <v>35</v>
      </c>
      <c r="T479" s="362">
        <v>30</v>
      </c>
      <c r="U479" s="361">
        <v>91.93</v>
      </c>
      <c r="V479" s="346">
        <v>126.94883522617152</v>
      </c>
      <c r="W479" s="348">
        <v>125.19457149501916</v>
      </c>
      <c r="X479" s="347">
        <v>63.67</v>
      </c>
      <c r="Y479" s="357">
        <v>64.52000000000001</v>
      </c>
      <c r="Z479" s="365" t="s">
        <v>3017</v>
      </c>
      <c r="AA479" s="350">
        <v>117.6</v>
      </c>
      <c r="AB479" s="349" t="s">
        <v>2685</v>
      </c>
      <c r="AC479" s="350">
        <v>0</v>
      </c>
      <c r="AD479" s="349" t="s">
        <v>2685</v>
      </c>
      <c r="AE479" s="364">
        <v>0</v>
      </c>
      <c r="AF479" s="366">
        <v>9.6</v>
      </c>
      <c r="AG479" s="363">
        <v>0</v>
      </c>
      <c r="AH479" s="635" t="s">
        <v>7814</v>
      </c>
      <c r="AI479" s="324"/>
      <c r="AL479" s="487" t="s">
        <v>14686</v>
      </c>
      <c r="AM479" s="477" t="s">
        <v>70</v>
      </c>
      <c r="AN479" s="637">
        <v>100</v>
      </c>
      <c r="AO479" s="478">
        <v>-1056</v>
      </c>
      <c r="AP479" s="463">
        <v>-1056</v>
      </c>
      <c r="AQ479" s="479">
        <v>0</v>
      </c>
      <c r="AR479" s="476" t="s">
        <v>17183</v>
      </c>
      <c r="BA479" s="313" t="s">
        <v>3591</v>
      </c>
    </row>
    <row r="480" spans="2:53" ht="16.5" customHeight="1">
      <c r="B480" s="367" t="s">
        <v>9254</v>
      </c>
      <c r="C480" s="351" t="s">
        <v>9255</v>
      </c>
      <c r="D480" s="353">
        <v>-1057</v>
      </c>
      <c r="E480" s="352" t="s">
        <v>408</v>
      </c>
      <c r="F480" s="341">
        <v>91.87</v>
      </c>
      <c r="G480" s="355" t="s">
        <v>9256</v>
      </c>
      <c r="H480" s="356" t="s">
        <v>18542</v>
      </c>
      <c r="I480" s="354" t="s">
        <v>83</v>
      </c>
      <c r="J480" s="340" t="s">
        <v>9257</v>
      </c>
      <c r="K480" s="339" t="s">
        <v>70</v>
      </c>
      <c r="L480" s="357">
        <v>8</v>
      </c>
      <c r="M480" s="358" t="s">
        <v>9258</v>
      </c>
      <c r="N480" s="359">
        <v>1000</v>
      </c>
      <c r="O480" s="360" t="s">
        <v>532</v>
      </c>
      <c r="P480" s="343" t="s">
        <v>533</v>
      </c>
      <c r="Q480" s="342" t="s">
        <v>2688</v>
      </c>
      <c r="R480" s="344">
        <v>20</v>
      </c>
      <c r="S480" s="345">
        <v>35</v>
      </c>
      <c r="T480" s="362">
        <v>35</v>
      </c>
      <c r="U480" s="361">
        <v>91.87</v>
      </c>
      <c r="V480" s="346">
        <v>126.89655478907451</v>
      </c>
      <c r="W480" s="348">
        <v>125.13793435483073</v>
      </c>
      <c r="X480" s="347">
        <v>63.65</v>
      </c>
      <c r="Y480" s="357">
        <v>64.050000000000011</v>
      </c>
      <c r="Z480" s="365" t="s">
        <v>3017</v>
      </c>
      <c r="AA480" s="350">
        <v>98</v>
      </c>
      <c r="AB480" s="349" t="s">
        <v>2685</v>
      </c>
      <c r="AC480" s="350">
        <v>0</v>
      </c>
      <c r="AD480" s="349" t="s">
        <v>2685</v>
      </c>
      <c r="AE480" s="364">
        <v>0</v>
      </c>
      <c r="AF480" s="366">
        <v>22.376000000000001</v>
      </c>
      <c r="AG480" s="363">
        <v>0</v>
      </c>
      <c r="AH480" s="635" t="s">
        <v>7791</v>
      </c>
      <c r="AI480" s="324"/>
      <c r="AL480" s="487" t="s">
        <v>14687</v>
      </c>
      <c r="AM480" s="477" t="s">
        <v>70</v>
      </c>
      <c r="AN480" s="637">
        <v>100</v>
      </c>
      <c r="AO480" s="478">
        <v>-1057</v>
      </c>
      <c r="AP480" s="463">
        <v>-1057</v>
      </c>
      <c r="AQ480" s="479">
        <v>0</v>
      </c>
      <c r="AR480" s="476" t="s">
        <v>14688</v>
      </c>
      <c r="BA480" s="313" t="s">
        <v>3594</v>
      </c>
    </row>
    <row r="481" spans="2:53" ht="16.5" customHeight="1">
      <c r="B481" s="367" t="s">
        <v>3603</v>
      </c>
      <c r="C481" s="351" t="s">
        <v>3604</v>
      </c>
      <c r="D481" s="353">
        <v>-1058</v>
      </c>
      <c r="E481" s="352" t="s">
        <v>408</v>
      </c>
      <c r="F481" s="341">
        <v>91.86</v>
      </c>
      <c r="G481" s="355" t="s">
        <v>9259</v>
      </c>
      <c r="H481" s="356" t="s">
        <v>9260</v>
      </c>
      <c r="I481" s="354" t="s">
        <v>217</v>
      </c>
      <c r="J481" s="340" t="s">
        <v>9261</v>
      </c>
      <c r="K481" s="339" t="s">
        <v>70</v>
      </c>
      <c r="L481" s="357">
        <v>13</v>
      </c>
      <c r="M481" s="358" t="s">
        <v>9262</v>
      </c>
      <c r="N481" s="359">
        <v>1000</v>
      </c>
      <c r="O481" s="360" t="s">
        <v>530</v>
      </c>
      <c r="P481" s="343" t="s">
        <v>531</v>
      </c>
      <c r="Q481" s="342" t="s">
        <v>2688</v>
      </c>
      <c r="R481" s="344">
        <v>30</v>
      </c>
      <c r="S481" s="345">
        <v>40</v>
      </c>
      <c r="T481" s="362">
        <v>20</v>
      </c>
      <c r="U481" s="361">
        <v>91.86</v>
      </c>
      <c r="V481" s="346">
        <v>126.88919466975665</v>
      </c>
      <c r="W481" s="348">
        <v>125.12996089223637</v>
      </c>
      <c r="X481" s="347">
        <v>63.64</v>
      </c>
      <c r="Y481" s="357">
        <v>64.48</v>
      </c>
      <c r="Z481" s="365" t="s">
        <v>3017</v>
      </c>
      <c r="AA481" s="350">
        <v>98.5</v>
      </c>
      <c r="AB481" s="349" t="s">
        <v>2685</v>
      </c>
      <c r="AC481" s="350">
        <v>0</v>
      </c>
      <c r="AD481" s="349" t="s">
        <v>2685</v>
      </c>
      <c r="AE481" s="364">
        <v>0</v>
      </c>
      <c r="AF481" s="366">
        <v>0</v>
      </c>
      <c r="AG481" s="363">
        <v>0</v>
      </c>
      <c r="AH481" s="635" t="s">
        <v>408</v>
      </c>
      <c r="AI481" s="324"/>
      <c r="AL481" s="487" t="s">
        <v>14689</v>
      </c>
      <c r="AM481" s="477" t="s">
        <v>70</v>
      </c>
      <c r="AN481" s="637">
        <v>100</v>
      </c>
      <c r="AO481" s="478">
        <v>-1058</v>
      </c>
      <c r="AP481" s="463">
        <v>-1058</v>
      </c>
      <c r="AQ481" s="479">
        <v>0</v>
      </c>
      <c r="AR481" s="476" t="s">
        <v>17184</v>
      </c>
      <c r="BA481" s="313" t="s">
        <v>3596</v>
      </c>
    </row>
    <row r="482" spans="2:53" ht="16.5" customHeight="1">
      <c r="B482" s="367" t="s">
        <v>9254</v>
      </c>
      <c r="C482" s="351" t="s">
        <v>9255</v>
      </c>
      <c r="D482" s="353">
        <v>-1059</v>
      </c>
      <c r="E482" s="352" t="s">
        <v>408</v>
      </c>
      <c r="F482" s="341">
        <v>91.86</v>
      </c>
      <c r="G482" s="355" t="s">
        <v>3765</v>
      </c>
      <c r="H482" s="356" t="s">
        <v>18508</v>
      </c>
      <c r="I482" s="354" t="s">
        <v>228</v>
      </c>
      <c r="J482" s="340" t="s">
        <v>8618</v>
      </c>
      <c r="K482" s="339" t="s">
        <v>71</v>
      </c>
      <c r="L482" s="357">
        <v>16</v>
      </c>
      <c r="M482" s="358" t="s">
        <v>9263</v>
      </c>
      <c r="N482" s="359">
        <v>1000</v>
      </c>
      <c r="O482" s="360" t="s">
        <v>530</v>
      </c>
      <c r="P482" s="343" t="s">
        <v>531</v>
      </c>
      <c r="Q482" s="342" t="s">
        <v>2688</v>
      </c>
      <c r="R482" s="344">
        <v>35</v>
      </c>
      <c r="S482" s="345">
        <v>30</v>
      </c>
      <c r="T482" s="362">
        <v>35</v>
      </c>
      <c r="U482" s="361">
        <v>91.86</v>
      </c>
      <c r="V482" s="346">
        <v>126.89050862562861</v>
      </c>
      <c r="W482" s="348">
        <v>125.131384344431</v>
      </c>
      <c r="X482" s="347">
        <v>63.96</v>
      </c>
      <c r="Y482" s="357">
        <v>66.09</v>
      </c>
      <c r="Z482" s="365" t="s">
        <v>2689</v>
      </c>
      <c r="AA482" s="350">
        <v>100</v>
      </c>
      <c r="AB482" s="349" t="s">
        <v>2685</v>
      </c>
      <c r="AC482" s="350">
        <v>10</v>
      </c>
      <c r="AD482" s="349" t="s">
        <v>2685</v>
      </c>
      <c r="AE482" s="364">
        <v>0</v>
      </c>
      <c r="AF482" s="366">
        <v>11.566000000000001</v>
      </c>
      <c r="AG482" s="363">
        <v>0</v>
      </c>
      <c r="AH482" s="635" t="s">
        <v>5862</v>
      </c>
      <c r="AI482" s="324"/>
      <c r="AL482" s="487" t="s">
        <v>14690</v>
      </c>
      <c r="AM482" s="477" t="s">
        <v>71</v>
      </c>
      <c r="AN482" s="637">
        <v>100</v>
      </c>
      <c r="AO482" s="478">
        <v>-1059</v>
      </c>
      <c r="AP482" s="463">
        <v>-655</v>
      </c>
      <c r="AQ482" s="479">
        <v>-404</v>
      </c>
      <c r="AR482" s="476" t="s">
        <v>16914</v>
      </c>
      <c r="BA482" s="313" t="s">
        <v>3600</v>
      </c>
    </row>
    <row r="483" spans="2:53" ht="16.5" customHeight="1">
      <c r="B483" s="367" t="s">
        <v>3609</v>
      </c>
      <c r="C483" s="351" t="s">
        <v>3610</v>
      </c>
      <c r="D483" s="353">
        <v>-1060</v>
      </c>
      <c r="E483" s="352" t="s">
        <v>9256</v>
      </c>
      <c r="F483" s="341">
        <v>91.84</v>
      </c>
      <c r="G483" s="355" t="s">
        <v>9264</v>
      </c>
      <c r="H483" s="356" t="s">
        <v>3551</v>
      </c>
      <c r="I483" s="354" t="s">
        <v>82</v>
      </c>
      <c r="J483" s="340" t="s">
        <v>9266</v>
      </c>
      <c r="K483" s="339" t="s">
        <v>70</v>
      </c>
      <c r="L483" s="357">
        <v>46</v>
      </c>
      <c r="M483" s="358" t="s">
        <v>9267</v>
      </c>
      <c r="N483" s="359">
        <v>800</v>
      </c>
      <c r="O483" s="360" t="s">
        <v>530</v>
      </c>
      <c r="P483" s="343" t="s">
        <v>531</v>
      </c>
      <c r="Q483" s="342" t="s">
        <v>2688</v>
      </c>
      <c r="R483" s="344">
        <v>20</v>
      </c>
      <c r="S483" s="345">
        <v>35</v>
      </c>
      <c r="T483" s="362">
        <v>30</v>
      </c>
      <c r="U483" s="361">
        <v>91.84</v>
      </c>
      <c r="V483" s="346">
        <v>126.87615799061976</v>
      </c>
      <c r="W483" s="348">
        <v>125.11583782317142</v>
      </c>
      <c r="X483" s="347">
        <v>63.63</v>
      </c>
      <c r="Y483" s="357">
        <v>64.490000000000009</v>
      </c>
      <c r="Z483" s="365" t="s">
        <v>3017</v>
      </c>
      <c r="AA483" s="350">
        <v>117.6</v>
      </c>
      <c r="AB483" s="349" t="s">
        <v>2685</v>
      </c>
      <c r="AC483" s="350">
        <v>0</v>
      </c>
      <c r="AD483" s="349" t="s">
        <v>2685</v>
      </c>
      <c r="AE483" s="364">
        <v>0</v>
      </c>
      <c r="AF483" s="366">
        <v>9.6</v>
      </c>
      <c r="AG483" s="363">
        <v>0</v>
      </c>
      <c r="AH483" s="635" t="s">
        <v>7814</v>
      </c>
      <c r="AI483" s="324"/>
      <c r="AL483" s="487" t="s">
        <v>14691</v>
      </c>
      <c r="AM483" s="477" t="s">
        <v>70</v>
      </c>
      <c r="AN483" s="637">
        <v>100</v>
      </c>
      <c r="AO483" s="478">
        <v>-1060</v>
      </c>
      <c r="AP483" s="463">
        <v>-1060</v>
      </c>
      <c r="AQ483" s="479">
        <v>0</v>
      </c>
      <c r="AR483" s="476" t="s">
        <v>17185</v>
      </c>
      <c r="BA483" s="313" t="s">
        <v>3601</v>
      </c>
    </row>
    <row r="484" spans="2:53" ht="16.5" customHeight="1">
      <c r="B484" s="367" t="s">
        <v>9268</v>
      </c>
      <c r="C484" s="351" t="s">
        <v>9269</v>
      </c>
      <c r="D484" s="353">
        <v>-1061</v>
      </c>
      <c r="E484" s="352" t="s">
        <v>408</v>
      </c>
      <c r="F484" s="341">
        <v>91.83</v>
      </c>
      <c r="G484" s="355" t="s">
        <v>18543</v>
      </c>
      <c r="H484" s="356" t="s">
        <v>8962</v>
      </c>
      <c r="I484" s="354" t="s">
        <v>224</v>
      </c>
      <c r="J484" s="340" t="s">
        <v>9272</v>
      </c>
      <c r="K484" s="339" t="s">
        <v>71</v>
      </c>
      <c r="L484" s="357">
        <v>188</v>
      </c>
      <c r="M484" s="358" t="s">
        <v>9273</v>
      </c>
      <c r="N484" s="359">
        <v>1000</v>
      </c>
      <c r="O484" s="360" t="s">
        <v>532</v>
      </c>
      <c r="P484" s="343" t="s">
        <v>533</v>
      </c>
      <c r="Q484" s="342" t="s">
        <v>2688</v>
      </c>
      <c r="R484" s="344">
        <v>30</v>
      </c>
      <c r="S484" s="345">
        <v>30</v>
      </c>
      <c r="T484" s="362">
        <v>20</v>
      </c>
      <c r="U484" s="361">
        <v>91.83</v>
      </c>
      <c r="V484" s="346">
        <v>126.86603392151028</v>
      </c>
      <c r="W484" s="348">
        <v>125.10487008163615</v>
      </c>
      <c r="X484" s="347">
        <v>63.94</v>
      </c>
      <c r="Y484" s="357">
        <v>64.34</v>
      </c>
      <c r="Z484" s="365" t="s">
        <v>3017</v>
      </c>
      <c r="AA484" s="350">
        <v>196</v>
      </c>
      <c r="AB484" s="349" t="s">
        <v>2685</v>
      </c>
      <c r="AC484" s="350">
        <v>10</v>
      </c>
      <c r="AD484" s="349" t="s">
        <v>2685</v>
      </c>
      <c r="AE484" s="364">
        <v>0</v>
      </c>
      <c r="AF484" s="366">
        <v>0</v>
      </c>
      <c r="AG484" s="363">
        <v>0</v>
      </c>
      <c r="AH484" s="635" t="s">
        <v>408</v>
      </c>
      <c r="AI484" s="324"/>
      <c r="AL484" s="487" t="s">
        <v>14692</v>
      </c>
      <c r="AM484" s="477" t="s">
        <v>71</v>
      </c>
      <c r="AN484" s="637">
        <v>100</v>
      </c>
      <c r="AO484" s="478">
        <v>-1061</v>
      </c>
      <c r="AP484" s="463">
        <v>-689</v>
      </c>
      <c r="AQ484" s="479">
        <v>-372</v>
      </c>
      <c r="AR484" s="476" t="s">
        <v>16915</v>
      </c>
      <c r="BA484" s="313" t="s">
        <v>3602</v>
      </c>
    </row>
    <row r="485" spans="2:53" ht="16.5" customHeight="1">
      <c r="B485" s="367" t="s">
        <v>3609</v>
      </c>
      <c r="C485" s="351" t="s">
        <v>3610</v>
      </c>
      <c r="D485" s="353">
        <v>-1062</v>
      </c>
      <c r="E485" s="352" t="s">
        <v>9270</v>
      </c>
      <c r="F485" s="341">
        <v>91.83</v>
      </c>
      <c r="G485" s="355" t="s">
        <v>9211</v>
      </c>
      <c r="H485" s="356" t="s">
        <v>8962</v>
      </c>
      <c r="I485" s="354" t="s">
        <v>228</v>
      </c>
      <c r="J485" s="340" t="s">
        <v>9275</v>
      </c>
      <c r="K485" s="339" t="s">
        <v>71</v>
      </c>
      <c r="L485" s="357">
        <v>12</v>
      </c>
      <c r="M485" s="358" t="s">
        <v>9276</v>
      </c>
      <c r="N485" s="359">
        <v>1000</v>
      </c>
      <c r="O485" s="360" t="s">
        <v>530</v>
      </c>
      <c r="P485" s="343" t="s">
        <v>531</v>
      </c>
      <c r="Q485" s="342" t="s">
        <v>2688</v>
      </c>
      <c r="R485" s="344">
        <v>35</v>
      </c>
      <c r="S485" s="345">
        <v>30</v>
      </c>
      <c r="T485" s="362">
        <v>35</v>
      </c>
      <c r="U485" s="361">
        <v>91.83</v>
      </c>
      <c r="V485" s="346">
        <v>126.86928936702949</v>
      </c>
      <c r="W485" s="348">
        <v>125.10839681428196</v>
      </c>
      <c r="X485" s="347">
        <v>63.95</v>
      </c>
      <c r="Y485" s="357">
        <v>66.08</v>
      </c>
      <c r="Z485" s="365" t="s">
        <v>2689</v>
      </c>
      <c r="AA485" s="350">
        <v>100</v>
      </c>
      <c r="AB485" s="349" t="s">
        <v>2685</v>
      </c>
      <c r="AC485" s="350">
        <v>10</v>
      </c>
      <c r="AD485" s="349" t="s">
        <v>2685</v>
      </c>
      <c r="AE485" s="364">
        <v>0</v>
      </c>
      <c r="AF485" s="366">
        <v>11.564</v>
      </c>
      <c r="AG485" s="363">
        <v>0</v>
      </c>
      <c r="AH485" s="635" t="s">
        <v>5862</v>
      </c>
      <c r="AI485" s="324"/>
      <c r="AL485" s="487" t="s">
        <v>14693</v>
      </c>
      <c r="AM485" s="477" t="s">
        <v>71</v>
      </c>
      <c r="AN485" s="637">
        <v>100</v>
      </c>
      <c r="AO485" s="478">
        <v>-1062</v>
      </c>
      <c r="AP485" s="463">
        <v>-681</v>
      </c>
      <c r="AQ485" s="479">
        <v>-381</v>
      </c>
      <c r="AR485" s="476" t="s">
        <v>17186</v>
      </c>
      <c r="BA485" s="313" t="s">
        <v>3607</v>
      </c>
    </row>
    <row r="486" spans="2:53" ht="16.5" customHeight="1">
      <c r="B486" s="367" t="s">
        <v>18196</v>
      </c>
      <c r="C486" s="351" t="s">
        <v>18197</v>
      </c>
      <c r="D486" s="353">
        <v>-1063</v>
      </c>
      <c r="E486" s="352" t="s">
        <v>9264</v>
      </c>
      <c r="F486" s="341">
        <v>91.81</v>
      </c>
      <c r="G486" s="355" t="s">
        <v>9723</v>
      </c>
      <c r="H486" s="356" t="s">
        <v>3563</v>
      </c>
      <c r="I486" s="354" t="s">
        <v>9189</v>
      </c>
      <c r="J486" s="340" t="s">
        <v>9190</v>
      </c>
      <c r="K486" s="339" t="s">
        <v>71</v>
      </c>
      <c r="L486" s="357">
        <v>2</v>
      </c>
      <c r="M486" s="358" t="s">
        <v>9191</v>
      </c>
      <c r="N486" s="359">
        <v>1000</v>
      </c>
      <c r="O486" s="360" t="s">
        <v>532</v>
      </c>
      <c r="P486" s="343" t="s">
        <v>532</v>
      </c>
      <c r="Q486" s="342" t="s">
        <v>2688</v>
      </c>
      <c r="R486" s="344">
        <v>30</v>
      </c>
      <c r="S486" s="345">
        <v>25</v>
      </c>
      <c r="T486" s="362">
        <v>25</v>
      </c>
      <c r="U486" s="361">
        <v>91.81</v>
      </c>
      <c r="V486" s="346">
        <v>126.85370907655349</v>
      </c>
      <c r="W486" s="348">
        <v>125.09151816626628</v>
      </c>
      <c r="X486" s="347" t="s">
        <v>18544</v>
      </c>
      <c r="Y486" s="357" t="s">
        <v>408</v>
      </c>
      <c r="Z486" s="365" t="s">
        <v>3017</v>
      </c>
      <c r="AA486" s="350">
        <v>195.56</v>
      </c>
      <c r="AB486" s="349" t="s">
        <v>2685</v>
      </c>
      <c r="AC486" s="350">
        <v>0</v>
      </c>
      <c r="AD486" s="349" t="s">
        <v>2685</v>
      </c>
      <c r="AE486" s="364">
        <v>0</v>
      </c>
      <c r="AF486" s="366">
        <v>15.903</v>
      </c>
      <c r="AG486" s="363">
        <v>0</v>
      </c>
      <c r="AH486" s="635" t="s">
        <v>9192</v>
      </c>
      <c r="AI486" s="324"/>
      <c r="AL486" s="487" t="s">
        <v>14672</v>
      </c>
      <c r="AM486" s="477" t="s">
        <v>71</v>
      </c>
      <c r="AN486" s="637">
        <v>100</v>
      </c>
      <c r="AO486" s="478">
        <v>-1063</v>
      </c>
      <c r="AP486" s="463">
        <v>-708</v>
      </c>
      <c r="AQ486" s="479">
        <v>-355</v>
      </c>
      <c r="AR486" s="476" t="s">
        <v>17187</v>
      </c>
      <c r="BA486" s="313" t="s">
        <v>3608</v>
      </c>
    </row>
    <row r="487" spans="2:53" ht="16.5" customHeight="1">
      <c r="B487" s="367" t="s">
        <v>9277</v>
      </c>
      <c r="C487" s="351" t="s">
        <v>9278</v>
      </c>
      <c r="D487" s="353">
        <v>-1064</v>
      </c>
      <c r="E487" s="352" t="s">
        <v>408</v>
      </c>
      <c r="F487" s="341">
        <v>91.81</v>
      </c>
      <c r="G487" s="355" t="s">
        <v>9279</v>
      </c>
      <c r="H487" s="356" t="s">
        <v>3546</v>
      </c>
      <c r="I487" s="354" t="s">
        <v>82</v>
      </c>
      <c r="J487" s="340" t="s">
        <v>9280</v>
      </c>
      <c r="K487" s="339" t="s">
        <v>70</v>
      </c>
      <c r="L487" s="357">
        <v>20</v>
      </c>
      <c r="M487" s="358" t="s">
        <v>9281</v>
      </c>
      <c r="N487" s="359">
        <v>800</v>
      </c>
      <c r="O487" s="360" t="s">
        <v>530</v>
      </c>
      <c r="P487" s="343" t="s">
        <v>531</v>
      </c>
      <c r="Q487" s="342" t="s">
        <v>2688</v>
      </c>
      <c r="R487" s="344">
        <v>20</v>
      </c>
      <c r="S487" s="345">
        <v>35</v>
      </c>
      <c r="T487" s="362">
        <v>30</v>
      </c>
      <c r="U487" s="361">
        <v>91.81</v>
      </c>
      <c r="V487" s="346">
        <v>126.85290127524318</v>
      </c>
      <c r="W487" s="348">
        <v>125.09064304818013</v>
      </c>
      <c r="X487" s="347">
        <v>63.62</v>
      </c>
      <c r="Y487" s="357">
        <v>64.48</v>
      </c>
      <c r="Z487" s="365" t="s">
        <v>3017</v>
      </c>
      <c r="AA487" s="350">
        <v>117.6</v>
      </c>
      <c r="AB487" s="349" t="s">
        <v>2685</v>
      </c>
      <c r="AC487" s="350">
        <v>0</v>
      </c>
      <c r="AD487" s="349" t="s">
        <v>2685</v>
      </c>
      <c r="AE487" s="364">
        <v>0</v>
      </c>
      <c r="AF487" s="366">
        <v>9.6</v>
      </c>
      <c r="AG487" s="363">
        <v>0</v>
      </c>
      <c r="AH487" s="635" t="s">
        <v>7814</v>
      </c>
      <c r="AI487" s="324"/>
      <c r="AL487" s="487" t="s">
        <v>14694</v>
      </c>
      <c r="AM487" s="477" t="s">
        <v>70</v>
      </c>
      <c r="AN487" s="637">
        <v>100</v>
      </c>
      <c r="AO487" s="478">
        <v>-1064</v>
      </c>
      <c r="AP487" s="463">
        <v>-1064</v>
      </c>
      <c r="AQ487" s="479">
        <v>0</v>
      </c>
      <c r="AR487" s="476" t="s">
        <v>17188</v>
      </c>
      <c r="BA487" s="313" t="s">
        <v>3613</v>
      </c>
    </row>
    <row r="488" spans="2:53" ht="16.5" customHeight="1">
      <c r="B488" s="367" t="s">
        <v>3623</v>
      </c>
      <c r="C488" s="351" t="s">
        <v>3624</v>
      </c>
      <c r="D488" s="353">
        <v>-1065</v>
      </c>
      <c r="E488" s="352" t="s">
        <v>408</v>
      </c>
      <c r="F488" s="341">
        <v>91.74</v>
      </c>
      <c r="G488" s="355" t="s">
        <v>9282</v>
      </c>
      <c r="H488" s="356" t="s">
        <v>8967</v>
      </c>
      <c r="I488" s="354" t="s">
        <v>83</v>
      </c>
      <c r="J488" s="340" t="s">
        <v>550</v>
      </c>
      <c r="K488" s="339" t="s">
        <v>70</v>
      </c>
      <c r="L488" s="357">
        <v>11</v>
      </c>
      <c r="M488" s="358" t="s">
        <v>9283</v>
      </c>
      <c r="N488" s="359">
        <v>1000</v>
      </c>
      <c r="O488" s="360" t="s">
        <v>532</v>
      </c>
      <c r="P488" s="343" t="s">
        <v>533</v>
      </c>
      <c r="Q488" s="342" t="s">
        <v>2688</v>
      </c>
      <c r="R488" s="344">
        <v>20</v>
      </c>
      <c r="S488" s="345">
        <v>40</v>
      </c>
      <c r="T488" s="362">
        <v>30</v>
      </c>
      <c r="U488" s="361">
        <v>91.74</v>
      </c>
      <c r="V488" s="346">
        <v>126.79741090807065</v>
      </c>
      <c r="W488" s="348">
        <v>125.0305284837432</v>
      </c>
      <c r="X488" s="347">
        <v>63.6</v>
      </c>
      <c r="Y488" s="357">
        <v>64</v>
      </c>
      <c r="Z488" s="365" t="s">
        <v>3017</v>
      </c>
      <c r="AA488" s="350">
        <v>98</v>
      </c>
      <c r="AB488" s="349" t="s">
        <v>2685</v>
      </c>
      <c r="AC488" s="350">
        <v>0</v>
      </c>
      <c r="AD488" s="349" t="s">
        <v>2685</v>
      </c>
      <c r="AE488" s="364">
        <v>0</v>
      </c>
      <c r="AF488" s="366">
        <v>19.164000000000001</v>
      </c>
      <c r="AG488" s="363">
        <v>0</v>
      </c>
      <c r="AH488" s="635" t="s">
        <v>7791</v>
      </c>
      <c r="AI488" s="324"/>
      <c r="AL488" s="487" t="s">
        <v>14695</v>
      </c>
      <c r="AM488" s="477" t="s">
        <v>70</v>
      </c>
      <c r="AN488" s="637">
        <v>100</v>
      </c>
      <c r="AO488" s="478">
        <v>-1065</v>
      </c>
      <c r="AP488" s="463">
        <v>-1065</v>
      </c>
      <c r="AQ488" s="479">
        <v>0</v>
      </c>
      <c r="AR488" s="476" t="s">
        <v>14696</v>
      </c>
      <c r="BA488" s="313" t="s">
        <v>3615</v>
      </c>
    </row>
    <row r="489" spans="2:53" ht="16.5" customHeight="1">
      <c r="B489" s="367" t="s">
        <v>3623</v>
      </c>
      <c r="C489" s="351" t="s">
        <v>3624</v>
      </c>
      <c r="D489" s="353">
        <v>-1066</v>
      </c>
      <c r="E489" s="352" t="s">
        <v>9284</v>
      </c>
      <c r="F489" s="341">
        <v>91.74</v>
      </c>
      <c r="G489" s="355" t="s">
        <v>9235</v>
      </c>
      <c r="H489" s="356" t="s">
        <v>18545</v>
      </c>
      <c r="I489" s="354" t="s">
        <v>82</v>
      </c>
      <c r="J489" s="340" t="s">
        <v>9285</v>
      </c>
      <c r="K489" s="339" t="s">
        <v>71</v>
      </c>
      <c r="L489" s="357">
        <v>11</v>
      </c>
      <c r="M489" s="358" t="s">
        <v>9286</v>
      </c>
      <c r="N489" s="359">
        <v>800</v>
      </c>
      <c r="O489" s="360" t="s">
        <v>530</v>
      </c>
      <c r="P489" s="343" t="s">
        <v>531</v>
      </c>
      <c r="Q489" s="342" t="s">
        <v>2688</v>
      </c>
      <c r="R489" s="344">
        <v>35</v>
      </c>
      <c r="S489" s="345">
        <v>20</v>
      </c>
      <c r="T489" s="362">
        <v>30</v>
      </c>
      <c r="U489" s="361">
        <v>91.74</v>
      </c>
      <c r="V489" s="346">
        <v>126.80058212712396</v>
      </c>
      <c r="W489" s="348">
        <v>125.03396397105095</v>
      </c>
      <c r="X489" s="347">
        <v>63.91</v>
      </c>
      <c r="Y489" s="357">
        <v>64.45</v>
      </c>
      <c r="Z489" s="365" t="s">
        <v>3017</v>
      </c>
      <c r="AA489" s="350">
        <v>117.6</v>
      </c>
      <c r="AB489" s="349" t="s">
        <v>2685</v>
      </c>
      <c r="AC489" s="350">
        <v>0</v>
      </c>
      <c r="AD489" s="349" t="s">
        <v>2685</v>
      </c>
      <c r="AE489" s="364">
        <v>0</v>
      </c>
      <c r="AF489" s="366">
        <v>9.6</v>
      </c>
      <c r="AG489" s="363">
        <v>0</v>
      </c>
      <c r="AH489" s="635" t="s">
        <v>7879</v>
      </c>
      <c r="AI489" s="324"/>
      <c r="AL489" s="487" t="s">
        <v>14697</v>
      </c>
      <c r="AM489" s="477" t="s">
        <v>71</v>
      </c>
      <c r="AN489" s="637">
        <v>100</v>
      </c>
      <c r="AO489" s="478">
        <v>-1066</v>
      </c>
      <c r="AP489" s="463">
        <v>-571</v>
      </c>
      <c r="AQ489" s="479">
        <v>-495</v>
      </c>
      <c r="AR489" s="476" t="s">
        <v>14734</v>
      </c>
      <c r="BA489" s="313" t="s">
        <v>3617</v>
      </c>
    </row>
    <row r="490" spans="2:53" ht="16.5" customHeight="1">
      <c r="B490" s="367" t="s">
        <v>3623</v>
      </c>
      <c r="C490" s="351" t="s">
        <v>3624</v>
      </c>
      <c r="D490" s="353">
        <v>-1067</v>
      </c>
      <c r="E490" s="352" t="s">
        <v>9282</v>
      </c>
      <c r="F490" s="341">
        <v>91.73</v>
      </c>
      <c r="G490" s="355" t="s">
        <v>18546</v>
      </c>
      <c r="H490" s="356" t="s">
        <v>9308</v>
      </c>
      <c r="I490" s="354" t="s">
        <v>82</v>
      </c>
      <c r="J490" s="340" t="s">
        <v>9287</v>
      </c>
      <c r="K490" s="339" t="s">
        <v>71</v>
      </c>
      <c r="L490" s="357">
        <v>30</v>
      </c>
      <c r="M490" s="358" t="s">
        <v>9288</v>
      </c>
      <c r="N490" s="359">
        <v>800</v>
      </c>
      <c r="O490" s="360" t="s">
        <v>530</v>
      </c>
      <c r="P490" s="343" t="s">
        <v>531</v>
      </c>
      <c r="Q490" s="342" t="s">
        <v>2688</v>
      </c>
      <c r="R490" s="344">
        <v>30</v>
      </c>
      <c r="S490" s="345">
        <v>30</v>
      </c>
      <c r="T490" s="362">
        <v>25</v>
      </c>
      <c r="U490" s="361">
        <v>91.73</v>
      </c>
      <c r="V490" s="346">
        <v>126.79336437718274</v>
      </c>
      <c r="W490" s="348">
        <v>125.02614474194797</v>
      </c>
      <c r="X490" s="347">
        <v>63.91</v>
      </c>
      <c r="Y490" s="357">
        <v>64.45</v>
      </c>
      <c r="Z490" s="365" t="s">
        <v>3017</v>
      </c>
      <c r="AA490" s="350">
        <v>117.6</v>
      </c>
      <c r="AB490" s="349" t="s">
        <v>2685</v>
      </c>
      <c r="AC490" s="350">
        <v>0</v>
      </c>
      <c r="AD490" s="349" t="s">
        <v>2685</v>
      </c>
      <c r="AE490" s="364">
        <v>0</v>
      </c>
      <c r="AF490" s="366">
        <v>0</v>
      </c>
      <c r="AG490" s="363">
        <v>0</v>
      </c>
      <c r="AH490" s="635" t="s">
        <v>408</v>
      </c>
      <c r="AI490" s="324"/>
      <c r="AL490" s="487" t="s">
        <v>14699</v>
      </c>
      <c r="AM490" s="477" t="s">
        <v>71</v>
      </c>
      <c r="AN490" s="637">
        <v>100</v>
      </c>
      <c r="AO490" s="478">
        <v>-1067</v>
      </c>
      <c r="AP490" s="463">
        <v>-572</v>
      </c>
      <c r="AQ490" s="479">
        <v>-495</v>
      </c>
      <c r="AR490" s="476" t="s">
        <v>16916</v>
      </c>
      <c r="BA490" s="313" t="s">
        <v>3620</v>
      </c>
    </row>
    <row r="491" spans="2:53" ht="16.5" customHeight="1">
      <c r="B491" s="367" t="s">
        <v>9289</v>
      </c>
      <c r="C491" s="351" t="s">
        <v>9290</v>
      </c>
      <c r="D491" s="353">
        <v>-1068</v>
      </c>
      <c r="E491" s="352" t="s">
        <v>9291</v>
      </c>
      <c r="F491" s="341">
        <v>91.72</v>
      </c>
      <c r="G491" s="355" t="s">
        <v>18547</v>
      </c>
      <c r="H491" s="356" t="s">
        <v>8966</v>
      </c>
      <c r="I491" s="354" t="s">
        <v>224</v>
      </c>
      <c r="J491" s="340" t="s">
        <v>9292</v>
      </c>
      <c r="K491" s="339" t="s">
        <v>71</v>
      </c>
      <c r="L491" s="357">
        <v>16</v>
      </c>
      <c r="M491" s="358" t="s">
        <v>9293</v>
      </c>
      <c r="N491" s="359">
        <v>1000</v>
      </c>
      <c r="O491" s="360" t="s">
        <v>532</v>
      </c>
      <c r="P491" s="343" t="s">
        <v>533</v>
      </c>
      <c r="Q491" s="342" t="s">
        <v>2688</v>
      </c>
      <c r="R491" s="344">
        <v>30</v>
      </c>
      <c r="S491" s="345">
        <v>30</v>
      </c>
      <c r="T491" s="362">
        <v>20</v>
      </c>
      <c r="U491" s="361">
        <v>91.72</v>
      </c>
      <c r="V491" s="346">
        <v>126.78820278842655</v>
      </c>
      <c r="W491" s="348">
        <v>125.02055302079543</v>
      </c>
      <c r="X491" s="347">
        <v>63.9</v>
      </c>
      <c r="Y491" s="357">
        <v>64.300000000000011</v>
      </c>
      <c r="Z491" s="365" t="s">
        <v>3017</v>
      </c>
      <c r="AA491" s="350">
        <v>196</v>
      </c>
      <c r="AB491" s="349" t="s">
        <v>2685</v>
      </c>
      <c r="AC491" s="350">
        <v>10</v>
      </c>
      <c r="AD491" s="349" t="s">
        <v>2685</v>
      </c>
      <c r="AE491" s="364">
        <v>0</v>
      </c>
      <c r="AF491" s="366">
        <v>0</v>
      </c>
      <c r="AG491" s="363">
        <v>0</v>
      </c>
      <c r="AH491" s="635" t="s">
        <v>408</v>
      </c>
      <c r="AI491" s="324"/>
      <c r="AL491" s="487" t="s">
        <v>14700</v>
      </c>
      <c r="AM491" s="477" t="s">
        <v>71</v>
      </c>
      <c r="AN491" s="637">
        <v>100</v>
      </c>
      <c r="AO491" s="478">
        <v>-1068</v>
      </c>
      <c r="AP491" s="463">
        <v>-572</v>
      </c>
      <c r="AQ491" s="479">
        <v>-496</v>
      </c>
      <c r="AR491" s="476" t="s">
        <v>16917</v>
      </c>
      <c r="BA491" s="313" t="s">
        <v>3622</v>
      </c>
    </row>
    <row r="492" spans="2:53" ht="16.5" customHeight="1">
      <c r="B492" s="367" t="s">
        <v>9294</v>
      </c>
      <c r="C492" s="351" t="s">
        <v>9295</v>
      </c>
      <c r="D492" s="353">
        <v>-1069</v>
      </c>
      <c r="E492" s="352" t="s">
        <v>3816</v>
      </c>
      <c r="F492" s="341">
        <v>91.71</v>
      </c>
      <c r="G492" s="355" t="s">
        <v>3779</v>
      </c>
      <c r="H492" s="356" t="s">
        <v>18548</v>
      </c>
      <c r="I492" s="354" t="s">
        <v>82</v>
      </c>
      <c r="J492" s="340" t="s">
        <v>9297</v>
      </c>
      <c r="K492" s="339" t="s">
        <v>71</v>
      </c>
      <c r="L492" s="357">
        <v>16</v>
      </c>
      <c r="M492" s="358" t="s">
        <v>3452</v>
      </c>
      <c r="N492" s="359">
        <v>800</v>
      </c>
      <c r="O492" s="360" t="s">
        <v>530</v>
      </c>
      <c r="P492" s="343" t="s">
        <v>531</v>
      </c>
      <c r="Q492" s="342" t="s">
        <v>2688</v>
      </c>
      <c r="R492" s="344">
        <v>35</v>
      </c>
      <c r="S492" s="345">
        <v>20</v>
      </c>
      <c r="T492" s="362">
        <v>30</v>
      </c>
      <c r="U492" s="361">
        <v>91.71</v>
      </c>
      <c r="V492" s="346">
        <v>126.77403241032096</v>
      </c>
      <c r="W492" s="348">
        <v>125.0052017778477</v>
      </c>
      <c r="X492" s="347">
        <v>63.9</v>
      </c>
      <c r="Y492" s="357">
        <v>64.440000000000012</v>
      </c>
      <c r="Z492" s="365" t="s">
        <v>3017</v>
      </c>
      <c r="AA492" s="350">
        <v>117.6</v>
      </c>
      <c r="AB492" s="349" t="s">
        <v>2685</v>
      </c>
      <c r="AC492" s="350">
        <v>0</v>
      </c>
      <c r="AD492" s="349" t="s">
        <v>2685</v>
      </c>
      <c r="AE492" s="364">
        <v>0</v>
      </c>
      <c r="AF492" s="366">
        <v>9.6</v>
      </c>
      <c r="AG492" s="363">
        <v>0</v>
      </c>
      <c r="AH492" s="635" t="s">
        <v>7879</v>
      </c>
      <c r="AI492" s="324"/>
      <c r="AL492" s="487" t="s">
        <v>14702</v>
      </c>
      <c r="AM492" s="477" t="s">
        <v>71</v>
      </c>
      <c r="AN492" s="637">
        <v>100</v>
      </c>
      <c r="AO492" s="478">
        <v>-1069</v>
      </c>
      <c r="AP492" s="463">
        <v>-572</v>
      </c>
      <c r="AQ492" s="479">
        <v>-497</v>
      </c>
      <c r="AR492" s="476" t="s">
        <v>14737</v>
      </c>
      <c r="BA492" s="313" t="s">
        <v>3625</v>
      </c>
    </row>
    <row r="493" spans="2:53" ht="16.5" customHeight="1">
      <c r="B493" s="367" t="s">
        <v>9294</v>
      </c>
      <c r="C493" s="351" t="s">
        <v>9295</v>
      </c>
      <c r="D493" s="353">
        <v>-1070</v>
      </c>
      <c r="E493" s="352" t="s">
        <v>3816</v>
      </c>
      <c r="F493" s="341">
        <v>91.71</v>
      </c>
      <c r="G493" s="355" t="s">
        <v>3779</v>
      </c>
      <c r="H493" s="356" t="s">
        <v>18548</v>
      </c>
      <c r="I493" s="354" t="s">
        <v>82</v>
      </c>
      <c r="J493" s="340" t="s">
        <v>8659</v>
      </c>
      <c r="K493" s="339" t="s">
        <v>71</v>
      </c>
      <c r="L493" s="357">
        <v>45</v>
      </c>
      <c r="M493" s="358" t="s">
        <v>9299</v>
      </c>
      <c r="N493" s="359">
        <v>800</v>
      </c>
      <c r="O493" s="360" t="s">
        <v>530</v>
      </c>
      <c r="P493" s="343" t="s">
        <v>531</v>
      </c>
      <c r="Q493" s="342" t="s">
        <v>2688</v>
      </c>
      <c r="R493" s="344">
        <v>30</v>
      </c>
      <c r="S493" s="345">
        <v>30</v>
      </c>
      <c r="T493" s="362">
        <v>25</v>
      </c>
      <c r="U493" s="361">
        <v>91.71</v>
      </c>
      <c r="V493" s="346">
        <v>126.77590221187425</v>
      </c>
      <c r="W493" s="348">
        <v>125.00722739619711</v>
      </c>
      <c r="X493" s="347">
        <v>63.89</v>
      </c>
      <c r="Y493" s="357">
        <v>64.440000000000012</v>
      </c>
      <c r="Z493" s="365" t="s">
        <v>3017</v>
      </c>
      <c r="AA493" s="350">
        <v>117.6</v>
      </c>
      <c r="AB493" s="349" t="s">
        <v>2685</v>
      </c>
      <c r="AC493" s="350">
        <v>0</v>
      </c>
      <c r="AD493" s="349" t="s">
        <v>2685</v>
      </c>
      <c r="AE493" s="364">
        <v>0</v>
      </c>
      <c r="AF493" s="366">
        <v>0</v>
      </c>
      <c r="AG493" s="363">
        <v>0</v>
      </c>
      <c r="AH493" s="635" t="s">
        <v>408</v>
      </c>
      <c r="AI493" s="324"/>
      <c r="AL493" s="487" t="s">
        <v>14703</v>
      </c>
      <c r="AM493" s="477" t="s">
        <v>71</v>
      </c>
      <c r="AN493" s="637">
        <v>100</v>
      </c>
      <c r="AO493" s="478">
        <v>-1070</v>
      </c>
      <c r="AP493" s="463">
        <v>-573</v>
      </c>
      <c r="AQ493" s="479">
        <v>-497</v>
      </c>
      <c r="AR493" s="476" t="s">
        <v>14737</v>
      </c>
      <c r="BA493" s="313" t="s">
        <v>3626</v>
      </c>
    </row>
    <row r="494" spans="2:53" ht="16.5" customHeight="1">
      <c r="B494" s="367" t="s">
        <v>9294</v>
      </c>
      <c r="C494" s="351" t="s">
        <v>9295</v>
      </c>
      <c r="D494" s="353">
        <v>-1071</v>
      </c>
      <c r="E494" s="352" t="s">
        <v>408</v>
      </c>
      <c r="F494" s="341">
        <v>91.71</v>
      </c>
      <c r="G494" s="355" t="s">
        <v>3816</v>
      </c>
      <c r="H494" s="356" t="s">
        <v>8955</v>
      </c>
      <c r="I494" s="354" t="s">
        <v>82</v>
      </c>
      <c r="J494" s="340" t="s">
        <v>551</v>
      </c>
      <c r="K494" s="339" t="s">
        <v>70</v>
      </c>
      <c r="L494" s="357">
        <v>19</v>
      </c>
      <c r="M494" s="358" t="s">
        <v>9300</v>
      </c>
      <c r="N494" s="359">
        <v>800</v>
      </c>
      <c r="O494" s="360" t="s">
        <v>530</v>
      </c>
      <c r="P494" s="343" t="s">
        <v>531</v>
      </c>
      <c r="Q494" s="342" t="s">
        <v>2688</v>
      </c>
      <c r="R494" s="344">
        <v>20</v>
      </c>
      <c r="S494" s="345">
        <v>35</v>
      </c>
      <c r="T494" s="362">
        <v>30</v>
      </c>
      <c r="U494" s="361">
        <v>91.71</v>
      </c>
      <c r="V494" s="346">
        <v>126.77731695026938</v>
      </c>
      <c r="W494" s="348">
        <v>125.00876002945849</v>
      </c>
      <c r="X494" s="347">
        <v>63.59</v>
      </c>
      <c r="Y494" s="357">
        <v>64.440000000000012</v>
      </c>
      <c r="Z494" s="365" t="s">
        <v>3017</v>
      </c>
      <c r="AA494" s="350">
        <v>117.6</v>
      </c>
      <c r="AB494" s="349" t="s">
        <v>2685</v>
      </c>
      <c r="AC494" s="350">
        <v>0</v>
      </c>
      <c r="AD494" s="349" t="s">
        <v>2685</v>
      </c>
      <c r="AE494" s="364">
        <v>0</v>
      </c>
      <c r="AF494" s="366">
        <v>9.6</v>
      </c>
      <c r="AG494" s="363">
        <v>0</v>
      </c>
      <c r="AH494" s="635" t="s">
        <v>7814</v>
      </c>
      <c r="AI494" s="324"/>
      <c r="AL494" s="487" t="s">
        <v>14704</v>
      </c>
      <c r="AM494" s="477" t="s">
        <v>70</v>
      </c>
      <c r="AN494" s="637">
        <v>100</v>
      </c>
      <c r="AO494" s="478">
        <v>-1071</v>
      </c>
      <c r="AP494" s="463">
        <v>-1071</v>
      </c>
      <c r="AQ494" s="479">
        <v>0</v>
      </c>
      <c r="AR494" s="476" t="s">
        <v>17189</v>
      </c>
      <c r="BA494" s="313" t="s">
        <v>3630</v>
      </c>
    </row>
    <row r="495" spans="2:53" ht="16.5" customHeight="1">
      <c r="B495" s="367" t="s">
        <v>3627</v>
      </c>
      <c r="C495" s="351" t="s">
        <v>3628</v>
      </c>
      <c r="D495" s="353">
        <v>-1072</v>
      </c>
      <c r="E495" s="352" t="s">
        <v>408</v>
      </c>
      <c r="F495" s="341">
        <v>91.66</v>
      </c>
      <c r="G495" s="355" t="s">
        <v>9301</v>
      </c>
      <c r="H495" s="356" t="s">
        <v>9302</v>
      </c>
      <c r="I495" s="354" t="s">
        <v>224</v>
      </c>
      <c r="J495" s="340" t="s">
        <v>9303</v>
      </c>
      <c r="K495" s="339" t="s">
        <v>70</v>
      </c>
      <c r="L495" s="357">
        <v>48</v>
      </c>
      <c r="M495" s="358" t="s">
        <v>9304</v>
      </c>
      <c r="N495" s="359">
        <v>1000</v>
      </c>
      <c r="O495" s="360" t="s">
        <v>532</v>
      </c>
      <c r="P495" s="343" t="s">
        <v>533</v>
      </c>
      <c r="Q495" s="342" t="s">
        <v>2688</v>
      </c>
      <c r="R495" s="344">
        <v>25</v>
      </c>
      <c r="S495" s="345">
        <v>30</v>
      </c>
      <c r="T495" s="362">
        <v>25</v>
      </c>
      <c r="U495" s="361">
        <v>91.66</v>
      </c>
      <c r="V495" s="346">
        <v>126.73999660846584</v>
      </c>
      <c r="W495" s="348">
        <v>124.9762472443785</v>
      </c>
      <c r="X495" s="347">
        <v>63.57</v>
      </c>
      <c r="Y495" s="357">
        <v>64.59</v>
      </c>
      <c r="Z495" s="365" t="s">
        <v>3017</v>
      </c>
      <c r="AA495" s="350">
        <v>196</v>
      </c>
      <c r="AB495" s="349" t="s">
        <v>2685</v>
      </c>
      <c r="AC495" s="350">
        <v>10</v>
      </c>
      <c r="AD495" s="349" t="s">
        <v>2685</v>
      </c>
      <c r="AE495" s="364">
        <v>0</v>
      </c>
      <c r="AF495" s="366">
        <v>13.815</v>
      </c>
      <c r="AG495" s="363">
        <v>0</v>
      </c>
      <c r="AH495" s="635" t="s">
        <v>7854</v>
      </c>
      <c r="AI495" s="324"/>
      <c r="AL495" s="487" t="s">
        <v>14705</v>
      </c>
      <c r="AM495" s="477" t="s">
        <v>70</v>
      </c>
      <c r="AN495" s="637">
        <v>100</v>
      </c>
      <c r="AO495" s="478">
        <v>-1072</v>
      </c>
      <c r="AP495" s="463">
        <v>-1072</v>
      </c>
      <c r="AQ495" s="479">
        <v>0</v>
      </c>
      <c r="AR495" s="476" t="s">
        <v>14706</v>
      </c>
      <c r="BA495" s="313" t="s">
        <v>3632</v>
      </c>
    </row>
    <row r="496" spans="2:53" ht="16.5" customHeight="1">
      <c r="B496" s="367" t="s">
        <v>3637</v>
      </c>
      <c r="C496" s="351" t="s">
        <v>3638</v>
      </c>
      <c r="D496" s="353">
        <v>-1073</v>
      </c>
      <c r="E496" s="352" t="s">
        <v>3831</v>
      </c>
      <c r="F496" s="341">
        <v>91.66</v>
      </c>
      <c r="G496" s="355" t="s">
        <v>3791</v>
      </c>
      <c r="H496" s="356" t="s">
        <v>8984</v>
      </c>
      <c r="I496" s="354" t="s">
        <v>83</v>
      </c>
      <c r="J496" s="340" t="s">
        <v>9305</v>
      </c>
      <c r="K496" s="339" t="s">
        <v>71</v>
      </c>
      <c r="L496" s="357">
        <v>16</v>
      </c>
      <c r="M496" s="358" t="s">
        <v>9306</v>
      </c>
      <c r="N496" s="359">
        <v>1000</v>
      </c>
      <c r="O496" s="360" t="s">
        <v>532</v>
      </c>
      <c r="P496" s="343" t="s">
        <v>533</v>
      </c>
      <c r="Q496" s="342" t="s">
        <v>2688</v>
      </c>
      <c r="R496" s="344">
        <v>35</v>
      </c>
      <c r="S496" s="345">
        <v>30</v>
      </c>
      <c r="T496" s="362">
        <v>20</v>
      </c>
      <c r="U496" s="361">
        <v>91.66</v>
      </c>
      <c r="V496" s="346">
        <v>126.73576383450548</v>
      </c>
      <c r="W496" s="348">
        <v>124.9728081155357</v>
      </c>
      <c r="X496" s="347">
        <v>63.87</v>
      </c>
      <c r="Y496" s="357">
        <v>63.94</v>
      </c>
      <c r="Z496" s="365" t="s">
        <v>3017</v>
      </c>
      <c r="AA496" s="350">
        <v>148</v>
      </c>
      <c r="AB496" s="349" t="s">
        <v>2685</v>
      </c>
      <c r="AC496" s="350">
        <v>0</v>
      </c>
      <c r="AD496" s="349" t="s">
        <v>2685</v>
      </c>
      <c r="AE496" s="364">
        <v>0</v>
      </c>
      <c r="AF496" s="366">
        <v>5.4889999999999999</v>
      </c>
      <c r="AG496" s="363">
        <v>0</v>
      </c>
      <c r="AH496" s="635" t="s">
        <v>8698</v>
      </c>
      <c r="AI496" s="324"/>
      <c r="AL496" s="487" t="s">
        <v>14707</v>
      </c>
      <c r="AM496" s="477" t="s">
        <v>71</v>
      </c>
      <c r="AN496" s="637">
        <v>100</v>
      </c>
      <c r="AO496" s="478">
        <v>-1073</v>
      </c>
      <c r="AP496" s="463">
        <v>-574</v>
      </c>
      <c r="AQ496" s="479">
        <v>-499</v>
      </c>
      <c r="AR496" s="476" t="s">
        <v>16918</v>
      </c>
      <c r="BA496" s="313" t="s">
        <v>3635</v>
      </c>
    </row>
    <row r="497" spans="2:53" ht="16.5" customHeight="1">
      <c r="B497" s="367" t="s">
        <v>3633</v>
      </c>
      <c r="C497" s="351" t="s">
        <v>3634</v>
      </c>
      <c r="D497" s="353">
        <v>-1074</v>
      </c>
      <c r="E497" s="352" t="s">
        <v>408</v>
      </c>
      <c r="F497" s="341">
        <v>91.65</v>
      </c>
      <c r="G497" s="355" t="s">
        <v>9307</v>
      </c>
      <c r="H497" s="356" t="s">
        <v>9308</v>
      </c>
      <c r="I497" s="354" t="s">
        <v>83</v>
      </c>
      <c r="J497" s="340" t="s">
        <v>9309</v>
      </c>
      <c r="K497" s="339" t="s">
        <v>70</v>
      </c>
      <c r="L497" s="357">
        <v>10</v>
      </c>
      <c r="M497" s="358" t="s">
        <v>9310</v>
      </c>
      <c r="N497" s="359">
        <v>1000</v>
      </c>
      <c r="O497" s="360" t="s">
        <v>532</v>
      </c>
      <c r="P497" s="343" t="s">
        <v>533</v>
      </c>
      <c r="Q497" s="342" t="s">
        <v>2688</v>
      </c>
      <c r="R497" s="344">
        <v>20</v>
      </c>
      <c r="S497" s="345">
        <v>40</v>
      </c>
      <c r="T497" s="362">
        <v>30</v>
      </c>
      <c r="U497" s="361">
        <v>91.65</v>
      </c>
      <c r="V497" s="346">
        <v>126.72726670464502</v>
      </c>
      <c r="W497" s="348">
        <v>124.96590419752407</v>
      </c>
      <c r="X497" s="347">
        <v>63.56</v>
      </c>
      <c r="Y497" s="357">
        <v>63.97</v>
      </c>
      <c r="Z497" s="365" t="s">
        <v>3017</v>
      </c>
      <c r="AA497" s="350">
        <v>98</v>
      </c>
      <c r="AB497" s="349" t="s">
        <v>2685</v>
      </c>
      <c r="AC497" s="350">
        <v>0</v>
      </c>
      <c r="AD497" s="349" t="s">
        <v>2685</v>
      </c>
      <c r="AE497" s="364">
        <v>0</v>
      </c>
      <c r="AF497" s="366">
        <v>19.155000000000001</v>
      </c>
      <c r="AG497" s="363">
        <v>0</v>
      </c>
      <c r="AH497" s="635" t="s">
        <v>7791</v>
      </c>
      <c r="AI497" s="324"/>
      <c r="AL497" s="487" t="s">
        <v>14708</v>
      </c>
      <c r="AM497" s="477" t="s">
        <v>70</v>
      </c>
      <c r="AN497" s="637">
        <v>100</v>
      </c>
      <c r="AO497" s="478">
        <v>-1074</v>
      </c>
      <c r="AP497" s="463">
        <v>-1074</v>
      </c>
      <c r="AQ497" s="479">
        <v>0</v>
      </c>
      <c r="AR497" s="476" t="s">
        <v>14709</v>
      </c>
      <c r="BA497" s="313" t="s">
        <v>3636</v>
      </c>
    </row>
    <row r="498" spans="2:53" ht="16.5" customHeight="1">
      <c r="B498" s="367" t="s">
        <v>3633</v>
      </c>
      <c r="C498" s="351" t="s">
        <v>3634</v>
      </c>
      <c r="D498" s="353">
        <v>-1075</v>
      </c>
      <c r="E498" s="352" t="s">
        <v>408</v>
      </c>
      <c r="F498" s="341">
        <v>91.64</v>
      </c>
      <c r="G498" s="355" t="s">
        <v>3858</v>
      </c>
      <c r="H498" s="356" t="s">
        <v>9311</v>
      </c>
      <c r="I498" s="354" t="s">
        <v>217</v>
      </c>
      <c r="J498" s="340" t="s">
        <v>9312</v>
      </c>
      <c r="K498" s="339" t="s">
        <v>70</v>
      </c>
      <c r="L498" s="357">
        <v>39</v>
      </c>
      <c r="M498" s="358" t="s">
        <v>9313</v>
      </c>
      <c r="N498" s="359">
        <v>1000</v>
      </c>
      <c r="O498" s="360" t="s">
        <v>530</v>
      </c>
      <c r="P498" s="343" t="s">
        <v>531</v>
      </c>
      <c r="Q498" s="342" t="s">
        <v>2688</v>
      </c>
      <c r="R498" s="344">
        <v>30</v>
      </c>
      <c r="S498" s="345">
        <v>40</v>
      </c>
      <c r="T498" s="362">
        <v>20</v>
      </c>
      <c r="U498" s="361">
        <v>91.64</v>
      </c>
      <c r="V498" s="346">
        <v>126.72297463678893</v>
      </c>
      <c r="W498" s="348">
        <v>124.96241689239102</v>
      </c>
      <c r="X498" s="347">
        <v>63.56</v>
      </c>
      <c r="Y498" s="357">
        <v>64.410000000000011</v>
      </c>
      <c r="Z498" s="365" t="s">
        <v>3017</v>
      </c>
      <c r="AA498" s="350">
        <v>98.5</v>
      </c>
      <c r="AB498" s="349" t="s">
        <v>2685</v>
      </c>
      <c r="AC498" s="350">
        <v>0</v>
      </c>
      <c r="AD498" s="349" t="s">
        <v>2685</v>
      </c>
      <c r="AE498" s="364">
        <v>0</v>
      </c>
      <c r="AF498" s="366">
        <v>0</v>
      </c>
      <c r="AG498" s="363">
        <v>0</v>
      </c>
      <c r="AH498" s="635" t="s">
        <v>408</v>
      </c>
      <c r="AI498" s="324"/>
      <c r="AL498" s="487" t="s">
        <v>14710</v>
      </c>
      <c r="AM498" s="477" t="s">
        <v>70</v>
      </c>
      <c r="AN498" s="637">
        <v>100</v>
      </c>
      <c r="AO498" s="478">
        <v>-1075</v>
      </c>
      <c r="AP498" s="463">
        <v>-1075</v>
      </c>
      <c r="AQ498" s="479">
        <v>0</v>
      </c>
      <c r="AR498" s="476" t="s">
        <v>14712</v>
      </c>
      <c r="BA498" s="313" t="s">
        <v>3639</v>
      </c>
    </row>
    <row r="499" spans="2:53" ht="16.5" customHeight="1">
      <c r="B499" s="367" t="s">
        <v>3633</v>
      </c>
      <c r="C499" s="351" t="s">
        <v>3634</v>
      </c>
      <c r="D499" s="353">
        <v>-1076</v>
      </c>
      <c r="E499" s="352" t="s">
        <v>408</v>
      </c>
      <c r="F499" s="341">
        <v>91.64</v>
      </c>
      <c r="G499" s="355" t="s">
        <v>9307</v>
      </c>
      <c r="H499" s="356" t="s">
        <v>9308</v>
      </c>
      <c r="I499" s="354" t="s">
        <v>82</v>
      </c>
      <c r="J499" s="340" t="s">
        <v>9314</v>
      </c>
      <c r="K499" s="339" t="s">
        <v>70</v>
      </c>
      <c r="L499" s="357">
        <v>12</v>
      </c>
      <c r="M499" s="358" t="s">
        <v>9315</v>
      </c>
      <c r="N499" s="359">
        <v>800</v>
      </c>
      <c r="O499" s="360" t="s">
        <v>530</v>
      </c>
      <c r="P499" s="343" t="s">
        <v>531</v>
      </c>
      <c r="Q499" s="342" t="s">
        <v>2688</v>
      </c>
      <c r="R499" s="344">
        <v>20</v>
      </c>
      <c r="S499" s="345">
        <v>35</v>
      </c>
      <c r="T499" s="362">
        <v>30</v>
      </c>
      <c r="U499" s="361">
        <v>91.64</v>
      </c>
      <c r="V499" s="346">
        <v>126.72604306204462</v>
      </c>
      <c r="W499" s="348">
        <v>124.96490998791126</v>
      </c>
      <c r="X499" s="347">
        <v>63.56</v>
      </c>
      <c r="Y499" s="357">
        <v>64.42</v>
      </c>
      <c r="Z499" s="365" t="s">
        <v>3017</v>
      </c>
      <c r="AA499" s="350">
        <v>117.6</v>
      </c>
      <c r="AB499" s="349" t="s">
        <v>2685</v>
      </c>
      <c r="AC499" s="350">
        <v>0</v>
      </c>
      <c r="AD499" s="349" t="s">
        <v>2685</v>
      </c>
      <c r="AE499" s="364">
        <v>0</v>
      </c>
      <c r="AF499" s="366">
        <v>9.6</v>
      </c>
      <c r="AG499" s="363">
        <v>0</v>
      </c>
      <c r="AH499" s="635" t="s">
        <v>7814</v>
      </c>
      <c r="AI499" s="324"/>
      <c r="AL499" s="487" t="s">
        <v>14711</v>
      </c>
      <c r="AM499" s="477" t="s">
        <v>70</v>
      </c>
      <c r="AN499" s="637">
        <v>100</v>
      </c>
      <c r="AO499" s="478">
        <v>-1076</v>
      </c>
      <c r="AP499" s="463">
        <v>-1076</v>
      </c>
      <c r="AQ499" s="479">
        <v>0</v>
      </c>
      <c r="AR499" s="476" t="s">
        <v>14709</v>
      </c>
      <c r="BA499" s="313" t="s">
        <v>3640</v>
      </c>
    </row>
    <row r="500" spans="2:53" ht="16.5" customHeight="1">
      <c r="B500" s="367" t="s">
        <v>3633</v>
      </c>
      <c r="C500" s="351" t="s">
        <v>3634</v>
      </c>
      <c r="D500" s="353">
        <v>-1077</v>
      </c>
      <c r="E500" s="352" t="s">
        <v>408</v>
      </c>
      <c r="F500" s="341">
        <v>91.63</v>
      </c>
      <c r="G500" s="355" t="s">
        <v>9316</v>
      </c>
      <c r="H500" s="356" t="s">
        <v>9317</v>
      </c>
      <c r="I500" s="354" t="s">
        <v>75</v>
      </c>
      <c r="J500" s="340" t="s">
        <v>9318</v>
      </c>
      <c r="K500" s="339" t="s">
        <v>70</v>
      </c>
      <c r="L500" s="357">
        <v>11</v>
      </c>
      <c r="M500" s="358" t="s">
        <v>9319</v>
      </c>
      <c r="N500" s="359">
        <v>1000</v>
      </c>
      <c r="O500" s="360" t="s">
        <v>530</v>
      </c>
      <c r="P500" s="343" t="s">
        <v>531</v>
      </c>
      <c r="Q500" s="342" t="s">
        <v>2688</v>
      </c>
      <c r="R500" s="344">
        <v>31</v>
      </c>
      <c r="S500" s="345">
        <v>38</v>
      </c>
      <c r="T500" s="362">
        <v>31</v>
      </c>
      <c r="U500" s="361">
        <v>91.63</v>
      </c>
      <c r="V500" s="346">
        <v>126.71855635001701</v>
      </c>
      <c r="W500" s="348">
        <v>124.95882703438882</v>
      </c>
      <c r="X500" s="347">
        <v>63.56</v>
      </c>
      <c r="Y500" s="357">
        <v>64.570000000000007</v>
      </c>
      <c r="Z500" s="365" t="s">
        <v>2689</v>
      </c>
      <c r="AA500" s="350">
        <v>0</v>
      </c>
      <c r="AB500" s="349" t="s">
        <v>2685</v>
      </c>
      <c r="AC500" s="350">
        <v>10</v>
      </c>
      <c r="AD500" s="349" t="s">
        <v>2685</v>
      </c>
      <c r="AE500" s="364">
        <v>0</v>
      </c>
      <c r="AF500" s="366">
        <v>0</v>
      </c>
      <c r="AG500" s="363">
        <v>0</v>
      </c>
      <c r="AH500" s="635" t="s">
        <v>408</v>
      </c>
      <c r="AI500" s="324"/>
      <c r="AL500" s="487" t="s">
        <v>14713</v>
      </c>
      <c r="AM500" s="477" t="s">
        <v>70</v>
      </c>
      <c r="AN500" s="637">
        <v>100</v>
      </c>
      <c r="AO500" s="478">
        <v>-1077</v>
      </c>
      <c r="AP500" s="463">
        <v>-1077</v>
      </c>
      <c r="AQ500" s="479">
        <v>0</v>
      </c>
      <c r="AR500" s="476" t="s">
        <v>14714</v>
      </c>
      <c r="BA500" s="313" t="s">
        <v>3641</v>
      </c>
    </row>
    <row r="501" spans="2:53" ht="16.5" customHeight="1">
      <c r="B501" s="367" t="s">
        <v>3637</v>
      </c>
      <c r="C501" s="351" t="s">
        <v>3638</v>
      </c>
      <c r="D501" s="353">
        <v>-1078</v>
      </c>
      <c r="E501" s="352" t="s">
        <v>9320</v>
      </c>
      <c r="F501" s="341">
        <v>91.62</v>
      </c>
      <c r="G501" s="355" t="s">
        <v>3804</v>
      </c>
      <c r="H501" s="356" t="s">
        <v>9381</v>
      </c>
      <c r="I501" s="354" t="s">
        <v>82</v>
      </c>
      <c r="J501" s="340" t="s">
        <v>8618</v>
      </c>
      <c r="K501" s="339" t="s">
        <v>71</v>
      </c>
      <c r="L501" s="357">
        <v>17</v>
      </c>
      <c r="M501" s="358" t="s">
        <v>9321</v>
      </c>
      <c r="N501" s="359">
        <v>800</v>
      </c>
      <c r="O501" s="360" t="s">
        <v>530</v>
      </c>
      <c r="P501" s="343" t="s">
        <v>531</v>
      </c>
      <c r="Q501" s="342" t="s">
        <v>2688</v>
      </c>
      <c r="R501" s="344">
        <v>35</v>
      </c>
      <c r="S501" s="345">
        <v>20</v>
      </c>
      <c r="T501" s="362">
        <v>30</v>
      </c>
      <c r="U501" s="361">
        <v>91.62</v>
      </c>
      <c r="V501" s="346">
        <v>126.70818101600905</v>
      </c>
      <c r="W501" s="348">
        <v>124.95039707550735</v>
      </c>
      <c r="X501" s="347">
        <v>63.86</v>
      </c>
      <c r="Y501" s="357">
        <v>64.410000000000011</v>
      </c>
      <c r="Z501" s="365" t="s">
        <v>3017</v>
      </c>
      <c r="AA501" s="350">
        <v>117.6</v>
      </c>
      <c r="AB501" s="349" t="s">
        <v>2685</v>
      </c>
      <c r="AC501" s="350">
        <v>0</v>
      </c>
      <c r="AD501" s="349" t="s">
        <v>2685</v>
      </c>
      <c r="AE501" s="364">
        <v>0</v>
      </c>
      <c r="AF501" s="366">
        <v>9.6</v>
      </c>
      <c r="AG501" s="363">
        <v>0</v>
      </c>
      <c r="AH501" s="635" t="s">
        <v>7879</v>
      </c>
      <c r="AI501" s="324"/>
      <c r="AL501" s="487" t="s">
        <v>14715</v>
      </c>
      <c r="AM501" s="477" t="s">
        <v>71</v>
      </c>
      <c r="AN501" s="637">
        <v>100</v>
      </c>
      <c r="AO501" s="478">
        <v>-1078</v>
      </c>
      <c r="AP501" s="463">
        <v>-576</v>
      </c>
      <c r="AQ501" s="479">
        <v>-502</v>
      </c>
      <c r="AR501" s="476" t="s">
        <v>16919</v>
      </c>
      <c r="BA501" s="313" t="s">
        <v>3644</v>
      </c>
    </row>
    <row r="502" spans="2:53" ht="16.5" customHeight="1">
      <c r="B502" s="367" t="s">
        <v>3642</v>
      </c>
      <c r="C502" s="351" t="s">
        <v>3643</v>
      </c>
      <c r="D502" s="353">
        <v>-1079</v>
      </c>
      <c r="E502" s="352" t="s">
        <v>408</v>
      </c>
      <c r="F502" s="341">
        <v>91.61</v>
      </c>
      <c r="G502" s="355" t="s">
        <v>3833</v>
      </c>
      <c r="H502" s="356" t="s">
        <v>9322</v>
      </c>
      <c r="I502" s="354" t="s">
        <v>73</v>
      </c>
      <c r="J502" s="340" t="s">
        <v>9323</v>
      </c>
      <c r="K502" s="339" t="s">
        <v>70</v>
      </c>
      <c r="L502" s="357" t="s">
        <v>408</v>
      </c>
      <c r="M502" s="358" t="s">
        <v>9324</v>
      </c>
      <c r="N502" s="359">
        <v>1000</v>
      </c>
      <c r="O502" s="360" t="s">
        <v>530</v>
      </c>
      <c r="P502" s="343" t="s">
        <v>531</v>
      </c>
      <c r="Q502" s="342" t="s">
        <v>2688</v>
      </c>
      <c r="R502" s="344">
        <v>22</v>
      </c>
      <c r="S502" s="345">
        <v>33</v>
      </c>
      <c r="T502" s="362">
        <v>33</v>
      </c>
      <c r="U502" s="361">
        <v>91.61</v>
      </c>
      <c r="V502" s="346">
        <v>126.70020491859192</v>
      </c>
      <c r="W502" s="348">
        <v>124.94391649635594</v>
      </c>
      <c r="X502" s="347">
        <v>63.54</v>
      </c>
      <c r="Y502" s="357">
        <v>64.400000000000006</v>
      </c>
      <c r="Z502" s="365" t="s">
        <v>2689</v>
      </c>
      <c r="AA502" s="350">
        <v>111.11</v>
      </c>
      <c r="AB502" s="349" t="s">
        <v>2685</v>
      </c>
      <c r="AC502" s="350">
        <v>0</v>
      </c>
      <c r="AD502" s="349" t="s">
        <v>2685</v>
      </c>
      <c r="AE502" s="364">
        <v>0</v>
      </c>
      <c r="AF502" s="366">
        <v>6.44</v>
      </c>
      <c r="AG502" s="363">
        <v>0</v>
      </c>
      <c r="AH502" s="635" t="s">
        <v>7791</v>
      </c>
      <c r="AI502" s="324"/>
      <c r="AL502" s="487" t="s">
        <v>14716</v>
      </c>
      <c r="AM502" s="477" t="s">
        <v>70</v>
      </c>
      <c r="AN502" s="637">
        <v>100</v>
      </c>
      <c r="AO502" s="478">
        <v>-1079</v>
      </c>
      <c r="AP502" s="463">
        <v>-1079</v>
      </c>
      <c r="AQ502" s="479">
        <v>0</v>
      </c>
      <c r="AR502" s="476" t="s">
        <v>14717</v>
      </c>
      <c r="BA502" s="313" t="s">
        <v>3647</v>
      </c>
    </row>
    <row r="503" spans="2:53" ht="16.5" customHeight="1">
      <c r="B503" s="367" t="s">
        <v>3645</v>
      </c>
      <c r="C503" s="351" t="s">
        <v>3646</v>
      </c>
      <c r="D503" s="353">
        <v>-1080</v>
      </c>
      <c r="E503" s="352" t="s">
        <v>408</v>
      </c>
      <c r="F503" s="341">
        <v>91.6</v>
      </c>
      <c r="G503" s="355" t="s">
        <v>9325</v>
      </c>
      <c r="H503" s="356" t="s">
        <v>8991</v>
      </c>
      <c r="I503" s="354" t="s">
        <v>82</v>
      </c>
      <c r="J503" s="340" t="s">
        <v>9074</v>
      </c>
      <c r="K503" s="339" t="s">
        <v>70</v>
      </c>
      <c r="L503" s="357">
        <v>36</v>
      </c>
      <c r="M503" s="358" t="s">
        <v>9326</v>
      </c>
      <c r="N503" s="359">
        <v>800</v>
      </c>
      <c r="O503" s="360" t="s">
        <v>530</v>
      </c>
      <c r="P503" s="343" t="s">
        <v>531</v>
      </c>
      <c r="Q503" s="342" t="s">
        <v>2688</v>
      </c>
      <c r="R503" s="344">
        <v>20</v>
      </c>
      <c r="S503" s="345">
        <v>35</v>
      </c>
      <c r="T503" s="362">
        <v>30</v>
      </c>
      <c r="U503" s="361">
        <v>91.6</v>
      </c>
      <c r="V503" s="346">
        <v>126.69337079752995</v>
      </c>
      <c r="W503" s="348">
        <v>124.93836377299309</v>
      </c>
      <c r="X503" s="347">
        <v>63.54</v>
      </c>
      <c r="Y503" s="357">
        <v>64.400000000000006</v>
      </c>
      <c r="Z503" s="365" t="s">
        <v>3017</v>
      </c>
      <c r="AA503" s="350">
        <v>117.6</v>
      </c>
      <c r="AB503" s="349" t="s">
        <v>2685</v>
      </c>
      <c r="AC503" s="350">
        <v>0</v>
      </c>
      <c r="AD503" s="349" t="s">
        <v>2685</v>
      </c>
      <c r="AE503" s="364">
        <v>0</v>
      </c>
      <c r="AF503" s="366">
        <v>9.6</v>
      </c>
      <c r="AG503" s="363">
        <v>0</v>
      </c>
      <c r="AH503" s="635" t="s">
        <v>7814</v>
      </c>
      <c r="AI503" s="324"/>
      <c r="AL503" s="487" t="s">
        <v>14718</v>
      </c>
      <c r="AM503" s="477" t="s">
        <v>70</v>
      </c>
      <c r="AN503" s="637">
        <v>100</v>
      </c>
      <c r="AO503" s="478">
        <v>-1080</v>
      </c>
      <c r="AP503" s="463">
        <v>-1080</v>
      </c>
      <c r="AQ503" s="479">
        <v>0</v>
      </c>
      <c r="AR503" s="476" t="s">
        <v>14717</v>
      </c>
      <c r="BA503" s="313" t="s">
        <v>3649</v>
      </c>
    </row>
    <row r="504" spans="2:53" ht="16.5" customHeight="1">
      <c r="B504" s="367" t="s">
        <v>9268</v>
      </c>
      <c r="C504" s="351" t="s">
        <v>9269</v>
      </c>
      <c r="D504" s="353">
        <v>-1081</v>
      </c>
      <c r="E504" s="352" t="s">
        <v>408</v>
      </c>
      <c r="F504" s="341">
        <v>91.57</v>
      </c>
      <c r="G504" s="355" t="s">
        <v>9327</v>
      </c>
      <c r="H504" s="356" t="s">
        <v>9328</v>
      </c>
      <c r="I504" s="354" t="s">
        <v>217</v>
      </c>
      <c r="J504" s="340" t="s">
        <v>9329</v>
      </c>
      <c r="K504" s="339" t="s">
        <v>70</v>
      </c>
      <c r="L504" s="357">
        <v>12</v>
      </c>
      <c r="M504" s="358" t="s">
        <v>6191</v>
      </c>
      <c r="N504" s="359">
        <v>1000</v>
      </c>
      <c r="O504" s="360" t="s">
        <v>530</v>
      </c>
      <c r="P504" s="343" t="s">
        <v>531</v>
      </c>
      <c r="Q504" s="342" t="s">
        <v>2688</v>
      </c>
      <c r="R504" s="344">
        <v>30</v>
      </c>
      <c r="S504" s="345">
        <v>40</v>
      </c>
      <c r="T504" s="362">
        <v>20</v>
      </c>
      <c r="U504" s="361">
        <v>91.57</v>
      </c>
      <c r="V504" s="346">
        <v>126.66633834031026</v>
      </c>
      <c r="W504" s="348">
        <v>124.91639990150209</v>
      </c>
      <c r="X504" s="347">
        <v>63.53</v>
      </c>
      <c r="Y504" s="357">
        <v>64.38000000000001</v>
      </c>
      <c r="Z504" s="365" t="s">
        <v>3017</v>
      </c>
      <c r="AA504" s="350">
        <v>98.5</v>
      </c>
      <c r="AB504" s="349" t="s">
        <v>2685</v>
      </c>
      <c r="AC504" s="350">
        <v>0</v>
      </c>
      <c r="AD504" s="349" t="s">
        <v>2685</v>
      </c>
      <c r="AE504" s="364">
        <v>0</v>
      </c>
      <c r="AF504" s="366">
        <v>0</v>
      </c>
      <c r="AG504" s="363">
        <v>0</v>
      </c>
      <c r="AH504" s="635" t="s">
        <v>408</v>
      </c>
      <c r="AI504" s="324"/>
      <c r="AL504" s="487" t="s">
        <v>14719</v>
      </c>
      <c r="AM504" s="477" t="s">
        <v>70</v>
      </c>
      <c r="AN504" s="637">
        <v>100</v>
      </c>
      <c r="AO504" s="478">
        <v>-1081</v>
      </c>
      <c r="AP504" s="463">
        <v>-1081</v>
      </c>
      <c r="AQ504" s="479">
        <v>0</v>
      </c>
      <c r="AR504" s="476" t="s">
        <v>14720</v>
      </c>
      <c r="BA504" s="313" t="s">
        <v>3652</v>
      </c>
    </row>
    <row r="505" spans="2:53" ht="16.5" customHeight="1">
      <c r="B505" s="367" t="s">
        <v>9268</v>
      </c>
      <c r="C505" s="351" t="s">
        <v>9269</v>
      </c>
      <c r="D505" s="353">
        <v>-1082</v>
      </c>
      <c r="E505" s="352" t="s">
        <v>408</v>
      </c>
      <c r="F505" s="341">
        <v>91.55</v>
      </c>
      <c r="G505" s="355" t="s">
        <v>9330</v>
      </c>
      <c r="H505" s="356" t="s">
        <v>9328</v>
      </c>
      <c r="I505" s="354" t="s">
        <v>217</v>
      </c>
      <c r="J505" s="340" t="s">
        <v>551</v>
      </c>
      <c r="K505" s="339" t="s">
        <v>70</v>
      </c>
      <c r="L505" s="357">
        <v>8</v>
      </c>
      <c r="M505" s="358" t="s">
        <v>9331</v>
      </c>
      <c r="N505" s="359">
        <v>1000</v>
      </c>
      <c r="O505" s="360" t="s">
        <v>530</v>
      </c>
      <c r="P505" s="343" t="s">
        <v>531</v>
      </c>
      <c r="Q505" s="342" t="s">
        <v>2688</v>
      </c>
      <c r="R505" s="344">
        <v>30</v>
      </c>
      <c r="S505" s="345">
        <v>40</v>
      </c>
      <c r="T505" s="362">
        <v>20</v>
      </c>
      <c r="U505" s="361">
        <v>91.55</v>
      </c>
      <c r="V505" s="346">
        <v>126.6564885496183</v>
      </c>
      <c r="W505" s="348">
        <v>124.90839694656486</v>
      </c>
      <c r="X505" s="347">
        <v>63.52</v>
      </c>
      <c r="Y505" s="357">
        <v>64.37</v>
      </c>
      <c r="Z505" s="365" t="s">
        <v>3017</v>
      </c>
      <c r="AA505" s="350">
        <v>98.5</v>
      </c>
      <c r="AB505" s="349" t="s">
        <v>2685</v>
      </c>
      <c r="AC505" s="350">
        <v>0</v>
      </c>
      <c r="AD505" s="349" t="s">
        <v>2685</v>
      </c>
      <c r="AE505" s="364">
        <v>0</v>
      </c>
      <c r="AF505" s="366">
        <v>0</v>
      </c>
      <c r="AG505" s="363">
        <v>0</v>
      </c>
      <c r="AH505" s="635" t="s">
        <v>408</v>
      </c>
      <c r="AI505" s="324"/>
      <c r="AL505" s="487" t="s">
        <v>14721</v>
      </c>
      <c r="AM505" s="477" t="s">
        <v>70</v>
      </c>
      <c r="AN505" s="637">
        <v>100</v>
      </c>
      <c r="AO505" s="478">
        <v>-1082</v>
      </c>
      <c r="AP505" s="463">
        <v>-1082</v>
      </c>
      <c r="AQ505" s="479">
        <v>0</v>
      </c>
      <c r="AR505" s="476" t="s">
        <v>14720</v>
      </c>
      <c r="BA505" s="313" t="s">
        <v>3655</v>
      </c>
    </row>
    <row r="506" spans="2:53" ht="16.5" customHeight="1">
      <c r="B506" s="367" t="s">
        <v>9268</v>
      </c>
      <c r="C506" s="351" t="s">
        <v>9269</v>
      </c>
      <c r="D506" s="353">
        <v>-1083</v>
      </c>
      <c r="E506" s="352" t="s">
        <v>3842</v>
      </c>
      <c r="F506" s="341">
        <v>91.55</v>
      </c>
      <c r="G506" s="355" t="s">
        <v>9769</v>
      </c>
      <c r="H506" s="356" t="s">
        <v>8995</v>
      </c>
      <c r="I506" s="354" t="s">
        <v>83</v>
      </c>
      <c r="J506" s="340" t="s">
        <v>9332</v>
      </c>
      <c r="K506" s="339" t="s">
        <v>71</v>
      </c>
      <c r="L506" s="357">
        <v>9</v>
      </c>
      <c r="M506" s="358" t="s">
        <v>9333</v>
      </c>
      <c r="N506" s="359">
        <v>1000</v>
      </c>
      <c r="O506" s="360" t="s">
        <v>532</v>
      </c>
      <c r="P506" s="343" t="s">
        <v>533</v>
      </c>
      <c r="Q506" s="342" t="s">
        <v>2688</v>
      </c>
      <c r="R506" s="344">
        <v>35</v>
      </c>
      <c r="S506" s="345">
        <v>30</v>
      </c>
      <c r="T506" s="362">
        <v>20</v>
      </c>
      <c r="U506" s="361">
        <v>91.55</v>
      </c>
      <c r="V506" s="346">
        <v>126.65719471382694</v>
      </c>
      <c r="W506" s="348">
        <v>124.90897070498438</v>
      </c>
      <c r="X506" s="347">
        <v>63.83</v>
      </c>
      <c r="Y506" s="357">
        <v>63.9</v>
      </c>
      <c r="Z506" s="365" t="s">
        <v>3017</v>
      </c>
      <c r="AA506" s="350">
        <v>148</v>
      </c>
      <c r="AB506" s="349" t="s">
        <v>2685</v>
      </c>
      <c r="AC506" s="350">
        <v>0</v>
      </c>
      <c r="AD506" s="349" t="s">
        <v>2685</v>
      </c>
      <c r="AE506" s="364">
        <v>0</v>
      </c>
      <c r="AF506" s="366">
        <v>5.4859999999999998</v>
      </c>
      <c r="AG506" s="363">
        <v>0</v>
      </c>
      <c r="AH506" s="635" t="s">
        <v>8698</v>
      </c>
      <c r="AI506" s="324"/>
      <c r="AL506" s="487" t="s">
        <v>14722</v>
      </c>
      <c r="AM506" s="477" t="s">
        <v>71</v>
      </c>
      <c r="AN506" s="637">
        <v>100</v>
      </c>
      <c r="AO506" s="478">
        <v>-1083</v>
      </c>
      <c r="AP506" s="463">
        <v>-578</v>
      </c>
      <c r="AQ506" s="479">
        <v>-505</v>
      </c>
      <c r="AR506" s="476" t="s">
        <v>16920</v>
      </c>
      <c r="BA506" s="313" t="s">
        <v>3656</v>
      </c>
    </row>
    <row r="507" spans="2:53" ht="16.5" customHeight="1">
      <c r="B507" s="367" t="s">
        <v>9268</v>
      </c>
      <c r="C507" s="351" t="s">
        <v>9269</v>
      </c>
      <c r="D507" s="353">
        <v>-1084</v>
      </c>
      <c r="E507" s="352" t="s">
        <v>9334</v>
      </c>
      <c r="F507" s="341">
        <v>91.55</v>
      </c>
      <c r="G507" s="355" t="s">
        <v>9769</v>
      </c>
      <c r="H507" s="356" t="s">
        <v>9416</v>
      </c>
      <c r="I507" s="354" t="s">
        <v>80</v>
      </c>
      <c r="J507" s="340" t="s">
        <v>8772</v>
      </c>
      <c r="K507" s="339" t="s">
        <v>71</v>
      </c>
      <c r="L507" s="357">
        <v>9</v>
      </c>
      <c r="M507" s="358" t="s">
        <v>9335</v>
      </c>
      <c r="N507" s="359">
        <v>1000</v>
      </c>
      <c r="O507" s="360" t="s">
        <v>532</v>
      </c>
      <c r="P507" s="343" t="s">
        <v>533</v>
      </c>
      <c r="Q507" s="342" t="s">
        <v>2688</v>
      </c>
      <c r="R507" s="344">
        <v>35</v>
      </c>
      <c r="S507" s="345">
        <v>30</v>
      </c>
      <c r="T507" s="362">
        <v>25</v>
      </c>
      <c r="U507" s="361">
        <v>91.55</v>
      </c>
      <c r="V507" s="346">
        <v>126.65699168700884</v>
      </c>
      <c r="W507" s="348">
        <v>124.90880574569468</v>
      </c>
      <c r="X507" s="347">
        <v>63.83</v>
      </c>
      <c r="Y507" s="357">
        <v>66.260000000000005</v>
      </c>
      <c r="Z507" s="365" t="s">
        <v>2689</v>
      </c>
      <c r="AA507" s="350">
        <v>100</v>
      </c>
      <c r="AB507" s="349" t="s">
        <v>2685</v>
      </c>
      <c r="AC507" s="350">
        <v>0</v>
      </c>
      <c r="AD507" s="349" t="s">
        <v>2685</v>
      </c>
      <c r="AE507" s="364">
        <v>0</v>
      </c>
      <c r="AF507" s="366">
        <v>0</v>
      </c>
      <c r="AG507" s="363">
        <v>0</v>
      </c>
      <c r="AH507" s="635" t="s">
        <v>408</v>
      </c>
      <c r="AI507" s="324"/>
      <c r="AL507" s="487" t="s">
        <v>14723</v>
      </c>
      <c r="AM507" s="477" t="s">
        <v>71</v>
      </c>
      <c r="AN507" s="637">
        <v>100</v>
      </c>
      <c r="AO507" s="478">
        <v>-1084</v>
      </c>
      <c r="AP507" s="463">
        <v>-579</v>
      </c>
      <c r="AQ507" s="479">
        <v>-505</v>
      </c>
      <c r="AR507" s="476" t="s">
        <v>16920</v>
      </c>
      <c r="BA507" s="313" t="s">
        <v>3659</v>
      </c>
    </row>
    <row r="508" spans="2:53" ht="16.5" customHeight="1">
      <c r="B508" s="367" t="s">
        <v>9268</v>
      </c>
      <c r="C508" s="351" t="s">
        <v>9269</v>
      </c>
      <c r="D508" s="353">
        <v>-1085</v>
      </c>
      <c r="E508" s="352" t="s">
        <v>408</v>
      </c>
      <c r="F508" s="341">
        <v>91.54</v>
      </c>
      <c r="G508" s="355" t="s">
        <v>3849</v>
      </c>
      <c r="H508" s="356" t="s">
        <v>8996</v>
      </c>
      <c r="I508" s="354" t="s">
        <v>9336</v>
      </c>
      <c r="J508" s="340" t="s">
        <v>9337</v>
      </c>
      <c r="K508" s="339" t="s">
        <v>70</v>
      </c>
      <c r="L508" s="357">
        <v>22</v>
      </c>
      <c r="M508" s="358" t="s">
        <v>9338</v>
      </c>
      <c r="N508" s="359">
        <v>700</v>
      </c>
      <c r="O508" s="360" t="s">
        <v>532</v>
      </c>
      <c r="P508" s="343" t="s">
        <v>533</v>
      </c>
      <c r="Q508" s="342" t="s">
        <v>2688</v>
      </c>
      <c r="R508" s="344">
        <v>20</v>
      </c>
      <c r="S508" s="345">
        <v>35</v>
      </c>
      <c r="T508" s="362">
        <v>30</v>
      </c>
      <c r="U508" s="361">
        <v>91.54</v>
      </c>
      <c r="V508" s="346">
        <v>126.64294478165161</v>
      </c>
      <c r="W508" s="348">
        <v>124.89739263509193</v>
      </c>
      <c r="X508" s="347">
        <v>63.51</v>
      </c>
      <c r="Y508" s="357">
        <v>66.800000000000011</v>
      </c>
      <c r="Z508" s="365" t="s">
        <v>3017</v>
      </c>
      <c r="AA508" s="350">
        <v>104.5</v>
      </c>
      <c r="AB508" s="349" t="s">
        <v>2685</v>
      </c>
      <c r="AC508" s="350">
        <v>0</v>
      </c>
      <c r="AD508" s="349" t="s">
        <v>2685</v>
      </c>
      <c r="AE508" s="364">
        <v>0</v>
      </c>
      <c r="AF508" s="366">
        <v>0</v>
      </c>
      <c r="AG508" s="363">
        <v>0</v>
      </c>
      <c r="AH508" s="635" t="s">
        <v>408</v>
      </c>
      <c r="AI508" s="324"/>
      <c r="AL508" s="487" t="s">
        <v>14724</v>
      </c>
      <c r="AM508" s="477" t="s">
        <v>70</v>
      </c>
      <c r="AN508" s="637">
        <v>100</v>
      </c>
      <c r="AO508" s="478">
        <v>-1085</v>
      </c>
      <c r="AP508" s="463">
        <v>-1085</v>
      </c>
      <c r="AQ508" s="479">
        <v>0</v>
      </c>
      <c r="AR508" s="476" t="s">
        <v>14725</v>
      </c>
      <c r="BA508" s="313" t="s">
        <v>3660</v>
      </c>
    </row>
    <row r="509" spans="2:53" ht="16.5" customHeight="1">
      <c r="B509" s="367" t="s">
        <v>9268</v>
      </c>
      <c r="C509" s="351" t="s">
        <v>9269</v>
      </c>
      <c r="D509" s="353">
        <v>-1086</v>
      </c>
      <c r="E509" s="352" t="s">
        <v>408</v>
      </c>
      <c r="F509" s="341">
        <v>91.53</v>
      </c>
      <c r="G509" s="355" t="s">
        <v>3842</v>
      </c>
      <c r="H509" s="356" t="s">
        <v>8996</v>
      </c>
      <c r="I509" s="354" t="s">
        <v>83</v>
      </c>
      <c r="J509" s="340" t="s">
        <v>9339</v>
      </c>
      <c r="K509" s="339" t="s">
        <v>70</v>
      </c>
      <c r="L509" s="357">
        <v>14</v>
      </c>
      <c r="M509" s="358" t="s">
        <v>9340</v>
      </c>
      <c r="N509" s="359">
        <v>1000</v>
      </c>
      <c r="O509" s="360" t="s">
        <v>532</v>
      </c>
      <c r="P509" s="343" t="s">
        <v>533</v>
      </c>
      <c r="Q509" s="342" t="s">
        <v>2688</v>
      </c>
      <c r="R509" s="344">
        <v>20</v>
      </c>
      <c r="S509" s="345">
        <v>40</v>
      </c>
      <c r="T509" s="362">
        <v>30</v>
      </c>
      <c r="U509" s="361">
        <v>91.53</v>
      </c>
      <c r="V509" s="346">
        <v>126.63836912808216</v>
      </c>
      <c r="W509" s="348">
        <v>124.89367491656675</v>
      </c>
      <c r="X509" s="347">
        <v>63.51</v>
      </c>
      <c r="Y509" s="357">
        <v>63.919999999999995</v>
      </c>
      <c r="Z509" s="365" t="s">
        <v>3017</v>
      </c>
      <c r="AA509" s="350">
        <v>98</v>
      </c>
      <c r="AB509" s="349" t="s">
        <v>2685</v>
      </c>
      <c r="AC509" s="350">
        <v>0</v>
      </c>
      <c r="AD509" s="349" t="s">
        <v>2685</v>
      </c>
      <c r="AE509" s="364">
        <v>0</v>
      </c>
      <c r="AF509" s="366">
        <v>19.14</v>
      </c>
      <c r="AG509" s="363">
        <v>0</v>
      </c>
      <c r="AH509" s="635" t="s">
        <v>7791</v>
      </c>
      <c r="AI509" s="324"/>
      <c r="AL509" s="487" t="s">
        <v>14726</v>
      </c>
      <c r="AM509" s="477" t="s">
        <v>70</v>
      </c>
      <c r="AN509" s="637">
        <v>100</v>
      </c>
      <c r="AO509" s="478">
        <v>-1086</v>
      </c>
      <c r="AP509" s="463">
        <v>-1086</v>
      </c>
      <c r="AQ509" s="479">
        <v>0</v>
      </c>
      <c r="AR509" s="476" t="s">
        <v>14725</v>
      </c>
      <c r="BA509" s="313" t="s">
        <v>3662</v>
      </c>
    </row>
    <row r="510" spans="2:53" ht="16.5" customHeight="1">
      <c r="B510" s="367" t="s">
        <v>9268</v>
      </c>
      <c r="C510" s="351" t="s">
        <v>9269</v>
      </c>
      <c r="D510" s="353">
        <v>-1087</v>
      </c>
      <c r="E510" s="352" t="s">
        <v>408</v>
      </c>
      <c r="F510" s="341">
        <v>91.52</v>
      </c>
      <c r="G510" s="355" t="s">
        <v>9341</v>
      </c>
      <c r="H510" s="356" t="s">
        <v>8996</v>
      </c>
      <c r="I510" s="354" t="s">
        <v>73</v>
      </c>
      <c r="J510" s="340" t="s">
        <v>9342</v>
      </c>
      <c r="K510" s="339" t="s">
        <v>70</v>
      </c>
      <c r="L510" s="357" t="s">
        <v>408</v>
      </c>
      <c r="M510" s="358" t="s">
        <v>9343</v>
      </c>
      <c r="N510" s="359">
        <v>1000</v>
      </c>
      <c r="O510" s="360" t="s">
        <v>530</v>
      </c>
      <c r="P510" s="343" t="s">
        <v>531</v>
      </c>
      <c r="Q510" s="342" t="s">
        <v>2688</v>
      </c>
      <c r="R510" s="344">
        <v>22</v>
      </c>
      <c r="S510" s="345">
        <v>33</v>
      </c>
      <c r="T510" s="362">
        <v>33</v>
      </c>
      <c r="U510" s="361">
        <v>91.52</v>
      </c>
      <c r="V510" s="346">
        <v>126.63358045442268</v>
      </c>
      <c r="W510" s="348">
        <v>124.88978411921843</v>
      </c>
      <c r="X510" s="347">
        <v>63.51</v>
      </c>
      <c r="Y510" s="357">
        <v>64.37</v>
      </c>
      <c r="Z510" s="365" t="s">
        <v>2689</v>
      </c>
      <c r="AA510" s="350">
        <v>111.11</v>
      </c>
      <c r="AB510" s="349" t="s">
        <v>2685</v>
      </c>
      <c r="AC510" s="350">
        <v>0</v>
      </c>
      <c r="AD510" s="349" t="s">
        <v>2685</v>
      </c>
      <c r="AE510" s="364">
        <v>0</v>
      </c>
      <c r="AF510" s="366">
        <v>6.4370000000000003</v>
      </c>
      <c r="AG510" s="363">
        <v>0</v>
      </c>
      <c r="AH510" s="635" t="s">
        <v>7791</v>
      </c>
      <c r="AI510" s="324"/>
      <c r="AL510" s="487" t="s">
        <v>14728</v>
      </c>
      <c r="AM510" s="477" t="s">
        <v>70</v>
      </c>
      <c r="AN510" s="637">
        <v>100</v>
      </c>
      <c r="AO510" s="478">
        <v>-1087</v>
      </c>
      <c r="AP510" s="463">
        <v>-1087</v>
      </c>
      <c r="AQ510" s="479">
        <v>0</v>
      </c>
      <c r="AR510" s="476" t="s">
        <v>14727</v>
      </c>
      <c r="BA510" s="313" t="s">
        <v>3665</v>
      </c>
    </row>
    <row r="511" spans="2:53" ht="16.5" customHeight="1">
      <c r="B511" s="367" t="s">
        <v>3650</v>
      </c>
      <c r="C511" s="351" t="s">
        <v>3651</v>
      </c>
      <c r="D511" s="353">
        <v>-1088</v>
      </c>
      <c r="E511" s="352" t="s">
        <v>408</v>
      </c>
      <c r="F511" s="341">
        <v>91.51</v>
      </c>
      <c r="G511" s="355" t="s">
        <v>9344</v>
      </c>
      <c r="H511" s="356" t="s">
        <v>9001</v>
      </c>
      <c r="I511" s="354" t="s">
        <v>217</v>
      </c>
      <c r="J511" s="340" t="s">
        <v>9345</v>
      </c>
      <c r="K511" s="339" t="s">
        <v>70</v>
      </c>
      <c r="L511" s="357">
        <v>17</v>
      </c>
      <c r="M511" s="358" t="s">
        <v>9346</v>
      </c>
      <c r="N511" s="359">
        <v>1000</v>
      </c>
      <c r="O511" s="360" t="s">
        <v>530</v>
      </c>
      <c r="P511" s="343" t="s">
        <v>531</v>
      </c>
      <c r="Q511" s="342" t="s">
        <v>2688</v>
      </c>
      <c r="R511" s="344">
        <v>30</v>
      </c>
      <c r="S511" s="345">
        <v>40</v>
      </c>
      <c r="T511" s="362">
        <v>20</v>
      </c>
      <c r="U511" s="361">
        <v>91.51</v>
      </c>
      <c r="V511" s="346">
        <v>126.62201428219649</v>
      </c>
      <c r="W511" s="348">
        <v>124.88038660428465</v>
      </c>
      <c r="X511" s="347">
        <v>63.5</v>
      </c>
      <c r="Y511" s="357">
        <v>64.36</v>
      </c>
      <c r="Z511" s="365" t="s">
        <v>3017</v>
      </c>
      <c r="AA511" s="350">
        <v>98.5</v>
      </c>
      <c r="AB511" s="349" t="s">
        <v>2685</v>
      </c>
      <c r="AC511" s="350">
        <v>0</v>
      </c>
      <c r="AD511" s="349" t="s">
        <v>2685</v>
      </c>
      <c r="AE511" s="364">
        <v>0</v>
      </c>
      <c r="AF511" s="366">
        <v>0</v>
      </c>
      <c r="AG511" s="363">
        <v>0</v>
      </c>
      <c r="AH511" s="635" t="s">
        <v>408</v>
      </c>
      <c r="AI511" s="324"/>
      <c r="AL511" s="487" t="s">
        <v>14729</v>
      </c>
      <c r="AM511" s="477" t="s">
        <v>70</v>
      </c>
      <c r="AN511" s="637">
        <v>100</v>
      </c>
      <c r="AO511" s="478">
        <v>-1088</v>
      </c>
      <c r="AP511" s="463">
        <v>-1088</v>
      </c>
      <c r="AQ511" s="479">
        <v>0</v>
      </c>
      <c r="AR511" s="476" t="s">
        <v>14725</v>
      </c>
      <c r="BA511" s="313" t="s">
        <v>3667</v>
      </c>
    </row>
    <row r="512" spans="2:53" ht="16.5" customHeight="1">
      <c r="B512" s="367" t="s">
        <v>3650</v>
      </c>
      <c r="C512" s="351" t="s">
        <v>3651</v>
      </c>
      <c r="D512" s="353">
        <v>-1089</v>
      </c>
      <c r="E512" s="352" t="s">
        <v>408</v>
      </c>
      <c r="F512" s="341">
        <v>91.48</v>
      </c>
      <c r="G512" s="355" t="s">
        <v>3855</v>
      </c>
      <c r="H512" s="356" t="s">
        <v>8978</v>
      </c>
      <c r="I512" s="354" t="s">
        <v>217</v>
      </c>
      <c r="J512" s="340" t="s">
        <v>9347</v>
      </c>
      <c r="K512" s="339" t="s">
        <v>70</v>
      </c>
      <c r="L512" s="357">
        <v>31</v>
      </c>
      <c r="M512" s="358" t="s">
        <v>3962</v>
      </c>
      <c r="N512" s="359">
        <v>1000</v>
      </c>
      <c r="O512" s="360" t="s">
        <v>530</v>
      </c>
      <c r="P512" s="343" t="s">
        <v>531</v>
      </c>
      <c r="Q512" s="342" t="s">
        <v>2688</v>
      </c>
      <c r="R512" s="344">
        <v>30</v>
      </c>
      <c r="S512" s="345">
        <v>40</v>
      </c>
      <c r="T512" s="362">
        <v>20</v>
      </c>
      <c r="U512" s="361">
        <v>91.48</v>
      </c>
      <c r="V512" s="346">
        <v>126.59738980546662</v>
      </c>
      <c r="W512" s="348">
        <v>124.86037921694162</v>
      </c>
      <c r="X512" s="347">
        <v>63.5</v>
      </c>
      <c r="Y512" s="357">
        <v>64.350000000000009</v>
      </c>
      <c r="Z512" s="365" t="s">
        <v>3017</v>
      </c>
      <c r="AA512" s="350">
        <v>98.5</v>
      </c>
      <c r="AB512" s="349" t="s">
        <v>2685</v>
      </c>
      <c r="AC512" s="350">
        <v>0</v>
      </c>
      <c r="AD512" s="349" t="s">
        <v>2685</v>
      </c>
      <c r="AE512" s="364">
        <v>0</v>
      </c>
      <c r="AF512" s="366">
        <v>0</v>
      </c>
      <c r="AG512" s="363">
        <v>0</v>
      </c>
      <c r="AH512" s="635" t="s">
        <v>408</v>
      </c>
      <c r="AI512" s="324"/>
      <c r="AL512" s="487" t="s">
        <v>14730</v>
      </c>
      <c r="AM512" s="477" t="s">
        <v>70</v>
      </c>
      <c r="AN512" s="637">
        <v>100</v>
      </c>
      <c r="AO512" s="478">
        <v>-1089</v>
      </c>
      <c r="AP512" s="463">
        <v>-1089</v>
      </c>
      <c r="AQ512" s="479">
        <v>0</v>
      </c>
      <c r="AR512" s="476" t="s">
        <v>14731</v>
      </c>
      <c r="BA512" s="313" t="s">
        <v>3671</v>
      </c>
    </row>
    <row r="513" spans="2:53" ht="16.5" customHeight="1">
      <c r="B513" s="367" t="s">
        <v>3650</v>
      </c>
      <c r="C513" s="351" t="s">
        <v>3651</v>
      </c>
      <c r="D513" s="353">
        <v>-1090</v>
      </c>
      <c r="E513" s="352" t="s">
        <v>408</v>
      </c>
      <c r="F513" s="341">
        <v>91.47</v>
      </c>
      <c r="G513" s="355" t="s">
        <v>9348</v>
      </c>
      <c r="H513" s="356" t="s">
        <v>8978</v>
      </c>
      <c r="I513" s="354" t="s">
        <v>83</v>
      </c>
      <c r="J513" s="340" t="s">
        <v>9349</v>
      </c>
      <c r="K513" s="339" t="s">
        <v>70</v>
      </c>
      <c r="L513" s="357">
        <v>14</v>
      </c>
      <c r="M513" s="358" t="s">
        <v>9350</v>
      </c>
      <c r="N513" s="359">
        <v>1000</v>
      </c>
      <c r="O513" s="360" t="s">
        <v>532</v>
      </c>
      <c r="P513" s="343" t="s">
        <v>533</v>
      </c>
      <c r="Q513" s="342" t="s">
        <v>2688</v>
      </c>
      <c r="R513" s="344">
        <v>20</v>
      </c>
      <c r="S513" s="345">
        <v>35</v>
      </c>
      <c r="T513" s="362">
        <v>35</v>
      </c>
      <c r="U513" s="361">
        <v>91.47</v>
      </c>
      <c r="V513" s="346">
        <v>126.58956858895749</v>
      </c>
      <c r="W513" s="348">
        <v>124.85402447852798</v>
      </c>
      <c r="X513" s="347">
        <v>63.49</v>
      </c>
      <c r="Y513" s="357">
        <v>63.9</v>
      </c>
      <c r="Z513" s="365" t="s">
        <v>3017</v>
      </c>
      <c r="AA513" s="350">
        <v>98</v>
      </c>
      <c r="AB513" s="349" t="s">
        <v>2685</v>
      </c>
      <c r="AC513" s="350">
        <v>0</v>
      </c>
      <c r="AD513" s="349" t="s">
        <v>2685</v>
      </c>
      <c r="AE513" s="364">
        <v>0</v>
      </c>
      <c r="AF513" s="366">
        <v>22.324000000000002</v>
      </c>
      <c r="AG513" s="363">
        <v>0</v>
      </c>
      <c r="AH513" s="635" t="s">
        <v>7791</v>
      </c>
      <c r="AI513" s="324"/>
      <c r="AL513" s="487" t="s">
        <v>14732</v>
      </c>
      <c r="AM513" s="477" t="s">
        <v>70</v>
      </c>
      <c r="AN513" s="637">
        <v>100</v>
      </c>
      <c r="AO513" s="478">
        <v>-1090</v>
      </c>
      <c r="AP513" s="463">
        <v>-1090</v>
      </c>
      <c r="AQ513" s="479">
        <v>0</v>
      </c>
      <c r="AR513" s="476" t="s">
        <v>14731</v>
      </c>
      <c r="BA513" s="313" t="s">
        <v>3673</v>
      </c>
    </row>
    <row r="514" spans="2:53" ht="16.5" customHeight="1">
      <c r="B514" s="367" t="s">
        <v>3650</v>
      </c>
      <c r="C514" s="351" t="s">
        <v>3651</v>
      </c>
      <c r="D514" s="353">
        <v>-1091</v>
      </c>
      <c r="E514" s="352" t="s">
        <v>9348</v>
      </c>
      <c r="F514" s="341">
        <v>91.46</v>
      </c>
      <c r="G514" s="355" t="s">
        <v>9282</v>
      </c>
      <c r="H514" s="356" t="s">
        <v>9010</v>
      </c>
      <c r="I514" s="354" t="s">
        <v>82</v>
      </c>
      <c r="J514" s="340" t="s">
        <v>9351</v>
      </c>
      <c r="K514" s="339" t="s">
        <v>71</v>
      </c>
      <c r="L514" s="357">
        <v>22</v>
      </c>
      <c r="M514" s="358" t="s">
        <v>9352</v>
      </c>
      <c r="N514" s="359">
        <v>800</v>
      </c>
      <c r="O514" s="360" t="s">
        <v>530</v>
      </c>
      <c r="P514" s="343" t="s">
        <v>531</v>
      </c>
      <c r="Q514" s="342" t="s">
        <v>2688</v>
      </c>
      <c r="R514" s="344">
        <v>30</v>
      </c>
      <c r="S514" s="345">
        <v>30</v>
      </c>
      <c r="T514" s="362">
        <v>25</v>
      </c>
      <c r="U514" s="361">
        <v>91.46</v>
      </c>
      <c r="V514" s="346">
        <v>126.58694953391191</v>
      </c>
      <c r="W514" s="348">
        <v>124.85189649630343</v>
      </c>
      <c r="X514" s="347">
        <v>63.79</v>
      </c>
      <c r="Y514" s="357">
        <v>64.350000000000009</v>
      </c>
      <c r="Z514" s="365" t="s">
        <v>3017</v>
      </c>
      <c r="AA514" s="350">
        <v>117.6</v>
      </c>
      <c r="AB514" s="349" t="s">
        <v>2685</v>
      </c>
      <c r="AC514" s="350">
        <v>0</v>
      </c>
      <c r="AD514" s="349" t="s">
        <v>2685</v>
      </c>
      <c r="AE514" s="364">
        <v>0</v>
      </c>
      <c r="AF514" s="366">
        <v>0</v>
      </c>
      <c r="AG514" s="363">
        <v>0</v>
      </c>
      <c r="AH514" s="635" t="s">
        <v>408</v>
      </c>
      <c r="AI514" s="324"/>
      <c r="AL514" s="487" t="s">
        <v>14733</v>
      </c>
      <c r="AM514" s="477" t="s">
        <v>71</v>
      </c>
      <c r="AN514" s="637">
        <v>100</v>
      </c>
      <c r="AO514" s="478">
        <v>-1091</v>
      </c>
      <c r="AP514" s="463">
        <v>-582</v>
      </c>
      <c r="AQ514" s="479">
        <v>-509</v>
      </c>
      <c r="AR514" s="476" t="s">
        <v>14756</v>
      </c>
      <c r="BA514" s="313" t="s">
        <v>3677</v>
      </c>
    </row>
    <row r="515" spans="2:53" ht="16.5" customHeight="1">
      <c r="B515" s="367" t="s">
        <v>3650</v>
      </c>
      <c r="C515" s="351" t="s">
        <v>3651</v>
      </c>
      <c r="D515" s="353">
        <v>-1092</v>
      </c>
      <c r="E515" s="352" t="s">
        <v>408</v>
      </c>
      <c r="F515" s="341">
        <v>91.45</v>
      </c>
      <c r="G515" s="355" t="s">
        <v>3857</v>
      </c>
      <c r="H515" s="356" t="s">
        <v>8978</v>
      </c>
      <c r="I515" s="354" t="s">
        <v>217</v>
      </c>
      <c r="J515" s="340" t="s">
        <v>9353</v>
      </c>
      <c r="K515" s="339" t="s">
        <v>70</v>
      </c>
      <c r="L515" s="357">
        <v>26</v>
      </c>
      <c r="M515" s="358" t="s">
        <v>9354</v>
      </c>
      <c r="N515" s="359">
        <v>1000</v>
      </c>
      <c r="O515" s="360" t="s">
        <v>530</v>
      </c>
      <c r="P515" s="343" t="s">
        <v>531</v>
      </c>
      <c r="Q515" s="342" t="s">
        <v>2688</v>
      </c>
      <c r="R515" s="344">
        <v>30</v>
      </c>
      <c r="S515" s="345">
        <v>40</v>
      </c>
      <c r="T515" s="362">
        <v>20</v>
      </c>
      <c r="U515" s="361">
        <v>91.45</v>
      </c>
      <c r="V515" s="346">
        <v>126.58015267175573</v>
      </c>
      <c r="W515" s="348">
        <v>124.84637404580153</v>
      </c>
      <c r="X515" s="347">
        <v>63.49</v>
      </c>
      <c r="Y515" s="357">
        <v>64.34</v>
      </c>
      <c r="Z515" s="365" t="s">
        <v>3017</v>
      </c>
      <c r="AA515" s="350">
        <v>98.5</v>
      </c>
      <c r="AB515" s="349" t="s">
        <v>2685</v>
      </c>
      <c r="AC515" s="350">
        <v>0</v>
      </c>
      <c r="AD515" s="349" t="s">
        <v>2685</v>
      </c>
      <c r="AE515" s="364">
        <v>0</v>
      </c>
      <c r="AF515" s="366">
        <v>0</v>
      </c>
      <c r="AG515" s="363">
        <v>0</v>
      </c>
      <c r="AH515" s="635" t="s">
        <v>408</v>
      </c>
      <c r="AI515" s="324"/>
      <c r="AL515" s="487" t="s">
        <v>14735</v>
      </c>
      <c r="AM515" s="477" t="s">
        <v>70</v>
      </c>
      <c r="AN515" s="637">
        <v>100</v>
      </c>
      <c r="AO515" s="478">
        <v>-1092</v>
      </c>
      <c r="AP515" s="463">
        <v>-1092</v>
      </c>
      <c r="AQ515" s="479">
        <v>0</v>
      </c>
      <c r="AR515" s="476" t="s">
        <v>14731</v>
      </c>
      <c r="BA515" s="313" t="s">
        <v>3680</v>
      </c>
    </row>
    <row r="516" spans="2:53" ht="16.5" customHeight="1">
      <c r="B516" s="367" t="s">
        <v>9289</v>
      </c>
      <c r="C516" s="351" t="s">
        <v>9290</v>
      </c>
      <c r="D516" s="353">
        <v>-1093</v>
      </c>
      <c r="E516" s="352" t="s">
        <v>3866</v>
      </c>
      <c r="F516" s="341">
        <v>91.43</v>
      </c>
      <c r="G516" s="355" t="s">
        <v>3825</v>
      </c>
      <c r="H516" s="356" t="s">
        <v>3582</v>
      </c>
      <c r="I516" s="354" t="s">
        <v>82</v>
      </c>
      <c r="J516" s="340" t="s">
        <v>8534</v>
      </c>
      <c r="K516" s="339" t="s">
        <v>71</v>
      </c>
      <c r="L516" s="357">
        <v>16</v>
      </c>
      <c r="M516" s="358" t="s">
        <v>9355</v>
      </c>
      <c r="N516" s="359">
        <v>800</v>
      </c>
      <c r="O516" s="360" t="s">
        <v>530</v>
      </c>
      <c r="P516" s="343" t="s">
        <v>531</v>
      </c>
      <c r="Q516" s="342" t="s">
        <v>2688</v>
      </c>
      <c r="R516" s="344">
        <v>30</v>
      </c>
      <c r="S516" s="345">
        <v>30</v>
      </c>
      <c r="T516" s="362">
        <v>25</v>
      </c>
      <c r="U516" s="361">
        <v>91.43</v>
      </c>
      <c r="V516" s="346">
        <v>126.55801992928315</v>
      </c>
      <c r="W516" s="348">
        <v>124.82839119254257</v>
      </c>
      <c r="X516" s="347">
        <v>63.78</v>
      </c>
      <c r="Y516" s="357">
        <v>64.34</v>
      </c>
      <c r="Z516" s="365" t="s">
        <v>3017</v>
      </c>
      <c r="AA516" s="350">
        <v>117.6</v>
      </c>
      <c r="AB516" s="349" t="s">
        <v>2685</v>
      </c>
      <c r="AC516" s="350">
        <v>0</v>
      </c>
      <c r="AD516" s="349" t="s">
        <v>2685</v>
      </c>
      <c r="AE516" s="364">
        <v>0</v>
      </c>
      <c r="AF516" s="366">
        <v>0</v>
      </c>
      <c r="AG516" s="363">
        <v>0</v>
      </c>
      <c r="AH516" s="635" t="s">
        <v>408</v>
      </c>
      <c r="AI516" s="324"/>
      <c r="AL516" s="487" t="s">
        <v>14736</v>
      </c>
      <c r="AM516" s="477" t="s">
        <v>71</v>
      </c>
      <c r="AN516" s="637">
        <v>100</v>
      </c>
      <c r="AO516" s="478">
        <v>-1093</v>
      </c>
      <c r="AP516" s="463">
        <v>-583</v>
      </c>
      <c r="AQ516" s="479">
        <v>-510</v>
      </c>
      <c r="AR516" s="476" t="s">
        <v>14756</v>
      </c>
      <c r="BA516" s="313" t="s">
        <v>3681</v>
      </c>
    </row>
    <row r="517" spans="2:53" ht="16.5" customHeight="1">
      <c r="B517" s="367" t="s">
        <v>9356</v>
      </c>
      <c r="C517" s="351" t="s">
        <v>9357</v>
      </c>
      <c r="D517" s="353">
        <v>-1094</v>
      </c>
      <c r="E517" s="352" t="s">
        <v>408</v>
      </c>
      <c r="F517" s="341">
        <v>91.37</v>
      </c>
      <c r="G517" s="355" t="s">
        <v>9358</v>
      </c>
      <c r="H517" s="356" t="s">
        <v>9359</v>
      </c>
      <c r="I517" s="354" t="s">
        <v>83</v>
      </c>
      <c r="J517" s="340" t="s">
        <v>9360</v>
      </c>
      <c r="K517" s="339" t="s">
        <v>70</v>
      </c>
      <c r="L517" s="357">
        <v>14</v>
      </c>
      <c r="M517" s="358" t="s">
        <v>9361</v>
      </c>
      <c r="N517" s="359">
        <v>1000</v>
      </c>
      <c r="O517" s="360" t="s">
        <v>532</v>
      </c>
      <c r="P517" s="343" t="s">
        <v>533</v>
      </c>
      <c r="Q517" s="342" t="s">
        <v>2688</v>
      </c>
      <c r="R517" s="344">
        <v>20</v>
      </c>
      <c r="S517" s="345">
        <v>40</v>
      </c>
      <c r="T517" s="362">
        <v>30</v>
      </c>
      <c r="U517" s="361">
        <v>91.37</v>
      </c>
      <c r="V517" s="346">
        <v>126.51592529621253</v>
      </c>
      <c r="W517" s="348">
        <v>124.79418930317269</v>
      </c>
      <c r="X517" s="347">
        <v>63.45</v>
      </c>
      <c r="Y517" s="357">
        <v>63.86</v>
      </c>
      <c r="Z517" s="365" t="s">
        <v>3017</v>
      </c>
      <c r="AA517" s="350">
        <v>98</v>
      </c>
      <c r="AB517" s="349" t="s">
        <v>2685</v>
      </c>
      <c r="AC517" s="350">
        <v>0</v>
      </c>
      <c r="AD517" s="349" t="s">
        <v>2685</v>
      </c>
      <c r="AE517" s="364">
        <v>0</v>
      </c>
      <c r="AF517" s="366">
        <v>19.122</v>
      </c>
      <c r="AG517" s="363">
        <v>0</v>
      </c>
      <c r="AH517" s="635" t="s">
        <v>7791</v>
      </c>
      <c r="AI517" s="324"/>
      <c r="AL517" s="487" t="s">
        <v>14738</v>
      </c>
      <c r="AM517" s="477" t="s">
        <v>70</v>
      </c>
      <c r="AN517" s="637">
        <v>100</v>
      </c>
      <c r="AO517" s="478">
        <v>-1094</v>
      </c>
      <c r="AP517" s="463">
        <v>-1094</v>
      </c>
      <c r="AQ517" s="479">
        <v>0</v>
      </c>
      <c r="AR517" s="476" t="s">
        <v>14739</v>
      </c>
      <c r="BA517" s="313" t="s">
        <v>3682</v>
      </c>
    </row>
    <row r="518" spans="2:53" ht="16.5" customHeight="1">
      <c r="B518" s="367" t="s">
        <v>9289</v>
      </c>
      <c r="C518" s="351" t="s">
        <v>9290</v>
      </c>
      <c r="D518" s="353">
        <v>-1095</v>
      </c>
      <c r="E518" s="352" t="s">
        <v>9362</v>
      </c>
      <c r="F518" s="341">
        <v>91.37</v>
      </c>
      <c r="G518" s="355" t="s">
        <v>3829</v>
      </c>
      <c r="H518" s="356" t="s">
        <v>18549</v>
      </c>
      <c r="I518" s="354" t="s">
        <v>228</v>
      </c>
      <c r="J518" s="340" t="s">
        <v>9363</v>
      </c>
      <c r="K518" s="339" t="s">
        <v>71</v>
      </c>
      <c r="L518" s="357">
        <v>18</v>
      </c>
      <c r="M518" s="358" t="s">
        <v>9364</v>
      </c>
      <c r="N518" s="359">
        <v>1000</v>
      </c>
      <c r="O518" s="360" t="s">
        <v>530</v>
      </c>
      <c r="P518" s="343" t="s">
        <v>531</v>
      </c>
      <c r="Q518" s="342" t="s">
        <v>2688</v>
      </c>
      <c r="R518" s="344">
        <v>30</v>
      </c>
      <c r="S518" s="345">
        <v>40</v>
      </c>
      <c r="T518" s="362">
        <v>30</v>
      </c>
      <c r="U518" s="361">
        <v>91.37</v>
      </c>
      <c r="V518" s="346">
        <v>126.51742945221723</v>
      </c>
      <c r="W518" s="348">
        <v>124.7954114299265</v>
      </c>
      <c r="X518" s="347">
        <v>63.75</v>
      </c>
      <c r="Y518" s="357">
        <v>65.95</v>
      </c>
      <c r="Z518" s="365" t="s">
        <v>2689</v>
      </c>
      <c r="AA518" s="350">
        <v>100</v>
      </c>
      <c r="AB518" s="349" t="s">
        <v>2685</v>
      </c>
      <c r="AC518" s="350">
        <v>10</v>
      </c>
      <c r="AD518" s="349" t="s">
        <v>2685</v>
      </c>
      <c r="AE518" s="364">
        <v>0</v>
      </c>
      <c r="AF518" s="366">
        <v>0</v>
      </c>
      <c r="AG518" s="363">
        <v>0</v>
      </c>
      <c r="AH518" s="635" t="s">
        <v>408</v>
      </c>
      <c r="AI518" s="324"/>
      <c r="AL518" s="487" t="s">
        <v>14740</v>
      </c>
      <c r="AM518" s="477" t="s">
        <v>71</v>
      </c>
      <c r="AN518" s="637">
        <v>100</v>
      </c>
      <c r="AO518" s="478">
        <v>-1095</v>
      </c>
      <c r="AP518" s="463">
        <v>-584</v>
      </c>
      <c r="AQ518" s="479">
        <v>-511</v>
      </c>
      <c r="AR518" s="476" t="s">
        <v>14762</v>
      </c>
      <c r="BA518" s="313" t="s">
        <v>3683</v>
      </c>
    </row>
    <row r="519" spans="2:53" ht="16.5" customHeight="1">
      <c r="B519" s="367" t="s">
        <v>9356</v>
      </c>
      <c r="C519" s="351" t="s">
        <v>9357</v>
      </c>
      <c r="D519" s="353">
        <v>-1096</v>
      </c>
      <c r="E519" s="352" t="s">
        <v>408</v>
      </c>
      <c r="F519" s="341">
        <v>91.34</v>
      </c>
      <c r="G519" s="355" t="s">
        <v>9365</v>
      </c>
      <c r="H519" s="356" t="s">
        <v>9366</v>
      </c>
      <c r="I519" s="354" t="s">
        <v>217</v>
      </c>
      <c r="J519" s="340" t="s">
        <v>8011</v>
      </c>
      <c r="K519" s="339" t="s">
        <v>70</v>
      </c>
      <c r="L519" s="357">
        <v>16</v>
      </c>
      <c r="M519" s="358" t="s">
        <v>9367</v>
      </c>
      <c r="N519" s="359">
        <v>1000</v>
      </c>
      <c r="O519" s="360" t="s">
        <v>530</v>
      </c>
      <c r="P519" s="343" t="s">
        <v>531</v>
      </c>
      <c r="Q519" s="342" t="s">
        <v>2688</v>
      </c>
      <c r="R519" s="344">
        <v>30</v>
      </c>
      <c r="S519" s="345">
        <v>40</v>
      </c>
      <c r="T519" s="362">
        <v>20</v>
      </c>
      <c r="U519" s="361">
        <v>91.34</v>
      </c>
      <c r="V519" s="346">
        <v>126.49150455552819</v>
      </c>
      <c r="W519" s="348">
        <v>124.77434745136667</v>
      </c>
      <c r="X519" s="347">
        <v>63.44</v>
      </c>
      <c r="Y519" s="357">
        <v>64.300000000000011</v>
      </c>
      <c r="Z519" s="365" t="s">
        <v>3017</v>
      </c>
      <c r="AA519" s="350">
        <v>98.5</v>
      </c>
      <c r="AB519" s="349" t="s">
        <v>2685</v>
      </c>
      <c r="AC519" s="350">
        <v>0</v>
      </c>
      <c r="AD519" s="349" t="s">
        <v>2685</v>
      </c>
      <c r="AE519" s="364">
        <v>0</v>
      </c>
      <c r="AF519" s="366">
        <v>0</v>
      </c>
      <c r="AG519" s="363">
        <v>0</v>
      </c>
      <c r="AH519" s="635" t="s">
        <v>408</v>
      </c>
      <c r="AI519" s="324"/>
      <c r="AL519" s="487" t="s">
        <v>14741</v>
      </c>
      <c r="AM519" s="477" t="s">
        <v>70</v>
      </c>
      <c r="AN519" s="637">
        <v>100</v>
      </c>
      <c r="AO519" s="478">
        <v>-1096</v>
      </c>
      <c r="AP519" s="463">
        <v>-1096</v>
      </c>
      <c r="AQ519" s="479">
        <v>0</v>
      </c>
      <c r="AR519" s="476" t="s">
        <v>14742</v>
      </c>
      <c r="BA519" s="313" t="s">
        <v>3684</v>
      </c>
    </row>
    <row r="520" spans="2:53" ht="16.5" customHeight="1">
      <c r="B520" s="367" t="s">
        <v>3653</v>
      </c>
      <c r="C520" s="351" t="s">
        <v>3654</v>
      </c>
      <c r="D520" s="353">
        <v>-1097</v>
      </c>
      <c r="E520" s="352" t="s">
        <v>408</v>
      </c>
      <c r="F520" s="341">
        <v>91.29</v>
      </c>
      <c r="G520" s="355" t="s">
        <v>9368</v>
      </c>
      <c r="H520" s="356" t="s">
        <v>8984</v>
      </c>
      <c r="I520" s="354" t="s">
        <v>83</v>
      </c>
      <c r="J520" s="340" t="s">
        <v>9369</v>
      </c>
      <c r="K520" s="339" t="s">
        <v>70</v>
      </c>
      <c r="L520" s="357">
        <v>8</v>
      </c>
      <c r="M520" s="358" t="s">
        <v>9370</v>
      </c>
      <c r="N520" s="359">
        <v>1000</v>
      </c>
      <c r="O520" s="360" t="s">
        <v>532</v>
      </c>
      <c r="P520" s="343" t="s">
        <v>533</v>
      </c>
      <c r="Q520" s="342" t="s">
        <v>2688</v>
      </c>
      <c r="R520" s="344">
        <v>20</v>
      </c>
      <c r="S520" s="345">
        <v>35</v>
      </c>
      <c r="T520" s="362">
        <v>35</v>
      </c>
      <c r="U520" s="361">
        <v>91.29</v>
      </c>
      <c r="V520" s="346">
        <v>126.45708927691335</v>
      </c>
      <c r="W520" s="348">
        <v>124.74638503749209</v>
      </c>
      <c r="X520" s="347">
        <v>63.42</v>
      </c>
      <c r="Y520" s="357">
        <v>63.83</v>
      </c>
      <c r="Z520" s="365" t="s">
        <v>3017</v>
      </c>
      <c r="AA520" s="350">
        <v>98</v>
      </c>
      <c r="AB520" s="349" t="s">
        <v>2685</v>
      </c>
      <c r="AC520" s="350">
        <v>0</v>
      </c>
      <c r="AD520" s="349" t="s">
        <v>2685</v>
      </c>
      <c r="AE520" s="364">
        <v>0</v>
      </c>
      <c r="AF520" s="366">
        <v>22.298999999999999</v>
      </c>
      <c r="AG520" s="363">
        <v>0</v>
      </c>
      <c r="AH520" s="635" t="s">
        <v>7791</v>
      </c>
      <c r="AI520" s="324"/>
      <c r="AL520" s="487" t="s">
        <v>14743</v>
      </c>
      <c r="AM520" s="477" t="s">
        <v>70</v>
      </c>
      <c r="AN520" s="637">
        <v>100</v>
      </c>
      <c r="AO520" s="478">
        <v>-1097</v>
      </c>
      <c r="AP520" s="463">
        <v>-1097</v>
      </c>
      <c r="AQ520" s="479">
        <v>0</v>
      </c>
      <c r="AR520" s="476" t="s">
        <v>14744</v>
      </c>
      <c r="BA520" s="313" t="s">
        <v>3685</v>
      </c>
    </row>
    <row r="521" spans="2:53" ht="16.5" customHeight="1">
      <c r="B521" s="367" t="s">
        <v>3663</v>
      </c>
      <c r="C521" s="351" t="s">
        <v>3664</v>
      </c>
      <c r="D521" s="353">
        <v>-1098</v>
      </c>
      <c r="E521" s="352" t="s">
        <v>408</v>
      </c>
      <c r="F521" s="341">
        <v>91.26</v>
      </c>
      <c r="G521" s="355" t="s">
        <v>9371</v>
      </c>
      <c r="H521" s="356" t="s">
        <v>18550</v>
      </c>
      <c r="I521" s="354" t="s">
        <v>82</v>
      </c>
      <c r="J521" s="340" t="s">
        <v>550</v>
      </c>
      <c r="K521" s="339" t="s">
        <v>70</v>
      </c>
      <c r="L521" s="357">
        <v>20</v>
      </c>
      <c r="M521" s="358" t="s">
        <v>9372</v>
      </c>
      <c r="N521" s="359">
        <v>800</v>
      </c>
      <c r="O521" s="360" t="s">
        <v>530</v>
      </c>
      <c r="P521" s="343" t="s">
        <v>531</v>
      </c>
      <c r="Q521" s="342" t="s">
        <v>2688</v>
      </c>
      <c r="R521" s="344">
        <v>20</v>
      </c>
      <c r="S521" s="345">
        <v>35</v>
      </c>
      <c r="T521" s="362">
        <v>30</v>
      </c>
      <c r="U521" s="361">
        <v>91.26</v>
      </c>
      <c r="V521" s="346">
        <v>126.42872545496128</v>
      </c>
      <c r="W521" s="348">
        <v>124.72333943215604</v>
      </c>
      <c r="X521" s="347">
        <v>63.41</v>
      </c>
      <c r="Y521" s="357">
        <v>64.28</v>
      </c>
      <c r="Z521" s="365" t="s">
        <v>3017</v>
      </c>
      <c r="AA521" s="350">
        <v>117.6</v>
      </c>
      <c r="AB521" s="349" t="s">
        <v>2685</v>
      </c>
      <c r="AC521" s="350">
        <v>0</v>
      </c>
      <c r="AD521" s="349" t="s">
        <v>2685</v>
      </c>
      <c r="AE521" s="364">
        <v>0</v>
      </c>
      <c r="AF521" s="366">
        <v>9.6</v>
      </c>
      <c r="AG521" s="363">
        <v>0</v>
      </c>
      <c r="AH521" s="635" t="s">
        <v>7814</v>
      </c>
      <c r="AI521" s="324"/>
      <c r="AL521" s="487" t="s">
        <v>14745</v>
      </c>
      <c r="AM521" s="477" t="s">
        <v>70</v>
      </c>
      <c r="AN521" s="637">
        <v>100</v>
      </c>
      <c r="AO521" s="478">
        <v>-1098</v>
      </c>
      <c r="AP521" s="463">
        <v>-1098</v>
      </c>
      <c r="AQ521" s="479">
        <v>0</v>
      </c>
      <c r="AR521" s="476" t="s">
        <v>17190</v>
      </c>
      <c r="BA521" s="313" t="s">
        <v>3689</v>
      </c>
    </row>
    <row r="522" spans="2:53" ht="16.5" customHeight="1">
      <c r="B522" s="367" t="s">
        <v>9373</v>
      </c>
      <c r="C522" s="351" t="s">
        <v>9374</v>
      </c>
      <c r="D522" s="353">
        <v>-1099</v>
      </c>
      <c r="E522" s="352" t="s">
        <v>9375</v>
      </c>
      <c r="F522" s="341">
        <v>91.25</v>
      </c>
      <c r="G522" s="355" t="s">
        <v>18551</v>
      </c>
      <c r="H522" s="356" t="s">
        <v>18552</v>
      </c>
      <c r="I522" s="354" t="s">
        <v>82</v>
      </c>
      <c r="J522" s="340" t="s">
        <v>8696</v>
      </c>
      <c r="K522" s="339" t="s">
        <v>71</v>
      </c>
      <c r="L522" s="357">
        <v>79</v>
      </c>
      <c r="M522" s="358" t="s">
        <v>9376</v>
      </c>
      <c r="N522" s="359">
        <v>800</v>
      </c>
      <c r="O522" s="360" t="s">
        <v>530</v>
      </c>
      <c r="P522" s="343" t="s">
        <v>531</v>
      </c>
      <c r="Q522" s="342" t="s">
        <v>2688</v>
      </c>
      <c r="R522" s="344">
        <v>30</v>
      </c>
      <c r="S522" s="345">
        <v>30</v>
      </c>
      <c r="T522" s="362">
        <v>25</v>
      </c>
      <c r="U522" s="361">
        <v>91.25</v>
      </c>
      <c r="V522" s="346">
        <v>126.41980070716809</v>
      </c>
      <c r="W522" s="348">
        <v>124.71608807457407</v>
      </c>
      <c r="X522" s="347">
        <v>63.7</v>
      </c>
      <c r="Y522" s="357">
        <v>64.27</v>
      </c>
      <c r="Z522" s="365" t="s">
        <v>3017</v>
      </c>
      <c r="AA522" s="350">
        <v>117.6</v>
      </c>
      <c r="AB522" s="349" t="s">
        <v>2685</v>
      </c>
      <c r="AC522" s="350">
        <v>0</v>
      </c>
      <c r="AD522" s="349" t="s">
        <v>2685</v>
      </c>
      <c r="AE522" s="364">
        <v>0</v>
      </c>
      <c r="AF522" s="366">
        <v>0</v>
      </c>
      <c r="AG522" s="363">
        <v>0</v>
      </c>
      <c r="AH522" s="635" t="s">
        <v>408</v>
      </c>
      <c r="AI522" s="324"/>
      <c r="AL522" s="487" t="s">
        <v>14746</v>
      </c>
      <c r="AM522" s="477" t="s">
        <v>71</v>
      </c>
      <c r="AN522" s="637">
        <v>100</v>
      </c>
      <c r="AO522" s="478">
        <v>-1099</v>
      </c>
      <c r="AP522" s="463">
        <v>-585</v>
      </c>
      <c r="AQ522" s="479">
        <v>-514</v>
      </c>
      <c r="AR522" s="476" t="s">
        <v>16921</v>
      </c>
      <c r="BA522" s="313" t="s">
        <v>3692</v>
      </c>
    </row>
    <row r="523" spans="2:53" ht="16.5" customHeight="1">
      <c r="B523" s="367" t="s">
        <v>9373</v>
      </c>
      <c r="C523" s="351" t="s">
        <v>9374</v>
      </c>
      <c r="D523" s="353">
        <v>-1100</v>
      </c>
      <c r="E523" s="352" t="s">
        <v>408</v>
      </c>
      <c r="F523" s="341">
        <v>91.25</v>
      </c>
      <c r="G523" s="355" t="s">
        <v>9375</v>
      </c>
      <c r="H523" s="356" t="s">
        <v>9377</v>
      </c>
      <c r="I523" s="354" t="s">
        <v>228</v>
      </c>
      <c r="J523" s="340" t="s">
        <v>9378</v>
      </c>
      <c r="K523" s="339" t="s">
        <v>70</v>
      </c>
      <c r="L523" s="357">
        <v>18</v>
      </c>
      <c r="M523" s="358" t="s">
        <v>9379</v>
      </c>
      <c r="N523" s="359">
        <v>1000</v>
      </c>
      <c r="O523" s="360" t="s">
        <v>530</v>
      </c>
      <c r="P523" s="343" t="s">
        <v>531</v>
      </c>
      <c r="Q523" s="342" t="s">
        <v>2688</v>
      </c>
      <c r="R523" s="344">
        <v>30</v>
      </c>
      <c r="S523" s="345">
        <v>35</v>
      </c>
      <c r="T523" s="362">
        <v>35</v>
      </c>
      <c r="U523" s="361">
        <v>91.25</v>
      </c>
      <c r="V523" s="346">
        <v>126.42033536209598</v>
      </c>
      <c r="W523" s="348">
        <v>124.716522481703</v>
      </c>
      <c r="X523" s="347">
        <v>63.41</v>
      </c>
      <c r="Y523" s="357">
        <v>65.91</v>
      </c>
      <c r="Z523" s="365" t="s">
        <v>2689</v>
      </c>
      <c r="AA523" s="350">
        <v>100</v>
      </c>
      <c r="AB523" s="349" t="s">
        <v>2685</v>
      </c>
      <c r="AC523" s="350">
        <v>10</v>
      </c>
      <c r="AD523" s="349" t="s">
        <v>2685</v>
      </c>
      <c r="AE523" s="364">
        <v>0</v>
      </c>
      <c r="AF523" s="366">
        <v>11.534000000000001</v>
      </c>
      <c r="AG523" s="363">
        <v>0</v>
      </c>
      <c r="AH523" s="635" t="s">
        <v>7787</v>
      </c>
      <c r="AI523" s="324"/>
      <c r="AL523" s="487" t="s">
        <v>14747</v>
      </c>
      <c r="AM523" s="477" t="s">
        <v>70</v>
      </c>
      <c r="AN523" s="637">
        <v>100</v>
      </c>
      <c r="AO523" s="478">
        <v>-1100</v>
      </c>
      <c r="AP523" s="463">
        <v>-1100</v>
      </c>
      <c r="AQ523" s="479">
        <v>0</v>
      </c>
      <c r="AR523" s="476" t="s">
        <v>14748</v>
      </c>
      <c r="BA523" s="313" t="s">
        <v>3695</v>
      </c>
    </row>
    <row r="524" spans="2:53" ht="16.5" customHeight="1">
      <c r="B524" s="367" t="s">
        <v>3668</v>
      </c>
      <c r="C524" s="351" t="s">
        <v>3669</v>
      </c>
      <c r="D524" s="353">
        <v>-1101</v>
      </c>
      <c r="E524" s="352" t="s">
        <v>408</v>
      </c>
      <c r="F524" s="341">
        <v>91.23</v>
      </c>
      <c r="G524" s="355" t="s">
        <v>9380</v>
      </c>
      <c r="H524" s="356" t="s">
        <v>9386</v>
      </c>
      <c r="I524" s="354" t="s">
        <v>217</v>
      </c>
      <c r="J524" s="340" t="s">
        <v>9382</v>
      </c>
      <c r="K524" s="339" t="s">
        <v>70</v>
      </c>
      <c r="L524" s="357">
        <v>25</v>
      </c>
      <c r="M524" s="358" t="s">
        <v>9383</v>
      </c>
      <c r="N524" s="359">
        <v>1000</v>
      </c>
      <c r="O524" s="360" t="s">
        <v>530</v>
      </c>
      <c r="P524" s="343" t="s">
        <v>531</v>
      </c>
      <c r="Q524" s="342" t="s">
        <v>2688</v>
      </c>
      <c r="R524" s="344">
        <v>30</v>
      </c>
      <c r="S524" s="345">
        <v>40</v>
      </c>
      <c r="T524" s="362">
        <v>20</v>
      </c>
      <c r="U524" s="361">
        <v>91.23</v>
      </c>
      <c r="V524" s="346">
        <v>126.40531888697365</v>
      </c>
      <c r="W524" s="348">
        <v>124.70432159566609</v>
      </c>
      <c r="X524" s="347">
        <v>63.4</v>
      </c>
      <c r="Y524" s="357">
        <v>64.260000000000005</v>
      </c>
      <c r="Z524" s="365" t="s">
        <v>3017</v>
      </c>
      <c r="AA524" s="350">
        <v>98.5</v>
      </c>
      <c r="AB524" s="349" t="s">
        <v>2685</v>
      </c>
      <c r="AC524" s="350">
        <v>0</v>
      </c>
      <c r="AD524" s="349" t="s">
        <v>2685</v>
      </c>
      <c r="AE524" s="364">
        <v>0</v>
      </c>
      <c r="AF524" s="366">
        <v>0</v>
      </c>
      <c r="AG524" s="363">
        <v>0</v>
      </c>
      <c r="AH524" s="635" t="s">
        <v>408</v>
      </c>
      <c r="AI524" s="324"/>
      <c r="AL524" s="487" t="s">
        <v>14749</v>
      </c>
      <c r="AM524" s="477" t="s">
        <v>70</v>
      </c>
      <c r="AN524" s="637">
        <v>100</v>
      </c>
      <c r="AO524" s="478">
        <v>-1101</v>
      </c>
      <c r="AP524" s="463">
        <v>-1101</v>
      </c>
      <c r="AQ524" s="479">
        <v>0</v>
      </c>
      <c r="AR524" s="476" t="s">
        <v>14750</v>
      </c>
      <c r="BA524" s="313" t="s">
        <v>3699</v>
      </c>
    </row>
    <row r="525" spans="2:53" ht="16.5" customHeight="1">
      <c r="B525" s="367" t="s">
        <v>9384</v>
      </c>
      <c r="C525" s="351" t="s">
        <v>9385</v>
      </c>
      <c r="D525" s="353">
        <v>-1102</v>
      </c>
      <c r="E525" s="352" t="s">
        <v>408</v>
      </c>
      <c r="F525" s="341">
        <v>91.22</v>
      </c>
      <c r="G525" s="355" t="s">
        <v>3907</v>
      </c>
      <c r="H525" s="356" t="s">
        <v>9461</v>
      </c>
      <c r="I525" s="354" t="s">
        <v>228</v>
      </c>
      <c r="J525" s="340" t="s">
        <v>8418</v>
      </c>
      <c r="K525" s="339" t="s">
        <v>70</v>
      </c>
      <c r="L525" s="357">
        <v>35</v>
      </c>
      <c r="M525" s="358" t="s">
        <v>9387</v>
      </c>
      <c r="N525" s="359">
        <v>1000</v>
      </c>
      <c r="O525" s="360" t="s">
        <v>530</v>
      </c>
      <c r="P525" s="343" t="s">
        <v>531</v>
      </c>
      <c r="Q525" s="342" t="s">
        <v>2688</v>
      </c>
      <c r="R525" s="344">
        <v>30</v>
      </c>
      <c r="S525" s="345">
        <v>35</v>
      </c>
      <c r="T525" s="362">
        <v>35</v>
      </c>
      <c r="U525" s="361">
        <v>91.22</v>
      </c>
      <c r="V525" s="346">
        <v>126.39685884155111</v>
      </c>
      <c r="W525" s="348">
        <v>124.69744780876027</v>
      </c>
      <c r="X525" s="347">
        <v>63.39</v>
      </c>
      <c r="Y525" s="357">
        <v>65.910000000000011</v>
      </c>
      <c r="Z525" s="365" t="s">
        <v>2689</v>
      </c>
      <c r="AA525" s="350">
        <v>100</v>
      </c>
      <c r="AB525" s="349" t="s">
        <v>2685</v>
      </c>
      <c r="AC525" s="350">
        <v>10</v>
      </c>
      <c r="AD525" s="349" t="s">
        <v>2685</v>
      </c>
      <c r="AE525" s="364">
        <v>0</v>
      </c>
      <c r="AF525" s="366">
        <v>11.534000000000001</v>
      </c>
      <c r="AG525" s="363">
        <v>0</v>
      </c>
      <c r="AH525" s="635" t="s">
        <v>7787</v>
      </c>
      <c r="AI525" s="324"/>
      <c r="AL525" s="487" t="s">
        <v>14751</v>
      </c>
      <c r="AM525" s="477" t="s">
        <v>70</v>
      </c>
      <c r="AN525" s="637">
        <v>100</v>
      </c>
      <c r="AO525" s="478">
        <v>-1102</v>
      </c>
      <c r="AP525" s="463">
        <v>-1102</v>
      </c>
      <c r="AQ525" s="479">
        <v>0</v>
      </c>
      <c r="AR525" s="476" t="s">
        <v>14752</v>
      </c>
      <c r="BA525" s="313" t="s">
        <v>3702</v>
      </c>
    </row>
    <row r="526" spans="2:53" ht="16.5" customHeight="1">
      <c r="B526" s="367" t="s">
        <v>9388</v>
      </c>
      <c r="C526" s="351" t="s">
        <v>9389</v>
      </c>
      <c r="D526" s="353">
        <v>-1103</v>
      </c>
      <c r="E526" s="352" t="s">
        <v>3900</v>
      </c>
      <c r="F526" s="341">
        <v>91.19</v>
      </c>
      <c r="G526" s="355" t="s">
        <v>9348</v>
      </c>
      <c r="H526" s="356" t="s">
        <v>9471</v>
      </c>
      <c r="I526" s="354" t="s">
        <v>228</v>
      </c>
      <c r="J526" s="340" t="s">
        <v>490</v>
      </c>
      <c r="K526" s="339" t="s">
        <v>71</v>
      </c>
      <c r="L526" s="357">
        <v>54</v>
      </c>
      <c r="M526" s="358" t="s">
        <v>9391</v>
      </c>
      <c r="N526" s="359">
        <v>1000</v>
      </c>
      <c r="O526" s="360" t="s">
        <v>530</v>
      </c>
      <c r="P526" s="343" t="s">
        <v>531</v>
      </c>
      <c r="Q526" s="342" t="s">
        <v>2688</v>
      </c>
      <c r="R526" s="344">
        <v>30</v>
      </c>
      <c r="S526" s="345">
        <v>40</v>
      </c>
      <c r="T526" s="362">
        <v>30</v>
      </c>
      <c r="U526" s="361">
        <v>91.19</v>
      </c>
      <c r="V526" s="346">
        <v>126.3751482096277</v>
      </c>
      <c r="W526" s="348">
        <v>124.6798079203225</v>
      </c>
      <c r="X526" s="347">
        <v>63.68</v>
      </c>
      <c r="Y526" s="357">
        <v>65.900000000000006</v>
      </c>
      <c r="Z526" s="365" t="s">
        <v>2689</v>
      </c>
      <c r="AA526" s="350">
        <v>100</v>
      </c>
      <c r="AB526" s="349" t="s">
        <v>2685</v>
      </c>
      <c r="AC526" s="350">
        <v>10</v>
      </c>
      <c r="AD526" s="349" t="s">
        <v>2685</v>
      </c>
      <c r="AE526" s="364">
        <v>0</v>
      </c>
      <c r="AF526" s="366">
        <v>0</v>
      </c>
      <c r="AG526" s="363">
        <v>0</v>
      </c>
      <c r="AH526" s="635" t="s">
        <v>408</v>
      </c>
      <c r="AI526" s="324"/>
      <c r="AL526" s="487" t="s">
        <v>14753</v>
      </c>
      <c r="AM526" s="477" t="s">
        <v>71</v>
      </c>
      <c r="AN526" s="637">
        <v>100</v>
      </c>
      <c r="AO526" s="478">
        <v>-1103</v>
      </c>
      <c r="AP526" s="463">
        <v>-586</v>
      </c>
      <c r="AQ526" s="479">
        <v>-517</v>
      </c>
      <c r="AR526" s="476" t="s">
        <v>16922</v>
      </c>
      <c r="BA526" s="313" t="s">
        <v>3705</v>
      </c>
    </row>
    <row r="527" spans="2:53" ht="16.5" customHeight="1">
      <c r="B527" s="367" t="s">
        <v>9388</v>
      </c>
      <c r="C527" s="351" t="s">
        <v>9389</v>
      </c>
      <c r="D527" s="353">
        <v>-1104</v>
      </c>
      <c r="E527" s="352" t="s">
        <v>9392</v>
      </c>
      <c r="F527" s="341">
        <v>91.18</v>
      </c>
      <c r="G527" s="355" t="s">
        <v>3857</v>
      </c>
      <c r="H527" s="356" t="s">
        <v>9015</v>
      </c>
      <c r="I527" s="354" t="s">
        <v>228</v>
      </c>
      <c r="J527" s="340" t="s">
        <v>8654</v>
      </c>
      <c r="K527" s="339" t="s">
        <v>71</v>
      </c>
      <c r="L527" s="357">
        <v>38</v>
      </c>
      <c r="M527" s="358" t="s">
        <v>9394</v>
      </c>
      <c r="N527" s="359">
        <v>1000</v>
      </c>
      <c r="O527" s="360" t="s">
        <v>530</v>
      </c>
      <c r="P527" s="343" t="s">
        <v>531</v>
      </c>
      <c r="Q527" s="342" t="s">
        <v>2688</v>
      </c>
      <c r="R527" s="344">
        <v>35</v>
      </c>
      <c r="S527" s="345">
        <v>30</v>
      </c>
      <c r="T527" s="362">
        <v>35</v>
      </c>
      <c r="U527" s="361">
        <v>91.18</v>
      </c>
      <c r="V527" s="346">
        <v>126.36786680444449</v>
      </c>
      <c r="W527" s="348">
        <v>124.67389177861115</v>
      </c>
      <c r="X527" s="347">
        <v>63.68</v>
      </c>
      <c r="Y527" s="357">
        <v>65.900000000000006</v>
      </c>
      <c r="Z527" s="365" t="s">
        <v>2689</v>
      </c>
      <c r="AA527" s="350">
        <v>100</v>
      </c>
      <c r="AB527" s="349" t="s">
        <v>2685</v>
      </c>
      <c r="AC527" s="350">
        <v>10</v>
      </c>
      <c r="AD527" s="349" t="s">
        <v>2685</v>
      </c>
      <c r="AE527" s="364">
        <v>0</v>
      </c>
      <c r="AF527" s="366">
        <v>11.532999999999999</v>
      </c>
      <c r="AG527" s="363">
        <v>0</v>
      </c>
      <c r="AH527" s="635" t="s">
        <v>5862</v>
      </c>
      <c r="AI527" s="324"/>
      <c r="AL527" s="487" t="s">
        <v>14754</v>
      </c>
      <c r="AM527" s="477" t="s">
        <v>71</v>
      </c>
      <c r="AN527" s="637">
        <v>100</v>
      </c>
      <c r="AO527" s="478">
        <v>-1104</v>
      </c>
      <c r="AP527" s="463">
        <v>-587</v>
      </c>
      <c r="AQ527" s="479">
        <v>-517</v>
      </c>
      <c r="AR527" s="476" t="s">
        <v>14785</v>
      </c>
      <c r="BA527" s="313" t="s">
        <v>3708</v>
      </c>
    </row>
    <row r="528" spans="2:53" ht="16.5" customHeight="1">
      <c r="B528" s="367" t="s">
        <v>9388</v>
      </c>
      <c r="C528" s="351" t="s">
        <v>9389</v>
      </c>
      <c r="D528" s="353">
        <v>-1105</v>
      </c>
      <c r="E528" s="352" t="s">
        <v>9395</v>
      </c>
      <c r="F528" s="341">
        <v>91.16</v>
      </c>
      <c r="G528" s="355" t="s">
        <v>3881</v>
      </c>
      <c r="H528" s="356" t="s">
        <v>3612</v>
      </c>
      <c r="I528" s="354" t="s">
        <v>82</v>
      </c>
      <c r="J528" s="340" t="s">
        <v>9396</v>
      </c>
      <c r="K528" s="339" t="s">
        <v>71</v>
      </c>
      <c r="L528" s="357">
        <v>30</v>
      </c>
      <c r="M528" s="358" t="s">
        <v>9397</v>
      </c>
      <c r="N528" s="359">
        <v>800</v>
      </c>
      <c r="O528" s="360" t="s">
        <v>530</v>
      </c>
      <c r="P528" s="343" t="s">
        <v>531</v>
      </c>
      <c r="Q528" s="342" t="s">
        <v>2688</v>
      </c>
      <c r="R528" s="344">
        <v>30</v>
      </c>
      <c r="S528" s="345">
        <v>30</v>
      </c>
      <c r="T528" s="362">
        <v>25</v>
      </c>
      <c r="U528" s="361">
        <v>91.16</v>
      </c>
      <c r="V528" s="346">
        <v>126.35229829636771</v>
      </c>
      <c r="W528" s="348">
        <v>124.66124236579876</v>
      </c>
      <c r="X528" s="347">
        <v>63.67</v>
      </c>
      <c r="Y528" s="357">
        <v>64.240000000000009</v>
      </c>
      <c r="Z528" s="365" t="s">
        <v>3017</v>
      </c>
      <c r="AA528" s="350">
        <v>117.6</v>
      </c>
      <c r="AB528" s="349" t="s">
        <v>2685</v>
      </c>
      <c r="AC528" s="350">
        <v>0</v>
      </c>
      <c r="AD528" s="349" t="s">
        <v>2685</v>
      </c>
      <c r="AE528" s="364">
        <v>0</v>
      </c>
      <c r="AF528" s="366">
        <v>0</v>
      </c>
      <c r="AG528" s="363">
        <v>0</v>
      </c>
      <c r="AH528" s="635" t="s">
        <v>408</v>
      </c>
      <c r="AI528" s="324"/>
      <c r="AL528" s="487" t="s">
        <v>14755</v>
      </c>
      <c r="AM528" s="477" t="s">
        <v>71</v>
      </c>
      <c r="AN528" s="637">
        <v>100</v>
      </c>
      <c r="AO528" s="478">
        <v>-1105</v>
      </c>
      <c r="AP528" s="463">
        <v>-587</v>
      </c>
      <c r="AQ528" s="479">
        <v>-518</v>
      </c>
      <c r="AR528" s="476" t="s">
        <v>16923</v>
      </c>
      <c r="BA528" s="313" t="s">
        <v>3712</v>
      </c>
    </row>
    <row r="529" spans="2:53" ht="16.5" customHeight="1">
      <c r="B529" s="367" t="s">
        <v>9388</v>
      </c>
      <c r="C529" s="351" t="s">
        <v>9389</v>
      </c>
      <c r="D529" s="353">
        <v>-1106</v>
      </c>
      <c r="E529" s="352" t="s">
        <v>408</v>
      </c>
      <c r="F529" s="341">
        <v>91.15</v>
      </c>
      <c r="G529" s="355" t="s">
        <v>9398</v>
      </c>
      <c r="H529" s="356" t="s">
        <v>9399</v>
      </c>
      <c r="I529" s="354" t="s">
        <v>217</v>
      </c>
      <c r="J529" s="340" t="s">
        <v>9400</v>
      </c>
      <c r="K529" s="339" t="s">
        <v>70</v>
      </c>
      <c r="L529" s="357">
        <v>12</v>
      </c>
      <c r="M529" s="358" t="s">
        <v>9401</v>
      </c>
      <c r="N529" s="359">
        <v>1000</v>
      </c>
      <c r="O529" s="360" t="s">
        <v>530</v>
      </c>
      <c r="P529" s="343" t="s">
        <v>531</v>
      </c>
      <c r="Q529" s="342" t="s">
        <v>2688</v>
      </c>
      <c r="R529" s="344">
        <v>30</v>
      </c>
      <c r="S529" s="345">
        <v>40</v>
      </c>
      <c r="T529" s="362">
        <v>20</v>
      </c>
      <c r="U529" s="361">
        <v>91.15</v>
      </c>
      <c r="V529" s="346">
        <v>126.34868259049493</v>
      </c>
      <c r="W529" s="348">
        <v>124.65830460477713</v>
      </c>
      <c r="X529" s="347">
        <v>63.37</v>
      </c>
      <c r="Y529" s="357">
        <v>64.23</v>
      </c>
      <c r="Z529" s="365" t="s">
        <v>3017</v>
      </c>
      <c r="AA529" s="350">
        <v>98.5</v>
      </c>
      <c r="AB529" s="349" t="s">
        <v>2685</v>
      </c>
      <c r="AC529" s="350">
        <v>0</v>
      </c>
      <c r="AD529" s="349" t="s">
        <v>2685</v>
      </c>
      <c r="AE529" s="364">
        <v>0</v>
      </c>
      <c r="AF529" s="366">
        <v>0</v>
      </c>
      <c r="AG529" s="363">
        <v>0</v>
      </c>
      <c r="AH529" s="635" t="s">
        <v>408</v>
      </c>
      <c r="AI529" s="324"/>
      <c r="AL529" s="487" t="s">
        <v>14757</v>
      </c>
      <c r="AM529" s="477" t="s">
        <v>70</v>
      </c>
      <c r="AN529" s="637">
        <v>100</v>
      </c>
      <c r="AO529" s="478">
        <v>-1106</v>
      </c>
      <c r="AP529" s="463">
        <v>-1106</v>
      </c>
      <c r="AQ529" s="479">
        <v>0</v>
      </c>
      <c r="AR529" s="476" t="s">
        <v>14758</v>
      </c>
      <c r="BA529" s="313" t="s">
        <v>3713</v>
      </c>
    </row>
    <row r="530" spans="2:53" ht="16.5" customHeight="1">
      <c r="B530" s="367" t="s">
        <v>9388</v>
      </c>
      <c r="C530" s="351" t="s">
        <v>9389</v>
      </c>
      <c r="D530" s="353">
        <v>-1107</v>
      </c>
      <c r="E530" s="352" t="s">
        <v>9402</v>
      </c>
      <c r="F530" s="341">
        <v>91.15</v>
      </c>
      <c r="G530" s="355" t="s">
        <v>3868</v>
      </c>
      <c r="H530" s="356" t="s">
        <v>3612</v>
      </c>
      <c r="I530" s="354" t="s">
        <v>228</v>
      </c>
      <c r="J530" s="340" t="s">
        <v>8216</v>
      </c>
      <c r="K530" s="339" t="s">
        <v>71</v>
      </c>
      <c r="L530" s="357">
        <v>20</v>
      </c>
      <c r="M530" s="358" t="s">
        <v>9404</v>
      </c>
      <c r="N530" s="359">
        <v>1000</v>
      </c>
      <c r="O530" s="360" t="s">
        <v>530</v>
      </c>
      <c r="P530" s="343" t="s">
        <v>531</v>
      </c>
      <c r="Q530" s="342" t="s">
        <v>2688</v>
      </c>
      <c r="R530" s="344">
        <v>35</v>
      </c>
      <c r="S530" s="345">
        <v>30</v>
      </c>
      <c r="T530" s="362">
        <v>35</v>
      </c>
      <c r="U530" s="361">
        <v>91.15</v>
      </c>
      <c r="V530" s="346">
        <v>126.34464582196473</v>
      </c>
      <c r="W530" s="348">
        <v>124.65502473034634</v>
      </c>
      <c r="X530" s="347">
        <v>63.67</v>
      </c>
      <c r="Y530" s="357">
        <v>65.89</v>
      </c>
      <c r="Z530" s="365" t="s">
        <v>2689</v>
      </c>
      <c r="AA530" s="350">
        <v>100</v>
      </c>
      <c r="AB530" s="349" t="s">
        <v>2685</v>
      </c>
      <c r="AC530" s="350">
        <v>10</v>
      </c>
      <c r="AD530" s="349" t="s">
        <v>2685</v>
      </c>
      <c r="AE530" s="364">
        <v>0</v>
      </c>
      <c r="AF530" s="366">
        <v>11.531000000000001</v>
      </c>
      <c r="AG530" s="363">
        <v>0</v>
      </c>
      <c r="AH530" s="635" t="s">
        <v>5862</v>
      </c>
      <c r="AI530" s="324"/>
      <c r="AL530" s="487" t="s">
        <v>14759</v>
      </c>
      <c r="AM530" s="477" t="s">
        <v>71</v>
      </c>
      <c r="AN530" s="637">
        <v>100</v>
      </c>
      <c r="AO530" s="478">
        <v>-1107</v>
      </c>
      <c r="AP530" s="463">
        <v>-588</v>
      </c>
      <c r="AQ530" s="479">
        <v>-519</v>
      </c>
      <c r="AR530" s="476" t="s">
        <v>16923</v>
      </c>
      <c r="BA530" s="313" t="s">
        <v>3717</v>
      </c>
    </row>
    <row r="531" spans="2:53" ht="16.5" customHeight="1">
      <c r="B531" s="367" t="s">
        <v>3674</v>
      </c>
      <c r="C531" s="351" t="s">
        <v>3675</v>
      </c>
      <c r="D531" s="353">
        <v>-1108</v>
      </c>
      <c r="E531" s="352" t="s">
        <v>3974</v>
      </c>
      <c r="F531" s="341">
        <v>91.12</v>
      </c>
      <c r="G531" s="355" t="s">
        <v>3876</v>
      </c>
      <c r="H531" s="356" t="s">
        <v>9021</v>
      </c>
      <c r="I531" s="354" t="s">
        <v>228</v>
      </c>
      <c r="J531" s="340" t="s">
        <v>9405</v>
      </c>
      <c r="K531" s="339" t="s">
        <v>71</v>
      </c>
      <c r="L531" s="357">
        <v>10</v>
      </c>
      <c r="M531" s="358" t="s">
        <v>9379</v>
      </c>
      <c r="N531" s="359">
        <v>1000</v>
      </c>
      <c r="O531" s="360" t="s">
        <v>530</v>
      </c>
      <c r="P531" s="343" t="s">
        <v>531</v>
      </c>
      <c r="Q531" s="342" t="s">
        <v>2688</v>
      </c>
      <c r="R531" s="344">
        <v>35</v>
      </c>
      <c r="S531" s="345">
        <v>30</v>
      </c>
      <c r="T531" s="362">
        <v>35</v>
      </c>
      <c r="U531" s="361">
        <v>91.12</v>
      </c>
      <c r="V531" s="346">
        <v>126.32142483948495</v>
      </c>
      <c r="W531" s="348">
        <v>124.63615768208152</v>
      </c>
      <c r="X531" s="347">
        <v>63.65</v>
      </c>
      <c r="Y531" s="357">
        <v>65.88000000000001</v>
      </c>
      <c r="Z531" s="365" t="s">
        <v>2689</v>
      </c>
      <c r="AA531" s="350">
        <v>100</v>
      </c>
      <c r="AB531" s="349" t="s">
        <v>2685</v>
      </c>
      <c r="AC531" s="350">
        <v>10</v>
      </c>
      <c r="AD531" s="349" t="s">
        <v>2685</v>
      </c>
      <c r="AE531" s="364">
        <v>0</v>
      </c>
      <c r="AF531" s="366">
        <v>11.529</v>
      </c>
      <c r="AG531" s="363">
        <v>0</v>
      </c>
      <c r="AH531" s="635" t="s">
        <v>5862</v>
      </c>
      <c r="AI531" s="324"/>
      <c r="AL531" s="487" t="s">
        <v>14760</v>
      </c>
      <c r="AM531" s="477" t="s">
        <v>71</v>
      </c>
      <c r="AN531" s="637">
        <v>100</v>
      </c>
      <c r="AO531" s="478">
        <v>-1108</v>
      </c>
      <c r="AP531" s="463">
        <v>-589</v>
      </c>
      <c r="AQ531" s="479">
        <v>-519</v>
      </c>
      <c r="AR531" s="476" t="s">
        <v>14797</v>
      </c>
      <c r="BA531" s="313" t="s">
        <v>3720</v>
      </c>
    </row>
    <row r="532" spans="2:53" ht="16.5" customHeight="1">
      <c r="B532" s="367" t="s">
        <v>3674</v>
      </c>
      <c r="C532" s="351" t="s">
        <v>3675</v>
      </c>
      <c r="D532" s="353">
        <v>-1109</v>
      </c>
      <c r="E532" s="352" t="s">
        <v>9406</v>
      </c>
      <c r="F532" s="341">
        <v>91.1</v>
      </c>
      <c r="G532" s="355" t="s">
        <v>18553</v>
      </c>
      <c r="H532" s="356" t="s">
        <v>9556</v>
      </c>
      <c r="I532" s="354" t="s">
        <v>228</v>
      </c>
      <c r="J532" s="340" t="s">
        <v>9407</v>
      </c>
      <c r="K532" s="339" t="s">
        <v>71</v>
      </c>
      <c r="L532" s="357">
        <v>26</v>
      </c>
      <c r="M532" s="358" t="s">
        <v>9408</v>
      </c>
      <c r="N532" s="359">
        <v>1000</v>
      </c>
      <c r="O532" s="360" t="s">
        <v>530</v>
      </c>
      <c r="P532" s="343" t="s">
        <v>531</v>
      </c>
      <c r="Q532" s="342" t="s">
        <v>2688</v>
      </c>
      <c r="R532" s="344">
        <v>30</v>
      </c>
      <c r="S532" s="345">
        <v>40</v>
      </c>
      <c r="T532" s="362">
        <v>30</v>
      </c>
      <c r="U532" s="361">
        <v>91.1</v>
      </c>
      <c r="V532" s="346">
        <v>126.30400758833292</v>
      </c>
      <c r="W532" s="348">
        <v>124.6220061655205</v>
      </c>
      <c r="X532" s="347">
        <v>63.64</v>
      </c>
      <c r="Y532" s="357">
        <v>65.87</v>
      </c>
      <c r="Z532" s="365" t="s">
        <v>2689</v>
      </c>
      <c r="AA532" s="350">
        <v>100</v>
      </c>
      <c r="AB532" s="349" t="s">
        <v>2685</v>
      </c>
      <c r="AC532" s="350">
        <v>10</v>
      </c>
      <c r="AD532" s="349" t="s">
        <v>2685</v>
      </c>
      <c r="AE532" s="364">
        <v>0</v>
      </c>
      <c r="AF532" s="366">
        <v>0</v>
      </c>
      <c r="AG532" s="363">
        <v>0</v>
      </c>
      <c r="AH532" s="635" t="s">
        <v>408</v>
      </c>
      <c r="AI532" s="324"/>
      <c r="AL532" s="487" t="s">
        <v>14761</v>
      </c>
      <c r="AM532" s="477" t="s">
        <v>71</v>
      </c>
      <c r="AN532" s="637">
        <v>100</v>
      </c>
      <c r="AO532" s="478">
        <v>-1109</v>
      </c>
      <c r="AP532" s="463">
        <v>-589</v>
      </c>
      <c r="AQ532" s="479">
        <v>-520</v>
      </c>
      <c r="AR532" s="476" t="s">
        <v>16924</v>
      </c>
      <c r="BA532" s="313" t="s">
        <v>3722</v>
      </c>
    </row>
    <row r="533" spans="2:53" ht="16.5" customHeight="1">
      <c r="B533" s="367" t="s">
        <v>3674</v>
      </c>
      <c r="C533" s="351" t="s">
        <v>3675</v>
      </c>
      <c r="D533" s="353">
        <v>-1110</v>
      </c>
      <c r="E533" s="352" t="s">
        <v>3917</v>
      </c>
      <c r="F533" s="341">
        <v>91.09</v>
      </c>
      <c r="G533" s="355" t="s">
        <v>3893</v>
      </c>
      <c r="H533" s="356" t="s">
        <v>9561</v>
      </c>
      <c r="I533" s="354" t="s">
        <v>228</v>
      </c>
      <c r="J533" s="340" t="s">
        <v>8772</v>
      </c>
      <c r="K533" s="339" t="s">
        <v>71</v>
      </c>
      <c r="L533" s="357">
        <v>10</v>
      </c>
      <c r="M533" s="358" t="s">
        <v>9387</v>
      </c>
      <c r="N533" s="359">
        <v>1000</v>
      </c>
      <c r="O533" s="360" t="s">
        <v>530</v>
      </c>
      <c r="P533" s="343" t="s">
        <v>531</v>
      </c>
      <c r="Q533" s="342" t="s">
        <v>2688</v>
      </c>
      <c r="R533" s="344">
        <v>35</v>
      </c>
      <c r="S533" s="345">
        <v>30</v>
      </c>
      <c r="T533" s="362">
        <v>35</v>
      </c>
      <c r="U533" s="361">
        <v>91.09</v>
      </c>
      <c r="V533" s="346">
        <v>126.29820385700516</v>
      </c>
      <c r="W533" s="348">
        <v>124.61729063381671</v>
      </c>
      <c r="X533" s="347">
        <v>63.64</v>
      </c>
      <c r="Y533" s="357">
        <v>65.87</v>
      </c>
      <c r="Z533" s="365" t="s">
        <v>2689</v>
      </c>
      <c r="AA533" s="350">
        <v>100</v>
      </c>
      <c r="AB533" s="349" t="s">
        <v>2685</v>
      </c>
      <c r="AC533" s="350">
        <v>10</v>
      </c>
      <c r="AD533" s="349" t="s">
        <v>2685</v>
      </c>
      <c r="AE533" s="364">
        <v>0</v>
      </c>
      <c r="AF533" s="366">
        <v>11.526999999999999</v>
      </c>
      <c r="AG533" s="363">
        <v>0</v>
      </c>
      <c r="AH533" s="635" t="s">
        <v>5862</v>
      </c>
      <c r="AI533" s="324"/>
      <c r="AL533" s="487" t="s">
        <v>14763</v>
      </c>
      <c r="AM533" s="477" t="s">
        <v>71</v>
      </c>
      <c r="AN533" s="637">
        <v>100</v>
      </c>
      <c r="AO533" s="478">
        <v>-1110</v>
      </c>
      <c r="AP533" s="463">
        <v>-590</v>
      </c>
      <c r="AQ533" s="479">
        <v>-520</v>
      </c>
      <c r="AR533" s="476" t="s">
        <v>16925</v>
      </c>
      <c r="BA533" s="313" t="s">
        <v>3724</v>
      </c>
    </row>
    <row r="534" spans="2:53" ht="16.5" customHeight="1">
      <c r="B534" s="367" t="s">
        <v>3678</v>
      </c>
      <c r="C534" s="351" t="s">
        <v>3679</v>
      </c>
      <c r="D534" s="353">
        <v>-1111</v>
      </c>
      <c r="E534" s="352" t="s">
        <v>3926</v>
      </c>
      <c r="F534" s="341">
        <v>91.06</v>
      </c>
      <c r="G534" s="355" t="s">
        <v>9365</v>
      </c>
      <c r="H534" s="356" t="s">
        <v>18554</v>
      </c>
      <c r="I534" s="354" t="s">
        <v>228</v>
      </c>
      <c r="J534" s="340" t="s">
        <v>8953</v>
      </c>
      <c r="K534" s="339" t="s">
        <v>71</v>
      </c>
      <c r="L534" s="357">
        <v>14</v>
      </c>
      <c r="M534" s="358" t="s">
        <v>9410</v>
      </c>
      <c r="N534" s="359">
        <v>1000</v>
      </c>
      <c r="O534" s="360" t="s">
        <v>530</v>
      </c>
      <c r="P534" s="343" t="s">
        <v>531</v>
      </c>
      <c r="Q534" s="342" t="s">
        <v>2688</v>
      </c>
      <c r="R534" s="344">
        <v>30</v>
      </c>
      <c r="S534" s="345">
        <v>40</v>
      </c>
      <c r="T534" s="362">
        <v>30</v>
      </c>
      <c r="U534" s="361">
        <v>91.06</v>
      </c>
      <c r="V534" s="346">
        <v>126.28029404790136</v>
      </c>
      <c r="W534" s="348">
        <v>124.60273891391985</v>
      </c>
      <c r="X534" s="347">
        <v>63.63</v>
      </c>
      <c r="Y534" s="357">
        <v>65.86</v>
      </c>
      <c r="Z534" s="365" t="s">
        <v>2689</v>
      </c>
      <c r="AA534" s="350">
        <v>100</v>
      </c>
      <c r="AB534" s="349" t="s">
        <v>2685</v>
      </c>
      <c r="AC534" s="350">
        <v>10</v>
      </c>
      <c r="AD534" s="349" t="s">
        <v>2685</v>
      </c>
      <c r="AE534" s="364">
        <v>0</v>
      </c>
      <c r="AF534" s="366">
        <v>0</v>
      </c>
      <c r="AG534" s="363">
        <v>0</v>
      </c>
      <c r="AH534" s="635" t="s">
        <v>408</v>
      </c>
      <c r="AI534" s="324"/>
      <c r="AL534" s="487" t="s">
        <v>14764</v>
      </c>
      <c r="AM534" s="477" t="s">
        <v>71</v>
      </c>
      <c r="AN534" s="637">
        <v>100</v>
      </c>
      <c r="AO534" s="478">
        <v>-1111</v>
      </c>
      <c r="AP534" s="463">
        <v>-590</v>
      </c>
      <c r="AQ534" s="479">
        <v>-521</v>
      </c>
      <c r="AR534" s="476" t="s">
        <v>16926</v>
      </c>
      <c r="BA534" s="313" t="s">
        <v>3728</v>
      </c>
    </row>
    <row r="535" spans="2:53" ht="16.5" customHeight="1">
      <c r="B535" s="367" t="s">
        <v>3678</v>
      </c>
      <c r="C535" s="351" t="s">
        <v>3679</v>
      </c>
      <c r="D535" s="353">
        <v>-1112</v>
      </c>
      <c r="E535" s="352" t="s">
        <v>3926</v>
      </c>
      <c r="F535" s="341">
        <v>91.06</v>
      </c>
      <c r="G535" s="355" t="s">
        <v>9365</v>
      </c>
      <c r="H535" s="356" t="s">
        <v>18554</v>
      </c>
      <c r="I535" s="354" t="s">
        <v>228</v>
      </c>
      <c r="J535" s="340" t="s">
        <v>9411</v>
      </c>
      <c r="K535" s="339" t="s">
        <v>71</v>
      </c>
      <c r="L535" s="357">
        <v>24</v>
      </c>
      <c r="M535" s="358" t="s">
        <v>9410</v>
      </c>
      <c r="N535" s="359">
        <v>1000</v>
      </c>
      <c r="O535" s="360" t="s">
        <v>530</v>
      </c>
      <c r="P535" s="343" t="s">
        <v>531</v>
      </c>
      <c r="Q535" s="342" t="s">
        <v>2688</v>
      </c>
      <c r="R535" s="344">
        <v>30</v>
      </c>
      <c r="S535" s="345">
        <v>40</v>
      </c>
      <c r="T535" s="362">
        <v>30</v>
      </c>
      <c r="U535" s="361">
        <v>91.06</v>
      </c>
      <c r="V535" s="346">
        <v>126.28029404790136</v>
      </c>
      <c r="W535" s="348">
        <v>124.60273891391985</v>
      </c>
      <c r="X535" s="347">
        <v>63.63</v>
      </c>
      <c r="Y535" s="357">
        <v>65.86</v>
      </c>
      <c r="Z535" s="365" t="s">
        <v>2689</v>
      </c>
      <c r="AA535" s="350">
        <v>100</v>
      </c>
      <c r="AB535" s="349" t="s">
        <v>2685</v>
      </c>
      <c r="AC535" s="350">
        <v>10</v>
      </c>
      <c r="AD535" s="349" t="s">
        <v>2685</v>
      </c>
      <c r="AE535" s="364">
        <v>0</v>
      </c>
      <c r="AF535" s="366">
        <v>0</v>
      </c>
      <c r="AG535" s="363">
        <v>0</v>
      </c>
      <c r="AH535" s="635" t="s">
        <v>408</v>
      </c>
      <c r="AI535" s="324"/>
      <c r="AL535" s="487" t="s">
        <v>14765</v>
      </c>
      <c r="AM535" s="477" t="s">
        <v>71</v>
      </c>
      <c r="AN535" s="637">
        <v>100</v>
      </c>
      <c r="AO535" s="478">
        <v>-1112</v>
      </c>
      <c r="AP535" s="463">
        <v>-591</v>
      </c>
      <c r="AQ535" s="479">
        <v>-521</v>
      </c>
      <c r="AR535" s="476" t="s">
        <v>16926</v>
      </c>
      <c r="BA535" s="313" t="s">
        <v>3729</v>
      </c>
    </row>
    <row r="536" spans="2:53" ht="16.5" customHeight="1">
      <c r="B536" s="367" t="s">
        <v>3678</v>
      </c>
      <c r="C536" s="351" t="s">
        <v>3679</v>
      </c>
      <c r="D536" s="353">
        <v>-1113</v>
      </c>
      <c r="E536" s="352" t="s">
        <v>9412</v>
      </c>
      <c r="F536" s="341">
        <v>91.05</v>
      </c>
      <c r="G536" s="355" t="s">
        <v>3892</v>
      </c>
      <c r="H536" s="356" t="s">
        <v>9481</v>
      </c>
      <c r="I536" s="354" t="s">
        <v>83</v>
      </c>
      <c r="J536" s="340" t="s">
        <v>8618</v>
      </c>
      <c r="K536" s="339" t="s">
        <v>71</v>
      </c>
      <c r="L536" s="357">
        <v>9</v>
      </c>
      <c r="M536" s="358" t="s">
        <v>9415</v>
      </c>
      <c r="N536" s="359">
        <v>1000</v>
      </c>
      <c r="O536" s="360" t="s">
        <v>532</v>
      </c>
      <c r="P536" s="343" t="s">
        <v>533</v>
      </c>
      <c r="Q536" s="342" t="s">
        <v>2688</v>
      </c>
      <c r="R536" s="344">
        <v>35</v>
      </c>
      <c r="S536" s="345">
        <v>25</v>
      </c>
      <c r="T536" s="362">
        <v>15</v>
      </c>
      <c r="U536" s="361">
        <v>91.05</v>
      </c>
      <c r="V536" s="346">
        <v>126.26562974233221</v>
      </c>
      <c r="W536" s="348">
        <v>124.59082416564492</v>
      </c>
      <c r="X536" s="347">
        <v>63.62</v>
      </c>
      <c r="Y536" s="357">
        <v>63.72</v>
      </c>
      <c r="Z536" s="365" t="s">
        <v>3017</v>
      </c>
      <c r="AA536" s="350">
        <v>246</v>
      </c>
      <c r="AB536" s="349" t="s">
        <v>2685</v>
      </c>
      <c r="AC536" s="350">
        <v>0</v>
      </c>
      <c r="AD536" s="349" t="s">
        <v>2685</v>
      </c>
      <c r="AE536" s="364">
        <v>0</v>
      </c>
      <c r="AF536" s="366">
        <v>4.1029999999999998</v>
      </c>
      <c r="AG536" s="363">
        <v>0</v>
      </c>
      <c r="AH536" s="635" t="s">
        <v>8698</v>
      </c>
      <c r="AI536" s="324"/>
      <c r="AL536" s="487" t="s">
        <v>14841</v>
      </c>
      <c r="AM536" s="477" t="s">
        <v>71</v>
      </c>
      <c r="AN536" s="637">
        <v>100</v>
      </c>
      <c r="AO536" s="478">
        <v>-1113</v>
      </c>
      <c r="AP536" s="463">
        <v>-592</v>
      </c>
      <c r="AQ536" s="479">
        <v>-521</v>
      </c>
      <c r="AR536" s="476" t="s">
        <v>14807</v>
      </c>
      <c r="BA536" s="313" t="s">
        <v>3730</v>
      </c>
    </row>
    <row r="537" spans="2:53" ht="16.5" customHeight="1">
      <c r="B537" s="367" t="s">
        <v>3678</v>
      </c>
      <c r="C537" s="351" t="s">
        <v>3679</v>
      </c>
      <c r="D537" s="353">
        <v>-1114</v>
      </c>
      <c r="E537" s="352" t="s">
        <v>408</v>
      </c>
      <c r="F537" s="341">
        <v>91.05</v>
      </c>
      <c r="G537" s="355" t="s">
        <v>3916</v>
      </c>
      <c r="H537" s="356" t="s">
        <v>8995</v>
      </c>
      <c r="I537" s="354" t="s">
        <v>83</v>
      </c>
      <c r="J537" s="340" t="s">
        <v>9417</v>
      </c>
      <c r="K537" s="339" t="s">
        <v>70</v>
      </c>
      <c r="L537" s="357">
        <v>28</v>
      </c>
      <c r="M537" s="358" t="s">
        <v>9418</v>
      </c>
      <c r="N537" s="359">
        <v>1000</v>
      </c>
      <c r="O537" s="360" t="s">
        <v>532</v>
      </c>
      <c r="P537" s="343" t="s">
        <v>533</v>
      </c>
      <c r="Q537" s="342" t="s">
        <v>2688</v>
      </c>
      <c r="R537" s="344">
        <v>20</v>
      </c>
      <c r="S537" s="345">
        <v>35</v>
      </c>
      <c r="T537" s="362">
        <v>35</v>
      </c>
      <c r="U537" s="361">
        <v>91.05</v>
      </c>
      <c r="V537" s="346">
        <v>126.26996224865101</v>
      </c>
      <c r="W537" s="348">
        <v>124.59434432702895</v>
      </c>
      <c r="X537" s="347">
        <v>63.33</v>
      </c>
      <c r="Y537" s="357">
        <v>63.739999999999995</v>
      </c>
      <c r="Z537" s="365" t="s">
        <v>3017</v>
      </c>
      <c r="AA537" s="350">
        <v>98</v>
      </c>
      <c r="AB537" s="349" t="s">
        <v>2685</v>
      </c>
      <c r="AC537" s="350">
        <v>0</v>
      </c>
      <c r="AD537" s="349" t="s">
        <v>2685</v>
      </c>
      <c r="AE537" s="364">
        <v>0</v>
      </c>
      <c r="AF537" s="366">
        <v>22.268000000000001</v>
      </c>
      <c r="AG537" s="363">
        <v>0</v>
      </c>
      <c r="AH537" s="635" t="s">
        <v>7791</v>
      </c>
      <c r="AI537" s="324"/>
      <c r="AL537" s="487" t="s">
        <v>14766</v>
      </c>
      <c r="AM537" s="477" t="s">
        <v>70</v>
      </c>
      <c r="AN537" s="637">
        <v>100</v>
      </c>
      <c r="AO537" s="478">
        <v>-1114</v>
      </c>
      <c r="AP537" s="463">
        <v>-1114</v>
      </c>
      <c r="AQ537" s="479">
        <v>0</v>
      </c>
      <c r="AR537" s="476" t="s">
        <v>17191</v>
      </c>
      <c r="BA537" s="313" t="s">
        <v>3733</v>
      </c>
    </row>
    <row r="538" spans="2:53" ht="16.5" customHeight="1">
      <c r="B538" s="367" t="s">
        <v>3678</v>
      </c>
      <c r="C538" s="351" t="s">
        <v>3679</v>
      </c>
      <c r="D538" s="353">
        <v>-1115</v>
      </c>
      <c r="E538" s="352" t="s">
        <v>3921</v>
      </c>
      <c r="F538" s="341">
        <v>91.04</v>
      </c>
      <c r="G538" s="355" t="s">
        <v>9850</v>
      </c>
      <c r="H538" s="356" t="s">
        <v>9481</v>
      </c>
      <c r="I538" s="354" t="s">
        <v>9336</v>
      </c>
      <c r="J538" s="340" t="s">
        <v>9419</v>
      </c>
      <c r="K538" s="339" t="s">
        <v>71</v>
      </c>
      <c r="L538" s="357">
        <v>8</v>
      </c>
      <c r="M538" s="358" t="s">
        <v>9420</v>
      </c>
      <c r="N538" s="359">
        <v>700</v>
      </c>
      <c r="O538" s="360" t="s">
        <v>532</v>
      </c>
      <c r="P538" s="343" t="s">
        <v>533</v>
      </c>
      <c r="Q538" s="342" t="s">
        <v>2688</v>
      </c>
      <c r="R538" s="344">
        <v>30</v>
      </c>
      <c r="S538" s="345">
        <v>35</v>
      </c>
      <c r="T538" s="362">
        <v>20</v>
      </c>
      <c r="U538" s="361">
        <v>91.04</v>
      </c>
      <c r="V538" s="346">
        <v>126.26140192108682</v>
      </c>
      <c r="W538" s="348">
        <v>124.58738906088304</v>
      </c>
      <c r="X538" s="347">
        <v>63.62</v>
      </c>
      <c r="Y538" s="357">
        <v>66.56</v>
      </c>
      <c r="Z538" s="365" t="s">
        <v>3017</v>
      </c>
      <c r="AA538" s="350">
        <v>103.5</v>
      </c>
      <c r="AB538" s="349" t="s">
        <v>2685</v>
      </c>
      <c r="AC538" s="350">
        <v>10</v>
      </c>
      <c r="AD538" s="349" t="s">
        <v>2685</v>
      </c>
      <c r="AE538" s="364">
        <v>0</v>
      </c>
      <c r="AF538" s="366">
        <v>0</v>
      </c>
      <c r="AG538" s="363">
        <v>0</v>
      </c>
      <c r="AH538" s="635" t="s">
        <v>408</v>
      </c>
      <c r="AI538" s="324"/>
      <c r="AL538" s="487" t="s">
        <v>14767</v>
      </c>
      <c r="AM538" s="477" t="s">
        <v>71</v>
      </c>
      <c r="AN538" s="637">
        <v>100</v>
      </c>
      <c r="AO538" s="478">
        <v>-1115</v>
      </c>
      <c r="AP538" s="463">
        <v>-593</v>
      </c>
      <c r="AQ538" s="479">
        <v>-522</v>
      </c>
      <c r="AR538" s="476" t="s">
        <v>14807</v>
      </c>
      <c r="BA538" s="313" t="s">
        <v>3737</v>
      </c>
    </row>
    <row r="539" spans="2:53" ht="16.5" customHeight="1">
      <c r="B539" s="367" t="s">
        <v>3678</v>
      </c>
      <c r="C539" s="351" t="s">
        <v>3679</v>
      </c>
      <c r="D539" s="353">
        <v>-1116</v>
      </c>
      <c r="E539" s="352" t="s">
        <v>9412</v>
      </c>
      <c r="F539" s="341">
        <v>91.03</v>
      </c>
      <c r="G539" s="355" t="s">
        <v>9863</v>
      </c>
      <c r="H539" s="356" t="s">
        <v>9481</v>
      </c>
      <c r="I539" s="354" t="s">
        <v>228</v>
      </c>
      <c r="J539" s="340" t="s">
        <v>8883</v>
      </c>
      <c r="K539" s="339" t="s">
        <v>71</v>
      </c>
      <c r="L539" s="357">
        <v>10</v>
      </c>
      <c r="M539" s="358" t="s">
        <v>9421</v>
      </c>
      <c r="N539" s="359">
        <v>1000</v>
      </c>
      <c r="O539" s="360" t="s">
        <v>530</v>
      </c>
      <c r="P539" s="343" t="s">
        <v>531</v>
      </c>
      <c r="Q539" s="342" t="s">
        <v>2688</v>
      </c>
      <c r="R539" s="344">
        <v>35</v>
      </c>
      <c r="S539" s="345">
        <v>30</v>
      </c>
      <c r="T539" s="362">
        <v>35</v>
      </c>
      <c r="U539" s="361">
        <v>91.03</v>
      </c>
      <c r="V539" s="346">
        <v>126.25176189204564</v>
      </c>
      <c r="W539" s="348">
        <v>124.57955653728708</v>
      </c>
      <c r="X539" s="347">
        <v>63.61</v>
      </c>
      <c r="Y539" s="357">
        <v>65.850000000000009</v>
      </c>
      <c r="Z539" s="365" t="s">
        <v>2689</v>
      </c>
      <c r="AA539" s="350">
        <v>100</v>
      </c>
      <c r="AB539" s="349" t="s">
        <v>2685</v>
      </c>
      <c r="AC539" s="350">
        <v>10</v>
      </c>
      <c r="AD539" s="349" t="s">
        <v>2685</v>
      </c>
      <c r="AE539" s="364">
        <v>0</v>
      </c>
      <c r="AF539" s="366">
        <v>11.523999999999999</v>
      </c>
      <c r="AG539" s="363">
        <v>0</v>
      </c>
      <c r="AH539" s="635" t="s">
        <v>5862</v>
      </c>
      <c r="AI539" s="324"/>
      <c r="AL539" s="487" t="s">
        <v>14768</v>
      </c>
      <c r="AM539" s="477" t="s">
        <v>71</v>
      </c>
      <c r="AN539" s="637">
        <v>100</v>
      </c>
      <c r="AO539" s="478">
        <v>-1116</v>
      </c>
      <c r="AP539" s="463">
        <v>-593</v>
      </c>
      <c r="AQ539" s="479">
        <v>-523</v>
      </c>
      <c r="AR539" s="476" t="s">
        <v>14807</v>
      </c>
      <c r="BA539" s="313" t="s">
        <v>3740</v>
      </c>
    </row>
    <row r="540" spans="2:53" ht="16.5" customHeight="1">
      <c r="B540" s="367" t="s">
        <v>3678</v>
      </c>
      <c r="C540" s="351" t="s">
        <v>3679</v>
      </c>
      <c r="D540" s="353">
        <v>-1117</v>
      </c>
      <c r="E540" s="352" t="s">
        <v>3923</v>
      </c>
      <c r="F540" s="341">
        <v>91.03</v>
      </c>
      <c r="G540" s="355" t="s">
        <v>18555</v>
      </c>
      <c r="H540" s="356" t="s">
        <v>18554</v>
      </c>
      <c r="I540" s="354" t="s">
        <v>228</v>
      </c>
      <c r="J540" s="340" t="s">
        <v>9423</v>
      </c>
      <c r="K540" s="339" t="s">
        <v>71</v>
      </c>
      <c r="L540" s="357">
        <v>48</v>
      </c>
      <c r="M540" s="358" t="s">
        <v>9424</v>
      </c>
      <c r="N540" s="359">
        <v>1000</v>
      </c>
      <c r="O540" s="360" t="s">
        <v>530</v>
      </c>
      <c r="P540" s="343" t="s">
        <v>531</v>
      </c>
      <c r="Q540" s="342" t="s">
        <v>2688</v>
      </c>
      <c r="R540" s="344">
        <v>30</v>
      </c>
      <c r="S540" s="345">
        <v>40</v>
      </c>
      <c r="T540" s="362">
        <v>30</v>
      </c>
      <c r="U540" s="361">
        <v>91.03</v>
      </c>
      <c r="V540" s="346">
        <v>126.25658050746978</v>
      </c>
      <c r="W540" s="348">
        <v>124.5834716623192</v>
      </c>
      <c r="X540" s="347">
        <v>63.62</v>
      </c>
      <c r="Y540" s="357">
        <v>65.850000000000009</v>
      </c>
      <c r="Z540" s="365" t="s">
        <v>2689</v>
      </c>
      <c r="AA540" s="350">
        <v>100</v>
      </c>
      <c r="AB540" s="349" t="s">
        <v>2685</v>
      </c>
      <c r="AC540" s="350">
        <v>10</v>
      </c>
      <c r="AD540" s="349" t="s">
        <v>2685</v>
      </c>
      <c r="AE540" s="364">
        <v>0</v>
      </c>
      <c r="AF540" s="366">
        <v>0</v>
      </c>
      <c r="AG540" s="363">
        <v>0</v>
      </c>
      <c r="AH540" s="635" t="s">
        <v>408</v>
      </c>
      <c r="AI540" s="324"/>
      <c r="AL540" s="487" t="s">
        <v>14769</v>
      </c>
      <c r="AM540" s="477" t="s">
        <v>71</v>
      </c>
      <c r="AN540" s="637">
        <v>100</v>
      </c>
      <c r="AO540" s="478">
        <v>-1117</v>
      </c>
      <c r="AP540" s="463">
        <v>-594</v>
      </c>
      <c r="AQ540" s="479">
        <v>-523</v>
      </c>
      <c r="AR540" s="476" t="s">
        <v>14807</v>
      </c>
      <c r="BA540" s="313" t="s">
        <v>3744</v>
      </c>
    </row>
    <row r="541" spans="2:53" ht="16.5" customHeight="1">
      <c r="B541" s="367" t="s">
        <v>3678</v>
      </c>
      <c r="C541" s="351" t="s">
        <v>3679</v>
      </c>
      <c r="D541" s="353">
        <v>-1118</v>
      </c>
      <c r="E541" s="352" t="s">
        <v>408</v>
      </c>
      <c r="F541" s="341">
        <v>91.03</v>
      </c>
      <c r="G541" s="355" t="s">
        <v>9412</v>
      </c>
      <c r="H541" s="356" t="s">
        <v>8995</v>
      </c>
      <c r="I541" s="354" t="s">
        <v>228</v>
      </c>
      <c r="J541" s="340" t="s">
        <v>9425</v>
      </c>
      <c r="K541" s="339" t="s">
        <v>70</v>
      </c>
      <c r="L541" s="357">
        <v>36</v>
      </c>
      <c r="M541" s="358" t="s">
        <v>9426</v>
      </c>
      <c r="N541" s="359">
        <v>1000</v>
      </c>
      <c r="O541" s="360" t="s">
        <v>530</v>
      </c>
      <c r="P541" s="343" t="s">
        <v>531</v>
      </c>
      <c r="Q541" s="342" t="s">
        <v>2688</v>
      </c>
      <c r="R541" s="344">
        <v>30</v>
      </c>
      <c r="S541" s="345">
        <v>35</v>
      </c>
      <c r="T541" s="362">
        <v>35</v>
      </c>
      <c r="U541" s="361">
        <v>91.03</v>
      </c>
      <c r="V541" s="346">
        <v>126.25599971828174</v>
      </c>
      <c r="W541" s="348">
        <v>124.58299977110393</v>
      </c>
      <c r="X541" s="347">
        <v>63.33</v>
      </c>
      <c r="Y541" s="357">
        <v>65.850000000000009</v>
      </c>
      <c r="Z541" s="365" t="s">
        <v>2689</v>
      </c>
      <c r="AA541" s="350">
        <v>100</v>
      </c>
      <c r="AB541" s="349" t="s">
        <v>2685</v>
      </c>
      <c r="AC541" s="350">
        <v>10</v>
      </c>
      <c r="AD541" s="349" t="s">
        <v>2685</v>
      </c>
      <c r="AE541" s="364">
        <v>0</v>
      </c>
      <c r="AF541" s="366">
        <v>11.523999999999999</v>
      </c>
      <c r="AG541" s="363">
        <v>0</v>
      </c>
      <c r="AH541" s="635" t="s">
        <v>7787</v>
      </c>
      <c r="AI541" s="324"/>
      <c r="AL541" s="487" t="s">
        <v>14770</v>
      </c>
      <c r="AM541" s="477" t="s">
        <v>70</v>
      </c>
      <c r="AN541" s="637">
        <v>100</v>
      </c>
      <c r="AO541" s="478">
        <v>-1118</v>
      </c>
      <c r="AP541" s="463">
        <v>-1118</v>
      </c>
      <c r="AQ541" s="479">
        <v>0</v>
      </c>
      <c r="AR541" s="476" t="s">
        <v>14771</v>
      </c>
      <c r="BA541" s="313" t="s">
        <v>3746</v>
      </c>
    </row>
    <row r="542" spans="2:53" ht="16.5" customHeight="1">
      <c r="B542" s="367" t="s">
        <v>9427</v>
      </c>
      <c r="C542" s="351" t="s">
        <v>9428</v>
      </c>
      <c r="D542" s="353">
        <v>-1119</v>
      </c>
      <c r="E542" s="352" t="s">
        <v>9429</v>
      </c>
      <c r="F542" s="341">
        <v>91.02</v>
      </c>
      <c r="G542" s="355" t="s">
        <v>9368</v>
      </c>
      <c r="H542" s="356" t="s">
        <v>18516</v>
      </c>
      <c r="I542" s="354" t="s">
        <v>83</v>
      </c>
      <c r="J542" s="340" t="s">
        <v>9430</v>
      </c>
      <c r="K542" s="339" t="s">
        <v>71</v>
      </c>
      <c r="L542" s="357">
        <v>12</v>
      </c>
      <c r="M542" s="358" t="s">
        <v>9431</v>
      </c>
      <c r="N542" s="359">
        <v>1000</v>
      </c>
      <c r="O542" s="360" t="s">
        <v>532</v>
      </c>
      <c r="P542" s="343" t="s">
        <v>533</v>
      </c>
      <c r="Q542" s="342" t="s">
        <v>2688</v>
      </c>
      <c r="R542" s="344">
        <v>35</v>
      </c>
      <c r="S542" s="345">
        <v>30</v>
      </c>
      <c r="T542" s="362">
        <v>20</v>
      </c>
      <c r="U542" s="361">
        <v>91.02</v>
      </c>
      <c r="V542" s="346">
        <v>126.24827815393193</v>
      </c>
      <c r="W542" s="348">
        <v>124.5767260000697</v>
      </c>
      <c r="X542" s="347">
        <v>63.61</v>
      </c>
      <c r="Y542" s="357">
        <v>63.71</v>
      </c>
      <c r="Z542" s="365" t="s">
        <v>3017</v>
      </c>
      <c r="AA542" s="350">
        <v>148</v>
      </c>
      <c r="AB542" s="349" t="s">
        <v>2685</v>
      </c>
      <c r="AC542" s="350">
        <v>0</v>
      </c>
      <c r="AD542" s="349" t="s">
        <v>2685</v>
      </c>
      <c r="AE542" s="364">
        <v>0</v>
      </c>
      <c r="AF542" s="366">
        <v>5.4690000000000003</v>
      </c>
      <c r="AG542" s="363">
        <v>0</v>
      </c>
      <c r="AH542" s="635" t="s">
        <v>8698</v>
      </c>
      <c r="AI542" s="324"/>
      <c r="AL542" s="487" t="s">
        <v>14772</v>
      </c>
      <c r="AM542" s="477" t="s">
        <v>71</v>
      </c>
      <c r="AN542" s="637">
        <v>100</v>
      </c>
      <c r="AO542" s="478">
        <v>-1119</v>
      </c>
      <c r="AP542" s="463">
        <v>-595</v>
      </c>
      <c r="AQ542" s="479">
        <v>-524</v>
      </c>
      <c r="AR542" s="476" t="s">
        <v>17192</v>
      </c>
      <c r="BA542" s="313" t="s">
        <v>3747</v>
      </c>
    </row>
    <row r="543" spans="2:53" ht="16.5" customHeight="1">
      <c r="B543" s="367" t="s">
        <v>9427</v>
      </c>
      <c r="C543" s="351" t="s">
        <v>9428</v>
      </c>
      <c r="D543" s="353">
        <v>-1120</v>
      </c>
      <c r="E543" s="352" t="s">
        <v>408</v>
      </c>
      <c r="F543" s="341">
        <v>91.02</v>
      </c>
      <c r="G543" s="355" t="s">
        <v>3930</v>
      </c>
      <c r="H543" s="356" t="s">
        <v>18556</v>
      </c>
      <c r="I543" s="354" t="s">
        <v>82</v>
      </c>
      <c r="J543" s="340" t="s">
        <v>8418</v>
      </c>
      <c r="K543" s="339" t="s">
        <v>70</v>
      </c>
      <c r="L543" s="357">
        <v>31</v>
      </c>
      <c r="M543" s="358" t="s">
        <v>9432</v>
      </c>
      <c r="N543" s="359">
        <v>800</v>
      </c>
      <c r="O543" s="360" t="s">
        <v>530</v>
      </c>
      <c r="P543" s="343" t="s">
        <v>531</v>
      </c>
      <c r="Q543" s="342" t="s">
        <v>2688</v>
      </c>
      <c r="R543" s="344">
        <v>20</v>
      </c>
      <c r="S543" s="345">
        <v>35</v>
      </c>
      <c r="T543" s="362">
        <v>30</v>
      </c>
      <c r="U543" s="361">
        <v>91.02</v>
      </c>
      <c r="V543" s="346">
        <v>126.24249354722774</v>
      </c>
      <c r="W543" s="348">
        <v>124.57202600712255</v>
      </c>
      <c r="X543" s="347">
        <v>63.32</v>
      </c>
      <c r="Y543" s="357">
        <v>64.190000000000012</v>
      </c>
      <c r="Z543" s="365" t="s">
        <v>3017</v>
      </c>
      <c r="AA543" s="350">
        <v>117.6</v>
      </c>
      <c r="AB543" s="349" t="s">
        <v>2685</v>
      </c>
      <c r="AC543" s="350">
        <v>0</v>
      </c>
      <c r="AD543" s="349" t="s">
        <v>2685</v>
      </c>
      <c r="AE543" s="364">
        <v>0</v>
      </c>
      <c r="AF543" s="366">
        <v>9.6</v>
      </c>
      <c r="AG543" s="363">
        <v>0</v>
      </c>
      <c r="AH543" s="635" t="s">
        <v>7814</v>
      </c>
      <c r="AI543" s="324"/>
      <c r="AL543" s="487" t="s">
        <v>14773</v>
      </c>
      <c r="AM543" s="477" t="s">
        <v>70</v>
      </c>
      <c r="AN543" s="637">
        <v>100</v>
      </c>
      <c r="AO543" s="478">
        <v>-1120</v>
      </c>
      <c r="AP543" s="463">
        <v>-1120</v>
      </c>
      <c r="AQ543" s="479">
        <v>0</v>
      </c>
      <c r="AR543" s="476" t="s">
        <v>14771</v>
      </c>
      <c r="BA543" s="313" t="s">
        <v>3750</v>
      </c>
    </row>
    <row r="544" spans="2:53" ht="16.5" customHeight="1">
      <c r="B544" s="367" t="s">
        <v>9427</v>
      </c>
      <c r="C544" s="351" t="s">
        <v>9428</v>
      </c>
      <c r="D544" s="353">
        <v>-1121</v>
      </c>
      <c r="E544" s="352" t="s">
        <v>3930</v>
      </c>
      <c r="F544" s="341">
        <v>91.01</v>
      </c>
      <c r="G544" s="355" t="s">
        <v>9393</v>
      </c>
      <c r="H544" s="356" t="s">
        <v>9481</v>
      </c>
      <c r="I544" s="354" t="s">
        <v>82</v>
      </c>
      <c r="J544" s="340" t="s">
        <v>8726</v>
      </c>
      <c r="K544" s="339" t="s">
        <v>71</v>
      </c>
      <c r="L544" s="357">
        <v>29</v>
      </c>
      <c r="M544" s="358" t="s">
        <v>9434</v>
      </c>
      <c r="N544" s="359">
        <v>800</v>
      </c>
      <c r="O544" s="360" t="s">
        <v>530</v>
      </c>
      <c r="P544" s="343" t="s">
        <v>531</v>
      </c>
      <c r="Q544" s="342" t="s">
        <v>2688</v>
      </c>
      <c r="R544" s="344">
        <v>30</v>
      </c>
      <c r="S544" s="345">
        <v>30</v>
      </c>
      <c r="T544" s="362">
        <v>25</v>
      </c>
      <c r="U544" s="361">
        <v>91.01</v>
      </c>
      <c r="V544" s="346">
        <v>126.23657987785275</v>
      </c>
      <c r="W544" s="348">
        <v>124.56722115075536</v>
      </c>
      <c r="X544" s="347">
        <v>63.61</v>
      </c>
      <c r="Y544" s="357">
        <v>64.190000000000012</v>
      </c>
      <c r="Z544" s="365" t="s">
        <v>3017</v>
      </c>
      <c r="AA544" s="350">
        <v>117.6</v>
      </c>
      <c r="AB544" s="349" t="s">
        <v>2685</v>
      </c>
      <c r="AC544" s="350">
        <v>0</v>
      </c>
      <c r="AD544" s="349" t="s">
        <v>2685</v>
      </c>
      <c r="AE544" s="364">
        <v>0</v>
      </c>
      <c r="AF544" s="366">
        <v>0</v>
      </c>
      <c r="AG544" s="363">
        <v>0</v>
      </c>
      <c r="AH544" s="635" t="s">
        <v>408</v>
      </c>
      <c r="AI544" s="324"/>
      <c r="AL544" s="487" t="s">
        <v>14774</v>
      </c>
      <c r="AM544" s="477" t="s">
        <v>71</v>
      </c>
      <c r="AN544" s="637">
        <v>100</v>
      </c>
      <c r="AO544" s="478">
        <v>-1121</v>
      </c>
      <c r="AP544" s="463">
        <v>-596</v>
      </c>
      <c r="AQ544" s="479">
        <v>-525</v>
      </c>
      <c r="AR544" s="476" t="s">
        <v>17192</v>
      </c>
      <c r="BA544" s="313" t="s">
        <v>3751</v>
      </c>
    </row>
    <row r="545" spans="2:53" ht="16.5" customHeight="1">
      <c r="B545" s="367" t="s">
        <v>9427</v>
      </c>
      <c r="C545" s="351" t="s">
        <v>9428</v>
      </c>
      <c r="D545" s="353">
        <v>-1122</v>
      </c>
      <c r="E545" s="352" t="s">
        <v>3940</v>
      </c>
      <c r="F545" s="341">
        <v>91</v>
      </c>
      <c r="G545" s="355" t="s">
        <v>18557</v>
      </c>
      <c r="H545" s="356" t="s">
        <v>9481</v>
      </c>
      <c r="I545" s="354" t="s">
        <v>407</v>
      </c>
      <c r="J545" s="340" t="s">
        <v>230</v>
      </c>
      <c r="K545" s="339" t="s">
        <v>71</v>
      </c>
      <c r="L545" s="357">
        <v>33</v>
      </c>
      <c r="M545" s="358" t="s">
        <v>9435</v>
      </c>
      <c r="N545" s="359">
        <v>400</v>
      </c>
      <c r="O545" s="360" t="s">
        <v>454</v>
      </c>
      <c r="P545" s="343" t="s">
        <v>454</v>
      </c>
      <c r="Q545" s="342" t="s">
        <v>2688</v>
      </c>
      <c r="R545" s="344">
        <v>28</v>
      </c>
      <c r="S545" s="345">
        <v>25</v>
      </c>
      <c r="T545" s="362">
        <v>23</v>
      </c>
      <c r="U545" s="361">
        <v>91</v>
      </c>
      <c r="V545" s="346">
        <v>126.23076923076923</v>
      </c>
      <c r="W545" s="348">
        <v>124.5625</v>
      </c>
      <c r="X545" s="347">
        <v>63.61</v>
      </c>
      <c r="Y545" s="357" t="s">
        <v>408</v>
      </c>
      <c r="Z545" s="365" t="s">
        <v>4408</v>
      </c>
      <c r="AA545" s="350">
        <v>88</v>
      </c>
      <c r="AB545" s="349" t="s">
        <v>2685</v>
      </c>
      <c r="AC545" s="350">
        <v>0</v>
      </c>
      <c r="AD545" s="349" t="s">
        <v>2685</v>
      </c>
      <c r="AE545" s="364">
        <v>0</v>
      </c>
      <c r="AF545" s="366">
        <v>0</v>
      </c>
      <c r="AG545" s="363">
        <v>0</v>
      </c>
      <c r="AH545" s="635" t="s">
        <v>9436</v>
      </c>
      <c r="AI545" s="324"/>
      <c r="AL545" s="487" t="s">
        <v>7195</v>
      </c>
      <c r="AM545" s="477" t="s">
        <v>71</v>
      </c>
      <c r="AN545" s="637">
        <v>100</v>
      </c>
      <c r="AO545" s="478">
        <v>-1122</v>
      </c>
      <c r="AP545" s="463">
        <v>-596</v>
      </c>
      <c r="AQ545" s="479">
        <v>-526</v>
      </c>
      <c r="AR545" s="476" t="s">
        <v>17192</v>
      </c>
      <c r="BA545" s="313" t="s">
        <v>3753</v>
      </c>
    </row>
    <row r="546" spans="2:53" ht="16.5" customHeight="1">
      <c r="B546" s="367" t="s">
        <v>9427</v>
      </c>
      <c r="C546" s="351" t="s">
        <v>9428</v>
      </c>
      <c r="D546" s="353">
        <v>-1123</v>
      </c>
      <c r="E546" s="352" t="s">
        <v>408</v>
      </c>
      <c r="F546" s="341">
        <v>91</v>
      </c>
      <c r="G546" s="355" t="s">
        <v>9437</v>
      </c>
      <c r="H546" s="356" t="s">
        <v>3619</v>
      </c>
      <c r="I546" s="354" t="s">
        <v>8163</v>
      </c>
      <c r="J546" s="340" t="s">
        <v>429</v>
      </c>
      <c r="K546" s="339" t="s">
        <v>70</v>
      </c>
      <c r="L546" s="357">
        <v>2</v>
      </c>
      <c r="M546" s="358" t="s">
        <v>9438</v>
      </c>
      <c r="N546" s="359">
        <v>1000</v>
      </c>
      <c r="O546" s="360" t="s">
        <v>454</v>
      </c>
      <c r="P546" s="343" t="s">
        <v>454</v>
      </c>
      <c r="Q546" s="342" t="s">
        <v>2688</v>
      </c>
      <c r="R546" s="344">
        <v>20</v>
      </c>
      <c r="S546" s="345">
        <v>25</v>
      </c>
      <c r="T546" s="362">
        <v>30</v>
      </c>
      <c r="U546" s="361">
        <v>91</v>
      </c>
      <c r="V546" s="346">
        <v>126.23076923076923</v>
      </c>
      <c r="W546" s="348">
        <v>124.5625</v>
      </c>
      <c r="X546" s="347">
        <v>63.31</v>
      </c>
      <c r="Y546" s="357" t="s">
        <v>408</v>
      </c>
      <c r="Z546" s="365" t="s">
        <v>2689</v>
      </c>
      <c r="AA546" s="350">
        <v>200</v>
      </c>
      <c r="AB546" s="349" t="s">
        <v>2685</v>
      </c>
      <c r="AC546" s="350">
        <v>50</v>
      </c>
      <c r="AD546" s="349" t="s">
        <v>2685</v>
      </c>
      <c r="AE546" s="364">
        <v>0</v>
      </c>
      <c r="AF546" s="366">
        <v>0</v>
      </c>
      <c r="AG546" s="363">
        <v>0</v>
      </c>
      <c r="AH546" s="635" t="s">
        <v>408</v>
      </c>
      <c r="AI546" s="324"/>
      <c r="AL546" s="487" t="s">
        <v>14775</v>
      </c>
      <c r="AM546" s="477" t="s">
        <v>70</v>
      </c>
      <c r="AN546" s="637">
        <v>100</v>
      </c>
      <c r="AO546" s="478">
        <v>-1123</v>
      </c>
      <c r="AP546" s="463">
        <v>-1123</v>
      </c>
      <c r="AQ546" s="479">
        <v>0</v>
      </c>
      <c r="AR546" s="476" t="s">
        <v>14776</v>
      </c>
      <c r="BA546" s="313" t="s">
        <v>3756</v>
      </c>
    </row>
    <row r="547" spans="2:53" ht="16.5" customHeight="1">
      <c r="B547" s="367" t="s">
        <v>9427</v>
      </c>
      <c r="C547" s="351" t="s">
        <v>9428</v>
      </c>
      <c r="D547" s="353">
        <v>-1124</v>
      </c>
      <c r="E547" s="352" t="s">
        <v>408</v>
      </c>
      <c r="F547" s="341">
        <v>91</v>
      </c>
      <c r="G547" s="355" t="s">
        <v>3940</v>
      </c>
      <c r="H547" s="356" t="s">
        <v>18556</v>
      </c>
      <c r="I547" s="354" t="s">
        <v>82</v>
      </c>
      <c r="J547" s="340" t="s">
        <v>9439</v>
      </c>
      <c r="K547" s="339" t="s">
        <v>70</v>
      </c>
      <c r="L547" s="357">
        <v>35</v>
      </c>
      <c r="M547" s="358" t="s">
        <v>9440</v>
      </c>
      <c r="N547" s="359">
        <v>800</v>
      </c>
      <c r="O547" s="360" t="s">
        <v>530</v>
      </c>
      <c r="P547" s="343" t="s">
        <v>531</v>
      </c>
      <c r="Q547" s="342" t="s">
        <v>2688</v>
      </c>
      <c r="R547" s="344">
        <v>20</v>
      </c>
      <c r="S547" s="345">
        <v>35</v>
      </c>
      <c r="T547" s="362">
        <v>30</v>
      </c>
      <c r="U547" s="361">
        <v>91</v>
      </c>
      <c r="V547" s="346">
        <v>126.23269186787336</v>
      </c>
      <c r="W547" s="348">
        <v>124.5640621426471</v>
      </c>
      <c r="X547" s="347">
        <v>63.32</v>
      </c>
      <c r="Y547" s="357">
        <v>64.180000000000007</v>
      </c>
      <c r="Z547" s="365" t="s">
        <v>3017</v>
      </c>
      <c r="AA547" s="350">
        <v>117.6</v>
      </c>
      <c r="AB547" s="349" t="s">
        <v>2685</v>
      </c>
      <c r="AC547" s="350">
        <v>0</v>
      </c>
      <c r="AD547" s="349" t="s">
        <v>2685</v>
      </c>
      <c r="AE547" s="364">
        <v>0</v>
      </c>
      <c r="AF547" s="366">
        <v>9.6</v>
      </c>
      <c r="AG547" s="363">
        <v>0</v>
      </c>
      <c r="AH547" s="635" t="s">
        <v>7814</v>
      </c>
      <c r="AI547" s="324"/>
      <c r="AL547" s="487" t="s">
        <v>14777</v>
      </c>
      <c r="AM547" s="477" t="s">
        <v>70</v>
      </c>
      <c r="AN547" s="637">
        <v>100</v>
      </c>
      <c r="AO547" s="478">
        <v>-1124</v>
      </c>
      <c r="AP547" s="463">
        <v>-1124</v>
      </c>
      <c r="AQ547" s="479">
        <v>0</v>
      </c>
      <c r="AR547" s="476" t="s">
        <v>14771</v>
      </c>
      <c r="BA547" s="313" t="s">
        <v>3759</v>
      </c>
    </row>
    <row r="548" spans="2:53" ht="16.5" customHeight="1">
      <c r="B548" s="367" t="s">
        <v>9427</v>
      </c>
      <c r="C548" s="351" t="s">
        <v>9428</v>
      </c>
      <c r="D548" s="353">
        <v>-1125</v>
      </c>
      <c r="E548" s="352" t="s">
        <v>408</v>
      </c>
      <c r="F548" s="341">
        <v>91</v>
      </c>
      <c r="G548" s="355" t="s">
        <v>3940</v>
      </c>
      <c r="H548" s="356" t="s">
        <v>18556</v>
      </c>
      <c r="I548" s="354" t="s">
        <v>228</v>
      </c>
      <c r="J548" s="340" t="s">
        <v>550</v>
      </c>
      <c r="K548" s="339" t="s">
        <v>70</v>
      </c>
      <c r="L548" s="357">
        <v>16</v>
      </c>
      <c r="M548" s="358" t="s">
        <v>9441</v>
      </c>
      <c r="N548" s="359">
        <v>1000</v>
      </c>
      <c r="O548" s="360" t="s">
        <v>530</v>
      </c>
      <c r="P548" s="343" t="s">
        <v>531</v>
      </c>
      <c r="Q548" s="342" t="s">
        <v>2688</v>
      </c>
      <c r="R548" s="344">
        <v>30</v>
      </c>
      <c r="S548" s="345">
        <v>35</v>
      </c>
      <c r="T548" s="362">
        <v>35</v>
      </c>
      <c r="U548" s="361">
        <v>91</v>
      </c>
      <c r="V548" s="346">
        <v>126.23252319773685</v>
      </c>
      <c r="W548" s="348">
        <v>124.56392509816121</v>
      </c>
      <c r="X548" s="347">
        <v>63.32</v>
      </c>
      <c r="Y548" s="357">
        <v>65.84</v>
      </c>
      <c r="Z548" s="365" t="s">
        <v>2689</v>
      </c>
      <c r="AA548" s="350">
        <v>100</v>
      </c>
      <c r="AB548" s="349" t="s">
        <v>2685</v>
      </c>
      <c r="AC548" s="350">
        <v>10</v>
      </c>
      <c r="AD548" s="349" t="s">
        <v>2685</v>
      </c>
      <c r="AE548" s="364">
        <v>0</v>
      </c>
      <c r="AF548" s="366">
        <v>11.522</v>
      </c>
      <c r="AG548" s="363">
        <v>0</v>
      </c>
      <c r="AH548" s="635" t="s">
        <v>7787</v>
      </c>
      <c r="AI548" s="324"/>
      <c r="AL548" s="487" t="s">
        <v>14778</v>
      </c>
      <c r="AM548" s="477" t="s">
        <v>70</v>
      </c>
      <c r="AN548" s="637">
        <v>100</v>
      </c>
      <c r="AO548" s="478">
        <v>-1125</v>
      </c>
      <c r="AP548" s="463">
        <v>-1125</v>
      </c>
      <c r="AQ548" s="479">
        <v>0</v>
      </c>
      <c r="AR548" s="476" t="s">
        <v>14771</v>
      </c>
      <c r="BA548" s="313" t="s">
        <v>3761</v>
      </c>
    </row>
    <row r="549" spans="2:53" ht="16.5" customHeight="1">
      <c r="B549" s="367" t="s">
        <v>3686</v>
      </c>
      <c r="C549" s="351" t="s">
        <v>3687</v>
      </c>
      <c r="D549" s="353">
        <v>-1126</v>
      </c>
      <c r="E549" s="352" t="s">
        <v>3939</v>
      </c>
      <c r="F549" s="341">
        <v>90.95</v>
      </c>
      <c r="G549" s="355" t="s">
        <v>3903</v>
      </c>
      <c r="H549" s="356" t="s">
        <v>18558</v>
      </c>
      <c r="I549" s="354" t="s">
        <v>82</v>
      </c>
      <c r="J549" s="340" t="s">
        <v>9442</v>
      </c>
      <c r="K549" s="339" t="s">
        <v>71</v>
      </c>
      <c r="L549" s="357">
        <v>12</v>
      </c>
      <c r="M549" s="358" t="s">
        <v>9443</v>
      </c>
      <c r="N549" s="359">
        <v>800</v>
      </c>
      <c r="O549" s="360" t="s">
        <v>530</v>
      </c>
      <c r="P549" s="343" t="s">
        <v>531</v>
      </c>
      <c r="Q549" s="342" t="s">
        <v>2688</v>
      </c>
      <c r="R549" s="344">
        <v>30</v>
      </c>
      <c r="S549" s="345">
        <v>30</v>
      </c>
      <c r="T549" s="362">
        <v>25</v>
      </c>
      <c r="U549" s="361">
        <v>90.95</v>
      </c>
      <c r="V549" s="346">
        <v>126.19479267116679</v>
      </c>
      <c r="W549" s="348">
        <v>124.53326904532302</v>
      </c>
      <c r="X549" s="347">
        <v>63.59</v>
      </c>
      <c r="Y549" s="357">
        <v>64.17</v>
      </c>
      <c r="Z549" s="365" t="s">
        <v>3017</v>
      </c>
      <c r="AA549" s="350">
        <v>117.6</v>
      </c>
      <c r="AB549" s="349" t="s">
        <v>2685</v>
      </c>
      <c r="AC549" s="350">
        <v>0</v>
      </c>
      <c r="AD549" s="349" t="s">
        <v>2685</v>
      </c>
      <c r="AE549" s="364">
        <v>0</v>
      </c>
      <c r="AF549" s="366">
        <v>0</v>
      </c>
      <c r="AG549" s="363">
        <v>0</v>
      </c>
      <c r="AH549" s="635" t="s">
        <v>408</v>
      </c>
      <c r="AI549" s="324"/>
      <c r="AL549" s="487" t="s">
        <v>14779</v>
      </c>
      <c r="AM549" s="477" t="s">
        <v>71</v>
      </c>
      <c r="AN549" s="637">
        <v>100</v>
      </c>
      <c r="AO549" s="478">
        <v>-1126</v>
      </c>
      <c r="AP549" s="463">
        <v>-597</v>
      </c>
      <c r="AQ549" s="479">
        <v>-529</v>
      </c>
      <c r="AR549" s="476" t="s">
        <v>17193</v>
      </c>
      <c r="BA549" s="313" t="s">
        <v>3764</v>
      </c>
    </row>
    <row r="550" spans="2:53" ht="16.5" customHeight="1">
      <c r="B550" s="367" t="s">
        <v>9444</v>
      </c>
      <c r="C550" s="351" t="s">
        <v>9445</v>
      </c>
      <c r="D550" s="353">
        <v>-1127</v>
      </c>
      <c r="E550" s="352" t="s">
        <v>9446</v>
      </c>
      <c r="F550" s="341">
        <v>90.94</v>
      </c>
      <c r="G550" s="355" t="s">
        <v>9846</v>
      </c>
      <c r="H550" s="356" t="s">
        <v>9592</v>
      </c>
      <c r="I550" s="354" t="s">
        <v>228</v>
      </c>
      <c r="J550" s="340" t="s">
        <v>9447</v>
      </c>
      <c r="K550" s="339" t="s">
        <v>71</v>
      </c>
      <c r="L550" s="357">
        <v>10</v>
      </c>
      <c r="M550" s="358" t="s">
        <v>9448</v>
      </c>
      <c r="N550" s="359">
        <v>1000</v>
      </c>
      <c r="O550" s="360" t="s">
        <v>530</v>
      </c>
      <c r="P550" s="343" t="s">
        <v>531</v>
      </c>
      <c r="Q550" s="342" t="s">
        <v>2688</v>
      </c>
      <c r="R550" s="344">
        <v>35</v>
      </c>
      <c r="S550" s="345">
        <v>30</v>
      </c>
      <c r="T550" s="362">
        <v>35</v>
      </c>
      <c r="U550" s="361">
        <v>90.94</v>
      </c>
      <c r="V550" s="346">
        <v>126.18263295994122</v>
      </c>
      <c r="W550" s="348">
        <v>124.52338927995224</v>
      </c>
      <c r="X550" s="347">
        <v>63.58</v>
      </c>
      <c r="Y550" s="357">
        <v>65.83</v>
      </c>
      <c r="Z550" s="365" t="s">
        <v>2689</v>
      </c>
      <c r="AA550" s="350">
        <v>100</v>
      </c>
      <c r="AB550" s="349" t="s">
        <v>2685</v>
      </c>
      <c r="AC550" s="350">
        <v>10</v>
      </c>
      <c r="AD550" s="349" t="s">
        <v>2685</v>
      </c>
      <c r="AE550" s="364">
        <v>0</v>
      </c>
      <c r="AF550" s="366">
        <v>11.52</v>
      </c>
      <c r="AG550" s="363">
        <v>0</v>
      </c>
      <c r="AH550" s="635" t="s">
        <v>5862</v>
      </c>
      <c r="AI550" s="324"/>
      <c r="AL550" s="487" t="s">
        <v>14780</v>
      </c>
      <c r="AM550" s="477" t="s">
        <v>71</v>
      </c>
      <c r="AN550" s="637">
        <v>100</v>
      </c>
      <c r="AO550" s="478">
        <v>-1127</v>
      </c>
      <c r="AP550" s="463">
        <v>-597</v>
      </c>
      <c r="AQ550" s="479">
        <v>-530</v>
      </c>
      <c r="AR550" s="476" t="s">
        <v>16927</v>
      </c>
      <c r="BA550" s="313" t="s">
        <v>3766</v>
      </c>
    </row>
    <row r="551" spans="2:53" ht="16.5" customHeight="1">
      <c r="B551" s="367" t="s">
        <v>9449</v>
      </c>
      <c r="C551" s="351" t="s">
        <v>9450</v>
      </c>
      <c r="D551" s="353">
        <v>-1128</v>
      </c>
      <c r="E551" s="352" t="s">
        <v>3947</v>
      </c>
      <c r="F551" s="341">
        <v>90.93</v>
      </c>
      <c r="G551" s="355" t="s">
        <v>9904</v>
      </c>
      <c r="H551" s="356" t="s">
        <v>3595</v>
      </c>
      <c r="I551" s="354" t="s">
        <v>82</v>
      </c>
      <c r="J551" s="340" t="s">
        <v>9451</v>
      </c>
      <c r="K551" s="339" t="s">
        <v>71</v>
      </c>
      <c r="L551" s="357">
        <v>43</v>
      </c>
      <c r="M551" s="358" t="s">
        <v>9452</v>
      </c>
      <c r="N551" s="359">
        <v>800</v>
      </c>
      <c r="O551" s="360" t="s">
        <v>530</v>
      </c>
      <c r="P551" s="343" t="s">
        <v>531</v>
      </c>
      <c r="Q551" s="342" t="s">
        <v>2688</v>
      </c>
      <c r="R551" s="344">
        <v>30</v>
      </c>
      <c r="S551" s="345">
        <v>30</v>
      </c>
      <c r="T551" s="362">
        <v>25</v>
      </c>
      <c r="U551" s="361">
        <v>90.93</v>
      </c>
      <c r="V551" s="346">
        <v>126.1787206685953</v>
      </c>
      <c r="W551" s="348">
        <v>124.52021054323369</v>
      </c>
      <c r="X551" s="347">
        <v>63.58</v>
      </c>
      <c r="Y551" s="357">
        <v>64.160000000000011</v>
      </c>
      <c r="Z551" s="365" t="s">
        <v>3017</v>
      </c>
      <c r="AA551" s="350">
        <v>117.6</v>
      </c>
      <c r="AB551" s="349" t="s">
        <v>2685</v>
      </c>
      <c r="AC551" s="350">
        <v>0</v>
      </c>
      <c r="AD551" s="349" t="s">
        <v>2685</v>
      </c>
      <c r="AE551" s="364">
        <v>0</v>
      </c>
      <c r="AF551" s="366">
        <v>0</v>
      </c>
      <c r="AG551" s="363">
        <v>0</v>
      </c>
      <c r="AH551" s="635" t="s">
        <v>408</v>
      </c>
      <c r="AI551" s="324"/>
      <c r="AL551" s="487" t="s">
        <v>14781</v>
      </c>
      <c r="AM551" s="477" t="s">
        <v>71</v>
      </c>
      <c r="AN551" s="637">
        <v>100</v>
      </c>
      <c r="AO551" s="478">
        <v>-1128</v>
      </c>
      <c r="AP551" s="463">
        <v>-598</v>
      </c>
      <c r="AQ551" s="479">
        <v>-530</v>
      </c>
      <c r="AR551" s="476" t="s">
        <v>16927</v>
      </c>
      <c r="BA551" s="313" t="s">
        <v>3767</v>
      </c>
    </row>
    <row r="552" spans="2:53" ht="16.5" customHeight="1">
      <c r="B552" s="367" t="s">
        <v>9449</v>
      </c>
      <c r="C552" s="351" t="s">
        <v>9450</v>
      </c>
      <c r="D552" s="353">
        <v>-1129</v>
      </c>
      <c r="E552" s="352" t="s">
        <v>408</v>
      </c>
      <c r="F552" s="341">
        <v>90.93</v>
      </c>
      <c r="G552" s="355" t="s">
        <v>9453</v>
      </c>
      <c r="H552" s="356" t="s">
        <v>18512</v>
      </c>
      <c r="I552" s="354" t="s">
        <v>82</v>
      </c>
      <c r="J552" s="340" t="s">
        <v>8757</v>
      </c>
      <c r="K552" s="339" t="s">
        <v>70</v>
      </c>
      <c r="L552" s="357">
        <v>69</v>
      </c>
      <c r="M552" s="358" t="s">
        <v>9454</v>
      </c>
      <c r="N552" s="359">
        <v>800</v>
      </c>
      <c r="O552" s="360" t="s">
        <v>530</v>
      </c>
      <c r="P552" s="343" t="s">
        <v>531</v>
      </c>
      <c r="Q552" s="342" t="s">
        <v>2688</v>
      </c>
      <c r="R552" s="344">
        <v>20</v>
      </c>
      <c r="S552" s="345">
        <v>35</v>
      </c>
      <c r="T552" s="362">
        <v>30</v>
      </c>
      <c r="U552" s="361">
        <v>90.93</v>
      </c>
      <c r="V552" s="346">
        <v>126.17714901819845</v>
      </c>
      <c r="W552" s="348">
        <v>124.51893357728625</v>
      </c>
      <c r="X552" s="347">
        <v>63.29</v>
      </c>
      <c r="Y552" s="357">
        <v>64.160000000000011</v>
      </c>
      <c r="Z552" s="365" t="s">
        <v>3017</v>
      </c>
      <c r="AA552" s="350">
        <v>117.6</v>
      </c>
      <c r="AB552" s="349" t="s">
        <v>2685</v>
      </c>
      <c r="AC552" s="350">
        <v>0</v>
      </c>
      <c r="AD552" s="349" t="s">
        <v>2685</v>
      </c>
      <c r="AE552" s="364">
        <v>0</v>
      </c>
      <c r="AF552" s="366">
        <v>9.6</v>
      </c>
      <c r="AG552" s="363">
        <v>0</v>
      </c>
      <c r="AH552" s="635" t="s">
        <v>7814</v>
      </c>
      <c r="AI552" s="324"/>
      <c r="AL552" s="487" t="s">
        <v>14782</v>
      </c>
      <c r="AM552" s="477" t="s">
        <v>70</v>
      </c>
      <c r="AN552" s="637">
        <v>100</v>
      </c>
      <c r="AO552" s="478">
        <v>-1129</v>
      </c>
      <c r="AP552" s="463">
        <v>-1129</v>
      </c>
      <c r="AQ552" s="479">
        <v>0</v>
      </c>
      <c r="AR552" s="476" t="s">
        <v>17194</v>
      </c>
      <c r="BA552" s="313" t="s">
        <v>3768</v>
      </c>
    </row>
    <row r="553" spans="2:53" ht="16.5" customHeight="1">
      <c r="B553" s="367" t="s">
        <v>9455</v>
      </c>
      <c r="C553" s="351" t="s">
        <v>9456</v>
      </c>
      <c r="D553" s="353">
        <v>-1130</v>
      </c>
      <c r="E553" s="352" t="s">
        <v>9457</v>
      </c>
      <c r="F553" s="341">
        <v>90.92</v>
      </c>
      <c r="G553" s="355" t="s">
        <v>9392</v>
      </c>
      <c r="H553" s="356" t="s">
        <v>18559</v>
      </c>
      <c r="I553" s="354" t="s">
        <v>224</v>
      </c>
      <c r="J553" s="340" t="s">
        <v>8190</v>
      </c>
      <c r="K553" s="339" t="s">
        <v>71</v>
      </c>
      <c r="L553" s="357">
        <v>12</v>
      </c>
      <c r="M553" s="358" t="s">
        <v>9459</v>
      </c>
      <c r="N553" s="359">
        <v>1000</v>
      </c>
      <c r="O553" s="360" t="s">
        <v>532</v>
      </c>
      <c r="P553" s="343" t="s">
        <v>533</v>
      </c>
      <c r="Q553" s="342" t="s">
        <v>2688</v>
      </c>
      <c r="R553" s="344">
        <v>30</v>
      </c>
      <c r="S553" s="345">
        <v>30</v>
      </c>
      <c r="T553" s="362">
        <v>20</v>
      </c>
      <c r="U553" s="361">
        <v>90.92</v>
      </c>
      <c r="V553" s="346">
        <v>126.16976817995986</v>
      </c>
      <c r="W553" s="348">
        <v>124.5129366462174</v>
      </c>
      <c r="X553" s="347">
        <v>63.57</v>
      </c>
      <c r="Y553" s="357">
        <v>64.02000000000001</v>
      </c>
      <c r="Z553" s="365" t="s">
        <v>3017</v>
      </c>
      <c r="AA553" s="350">
        <v>196</v>
      </c>
      <c r="AB553" s="349" t="s">
        <v>2685</v>
      </c>
      <c r="AC553" s="350">
        <v>10</v>
      </c>
      <c r="AD553" s="349" t="s">
        <v>2685</v>
      </c>
      <c r="AE553" s="364">
        <v>0</v>
      </c>
      <c r="AF553" s="366">
        <v>0</v>
      </c>
      <c r="AG553" s="363">
        <v>0</v>
      </c>
      <c r="AH553" s="635" t="s">
        <v>408</v>
      </c>
      <c r="AI553" s="324"/>
      <c r="AL553" s="487" t="s">
        <v>14783</v>
      </c>
      <c r="AM553" s="477" t="s">
        <v>71</v>
      </c>
      <c r="AN553" s="637">
        <v>100</v>
      </c>
      <c r="AO553" s="478">
        <v>-1130</v>
      </c>
      <c r="AP553" s="463">
        <v>-599</v>
      </c>
      <c r="AQ553" s="479">
        <v>-531</v>
      </c>
      <c r="AR553" s="476" t="s">
        <v>14819</v>
      </c>
      <c r="BA553" s="313" t="s">
        <v>3769</v>
      </c>
    </row>
    <row r="554" spans="2:53" ht="16.5" customHeight="1">
      <c r="B554" s="367" t="s">
        <v>3696</v>
      </c>
      <c r="C554" s="351" t="s">
        <v>3697</v>
      </c>
      <c r="D554" s="353">
        <v>-1131</v>
      </c>
      <c r="E554" s="352" t="s">
        <v>3953</v>
      </c>
      <c r="F554" s="341">
        <v>90.92</v>
      </c>
      <c r="G554" s="355" t="s">
        <v>9392</v>
      </c>
      <c r="H554" s="356" t="s">
        <v>18559</v>
      </c>
      <c r="I554" s="354" t="s">
        <v>83</v>
      </c>
      <c r="J554" s="340" t="s">
        <v>8883</v>
      </c>
      <c r="K554" s="339" t="s">
        <v>71</v>
      </c>
      <c r="L554" s="357">
        <v>9</v>
      </c>
      <c r="M554" s="358" t="s">
        <v>9460</v>
      </c>
      <c r="N554" s="359">
        <v>1000</v>
      </c>
      <c r="O554" s="360" t="s">
        <v>532</v>
      </c>
      <c r="P554" s="343" t="s">
        <v>533</v>
      </c>
      <c r="Q554" s="342" t="s">
        <v>2688</v>
      </c>
      <c r="R554" s="344">
        <v>35</v>
      </c>
      <c r="S554" s="345">
        <v>25</v>
      </c>
      <c r="T554" s="362">
        <v>15</v>
      </c>
      <c r="U554" s="361">
        <v>90.92</v>
      </c>
      <c r="V554" s="346">
        <v>126.1711518554104</v>
      </c>
      <c r="W554" s="348">
        <v>124.51406088252097</v>
      </c>
      <c r="X554" s="347">
        <v>63.57</v>
      </c>
      <c r="Y554" s="357">
        <v>63.68</v>
      </c>
      <c r="Z554" s="365" t="s">
        <v>3017</v>
      </c>
      <c r="AA554" s="350">
        <v>246</v>
      </c>
      <c r="AB554" s="349" t="s">
        <v>2685</v>
      </c>
      <c r="AC554" s="350">
        <v>0</v>
      </c>
      <c r="AD554" s="349" t="s">
        <v>2685</v>
      </c>
      <c r="AE554" s="364">
        <v>0</v>
      </c>
      <c r="AF554" s="366">
        <v>4.0999999999999996</v>
      </c>
      <c r="AG554" s="363">
        <v>0</v>
      </c>
      <c r="AH554" s="635" t="s">
        <v>8698</v>
      </c>
      <c r="AI554" s="324"/>
      <c r="AL554" s="487" t="s">
        <v>14853</v>
      </c>
      <c r="AM554" s="477" t="s">
        <v>71</v>
      </c>
      <c r="AN554" s="637">
        <v>100</v>
      </c>
      <c r="AO554" s="478">
        <v>-1131</v>
      </c>
      <c r="AP554" s="463">
        <v>-599</v>
      </c>
      <c r="AQ554" s="479">
        <v>-532</v>
      </c>
      <c r="AR554" s="476" t="s">
        <v>14819</v>
      </c>
      <c r="BA554" s="313" t="s">
        <v>3770</v>
      </c>
    </row>
    <row r="555" spans="2:53" ht="16.5" customHeight="1">
      <c r="B555" s="367" t="s">
        <v>3693</v>
      </c>
      <c r="C555" s="351" t="s">
        <v>3694</v>
      </c>
      <c r="D555" s="353">
        <v>-1132</v>
      </c>
      <c r="E555" s="352" t="s">
        <v>3958</v>
      </c>
      <c r="F555" s="341">
        <v>90.91</v>
      </c>
      <c r="G555" s="355" t="s">
        <v>3902</v>
      </c>
      <c r="H555" s="356" t="s">
        <v>18560</v>
      </c>
      <c r="I555" s="354" t="s">
        <v>228</v>
      </c>
      <c r="J555" s="340" t="s">
        <v>9462</v>
      </c>
      <c r="K555" s="339" t="s">
        <v>71</v>
      </c>
      <c r="L555" s="357">
        <v>15</v>
      </c>
      <c r="M555" s="358" t="s">
        <v>9463</v>
      </c>
      <c r="N555" s="359">
        <v>1000</v>
      </c>
      <c r="O555" s="360" t="s">
        <v>530</v>
      </c>
      <c r="P555" s="343" t="s">
        <v>531</v>
      </c>
      <c r="Q555" s="342" t="s">
        <v>2688</v>
      </c>
      <c r="R555" s="344">
        <v>30</v>
      </c>
      <c r="S555" s="345">
        <v>40</v>
      </c>
      <c r="T555" s="362">
        <v>30</v>
      </c>
      <c r="U555" s="361">
        <v>90.91</v>
      </c>
      <c r="V555" s="346">
        <v>126.16235902255642</v>
      </c>
      <c r="W555" s="348">
        <v>124.50691670582709</v>
      </c>
      <c r="X555" s="347">
        <v>63.57</v>
      </c>
      <c r="Y555" s="357">
        <v>65.820000000000007</v>
      </c>
      <c r="Z555" s="365" t="s">
        <v>2689</v>
      </c>
      <c r="AA555" s="350">
        <v>100</v>
      </c>
      <c r="AB555" s="349" t="s">
        <v>2685</v>
      </c>
      <c r="AC555" s="350">
        <v>10</v>
      </c>
      <c r="AD555" s="349" t="s">
        <v>2685</v>
      </c>
      <c r="AE555" s="364">
        <v>0</v>
      </c>
      <c r="AF555" s="366">
        <v>0</v>
      </c>
      <c r="AG555" s="363">
        <v>0</v>
      </c>
      <c r="AH555" s="635" t="s">
        <v>408</v>
      </c>
      <c r="AI555" s="324"/>
      <c r="AL555" s="487" t="s">
        <v>14784</v>
      </c>
      <c r="AM555" s="477" t="s">
        <v>71</v>
      </c>
      <c r="AN555" s="637">
        <v>100</v>
      </c>
      <c r="AO555" s="478">
        <v>-1132</v>
      </c>
      <c r="AP555" s="463">
        <v>-600</v>
      </c>
      <c r="AQ555" s="479">
        <v>-532</v>
      </c>
      <c r="AR555" s="476" t="s">
        <v>16928</v>
      </c>
      <c r="BA555" s="313" t="s">
        <v>3771</v>
      </c>
    </row>
    <row r="556" spans="2:53" ht="16.5" customHeight="1">
      <c r="B556" s="367" t="s">
        <v>3731</v>
      </c>
      <c r="C556" s="351" t="s">
        <v>3732</v>
      </c>
      <c r="D556" s="353">
        <v>-1133</v>
      </c>
      <c r="E556" s="352" t="s">
        <v>4004</v>
      </c>
      <c r="F556" s="341">
        <v>90.9</v>
      </c>
      <c r="G556" s="355" t="s">
        <v>9409</v>
      </c>
      <c r="H556" s="356" t="s">
        <v>18561</v>
      </c>
      <c r="I556" s="354" t="s">
        <v>224</v>
      </c>
      <c r="J556" s="340" t="s">
        <v>9464</v>
      </c>
      <c r="K556" s="339" t="s">
        <v>71</v>
      </c>
      <c r="L556" s="357">
        <v>36</v>
      </c>
      <c r="M556" s="358" t="s">
        <v>9465</v>
      </c>
      <c r="N556" s="359">
        <v>1000</v>
      </c>
      <c r="O556" s="360" t="s">
        <v>532</v>
      </c>
      <c r="P556" s="343" t="s">
        <v>533</v>
      </c>
      <c r="Q556" s="342" t="s">
        <v>2688</v>
      </c>
      <c r="R556" s="344">
        <v>30</v>
      </c>
      <c r="S556" s="345">
        <v>30</v>
      </c>
      <c r="T556" s="362">
        <v>20</v>
      </c>
      <c r="U556" s="361">
        <v>90.9</v>
      </c>
      <c r="V556" s="346">
        <v>126.15067908193343</v>
      </c>
      <c r="W556" s="348">
        <v>124.49742675407093</v>
      </c>
      <c r="X556" s="347">
        <v>63.57</v>
      </c>
      <c r="Y556" s="357">
        <v>64.010000000000005</v>
      </c>
      <c r="Z556" s="365" t="s">
        <v>3017</v>
      </c>
      <c r="AA556" s="350">
        <v>196</v>
      </c>
      <c r="AB556" s="349" t="s">
        <v>2685</v>
      </c>
      <c r="AC556" s="350">
        <v>10</v>
      </c>
      <c r="AD556" s="349" t="s">
        <v>2685</v>
      </c>
      <c r="AE556" s="364">
        <v>0</v>
      </c>
      <c r="AF556" s="366">
        <v>0</v>
      </c>
      <c r="AG556" s="363">
        <v>0</v>
      </c>
      <c r="AH556" s="635" t="s">
        <v>408</v>
      </c>
      <c r="AI556" s="324"/>
      <c r="AL556" s="487" t="s">
        <v>14786</v>
      </c>
      <c r="AM556" s="477" t="s">
        <v>71</v>
      </c>
      <c r="AN556" s="637">
        <v>100</v>
      </c>
      <c r="AO556" s="478">
        <v>-1133</v>
      </c>
      <c r="AP556" s="463">
        <v>-600</v>
      </c>
      <c r="AQ556" s="479">
        <v>-533</v>
      </c>
      <c r="AR556" s="476" t="s">
        <v>16929</v>
      </c>
      <c r="BA556" s="313" t="s">
        <v>3775</v>
      </c>
    </row>
    <row r="557" spans="2:53" ht="16.5" customHeight="1">
      <c r="B557" s="367" t="s">
        <v>3731</v>
      </c>
      <c r="C557" s="351" t="s">
        <v>3732</v>
      </c>
      <c r="D557" s="353">
        <v>-1134</v>
      </c>
      <c r="E557" s="352" t="s">
        <v>9466</v>
      </c>
      <c r="F557" s="341">
        <v>90.9</v>
      </c>
      <c r="G557" s="355" t="s">
        <v>3905</v>
      </c>
      <c r="H557" s="356" t="s">
        <v>18562</v>
      </c>
      <c r="I557" s="354" t="s">
        <v>224</v>
      </c>
      <c r="J557" s="340" t="s">
        <v>8216</v>
      </c>
      <c r="K557" s="339" t="s">
        <v>71</v>
      </c>
      <c r="L557" s="357">
        <v>18</v>
      </c>
      <c r="M557" s="358" t="s">
        <v>9467</v>
      </c>
      <c r="N557" s="359">
        <v>1000</v>
      </c>
      <c r="O557" s="360" t="s">
        <v>532</v>
      </c>
      <c r="P557" s="343" t="s">
        <v>533</v>
      </c>
      <c r="Q557" s="342" t="s">
        <v>2688</v>
      </c>
      <c r="R557" s="344">
        <v>30</v>
      </c>
      <c r="S557" s="345">
        <v>30</v>
      </c>
      <c r="T557" s="362">
        <v>20</v>
      </c>
      <c r="U557" s="361">
        <v>90.9</v>
      </c>
      <c r="V557" s="346">
        <v>126.15449690153872</v>
      </c>
      <c r="W557" s="348">
        <v>124.50052873250021</v>
      </c>
      <c r="X557" s="347">
        <v>63.57</v>
      </c>
      <c r="Y557" s="357">
        <v>64.010000000000005</v>
      </c>
      <c r="Z557" s="365" t="s">
        <v>3017</v>
      </c>
      <c r="AA557" s="350">
        <v>196</v>
      </c>
      <c r="AB557" s="349" t="s">
        <v>2685</v>
      </c>
      <c r="AC557" s="350">
        <v>10</v>
      </c>
      <c r="AD557" s="349" t="s">
        <v>2685</v>
      </c>
      <c r="AE557" s="364">
        <v>0</v>
      </c>
      <c r="AF557" s="366">
        <v>0</v>
      </c>
      <c r="AG557" s="363">
        <v>0</v>
      </c>
      <c r="AH557" s="635" t="s">
        <v>408</v>
      </c>
      <c r="AI557" s="324"/>
      <c r="AL557" s="487" t="s">
        <v>14787</v>
      </c>
      <c r="AM557" s="477" t="s">
        <v>71</v>
      </c>
      <c r="AN557" s="637">
        <v>100</v>
      </c>
      <c r="AO557" s="478">
        <v>-1134</v>
      </c>
      <c r="AP557" s="463">
        <v>-600</v>
      </c>
      <c r="AQ557" s="479">
        <v>-534</v>
      </c>
      <c r="AR557" s="476" t="s">
        <v>16930</v>
      </c>
      <c r="BA557" s="313" t="s">
        <v>3776</v>
      </c>
    </row>
    <row r="558" spans="2:53" ht="16.5" customHeight="1">
      <c r="B558" s="367" t="s">
        <v>9468</v>
      </c>
      <c r="C558" s="351" t="s">
        <v>9469</v>
      </c>
      <c r="D558" s="353">
        <v>-1135</v>
      </c>
      <c r="E558" s="352" t="s">
        <v>408</v>
      </c>
      <c r="F558" s="341">
        <v>90.9</v>
      </c>
      <c r="G558" s="355" t="s">
        <v>9470</v>
      </c>
      <c r="H558" s="356" t="s">
        <v>9471</v>
      </c>
      <c r="I558" s="354" t="s">
        <v>77</v>
      </c>
      <c r="J558" s="340" t="s">
        <v>9297</v>
      </c>
      <c r="K558" s="339" t="s">
        <v>70</v>
      </c>
      <c r="L558" s="357">
        <v>15</v>
      </c>
      <c r="M558" s="358" t="s">
        <v>8981</v>
      </c>
      <c r="N558" s="359">
        <v>1000</v>
      </c>
      <c r="O558" s="360" t="s">
        <v>530</v>
      </c>
      <c r="P558" s="343" t="s">
        <v>531</v>
      </c>
      <c r="Q558" s="342" t="s">
        <v>2688</v>
      </c>
      <c r="R558" s="344">
        <v>20</v>
      </c>
      <c r="S558" s="345">
        <v>40</v>
      </c>
      <c r="T558" s="362">
        <v>30</v>
      </c>
      <c r="U558" s="361">
        <v>90.9</v>
      </c>
      <c r="V558" s="346">
        <v>126.15436793422404</v>
      </c>
      <c r="W558" s="348">
        <v>124.50042394655704</v>
      </c>
      <c r="X558" s="347">
        <v>63.28</v>
      </c>
      <c r="Y558" s="357">
        <v>65</v>
      </c>
      <c r="Z558" s="365" t="s">
        <v>2689</v>
      </c>
      <c r="AA558" s="350">
        <v>63.5</v>
      </c>
      <c r="AB558" s="349" t="s">
        <v>2685</v>
      </c>
      <c r="AC558" s="350">
        <v>0</v>
      </c>
      <c r="AD558" s="349" t="s">
        <v>2685</v>
      </c>
      <c r="AE558" s="364">
        <v>0</v>
      </c>
      <c r="AF558" s="366">
        <v>9.75</v>
      </c>
      <c r="AG558" s="363">
        <v>0</v>
      </c>
      <c r="AH558" s="635" t="s">
        <v>7787</v>
      </c>
      <c r="AI558" s="324"/>
      <c r="AL558" s="487" t="s">
        <v>14788</v>
      </c>
      <c r="AM558" s="477" t="s">
        <v>70</v>
      </c>
      <c r="AN558" s="637">
        <v>100</v>
      </c>
      <c r="AO558" s="478">
        <v>-1135</v>
      </c>
      <c r="AP558" s="463">
        <v>-1135</v>
      </c>
      <c r="AQ558" s="479">
        <v>0</v>
      </c>
      <c r="AR558" s="476" t="s">
        <v>14789</v>
      </c>
      <c r="BA558" s="313" t="s">
        <v>3781</v>
      </c>
    </row>
    <row r="559" spans="2:53" ht="16.5" customHeight="1">
      <c r="B559" s="367" t="s">
        <v>3700</v>
      </c>
      <c r="C559" s="351" t="s">
        <v>3701</v>
      </c>
      <c r="D559" s="353">
        <v>-1136</v>
      </c>
      <c r="E559" s="352" t="s">
        <v>9472</v>
      </c>
      <c r="F559" s="341">
        <v>90.88</v>
      </c>
      <c r="G559" s="355" t="s">
        <v>9413</v>
      </c>
      <c r="H559" s="356" t="s">
        <v>9527</v>
      </c>
      <c r="I559" s="354" t="s">
        <v>217</v>
      </c>
      <c r="J559" s="340" t="s">
        <v>8654</v>
      </c>
      <c r="K559" s="339" t="s">
        <v>71</v>
      </c>
      <c r="L559" s="357">
        <v>6</v>
      </c>
      <c r="M559" s="358" t="s">
        <v>9473</v>
      </c>
      <c r="N559" s="359">
        <v>1000</v>
      </c>
      <c r="O559" s="360" t="s">
        <v>530</v>
      </c>
      <c r="P559" s="343" t="s">
        <v>531</v>
      </c>
      <c r="Q559" s="342" t="s">
        <v>2688</v>
      </c>
      <c r="R559" s="344">
        <v>40</v>
      </c>
      <c r="S559" s="345">
        <v>30</v>
      </c>
      <c r="T559" s="362">
        <v>20</v>
      </c>
      <c r="U559" s="361">
        <v>90.88</v>
      </c>
      <c r="V559" s="346">
        <v>126.13745080230093</v>
      </c>
      <c r="W559" s="348">
        <v>124.48667877686951</v>
      </c>
      <c r="X559" s="347">
        <v>63.56</v>
      </c>
      <c r="Y559" s="357">
        <v>64.13000000000001</v>
      </c>
      <c r="Z559" s="365" t="s">
        <v>3017</v>
      </c>
      <c r="AA559" s="350">
        <v>98.5</v>
      </c>
      <c r="AB559" s="349" t="s">
        <v>2685</v>
      </c>
      <c r="AC559" s="350">
        <v>0</v>
      </c>
      <c r="AD559" s="349" t="s">
        <v>2685</v>
      </c>
      <c r="AE559" s="364">
        <v>0</v>
      </c>
      <c r="AF559" s="366">
        <v>0</v>
      </c>
      <c r="AG559" s="363">
        <v>0</v>
      </c>
      <c r="AH559" s="635" t="s">
        <v>408</v>
      </c>
      <c r="AI559" s="324"/>
      <c r="AL559" s="487" t="s">
        <v>14790</v>
      </c>
      <c r="AM559" s="477" t="s">
        <v>71</v>
      </c>
      <c r="AN559" s="637">
        <v>100</v>
      </c>
      <c r="AO559" s="478">
        <v>-1136</v>
      </c>
      <c r="AP559" s="463">
        <v>-601</v>
      </c>
      <c r="AQ559" s="479">
        <v>-535</v>
      </c>
      <c r="AR559" s="476" t="s">
        <v>14830</v>
      </c>
      <c r="BA559" s="313" t="s">
        <v>3786</v>
      </c>
    </row>
    <row r="560" spans="2:53" ht="16.5" customHeight="1">
      <c r="B560" s="367" t="s">
        <v>3700</v>
      </c>
      <c r="C560" s="351" t="s">
        <v>3701</v>
      </c>
      <c r="D560" s="353">
        <v>-1137</v>
      </c>
      <c r="E560" s="352" t="s">
        <v>9472</v>
      </c>
      <c r="F560" s="341">
        <v>90.88</v>
      </c>
      <c r="G560" s="355" t="s">
        <v>9413</v>
      </c>
      <c r="H560" s="356" t="s">
        <v>9527</v>
      </c>
      <c r="I560" s="354" t="s">
        <v>228</v>
      </c>
      <c r="J560" s="340" t="s">
        <v>501</v>
      </c>
      <c r="K560" s="339" t="s">
        <v>71</v>
      </c>
      <c r="L560" s="357">
        <v>11</v>
      </c>
      <c r="M560" s="358" t="s">
        <v>9441</v>
      </c>
      <c r="N560" s="359">
        <v>1000</v>
      </c>
      <c r="O560" s="360" t="s">
        <v>530</v>
      </c>
      <c r="P560" s="343" t="s">
        <v>531</v>
      </c>
      <c r="Q560" s="342" t="s">
        <v>2688</v>
      </c>
      <c r="R560" s="344">
        <v>35</v>
      </c>
      <c r="S560" s="345">
        <v>30</v>
      </c>
      <c r="T560" s="362">
        <v>35</v>
      </c>
      <c r="U560" s="361">
        <v>90.88</v>
      </c>
      <c r="V560" s="346">
        <v>126.13670056094942</v>
      </c>
      <c r="W560" s="348">
        <v>124.48606920577141</v>
      </c>
      <c r="X560" s="347">
        <v>63.56</v>
      </c>
      <c r="Y560" s="357">
        <v>65.81</v>
      </c>
      <c r="Z560" s="365" t="s">
        <v>2689</v>
      </c>
      <c r="AA560" s="350">
        <v>100</v>
      </c>
      <c r="AB560" s="349" t="s">
        <v>2685</v>
      </c>
      <c r="AC560" s="350">
        <v>10</v>
      </c>
      <c r="AD560" s="349" t="s">
        <v>2685</v>
      </c>
      <c r="AE560" s="364">
        <v>0</v>
      </c>
      <c r="AF560" s="366">
        <v>11.516999999999999</v>
      </c>
      <c r="AG560" s="363">
        <v>0</v>
      </c>
      <c r="AH560" s="635" t="s">
        <v>5862</v>
      </c>
      <c r="AI560" s="324"/>
      <c r="AL560" s="487" t="s">
        <v>14791</v>
      </c>
      <c r="AM560" s="477" t="s">
        <v>71</v>
      </c>
      <c r="AN560" s="637">
        <v>100</v>
      </c>
      <c r="AO560" s="478">
        <v>-1137</v>
      </c>
      <c r="AP560" s="463">
        <v>-602</v>
      </c>
      <c r="AQ560" s="479">
        <v>-535</v>
      </c>
      <c r="AR560" s="476" t="s">
        <v>14830</v>
      </c>
      <c r="BA560" s="313" t="s">
        <v>3788</v>
      </c>
    </row>
    <row r="561" spans="2:53" ht="16.5" customHeight="1">
      <c r="B561" s="367" t="s">
        <v>3700</v>
      </c>
      <c r="C561" s="351" t="s">
        <v>3701</v>
      </c>
      <c r="D561" s="353">
        <v>-1138</v>
      </c>
      <c r="E561" s="352" t="s">
        <v>3961</v>
      </c>
      <c r="F561" s="341">
        <v>90.88</v>
      </c>
      <c r="G561" s="355" t="s">
        <v>9413</v>
      </c>
      <c r="H561" s="356" t="s">
        <v>9527</v>
      </c>
      <c r="I561" s="354" t="s">
        <v>228</v>
      </c>
      <c r="J561" s="340" t="s">
        <v>9475</v>
      </c>
      <c r="K561" s="339" t="s">
        <v>71</v>
      </c>
      <c r="L561" s="357">
        <v>17</v>
      </c>
      <c r="M561" s="358" t="s">
        <v>9476</v>
      </c>
      <c r="N561" s="359">
        <v>1000</v>
      </c>
      <c r="O561" s="360" t="s">
        <v>530</v>
      </c>
      <c r="P561" s="343" t="s">
        <v>531</v>
      </c>
      <c r="Q561" s="342" t="s">
        <v>2688</v>
      </c>
      <c r="R561" s="344">
        <v>30</v>
      </c>
      <c r="S561" s="345">
        <v>40</v>
      </c>
      <c r="T561" s="362">
        <v>30</v>
      </c>
      <c r="U561" s="361">
        <v>90.88</v>
      </c>
      <c r="V561" s="346">
        <v>126.1388627819549</v>
      </c>
      <c r="W561" s="348">
        <v>124.48782601033837</v>
      </c>
      <c r="X561" s="347">
        <v>63.56</v>
      </c>
      <c r="Y561" s="357">
        <v>65.81</v>
      </c>
      <c r="Z561" s="365" t="s">
        <v>2689</v>
      </c>
      <c r="AA561" s="350">
        <v>100</v>
      </c>
      <c r="AB561" s="349" t="s">
        <v>2685</v>
      </c>
      <c r="AC561" s="350">
        <v>10</v>
      </c>
      <c r="AD561" s="349" t="s">
        <v>2685</v>
      </c>
      <c r="AE561" s="364">
        <v>0</v>
      </c>
      <c r="AF561" s="366">
        <v>0</v>
      </c>
      <c r="AG561" s="363">
        <v>0</v>
      </c>
      <c r="AH561" s="635" t="s">
        <v>408</v>
      </c>
      <c r="AI561" s="324"/>
      <c r="AL561" s="487" t="s">
        <v>14792</v>
      </c>
      <c r="AM561" s="477" t="s">
        <v>71</v>
      </c>
      <c r="AN561" s="637">
        <v>100</v>
      </c>
      <c r="AO561" s="478">
        <v>-1138</v>
      </c>
      <c r="AP561" s="463">
        <v>-602</v>
      </c>
      <c r="AQ561" s="479">
        <v>-536</v>
      </c>
      <c r="AR561" s="476" t="s">
        <v>14830</v>
      </c>
      <c r="BA561" s="313" t="s">
        <v>3793</v>
      </c>
    </row>
    <row r="562" spans="2:53" ht="16.5" customHeight="1">
      <c r="B562" s="367" t="s">
        <v>3703</v>
      </c>
      <c r="C562" s="351" t="s">
        <v>3704</v>
      </c>
      <c r="D562" s="353">
        <v>-1139</v>
      </c>
      <c r="E562" s="352" t="s">
        <v>9477</v>
      </c>
      <c r="F562" s="341">
        <v>90.87</v>
      </c>
      <c r="G562" s="355" t="s">
        <v>18563</v>
      </c>
      <c r="H562" s="356" t="s">
        <v>18564</v>
      </c>
      <c r="I562" s="354" t="s">
        <v>83</v>
      </c>
      <c r="J562" s="340" t="s">
        <v>9479</v>
      </c>
      <c r="K562" s="339" t="s">
        <v>71</v>
      </c>
      <c r="L562" s="357">
        <v>9</v>
      </c>
      <c r="M562" s="358" t="s">
        <v>9480</v>
      </c>
      <c r="N562" s="359">
        <v>1000</v>
      </c>
      <c r="O562" s="360" t="s">
        <v>532</v>
      </c>
      <c r="P562" s="343" t="s">
        <v>533</v>
      </c>
      <c r="Q562" s="342" t="s">
        <v>2688</v>
      </c>
      <c r="R562" s="344">
        <v>35</v>
      </c>
      <c r="S562" s="345">
        <v>25</v>
      </c>
      <c r="T562" s="362">
        <v>15</v>
      </c>
      <c r="U562" s="361">
        <v>90.87</v>
      </c>
      <c r="V562" s="346">
        <v>126.12893833146664</v>
      </c>
      <c r="W562" s="348">
        <v>124.47976239431665</v>
      </c>
      <c r="X562" s="347">
        <v>63.55</v>
      </c>
      <c r="Y562" s="357">
        <v>63.66</v>
      </c>
      <c r="Z562" s="365" t="s">
        <v>3017</v>
      </c>
      <c r="AA562" s="350">
        <v>246</v>
      </c>
      <c r="AB562" s="349" t="s">
        <v>2685</v>
      </c>
      <c r="AC562" s="350">
        <v>0</v>
      </c>
      <c r="AD562" s="349" t="s">
        <v>2685</v>
      </c>
      <c r="AE562" s="364">
        <v>0</v>
      </c>
      <c r="AF562" s="366">
        <v>4.0990000000000002</v>
      </c>
      <c r="AG562" s="363">
        <v>0</v>
      </c>
      <c r="AH562" s="635" t="s">
        <v>8698</v>
      </c>
      <c r="AI562" s="324"/>
      <c r="AL562" s="487" t="s">
        <v>14854</v>
      </c>
      <c r="AM562" s="477" t="s">
        <v>71</v>
      </c>
      <c r="AN562" s="637">
        <v>100</v>
      </c>
      <c r="AO562" s="478">
        <v>-1139</v>
      </c>
      <c r="AP562" s="463">
        <v>-602</v>
      </c>
      <c r="AQ562" s="479">
        <v>-537</v>
      </c>
      <c r="AR562" s="476" t="s">
        <v>14830</v>
      </c>
      <c r="BA562" s="313" t="s">
        <v>3796</v>
      </c>
    </row>
    <row r="563" spans="2:53" ht="16.5" customHeight="1">
      <c r="B563" s="367" t="s">
        <v>3703</v>
      </c>
      <c r="C563" s="351" t="s">
        <v>3704</v>
      </c>
      <c r="D563" s="353">
        <v>-1140</v>
      </c>
      <c r="E563" s="352" t="s">
        <v>408</v>
      </c>
      <c r="F563" s="341">
        <v>90.86</v>
      </c>
      <c r="G563" s="355" t="s">
        <v>9477</v>
      </c>
      <c r="H563" s="356" t="s">
        <v>9481</v>
      </c>
      <c r="I563" s="354" t="s">
        <v>217</v>
      </c>
      <c r="J563" s="340" t="s">
        <v>550</v>
      </c>
      <c r="K563" s="339" t="s">
        <v>70</v>
      </c>
      <c r="L563" s="357">
        <v>12</v>
      </c>
      <c r="M563" s="358" t="s">
        <v>9482</v>
      </c>
      <c r="N563" s="359">
        <v>1000</v>
      </c>
      <c r="O563" s="360" t="s">
        <v>530</v>
      </c>
      <c r="P563" s="343" t="s">
        <v>531</v>
      </c>
      <c r="Q563" s="342" t="s">
        <v>2688</v>
      </c>
      <c r="R563" s="344">
        <v>30</v>
      </c>
      <c r="S563" s="345">
        <v>40</v>
      </c>
      <c r="T563" s="362">
        <v>20</v>
      </c>
      <c r="U563" s="361">
        <v>90.86</v>
      </c>
      <c r="V563" s="346">
        <v>126.12143742255265</v>
      </c>
      <c r="W563" s="348">
        <v>124.47366790582403</v>
      </c>
      <c r="X563" s="347">
        <v>63.26</v>
      </c>
      <c r="Y563" s="357">
        <v>64.13000000000001</v>
      </c>
      <c r="Z563" s="365" t="s">
        <v>3017</v>
      </c>
      <c r="AA563" s="350">
        <v>98.5</v>
      </c>
      <c r="AB563" s="349" t="s">
        <v>2685</v>
      </c>
      <c r="AC563" s="350">
        <v>0</v>
      </c>
      <c r="AD563" s="349" t="s">
        <v>2685</v>
      </c>
      <c r="AE563" s="364">
        <v>0</v>
      </c>
      <c r="AF563" s="366">
        <v>0</v>
      </c>
      <c r="AG563" s="363">
        <v>0</v>
      </c>
      <c r="AH563" s="635" t="s">
        <v>408</v>
      </c>
      <c r="AI563" s="324"/>
      <c r="AL563" s="487" t="s">
        <v>14793</v>
      </c>
      <c r="AM563" s="477" t="s">
        <v>70</v>
      </c>
      <c r="AN563" s="637">
        <v>100</v>
      </c>
      <c r="AO563" s="478">
        <v>-1140</v>
      </c>
      <c r="AP563" s="463">
        <v>-1140</v>
      </c>
      <c r="AQ563" s="479">
        <v>0</v>
      </c>
      <c r="AR563" s="476" t="s">
        <v>14794</v>
      </c>
      <c r="BA563" s="313" t="s">
        <v>3798</v>
      </c>
    </row>
    <row r="564" spans="2:53" ht="16.5" customHeight="1">
      <c r="B564" s="367" t="s">
        <v>9483</v>
      </c>
      <c r="C564" s="351" t="s">
        <v>9484</v>
      </c>
      <c r="D564" s="353">
        <v>-1141</v>
      </c>
      <c r="E564" s="352" t="s">
        <v>408</v>
      </c>
      <c r="F564" s="341">
        <v>90.84</v>
      </c>
      <c r="G564" s="355" t="s">
        <v>3960</v>
      </c>
      <c r="H564" s="356" t="s">
        <v>18565</v>
      </c>
      <c r="I564" s="354" t="s">
        <v>217</v>
      </c>
      <c r="J564" s="340" t="s">
        <v>8775</v>
      </c>
      <c r="K564" s="339" t="s">
        <v>71</v>
      </c>
      <c r="L564" s="357">
        <v>18</v>
      </c>
      <c r="M564" s="358" t="s">
        <v>3371</v>
      </c>
      <c r="N564" s="359">
        <v>1000</v>
      </c>
      <c r="O564" s="360" t="s">
        <v>530</v>
      </c>
      <c r="P564" s="343" t="s">
        <v>531</v>
      </c>
      <c r="Q564" s="342" t="s">
        <v>2688</v>
      </c>
      <c r="R564" s="344">
        <v>30</v>
      </c>
      <c r="S564" s="345">
        <v>40</v>
      </c>
      <c r="T564" s="362">
        <v>20</v>
      </c>
      <c r="U564" s="361">
        <v>90.84</v>
      </c>
      <c r="V564" s="346">
        <v>126.1090458488228</v>
      </c>
      <c r="W564" s="348">
        <v>124.46359975216852</v>
      </c>
      <c r="X564" s="347">
        <v>63.26</v>
      </c>
      <c r="Y564" s="357">
        <v>64.12</v>
      </c>
      <c r="Z564" s="365" t="s">
        <v>3017</v>
      </c>
      <c r="AA564" s="350">
        <v>98.5</v>
      </c>
      <c r="AB564" s="349" t="s">
        <v>2685</v>
      </c>
      <c r="AC564" s="350">
        <v>0</v>
      </c>
      <c r="AD564" s="349" t="s">
        <v>2685</v>
      </c>
      <c r="AE564" s="364">
        <v>0</v>
      </c>
      <c r="AF564" s="366">
        <v>0</v>
      </c>
      <c r="AG564" s="363">
        <v>0</v>
      </c>
      <c r="AH564" s="635" t="s">
        <v>408</v>
      </c>
      <c r="AI564" s="324"/>
      <c r="AL564" s="487" t="s">
        <v>14795</v>
      </c>
      <c r="AM564" s="477" t="s">
        <v>71</v>
      </c>
      <c r="AN564" s="637">
        <v>100</v>
      </c>
      <c r="AO564" s="478">
        <v>-1141</v>
      </c>
      <c r="AP564" s="463">
        <v>-600</v>
      </c>
      <c r="AQ564" s="479">
        <v>-541</v>
      </c>
      <c r="AR564" s="476" t="s">
        <v>16931</v>
      </c>
      <c r="BA564" s="313" t="s">
        <v>3801</v>
      </c>
    </row>
    <row r="565" spans="2:53" ht="16.5" customHeight="1">
      <c r="B565" s="367" t="s">
        <v>9483</v>
      </c>
      <c r="C565" s="351" t="s">
        <v>9484</v>
      </c>
      <c r="D565" s="353">
        <v>-1142</v>
      </c>
      <c r="E565" s="352" t="s">
        <v>3969</v>
      </c>
      <c r="F565" s="341">
        <v>90.84</v>
      </c>
      <c r="G565" s="355" t="s">
        <v>9884</v>
      </c>
      <c r="H565" s="356" t="s">
        <v>18520</v>
      </c>
      <c r="I565" s="354" t="s">
        <v>82</v>
      </c>
      <c r="J565" s="340" t="s">
        <v>8217</v>
      </c>
      <c r="K565" s="339" t="s">
        <v>71</v>
      </c>
      <c r="L565" s="357">
        <v>12</v>
      </c>
      <c r="M565" s="358" t="s">
        <v>9486</v>
      </c>
      <c r="N565" s="359">
        <v>800</v>
      </c>
      <c r="O565" s="360" t="s">
        <v>530</v>
      </c>
      <c r="P565" s="343" t="s">
        <v>531</v>
      </c>
      <c r="Q565" s="342" t="s">
        <v>2688</v>
      </c>
      <c r="R565" s="344">
        <v>30</v>
      </c>
      <c r="S565" s="345">
        <v>30</v>
      </c>
      <c r="T565" s="362">
        <v>25</v>
      </c>
      <c r="U565" s="361">
        <v>90.84</v>
      </c>
      <c r="V565" s="346">
        <v>126.10800385728061</v>
      </c>
      <c r="W565" s="348">
        <v>124.4627531340405</v>
      </c>
      <c r="X565" s="347">
        <v>63.54</v>
      </c>
      <c r="Y565" s="357">
        <v>64.13000000000001</v>
      </c>
      <c r="Z565" s="365" t="s">
        <v>3017</v>
      </c>
      <c r="AA565" s="350">
        <v>117.6</v>
      </c>
      <c r="AB565" s="349" t="s">
        <v>2685</v>
      </c>
      <c r="AC565" s="350">
        <v>0</v>
      </c>
      <c r="AD565" s="349" t="s">
        <v>2685</v>
      </c>
      <c r="AE565" s="364">
        <v>0</v>
      </c>
      <c r="AF565" s="366">
        <v>0</v>
      </c>
      <c r="AG565" s="363">
        <v>0</v>
      </c>
      <c r="AH565" s="635" t="s">
        <v>408</v>
      </c>
      <c r="AI565" s="324"/>
      <c r="AL565" s="487" t="s">
        <v>14796</v>
      </c>
      <c r="AM565" s="477" t="s">
        <v>71</v>
      </c>
      <c r="AN565" s="637">
        <v>100</v>
      </c>
      <c r="AO565" s="478">
        <v>-1142</v>
      </c>
      <c r="AP565" s="463">
        <v>-603</v>
      </c>
      <c r="AQ565" s="479">
        <v>-539</v>
      </c>
      <c r="AR565" s="476" t="s">
        <v>14835</v>
      </c>
      <c r="BA565" s="313" t="s">
        <v>3802</v>
      </c>
    </row>
    <row r="566" spans="2:53" ht="16.5" customHeight="1">
      <c r="B566" s="367" t="s">
        <v>3706</v>
      </c>
      <c r="C566" s="351" t="s">
        <v>3707</v>
      </c>
      <c r="D566" s="353">
        <v>-1143</v>
      </c>
      <c r="E566" s="352" t="s">
        <v>3947</v>
      </c>
      <c r="F566" s="341">
        <v>90.83</v>
      </c>
      <c r="G566" s="355" t="s">
        <v>9488</v>
      </c>
      <c r="H566" s="356" t="s">
        <v>9489</v>
      </c>
      <c r="I566" s="354" t="s">
        <v>217</v>
      </c>
      <c r="J566" s="340" t="s">
        <v>8283</v>
      </c>
      <c r="K566" s="339" t="s">
        <v>70</v>
      </c>
      <c r="L566" s="357">
        <v>9</v>
      </c>
      <c r="M566" s="358" t="s">
        <v>9490</v>
      </c>
      <c r="N566" s="359">
        <v>1000</v>
      </c>
      <c r="O566" s="360" t="s">
        <v>530</v>
      </c>
      <c r="P566" s="343" t="s">
        <v>531</v>
      </c>
      <c r="Q566" s="342" t="s">
        <v>2688</v>
      </c>
      <c r="R566" s="344">
        <v>30</v>
      </c>
      <c r="S566" s="345">
        <v>40</v>
      </c>
      <c r="T566" s="362">
        <v>20</v>
      </c>
      <c r="U566" s="361">
        <v>90.83</v>
      </c>
      <c r="V566" s="346">
        <v>126.09913258983889</v>
      </c>
      <c r="W566" s="348">
        <v>124.45554522924409</v>
      </c>
      <c r="X566" s="347">
        <v>63.25</v>
      </c>
      <c r="Y566" s="357">
        <v>64.12</v>
      </c>
      <c r="Z566" s="365" t="s">
        <v>3017</v>
      </c>
      <c r="AA566" s="350">
        <v>98.5</v>
      </c>
      <c r="AB566" s="349" t="s">
        <v>2685</v>
      </c>
      <c r="AC566" s="350">
        <v>0</v>
      </c>
      <c r="AD566" s="349" t="s">
        <v>2685</v>
      </c>
      <c r="AE566" s="364">
        <v>0</v>
      </c>
      <c r="AF566" s="366">
        <v>0</v>
      </c>
      <c r="AG566" s="363">
        <v>0</v>
      </c>
      <c r="AH566" s="635" t="s">
        <v>408</v>
      </c>
      <c r="AI566" s="324"/>
      <c r="AL566" s="487" t="s">
        <v>14798</v>
      </c>
      <c r="AM566" s="477" t="s">
        <v>70</v>
      </c>
      <c r="AN566" s="637">
        <v>100</v>
      </c>
      <c r="AO566" s="478">
        <v>-1143</v>
      </c>
      <c r="AP566" s="463">
        <v>-1143</v>
      </c>
      <c r="AQ566" s="479">
        <v>0</v>
      </c>
      <c r="AR566" s="476" t="s">
        <v>14799</v>
      </c>
      <c r="BA566" s="313" t="s">
        <v>3805</v>
      </c>
    </row>
    <row r="567" spans="2:53" ht="16.5" customHeight="1">
      <c r="B567" s="367" t="s">
        <v>3706</v>
      </c>
      <c r="C567" s="351" t="s">
        <v>3707</v>
      </c>
      <c r="D567" s="353">
        <v>-1144</v>
      </c>
      <c r="E567" s="352" t="s">
        <v>408</v>
      </c>
      <c r="F567" s="341">
        <v>90.82</v>
      </c>
      <c r="G567" s="355" t="s">
        <v>9491</v>
      </c>
      <c r="H567" s="356" t="s">
        <v>9414</v>
      </c>
      <c r="I567" s="354" t="s">
        <v>224</v>
      </c>
      <c r="J567" s="340" t="s">
        <v>8283</v>
      </c>
      <c r="K567" s="339" t="s">
        <v>70</v>
      </c>
      <c r="L567" s="357">
        <v>13</v>
      </c>
      <c r="M567" s="358" t="s">
        <v>9492</v>
      </c>
      <c r="N567" s="359">
        <v>1000</v>
      </c>
      <c r="O567" s="360" t="s">
        <v>532</v>
      </c>
      <c r="P567" s="343" t="s">
        <v>533</v>
      </c>
      <c r="Q567" s="342" t="s">
        <v>2688</v>
      </c>
      <c r="R567" s="344">
        <v>25</v>
      </c>
      <c r="S567" s="345">
        <v>30</v>
      </c>
      <c r="T567" s="362">
        <v>25</v>
      </c>
      <c r="U567" s="361">
        <v>90.82</v>
      </c>
      <c r="V567" s="346">
        <v>126.0906345972336</v>
      </c>
      <c r="W567" s="348">
        <v>124.4486406102523</v>
      </c>
      <c r="X567" s="347">
        <v>63.25</v>
      </c>
      <c r="Y567" s="357">
        <v>64.27000000000001</v>
      </c>
      <c r="Z567" s="365" t="s">
        <v>3017</v>
      </c>
      <c r="AA567" s="350">
        <v>196</v>
      </c>
      <c r="AB567" s="349" t="s">
        <v>2685</v>
      </c>
      <c r="AC567" s="350">
        <v>10</v>
      </c>
      <c r="AD567" s="349" t="s">
        <v>2685</v>
      </c>
      <c r="AE567" s="364">
        <v>0</v>
      </c>
      <c r="AF567" s="366">
        <v>13.747</v>
      </c>
      <c r="AG567" s="363">
        <v>0</v>
      </c>
      <c r="AH567" s="635" t="s">
        <v>7854</v>
      </c>
      <c r="AI567" s="324"/>
      <c r="AL567" s="487" t="s">
        <v>14800</v>
      </c>
      <c r="AM567" s="477" t="s">
        <v>70</v>
      </c>
      <c r="AN567" s="637">
        <v>100</v>
      </c>
      <c r="AO567" s="478">
        <v>-1144</v>
      </c>
      <c r="AP567" s="463">
        <v>-1144</v>
      </c>
      <c r="AQ567" s="479">
        <v>0</v>
      </c>
      <c r="AR567" s="476" t="s">
        <v>14801</v>
      </c>
      <c r="BA567" s="313" t="s">
        <v>3806</v>
      </c>
    </row>
    <row r="568" spans="2:53" ht="16.5" customHeight="1">
      <c r="B568" s="367" t="s">
        <v>3706</v>
      </c>
      <c r="C568" s="351" t="s">
        <v>3707</v>
      </c>
      <c r="D568" s="353">
        <v>-1145</v>
      </c>
      <c r="E568" s="352" t="s">
        <v>408</v>
      </c>
      <c r="F568" s="341">
        <v>90.82</v>
      </c>
      <c r="G568" s="355" t="s">
        <v>3912</v>
      </c>
      <c r="H568" s="356" t="s">
        <v>18566</v>
      </c>
      <c r="I568" s="354" t="s">
        <v>228</v>
      </c>
      <c r="J568" s="340" t="s">
        <v>9494</v>
      </c>
      <c r="K568" s="339" t="s">
        <v>71</v>
      </c>
      <c r="L568" s="357">
        <v>25</v>
      </c>
      <c r="M568" s="358" t="s">
        <v>9495</v>
      </c>
      <c r="N568" s="359">
        <v>1000</v>
      </c>
      <c r="O568" s="360" t="s">
        <v>530</v>
      </c>
      <c r="P568" s="343" t="s">
        <v>531</v>
      </c>
      <c r="Q568" s="342" t="s">
        <v>2688</v>
      </c>
      <c r="R568" s="344">
        <v>30</v>
      </c>
      <c r="S568" s="345">
        <v>40</v>
      </c>
      <c r="T568" s="362">
        <v>30</v>
      </c>
      <c r="U568" s="361">
        <v>90.82</v>
      </c>
      <c r="V568" s="346">
        <v>126.09187030075188</v>
      </c>
      <c r="W568" s="348">
        <v>124.4496446193609</v>
      </c>
      <c r="X568" s="347">
        <v>63.53</v>
      </c>
      <c r="Y568" s="357">
        <v>65.790000000000006</v>
      </c>
      <c r="Z568" s="365" t="s">
        <v>2689</v>
      </c>
      <c r="AA568" s="350">
        <v>100</v>
      </c>
      <c r="AB568" s="349" t="s">
        <v>2685</v>
      </c>
      <c r="AC568" s="350">
        <v>10</v>
      </c>
      <c r="AD568" s="349" t="s">
        <v>2685</v>
      </c>
      <c r="AE568" s="364">
        <v>0</v>
      </c>
      <c r="AF568" s="366">
        <v>0</v>
      </c>
      <c r="AG568" s="363">
        <v>0</v>
      </c>
      <c r="AH568" s="635" t="s">
        <v>408</v>
      </c>
      <c r="AI568" s="324"/>
      <c r="AL568" s="487" t="s">
        <v>14802</v>
      </c>
      <c r="AM568" s="477" t="s">
        <v>71</v>
      </c>
      <c r="AN568" s="637">
        <v>100</v>
      </c>
      <c r="AO568" s="478">
        <v>-1145</v>
      </c>
      <c r="AP568" s="463">
        <v>-605</v>
      </c>
      <c r="AQ568" s="479">
        <v>-540</v>
      </c>
      <c r="AR568" s="476" t="s">
        <v>14835</v>
      </c>
      <c r="BA568" s="313" t="s">
        <v>3808</v>
      </c>
    </row>
    <row r="569" spans="2:53" ht="16.5" customHeight="1">
      <c r="B569" s="367" t="s">
        <v>3706</v>
      </c>
      <c r="C569" s="351" t="s">
        <v>3707</v>
      </c>
      <c r="D569" s="353">
        <v>-1146</v>
      </c>
      <c r="E569" s="352" t="s">
        <v>9493</v>
      </c>
      <c r="F569" s="341">
        <v>90.81</v>
      </c>
      <c r="G569" s="355" t="s">
        <v>18567</v>
      </c>
      <c r="H569" s="356" t="s">
        <v>18568</v>
      </c>
      <c r="I569" s="354" t="s">
        <v>82</v>
      </c>
      <c r="J569" s="340" t="s">
        <v>9498</v>
      </c>
      <c r="K569" s="339" t="s">
        <v>71</v>
      </c>
      <c r="L569" s="357">
        <v>26</v>
      </c>
      <c r="M569" s="358" t="s">
        <v>9499</v>
      </c>
      <c r="N569" s="359">
        <v>800</v>
      </c>
      <c r="O569" s="360" t="s">
        <v>530</v>
      </c>
      <c r="P569" s="343" t="s">
        <v>531</v>
      </c>
      <c r="Q569" s="342" t="s">
        <v>2688</v>
      </c>
      <c r="R569" s="344">
        <v>30</v>
      </c>
      <c r="S569" s="345">
        <v>30</v>
      </c>
      <c r="T569" s="362">
        <v>25</v>
      </c>
      <c r="U569" s="361">
        <v>90.81</v>
      </c>
      <c r="V569" s="346">
        <v>126.08228865316619</v>
      </c>
      <c r="W569" s="348">
        <v>124.44185953069753</v>
      </c>
      <c r="X569" s="347">
        <v>63.53</v>
      </c>
      <c r="Y569" s="357">
        <v>64.12</v>
      </c>
      <c r="Z569" s="365" t="s">
        <v>3017</v>
      </c>
      <c r="AA569" s="350">
        <v>117.6</v>
      </c>
      <c r="AB569" s="349" t="s">
        <v>2685</v>
      </c>
      <c r="AC569" s="350">
        <v>0</v>
      </c>
      <c r="AD569" s="349" t="s">
        <v>2685</v>
      </c>
      <c r="AE569" s="364">
        <v>0</v>
      </c>
      <c r="AF569" s="366">
        <v>0</v>
      </c>
      <c r="AG569" s="363">
        <v>0</v>
      </c>
      <c r="AH569" s="635" t="s">
        <v>408</v>
      </c>
      <c r="AI569" s="324"/>
      <c r="AL569" s="487" t="s">
        <v>14803</v>
      </c>
      <c r="AM569" s="477" t="s">
        <v>71</v>
      </c>
      <c r="AN569" s="637">
        <v>100</v>
      </c>
      <c r="AO569" s="478">
        <v>-1146</v>
      </c>
      <c r="AP569" s="463">
        <v>-605</v>
      </c>
      <c r="AQ569" s="479">
        <v>-541</v>
      </c>
      <c r="AR569" s="476" t="s">
        <v>14840</v>
      </c>
      <c r="BA569" s="313" t="s">
        <v>3809</v>
      </c>
    </row>
    <row r="570" spans="2:53" ht="16.5" customHeight="1">
      <c r="B570" s="367" t="s">
        <v>9500</v>
      </c>
      <c r="C570" s="351" t="s">
        <v>9501</v>
      </c>
      <c r="D570" s="353">
        <v>-1147</v>
      </c>
      <c r="E570" s="352" t="s">
        <v>9496</v>
      </c>
      <c r="F570" s="341">
        <v>90.78</v>
      </c>
      <c r="G570" s="355" t="s">
        <v>3973</v>
      </c>
      <c r="H570" s="356" t="s">
        <v>9502</v>
      </c>
      <c r="I570" s="354" t="s">
        <v>224</v>
      </c>
      <c r="J570" s="340" t="s">
        <v>9503</v>
      </c>
      <c r="K570" s="339" t="s">
        <v>70</v>
      </c>
      <c r="L570" s="357">
        <v>155</v>
      </c>
      <c r="M570" s="358" t="s">
        <v>9504</v>
      </c>
      <c r="N570" s="359">
        <v>1000</v>
      </c>
      <c r="O570" s="360" t="s">
        <v>532</v>
      </c>
      <c r="P570" s="343" t="s">
        <v>533</v>
      </c>
      <c r="Q570" s="342" t="s">
        <v>2688</v>
      </c>
      <c r="R570" s="344">
        <v>25</v>
      </c>
      <c r="S570" s="345">
        <v>30</v>
      </c>
      <c r="T570" s="362">
        <v>25</v>
      </c>
      <c r="U570" s="361">
        <v>90.78</v>
      </c>
      <c r="V570" s="346">
        <v>126.05830868867662</v>
      </c>
      <c r="W570" s="348">
        <v>124.42237580954975</v>
      </c>
      <c r="X570" s="347">
        <v>63.23</v>
      </c>
      <c r="Y570" s="357">
        <v>64.260000000000005</v>
      </c>
      <c r="Z570" s="365" t="s">
        <v>3017</v>
      </c>
      <c r="AA570" s="350">
        <v>196</v>
      </c>
      <c r="AB570" s="349" t="s">
        <v>2685</v>
      </c>
      <c r="AC570" s="350">
        <v>10</v>
      </c>
      <c r="AD570" s="349" t="s">
        <v>2685</v>
      </c>
      <c r="AE570" s="364">
        <v>0</v>
      </c>
      <c r="AF570" s="366">
        <v>13.744</v>
      </c>
      <c r="AG570" s="363">
        <v>0</v>
      </c>
      <c r="AH570" s="635" t="s">
        <v>7854</v>
      </c>
      <c r="AI570" s="324"/>
      <c r="AL570" s="487" t="s">
        <v>14804</v>
      </c>
      <c r="AM570" s="477" t="s">
        <v>70</v>
      </c>
      <c r="AN570" s="637">
        <v>100</v>
      </c>
      <c r="AO570" s="478">
        <v>-1147</v>
      </c>
      <c r="AP570" s="463">
        <v>-1147</v>
      </c>
      <c r="AQ570" s="479">
        <v>0</v>
      </c>
      <c r="AR570" s="476" t="s">
        <v>14805</v>
      </c>
      <c r="BA570" s="313" t="s">
        <v>3813</v>
      </c>
    </row>
    <row r="571" spans="2:53" ht="16.5" customHeight="1">
      <c r="B571" s="367" t="s">
        <v>3709</v>
      </c>
      <c r="C571" s="351" t="s">
        <v>3710</v>
      </c>
      <c r="D571" s="353">
        <v>-1148</v>
      </c>
      <c r="E571" s="352" t="s">
        <v>408</v>
      </c>
      <c r="F571" s="341">
        <v>90.76</v>
      </c>
      <c r="G571" s="355" t="s">
        <v>9458</v>
      </c>
      <c r="H571" s="356" t="s">
        <v>18569</v>
      </c>
      <c r="I571" s="354" t="s">
        <v>228</v>
      </c>
      <c r="J571" s="340" t="s">
        <v>8214</v>
      </c>
      <c r="K571" s="339" t="s">
        <v>71</v>
      </c>
      <c r="L571" s="357">
        <v>21</v>
      </c>
      <c r="M571" s="358" t="s">
        <v>9505</v>
      </c>
      <c r="N571" s="359">
        <v>1000</v>
      </c>
      <c r="O571" s="360" t="s">
        <v>530</v>
      </c>
      <c r="P571" s="343" t="s">
        <v>531</v>
      </c>
      <c r="Q571" s="342" t="s">
        <v>2688</v>
      </c>
      <c r="R571" s="344">
        <v>30</v>
      </c>
      <c r="S571" s="345">
        <v>40</v>
      </c>
      <c r="T571" s="362">
        <v>30</v>
      </c>
      <c r="U571" s="361">
        <v>90.76</v>
      </c>
      <c r="V571" s="346">
        <v>126.04487781954887</v>
      </c>
      <c r="W571" s="348">
        <v>124.41146322838347</v>
      </c>
      <c r="X571" s="347">
        <v>63.51</v>
      </c>
      <c r="Y571" s="357">
        <v>65.78</v>
      </c>
      <c r="Z571" s="365" t="s">
        <v>2689</v>
      </c>
      <c r="AA571" s="350">
        <v>100</v>
      </c>
      <c r="AB571" s="349" t="s">
        <v>2685</v>
      </c>
      <c r="AC571" s="350">
        <v>10</v>
      </c>
      <c r="AD571" s="349" t="s">
        <v>2685</v>
      </c>
      <c r="AE571" s="364">
        <v>0</v>
      </c>
      <c r="AF571" s="366">
        <v>0</v>
      </c>
      <c r="AG571" s="363">
        <v>0</v>
      </c>
      <c r="AH571" s="635" t="s">
        <v>408</v>
      </c>
      <c r="AI571" s="324"/>
      <c r="AL571" s="487" t="s">
        <v>14806</v>
      </c>
      <c r="AM571" s="477" t="s">
        <v>71</v>
      </c>
      <c r="AN571" s="637">
        <v>100</v>
      </c>
      <c r="AO571" s="478">
        <v>-1148</v>
      </c>
      <c r="AP571" s="463">
        <v>-606</v>
      </c>
      <c r="AQ571" s="479">
        <v>-542</v>
      </c>
      <c r="AR571" s="476" t="s">
        <v>16932</v>
      </c>
      <c r="BA571" s="313" t="s">
        <v>3814</v>
      </c>
    </row>
    <row r="572" spans="2:53" ht="16.5" customHeight="1">
      <c r="B572" s="367" t="s">
        <v>3714</v>
      </c>
      <c r="C572" s="351" t="s">
        <v>3715</v>
      </c>
      <c r="D572" s="353">
        <v>-1149</v>
      </c>
      <c r="E572" s="352" t="s">
        <v>3976</v>
      </c>
      <c r="F572" s="341">
        <v>90.74</v>
      </c>
      <c r="G572" s="355" t="s">
        <v>9429</v>
      </c>
      <c r="H572" s="356" t="s">
        <v>18570</v>
      </c>
      <c r="I572" s="354" t="s">
        <v>217</v>
      </c>
      <c r="J572" s="340" t="s">
        <v>8216</v>
      </c>
      <c r="K572" s="339" t="s">
        <v>71</v>
      </c>
      <c r="L572" s="357">
        <v>8</v>
      </c>
      <c r="M572" s="358" t="s">
        <v>9506</v>
      </c>
      <c r="N572" s="359">
        <v>1000</v>
      </c>
      <c r="O572" s="360" t="s">
        <v>530</v>
      </c>
      <c r="P572" s="343" t="s">
        <v>531</v>
      </c>
      <c r="Q572" s="342" t="s">
        <v>2688</v>
      </c>
      <c r="R572" s="344">
        <v>40</v>
      </c>
      <c r="S572" s="345">
        <v>30</v>
      </c>
      <c r="T572" s="362">
        <v>20</v>
      </c>
      <c r="U572" s="361">
        <v>90.74</v>
      </c>
      <c r="V572" s="346">
        <v>126.03330305782622</v>
      </c>
      <c r="W572" s="348">
        <v>124.4020587344838</v>
      </c>
      <c r="X572" s="347">
        <v>63.5</v>
      </c>
      <c r="Y572" s="357">
        <v>64.08</v>
      </c>
      <c r="Z572" s="365" t="s">
        <v>3017</v>
      </c>
      <c r="AA572" s="350">
        <v>98.5</v>
      </c>
      <c r="AB572" s="349" t="s">
        <v>2685</v>
      </c>
      <c r="AC572" s="350">
        <v>0</v>
      </c>
      <c r="AD572" s="349" t="s">
        <v>2685</v>
      </c>
      <c r="AE572" s="364">
        <v>0</v>
      </c>
      <c r="AF572" s="366">
        <v>0</v>
      </c>
      <c r="AG572" s="363">
        <v>0</v>
      </c>
      <c r="AH572" s="635" t="s">
        <v>408</v>
      </c>
      <c r="AI572" s="324"/>
      <c r="AL572" s="487" t="s">
        <v>14808</v>
      </c>
      <c r="AM572" s="477" t="s">
        <v>71</v>
      </c>
      <c r="AN572" s="637">
        <v>100</v>
      </c>
      <c r="AO572" s="478">
        <v>-1149</v>
      </c>
      <c r="AP572" s="463">
        <v>-607</v>
      </c>
      <c r="AQ572" s="479">
        <v>-542</v>
      </c>
      <c r="AR572" s="476" t="s">
        <v>16932</v>
      </c>
      <c r="BA572" s="313" t="s">
        <v>3815</v>
      </c>
    </row>
    <row r="573" spans="2:53" ht="16.5" customHeight="1">
      <c r="B573" s="367" t="s">
        <v>3714</v>
      </c>
      <c r="C573" s="351" t="s">
        <v>3715</v>
      </c>
      <c r="D573" s="353">
        <v>-1150</v>
      </c>
      <c r="E573" s="352" t="s">
        <v>3982</v>
      </c>
      <c r="F573" s="341">
        <v>90.74</v>
      </c>
      <c r="G573" s="355" t="s">
        <v>9507</v>
      </c>
      <c r="H573" s="356" t="s">
        <v>9163</v>
      </c>
      <c r="I573" s="354" t="s">
        <v>224</v>
      </c>
      <c r="J573" s="340" t="s">
        <v>9508</v>
      </c>
      <c r="K573" s="339" t="s">
        <v>71</v>
      </c>
      <c r="L573" s="357">
        <v>30</v>
      </c>
      <c r="M573" s="358" t="s">
        <v>9509</v>
      </c>
      <c r="N573" s="359">
        <v>1000</v>
      </c>
      <c r="O573" s="360" t="s">
        <v>532</v>
      </c>
      <c r="P573" s="343" t="s">
        <v>533</v>
      </c>
      <c r="Q573" s="342" t="s">
        <v>2688</v>
      </c>
      <c r="R573" s="344">
        <v>25</v>
      </c>
      <c r="S573" s="345">
        <v>30</v>
      </c>
      <c r="T573" s="362">
        <v>25</v>
      </c>
      <c r="U573" s="361">
        <v>90.74</v>
      </c>
      <c r="V573" s="346">
        <v>126.02788430415241</v>
      </c>
      <c r="W573" s="348">
        <v>124.39765599712383</v>
      </c>
      <c r="X573" s="347">
        <v>63.22</v>
      </c>
      <c r="Y573" s="357">
        <v>64.240000000000009</v>
      </c>
      <c r="Z573" s="365" t="s">
        <v>3017</v>
      </c>
      <c r="AA573" s="350">
        <v>196</v>
      </c>
      <c r="AB573" s="349" t="s">
        <v>2685</v>
      </c>
      <c r="AC573" s="350">
        <v>10</v>
      </c>
      <c r="AD573" s="349" t="s">
        <v>2685</v>
      </c>
      <c r="AE573" s="364">
        <v>0</v>
      </c>
      <c r="AF573" s="366">
        <v>13.74</v>
      </c>
      <c r="AG573" s="363">
        <v>0</v>
      </c>
      <c r="AH573" s="635" t="s">
        <v>7854</v>
      </c>
      <c r="AI573" s="324"/>
      <c r="AL573" s="487" t="s">
        <v>14809</v>
      </c>
      <c r="AM573" s="477" t="s">
        <v>71</v>
      </c>
      <c r="AN573" s="637">
        <v>100</v>
      </c>
      <c r="AO573" s="478">
        <v>-1150</v>
      </c>
      <c r="AP573" s="463">
        <v>-604</v>
      </c>
      <c r="AQ573" s="479">
        <v>-546</v>
      </c>
      <c r="AR573" s="476" t="s">
        <v>16933</v>
      </c>
      <c r="BA573" s="313" t="s">
        <v>3817</v>
      </c>
    </row>
    <row r="574" spans="2:53" ht="16.5" customHeight="1">
      <c r="B574" s="367" t="s">
        <v>3718</v>
      </c>
      <c r="C574" s="351" t="s">
        <v>3719</v>
      </c>
      <c r="D574" s="353">
        <v>-1151</v>
      </c>
      <c r="E574" s="352" t="s">
        <v>408</v>
      </c>
      <c r="F574" s="341">
        <v>90.74</v>
      </c>
      <c r="G574" s="355" t="s">
        <v>9429</v>
      </c>
      <c r="H574" s="356" t="s">
        <v>18570</v>
      </c>
      <c r="I574" s="354" t="s">
        <v>83</v>
      </c>
      <c r="J574" s="340" t="s">
        <v>9511</v>
      </c>
      <c r="K574" s="339" t="s">
        <v>71</v>
      </c>
      <c r="L574" s="357">
        <v>8</v>
      </c>
      <c r="M574" s="358" t="s">
        <v>9512</v>
      </c>
      <c r="N574" s="359">
        <v>1000</v>
      </c>
      <c r="O574" s="360" t="s">
        <v>532</v>
      </c>
      <c r="P574" s="343" t="s">
        <v>533</v>
      </c>
      <c r="Q574" s="342" t="s">
        <v>2688</v>
      </c>
      <c r="R574" s="344">
        <v>35</v>
      </c>
      <c r="S574" s="345">
        <v>25</v>
      </c>
      <c r="T574" s="362">
        <v>15</v>
      </c>
      <c r="U574" s="361">
        <v>90.74</v>
      </c>
      <c r="V574" s="346">
        <v>126.03245027673799</v>
      </c>
      <c r="W574" s="348">
        <v>124.40136584984963</v>
      </c>
      <c r="X574" s="347">
        <v>63.5</v>
      </c>
      <c r="Y574" s="357">
        <v>63.61</v>
      </c>
      <c r="Z574" s="365" t="s">
        <v>3017</v>
      </c>
      <c r="AA574" s="350">
        <v>246</v>
      </c>
      <c r="AB574" s="349" t="s">
        <v>2685</v>
      </c>
      <c r="AC574" s="350">
        <v>0</v>
      </c>
      <c r="AD574" s="349" t="s">
        <v>2685</v>
      </c>
      <c r="AE574" s="364">
        <v>0</v>
      </c>
      <c r="AF574" s="366">
        <v>4.0960000000000001</v>
      </c>
      <c r="AG574" s="363">
        <v>0</v>
      </c>
      <c r="AH574" s="635" t="s">
        <v>8698</v>
      </c>
      <c r="AI574" s="324"/>
      <c r="AL574" s="487" t="s">
        <v>14864</v>
      </c>
      <c r="AM574" s="477" t="s">
        <v>71</v>
      </c>
      <c r="AN574" s="637">
        <v>100</v>
      </c>
      <c r="AO574" s="478">
        <v>-1151</v>
      </c>
      <c r="AP574" s="463">
        <v>-608</v>
      </c>
      <c r="AQ574" s="479">
        <v>-543</v>
      </c>
      <c r="AR574" s="476" t="s">
        <v>16932</v>
      </c>
      <c r="BA574" s="313" t="s">
        <v>3818</v>
      </c>
    </row>
    <row r="575" spans="2:53" ht="16.5" customHeight="1">
      <c r="B575" s="367" t="s">
        <v>9513</v>
      </c>
      <c r="C575" s="351" t="s">
        <v>9514</v>
      </c>
      <c r="D575" s="353">
        <v>-1152</v>
      </c>
      <c r="E575" s="352" t="s">
        <v>9510</v>
      </c>
      <c r="F575" s="341">
        <v>90.71</v>
      </c>
      <c r="G575" s="355" t="s">
        <v>3993</v>
      </c>
      <c r="H575" s="356" t="s">
        <v>3599</v>
      </c>
      <c r="I575" s="354" t="s">
        <v>82</v>
      </c>
      <c r="J575" s="340" t="s">
        <v>9518</v>
      </c>
      <c r="K575" s="339" t="s">
        <v>70</v>
      </c>
      <c r="L575" s="357">
        <v>12</v>
      </c>
      <c r="M575" s="358" t="s">
        <v>9519</v>
      </c>
      <c r="N575" s="359">
        <v>800</v>
      </c>
      <c r="O575" s="360" t="s">
        <v>530</v>
      </c>
      <c r="P575" s="343" t="s">
        <v>531</v>
      </c>
      <c r="Q575" s="342" t="s">
        <v>2688</v>
      </c>
      <c r="R575" s="344">
        <v>20</v>
      </c>
      <c r="S575" s="345">
        <v>35</v>
      </c>
      <c r="T575" s="362">
        <v>30</v>
      </c>
      <c r="U575" s="361">
        <v>90.71</v>
      </c>
      <c r="V575" s="346">
        <v>126.00398601627076</v>
      </c>
      <c r="W575" s="348">
        <v>124.37823863821998</v>
      </c>
      <c r="X575" s="347">
        <v>63.21</v>
      </c>
      <c r="Y575" s="357">
        <v>64.08</v>
      </c>
      <c r="Z575" s="365" t="s">
        <v>3017</v>
      </c>
      <c r="AA575" s="350">
        <v>117.6</v>
      </c>
      <c r="AB575" s="349" t="s">
        <v>2685</v>
      </c>
      <c r="AC575" s="350">
        <v>0</v>
      </c>
      <c r="AD575" s="349" t="s">
        <v>2685</v>
      </c>
      <c r="AE575" s="364">
        <v>0</v>
      </c>
      <c r="AF575" s="366">
        <v>9.6</v>
      </c>
      <c r="AG575" s="363">
        <v>0</v>
      </c>
      <c r="AH575" s="635" t="s">
        <v>7814</v>
      </c>
      <c r="AI575" s="324"/>
      <c r="AL575" s="487" t="s">
        <v>14810</v>
      </c>
      <c r="AM575" s="477" t="s">
        <v>70</v>
      </c>
      <c r="AN575" s="637">
        <v>100</v>
      </c>
      <c r="AO575" s="478">
        <v>-1152</v>
      </c>
      <c r="AP575" s="463">
        <v>-1152</v>
      </c>
      <c r="AQ575" s="479">
        <v>0</v>
      </c>
      <c r="AR575" s="476" t="s">
        <v>17195</v>
      </c>
      <c r="BA575" s="313" t="s">
        <v>3820</v>
      </c>
    </row>
    <row r="576" spans="2:53" ht="16.5" customHeight="1">
      <c r="B576" s="367" t="s">
        <v>9444</v>
      </c>
      <c r="C576" s="351" t="s">
        <v>9445</v>
      </c>
      <c r="D576" s="353">
        <v>-1153</v>
      </c>
      <c r="E576" s="352" t="s">
        <v>408</v>
      </c>
      <c r="F576" s="341">
        <v>90.69</v>
      </c>
      <c r="G576" s="355" t="s">
        <v>18571</v>
      </c>
      <c r="H576" s="356" t="s">
        <v>3657</v>
      </c>
      <c r="I576" s="354" t="s">
        <v>417</v>
      </c>
      <c r="J576" s="340" t="s">
        <v>9487</v>
      </c>
      <c r="K576" s="339" t="s">
        <v>71</v>
      </c>
      <c r="L576" s="357">
        <v>86</v>
      </c>
      <c r="M576" s="358" t="s">
        <v>3983</v>
      </c>
      <c r="N576" s="359">
        <v>200</v>
      </c>
      <c r="O576" s="360" t="s">
        <v>530</v>
      </c>
      <c r="P576" s="343" t="s">
        <v>530</v>
      </c>
      <c r="Q576" s="342" t="s">
        <v>2688</v>
      </c>
      <c r="R576" s="344">
        <v>30</v>
      </c>
      <c r="S576" s="345">
        <v>30</v>
      </c>
      <c r="T576" s="362">
        <v>25</v>
      </c>
      <c r="U576" s="361">
        <v>90.69</v>
      </c>
      <c r="V576" s="346">
        <v>125.99342670330483</v>
      </c>
      <c r="W576" s="348">
        <v>124.36965919643518</v>
      </c>
      <c r="X576" s="347">
        <v>63.48</v>
      </c>
      <c r="Y576" s="357" t="s">
        <v>408</v>
      </c>
      <c r="Z576" s="365" t="s">
        <v>3017</v>
      </c>
      <c r="AA576" s="350">
        <v>14.25</v>
      </c>
      <c r="AB576" s="349" t="s">
        <v>2685</v>
      </c>
      <c r="AC576" s="350">
        <v>10</v>
      </c>
      <c r="AD576" s="349" t="s">
        <v>2685</v>
      </c>
      <c r="AE576" s="364">
        <v>0</v>
      </c>
      <c r="AF576" s="366">
        <v>0</v>
      </c>
      <c r="AG576" s="363">
        <v>0</v>
      </c>
      <c r="AH576" s="635" t="s">
        <v>408</v>
      </c>
      <c r="AI576" s="324"/>
      <c r="AL576" s="487" t="s">
        <v>14811</v>
      </c>
      <c r="AM576" s="477" t="s">
        <v>71</v>
      </c>
      <c r="AN576" s="637">
        <v>100</v>
      </c>
      <c r="AO576" s="478">
        <v>-1153</v>
      </c>
      <c r="AP576" s="463">
        <v>-609</v>
      </c>
      <c r="AQ576" s="479">
        <v>-544</v>
      </c>
      <c r="AR576" s="476" t="s">
        <v>16934</v>
      </c>
      <c r="BA576" s="313" t="s">
        <v>3821</v>
      </c>
    </row>
    <row r="577" spans="2:53" ht="16.5" customHeight="1">
      <c r="B577" s="367" t="s">
        <v>3725</v>
      </c>
      <c r="C577" s="351" t="s">
        <v>3726</v>
      </c>
      <c r="D577" s="353">
        <v>-1154</v>
      </c>
      <c r="E577" s="352" t="s">
        <v>408</v>
      </c>
      <c r="F577" s="341">
        <v>90.69</v>
      </c>
      <c r="G577" s="355" t="s">
        <v>9520</v>
      </c>
      <c r="H577" s="356" t="s">
        <v>9521</v>
      </c>
      <c r="I577" s="354" t="s">
        <v>417</v>
      </c>
      <c r="J577" s="340" t="s">
        <v>9522</v>
      </c>
      <c r="K577" s="339" t="s">
        <v>70</v>
      </c>
      <c r="L577" s="357">
        <v>21</v>
      </c>
      <c r="M577" s="358" t="s">
        <v>9523</v>
      </c>
      <c r="N577" s="359">
        <v>200</v>
      </c>
      <c r="O577" s="360" t="s">
        <v>530</v>
      </c>
      <c r="P577" s="343" t="s">
        <v>530</v>
      </c>
      <c r="Q577" s="342" t="s">
        <v>2688</v>
      </c>
      <c r="R577" s="344">
        <v>20</v>
      </c>
      <c r="S577" s="345">
        <v>35</v>
      </c>
      <c r="T577" s="362">
        <v>30</v>
      </c>
      <c r="U577" s="361">
        <v>90.69</v>
      </c>
      <c r="V577" s="346">
        <v>125.99206476759403</v>
      </c>
      <c r="W577" s="348">
        <v>124.36855262367015</v>
      </c>
      <c r="X577" s="347">
        <v>63.2</v>
      </c>
      <c r="Y577" s="357" t="s">
        <v>408</v>
      </c>
      <c r="Z577" s="365" t="s">
        <v>3017</v>
      </c>
      <c r="AA577" s="350">
        <v>14.25</v>
      </c>
      <c r="AB577" s="349" t="s">
        <v>2685</v>
      </c>
      <c r="AC577" s="350">
        <v>10</v>
      </c>
      <c r="AD577" s="349" t="s">
        <v>2685</v>
      </c>
      <c r="AE577" s="364">
        <v>0</v>
      </c>
      <c r="AF577" s="366">
        <v>0</v>
      </c>
      <c r="AG577" s="363">
        <v>0</v>
      </c>
      <c r="AH577" s="635" t="s">
        <v>408</v>
      </c>
      <c r="AI577" s="324"/>
      <c r="AL577" s="487" t="s">
        <v>14812</v>
      </c>
      <c r="AM577" s="477" t="s">
        <v>70</v>
      </c>
      <c r="AN577" s="637">
        <v>100</v>
      </c>
      <c r="AO577" s="478">
        <v>-1154</v>
      </c>
      <c r="AP577" s="463">
        <v>-1154</v>
      </c>
      <c r="AQ577" s="479">
        <v>0</v>
      </c>
      <c r="AR577" s="476" t="s">
        <v>14813</v>
      </c>
      <c r="BA577" s="313" t="s">
        <v>3823</v>
      </c>
    </row>
    <row r="578" spans="2:53" ht="16.5" customHeight="1">
      <c r="B578" s="367" t="s">
        <v>9524</v>
      </c>
      <c r="C578" s="351" t="s">
        <v>9525</v>
      </c>
      <c r="D578" s="353">
        <v>-1155</v>
      </c>
      <c r="E578" s="352" t="s">
        <v>408</v>
      </c>
      <c r="F578" s="341">
        <v>90.69</v>
      </c>
      <c r="G578" s="355" t="s">
        <v>9526</v>
      </c>
      <c r="H578" s="356" t="s">
        <v>18564</v>
      </c>
      <c r="I578" s="354" t="s">
        <v>233</v>
      </c>
      <c r="J578" s="340" t="s">
        <v>9528</v>
      </c>
      <c r="K578" s="339" t="s">
        <v>70</v>
      </c>
      <c r="L578" s="357">
        <v>24</v>
      </c>
      <c r="M578" s="358" t="s">
        <v>9529</v>
      </c>
      <c r="N578" s="359">
        <v>1000</v>
      </c>
      <c r="O578" s="360" t="s">
        <v>530</v>
      </c>
      <c r="P578" s="343" t="s">
        <v>531</v>
      </c>
      <c r="Q578" s="342" t="s">
        <v>2688</v>
      </c>
      <c r="R578" s="344">
        <v>25</v>
      </c>
      <c r="S578" s="345">
        <v>35</v>
      </c>
      <c r="T578" s="362">
        <v>25</v>
      </c>
      <c r="U578" s="361">
        <v>90.69</v>
      </c>
      <c r="V578" s="346">
        <v>125.98945372731173</v>
      </c>
      <c r="W578" s="348">
        <v>124.36643115344079</v>
      </c>
      <c r="X578" s="347">
        <v>63.2</v>
      </c>
      <c r="Y578" s="357">
        <v>64.070000000000007</v>
      </c>
      <c r="Z578" s="365" t="s">
        <v>3017</v>
      </c>
      <c r="AA578" s="350">
        <v>149.25</v>
      </c>
      <c r="AB578" s="349" t="s">
        <v>2685</v>
      </c>
      <c r="AC578" s="350">
        <v>0</v>
      </c>
      <c r="AD578" s="349" t="s">
        <v>2685</v>
      </c>
      <c r="AE578" s="364">
        <v>0</v>
      </c>
      <c r="AF578" s="366">
        <v>11.334</v>
      </c>
      <c r="AG578" s="363">
        <v>0</v>
      </c>
      <c r="AH578" s="635" t="s">
        <v>7993</v>
      </c>
      <c r="AI578" s="324"/>
      <c r="AL578" s="487" t="s">
        <v>14814</v>
      </c>
      <c r="AM578" s="477" t="s">
        <v>70</v>
      </c>
      <c r="AN578" s="637">
        <v>100</v>
      </c>
      <c r="AO578" s="478">
        <v>-1155</v>
      </c>
      <c r="AP578" s="463">
        <v>-1155</v>
      </c>
      <c r="AQ578" s="479">
        <v>0</v>
      </c>
      <c r="AR578" s="476" t="s">
        <v>14815</v>
      </c>
      <c r="BA578" s="313" t="s">
        <v>3826</v>
      </c>
    </row>
    <row r="579" spans="2:53" ht="16.5" customHeight="1">
      <c r="B579" s="367" t="s">
        <v>9530</v>
      </c>
      <c r="C579" s="351" t="s">
        <v>9531</v>
      </c>
      <c r="D579" s="353">
        <v>-1156</v>
      </c>
      <c r="E579" s="352" t="s">
        <v>408</v>
      </c>
      <c r="F579" s="341">
        <v>90.68</v>
      </c>
      <c r="G579" s="355" t="s">
        <v>9532</v>
      </c>
      <c r="H579" s="356" t="s">
        <v>3658</v>
      </c>
      <c r="I579" s="354" t="s">
        <v>82</v>
      </c>
      <c r="J579" s="340" t="s">
        <v>9533</v>
      </c>
      <c r="K579" s="339" t="s">
        <v>70</v>
      </c>
      <c r="L579" s="357">
        <v>29</v>
      </c>
      <c r="M579" s="358" t="s">
        <v>9534</v>
      </c>
      <c r="N579" s="359">
        <v>800</v>
      </c>
      <c r="O579" s="360" t="s">
        <v>530</v>
      </c>
      <c r="P579" s="343" t="s">
        <v>531</v>
      </c>
      <c r="Q579" s="342" t="s">
        <v>2688</v>
      </c>
      <c r="R579" s="344">
        <v>20</v>
      </c>
      <c r="S579" s="345">
        <v>35</v>
      </c>
      <c r="T579" s="362">
        <v>30</v>
      </c>
      <c r="U579" s="361">
        <v>90.68</v>
      </c>
      <c r="V579" s="346">
        <v>125.98111543111052</v>
      </c>
      <c r="W579" s="348">
        <v>124.3596562877773</v>
      </c>
      <c r="X579" s="347">
        <v>63.2</v>
      </c>
      <c r="Y579" s="357">
        <v>64.070000000000007</v>
      </c>
      <c r="Z579" s="365" t="s">
        <v>3017</v>
      </c>
      <c r="AA579" s="350">
        <v>117.6</v>
      </c>
      <c r="AB579" s="349" t="s">
        <v>2685</v>
      </c>
      <c r="AC579" s="350">
        <v>0</v>
      </c>
      <c r="AD579" s="349" t="s">
        <v>2685</v>
      </c>
      <c r="AE579" s="364">
        <v>0</v>
      </c>
      <c r="AF579" s="366">
        <v>9.6</v>
      </c>
      <c r="AG579" s="363">
        <v>0</v>
      </c>
      <c r="AH579" s="635" t="s">
        <v>7814</v>
      </c>
      <c r="AI579" s="324"/>
      <c r="AL579" s="487" t="s">
        <v>14816</v>
      </c>
      <c r="AM579" s="477" t="s">
        <v>70</v>
      </c>
      <c r="AN579" s="637">
        <v>100</v>
      </c>
      <c r="AO579" s="478">
        <v>-1156</v>
      </c>
      <c r="AP579" s="463">
        <v>-1156</v>
      </c>
      <c r="AQ579" s="479">
        <v>0</v>
      </c>
      <c r="AR579" s="476" t="s">
        <v>17196</v>
      </c>
      <c r="BA579" s="313" t="s">
        <v>3830</v>
      </c>
    </row>
    <row r="580" spans="2:53" ht="16.5" customHeight="1">
      <c r="B580" s="367" t="s">
        <v>9530</v>
      </c>
      <c r="C580" s="351" t="s">
        <v>9531</v>
      </c>
      <c r="D580" s="353">
        <v>-1157</v>
      </c>
      <c r="E580" s="352" t="s">
        <v>408</v>
      </c>
      <c r="F580" s="341">
        <v>90.67</v>
      </c>
      <c r="G580" s="355" t="s">
        <v>4005</v>
      </c>
      <c r="H580" s="356" t="s">
        <v>9025</v>
      </c>
      <c r="I580" s="354" t="s">
        <v>228</v>
      </c>
      <c r="J580" s="340" t="s">
        <v>418</v>
      </c>
      <c r="K580" s="339" t="s">
        <v>70</v>
      </c>
      <c r="L580" s="357">
        <v>30</v>
      </c>
      <c r="M580" s="358" t="s">
        <v>9535</v>
      </c>
      <c r="N580" s="359">
        <v>1000</v>
      </c>
      <c r="O580" s="360" t="s">
        <v>530</v>
      </c>
      <c r="P580" s="343" t="s">
        <v>531</v>
      </c>
      <c r="Q580" s="342" t="s">
        <v>2688</v>
      </c>
      <c r="R580" s="344">
        <v>30</v>
      </c>
      <c r="S580" s="345">
        <v>35</v>
      </c>
      <c r="T580" s="362">
        <v>35</v>
      </c>
      <c r="U580" s="361">
        <v>90.67</v>
      </c>
      <c r="V580" s="346">
        <v>125.97712630735836</v>
      </c>
      <c r="W580" s="348">
        <v>124.35641512472867</v>
      </c>
      <c r="X580" s="347">
        <v>63.2</v>
      </c>
      <c r="Y580" s="357">
        <v>65.75</v>
      </c>
      <c r="Z580" s="365" t="s">
        <v>2689</v>
      </c>
      <c r="AA580" s="350">
        <v>100</v>
      </c>
      <c r="AB580" s="349" t="s">
        <v>2685</v>
      </c>
      <c r="AC580" s="350">
        <v>10</v>
      </c>
      <c r="AD580" s="349" t="s">
        <v>2685</v>
      </c>
      <c r="AE580" s="364">
        <v>0</v>
      </c>
      <c r="AF580" s="366">
        <v>11.506</v>
      </c>
      <c r="AG580" s="363">
        <v>0</v>
      </c>
      <c r="AH580" s="635" t="s">
        <v>7787</v>
      </c>
      <c r="AI580" s="324"/>
      <c r="AL580" s="487" t="s">
        <v>14817</v>
      </c>
      <c r="AM580" s="477" t="s">
        <v>70</v>
      </c>
      <c r="AN580" s="637">
        <v>100</v>
      </c>
      <c r="AO580" s="478">
        <v>-1157</v>
      </c>
      <c r="AP580" s="463">
        <v>-1157</v>
      </c>
      <c r="AQ580" s="479">
        <v>0</v>
      </c>
      <c r="AR580" s="476" t="s">
        <v>16935</v>
      </c>
      <c r="BA580" s="313" t="s">
        <v>3832</v>
      </c>
    </row>
    <row r="581" spans="2:53" ht="16.5" customHeight="1">
      <c r="B581" s="367" t="s">
        <v>9530</v>
      </c>
      <c r="C581" s="351" t="s">
        <v>9531</v>
      </c>
      <c r="D581" s="353">
        <v>-1158</v>
      </c>
      <c r="E581" s="352" t="s">
        <v>408</v>
      </c>
      <c r="F581" s="341">
        <v>90.66</v>
      </c>
      <c r="G581" s="355" t="s">
        <v>3949</v>
      </c>
      <c r="H581" s="356" t="s">
        <v>18572</v>
      </c>
      <c r="I581" s="354" t="s">
        <v>217</v>
      </c>
      <c r="J581" s="340" t="s">
        <v>9017</v>
      </c>
      <c r="K581" s="339" t="s">
        <v>71</v>
      </c>
      <c r="L581" s="357">
        <v>13</v>
      </c>
      <c r="M581" s="358" t="s">
        <v>9536</v>
      </c>
      <c r="N581" s="359">
        <v>1000</v>
      </c>
      <c r="O581" s="360" t="s">
        <v>530</v>
      </c>
      <c r="P581" s="343" t="s">
        <v>531</v>
      </c>
      <c r="Q581" s="342" t="s">
        <v>2688</v>
      </c>
      <c r="R581" s="344">
        <v>40</v>
      </c>
      <c r="S581" s="345">
        <v>30</v>
      </c>
      <c r="T581" s="362">
        <v>20</v>
      </c>
      <c r="U581" s="361">
        <v>90.66</v>
      </c>
      <c r="V581" s="346">
        <v>125.97033000302757</v>
      </c>
      <c r="W581" s="348">
        <v>124.3508931274599</v>
      </c>
      <c r="X581" s="347">
        <v>63.47</v>
      </c>
      <c r="Y581" s="357">
        <v>64.06</v>
      </c>
      <c r="Z581" s="365" t="s">
        <v>3017</v>
      </c>
      <c r="AA581" s="350">
        <v>98.5</v>
      </c>
      <c r="AB581" s="349" t="s">
        <v>2685</v>
      </c>
      <c r="AC581" s="350">
        <v>0</v>
      </c>
      <c r="AD581" s="349" t="s">
        <v>2685</v>
      </c>
      <c r="AE581" s="364">
        <v>0</v>
      </c>
      <c r="AF581" s="366">
        <v>0</v>
      </c>
      <c r="AG581" s="363">
        <v>0</v>
      </c>
      <c r="AH581" s="635" t="s">
        <v>408</v>
      </c>
      <c r="AI581" s="324"/>
      <c r="AL581" s="487" t="s">
        <v>14818</v>
      </c>
      <c r="AM581" s="477" t="s">
        <v>71</v>
      </c>
      <c r="AN581" s="637">
        <v>100</v>
      </c>
      <c r="AO581" s="478">
        <v>-1158</v>
      </c>
      <c r="AP581" s="463">
        <v>-610</v>
      </c>
      <c r="AQ581" s="479">
        <v>-548</v>
      </c>
      <c r="AR581" s="476" t="s">
        <v>16936</v>
      </c>
      <c r="BA581" s="313" t="s">
        <v>3835</v>
      </c>
    </row>
    <row r="582" spans="2:53" ht="16.5" customHeight="1">
      <c r="B582" s="367" t="s">
        <v>9537</v>
      </c>
      <c r="C582" s="351" t="s">
        <v>9538</v>
      </c>
      <c r="D582" s="353">
        <v>-1159</v>
      </c>
      <c r="E582" s="352" t="s">
        <v>4005</v>
      </c>
      <c r="F582" s="341">
        <v>90.66</v>
      </c>
      <c r="G582" s="355" t="s">
        <v>9539</v>
      </c>
      <c r="H582" s="356" t="s">
        <v>3736</v>
      </c>
      <c r="I582" s="354" t="s">
        <v>217</v>
      </c>
      <c r="J582" s="340" t="s">
        <v>9540</v>
      </c>
      <c r="K582" s="339" t="s">
        <v>71</v>
      </c>
      <c r="L582" s="357">
        <v>14</v>
      </c>
      <c r="M582" s="358" t="s">
        <v>9541</v>
      </c>
      <c r="N582" s="359">
        <v>1000</v>
      </c>
      <c r="O582" s="360" t="s">
        <v>530</v>
      </c>
      <c r="P582" s="343" t="s">
        <v>531</v>
      </c>
      <c r="Q582" s="342" t="s">
        <v>2688</v>
      </c>
      <c r="R582" s="344">
        <v>30</v>
      </c>
      <c r="S582" s="345">
        <v>40</v>
      </c>
      <c r="T582" s="362">
        <v>20</v>
      </c>
      <c r="U582" s="361">
        <v>90.66</v>
      </c>
      <c r="V582" s="346">
        <v>125.97273853779429</v>
      </c>
      <c r="W582" s="348">
        <v>124.35285006195787</v>
      </c>
      <c r="X582" s="347">
        <v>63.2</v>
      </c>
      <c r="Y582" s="357">
        <v>64.06</v>
      </c>
      <c r="Z582" s="365" t="s">
        <v>3017</v>
      </c>
      <c r="AA582" s="350">
        <v>98.5</v>
      </c>
      <c r="AB582" s="349" t="s">
        <v>2685</v>
      </c>
      <c r="AC582" s="350">
        <v>0</v>
      </c>
      <c r="AD582" s="349" t="s">
        <v>2685</v>
      </c>
      <c r="AE582" s="364">
        <v>0</v>
      </c>
      <c r="AF582" s="366">
        <v>0</v>
      </c>
      <c r="AG582" s="363">
        <v>0</v>
      </c>
      <c r="AH582" s="635" t="s">
        <v>408</v>
      </c>
      <c r="AI582" s="324"/>
      <c r="AL582" s="487" t="s">
        <v>14820</v>
      </c>
      <c r="AM582" s="477" t="s">
        <v>71</v>
      </c>
      <c r="AN582" s="637">
        <v>100</v>
      </c>
      <c r="AO582" s="478">
        <v>-1159</v>
      </c>
      <c r="AP582" s="463">
        <v>-608</v>
      </c>
      <c r="AQ582" s="479">
        <v>-551</v>
      </c>
      <c r="AR582" s="476" t="s">
        <v>17197</v>
      </c>
      <c r="BA582" s="313" t="s">
        <v>3836</v>
      </c>
    </row>
    <row r="583" spans="2:53" ht="16.5" customHeight="1">
      <c r="B583" s="367" t="s">
        <v>9542</v>
      </c>
      <c r="C583" s="351" t="s">
        <v>9543</v>
      </c>
      <c r="D583" s="353">
        <v>-1160</v>
      </c>
      <c r="E583" s="352" t="s">
        <v>408</v>
      </c>
      <c r="F583" s="341">
        <v>90.66</v>
      </c>
      <c r="G583" s="355" t="s">
        <v>4001</v>
      </c>
      <c r="H583" s="356" t="s">
        <v>3605</v>
      </c>
      <c r="I583" s="354" t="s">
        <v>82</v>
      </c>
      <c r="J583" s="340" t="s">
        <v>9544</v>
      </c>
      <c r="K583" s="339" t="s">
        <v>70</v>
      </c>
      <c r="L583" s="357">
        <v>7</v>
      </c>
      <c r="M583" s="358" t="s">
        <v>9545</v>
      </c>
      <c r="N583" s="359">
        <v>800</v>
      </c>
      <c r="O583" s="360" t="s">
        <v>530</v>
      </c>
      <c r="P583" s="343" t="s">
        <v>531</v>
      </c>
      <c r="Q583" s="342" t="s">
        <v>2688</v>
      </c>
      <c r="R583" s="344">
        <v>20</v>
      </c>
      <c r="S583" s="345">
        <v>35</v>
      </c>
      <c r="T583" s="362">
        <v>30</v>
      </c>
      <c r="U583" s="361">
        <v>90.66</v>
      </c>
      <c r="V583" s="346">
        <v>125.96804652530464</v>
      </c>
      <c r="W583" s="348">
        <v>124.34903780181001</v>
      </c>
      <c r="X583" s="347">
        <v>63.19</v>
      </c>
      <c r="Y583" s="357">
        <v>64.06</v>
      </c>
      <c r="Z583" s="365" t="s">
        <v>3017</v>
      </c>
      <c r="AA583" s="350">
        <v>117.6</v>
      </c>
      <c r="AB583" s="349" t="s">
        <v>2685</v>
      </c>
      <c r="AC583" s="350">
        <v>0</v>
      </c>
      <c r="AD583" s="349" t="s">
        <v>2685</v>
      </c>
      <c r="AE583" s="364">
        <v>0</v>
      </c>
      <c r="AF583" s="366">
        <v>9.6</v>
      </c>
      <c r="AG583" s="363">
        <v>0</v>
      </c>
      <c r="AH583" s="635" t="s">
        <v>7814</v>
      </c>
      <c r="AI583" s="324"/>
      <c r="AL583" s="487" t="s">
        <v>14821</v>
      </c>
      <c r="AM583" s="477" t="s">
        <v>70</v>
      </c>
      <c r="AN583" s="637">
        <v>100</v>
      </c>
      <c r="AO583" s="478">
        <v>-1160</v>
      </c>
      <c r="AP583" s="463">
        <v>-1160</v>
      </c>
      <c r="AQ583" s="479">
        <v>0</v>
      </c>
      <c r="AR583" s="476" t="s">
        <v>17198</v>
      </c>
      <c r="BA583" s="313" t="s">
        <v>3840</v>
      </c>
    </row>
    <row r="584" spans="2:53" ht="16.5" customHeight="1">
      <c r="B584" s="367" t="s">
        <v>9455</v>
      </c>
      <c r="C584" s="351" t="s">
        <v>9456</v>
      </c>
      <c r="D584" s="353">
        <v>-1161</v>
      </c>
      <c r="E584" s="352" t="s">
        <v>408</v>
      </c>
      <c r="F584" s="341">
        <v>90.64</v>
      </c>
      <c r="G584" s="355" t="s">
        <v>9546</v>
      </c>
      <c r="H584" s="356" t="s">
        <v>18521</v>
      </c>
      <c r="I584" s="354" t="s">
        <v>254</v>
      </c>
      <c r="J584" s="340" t="s">
        <v>551</v>
      </c>
      <c r="K584" s="339" t="s">
        <v>70</v>
      </c>
      <c r="L584" s="357">
        <v>11</v>
      </c>
      <c r="M584" s="358" t="s">
        <v>9547</v>
      </c>
      <c r="N584" s="359">
        <v>1000</v>
      </c>
      <c r="O584" s="360" t="s">
        <v>532</v>
      </c>
      <c r="P584" s="343" t="s">
        <v>533</v>
      </c>
      <c r="Q584" s="342" t="s">
        <v>2688</v>
      </c>
      <c r="R584" s="344">
        <v>15</v>
      </c>
      <c r="S584" s="345">
        <v>50</v>
      </c>
      <c r="T584" s="362">
        <v>15</v>
      </c>
      <c r="U584" s="361">
        <v>90.64</v>
      </c>
      <c r="V584" s="346">
        <v>125.95161456726694</v>
      </c>
      <c r="W584" s="348">
        <v>124.3356868359044</v>
      </c>
      <c r="X584" s="347">
        <v>63.19</v>
      </c>
      <c r="Y584" s="357">
        <v>64.050000000000011</v>
      </c>
      <c r="Z584" s="365" t="s">
        <v>3017</v>
      </c>
      <c r="AA584" s="350">
        <v>196</v>
      </c>
      <c r="AB584" s="349" t="s">
        <v>2685</v>
      </c>
      <c r="AC584" s="350">
        <v>3</v>
      </c>
      <c r="AD584" s="349" t="s">
        <v>2685</v>
      </c>
      <c r="AE584" s="364">
        <v>0</v>
      </c>
      <c r="AF584" s="366">
        <v>0</v>
      </c>
      <c r="AG584" s="363">
        <v>0</v>
      </c>
      <c r="AH584" s="635" t="s">
        <v>408</v>
      </c>
      <c r="AI584" s="324"/>
      <c r="AL584" s="487" t="s">
        <v>14823</v>
      </c>
      <c r="AM584" s="477" t="s">
        <v>70</v>
      </c>
      <c r="AN584" s="637">
        <v>100</v>
      </c>
      <c r="AO584" s="478">
        <v>-1161</v>
      </c>
      <c r="AP584" s="463">
        <v>-1161</v>
      </c>
      <c r="AQ584" s="479">
        <v>0</v>
      </c>
      <c r="AR584" s="476" t="s">
        <v>14824</v>
      </c>
      <c r="BA584" s="313" t="s">
        <v>3841</v>
      </c>
    </row>
    <row r="585" spans="2:53" ht="16.5" customHeight="1">
      <c r="B585" s="367" t="s">
        <v>9548</v>
      </c>
      <c r="C585" s="351" t="s">
        <v>9549</v>
      </c>
      <c r="D585" s="353">
        <v>-1162</v>
      </c>
      <c r="E585" s="352" t="s">
        <v>408</v>
      </c>
      <c r="F585" s="341">
        <v>90.62</v>
      </c>
      <c r="G585" s="355" t="s">
        <v>9550</v>
      </c>
      <c r="H585" s="356" t="s">
        <v>9037</v>
      </c>
      <c r="I585" s="354" t="s">
        <v>217</v>
      </c>
      <c r="J585" s="340" t="s">
        <v>9551</v>
      </c>
      <c r="K585" s="339" t="s">
        <v>70</v>
      </c>
      <c r="L585" s="357">
        <v>65</v>
      </c>
      <c r="M585" s="358" t="s">
        <v>9552</v>
      </c>
      <c r="N585" s="359">
        <v>1000</v>
      </c>
      <c r="O585" s="360" t="s">
        <v>530</v>
      </c>
      <c r="P585" s="343" t="s">
        <v>531</v>
      </c>
      <c r="Q585" s="342" t="s">
        <v>2688</v>
      </c>
      <c r="R585" s="344">
        <v>30</v>
      </c>
      <c r="S585" s="345">
        <v>40</v>
      </c>
      <c r="T585" s="362">
        <v>20</v>
      </c>
      <c r="U585" s="361">
        <v>90.62</v>
      </c>
      <c r="V585" s="346">
        <v>125.9355638166047</v>
      </c>
      <c r="W585" s="348">
        <v>124.32264560099132</v>
      </c>
      <c r="X585" s="347">
        <v>63.18</v>
      </c>
      <c r="Y585" s="357">
        <v>64.040000000000006</v>
      </c>
      <c r="Z585" s="365" t="s">
        <v>3017</v>
      </c>
      <c r="AA585" s="350">
        <v>98.5</v>
      </c>
      <c r="AB585" s="349" t="s">
        <v>2685</v>
      </c>
      <c r="AC585" s="350">
        <v>0</v>
      </c>
      <c r="AD585" s="349" t="s">
        <v>2685</v>
      </c>
      <c r="AE585" s="364">
        <v>0</v>
      </c>
      <c r="AF585" s="366">
        <v>0</v>
      </c>
      <c r="AG585" s="363">
        <v>0</v>
      </c>
      <c r="AH585" s="635" t="s">
        <v>408</v>
      </c>
      <c r="AI585" s="324"/>
      <c r="AL585" s="487" t="s">
        <v>14825</v>
      </c>
      <c r="AM585" s="477" t="s">
        <v>70</v>
      </c>
      <c r="AN585" s="637">
        <v>100</v>
      </c>
      <c r="AO585" s="478">
        <v>-1162</v>
      </c>
      <c r="AP585" s="463">
        <v>-1162</v>
      </c>
      <c r="AQ585" s="479">
        <v>0</v>
      </c>
      <c r="AR585" s="476" t="s">
        <v>17199</v>
      </c>
      <c r="BA585" s="313" t="s">
        <v>3843</v>
      </c>
    </row>
    <row r="586" spans="2:53" ht="16.5" customHeight="1">
      <c r="B586" s="367" t="s">
        <v>9553</v>
      </c>
      <c r="C586" s="351" t="s">
        <v>9554</v>
      </c>
      <c r="D586" s="353">
        <v>-1163</v>
      </c>
      <c r="E586" s="352" t="s">
        <v>408</v>
      </c>
      <c r="F586" s="341">
        <v>90.62</v>
      </c>
      <c r="G586" s="355" t="s">
        <v>18573</v>
      </c>
      <c r="H586" s="356" t="s">
        <v>3716</v>
      </c>
      <c r="I586" s="354" t="s">
        <v>83</v>
      </c>
      <c r="J586" s="340" t="s">
        <v>8726</v>
      </c>
      <c r="K586" s="339" t="s">
        <v>71</v>
      </c>
      <c r="L586" s="357">
        <v>28</v>
      </c>
      <c r="M586" s="358" t="s">
        <v>9557</v>
      </c>
      <c r="N586" s="359">
        <v>1000</v>
      </c>
      <c r="O586" s="360" t="s">
        <v>532</v>
      </c>
      <c r="P586" s="343" t="s">
        <v>533</v>
      </c>
      <c r="Q586" s="342" t="s">
        <v>2688</v>
      </c>
      <c r="R586" s="344">
        <v>35</v>
      </c>
      <c r="S586" s="345">
        <v>30</v>
      </c>
      <c r="T586" s="362">
        <v>20</v>
      </c>
      <c r="U586" s="361">
        <v>90.62</v>
      </c>
      <c r="V586" s="346">
        <v>125.93578733305146</v>
      </c>
      <c r="W586" s="348">
        <v>124.32282720810431</v>
      </c>
      <c r="X586" s="347">
        <v>63.45</v>
      </c>
      <c r="Y586" s="357">
        <v>63.57</v>
      </c>
      <c r="Z586" s="365" t="s">
        <v>3017</v>
      </c>
      <c r="AA586" s="350">
        <v>148</v>
      </c>
      <c r="AB586" s="349" t="s">
        <v>2685</v>
      </c>
      <c r="AC586" s="350">
        <v>0</v>
      </c>
      <c r="AD586" s="349" t="s">
        <v>2685</v>
      </c>
      <c r="AE586" s="364">
        <v>0</v>
      </c>
      <c r="AF586" s="366">
        <v>5.4569999999999999</v>
      </c>
      <c r="AG586" s="363">
        <v>0</v>
      </c>
      <c r="AH586" s="635" t="s">
        <v>8698</v>
      </c>
      <c r="AI586" s="324"/>
      <c r="AL586" s="487" t="s">
        <v>14827</v>
      </c>
      <c r="AM586" s="477" t="s">
        <v>71</v>
      </c>
      <c r="AN586" s="637">
        <v>100</v>
      </c>
      <c r="AO586" s="478">
        <v>-1163</v>
      </c>
      <c r="AP586" s="463">
        <v>-611</v>
      </c>
      <c r="AQ586" s="479">
        <v>-552</v>
      </c>
      <c r="AR586" s="476" t="s">
        <v>16938</v>
      </c>
      <c r="BA586" s="313" t="s">
        <v>3846</v>
      </c>
    </row>
    <row r="587" spans="2:53" ht="16.5" customHeight="1">
      <c r="B587" s="367" t="s">
        <v>3731</v>
      </c>
      <c r="C587" s="351" t="s">
        <v>3732</v>
      </c>
      <c r="D587" s="353">
        <v>-1164</v>
      </c>
      <c r="E587" s="352" t="s">
        <v>9555</v>
      </c>
      <c r="F587" s="341">
        <v>90.62</v>
      </c>
      <c r="G587" s="355" t="s">
        <v>4004</v>
      </c>
      <c r="H587" s="356" t="s">
        <v>18574</v>
      </c>
      <c r="I587" s="354" t="s">
        <v>82</v>
      </c>
      <c r="J587" s="340" t="s">
        <v>9558</v>
      </c>
      <c r="K587" s="339" t="s">
        <v>70</v>
      </c>
      <c r="L587" s="357">
        <v>17</v>
      </c>
      <c r="M587" s="358" t="s">
        <v>9559</v>
      </c>
      <c r="N587" s="359">
        <v>800</v>
      </c>
      <c r="O587" s="360" t="s">
        <v>530</v>
      </c>
      <c r="P587" s="343" t="s">
        <v>531</v>
      </c>
      <c r="Q587" s="342" t="s">
        <v>2688</v>
      </c>
      <c r="R587" s="344">
        <v>20</v>
      </c>
      <c r="S587" s="345">
        <v>35</v>
      </c>
      <c r="T587" s="362">
        <v>30</v>
      </c>
      <c r="U587" s="361">
        <v>90.62</v>
      </c>
      <c r="V587" s="346">
        <v>125.93864148724148</v>
      </c>
      <c r="W587" s="348">
        <v>124.32514620838371</v>
      </c>
      <c r="X587" s="347">
        <v>63.18</v>
      </c>
      <c r="Y587" s="357">
        <v>64.050000000000011</v>
      </c>
      <c r="Z587" s="365" t="s">
        <v>3017</v>
      </c>
      <c r="AA587" s="350">
        <v>117.6</v>
      </c>
      <c r="AB587" s="349" t="s">
        <v>2685</v>
      </c>
      <c r="AC587" s="350">
        <v>0</v>
      </c>
      <c r="AD587" s="349" t="s">
        <v>2685</v>
      </c>
      <c r="AE587" s="364">
        <v>0</v>
      </c>
      <c r="AF587" s="366">
        <v>9.6</v>
      </c>
      <c r="AG587" s="363">
        <v>0</v>
      </c>
      <c r="AH587" s="635" t="s">
        <v>7814</v>
      </c>
      <c r="AI587" s="324"/>
      <c r="AL587" s="487" t="s">
        <v>14828</v>
      </c>
      <c r="AM587" s="477" t="s">
        <v>70</v>
      </c>
      <c r="AN587" s="637">
        <v>100</v>
      </c>
      <c r="AO587" s="478">
        <v>-1164</v>
      </c>
      <c r="AP587" s="463">
        <v>-1164</v>
      </c>
      <c r="AQ587" s="479">
        <v>0</v>
      </c>
      <c r="AR587" s="476" t="s">
        <v>14826</v>
      </c>
      <c r="BA587" s="313" t="s">
        <v>3850</v>
      </c>
    </row>
    <row r="588" spans="2:53" ht="16.5" customHeight="1">
      <c r="B588" s="367" t="s">
        <v>3734</v>
      </c>
      <c r="C588" s="351" t="s">
        <v>3735</v>
      </c>
      <c r="D588" s="353">
        <v>-1165</v>
      </c>
      <c r="E588" s="352" t="s">
        <v>408</v>
      </c>
      <c r="F588" s="341">
        <v>90.61</v>
      </c>
      <c r="G588" s="355" t="s">
        <v>3957</v>
      </c>
      <c r="H588" s="356" t="s">
        <v>9164</v>
      </c>
      <c r="I588" s="354" t="s">
        <v>82</v>
      </c>
      <c r="J588" s="340" t="s">
        <v>9562</v>
      </c>
      <c r="K588" s="339" t="s">
        <v>71</v>
      </c>
      <c r="L588" s="357">
        <v>5</v>
      </c>
      <c r="M588" s="358" t="s">
        <v>9563</v>
      </c>
      <c r="N588" s="359">
        <v>800</v>
      </c>
      <c r="O588" s="360" t="s">
        <v>530</v>
      </c>
      <c r="P588" s="343" t="s">
        <v>531</v>
      </c>
      <c r="Q588" s="342" t="s">
        <v>2688</v>
      </c>
      <c r="R588" s="344">
        <v>30</v>
      </c>
      <c r="S588" s="345">
        <v>30</v>
      </c>
      <c r="T588" s="362">
        <v>25</v>
      </c>
      <c r="U588" s="361">
        <v>90.61</v>
      </c>
      <c r="V588" s="346">
        <v>125.92799742847959</v>
      </c>
      <c r="W588" s="348">
        <v>124.31649791063967</v>
      </c>
      <c r="X588" s="347">
        <v>63.45</v>
      </c>
      <c r="Y588" s="357">
        <v>64.040000000000006</v>
      </c>
      <c r="Z588" s="365" t="s">
        <v>3017</v>
      </c>
      <c r="AA588" s="350">
        <v>117.6</v>
      </c>
      <c r="AB588" s="349" t="s">
        <v>2685</v>
      </c>
      <c r="AC588" s="350">
        <v>0</v>
      </c>
      <c r="AD588" s="349" t="s">
        <v>2685</v>
      </c>
      <c r="AE588" s="364">
        <v>0</v>
      </c>
      <c r="AF588" s="366">
        <v>0</v>
      </c>
      <c r="AG588" s="363">
        <v>0</v>
      </c>
      <c r="AH588" s="635" t="s">
        <v>408</v>
      </c>
      <c r="AI588" s="324"/>
      <c r="AL588" s="487" t="s">
        <v>14829</v>
      </c>
      <c r="AM588" s="477" t="s">
        <v>71</v>
      </c>
      <c r="AN588" s="637">
        <v>100</v>
      </c>
      <c r="AO588" s="478">
        <v>-1165</v>
      </c>
      <c r="AP588" s="463">
        <v>-612</v>
      </c>
      <c r="AQ588" s="479">
        <v>-553</v>
      </c>
      <c r="AR588" s="476" t="s">
        <v>16939</v>
      </c>
      <c r="BA588" s="313" t="s">
        <v>3852</v>
      </c>
    </row>
    <row r="589" spans="2:53" ht="16.5" customHeight="1">
      <c r="B589" s="367" t="s">
        <v>3734</v>
      </c>
      <c r="C589" s="351" t="s">
        <v>3735</v>
      </c>
      <c r="D589" s="353">
        <v>-1166</v>
      </c>
      <c r="E589" s="352" t="s">
        <v>9560</v>
      </c>
      <c r="F589" s="341">
        <v>90.61</v>
      </c>
      <c r="G589" s="355" t="s">
        <v>9560</v>
      </c>
      <c r="H589" s="356" t="s">
        <v>18575</v>
      </c>
      <c r="I589" s="354" t="s">
        <v>228</v>
      </c>
      <c r="J589" s="340" t="s">
        <v>9564</v>
      </c>
      <c r="K589" s="339" t="s">
        <v>70</v>
      </c>
      <c r="L589" s="357">
        <v>42</v>
      </c>
      <c r="M589" s="358" t="s">
        <v>9565</v>
      </c>
      <c r="N589" s="359">
        <v>1000</v>
      </c>
      <c r="O589" s="360" t="s">
        <v>530</v>
      </c>
      <c r="P589" s="343" t="s">
        <v>531</v>
      </c>
      <c r="Q589" s="342" t="s">
        <v>2688</v>
      </c>
      <c r="R589" s="344">
        <v>30</v>
      </c>
      <c r="S589" s="345">
        <v>35</v>
      </c>
      <c r="T589" s="362">
        <v>35</v>
      </c>
      <c r="U589" s="361">
        <v>90.61</v>
      </c>
      <c r="V589" s="346">
        <v>125.93069404622331</v>
      </c>
      <c r="W589" s="348">
        <v>124.31868891255644</v>
      </c>
      <c r="X589" s="347">
        <v>63.18</v>
      </c>
      <c r="Y589" s="357">
        <v>65.73</v>
      </c>
      <c r="Z589" s="365" t="s">
        <v>2689</v>
      </c>
      <c r="AA589" s="350">
        <v>100</v>
      </c>
      <c r="AB589" s="349" t="s">
        <v>2685</v>
      </c>
      <c r="AC589" s="350">
        <v>10</v>
      </c>
      <c r="AD589" s="349" t="s">
        <v>2685</v>
      </c>
      <c r="AE589" s="364">
        <v>0</v>
      </c>
      <c r="AF589" s="366">
        <v>11.503</v>
      </c>
      <c r="AG589" s="363">
        <v>0</v>
      </c>
      <c r="AH589" s="635" t="s">
        <v>7787</v>
      </c>
      <c r="AI589" s="324"/>
      <c r="AL589" s="487" t="s">
        <v>14831</v>
      </c>
      <c r="AM589" s="477" t="s">
        <v>70</v>
      </c>
      <c r="AN589" s="637">
        <v>100</v>
      </c>
      <c r="AO589" s="478">
        <v>-1166</v>
      </c>
      <c r="AP589" s="463">
        <v>-1166</v>
      </c>
      <c r="AQ589" s="479">
        <v>0</v>
      </c>
      <c r="AR589" s="476" t="s">
        <v>14832</v>
      </c>
      <c r="BA589" s="313" t="s">
        <v>3856</v>
      </c>
    </row>
    <row r="590" spans="2:53" ht="16.5" customHeight="1">
      <c r="B590" s="367" t="s">
        <v>9566</v>
      </c>
      <c r="C590" s="351" t="s">
        <v>9567</v>
      </c>
      <c r="D590" s="353">
        <v>-1167</v>
      </c>
      <c r="E590" s="352" t="s">
        <v>408</v>
      </c>
      <c r="F590" s="341">
        <v>90.58</v>
      </c>
      <c r="G590" s="355" t="s">
        <v>3965</v>
      </c>
      <c r="H590" s="356" t="s">
        <v>18565</v>
      </c>
      <c r="I590" s="354" t="s">
        <v>82</v>
      </c>
      <c r="J590" s="340" t="s">
        <v>9569</v>
      </c>
      <c r="K590" s="339" t="s">
        <v>71</v>
      </c>
      <c r="L590" s="357">
        <v>88</v>
      </c>
      <c r="M590" s="358" t="s">
        <v>9570</v>
      </c>
      <c r="N590" s="359">
        <v>800</v>
      </c>
      <c r="O590" s="360" t="s">
        <v>530</v>
      </c>
      <c r="P590" s="343" t="s">
        <v>531</v>
      </c>
      <c r="Q590" s="342" t="s">
        <v>2688</v>
      </c>
      <c r="R590" s="344">
        <v>30</v>
      </c>
      <c r="S590" s="345">
        <v>30</v>
      </c>
      <c r="T590" s="362">
        <v>25</v>
      </c>
      <c r="U590" s="361">
        <v>90.58</v>
      </c>
      <c r="V590" s="346">
        <v>125.90549662487945</v>
      </c>
      <c r="W590" s="348">
        <v>124.29821600771456</v>
      </c>
      <c r="X590" s="347">
        <v>63.44</v>
      </c>
      <c r="Y590" s="357">
        <v>64.03</v>
      </c>
      <c r="Z590" s="365" t="s">
        <v>3017</v>
      </c>
      <c r="AA590" s="350">
        <v>117.6</v>
      </c>
      <c r="AB590" s="349" t="s">
        <v>2685</v>
      </c>
      <c r="AC590" s="350">
        <v>0</v>
      </c>
      <c r="AD590" s="349" t="s">
        <v>2685</v>
      </c>
      <c r="AE590" s="364">
        <v>0</v>
      </c>
      <c r="AF590" s="366">
        <v>0</v>
      </c>
      <c r="AG590" s="363">
        <v>0</v>
      </c>
      <c r="AH590" s="635" t="s">
        <v>408</v>
      </c>
      <c r="AI590" s="324"/>
      <c r="AL590" s="487" t="s">
        <v>14833</v>
      </c>
      <c r="AM590" s="477" t="s">
        <v>71</v>
      </c>
      <c r="AN590" s="637">
        <v>100</v>
      </c>
      <c r="AO590" s="478">
        <v>-1167</v>
      </c>
      <c r="AP590" s="463">
        <v>-613</v>
      </c>
      <c r="AQ590" s="479">
        <v>-554</v>
      </c>
      <c r="AR590" s="476" t="s">
        <v>16940</v>
      </c>
      <c r="BA590" s="313" t="s">
        <v>3859</v>
      </c>
    </row>
    <row r="591" spans="2:53" ht="16.5" customHeight="1">
      <c r="B591" s="367" t="s">
        <v>9566</v>
      </c>
      <c r="C591" s="351" t="s">
        <v>9567</v>
      </c>
      <c r="D591" s="353">
        <v>-1168</v>
      </c>
      <c r="E591" s="352" t="s">
        <v>9568</v>
      </c>
      <c r="F591" s="341">
        <v>90.57</v>
      </c>
      <c r="G591" s="355" t="s">
        <v>9488</v>
      </c>
      <c r="H591" s="356" t="s">
        <v>18576</v>
      </c>
      <c r="I591" s="354" t="s">
        <v>233</v>
      </c>
      <c r="J591" s="340" t="s">
        <v>9572</v>
      </c>
      <c r="K591" s="339" t="s">
        <v>71</v>
      </c>
      <c r="L591" s="357">
        <v>23</v>
      </c>
      <c r="M591" s="358" t="s">
        <v>4592</v>
      </c>
      <c r="N591" s="359">
        <v>1000</v>
      </c>
      <c r="O591" s="360" t="s">
        <v>530</v>
      </c>
      <c r="P591" s="343" t="s">
        <v>531</v>
      </c>
      <c r="Q591" s="342" t="s">
        <v>2688</v>
      </c>
      <c r="R591" s="344">
        <v>35</v>
      </c>
      <c r="S591" s="345">
        <v>25</v>
      </c>
      <c r="T591" s="362">
        <v>25</v>
      </c>
      <c r="U591" s="361">
        <v>90.57</v>
      </c>
      <c r="V591" s="346">
        <v>125.89868191202157</v>
      </c>
      <c r="W591" s="348">
        <v>124.29267905351753</v>
      </c>
      <c r="X591" s="347">
        <v>63.43</v>
      </c>
      <c r="Y591" s="357">
        <v>64.03</v>
      </c>
      <c r="Z591" s="365" t="s">
        <v>3017</v>
      </c>
      <c r="AA591" s="350">
        <v>149.25</v>
      </c>
      <c r="AB591" s="349" t="s">
        <v>2685</v>
      </c>
      <c r="AC591" s="350">
        <v>0</v>
      </c>
      <c r="AD591" s="349" t="s">
        <v>2685</v>
      </c>
      <c r="AE591" s="364">
        <v>0</v>
      </c>
      <c r="AF591" s="366">
        <v>0</v>
      </c>
      <c r="AG591" s="363">
        <v>0</v>
      </c>
      <c r="AH591" s="635" t="s">
        <v>408</v>
      </c>
      <c r="AI591" s="324"/>
      <c r="AL591" s="487" t="s">
        <v>14834</v>
      </c>
      <c r="AM591" s="477" t="s">
        <v>71</v>
      </c>
      <c r="AN591" s="637">
        <v>100</v>
      </c>
      <c r="AO591" s="478">
        <v>-1168</v>
      </c>
      <c r="AP591" s="463">
        <v>-613</v>
      </c>
      <c r="AQ591" s="479">
        <v>-555</v>
      </c>
      <c r="AR591" s="476" t="s">
        <v>16941</v>
      </c>
      <c r="BA591" s="313" t="s">
        <v>3860</v>
      </c>
    </row>
    <row r="592" spans="2:53" ht="16.5" customHeight="1">
      <c r="B592" s="367" t="s">
        <v>9566</v>
      </c>
      <c r="C592" s="351" t="s">
        <v>9567</v>
      </c>
      <c r="D592" s="353">
        <v>-1169</v>
      </c>
      <c r="E592" s="352" t="s">
        <v>9571</v>
      </c>
      <c r="F592" s="341">
        <v>90.57</v>
      </c>
      <c r="G592" s="355" t="s">
        <v>9488</v>
      </c>
      <c r="H592" s="356" t="s">
        <v>18576</v>
      </c>
      <c r="I592" s="354" t="s">
        <v>217</v>
      </c>
      <c r="J592" s="340" t="s">
        <v>9573</v>
      </c>
      <c r="K592" s="339" t="s">
        <v>71</v>
      </c>
      <c r="L592" s="357">
        <v>6</v>
      </c>
      <c r="M592" s="358" t="s">
        <v>9490</v>
      </c>
      <c r="N592" s="359">
        <v>1000</v>
      </c>
      <c r="O592" s="360" t="s">
        <v>530</v>
      </c>
      <c r="P592" s="343" t="s">
        <v>531</v>
      </c>
      <c r="Q592" s="342" t="s">
        <v>2688</v>
      </c>
      <c r="R592" s="344">
        <v>40</v>
      </c>
      <c r="S592" s="345">
        <v>30</v>
      </c>
      <c r="T592" s="362">
        <v>20</v>
      </c>
      <c r="U592" s="361">
        <v>90.57</v>
      </c>
      <c r="V592" s="346">
        <v>125.90009082652135</v>
      </c>
      <c r="W592" s="348">
        <v>124.29382379654861</v>
      </c>
      <c r="X592" s="347">
        <v>63.43</v>
      </c>
      <c r="Y592" s="357">
        <v>64.02000000000001</v>
      </c>
      <c r="Z592" s="365" t="s">
        <v>3017</v>
      </c>
      <c r="AA592" s="350">
        <v>98.5</v>
      </c>
      <c r="AB592" s="349" t="s">
        <v>2685</v>
      </c>
      <c r="AC592" s="350">
        <v>0</v>
      </c>
      <c r="AD592" s="349" t="s">
        <v>2685</v>
      </c>
      <c r="AE592" s="364">
        <v>0</v>
      </c>
      <c r="AF592" s="366">
        <v>0</v>
      </c>
      <c r="AG592" s="363">
        <v>0</v>
      </c>
      <c r="AH592" s="635" t="s">
        <v>408</v>
      </c>
      <c r="AI592" s="324"/>
      <c r="AL592" s="487" t="s">
        <v>14836</v>
      </c>
      <c r="AM592" s="477" t="s">
        <v>71</v>
      </c>
      <c r="AN592" s="637">
        <v>100</v>
      </c>
      <c r="AO592" s="478">
        <v>-1169</v>
      </c>
      <c r="AP592" s="463">
        <v>-614</v>
      </c>
      <c r="AQ592" s="479">
        <v>-555</v>
      </c>
      <c r="AR592" s="476" t="s">
        <v>16941</v>
      </c>
      <c r="BA592" s="313" t="s">
        <v>3863</v>
      </c>
    </row>
    <row r="593" spans="2:53" ht="16.5" customHeight="1">
      <c r="B593" s="367" t="s">
        <v>3777</v>
      </c>
      <c r="C593" s="351" t="s">
        <v>3778</v>
      </c>
      <c r="D593" s="353">
        <v>-1170</v>
      </c>
      <c r="E593" s="352" t="s">
        <v>9571</v>
      </c>
      <c r="F593" s="341">
        <v>90.56</v>
      </c>
      <c r="G593" s="355" t="s">
        <v>9491</v>
      </c>
      <c r="H593" s="356" t="s">
        <v>18576</v>
      </c>
      <c r="I593" s="354" t="s">
        <v>224</v>
      </c>
      <c r="J593" s="340" t="s">
        <v>8772</v>
      </c>
      <c r="K593" s="339" t="s">
        <v>71</v>
      </c>
      <c r="L593" s="357">
        <v>12</v>
      </c>
      <c r="M593" s="358" t="s">
        <v>9575</v>
      </c>
      <c r="N593" s="359">
        <v>1000</v>
      </c>
      <c r="O593" s="360" t="s">
        <v>532</v>
      </c>
      <c r="P593" s="343" t="s">
        <v>533</v>
      </c>
      <c r="Q593" s="342" t="s">
        <v>2688</v>
      </c>
      <c r="R593" s="344">
        <v>30</v>
      </c>
      <c r="S593" s="345">
        <v>30</v>
      </c>
      <c r="T593" s="362">
        <v>20</v>
      </c>
      <c r="U593" s="361">
        <v>90.56</v>
      </c>
      <c r="V593" s="346">
        <v>125.89106734877386</v>
      </c>
      <c r="W593" s="348">
        <v>124.28649222087877</v>
      </c>
      <c r="X593" s="347">
        <v>63.43</v>
      </c>
      <c r="Y593" s="357">
        <v>63.89</v>
      </c>
      <c r="Z593" s="365" t="s">
        <v>3017</v>
      </c>
      <c r="AA593" s="350">
        <v>196</v>
      </c>
      <c r="AB593" s="349" t="s">
        <v>2685</v>
      </c>
      <c r="AC593" s="350">
        <v>10</v>
      </c>
      <c r="AD593" s="349" t="s">
        <v>2685</v>
      </c>
      <c r="AE593" s="364">
        <v>0</v>
      </c>
      <c r="AF593" s="366">
        <v>0</v>
      </c>
      <c r="AG593" s="363">
        <v>0</v>
      </c>
      <c r="AH593" s="635" t="s">
        <v>408</v>
      </c>
      <c r="AI593" s="324"/>
      <c r="AL593" s="487" t="s">
        <v>14837</v>
      </c>
      <c r="AM593" s="477" t="s">
        <v>71</v>
      </c>
      <c r="AN593" s="637">
        <v>100</v>
      </c>
      <c r="AO593" s="478">
        <v>-1170</v>
      </c>
      <c r="AP593" s="463">
        <v>-614</v>
      </c>
      <c r="AQ593" s="479">
        <v>-556</v>
      </c>
      <c r="AR593" s="476" t="s">
        <v>16941</v>
      </c>
      <c r="BA593" s="313" t="s">
        <v>3867</v>
      </c>
    </row>
    <row r="594" spans="2:53" ht="16.5" customHeight="1">
      <c r="B594" s="367" t="s">
        <v>3738</v>
      </c>
      <c r="C594" s="351" t="s">
        <v>3739</v>
      </c>
      <c r="D594" s="353">
        <v>-1171</v>
      </c>
      <c r="E594" s="352" t="s">
        <v>9574</v>
      </c>
      <c r="F594" s="341">
        <v>90.55</v>
      </c>
      <c r="G594" s="355" t="s">
        <v>4023</v>
      </c>
      <c r="H594" s="356" t="s">
        <v>3621</v>
      </c>
      <c r="I594" s="354" t="s">
        <v>82</v>
      </c>
      <c r="J594" s="340" t="s">
        <v>9576</v>
      </c>
      <c r="K594" s="339" t="s">
        <v>70</v>
      </c>
      <c r="L594" s="357">
        <v>19</v>
      </c>
      <c r="M594" s="358" t="s">
        <v>9577</v>
      </c>
      <c r="N594" s="359">
        <v>800</v>
      </c>
      <c r="O594" s="360" t="s">
        <v>530</v>
      </c>
      <c r="P594" s="343" t="s">
        <v>531</v>
      </c>
      <c r="Q594" s="342" t="s">
        <v>2688</v>
      </c>
      <c r="R594" s="344">
        <v>20</v>
      </c>
      <c r="S594" s="345">
        <v>35</v>
      </c>
      <c r="T594" s="362">
        <v>30</v>
      </c>
      <c r="U594" s="361">
        <v>90.55</v>
      </c>
      <c r="V594" s="346">
        <v>125.886365864018</v>
      </c>
      <c r="W594" s="348">
        <v>124.28267226451463</v>
      </c>
      <c r="X594" s="347">
        <v>63.16</v>
      </c>
      <c r="Y594" s="357">
        <v>64.02000000000001</v>
      </c>
      <c r="Z594" s="365" t="s">
        <v>3017</v>
      </c>
      <c r="AA594" s="350">
        <v>117.6</v>
      </c>
      <c r="AB594" s="349" t="s">
        <v>2685</v>
      </c>
      <c r="AC594" s="350">
        <v>0</v>
      </c>
      <c r="AD594" s="349" t="s">
        <v>2685</v>
      </c>
      <c r="AE594" s="364">
        <v>0</v>
      </c>
      <c r="AF594" s="366">
        <v>9.6</v>
      </c>
      <c r="AG594" s="363">
        <v>0</v>
      </c>
      <c r="AH594" s="635" t="s">
        <v>7814</v>
      </c>
      <c r="AI594" s="324"/>
      <c r="AL594" s="487" t="s">
        <v>14838</v>
      </c>
      <c r="AM594" s="477" t="s">
        <v>70</v>
      </c>
      <c r="AN594" s="637">
        <v>100</v>
      </c>
      <c r="AO594" s="478">
        <v>-1171</v>
      </c>
      <c r="AP594" s="463">
        <v>-1171</v>
      </c>
      <c r="AQ594" s="479">
        <v>0</v>
      </c>
      <c r="AR594" s="476" t="s">
        <v>17200</v>
      </c>
      <c r="BA594" s="313" t="s">
        <v>3869</v>
      </c>
    </row>
    <row r="595" spans="2:53" ht="16.5" customHeight="1">
      <c r="B595" s="367" t="s">
        <v>9578</v>
      </c>
      <c r="C595" s="351" t="s">
        <v>9579</v>
      </c>
      <c r="D595" s="353">
        <v>-1172</v>
      </c>
      <c r="E595" s="352" t="s">
        <v>408</v>
      </c>
      <c r="F595" s="341">
        <v>90.54</v>
      </c>
      <c r="G595" s="355" t="s">
        <v>18577</v>
      </c>
      <c r="H595" s="356" t="s">
        <v>18578</v>
      </c>
      <c r="I595" s="354" t="s">
        <v>83</v>
      </c>
      <c r="J595" s="340" t="s">
        <v>8654</v>
      </c>
      <c r="K595" s="339" t="s">
        <v>71</v>
      </c>
      <c r="L595" s="357">
        <v>12</v>
      </c>
      <c r="M595" s="358" t="s">
        <v>9581</v>
      </c>
      <c r="N595" s="359">
        <v>1000</v>
      </c>
      <c r="O595" s="360" t="s">
        <v>532</v>
      </c>
      <c r="P595" s="343" t="s">
        <v>533</v>
      </c>
      <c r="Q595" s="342" t="s">
        <v>2688</v>
      </c>
      <c r="R595" s="344">
        <v>35</v>
      </c>
      <c r="S595" s="345">
        <v>25</v>
      </c>
      <c r="T595" s="362">
        <v>15</v>
      </c>
      <c r="U595" s="361">
        <v>90.54</v>
      </c>
      <c r="V595" s="346">
        <v>125.87364701999714</v>
      </c>
      <c r="W595" s="348">
        <v>124.27233820374768</v>
      </c>
      <c r="X595" s="347">
        <v>63.42</v>
      </c>
      <c r="Y595" s="357">
        <v>63.54</v>
      </c>
      <c r="Z595" s="365" t="s">
        <v>3017</v>
      </c>
      <c r="AA595" s="350">
        <v>246</v>
      </c>
      <c r="AB595" s="349" t="s">
        <v>2685</v>
      </c>
      <c r="AC595" s="350">
        <v>0</v>
      </c>
      <c r="AD595" s="349" t="s">
        <v>2685</v>
      </c>
      <c r="AE595" s="364">
        <v>0</v>
      </c>
      <c r="AF595" s="366">
        <v>4.0910000000000002</v>
      </c>
      <c r="AG595" s="363">
        <v>0</v>
      </c>
      <c r="AH595" s="635" t="s">
        <v>8698</v>
      </c>
      <c r="AI595" s="324"/>
      <c r="AL595" s="487" t="s">
        <v>14879</v>
      </c>
      <c r="AM595" s="477" t="s">
        <v>71</v>
      </c>
      <c r="AN595" s="637">
        <v>100</v>
      </c>
      <c r="AO595" s="478">
        <v>-1172</v>
      </c>
      <c r="AP595" s="463">
        <v>-615</v>
      </c>
      <c r="AQ595" s="479">
        <v>-557</v>
      </c>
      <c r="AR595" s="476" t="s">
        <v>14862</v>
      </c>
      <c r="BA595" s="313" t="s">
        <v>3872</v>
      </c>
    </row>
    <row r="596" spans="2:53" ht="16.5" customHeight="1">
      <c r="B596" s="367" t="s">
        <v>3741</v>
      </c>
      <c r="C596" s="351" t="s">
        <v>3742</v>
      </c>
      <c r="D596" s="353">
        <v>-1173</v>
      </c>
      <c r="E596" s="352" t="s">
        <v>9580</v>
      </c>
      <c r="F596" s="341">
        <v>90.54</v>
      </c>
      <c r="G596" s="355" t="s">
        <v>3980</v>
      </c>
      <c r="H596" s="356" t="s">
        <v>3723</v>
      </c>
      <c r="I596" s="354" t="s">
        <v>228</v>
      </c>
      <c r="J596" s="340" t="s">
        <v>8217</v>
      </c>
      <c r="K596" s="339" t="s">
        <v>71</v>
      </c>
      <c r="L596" s="357">
        <v>21</v>
      </c>
      <c r="M596" s="358" t="s">
        <v>9583</v>
      </c>
      <c r="N596" s="359">
        <v>1000</v>
      </c>
      <c r="O596" s="360" t="s">
        <v>530</v>
      </c>
      <c r="P596" s="343" t="s">
        <v>531</v>
      </c>
      <c r="Q596" s="342" t="s">
        <v>2688</v>
      </c>
      <c r="R596" s="344">
        <v>30</v>
      </c>
      <c r="S596" s="345">
        <v>40</v>
      </c>
      <c r="T596" s="362">
        <v>30</v>
      </c>
      <c r="U596" s="361">
        <v>90.54</v>
      </c>
      <c r="V596" s="346">
        <v>125.88040413533835</v>
      </c>
      <c r="W596" s="348">
        <v>124.27782835996241</v>
      </c>
      <c r="X596" s="347">
        <v>63.43</v>
      </c>
      <c r="Y596" s="357">
        <v>65.710000000000008</v>
      </c>
      <c r="Z596" s="365" t="s">
        <v>2689</v>
      </c>
      <c r="AA596" s="350">
        <v>100</v>
      </c>
      <c r="AB596" s="349" t="s">
        <v>2685</v>
      </c>
      <c r="AC596" s="350">
        <v>10</v>
      </c>
      <c r="AD596" s="349" t="s">
        <v>2685</v>
      </c>
      <c r="AE596" s="364">
        <v>0</v>
      </c>
      <c r="AF596" s="366">
        <v>0</v>
      </c>
      <c r="AG596" s="363">
        <v>0</v>
      </c>
      <c r="AH596" s="635" t="s">
        <v>408</v>
      </c>
      <c r="AI596" s="324"/>
      <c r="AL596" s="487" t="s">
        <v>14839</v>
      </c>
      <c r="AM596" s="477" t="s">
        <v>71</v>
      </c>
      <c r="AN596" s="637">
        <v>100</v>
      </c>
      <c r="AO596" s="478">
        <v>-1173</v>
      </c>
      <c r="AP596" s="463">
        <v>-616</v>
      </c>
      <c r="AQ596" s="479">
        <v>-557</v>
      </c>
      <c r="AR596" s="476" t="s">
        <v>16942</v>
      </c>
      <c r="BA596" s="313" t="s">
        <v>3875</v>
      </c>
    </row>
    <row r="597" spans="2:53" ht="16.5" customHeight="1">
      <c r="B597" s="367" t="s">
        <v>9584</v>
      </c>
      <c r="C597" s="351" t="s">
        <v>9585</v>
      </c>
      <c r="D597" s="353">
        <v>-1174</v>
      </c>
      <c r="E597" s="352" t="s">
        <v>9582</v>
      </c>
      <c r="F597" s="341">
        <v>90.51</v>
      </c>
      <c r="G597" s="355" t="s">
        <v>3976</v>
      </c>
      <c r="H597" s="356" t="s">
        <v>18579</v>
      </c>
      <c r="I597" s="354" t="s">
        <v>224</v>
      </c>
      <c r="J597" s="340" t="s">
        <v>9586</v>
      </c>
      <c r="K597" s="339" t="s">
        <v>71</v>
      </c>
      <c r="L597" s="357">
        <v>6</v>
      </c>
      <c r="M597" s="358" t="s">
        <v>9587</v>
      </c>
      <c r="N597" s="359">
        <v>1000</v>
      </c>
      <c r="O597" s="360" t="s">
        <v>532</v>
      </c>
      <c r="P597" s="343" t="s">
        <v>533</v>
      </c>
      <c r="Q597" s="342" t="s">
        <v>2688</v>
      </c>
      <c r="R597" s="344">
        <v>30</v>
      </c>
      <c r="S597" s="345">
        <v>30</v>
      </c>
      <c r="T597" s="362">
        <v>20</v>
      </c>
      <c r="U597" s="361">
        <v>90.51</v>
      </c>
      <c r="V597" s="346">
        <v>125.85670697232625</v>
      </c>
      <c r="W597" s="348">
        <v>124.25857441501509</v>
      </c>
      <c r="X597" s="347">
        <v>63.41</v>
      </c>
      <c r="Y597" s="357">
        <v>63.87</v>
      </c>
      <c r="Z597" s="365" t="s">
        <v>3017</v>
      </c>
      <c r="AA597" s="350">
        <v>196</v>
      </c>
      <c r="AB597" s="349" t="s">
        <v>2685</v>
      </c>
      <c r="AC597" s="350">
        <v>10</v>
      </c>
      <c r="AD597" s="349" t="s">
        <v>2685</v>
      </c>
      <c r="AE597" s="364">
        <v>0</v>
      </c>
      <c r="AF597" s="366">
        <v>0</v>
      </c>
      <c r="AG597" s="363">
        <v>0</v>
      </c>
      <c r="AH597" s="635" t="s">
        <v>408</v>
      </c>
      <c r="AI597" s="324"/>
      <c r="AL597" s="487" t="s">
        <v>14842</v>
      </c>
      <c r="AM597" s="477" t="s">
        <v>71</v>
      </c>
      <c r="AN597" s="637">
        <v>100</v>
      </c>
      <c r="AO597" s="478">
        <v>-1174</v>
      </c>
      <c r="AP597" s="463">
        <v>-616</v>
      </c>
      <c r="AQ597" s="479">
        <v>-558</v>
      </c>
      <c r="AR597" s="476" t="s">
        <v>16943</v>
      </c>
      <c r="BA597" s="313" t="s">
        <v>3877</v>
      </c>
    </row>
    <row r="598" spans="2:53" ht="16.5" customHeight="1">
      <c r="B598" s="367" t="s">
        <v>3748</v>
      </c>
      <c r="C598" s="351" t="s">
        <v>3749</v>
      </c>
      <c r="D598" s="353">
        <v>-1175</v>
      </c>
      <c r="E598" s="352" t="s">
        <v>4059</v>
      </c>
      <c r="F598" s="341">
        <v>90.49</v>
      </c>
      <c r="G598" s="355" t="s">
        <v>9588</v>
      </c>
      <c r="H598" s="356" t="s">
        <v>3648</v>
      </c>
      <c r="I598" s="354" t="s">
        <v>82</v>
      </c>
      <c r="J598" s="340" t="s">
        <v>8307</v>
      </c>
      <c r="K598" s="339" t="s">
        <v>70</v>
      </c>
      <c r="L598" s="357">
        <v>16</v>
      </c>
      <c r="M598" s="358" t="s">
        <v>9589</v>
      </c>
      <c r="N598" s="359">
        <v>800</v>
      </c>
      <c r="O598" s="360" t="s">
        <v>530</v>
      </c>
      <c r="P598" s="343" t="s">
        <v>531</v>
      </c>
      <c r="Q598" s="342" t="s">
        <v>2688</v>
      </c>
      <c r="R598" s="344">
        <v>20</v>
      </c>
      <c r="S598" s="345">
        <v>35</v>
      </c>
      <c r="T598" s="362">
        <v>30</v>
      </c>
      <c r="U598" s="361">
        <v>90.49</v>
      </c>
      <c r="V598" s="346">
        <v>125.83735746724604</v>
      </c>
      <c r="W598" s="348">
        <v>124.2428529421374</v>
      </c>
      <c r="X598" s="347">
        <v>63.13</v>
      </c>
      <c r="Y598" s="357">
        <v>64</v>
      </c>
      <c r="Z598" s="365" t="s">
        <v>3017</v>
      </c>
      <c r="AA598" s="350">
        <v>117.6</v>
      </c>
      <c r="AB598" s="349" t="s">
        <v>2685</v>
      </c>
      <c r="AC598" s="350">
        <v>0</v>
      </c>
      <c r="AD598" s="349" t="s">
        <v>2685</v>
      </c>
      <c r="AE598" s="364">
        <v>0</v>
      </c>
      <c r="AF598" s="366">
        <v>9.6</v>
      </c>
      <c r="AG598" s="363">
        <v>0</v>
      </c>
      <c r="AH598" s="635" t="s">
        <v>7814</v>
      </c>
      <c r="AI598" s="324"/>
      <c r="AL598" s="487" t="s">
        <v>14843</v>
      </c>
      <c r="AM598" s="477" t="s">
        <v>70</v>
      </c>
      <c r="AN598" s="637">
        <v>100</v>
      </c>
      <c r="AO598" s="478">
        <v>-1175</v>
      </c>
      <c r="AP598" s="463">
        <v>-1175</v>
      </c>
      <c r="AQ598" s="479">
        <v>0</v>
      </c>
      <c r="AR598" s="476" t="s">
        <v>17201</v>
      </c>
      <c r="BA598" s="313" t="s">
        <v>3882</v>
      </c>
    </row>
    <row r="599" spans="2:53" ht="16.5" customHeight="1">
      <c r="B599" s="367" t="s">
        <v>9590</v>
      </c>
      <c r="C599" s="351" t="s">
        <v>9591</v>
      </c>
      <c r="D599" s="353">
        <v>-1176</v>
      </c>
      <c r="E599" s="352" t="s">
        <v>408</v>
      </c>
      <c r="F599" s="341">
        <v>90.46</v>
      </c>
      <c r="G599" s="355" t="s">
        <v>4036</v>
      </c>
      <c r="H599" s="356" t="s">
        <v>18580</v>
      </c>
      <c r="I599" s="354" t="s">
        <v>224</v>
      </c>
      <c r="J599" s="340" t="s">
        <v>501</v>
      </c>
      <c r="K599" s="339" t="s">
        <v>71</v>
      </c>
      <c r="L599" s="357">
        <v>15</v>
      </c>
      <c r="M599" s="358" t="s">
        <v>9593</v>
      </c>
      <c r="N599" s="359">
        <v>1000</v>
      </c>
      <c r="O599" s="360" t="s">
        <v>532</v>
      </c>
      <c r="P599" s="343" t="s">
        <v>533</v>
      </c>
      <c r="Q599" s="342" t="s">
        <v>2688</v>
      </c>
      <c r="R599" s="344">
        <v>30</v>
      </c>
      <c r="S599" s="345">
        <v>30</v>
      </c>
      <c r="T599" s="362">
        <v>20</v>
      </c>
      <c r="U599" s="361">
        <v>90.46</v>
      </c>
      <c r="V599" s="346">
        <v>125.81471095666811</v>
      </c>
      <c r="W599" s="348">
        <v>124.22445265229284</v>
      </c>
      <c r="X599" s="347">
        <v>63.39</v>
      </c>
      <c r="Y599" s="357">
        <v>63.85</v>
      </c>
      <c r="Z599" s="365" t="s">
        <v>3017</v>
      </c>
      <c r="AA599" s="350">
        <v>196</v>
      </c>
      <c r="AB599" s="349" t="s">
        <v>2685</v>
      </c>
      <c r="AC599" s="350">
        <v>10</v>
      </c>
      <c r="AD599" s="349" t="s">
        <v>2685</v>
      </c>
      <c r="AE599" s="364">
        <v>0</v>
      </c>
      <c r="AF599" s="366">
        <v>0</v>
      </c>
      <c r="AG599" s="363">
        <v>0</v>
      </c>
      <c r="AH599" s="635" t="s">
        <v>408</v>
      </c>
      <c r="AI599" s="324"/>
      <c r="AL599" s="487" t="s">
        <v>14844</v>
      </c>
      <c r="AM599" s="477" t="s">
        <v>71</v>
      </c>
      <c r="AN599" s="637">
        <v>100</v>
      </c>
      <c r="AO599" s="478">
        <v>-1176</v>
      </c>
      <c r="AP599" s="463">
        <v>-617</v>
      </c>
      <c r="AQ599" s="479">
        <v>-559</v>
      </c>
      <c r="AR599" s="476" t="s">
        <v>16944</v>
      </c>
      <c r="BA599" s="313" t="s">
        <v>3883</v>
      </c>
    </row>
    <row r="600" spans="2:53" ht="16.5" customHeight="1">
      <c r="B600" s="367" t="s">
        <v>3754</v>
      </c>
      <c r="C600" s="351" t="s">
        <v>3755</v>
      </c>
      <c r="D600" s="353">
        <v>-1177</v>
      </c>
      <c r="E600" s="352" t="s">
        <v>4064</v>
      </c>
      <c r="F600" s="341">
        <v>90.46</v>
      </c>
      <c r="G600" s="355" t="s">
        <v>4028</v>
      </c>
      <c r="H600" s="356" t="s">
        <v>9594</v>
      </c>
      <c r="I600" s="354" t="s">
        <v>228</v>
      </c>
      <c r="J600" s="340" t="s">
        <v>9595</v>
      </c>
      <c r="K600" s="339" t="s">
        <v>70</v>
      </c>
      <c r="L600" s="357">
        <v>13</v>
      </c>
      <c r="M600" s="358" t="s">
        <v>3509</v>
      </c>
      <c r="N600" s="359">
        <v>1000</v>
      </c>
      <c r="O600" s="360" t="s">
        <v>530</v>
      </c>
      <c r="P600" s="343" t="s">
        <v>531</v>
      </c>
      <c r="Q600" s="342" t="s">
        <v>2688</v>
      </c>
      <c r="R600" s="344">
        <v>30</v>
      </c>
      <c r="S600" s="345">
        <v>35</v>
      </c>
      <c r="T600" s="362">
        <v>35</v>
      </c>
      <c r="U600" s="361">
        <v>90.46</v>
      </c>
      <c r="V600" s="346">
        <v>125.81461339338573</v>
      </c>
      <c r="W600" s="348">
        <v>124.2243733821259</v>
      </c>
      <c r="X600" s="347">
        <v>63.12</v>
      </c>
      <c r="Y600" s="357">
        <v>65.690000000000012</v>
      </c>
      <c r="Z600" s="365" t="s">
        <v>2689</v>
      </c>
      <c r="AA600" s="350">
        <v>100</v>
      </c>
      <c r="AB600" s="349" t="s">
        <v>2685</v>
      </c>
      <c r="AC600" s="350">
        <v>10</v>
      </c>
      <c r="AD600" s="349" t="s">
        <v>2685</v>
      </c>
      <c r="AE600" s="364">
        <v>0</v>
      </c>
      <c r="AF600" s="366">
        <v>11.496</v>
      </c>
      <c r="AG600" s="363">
        <v>0</v>
      </c>
      <c r="AH600" s="635" t="s">
        <v>7787</v>
      </c>
      <c r="AI600" s="324"/>
      <c r="AL600" s="487" t="s">
        <v>14845</v>
      </c>
      <c r="AM600" s="477" t="s">
        <v>70</v>
      </c>
      <c r="AN600" s="637">
        <v>100</v>
      </c>
      <c r="AO600" s="478">
        <v>-1177</v>
      </c>
      <c r="AP600" s="463">
        <v>-1177</v>
      </c>
      <c r="AQ600" s="479">
        <v>0</v>
      </c>
      <c r="AR600" s="476" t="s">
        <v>14846</v>
      </c>
      <c r="BA600" s="313" t="s">
        <v>3884</v>
      </c>
    </row>
    <row r="601" spans="2:53" ht="16.5" customHeight="1">
      <c r="B601" s="367" t="s">
        <v>3754</v>
      </c>
      <c r="C601" s="351" t="s">
        <v>3755</v>
      </c>
      <c r="D601" s="353">
        <v>-1178</v>
      </c>
      <c r="E601" s="352" t="s">
        <v>408</v>
      </c>
      <c r="F601" s="341">
        <v>90.45</v>
      </c>
      <c r="G601" s="355" t="s">
        <v>3993</v>
      </c>
      <c r="H601" s="356" t="s">
        <v>9175</v>
      </c>
      <c r="I601" s="354" t="s">
        <v>9336</v>
      </c>
      <c r="J601" s="340" t="s">
        <v>9596</v>
      </c>
      <c r="K601" s="339" t="s">
        <v>71</v>
      </c>
      <c r="L601" s="357">
        <v>17</v>
      </c>
      <c r="M601" s="358" t="s">
        <v>9597</v>
      </c>
      <c r="N601" s="359">
        <v>700</v>
      </c>
      <c r="O601" s="360" t="s">
        <v>532</v>
      </c>
      <c r="P601" s="343" t="s">
        <v>533</v>
      </c>
      <c r="Q601" s="342" t="s">
        <v>2688</v>
      </c>
      <c r="R601" s="344">
        <v>30</v>
      </c>
      <c r="S601" s="345">
        <v>35</v>
      </c>
      <c r="T601" s="362">
        <v>20</v>
      </c>
      <c r="U601" s="361">
        <v>90.45</v>
      </c>
      <c r="V601" s="346">
        <v>125.80740831124555</v>
      </c>
      <c r="W601" s="348">
        <v>124.21851925288702</v>
      </c>
      <c r="X601" s="347">
        <v>63.39</v>
      </c>
      <c r="Y601" s="357">
        <v>66.430000000000007</v>
      </c>
      <c r="Z601" s="365" t="s">
        <v>3017</v>
      </c>
      <c r="AA601" s="350">
        <v>103.5</v>
      </c>
      <c r="AB601" s="349" t="s">
        <v>2685</v>
      </c>
      <c r="AC601" s="350">
        <v>10</v>
      </c>
      <c r="AD601" s="349" t="s">
        <v>2685</v>
      </c>
      <c r="AE601" s="364">
        <v>0</v>
      </c>
      <c r="AF601" s="366">
        <v>0</v>
      </c>
      <c r="AG601" s="363">
        <v>0</v>
      </c>
      <c r="AH601" s="635" t="s">
        <v>408</v>
      </c>
      <c r="AI601" s="324"/>
      <c r="AL601" s="487" t="s">
        <v>14847</v>
      </c>
      <c r="AM601" s="477" t="s">
        <v>71</v>
      </c>
      <c r="AN601" s="637">
        <v>100</v>
      </c>
      <c r="AO601" s="478">
        <v>-1178</v>
      </c>
      <c r="AP601" s="463">
        <v>-618</v>
      </c>
      <c r="AQ601" s="479">
        <v>-560</v>
      </c>
      <c r="AR601" s="476" t="s">
        <v>16945</v>
      </c>
      <c r="BA601" s="313" t="s">
        <v>3885</v>
      </c>
    </row>
    <row r="602" spans="2:53" ht="16.5" customHeight="1">
      <c r="B602" s="367" t="s">
        <v>3762</v>
      </c>
      <c r="C602" s="351" t="s">
        <v>3763</v>
      </c>
      <c r="D602" s="353">
        <v>-1179</v>
      </c>
      <c r="E602" s="352" t="s">
        <v>4028</v>
      </c>
      <c r="F602" s="341">
        <v>90.43</v>
      </c>
      <c r="G602" s="355" t="s">
        <v>9598</v>
      </c>
      <c r="H602" s="356" t="s">
        <v>9599</v>
      </c>
      <c r="I602" s="354" t="s">
        <v>217</v>
      </c>
      <c r="J602" s="340" t="s">
        <v>9600</v>
      </c>
      <c r="K602" s="339" t="s">
        <v>70</v>
      </c>
      <c r="L602" s="357">
        <v>42</v>
      </c>
      <c r="M602" s="358" t="s">
        <v>9601</v>
      </c>
      <c r="N602" s="359">
        <v>1000</v>
      </c>
      <c r="O602" s="360" t="s">
        <v>530</v>
      </c>
      <c r="P602" s="343" t="s">
        <v>531</v>
      </c>
      <c r="Q602" s="342" t="s">
        <v>2688</v>
      </c>
      <c r="R602" s="344">
        <v>30</v>
      </c>
      <c r="S602" s="345">
        <v>40</v>
      </c>
      <c r="T602" s="362">
        <v>20</v>
      </c>
      <c r="U602" s="361">
        <v>90.43</v>
      </c>
      <c r="V602" s="346">
        <v>125.79182156133827</v>
      </c>
      <c r="W602" s="348">
        <v>124.20585501858734</v>
      </c>
      <c r="X602" s="347">
        <v>63.11</v>
      </c>
      <c r="Y602" s="357">
        <v>63.98</v>
      </c>
      <c r="Z602" s="365" t="s">
        <v>3017</v>
      </c>
      <c r="AA602" s="350">
        <v>98.5</v>
      </c>
      <c r="AB602" s="349" t="s">
        <v>2685</v>
      </c>
      <c r="AC602" s="350">
        <v>0</v>
      </c>
      <c r="AD602" s="349" t="s">
        <v>2685</v>
      </c>
      <c r="AE602" s="364">
        <v>0</v>
      </c>
      <c r="AF602" s="366">
        <v>0</v>
      </c>
      <c r="AG602" s="363">
        <v>0</v>
      </c>
      <c r="AH602" s="635" t="s">
        <v>408</v>
      </c>
      <c r="AI602" s="324"/>
      <c r="AL602" s="487" t="s">
        <v>14848</v>
      </c>
      <c r="AM602" s="477" t="s">
        <v>70</v>
      </c>
      <c r="AN602" s="637">
        <v>100</v>
      </c>
      <c r="AO602" s="478">
        <v>-1179</v>
      </c>
      <c r="AP602" s="463">
        <v>-1179</v>
      </c>
      <c r="AQ602" s="479">
        <v>0</v>
      </c>
      <c r="AR602" s="476" t="s">
        <v>14849</v>
      </c>
      <c r="BA602" s="313" t="s">
        <v>3888</v>
      </c>
    </row>
    <row r="603" spans="2:53" ht="16.5" customHeight="1">
      <c r="B603" s="367" t="s">
        <v>3762</v>
      </c>
      <c r="C603" s="351" t="s">
        <v>3763</v>
      </c>
      <c r="D603" s="353">
        <v>-1180</v>
      </c>
      <c r="E603" s="352" t="s">
        <v>408</v>
      </c>
      <c r="F603" s="341">
        <v>90.43</v>
      </c>
      <c r="G603" s="355" t="s">
        <v>9598</v>
      </c>
      <c r="H603" s="356" t="s">
        <v>9599</v>
      </c>
      <c r="I603" s="354" t="s">
        <v>82</v>
      </c>
      <c r="J603" s="340" t="s">
        <v>8633</v>
      </c>
      <c r="K603" s="339" t="s">
        <v>70</v>
      </c>
      <c r="L603" s="357">
        <v>38</v>
      </c>
      <c r="M603" s="358" t="s">
        <v>9602</v>
      </c>
      <c r="N603" s="359">
        <v>800</v>
      </c>
      <c r="O603" s="360" t="s">
        <v>530</v>
      </c>
      <c r="P603" s="343" t="s">
        <v>531</v>
      </c>
      <c r="Q603" s="342" t="s">
        <v>2688</v>
      </c>
      <c r="R603" s="344">
        <v>20</v>
      </c>
      <c r="S603" s="345">
        <v>35</v>
      </c>
      <c r="T603" s="362">
        <v>30</v>
      </c>
      <c r="U603" s="361">
        <v>90.43</v>
      </c>
      <c r="V603" s="346">
        <v>125.79161629692553</v>
      </c>
      <c r="W603" s="348">
        <v>124.20568824125199</v>
      </c>
      <c r="X603" s="347">
        <v>63.11</v>
      </c>
      <c r="Y603" s="357">
        <v>63.98</v>
      </c>
      <c r="Z603" s="365" t="s">
        <v>3017</v>
      </c>
      <c r="AA603" s="350">
        <v>117.6</v>
      </c>
      <c r="AB603" s="349" t="s">
        <v>2685</v>
      </c>
      <c r="AC603" s="350">
        <v>0</v>
      </c>
      <c r="AD603" s="349" t="s">
        <v>2685</v>
      </c>
      <c r="AE603" s="364">
        <v>0</v>
      </c>
      <c r="AF603" s="366">
        <v>9.6</v>
      </c>
      <c r="AG603" s="363">
        <v>0</v>
      </c>
      <c r="AH603" s="635" t="s">
        <v>7814</v>
      </c>
      <c r="AI603" s="324"/>
      <c r="AL603" s="487" t="s">
        <v>14850</v>
      </c>
      <c r="AM603" s="477" t="s">
        <v>70</v>
      </c>
      <c r="AN603" s="637">
        <v>100</v>
      </c>
      <c r="AO603" s="478">
        <v>-1180</v>
      </c>
      <c r="AP603" s="463">
        <v>-1180</v>
      </c>
      <c r="AQ603" s="479">
        <v>0</v>
      </c>
      <c r="AR603" s="476" t="s">
        <v>14849</v>
      </c>
      <c r="BA603" s="313" t="s">
        <v>3889</v>
      </c>
    </row>
    <row r="604" spans="2:53" ht="16.5" customHeight="1">
      <c r="B604" s="367" t="s">
        <v>3762</v>
      </c>
      <c r="C604" s="351" t="s">
        <v>3763</v>
      </c>
      <c r="D604" s="353">
        <v>-1181</v>
      </c>
      <c r="E604" s="352" t="s">
        <v>408</v>
      </c>
      <c r="F604" s="341">
        <v>90.42</v>
      </c>
      <c r="G604" s="355" t="s">
        <v>4005</v>
      </c>
      <c r="H604" s="356" t="s">
        <v>18581</v>
      </c>
      <c r="I604" s="354" t="s">
        <v>82</v>
      </c>
      <c r="J604" s="340" t="s">
        <v>9603</v>
      </c>
      <c r="K604" s="339" t="s">
        <v>71</v>
      </c>
      <c r="L604" s="357">
        <v>5</v>
      </c>
      <c r="M604" s="358" t="s">
        <v>9604</v>
      </c>
      <c r="N604" s="359">
        <v>800</v>
      </c>
      <c r="O604" s="360" t="s">
        <v>530</v>
      </c>
      <c r="P604" s="343" t="s">
        <v>531</v>
      </c>
      <c r="Q604" s="342" t="s">
        <v>2688</v>
      </c>
      <c r="R604" s="344">
        <v>30</v>
      </c>
      <c r="S604" s="345">
        <v>30</v>
      </c>
      <c r="T604" s="362">
        <v>25</v>
      </c>
      <c r="U604" s="361">
        <v>90.42</v>
      </c>
      <c r="V604" s="346">
        <v>125.7833494053359</v>
      </c>
      <c r="W604" s="348">
        <v>124.19897139183541</v>
      </c>
      <c r="X604" s="347">
        <v>63.37</v>
      </c>
      <c r="Y604" s="357">
        <v>63.98</v>
      </c>
      <c r="Z604" s="365" t="s">
        <v>3017</v>
      </c>
      <c r="AA604" s="350">
        <v>117.6</v>
      </c>
      <c r="AB604" s="349" t="s">
        <v>2685</v>
      </c>
      <c r="AC604" s="350">
        <v>0</v>
      </c>
      <c r="AD604" s="349" t="s">
        <v>2685</v>
      </c>
      <c r="AE604" s="364">
        <v>0</v>
      </c>
      <c r="AF604" s="366">
        <v>0</v>
      </c>
      <c r="AG604" s="363">
        <v>0</v>
      </c>
      <c r="AH604" s="635" t="s">
        <v>408</v>
      </c>
      <c r="AI604" s="324"/>
      <c r="AL604" s="487" t="s">
        <v>14851</v>
      </c>
      <c r="AM604" s="477" t="s">
        <v>71</v>
      </c>
      <c r="AN604" s="637">
        <v>100</v>
      </c>
      <c r="AO604" s="478">
        <v>-1181</v>
      </c>
      <c r="AP604" s="463">
        <v>-619</v>
      </c>
      <c r="AQ604" s="479">
        <v>-562</v>
      </c>
      <c r="AR604" s="476" t="s">
        <v>16937</v>
      </c>
      <c r="BA604" s="313" t="s">
        <v>3890</v>
      </c>
    </row>
    <row r="605" spans="2:53" ht="16.5" customHeight="1">
      <c r="B605" s="367" t="s">
        <v>9605</v>
      </c>
      <c r="C605" s="351" t="s">
        <v>9606</v>
      </c>
      <c r="D605" s="353">
        <v>-1182</v>
      </c>
      <c r="E605" s="352" t="s">
        <v>4027</v>
      </c>
      <c r="F605" s="341">
        <v>90.42</v>
      </c>
      <c r="G605" s="355" t="s">
        <v>9607</v>
      </c>
      <c r="H605" s="356" t="s">
        <v>9129</v>
      </c>
      <c r="I605" s="354" t="s">
        <v>82</v>
      </c>
      <c r="J605" s="340" t="s">
        <v>8448</v>
      </c>
      <c r="K605" s="339" t="s">
        <v>70</v>
      </c>
      <c r="L605" s="357">
        <v>28</v>
      </c>
      <c r="M605" s="358" t="s">
        <v>9608</v>
      </c>
      <c r="N605" s="359">
        <v>800</v>
      </c>
      <c r="O605" s="360" t="s">
        <v>530</v>
      </c>
      <c r="P605" s="343" t="s">
        <v>531</v>
      </c>
      <c r="Q605" s="342" t="s">
        <v>2688</v>
      </c>
      <c r="R605" s="344">
        <v>20</v>
      </c>
      <c r="S605" s="345">
        <v>35</v>
      </c>
      <c r="T605" s="362">
        <v>30</v>
      </c>
      <c r="U605" s="361">
        <v>90.42</v>
      </c>
      <c r="V605" s="346">
        <v>125.7850818440226</v>
      </c>
      <c r="W605" s="348">
        <v>124.20037899826836</v>
      </c>
      <c r="X605" s="347">
        <v>63.11</v>
      </c>
      <c r="Y605" s="357">
        <v>63.98</v>
      </c>
      <c r="Z605" s="365" t="s">
        <v>3017</v>
      </c>
      <c r="AA605" s="350">
        <v>117.6</v>
      </c>
      <c r="AB605" s="349" t="s">
        <v>2685</v>
      </c>
      <c r="AC605" s="350">
        <v>0</v>
      </c>
      <c r="AD605" s="349" t="s">
        <v>2685</v>
      </c>
      <c r="AE605" s="364">
        <v>0</v>
      </c>
      <c r="AF605" s="366">
        <v>9.6</v>
      </c>
      <c r="AG605" s="363">
        <v>0</v>
      </c>
      <c r="AH605" s="635" t="s">
        <v>7814</v>
      </c>
      <c r="AI605" s="324"/>
      <c r="AL605" s="487" t="s">
        <v>14852</v>
      </c>
      <c r="AM605" s="477" t="s">
        <v>70</v>
      </c>
      <c r="AN605" s="637">
        <v>100</v>
      </c>
      <c r="AO605" s="478">
        <v>-1182</v>
      </c>
      <c r="AP605" s="463">
        <v>-1182</v>
      </c>
      <c r="AQ605" s="479">
        <v>0</v>
      </c>
      <c r="AR605" s="476" t="s">
        <v>17202</v>
      </c>
      <c r="BA605" s="313" t="s">
        <v>3891</v>
      </c>
    </row>
    <row r="606" spans="2:53" ht="16.5" customHeight="1">
      <c r="B606" s="367" t="s">
        <v>18198</v>
      </c>
      <c r="C606" s="351" t="s">
        <v>18199</v>
      </c>
      <c r="D606" s="353">
        <v>-1183</v>
      </c>
      <c r="E606" s="352" t="s">
        <v>408</v>
      </c>
      <c r="F606" s="341">
        <v>90.4</v>
      </c>
      <c r="G606" s="355" t="s">
        <v>18582</v>
      </c>
      <c r="H606" s="356" t="s">
        <v>3691</v>
      </c>
      <c r="I606" s="354" t="s">
        <v>9189</v>
      </c>
      <c r="J606" s="340" t="s">
        <v>9515</v>
      </c>
      <c r="K606" s="339" t="s">
        <v>70</v>
      </c>
      <c r="L606" s="357">
        <v>19</v>
      </c>
      <c r="M606" s="358" t="s">
        <v>9516</v>
      </c>
      <c r="N606" s="359">
        <v>1000</v>
      </c>
      <c r="O606" s="360" t="s">
        <v>532</v>
      </c>
      <c r="P606" s="343" t="s">
        <v>532</v>
      </c>
      <c r="Q606" s="342" t="s">
        <v>2688</v>
      </c>
      <c r="R606" s="344">
        <v>20</v>
      </c>
      <c r="S606" s="345">
        <v>35</v>
      </c>
      <c r="T606" s="362">
        <v>25</v>
      </c>
      <c r="U606" s="361">
        <v>90.4</v>
      </c>
      <c r="V606" s="346">
        <v>125.77277428014676</v>
      </c>
      <c r="W606" s="348">
        <v>124.19037910261925</v>
      </c>
      <c r="X606" s="347" t="s">
        <v>18583</v>
      </c>
      <c r="Y606" s="357" t="s">
        <v>408</v>
      </c>
      <c r="Z606" s="365" t="s">
        <v>3017</v>
      </c>
      <c r="AA606" s="350">
        <v>195.56</v>
      </c>
      <c r="AB606" s="349" t="s">
        <v>2685</v>
      </c>
      <c r="AC606" s="350">
        <v>0</v>
      </c>
      <c r="AD606" s="349" t="s">
        <v>2685</v>
      </c>
      <c r="AE606" s="364">
        <v>0</v>
      </c>
      <c r="AF606" s="366">
        <v>15.936</v>
      </c>
      <c r="AG606" s="363">
        <v>0</v>
      </c>
      <c r="AH606" s="635" t="s">
        <v>9517</v>
      </c>
      <c r="AI606" s="324"/>
      <c r="AL606" s="487" t="s">
        <v>14822</v>
      </c>
      <c r="AM606" s="477" t="s">
        <v>70</v>
      </c>
      <c r="AN606" s="637">
        <v>100</v>
      </c>
      <c r="AO606" s="478">
        <v>-1183</v>
      </c>
      <c r="AP606" s="463">
        <v>-1183</v>
      </c>
      <c r="AQ606" s="479">
        <v>0</v>
      </c>
      <c r="AR606" s="476" t="s">
        <v>17203</v>
      </c>
      <c r="BA606" s="313" t="s">
        <v>3894</v>
      </c>
    </row>
    <row r="607" spans="2:53" ht="16.5" customHeight="1">
      <c r="B607" s="367" t="s">
        <v>3772</v>
      </c>
      <c r="C607" s="351" t="s">
        <v>3773</v>
      </c>
      <c r="D607" s="353">
        <v>-1184</v>
      </c>
      <c r="E607" s="352" t="s">
        <v>408</v>
      </c>
      <c r="F607" s="341">
        <v>90.34</v>
      </c>
      <c r="G607" s="355" t="s">
        <v>9609</v>
      </c>
      <c r="H607" s="356" t="s">
        <v>9640</v>
      </c>
      <c r="I607" s="354" t="s">
        <v>212</v>
      </c>
      <c r="J607" s="340" t="s">
        <v>9611</v>
      </c>
      <c r="K607" s="339" t="s">
        <v>70</v>
      </c>
      <c r="L607" s="357">
        <v>19</v>
      </c>
      <c r="M607" s="358" t="s">
        <v>9612</v>
      </c>
      <c r="N607" s="359">
        <v>800</v>
      </c>
      <c r="O607" s="360" t="s">
        <v>532</v>
      </c>
      <c r="P607" s="343" t="s">
        <v>532</v>
      </c>
      <c r="Q607" s="342" t="s">
        <v>2688</v>
      </c>
      <c r="R607" s="344">
        <v>30</v>
      </c>
      <c r="S607" s="345">
        <v>40</v>
      </c>
      <c r="T607" s="362">
        <v>30</v>
      </c>
      <c r="U607" s="361">
        <v>90.34</v>
      </c>
      <c r="V607" s="346">
        <v>125.72460574224925</v>
      </c>
      <c r="W607" s="348">
        <v>124.15124216557751</v>
      </c>
      <c r="X607" s="347" t="s">
        <v>18584</v>
      </c>
      <c r="Y607" s="357" t="s">
        <v>408</v>
      </c>
      <c r="Z607" s="365" t="s">
        <v>3017</v>
      </c>
      <c r="AA607" s="350">
        <v>190</v>
      </c>
      <c r="AB607" s="349" t="s">
        <v>2685</v>
      </c>
      <c r="AC607" s="350">
        <v>10</v>
      </c>
      <c r="AD607" s="349" t="s">
        <v>2685</v>
      </c>
      <c r="AE607" s="364">
        <v>0</v>
      </c>
      <c r="AF607" s="366">
        <v>0</v>
      </c>
      <c r="AG607" s="363">
        <v>0</v>
      </c>
      <c r="AH607" s="635" t="s">
        <v>408</v>
      </c>
      <c r="AI607" s="324"/>
      <c r="AL607" s="487" t="s">
        <v>14857</v>
      </c>
      <c r="AM607" s="477" t="s">
        <v>70</v>
      </c>
      <c r="AN607" s="637">
        <v>100</v>
      </c>
      <c r="AO607" s="478">
        <v>-1184</v>
      </c>
      <c r="AP607" s="463">
        <v>-1184</v>
      </c>
      <c r="AQ607" s="479">
        <v>0</v>
      </c>
      <c r="AR607" s="476" t="s">
        <v>16946</v>
      </c>
      <c r="BA607" s="313" t="s">
        <v>3895</v>
      </c>
    </row>
    <row r="608" spans="2:53" ht="16.5" customHeight="1">
      <c r="B608" s="367" t="s">
        <v>9613</v>
      </c>
      <c r="C608" s="351" t="s">
        <v>9614</v>
      </c>
      <c r="D608" s="353">
        <v>-1185</v>
      </c>
      <c r="E608" s="352" t="s">
        <v>408</v>
      </c>
      <c r="F608" s="341">
        <v>90.33</v>
      </c>
      <c r="G608" s="355" t="s">
        <v>9615</v>
      </c>
      <c r="H608" s="356" t="s">
        <v>3727</v>
      </c>
      <c r="I608" s="354" t="s">
        <v>83</v>
      </c>
      <c r="J608" s="340" t="s">
        <v>9616</v>
      </c>
      <c r="K608" s="339" t="s">
        <v>70</v>
      </c>
      <c r="L608" s="357">
        <v>10</v>
      </c>
      <c r="M608" s="358" t="s">
        <v>9617</v>
      </c>
      <c r="N608" s="359">
        <v>1000</v>
      </c>
      <c r="O608" s="360" t="s">
        <v>532</v>
      </c>
      <c r="P608" s="343" t="s">
        <v>533</v>
      </c>
      <c r="Q608" s="342" t="s">
        <v>2688</v>
      </c>
      <c r="R608" s="344">
        <v>20</v>
      </c>
      <c r="S608" s="345">
        <v>35</v>
      </c>
      <c r="T608" s="362">
        <v>35</v>
      </c>
      <c r="U608" s="361">
        <v>90.33</v>
      </c>
      <c r="V608" s="346">
        <v>125.71832690604461</v>
      </c>
      <c r="W608" s="348">
        <v>124.14614061116124</v>
      </c>
      <c r="X608" s="347">
        <v>63.07</v>
      </c>
      <c r="Y608" s="357">
        <v>63.489999999999995</v>
      </c>
      <c r="Z608" s="365" t="s">
        <v>3017</v>
      </c>
      <c r="AA608" s="350">
        <v>98</v>
      </c>
      <c r="AB608" s="349" t="s">
        <v>2685</v>
      </c>
      <c r="AC608" s="350">
        <v>0</v>
      </c>
      <c r="AD608" s="349" t="s">
        <v>2685</v>
      </c>
      <c r="AE608" s="364">
        <v>0</v>
      </c>
      <c r="AF608" s="366">
        <v>22.18</v>
      </c>
      <c r="AG608" s="363">
        <v>0</v>
      </c>
      <c r="AH608" s="635" t="s">
        <v>7791</v>
      </c>
      <c r="AI608" s="324"/>
      <c r="AL608" s="487" t="s">
        <v>14855</v>
      </c>
      <c r="AM608" s="477" t="s">
        <v>70</v>
      </c>
      <c r="AN608" s="637">
        <v>100</v>
      </c>
      <c r="AO608" s="478">
        <v>-1185</v>
      </c>
      <c r="AP608" s="463">
        <v>-1185</v>
      </c>
      <c r="AQ608" s="479">
        <v>0</v>
      </c>
      <c r="AR608" s="476" t="s">
        <v>14856</v>
      </c>
      <c r="BA608" s="313" t="s">
        <v>3899</v>
      </c>
    </row>
    <row r="609" spans="2:53" ht="16.5" customHeight="1">
      <c r="B609" s="367" t="s">
        <v>9618</v>
      </c>
      <c r="C609" s="351" t="s">
        <v>9619</v>
      </c>
      <c r="D609" s="353">
        <v>-1186</v>
      </c>
      <c r="E609" s="352" t="s">
        <v>408</v>
      </c>
      <c r="F609" s="341">
        <v>90.32</v>
      </c>
      <c r="G609" s="355" t="s">
        <v>9620</v>
      </c>
      <c r="H609" s="356" t="s">
        <v>9610</v>
      </c>
      <c r="I609" s="354" t="s">
        <v>217</v>
      </c>
      <c r="J609" s="340" t="s">
        <v>555</v>
      </c>
      <c r="K609" s="339" t="s">
        <v>70</v>
      </c>
      <c r="L609" s="357">
        <v>9</v>
      </c>
      <c r="M609" s="358" t="s">
        <v>9621</v>
      </c>
      <c r="N609" s="359">
        <v>1000</v>
      </c>
      <c r="O609" s="360" t="s">
        <v>530</v>
      </c>
      <c r="P609" s="343" t="s">
        <v>531</v>
      </c>
      <c r="Q609" s="342" t="s">
        <v>2688</v>
      </c>
      <c r="R609" s="344">
        <v>30</v>
      </c>
      <c r="S609" s="345">
        <v>40</v>
      </c>
      <c r="T609" s="362">
        <v>20</v>
      </c>
      <c r="U609" s="361">
        <v>90.32</v>
      </c>
      <c r="V609" s="346">
        <v>125.70755885997522</v>
      </c>
      <c r="W609" s="348">
        <v>124.13739157372986</v>
      </c>
      <c r="X609" s="347">
        <v>63.07</v>
      </c>
      <c r="Y609" s="357">
        <v>63.94</v>
      </c>
      <c r="Z609" s="365" t="s">
        <v>3017</v>
      </c>
      <c r="AA609" s="350">
        <v>98.5</v>
      </c>
      <c r="AB609" s="349" t="s">
        <v>2685</v>
      </c>
      <c r="AC609" s="350">
        <v>0</v>
      </c>
      <c r="AD609" s="349" t="s">
        <v>2685</v>
      </c>
      <c r="AE609" s="364">
        <v>0</v>
      </c>
      <c r="AF609" s="366">
        <v>0</v>
      </c>
      <c r="AG609" s="363">
        <v>0</v>
      </c>
      <c r="AH609" s="635" t="s">
        <v>408</v>
      </c>
      <c r="AI609" s="324"/>
      <c r="AL609" s="487" t="s">
        <v>14859</v>
      </c>
      <c r="AM609" s="477" t="s">
        <v>70</v>
      </c>
      <c r="AN609" s="637">
        <v>100</v>
      </c>
      <c r="AO609" s="478">
        <v>-1186</v>
      </c>
      <c r="AP609" s="463">
        <v>-1186</v>
      </c>
      <c r="AQ609" s="479">
        <v>0</v>
      </c>
      <c r="AR609" s="476" t="s">
        <v>14858</v>
      </c>
      <c r="BA609" s="313" t="s">
        <v>3901</v>
      </c>
    </row>
    <row r="610" spans="2:53" ht="16.5" customHeight="1">
      <c r="B610" s="367" t="s">
        <v>9618</v>
      </c>
      <c r="C610" s="351" t="s">
        <v>9619</v>
      </c>
      <c r="D610" s="353">
        <v>-1187</v>
      </c>
      <c r="E610" s="352" t="s">
        <v>408</v>
      </c>
      <c r="F610" s="341">
        <v>90.32</v>
      </c>
      <c r="G610" s="355" t="s">
        <v>9620</v>
      </c>
      <c r="H610" s="356" t="s">
        <v>9610</v>
      </c>
      <c r="I610" s="354" t="s">
        <v>83</v>
      </c>
      <c r="J610" s="340" t="s">
        <v>9622</v>
      </c>
      <c r="K610" s="339" t="s">
        <v>70</v>
      </c>
      <c r="L610" s="357">
        <v>6</v>
      </c>
      <c r="M610" s="358" t="s">
        <v>9465</v>
      </c>
      <c r="N610" s="359">
        <v>1000</v>
      </c>
      <c r="O610" s="360" t="s">
        <v>532</v>
      </c>
      <c r="P610" s="343" t="s">
        <v>533</v>
      </c>
      <c r="Q610" s="342" t="s">
        <v>2688</v>
      </c>
      <c r="R610" s="344">
        <v>20</v>
      </c>
      <c r="S610" s="345">
        <v>35</v>
      </c>
      <c r="T610" s="362">
        <v>35</v>
      </c>
      <c r="U610" s="361">
        <v>90.32</v>
      </c>
      <c r="V610" s="346">
        <v>125.70476720836339</v>
      </c>
      <c r="W610" s="348">
        <v>124.13512335679525</v>
      </c>
      <c r="X610" s="347">
        <v>63.07</v>
      </c>
      <c r="Y610" s="357">
        <v>63.489999999999995</v>
      </c>
      <c r="Z610" s="365" t="s">
        <v>3017</v>
      </c>
      <c r="AA610" s="350">
        <v>98</v>
      </c>
      <c r="AB610" s="349" t="s">
        <v>2685</v>
      </c>
      <c r="AC610" s="350">
        <v>0</v>
      </c>
      <c r="AD610" s="349" t="s">
        <v>2685</v>
      </c>
      <c r="AE610" s="364">
        <v>0</v>
      </c>
      <c r="AF610" s="366">
        <v>22.18</v>
      </c>
      <c r="AG610" s="363">
        <v>0</v>
      </c>
      <c r="AH610" s="635" t="s">
        <v>7791</v>
      </c>
      <c r="AI610" s="324"/>
      <c r="AL610" s="487" t="s">
        <v>14860</v>
      </c>
      <c r="AM610" s="477" t="s">
        <v>70</v>
      </c>
      <c r="AN610" s="637">
        <v>100</v>
      </c>
      <c r="AO610" s="478">
        <v>-1187</v>
      </c>
      <c r="AP610" s="463">
        <v>-1187</v>
      </c>
      <c r="AQ610" s="479">
        <v>0</v>
      </c>
      <c r="AR610" s="476" t="s">
        <v>14858</v>
      </c>
      <c r="BA610" s="313" t="s">
        <v>3904</v>
      </c>
    </row>
    <row r="611" spans="2:53" ht="16.5" customHeight="1">
      <c r="B611" s="367" t="s">
        <v>3782</v>
      </c>
      <c r="C611" s="351" t="s">
        <v>3783</v>
      </c>
      <c r="D611" s="353">
        <v>-1188</v>
      </c>
      <c r="E611" s="352" t="s">
        <v>9623</v>
      </c>
      <c r="F611" s="341">
        <v>90.29</v>
      </c>
      <c r="G611" s="355" t="s">
        <v>4025</v>
      </c>
      <c r="H611" s="356" t="s">
        <v>18585</v>
      </c>
      <c r="I611" s="354" t="s">
        <v>217</v>
      </c>
      <c r="J611" s="340" t="s">
        <v>8618</v>
      </c>
      <c r="K611" s="339" t="s">
        <v>71</v>
      </c>
      <c r="L611" s="357">
        <v>6</v>
      </c>
      <c r="M611" s="358" t="s">
        <v>9624</v>
      </c>
      <c r="N611" s="359">
        <v>1000</v>
      </c>
      <c r="O611" s="360" t="s">
        <v>530</v>
      </c>
      <c r="P611" s="343" t="s">
        <v>531</v>
      </c>
      <c r="Q611" s="342" t="s">
        <v>2688</v>
      </c>
      <c r="R611" s="344">
        <v>40</v>
      </c>
      <c r="S611" s="345">
        <v>30</v>
      </c>
      <c r="T611" s="362">
        <v>20</v>
      </c>
      <c r="U611" s="361">
        <v>90.29</v>
      </c>
      <c r="V611" s="346">
        <v>125.68452921586436</v>
      </c>
      <c r="W611" s="348">
        <v>124.11867998788979</v>
      </c>
      <c r="X611" s="347">
        <v>63.32</v>
      </c>
      <c r="Y611" s="357">
        <v>63.93</v>
      </c>
      <c r="Z611" s="365" t="s">
        <v>3017</v>
      </c>
      <c r="AA611" s="350">
        <v>98.5</v>
      </c>
      <c r="AB611" s="349" t="s">
        <v>2685</v>
      </c>
      <c r="AC611" s="350">
        <v>0</v>
      </c>
      <c r="AD611" s="349" t="s">
        <v>2685</v>
      </c>
      <c r="AE611" s="364">
        <v>0</v>
      </c>
      <c r="AF611" s="366">
        <v>0</v>
      </c>
      <c r="AG611" s="363">
        <v>0</v>
      </c>
      <c r="AH611" s="635" t="s">
        <v>408</v>
      </c>
      <c r="AI611" s="324"/>
      <c r="AL611" s="487" t="s">
        <v>14861</v>
      </c>
      <c r="AM611" s="477" t="s">
        <v>71</v>
      </c>
      <c r="AN611" s="637">
        <v>100</v>
      </c>
      <c r="AO611" s="478">
        <v>-1188</v>
      </c>
      <c r="AP611" s="463">
        <v>-620</v>
      </c>
      <c r="AQ611" s="479">
        <v>-568</v>
      </c>
      <c r="AR611" s="476" t="s">
        <v>16947</v>
      </c>
      <c r="BA611" s="313" t="s">
        <v>3906</v>
      </c>
    </row>
    <row r="612" spans="2:53" ht="16.5" customHeight="1">
      <c r="B612" s="367" t="s">
        <v>3789</v>
      </c>
      <c r="C612" s="351" t="s">
        <v>3790</v>
      </c>
      <c r="D612" s="353">
        <v>-1189</v>
      </c>
      <c r="E612" s="352" t="s">
        <v>4057</v>
      </c>
      <c r="F612" s="341">
        <v>90.23</v>
      </c>
      <c r="G612" s="355" t="s">
        <v>10080</v>
      </c>
      <c r="H612" s="356" t="s">
        <v>18586</v>
      </c>
      <c r="I612" s="354" t="s">
        <v>9336</v>
      </c>
      <c r="J612" s="340" t="s">
        <v>9625</v>
      </c>
      <c r="K612" s="339" t="s">
        <v>71</v>
      </c>
      <c r="L612" s="357">
        <v>20</v>
      </c>
      <c r="M612" s="358" t="s">
        <v>9626</v>
      </c>
      <c r="N612" s="359">
        <v>700</v>
      </c>
      <c r="O612" s="360" t="s">
        <v>532</v>
      </c>
      <c r="P612" s="343" t="s">
        <v>533</v>
      </c>
      <c r="Q612" s="342" t="s">
        <v>2688</v>
      </c>
      <c r="R612" s="344">
        <v>30</v>
      </c>
      <c r="S612" s="345">
        <v>35</v>
      </c>
      <c r="T612" s="362">
        <v>20</v>
      </c>
      <c r="U612" s="361">
        <v>90.23</v>
      </c>
      <c r="V612" s="346">
        <v>125.63492841903516</v>
      </c>
      <c r="W612" s="348">
        <v>124.07837934046607</v>
      </c>
      <c r="X612" s="347">
        <v>63.29</v>
      </c>
      <c r="Y612" s="357">
        <v>66.38000000000001</v>
      </c>
      <c r="Z612" s="365" t="s">
        <v>3017</v>
      </c>
      <c r="AA612" s="350">
        <v>103.5</v>
      </c>
      <c r="AB612" s="349" t="s">
        <v>2685</v>
      </c>
      <c r="AC612" s="350">
        <v>10</v>
      </c>
      <c r="AD612" s="349" t="s">
        <v>2685</v>
      </c>
      <c r="AE612" s="364">
        <v>0</v>
      </c>
      <c r="AF612" s="366">
        <v>0</v>
      </c>
      <c r="AG612" s="363">
        <v>0</v>
      </c>
      <c r="AH612" s="635" t="s">
        <v>408</v>
      </c>
      <c r="AI612" s="324"/>
      <c r="AL612" s="487" t="s">
        <v>14863</v>
      </c>
      <c r="AM612" s="477" t="s">
        <v>71</v>
      </c>
      <c r="AN612" s="637">
        <v>100</v>
      </c>
      <c r="AO612" s="478">
        <v>-1189</v>
      </c>
      <c r="AP612" s="463">
        <v>-620</v>
      </c>
      <c r="AQ612" s="479">
        <v>-569</v>
      </c>
      <c r="AR612" s="476" t="s">
        <v>16948</v>
      </c>
      <c r="BA612" s="313" t="s">
        <v>3908</v>
      </c>
    </row>
    <row r="613" spans="2:53" ht="16.5" customHeight="1">
      <c r="B613" s="367" t="s">
        <v>9590</v>
      </c>
      <c r="C613" s="351" t="s">
        <v>9591</v>
      </c>
      <c r="D613" s="353">
        <v>-1190</v>
      </c>
      <c r="E613" s="352" t="s">
        <v>408</v>
      </c>
      <c r="F613" s="341">
        <v>90.21</v>
      </c>
      <c r="G613" s="355" t="s">
        <v>4064</v>
      </c>
      <c r="H613" s="356" t="s">
        <v>18536</v>
      </c>
      <c r="I613" s="354" t="s">
        <v>224</v>
      </c>
      <c r="J613" s="340" t="s">
        <v>9627</v>
      </c>
      <c r="K613" s="339" t="s">
        <v>70</v>
      </c>
      <c r="L613" s="357">
        <v>42</v>
      </c>
      <c r="M613" s="358" t="s">
        <v>9628</v>
      </c>
      <c r="N613" s="359">
        <v>1000</v>
      </c>
      <c r="O613" s="360" t="s">
        <v>532</v>
      </c>
      <c r="P613" s="343" t="s">
        <v>533</v>
      </c>
      <c r="Q613" s="342" t="s">
        <v>2688</v>
      </c>
      <c r="R613" s="344">
        <v>25</v>
      </c>
      <c r="S613" s="345">
        <v>30</v>
      </c>
      <c r="T613" s="362">
        <v>25</v>
      </c>
      <c r="U613" s="361">
        <v>90.21</v>
      </c>
      <c r="V613" s="346">
        <v>125.62666273323917</v>
      </c>
      <c r="W613" s="348">
        <v>124.07166347075682</v>
      </c>
      <c r="X613" s="347">
        <v>63.03</v>
      </c>
      <c r="Y613" s="357">
        <v>64.06</v>
      </c>
      <c r="Z613" s="365" t="s">
        <v>3017</v>
      </c>
      <c r="AA613" s="350">
        <v>196</v>
      </c>
      <c r="AB613" s="349" t="s">
        <v>2685</v>
      </c>
      <c r="AC613" s="350">
        <v>10</v>
      </c>
      <c r="AD613" s="349" t="s">
        <v>2685</v>
      </c>
      <c r="AE613" s="364">
        <v>0</v>
      </c>
      <c r="AF613" s="366">
        <v>13.702</v>
      </c>
      <c r="AG613" s="363">
        <v>0</v>
      </c>
      <c r="AH613" s="635" t="s">
        <v>7854</v>
      </c>
      <c r="AI613" s="324"/>
      <c r="AL613" s="487" t="s">
        <v>14865</v>
      </c>
      <c r="AM613" s="477" t="s">
        <v>70</v>
      </c>
      <c r="AN613" s="637">
        <v>100</v>
      </c>
      <c r="AO613" s="478">
        <v>-1190</v>
      </c>
      <c r="AP613" s="463">
        <v>-1190</v>
      </c>
      <c r="AQ613" s="479">
        <v>0</v>
      </c>
      <c r="AR613" s="476" t="s">
        <v>14866</v>
      </c>
      <c r="BA613" s="313" t="s">
        <v>3911</v>
      </c>
    </row>
    <row r="614" spans="2:53" ht="16.5" customHeight="1">
      <c r="B614" s="367" t="s">
        <v>3794</v>
      </c>
      <c r="C614" s="351" t="s">
        <v>3795</v>
      </c>
      <c r="D614" s="353">
        <v>-1191</v>
      </c>
      <c r="E614" s="352" t="s">
        <v>408</v>
      </c>
      <c r="F614" s="341">
        <v>90.2</v>
      </c>
      <c r="G614" s="355" t="s">
        <v>9629</v>
      </c>
      <c r="H614" s="356" t="s">
        <v>3745</v>
      </c>
      <c r="I614" s="354" t="s">
        <v>82</v>
      </c>
      <c r="J614" s="340" t="s">
        <v>9630</v>
      </c>
      <c r="K614" s="339" t="s">
        <v>70</v>
      </c>
      <c r="L614" s="357">
        <v>23</v>
      </c>
      <c r="M614" s="358" t="s">
        <v>9631</v>
      </c>
      <c r="N614" s="359">
        <v>800</v>
      </c>
      <c r="O614" s="360" t="s">
        <v>530</v>
      </c>
      <c r="P614" s="343" t="s">
        <v>531</v>
      </c>
      <c r="Q614" s="342" t="s">
        <v>2688</v>
      </c>
      <c r="R614" s="344">
        <v>20</v>
      </c>
      <c r="S614" s="345">
        <v>35</v>
      </c>
      <c r="T614" s="362">
        <v>30</v>
      </c>
      <c r="U614" s="361">
        <v>90.2</v>
      </c>
      <c r="V614" s="346">
        <v>125.61191884209492</v>
      </c>
      <c r="W614" s="348">
        <v>124.05968405920213</v>
      </c>
      <c r="X614" s="347">
        <v>63.02</v>
      </c>
      <c r="Y614" s="357">
        <v>63.9</v>
      </c>
      <c r="Z614" s="365" t="s">
        <v>3017</v>
      </c>
      <c r="AA614" s="350">
        <v>117.6</v>
      </c>
      <c r="AB614" s="349" t="s">
        <v>2685</v>
      </c>
      <c r="AC614" s="350">
        <v>0</v>
      </c>
      <c r="AD614" s="349" t="s">
        <v>2685</v>
      </c>
      <c r="AE614" s="364">
        <v>0</v>
      </c>
      <c r="AF614" s="366">
        <v>9.6</v>
      </c>
      <c r="AG614" s="363">
        <v>0</v>
      </c>
      <c r="AH614" s="635" t="s">
        <v>7814</v>
      </c>
      <c r="AI614" s="324"/>
      <c r="AL614" s="487" t="s">
        <v>14867</v>
      </c>
      <c r="AM614" s="477" t="s">
        <v>70</v>
      </c>
      <c r="AN614" s="637">
        <v>100</v>
      </c>
      <c r="AO614" s="478">
        <v>-1191</v>
      </c>
      <c r="AP614" s="463">
        <v>-1191</v>
      </c>
      <c r="AQ614" s="479">
        <v>0</v>
      </c>
      <c r="AR614" s="476" t="s">
        <v>17204</v>
      </c>
      <c r="BA614" s="313" t="s">
        <v>3913</v>
      </c>
    </row>
    <row r="615" spans="2:53" ht="16.5" customHeight="1">
      <c r="B615" s="367" t="s">
        <v>3799</v>
      </c>
      <c r="C615" s="351" t="s">
        <v>3800</v>
      </c>
      <c r="D615" s="353">
        <v>-1192</v>
      </c>
      <c r="E615" s="352" t="s">
        <v>9632</v>
      </c>
      <c r="F615" s="341">
        <v>90.19</v>
      </c>
      <c r="G615" s="355" t="s">
        <v>9598</v>
      </c>
      <c r="H615" s="356" t="s">
        <v>3760</v>
      </c>
      <c r="I615" s="354" t="s">
        <v>9336</v>
      </c>
      <c r="J615" s="340" t="s">
        <v>9633</v>
      </c>
      <c r="K615" s="339" t="s">
        <v>71</v>
      </c>
      <c r="L615" s="357">
        <v>16</v>
      </c>
      <c r="M615" s="358" t="s">
        <v>9634</v>
      </c>
      <c r="N615" s="359">
        <v>700</v>
      </c>
      <c r="O615" s="360" t="s">
        <v>532</v>
      </c>
      <c r="P615" s="343" t="s">
        <v>533</v>
      </c>
      <c r="Q615" s="342" t="s">
        <v>2688</v>
      </c>
      <c r="R615" s="344">
        <v>30</v>
      </c>
      <c r="S615" s="345">
        <v>35</v>
      </c>
      <c r="T615" s="362">
        <v>20</v>
      </c>
      <c r="U615" s="361">
        <v>90.19</v>
      </c>
      <c r="V615" s="346">
        <v>125.60618177033342</v>
      </c>
      <c r="W615" s="348">
        <v>124.05502268839591</v>
      </c>
      <c r="X615" s="347">
        <v>63.28</v>
      </c>
      <c r="Y615" s="357">
        <v>66.37</v>
      </c>
      <c r="Z615" s="365" t="s">
        <v>3017</v>
      </c>
      <c r="AA615" s="350">
        <v>103.5</v>
      </c>
      <c r="AB615" s="349" t="s">
        <v>2685</v>
      </c>
      <c r="AC615" s="350">
        <v>10</v>
      </c>
      <c r="AD615" s="349" t="s">
        <v>2685</v>
      </c>
      <c r="AE615" s="364">
        <v>0</v>
      </c>
      <c r="AF615" s="366">
        <v>0</v>
      </c>
      <c r="AG615" s="363">
        <v>0</v>
      </c>
      <c r="AH615" s="635" t="s">
        <v>408</v>
      </c>
      <c r="AI615" s="324"/>
      <c r="AL615" s="487" t="s">
        <v>14868</v>
      </c>
      <c r="AM615" s="477" t="s">
        <v>71</v>
      </c>
      <c r="AN615" s="637">
        <v>100</v>
      </c>
      <c r="AO615" s="478">
        <v>-1192</v>
      </c>
      <c r="AP615" s="463">
        <v>-622</v>
      </c>
      <c r="AQ615" s="479">
        <v>-570</v>
      </c>
      <c r="AR615" s="476" t="s">
        <v>16949</v>
      </c>
      <c r="BA615" s="313" t="s">
        <v>3914</v>
      </c>
    </row>
    <row r="616" spans="2:53" ht="16.5" customHeight="1">
      <c r="B616" s="367" t="s">
        <v>9635</v>
      </c>
      <c r="C616" s="351" t="s">
        <v>9636</v>
      </c>
      <c r="D616" s="353">
        <v>-1193</v>
      </c>
      <c r="E616" s="352" t="s">
        <v>408</v>
      </c>
      <c r="F616" s="341">
        <v>90.15</v>
      </c>
      <c r="G616" s="355" t="s">
        <v>4071</v>
      </c>
      <c r="H616" s="356" t="s">
        <v>18587</v>
      </c>
      <c r="I616" s="354" t="s">
        <v>217</v>
      </c>
      <c r="J616" s="340" t="s">
        <v>8659</v>
      </c>
      <c r="K616" s="339" t="s">
        <v>71</v>
      </c>
      <c r="L616" s="357">
        <v>33</v>
      </c>
      <c r="M616" s="358" t="s">
        <v>4162</v>
      </c>
      <c r="N616" s="359">
        <v>1000</v>
      </c>
      <c r="O616" s="360" t="s">
        <v>530</v>
      </c>
      <c r="P616" s="343" t="s">
        <v>531</v>
      </c>
      <c r="Q616" s="342" t="s">
        <v>2688</v>
      </c>
      <c r="R616" s="344">
        <v>30</v>
      </c>
      <c r="S616" s="345">
        <v>40</v>
      </c>
      <c r="T616" s="362">
        <v>20</v>
      </c>
      <c r="U616" s="361">
        <v>90.15</v>
      </c>
      <c r="V616" s="346">
        <v>125.57372986369268</v>
      </c>
      <c r="W616" s="348">
        <v>124.0286555142503</v>
      </c>
      <c r="X616" s="347">
        <v>63</v>
      </c>
      <c r="Y616" s="357">
        <v>63.879999999999995</v>
      </c>
      <c r="Z616" s="365" t="s">
        <v>3017</v>
      </c>
      <c r="AA616" s="350">
        <v>98.5</v>
      </c>
      <c r="AB616" s="349" t="s">
        <v>2685</v>
      </c>
      <c r="AC616" s="350">
        <v>0</v>
      </c>
      <c r="AD616" s="349" t="s">
        <v>2685</v>
      </c>
      <c r="AE616" s="364">
        <v>0</v>
      </c>
      <c r="AF616" s="366">
        <v>0</v>
      </c>
      <c r="AG616" s="363">
        <v>0</v>
      </c>
      <c r="AH616" s="635" t="s">
        <v>408</v>
      </c>
      <c r="AI616" s="324"/>
      <c r="AL616" s="487" t="s">
        <v>14869</v>
      </c>
      <c r="AM616" s="477" t="s">
        <v>71</v>
      </c>
      <c r="AN616" s="637">
        <v>100</v>
      </c>
      <c r="AO616" s="478">
        <v>-1193</v>
      </c>
      <c r="AP616" s="463">
        <v>-619</v>
      </c>
      <c r="AQ616" s="479">
        <v>-574</v>
      </c>
      <c r="AR616" s="476" t="s">
        <v>16950</v>
      </c>
      <c r="BA616" s="313" t="s">
        <v>3915</v>
      </c>
    </row>
    <row r="617" spans="2:53" ht="16.5" customHeight="1">
      <c r="B617" s="367" t="s">
        <v>9637</v>
      </c>
      <c r="C617" s="351" t="s">
        <v>9638</v>
      </c>
      <c r="D617" s="353">
        <v>-1194</v>
      </c>
      <c r="E617" s="352" t="s">
        <v>9639</v>
      </c>
      <c r="F617" s="341">
        <v>90.12</v>
      </c>
      <c r="G617" s="355" t="s">
        <v>10077</v>
      </c>
      <c r="H617" s="356" t="s">
        <v>18588</v>
      </c>
      <c r="I617" s="354" t="s">
        <v>233</v>
      </c>
      <c r="J617" s="340" t="s">
        <v>9641</v>
      </c>
      <c r="K617" s="339" t="s">
        <v>71</v>
      </c>
      <c r="L617" s="357">
        <v>70</v>
      </c>
      <c r="M617" s="358" t="s">
        <v>9642</v>
      </c>
      <c r="N617" s="359">
        <v>1000</v>
      </c>
      <c r="O617" s="360" t="s">
        <v>530</v>
      </c>
      <c r="P617" s="343" t="s">
        <v>531</v>
      </c>
      <c r="Q617" s="342" t="s">
        <v>2688</v>
      </c>
      <c r="R617" s="344">
        <v>35</v>
      </c>
      <c r="S617" s="345">
        <v>25</v>
      </c>
      <c r="T617" s="362">
        <v>25</v>
      </c>
      <c r="U617" s="361">
        <v>90.12</v>
      </c>
      <c r="V617" s="346">
        <v>125.55566142607589</v>
      </c>
      <c r="W617" s="348">
        <v>124.01397490868666</v>
      </c>
      <c r="X617" s="347">
        <v>63.26</v>
      </c>
      <c r="Y617" s="357">
        <v>63.87</v>
      </c>
      <c r="Z617" s="365" t="s">
        <v>3017</v>
      </c>
      <c r="AA617" s="350">
        <v>149.25</v>
      </c>
      <c r="AB617" s="349" t="s">
        <v>2685</v>
      </c>
      <c r="AC617" s="350">
        <v>0</v>
      </c>
      <c r="AD617" s="349" t="s">
        <v>2685</v>
      </c>
      <c r="AE617" s="364">
        <v>0</v>
      </c>
      <c r="AF617" s="366">
        <v>0</v>
      </c>
      <c r="AG617" s="363">
        <v>0</v>
      </c>
      <c r="AH617" s="635" t="s">
        <v>408</v>
      </c>
      <c r="AI617" s="324"/>
      <c r="AL617" s="487" t="s">
        <v>14870</v>
      </c>
      <c r="AM617" s="477" t="s">
        <v>71</v>
      </c>
      <c r="AN617" s="637">
        <v>100</v>
      </c>
      <c r="AO617" s="478">
        <v>-1194</v>
      </c>
      <c r="AP617" s="463">
        <v>-622</v>
      </c>
      <c r="AQ617" s="479">
        <v>-572</v>
      </c>
      <c r="AR617" s="476" t="s">
        <v>16951</v>
      </c>
      <c r="BA617" s="313" t="s">
        <v>3918</v>
      </c>
    </row>
    <row r="618" spans="2:53" ht="16.5" customHeight="1">
      <c r="B618" s="367" t="s">
        <v>9643</v>
      </c>
      <c r="C618" s="351" t="s">
        <v>9644</v>
      </c>
      <c r="D618" s="353">
        <v>-1195</v>
      </c>
      <c r="E618" s="352" t="s">
        <v>408</v>
      </c>
      <c r="F618" s="341">
        <v>90.12</v>
      </c>
      <c r="G618" s="355" t="s">
        <v>9645</v>
      </c>
      <c r="H618" s="356" t="s">
        <v>9646</v>
      </c>
      <c r="I618" s="354" t="s">
        <v>217</v>
      </c>
      <c r="J618" s="340" t="s">
        <v>418</v>
      </c>
      <c r="K618" s="339" t="s">
        <v>70</v>
      </c>
      <c r="L618" s="357">
        <v>39</v>
      </c>
      <c r="M618" s="358" t="s">
        <v>9647</v>
      </c>
      <c r="N618" s="359">
        <v>1000</v>
      </c>
      <c r="O618" s="360" t="s">
        <v>530</v>
      </c>
      <c r="P618" s="343" t="s">
        <v>531</v>
      </c>
      <c r="Q618" s="342" t="s">
        <v>2688</v>
      </c>
      <c r="R618" s="344">
        <v>30</v>
      </c>
      <c r="S618" s="345">
        <v>40</v>
      </c>
      <c r="T618" s="362">
        <v>20</v>
      </c>
      <c r="U618" s="361">
        <v>90.12</v>
      </c>
      <c r="V618" s="346">
        <v>125.55142503097895</v>
      </c>
      <c r="W618" s="348">
        <v>124.0105328376704</v>
      </c>
      <c r="X618" s="347">
        <v>62.99</v>
      </c>
      <c r="Y618" s="357">
        <v>63.87</v>
      </c>
      <c r="Z618" s="365" t="s">
        <v>3017</v>
      </c>
      <c r="AA618" s="350">
        <v>98.5</v>
      </c>
      <c r="AB618" s="349" t="s">
        <v>2685</v>
      </c>
      <c r="AC618" s="350">
        <v>0</v>
      </c>
      <c r="AD618" s="349" t="s">
        <v>2685</v>
      </c>
      <c r="AE618" s="364">
        <v>0</v>
      </c>
      <c r="AF618" s="366">
        <v>0</v>
      </c>
      <c r="AG618" s="363">
        <v>0</v>
      </c>
      <c r="AH618" s="635" t="s">
        <v>408</v>
      </c>
      <c r="AI618" s="324"/>
      <c r="AL618" s="487" t="s">
        <v>14871</v>
      </c>
      <c r="AM618" s="477" t="s">
        <v>70</v>
      </c>
      <c r="AN618" s="637">
        <v>100</v>
      </c>
      <c r="AO618" s="478">
        <v>-1195</v>
      </c>
      <c r="AP618" s="463">
        <v>-1195</v>
      </c>
      <c r="AQ618" s="479">
        <v>0</v>
      </c>
      <c r="AR618" s="476" t="s">
        <v>14872</v>
      </c>
      <c r="BA618" s="313" t="s">
        <v>3922</v>
      </c>
    </row>
    <row r="619" spans="2:53" ht="16.5" customHeight="1">
      <c r="B619" s="367" t="s">
        <v>9643</v>
      </c>
      <c r="C619" s="351" t="s">
        <v>9644</v>
      </c>
      <c r="D619" s="353">
        <v>-1196</v>
      </c>
      <c r="E619" s="352" t="s">
        <v>408</v>
      </c>
      <c r="F619" s="341">
        <v>90.12</v>
      </c>
      <c r="G619" s="355" t="s">
        <v>9648</v>
      </c>
      <c r="H619" s="356" t="s">
        <v>3757</v>
      </c>
      <c r="I619" s="354" t="s">
        <v>82</v>
      </c>
      <c r="J619" s="340" t="s">
        <v>9649</v>
      </c>
      <c r="K619" s="339" t="s">
        <v>70</v>
      </c>
      <c r="L619" s="357">
        <v>26</v>
      </c>
      <c r="M619" s="358" t="s">
        <v>9650</v>
      </c>
      <c r="N619" s="359">
        <v>800</v>
      </c>
      <c r="O619" s="360" t="s">
        <v>530</v>
      </c>
      <c r="P619" s="343" t="s">
        <v>531</v>
      </c>
      <c r="Q619" s="342" t="s">
        <v>2688</v>
      </c>
      <c r="R619" s="344">
        <v>20</v>
      </c>
      <c r="S619" s="345">
        <v>35</v>
      </c>
      <c r="T619" s="362">
        <v>30</v>
      </c>
      <c r="U619" s="361">
        <v>90.12</v>
      </c>
      <c r="V619" s="346">
        <v>125.55310876596853</v>
      </c>
      <c r="W619" s="348">
        <v>124.01190087234943</v>
      </c>
      <c r="X619" s="347">
        <v>63</v>
      </c>
      <c r="Y619" s="357">
        <v>63.87</v>
      </c>
      <c r="Z619" s="365" t="s">
        <v>3017</v>
      </c>
      <c r="AA619" s="350">
        <v>117.6</v>
      </c>
      <c r="AB619" s="349" t="s">
        <v>2685</v>
      </c>
      <c r="AC619" s="350">
        <v>0</v>
      </c>
      <c r="AD619" s="349" t="s">
        <v>2685</v>
      </c>
      <c r="AE619" s="364">
        <v>0</v>
      </c>
      <c r="AF619" s="366">
        <v>9.6</v>
      </c>
      <c r="AG619" s="363">
        <v>0</v>
      </c>
      <c r="AH619" s="635" t="s">
        <v>7814</v>
      </c>
      <c r="AI619" s="324"/>
      <c r="AL619" s="487" t="s">
        <v>14873</v>
      </c>
      <c r="AM619" s="477" t="s">
        <v>70</v>
      </c>
      <c r="AN619" s="637">
        <v>100</v>
      </c>
      <c r="AO619" s="478">
        <v>-1196</v>
      </c>
      <c r="AP619" s="463">
        <v>-1196</v>
      </c>
      <c r="AQ619" s="479">
        <v>0</v>
      </c>
      <c r="AR619" s="476" t="s">
        <v>17205</v>
      </c>
      <c r="BA619" s="313" t="s">
        <v>3924</v>
      </c>
    </row>
    <row r="620" spans="2:53" ht="16.5" customHeight="1">
      <c r="B620" s="367" t="s">
        <v>3810</v>
      </c>
      <c r="C620" s="351" t="s">
        <v>3811</v>
      </c>
      <c r="D620" s="353">
        <v>-1197</v>
      </c>
      <c r="E620" s="352" t="s">
        <v>408</v>
      </c>
      <c r="F620" s="341">
        <v>90.1</v>
      </c>
      <c r="G620" s="355" t="s">
        <v>9651</v>
      </c>
      <c r="H620" s="356" t="s">
        <v>9274</v>
      </c>
      <c r="I620" s="354" t="s">
        <v>217</v>
      </c>
      <c r="J620" s="340" t="s">
        <v>9652</v>
      </c>
      <c r="K620" s="339" t="s">
        <v>71</v>
      </c>
      <c r="L620" s="357">
        <v>32</v>
      </c>
      <c r="M620" s="358" t="s">
        <v>9653</v>
      </c>
      <c r="N620" s="359">
        <v>1000</v>
      </c>
      <c r="O620" s="360" t="s">
        <v>530</v>
      </c>
      <c r="P620" s="343" t="s">
        <v>531</v>
      </c>
      <c r="Q620" s="342" t="s">
        <v>2688</v>
      </c>
      <c r="R620" s="344">
        <v>30</v>
      </c>
      <c r="S620" s="345">
        <v>40</v>
      </c>
      <c r="T620" s="362">
        <v>20</v>
      </c>
      <c r="U620" s="361">
        <v>90.1</v>
      </c>
      <c r="V620" s="346">
        <v>125.53903345724906</v>
      </c>
      <c r="W620" s="348">
        <v>124.00046468401487</v>
      </c>
      <c r="X620" s="347">
        <v>62.99</v>
      </c>
      <c r="Y620" s="357">
        <v>63.86</v>
      </c>
      <c r="Z620" s="365" t="s">
        <v>3017</v>
      </c>
      <c r="AA620" s="350">
        <v>98.5</v>
      </c>
      <c r="AB620" s="349" t="s">
        <v>2685</v>
      </c>
      <c r="AC620" s="350">
        <v>0</v>
      </c>
      <c r="AD620" s="349" t="s">
        <v>2685</v>
      </c>
      <c r="AE620" s="364">
        <v>0</v>
      </c>
      <c r="AF620" s="366">
        <v>0</v>
      </c>
      <c r="AG620" s="363">
        <v>0</v>
      </c>
      <c r="AH620" s="635" t="s">
        <v>408</v>
      </c>
      <c r="AI620" s="324"/>
      <c r="AL620" s="487" t="s">
        <v>14874</v>
      </c>
      <c r="AM620" s="477" t="s">
        <v>71</v>
      </c>
      <c r="AN620" s="637">
        <v>100</v>
      </c>
      <c r="AO620" s="478">
        <v>-1197</v>
      </c>
      <c r="AP620" s="463">
        <v>-621</v>
      </c>
      <c r="AQ620" s="479">
        <v>-576</v>
      </c>
      <c r="AR620" s="476" t="s">
        <v>16952</v>
      </c>
      <c r="BA620" s="313" t="s">
        <v>3925</v>
      </c>
    </row>
    <row r="621" spans="2:53" ht="16.5" customHeight="1">
      <c r="B621" s="367" t="s">
        <v>9654</v>
      </c>
      <c r="C621" s="351" t="s">
        <v>9655</v>
      </c>
      <c r="D621" s="353">
        <v>-1198</v>
      </c>
      <c r="E621" s="352" t="s">
        <v>9656</v>
      </c>
      <c r="F621" s="341">
        <v>90.09</v>
      </c>
      <c r="G621" s="355" t="s">
        <v>4042</v>
      </c>
      <c r="H621" s="356" t="s">
        <v>9723</v>
      </c>
      <c r="I621" s="354" t="s">
        <v>224</v>
      </c>
      <c r="J621" s="340" t="s">
        <v>9657</v>
      </c>
      <c r="K621" s="339" t="s">
        <v>71</v>
      </c>
      <c r="L621" s="357">
        <v>19</v>
      </c>
      <c r="M621" s="358" t="s">
        <v>9658</v>
      </c>
      <c r="N621" s="359">
        <v>1000</v>
      </c>
      <c r="O621" s="360" t="s">
        <v>532</v>
      </c>
      <c r="P621" s="343" t="s">
        <v>533</v>
      </c>
      <c r="Q621" s="342" t="s">
        <v>2688</v>
      </c>
      <c r="R621" s="344">
        <v>30</v>
      </c>
      <c r="S621" s="345">
        <v>30</v>
      </c>
      <c r="T621" s="362">
        <v>20</v>
      </c>
      <c r="U621" s="361">
        <v>90.09</v>
      </c>
      <c r="V621" s="346">
        <v>125.52846001021183</v>
      </c>
      <c r="W621" s="348">
        <v>123.9869980132754</v>
      </c>
      <c r="X621" s="347">
        <v>63.24</v>
      </c>
      <c r="Y621" s="357">
        <v>63.72</v>
      </c>
      <c r="Z621" s="365" t="s">
        <v>3017</v>
      </c>
      <c r="AA621" s="350">
        <v>196</v>
      </c>
      <c r="AB621" s="349" t="s">
        <v>2685</v>
      </c>
      <c r="AC621" s="350">
        <v>10</v>
      </c>
      <c r="AD621" s="349" t="s">
        <v>2685</v>
      </c>
      <c r="AE621" s="364">
        <v>0</v>
      </c>
      <c r="AF621" s="366">
        <v>0</v>
      </c>
      <c r="AG621" s="363">
        <v>0</v>
      </c>
      <c r="AH621" s="635" t="s">
        <v>408</v>
      </c>
      <c r="AI621" s="324"/>
      <c r="AL621" s="487" t="s">
        <v>14875</v>
      </c>
      <c r="AM621" s="477" t="s">
        <v>71</v>
      </c>
      <c r="AN621" s="637">
        <v>100</v>
      </c>
      <c r="AO621" s="478">
        <v>-1198</v>
      </c>
      <c r="AP621" s="463">
        <v>-623</v>
      </c>
      <c r="AQ621" s="479">
        <v>-575</v>
      </c>
      <c r="AR621" s="476" t="s">
        <v>16953</v>
      </c>
      <c r="BA621" s="313" t="s">
        <v>3927</v>
      </c>
    </row>
    <row r="622" spans="2:53" ht="16.5" customHeight="1">
      <c r="B622" s="367" t="s">
        <v>9659</v>
      </c>
      <c r="C622" s="351" t="s">
        <v>9660</v>
      </c>
      <c r="D622" s="353">
        <v>-1199</v>
      </c>
      <c r="E622" s="352" t="s">
        <v>408</v>
      </c>
      <c r="F622" s="341">
        <v>90.08</v>
      </c>
      <c r="G622" s="355" t="s">
        <v>9661</v>
      </c>
      <c r="H622" s="356" t="s">
        <v>9686</v>
      </c>
      <c r="I622" s="354" t="s">
        <v>82</v>
      </c>
      <c r="J622" s="340" t="s">
        <v>9663</v>
      </c>
      <c r="K622" s="339" t="s">
        <v>70</v>
      </c>
      <c r="L622" s="357">
        <v>8</v>
      </c>
      <c r="M622" s="358" t="s">
        <v>9664</v>
      </c>
      <c r="N622" s="359">
        <v>800</v>
      </c>
      <c r="O622" s="360" t="s">
        <v>530</v>
      </c>
      <c r="P622" s="343" t="s">
        <v>531</v>
      </c>
      <c r="Q622" s="342" t="s">
        <v>2688</v>
      </c>
      <c r="R622" s="344">
        <v>20</v>
      </c>
      <c r="S622" s="345">
        <v>35</v>
      </c>
      <c r="T622" s="362">
        <v>30</v>
      </c>
      <c r="U622" s="361">
        <v>90.08</v>
      </c>
      <c r="V622" s="346">
        <v>125.52639452874544</v>
      </c>
      <c r="W622" s="348">
        <v>123.98431288736909</v>
      </c>
      <c r="X622" s="347">
        <v>62.98</v>
      </c>
      <c r="Y622" s="357">
        <v>63.85</v>
      </c>
      <c r="Z622" s="365" t="s">
        <v>3017</v>
      </c>
      <c r="AA622" s="350">
        <v>117.6</v>
      </c>
      <c r="AB622" s="349" t="s">
        <v>2685</v>
      </c>
      <c r="AC622" s="350">
        <v>0</v>
      </c>
      <c r="AD622" s="349" t="s">
        <v>2685</v>
      </c>
      <c r="AE622" s="364">
        <v>0</v>
      </c>
      <c r="AF622" s="366">
        <v>9.6</v>
      </c>
      <c r="AG622" s="363">
        <v>0</v>
      </c>
      <c r="AH622" s="635" t="s">
        <v>7814</v>
      </c>
      <c r="AI622" s="324"/>
      <c r="AL622" s="487" t="s">
        <v>14876</v>
      </c>
      <c r="AM622" s="477" t="s">
        <v>70</v>
      </c>
      <c r="AN622" s="637">
        <v>100</v>
      </c>
      <c r="AO622" s="478">
        <v>-1199</v>
      </c>
      <c r="AP622" s="463">
        <v>-1199</v>
      </c>
      <c r="AQ622" s="479">
        <v>0</v>
      </c>
      <c r="AR622" s="476" t="s">
        <v>17206</v>
      </c>
      <c r="BA622" s="313" t="s">
        <v>3931</v>
      </c>
    </row>
    <row r="623" spans="2:53" ht="16.5" customHeight="1">
      <c r="B623" s="367" t="s">
        <v>9667</v>
      </c>
      <c r="C623" s="351" t="s">
        <v>9668</v>
      </c>
      <c r="D623" s="353">
        <v>-1200</v>
      </c>
      <c r="E623" s="352" t="s">
        <v>408</v>
      </c>
      <c r="F623" s="341">
        <v>90.03</v>
      </c>
      <c r="G623" s="355" t="s">
        <v>4088</v>
      </c>
      <c r="H623" s="356" t="s">
        <v>9669</v>
      </c>
      <c r="I623" s="354" t="s">
        <v>217</v>
      </c>
      <c r="J623" s="340" t="s">
        <v>9670</v>
      </c>
      <c r="K623" s="339" t="s">
        <v>70</v>
      </c>
      <c r="L623" s="357">
        <v>45</v>
      </c>
      <c r="M623" s="358" t="s">
        <v>9671</v>
      </c>
      <c r="N623" s="359">
        <v>1000</v>
      </c>
      <c r="O623" s="360" t="s">
        <v>530</v>
      </c>
      <c r="P623" s="343" t="s">
        <v>531</v>
      </c>
      <c r="Q623" s="342" t="s">
        <v>2688</v>
      </c>
      <c r="R623" s="344">
        <v>30</v>
      </c>
      <c r="S623" s="345">
        <v>40</v>
      </c>
      <c r="T623" s="362">
        <v>20</v>
      </c>
      <c r="U623" s="361">
        <v>90.03</v>
      </c>
      <c r="V623" s="346">
        <v>125.48702594810379</v>
      </c>
      <c r="W623" s="348">
        <v>123.93313373253494</v>
      </c>
      <c r="X623" s="347">
        <v>62.96</v>
      </c>
      <c r="Y623" s="357">
        <v>63.839999999999996</v>
      </c>
      <c r="Z623" s="365" t="s">
        <v>3017</v>
      </c>
      <c r="AA623" s="350">
        <v>98.5</v>
      </c>
      <c r="AB623" s="349" t="s">
        <v>2685</v>
      </c>
      <c r="AC623" s="350">
        <v>0</v>
      </c>
      <c r="AD623" s="349" t="s">
        <v>2685</v>
      </c>
      <c r="AE623" s="364">
        <v>0</v>
      </c>
      <c r="AF623" s="366">
        <v>0</v>
      </c>
      <c r="AG623" s="363">
        <v>0</v>
      </c>
      <c r="AH623" s="635" t="s">
        <v>408</v>
      </c>
      <c r="AI623" s="324"/>
      <c r="AL623" s="487" t="s">
        <v>14877</v>
      </c>
      <c r="AM623" s="477" t="s">
        <v>70</v>
      </c>
      <c r="AN623" s="637">
        <v>100</v>
      </c>
      <c r="AO623" s="478">
        <v>-1200</v>
      </c>
      <c r="AP623" s="463">
        <v>-1200</v>
      </c>
      <c r="AQ623" s="479">
        <v>0</v>
      </c>
      <c r="AR623" s="476" t="s">
        <v>14878</v>
      </c>
      <c r="BA623" s="313" t="s">
        <v>3932</v>
      </c>
    </row>
    <row r="624" spans="2:53" ht="16.5" customHeight="1">
      <c r="B624" s="367" t="s">
        <v>9672</v>
      </c>
      <c r="C624" s="351" t="s">
        <v>9673</v>
      </c>
      <c r="D624" s="353">
        <v>-1201</v>
      </c>
      <c r="E624" s="352" t="s">
        <v>408</v>
      </c>
      <c r="F624" s="341">
        <v>90.01</v>
      </c>
      <c r="G624" s="355" t="s">
        <v>4100</v>
      </c>
      <c r="H624" s="356" t="s">
        <v>3765</v>
      </c>
      <c r="I624" s="354" t="s">
        <v>82</v>
      </c>
      <c r="J624" s="340" t="s">
        <v>9674</v>
      </c>
      <c r="K624" s="339" t="s">
        <v>70</v>
      </c>
      <c r="L624" s="357">
        <v>20</v>
      </c>
      <c r="M624" s="358" t="s">
        <v>9675</v>
      </c>
      <c r="N624" s="359">
        <v>800</v>
      </c>
      <c r="O624" s="360" t="s">
        <v>530</v>
      </c>
      <c r="P624" s="343" t="s">
        <v>531</v>
      </c>
      <c r="Q624" s="342" t="s">
        <v>2688</v>
      </c>
      <c r="R624" s="344">
        <v>20</v>
      </c>
      <c r="S624" s="345">
        <v>35</v>
      </c>
      <c r="T624" s="362">
        <v>30</v>
      </c>
      <c r="U624" s="361">
        <v>90.01</v>
      </c>
      <c r="V624" s="346">
        <v>125.47296430861294</v>
      </c>
      <c r="W624" s="348">
        <v>123.91485360119682</v>
      </c>
      <c r="X624" s="347">
        <v>62.96</v>
      </c>
      <c r="Y624" s="357">
        <v>63.83</v>
      </c>
      <c r="Z624" s="365" t="s">
        <v>3017</v>
      </c>
      <c r="AA624" s="350">
        <v>117.6</v>
      </c>
      <c r="AB624" s="349" t="s">
        <v>2685</v>
      </c>
      <c r="AC624" s="350">
        <v>0</v>
      </c>
      <c r="AD624" s="349" t="s">
        <v>2685</v>
      </c>
      <c r="AE624" s="364">
        <v>0</v>
      </c>
      <c r="AF624" s="366">
        <v>9.6</v>
      </c>
      <c r="AG624" s="363">
        <v>0</v>
      </c>
      <c r="AH624" s="635" t="s">
        <v>7814</v>
      </c>
      <c r="AI624" s="324"/>
      <c r="AL624" s="487" t="s">
        <v>14881</v>
      </c>
      <c r="AM624" s="477" t="s">
        <v>70</v>
      </c>
      <c r="AN624" s="637">
        <v>100</v>
      </c>
      <c r="AO624" s="478">
        <v>-1201</v>
      </c>
      <c r="AP624" s="463">
        <v>-1201</v>
      </c>
      <c r="AQ624" s="479">
        <v>0</v>
      </c>
      <c r="AR624" s="476" t="s">
        <v>17207</v>
      </c>
      <c r="BA624" s="313" t="s">
        <v>3933</v>
      </c>
    </row>
    <row r="625" spans="2:53" ht="16.5" customHeight="1">
      <c r="B625" s="367" t="s">
        <v>9676</v>
      </c>
      <c r="C625" s="351" t="s">
        <v>9677</v>
      </c>
      <c r="D625" s="353">
        <v>-1202</v>
      </c>
      <c r="E625" s="352" t="s">
        <v>408</v>
      </c>
      <c r="F625" s="341">
        <v>89.99</v>
      </c>
      <c r="G625" s="355" t="s">
        <v>9678</v>
      </c>
      <c r="H625" s="356" t="s">
        <v>9679</v>
      </c>
      <c r="I625" s="354" t="s">
        <v>233</v>
      </c>
      <c r="J625" s="340" t="s">
        <v>8283</v>
      </c>
      <c r="K625" s="339" t="s">
        <v>70</v>
      </c>
      <c r="L625" s="357">
        <v>12</v>
      </c>
      <c r="M625" s="358" t="s">
        <v>9680</v>
      </c>
      <c r="N625" s="359">
        <v>1000</v>
      </c>
      <c r="O625" s="360" t="s">
        <v>530</v>
      </c>
      <c r="P625" s="343" t="s">
        <v>531</v>
      </c>
      <c r="Q625" s="342" t="s">
        <v>2688</v>
      </c>
      <c r="R625" s="344">
        <v>25</v>
      </c>
      <c r="S625" s="345">
        <v>35</v>
      </c>
      <c r="T625" s="362">
        <v>25</v>
      </c>
      <c r="U625" s="361">
        <v>89.99</v>
      </c>
      <c r="V625" s="346">
        <v>125.45749112791235</v>
      </c>
      <c r="W625" s="348">
        <v>123.89473846628606</v>
      </c>
      <c r="X625" s="347">
        <v>62.95</v>
      </c>
      <c r="Y625" s="357">
        <v>63.82</v>
      </c>
      <c r="Z625" s="365" t="s">
        <v>3017</v>
      </c>
      <c r="AA625" s="350">
        <v>149.25</v>
      </c>
      <c r="AB625" s="349" t="s">
        <v>2685</v>
      </c>
      <c r="AC625" s="350">
        <v>0</v>
      </c>
      <c r="AD625" s="349" t="s">
        <v>2685</v>
      </c>
      <c r="AE625" s="364">
        <v>0</v>
      </c>
      <c r="AF625" s="366">
        <v>6.5039999999999996</v>
      </c>
      <c r="AG625" s="363">
        <v>0</v>
      </c>
      <c r="AH625" s="635" t="s">
        <v>9681</v>
      </c>
      <c r="AI625" s="324"/>
      <c r="AL625" s="487" t="s">
        <v>14882</v>
      </c>
      <c r="AM625" s="477" t="s">
        <v>70</v>
      </c>
      <c r="AN625" s="637">
        <v>100</v>
      </c>
      <c r="AO625" s="478">
        <v>-1202</v>
      </c>
      <c r="AP625" s="463">
        <v>-1202</v>
      </c>
      <c r="AQ625" s="479">
        <v>0</v>
      </c>
      <c r="AR625" s="476" t="s">
        <v>14883</v>
      </c>
      <c r="BA625" s="313" t="s">
        <v>3936</v>
      </c>
    </row>
    <row r="626" spans="2:53" ht="16.5" customHeight="1">
      <c r="B626" s="367" t="s">
        <v>9676</v>
      </c>
      <c r="C626" s="351" t="s">
        <v>9677</v>
      </c>
      <c r="D626" s="353">
        <v>-1203</v>
      </c>
      <c r="E626" s="352" t="s">
        <v>408</v>
      </c>
      <c r="F626" s="341">
        <v>89.99</v>
      </c>
      <c r="G626" s="355" t="s">
        <v>9682</v>
      </c>
      <c r="H626" s="356" t="s">
        <v>18589</v>
      </c>
      <c r="I626" s="354" t="s">
        <v>217</v>
      </c>
      <c r="J626" s="340" t="s">
        <v>9683</v>
      </c>
      <c r="K626" s="339" t="s">
        <v>71</v>
      </c>
      <c r="L626" s="357">
        <v>15</v>
      </c>
      <c r="M626" s="358" t="s">
        <v>9684</v>
      </c>
      <c r="N626" s="359">
        <v>1000</v>
      </c>
      <c r="O626" s="360" t="s">
        <v>530</v>
      </c>
      <c r="P626" s="343" t="s">
        <v>531</v>
      </c>
      <c r="Q626" s="342" t="s">
        <v>2688</v>
      </c>
      <c r="R626" s="344">
        <v>30</v>
      </c>
      <c r="S626" s="345">
        <v>40</v>
      </c>
      <c r="T626" s="362">
        <v>20</v>
      </c>
      <c r="U626" s="361">
        <v>89.99</v>
      </c>
      <c r="V626" s="346">
        <v>125.45326554556122</v>
      </c>
      <c r="W626" s="348">
        <v>123.88924520922959</v>
      </c>
      <c r="X626" s="347">
        <v>62.95</v>
      </c>
      <c r="Y626" s="357">
        <v>63.82</v>
      </c>
      <c r="Z626" s="365" t="s">
        <v>3017</v>
      </c>
      <c r="AA626" s="350">
        <v>98.5</v>
      </c>
      <c r="AB626" s="349" t="s">
        <v>2685</v>
      </c>
      <c r="AC626" s="350">
        <v>0</v>
      </c>
      <c r="AD626" s="349" t="s">
        <v>2685</v>
      </c>
      <c r="AE626" s="364">
        <v>0</v>
      </c>
      <c r="AF626" s="366">
        <v>0</v>
      </c>
      <c r="AG626" s="363">
        <v>0</v>
      </c>
      <c r="AH626" s="635" t="s">
        <v>408</v>
      </c>
      <c r="AI626" s="324"/>
      <c r="AL626" s="487" t="s">
        <v>14884</v>
      </c>
      <c r="AM626" s="477" t="s">
        <v>71</v>
      </c>
      <c r="AN626" s="637">
        <v>100</v>
      </c>
      <c r="AO626" s="478">
        <v>-1203</v>
      </c>
      <c r="AP626" s="463">
        <v>-622</v>
      </c>
      <c r="AQ626" s="479">
        <v>-581</v>
      </c>
      <c r="AR626" s="476" t="s">
        <v>16954</v>
      </c>
      <c r="BA626" s="313" t="s">
        <v>3937</v>
      </c>
    </row>
    <row r="627" spans="2:53" ht="16.5" customHeight="1">
      <c r="B627" s="367" t="s">
        <v>9676</v>
      </c>
      <c r="C627" s="351" t="s">
        <v>9677</v>
      </c>
      <c r="D627" s="353">
        <v>-1204</v>
      </c>
      <c r="E627" s="352" t="s">
        <v>408</v>
      </c>
      <c r="F627" s="341">
        <v>89.99</v>
      </c>
      <c r="G627" s="355" t="s">
        <v>9678</v>
      </c>
      <c r="H627" s="356" t="s">
        <v>9788</v>
      </c>
      <c r="I627" s="354" t="s">
        <v>217</v>
      </c>
      <c r="J627" s="340" t="s">
        <v>8696</v>
      </c>
      <c r="K627" s="339" t="s">
        <v>71</v>
      </c>
      <c r="L627" s="357">
        <v>67</v>
      </c>
      <c r="M627" s="358" t="s">
        <v>9685</v>
      </c>
      <c r="N627" s="359">
        <v>1000</v>
      </c>
      <c r="O627" s="360" t="s">
        <v>530</v>
      </c>
      <c r="P627" s="343" t="s">
        <v>531</v>
      </c>
      <c r="Q627" s="342" t="s">
        <v>2688</v>
      </c>
      <c r="R627" s="344">
        <v>30</v>
      </c>
      <c r="S627" s="345">
        <v>40</v>
      </c>
      <c r="T627" s="362">
        <v>20</v>
      </c>
      <c r="U627" s="361">
        <v>89.99</v>
      </c>
      <c r="V627" s="346">
        <v>125.45522096206493</v>
      </c>
      <c r="W627" s="348">
        <v>123.8917872506844</v>
      </c>
      <c r="X627" s="347">
        <v>62.95</v>
      </c>
      <c r="Y627" s="357">
        <v>63.82</v>
      </c>
      <c r="Z627" s="365" t="s">
        <v>3017</v>
      </c>
      <c r="AA627" s="350">
        <v>98.5</v>
      </c>
      <c r="AB627" s="349" t="s">
        <v>2685</v>
      </c>
      <c r="AC627" s="350">
        <v>0</v>
      </c>
      <c r="AD627" s="349" t="s">
        <v>2685</v>
      </c>
      <c r="AE627" s="364">
        <v>0</v>
      </c>
      <c r="AF627" s="366">
        <v>0</v>
      </c>
      <c r="AG627" s="363">
        <v>0</v>
      </c>
      <c r="AH627" s="635" t="s">
        <v>408</v>
      </c>
      <c r="AI627" s="324"/>
      <c r="AL627" s="487" t="s">
        <v>14885</v>
      </c>
      <c r="AM627" s="477" t="s">
        <v>71</v>
      </c>
      <c r="AN627" s="637">
        <v>100</v>
      </c>
      <c r="AO627" s="478">
        <v>-1204</v>
      </c>
      <c r="AP627" s="463">
        <v>-623</v>
      </c>
      <c r="AQ627" s="479">
        <v>-581</v>
      </c>
      <c r="AR627" s="476" t="s">
        <v>16955</v>
      </c>
      <c r="BA627" s="313" t="s">
        <v>3938</v>
      </c>
    </row>
    <row r="628" spans="2:53" ht="16.5" customHeight="1">
      <c r="B628" s="367" t="s">
        <v>9676</v>
      </c>
      <c r="C628" s="351" t="s">
        <v>9677</v>
      </c>
      <c r="D628" s="353">
        <v>-1205</v>
      </c>
      <c r="E628" s="352" t="s">
        <v>408</v>
      </c>
      <c r="F628" s="341">
        <v>89.99</v>
      </c>
      <c r="G628" s="355" t="s">
        <v>9678</v>
      </c>
      <c r="H628" s="356" t="s">
        <v>9788</v>
      </c>
      <c r="I628" s="354" t="s">
        <v>217</v>
      </c>
      <c r="J628" s="340" t="s">
        <v>8534</v>
      </c>
      <c r="K628" s="339" t="s">
        <v>71</v>
      </c>
      <c r="L628" s="357">
        <v>13</v>
      </c>
      <c r="M628" s="358" t="s">
        <v>9685</v>
      </c>
      <c r="N628" s="359">
        <v>1000</v>
      </c>
      <c r="O628" s="360" t="s">
        <v>530</v>
      </c>
      <c r="P628" s="343" t="s">
        <v>531</v>
      </c>
      <c r="Q628" s="342" t="s">
        <v>2688</v>
      </c>
      <c r="R628" s="344">
        <v>30</v>
      </c>
      <c r="S628" s="345">
        <v>40</v>
      </c>
      <c r="T628" s="362">
        <v>20</v>
      </c>
      <c r="U628" s="361">
        <v>89.99</v>
      </c>
      <c r="V628" s="346">
        <v>125.45522096206493</v>
      </c>
      <c r="W628" s="348">
        <v>123.8917872506844</v>
      </c>
      <c r="X628" s="347">
        <v>62.95</v>
      </c>
      <c r="Y628" s="357">
        <v>63.82</v>
      </c>
      <c r="Z628" s="365" t="s">
        <v>3017</v>
      </c>
      <c r="AA628" s="350">
        <v>98.5</v>
      </c>
      <c r="AB628" s="349" t="s">
        <v>2685</v>
      </c>
      <c r="AC628" s="350">
        <v>0</v>
      </c>
      <c r="AD628" s="349" t="s">
        <v>2685</v>
      </c>
      <c r="AE628" s="364">
        <v>0</v>
      </c>
      <c r="AF628" s="366">
        <v>0</v>
      </c>
      <c r="AG628" s="363">
        <v>0</v>
      </c>
      <c r="AH628" s="635" t="s">
        <v>408</v>
      </c>
      <c r="AI628" s="324"/>
      <c r="AL628" s="487" t="s">
        <v>14886</v>
      </c>
      <c r="AM628" s="477" t="s">
        <v>71</v>
      </c>
      <c r="AN628" s="637">
        <v>100</v>
      </c>
      <c r="AO628" s="478">
        <v>-1205</v>
      </c>
      <c r="AP628" s="463">
        <v>-623</v>
      </c>
      <c r="AQ628" s="479">
        <v>-582</v>
      </c>
      <c r="AR628" s="476" t="s">
        <v>16955</v>
      </c>
      <c r="BA628" s="313" t="s">
        <v>3941</v>
      </c>
    </row>
    <row r="629" spans="2:53" ht="16.5" customHeight="1">
      <c r="B629" s="367" t="s">
        <v>3827</v>
      </c>
      <c r="C629" s="351" t="s">
        <v>3828</v>
      </c>
      <c r="D629" s="353">
        <v>-1206</v>
      </c>
      <c r="E629" s="352" t="s">
        <v>408</v>
      </c>
      <c r="F629" s="341">
        <v>89.97</v>
      </c>
      <c r="G629" s="355" t="s">
        <v>4104</v>
      </c>
      <c r="H629" s="356" t="s">
        <v>9687</v>
      </c>
      <c r="I629" s="354" t="s">
        <v>239</v>
      </c>
      <c r="J629" s="340" t="s">
        <v>8633</v>
      </c>
      <c r="K629" s="339" t="s">
        <v>70</v>
      </c>
      <c r="L629" s="357">
        <v>32</v>
      </c>
      <c r="M629" s="358" t="s">
        <v>9688</v>
      </c>
      <c r="N629" s="359">
        <v>1000</v>
      </c>
      <c r="O629" s="360" t="s">
        <v>530</v>
      </c>
      <c r="P629" s="343" t="s">
        <v>531</v>
      </c>
      <c r="Q629" s="342" t="s">
        <v>2688</v>
      </c>
      <c r="R629" s="344">
        <v>30</v>
      </c>
      <c r="S629" s="345">
        <v>40</v>
      </c>
      <c r="T629" s="362">
        <v>30</v>
      </c>
      <c r="U629" s="361">
        <v>89.97</v>
      </c>
      <c r="V629" s="346">
        <v>125.43622131293363</v>
      </c>
      <c r="W629" s="348">
        <v>123.86708770681372</v>
      </c>
      <c r="X629" s="347">
        <v>62.94</v>
      </c>
      <c r="Y629" s="357">
        <v>63.809999999999995</v>
      </c>
      <c r="Z629" s="365" t="s">
        <v>3017</v>
      </c>
      <c r="AA629" s="350">
        <v>-1</v>
      </c>
      <c r="AB629" s="349" t="s">
        <v>2685</v>
      </c>
      <c r="AC629" s="350">
        <v>0</v>
      </c>
      <c r="AD629" s="349" t="s">
        <v>2685</v>
      </c>
      <c r="AE629" s="364">
        <v>0</v>
      </c>
      <c r="AF629" s="366">
        <v>0</v>
      </c>
      <c r="AG629" s="363">
        <v>0</v>
      </c>
      <c r="AH629" s="635" t="s">
        <v>408</v>
      </c>
      <c r="AI629" s="324"/>
      <c r="AL629" s="487" t="s">
        <v>14887</v>
      </c>
      <c r="AM629" s="477" t="s">
        <v>70</v>
      </c>
      <c r="AN629" s="637">
        <v>100</v>
      </c>
      <c r="AO629" s="478">
        <v>-1206</v>
      </c>
      <c r="AP629" s="463">
        <v>-1206</v>
      </c>
      <c r="AQ629" s="479">
        <v>0</v>
      </c>
      <c r="AR629" s="476" t="s">
        <v>14888</v>
      </c>
      <c r="BA629" s="313" t="s">
        <v>3944</v>
      </c>
    </row>
    <row r="630" spans="2:53" ht="16.5" customHeight="1">
      <c r="B630" s="367" t="s">
        <v>3827</v>
      </c>
      <c r="C630" s="351" t="s">
        <v>3828</v>
      </c>
      <c r="D630" s="353">
        <v>-1207</v>
      </c>
      <c r="E630" s="352" t="s">
        <v>408</v>
      </c>
      <c r="F630" s="341">
        <v>89.97</v>
      </c>
      <c r="G630" s="355" t="s">
        <v>4104</v>
      </c>
      <c r="H630" s="356" t="s">
        <v>9687</v>
      </c>
      <c r="I630" s="354" t="s">
        <v>82</v>
      </c>
      <c r="J630" s="340" t="s">
        <v>8744</v>
      </c>
      <c r="K630" s="339" t="s">
        <v>70</v>
      </c>
      <c r="L630" s="357">
        <v>37</v>
      </c>
      <c r="M630" s="358" t="s">
        <v>9689</v>
      </c>
      <c r="N630" s="359">
        <v>800</v>
      </c>
      <c r="O630" s="360" t="s">
        <v>530</v>
      </c>
      <c r="P630" s="343" t="s">
        <v>531</v>
      </c>
      <c r="Q630" s="342" t="s">
        <v>2688</v>
      </c>
      <c r="R630" s="344">
        <v>20</v>
      </c>
      <c r="S630" s="345">
        <v>35</v>
      </c>
      <c r="T630" s="362">
        <v>30</v>
      </c>
      <c r="U630" s="361">
        <v>89.97</v>
      </c>
      <c r="V630" s="346">
        <v>125.43619683069224</v>
      </c>
      <c r="W630" s="348">
        <v>123.86705587989991</v>
      </c>
      <c r="X630" s="347">
        <v>62.94</v>
      </c>
      <c r="Y630" s="357">
        <v>63.809999999999995</v>
      </c>
      <c r="Z630" s="365" t="s">
        <v>3017</v>
      </c>
      <c r="AA630" s="350">
        <v>117.6</v>
      </c>
      <c r="AB630" s="349" t="s">
        <v>2685</v>
      </c>
      <c r="AC630" s="350">
        <v>0</v>
      </c>
      <c r="AD630" s="349" t="s">
        <v>2685</v>
      </c>
      <c r="AE630" s="364">
        <v>0</v>
      </c>
      <c r="AF630" s="366">
        <v>9.6</v>
      </c>
      <c r="AG630" s="363">
        <v>0</v>
      </c>
      <c r="AH630" s="635" t="s">
        <v>7814</v>
      </c>
      <c r="AI630" s="324"/>
      <c r="AL630" s="487" t="s">
        <v>14889</v>
      </c>
      <c r="AM630" s="477" t="s">
        <v>70</v>
      </c>
      <c r="AN630" s="637">
        <v>100</v>
      </c>
      <c r="AO630" s="478">
        <v>-1207</v>
      </c>
      <c r="AP630" s="463">
        <v>-1207</v>
      </c>
      <c r="AQ630" s="479">
        <v>0</v>
      </c>
      <c r="AR630" s="476" t="s">
        <v>14888</v>
      </c>
      <c r="BA630" s="313" t="s">
        <v>3948</v>
      </c>
    </row>
    <row r="631" spans="2:53" ht="16.5" customHeight="1">
      <c r="B631" s="367" t="s">
        <v>9690</v>
      </c>
      <c r="C631" s="351" t="s">
        <v>9691</v>
      </c>
      <c r="D631" s="353">
        <v>-1208</v>
      </c>
      <c r="E631" s="352" t="s">
        <v>408</v>
      </c>
      <c r="F631" s="341">
        <v>89.93</v>
      </c>
      <c r="G631" s="355" t="s">
        <v>9692</v>
      </c>
      <c r="H631" s="356" t="s">
        <v>9693</v>
      </c>
      <c r="I631" s="354" t="s">
        <v>217</v>
      </c>
      <c r="J631" s="340" t="s">
        <v>9694</v>
      </c>
      <c r="K631" s="339" t="s">
        <v>70</v>
      </c>
      <c r="L631" s="357">
        <v>23</v>
      </c>
      <c r="M631" s="358" t="s">
        <v>9695</v>
      </c>
      <c r="N631" s="359">
        <v>1000</v>
      </c>
      <c r="O631" s="360" t="s">
        <v>530</v>
      </c>
      <c r="P631" s="343" t="s">
        <v>531</v>
      </c>
      <c r="Q631" s="342" t="s">
        <v>2688</v>
      </c>
      <c r="R631" s="344">
        <v>30</v>
      </c>
      <c r="S631" s="345">
        <v>40</v>
      </c>
      <c r="T631" s="362">
        <v>20</v>
      </c>
      <c r="U631" s="361">
        <v>89.93</v>
      </c>
      <c r="V631" s="346">
        <v>125.40633554947203</v>
      </c>
      <c r="W631" s="348">
        <v>123.82823621431365</v>
      </c>
      <c r="X631" s="347">
        <v>62.93</v>
      </c>
      <c r="Y631" s="357">
        <v>63.8</v>
      </c>
      <c r="Z631" s="365" t="s">
        <v>3017</v>
      </c>
      <c r="AA631" s="350">
        <v>98.5</v>
      </c>
      <c r="AB631" s="349" t="s">
        <v>2685</v>
      </c>
      <c r="AC631" s="350">
        <v>0</v>
      </c>
      <c r="AD631" s="349" t="s">
        <v>2685</v>
      </c>
      <c r="AE631" s="364">
        <v>0</v>
      </c>
      <c r="AF631" s="366">
        <v>0</v>
      </c>
      <c r="AG631" s="363">
        <v>0</v>
      </c>
      <c r="AH631" s="635" t="s">
        <v>408</v>
      </c>
      <c r="AI631" s="324"/>
      <c r="AL631" s="487" t="s">
        <v>14890</v>
      </c>
      <c r="AM631" s="477" t="s">
        <v>70</v>
      </c>
      <c r="AN631" s="637">
        <v>100</v>
      </c>
      <c r="AO631" s="478">
        <v>-1208</v>
      </c>
      <c r="AP631" s="463">
        <v>-1208</v>
      </c>
      <c r="AQ631" s="479">
        <v>0</v>
      </c>
      <c r="AR631" s="476" t="s">
        <v>14891</v>
      </c>
      <c r="BA631" s="313" t="s">
        <v>3950</v>
      </c>
    </row>
    <row r="632" spans="2:53" ht="16.5" customHeight="1">
      <c r="B632" s="367" t="s">
        <v>3837</v>
      </c>
      <c r="C632" s="351" t="s">
        <v>3838</v>
      </c>
      <c r="D632" s="353">
        <v>-1209</v>
      </c>
      <c r="E632" s="352" t="s">
        <v>408</v>
      </c>
      <c r="F632" s="341">
        <v>89.91</v>
      </c>
      <c r="G632" s="355" t="s">
        <v>9645</v>
      </c>
      <c r="H632" s="356" t="s">
        <v>18590</v>
      </c>
      <c r="I632" s="354" t="s">
        <v>217</v>
      </c>
      <c r="J632" s="340" t="s">
        <v>8753</v>
      </c>
      <c r="K632" s="339" t="s">
        <v>71</v>
      </c>
      <c r="L632" s="357">
        <v>5</v>
      </c>
      <c r="M632" s="358" t="s">
        <v>9697</v>
      </c>
      <c r="N632" s="359">
        <v>1000</v>
      </c>
      <c r="O632" s="360" t="s">
        <v>530</v>
      </c>
      <c r="P632" s="343" t="s">
        <v>531</v>
      </c>
      <c r="Q632" s="342" t="s">
        <v>2688</v>
      </c>
      <c r="R632" s="344">
        <v>40</v>
      </c>
      <c r="S632" s="345">
        <v>30</v>
      </c>
      <c r="T632" s="362">
        <v>20</v>
      </c>
      <c r="U632" s="361">
        <v>89.91</v>
      </c>
      <c r="V632" s="346">
        <v>125.39443996776794</v>
      </c>
      <c r="W632" s="348">
        <v>123.81277195809831</v>
      </c>
      <c r="X632" s="347">
        <v>63.17</v>
      </c>
      <c r="Y632" s="357">
        <v>63.79</v>
      </c>
      <c r="Z632" s="365" t="s">
        <v>3017</v>
      </c>
      <c r="AA632" s="350">
        <v>98.5</v>
      </c>
      <c r="AB632" s="349" t="s">
        <v>2685</v>
      </c>
      <c r="AC632" s="350">
        <v>0</v>
      </c>
      <c r="AD632" s="349" t="s">
        <v>2685</v>
      </c>
      <c r="AE632" s="364">
        <v>0</v>
      </c>
      <c r="AF632" s="366">
        <v>0</v>
      </c>
      <c r="AG632" s="363">
        <v>0</v>
      </c>
      <c r="AH632" s="635" t="s">
        <v>408</v>
      </c>
      <c r="AI632" s="324"/>
      <c r="AL632" s="487" t="s">
        <v>14892</v>
      </c>
      <c r="AM632" s="477" t="s">
        <v>71</v>
      </c>
      <c r="AN632" s="637">
        <v>100</v>
      </c>
      <c r="AO632" s="478">
        <v>-1209</v>
      </c>
      <c r="AP632" s="463">
        <v>-627</v>
      </c>
      <c r="AQ632" s="479">
        <v>-582</v>
      </c>
      <c r="AR632" s="476" t="s">
        <v>14907</v>
      </c>
      <c r="BA632" s="313" t="s">
        <v>3954</v>
      </c>
    </row>
    <row r="633" spans="2:53" ht="16.5" customHeight="1">
      <c r="B633" s="367" t="s">
        <v>3844</v>
      </c>
      <c r="C633" s="351" t="s">
        <v>3845</v>
      </c>
      <c r="D633" s="353">
        <v>-1210</v>
      </c>
      <c r="E633" s="352" t="s">
        <v>9696</v>
      </c>
      <c r="F633" s="341">
        <v>89.88</v>
      </c>
      <c r="G633" s="355" t="s">
        <v>18591</v>
      </c>
      <c r="H633" s="356" t="s">
        <v>3797</v>
      </c>
      <c r="I633" s="354" t="s">
        <v>9336</v>
      </c>
      <c r="J633" s="340" t="s">
        <v>489</v>
      </c>
      <c r="K633" s="339" t="s">
        <v>71</v>
      </c>
      <c r="L633" s="357">
        <v>53</v>
      </c>
      <c r="M633" s="358" t="s">
        <v>9698</v>
      </c>
      <c r="N633" s="359">
        <v>700</v>
      </c>
      <c r="O633" s="360" t="s">
        <v>532</v>
      </c>
      <c r="P633" s="343" t="s">
        <v>533</v>
      </c>
      <c r="Q633" s="342" t="s">
        <v>2688</v>
      </c>
      <c r="R633" s="344">
        <v>30</v>
      </c>
      <c r="S633" s="345">
        <v>35</v>
      </c>
      <c r="T633" s="362">
        <v>20</v>
      </c>
      <c r="U633" s="361">
        <v>89.88</v>
      </c>
      <c r="V633" s="346">
        <v>125.3654405534884</v>
      </c>
      <c r="W633" s="348">
        <v>123.77507271953492</v>
      </c>
      <c r="X633" s="347">
        <v>63.15</v>
      </c>
      <c r="Y633" s="357">
        <v>66.25</v>
      </c>
      <c r="Z633" s="365" t="s">
        <v>3017</v>
      </c>
      <c r="AA633" s="350">
        <v>103.5</v>
      </c>
      <c r="AB633" s="349" t="s">
        <v>2685</v>
      </c>
      <c r="AC633" s="350">
        <v>10</v>
      </c>
      <c r="AD633" s="349" t="s">
        <v>2685</v>
      </c>
      <c r="AE633" s="364">
        <v>0</v>
      </c>
      <c r="AF633" s="366">
        <v>0</v>
      </c>
      <c r="AG633" s="363">
        <v>0</v>
      </c>
      <c r="AH633" s="635" t="s">
        <v>408</v>
      </c>
      <c r="AI633" s="324"/>
      <c r="AL633" s="487" t="s">
        <v>14893</v>
      </c>
      <c r="AM633" s="477" t="s">
        <v>71</v>
      </c>
      <c r="AN633" s="637">
        <v>100</v>
      </c>
      <c r="AO633" s="478">
        <v>-1210</v>
      </c>
      <c r="AP633" s="463">
        <v>-627</v>
      </c>
      <c r="AQ633" s="479">
        <v>-583</v>
      </c>
      <c r="AR633" s="476" t="s">
        <v>16956</v>
      </c>
      <c r="BA633" s="313" t="s">
        <v>3956</v>
      </c>
    </row>
    <row r="634" spans="2:53" ht="16.5" customHeight="1">
      <c r="B634" s="367" t="s">
        <v>3847</v>
      </c>
      <c r="C634" s="351" t="s">
        <v>3848</v>
      </c>
      <c r="D634" s="353">
        <v>-1211</v>
      </c>
      <c r="E634" s="352" t="s">
        <v>4120</v>
      </c>
      <c r="F634" s="341">
        <v>89.85</v>
      </c>
      <c r="G634" s="355" t="s">
        <v>10110</v>
      </c>
      <c r="H634" s="356" t="s">
        <v>3803</v>
      </c>
      <c r="I634" s="354" t="s">
        <v>217</v>
      </c>
      <c r="J634" s="340" t="s">
        <v>9699</v>
      </c>
      <c r="K634" s="339" t="s">
        <v>71</v>
      </c>
      <c r="L634" s="357">
        <v>17</v>
      </c>
      <c r="M634" s="358" t="s">
        <v>9700</v>
      </c>
      <c r="N634" s="359">
        <v>1000</v>
      </c>
      <c r="O634" s="360" t="s">
        <v>530</v>
      </c>
      <c r="P634" s="343" t="s">
        <v>531</v>
      </c>
      <c r="Q634" s="342" t="s">
        <v>2688</v>
      </c>
      <c r="R634" s="344">
        <v>40</v>
      </c>
      <c r="S634" s="345">
        <v>30</v>
      </c>
      <c r="T634" s="362">
        <v>20</v>
      </c>
      <c r="U634" s="361">
        <v>89.85</v>
      </c>
      <c r="V634" s="346">
        <v>125.3460918614021</v>
      </c>
      <c r="W634" s="348">
        <v>123.74991941982273</v>
      </c>
      <c r="X634" s="347">
        <v>63.15</v>
      </c>
      <c r="Y634" s="357">
        <v>63.769999999999996</v>
      </c>
      <c r="Z634" s="365" t="s">
        <v>3017</v>
      </c>
      <c r="AA634" s="350">
        <v>98.5</v>
      </c>
      <c r="AB634" s="349" t="s">
        <v>2685</v>
      </c>
      <c r="AC634" s="350">
        <v>0</v>
      </c>
      <c r="AD634" s="349" t="s">
        <v>2685</v>
      </c>
      <c r="AE634" s="364">
        <v>0</v>
      </c>
      <c r="AF634" s="366">
        <v>0</v>
      </c>
      <c r="AG634" s="363">
        <v>0</v>
      </c>
      <c r="AH634" s="635" t="s">
        <v>408</v>
      </c>
      <c r="AI634" s="324"/>
      <c r="AL634" s="487" t="s">
        <v>14894</v>
      </c>
      <c r="AM634" s="477" t="s">
        <v>71</v>
      </c>
      <c r="AN634" s="637">
        <v>100</v>
      </c>
      <c r="AO634" s="478">
        <v>-1211</v>
      </c>
      <c r="AP634" s="463">
        <v>-627</v>
      </c>
      <c r="AQ634" s="479">
        <v>-584</v>
      </c>
      <c r="AR634" s="476" t="s">
        <v>16957</v>
      </c>
      <c r="BA634" s="313" t="s">
        <v>3959</v>
      </c>
    </row>
    <row r="635" spans="2:53" ht="16.5" customHeight="1">
      <c r="B635" s="367" t="s">
        <v>3853</v>
      </c>
      <c r="C635" s="351" t="s">
        <v>3854</v>
      </c>
      <c r="D635" s="353">
        <v>-1212</v>
      </c>
      <c r="E635" s="352" t="s">
        <v>4113</v>
      </c>
      <c r="F635" s="341">
        <v>89.85</v>
      </c>
      <c r="G635" s="355" t="s">
        <v>10110</v>
      </c>
      <c r="H635" s="356" t="s">
        <v>3803</v>
      </c>
      <c r="I635" s="354" t="s">
        <v>9336</v>
      </c>
      <c r="J635" s="639" t="s">
        <v>7365</v>
      </c>
      <c r="K635" s="339" t="s">
        <v>71</v>
      </c>
      <c r="L635" s="357">
        <v>10</v>
      </c>
      <c r="M635" s="358" t="s">
        <v>9702</v>
      </c>
      <c r="N635" s="359">
        <v>700</v>
      </c>
      <c r="O635" s="360" t="s">
        <v>532</v>
      </c>
      <c r="P635" s="343" t="s">
        <v>533</v>
      </c>
      <c r="Q635" s="342" t="s">
        <v>2688</v>
      </c>
      <c r="R635" s="344">
        <v>30</v>
      </c>
      <c r="S635" s="345">
        <v>35</v>
      </c>
      <c r="T635" s="362">
        <v>20</v>
      </c>
      <c r="U635" s="361">
        <v>89.85</v>
      </c>
      <c r="V635" s="346">
        <v>125.34735014569937</v>
      </c>
      <c r="W635" s="348">
        <v>123.75155518940917</v>
      </c>
      <c r="X635" s="347">
        <v>63.15</v>
      </c>
      <c r="Y635" s="357">
        <v>66.23</v>
      </c>
      <c r="Z635" s="365" t="s">
        <v>3017</v>
      </c>
      <c r="AA635" s="350">
        <v>103.5</v>
      </c>
      <c r="AB635" s="349" t="s">
        <v>2685</v>
      </c>
      <c r="AC635" s="350">
        <v>10</v>
      </c>
      <c r="AD635" s="349" t="s">
        <v>2685</v>
      </c>
      <c r="AE635" s="364">
        <v>0</v>
      </c>
      <c r="AF635" s="366">
        <v>0</v>
      </c>
      <c r="AG635" s="363">
        <v>0</v>
      </c>
      <c r="AH635" s="635" t="s">
        <v>408</v>
      </c>
      <c r="AI635" s="324"/>
      <c r="AL635" s="487" t="s">
        <v>14895</v>
      </c>
      <c r="AM635" s="477" t="s">
        <v>71</v>
      </c>
      <c r="AN635" s="637">
        <v>100</v>
      </c>
      <c r="AO635" s="478">
        <v>-1212</v>
      </c>
      <c r="AP635" s="463">
        <v>-627</v>
      </c>
      <c r="AQ635" s="479">
        <v>-585</v>
      </c>
      <c r="AR635" s="476" t="s">
        <v>16957</v>
      </c>
      <c r="BA635" s="313" t="s">
        <v>3963</v>
      </c>
    </row>
    <row r="636" spans="2:53" ht="16.5" customHeight="1">
      <c r="B636" s="367" t="s">
        <v>3861</v>
      </c>
      <c r="C636" s="351" t="s">
        <v>3862</v>
      </c>
      <c r="D636" s="353">
        <v>-1213</v>
      </c>
      <c r="E636" s="352" t="s">
        <v>9701</v>
      </c>
      <c r="F636" s="341">
        <v>89.83</v>
      </c>
      <c r="G636" s="355" t="s">
        <v>4122</v>
      </c>
      <c r="H636" s="356" t="s">
        <v>18590</v>
      </c>
      <c r="I636" s="354" t="s">
        <v>82</v>
      </c>
      <c r="J636" s="340" t="s">
        <v>9703</v>
      </c>
      <c r="K636" s="339" t="s">
        <v>70</v>
      </c>
      <c r="L636" s="357">
        <v>36</v>
      </c>
      <c r="M636" s="358" t="s">
        <v>9704</v>
      </c>
      <c r="N636" s="359">
        <v>800</v>
      </c>
      <c r="O636" s="360" t="s">
        <v>530</v>
      </c>
      <c r="P636" s="343" t="s">
        <v>531</v>
      </c>
      <c r="Q636" s="342" t="s">
        <v>2688</v>
      </c>
      <c r="R636" s="344">
        <v>20</v>
      </c>
      <c r="S636" s="345">
        <v>35</v>
      </c>
      <c r="T636" s="362">
        <v>30</v>
      </c>
      <c r="U636" s="361">
        <v>89.83</v>
      </c>
      <c r="V636" s="346">
        <v>125.33194328607172</v>
      </c>
      <c r="W636" s="348">
        <v>123.73152627189323</v>
      </c>
      <c r="X636" s="347">
        <v>62.89</v>
      </c>
      <c r="Y636" s="357">
        <v>63.76</v>
      </c>
      <c r="Z636" s="365" t="s">
        <v>3017</v>
      </c>
      <c r="AA636" s="350">
        <v>117.6</v>
      </c>
      <c r="AB636" s="349" t="s">
        <v>2685</v>
      </c>
      <c r="AC636" s="350">
        <v>0</v>
      </c>
      <c r="AD636" s="349" t="s">
        <v>2685</v>
      </c>
      <c r="AE636" s="364">
        <v>0</v>
      </c>
      <c r="AF636" s="366">
        <v>9.6</v>
      </c>
      <c r="AG636" s="363">
        <v>0</v>
      </c>
      <c r="AH636" s="635" t="s">
        <v>7814</v>
      </c>
      <c r="AI636" s="324"/>
      <c r="AL636" s="487" t="s">
        <v>14896</v>
      </c>
      <c r="AM636" s="477" t="s">
        <v>70</v>
      </c>
      <c r="AN636" s="637">
        <v>100</v>
      </c>
      <c r="AO636" s="478">
        <v>-1213</v>
      </c>
      <c r="AP636" s="463">
        <v>-1213</v>
      </c>
      <c r="AQ636" s="479">
        <v>0</v>
      </c>
      <c r="AR636" s="476" t="s">
        <v>17208</v>
      </c>
      <c r="BA636" s="313" t="s">
        <v>3964</v>
      </c>
    </row>
    <row r="637" spans="2:53" ht="16.5" customHeight="1">
      <c r="B637" s="367" t="s">
        <v>3864</v>
      </c>
      <c r="C637" s="351" t="s">
        <v>3865</v>
      </c>
      <c r="D637" s="353">
        <v>-1214</v>
      </c>
      <c r="E637" s="352" t="s">
        <v>408</v>
      </c>
      <c r="F637" s="341">
        <v>89.82</v>
      </c>
      <c r="G637" s="355" t="s">
        <v>4124</v>
      </c>
      <c r="H637" s="356" t="s">
        <v>3792</v>
      </c>
      <c r="I637" s="354" t="s">
        <v>233</v>
      </c>
      <c r="J637" s="340" t="s">
        <v>8916</v>
      </c>
      <c r="K637" s="339" t="s">
        <v>70</v>
      </c>
      <c r="L637" s="357">
        <v>67</v>
      </c>
      <c r="M637" s="358" t="s">
        <v>9705</v>
      </c>
      <c r="N637" s="359">
        <v>1000</v>
      </c>
      <c r="O637" s="360" t="s">
        <v>530</v>
      </c>
      <c r="P637" s="343" t="s">
        <v>531</v>
      </c>
      <c r="Q637" s="342" t="s">
        <v>2688</v>
      </c>
      <c r="R637" s="344">
        <v>25</v>
      </c>
      <c r="S637" s="345">
        <v>35</v>
      </c>
      <c r="T637" s="362">
        <v>25</v>
      </c>
      <c r="U637" s="361">
        <v>89.82</v>
      </c>
      <c r="V637" s="346">
        <v>125.32391771412239</v>
      </c>
      <c r="W637" s="348">
        <v>123.72109302835912</v>
      </c>
      <c r="X637" s="347">
        <v>62.89</v>
      </c>
      <c r="Y637" s="357">
        <v>63.75</v>
      </c>
      <c r="Z637" s="365" t="s">
        <v>3017</v>
      </c>
      <c r="AA637" s="350">
        <v>149.25</v>
      </c>
      <c r="AB637" s="349" t="s">
        <v>2685</v>
      </c>
      <c r="AC637" s="350">
        <v>0</v>
      </c>
      <c r="AD637" s="349" t="s">
        <v>2685</v>
      </c>
      <c r="AE637" s="364">
        <v>0</v>
      </c>
      <c r="AF637" s="366">
        <v>11.276999999999999</v>
      </c>
      <c r="AG637" s="363">
        <v>0</v>
      </c>
      <c r="AH637" s="635" t="s">
        <v>7993</v>
      </c>
      <c r="AI637" s="324"/>
      <c r="AL637" s="487" t="s">
        <v>14897</v>
      </c>
      <c r="AM637" s="477" t="s">
        <v>70</v>
      </c>
      <c r="AN637" s="637">
        <v>100</v>
      </c>
      <c r="AO637" s="478">
        <v>-1214</v>
      </c>
      <c r="AP637" s="463">
        <v>-1214</v>
      </c>
      <c r="AQ637" s="479">
        <v>0</v>
      </c>
      <c r="AR637" s="476" t="s">
        <v>14898</v>
      </c>
      <c r="BA637" s="313" t="s">
        <v>3966</v>
      </c>
    </row>
    <row r="638" spans="2:53" ht="16.5" customHeight="1">
      <c r="B638" s="367" t="s">
        <v>3870</v>
      </c>
      <c r="C638" s="351" t="s">
        <v>3871</v>
      </c>
      <c r="D638" s="353">
        <v>-1215</v>
      </c>
      <c r="E638" s="352" t="s">
        <v>408</v>
      </c>
      <c r="F638" s="341">
        <v>89.81</v>
      </c>
      <c r="G638" s="355" t="s">
        <v>9706</v>
      </c>
      <c r="H638" s="356" t="s">
        <v>3787</v>
      </c>
      <c r="I638" s="354" t="s">
        <v>9189</v>
      </c>
      <c r="J638" s="340" t="s">
        <v>9665</v>
      </c>
      <c r="K638" s="339" t="s">
        <v>70</v>
      </c>
      <c r="L638" s="357">
        <v>6</v>
      </c>
      <c r="M638" s="358" t="s">
        <v>9666</v>
      </c>
      <c r="N638" s="359">
        <v>1000</v>
      </c>
      <c r="O638" s="360" t="s">
        <v>532</v>
      </c>
      <c r="P638" s="343" t="s">
        <v>532</v>
      </c>
      <c r="Q638" s="342" t="s">
        <v>2688</v>
      </c>
      <c r="R638" s="344">
        <v>20</v>
      </c>
      <c r="S638" s="345">
        <v>35</v>
      </c>
      <c r="T638" s="362">
        <v>25</v>
      </c>
      <c r="U638" s="361">
        <v>89.81</v>
      </c>
      <c r="V638" s="346">
        <v>125.3130448335645</v>
      </c>
      <c r="W638" s="348">
        <v>123.70695828363387</v>
      </c>
      <c r="X638" s="347" t="s">
        <v>18592</v>
      </c>
      <c r="Y638" s="357" t="s">
        <v>408</v>
      </c>
      <c r="Z638" s="365" t="s">
        <v>3017</v>
      </c>
      <c r="AA638" s="350">
        <v>195.56</v>
      </c>
      <c r="AB638" s="349" t="s">
        <v>2685</v>
      </c>
      <c r="AC638" s="350">
        <v>0</v>
      </c>
      <c r="AD638" s="349" t="s">
        <v>2685</v>
      </c>
      <c r="AE638" s="364">
        <v>0</v>
      </c>
      <c r="AF638" s="366">
        <v>15.885</v>
      </c>
      <c r="AG638" s="363">
        <v>0</v>
      </c>
      <c r="AH638" s="635" t="s">
        <v>9517</v>
      </c>
      <c r="AI638" s="324"/>
      <c r="AL638" s="487" t="s">
        <v>14880</v>
      </c>
      <c r="AM638" s="477" t="s">
        <v>70</v>
      </c>
      <c r="AN638" s="637">
        <v>100</v>
      </c>
      <c r="AO638" s="478">
        <v>-1215</v>
      </c>
      <c r="AP638" s="463">
        <v>-1215</v>
      </c>
      <c r="AQ638" s="479">
        <v>0</v>
      </c>
      <c r="AR638" s="476" t="s">
        <v>17209</v>
      </c>
      <c r="BA638" s="313" t="s">
        <v>3970</v>
      </c>
    </row>
    <row r="639" spans="2:53" ht="16.5" customHeight="1">
      <c r="B639" s="367" t="s">
        <v>3873</v>
      </c>
      <c r="C639" s="351" t="s">
        <v>3874</v>
      </c>
      <c r="D639" s="353">
        <v>-1216</v>
      </c>
      <c r="E639" s="352" t="s">
        <v>9706</v>
      </c>
      <c r="F639" s="341">
        <v>89.8</v>
      </c>
      <c r="G639" s="355" t="s">
        <v>10124</v>
      </c>
      <c r="H639" s="356" t="s">
        <v>9279</v>
      </c>
      <c r="I639" s="354" t="s">
        <v>82</v>
      </c>
      <c r="J639" s="340" t="s">
        <v>9707</v>
      </c>
      <c r="K639" s="339" t="s">
        <v>71</v>
      </c>
      <c r="L639" s="357">
        <v>34</v>
      </c>
      <c r="M639" s="358" t="s">
        <v>3614</v>
      </c>
      <c r="N639" s="359">
        <v>800</v>
      </c>
      <c r="O639" s="360" t="s">
        <v>530</v>
      </c>
      <c r="P639" s="343" t="s">
        <v>531</v>
      </c>
      <c r="Q639" s="342" t="s">
        <v>2688</v>
      </c>
      <c r="R639" s="344">
        <v>35</v>
      </c>
      <c r="S639" s="345">
        <v>20</v>
      </c>
      <c r="T639" s="362">
        <v>30</v>
      </c>
      <c r="U639" s="361">
        <v>89.8</v>
      </c>
      <c r="V639" s="346">
        <v>125.3072631809232</v>
      </c>
      <c r="W639" s="348">
        <v>123.69944213520016</v>
      </c>
      <c r="X639" s="347">
        <v>63.13</v>
      </c>
      <c r="Y639" s="357">
        <v>63.75</v>
      </c>
      <c r="Z639" s="365" t="s">
        <v>3017</v>
      </c>
      <c r="AA639" s="350">
        <v>117.6</v>
      </c>
      <c r="AB639" s="349" t="s">
        <v>2685</v>
      </c>
      <c r="AC639" s="350">
        <v>0</v>
      </c>
      <c r="AD639" s="349" t="s">
        <v>2685</v>
      </c>
      <c r="AE639" s="364">
        <v>0</v>
      </c>
      <c r="AF639" s="366">
        <v>9.6</v>
      </c>
      <c r="AG639" s="363">
        <v>0</v>
      </c>
      <c r="AH639" s="635" t="s">
        <v>7879</v>
      </c>
      <c r="AI639" s="324"/>
      <c r="AL639" s="487" t="s">
        <v>14899</v>
      </c>
      <c r="AM639" s="477" t="s">
        <v>71</v>
      </c>
      <c r="AN639" s="637">
        <v>100</v>
      </c>
      <c r="AO639" s="478">
        <v>-1216</v>
      </c>
      <c r="AP639" s="463">
        <v>-629</v>
      </c>
      <c r="AQ639" s="479">
        <v>-587</v>
      </c>
      <c r="AR639" s="476" t="s">
        <v>16955</v>
      </c>
      <c r="BA639" s="313" t="s">
        <v>3975</v>
      </c>
    </row>
    <row r="640" spans="2:53" ht="16.5" customHeight="1">
      <c r="B640" s="367" t="s">
        <v>3878</v>
      </c>
      <c r="C640" s="351" t="s">
        <v>3879</v>
      </c>
      <c r="D640" s="353">
        <v>-1217</v>
      </c>
      <c r="E640" s="352" t="s">
        <v>9708</v>
      </c>
      <c r="F640" s="341">
        <v>89.78</v>
      </c>
      <c r="G640" s="355" t="s">
        <v>4096</v>
      </c>
      <c r="H640" s="356" t="s">
        <v>18589</v>
      </c>
      <c r="I640" s="354" t="s">
        <v>228</v>
      </c>
      <c r="J640" s="340" t="s">
        <v>9709</v>
      </c>
      <c r="K640" s="339" t="s">
        <v>71</v>
      </c>
      <c r="L640" s="357">
        <v>20</v>
      </c>
      <c r="M640" s="358" t="s">
        <v>9710</v>
      </c>
      <c r="N640" s="359">
        <v>1000</v>
      </c>
      <c r="O640" s="360" t="s">
        <v>530</v>
      </c>
      <c r="P640" s="343" t="s">
        <v>531</v>
      </c>
      <c r="Q640" s="342" t="s">
        <v>2688</v>
      </c>
      <c r="R640" s="344">
        <v>30</v>
      </c>
      <c r="S640" s="345">
        <v>40</v>
      </c>
      <c r="T640" s="362">
        <v>30</v>
      </c>
      <c r="U640" s="361">
        <v>89.78</v>
      </c>
      <c r="V640" s="346">
        <v>125.29556650246305</v>
      </c>
      <c r="W640" s="348">
        <v>123.68423645320196</v>
      </c>
      <c r="X640" s="347">
        <v>63.12</v>
      </c>
      <c r="Y640" s="357">
        <v>65.5</v>
      </c>
      <c r="Z640" s="365" t="s">
        <v>2689</v>
      </c>
      <c r="AA640" s="350">
        <v>100</v>
      </c>
      <c r="AB640" s="349" t="s">
        <v>2685</v>
      </c>
      <c r="AC640" s="350">
        <v>10</v>
      </c>
      <c r="AD640" s="349" t="s">
        <v>2685</v>
      </c>
      <c r="AE640" s="364">
        <v>0</v>
      </c>
      <c r="AF640" s="366">
        <v>0</v>
      </c>
      <c r="AG640" s="363">
        <v>0</v>
      </c>
      <c r="AH640" s="635" t="s">
        <v>408</v>
      </c>
      <c r="AI640" s="324"/>
      <c r="AL640" s="487" t="s">
        <v>14900</v>
      </c>
      <c r="AM640" s="477" t="s">
        <v>71</v>
      </c>
      <c r="AN640" s="637">
        <v>100</v>
      </c>
      <c r="AO640" s="478">
        <v>-1217</v>
      </c>
      <c r="AP640" s="463">
        <v>-629</v>
      </c>
      <c r="AQ640" s="479">
        <v>-588</v>
      </c>
      <c r="AR640" s="476" t="s">
        <v>16954</v>
      </c>
      <c r="BA640" s="313" t="s">
        <v>3977</v>
      </c>
    </row>
    <row r="641" spans="2:53" ht="16.5" customHeight="1">
      <c r="B641" s="367" t="s">
        <v>3878</v>
      </c>
      <c r="C641" s="351" t="s">
        <v>3879</v>
      </c>
      <c r="D641" s="353">
        <v>-1218</v>
      </c>
      <c r="E641" s="352" t="s">
        <v>9708</v>
      </c>
      <c r="F641" s="341">
        <v>89.78</v>
      </c>
      <c r="G641" s="355" t="s">
        <v>4096</v>
      </c>
      <c r="H641" s="356" t="s">
        <v>18589</v>
      </c>
      <c r="I641" s="354" t="s">
        <v>228</v>
      </c>
      <c r="J641" s="340" t="s">
        <v>491</v>
      </c>
      <c r="K641" s="339" t="s">
        <v>71</v>
      </c>
      <c r="L641" s="357">
        <v>50</v>
      </c>
      <c r="M641" s="358" t="s">
        <v>9710</v>
      </c>
      <c r="N641" s="359">
        <v>1000</v>
      </c>
      <c r="O641" s="360" t="s">
        <v>530</v>
      </c>
      <c r="P641" s="343" t="s">
        <v>531</v>
      </c>
      <c r="Q641" s="342" t="s">
        <v>2688</v>
      </c>
      <c r="R641" s="344">
        <v>30</v>
      </c>
      <c r="S641" s="345">
        <v>40</v>
      </c>
      <c r="T641" s="362">
        <v>30</v>
      </c>
      <c r="U641" s="361">
        <v>89.78</v>
      </c>
      <c r="V641" s="346">
        <v>125.29556650246305</v>
      </c>
      <c r="W641" s="348">
        <v>123.68423645320196</v>
      </c>
      <c r="X641" s="347">
        <v>63.12</v>
      </c>
      <c r="Y641" s="357">
        <v>65.5</v>
      </c>
      <c r="Z641" s="365" t="s">
        <v>2689</v>
      </c>
      <c r="AA641" s="350">
        <v>100</v>
      </c>
      <c r="AB641" s="349" t="s">
        <v>2685</v>
      </c>
      <c r="AC641" s="350">
        <v>10</v>
      </c>
      <c r="AD641" s="349" t="s">
        <v>2685</v>
      </c>
      <c r="AE641" s="364">
        <v>0</v>
      </c>
      <c r="AF641" s="366">
        <v>0</v>
      </c>
      <c r="AG641" s="363">
        <v>0</v>
      </c>
      <c r="AH641" s="635" t="s">
        <v>408</v>
      </c>
      <c r="AI641" s="324"/>
      <c r="AL641" s="487" t="s">
        <v>14901</v>
      </c>
      <c r="AM641" s="477" t="s">
        <v>71</v>
      </c>
      <c r="AN641" s="637">
        <v>100</v>
      </c>
      <c r="AO641" s="478">
        <v>-1218</v>
      </c>
      <c r="AP641" s="463">
        <v>-629</v>
      </c>
      <c r="AQ641" s="479">
        <v>-589</v>
      </c>
      <c r="AR641" s="476" t="s">
        <v>16954</v>
      </c>
      <c r="BA641" s="313" t="s">
        <v>3981</v>
      </c>
    </row>
    <row r="642" spans="2:53" ht="16.5" customHeight="1">
      <c r="B642" s="367" t="s">
        <v>3886</v>
      </c>
      <c r="C642" s="351" t="s">
        <v>3887</v>
      </c>
      <c r="D642" s="353">
        <v>-1219</v>
      </c>
      <c r="E642" s="352" t="s">
        <v>408</v>
      </c>
      <c r="F642" s="341">
        <v>89.77</v>
      </c>
      <c r="G642" s="355" t="s">
        <v>9711</v>
      </c>
      <c r="H642" s="356" t="s">
        <v>18593</v>
      </c>
      <c r="I642" s="354" t="s">
        <v>217</v>
      </c>
      <c r="J642" s="340" t="s">
        <v>8726</v>
      </c>
      <c r="K642" s="339" t="s">
        <v>71</v>
      </c>
      <c r="L642" s="357">
        <v>27</v>
      </c>
      <c r="M642" s="358" t="s">
        <v>9712</v>
      </c>
      <c r="N642" s="359">
        <v>1000</v>
      </c>
      <c r="O642" s="360" t="s">
        <v>530</v>
      </c>
      <c r="P642" s="343" t="s">
        <v>531</v>
      </c>
      <c r="Q642" s="342" t="s">
        <v>2688</v>
      </c>
      <c r="R642" s="344">
        <v>30</v>
      </c>
      <c r="S642" s="345">
        <v>40</v>
      </c>
      <c r="T642" s="362">
        <v>20</v>
      </c>
      <c r="U642" s="361">
        <v>89.77</v>
      </c>
      <c r="V642" s="346">
        <v>125.28314430973798</v>
      </c>
      <c r="W642" s="348">
        <v>123.66808760265937</v>
      </c>
      <c r="X642" s="347">
        <v>62.87</v>
      </c>
      <c r="Y642" s="357">
        <v>63.739999999999995</v>
      </c>
      <c r="Z642" s="365" t="s">
        <v>3017</v>
      </c>
      <c r="AA642" s="350">
        <v>98.5</v>
      </c>
      <c r="AB642" s="349" t="s">
        <v>2685</v>
      </c>
      <c r="AC642" s="350">
        <v>0</v>
      </c>
      <c r="AD642" s="349" t="s">
        <v>2685</v>
      </c>
      <c r="AE642" s="364">
        <v>0</v>
      </c>
      <c r="AF642" s="366">
        <v>0</v>
      </c>
      <c r="AG642" s="363">
        <v>0</v>
      </c>
      <c r="AH642" s="635" t="s">
        <v>408</v>
      </c>
      <c r="AI642" s="324"/>
      <c r="AL642" s="487" t="s">
        <v>14902</v>
      </c>
      <c r="AM642" s="477" t="s">
        <v>71</v>
      </c>
      <c r="AN642" s="637">
        <v>100</v>
      </c>
      <c r="AO642" s="478">
        <v>-1219</v>
      </c>
      <c r="AP642" s="463">
        <v>-628</v>
      </c>
      <c r="AQ642" s="479">
        <v>-591</v>
      </c>
      <c r="AR642" s="476" t="s">
        <v>16958</v>
      </c>
      <c r="BA642" s="313" t="s">
        <v>3984</v>
      </c>
    </row>
    <row r="643" spans="2:53" ht="16.5" customHeight="1">
      <c r="B643" s="367" t="s">
        <v>9713</v>
      </c>
      <c r="C643" s="351" t="s">
        <v>9714</v>
      </c>
      <c r="D643" s="353">
        <v>-1220</v>
      </c>
      <c r="E643" s="352" t="s">
        <v>408</v>
      </c>
      <c r="F643" s="341">
        <v>89.73</v>
      </c>
      <c r="G643" s="355" t="s">
        <v>4141</v>
      </c>
      <c r="H643" s="356" t="s">
        <v>9256</v>
      </c>
      <c r="I643" s="354" t="s">
        <v>233</v>
      </c>
      <c r="J643" s="340" t="s">
        <v>9715</v>
      </c>
      <c r="K643" s="339" t="s">
        <v>70</v>
      </c>
      <c r="L643" s="357">
        <v>75</v>
      </c>
      <c r="M643" s="358" t="s">
        <v>9716</v>
      </c>
      <c r="N643" s="359">
        <v>1000</v>
      </c>
      <c r="O643" s="360" t="s">
        <v>530</v>
      </c>
      <c r="P643" s="343" t="s">
        <v>531</v>
      </c>
      <c r="Q643" s="342" t="s">
        <v>2688</v>
      </c>
      <c r="R643" s="344">
        <v>25</v>
      </c>
      <c r="S643" s="345">
        <v>35</v>
      </c>
      <c r="T643" s="362">
        <v>25</v>
      </c>
      <c r="U643" s="361">
        <v>89.73</v>
      </c>
      <c r="V643" s="346">
        <v>125.25328781174885</v>
      </c>
      <c r="W643" s="348">
        <v>123.62927415527351</v>
      </c>
      <c r="X643" s="347">
        <v>62.86</v>
      </c>
      <c r="Y643" s="357">
        <v>63.72</v>
      </c>
      <c r="Z643" s="365" t="s">
        <v>3017</v>
      </c>
      <c r="AA643" s="350">
        <v>149.25</v>
      </c>
      <c r="AB643" s="349" t="s">
        <v>2685</v>
      </c>
      <c r="AC643" s="350">
        <v>0</v>
      </c>
      <c r="AD643" s="349" t="s">
        <v>2685</v>
      </c>
      <c r="AE643" s="364">
        <v>0</v>
      </c>
      <c r="AF643" s="366">
        <v>11.27</v>
      </c>
      <c r="AG643" s="363">
        <v>0</v>
      </c>
      <c r="AH643" s="635" t="s">
        <v>7993</v>
      </c>
      <c r="AI643" s="324"/>
      <c r="AL643" s="487" t="s">
        <v>14903</v>
      </c>
      <c r="AM643" s="477" t="s">
        <v>70</v>
      </c>
      <c r="AN643" s="637">
        <v>100</v>
      </c>
      <c r="AO643" s="478">
        <v>-1220</v>
      </c>
      <c r="AP643" s="463">
        <v>-1220</v>
      </c>
      <c r="AQ643" s="479">
        <v>0</v>
      </c>
      <c r="AR643" s="476" t="s">
        <v>14904</v>
      </c>
      <c r="BA643" s="313" t="s">
        <v>3988</v>
      </c>
    </row>
    <row r="644" spans="2:53" ht="16.5" customHeight="1">
      <c r="B644" s="367" t="s">
        <v>9717</v>
      </c>
      <c r="C644" s="351" t="s">
        <v>9718</v>
      </c>
      <c r="D644" s="353">
        <v>-1221</v>
      </c>
      <c r="E644" s="352" t="s">
        <v>9719</v>
      </c>
      <c r="F644" s="341">
        <v>89.71</v>
      </c>
      <c r="G644" s="355" t="s">
        <v>18594</v>
      </c>
      <c r="H644" s="356" t="s">
        <v>18595</v>
      </c>
      <c r="I644" s="354" t="s">
        <v>217</v>
      </c>
      <c r="J644" s="340" t="s">
        <v>8863</v>
      </c>
      <c r="K644" s="339" t="s">
        <v>71</v>
      </c>
      <c r="L644" s="357">
        <v>5</v>
      </c>
      <c r="M644" s="358" t="s">
        <v>9720</v>
      </c>
      <c r="N644" s="359">
        <v>1000</v>
      </c>
      <c r="O644" s="360" t="s">
        <v>530</v>
      </c>
      <c r="P644" s="343" t="s">
        <v>531</v>
      </c>
      <c r="Q644" s="342" t="s">
        <v>2688</v>
      </c>
      <c r="R644" s="344">
        <v>40</v>
      </c>
      <c r="S644" s="345">
        <v>30</v>
      </c>
      <c r="T644" s="362">
        <v>20</v>
      </c>
      <c r="U644" s="361">
        <v>89.71</v>
      </c>
      <c r="V644" s="346">
        <v>125.24133763094281</v>
      </c>
      <c r="W644" s="348">
        <v>123.61373892022566</v>
      </c>
      <c r="X644" s="347">
        <v>63.1</v>
      </c>
      <c r="Y644" s="357">
        <v>63.71</v>
      </c>
      <c r="Z644" s="365" t="s">
        <v>3017</v>
      </c>
      <c r="AA644" s="350">
        <v>98.5</v>
      </c>
      <c r="AB644" s="349" t="s">
        <v>2685</v>
      </c>
      <c r="AC644" s="350">
        <v>0</v>
      </c>
      <c r="AD644" s="349" t="s">
        <v>2685</v>
      </c>
      <c r="AE644" s="364">
        <v>0</v>
      </c>
      <c r="AF644" s="366">
        <v>0</v>
      </c>
      <c r="AG644" s="363">
        <v>0</v>
      </c>
      <c r="AH644" s="635" t="s">
        <v>408</v>
      </c>
      <c r="AI644" s="324"/>
      <c r="AL644" s="487" t="s">
        <v>14905</v>
      </c>
      <c r="AM644" s="477" t="s">
        <v>71</v>
      </c>
      <c r="AN644" s="637">
        <v>100</v>
      </c>
      <c r="AO644" s="478">
        <v>-1221</v>
      </c>
      <c r="AP644" s="463">
        <v>-630</v>
      </c>
      <c r="AQ644" s="479">
        <v>-591</v>
      </c>
      <c r="AR644" s="476" t="s">
        <v>14924</v>
      </c>
      <c r="BA644" s="313" t="s">
        <v>3992</v>
      </c>
    </row>
    <row r="645" spans="2:53" ht="16.5" customHeight="1">
      <c r="B645" s="367" t="s">
        <v>9721</v>
      </c>
      <c r="C645" s="351" t="s">
        <v>9722</v>
      </c>
      <c r="D645" s="353">
        <v>-1222</v>
      </c>
      <c r="E645" s="352" t="s">
        <v>9719</v>
      </c>
      <c r="F645" s="341">
        <v>89.71</v>
      </c>
      <c r="G645" s="355" t="s">
        <v>9696</v>
      </c>
      <c r="H645" s="356" t="s">
        <v>18596</v>
      </c>
      <c r="I645" s="354" t="s">
        <v>9336</v>
      </c>
      <c r="J645" s="340" t="s">
        <v>8726</v>
      </c>
      <c r="K645" s="339" t="s">
        <v>71</v>
      </c>
      <c r="L645" s="357">
        <v>15</v>
      </c>
      <c r="M645" s="358" t="s">
        <v>9724</v>
      </c>
      <c r="N645" s="359">
        <v>700</v>
      </c>
      <c r="O645" s="360" t="s">
        <v>532</v>
      </c>
      <c r="P645" s="343" t="s">
        <v>533</v>
      </c>
      <c r="Q645" s="342" t="s">
        <v>2688</v>
      </c>
      <c r="R645" s="344">
        <v>30</v>
      </c>
      <c r="S645" s="345">
        <v>35</v>
      </c>
      <c r="T645" s="362">
        <v>20</v>
      </c>
      <c r="U645" s="361">
        <v>89.71</v>
      </c>
      <c r="V645" s="346">
        <v>125.2388076989652</v>
      </c>
      <c r="W645" s="348">
        <v>123.61045000865478</v>
      </c>
      <c r="X645" s="347">
        <v>63.1</v>
      </c>
      <c r="Y645" s="357">
        <v>66.14</v>
      </c>
      <c r="Z645" s="365" t="s">
        <v>3017</v>
      </c>
      <c r="AA645" s="350">
        <v>103.5</v>
      </c>
      <c r="AB645" s="349" t="s">
        <v>2685</v>
      </c>
      <c r="AC645" s="350">
        <v>10</v>
      </c>
      <c r="AD645" s="349" t="s">
        <v>2685</v>
      </c>
      <c r="AE645" s="364">
        <v>0</v>
      </c>
      <c r="AF645" s="366">
        <v>0</v>
      </c>
      <c r="AG645" s="363">
        <v>0</v>
      </c>
      <c r="AH645" s="635" t="s">
        <v>408</v>
      </c>
      <c r="AI645" s="324"/>
      <c r="AL645" s="487" t="s">
        <v>14906</v>
      </c>
      <c r="AM645" s="477" t="s">
        <v>71</v>
      </c>
      <c r="AN645" s="637">
        <v>100</v>
      </c>
      <c r="AO645" s="478">
        <v>-1222</v>
      </c>
      <c r="AP645" s="463">
        <v>-630</v>
      </c>
      <c r="AQ645" s="479">
        <v>-592</v>
      </c>
      <c r="AR645" s="476" t="s">
        <v>14924</v>
      </c>
      <c r="BA645" s="313" t="s">
        <v>3994</v>
      </c>
    </row>
    <row r="646" spans="2:53" ht="16.5" customHeight="1">
      <c r="B646" s="367" t="s">
        <v>9725</v>
      </c>
      <c r="C646" s="351" t="s">
        <v>9726</v>
      </c>
      <c r="D646" s="353">
        <v>-1223</v>
      </c>
      <c r="E646" s="352" t="s">
        <v>4144</v>
      </c>
      <c r="F646" s="341">
        <v>89.69</v>
      </c>
      <c r="G646" s="355" t="s">
        <v>18597</v>
      </c>
      <c r="H646" s="356" t="s">
        <v>3822</v>
      </c>
      <c r="I646" s="354" t="s">
        <v>82</v>
      </c>
      <c r="J646" s="340" t="s">
        <v>9727</v>
      </c>
      <c r="K646" s="339" t="s">
        <v>71</v>
      </c>
      <c r="L646" s="357">
        <v>63</v>
      </c>
      <c r="M646" s="358" t="s">
        <v>9728</v>
      </c>
      <c r="N646" s="359">
        <v>800</v>
      </c>
      <c r="O646" s="360" t="s">
        <v>530</v>
      </c>
      <c r="P646" s="343" t="s">
        <v>531</v>
      </c>
      <c r="Q646" s="342" t="s">
        <v>2688</v>
      </c>
      <c r="R646" s="344">
        <v>30</v>
      </c>
      <c r="S646" s="345">
        <v>30</v>
      </c>
      <c r="T646" s="362">
        <v>25</v>
      </c>
      <c r="U646" s="361">
        <v>89.69</v>
      </c>
      <c r="V646" s="346">
        <v>125.21939586645466</v>
      </c>
      <c r="W646" s="348">
        <v>123.58521462639106</v>
      </c>
      <c r="X646" s="347">
        <v>63.09</v>
      </c>
      <c r="Y646" s="357">
        <v>63.699999999999996</v>
      </c>
      <c r="Z646" s="365" t="s">
        <v>3017</v>
      </c>
      <c r="AA646" s="350">
        <v>117.6</v>
      </c>
      <c r="AB646" s="349" t="s">
        <v>2685</v>
      </c>
      <c r="AC646" s="350">
        <v>0</v>
      </c>
      <c r="AD646" s="349" t="s">
        <v>2685</v>
      </c>
      <c r="AE646" s="364">
        <v>0</v>
      </c>
      <c r="AF646" s="366">
        <v>0</v>
      </c>
      <c r="AG646" s="363">
        <v>0</v>
      </c>
      <c r="AH646" s="635" t="s">
        <v>408</v>
      </c>
      <c r="AI646" s="324"/>
      <c r="AL646" s="487" t="s">
        <v>14908</v>
      </c>
      <c r="AM646" s="477" t="s">
        <v>71</v>
      </c>
      <c r="AN646" s="637">
        <v>100</v>
      </c>
      <c r="AO646" s="478">
        <v>-1223</v>
      </c>
      <c r="AP646" s="463">
        <v>-631</v>
      </c>
      <c r="AQ646" s="479">
        <v>-592</v>
      </c>
      <c r="AR646" s="476" t="s">
        <v>16959</v>
      </c>
      <c r="BA646" s="313" t="s">
        <v>3997</v>
      </c>
    </row>
    <row r="647" spans="2:53" ht="16.5" customHeight="1">
      <c r="B647" s="367" t="s">
        <v>9725</v>
      </c>
      <c r="C647" s="351" t="s">
        <v>9726</v>
      </c>
      <c r="D647" s="353">
        <v>-1224</v>
      </c>
      <c r="E647" s="352" t="s">
        <v>4140</v>
      </c>
      <c r="F647" s="341">
        <v>89.69</v>
      </c>
      <c r="G647" s="355" t="s">
        <v>18598</v>
      </c>
      <c r="H647" s="356" t="s">
        <v>3822</v>
      </c>
      <c r="I647" s="354" t="s">
        <v>73</v>
      </c>
      <c r="J647" s="340" t="s">
        <v>9729</v>
      </c>
      <c r="K647" s="339" t="s">
        <v>71</v>
      </c>
      <c r="L647" s="357" t="s">
        <v>408</v>
      </c>
      <c r="M647" s="358" t="s">
        <v>9730</v>
      </c>
      <c r="N647" s="359">
        <v>1000</v>
      </c>
      <c r="O647" s="360" t="s">
        <v>530</v>
      </c>
      <c r="P647" s="343" t="s">
        <v>531</v>
      </c>
      <c r="Q647" s="342" t="s">
        <v>2688</v>
      </c>
      <c r="R647" s="344">
        <v>38</v>
      </c>
      <c r="S647" s="345">
        <v>25</v>
      </c>
      <c r="T647" s="362">
        <v>25</v>
      </c>
      <c r="U647" s="361">
        <v>89.69</v>
      </c>
      <c r="V647" s="346">
        <v>125.22079793570941</v>
      </c>
      <c r="W647" s="348">
        <v>123.58703731642224</v>
      </c>
      <c r="X647" s="347">
        <v>63.09</v>
      </c>
      <c r="Y647" s="357">
        <v>63.699999999999996</v>
      </c>
      <c r="Z647" s="365" t="s">
        <v>2689</v>
      </c>
      <c r="AA647" s="350">
        <v>125</v>
      </c>
      <c r="AB647" s="349" t="s">
        <v>2685</v>
      </c>
      <c r="AC647" s="350">
        <v>0</v>
      </c>
      <c r="AD647" s="349" t="s">
        <v>2685</v>
      </c>
      <c r="AE647" s="364">
        <v>0</v>
      </c>
      <c r="AF647" s="366">
        <v>4.7779999999999996</v>
      </c>
      <c r="AG647" s="363">
        <v>0</v>
      </c>
      <c r="AH647" s="635" t="s">
        <v>8698</v>
      </c>
      <c r="AI647" s="324"/>
      <c r="AL647" s="487" t="s">
        <v>14909</v>
      </c>
      <c r="AM647" s="477" t="s">
        <v>71</v>
      </c>
      <c r="AN647" s="637">
        <v>100</v>
      </c>
      <c r="AO647" s="478">
        <v>-1224</v>
      </c>
      <c r="AP647" s="463">
        <v>-631</v>
      </c>
      <c r="AQ647" s="479">
        <v>-593</v>
      </c>
      <c r="AR647" s="476" t="s">
        <v>16959</v>
      </c>
      <c r="BA647" s="313" t="s">
        <v>3998</v>
      </c>
    </row>
    <row r="648" spans="2:53" ht="16.5" customHeight="1">
      <c r="B648" s="367" t="s">
        <v>9731</v>
      </c>
      <c r="C648" s="351" t="s">
        <v>9732</v>
      </c>
      <c r="D648" s="353">
        <v>-1225</v>
      </c>
      <c r="E648" s="352" t="s">
        <v>9733</v>
      </c>
      <c r="F648" s="341">
        <v>89.67</v>
      </c>
      <c r="G648" s="355" t="s">
        <v>10174</v>
      </c>
      <c r="H648" s="356" t="s">
        <v>3824</v>
      </c>
      <c r="I648" s="354" t="s">
        <v>224</v>
      </c>
      <c r="J648" s="340" t="s">
        <v>9017</v>
      </c>
      <c r="K648" s="339" t="s">
        <v>71</v>
      </c>
      <c r="L648" s="357">
        <v>13</v>
      </c>
      <c r="M648" s="358" t="s">
        <v>9734</v>
      </c>
      <c r="N648" s="359">
        <v>1000</v>
      </c>
      <c r="O648" s="360" t="s">
        <v>532</v>
      </c>
      <c r="P648" s="343" t="s">
        <v>533</v>
      </c>
      <c r="Q648" s="342" t="s">
        <v>2688</v>
      </c>
      <c r="R648" s="344">
        <v>30</v>
      </c>
      <c r="S648" s="345">
        <v>30</v>
      </c>
      <c r="T648" s="362">
        <v>20</v>
      </c>
      <c r="U648" s="361">
        <v>89.67</v>
      </c>
      <c r="V648" s="346">
        <v>125.20426451402226</v>
      </c>
      <c r="W648" s="348">
        <v>123.56554386822894</v>
      </c>
      <c r="X648" s="347">
        <v>63.09</v>
      </c>
      <c r="Y648" s="357">
        <v>63.589999999999996</v>
      </c>
      <c r="Z648" s="365" t="s">
        <v>3017</v>
      </c>
      <c r="AA648" s="350">
        <v>196</v>
      </c>
      <c r="AB648" s="349" t="s">
        <v>2685</v>
      </c>
      <c r="AC648" s="350">
        <v>10</v>
      </c>
      <c r="AD648" s="349" t="s">
        <v>2685</v>
      </c>
      <c r="AE648" s="364">
        <v>0</v>
      </c>
      <c r="AF648" s="366">
        <v>0</v>
      </c>
      <c r="AG648" s="363">
        <v>0</v>
      </c>
      <c r="AH648" s="635" t="s">
        <v>408</v>
      </c>
      <c r="AI648" s="324"/>
      <c r="AL648" s="487" t="s">
        <v>14910</v>
      </c>
      <c r="AM648" s="477" t="s">
        <v>71</v>
      </c>
      <c r="AN648" s="637">
        <v>100</v>
      </c>
      <c r="AO648" s="478">
        <v>-1225</v>
      </c>
      <c r="AP648" s="463">
        <v>-631</v>
      </c>
      <c r="AQ648" s="479">
        <v>-594</v>
      </c>
      <c r="AR648" s="476" t="s">
        <v>14930</v>
      </c>
      <c r="BA648" s="313" t="s">
        <v>4002</v>
      </c>
    </row>
    <row r="649" spans="2:53" ht="16.5" customHeight="1">
      <c r="B649" s="367" t="s">
        <v>9735</v>
      </c>
      <c r="C649" s="351" t="s">
        <v>9736</v>
      </c>
      <c r="D649" s="353">
        <v>-1226</v>
      </c>
      <c r="E649" s="352" t="s">
        <v>9737</v>
      </c>
      <c r="F649" s="341">
        <v>89.66</v>
      </c>
      <c r="G649" s="355" t="s">
        <v>10148</v>
      </c>
      <c r="H649" s="356" t="s">
        <v>3824</v>
      </c>
      <c r="I649" s="354" t="s">
        <v>9336</v>
      </c>
      <c r="J649" s="340" t="s">
        <v>9738</v>
      </c>
      <c r="K649" s="339" t="s">
        <v>71</v>
      </c>
      <c r="L649" s="357">
        <v>21</v>
      </c>
      <c r="M649" s="358" t="s">
        <v>9739</v>
      </c>
      <c r="N649" s="359">
        <v>700</v>
      </c>
      <c r="O649" s="360" t="s">
        <v>532</v>
      </c>
      <c r="P649" s="343" t="s">
        <v>533</v>
      </c>
      <c r="Q649" s="342" t="s">
        <v>2688</v>
      </c>
      <c r="R649" s="344">
        <v>30</v>
      </c>
      <c r="S649" s="345">
        <v>35</v>
      </c>
      <c r="T649" s="362">
        <v>20</v>
      </c>
      <c r="U649" s="361">
        <v>89.66</v>
      </c>
      <c r="V649" s="346">
        <v>125.20262688338715</v>
      </c>
      <c r="W649" s="348">
        <v>123.56341494840331</v>
      </c>
      <c r="X649" s="347">
        <v>63.08</v>
      </c>
      <c r="Y649" s="357">
        <v>66.11</v>
      </c>
      <c r="Z649" s="365" t="s">
        <v>3017</v>
      </c>
      <c r="AA649" s="350">
        <v>103.5</v>
      </c>
      <c r="AB649" s="349" t="s">
        <v>2685</v>
      </c>
      <c r="AC649" s="350">
        <v>10</v>
      </c>
      <c r="AD649" s="349" t="s">
        <v>2685</v>
      </c>
      <c r="AE649" s="364">
        <v>0</v>
      </c>
      <c r="AF649" s="366">
        <v>0</v>
      </c>
      <c r="AG649" s="363">
        <v>0</v>
      </c>
      <c r="AH649" s="635" t="s">
        <v>408</v>
      </c>
      <c r="AI649" s="324"/>
      <c r="AL649" s="487" t="s">
        <v>14911</v>
      </c>
      <c r="AM649" s="477" t="s">
        <v>71</v>
      </c>
      <c r="AN649" s="637">
        <v>100</v>
      </c>
      <c r="AO649" s="478">
        <v>-1226</v>
      </c>
      <c r="AP649" s="463">
        <v>-632</v>
      </c>
      <c r="AQ649" s="479">
        <v>-594</v>
      </c>
      <c r="AR649" s="476" t="s">
        <v>14930</v>
      </c>
      <c r="BA649" s="313" t="s">
        <v>4003</v>
      </c>
    </row>
    <row r="650" spans="2:53" ht="16.5" customHeight="1">
      <c r="B650" s="367" t="s">
        <v>3896</v>
      </c>
      <c r="C650" s="351" t="s">
        <v>3897</v>
      </c>
      <c r="D650" s="353">
        <v>-1227</v>
      </c>
      <c r="E650" s="352" t="s">
        <v>408</v>
      </c>
      <c r="F650" s="341">
        <v>89.6</v>
      </c>
      <c r="G650" s="355" t="s">
        <v>9740</v>
      </c>
      <c r="H650" s="356" t="s">
        <v>9296</v>
      </c>
      <c r="I650" s="354" t="s">
        <v>417</v>
      </c>
      <c r="J650" s="340" t="s">
        <v>9741</v>
      </c>
      <c r="K650" s="339" t="s">
        <v>70</v>
      </c>
      <c r="L650" s="357">
        <v>120</v>
      </c>
      <c r="M650" s="358" t="s">
        <v>9742</v>
      </c>
      <c r="N650" s="359">
        <v>200</v>
      </c>
      <c r="O650" s="360" t="s">
        <v>530</v>
      </c>
      <c r="P650" s="343" t="s">
        <v>530</v>
      </c>
      <c r="Q650" s="342" t="s">
        <v>2688</v>
      </c>
      <c r="R650" s="344">
        <v>20</v>
      </c>
      <c r="S650" s="345">
        <v>35</v>
      </c>
      <c r="T650" s="362">
        <v>30</v>
      </c>
      <c r="U650" s="361">
        <v>89.6</v>
      </c>
      <c r="V650" s="346">
        <v>125.15561417748722</v>
      </c>
      <c r="W650" s="348">
        <v>123.50229843073339</v>
      </c>
      <c r="X650" s="347">
        <v>62.82</v>
      </c>
      <c r="Y650" s="357" t="s">
        <v>408</v>
      </c>
      <c r="Z650" s="365" t="s">
        <v>3017</v>
      </c>
      <c r="AA650" s="350">
        <v>14.25</v>
      </c>
      <c r="AB650" s="349" t="s">
        <v>2685</v>
      </c>
      <c r="AC650" s="350">
        <v>10</v>
      </c>
      <c r="AD650" s="349" t="s">
        <v>2685</v>
      </c>
      <c r="AE650" s="364">
        <v>0</v>
      </c>
      <c r="AF650" s="366">
        <v>0</v>
      </c>
      <c r="AG650" s="363">
        <v>0</v>
      </c>
      <c r="AH650" s="635" t="s">
        <v>408</v>
      </c>
      <c r="AI650" s="324"/>
      <c r="AL650" s="487" t="s">
        <v>14912</v>
      </c>
      <c r="AM650" s="477" t="s">
        <v>70</v>
      </c>
      <c r="AN650" s="637">
        <v>100</v>
      </c>
      <c r="AO650" s="478">
        <v>-1227</v>
      </c>
      <c r="AP650" s="463">
        <v>-1227</v>
      </c>
      <c r="AQ650" s="479">
        <v>0</v>
      </c>
      <c r="AR650" s="476" t="s">
        <v>14913</v>
      </c>
      <c r="BA650" s="313" t="s">
        <v>4007</v>
      </c>
    </row>
    <row r="651" spans="2:53" ht="16.5" customHeight="1">
      <c r="B651" s="367" t="s">
        <v>9743</v>
      </c>
      <c r="C651" s="351" t="s">
        <v>9744</v>
      </c>
      <c r="D651" s="353">
        <v>-1228</v>
      </c>
      <c r="E651" s="352" t="s">
        <v>408</v>
      </c>
      <c r="F651" s="341">
        <v>89.58</v>
      </c>
      <c r="G651" s="355" t="s">
        <v>4161</v>
      </c>
      <c r="H651" s="356" t="s">
        <v>3812</v>
      </c>
      <c r="I651" s="354" t="s">
        <v>233</v>
      </c>
      <c r="J651" s="340" t="s">
        <v>9745</v>
      </c>
      <c r="K651" s="339" t="s">
        <v>70</v>
      </c>
      <c r="L651" s="357">
        <v>14</v>
      </c>
      <c r="M651" s="358" t="s">
        <v>9746</v>
      </c>
      <c r="N651" s="359">
        <v>1000</v>
      </c>
      <c r="O651" s="360" t="s">
        <v>530</v>
      </c>
      <c r="P651" s="343" t="s">
        <v>531</v>
      </c>
      <c r="Q651" s="342" t="s">
        <v>2688</v>
      </c>
      <c r="R651" s="344">
        <v>25</v>
      </c>
      <c r="S651" s="345">
        <v>35</v>
      </c>
      <c r="T651" s="362">
        <v>25</v>
      </c>
      <c r="U651" s="361">
        <v>89.58</v>
      </c>
      <c r="V651" s="346">
        <v>125.13672805956591</v>
      </c>
      <c r="W651" s="348">
        <v>123.4777464774357</v>
      </c>
      <c r="X651" s="347">
        <v>62.81</v>
      </c>
      <c r="Y651" s="357">
        <v>63.66</v>
      </c>
      <c r="Z651" s="365" t="s">
        <v>3017</v>
      </c>
      <c r="AA651" s="350">
        <v>149.25</v>
      </c>
      <c r="AB651" s="349" t="s">
        <v>2685</v>
      </c>
      <c r="AC651" s="350">
        <v>0</v>
      </c>
      <c r="AD651" s="349" t="s">
        <v>2685</v>
      </c>
      <c r="AE651" s="364">
        <v>0</v>
      </c>
      <c r="AF651" s="366">
        <v>11.257</v>
      </c>
      <c r="AG651" s="363">
        <v>0</v>
      </c>
      <c r="AH651" s="635" t="s">
        <v>7993</v>
      </c>
      <c r="AI651" s="324"/>
      <c r="AL651" s="487" t="s">
        <v>14914</v>
      </c>
      <c r="AM651" s="477" t="s">
        <v>70</v>
      </c>
      <c r="AN651" s="637">
        <v>100</v>
      </c>
      <c r="AO651" s="478">
        <v>-1228</v>
      </c>
      <c r="AP651" s="463">
        <v>-1228</v>
      </c>
      <c r="AQ651" s="479">
        <v>0</v>
      </c>
      <c r="AR651" s="476" t="s">
        <v>14915</v>
      </c>
      <c r="BA651" s="313" t="s">
        <v>4008</v>
      </c>
    </row>
    <row r="652" spans="2:53" ht="16.5" customHeight="1">
      <c r="B652" s="367" t="s">
        <v>9743</v>
      </c>
      <c r="C652" s="351" t="s">
        <v>9744</v>
      </c>
      <c r="D652" s="353">
        <v>-1229</v>
      </c>
      <c r="E652" s="352" t="s">
        <v>408</v>
      </c>
      <c r="F652" s="341">
        <v>89.57</v>
      </c>
      <c r="G652" s="355" t="s">
        <v>4161</v>
      </c>
      <c r="H652" s="356" t="s">
        <v>3812</v>
      </c>
      <c r="I652" s="354" t="s">
        <v>233</v>
      </c>
      <c r="J652" s="340" t="s">
        <v>9747</v>
      </c>
      <c r="K652" s="339" t="s">
        <v>70</v>
      </c>
      <c r="L652" s="357">
        <v>27</v>
      </c>
      <c r="M652" s="358" t="s">
        <v>9748</v>
      </c>
      <c r="N652" s="359">
        <v>1000</v>
      </c>
      <c r="O652" s="360" t="s">
        <v>530</v>
      </c>
      <c r="P652" s="343" t="s">
        <v>531</v>
      </c>
      <c r="Q652" s="342" t="s">
        <v>2688</v>
      </c>
      <c r="R652" s="344">
        <v>25</v>
      </c>
      <c r="S652" s="345">
        <v>35</v>
      </c>
      <c r="T652" s="362">
        <v>25</v>
      </c>
      <c r="U652" s="361">
        <v>89.57</v>
      </c>
      <c r="V652" s="346">
        <v>125.13428997582677</v>
      </c>
      <c r="W652" s="348">
        <v>123.47457696857481</v>
      </c>
      <c r="X652" s="347">
        <v>62.82</v>
      </c>
      <c r="Y652" s="357">
        <v>63.66</v>
      </c>
      <c r="Z652" s="365" t="s">
        <v>3017</v>
      </c>
      <c r="AA652" s="350">
        <v>149.25</v>
      </c>
      <c r="AB652" s="349" t="s">
        <v>2685</v>
      </c>
      <c r="AC652" s="350">
        <v>0</v>
      </c>
      <c r="AD652" s="349" t="s">
        <v>2685</v>
      </c>
      <c r="AE652" s="364">
        <v>0</v>
      </c>
      <c r="AF652" s="366">
        <v>6.4820000000000002</v>
      </c>
      <c r="AG652" s="363">
        <v>0</v>
      </c>
      <c r="AH652" s="635" t="s">
        <v>9681</v>
      </c>
      <c r="AI652" s="324"/>
      <c r="AL652" s="487" t="s">
        <v>14916</v>
      </c>
      <c r="AM652" s="477" t="s">
        <v>70</v>
      </c>
      <c r="AN652" s="637">
        <v>100</v>
      </c>
      <c r="AO652" s="478">
        <v>-1229</v>
      </c>
      <c r="AP652" s="463">
        <v>-1229</v>
      </c>
      <c r="AQ652" s="479">
        <v>0</v>
      </c>
      <c r="AR652" s="476" t="s">
        <v>14915</v>
      </c>
      <c r="BA652" s="313" t="s">
        <v>4009</v>
      </c>
    </row>
    <row r="653" spans="2:53" ht="16.5" customHeight="1">
      <c r="B653" s="367" t="s">
        <v>3909</v>
      </c>
      <c r="C653" s="351" t="s">
        <v>3910</v>
      </c>
      <c r="D653" s="353">
        <v>-1230</v>
      </c>
      <c r="E653" s="352" t="s">
        <v>9749</v>
      </c>
      <c r="F653" s="341">
        <v>89.56</v>
      </c>
      <c r="G653" s="355" t="s">
        <v>4136</v>
      </c>
      <c r="H653" s="356" t="s">
        <v>18599</v>
      </c>
      <c r="I653" s="354" t="s">
        <v>9336</v>
      </c>
      <c r="J653" s="340" t="s">
        <v>8216</v>
      </c>
      <c r="K653" s="339" t="s">
        <v>71</v>
      </c>
      <c r="L653" s="357">
        <v>10</v>
      </c>
      <c r="M653" s="358" t="s">
        <v>9751</v>
      </c>
      <c r="N653" s="359">
        <v>700</v>
      </c>
      <c r="O653" s="360" t="s">
        <v>532</v>
      </c>
      <c r="P653" s="343" t="s">
        <v>533</v>
      </c>
      <c r="Q653" s="342" t="s">
        <v>2688</v>
      </c>
      <c r="R653" s="344">
        <v>30</v>
      </c>
      <c r="S653" s="345">
        <v>30</v>
      </c>
      <c r="T653" s="362">
        <v>20</v>
      </c>
      <c r="U653" s="361">
        <v>89.56</v>
      </c>
      <c r="V653" s="346">
        <v>125.12398712368014</v>
      </c>
      <c r="W653" s="348">
        <v>123.46118326078418</v>
      </c>
      <c r="X653" s="347">
        <v>63.05</v>
      </c>
      <c r="Y653" s="357">
        <v>66.040000000000006</v>
      </c>
      <c r="Z653" s="365" t="s">
        <v>3017</v>
      </c>
      <c r="AA653" s="350">
        <v>138</v>
      </c>
      <c r="AB653" s="349" t="s">
        <v>2685</v>
      </c>
      <c r="AC653" s="350">
        <v>10</v>
      </c>
      <c r="AD653" s="349" t="s">
        <v>2685</v>
      </c>
      <c r="AE653" s="364">
        <v>0</v>
      </c>
      <c r="AF653" s="366">
        <v>0</v>
      </c>
      <c r="AG653" s="363">
        <v>0</v>
      </c>
      <c r="AH653" s="635" t="s">
        <v>408</v>
      </c>
      <c r="AI653" s="324"/>
      <c r="AL653" s="487" t="s">
        <v>14917</v>
      </c>
      <c r="AM653" s="477" t="s">
        <v>71</v>
      </c>
      <c r="AN653" s="637">
        <v>100</v>
      </c>
      <c r="AO653" s="478">
        <v>-1230</v>
      </c>
      <c r="AP653" s="463">
        <v>-633</v>
      </c>
      <c r="AQ653" s="479">
        <v>-597</v>
      </c>
      <c r="AR653" s="476" t="s">
        <v>16960</v>
      </c>
      <c r="BA653" s="313" t="s">
        <v>4011</v>
      </c>
    </row>
    <row r="654" spans="2:53" ht="16.5" customHeight="1">
      <c r="B654" s="367" t="s">
        <v>9731</v>
      </c>
      <c r="C654" s="351" t="s">
        <v>9732</v>
      </c>
      <c r="D654" s="353">
        <v>-1231</v>
      </c>
      <c r="E654" s="352" t="s">
        <v>9752</v>
      </c>
      <c r="F654" s="341">
        <v>89.55</v>
      </c>
      <c r="G654" s="355" t="s">
        <v>18600</v>
      </c>
      <c r="H654" s="356" t="s">
        <v>9802</v>
      </c>
      <c r="I654" s="354" t="s">
        <v>9336</v>
      </c>
      <c r="J654" s="340" t="s">
        <v>8534</v>
      </c>
      <c r="K654" s="339" t="s">
        <v>71</v>
      </c>
      <c r="L654" s="357">
        <v>15</v>
      </c>
      <c r="M654" s="358" t="s">
        <v>6875</v>
      </c>
      <c r="N654" s="359">
        <v>700</v>
      </c>
      <c r="O654" s="360" t="s">
        <v>532</v>
      </c>
      <c r="P654" s="343" t="s">
        <v>533</v>
      </c>
      <c r="Q654" s="342" t="s">
        <v>2688</v>
      </c>
      <c r="R654" s="344">
        <v>30</v>
      </c>
      <c r="S654" s="345">
        <v>35</v>
      </c>
      <c r="T654" s="362">
        <v>20</v>
      </c>
      <c r="U654" s="361">
        <v>89.55</v>
      </c>
      <c r="V654" s="346">
        <v>125.11217484444202</v>
      </c>
      <c r="W654" s="348">
        <v>123.44582729777464</v>
      </c>
      <c r="X654" s="347">
        <v>63.05</v>
      </c>
      <c r="Y654" s="357">
        <v>66.03</v>
      </c>
      <c r="Z654" s="365" t="s">
        <v>3017</v>
      </c>
      <c r="AA654" s="350">
        <v>103.5</v>
      </c>
      <c r="AB654" s="349" t="s">
        <v>2685</v>
      </c>
      <c r="AC654" s="350">
        <v>10</v>
      </c>
      <c r="AD654" s="349" t="s">
        <v>2685</v>
      </c>
      <c r="AE654" s="364">
        <v>0</v>
      </c>
      <c r="AF654" s="366">
        <v>0</v>
      </c>
      <c r="AG654" s="363">
        <v>0</v>
      </c>
      <c r="AH654" s="635" t="s">
        <v>408</v>
      </c>
      <c r="AI654" s="324"/>
      <c r="AL654" s="487" t="s">
        <v>14918</v>
      </c>
      <c r="AM654" s="477" t="s">
        <v>71</v>
      </c>
      <c r="AN654" s="637">
        <v>100</v>
      </c>
      <c r="AO654" s="478">
        <v>-1231</v>
      </c>
      <c r="AP654" s="463">
        <v>-634</v>
      </c>
      <c r="AQ654" s="479">
        <v>-597</v>
      </c>
      <c r="AR654" s="476" t="s">
        <v>16961</v>
      </c>
      <c r="BA654" s="313" t="s">
        <v>4014</v>
      </c>
    </row>
    <row r="655" spans="2:53" ht="16.5" customHeight="1">
      <c r="B655" s="367" t="s">
        <v>3909</v>
      </c>
      <c r="C655" s="351" t="s">
        <v>3910</v>
      </c>
      <c r="D655" s="353">
        <v>-1232</v>
      </c>
      <c r="E655" s="352" t="s">
        <v>408</v>
      </c>
      <c r="F655" s="341">
        <v>89.55</v>
      </c>
      <c r="G655" s="355" t="s">
        <v>9753</v>
      </c>
      <c r="H655" s="356" t="s">
        <v>9284</v>
      </c>
      <c r="I655" s="354" t="s">
        <v>82</v>
      </c>
      <c r="J655" s="340" t="s">
        <v>9754</v>
      </c>
      <c r="K655" s="339" t="s">
        <v>70</v>
      </c>
      <c r="L655" s="357">
        <v>25</v>
      </c>
      <c r="M655" s="358" t="s">
        <v>9755</v>
      </c>
      <c r="N655" s="359">
        <v>800</v>
      </c>
      <c r="O655" s="360" t="s">
        <v>530</v>
      </c>
      <c r="P655" s="343" t="s">
        <v>531</v>
      </c>
      <c r="Q655" s="342" t="s">
        <v>2688</v>
      </c>
      <c r="R655" s="344">
        <v>20</v>
      </c>
      <c r="S655" s="345">
        <v>35</v>
      </c>
      <c r="T655" s="362">
        <v>30</v>
      </c>
      <c r="U655" s="361">
        <v>89.55</v>
      </c>
      <c r="V655" s="346">
        <v>125.11822351959965</v>
      </c>
      <c r="W655" s="348">
        <v>123.45369057547956</v>
      </c>
      <c r="X655" s="347">
        <v>62.81</v>
      </c>
      <c r="Y655" s="357">
        <v>63.65</v>
      </c>
      <c r="Z655" s="365" t="s">
        <v>3017</v>
      </c>
      <c r="AA655" s="350">
        <v>117.6</v>
      </c>
      <c r="AB655" s="349" t="s">
        <v>2685</v>
      </c>
      <c r="AC655" s="350">
        <v>0</v>
      </c>
      <c r="AD655" s="349" t="s">
        <v>2685</v>
      </c>
      <c r="AE655" s="364">
        <v>0</v>
      </c>
      <c r="AF655" s="366">
        <v>9.6</v>
      </c>
      <c r="AG655" s="363">
        <v>0</v>
      </c>
      <c r="AH655" s="635" t="s">
        <v>7814</v>
      </c>
      <c r="AI655" s="324"/>
      <c r="AL655" s="487" t="s">
        <v>14919</v>
      </c>
      <c r="AM655" s="477" t="s">
        <v>70</v>
      </c>
      <c r="AN655" s="637">
        <v>100</v>
      </c>
      <c r="AO655" s="478">
        <v>-1232</v>
      </c>
      <c r="AP655" s="463">
        <v>-1232</v>
      </c>
      <c r="AQ655" s="479">
        <v>0</v>
      </c>
      <c r="AR655" s="476" t="s">
        <v>17210</v>
      </c>
      <c r="BA655" s="313" t="s">
        <v>4015</v>
      </c>
    </row>
    <row r="656" spans="2:53" ht="16.5" customHeight="1">
      <c r="B656" s="367" t="s">
        <v>3919</v>
      </c>
      <c r="C656" s="351" t="s">
        <v>3920</v>
      </c>
      <c r="D656" s="353">
        <v>-1233</v>
      </c>
      <c r="E656" s="352" t="s">
        <v>9756</v>
      </c>
      <c r="F656" s="341">
        <v>89.51</v>
      </c>
      <c r="G656" s="355" t="s">
        <v>18601</v>
      </c>
      <c r="H656" s="356" t="s">
        <v>3839</v>
      </c>
      <c r="I656" s="354" t="s">
        <v>233</v>
      </c>
      <c r="J656" s="340" t="s">
        <v>9757</v>
      </c>
      <c r="K656" s="339" t="s">
        <v>71</v>
      </c>
      <c r="L656" s="357">
        <v>34</v>
      </c>
      <c r="M656" s="358" t="s">
        <v>9758</v>
      </c>
      <c r="N656" s="359">
        <v>1000</v>
      </c>
      <c r="O656" s="360" t="s">
        <v>530</v>
      </c>
      <c r="P656" s="343" t="s">
        <v>531</v>
      </c>
      <c r="Q656" s="342" t="s">
        <v>2688</v>
      </c>
      <c r="R656" s="344">
        <v>35</v>
      </c>
      <c r="S656" s="345">
        <v>25</v>
      </c>
      <c r="T656" s="362">
        <v>25</v>
      </c>
      <c r="U656" s="361">
        <v>89.51</v>
      </c>
      <c r="V656" s="346">
        <v>125.08292945611203</v>
      </c>
      <c r="W656" s="348">
        <v>123.40780829294563</v>
      </c>
      <c r="X656" s="347">
        <v>63.03</v>
      </c>
      <c r="Y656" s="357">
        <v>63.629999999999995</v>
      </c>
      <c r="Z656" s="365" t="s">
        <v>3017</v>
      </c>
      <c r="AA656" s="350">
        <v>149.25</v>
      </c>
      <c r="AB656" s="349" t="s">
        <v>2685</v>
      </c>
      <c r="AC656" s="350">
        <v>0</v>
      </c>
      <c r="AD656" s="349" t="s">
        <v>2685</v>
      </c>
      <c r="AE656" s="364">
        <v>0</v>
      </c>
      <c r="AF656" s="366">
        <v>0</v>
      </c>
      <c r="AG656" s="363">
        <v>0</v>
      </c>
      <c r="AH656" s="635" t="s">
        <v>408</v>
      </c>
      <c r="AI656" s="324"/>
      <c r="AL656" s="487" t="s">
        <v>14920</v>
      </c>
      <c r="AM656" s="477" t="s">
        <v>71</v>
      </c>
      <c r="AN656" s="637">
        <v>100</v>
      </c>
      <c r="AO656" s="478">
        <v>-1233</v>
      </c>
      <c r="AP656" s="463">
        <v>-634</v>
      </c>
      <c r="AQ656" s="479">
        <v>-599</v>
      </c>
      <c r="AR656" s="476" t="s">
        <v>14944</v>
      </c>
      <c r="BA656" s="313" t="s">
        <v>4017</v>
      </c>
    </row>
    <row r="657" spans="2:53" ht="16.5" customHeight="1">
      <c r="B657" s="367" t="s">
        <v>3919</v>
      </c>
      <c r="C657" s="351" t="s">
        <v>3920</v>
      </c>
      <c r="D657" s="353">
        <v>-1234</v>
      </c>
      <c r="E657" s="352" t="s">
        <v>408</v>
      </c>
      <c r="F657" s="341">
        <v>89.51</v>
      </c>
      <c r="G657" s="355" t="s">
        <v>9756</v>
      </c>
      <c r="H657" s="356" t="s">
        <v>3819</v>
      </c>
      <c r="I657" s="354" t="s">
        <v>217</v>
      </c>
      <c r="J657" s="340" t="s">
        <v>9759</v>
      </c>
      <c r="K657" s="339" t="s">
        <v>70</v>
      </c>
      <c r="L657" s="357">
        <v>13</v>
      </c>
      <c r="M657" s="358" t="s">
        <v>9760</v>
      </c>
      <c r="N657" s="359">
        <v>1000</v>
      </c>
      <c r="O657" s="360" t="s">
        <v>530</v>
      </c>
      <c r="P657" s="343" t="s">
        <v>531</v>
      </c>
      <c r="Q657" s="342" t="s">
        <v>2688</v>
      </c>
      <c r="R657" s="344">
        <v>30</v>
      </c>
      <c r="S657" s="345">
        <v>40</v>
      </c>
      <c r="T657" s="362">
        <v>20</v>
      </c>
      <c r="U657" s="361">
        <v>89.51</v>
      </c>
      <c r="V657" s="346">
        <v>125.08369182635903</v>
      </c>
      <c r="W657" s="348">
        <v>123.40879937426674</v>
      </c>
      <c r="X657" s="347">
        <v>62.79</v>
      </c>
      <c r="Y657" s="357">
        <v>63.629999999999995</v>
      </c>
      <c r="Z657" s="365" t="s">
        <v>3017</v>
      </c>
      <c r="AA657" s="350">
        <v>98.5</v>
      </c>
      <c r="AB657" s="349" t="s">
        <v>2685</v>
      </c>
      <c r="AC657" s="350">
        <v>0</v>
      </c>
      <c r="AD657" s="349" t="s">
        <v>2685</v>
      </c>
      <c r="AE657" s="364">
        <v>0</v>
      </c>
      <c r="AF657" s="366">
        <v>0</v>
      </c>
      <c r="AG657" s="363">
        <v>0</v>
      </c>
      <c r="AH657" s="635" t="s">
        <v>408</v>
      </c>
      <c r="AI657" s="324"/>
      <c r="AL657" s="487" t="s">
        <v>14921</v>
      </c>
      <c r="AM657" s="477" t="s">
        <v>70</v>
      </c>
      <c r="AN657" s="637">
        <v>100</v>
      </c>
      <c r="AO657" s="478">
        <v>-1234</v>
      </c>
      <c r="AP657" s="463">
        <v>-1234</v>
      </c>
      <c r="AQ657" s="479">
        <v>0</v>
      </c>
      <c r="AR657" s="476" t="s">
        <v>14922</v>
      </c>
      <c r="BA657" s="313" t="s">
        <v>4021</v>
      </c>
    </row>
    <row r="658" spans="2:53" ht="16.5" customHeight="1">
      <c r="B658" s="367" t="s">
        <v>3919</v>
      </c>
      <c r="C658" s="351" t="s">
        <v>3920</v>
      </c>
      <c r="D658" s="353">
        <v>-1235</v>
      </c>
      <c r="E658" s="352" t="s">
        <v>4169</v>
      </c>
      <c r="F658" s="341">
        <v>89.51</v>
      </c>
      <c r="G658" s="355" t="s">
        <v>4148</v>
      </c>
      <c r="H658" s="356" t="s">
        <v>9330</v>
      </c>
      <c r="I658" s="354" t="s">
        <v>9336</v>
      </c>
      <c r="J658" s="340" t="s">
        <v>9761</v>
      </c>
      <c r="K658" s="339" t="s">
        <v>71</v>
      </c>
      <c r="L658" s="357">
        <v>11</v>
      </c>
      <c r="M658" s="358" t="s">
        <v>9762</v>
      </c>
      <c r="N658" s="359">
        <v>700</v>
      </c>
      <c r="O658" s="360" t="s">
        <v>532</v>
      </c>
      <c r="P658" s="343" t="s">
        <v>533</v>
      </c>
      <c r="Q658" s="342" t="s">
        <v>2688</v>
      </c>
      <c r="R658" s="344">
        <v>30</v>
      </c>
      <c r="S658" s="345">
        <v>30</v>
      </c>
      <c r="T658" s="362">
        <v>20</v>
      </c>
      <c r="U658" s="361">
        <v>89.51</v>
      </c>
      <c r="V658" s="346">
        <v>125.08554622034659</v>
      </c>
      <c r="W658" s="348">
        <v>123.41121008645055</v>
      </c>
      <c r="X658" s="347">
        <v>63.03</v>
      </c>
      <c r="Y658" s="357">
        <v>66.010000000000005</v>
      </c>
      <c r="Z658" s="365" t="s">
        <v>3017</v>
      </c>
      <c r="AA658" s="350">
        <v>138</v>
      </c>
      <c r="AB658" s="349" t="s">
        <v>2685</v>
      </c>
      <c r="AC658" s="350">
        <v>10</v>
      </c>
      <c r="AD658" s="349" t="s">
        <v>2685</v>
      </c>
      <c r="AE658" s="364">
        <v>0</v>
      </c>
      <c r="AF658" s="366">
        <v>0</v>
      </c>
      <c r="AG658" s="363">
        <v>0</v>
      </c>
      <c r="AH658" s="635" t="s">
        <v>408</v>
      </c>
      <c r="AI658" s="324"/>
      <c r="AL658" s="487" t="s">
        <v>14923</v>
      </c>
      <c r="AM658" s="477" t="s">
        <v>71</v>
      </c>
      <c r="AN658" s="637">
        <v>100</v>
      </c>
      <c r="AO658" s="478">
        <v>-1235</v>
      </c>
      <c r="AP658" s="463">
        <v>-635</v>
      </c>
      <c r="AQ658" s="479">
        <v>-600</v>
      </c>
      <c r="AR658" s="476" t="s">
        <v>16962</v>
      </c>
      <c r="BA658" s="313" t="s">
        <v>4024</v>
      </c>
    </row>
    <row r="659" spans="2:53" ht="16.5" customHeight="1">
      <c r="B659" s="367" t="s">
        <v>3928</v>
      </c>
      <c r="C659" s="351" t="s">
        <v>3929</v>
      </c>
      <c r="D659" s="353">
        <v>-1236</v>
      </c>
      <c r="E659" s="352" t="s">
        <v>408</v>
      </c>
      <c r="F659" s="341">
        <v>89.49</v>
      </c>
      <c r="G659" s="355" t="s">
        <v>9763</v>
      </c>
      <c r="H659" s="356" t="s">
        <v>9301</v>
      </c>
      <c r="I659" s="354" t="s">
        <v>233</v>
      </c>
      <c r="J659" s="340" t="s">
        <v>9764</v>
      </c>
      <c r="K659" s="339" t="s">
        <v>70</v>
      </c>
      <c r="L659" s="357">
        <v>25</v>
      </c>
      <c r="M659" s="358" t="s">
        <v>9765</v>
      </c>
      <c r="N659" s="359">
        <v>1000</v>
      </c>
      <c r="O659" s="360" t="s">
        <v>530</v>
      </c>
      <c r="P659" s="343" t="s">
        <v>531</v>
      </c>
      <c r="Q659" s="342" t="s">
        <v>2688</v>
      </c>
      <c r="R659" s="344">
        <v>25</v>
      </c>
      <c r="S659" s="345">
        <v>35</v>
      </c>
      <c r="T659" s="362">
        <v>25</v>
      </c>
      <c r="U659" s="361">
        <v>89.49</v>
      </c>
      <c r="V659" s="346">
        <v>125.06630228985819</v>
      </c>
      <c r="W659" s="348">
        <v>123.38619297681565</v>
      </c>
      <c r="X659" s="347">
        <v>62.79</v>
      </c>
      <c r="Y659" s="357">
        <v>63.629999999999995</v>
      </c>
      <c r="Z659" s="365" t="s">
        <v>3017</v>
      </c>
      <c r="AA659" s="350">
        <v>149.25</v>
      </c>
      <c r="AB659" s="349" t="s">
        <v>2685</v>
      </c>
      <c r="AC659" s="350">
        <v>0</v>
      </c>
      <c r="AD659" s="349" t="s">
        <v>2685</v>
      </c>
      <c r="AE659" s="364">
        <v>0</v>
      </c>
      <c r="AF659" s="366">
        <v>11.25</v>
      </c>
      <c r="AG659" s="363">
        <v>0</v>
      </c>
      <c r="AH659" s="635" t="s">
        <v>7993</v>
      </c>
      <c r="AI659" s="324"/>
      <c r="AL659" s="487" t="s">
        <v>14925</v>
      </c>
      <c r="AM659" s="477" t="s">
        <v>70</v>
      </c>
      <c r="AN659" s="637">
        <v>100</v>
      </c>
      <c r="AO659" s="478">
        <v>-1236</v>
      </c>
      <c r="AP659" s="463">
        <v>-1236</v>
      </c>
      <c r="AQ659" s="479">
        <v>0</v>
      </c>
      <c r="AR659" s="476" t="s">
        <v>14926</v>
      </c>
      <c r="BA659" s="313" t="s">
        <v>4026</v>
      </c>
    </row>
    <row r="660" spans="2:53" ht="16.5" customHeight="1">
      <c r="B660" s="367" t="s">
        <v>9766</v>
      </c>
      <c r="C660" s="351" t="s">
        <v>9767</v>
      </c>
      <c r="D660" s="353">
        <v>-1237</v>
      </c>
      <c r="E660" s="352" t="s">
        <v>408</v>
      </c>
      <c r="F660" s="341">
        <v>89.48</v>
      </c>
      <c r="G660" s="355" t="s">
        <v>4177</v>
      </c>
      <c r="H660" s="356" t="s">
        <v>3834</v>
      </c>
      <c r="I660" s="354" t="s">
        <v>233</v>
      </c>
      <c r="J660" s="340" t="s">
        <v>7910</v>
      </c>
      <c r="K660" s="339" t="s">
        <v>70</v>
      </c>
      <c r="L660" s="357">
        <v>14</v>
      </c>
      <c r="M660" s="358" t="s">
        <v>9768</v>
      </c>
      <c r="N660" s="359">
        <v>1000</v>
      </c>
      <c r="O660" s="360" t="s">
        <v>530</v>
      </c>
      <c r="P660" s="343" t="s">
        <v>531</v>
      </c>
      <c r="Q660" s="342" t="s">
        <v>2688</v>
      </c>
      <c r="R660" s="344">
        <v>25</v>
      </c>
      <c r="S660" s="345">
        <v>35</v>
      </c>
      <c r="T660" s="362">
        <v>25</v>
      </c>
      <c r="U660" s="361">
        <v>89.48</v>
      </c>
      <c r="V660" s="346">
        <v>125.062284626858</v>
      </c>
      <c r="W660" s="348">
        <v>123.38097001491539</v>
      </c>
      <c r="X660" s="347">
        <v>62.78</v>
      </c>
      <c r="Y660" s="357">
        <v>63.62</v>
      </c>
      <c r="Z660" s="365" t="s">
        <v>3017</v>
      </c>
      <c r="AA660" s="350">
        <v>149.25</v>
      </c>
      <c r="AB660" s="349" t="s">
        <v>2685</v>
      </c>
      <c r="AC660" s="350">
        <v>0</v>
      </c>
      <c r="AD660" s="349" t="s">
        <v>2685</v>
      </c>
      <c r="AE660" s="364">
        <v>0</v>
      </c>
      <c r="AF660" s="366">
        <v>6.4779999999999998</v>
      </c>
      <c r="AG660" s="363">
        <v>0</v>
      </c>
      <c r="AH660" s="635" t="s">
        <v>9681</v>
      </c>
      <c r="AI660" s="324"/>
      <c r="AL660" s="487" t="s">
        <v>14927</v>
      </c>
      <c r="AM660" s="477" t="s">
        <v>70</v>
      </c>
      <c r="AN660" s="637">
        <v>100</v>
      </c>
      <c r="AO660" s="478">
        <v>-1237</v>
      </c>
      <c r="AP660" s="463">
        <v>-1237</v>
      </c>
      <c r="AQ660" s="479">
        <v>0</v>
      </c>
      <c r="AR660" s="476" t="s">
        <v>14928</v>
      </c>
      <c r="BA660" s="313" t="s">
        <v>4029</v>
      </c>
    </row>
    <row r="661" spans="2:53" ht="16.5" customHeight="1">
      <c r="B661" s="367" t="s">
        <v>9766</v>
      </c>
      <c r="C661" s="351" t="s">
        <v>9767</v>
      </c>
      <c r="D661" s="353">
        <v>-1238</v>
      </c>
      <c r="E661" s="352" t="s">
        <v>4179</v>
      </c>
      <c r="F661" s="341">
        <v>89.47</v>
      </c>
      <c r="G661" s="355" t="s">
        <v>4147</v>
      </c>
      <c r="H661" s="356" t="s">
        <v>9341</v>
      </c>
      <c r="I661" s="354" t="s">
        <v>233</v>
      </c>
      <c r="J661" s="340" t="s">
        <v>9770</v>
      </c>
      <c r="K661" s="339" t="s">
        <v>71</v>
      </c>
      <c r="L661" s="357">
        <v>15</v>
      </c>
      <c r="M661" s="358" t="s">
        <v>9771</v>
      </c>
      <c r="N661" s="359">
        <v>1000</v>
      </c>
      <c r="O661" s="360" t="s">
        <v>530</v>
      </c>
      <c r="P661" s="343" t="s">
        <v>531</v>
      </c>
      <c r="Q661" s="342" t="s">
        <v>2688</v>
      </c>
      <c r="R661" s="344">
        <v>35</v>
      </c>
      <c r="S661" s="345">
        <v>25</v>
      </c>
      <c r="T661" s="362">
        <v>25</v>
      </c>
      <c r="U661" s="361">
        <v>89.47</v>
      </c>
      <c r="V661" s="346">
        <v>125.05341949380721</v>
      </c>
      <c r="W661" s="348">
        <v>123.36944534194937</v>
      </c>
      <c r="X661" s="347">
        <v>63.02</v>
      </c>
      <c r="Y661" s="357">
        <v>63.62</v>
      </c>
      <c r="Z661" s="365" t="s">
        <v>3017</v>
      </c>
      <c r="AA661" s="350">
        <v>149.25</v>
      </c>
      <c r="AB661" s="349" t="s">
        <v>2685</v>
      </c>
      <c r="AC661" s="350">
        <v>0</v>
      </c>
      <c r="AD661" s="349" t="s">
        <v>2685</v>
      </c>
      <c r="AE661" s="364">
        <v>0</v>
      </c>
      <c r="AF661" s="366">
        <v>0</v>
      </c>
      <c r="AG661" s="363">
        <v>0</v>
      </c>
      <c r="AH661" s="635" t="s">
        <v>408</v>
      </c>
      <c r="AI661" s="324"/>
      <c r="AL661" s="487" t="s">
        <v>14929</v>
      </c>
      <c r="AM661" s="477" t="s">
        <v>71</v>
      </c>
      <c r="AN661" s="637">
        <v>100</v>
      </c>
      <c r="AO661" s="478">
        <v>-1238</v>
      </c>
      <c r="AP661" s="463">
        <v>-636</v>
      </c>
      <c r="AQ661" s="479">
        <v>-602</v>
      </c>
      <c r="AR661" s="476" t="s">
        <v>16963</v>
      </c>
      <c r="BA661" s="313" t="s">
        <v>4032</v>
      </c>
    </row>
    <row r="662" spans="2:53" ht="16.5" customHeight="1">
      <c r="B662" s="367" t="s">
        <v>3934</v>
      </c>
      <c r="C662" s="351" t="s">
        <v>3935</v>
      </c>
      <c r="D662" s="353">
        <v>-1239</v>
      </c>
      <c r="E662" s="352" t="s">
        <v>9772</v>
      </c>
      <c r="F662" s="341">
        <v>89.44</v>
      </c>
      <c r="G662" s="355" t="s">
        <v>18602</v>
      </c>
      <c r="H662" s="356" t="s">
        <v>9344</v>
      </c>
      <c r="I662" s="354" t="s">
        <v>233</v>
      </c>
      <c r="J662" s="340" t="s">
        <v>9774</v>
      </c>
      <c r="K662" s="339" t="s">
        <v>71</v>
      </c>
      <c r="L662" s="357">
        <v>23</v>
      </c>
      <c r="M662" s="358" t="s">
        <v>9775</v>
      </c>
      <c r="N662" s="359">
        <v>1000</v>
      </c>
      <c r="O662" s="360" t="s">
        <v>530</v>
      </c>
      <c r="P662" s="343" t="s">
        <v>531</v>
      </c>
      <c r="Q662" s="342" t="s">
        <v>2688</v>
      </c>
      <c r="R662" s="344">
        <v>35</v>
      </c>
      <c r="S662" s="345">
        <v>25</v>
      </c>
      <c r="T662" s="362">
        <v>25</v>
      </c>
      <c r="U662" s="361">
        <v>89.44</v>
      </c>
      <c r="V662" s="346">
        <v>125.03446418955305</v>
      </c>
      <c r="W662" s="348">
        <v>123.34480344641895</v>
      </c>
      <c r="X662" s="347">
        <v>63.01</v>
      </c>
      <c r="Y662" s="357">
        <v>63.61</v>
      </c>
      <c r="Z662" s="365" t="s">
        <v>3017</v>
      </c>
      <c r="AA662" s="350">
        <v>149.25</v>
      </c>
      <c r="AB662" s="349" t="s">
        <v>2685</v>
      </c>
      <c r="AC662" s="350">
        <v>0</v>
      </c>
      <c r="AD662" s="349" t="s">
        <v>2685</v>
      </c>
      <c r="AE662" s="364">
        <v>0</v>
      </c>
      <c r="AF662" s="366">
        <v>0</v>
      </c>
      <c r="AG662" s="363">
        <v>0</v>
      </c>
      <c r="AH662" s="635" t="s">
        <v>408</v>
      </c>
      <c r="AI662" s="324"/>
      <c r="AL662" s="487" t="s">
        <v>14931</v>
      </c>
      <c r="AM662" s="477" t="s">
        <v>71</v>
      </c>
      <c r="AN662" s="637">
        <v>100</v>
      </c>
      <c r="AO662" s="478">
        <v>-1239</v>
      </c>
      <c r="AP662" s="463">
        <v>-636</v>
      </c>
      <c r="AQ662" s="479">
        <v>-603</v>
      </c>
      <c r="AR662" s="476" t="s">
        <v>16964</v>
      </c>
      <c r="BA662" s="313" t="s">
        <v>4037</v>
      </c>
    </row>
    <row r="663" spans="2:53" ht="16.5" customHeight="1">
      <c r="B663" s="367" t="s">
        <v>3942</v>
      </c>
      <c r="C663" s="351" t="s">
        <v>3943</v>
      </c>
      <c r="D663" s="353">
        <v>-1240</v>
      </c>
      <c r="E663" s="352" t="s">
        <v>408</v>
      </c>
      <c r="F663" s="341">
        <v>89.44</v>
      </c>
      <c r="G663" s="355" t="s">
        <v>9776</v>
      </c>
      <c r="H663" s="356" t="s">
        <v>9777</v>
      </c>
      <c r="I663" s="354" t="s">
        <v>233</v>
      </c>
      <c r="J663" s="340" t="s">
        <v>9778</v>
      </c>
      <c r="K663" s="339" t="s">
        <v>70</v>
      </c>
      <c r="L663" s="357">
        <v>60</v>
      </c>
      <c r="M663" s="358" t="s">
        <v>9779</v>
      </c>
      <c r="N663" s="359">
        <v>1000</v>
      </c>
      <c r="O663" s="360" t="s">
        <v>530</v>
      </c>
      <c r="P663" s="343" t="s">
        <v>531</v>
      </c>
      <c r="Q663" s="342" t="s">
        <v>2688</v>
      </c>
      <c r="R663" s="344">
        <v>25</v>
      </c>
      <c r="S663" s="345">
        <v>35</v>
      </c>
      <c r="T663" s="362">
        <v>25</v>
      </c>
      <c r="U663" s="361">
        <v>89.44</v>
      </c>
      <c r="V663" s="346">
        <v>125.0328245326638</v>
      </c>
      <c r="W663" s="348">
        <v>123.34267189246293</v>
      </c>
      <c r="X663" s="347">
        <v>62.77</v>
      </c>
      <c r="Y663" s="357">
        <v>63.61</v>
      </c>
      <c r="Z663" s="365" t="s">
        <v>3017</v>
      </c>
      <c r="AA663" s="350">
        <v>149.25</v>
      </c>
      <c r="AB663" s="349" t="s">
        <v>2685</v>
      </c>
      <c r="AC663" s="350">
        <v>0</v>
      </c>
      <c r="AD663" s="349" t="s">
        <v>2685</v>
      </c>
      <c r="AE663" s="364">
        <v>0</v>
      </c>
      <c r="AF663" s="366">
        <v>11.246</v>
      </c>
      <c r="AG663" s="363">
        <v>0</v>
      </c>
      <c r="AH663" s="635" t="s">
        <v>7993</v>
      </c>
      <c r="AI663" s="324"/>
      <c r="AL663" s="487" t="s">
        <v>14932</v>
      </c>
      <c r="AM663" s="477" t="s">
        <v>70</v>
      </c>
      <c r="AN663" s="637">
        <v>100</v>
      </c>
      <c r="AO663" s="478">
        <v>-1240</v>
      </c>
      <c r="AP663" s="463">
        <v>-1240</v>
      </c>
      <c r="AQ663" s="479">
        <v>0</v>
      </c>
      <c r="AR663" s="476" t="s">
        <v>14933</v>
      </c>
      <c r="BA663" s="313" t="s">
        <v>4038</v>
      </c>
    </row>
    <row r="664" spans="2:53" ht="16.5" customHeight="1">
      <c r="B664" s="367" t="s">
        <v>3945</v>
      </c>
      <c r="C664" s="351" t="s">
        <v>3946</v>
      </c>
      <c r="D664" s="353">
        <v>-1241</v>
      </c>
      <c r="E664" s="352" t="s">
        <v>9780</v>
      </c>
      <c r="F664" s="341">
        <v>89.42</v>
      </c>
      <c r="G664" s="355" t="s">
        <v>4159</v>
      </c>
      <c r="H664" s="356" t="s">
        <v>18603</v>
      </c>
      <c r="I664" s="354" t="s">
        <v>233</v>
      </c>
      <c r="J664" s="340" t="s">
        <v>9781</v>
      </c>
      <c r="K664" s="339" t="s">
        <v>71</v>
      </c>
      <c r="L664" s="357">
        <v>20</v>
      </c>
      <c r="M664" s="358" t="s">
        <v>9782</v>
      </c>
      <c r="N664" s="359">
        <v>1000</v>
      </c>
      <c r="O664" s="360" t="s">
        <v>530</v>
      </c>
      <c r="P664" s="343" t="s">
        <v>531</v>
      </c>
      <c r="Q664" s="342" t="s">
        <v>2688</v>
      </c>
      <c r="R664" s="344">
        <v>35</v>
      </c>
      <c r="S664" s="345">
        <v>25</v>
      </c>
      <c r="T664" s="362">
        <v>25</v>
      </c>
      <c r="U664" s="361">
        <v>89.42</v>
      </c>
      <c r="V664" s="346">
        <v>125.01830910070004</v>
      </c>
      <c r="W664" s="348">
        <v>123.32380183091006</v>
      </c>
      <c r="X664" s="347">
        <v>63</v>
      </c>
      <c r="Y664" s="357">
        <v>63.6</v>
      </c>
      <c r="Z664" s="365" t="s">
        <v>3017</v>
      </c>
      <c r="AA664" s="350">
        <v>149.25</v>
      </c>
      <c r="AB664" s="349" t="s">
        <v>2685</v>
      </c>
      <c r="AC664" s="350">
        <v>0</v>
      </c>
      <c r="AD664" s="349" t="s">
        <v>2685</v>
      </c>
      <c r="AE664" s="364">
        <v>0</v>
      </c>
      <c r="AF664" s="366">
        <v>0</v>
      </c>
      <c r="AG664" s="363">
        <v>0</v>
      </c>
      <c r="AH664" s="635" t="s">
        <v>408</v>
      </c>
      <c r="AI664" s="324"/>
      <c r="AL664" s="487" t="s">
        <v>14934</v>
      </c>
      <c r="AM664" s="477" t="s">
        <v>71</v>
      </c>
      <c r="AN664" s="637">
        <v>100</v>
      </c>
      <c r="AO664" s="478">
        <v>-1241</v>
      </c>
      <c r="AP664" s="463">
        <v>-637</v>
      </c>
      <c r="AQ664" s="479">
        <v>-604</v>
      </c>
      <c r="AR664" s="476" t="s">
        <v>16965</v>
      </c>
      <c r="BA664" s="313" t="s">
        <v>4041</v>
      </c>
    </row>
    <row r="665" spans="2:53" ht="16.5" customHeight="1">
      <c r="B665" s="367" t="s">
        <v>3951</v>
      </c>
      <c r="C665" s="351" t="s">
        <v>3952</v>
      </c>
      <c r="D665" s="353">
        <v>-1242</v>
      </c>
      <c r="E665" s="352" t="s">
        <v>408</v>
      </c>
      <c r="F665" s="341">
        <v>89.42</v>
      </c>
      <c r="G665" s="355" t="s">
        <v>4184</v>
      </c>
      <c r="H665" s="356" t="s">
        <v>9325</v>
      </c>
      <c r="I665" s="354" t="s">
        <v>302</v>
      </c>
      <c r="J665" s="340" t="s">
        <v>544</v>
      </c>
      <c r="K665" s="339" t="s">
        <v>70</v>
      </c>
      <c r="L665" s="357">
        <v>19</v>
      </c>
      <c r="M665" s="358" t="s">
        <v>9783</v>
      </c>
      <c r="N665" s="359">
        <v>600</v>
      </c>
      <c r="O665" s="360" t="s">
        <v>530</v>
      </c>
      <c r="P665" s="343" t="s">
        <v>531</v>
      </c>
      <c r="Q665" s="342" t="s">
        <v>2688</v>
      </c>
      <c r="R665" s="344">
        <v>37</v>
      </c>
      <c r="S665" s="345">
        <v>43</v>
      </c>
      <c r="T665" s="362">
        <v>20</v>
      </c>
      <c r="U665" s="361">
        <v>89.42</v>
      </c>
      <c r="V665" s="346">
        <v>125.01289416570918</v>
      </c>
      <c r="W665" s="348">
        <v>123.31676241542193</v>
      </c>
      <c r="X665" s="347">
        <v>62.77</v>
      </c>
      <c r="Y665" s="357">
        <v>66.97</v>
      </c>
      <c r="Z665" s="365" t="s">
        <v>2689</v>
      </c>
      <c r="AA665" s="350">
        <v>100</v>
      </c>
      <c r="AB665" s="349" t="s">
        <v>2685</v>
      </c>
      <c r="AC665" s="350">
        <v>10</v>
      </c>
      <c r="AD665" s="349" t="s">
        <v>2685</v>
      </c>
      <c r="AE665" s="364">
        <v>0</v>
      </c>
      <c r="AF665" s="366">
        <v>0.3</v>
      </c>
      <c r="AG665" s="363">
        <v>0</v>
      </c>
      <c r="AH665" s="635" t="s">
        <v>8021</v>
      </c>
      <c r="AI665" s="324"/>
      <c r="AL665" s="487" t="s">
        <v>7194</v>
      </c>
      <c r="AM665" s="477" t="s">
        <v>70</v>
      </c>
      <c r="AN665" s="637">
        <v>100</v>
      </c>
      <c r="AO665" s="478">
        <v>-1242</v>
      </c>
      <c r="AP665" s="463">
        <v>-1242</v>
      </c>
      <c r="AQ665" s="479">
        <v>0</v>
      </c>
      <c r="AR665" s="476" t="s">
        <v>14935</v>
      </c>
      <c r="BA665" s="313" t="s">
        <v>4043</v>
      </c>
    </row>
    <row r="666" spans="2:53" ht="16.5" customHeight="1">
      <c r="B666" s="367" t="s">
        <v>9784</v>
      </c>
      <c r="C666" s="351" t="s">
        <v>9785</v>
      </c>
      <c r="D666" s="353">
        <v>-1243</v>
      </c>
      <c r="E666" s="352" t="s">
        <v>4188</v>
      </c>
      <c r="F666" s="341">
        <v>89.4</v>
      </c>
      <c r="G666" s="355" t="s">
        <v>4194</v>
      </c>
      <c r="H666" s="356" t="s">
        <v>18604</v>
      </c>
      <c r="I666" s="354" t="s">
        <v>233</v>
      </c>
      <c r="J666" s="340" t="s">
        <v>8696</v>
      </c>
      <c r="K666" s="339" t="s">
        <v>71</v>
      </c>
      <c r="L666" s="357">
        <v>42</v>
      </c>
      <c r="M666" s="358" t="s">
        <v>9786</v>
      </c>
      <c r="N666" s="359">
        <v>1000</v>
      </c>
      <c r="O666" s="360" t="s">
        <v>530</v>
      </c>
      <c r="P666" s="343" t="s">
        <v>531</v>
      </c>
      <c r="Q666" s="342" t="s">
        <v>2688</v>
      </c>
      <c r="R666" s="344">
        <v>35</v>
      </c>
      <c r="S666" s="345">
        <v>25</v>
      </c>
      <c r="T666" s="362">
        <v>25</v>
      </c>
      <c r="U666" s="361">
        <v>89.4</v>
      </c>
      <c r="V666" s="346">
        <v>124.99958890030831</v>
      </c>
      <c r="W666" s="348">
        <v>123.29942446043164</v>
      </c>
      <c r="X666" s="347">
        <v>63</v>
      </c>
      <c r="Y666" s="357">
        <v>63.589999999999996</v>
      </c>
      <c r="Z666" s="365" t="s">
        <v>3017</v>
      </c>
      <c r="AA666" s="350">
        <v>149.25</v>
      </c>
      <c r="AB666" s="349" t="s">
        <v>2685</v>
      </c>
      <c r="AC666" s="350">
        <v>0</v>
      </c>
      <c r="AD666" s="349" t="s">
        <v>2685</v>
      </c>
      <c r="AE666" s="364">
        <v>0</v>
      </c>
      <c r="AF666" s="366">
        <v>0</v>
      </c>
      <c r="AG666" s="363">
        <v>0</v>
      </c>
      <c r="AH666" s="635" t="s">
        <v>408</v>
      </c>
      <c r="AI666" s="324"/>
      <c r="AL666" s="487" t="s">
        <v>14936</v>
      </c>
      <c r="AM666" s="477" t="s">
        <v>71</v>
      </c>
      <c r="AN666" s="637">
        <v>100</v>
      </c>
      <c r="AO666" s="478">
        <v>-1243</v>
      </c>
      <c r="AP666" s="463">
        <v>-638</v>
      </c>
      <c r="AQ666" s="479">
        <v>-605</v>
      </c>
      <c r="AR666" s="476" t="s">
        <v>16966</v>
      </c>
      <c r="BA666" s="313" t="s">
        <v>4046</v>
      </c>
    </row>
    <row r="667" spans="2:53" ht="16.5" customHeight="1">
      <c r="B667" s="367" t="s">
        <v>9784</v>
      </c>
      <c r="C667" s="351" t="s">
        <v>9785</v>
      </c>
      <c r="D667" s="353">
        <v>-1244</v>
      </c>
      <c r="E667" s="352" t="s">
        <v>9787</v>
      </c>
      <c r="F667" s="341">
        <v>89.4</v>
      </c>
      <c r="G667" s="355" t="s">
        <v>9740</v>
      </c>
      <c r="H667" s="356" t="s">
        <v>18604</v>
      </c>
      <c r="I667" s="354" t="s">
        <v>233</v>
      </c>
      <c r="J667" s="340" t="s">
        <v>8659</v>
      </c>
      <c r="K667" s="339" t="s">
        <v>71</v>
      </c>
      <c r="L667" s="357">
        <v>42</v>
      </c>
      <c r="M667" s="358" t="s">
        <v>5570</v>
      </c>
      <c r="N667" s="359">
        <v>1000</v>
      </c>
      <c r="O667" s="360" t="s">
        <v>530</v>
      </c>
      <c r="P667" s="343" t="s">
        <v>531</v>
      </c>
      <c r="Q667" s="342" t="s">
        <v>2688</v>
      </c>
      <c r="R667" s="344">
        <v>35</v>
      </c>
      <c r="S667" s="345">
        <v>25</v>
      </c>
      <c r="T667" s="362">
        <v>25</v>
      </c>
      <c r="U667" s="361">
        <v>89.4</v>
      </c>
      <c r="V667" s="346">
        <v>125.00215401184707</v>
      </c>
      <c r="W667" s="348">
        <v>123.30280021540118</v>
      </c>
      <c r="X667" s="347">
        <v>63</v>
      </c>
      <c r="Y667" s="357">
        <v>63.589999999999996</v>
      </c>
      <c r="Z667" s="365" t="s">
        <v>3017</v>
      </c>
      <c r="AA667" s="350">
        <v>149.25</v>
      </c>
      <c r="AB667" s="349" t="s">
        <v>2685</v>
      </c>
      <c r="AC667" s="350">
        <v>0</v>
      </c>
      <c r="AD667" s="349" t="s">
        <v>2685</v>
      </c>
      <c r="AE667" s="364">
        <v>0</v>
      </c>
      <c r="AF667" s="366">
        <v>0</v>
      </c>
      <c r="AG667" s="363">
        <v>0</v>
      </c>
      <c r="AH667" s="635" t="s">
        <v>408</v>
      </c>
      <c r="AI667" s="324"/>
      <c r="AL667" s="487" t="s">
        <v>14937</v>
      </c>
      <c r="AM667" s="477" t="s">
        <v>71</v>
      </c>
      <c r="AN667" s="637">
        <v>100</v>
      </c>
      <c r="AO667" s="478">
        <v>-1244</v>
      </c>
      <c r="AP667" s="463">
        <v>-638</v>
      </c>
      <c r="AQ667" s="479">
        <v>-606</v>
      </c>
      <c r="AR667" s="476" t="s">
        <v>16966</v>
      </c>
      <c r="BA667" s="313" t="s">
        <v>4049</v>
      </c>
    </row>
    <row r="668" spans="2:53" ht="16.5" customHeight="1">
      <c r="B668" s="367" t="s">
        <v>9789</v>
      </c>
      <c r="C668" s="351" t="s">
        <v>9790</v>
      </c>
      <c r="D668" s="353">
        <v>-1245</v>
      </c>
      <c r="E668" s="352" t="s">
        <v>408</v>
      </c>
      <c r="F668" s="341">
        <v>89.36</v>
      </c>
      <c r="G668" s="355" t="s">
        <v>4190</v>
      </c>
      <c r="H668" s="356" t="s">
        <v>9403</v>
      </c>
      <c r="I668" s="354" t="s">
        <v>301</v>
      </c>
      <c r="J668" s="340" t="s">
        <v>7965</v>
      </c>
      <c r="K668" s="339" t="s">
        <v>71</v>
      </c>
      <c r="L668" s="357">
        <v>10</v>
      </c>
      <c r="M668" s="358" t="s">
        <v>9791</v>
      </c>
      <c r="N668" s="359">
        <v>1000</v>
      </c>
      <c r="O668" s="360" t="s">
        <v>530</v>
      </c>
      <c r="P668" s="343" t="s">
        <v>531</v>
      </c>
      <c r="Q668" s="342" t="s">
        <v>2688</v>
      </c>
      <c r="R668" s="344">
        <v>35</v>
      </c>
      <c r="S668" s="345">
        <v>35</v>
      </c>
      <c r="T668" s="362">
        <v>10</v>
      </c>
      <c r="U668" s="361">
        <v>89.36</v>
      </c>
      <c r="V668" s="346">
        <v>124.97029077117573</v>
      </c>
      <c r="W668" s="348">
        <v>123.25840707964602</v>
      </c>
      <c r="X668" s="347">
        <v>62.75</v>
      </c>
      <c r="Y668" s="357">
        <v>63.58</v>
      </c>
      <c r="Z668" s="365" t="s">
        <v>3017</v>
      </c>
      <c r="AA668" s="350">
        <v>198</v>
      </c>
      <c r="AB668" s="349" t="s">
        <v>2685</v>
      </c>
      <c r="AC668" s="350">
        <v>10</v>
      </c>
      <c r="AD668" s="349" t="s">
        <v>2685</v>
      </c>
      <c r="AE668" s="364">
        <v>0</v>
      </c>
      <c r="AF668" s="366">
        <v>0</v>
      </c>
      <c r="AG668" s="363">
        <v>0</v>
      </c>
      <c r="AH668" s="635" t="s">
        <v>408</v>
      </c>
      <c r="AI668" s="324"/>
      <c r="AL668" s="487" t="s">
        <v>14938</v>
      </c>
      <c r="AM668" s="477" t="s">
        <v>71</v>
      </c>
      <c r="AN668" s="637">
        <v>100</v>
      </c>
      <c r="AO668" s="478">
        <v>-1245</v>
      </c>
      <c r="AP668" s="463">
        <v>-636</v>
      </c>
      <c r="AQ668" s="479">
        <v>-609</v>
      </c>
      <c r="AR668" s="476" t="s">
        <v>16967</v>
      </c>
      <c r="BA668" s="313" t="s">
        <v>4052</v>
      </c>
    </row>
    <row r="669" spans="2:53" ht="16.5" customHeight="1">
      <c r="B669" s="367" t="s">
        <v>3967</v>
      </c>
      <c r="C669" s="351" t="s">
        <v>3968</v>
      </c>
      <c r="D669" s="353">
        <v>-1246</v>
      </c>
      <c r="E669" s="352" t="s">
        <v>4193</v>
      </c>
      <c r="F669" s="341">
        <v>89.34</v>
      </c>
      <c r="G669" s="355" t="s">
        <v>4164</v>
      </c>
      <c r="H669" s="356" t="s">
        <v>3881</v>
      </c>
      <c r="I669" s="354" t="s">
        <v>301</v>
      </c>
      <c r="J669" s="340" t="s">
        <v>9792</v>
      </c>
      <c r="K669" s="339" t="s">
        <v>71</v>
      </c>
      <c r="L669" s="357">
        <v>32</v>
      </c>
      <c r="M669" s="358" t="s">
        <v>9793</v>
      </c>
      <c r="N669" s="359">
        <v>1000</v>
      </c>
      <c r="O669" s="360" t="s">
        <v>530</v>
      </c>
      <c r="P669" s="343" t="s">
        <v>531</v>
      </c>
      <c r="Q669" s="342" t="s">
        <v>2688</v>
      </c>
      <c r="R669" s="344">
        <v>30</v>
      </c>
      <c r="S669" s="345">
        <v>30</v>
      </c>
      <c r="T669" s="362">
        <v>20</v>
      </c>
      <c r="U669" s="361">
        <v>89.34</v>
      </c>
      <c r="V669" s="346">
        <v>124.95694799658995</v>
      </c>
      <c r="W669" s="348">
        <v>123.23972719522592</v>
      </c>
      <c r="X669" s="347">
        <v>62.98</v>
      </c>
      <c r="Y669" s="357">
        <v>63.57</v>
      </c>
      <c r="Z669" s="365" t="s">
        <v>3017</v>
      </c>
      <c r="AA669" s="350">
        <v>195</v>
      </c>
      <c r="AB669" s="349" t="s">
        <v>2685</v>
      </c>
      <c r="AC669" s="350">
        <v>10</v>
      </c>
      <c r="AD669" s="349" t="s">
        <v>2685</v>
      </c>
      <c r="AE669" s="364">
        <v>0</v>
      </c>
      <c r="AF669" s="366">
        <v>0</v>
      </c>
      <c r="AG669" s="363">
        <v>0</v>
      </c>
      <c r="AH669" s="635" t="s">
        <v>408</v>
      </c>
      <c r="AI669" s="324"/>
      <c r="AL669" s="487" t="s">
        <v>14939</v>
      </c>
      <c r="AM669" s="477" t="s">
        <v>71</v>
      </c>
      <c r="AN669" s="637">
        <v>100</v>
      </c>
      <c r="AO669" s="478">
        <v>-1246</v>
      </c>
      <c r="AP669" s="463">
        <v>-638</v>
      </c>
      <c r="AQ669" s="479">
        <v>-608</v>
      </c>
      <c r="AR669" s="476" t="s">
        <v>16968</v>
      </c>
      <c r="BA669" s="313" t="s">
        <v>4055</v>
      </c>
    </row>
    <row r="670" spans="2:53" ht="16.5" customHeight="1">
      <c r="B670" s="367" t="s">
        <v>3971</v>
      </c>
      <c r="C670" s="351" t="s">
        <v>3972</v>
      </c>
      <c r="D670" s="353">
        <v>-1247</v>
      </c>
      <c r="E670" s="352" t="s">
        <v>408</v>
      </c>
      <c r="F670" s="341">
        <v>89.31</v>
      </c>
      <c r="G670" s="355" t="s">
        <v>9794</v>
      </c>
      <c r="H670" s="356" t="s">
        <v>3851</v>
      </c>
      <c r="I670" s="354" t="s">
        <v>233</v>
      </c>
      <c r="J670" s="340" t="s">
        <v>9795</v>
      </c>
      <c r="K670" s="339" t="s">
        <v>70</v>
      </c>
      <c r="L670" s="357">
        <v>32</v>
      </c>
      <c r="M670" s="358" t="s">
        <v>9796</v>
      </c>
      <c r="N670" s="359">
        <v>1000</v>
      </c>
      <c r="O670" s="360" t="s">
        <v>530</v>
      </c>
      <c r="P670" s="343" t="s">
        <v>531</v>
      </c>
      <c r="Q670" s="342" t="s">
        <v>2688</v>
      </c>
      <c r="R670" s="344">
        <v>25</v>
      </c>
      <c r="S670" s="345">
        <v>35</v>
      </c>
      <c r="T670" s="362">
        <v>25</v>
      </c>
      <c r="U670" s="361">
        <v>89.31</v>
      </c>
      <c r="V670" s="346">
        <v>124.93624805722617</v>
      </c>
      <c r="W670" s="348">
        <v>123.21074728011664</v>
      </c>
      <c r="X670" s="347">
        <v>62.73</v>
      </c>
      <c r="Y670" s="357">
        <v>63.559999999999995</v>
      </c>
      <c r="Z670" s="365" t="s">
        <v>3017</v>
      </c>
      <c r="AA670" s="350">
        <v>149.25</v>
      </c>
      <c r="AB670" s="349" t="s">
        <v>2685</v>
      </c>
      <c r="AC670" s="350">
        <v>0</v>
      </c>
      <c r="AD670" s="349" t="s">
        <v>2685</v>
      </c>
      <c r="AE670" s="364">
        <v>0</v>
      </c>
      <c r="AF670" s="366">
        <v>11.236000000000001</v>
      </c>
      <c r="AG670" s="363">
        <v>0</v>
      </c>
      <c r="AH670" s="635" t="s">
        <v>7993</v>
      </c>
      <c r="AI670" s="324"/>
      <c r="AL670" s="487" t="s">
        <v>14940</v>
      </c>
      <c r="AM670" s="477" t="s">
        <v>70</v>
      </c>
      <c r="AN670" s="637">
        <v>100</v>
      </c>
      <c r="AO670" s="478">
        <v>-1247</v>
      </c>
      <c r="AP670" s="463">
        <v>-1247</v>
      </c>
      <c r="AQ670" s="479">
        <v>0</v>
      </c>
      <c r="AR670" s="476" t="s">
        <v>14941</v>
      </c>
      <c r="BA670" s="313" t="s">
        <v>4056</v>
      </c>
    </row>
    <row r="671" spans="2:53" ht="16.5" customHeight="1">
      <c r="B671" s="367" t="s">
        <v>3971</v>
      </c>
      <c r="C671" s="351" t="s">
        <v>3972</v>
      </c>
      <c r="D671" s="353">
        <v>-1248</v>
      </c>
      <c r="E671" s="352" t="s">
        <v>408</v>
      </c>
      <c r="F671" s="341">
        <v>89.31</v>
      </c>
      <c r="G671" s="355" t="s">
        <v>9794</v>
      </c>
      <c r="H671" s="356" t="s">
        <v>3851</v>
      </c>
      <c r="I671" s="354" t="s">
        <v>233</v>
      </c>
      <c r="J671" s="340" t="s">
        <v>9797</v>
      </c>
      <c r="K671" s="339" t="s">
        <v>70</v>
      </c>
      <c r="L671" s="357">
        <v>39</v>
      </c>
      <c r="M671" s="358" t="s">
        <v>9798</v>
      </c>
      <c r="N671" s="359">
        <v>1000</v>
      </c>
      <c r="O671" s="360" t="s">
        <v>530</v>
      </c>
      <c r="P671" s="343" t="s">
        <v>531</v>
      </c>
      <c r="Q671" s="342" t="s">
        <v>2688</v>
      </c>
      <c r="R671" s="344">
        <v>25</v>
      </c>
      <c r="S671" s="345">
        <v>35</v>
      </c>
      <c r="T671" s="362">
        <v>25</v>
      </c>
      <c r="U671" s="361">
        <v>89.31</v>
      </c>
      <c r="V671" s="346">
        <v>124.93663419861183</v>
      </c>
      <c r="W671" s="348">
        <v>123.21128787805655</v>
      </c>
      <c r="X671" s="347">
        <v>62.73</v>
      </c>
      <c r="Y671" s="357">
        <v>63.559999999999995</v>
      </c>
      <c r="Z671" s="365" t="s">
        <v>3017</v>
      </c>
      <c r="AA671" s="350">
        <v>149.25</v>
      </c>
      <c r="AB671" s="349" t="s">
        <v>2685</v>
      </c>
      <c r="AC671" s="350">
        <v>0</v>
      </c>
      <c r="AD671" s="349" t="s">
        <v>2685</v>
      </c>
      <c r="AE671" s="364">
        <v>0</v>
      </c>
      <c r="AF671" s="366">
        <v>11.236000000000001</v>
      </c>
      <c r="AG671" s="363">
        <v>0</v>
      </c>
      <c r="AH671" s="635" t="s">
        <v>7993</v>
      </c>
      <c r="AI671" s="324"/>
      <c r="AL671" s="487" t="s">
        <v>14942</v>
      </c>
      <c r="AM671" s="477" t="s">
        <v>70</v>
      </c>
      <c r="AN671" s="637">
        <v>100</v>
      </c>
      <c r="AO671" s="478">
        <v>-1248</v>
      </c>
      <c r="AP671" s="463">
        <v>-1248</v>
      </c>
      <c r="AQ671" s="479">
        <v>0</v>
      </c>
      <c r="AR671" s="476" t="s">
        <v>14941</v>
      </c>
      <c r="BA671" s="313" t="s">
        <v>4058</v>
      </c>
    </row>
    <row r="672" spans="2:53" ht="16.5" customHeight="1">
      <c r="B672" s="367" t="s">
        <v>3971</v>
      </c>
      <c r="C672" s="351" t="s">
        <v>3972</v>
      </c>
      <c r="D672" s="353">
        <v>-1249</v>
      </c>
      <c r="E672" s="352" t="s">
        <v>9794</v>
      </c>
      <c r="F672" s="341">
        <v>89.31</v>
      </c>
      <c r="G672" s="355" t="s">
        <v>9756</v>
      </c>
      <c r="H672" s="356" t="s">
        <v>9875</v>
      </c>
      <c r="I672" s="354" t="s">
        <v>9336</v>
      </c>
      <c r="J672" s="340" t="s">
        <v>9799</v>
      </c>
      <c r="K672" s="339" t="s">
        <v>71</v>
      </c>
      <c r="L672" s="357">
        <v>42</v>
      </c>
      <c r="M672" s="358" t="s">
        <v>9800</v>
      </c>
      <c r="N672" s="359">
        <v>700</v>
      </c>
      <c r="O672" s="360" t="s">
        <v>532</v>
      </c>
      <c r="P672" s="343" t="s">
        <v>533</v>
      </c>
      <c r="Q672" s="342" t="s">
        <v>2688</v>
      </c>
      <c r="R672" s="344">
        <v>30</v>
      </c>
      <c r="S672" s="345">
        <v>30</v>
      </c>
      <c r="T672" s="362">
        <v>20</v>
      </c>
      <c r="U672" s="361">
        <v>89.31</v>
      </c>
      <c r="V672" s="346">
        <v>124.93531358501254</v>
      </c>
      <c r="W672" s="348">
        <v>123.20943901901755</v>
      </c>
      <c r="X672" s="347">
        <v>62.97</v>
      </c>
      <c r="Y672" s="357">
        <v>65.87</v>
      </c>
      <c r="Z672" s="365" t="s">
        <v>3017</v>
      </c>
      <c r="AA672" s="350">
        <v>138</v>
      </c>
      <c r="AB672" s="349" t="s">
        <v>2685</v>
      </c>
      <c r="AC672" s="350">
        <v>10</v>
      </c>
      <c r="AD672" s="349" t="s">
        <v>2685</v>
      </c>
      <c r="AE672" s="364">
        <v>0</v>
      </c>
      <c r="AF672" s="366">
        <v>0</v>
      </c>
      <c r="AG672" s="363">
        <v>0</v>
      </c>
      <c r="AH672" s="635" t="s">
        <v>408</v>
      </c>
      <c r="AI672" s="324"/>
      <c r="AL672" s="487" t="s">
        <v>14943</v>
      </c>
      <c r="AM672" s="477" t="s">
        <v>71</v>
      </c>
      <c r="AN672" s="637">
        <v>100</v>
      </c>
      <c r="AO672" s="478">
        <v>-1249</v>
      </c>
      <c r="AP672" s="463">
        <v>-639</v>
      </c>
      <c r="AQ672" s="479">
        <v>-610</v>
      </c>
      <c r="AR672" s="476" t="s">
        <v>14960</v>
      </c>
      <c r="BA672" s="313" t="s">
        <v>4060</v>
      </c>
    </row>
    <row r="673" spans="2:53" ht="16.5" customHeight="1">
      <c r="B673" s="367" t="s">
        <v>3978</v>
      </c>
      <c r="C673" s="351" t="s">
        <v>3979</v>
      </c>
      <c r="D673" s="353">
        <v>-1250</v>
      </c>
      <c r="E673" s="352" t="s">
        <v>9801</v>
      </c>
      <c r="F673" s="341">
        <v>89.28</v>
      </c>
      <c r="G673" s="355" t="s">
        <v>18605</v>
      </c>
      <c r="H673" s="356" t="s">
        <v>3880</v>
      </c>
      <c r="I673" s="354" t="s">
        <v>9336</v>
      </c>
      <c r="J673" s="340" t="s">
        <v>9806</v>
      </c>
      <c r="K673" s="339" t="s">
        <v>71</v>
      </c>
      <c r="L673" s="357">
        <v>15</v>
      </c>
      <c r="M673" s="358" t="s">
        <v>9626</v>
      </c>
      <c r="N673" s="359">
        <v>700</v>
      </c>
      <c r="O673" s="360" t="s">
        <v>532</v>
      </c>
      <c r="P673" s="343" t="s">
        <v>533</v>
      </c>
      <c r="Q673" s="342" t="s">
        <v>2688</v>
      </c>
      <c r="R673" s="344">
        <v>30</v>
      </c>
      <c r="S673" s="345">
        <v>30</v>
      </c>
      <c r="T673" s="362">
        <v>20</v>
      </c>
      <c r="U673" s="361">
        <v>89.28</v>
      </c>
      <c r="V673" s="346">
        <v>124.91708799681119</v>
      </c>
      <c r="W673" s="348">
        <v>123.18392319553567</v>
      </c>
      <c r="X673" s="347">
        <v>62.96</v>
      </c>
      <c r="Y673" s="357">
        <v>65.850000000000009</v>
      </c>
      <c r="Z673" s="365" t="s">
        <v>3017</v>
      </c>
      <c r="AA673" s="350">
        <v>138</v>
      </c>
      <c r="AB673" s="349" t="s">
        <v>2685</v>
      </c>
      <c r="AC673" s="350">
        <v>10</v>
      </c>
      <c r="AD673" s="349" t="s">
        <v>2685</v>
      </c>
      <c r="AE673" s="364">
        <v>0</v>
      </c>
      <c r="AF673" s="366">
        <v>0</v>
      </c>
      <c r="AG673" s="363">
        <v>0</v>
      </c>
      <c r="AH673" s="635" t="s">
        <v>408</v>
      </c>
      <c r="AI673" s="324"/>
      <c r="AL673" s="487" t="s">
        <v>14945</v>
      </c>
      <c r="AM673" s="477" t="s">
        <v>71</v>
      </c>
      <c r="AN673" s="637">
        <v>100</v>
      </c>
      <c r="AO673" s="478">
        <v>-1250</v>
      </c>
      <c r="AP673" s="463">
        <v>-640</v>
      </c>
      <c r="AQ673" s="479">
        <v>-610</v>
      </c>
      <c r="AR673" s="476" t="s">
        <v>16969</v>
      </c>
      <c r="BA673" s="313" t="s">
        <v>4061</v>
      </c>
    </row>
    <row r="674" spans="2:53" ht="16.5" customHeight="1">
      <c r="B674" s="367" t="s">
        <v>3985</v>
      </c>
      <c r="C674" s="351" t="s">
        <v>3986</v>
      </c>
      <c r="D674" s="353">
        <v>-1251</v>
      </c>
      <c r="E674" s="352" t="s">
        <v>9804</v>
      </c>
      <c r="F674" s="341">
        <v>89.24</v>
      </c>
      <c r="G674" s="355" t="s">
        <v>9807</v>
      </c>
      <c r="H674" s="356" t="s">
        <v>9291</v>
      </c>
      <c r="I674" s="354" t="s">
        <v>224</v>
      </c>
      <c r="J674" s="340" t="s">
        <v>9808</v>
      </c>
      <c r="K674" s="339" t="s">
        <v>70</v>
      </c>
      <c r="L674" s="357">
        <v>36</v>
      </c>
      <c r="M674" s="358" t="s">
        <v>9809</v>
      </c>
      <c r="N674" s="359">
        <v>1000</v>
      </c>
      <c r="O674" s="360" t="s">
        <v>532</v>
      </c>
      <c r="P674" s="343" t="s">
        <v>533</v>
      </c>
      <c r="Q674" s="342" t="s">
        <v>2688</v>
      </c>
      <c r="R674" s="344">
        <v>25</v>
      </c>
      <c r="S674" s="345">
        <v>30</v>
      </c>
      <c r="T674" s="362">
        <v>25</v>
      </c>
      <c r="U674" s="361">
        <v>89.24</v>
      </c>
      <c r="V674" s="346">
        <v>124.88302833066015</v>
      </c>
      <c r="W674" s="348">
        <v>123.13623966292421</v>
      </c>
      <c r="X674" s="347">
        <v>62.71</v>
      </c>
      <c r="Y674" s="357">
        <v>63.61</v>
      </c>
      <c r="Z674" s="365" t="s">
        <v>3017</v>
      </c>
      <c r="AA674" s="350">
        <v>196</v>
      </c>
      <c r="AB674" s="349" t="s">
        <v>2685</v>
      </c>
      <c r="AC674" s="350">
        <v>10</v>
      </c>
      <c r="AD674" s="349" t="s">
        <v>2685</v>
      </c>
      <c r="AE674" s="364">
        <v>0</v>
      </c>
      <c r="AF674" s="366">
        <v>13.605</v>
      </c>
      <c r="AG674" s="363">
        <v>0</v>
      </c>
      <c r="AH674" s="635" t="s">
        <v>7854</v>
      </c>
      <c r="AI674" s="324"/>
      <c r="AL674" s="487" t="s">
        <v>14946</v>
      </c>
      <c r="AM674" s="477" t="s">
        <v>70</v>
      </c>
      <c r="AN674" s="637">
        <v>100</v>
      </c>
      <c r="AO674" s="478">
        <v>-1251</v>
      </c>
      <c r="AP674" s="463">
        <v>-1251</v>
      </c>
      <c r="AQ674" s="479">
        <v>0</v>
      </c>
      <c r="AR674" s="476" t="s">
        <v>14947</v>
      </c>
      <c r="BA674" s="313" t="s">
        <v>4065</v>
      </c>
    </row>
    <row r="675" spans="2:53" ht="16.5" customHeight="1">
      <c r="B675" s="367" t="s">
        <v>9784</v>
      </c>
      <c r="C675" s="351" t="s">
        <v>9785</v>
      </c>
      <c r="D675" s="353">
        <v>-1252</v>
      </c>
      <c r="E675" s="352" t="s">
        <v>408</v>
      </c>
      <c r="F675" s="341">
        <v>89.2</v>
      </c>
      <c r="G675" s="355" t="s">
        <v>4191</v>
      </c>
      <c r="H675" s="356" t="s">
        <v>9850</v>
      </c>
      <c r="I675" s="354" t="s">
        <v>417</v>
      </c>
      <c r="J675" s="340" t="s">
        <v>491</v>
      </c>
      <c r="K675" s="339" t="s">
        <v>71</v>
      </c>
      <c r="L675" s="357">
        <v>20</v>
      </c>
      <c r="M675" s="358" t="s">
        <v>9803</v>
      </c>
      <c r="N675" s="359">
        <v>200</v>
      </c>
      <c r="O675" s="360" t="s">
        <v>530</v>
      </c>
      <c r="P675" s="343" t="s">
        <v>530</v>
      </c>
      <c r="Q675" s="342" t="s">
        <v>2688</v>
      </c>
      <c r="R675" s="344">
        <v>30</v>
      </c>
      <c r="S675" s="345">
        <v>30</v>
      </c>
      <c r="T675" s="362">
        <v>25</v>
      </c>
      <c r="U675" s="361">
        <v>89.2</v>
      </c>
      <c r="V675" s="346">
        <v>124.85533977238406</v>
      </c>
      <c r="W675" s="348">
        <v>123.09747568133767</v>
      </c>
      <c r="X675" s="347">
        <v>62.93</v>
      </c>
      <c r="Y675" s="357" t="s">
        <v>408</v>
      </c>
      <c r="Z675" s="365" t="s">
        <v>3017</v>
      </c>
      <c r="AA675" s="350">
        <v>14.25</v>
      </c>
      <c r="AB675" s="349" t="s">
        <v>2685</v>
      </c>
      <c r="AC675" s="350">
        <v>10</v>
      </c>
      <c r="AD675" s="349" t="s">
        <v>2685</v>
      </c>
      <c r="AE675" s="364">
        <v>0</v>
      </c>
      <c r="AF675" s="366">
        <v>0</v>
      </c>
      <c r="AG675" s="363">
        <v>0</v>
      </c>
      <c r="AH675" s="635" t="s">
        <v>408</v>
      </c>
      <c r="AI675" s="324"/>
      <c r="AL675" s="487" t="s">
        <v>14948</v>
      </c>
      <c r="AM675" s="477" t="s">
        <v>71</v>
      </c>
      <c r="AN675" s="637">
        <v>100</v>
      </c>
      <c r="AO675" s="478">
        <v>-1252</v>
      </c>
      <c r="AP675" s="463">
        <v>-640</v>
      </c>
      <c r="AQ675" s="479">
        <v>-612</v>
      </c>
      <c r="AR675" s="476" t="s">
        <v>14971</v>
      </c>
      <c r="BA675" s="313" t="s">
        <v>4066</v>
      </c>
    </row>
    <row r="676" spans="2:53" ht="16.5" customHeight="1">
      <c r="B676" s="367" t="s">
        <v>3989</v>
      </c>
      <c r="C676" s="351" t="s">
        <v>3990</v>
      </c>
      <c r="D676" s="353">
        <v>-1253</v>
      </c>
      <c r="E676" s="352" t="s">
        <v>408</v>
      </c>
      <c r="F676" s="341">
        <v>89.2</v>
      </c>
      <c r="G676" s="355" t="s">
        <v>9810</v>
      </c>
      <c r="H676" s="356" t="s">
        <v>3866</v>
      </c>
      <c r="I676" s="354" t="s">
        <v>73</v>
      </c>
      <c r="J676" s="340" t="s">
        <v>9811</v>
      </c>
      <c r="K676" s="339" t="s">
        <v>70</v>
      </c>
      <c r="L676" s="357" t="s">
        <v>408</v>
      </c>
      <c r="M676" s="358" t="s">
        <v>9812</v>
      </c>
      <c r="N676" s="359">
        <v>1000</v>
      </c>
      <c r="O676" s="360" t="s">
        <v>530</v>
      </c>
      <c r="P676" s="343" t="s">
        <v>531</v>
      </c>
      <c r="Q676" s="342" t="s">
        <v>2688</v>
      </c>
      <c r="R676" s="344">
        <v>22</v>
      </c>
      <c r="S676" s="345">
        <v>33</v>
      </c>
      <c r="T676" s="362">
        <v>33</v>
      </c>
      <c r="U676" s="361">
        <v>89.2</v>
      </c>
      <c r="V676" s="346">
        <v>124.85624610936803</v>
      </c>
      <c r="W676" s="348">
        <v>123.09874455311524</v>
      </c>
      <c r="X676" s="347">
        <v>62.7</v>
      </c>
      <c r="Y676" s="357">
        <v>63.51</v>
      </c>
      <c r="Z676" s="365" t="s">
        <v>2689</v>
      </c>
      <c r="AA676" s="350">
        <v>111.11</v>
      </c>
      <c r="AB676" s="349" t="s">
        <v>2685</v>
      </c>
      <c r="AC676" s="350">
        <v>0</v>
      </c>
      <c r="AD676" s="349" t="s">
        <v>2685</v>
      </c>
      <c r="AE676" s="364">
        <v>0</v>
      </c>
      <c r="AF676" s="366">
        <v>6.351</v>
      </c>
      <c r="AG676" s="363">
        <v>0</v>
      </c>
      <c r="AH676" s="635" t="s">
        <v>7791</v>
      </c>
      <c r="AI676" s="324"/>
      <c r="AL676" s="487" t="s">
        <v>14949</v>
      </c>
      <c r="AM676" s="477" t="s">
        <v>70</v>
      </c>
      <c r="AN676" s="637">
        <v>100</v>
      </c>
      <c r="AO676" s="478">
        <v>-1253</v>
      </c>
      <c r="AP676" s="463">
        <v>-1253</v>
      </c>
      <c r="AQ676" s="479">
        <v>0</v>
      </c>
      <c r="AR676" s="476" t="s">
        <v>14950</v>
      </c>
      <c r="BA676" s="313" t="s">
        <v>4068</v>
      </c>
    </row>
    <row r="677" spans="2:53" ht="16.5" customHeight="1">
      <c r="B677" s="367" t="s">
        <v>9813</v>
      </c>
      <c r="C677" s="351" t="s">
        <v>9814</v>
      </c>
      <c r="D677" s="353">
        <v>-1254</v>
      </c>
      <c r="E677" s="352" t="s">
        <v>9815</v>
      </c>
      <c r="F677" s="341">
        <v>89.18</v>
      </c>
      <c r="G677" s="355" t="s">
        <v>9801</v>
      </c>
      <c r="H677" s="356" t="s">
        <v>9390</v>
      </c>
      <c r="I677" s="354" t="s">
        <v>233</v>
      </c>
      <c r="J677" s="340" t="s">
        <v>8883</v>
      </c>
      <c r="K677" s="339" t="s">
        <v>71</v>
      </c>
      <c r="L677" s="357">
        <v>4</v>
      </c>
      <c r="M677" s="358" t="s">
        <v>9816</v>
      </c>
      <c r="N677" s="359">
        <v>1000</v>
      </c>
      <c r="O677" s="360" t="s">
        <v>530</v>
      </c>
      <c r="P677" s="343" t="s">
        <v>531</v>
      </c>
      <c r="Q677" s="342" t="s">
        <v>2688</v>
      </c>
      <c r="R677" s="344">
        <v>35</v>
      </c>
      <c r="S677" s="345">
        <v>25</v>
      </c>
      <c r="T677" s="362">
        <v>25</v>
      </c>
      <c r="U677" s="361">
        <v>89.18</v>
      </c>
      <c r="V677" s="346">
        <v>124.84275436793423</v>
      </c>
      <c r="W677" s="348">
        <v>123.07985611510793</v>
      </c>
      <c r="X677" s="347">
        <v>62.92</v>
      </c>
      <c r="Y677" s="357">
        <v>63.51</v>
      </c>
      <c r="Z677" s="365" t="s">
        <v>3017</v>
      </c>
      <c r="AA677" s="350">
        <v>149.25</v>
      </c>
      <c r="AB677" s="349" t="s">
        <v>2685</v>
      </c>
      <c r="AC677" s="350">
        <v>0</v>
      </c>
      <c r="AD677" s="349" t="s">
        <v>2685</v>
      </c>
      <c r="AE677" s="364">
        <v>0</v>
      </c>
      <c r="AF677" s="366">
        <v>0</v>
      </c>
      <c r="AG677" s="363">
        <v>0</v>
      </c>
      <c r="AH677" s="635" t="s">
        <v>408</v>
      </c>
      <c r="AI677" s="324"/>
      <c r="AL677" s="487" t="s">
        <v>14951</v>
      </c>
      <c r="AM677" s="477" t="s">
        <v>71</v>
      </c>
      <c r="AN677" s="637">
        <v>100</v>
      </c>
      <c r="AO677" s="478">
        <v>-1254</v>
      </c>
      <c r="AP677" s="463">
        <v>-641</v>
      </c>
      <c r="AQ677" s="479">
        <v>-613</v>
      </c>
      <c r="AR677" s="476" t="s">
        <v>16970</v>
      </c>
      <c r="BA677" s="313" t="s">
        <v>4069</v>
      </c>
    </row>
    <row r="678" spans="2:53" ht="16.5" customHeight="1">
      <c r="B678" s="367" t="s">
        <v>9813</v>
      </c>
      <c r="C678" s="351" t="s">
        <v>9814</v>
      </c>
      <c r="D678" s="353">
        <v>-1255</v>
      </c>
      <c r="E678" s="352" t="s">
        <v>9817</v>
      </c>
      <c r="F678" s="341">
        <v>89.18</v>
      </c>
      <c r="G678" s="355" t="s">
        <v>9801</v>
      </c>
      <c r="H678" s="356" t="s">
        <v>9390</v>
      </c>
      <c r="I678" s="354" t="s">
        <v>9336</v>
      </c>
      <c r="J678" s="340" t="s">
        <v>9818</v>
      </c>
      <c r="K678" s="339" t="s">
        <v>71</v>
      </c>
      <c r="L678" s="357">
        <v>21</v>
      </c>
      <c r="M678" s="358" t="s">
        <v>9819</v>
      </c>
      <c r="N678" s="359">
        <v>700</v>
      </c>
      <c r="O678" s="360" t="s">
        <v>532</v>
      </c>
      <c r="P678" s="343" t="s">
        <v>533</v>
      </c>
      <c r="Q678" s="342" t="s">
        <v>2688</v>
      </c>
      <c r="R678" s="344">
        <v>30</v>
      </c>
      <c r="S678" s="345">
        <v>30</v>
      </c>
      <c r="T678" s="362">
        <v>20</v>
      </c>
      <c r="U678" s="361">
        <v>89.18</v>
      </c>
      <c r="V678" s="346">
        <v>124.84418564400575</v>
      </c>
      <c r="W678" s="348">
        <v>123.08185990160804</v>
      </c>
      <c r="X678" s="347">
        <v>62.92</v>
      </c>
      <c r="Y678" s="357">
        <v>65.790000000000006</v>
      </c>
      <c r="Z678" s="365" t="s">
        <v>3017</v>
      </c>
      <c r="AA678" s="350">
        <v>138</v>
      </c>
      <c r="AB678" s="349" t="s">
        <v>2685</v>
      </c>
      <c r="AC678" s="350">
        <v>10</v>
      </c>
      <c r="AD678" s="349" t="s">
        <v>2685</v>
      </c>
      <c r="AE678" s="364">
        <v>0</v>
      </c>
      <c r="AF678" s="366">
        <v>0</v>
      </c>
      <c r="AG678" s="363">
        <v>0</v>
      </c>
      <c r="AH678" s="635" t="s">
        <v>408</v>
      </c>
      <c r="AI678" s="324"/>
      <c r="AL678" s="487" t="s">
        <v>14952</v>
      </c>
      <c r="AM678" s="477" t="s">
        <v>71</v>
      </c>
      <c r="AN678" s="637">
        <v>100</v>
      </c>
      <c r="AO678" s="478">
        <v>-1255</v>
      </c>
      <c r="AP678" s="463">
        <v>-641</v>
      </c>
      <c r="AQ678" s="479">
        <v>-614</v>
      </c>
      <c r="AR678" s="476" t="s">
        <v>16970</v>
      </c>
      <c r="BA678" s="313" t="s">
        <v>4070</v>
      </c>
    </row>
    <row r="679" spans="2:53" ht="16.5" customHeight="1">
      <c r="B679" s="367" t="s">
        <v>3999</v>
      </c>
      <c r="C679" s="351" t="s">
        <v>4000</v>
      </c>
      <c r="D679" s="353">
        <v>-1256</v>
      </c>
      <c r="E679" s="352" t="s">
        <v>408</v>
      </c>
      <c r="F679" s="341">
        <v>89.17</v>
      </c>
      <c r="G679" s="355" t="s">
        <v>4212</v>
      </c>
      <c r="H679" s="356" t="s">
        <v>3880</v>
      </c>
      <c r="I679" s="354" t="s">
        <v>209</v>
      </c>
      <c r="J679" s="340" t="s">
        <v>8480</v>
      </c>
      <c r="K679" s="339" t="s">
        <v>70</v>
      </c>
      <c r="L679" s="357">
        <v>24</v>
      </c>
      <c r="M679" s="358" t="s">
        <v>9820</v>
      </c>
      <c r="N679" s="359">
        <v>1000</v>
      </c>
      <c r="O679" s="360" t="s">
        <v>530</v>
      </c>
      <c r="P679" s="343" t="s">
        <v>530</v>
      </c>
      <c r="Q679" s="342" t="s">
        <v>2688</v>
      </c>
      <c r="R679" s="344">
        <v>20</v>
      </c>
      <c r="S679" s="345">
        <v>30</v>
      </c>
      <c r="T679" s="362">
        <v>30</v>
      </c>
      <c r="U679" s="361">
        <v>89.17</v>
      </c>
      <c r="V679" s="346">
        <v>124.83448288078591</v>
      </c>
      <c r="W679" s="348">
        <v>123.06827603310026</v>
      </c>
      <c r="X679" s="347">
        <v>62.69</v>
      </c>
      <c r="Y679" s="357" t="s">
        <v>408</v>
      </c>
      <c r="Z679" s="365" t="s">
        <v>3017</v>
      </c>
      <c r="AA679" s="350">
        <v>198</v>
      </c>
      <c r="AB679" s="349" t="s">
        <v>2685</v>
      </c>
      <c r="AC679" s="350">
        <v>10</v>
      </c>
      <c r="AD679" s="349" t="s">
        <v>2685</v>
      </c>
      <c r="AE679" s="364">
        <v>0</v>
      </c>
      <c r="AF679" s="366">
        <v>0</v>
      </c>
      <c r="AG679" s="363">
        <v>0</v>
      </c>
      <c r="AH679" s="635" t="s">
        <v>408</v>
      </c>
      <c r="AI679" s="324"/>
      <c r="AL679" s="487" t="s">
        <v>14953</v>
      </c>
      <c r="AM679" s="477" t="s">
        <v>70</v>
      </c>
      <c r="AN679" s="637">
        <v>100</v>
      </c>
      <c r="AO679" s="478">
        <v>-1256</v>
      </c>
      <c r="AP679" s="463">
        <v>-1256</v>
      </c>
      <c r="AQ679" s="479">
        <v>0</v>
      </c>
      <c r="AR679" s="476" t="s">
        <v>14954</v>
      </c>
      <c r="BA679" s="313" t="s">
        <v>4072</v>
      </c>
    </row>
    <row r="680" spans="2:53" ht="16.5" customHeight="1">
      <c r="B680" s="367" t="s">
        <v>9821</v>
      </c>
      <c r="C680" s="351" t="s">
        <v>9822</v>
      </c>
      <c r="D680" s="353">
        <v>-1257</v>
      </c>
      <c r="E680" s="352" t="s">
        <v>9823</v>
      </c>
      <c r="F680" s="341">
        <v>89.16</v>
      </c>
      <c r="G680" s="355" t="s">
        <v>10256</v>
      </c>
      <c r="H680" s="356" t="s">
        <v>9403</v>
      </c>
      <c r="I680" s="354" t="s">
        <v>9336</v>
      </c>
      <c r="J680" s="340" t="s">
        <v>9824</v>
      </c>
      <c r="K680" s="339" t="s">
        <v>71</v>
      </c>
      <c r="L680" s="357">
        <v>16</v>
      </c>
      <c r="M680" s="358" t="s">
        <v>9825</v>
      </c>
      <c r="N680" s="359">
        <v>700</v>
      </c>
      <c r="O680" s="360" t="s">
        <v>532</v>
      </c>
      <c r="P680" s="343" t="s">
        <v>533</v>
      </c>
      <c r="Q680" s="342" t="s">
        <v>2688</v>
      </c>
      <c r="R680" s="344">
        <v>30</v>
      </c>
      <c r="S680" s="345">
        <v>30</v>
      </c>
      <c r="T680" s="362">
        <v>20</v>
      </c>
      <c r="U680" s="361">
        <v>89.16</v>
      </c>
      <c r="V680" s="346">
        <v>124.8259600558044</v>
      </c>
      <c r="W680" s="348">
        <v>123.05634407812616</v>
      </c>
      <c r="X680" s="347">
        <v>62.91</v>
      </c>
      <c r="Y680" s="357">
        <v>65.77000000000001</v>
      </c>
      <c r="Z680" s="365" t="s">
        <v>3017</v>
      </c>
      <c r="AA680" s="350">
        <v>138</v>
      </c>
      <c r="AB680" s="349" t="s">
        <v>2685</v>
      </c>
      <c r="AC680" s="350">
        <v>10</v>
      </c>
      <c r="AD680" s="349" t="s">
        <v>2685</v>
      </c>
      <c r="AE680" s="364">
        <v>0</v>
      </c>
      <c r="AF680" s="366">
        <v>0</v>
      </c>
      <c r="AG680" s="363">
        <v>0</v>
      </c>
      <c r="AH680" s="635" t="s">
        <v>408</v>
      </c>
      <c r="AI680" s="324"/>
      <c r="AL680" s="487" t="s">
        <v>14955</v>
      </c>
      <c r="AM680" s="477" t="s">
        <v>71</v>
      </c>
      <c r="AN680" s="637">
        <v>100</v>
      </c>
      <c r="AO680" s="478">
        <v>-1257</v>
      </c>
      <c r="AP680" s="463">
        <v>-642</v>
      </c>
      <c r="AQ680" s="479">
        <v>-615</v>
      </c>
      <c r="AR680" s="476" t="s">
        <v>16967</v>
      </c>
      <c r="BA680" s="313" t="s">
        <v>4076</v>
      </c>
    </row>
    <row r="681" spans="2:53" ht="16.5" customHeight="1">
      <c r="B681" s="367" t="s">
        <v>9821</v>
      </c>
      <c r="C681" s="351" t="s">
        <v>9822</v>
      </c>
      <c r="D681" s="353">
        <v>-1258</v>
      </c>
      <c r="E681" s="352" t="s">
        <v>9823</v>
      </c>
      <c r="F681" s="341">
        <v>89.16</v>
      </c>
      <c r="G681" s="355" t="s">
        <v>10256</v>
      </c>
      <c r="H681" s="356" t="s">
        <v>9403</v>
      </c>
      <c r="I681" s="354" t="s">
        <v>9336</v>
      </c>
      <c r="J681" s="340" t="s">
        <v>9826</v>
      </c>
      <c r="K681" s="339" t="s">
        <v>71</v>
      </c>
      <c r="L681" s="357">
        <v>9</v>
      </c>
      <c r="M681" s="358" t="s">
        <v>9825</v>
      </c>
      <c r="N681" s="359">
        <v>700</v>
      </c>
      <c r="O681" s="360" t="s">
        <v>532</v>
      </c>
      <c r="P681" s="343" t="s">
        <v>533</v>
      </c>
      <c r="Q681" s="342" t="s">
        <v>2688</v>
      </c>
      <c r="R681" s="344">
        <v>30</v>
      </c>
      <c r="S681" s="345">
        <v>30</v>
      </c>
      <c r="T681" s="362">
        <v>20</v>
      </c>
      <c r="U681" s="361">
        <v>89.16</v>
      </c>
      <c r="V681" s="346">
        <v>124.8259600558044</v>
      </c>
      <c r="W681" s="348">
        <v>123.05634407812616</v>
      </c>
      <c r="X681" s="347">
        <v>62.91</v>
      </c>
      <c r="Y681" s="357">
        <v>65.77000000000001</v>
      </c>
      <c r="Z681" s="365" t="s">
        <v>3017</v>
      </c>
      <c r="AA681" s="350">
        <v>138</v>
      </c>
      <c r="AB681" s="349" t="s">
        <v>2685</v>
      </c>
      <c r="AC681" s="350">
        <v>10</v>
      </c>
      <c r="AD681" s="349" t="s">
        <v>2685</v>
      </c>
      <c r="AE681" s="364">
        <v>0</v>
      </c>
      <c r="AF681" s="366">
        <v>0</v>
      </c>
      <c r="AG681" s="363">
        <v>0</v>
      </c>
      <c r="AH681" s="635" t="s">
        <v>408</v>
      </c>
      <c r="AI681" s="324"/>
      <c r="AL681" s="487" t="s">
        <v>14956</v>
      </c>
      <c r="AM681" s="477" t="s">
        <v>71</v>
      </c>
      <c r="AN681" s="637">
        <v>100</v>
      </c>
      <c r="AO681" s="478">
        <v>-1258</v>
      </c>
      <c r="AP681" s="463">
        <v>-642</v>
      </c>
      <c r="AQ681" s="479">
        <v>-616</v>
      </c>
      <c r="AR681" s="476" t="s">
        <v>16967</v>
      </c>
      <c r="BA681" s="313" t="s">
        <v>4077</v>
      </c>
    </row>
    <row r="682" spans="2:53" ht="16.5" customHeight="1">
      <c r="B682" s="367" t="s">
        <v>4012</v>
      </c>
      <c r="C682" s="351" t="s">
        <v>4013</v>
      </c>
      <c r="D682" s="353">
        <v>-1259</v>
      </c>
      <c r="E682" s="352" t="s">
        <v>4224</v>
      </c>
      <c r="F682" s="341">
        <v>89.13</v>
      </c>
      <c r="G682" s="355" t="s">
        <v>18606</v>
      </c>
      <c r="H682" s="356" t="s">
        <v>9846</v>
      </c>
      <c r="I682" s="354" t="s">
        <v>9336</v>
      </c>
      <c r="J682" s="340" t="s">
        <v>9827</v>
      </c>
      <c r="K682" s="339" t="s">
        <v>71</v>
      </c>
      <c r="L682" s="357">
        <v>18</v>
      </c>
      <c r="M682" s="358" t="s">
        <v>9828</v>
      </c>
      <c r="N682" s="359">
        <v>700</v>
      </c>
      <c r="O682" s="360" t="s">
        <v>532</v>
      </c>
      <c r="P682" s="343" t="s">
        <v>533</v>
      </c>
      <c r="Q682" s="342" t="s">
        <v>2688</v>
      </c>
      <c r="R682" s="344">
        <v>30</v>
      </c>
      <c r="S682" s="345">
        <v>30</v>
      </c>
      <c r="T682" s="362">
        <v>20</v>
      </c>
      <c r="U682" s="361">
        <v>89.13</v>
      </c>
      <c r="V682" s="346">
        <v>124.80773446760304</v>
      </c>
      <c r="W682" s="348">
        <v>123.03082825464426</v>
      </c>
      <c r="X682" s="347">
        <v>62.91</v>
      </c>
      <c r="Y682" s="357">
        <v>65.75</v>
      </c>
      <c r="Z682" s="365" t="s">
        <v>3017</v>
      </c>
      <c r="AA682" s="350">
        <v>138</v>
      </c>
      <c r="AB682" s="349" t="s">
        <v>2685</v>
      </c>
      <c r="AC682" s="350">
        <v>10</v>
      </c>
      <c r="AD682" s="349" t="s">
        <v>2685</v>
      </c>
      <c r="AE682" s="364">
        <v>0</v>
      </c>
      <c r="AF682" s="366">
        <v>0</v>
      </c>
      <c r="AG682" s="363">
        <v>0</v>
      </c>
      <c r="AH682" s="635" t="s">
        <v>408</v>
      </c>
      <c r="AI682" s="324"/>
      <c r="AL682" s="487" t="s">
        <v>14957</v>
      </c>
      <c r="AM682" s="477" t="s">
        <v>71</v>
      </c>
      <c r="AN682" s="637">
        <v>100</v>
      </c>
      <c r="AO682" s="478">
        <v>-1259</v>
      </c>
      <c r="AP682" s="463">
        <v>-642</v>
      </c>
      <c r="AQ682" s="479">
        <v>-617</v>
      </c>
      <c r="AR682" s="476" t="s">
        <v>14979</v>
      </c>
      <c r="BA682" s="313" t="s">
        <v>4080</v>
      </c>
    </row>
    <row r="683" spans="2:53" ht="16.5" customHeight="1">
      <c r="B683" s="367" t="s">
        <v>9829</v>
      </c>
      <c r="C683" s="351" t="s">
        <v>9830</v>
      </c>
      <c r="D683" s="353">
        <v>-1260</v>
      </c>
      <c r="E683" s="352" t="s">
        <v>9831</v>
      </c>
      <c r="F683" s="341">
        <v>89.12</v>
      </c>
      <c r="G683" s="355" t="s">
        <v>18607</v>
      </c>
      <c r="H683" s="356" t="s">
        <v>3898</v>
      </c>
      <c r="I683" s="354" t="s">
        <v>233</v>
      </c>
      <c r="J683" s="340" t="s">
        <v>9833</v>
      </c>
      <c r="K683" s="339" t="s">
        <v>71</v>
      </c>
      <c r="L683" s="357">
        <v>13</v>
      </c>
      <c r="M683" s="358" t="s">
        <v>9834</v>
      </c>
      <c r="N683" s="359">
        <v>1000</v>
      </c>
      <c r="O683" s="360" t="s">
        <v>530</v>
      </c>
      <c r="P683" s="343" t="s">
        <v>531</v>
      </c>
      <c r="Q683" s="342" t="s">
        <v>2688</v>
      </c>
      <c r="R683" s="344">
        <v>35</v>
      </c>
      <c r="S683" s="345">
        <v>25</v>
      </c>
      <c r="T683" s="362">
        <v>25</v>
      </c>
      <c r="U683" s="361">
        <v>89.12</v>
      </c>
      <c r="V683" s="346">
        <v>124.79917780061666</v>
      </c>
      <c r="W683" s="348">
        <v>123.01884892086332</v>
      </c>
      <c r="X683" s="347">
        <v>62.91</v>
      </c>
      <c r="Y683" s="357">
        <v>63.48</v>
      </c>
      <c r="Z683" s="365" t="s">
        <v>3017</v>
      </c>
      <c r="AA683" s="350">
        <v>149.25</v>
      </c>
      <c r="AB683" s="349" t="s">
        <v>2685</v>
      </c>
      <c r="AC683" s="350">
        <v>0</v>
      </c>
      <c r="AD683" s="349" t="s">
        <v>2685</v>
      </c>
      <c r="AE683" s="364">
        <v>0</v>
      </c>
      <c r="AF683" s="366">
        <v>0</v>
      </c>
      <c r="AG683" s="363">
        <v>0</v>
      </c>
      <c r="AH683" s="635" t="s">
        <v>408</v>
      </c>
      <c r="AI683" s="324"/>
      <c r="AL683" s="487" t="s">
        <v>14958</v>
      </c>
      <c r="AM683" s="477" t="s">
        <v>71</v>
      </c>
      <c r="AN683" s="637">
        <v>100</v>
      </c>
      <c r="AO683" s="478">
        <v>-1260</v>
      </c>
      <c r="AP683" s="463">
        <v>-643</v>
      </c>
      <c r="AQ683" s="479">
        <v>-617</v>
      </c>
      <c r="AR683" s="476" t="s">
        <v>16971</v>
      </c>
      <c r="BA683" s="313" t="s">
        <v>4081</v>
      </c>
    </row>
    <row r="684" spans="2:53" ht="16.5" customHeight="1">
      <c r="B684" s="367" t="s">
        <v>4018</v>
      </c>
      <c r="C684" s="351" t="s">
        <v>4019</v>
      </c>
      <c r="D684" s="353">
        <v>-1261</v>
      </c>
      <c r="E684" s="352" t="s">
        <v>4228</v>
      </c>
      <c r="F684" s="341">
        <v>89.11</v>
      </c>
      <c r="G684" s="355" t="s">
        <v>4203</v>
      </c>
      <c r="H684" s="356" t="s">
        <v>9872</v>
      </c>
      <c r="I684" s="354" t="s">
        <v>233</v>
      </c>
      <c r="J684" s="340" t="s">
        <v>9835</v>
      </c>
      <c r="K684" s="339" t="s">
        <v>71</v>
      </c>
      <c r="L684" s="357">
        <v>49</v>
      </c>
      <c r="M684" s="358" t="s">
        <v>9836</v>
      </c>
      <c r="N684" s="359">
        <v>1000</v>
      </c>
      <c r="O684" s="360" t="s">
        <v>530</v>
      </c>
      <c r="P684" s="343" t="s">
        <v>531</v>
      </c>
      <c r="Q684" s="342" t="s">
        <v>2688</v>
      </c>
      <c r="R684" s="344">
        <v>35</v>
      </c>
      <c r="S684" s="345">
        <v>25</v>
      </c>
      <c r="T684" s="362">
        <v>25</v>
      </c>
      <c r="U684" s="361">
        <v>89.11</v>
      </c>
      <c r="V684" s="346">
        <v>124.79136690647483</v>
      </c>
      <c r="W684" s="348">
        <v>123.00791366906476</v>
      </c>
      <c r="X684" s="347">
        <v>62.9</v>
      </c>
      <c r="Y684" s="357">
        <v>63.48</v>
      </c>
      <c r="Z684" s="365" t="s">
        <v>3017</v>
      </c>
      <c r="AA684" s="350">
        <v>149.25</v>
      </c>
      <c r="AB684" s="349" t="s">
        <v>2685</v>
      </c>
      <c r="AC684" s="350">
        <v>0</v>
      </c>
      <c r="AD684" s="349" t="s">
        <v>2685</v>
      </c>
      <c r="AE684" s="364">
        <v>0</v>
      </c>
      <c r="AF684" s="366">
        <v>0</v>
      </c>
      <c r="AG684" s="363">
        <v>0</v>
      </c>
      <c r="AH684" s="635" t="s">
        <v>408</v>
      </c>
      <c r="AI684" s="324"/>
      <c r="AL684" s="487" t="s">
        <v>14959</v>
      </c>
      <c r="AM684" s="477" t="s">
        <v>71</v>
      </c>
      <c r="AN684" s="637">
        <v>100</v>
      </c>
      <c r="AO684" s="478">
        <v>-1261</v>
      </c>
      <c r="AP684" s="463">
        <v>-643</v>
      </c>
      <c r="AQ684" s="479">
        <v>-618</v>
      </c>
      <c r="AR684" s="476" t="s">
        <v>14983</v>
      </c>
      <c r="BA684" s="313" t="s">
        <v>4082</v>
      </c>
    </row>
    <row r="685" spans="2:53" ht="16.5" customHeight="1">
      <c r="B685" s="367" t="s">
        <v>9837</v>
      </c>
      <c r="C685" s="351" t="s">
        <v>9838</v>
      </c>
      <c r="D685" s="353">
        <v>-1262</v>
      </c>
      <c r="E685" s="352" t="s">
        <v>408</v>
      </c>
      <c r="F685" s="341">
        <v>89.09</v>
      </c>
      <c r="G685" s="355" t="s">
        <v>9839</v>
      </c>
      <c r="H685" s="356" t="s">
        <v>9840</v>
      </c>
      <c r="I685" s="354" t="s">
        <v>233</v>
      </c>
      <c r="J685" s="340" t="s">
        <v>551</v>
      </c>
      <c r="K685" s="339" t="s">
        <v>70</v>
      </c>
      <c r="L685" s="357">
        <v>10</v>
      </c>
      <c r="M685" s="358" t="s">
        <v>9841</v>
      </c>
      <c r="N685" s="359">
        <v>1000</v>
      </c>
      <c r="O685" s="360" t="s">
        <v>530</v>
      </c>
      <c r="P685" s="343" t="s">
        <v>531</v>
      </c>
      <c r="Q685" s="342" t="s">
        <v>2688</v>
      </c>
      <c r="R685" s="344">
        <v>25</v>
      </c>
      <c r="S685" s="345">
        <v>35</v>
      </c>
      <c r="T685" s="362">
        <v>25</v>
      </c>
      <c r="U685" s="361">
        <v>89.09</v>
      </c>
      <c r="V685" s="346">
        <v>124.77860525182952</v>
      </c>
      <c r="W685" s="348">
        <v>122.99414550150667</v>
      </c>
      <c r="X685" s="347">
        <v>62.66</v>
      </c>
      <c r="Y685" s="357">
        <v>63.47</v>
      </c>
      <c r="Z685" s="365" t="s">
        <v>3017</v>
      </c>
      <c r="AA685" s="350">
        <v>149.25</v>
      </c>
      <c r="AB685" s="349" t="s">
        <v>2685</v>
      </c>
      <c r="AC685" s="350">
        <v>0</v>
      </c>
      <c r="AD685" s="349" t="s">
        <v>2685</v>
      </c>
      <c r="AE685" s="364">
        <v>0</v>
      </c>
      <c r="AF685" s="366">
        <v>6.4569999999999999</v>
      </c>
      <c r="AG685" s="363">
        <v>0</v>
      </c>
      <c r="AH685" s="635" t="s">
        <v>9681</v>
      </c>
      <c r="AI685" s="324"/>
      <c r="AL685" s="487" t="s">
        <v>14961</v>
      </c>
      <c r="AM685" s="477" t="s">
        <v>70</v>
      </c>
      <c r="AN685" s="637">
        <v>100</v>
      </c>
      <c r="AO685" s="478">
        <v>-1262</v>
      </c>
      <c r="AP685" s="463">
        <v>-1262</v>
      </c>
      <c r="AQ685" s="479">
        <v>0</v>
      </c>
      <c r="AR685" s="476" t="s">
        <v>14962</v>
      </c>
      <c r="BA685" s="313" t="s">
        <v>4085</v>
      </c>
    </row>
    <row r="686" spans="2:53" ht="16.5" customHeight="1">
      <c r="B686" s="367" t="s">
        <v>9842</v>
      </c>
      <c r="C686" s="351" t="s">
        <v>9843</v>
      </c>
      <c r="D686" s="353">
        <v>-1263</v>
      </c>
      <c r="E686" s="352" t="s">
        <v>9844</v>
      </c>
      <c r="F686" s="341">
        <v>89.07</v>
      </c>
      <c r="G686" s="355" t="s">
        <v>4202</v>
      </c>
      <c r="H686" s="356" t="s">
        <v>9422</v>
      </c>
      <c r="I686" s="354" t="s">
        <v>82</v>
      </c>
      <c r="J686" s="340" t="s">
        <v>503</v>
      </c>
      <c r="K686" s="339" t="s">
        <v>71</v>
      </c>
      <c r="L686" s="357">
        <v>21</v>
      </c>
      <c r="M686" s="358" t="s">
        <v>9845</v>
      </c>
      <c r="N686" s="359">
        <v>800</v>
      </c>
      <c r="O686" s="360" t="s">
        <v>530</v>
      </c>
      <c r="P686" s="343" t="s">
        <v>531</v>
      </c>
      <c r="Q686" s="342" t="s">
        <v>2688</v>
      </c>
      <c r="R686" s="344">
        <v>35</v>
      </c>
      <c r="S686" s="345">
        <v>20</v>
      </c>
      <c r="T686" s="362">
        <v>30</v>
      </c>
      <c r="U686" s="361">
        <v>89.07</v>
      </c>
      <c r="V686" s="346">
        <v>124.76327588133412</v>
      </c>
      <c r="W686" s="348">
        <v>122.98152131403987</v>
      </c>
      <c r="X686" s="347">
        <v>62.89</v>
      </c>
      <c r="Y686" s="357">
        <v>63.46</v>
      </c>
      <c r="Z686" s="365" t="s">
        <v>3017</v>
      </c>
      <c r="AA686" s="350">
        <v>117.6</v>
      </c>
      <c r="AB686" s="349" t="s">
        <v>2685</v>
      </c>
      <c r="AC686" s="350">
        <v>0</v>
      </c>
      <c r="AD686" s="349" t="s">
        <v>2685</v>
      </c>
      <c r="AE686" s="364">
        <v>0</v>
      </c>
      <c r="AF686" s="366">
        <v>9.6</v>
      </c>
      <c r="AG686" s="363">
        <v>0</v>
      </c>
      <c r="AH686" s="635" t="s">
        <v>7879</v>
      </c>
      <c r="AI686" s="324"/>
      <c r="AL686" s="487" t="s">
        <v>14963</v>
      </c>
      <c r="AM686" s="477" t="s">
        <v>71</v>
      </c>
      <c r="AN686" s="637">
        <v>100</v>
      </c>
      <c r="AO686" s="478">
        <v>-1263</v>
      </c>
      <c r="AP686" s="463">
        <v>-644</v>
      </c>
      <c r="AQ686" s="479">
        <v>-619</v>
      </c>
      <c r="AR686" s="476" t="s">
        <v>17211</v>
      </c>
      <c r="BA686" s="313" t="s">
        <v>4089</v>
      </c>
    </row>
    <row r="687" spans="2:53" ht="16.5" customHeight="1">
      <c r="B687" s="367" t="s">
        <v>4030</v>
      </c>
      <c r="C687" s="351" t="s">
        <v>4031</v>
      </c>
      <c r="D687" s="353">
        <v>-1264</v>
      </c>
      <c r="E687" s="352" t="s">
        <v>408</v>
      </c>
      <c r="F687" s="341">
        <v>89.02</v>
      </c>
      <c r="G687" s="355" t="s">
        <v>10287</v>
      </c>
      <c r="H687" s="356" t="s">
        <v>9433</v>
      </c>
      <c r="I687" s="354" t="s">
        <v>9336</v>
      </c>
      <c r="J687" s="340" t="s">
        <v>9848</v>
      </c>
      <c r="K687" s="339" t="s">
        <v>71</v>
      </c>
      <c r="L687" s="357">
        <v>27</v>
      </c>
      <c r="M687" s="358" t="s">
        <v>9849</v>
      </c>
      <c r="N687" s="359">
        <v>700</v>
      </c>
      <c r="O687" s="360" t="s">
        <v>532</v>
      </c>
      <c r="P687" s="343" t="s">
        <v>533</v>
      </c>
      <c r="Q687" s="342" t="s">
        <v>2688</v>
      </c>
      <c r="R687" s="344">
        <v>30</v>
      </c>
      <c r="S687" s="345">
        <v>30</v>
      </c>
      <c r="T687" s="362">
        <v>20</v>
      </c>
      <c r="U687" s="361">
        <v>89.02</v>
      </c>
      <c r="V687" s="346">
        <v>124.72531301078158</v>
      </c>
      <c r="W687" s="348">
        <v>122.95025777358482</v>
      </c>
      <c r="X687" s="347">
        <v>62.87</v>
      </c>
      <c r="Y687" s="357">
        <v>65.680000000000007</v>
      </c>
      <c r="Z687" s="365" t="s">
        <v>3017</v>
      </c>
      <c r="AA687" s="350">
        <v>138</v>
      </c>
      <c r="AB687" s="349" t="s">
        <v>2685</v>
      </c>
      <c r="AC687" s="350">
        <v>10</v>
      </c>
      <c r="AD687" s="349" t="s">
        <v>2685</v>
      </c>
      <c r="AE687" s="364">
        <v>0</v>
      </c>
      <c r="AF687" s="366">
        <v>0</v>
      </c>
      <c r="AG687" s="363">
        <v>0</v>
      </c>
      <c r="AH687" s="635" t="s">
        <v>408</v>
      </c>
      <c r="AI687" s="324"/>
      <c r="AL687" s="487" t="s">
        <v>14964</v>
      </c>
      <c r="AM687" s="477" t="s">
        <v>71</v>
      </c>
      <c r="AN687" s="637">
        <v>100</v>
      </c>
      <c r="AO687" s="478">
        <v>-1264</v>
      </c>
      <c r="AP687" s="463">
        <v>-644</v>
      </c>
      <c r="AQ687" s="479">
        <v>-620</v>
      </c>
      <c r="AR687" s="476" t="s">
        <v>14990</v>
      </c>
      <c r="BA687" s="313" t="s">
        <v>4090</v>
      </c>
    </row>
    <row r="688" spans="2:53" ht="16.5" customHeight="1">
      <c r="B688" s="367" t="s">
        <v>4030</v>
      </c>
      <c r="C688" s="351" t="s">
        <v>4031</v>
      </c>
      <c r="D688" s="353">
        <v>-1265</v>
      </c>
      <c r="E688" s="352" t="s">
        <v>4235</v>
      </c>
      <c r="F688" s="341">
        <v>89.01</v>
      </c>
      <c r="G688" s="355" t="s">
        <v>18608</v>
      </c>
      <c r="H688" s="356" t="s">
        <v>9406</v>
      </c>
      <c r="I688" s="354" t="s">
        <v>82</v>
      </c>
      <c r="J688" s="340" t="s">
        <v>9854</v>
      </c>
      <c r="K688" s="339" t="s">
        <v>71</v>
      </c>
      <c r="L688" s="357">
        <v>18</v>
      </c>
      <c r="M688" s="358" t="s">
        <v>9855</v>
      </c>
      <c r="N688" s="359">
        <v>800</v>
      </c>
      <c r="O688" s="360" t="s">
        <v>530</v>
      </c>
      <c r="P688" s="343" t="s">
        <v>531</v>
      </c>
      <c r="Q688" s="342" t="s">
        <v>2688</v>
      </c>
      <c r="R688" s="344">
        <v>35</v>
      </c>
      <c r="S688" s="345">
        <v>20</v>
      </c>
      <c r="T688" s="362">
        <v>30</v>
      </c>
      <c r="U688" s="361">
        <v>89.01</v>
      </c>
      <c r="V688" s="346">
        <v>124.71875523772276</v>
      </c>
      <c r="W688" s="348">
        <v>122.94485725459521</v>
      </c>
      <c r="X688" s="347">
        <v>62.87</v>
      </c>
      <c r="Y688" s="357">
        <v>63.44</v>
      </c>
      <c r="Z688" s="365" t="s">
        <v>3017</v>
      </c>
      <c r="AA688" s="350">
        <v>117.6</v>
      </c>
      <c r="AB688" s="349" t="s">
        <v>2685</v>
      </c>
      <c r="AC688" s="350">
        <v>0</v>
      </c>
      <c r="AD688" s="349" t="s">
        <v>2685</v>
      </c>
      <c r="AE688" s="364">
        <v>0</v>
      </c>
      <c r="AF688" s="366">
        <v>9.6</v>
      </c>
      <c r="AG688" s="363">
        <v>0</v>
      </c>
      <c r="AH688" s="635" t="s">
        <v>7879</v>
      </c>
      <c r="AI688" s="324"/>
      <c r="AL688" s="487" t="s">
        <v>14965</v>
      </c>
      <c r="AM688" s="477" t="s">
        <v>71</v>
      </c>
      <c r="AN688" s="637">
        <v>100</v>
      </c>
      <c r="AO688" s="478">
        <v>-1265</v>
      </c>
      <c r="AP688" s="463">
        <v>-644</v>
      </c>
      <c r="AQ688" s="479">
        <v>-621</v>
      </c>
      <c r="AR688" s="476" t="s">
        <v>14990</v>
      </c>
      <c r="BA688" s="313" t="s">
        <v>4093</v>
      </c>
    </row>
    <row r="689" spans="2:53" ht="16.5" customHeight="1">
      <c r="B689" s="367" t="s">
        <v>9856</v>
      </c>
      <c r="C689" s="351" t="s">
        <v>9857</v>
      </c>
      <c r="D689" s="353">
        <v>-1266</v>
      </c>
      <c r="E689" s="352" t="s">
        <v>4230</v>
      </c>
      <c r="F689" s="341">
        <v>89</v>
      </c>
      <c r="G689" s="355" t="s">
        <v>4210</v>
      </c>
      <c r="H689" s="356" t="s">
        <v>3917</v>
      </c>
      <c r="I689" s="354" t="s">
        <v>233</v>
      </c>
      <c r="J689" s="340" t="s">
        <v>9633</v>
      </c>
      <c r="K689" s="339" t="s">
        <v>71</v>
      </c>
      <c r="L689" s="357">
        <v>26</v>
      </c>
      <c r="M689" s="358" t="s">
        <v>9858</v>
      </c>
      <c r="N689" s="359">
        <v>1000</v>
      </c>
      <c r="O689" s="360" t="s">
        <v>530</v>
      </c>
      <c r="P689" s="343" t="s">
        <v>531</v>
      </c>
      <c r="Q689" s="342" t="s">
        <v>2688</v>
      </c>
      <c r="R689" s="344">
        <v>35</v>
      </c>
      <c r="S689" s="345">
        <v>25</v>
      </c>
      <c r="T689" s="362">
        <v>25</v>
      </c>
      <c r="U689" s="361">
        <v>89</v>
      </c>
      <c r="V689" s="346">
        <v>124.71086192718847</v>
      </c>
      <c r="W689" s="348">
        <v>122.93835688121403</v>
      </c>
      <c r="X689" s="347">
        <v>62.87</v>
      </c>
      <c r="Y689" s="357">
        <v>63.43</v>
      </c>
      <c r="Z689" s="365" t="s">
        <v>3017</v>
      </c>
      <c r="AA689" s="350">
        <v>149.25</v>
      </c>
      <c r="AB689" s="349" t="s">
        <v>2685</v>
      </c>
      <c r="AC689" s="350">
        <v>0</v>
      </c>
      <c r="AD689" s="349" t="s">
        <v>2685</v>
      </c>
      <c r="AE689" s="364">
        <v>0</v>
      </c>
      <c r="AF689" s="366">
        <v>0</v>
      </c>
      <c r="AG689" s="363">
        <v>0</v>
      </c>
      <c r="AH689" s="635" t="s">
        <v>408</v>
      </c>
      <c r="AI689" s="324"/>
      <c r="AL689" s="487" t="s">
        <v>14966</v>
      </c>
      <c r="AM689" s="477" t="s">
        <v>71</v>
      </c>
      <c r="AN689" s="637">
        <v>100</v>
      </c>
      <c r="AO689" s="478">
        <v>-1266</v>
      </c>
      <c r="AP689" s="463">
        <v>-645</v>
      </c>
      <c r="AQ689" s="479">
        <v>-621</v>
      </c>
      <c r="AR689" s="476" t="s">
        <v>16972</v>
      </c>
      <c r="BA689" s="313" t="s">
        <v>4097</v>
      </c>
    </row>
    <row r="690" spans="2:53" ht="16.5" customHeight="1">
      <c r="B690" s="367" t="s">
        <v>4033</v>
      </c>
      <c r="C690" s="351" t="s">
        <v>4034</v>
      </c>
      <c r="D690" s="353">
        <v>-1267</v>
      </c>
      <c r="E690" s="352" t="s">
        <v>4238</v>
      </c>
      <c r="F690" s="341">
        <v>88.99</v>
      </c>
      <c r="G690" s="355" t="s">
        <v>9859</v>
      </c>
      <c r="H690" s="356" t="s">
        <v>9860</v>
      </c>
      <c r="I690" s="354" t="s">
        <v>417</v>
      </c>
      <c r="J690" s="340" t="s">
        <v>8835</v>
      </c>
      <c r="K690" s="339" t="s">
        <v>70</v>
      </c>
      <c r="L690" s="357">
        <v>63</v>
      </c>
      <c r="M690" s="358" t="s">
        <v>9861</v>
      </c>
      <c r="N690" s="359">
        <v>200</v>
      </c>
      <c r="O690" s="360" t="s">
        <v>530</v>
      </c>
      <c r="P690" s="343" t="s">
        <v>530</v>
      </c>
      <c r="Q690" s="342" t="s">
        <v>2688</v>
      </c>
      <c r="R690" s="344">
        <v>20</v>
      </c>
      <c r="S690" s="345">
        <v>35</v>
      </c>
      <c r="T690" s="362">
        <v>30</v>
      </c>
      <c r="U690" s="361">
        <v>88.99</v>
      </c>
      <c r="V690" s="346">
        <v>124.70934122832529</v>
      </c>
      <c r="W690" s="348">
        <v>122.93710454097375</v>
      </c>
      <c r="X690" s="347">
        <v>62.63</v>
      </c>
      <c r="Y690" s="357" t="s">
        <v>408</v>
      </c>
      <c r="Z690" s="365" t="s">
        <v>3017</v>
      </c>
      <c r="AA690" s="350">
        <v>14.25</v>
      </c>
      <c r="AB690" s="349" t="s">
        <v>2685</v>
      </c>
      <c r="AC690" s="350">
        <v>10</v>
      </c>
      <c r="AD690" s="349" t="s">
        <v>2685</v>
      </c>
      <c r="AE690" s="364">
        <v>0</v>
      </c>
      <c r="AF690" s="366">
        <v>0</v>
      </c>
      <c r="AG690" s="363">
        <v>0</v>
      </c>
      <c r="AH690" s="635" t="s">
        <v>408</v>
      </c>
      <c r="AI690" s="324"/>
      <c r="AL690" s="487" t="s">
        <v>14967</v>
      </c>
      <c r="AM690" s="477" t="s">
        <v>70</v>
      </c>
      <c r="AN690" s="637">
        <v>100</v>
      </c>
      <c r="AO690" s="478">
        <v>-1267</v>
      </c>
      <c r="AP690" s="463">
        <v>-1267</v>
      </c>
      <c r="AQ690" s="479">
        <v>0</v>
      </c>
      <c r="AR690" s="476" t="s">
        <v>14968</v>
      </c>
      <c r="BA690" s="313" t="s">
        <v>4101</v>
      </c>
    </row>
    <row r="691" spans="2:53" ht="16.5" customHeight="1">
      <c r="B691" s="367" t="s">
        <v>4033</v>
      </c>
      <c r="C691" s="351" t="s">
        <v>4034</v>
      </c>
      <c r="D691" s="353">
        <v>-1268</v>
      </c>
      <c r="E691" s="352" t="s">
        <v>4242</v>
      </c>
      <c r="F691" s="341">
        <v>88.99</v>
      </c>
      <c r="G691" s="355" t="s">
        <v>9859</v>
      </c>
      <c r="H691" s="356" t="s">
        <v>9860</v>
      </c>
      <c r="I691" s="354" t="s">
        <v>417</v>
      </c>
      <c r="J691" s="340" t="s">
        <v>9862</v>
      </c>
      <c r="K691" s="339" t="s">
        <v>70</v>
      </c>
      <c r="L691" s="357">
        <v>63</v>
      </c>
      <c r="M691" s="358" t="s">
        <v>9861</v>
      </c>
      <c r="N691" s="359">
        <v>200</v>
      </c>
      <c r="O691" s="360" t="s">
        <v>530</v>
      </c>
      <c r="P691" s="343" t="s">
        <v>530</v>
      </c>
      <c r="Q691" s="342" t="s">
        <v>2688</v>
      </c>
      <c r="R691" s="344">
        <v>20</v>
      </c>
      <c r="S691" s="345">
        <v>35</v>
      </c>
      <c r="T691" s="362">
        <v>30</v>
      </c>
      <c r="U691" s="361">
        <v>88.99</v>
      </c>
      <c r="V691" s="346">
        <v>124.70934122832529</v>
      </c>
      <c r="W691" s="348">
        <v>122.93710454097375</v>
      </c>
      <c r="X691" s="347">
        <v>62.63</v>
      </c>
      <c r="Y691" s="357" t="s">
        <v>408</v>
      </c>
      <c r="Z691" s="365" t="s">
        <v>3017</v>
      </c>
      <c r="AA691" s="350">
        <v>14.25</v>
      </c>
      <c r="AB691" s="349" t="s">
        <v>2685</v>
      </c>
      <c r="AC691" s="350">
        <v>10</v>
      </c>
      <c r="AD691" s="349" t="s">
        <v>2685</v>
      </c>
      <c r="AE691" s="364">
        <v>0</v>
      </c>
      <c r="AF691" s="366">
        <v>0</v>
      </c>
      <c r="AG691" s="363">
        <v>0</v>
      </c>
      <c r="AH691" s="635" t="s">
        <v>408</v>
      </c>
      <c r="AI691" s="324"/>
      <c r="AL691" s="487" t="s">
        <v>14969</v>
      </c>
      <c r="AM691" s="477" t="s">
        <v>70</v>
      </c>
      <c r="AN691" s="637">
        <v>100</v>
      </c>
      <c r="AO691" s="478">
        <v>-1268</v>
      </c>
      <c r="AP691" s="463">
        <v>-1268</v>
      </c>
      <c r="AQ691" s="479">
        <v>0</v>
      </c>
      <c r="AR691" s="476" t="s">
        <v>14968</v>
      </c>
      <c r="BA691" s="313" t="s">
        <v>4106</v>
      </c>
    </row>
    <row r="692" spans="2:53" ht="16.5" customHeight="1">
      <c r="B692" s="367" t="s">
        <v>4033</v>
      </c>
      <c r="C692" s="351" t="s">
        <v>4034</v>
      </c>
      <c r="D692" s="353">
        <v>-1269</v>
      </c>
      <c r="E692" s="352" t="s">
        <v>408</v>
      </c>
      <c r="F692" s="341">
        <v>88.98</v>
      </c>
      <c r="G692" s="355" t="s">
        <v>9832</v>
      </c>
      <c r="H692" s="356" t="s">
        <v>3926</v>
      </c>
      <c r="I692" s="354" t="s">
        <v>233</v>
      </c>
      <c r="J692" s="340" t="s">
        <v>9475</v>
      </c>
      <c r="K692" s="339" t="s">
        <v>71</v>
      </c>
      <c r="L692" s="357">
        <v>18</v>
      </c>
      <c r="M692" s="358" t="s">
        <v>9865</v>
      </c>
      <c r="N692" s="359">
        <v>1000</v>
      </c>
      <c r="O692" s="360" t="s">
        <v>530</v>
      </c>
      <c r="P692" s="343" t="s">
        <v>531</v>
      </c>
      <c r="Q692" s="342" t="s">
        <v>2688</v>
      </c>
      <c r="R692" s="344">
        <v>35</v>
      </c>
      <c r="S692" s="345">
        <v>25</v>
      </c>
      <c r="T692" s="362">
        <v>25</v>
      </c>
      <c r="U692" s="361">
        <v>88.98</v>
      </c>
      <c r="V692" s="346">
        <v>124.69815354713315</v>
      </c>
      <c r="W692" s="348">
        <v>122.92789115646258</v>
      </c>
      <c r="X692" s="347">
        <v>62.86</v>
      </c>
      <c r="Y692" s="357">
        <v>63.43</v>
      </c>
      <c r="Z692" s="365" t="s">
        <v>3017</v>
      </c>
      <c r="AA692" s="350">
        <v>149.25</v>
      </c>
      <c r="AB692" s="349" t="s">
        <v>2685</v>
      </c>
      <c r="AC692" s="350">
        <v>0</v>
      </c>
      <c r="AD692" s="349" t="s">
        <v>2685</v>
      </c>
      <c r="AE692" s="364">
        <v>0</v>
      </c>
      <c r="AF692" s="366">
        <v>0</v>
      </c>
      <c r="AG692" s="363">
        <v>0</v>
      </c>
      <c r="AH692" s="635" t="s">
        <v>408</v>
      </c>
      <c r="AI692" s="324"/>
      <c r="AL692" s="487" t="s">
        <v>14970</v>
      </c>
      <c r="AM692" s="477" t="s">
        <v>71</v>
      </c>
      <c r="AN692" s="637">
        <v>100</v>
      </c>
      <c r="AO692" s="478">
        <v>-1269</v>
      </c>
      <c r="AP692" s="463">
        <v>-646</v>
      </c>
      <c r="AQ692" s="479">
        <v>-623</v>
      </c>
      <c r="AR692" s="476" t="s">
        <v>14993</v>
      </c>
      <c r="BA692" s="313" t="s">
        <v>4107</v>
      </c>
    </row>
    <row r="693" spans="2:53" ht="16.5" customHeight="1">
      <c r="B693" s="367" t="s">
        <v>4039</v>
      </c>
      <c r="C693" s="351" t="s">
        <v>4040</v>
      </c>
      <c r="D693" s="353">
        <v>-1270</v>
      </c>
      <c r="E693" s="352" t="s">
        <v>408</v>
      </c>
      <c r="F693" s="341">
        <v>88.95</v>
      </c>
      <c r="G693" s="355" t="s">
        <v>4208</v>
      </c>
      <c r="H693" s="356" t="s">
        <v>3916</v>
      </c>
      <c r="I693" s="354" t="s">
        <v>233</v>
      </c>
      <c r="J693" s="340" t="s">
        <v>9866</v>
      </c>
      <c r="K693" s="339" t="s">
        <v>71</v>
      </c>
      <c r="L693" s="357">
        <v>16</v>
      </c>
      <c r="M693" s="358" t="s">
        <v>9867</v>
      </c>
      <c r="N693" s="359">
        <v>1000</v>
      </c>
      <c r="O693" s="360" t="s">
        <v>530</v>
      </c>
      <c r="P693" s="343" t="s">
        <v>531</v>
      </c>
      <c r="Q693" s="342" t="s">
        <v>2688</v>
      </c>
      <c r="R693" s="344">
        <v>35</v>
      </c>
      <c r="S693" s="345">
        <v>25</v>
      </c>
      <c r="T693" s="362">
        <v>25</v>
      </c>
      <c r="U693" s="361">
        <v>88.95</v>
      </c>
      <c r="V693" s="346">
        <v>124.68214098826344</v>
      </c>
      <c r="W693" s="348">
        <v>122.91470434327577</v>
      </c>
      <c r="X693" s="347">
        <v>62.85</v>
      </c>
      <c r="Y693" s="357">
        <v>63.419999999999995</v>
      </c>
      <c r="Z693" s="365" t="s">
        <v>3017</v>
      </c>
      <c r="AA693" s="350">
        <v>149.25</v>
      </c>
      <c r="AB693" s="349" t="s">
        <v>2685</v>
      </c>
      <c r="AC693" s="350">
        <v>0</v>
      </c>
      <c r="AD693" s="349" t="s">
        <v>2685</v>
      </c>
      <c r="AE693" s="364">
        <v>0</v>
      </c>
      <c r="AF693" s="366">
        <v>0</v>
      </c>
      <c r="AG693" s="363">
        <v>0</v>
      </c>
      <c r="AH693" s="635" t="s">
        <v>408</v>
      </c>
      <c r="AI693" s="324"/>
      <c r="AL693" s="487" t="s">
        <v>14973</v>
      </c>
      <c r="AM693" s="477" t="s">
        <v>71</v>
      </c>
      <c r="AN693" s="637">
        <v>100</v>
      </c>
      <c r="AO693" s="478">
        <v>-1270</v>
      </c>
      <c r="AP693" s="463">
        <v>-646</v>
      </c>
      <c r="AQ693" s="479">
        <v>-624</v>
      </c>
      <c r="AR693" s="476" t="s">
        <v>14996</v>
      </c>
      <c r="BA693" s="313" t="s">
        <v>4110</v>
      </c>
    </row>
    <row r="694" spans="2:53" ht="16.5" customHeight="1">
      <c r="B694" s="367" t="s">
        <v>9868</v>
      </c>
      <c r="C694" s="351" t="s">
        <v>9869</v>
      </c>
      <c r="D694" s="353">
        <v>-1271</v>
      </c>
      <c r="E694" s="352" t="s">
        <v>9844</v>
      </c>
      <c r="F694" s="341">
        <v>88.92</v>
      </c>
      <c r="G694" s="355" t="s">
        <v>4219</v>
      </c>
      <c r="H694" s="356" t="s">
        <v>9458</v>
      </c>
      <c r="I694" s="354" t="s">
        <v>233</v>
      </c>
      <c r="J694" s="340" t="s">
        <v>9870</v>
      </c>
      <c r="K694" s="339" t="s">
        <v>71</v>
      </c>
      <c r="L694" s="357">
        <v>10</v>
      </c>
      <c r="M694" s="358" t="s">
        <v>9871</v>
      </c>
      <c r="N694" s="359">
        <v>1000</v>
      </c>
      <c r="O694" s="360" t="s">
        <v>530</v>
      </c>
      <c r="P694" s="343" t="s">
        <v>531</v>
      </c>
      <c r="Q694" s="342" t="s">
        <v>2688</v>
      </c>
      <c r="R694" s="344">
        <v>35</v>
      </c>
      <c r="S694" s="345">
        <v>25</v>
      </c>
      <c r="T694" s="362">
        <v>25</v>
      </c>
      <c r="U694" s="361">
        <v>88.92</v>
      </c>
      <c r="V694" s="346">
        <v>124.66002840696719</v>
      </c>
      <c r="W694" s="348">
        <v>122.89649398220827</v>
      </c>
      <c r="X694" s="347">
        <v>62.84</v>
      </c>
      <c r="Y694" s="357">
        <v>63.41</v>
      </c>
      <c r="Z694" s="365" t="s">
        <v>3017</v>
      </c>
      <c r="AA694" s="350">
        <v>149.25</v>
      </c>
      <c r="AB694" s="349" t="s">
        <v>2685</v>
      </c>
      <c r="AC694" s="350">
        <v>0</v>
      </c>
      <c r="AD694" s="349" t="s">
        <v>2685</v>
      </c>
      <c r="AE694" s="364">
        <v>0</v>
      </c>
      <c r="AF694" s="366">
        <v>0</v>
      </c>
      <c r="AG694" s="363">
        <v>0</v>
      </c>
      <c r="AH694" s="635" t="s">
        <v>408</v>
      </c>
      <c r="AI694" s="324"/>
      <c r="AL694" s="487" t="s">
        <v>14974</v>
      </c>
      <c r="AM694" s="477" t="s">
        <v>71</v>
      </c>
      <c r="AN694" s="637">
        <v>100</v>
      </c>
      <c r="AO694" s="478">
        <v>-1271</v>
      </c>
      <c r="AP694" s="463">
        <v>-646</v>
      </c>
      <c r="AQ694" s="479">
        <v>-625</v>
      </c>
      <c r="AR694" s="476" t="s">
        <v>16973</v>
      </c>
      <c r="BA694" s="313" t="s">
        <v>4114</v>
      </c>
    </row>
    <row r="695" spans="2:53" ht="16.5" customHeight="1">
      <c r="B695" s="367" t="s">
        <v>9868</v>
      </c>
      <c r="C695" s="351" t="s">
        <v>9869</v>
      </c>
      <c r="D695" s="353">
        <v>-1272</v>
      </c>
      <c r="E695" s="352" t="s">
        <v>9864</v>
      </c>
      <c r="F695" s="341">
        <v>88.92</v>
      </c>
      <c r="G695" s="355" t="s">
        <v>4257</v>
      </c>
      <c r="H695" s="356" t="s">
        <v>3905</v>
      </c>
      <c r="I695" s="354" t="s">
        <v>233</v>
      </c>
      <c r="J695" s="340" t="s">
        <v>555</v>
      </c>
      <c r="K695" s="339" t="s">
        <v>70</v>
      </c>
      <c r="L695" s="357">
        <v>13</v>
      </c>
      <c r="M695" s="358" t="s">
        <v>9873</v>
      </c>
      <c r="N695" s="359">
        <v>1000</v>
      </c>
      <c r="O695" s="360" t="s">
        <v>530</v>
      </c>
      <c r="P695" s="343" t="s">
        <v>531</v>
      </c>
      <c r="Q695" s="342" t="s">
        <v>2688</v>
      </c>
      <c r="R695" s="344">
        <v>25</v>
      </c>
      <c r="S695" s="345">
        <v>35</v>
      </c>
      <c r="T695" s="362">
        <v>25</v>
      </c>
      <c r="U695" s="361">
        <v>88.92</v>
      </c>
      <c r="V695" s="346">
        <v>124.659615409392</v>
      </c>
      <c r="W695" s="348">
        <v>122.89615386655812</v>
      </c>
      <c r="X695" s="347">
        <v>62.61</v>
      </c>
      <c r="Y695" s="357">
        <v>63.41</v>
      </c>
      <c r="Z695" s="365" t="s">
        <v>3017</v>
      </c>
      <c r="AA695" s="350">
        <v>149.25</v>
      </c>
      <c r="AB695" s="349" t="s">
        <v>2685</v>
      </c>
      <c r="AC695" s="350">
        <v>0</v>
      </c>
      <c r="AD695" s="349" t="s">
        <v>2685</v>
      </c>
      <c r="AE695" s="364">
        <v>0</v>
      </c>
      <c r="AF695" s="366">
        <v>4.7560000000000002</v>
      </c>
      <c r="AG695" s="363">
        <v>0</v>
      </c>
      <c r="AH695" s="635" t="s">
        <v>7791</v>
      </c>
      <c r="AI695" s="324"/>
      <c r="AL695" s="487" t="s">
        <v>14975</v>
      </c>
      <c r="AM695" s="477" t="s">
        <v>70</v>
      </c>
      <c r="AN695" s="637">
        <v>100</v>
      </c>
      <c r="AO695" s="478">
        <v>-1272</v>
      </c>
      <c r="AP695" s="463">
        <v>-1272</v>
      </c>
      <c r="AQ695" s="479">
        <v>0</v>
      </c>
      <c r="AR695" s="476" t="s">
        <v>14976</v>
      </c>
      <c r="BA695" s="313" t="s">
        <v>4117</v>
      </c>
    </row>
    <row r="696" spans="2:53" ht="16.5" customHeight="1">
      <c r="B696" s="367" t="s">
        <v>4044</v>
      </c>
      <c r="C696" s="351" t="s">
        <v>4045</v>
      </c>
      <c r="D696" s="353">
        <v>-1273</v>
      </c>
      <c r="E696" s="352" t="s">
        <v>4246</v>
      </c>
      <c r="F696" s="341">
        <v>88.92</v>
      </c>
      <c r="G696" s="355" t="s">
        <v>18609</v>
      </c>
      <c r="H696" s="356" t="s">
        <v>9458</v>
      </c>
      <c r="I696" s="354" t="s">
        <v>302</v>
      </c>
      <c r="J696" s="340" t="s">
        <v>9876</v>
      </c>
      <c r="K696" s="339" t="s">
        <v>71</v>
      </c>
      <c r="L696" s="357">
        <v>32</v>
      </c>
      <c r="M696" s="358" t="s">
        <v>9877</v>
      </c>
      <c r="N696" s="359">
        <v>600</v>
      </c>
      <c r="O696" s="360" t="s">
        <v>530</v>
      </c>
      <c r="P696" s="343" t="s">
        <v>531</v>
      </c>
      <c r="Q696" s="342" t="s">
        <v>2688</v>
      </c>
      <c r="R696" s="344">
        <v>37</v>
      </c>
      <c r="S696" s="345">
        <v>43</v>
      </c>
      <c r="T696" s="362">
        <v>20</v>
      </c>
      <c r="U696" s="361">
        <v>88.92</v>
      </c>
      <c r="V696" s="346">
        <v>124.65513169845595</v>
      </c>
      <c r="W696" s="348">
        <v>122.89246139872841</v>
      </c>
      <c r="X696" s="347">
        <v>62.84</v>
      </c>
      <c r="Y696" s="357">
        <v>66.45</v>
      </c>
      <c r="Z696" s="365" t="s">
        <v>2689</v>
      </c>
      <c r="AA696" s="350">
        <v>100</v>
      </c>
      <c r="AB696" s="349" t="s">
        <v>2685</v>
      </c>
      <c r="AC696" s="350">
        <v>10</v>
      </c>
      <c r="AD696" s="349" t="s">
        <v>2685</v>
      </c>
      <c r="AE696" s="364">
        <v>0</v>
      </c>
      <c r="AF696" s="366">
        <v>0</v>
      </c>
      <c r="AG696" s="363">
        <v>0</v>
      </c>
      <c r="AH696" s="635" t="s">
        <v>408</v>
      </c>
      <c r="AI696" s="324"/>
      <c r="AL696" s="487" t="s">
        <v>14977</v>
      </c>
      <c r="AM696" s="477" t="s">
        <v>71</v>
      </c>
      <c r="AN696" s="637">
        <v>100</v>
      </c>
      <c r="AO696" s="478">
        <v>-1273</v>
      </c>
      <c r="AP696" s="463">
        <v>-647</v>
      </c>
      <c r="AQ696" s="479">
        <v>-626</v>
      </c>
      <c r="AR696" s="476" t="s">
        <v>16973</v>
      </c>
      <c r="BA696" s="313" t="s">
        <v>4118</v>
      </c>
    </row>
    <row r="697" spans="2:53" ht="16.5" customHeight="1">
      <c r="B697" s="367" t="s">
        <v>4047</v>
      </c>
      <c r="C697" s="351" t="s">
        <v>4048</v>
      </c>
      <c r="D697" s="353">
        <v>-1274</v>
      </c>
      <c r="E697" s="352" t="s">
        <v>4264</v>
      </c>
      <c r="F697" s="341">
        <v>88.9</v>
      </c>
      <c r="G697" s="355" t="s">
        <v>4224</v>
      </c>
      <c r="H697" s="356" t="s">
        <v>3930</v>
      </c>
      <c r="I697" s="354" t="s">
        <v>9336</v>
      </c>
      <c r="J697" s="340" t="s">
        <v>9879</v>
      </c>
      <c r="K697" s="339" t="s">
        <v>71</v>
      </c>
      <c r="L697" s="357">
        <v>17</v>
      </c>
      <c r="M697" s="358" t="s">
        <v>9702</v>
      </c>
      <c r="N697" s="359">
        <v>700</v>
      </c>
      <c r="O697" s="360" t="s">
        <v>532</v>
      </c>
      <c r="P697" s="343" t="s">
        <v>533</v>
      </c>
      <c r="Q697" s="342" t="s">
        <v>2688</v>
      </c>
      <c r="R697" s="344">
        <v>30</v>
      </c>
      <c r="S697" s="345">
        <v>30</v>
      </c>
      <c r="T697" s="362">
        <v>20</v>
      </c>
      <c r="U697" s="361">
        <v>88.9</v>
      </c>
      <c r="V697" s="346">
        <v>124.63959330040296</v>
      </c>
      <c r="W697" s="348">
        <v>122.87966507092008</v>
      </c>
      <c r="X697" s="347">
        <v>62.84</v>
      </c>
      <c r="Y697" s="357">
        <v>65.64</v>
      </c>
      <c r="Z697" s="365" t="s">
        <v>3017</v>
      </c>
      <c r="AA697" s="350">
        <v>138</v>
      </c>
      <c r="AB697" s="349" t="s">
        <v>2685</v>
      </c>
      <c r="AC697" s="350">
        <v>10</v>
      </c>
      <c r="AD697" s="349" t="s">
        <v>2685</v>
      </c>
      <c r="AE697" s="364">
        <v>0</v>
      </c>
      <c r="AF697" s="366">
        <v>0</v>
      </c>
      <c r="AG697" s="363">
        <v>0</v>
      </c>
      <c r="AH697" s="635" t="s">
        <v>408</v>
      </c>
      <c r="AI697" s="324"/>
      <c r="AL697" s="487" t="s">
        <v>14978</v>
      </c>
      <c r="AM697" s="477" t="s">
        <v>71</v>
      </c>
      <c r="AN697" s="637">
        <v>100</v>
      </c>
      <c r="AO697" s="478">
        <v>-1274</v>
      </c>
      <c r="AP697" s="463">
        <v>-648</v>
      </c>
      <c r="AQ697" s="479">
        <v>-626</v>
      </c>
      <c r="AR697" s="476" t="s">
        <v>15002</v>
      </c>
      <c r="BA697" s="313" t="s">
        <v>4121</v>
      </c>
    </row>
    <row r="698" spans="2:53" ht="16.5" customHeight="1">
      <c r="B698" s="367" t="s">
        <v>4047</v>
      </c>
      <c r="C698" s="351" t="s">
        <v>4048</v>
      </c>
      <c r="D698" s="353">
        <v>-1275</v>
      </c>
      <c r="E698" s="352" t="s">
        <v>408</v>
      </c>
      <c r="F698" s="341">
        <v>88.89</v>
      </c>
      <c r="G698" s="355" t="s">
        <v>4263</v>
      </c>
      <c r="H698" s="356" t="s">
        <v>9413</v>
      </c>
      <c r="I698" s="354" t="s">
        <v>233</v>
      </c>
      <c r="J698" s="340" t="s">
        <v>8558</v>
      </c>
      <c r="K698" s="339" t="s">
        <v>70</v>
      </c>
      <c r="L698" s="357">
        <v>18</v>
      </c>
      <c r="M698" s="358" t="s">
        <v>9880</v>
      </c>
      <c r="N698" s="359">
        <v>1000</v>
      </c>
      <c r="O698" s="360" t="s">
        <v>530</v>
      </c>
      <c r="P698" s="343" t="s">
        <v>531</v>
      </c>
      <c r="Q698" s="342" t="s">
        <v>2688</v>
      </c>
      <c r="R698" s="344">
        <v>25</v>
      </c>
      <c r="S698" s="345">
        <v>35</v>
      </c>
      <c r="T698" s="362">
        <v>25</v>
      </c>
      <c r="U698" s="361">
        <v>88.89</v>
      </c>
      <c r="V698" s="346">
        <v>124.63310000667076</v>
      </c>
      <c r="W698" s="348">
        <v>122.87431765255239</v>
      </c>
      <c r="X698" s="347">
        <v>62.6</v>
      </c>
      <c r="Y698" s="357">
        <v>63.4</v>
      </c>
      <c r="Z698" s="365" t="s">
        <v>3017</v>
      </c>
      <c r="AA698" s="350">
        <v>149.25</v>
      </c>
      <c r="AB698" s="349" t="s">
        <v>2685</v>
      </c>
      <c r="AC698" s="350">
        <v>0</v>
      </c>
      <c r="AD698" s="349" t="s">
        <v>2685</v>
      </c>
      <c r="AE698" s="364">
        <v>0</v>
      </c>
      <c r="AF698" s="366">
        <v>11.206</v>
      </c>
      <c r="AG698" s="363">
        <v>0</v>
      </c>
      <c r="AH698" s="635" t="s">
        <v>7993</v>
      </c>
      <c r="AI698" s="324"/>
      <c r="AL698" s="487" t="s">
        <v>14980</v>
      </c>
      <c r="AM698" s="477" t="s">
        <v>70</v>
      </c>
      <c r="AN698" s="637">
        <v>100</v>
      </c>
      <c r="AO698" s="478">
        <v>-1275</v>
      </c>
      <c r="AP698" s="463">
        <v>-1275</v>
      </c>
      <c r="AQ698" s="479">
        <v>0</v>
      </c>
      <c r="AR698" s="476" t="s">
        <v>14981</v>
      </c>
      <c r="BA698" s="313" t="s">
        <v>4123</v>
      </c>
    </row>
    <row r="699" spans="2:53" ht="16.5" customHeight="1">
      <c r="B699" s="367" t="s">
        <v>9837</v>
      </c>
      <c r="C699" s="351" t="s">
        <v>9838</v>
      </c>
      <c r="D699" s="353">
        <v>-1276</v>
      </c>
      <c r="E699" s="352" t="s">
        <v>9874</v>
      </c>
      <c r="F699" s="341">
        <v>88.85</v>
      </c>
      <c r="G699" s="355" t="s">
        <v>18610</v>
      </c>
      <c r="H699" s="356" t="s">
        <v>18611</v>
      </c>
      <c r="I699" s="354" t="s">
        <v>417</v>
      </c>
      <c r="J699" s="340" t="s">
        <v>489</v>
      </c>
      <c r="K699" s="339" t="s">
        <v>71</v>
      </c>
      <c r="L699" s="357">
        <v>121</v>
      </c>
      <c r="M699" s="358" t="s">
        <v>4239</v>
      </c>
      <c r="N699" s="359">
        <v>200</v>
      </c>
      <c r="O699" s="360" t="s">
        <v>530</v>
      </c>
      <c r="P699" s="343" t="s">
        <v>530</v>
      </c>
      <c r="Q699" s="342" t="s">
        <v>2688</v>
      </c>
      <c r="R699" s="344">
        <v>30</v>
      </c>
      <c r="S699" s="345">
        <v>30</v>
      </c>
      <c r="T699" s="362">
        <v>25</v>
      </c>
      <c r="U699" s="361">
        <v>88.85</v>
      </c>
      <c r="V699" s="346">
        <v>124.60925028434183</v>
      </c>
      <c r="W699" s="348">
        <v>122.85467670475209</v>
      </c>
      <c r="X699" s="347">
        <v>62.82</v>
      </c>
      <c r="Y699" s="357" t="s">
        <v>408</v>
      </c>
      <c r="Z699" s="365" t="s">
        <v>3017</v>
      </c>
      <c r="AA699" s="350">
        <v>14.25</v>
      </c>
      <c r="AB699" s="349" t="s">
        <v>2685</v>
      </c>
      <c r="AC699" s="350">
        <v>10</v>
      </c>
      <c r="AD699" s="349" t="s">
        <v>2685</v>
      </c>
      <c r="AE699" s="364">
        <v>0</v>
      </c>
      <c r="AF699" s="366">
        <v>0</v>
      </c>
      <c r="AG699" s="363">
        <v>0</v>
      </c>
      <c r="AH699" s="635" t="s">
        <v>408</v>
      </c>
      <c r="AI699" s="324"/>
      <c r="AL699" s="487" t="s">
        <v>14984</v>
      </c>
      <c r="AM699" s="477" t="s">
        <v>71</v>
      </c>
      <c r="AN699" s="637">
        <v>100</v>
      </c>
      <c r="AO699" s="478">
        <v>-1276</v>
      </c>
      <c r="AP699" s="463">
        <v>-648</v>
      </c>
      <c r="AQ699" s="479">
        <v>-628</v>
      </c>
      <c r="AR699" s="476" t="s">
        <v>15013</v>
      </c>
      <c r="BA699" s="313" t="s">
        <v>4125</v>
      </c>
    </row>
    <row r="700" spans="2:53" ht="16.5" customHeight="1">
      <c r="B700" s="367" t="s">
        <v>4050</v>
      </c>
      <c r="C700" s="351" t="s">
        <v>4051</v>
      </c>
      <c r="D700" s="353">
        <v>-1277</v>
      </c>
      <c r="E700" s="352" t="s">
        <v>9878</v>
      </c>
      <c r="F700" s="341">
        <v>88.85</v>
      </c>
      <c r="G700" s="355" t="s">
        <v>18610</v>
      </c>
      <c r="H700" s="356" t="s">
        <v>18611</v>
      </c>
      <c r="I700" s="354" t="s">
        <v>9336</v>
      </c>
      <c r="J700" s="340" t="s">
        <v>9882</v>
      </c>
      <c r="K700" s="339" t="s">
        <v>71</v>
      </c>
      <c r="L700" s="357">
        <v>28</v>
      </c>
      <c r="M700" s="358" t="s">
        <v>9883</v>
      </c>
      <c r="N700" s="359">
        <v>700</v>
      </c>
      <c r="O700" s="360" t="s">
        <v>532</v>
      </c>
      <c r="P700" s="343" t="s">
        <v>533</v>
      </c>
      <c r="Q700" s="342" t="s">
        <v>2688</v>
      </c>
      <c r="R700" s="344">
        <v>30</v>
      </c>
      <c r="S700" s="345">
        <v>30</v>
      </c>
      <c r="T700" s="362">
        <v>20</v>
      </c>
      <c r="U700" s="361">
        <v>88.85</v>
      </c>
      <c r="V700" s="346">
        <v>124.60960006823682</v>
      </c>
      <c r="W700" s="348">
        <v>122.85496476207737</v>
      </c>
      <c r="X700" s="347">
        <v>62.82</v>
      </c>
      <c r="Y700" s="357">
        <v>65.63000000000001</v>
      </c>
      <c r="Z700" s="365" t="s">
        <v>3017</v>
      </c>
      <c r="AA700" s="350">
        <v>138</v>
      </c>
      <c r="AB700" s="349" t="s">
        <v>2685</v>
      </c>
      <c r="AC700" s="350">
        <v>10</v>
      </c>
      <c r="AD700" s="349" t="s">
        <v>2685</v>
      </c>
      <c r="AE700" s="364">
        <v>0</v>
      </c>
      <c r="AF700" s="366">
        <v>0</v>
      </c>
      <c r="AG700" s="363">
        <v>0</v>
      </c>
      <c r="AH700" s="635" t="s">
        <v>408</v>
      </c>
      <c r="AI700" s="324"/>
      <c r="AL700" s="487" t="s">
        <v>14985</v>
      </c>
      <c r="AM700" s="477" t="s">
        <v>71</v>
      </c>
      <c r="AN700" s="637">
        <v>100</v>
      </c>
      <c r="AO700" s="478">
        <v>-1277</v>
      </c>
      <c r="AP700" s="463">
        <v>-649</v>
      </c>
      <c r="AQ700" s="479">
        <v>-628</v>
      </c>
      <c r="AR700" s="476" t="s">
        <v>15013</v>
      </c>
      <c r="BA700" s="313" t="s">
        <v>4126</v>
      </c>
    </row>
    <row r="701" spans="2:53" ht="16.5" customHeight="1">
      <c r="B701" s="367" t="s">
        <v>4053</v>
      </c>
      <c r="C701" s="351" t="s">
        <v>4054</v>
      </c>
      <c r="D701" s="353">
        <v>-1278</v>
      </c>
      <c r="E701" s="352" t="s">
        <v>408</v>
      </c>
      <c r="F701" s="341">
        <v>88.81</v>
      </c>
      <c r="G701" s="355" t="s">
        <v>4272</v>
      </c>
      <c r="H701" s="356" t="s">
        <v>9884</v>
      </c>
      <c r="I701" s="354" t="s">
        <v>417</v>
      </c>
      <c r="J701" s="340" t="s">
        <v>9885</v>
      </c>
      <c r="K701" s="339" t="s">
        <v>70</v>
      </c>
      <c r="L701" s="357">
        <v>64</v>
      </c>
      <c r="M701" s="358" t="s">
        <v>9886</v>
      </c>
      <c r="N701" s="359">
        <v>200</v>
      </c>
      <c r="O701" s="360" t="s">
        <v>530</v>
      </c>
      <c r="P701" s="343" t="s">
        <v>530</v>
      </c>
      <c r="Q701" s="342" t="s">
        <v>2688</v>
      </c>
      <c r="R701" s="344">
        <v>20</v>
      </c>
      <c r="S701" s="345">
        <v>35</v>
      </c>
      <c r="T701" s="362">
        <v>30</v>
      </c>
      <c r="U701" s="361">
        <v>88.81</v>
      </c>
      <c r="V701" s="346">
        <v>124.57560576210626</v>
      </c>
      <c r="W701" s="348">
        <v>122.82696945114634</v>
      </c>
      <c r="X701" s="347">
        <v>62.57</v>
      </c>
      <c r="Y701" s="357" t="s">
        <v>408</v>
      </c>
      <c r="Z701" s="365" t="s">
        <v>3017</v>
      </c>
      <c r="AA701" s="350">
        <v>14.25</v>
      </c>
      <c r="AB701" s="349" t="s">
        <v>2685</v>
      </c>
      <c r="AC701" s="350">
        <v>10</v>
      </c>
      <c r="AD701" s="349" t="s">
        <v>2685</v>
      </c>
      <c r="AE701" s="364">
        <v>0</v>
      </c>
      <c r="AF701" s="366">
        <v>0</v>
      </c>
      <c r="AG701" s="363">
        <v>0</v>
      </c>
      <c r="AH701" s="635" t="s">
        <v>408</v>
      </c>
      <c r="AI701" s="324"/>
      <c r="AL701" s="487" t="s">
        <v>14986</v>
      </c>
      <c r="AM701" s="477" t="s">
        <v>70</v>
      </c>
      <c r="AN701" s="637">
        <v>100</v>
      </c>
      <c r="AO701" s="478">
        <v>-1278</v>
      </c>
      <c r="AP701" s="463">
        <v>-1278</v>
      </c>
      <c r="AQ701" s="479">
        <v>0</v>
      </c>
      <c r="AR701" s="476" t="s">
        <v>14987</v>
      </c>
      <c r="BA701" s="313" t="s">
        <v>4129</v>
      </c>
    </row>
    <row r="702" spans="2:53" ht="16.5" customHeight="1">
      <c r="B702" s="367" t="s">
        <v>4053</v>
      </c>
      <c r="C702" s="351" t="s">
        <v>4054</v>
      </c>
      <c r="D702" s="353">
        <v>-1279</v>
      </c>
      <c r="E702" s="352" t="s">
        <v>9881</v>
      </c>
      <c r="F702" s="341">
        <v>88.81</v>
      </c>
      <c r="G702" s="355" t="s">
        <v>4272</v>
      </c>
      <c r="H702" s="356" t="s">
        <v>9884</v>
      </c>
      <c r="I702" s="354" t="s">
        <v>417</v>
      </c>
      <c r="J702" s="340" t="s">
        <v>9887</v>
      </c>
      <c r="K702" s="339" t="s">
        <v>70</v>
      </c>
      <c r="L702" s="357">
        <v>28</v>
      </c>
      <c r="M702" s="358" t="s">
        <v>9886</v>
      </c>
      <c r="N702" s="359">
        <v>200</v>
      </c>
      <c r="O702" s="360" t="s">
        <v>530</v>
      </c>
      <c r="P702" s="343" t="s">
        <v>530</v>
      </c>
      <c r="Q702" s="342" t="s">
        <v>2688</v>
      </c>
      <c r="R702" s="344">
        <v>20</v>
      </c>
      <c r="S702" s="345">
        <v>35</v>
      </c>
      <c r="T702" s="362">
        <v>30</v>
      </c>
      <c r="U702" s="361">
        <v>88.81</v>
      </c>
      <c r="V702" s="346">
        <v>124.57560576210626</v>
      </c>
      <c r="W702" s="348">
        <v>122.82696945114634</v>
      </c>
      <c r="X702" s="347">
        <v>62.57</v>
      </c>
      <c r="Y702" s="357" t="s">
        <v>408</v>
      </c>
      <c r="Z702" s="365" t="s">
        <v>3017</v>
      </c>
      <c r="AA702" s="350">
        <v>14.25</v>
      </c>
      <c r="AB702" s="349" t="s">
        <v>2685</v>
      </c>
      <c r="AC702" s="350">
        <v>10</v>
      </c>
      <c r="AD702" s="349" t="s">
        <v>2685</v>
      </c>
      <c r="AE702" s="364">
        <v>0</v>
      </c>
      <c r="AF702" s="366">
        <v>0</v>
      </c>
      <c r="AG702" s="363">
        <v>0</v>
      </c>
      <c r="AH702" s="635" t="s">
        <v>408</v>
      </c>
      <c r="AI702" s="324"/>
      <c r="AL702" s="487" t="s">
        <v>14988</v>
      </c>
      <c r="AM702" s="477" t="s">
        <v>70</v>
      </c>
      <c r="AN702" s="637">
        <v>100</v>
      </c>
      <c r="AO702" s="478">
        <v>-1279</v>
      </c>
      <c r="AP702" s="463">
        <v>-1279</v>
      </c>
      <c r="AQ702" s="479">
        <v>0</v>
      </c>
      <c r="AR702" s="476" t="s">
        <v>14987</v>
      </c>
      <c r="BA702" s="313" t="s">
        <v>4130</v>
      </c>
    </row>
    <row r="703" spans="2:53" ht="16.5" customHeight="1">
      <c r="B703" s="367" t="s">
        <v>4062</v>
      </c>
      <c r="C703" s="351" t="s">
        <v>4063</v>
      </c>
      <c r="D703" s="353">
        <v>-1280</v>
      </c>
      <c r="E703" s="352" t="s">
        <v>408</v>
      </c>
      <c r="F703" s="341">
        <v>88.77</v>
      </c>
      <c r="G703" s="355" t="s">
        <v>18612</v>
      </c>
      <c r="H703" s="356" t="s">
        <v>18571</v>
      </c>
      <c r="I703" s="354" t="s">
        <v>9336</v>
      </c>
      <c r="J703" s="340" t="s">
        <v>9891</v>
      </c>
      <c r="K703" s="339" t="s">
        <v>71</v>
      </c>
      <c r="L703" s="357">
        <v>10</v>
      </c>
      <c r="M703" s="358" t="s">
        <v>9892</v>
      </c>
      <c r="N703" s="359">
        <v>700</v>
      </c>
      <c r="O703" s="360" t="s">
        <v>532</v>
      </c>
      <c r="P703" s="343" t="s">
        <v>533</v>
      </c>
      <c r="Q703" s="342" t="s">
        <v>2688</v>
      </c>
      <c r="R703" s="344">
        <v>30</v>
      </c>
      <c r="S703" s="345">
        <v>30</v>
      </c>
      <c r="T703" s="362">
        <v>20</v>
      </c>
      <c r="U703" s="361">
        <v>88.77</v>
      </c>
      <c r="V703" s="346">
        <v>124.54961360390455</v>
      </c>
      <c r="W703" s="348">
        <v>122.80556414439198</v>
      </c>
      <c r="X703" s="347">
        <v>62.79</v>
      </c>
      <c r="Y703" s="357">
        <v>65.62</v>
      </c>
      <c r="Z703" s="365" t="s">
        <v>3017</v>
      </c>
      <c r="AA703" s="350">
        <v>138</v>
      </c>
      <c r="AB703" s="349" t="s">
        <v>2685</v>
      </c>
      <c r="AC703" s="350">
        <v>10</v>
      </c>
      <c r="AD703" s="349" t="s">
        <v>2685</v>
      </c>
      <c r="AE703" s="364">
        <v>0</v>
      </c>
      <c r="AF703" s="366">
        <v>0</v>
      </c>
      <c r="AG703" s="363">
        <v>0</v>
      </c>
      <c r="AH703" s="635" t="s">
        <v>408</v>
      </c>
      <c r="AI703" s="324"/>
      <c r="AL703" s="487" t="s">
        <v>14989</v>
      </c>
      <c r="AM703" s="477" t="s">
        <v>71</v>
      </c>
      <c r="AN703" s="637">
        <v>100</v>
      </c>
      <c r="AO703" s="478">
        <v>-1280</v>
      </c>
      <c r="AP703" s="463">
        <v>-650</v>
      </c>
      <c r="AQ703" s="479">
        <v>-630</v>
      </c>
      <c r="AR703" s="476" t="s">
        <v>16974</v>
      </c>
      <c r="BA703" s="313" t="s">
        <v>4132</v>
      </c>
    </row>
    <row r="704" spans="2:53" ht="16.5" customHeight="1">
      <c r="B704" s="367" t="s">
        <v>9893</v>
      </c>
      <c r="C704" s="351" t="s">
        <v>9894</v>
      </c>
      <c r="D704" s="353">
        <v>-1281</v>
      </c>
      <c r="E704" s="352" t="s">
        <v>408</v>
      </c>
      <c r="F704" s="341">
        <v>88.73</v>
      </c>
      <c r="G704" s="355" t="s">
        <v>18613</v>
      </c>
      <c r="H704" s="356" t="s">
        <v>9453</v>
      </c>
      <c r="I704" s="354" t="s">
        <v>9336</v>
      </c>
      <c r="J704" s="340" t="s">
        <v>9896</v>
      </c>
      <c r="K704" s="339" t="s">
        <v>71</v>
      </c>
      <c r="L704" s="357">
        <v>14</v>
      </c>
      <c r="M704" s="358" t="s">
        <v>9897</v>
      </c>
      <c r="N704" s="359">
        <v>700</v>
      </c>
      <c r="O704" s="360" t="s">
        <v>532</v>
      </c>
      <c r="P704" s="343" t="s">
        <v>533</v>
      </c>
      <c r="Q704" s="342" t="s">
        <v>2688</v>
      </c>
      <c r="R704" s="344">
        <v>30</v>
      </c>
      <c r="S704" s="345">
        <v>35</v>
      </c>
      <c r="T704" s="362">
        <v>20</v>
      </c>
      <c r="U704" s="361">
        <v>88.73</v>
      </c>
      <c r="V704" s="346">
        <v>124.52097180805995</v>
      </c>
      <c r="W704" s="348">
        <v>122.78197678310819</v>
      </c>
      <c r="X704" s="347">
        <v>62.78</v>
      </c>
      <c r="Y704" s="357">
        <v>65.61</v>
      </c>
      <c r="Z704" s="365" t="s">
        <v>3017</v>
      </c>
      <c r="AA704" s="350">
        <v>103.5</v>
      </c>
      <c r="AB704" s="349" t="s">
        <v>2685</v>
      </c>
      <c r="AC704" s="350">
        <v>10</v>
      </c>
      <c r="AD704" s="349" t="s">
        <v>2685</v>
      </c>
      <c r="AE704" s="364">
        <v>0</v>
      </c>
      <c r="AF704" s="366">
        <v>0</v>
      </c>
      <c r="AG704" s="363">
        <v>0</v>
      </c>
      <c r="AH704" s="635" t="s">
        <v>408</v>
      </c>
      <c r="AI704" s="324"/>
      <c r="AL704" s="487" t="s">
        <v>14991</v>
      </c>
      <c r="AM704" s="477" t="s">
        <v>71</v>
      </c>
      <c r="AN704" s="637">
        <v>100</v>
      </c>
      <c r="AO704" s="478">
        <v>-1281</v>
      </c>
      <c r="AP704" s="463">
        <v>-649</v>
      </c>
      <c r="AQ704" s="479">
        <v>-632</v>
      </c>
      <c r="AR704" s="476" t="s">
        <v>16975</v>
      </c>
      <c r="BA704" s="313" t="s">
        <v>4137</v>
      </c>
    </row>
    <row r="705" spans="2:53" ht="16.5" customHeight="1">
      <c r="B705" s="367" t="s">
        <v>9893</v>
      </c>
      <c r="C705" s="351" t="s">
        <v>9894</v>
      </c>
      <c r="D705" s="353">
        <v>-1282</v>
      </c>
      <c r="E705" s="352" t="s">
        <v>408</v>
      </c>
      <c r="F705" s="341">
        <v>88.73</v>
      </c>
      <c r="G705" s="355" t="s">
        <v>4260</v>
      </c>
      <c r="H705" s="356" t="s">
        <v>9453</v>
      </c>
      <c r="I705" s="354" t="s">
        <v>9336</v>
      </c>
      <c r="J705" s="340" t="s">
        <v>9899</v>
      </c>
      <c r="K705" s="339" t="s">
        <v>71</v>
      </c>
      <c r="L705" s="357">
        <v>21</v>
      </c>
      <c r="M705" s="358" t="s">
        <v>9900</v>
      </c>
      <c r="N705" s="359">
        <v>700</v>
      </c>
      <c r="O705" s="360" t="s">
        <v>532</v>
      </c>
      <c r="P705" s="343" t="s">
        <v>533</v>
      </c>
      <c r="Q705" s="342" t="s">
        <v>2688</v>
      </c>
      <c r="R705" s="344">
        <v>30</v>
      </c>
      <c r="S705" s="345">
        <v>30</v>
      </c>
      <c r="T705" s="362">
        <v>20</v>
      </c>
      <c r="U705" s="361">
        <v>88.73</v>
      </c>
      <c r="V705" s="346">
        <v>124.51962037173838</v>
      </c>
      <c r="W705" s="348">
        <v>122.78086383554925</v>
      </c>
      <c r="X705" s="347">
        <v>62.78</v>
      </c>
      <c r="Y705" s="357">
        <v>65.61</v>
      </c>
      <c r="Z705" s="365" t="s">
        <v>3017</v>
      </c>
      <c r="AA705" s="350">
        <v>138</v>
      </c>
      <c r="AB705" s="349" t="s">
        <v>2685</v>
      </c>
      <c r="AC705" s="350">
        <v>10</v>
      </c>
      <c r="AD705" s="349" t="s">
        <v>2685</v>
      </c>
      <c r="AE705" s="364">
        <v>0</v>
      </c>
      <c r="AF705" s="366">
        <v>0</v>
      </c>
      <c r="AG705" s="363">
        <v>0</v>
      </c>
      <c r="AH705" s="635" t="s">
        <v>408</v>
      </c>
      <c r="AI705" s="324"/>
      <c r="AL705" s="487" t="s">
        <v>14992</v>
      </c>
      <c r="AM705" s="477" t="s">
        <v>71</v>
      </c>
      <c r="AN705" s="637">
        <v>100</v>
      </c>
      <c r="AO705" s="478">
        <v>-1282</v>
      </c>
      <c r="AP705" s="463">
        <v>-650</v>
      </c>
      <c r="AQ705" s="479">
        <v>-632</v>
      </c>
      <c r="AR705" s="476" t="s">
        <v>16975</v>
      </c>
      <c r="BA705" s="313" t="s">
        <v>4142</v>
      </c>
    </row>
    <row r="706" spans="2:53" ht="16.5" customHeight="1">
      <c r="B706" s="367" t="s">
        <v>4073</v>
      </c>
      <c r="C706" s="351" t="s">
        <v>4074</v>
      </c>
      <c r="D706" s="353">
        <v>-1283</v>
      </c>
      <c r="E706" s="352" t="s">
        <v>9890</v>
      </c>
      <c r="F706" s="341">
        <v>88.71</v>
      </c>
      <c r="G706" s="355" t="s">
        <v>4248</v>
      </c>
      <c r="H706" s="356" t="s">
        <v>9976</v>
      </c>
      <c r="I706" s="354" t="s">
        <v>254</v>
      </c>
      <c r="J706" s="340" t="s">
        <v>9901</v>
      </c>
      <c r="K706" s="339" t="s">
        <v>71</v>
      </c>
      <c r="L706" s="357">
        <v>4</v>
      </c>
      <c r="M706" s="358" t="s">
        <v>9902</v>
      </c>
      <c r="N706" s="359">
        <v>1000</v>
      </c>
      <c r="O706" s="360" t="s">
        <v>532</v>
      </c>
      <c r="P706" s="343" t="s">
        <v>533</v>
      </c>
      <c r="Q706" s="342" t="s">
        <v>2688</v>
      </c>
      <c r="R706" s="344">
        <v>35</v>
      </c>
      <c r="S706" s="345">
        <v>25</v>
      </c>
      <c r="T706" s="362">
        <v>20</v>
      </c>
      <c r="U706" s="361">
        <v>88.71</v>
      </c>
      <c r="V706" s="346">
        <v>124.50952766767234</v>
      </c>
      <c r="W706" s="348">
        <v>122.77255219690663</v>
      </c>
      <c r="X706" s="347">
        <v>62.78</v>
      </c>
      <c r="Y706" s="357">
        <v>63.339999999999996</v>
      </c>
      <c r="Z706" s="365" t="s">
        <v>3017</v>
      </c>
      <c r="AA706" s="350">
        <v>196</v>
      </c>
      <c r="AB706" s="349" t="s">
        <v>2685</v>
      </c>
      <c r="AC706" s="350">
        <v>3</v>
      </c>
      <c r="AD706" s="349" t="s">
        <v>2685</v>
      </c>
      <c r="AE706" s="364">
        <v>0</v>
      </c>
      <c r="AF706" s="366">
        <v>0</v>
      </c>
      <c r="AG706" s="363">
        <v>0</v>
      </c>
      <c r="AH706" s="635" t="s">
        <v>408</v>
      </c>
      <c r="AI706" s="324"/>
      <c r="AL706" s="487" t="s">
        <v>14995</v>
      </c>
      <c r="AM706" s="477" t="s">
        <v>71</v>
      </c>
      <c r="AN706" s="637">
        <v>100</v>
      </c>
      <c r="AO706" s="478">
        <v>-1283</v>
      </c>
      <c r="AP706" s="463">
        <v>-650</v>
      </c>
      <c r="AQ706" s="479">
        <v>-633</v>
      </c>
      <c r="AR706" s="476" t="s">
        <v>16976</v>
      </c>
      <c r="BA706" s="313" t="s">
        <v>4143</v>
      </c>
    </row>
    <row r="707" spans="2:53" ht="16.5" customHeight="1">
      <c r="B707" s="367" t="s">
        <v>4078</v>
      </c>
      <c r="C707" s="351" t="s">
        <v>4079</v>
      </c>
      <c r="D707" s="353">
        <v>-1284</v>
      </c>
      <c r="E707" s="352" t="s">
        <v>4279</v>
      </c>
      <c r="F707" s="341">
        <v>88.7</v>
      </c>
      <c r="G707" s="355" t="s">
        <v>9903</v>
      </c>
      <c r="H707" s="356" t="s">
        <v>3940</v>
      </c>
      <c r="I707" s="354" t="s">
        <v>9189</v>
      </c>
      <c r="J707" s="340" t="s">
        <v>8856</v>
      </c>
      <c r="K707" s="339" t="s">
        <v>70</v>
      </c>
      <c r="L707" s="357">
        <v>18</v>
      </c>
      <c r="M707" s="358" t="s">
        <v>9847</v>
      </c>
      <c r="N707" s="359">
        <v>1000</v>
      </c>
      <c r="O707" s="360" t="s">
        <v>532</v>
      </c>
      <c r="P707" s="343" t="s">
        <v>532</v>
      </c>
      <c r="Q707" s="342" t="s">
        <v>2688</v>
      </c>
      <c r="R707" s="344">
        <v>20</v>
      </c>
      <c r="S707" s="345">
        <v>35</v>
      </c>
      <c r="T707" s="362">
        <v>25</v>
      </c>
      <c r="U707" s="361">
        <v>88.7</v>
      </c>
      <c r="V707" s="346">
        <v>124.49816302345332</v>
      </c>
      <c r="W707" s="348">
        <v>122.76319307813802</v>
      </c>
      <c r="X707" s="347" t="s">
        <v>18614</v>
      </c>
      <c r="Y707" s="357" t="s">
        <v>408</v>
      </c>
      <c r="Z707" s="365" t="s">
        <v>3017</v>
      </c>
      <c r="AA707" s="350">
        <v>195.56</v>
      </c>
      <c r="AB707" s="349" t="s">
        <v>2685</v>
      </c>
      <c r="AC707" s="350">
        <v>0</v>
      </c>
      <c r="AD707" s="349" t="s">
        <v>2685</v>
      </c>
      <c r="AE707" s="364">
        <v>0</v>
      </c>
      <c r="AF707" s="366">
        <v>15.804</v>
      </c>
      <c r="AG707" s="363">
        <v>0</v>
      </c>
      <c r="AH707" s="635" t="s">
        <v>9517</v>
      </c>
      <c r="AI707" s="324"/>
      <c r="AL707" s="487" t="s">
        <v>14972</v>
      </c>
      <c r="AM707" s="477" t="s">
        <v>70</v>
      </c>
      <c r="AN707" s="637">
        <v>100</v>
      </c>
      <c r="AO707" s="478">
        <v>-1284</v>
      </c>
      <c r="AP707" s="463">
        <v>-1284</v>
      </c>
      <c r="AQ707" s="479">
        <v>0</v>
      </c>
      <c r="AR707" s="476" t="s">
        <v>17212</v>
      </c>
      <c r="BA707" s="313" t="s">
        <v>4145</v>
      </c>
    </row>
    <row r="708" spans="2:53" ht="16.5" customHeight="1">
      <c r="B708" s="367" t="s">
        <v>4078</v>
      </c>
      <c r="C708" s="351" t="s">
        <v>4079</v>
      </c>
      <c r="D708" s="353">
        <v>-1285</v>
      </c>
      <c r="E708" s="352" t="s">
        <v>9898</v>
      </c>
      <c r="F708" s="341">
        <v>88.69</v>
      </c>
      <c r="G708" s="355" t="s">
        <v>4257</v>
      </c>
      <c r="H708" s="356" t="s">
        <v>9497</v>
      </c>
      <c r="I708" s="354" t="s">
        <v>9336</v>
      </c>
      <c r="J708" s="340" t="s">
        <v>9905</v>
      </c>
      <c r="K708" s="339" t="s">
        <v>71</v>
      </c>
      <c r="L708" s="357">
        <v>8</v>
      </c>
      <c r="M708" s="358" t="s">
        <v>6858</v>
      </c>
      <c r="N708" s="359">
        <v>700</v>
      </c>
      <c r="O708" s="360" t="s">
        <v>532</v>
      </c>
      <c r="P708" s="343" t="s">
        <v>533</v>
      </c>
      <c r="Q708" s="342" t="s">
        <v>2688</v>
      </c>
      <c r="R708" s="344">
        <v>30</v>
      </c>
      <c r="S708" s="345">
        <v>30</v>
      </c>
      <c r="T708" s="362">
        <v>20</v>
      </c>
      <c r="U708" s="361">
        <v>88.69</v>
      </c>
      <c r="V708" s="346">
        <v>124.48962713957224</v>
      </c>
      <c r="W708" s="348">
        <v>122.75616352670654</v>
      </c>
      <c r="X708" s="347">
        <v>62.77</v>
      </c>
      <c r="Y708" s="357">
        <v>65.600000000000009</v>
      </c>
      <c r="Z708" s="365" t="s">
        <v>3017</v>
      </c>
      <c r="AA708" s="350">
        <v>138</v>
      </c>
      <c r="AB708" s="349" t="s">
        <v>2685</v>
      </c>
      <c r="AC708" s="350">
        <v>10</v>
      </c>
      <c r="AD708" s="349" t="s">
        <v>2685</v>
      </c>
      <c r="AE708" s="364">
        <v>0</v>
      </c>
      <c r="AF708" s="366">
        <v>0</v>
      </c>
      <c r="AG708" s="363">
        <v>0</v>
      </c>
      <c r="AH708" s="635" t="s">
        <v>408</v>
      </c>
      <c r="AI708" s="324"/>
      <c r="AL708" s="487" t="s">
        <v>14997</v>
      </c>
      <c r="AM708" s="477" t="s">
        <v>71</v>
      </c>
      <c r="AN708" s="637">
        <v>100</v>
      </c>
      <c r="AO708" s="478">
        <v>-1285</v>
      </c>
      <c r="AP708" s="463">
        <v>-651</v>
      </c>
      <c r="AQ708" s="479">
        <v>-634</v>
      </c>
      <c r="AR708" s="476" t="s">
        <v>16977</v>
      </c>
      <c r="BA708" s="313" t="s">
        <v>4146</v>
      </c>
    </row>
    <row r="709" spans="2:53" ht="16.5" customHeight="1">
      <c r="B709" s="367" t="s">
        <v>4078</v>
      </c>
      <c r="C709" s="351" t="s">
        <v>4079</v>
      </c>
      <c r="D709" s="353">
        <v>-1286</v>
      </c>
      <c r="E709" s="352" t="s">
        <v>4283</v>
      </c>
      <c r="F709" s="341">
        <v>88.69</v>
      </c>
      <c r="G709" s="355" t="s">
        <v>4257</v>
      </c>
      <c r="H709" s="356" t="s">
        <v>9497</v>
      </c>
      <c r="I709" s="354" t="s">
        <v>9336</v>
      </c>
      <c r="J709" s="340" t="s">
        <v>9906</v>
      </c>
      <c r="K709" s="339" t="s">
        <v>71</v>
      </c>
      <c r="L709" s="357">
        <v>22</v>
      </c>
      <c r="M709" s="358" t="s">
        <v>6858</v>
      </c>
      <c r="N709" s="359">
        <v>700</v>
      </c>
      <c r="O709" s="360" t="s">
        <v>532</v>
      </c>
      <c r="P709" s="343" t="s">
        <v>533</v>
      </c>
      <c r="Q709" s="342" t="s">
        <v>2688</v>
      </c>
      <c r="R709" s="344">
        <v>30</v>
      </c>
      <c r="S709" s="345">
        <v>30</v>
      </c>
      <c r="T709" s="362">
        <v>20</v>
      </c>
      <c r="U709" s="361">
        <v>88.69</v>
      </c>
      <c r="V709" s="346">
        <v>124.48962713957224</v>
      </c>
      <c r="W709" s="348">
        <v>122.75616352670654</v>
      </c>
      <c r="X709" s="347">
        <v>62.77</v>
      </c>
      <c r="Y709" s="357">
        <v>65.600000000000009</v>
      </c>
      <c r="Z709" s="365" t="s">
        <v>3017</v>
      </c>
      <c r="AA709" s="350">
        <v>138</v>
      </c>
      <c r="AB709" s="349" t="s">
        <v>2685</v>
      </c>
      <c r="AC709" s="350">
        <v>10</v>
      </c>
      <c r="AD709" s="349" t="s">
        <v>2685</v>
      </c>
      <c r="AE709" s="364">
        <v>0</v>
      </c>
      <c r="AF709" s="366">
        <v>0</v>
      </c>
      <c r="AG709" s="363">
        <v>0</v>
      </c>
      <c r="AH709" s="635" t="s">
        <v>408</v>
      </c>
      <c r="AI709" s="324"/>
      <c r="AL709" s="487" t="s">
        <v>14998</v>
      </c>
      <c r="AM709" s="477" t="s">
        <v>71</v>
      </c>
      <c r="AN709" s="637">
        <v>100</v>
      </c>
      <c r="AO709" s="478">
        <v>-1286</v>
      </c>
      <c r="AP709" s="463">
        <v>-651</v>
      </c>
      <c r="AQ709" s="479">
        <v>-635</v>
      </c>
      <c r="AR709" s="476" t="s">
        <v>16977</v>
      </c>
      <c r="BA709" s="313" t="s">
        <v>4150</v>
      </c>
    </row>
    <row r="710" spans="2:53" ht="16.5" customHeight="1">
      <c r="B710" s="367" t="s">
        <v>4078</v>
      </c>
      <c r="C710" s="351" t="s">
        <v>4079</v>
      </c>
      <c r="D710" s="353">
        <v>-1287</v>
      </c>
      <c r="E710" s="352" t="s">
        <v>9903</v>
      </c>
      <c r="F710" s="341">
        <v>88.69</v>
      </c>
      <c r="G710" s="355" t="s">
        <v>4257</v>
      </c>
      <c r="H710" s="356" t="s">
        <v>9497</v>
      </c>
      <c r="I710" s="354" t="s">
        <v>9336</v>
      </c>
      <c r="J710" s="340" t="s">
        <v>9907</v>
      </c>
      <c r="K710" s="339" t="s">
        <v>71</v>
      </c>
      <c r="L710" s="357">
        <v>9</v>
      </c>
      <c r="M710" s="358" t="s">
        <v>6858</v>
      </c>
      <c r="N710" s="359">
        <v>700</v>
      </c>
      <c r="O710" s="360" t="s">
        <v>532</v>
      </c>
      <c r="P710" s="343" t="s">
        <v>533</v>
      </c>
      <c r="Q710" s="342" t="s">
        <v>2688</v>
      </c>
      <c r="R710" s="344">
        <v>30</v>
      </c>
      <c r="S710" s="345">
        <v>30</v>
      </c>
      <c r="T710" s="362">
        <v>20</v>
      </c>
      <c r="U710" s="361">
        <v>88.69</v>
      </c>
      <c r="V710" s="346">
        <v>124.48962713957224</v>
      </c>
      <c r="W710" s="348">
        <v>122.75616352670654</v>
      </c>
      <c r="X710" s="347">
        <v>62.77</v>
      </c>
      <c r="Y710" s="357">
        <v>65.600000000000009</v>
      </c>
      <c r="Z710" s="365" t="s">
        <v>3017</v>
      </c>
      <c r="AA710" s="350">
        <v>138</v>
      </c>
      <c r="AB710" s="349" t="s">
        <v>2685</v>
      </c>
      <c r="AC710" s="350">
        <v>10</v>
      </c>
      <c r="AD710" s="349" t="s">
        <v>2685</v>
      </c>
      <c r="AE710" s="364">
        <v>0</v>
      </c>
      <c r="AF710" s="366">
        <v>0</v>
      </c>
      <c r="AG710" s="363">
        <v>0</v>
      </c>
      <c r="AH710" s="635" t="s">
        <v>408</v>
      </c>
      <c r="AI710" s="324"/>
      <c r="AL710" s="487" t="s">
        <v>14999</v>
      </c>
      <c r="AM710" s="477" t="s">
        <v>71</v>
      </c>
      <c r="AN710" s="637">
        <v>100</v>
      </c>
      <c r="AO710" s="478">
        <v>-1287</v>
      </c>
      <c r="AP710" s="463">
        <v>-652</v>
      </c>
      <c r="AQ710" s="479">
        <v>-635</v>
      </c>
      <c r="AR710" s="476" t="s">
        <v>16977</v>
      </c>
      <c r="BA710" s="313" t="s">
        <v>4154</v>
      </c>
    </row>
    <row r="711" spans="2:53" ht="16.5" customHeight="1">
      <c r="B711" s="367" t="s">
        <v>9908</v>
      </c>
      <c r="C711" s="351" t="s">
        <v>9909</v>
      </c>
      <c r="D711" s="353">
        <v>-1288</v>
      </c>
      <c r="E711" s="352" t="s">
        <v>9903</v>
      </c>
      <c r="F711" s="341">
        <v>88.67</v>
      </c>
      <c r="G711" s="355" t="s">
        <v>9910</v>
      </c>
      <c r="H711" s="356" t="s">
        <v>9474</v>
      </c>
      <c r="I711" s="354" t="s">
        <v>82</v>
      </c>
      <c r="J711" s="340" t="s">
        <v>9911</v>
      </c>
      <c r="K711" s="339" t="s">
        <v>70</v>
      </c>
      <c r="L711" s="357">
        <v>12</v>
      </c>
      <c r="M711" s="358" t="s">
        <v>9912</v>
      </c>
      <c r="N711" s="359">
        <v>800</v>
      </c>
      <c r="O711" s="360" t="s">
        <v>530</v>
      </c>
      <c r="P711" s="343" t="s">
        <v>531</v>
      </c>
      <c r="Q711" s="342" t="s">
        <v>2688</v>
      </c>
      <c r="R711" s="344">
        <v>20</v>
      </c>
      <c r="S711" s="345">
        <v>35</v>
      </c>
      <c r="T711" s="362">
        <v>30</v>
      </c>
      <c r="U711" s="361">
        <v>88.67</v>
      </c>
      <c r="V711" s="346">
        <v>124.48204020780176</v>
      </c>
      <c r="W711" s="348">
        <v>122.74991546524851</v>
      </c>
      <c r="X711" s="347">
        <v>62.53</v>
      </c>
      <c r="Y711" s="357">
        <v>63.33</v>
      </c>
      <c r="Z711" s="365" t="s">
        <v>3017</v>
      </c>
      <c r="AA711" s="350">
        <v>117.6</v>
      </c>
      <c r="AB711" s="349" t="s">
        <v>2685</v>
      </c>
      <c r="AC711" s="350">
        <v>0</v>
      </c>
      <c r="AD711" s="349" t="s">
        <v>2685</v>
      </c>
      <c r="AE711" s="364">
        <v>0</v>
      </c>
      <c r="AF711" s="366">
        <v>9.6</v>
      </c>
      <c r="AG711" s="363">
        <v>0</v>
      </c>
      <c r="AH711" s="635" t="s">
        <v>7814</v>
      </c>
      <c r="AI711" s="324"/>
      <c r="AL711" s="487" t="s">
        <v>15000</v>
      </c>
      <c r="AM711" s="477" t="s">
        <v>70</v>
      </c>
      <c r="AN711" s="637">
        <v>100</v>
      </c>
      <c r="AO711" s="478">
        <v>-1288</v>
      </c>
      <c r="AP711" s="463">
        <v>-1288</v>
      </c>
      <c r="AQ711" s="479">
        <v>0</v>
      </c>
      <c r="AR711" s="476" t="s">
        <v>17213</v>
      </c>
      <c r="BA711" s="313" t="s">
        <v>4158</v>
      </c>
    </row>
    <row r="712" spans="2:53" ht="16.5" customHeight="1">
      <c r="B712" s="367" t="s">
        <v>4083</v>
      </c>
      <c r="C712" s="351" t="s">
        <v>4084</v>
      </c>
      <c r="D712" s="353">
        <v>-1289</v>
      </c>
      <c r="E712" s="352" t="s">
        <v>9903</v>
      </c>
      <c r="F712" s="341">
        <v>88.65</v>
      </c>
      <c r="G712" s="355" t="s">
        <v>4263</v>
      </c>
      <c r="H712" s="356" t="s">
        <v>3961</v>
      </c>
      <c r="I712" s="354" t="s">
        <v>233</v>
      </c>
      <c r="J712" s="340" t="s">
        <v>8863</v>
      </c>
      <c r="K712" s="339" t="s">
        <v>71</v>
      </c>
      <c r="L712" s="357">
        <v>10</v>
      </c>
      <c r="M712" s="358" t="s">
        <v>9913</v>
      </c>
      <c r="N712" s="359">
        <v>1000</v>
      </c>
      <c r="O712" s="360" t="s">
        <v>530</v>
      </c>
      <c r="P712" s="343" t="s">
        <v>531</v>
      </c>
      <c r="Q712" s="342" t="s">
        <v>2688</v>
      </c>
      <c r="R712" s="344">
        <v>35</v>
      </c>
      <c r="S712" s="345">
        <v>25</v>
      </c>
      <c r="T712" s="362">
        <v>25</v>
      </c>
      <c r="U712" s="361">
        <v>88.65</v>
      </c>
      <c r="V712" s="346">
        <v>124.46304851610975</v>
      </c>
      <c r="W712" s="348">
        <v>122.73427524856096</v>
      </c>
      <c r="X712" s="347">
        <v>62.76</v>
      </c>
      <c r="Y712" s="357">
        <v>63.32</v>
      </c>
      <c r="Z712" s="365" t="s">
        <v>3017</v>
      </c>
      <c r="AA712" s="350">
        <v>149.25</v>
      </c>
      <c r="AB712" s="349" t="s">
        <v>2685</v>
      </c>
      <c r="AC712" s="350">
        <v>0</v>
      </c>
      <c r="AD712" s="349" t="s">
        <v>2685</v>
      </c>
      <c r="AE712" s="364">
        <v>0</v>
      </c>
      <c r="AF712" s="366">
        <v>0</v>
      </c>
      <c r="AG712" s="363">
        <v>0</v>
      </c>
      <c r="AH712" s="635" t="s">
        <v>408</v>
      </c>
      <c r="AI712" s="324"/>
      <c r="AL712" s="487" t="s">
        <v>15001</v>
      </c>
      <c r="AM712" s="477" t="s">
        <v>71</v>
      </c>
      <c r="AN712" s="637">
        <v>100</v>
      </c>
      <c r="AO712" s="478">
        <v>-1289</v>
      </c>
      <c r="AP712" s="463">
        <v>-653</v>
      </c>
      <c r="AQ712" s="479">
        <v>-636</v>
      </c>
      <c r="AR712" s="476" t="s">
        <v>16978</v>
      </c>
      <c r="BA712" s="313" t="s">
        <v>4160</v>
      </c>
    </row>
    <row r="713" spans="2:53" ht="16.5" customHeight="1">
      <c r="B713" s="367" t="s">
        <v>4086</v>
      </c>
      <c r="C713" s="351" t="s">
        <v>4087</v>
      </c>
      <c r="D713" s="353">
        <v>-1290</v>
      </c>
      <c r="E713" s="352" t="s">
        <v>408</v>
      </c>
      <c r="F713" s="341">
        <v>88.65</v>
      </c>
      <c r="G713" s="355" t="s">
        <v>4292</v>
      </c>
      <c r="H713" s="356" t="s">
        <v>3939</v>
      </c>
      <c r="I713" s="354" t="s">
        <v>233</v>
      </c>
      <c r="J713" s="340" t="s">
        <v>8624</v>
      </c>
      <c r="K713" s="339" t="s">
        <v>70</v>
      </c>
      <c r="L713" s="357">
        <v>14</v>
      </c>
      <c r="M713" s="358" t="s">
        <v>9914</v>
      </c>
      <c r="N713" s="359">
        <v>1000</v>
      </c>
      <c r="O713" s="360" t="s">
        <v>530</v>
      </c>
      <c r="P713" s="343" t="s">
        <v>531</v>
      </c>
      <c r="Q713" s="342" t="s">
        <v>2688</v>
      </c>
      <c r="R713" s="344">
        <v>25</v>
      </c>
      <c r="S713" s="345">
        <v>35</v>
      </c>
      <c r="T713" s="362">
        <v>25</v>
      </c>
      <c r="U713" s="361">
        <v>88.65</v>
      </c>
      <c r="V713" s="346">
        <v>124.4669456393098</v>
      </c>
      <c r="W713" s="348">
        <v>122.73748464413748</v>
      </c>
      <c r="X713" s="347">
        <v>62.53</v>
      </c>
      <c r="Y713" s="357">
        <v>63.32</v>
      </c>
      <c r="Z713" s="365" t="s">
        <v>3017</v>
      </c>
      <c r="AA713" s="350">
        <v>149.25</v>
      </c>
      <c r="AB713" s="349" t="s">
        <v>2685</v>
      </c>
      <c r="AC713" s="350">
        <v>0</v>
      </c>
      <c r="AD713" s="349" t="s">
        <v>2685</v>
      </c>
      <c r="AE713" s="364">
        <v>0</v>
      </c>
      <c r="AF713" s="366">
        <v>11.193</v>
      </c>
      <c r="AG713" s="363">
        <v>0</v>
      </c>
      <c r="AH713" s="635" t="s">
        <v>7993</v>
      </c>
      <c r="AI713" s="324"/>
      <c r="AL713" s="487" t="s">
        <v>15003</v>
      </c>
      <c r="AM713" s="477" t="s">
        <v>70</v>
      </c>
      <c r="AN713" s="637">
        <v>100</v>
      </c>
      <c r="AO713" s="478">
        <v>-1290</v>
      </c>
      <c r="AP713" s="463">
        <v>-1290</v>
      </c>
      <c r="AQ713" s="479">
        <v>0</v>
      </c>
      <c r="AR713" s="476" t="s">
        <v>17214</v>
      </c>
      <c r="BA713" s="313" t="s">
        <v>4163</v>
      </c>
    </row>
    <row r="714" spans="2:53" ht="16.5" customHeight="1">
      <c r="B714" s="367" t="s">
        <v>4094</v>
      </c>
      <c r="C714" s="351" t="s">
        <v>4095</v>
      </c>
      <c r="D714" s="353">
        <v>-1291</v>
      </c>
      <c r="E714" s="352" t="s">
        <v>4292</v>
      </c>
      <c r="F714" s="341">
        <v>88.64</v>
      </c>
      <c r="G714" s="355" t="s">
        <v>18615</v>
      </c>
      <c r="H714" s="356" t="s">
        <v>18616</v>
      </c>
      <c r="I714" s="354" t="s">
        <v>221</v>
      </c>
      <c r="J714" s="340" t="s">
        <v>9916</v>
      </c>
      <c r="K714" s="339" t="s">
        <v>71</v>
      </c>
      <c r="L714" s="357">
        <v>12</v>
      </c>
      <c r="M714" s="358" t="s">
        <v>3487</v>
      </c>
      <c r="N714" s="359">
        <v>1000</v>
      </c>
      <c r="O714" s="360" t="s">
        <v>532</v>
      </c>
      <c r="P714" s="343" t="s">
        <v>533</v>
      </c>
      <c r="Q714" s="342" t="s">
        <v>2688</v>
      </c>
      <c r="R714" s="344">
        <v>25</v>
      </c>
      <c r="S714" s="345">
        <v>40</v>
      </c>
      <c r="T714" s="362">
        <v>20</v>
      </c>
      <c r="U714" s="361">
        <v>88.64</v>
      </c>
      <c r="V714" s="346">
        <v>124.45912797478057</v>
      </c>
      <c r="W714" s="348">
        <v>122.73104656746635</v>
      </c>
      <c r="X714" s="347">
        <v>62.75</v>
      </c>
      <c r="Y714" s="357">
        <v>63.28</v>
      </c>
      <c r="Z714" s="365" t="s">
        <v>3017</v>
      </c>
      <c r="AA714" s="350">
        <v>144</v>
      </c>
      <c r="AB714" s="349" t="s">
        <v>2685</v>
      </c>
      <c r="AC714" s="350">
        <v>0</v>
      </c>
      <c r="AD714" s="349" t="s">
        <v>2685</v>
      </c>
      <c r="AE714" s="364">
        <v>0</v>
      </c>
      <c r="AF714" s="366">
        <v>0</v>
      </c>
      <c r="AG714" s="363">
        <v>0</v>
      </c>
      <c r="AH714" s="635" t="s">
        <v>408</v>
      </c>
      <c r="AI714" s="324"/>
      <c r="AL714" s="487" t="s">
        <v>15004</v>
      </c>
      <c r="AM714" s="477" t="s">
        <v>71</v>
      </c>
      <c r="AN714" s="637">
        <v>100</v>
      </c>
      <c r="AO714" s="478">
        <v>-1291</v>
      </c>
      <c r="AP714" s="463">
        <v>-654</v>
      </c>
      <c r="AQ714" s="479">
        <v>-637</v>
      </c>
      <c r="AR714" s="476" t="s">
        <v>16979</v>
      </c>
      <c r="BA714" s="313" t="s">
        <v>4165</v>
      </c>
    </row>
    <row r="715" spans="2:53" ht="16.5" customHeight="1">
      <c r="B715" s="367" t="s">
        <v>4086</v>
      </c>
      <c r="C715" s="351" t="s">
        <v>4087</v>
      </c>
      <c r="D715" s="353">
        <v>-1292</v>
      </c>
      <c r="E715" s="352" t="s">
        <v>408</v>
      </c>
      <c r="F715" s="341">
        <v>88.64</v>
      </c>
      <c r="G715" s="355" t="s">
        <v>18615</v>
      </c>
      <c r="H715" s="356" t="s">
        <v>18616</v>
      </c>
      <c r="I715" s="354" t="s">
        <v>233</v>
      </c>
      <c r="J715" s="340" t="s">
        <v>8232</v>
      </c>
      <c r="K715" s="339" t="s">
        <v>71</v>
      </c>
      <c r="L715" s="357">
        <v>12</v>
      </c>
      <c r="M715" s="358" t="s">
        <v>5670</v>
      </c>
      <c r="N715" s="359">
        <v>1000</v>
      </c>
      <c r="O715" s="360" t="s">
        <v>530</v>
      </c>
      <c r="P715" s="343" t="s">
        <v>531</v>
      </c>
      <c r="Q715" s="342" t="s">
        <v>2688</v>
      </c>
      <c r="R715" s="344">
        <v>35</v>
      </c>
      <c r="S715" s="345">
        <v>25</v>
      </c>
      <c r="T715" s="362">
        <v>25</v>
      </c>
      <c r="U715" s="361">
        <v>88.64</v>
      </c>
      <c r="V715" s="346">
        <v>124.45974433729536</v>
      </c>
      <c r="W715" s="348">
        <v>122.73155416012558</v>
      </c>
      <c r="X715" s="347">
        <v>62.75</v>
      </c>
      <c r="Y715" s="357">
        <v>63.32</v>
      </c>
      <c r="Z715" s="365" t="s">
        <v>3017</v>
      </c>
      <c r="AA715" s="350">
        <v>149.25</v>
      </c>
      <c r="AB715" s="349" t="s">
        <v>2685</v>
      </c>
      <c r="AC715" s="350">
        <v>0</v>
      </c>
      <c r="AD715" s="349" t="s">
        <v>2685</v>
      </c>
      <c r="AE715" s="364">
        <v>0</v>
      </c>
      <c r="AF715" s="366">
        <v>0</v>
      </c>
      <c r="AG715" s="363">
        <v>0</v>
      </c>
      <c r="AH715" s="635" t="s">
        <v>408</v>
      </c>
      <c r="AI715" s="324"/>
      <c r="AL715" s="487" t="s">
        <v>15005</v>
      </c>
      <c r="AM715" s="477" t="s">
        <v>71</v>
      </c>
      <c r="AN715" s="637">
        <v>100</v>
      </c>
      <c r="AO715" s="478">
        <v>-1292</v>
      </c>
      <c r="AP715" s="463">
        <v>-654</v>
      </c>
      <c r="AQ715" s="479">
        <v>-638</v>
      </c>
      <c r="AR715" s="476" t="s">
        <v>16979</v>
      </c>
      <c r="BA715" s="313" t="s">
        <v>4168</v>
      </c>
    </row>
    <row r="716" spans="2:53" ht="16.5" customHeight="1">
      <c r="B716" s="367" t="s">
        <v>4091</v>
      </c>
      <c r="C716" s="351" t="s">
        <v>4092</v>
      </c>
      <c r="D716" s="353">
        <v>-1293</v>
      </c>
      <c r="E716" s="352" t="s">
        <v>9915</v>
      </c>
      <c r="F716" s="341">
        <v>88.62</v>
      </c>
      <c r="G716" s="355" t="s">
        <v>9917</v>
      </c>
      <c r="H716" s="356" t="s">
        <v>3958</v>
      </c>
      <c r="I716" s="354" t="s">
        <v>417</v>
      </c>
      <c r="J716" s="340" t="s">
        <v>9918</v>
      </c>
      <c r="K716" s="339" t="s">
        <v>70</v>
      </c>
      <c r="L716" s="357">
        <v>8</v>
      </c>
      <c r="M716" s="358" t="s">
        <v>9919</v>
      </c>
      <c r="N716" s="359">
        <v>200</v>
      </c>
      <c r="O716" s="360" t="s">
        <v>530</v>
      </c>
      <c r="P716" s="343" t="s">
        <v>530</v>
      </c>
      <c r="Q716" s="342" t="s">
        <v>2688</v>
      </c>
      <c r="R716" s="344">
        <v>20</v>
      </c>
      <c r="S716" s="345">
        <v>35</v>
      </c>
      <c r="T716" s="362">
        <v>30</v>
      </c>
      <c r="U716" s="361">
        <v>88.62</v>
      </c>
      <c r="V716" s="346">
        <v>124.44187029588724</v>
      </c>
      <c r="W716" s="348">
        <v>122.7168343613189</v>
      </c>
      <c r="X716" s="347">
        <v>62.52</v>
      </c>
      <c r="Y716" s="357" t="s">
        <v>408</v>
      </c>
      <c r="Z716" s="365" t="s">
        <v>3017</v>
      </c>
      <c r="AA716" s="350">
        <v>14.25</v>
      </c>
      <c r="AB716" s="349" t="s">
        <v>2685</v>
      </c>
      <c r="AC716" s="350">
        <v>10</v>
      </c>
      <c r="AD716" s="349" t="s">
        <v>2685</v>
      </c>
      <c r="AE716" s="364">
        <v>0</v>
      </c>
      <c r="AF716" s="366">
        <v>0</v>
      </c>
      <c r="AG716" s="363">
        <v>0</v>
      </c>
      <c r="AH716" s="635" t="s">
        <v>408</v>
      </c>
      <c r="AI716" s="324"/>
      <c r="AL716" s="487" t="s">
        <v>15006</v>
      </c>
      <c r="AM716" s="477" t="s">
        <v>70</v>
      </c>
      <c r="AN716" s="637">
        <v>100</v>
      </c>
      <c r="AO716" s="478">
        <v>-1293</v>
      </c>
      <c r="AP716" s="463">
        <v>-1293</v>
      </c>
      <c r="AQ716" s="479">
        <v>0</v>
      </c>
      <c r="AR716" s="476" t="s">
        <v>15007</v>
      </c>
      <c r="BA716" s="313" t="s">
        <v>4171</v>
      </c>
    </row>
    <row r="717" spans="2:53" ht="16.5" customHeight="1">
      <c r="B717" s="367" t="s">
        <v>4091</v>
      </c>
      <c r="C717" s="351" t="s">
        <v>4092</v>
      </c>
      <c r="D717" s="353">
        <v>-1294</v>
      </c>
      <c r="E717" s="352" t="s">
        <v>4292</v>
      </c>
      <c r="F717" s="341">
        <v>88.61</v>
      </c>
      <c r="G717" s="355" t="s">
        <v>4273</v>
      </c>
      <c r="H717" s="356" t="s">
        <v>9493</v>
      </c>
      <c r="I717" s="354" t="s">
        <v>233</v>
      </c>
      <c r="J717" s="340" t="s">
        <v>499</v>
      </c>
      <c r="K717" s="339" t="s">
        <v>71</v>
      </c>
      <c r="L717" s="357">
        <v>4</v>
      </c>
      <c r="M717" s="358" t="s">
        <v>9923</v>
      </c>
      <c r="N717" s="359">
        <v>1000</v>
      </c>
      <c r="O717" s="360" t="s">
        <v>530</v>
      </c>
      <c r="P717" s="343" t="s">
        <v>531</v>
      </c>
      <c r="Q717" s="342" t="s">
        <v>2688</v>
      </c>
      <c r="R717" s="344">
        <v>35</v>
      </c>
      <c r="S717" s="345">
        <v>25</v>
      </c>
      <c r="T717" s="362">
        <v>25</v>
      </c>
      <c r="U717" s="361">
        <v>88.61</v>
      </c>
      <c r="V717" s="346">
        <v>124.43763175599911</v>
      </c>
      <c r="W717" s="348">
        <v>122.71334379905808</v>
      </c>
      <c r="X717" s="347">
        <v>62.74</v>
      </c>
      <c r="Y717" s="357">
        <v>63.309999999999995</v>
      </c>
      <c r="Z717" s="365" t="s">
        <v>3017</v>
      </c>
      <c r="AA717" s="350">
        <v>149.25</v>
      </c>
      <c r="AB717" s="349" t="s">
        <v>2685</v>
      </c>
      <c r="AC717" s="350">
        <v>0</v>
      </c>
      <c r="AD717" s="349" t="s">
        <v>2685</v>
      </c>
      <c r="AE717" s="364">
        <v>0</v>
      </c>
      <c r="AF717" s="366">
        <v>0</v>
      </c>
      <c r="AG717" s="363">
        <v>0</v>
      </c>
      <c r="AH717" s="635" t="s">
        <v>408</v>
      </c>
      <c r="AI717" s="324"/>
      <c r="AL717" s="487" t="s">
        <v>15008</v>
      </c>
      <c r="AM717" s="477" t="s">
        <v>71</v>
      </c>
      <c r="AN717" s="637">
        <v>100</v>
      </c>
      <c r="AO717" s="478">
        <v>-1294</v>
      </c>
      <c r="AP717" s="463">
        <v>-655</v>
      </c>
      <c r="AQ717" s="479">
        <v>-639</v>
      </c>
      <c r="AR717" s="476" t="s">
        <v>16980</v>
      </c>
      <c r="BA717" s="313" t="s">
        <v>4174</v>
      </c>
    </row>
    <row r="718" spans="2:53" ht="16.5" customHeight="1">
      <c r="B718" s="367" t="s">
        <v>9924</v>
      </c>
      <c r="C718" s="351" t="s">
        <v>9925</v>
      </c>
      <c r="D718" s="353">
        <v>-1295</v>
      </c>
      <c r="E718" s="352" t="s">
        <v>408</v>
      </c>
      <c r="F718" s="341">
        <v>88.6</v>
      </c>
      <c r="G718" s="355" t="s">
        <v>4294</v>
      </c>
      <c r="H718" s="356" t="s">
        <v>9568</v>
      </c>
      <c r="I718" s="354" t="s">
        <v>239</v>
      </c>
      <c r="J718" s="340" t="s">
        <v>9926</v>
      </c>
      <c r="K718" s="339" t="s">
        <v>71</v>
      </c>
      <c r="L718" s="357">
        <v>57</v>
      </c>
      <c r="M718" s="358" t="s">
        <v>9927</v>
      </c>
      <c r="N718" s="359">
        <v>1000</v>
      </c>
      <c r="O718" s="360" t="s">
        <v>454</v>
      </c>
      <c r="P718" s="343" t="s">
        <v>454</v>
      </c>
      <c r="Q718" s="342" t="s">
        <v>2738</v>
      </c>
      <c r="R718" s="344">
        <v>0</v>
      </c>
      <c r="S718" s="345">
        <v>50</v>
      </c>
      <c r="T718" s="362">
        <v>50</v>
      </c>
      <c r="U718" s="361">
        <v>88.6</v>
      </c>
      <c r="V718" s="346">
        <v>124.42857142857143</v>
      </c>
      <c r="W718" s="348">
        <v>122.70588235294117</v>
      </c>
      <c r="X718" s="347">
        <v>62.51</v>
      </c>
      <c r="Y718" s="357" t="s">
        <v>408</v>
      </c>
      <c r="Z718" s="365" t="s">
        <v>3017</v>
      </c>
      <c r="AA718" s="350">
        <v>-1</v>
      </c>
      <c r="AB718" s="349" t="s">
        <v>2685</v>
      </c>
      <c r="AC718" s="350">
        <v>0</v>
      </c>
      <c r="AD718" s="349" t="s">
        <v>2685</v>
      </c>
      <c r="AE718" s="364">
        <v>0</v>
      </c>
      <c r="AF718" s="366">
        <v>0</v>
      </c>
      <c r="AG718" s="363">
        <v>0</v>
      </c>
      <c r="AH718" s="635" t="s">
        <v>408</v>
      </c>
      <c r="AI718" s="324"/>
      <c r="AL718" s="487" t="s">
        <v>15009</v>
      </c>
      <c r="AM718" s="477" t="s">
        <v>71</v>
      </c>
      <c r="AN718" s="637">
        <v>100</v>
      </c>
      <c r="AO718" s="478">
        <v>-1295</v>
      </c>
      <c r="AP718" s="463">
        <v>-653</v>
      </c>
      <c r="AQ718" s="479">
        <v>-642</v>
      </c>
      <c r="AR718" s="476" t="s">
        <v>16981</v>
      </c>
      <c r="BA718" s="313" t="s">
        <v>4178</v>
      </c>
    </row>
    <row r="719" spans="2:53" ht="16.5" customHeight="1">
      <c r="B719" s="367" t="s">
        <v>9924</v>
      </c>
      <c r="C719" s="351" t="s">
        <v>9925</v>
      </c>
      <c r="D719" s="353">
        <v>-1296</v>
      </c>
      <c r="E719" s="352" t="s">
        <v>9920</v>
      </c>
      <c r="F719" s="341">
        <v>88.6</v>
      </c>
      <c r="G719" s="355" t="s">
        <v>9928</v>
      </c>
      <c r="H719" s="356" t="s">
        <v>18617</v>
      </c>
      <c r="I719" s="354" t="s">
        <v>237</v>
      </c>
      <c r="J719" s="340" t="s">
        <v>9929</v>
      </c>
      <c r="K719" s="339" t="s">
        <v>70</v>
      </c>
      <c r="L719" s="357">
        <v>4</v>
      </c>
      <c r="M719" s="358" t="s">
        <v>9930</v>
      </c>
      <c r="N719" s="359">
        <v>1000</v>
      </c>
      <c r="O719" s="360" t="s">
        <v>530</v>
      </c>
      <c r="P719" s="343" t="s">
        <v>530</v>
      </c>
      <c r="Q719" s="342" t="s">
        <v>2688</v>
      </c>
      <c r="R719" s="344">
        <v>20</v>
      </c>
      <c r="S719" s="345">
        <v>30</v>
      </c>
      <c r="T719" s="362">
        <v>30</v>
      </c>
      <c r="U719" s="361">
        <v>88.6</v>
      </c>
      <c r="V719" s="346">
        <v>124.42534107474293</v>
      </c>
      <c r="W719" s="348">
        <v>122.70322206155299</v>
      </c>
      <c r="X719" s="347">
        <v>62.51</v>
      </c>
      <c r="Y719" s="357" t="s">
        <v>408</v>
      </c>
      <c r="Z719" s="365" t="s">
        <v>3017</v>
      </c>
      <c r="AA719" s="350">
        <v>196</v>
      </c>
      <c r="AB719" s="349" t="s">
        <v>2685</v>
      </c>
      <c r="AC719" s="350">
        <v>0</v>
      </c>
      <c r="AD719" s="349" t="s">
        <v>2685</v>
      </c>
      <c r="AE719" s="364">
        <v>0</v>
      </c>
      <c r="AF719" s="366">
        <v>11.148</v>
      </c>
      <c r="AG719" s="363">
        <v>0</v>
      </c>
      <c r="AH719" s="635" t="s">
        <v>9931</v>
      </c>
      <c r="AI719" s="324"/>
      <c r="AL719" s="487" t="s">
        <v>15010</v>
      </c>
      <c r="AM719" s="477" t="s">
        <v>70</v>
      </c>
      <c r="AN719" s="637">
        <v>100</v>
      </c>
      <c r="AO719" s="478">
        <v>-1296</v>
      </c>
      <c r="AP719" s="463">
        <v>-1296</v>
      </c>
      <c r="AQ719" s="479">
        <v>0</v>
      </c>
      <c r="AR719" s="476" t="s">
        <v>15011</v>
      </c>
      <c r="BA719" s="313" t="s">
        <v>4180</v>
      </c>
    </row>
    <row r="720" spans="2:53" ht="16.5" customHeight="1">
      <c r="B720" s="367" t="s">
        <v>9924</v>
      </c>
      <c r="C720" s="351" t="s">
        <v>9925</v>
      </c>
      <c r="D720" s="353">
        <v>-1297</v>
      </c>
      <c r="E720" s="352" t="s">
        <v>9922</v>
      </c>
      <c r="F720" s="341">
        <v>88.59</v>
      </c>
      <c r="G720" s="355" t="s">
        <v>18618</v>
      </c>
      <c r="H720" s="356" t="s">
        <v>18577</v>
      </c>
      <c r="I720" s="354" t="s">
        <v>233</v>
      </c>
      <c r="J720" s="340" t="s">
        <v>9932</v>
      </c>
      <c r="K720" s="339" t="s">
        <v>71</v>
      </c>
      <c r="L720" s="357">
        <v>5</v>
      </c>
      <c r="M720" s="358" t="s">
        <v>9933</v>
      </c>
      <c r="N720" s="359">
        <v>1000</v>
      </c>
      <c r="O720" s="360" t="s">
        <v>530</v>
      </c>
      <c r="P720" s="343" t="s">
        <v>531</v>
      </c>
      <c r="Q720" s="342" t="s">
        <v>2688</v>
      </c>
      <c r="R720" s="344">
        <v>35</v>
      </c>
      <c r="S720" s="345">
        <v>25</v>
      </c>
      <c r="T720" s="362">
        <v>25</v>
      </c>
      <c r="U720" s="361">
        <v>88.59</v>
      </c>
      <c r="V720" s="346">
        <v>124.42492337594381</v>
      </c>
      <c r="W720" s="348">
        <v>122.70287807430665</v>
      </c>
      <c r="X720" s="347">
        <v>62.74</v>
      </c>
      <c r="Y720" s="357">
        <v>63.3</v>
      </c>
      <c r="Z720" s="365" t="s">
        <v>3017</v>
      </c>
      <c r="AA720" s="350">
        <v>149.25</v>
      </c>
      <c r="AB720" s="349" t="s">
        <v>2685</v>
      </c>
      <c r="AC720" s="350">
        <v>0</v>
      </c>
      <c r="AD720" s="349" t="s">
        <v>2685</v>
      </c>
      <c r="AE720" s="364">
        <v>0</v>
      </c>
      <c r="AF720" s="366">
        <v>0</v>
      </c>
      <c r="AG720" s="363">
        <v>0</v>
      </c>
      <c r="AH720" s="635" t="s">
        <v>408</v>
      </c>
      <c r="AI720" s="324"/>
      <c r="AL720" s="487" t="s">
        <v>15012</v>
      </c>
      <c r="AM720" s="477" t="s">
        <v>71</v>
      </c>
      <c r="AN720" s="637">
        <v>100</v>
      </c>
      <c r="AO720" s="478">
        <v>-1297</v>
      </c>
      <c r="AP720" s="463">
        <v>-656</v>
      </c>
      <c r="AQ720" s="479">
        <v>-641</v>
      </c>
      <c r="AR720" s="476" t="s">
        <v>15045</v>
      </c>
      <c r="BA720" s="313" t="s">
        <v>4183</v>
      </c>
    </row>
    <row r="721" spans="2:53" ht="16.5" customHeight="1">
      <c r="B721" s="367" t="s">
        <v>4053</v>
      </c>
      <c r="C721" s="351" t="s">
        <v>4054</v>
      </c>
      <c r="D721" s="353">
        <v>-1298</v>
      </c>
      <c r="E721" s="352" t="s">
        <v>408</v>
      </c>
      <c r="F721" s="341">
        <v>88.58</v>
      </c>
      <c r="G721" s="355" t="s">
        <v>18619</v>
      </c>
      <c r="H721" s="356" t="s">
        <v>9978</v>
      </c>
      <c r="I721" s="354" t="s">
        <v>9189</v>
      </c>
      <c r="J721" s="340" t="s">
        <v>9851</v>
      </c>
      <c r="K721" s="339" t="s">
        <v>71</v>
      </c>
      <c r="L721" s="357">
        <v>2</v>
      </c>
      <c r="M721" s="358" t="s">
        <v>9852</v>
      </c>
      <c r="N721" s="359">
        <v>1000</v>
      </c>
      <c r="O721" s="360" t="s">
        <v>532</v>
      </c>
      <c r="P721" s="343" t="s">
        <v>532</v>
      </c>
      <c r="Q721" s="342" t="s">
        <v>2688</v>
      </c>
      <c r="R721" s="344">
        <v>30</v>
      </c>
      <c r="S721" s="345">
        <v>25</v>
      </c>
      <c r="T721" s="362">
        <v>25</v>
      </c>
      <c r="U721" s="361">
        <v>88.58</v>
      </c>
      <c r="V721" s="346">
        <v>124.41488461726881</v>
      </c>
      <c r="W721" s="348">
        <v>122.6946108612802</v>
      </c>
      <c r="X721" s="347" t="s">
        <v>18620</v>
      </c>
      <c r="Y721" s="357" t="s">
        <v>408</v>
      </c>
      <c r="Z721" s="365" t="s">
        <v>3017</v>
      </c>
      <c r="AA721" s="350">
        <v>195.56</v>
      </c>
      <c r="AB721" s="349" t="s">
        <v>2685</v>
      </c>
      <c r="AC721" s="350">
        <v>0</v>
      </c>
      <c r="AD721" s="349" t="s">
        <v>2685</v>
      </c>
      <c r="AE721" s="364">
        <v>0</v>
      </c>
      <c r="AF721" s="366">
        <v>15.641</v>
      </c>
      <c r="AG721" s="363">
        <v>0</v>
      </c>
      <c r="AH721" s="635" t="s">
        <v>9192</v>
      </c>
      <c r="AI721" s="324"/>
      <c r="AL721" s="487" t="s">
        <v>14982</v>
      </c>
      <c r="AM721" s="477" t="s">
        <v>71</v>
      </c>
      <c r="AN721" s="637">
        <v>100</v>
      </c>
      <c r="AO721" s="478">
        <v>-1298</v>
      </c>
      <c r="AP721" s="463">
        <v>-656</v>
      </c>
      <c r="AQ721" s="479">
        <v>-642</v>
      </c>
      <c r="AR721" s="476" t="s">
        <v>15047</v>
      </c>
      <c r="BA721" s="313" t="s">
        <v>4185</v>
      </c>
    </row>
    <row r="722" spans="2:53" ht="16.5" customHeight="1">
      <c r="B722" s="367" t="s">
        <v>9924</v>
      </c>
      <c r="C722" s="351" t="s">
        <v>9925</v>
      </c>
      <c r="D722" s="353">
        <v>-1299</v>
      </c>
      <c r="E722" s="352" t="s">
        <v>408</v>
      </c>
      <c r="F722" s="341">
        <v>88.58</v>
      </c>
      <c r="G722" s="355" t="s">
        <v>18619</v>
      </c>
      <c r="H722" s="356" t="s">
        <v>9978</v>
      </c>
      <c r="I722" s="354" t="s">
        <v>233</v>
      </c>
      <c r="J722" s="340" t="s">
        <v>9936</v>
      </c>
      <c r="K722" s="339" t="s">
        <v>71</v>
      </c>
      <c r="L722" s="357">
        <v>39</v>
      </c>
      <c r="M722" s="358" t="s">
        <v>9937</v>
      </c>
      <c r="N722" s="359">
        <v>1000</v>
      </c>
      <c r="O722" s="360" t="s">
        <v>530</v>
      </c>
      <c r="P722" s="343" t="s">
        <v>531</v>
      </c>
      <c r="Q722" s="342" t="s">
        <v>2688</v>
      </c>
      <c r="R722" s="344">
        <v>35</v>
      </c>
      <c r="S722" s="345">
        <v>25</v>
      </c>
      <c r="T722" s="362">
        <v>25</v>
      </c>
      <c r="U722" s="361">
        <v>88.58</v>
      </c>
      <c r="V722" s="346">
        <v>124.41526500710175</v>
      </c>
      <c r="W722" s="348">
        <v>122.69492412349555</v>
      </c>
      <c r="X722" s="347">
        <v>62.73</v>
      </c>
      <c r="Y722" s="357">
        <v>63.3</v>
      </c>
      <c r="Z722" s="365" t="s">
        <v>3017</v>
      </c>
      <c r="AA722" s="350">
        <v>149.25</v>
      </c>
      <c r="AB722" s="349" t="s">
        <v>2685</v>
      </c>
      <c r="AC722" s="350">
        <v>0</v>
      </c>
      <c r="AD722" s="349" t="s">
        <v>2685</v>
      </c>
      <c r="AE722" s="364">
        <v>0</v>
      </c>
      <c r="AF722" s="366">
        <v>0</v>
      </c>
      <c r="AG722" s="363">
        <v>0</v>
      </c>
      <c r="AH722" s="635" t="s">
        <v>408</v>
      </c>
      <c r="AI722" s="324"/>
      <c r="AL722" s="487" t="s">
        <v>15014</v>
      </c>
      <c r="AM722" s="477" t="s">
        <v>71</v>
      </c>
      <c r="AN722" s="637">
        <v>100</v>
      </c>
      <c r="AO722" s="478">
        <v>-1299</v>
      </c>
      <c r="AP722" s="463">
        <v>-657</v>
      </c>
      <c r="AQ722" s="479">
        <v>-642</v>
      </c>
      <c r="AR722" s="476" t="s">
        <v>15047</v>
      </c>
      <c r="BA722" s="313" t="s">
        <v>4186</v>
      </c>
    </row>
    <row r="723" spans="2:53" ht="16.5" customHeight="1">
      <c r="B723" s="367" t="s">
        <v>4098</v>
      </c>
      <c r="C723" s="351" t="s">
        <v>4099</v>
      </c>
      <c r="D723" s="353">
        <v>-1300</v>
      </c>
      <c r="E723" s="352" t="s">
        <v>4294</v>
      </c>
      <c r="F723" s="341">
        <v>88.56</v>
      </c>
      <c r="G723" s="355" t="s">
        <v>9938</v>
      </c>
      <c r="H723" s="356" t="s">
        <v>3955</v>
      </c>
      <c r="I723" s="354" t="s">
        <v>233</v>
      </c>
      <c r="J723" s="340" t="s">
        <v>8538</v>
      </c>
      <c r="K723" s="339" t="s">
        <v>70</v>
      </c>
      <c r="L723" s="357">
        <v>9</v>
      </c>
      <c r="M723" s="358" t="s">
        <v>9939</v>
      </c>
      <c r="N723" s="359">
        <v>1000</v>
      </c>
      <c r="O723" s="360" t="s">
        <v>530</v>
      </c>
      <c r="P723" s="343" t="s">
        <v>531</v>
      </c>
      <c r="Q723" s="342" t="s">
        <v>2688</v>
      </c>
      <c r="R723" s="344">
        <v>25</v>
      </c>
      <c r="S723" s="345">
        <v>35</v>
      </c>
      <c r="T723" s="362">
        <v>25</v>
      </c>
      <c r="U723" s="361">
        <v>88.56</v>
      </c>
      <c r="V723" s="346">
        <v>124.39755782766105</v>
      </c>
      <c r="W723" s="348">
        <v>122.68034174042674</v>
      </c>
      <c r="X723" s="347">
        <v>62.5</v>
      </c>
      <c r="Y723" s="357">
        <v>63.29</v>
      </c>
      <c r="Z723" s="365" t="s">
        <v>3017</v>
      </c>
      <c r="AA723" s="350">
        <v>149.25</v>
      </c>
      <c r="AB723" s="349" t="s">
        <v>2685</v>
      </c>
      <c r="AC723" s="350">
        <v>0</v>
      </c>
      <c r="AD723" s="349" t="s">
        <v>2685</v>
      </c>
      <c r="AE723" s="364">
        <v>0</v>
      </c>
      <c r="AF723" s="366">
        <v>4.7469999999999999</v>
      </c>
      <c r="AG723" s="363">
        <v>0</v>
      </c>
      <c r="AH723" s="635" t="s">
        <v>7791</v>
      </c>
      <c r="AI723" s="324"/>
      <c r="AL723" s="487" t="s">
        <v>15015</v>
      </c>
      <c r="AM723" s="477" t="s">
        <v>70</v>
      </c>
      <c r="AN723" s="637">
        <v>100</v>
      </c>
      <c r="AO723" s="478">
        <v>-1300</v>
      </c>
      <c r="AP723" s="463">
        <v>-1300</v>
      </c>
      <c r="AQ723" s="479">
        <v>0</v>
      </c>
      <c r="AR723" s="476" t="s">
        <v>15016</v>
      </c>
      <c r="BA723" s="313" t="s">
        <v>4187</v>
      </c>
    </row>
    <row r="724" spans="2:53" ht="16.5" customHeight="1">
      <c r="B724" s="367" t="s">
        <v>4098</v>
      </c>
      <c r="C724" s="351" t="s">
        <v>4099</v>
      </c>
      <c r="D724" s="353">
        <v>-1301</v>
      </c>
      <c r="E724" s="352" t="s">
        <v>9934</v>
      </c>
      <c r="F724" s="341">
        <v>88.56</v>
      </c>
      <c r="G724" s="355" t="s">
        <v>18621</v>
      </c>
      <c r="H724" s="356" t="s">
        <v>3973</v>
      </c>
      <c r="I724" s="354" t="s">
        <v>9336</v>
      </c>
      <c r="J724" s="340" t="s">
        <v>9941</v>
      </c>
      <c r="K724" s="339" t="s">
        <v>71</v>
      </c>
      <c r="L724" s="357">
        <v>9</v>
      </c>
      <c r="M724" s="358" t="s">
        <v>9739</v>
      </c>
      <c r="N724" s="359">
        <v>700</v>
      </c>
      <c r="O724" s="360" t="s">
        <v>532</v>
      </c>
      <c r="P724" s="343" t="s">
        <v>533</v>
      </c>
      <c r="Q724" s="342" t="s">
        <v>2688</v>
      </c>
      <c r="R724" s="344">
        <v>30</v>
      </c>
      <c r="S724" s="345">
        <v>30</v>
      </c>
      <c r="T724" s="362">
        <v>20</v>
      </c>
      <c r="U724" s="361">
        <v>88.56</v>
      </c>
      <c r="V724" s="346">
        <v>124.3996474430738</v>
      </c>
      <c r="W724" s="348">
        <v>122.68206260017843</v>
      </c>
      <c r="X724" s="347">
        <v>62.73</v>
      </c>
      <c r="Y724" s="357">
        <v>65.570000000000007</v>
      </c>
      <c r="Z724" s="365" t="s">
        <v>3017</v>
      </c>
      <c r="AA724" s="350">
        <v>138</v>
      </c>
      <c r="AB724" s="349" t="s">
        <v>2685</v>
      </c>
      <c r="AC724" s="350">
        <v>10</v>
      </c>
      <c r="AD724" s="349" t="s">
        <v>2685</v>
      </c>
      <c r="AE724" s="364">
        <v>0</v>
      </c>
      <c r="AF724" s="366">
        <v>0</v>
      </c>
      <c r="AG724" s="363">
        <v>0</v>
      </c>
      <c r="AH724" s="635" t="s">
        <v>408</v>
      </c>
      <c r="AI724" s="324"/>
      <c r="AL724" s="487" t="s">
        <v>15017</v>
      </c>
      <c r="AM724" s="477" t="s">
        <v>71</v>
      </c>
      <c r="AN724" s="637">
        <v>100</v>
      </c>
      <c r="AO724" s="478">
        <v>-1301</v>
      </c>
      <c r="AP724" s="463">
        <v>-658</v>
      </c>
      <c r="AQ724" s="479">
        <v>-643</v>
      </c>
      <c r="AR724" s="476" t="s">
        <v>15052</v>
      </c>
      <c r="BA724" s="313" t="s">
        <v>4189</v>
      </c>
    </row>
    <row r="725" spans="2:53" ht="16.5" customHeight="1">
      <c r="B725" s="367" t="s">
        <v>4098</v>
      </c>
      <c r="C725" s="351" t="s">
        <v>4099</v>
      </c>
      <c r="D725" s="353">
        <v>-1302</v>
      </c>
      <c r="E725" s="352" t="s">
        <v>408</v>
      </c>
      <c r="F725" s="341">
        <v>88.56</v>
      </c>
      <c r="G725" s="355" t="s">
        <v>18621</v>
      </c>
      <c r="H725" s="356" t="s">
        <v>3973</v>
      </c>
      <c r="I725" s="354" t="s">
        <v>9336</v>
      </c>
      <c r="J725" s="340" t="s">
        <v>9942</v>
      </c>
      <c r="K725" s="339" t="s">
        <v>71</v>
      </c>
      <c r="L725" s="357">
        <v>17</v>
      </c>
      <c r="M725" s="358" t="s">
        <v>9739</v>
      </c>
      <c r="N725" s="359">
        <v>700</v>
      </c>
      <c r="O725" s="360" t="s">
        <v>532</v>
      </c>
      <c r="P725" s="343" t="s">
        <v>533</v>
      </c>
      <c r="Q725" s="342" t="s">
        <v>2688</v>
      </c>
      <c r="R725" s="344">
        <v>30</v>
      </c>
      <c r="S725" s="345">
        <v>30</v>
      </c>
      <c r="T725" s="362">
        <v>20</v>
      </c>
      <c r="U725" s="361">
        <v>88.56</v>
      </c>
      <c r="V725" s="346">
        <v>124.3996474430738</v>
      </c>
      <c r="W725" s="348">
        <v>122.68206260017843</v>
      </c>
      <c r="X725" s="347">
        <v>62.73</v>
      </c>
      <c r="Y725" s="357">
        <v>65.570000000000007</v>
      </c>
      <c r="Z725" s="365" t="s">
        <v>3017</v>
      </c>
      <c r="AA725" s="350">
        <v>138</v>
      </c>
      <c r="AB725" s="349" t="s">
        <v>2685</v>
      </c>
      <c r="AC725" s="350">
        <v>10</v>
      </c>
      <c r="AD725" s="349" t="s">
        <v>2685</v>
      </c>
      <c r="AE725" s="364">
        <v>0</v>
      </c>
      <c r="AF725" s="366">
        <v>0</v>
      </c>
      <c r="AG725" s="363">
        <v>0</v>
      </c>
      <c r="AH725" s="635" t="s">
        <v>408</v>
      </c>
      <c r="AI725" s="324"/>
      <c r="AL725" s="487" t="s">
        <v>15018</v>
      </c>
      <c r="AM725" s="477" t="s">
        <v>71</v>
      </c>
      <c r="AN725" s="637">
        <v>100</v>
      </c>
      <c r="AO725" s="478">
        <v>-1302</v>
      </c>
      <c r="AP725" s="463">
        <v>-658</v>
      </c>
      <c r="AQ725" s="479">
        <v>-644</v>
      </c>
      <c r="AR725" s="476" t="s">
        <v>15052</v>
      </c>
      <c r="BA725" s="313" t="s">
        <v>4192</v>
      </c>
    </row>
    <row r="726" spans="2:53" ht="16.5" customHeight="1">
      <c r="B726" s="367" t="s">
        <v>4102</v>
      </c>
      <c r="C726" s="351" t="s">
        <v>4103</v>
      </c>
      <c r="D726" s="353">
        <v>-1303</v>
      </c>
      <c r="E726" s="352" t="s">
        <v>9940</v>
      </c>
      <c r="F726" s="341">
        <v>88.53</v>
      </c>
      <c r="G726" s="355" t="s">
        <v>18622</v>
      </c>
      <c r="H726" s="356" t="s">
        <v>3991</v>
      </c>
      <c r="I726" s="354" t="s">
        <v>233</v>
      </c>
      <c r="J726" s="340" t="s">
        <v>8190</v>
      </c>
      <c r="K726" s="339" t="s">
        <v>71</v>
      </c>
      <c r="L726" s="357">
        <v>14</v>
      </c>
      <c r="M726" s="358" t="s">
        <v>9946</v>
      </c>
      <c r="N726" s="359">
        <v>1000</v>
      </c>
      <c r="O726" s="360" t="s">
        <v>530</v>
      </c>
      <c r="P726" s="343" t="s">
        <v>531</v>
      </c>
      <c r="Q726" s="342" t="s">
        <v>2688</v>
      </c>
      <c r="R726" s="344">
        <v>35</v>
      </c>
      <c r="S726" s="345">
        <v>25</v>
      </c>
      <c r="T726" s="362">
        <v>25</v>
      </c>
      <c r="U726" s="361">
        <v>88.53</v>
      </c>
      <c r="V726" s="346">
        <v>124.38044404575017</v>
      </c>
      <c r="W726" s="348">
        <v>122.66624803767661</v>
      </c>
      <c r="X726" s="347">
        <v>62.72</v>
      </c>
      <c r="Y726" s="357">
        <v>63.28</v>
      </c>
      <c r="Z726" s="365" t="s">
        <v>3017</v>
      </c>
      <c r="AA726" s="350">
        <v>149.25</v>
      </c>
      <c r="AB726" s="349" t="s">
        <v>2685</v>
      </c>
      <c r="AC726" s="350">
        <v>0</v>
      </c>
      <c r="AD726" s="349" t="s">
        <v>2685</v>
      </c>
      <c r="AE726" s="364">
        <v>0</v>
      </c>
      <c r="AF726" s="366">
        <v>0</v>
      </c>
      <c r="AG726" s="363">
        <v>0</v>
      </c>
      <c r="AH726" s="635" t="s">
        <v>408</v>
      </c>
      <c r="AI726" s="324"/>
      <c r="AL726" s="487" t="s">
        <v>15019</v>
      </c>
      <c r="AM726" s="477" t="s">
        <v>71</v>
      </c>
      <c r="AN726" s="637">
        <v>100</v>
      </c>
      <c r="AO726" s="478">
        <v>-1303</v>
      </c>
      <c r="AP726" s="463">
        <v>-659</v>
      </c>
      <c r="AQ726" s="479">
        <v>-644</v>
      </c>
      <c r="AR726" s="476" t="s">
        <v>15056</v>
      </c>
      <c r="BA726" s="313" t="s">
        <v>4195</v>
      </c>
    </row>
    <row r="727" spans="2:53" ht="16.5" customHeight="1">
      <c r="B727" s="367" t="s">
        <v>9947</v>
      </c>
      <c r="C727" s="351" t="s">
        <v>9948</v>
      </c>
      <c r="D727" s="353">
        <v>-1304</v>
      </c>
      <c r="E727" s="352" t="s">
        <v>9940</v>
      </c>
      <c r="F727" s="341">
        <v>88.52</v>
      </c>
      <c r="G727" s="355" t="s">
        <v>18623</v>
      </c>
      <c r="H727" s="356" t="s">
        <v>18624</v>
      </c>
      <c r="I727" s="354" t="s">
        <v>9336</v>
      </c>
      <c r="J727" s="340" t="s">
        <v>9950</v>
      </c>
      <c r="K727" s="339" t="s">
        <v>71</v>
      </c>
      <c r="L727" s="357">
        <v>9</v>
      </c>
      <c r="M727" s="358" t="s">
        <v>9338</v>
      </c>
      <c r="N727" s="359">
        <v>700</v>
      </c>
      <c r="O727" s="360" t="s">
        <v>532</v>
      </c>
      <c r="P727" s="343" t="s">
        <v>533</v>
      </c>
      <c r="Q727" s="342" t="s">
        <v>2688</v>
      </c>
      <c r="R727" s="344">
        <v>30</v>
      </c>
      <c r="S727" s="345">
        <v>30</v>
      </c>
      <c r="T727" s="362">
        <v>20</v>
      </c>
      <c r="U727" s="361">
        <v>88.52</v>
      </c>
      <c r="V727" s="346">
        <v>124.36965421090764</v>
      </c>
      <c r="W727" s="348">
        <v>122.6573622913357</v>
      </c>
      <c r="X727" s="347">
        <v>62.72</v>
      </c>
      <c r="Y727" s="357">
        <v>65.56</v>
      </c>
      <c r="Z727" s="365" t="s">
        <v>3017</v>
      </c>
      <c r="AA727" s="350">
        <v>138</v>
      </c>
      <c r="AB727" s="349" t="s">
        <v>2685</v>
      </c>
      <c r="AC727" s="350">
        <v>10</v>
      </c>
      <c r="AD727" s="349" t="s">
        <v>2685</v>
      </c>
      <c r="AE727" s="364">
        <v>0</v>
      </c>
      <c r="AF727" s="366">
        <v>0</v>
      </c>
      <c r="AG727" s="363">
        <v>0</v>
      </c>
      <c r="AH727" s="635" t="s">
        <v>408</v>
      </c>
      <c r="AI727" s="324"/>
      <c r="AL727" s="487" t="s">
        <v>15020</v>
      </c>
      <c r="AM727" s="477" t="s">
        <v>71</v>
      </c>
      <c r="AN727" s="637">
        <v>100</v>
      </c>
      <c r="AO727" s="478">
        <v>-1304</v>
      </c>
      <c r="AP727" s="463">
        <v>-659</v>
      </c>
      <c r="AQ727" s="479">
        <v>-645</v>
      </c>
      <c r="AR727" s="476" t="s">
        <v>15058</v>
      </c>
      <c r="BA727" s="313" t="s">
        <v>4197</v>
      </c>
    </row>
    <row r="728" spans="2:53" ht="16.5" customHeight="1">
      <c r="B728" s="367" t="s">
        <v>9947</v>
      </c>
      <c r="C728" s="351" t="s">
        <v>9948</v>
      </c>
      <c r="D728" s="353">
        <v>-1305</v>
      </c>
      <c r="E728" s="352" t="s">
        <v>408</v>
      </c>
      <c r="F728" s="341">
        <v>88.51</v>
      </c>
      <c r="G728" s="355" t="s">
        <v>4277</v>
      </c>
      <c r="H728" s="356" t="s">
        <v>18624</v>
      </c>
      <c r="I728" s="354" t="s">
        <v>233</v>
      </c>
      <c r="J728" s="340" t="s">
        <v>9953</v>
      </c>
      <c r="K728" s="339" t="s">
        <v>71</v>
      </c>
      <c r="L728" s="357">
        <v>10</v>
      </c>
      <c r="M728" s="358" t="s">
        <v>9954</v>
      </c>
      <c r="N728" s="359">
        <v>1000</v>
      </c>
      <c r="O728" s="360" t="s">
        <v>530</v>
      </c>
      <c r="P728" s="343" t="s">
        <v>531</v>
      </c>
      <c r="Q728" s="342" t="s">
        <v>2688</v>
      </c>
      <c r="R728" s="344">
        <v>35</v>
      </c>
      <c r="S728" s="345">
        <v>25</v>
      </c>
      <c r="T728" s="362">
        <v>25</v>
      </c>
      <c r="U728" s="361">
        <v>88.51</v>
      </c>
      <c r="V728" s="346">
        <v>124.36443148688048</v>
      </c>
      <c r="W728" s="348">
        <v>122.65306122448979</v>
      </c>
      <c r="X728" s="347">
        <v>62.72</v>
      </c>
      <c r="Y728" s="357">
        <v>63.269999999999996</v>
      </c>
      <c r="Z728" s="365" t="s">
        <v>3017</v>
      </c>
      <c r="AA728" s="350">
        <v>149.25</v>
      </c>
      <c r="AB728" s="349" t="s">
        <v>2685</v>
      </c>
      <c r="AC728" s="350">
        <v>0</v>
      </c>
      <c r="AD728" s="349" t="s">
        <v>2685</v>
      </c>
      <c r="AE728" s="364">
        <v>0</v>
      </c>
      <c r="AF728" s="366">
        <v>0</v>
      </c>
      <c r="AG728" s="363">
        <v>0</v>
      </c>
      <c r="AH728" s="635" t="s">
        <v>408</v>
      </c>
      <c r="AI728" s="324"/>
      <c r="AL728" s="487" t="s">
        <v>15021</v>
      </c>
      <c r="AM728" s="477" t="s">
        <v>71</v>
      </c>
      <c r="AN728" s="637">
        <v>100</v>
      </c>
      <c r="AO728" s="478">
        <v>-1305</v>
      </c>
      <c r="AP728" s="463">
        <v>-659</v>
      </c>
      <c r="AQ728" s="479">
        <v>-646</v>
      </c>
      <c r="AR728" s="476" t="s">
        <v>15058</v>
      </c>
      <c r="BA728" s="313" t="s">
        <v>4198</v>
      </c>
    </row>
    <row r="729" spans="2:53" ht="16.5" customHeight="1">
      <c r="B729" s="367" t="s">
        <v>18200</v>
      </c>
      <c r="C729" s="351" t="s">
        <v>18201</v>
      </c>
      <c r="D729" s="353">
        <v>-1306</v>
      </c>
      <c r="E729" s="352" t="s">
        <v>4309</v>
      </c>
      <c r="F729" s="341">
        <v>88.49</v>
      </c>
      <c r="G729" s="355" t="s">
        <v>18625</v>
      </c>
      <c r="H729" s="356" t="s">
        <v>9510</v>
      </c>
      <c r="I729" s="354" t="s">
        <v>417</v>
      </c>
      <c r="J729" s="340" t="s">
        <v>9921</v>
      </c>
      <c r="K729" s="339" t="s">
        <v>71</v>
      </c>
      <c r="L729" s="357">
        <v>50</v>
      </c>
      <c r="M729" s="358" t="s">
        <v>9886</v>
      </c>
      <c r="N729" s="359">
        <v>200</v>
      </c>
      <c r="O729" s="360" t="s">
        <v>530</v>
      </c>
      <c r="P729" s="343" t="s">
        <v>530</v>
      </c>
      <c r="Q729" s="342" t="s">
        <v>2688</v>
      </c>
      <c r="R729" s="344">
        <v>30</v>
      </c>
      <c r="S729" s="345">
        <v>30</v>
      </c>
      <c r="T729" s="362">
        <v>25</v>
      </c>
      <c r="U729" s="361">
        <v>88.49</v>
      </c>
      <c r="V729" s="346">
        <v>124.34810863900383</v>
      </c>
      <c r="W729" s="348">
        <v>122.63961887917962</v>
      </c>
      <c r="X729" s="347">
        <v>62.71</v>
      </c>
      <c r="Y729" s="357" t="s">
        <v>408</v>
      </c>
      <c r="Z729" s="365" t="s">
        <v>3017</v>
      </c>
      <c r="AA729" s="350">
        <v>14.25</v>
      </c>
      <c r="AB729" s="349" t="s">
        <v>2685</v>
      </c>
      <c r="AC729" s="350">
        <v>10</v>
      </c>
      <c r="AD729" s="349" t="s">
        <v>2685</v>
      </c>
      <c r="AE729" s="364">
        <v>0</v>
      </c>
      <c r="AF729" s="366">
        <v>0</v>
      </c>
      <c r="AG729" s="363">
        <v>0</v>
      </c>
      <c r="AH729" s="635" t="s">
        <v>408</v>
      </c>
      <c r="AI729" s="324"/>
      <c r="AL729" s="487" t="s">
        <v>15022</v>
      </c>
      <c r="AM729" s="477" t="s">
        <v>71</v>
      </c>
      <c r="AN729" s="637">
        <v>100</v>
      </c>
      <c r="AO729" s="478">
        <v>-1306</v>
      </c>
      <c r="AP729" s="463">
        <v>-660</v>
      </c>
      <c r="AQ729" s="479">
        <v>-646</v>
      </c>
      <c r="AR729" s="476" t="s">
        <v>16982</v>
      </c>
      <c r="BA729" s="313" t="s">
        <v>4200</v>
      </c>
    </row>
    <row r="730" spans="2:53" ht="16.5" customHeight="1">
      <c r="B730" s="367" t="s">
        <v>9955</v>
      </c>
      <c r="C730" s="351" t="s">
        <v>9956</v>
      </c>
      <c r="D730" s="353">
        <v>-1307</v>
      </c>
      <c r="E730" s="352" t="s">
        <v>9949</v>
      </c>
      <c r="F730" s="341">
        <v>88.48</v>
      </c>
      <c r="G730" s="355" t="s">
        <v>4285</v>
      </c>
      <c r="H730" s="356" t="s">
        <v>4036</v>
      </c>
      <c r="I730" s="354" t="s">
        <v>9336</v>
      </c>
      <c r="J730" s="340" t="s">
        <v>9958</v>
      </c>
      <c r="K730" s="339" t="s">
        <v>71</v>
      </c>
      <c r="L730" s="357">
        <v>9</v>
      </c>
      <c r="M730" s="358" t="s">
        <v>9959</v>
      </c>
      <c r="N730" s="359">
        <v>700</v>
      </c>
      <c r="O730" s="360" t="s">
        <v>532</v>
      </c>
      <c r="P730" s="343" t="s">
        <v>533</v>
      </c>
      <c r="Q730" s="342" t="s">
        <v>2688</v>
      </c>
      <c r="R730" s="344">
        <v>30</v>
      </c>
      <c r="S730" s="345">
        <v>30</v>
      </c>
      <c r="T730" s="362">
        <v>20</v>
      </c>
      <c r="U730" s="361">
        <v>88.48</v>
      </c>
      <c r="V730" s="346">
        <v>124.33966097874149</v>
      </c>
      <c r="W730" s="348">
        <v>122.63266198249298</v>
      </c>
      <c r="X730" s="347">
        <v>62.7</v>
      </c>
      <c r="Y730" s="357">
        <v>65.56</v>
      </c>
      <c r="Z730" s="365" t="s">
        <v>3017</v>
      </c>
      <c r="AA730" s="350">
        <v>138</v>
      </c>
      <c r="AB730" s="349" t="s">
        <v>2685</v>
      </c>
      <c r="AC730" s="350">
        <v>10</v>
      </c>
      <c r="AD730" s="349" t="s">
        <v>2685</v>
      </c>
      <c r="AE730" s="364">
        <v>0</v>
      </c>
      <c r="AF730" s="366">
        <v>0</v>
      </c>
      <c r="AG730" s="363">
        <v>0</v>
      </c>
      <c r="AH730" s="635" t="s">
        <v>408</v>
      </c>
      <c r="AI730" s="324"/>
      <c r="AL730" s="487" t="s">
        <v>15024</v>
      </c>
      <c r="AM730" s="477" t="s">
        <v>71</v>
      </c>
      <c r="AN730" s="637">
        <v>100</v>
      </c>
      <c r="AO730" s="478">
        <v>-1307</v>
      </c>
      <c r="AP730" s="463">
        <v>-660</v>
      </c>
      <c r="AQ730" s="479">
        <v>-647</v>
      </c>
      <c r="AR730" s="476" t="s">
        <v>15066</v>
      </c>
      <c r="BA730" s="313" t="s">
        <v>4201</v>
      </c>
    </row>
    <row r="731" spans="2:53" ht="16.5" customHeight="1">
      <c r="B731" s="367" t="s">
        <v>9955</v>
      </c>
      <c r="C731" s="351" t="s">
        <v>9956</v>
      </c>
      <c r="D731" s="353">
        <v>-1308</v>
      </c>
      <c r="E731" s="352" t="s">
        <v>9951</v>
      </c>
      <c r="F731" s="341">
        <v>88.47</v>
      </c>
      <c r="G731" s="355" t="s">
        <v>4285</v>
      </c>
      <c r="H731" s="356" t="s">
        <v>4036</v>
      </c>
      <c r="I731" s="354" t="s">
        <v>233</v>
      </c>
      <c r="J731" s="340" t="s">
        <v>9963</v>
      </c>
      <c r="K731" s="339" t="s">
        <v>71</v>
      </c>
      <c r="L731" s="357">
        <v>15</v>
      </c>
      <c r="M731" s="358" t="s">
        <v>9964</v>
      </c>
      <c r="N731" s="359">
        <v>1000</v>
      </c>
      <c r="O731" s="360" t="s">
        <v>530</v>
      </c>
      <c r="P731" s="343" t="s">
        <v>531</v>
      </c>
      <c r="Q731" s="342" t="s">
        <v>2688</v>
      </c>
      <c r="R731" s="344">
        <v>35</v>
      </c>
      <c r="S731" s="345">
        <v>25</v>
      </c>
      <c r="T731" s="362">
        <v>25</v>
      </c>
      <c r="U731" s="361">
        <v>88.47</v>
      </c>
      <c r="V731" s="346">
        <v>124.33901472676983</v>
      </c>
      <c r="W731" s="348">
        <v>122.63212977498692</v>
      </c>
      <c r="X731" s="347">
        <v>62.7</v>
      </c>
      <c r="Y731" s="357">
        <v>63.26</v>
      </c>
      <c r="Z731" s="365" t="s">
        <v>3017</v>
      </c>
      <c r="AA731" s="350">
        <v>149.25</v>
      </c>
      <c r="AB731" s="349" t="s">
        <v>2685</v>
      </c>
      <c r="AC731" s="350">
        <v>0</v>
      </c>
      <c r="AD731" s="349" t="s">
        <v>2685</v>
      </c>
      <c r="AE731" s="364">
        <v>0</v>
      </c>
      <c r="AF731" s="366">
        <v>0</v>
      </c>
      <c r="AG731" s="363">
        <v>0</v>
      </c>
      <c r="AH731" s="635" t="s">
        <v>408</v>
      </c>
      <c r="AI731" s="324"/>
      <c r="AL731" s="487" t="s">
        <v>15025</v>
      </c>
      <c r="AM731" s="477" t="s">
        <v>71</v>
      </c>
      <c r="AN731" s="637">
        <v>100</v>
      </c>
      <c r="AO731" s="478">
        <v>-1308</v>
      </c>
      <c r="AP731" s="463">
        <v>-660</v>
      </c>
      <c r="AQ731" s="479">
        <v>-648</v>
      </c>
      <c r="AR731" s="476" t="s">
        <v>15066</v>
      </c>
      <c r="BA731" s="313" t="s">
        <v>4204</v>
      </c>
    </row>
    <row r="732" spans="2:53" ht="16.5" customHeight="1">
      <c r="B732" s="367" t="s">
        <v>4108</v>
      </c>
      <c r="C732" s="351" t="s">
        <v>4109</v>
      </c>
      <c r="D732" s="353">
        <v>-1309</v>
      </c>
      <c r="E732" s="352" t="s">
        <v>9957</v>
      </c>
      <c r="F732" s="341">
        <v>88.46</v>
      </c>
      <c r="G732" s="355" t="s">
        <v>10344</v>
      </c>
      <c r="H732" s="356" t="s">
        <v>3995</v>
      </c>
      <c r="I732" s="354" t="s">
        <v>233</v>
      </c>
      <c r="J732" s="340" t="s">
        <v>9966</v>
      </c>
      <c r="K732" s="339" t="s">
        <v>71</v>
      </c>
      <c r="L732" s="357">
        <v>8</v>
      </c>
      <c r="M732" s="358" t="s">
        <v>9967</v>
      </c>
      <c r="N732" s="359">
        <v>1000</v>
      </c>
      <c r="O732" s="360" t="s">
        <v>530</v>
      </c>
      <c r="P732" s="343" t="s">
        <v>531</v>
      </c>
      <c r="Q732" s="342" t="s">
        <v>2688</v>
      </c>
      <c r="R732" s="344">
        <v>35</v>
      </c>
      <c r="S732" s="345">
        <v>25</v>
      </c>
      <c r="T732" s="362">
        <v>25</v>
      </c>
      <c r="U732" s="361">
        <v>88.46</v>
      </c>
      <c r="V732" s="346">
        <v>124.32961052552892</v>
      </c>
      <c r="W732" s="348">
        <v>122.62438513867087</v>
      </c>
      <c r="X732" s="347">
        <v>62.7</v>
      </c>
      <c r="Y732" s="357">
        <v>63.26</v>
      </c>
      <c r="Z732" s="365" t="s">
        <v>3017</v>
      </c>
      <c r="AA732" s="350">
        <v>149.25</v>
      </c>
      <c r="AB732" s="349" t="s">
        <v>2685</v>
      </c>
      <c r="AC732" s="350">
        <v>0</v>
      </c>
      <c r="AD732" s="349" t="s">
        <v>2685</v>
      </c>
      <c r="AE732" s="364">
        <v>0</v>
      </c>
      <c r="AF732" s="366">
        <v>0</v>
      </c>
      <c r="AG732" s="363">
        <v>0</v>
      </c>
      <c r="AH732" s="635" t="s">
        <v>408</v>
      </c>
      <c r="AI732" s="324"/>
      <c r="AL732" s="487" t="s">
        <v>15026</v>
      </c>
      <c r="AM732" s="477" t="s">
        <v>71</v>
      </c>
      <c r="AN732" s="637">
        <v>100</v>
      </c>
      <c r="AO732" s="478">
        <v>-1309</v>
      </c>
      <c r="AP732" s="463">
        <v>-661</v>
      </c>
      <c r="AQ732" s="479">
        <v>-648</v>
      </c>
      <c r="AR732" s="476" t="s">
        <v>16983</v>
      </c>
      <c r="BA732" s="313" t="s">
        <v>4207</v>
      </c>
    </row>
    <row r="733" spans="2:53" ht="16.5" customHeight="1">
      <c r="B733" s="367" t="s">
        <v>4111</v>
      </c>
      <c r="C733" s="351" t="s">
        <v>4112</v>
      </c>
      <c r="D733" s="353">
        <v>-1310</v>
      </c>
      <c r="E733" s="352" t="s">
        <v>9915</v>
      </c>
      <c r="F733" s="341">
        <v>88.45</v>
      </c>
      <c r="G733" s="355" t="s">
        <v>9973</v>
      </c>
      <c r="H733" s="356" t="s">
        <v>18577</v>
      </c>
      <c r="I733" s="354" t="s">
        <v>9189</v>
      </c>
      <c r="J733" s="340" t="s">
        <v>9888</v>
      </c>
      <c r="K733" s="339" t="s">
        <v>70</v>
      </c>
      <c r="L733" s="357">
        <v>7</v>
      </c>
      <c r="M733" s="358" t="s">
        <v>9889</v>
      </c>
      <c r="N733" s="359">
        <v>1000</v>
      </c>
      <c r="O733" s="360" t="s">
        <v>532</v>
      </c>
      <c r="P733" s="343" t="s">
        <v>532</v>
      </c>
      <c r="Q733" s="342" t="s">
        <v>2688</v>
      </c>
      <c r="R733" s="344">
        <v>20</v>
      </c>
      <c r="S733" s="345">
        <v>35</v>
      </c>
      <c r="T733" s="362">
        <v>25</v>
      </c>
      <c r="U733" s="361">
        <v>88.45</v>
      </c>
      <c r="V733" s="346">
        <v>124.31826287263566</v>
      </c>
      <c r="W733" s="348">
        <v>122.61504001275877</v>
      </c>
      <c r="X733" s="347" t="s">
        <v>18626</v>
      </c>
      <c r="Y733" s="357" t="s">
        <v>408</v>
      </c>
      <c r="Z733" s="365" t="s">
        <v>3017</v>
      </c>
      <c r="AA733" s="350">
        <v>195.56</v>
      </c>
      <c r="AB733" s="349" t="s">
        <v>2685</v>
      </c>
      <c r="AC733" s="350">
        <v>0</v>
      </c>
      <c r="AD733" s="349" t="s">
        <v>2685</v>
      </c>
      <c r="AE733" s="364">
        <v>0</v>
      </c>
      <c r="AF733" s="366">
        <v>15.782</v>
      </c>
      <c r="AG733" s="363">
        <v>0</v>
      </c>
      <c r="AH733" s="635" t="s">
        <v>9517</v>
      </c>
      <c r="AI733" s="324"/>
      <c r="AL733" s="487" t="s">
        <v>14994</v>
      </c>
      <c r="AM733" s="477" t="s">
        <v>70</v>
      </c>
      <c r="AN733" s="637">
        <v>100</v>
      </c>
      <c r="AO733" s="478">
        <v>-1310</v>
      </c>
      <c r="AP733" s="463">
        <v>-1310</v>
      </c>
      <c r="AQ733" s="479">
        <v>0</v>
      </c>
      <c r="AR733" s="476" t="s">
        <v>17215</v>
      </c>
      <c r="BA733" s="313" t="s">
        <v>4209</v>
      </c>
    </row>
    <row r="734" spans="2:53" ht="16.5" customHeight="1">
      <c r="B734" s="367" t="s">
        <v>4108</v>
      </c>
      <c r="C734" s="351" t="s">
        <v>4109</v>
      </c>
      <c r="D734" s="353">
        <v>-1311</v>
      </c>
      <c r="E734" s="352" t="s">
        <v>9962</v>
      </c>
      <c r="F734" s="341">
        <v>88.45</v>
      </c>
      <c r="G734" s="355" t="s">
        <v>10415</v>
      </c>
      <c r="H734" s="356" t="s">
        <v>9520</v>
      </c>
      <c r="I734" s="354" t="s">
        <v>9336</v>
      </c>
      <c r="J734" s="340" t="s">
        <v>9411</v>
      </c>
      <c r="K734" s="339" t="s">
        <v>71</v>
      </c>
      <c r="L734" s="357">
        <v>19</v>
      </c>
      <c r="M734" s="358" t="s">
        <v>7053</v>
      </c>
      <c r="N734" s="359">
        <v>700</v>
      </c>
      <c r="O734" s="360" t="s">
        <v>532</v>
      </c>
      <c r="P734" s="343" t="s">
        <v>533</v>
      </c>
      <c r="Q734" s="342" t="s">
        <v>2688</v>
      </c>
      <c r="R734" s="344">
        <v>30</v>
      </c>
      <c r="S734" s="345">
        <v>35</v>
      </c>
      <c r="T734" s="362">
        <v>20</v>
      </c>
      <c r="U734" s="361">
        <v>88.45</v>
      </c>
      <c r="V734" s="346">
        <v>124.32322989849067</v>
      </c>
      <c r="W734" s="348">
        <v>122.61913050463936</v>
      </c>
      <c r="X734" s="347">
        <v>62.69</v>
      </c>
      <c r="Y734" s="357">
        <v>65.550000000000011</v>
      </c>
      <c r="Z734" s="365" t="s">
        <v>3017</v>
      </c>
      <c r="AA734" s="350">
        <v>103.5</v>
      </c>
      <c r="AB734" s="349" t="s">
        <v>2685</v>
      </c>
      <c r="AC734" s="350">
        <v>10</v>
      </c>
      <c r="AD734" s="349" t="s">
        <v>2685</v>
      </c>
      <c r="AE734" s="364">
        <v>0</v>
      </c>
      <c r="AF734" s="366">
        <v>0</v>
      </c>
      <c r="AG734" s="363">
        <v>0</v>
      </c>
      <c r="AH734" s="635" t="s">
        <v>408</v>
      </c>
      <c r="AI734" s="324"/>
      <c r="AL734" s="487" t="s">
        <v>15027</v>
      </c>
      <c r="AM734" s="477" t="s">
        <v>71</v>
      </c>
      <c r="AN734" s="637">
        <v>100</v>
      </c>
      <c r="AO734" s="478">
        <v>-1311</v>
      </c>
      <c r="AP734" s="463">
        <v>-662</v>
      </c>
      <c r="AQ734" s="479">
        <v>-649</v>
      </c>
      <c r="AR734" s="476" t="s">
        <v>16984</v>
      </c>
      <c r="BA734" s="313" t="s">
        <v>4211</v>
      </c>
    </row>
    <row r="735" spans="2:53" ht="16.5" customHeight="1">
      <c r="B735" s="367" t="s">
        <v>4108</v>
      </c>
      <c r="C735" s="351" t="s">
        <v>4109</v>
      </c>
      <c r="D735" s="353">
        <v>-1312</v>
      </c>
      <c r="E735" s="352" t="s">
        <v>9965</v>
      </c>
      <c r="F735" s="341">
        <v>88.45</v>
      </c>
      <c r="G735" s="355" t="s">
        <v>10415</v>
      </c>
      <c r="H735" s="356" t="s">
        <v>9520</v>
      </c>
      <c r="I735" s="354" t="s">
        <v>9336</v>
      </c>
      <c r="J735" s="340" t="s">
        <v>491</v>
      </c>
      <c r="K735" s="339" t="s">
        <v>71</v>
      </c>
      <c r="L735" s="357">
        <v>25</v>
      </c>
      <c r="M735" s="358" t="s">
        <v>7053</v>
      </c>
      <c r="N735" s="359">
        <v>700</v>
      </c>
      <c r="O735" s="360" t="s">
        <v>532</v>
      </c>
      <c r="P735" s="343" t="s">
        <v>533</v>
      </c>
      <c r="Q735" s="342" t="s">
        <v>2688</v>
      </c>
      <c r="R735" s="344">
        <v>30</v>
      </c>
      <c r="S735" s="345">
        <v>35</v>
      </c>
      <c r="T735" s="362">
        <v>20</v>
      </c>
      <c r="U735" s="361">
        <v>88.45</v>
      </c>
      <c r="V735" s="346">
        <v>124.32322989849067</v>
      </c>
      <c r="W735" s="348">
        <v>122.61913050463936</v>
      </c>
      <c r="X735" s="347">
        <v>62.69</v>
      </c>
      <c r="Y735" s="357">
        <v>65.550000000000011</v>
      </c>
      <c r="Z735" s="365" t="s">
        <v>3017</v>
      </c>
      <c r="AA735" s="350">
        <v>103.5</v>
      </c>
      <c r="AB735" s="349" t="s">
        <v>2685</v>
      </c>
      <c r="AC735" s="350">
        <v>10</v>
      </c>
      <c r="AD735" s="349" t="s">
        <v>2685</v>
      </c>
      <c r="AE735" s="364">
        <v>0</v>
      </c>
      <c r="AF735" s="366">
        <v>0</v>
      </c>
      <c r="AG735" s="363">
        <v>0</v>
      </c>
      <c r="AH735" s="635" t="s">
        <v>408</v>
      </c>
      <c r="AI735" s="324"/>
      <c r="AL735" s="487" t="s">
        <v>15028</v>
      </c>
      <c r="AM735" s="477" t="s">
        <v>71</v>
      </c>
      <c r="AN735" s="637">
        <v>100</v>
      </c>
      <c r="AO735" s="478">
        <v>-1312</v>
      </c>
      <c r="AP735" s="463">
        <v>-662</v>
      </c>
      <c r="AQ735" s="479">
        <v>-650</v>
      </c>
      <c r="AR735" s="476" t="s">
        <v>16984</v>
      </c>
      <c r="BA735" s="313" t="s">
        <v>4213</v>
      </c>
    </row>
    <row r="736" spans="2:53" ht="16.5" customHeight="1">
      <c r="B736" s="367" t="s">
        <v>4111</v>
      </c>
      <c r="C736" s="351" t="s">
        <v>4112</v>
      </c>
      <c r="D736" s="353">
        <v>-1313</v>
      </c>
      <c r="E736" s="352" t="s">
        <v>9968</v>
      </c>
      <c r="F736" s="341">
        <v>88.44</v>
      </c>
      <c r="G736" s="355" t="s">
        <v>9969</v>
      </c>
      <c r="H736" s="356" t="s">
        <v>9970</v>
      </c>
      <c r="I736" s="354" t="s">
        <v>221</v>
      </c>
      <c r="J736" s="340" t="s">
        <v>9971</v>
      </c>
      <c r="K736" s="339" t="s">
        <v>70</v>
      </c>
      <c r="L736" s="357">
        <v>17</v>
      </c>
      <c r="M736" s="358" t="s">
        <v>9972</v>
      </c>
      <c r="N736" s="359">
        <v>1000</v>
      </c>
      <c r="O736" s="360" t="s">
        <v>532</v>
      </c>
      <c r="P736" s="343" t="s">
        <v>533</v>
      </c>
      <c r="Q736" s="342" t="s">
        <v>2688</v>
      </c>
      <c r="R736" s="344">
        <v>20</v>
      </c>
      <c r="S736" s="345">
        <v>35</v>
      </c>
      <c r="T736" s="362">
        <v>30</v>
      </c>
      <c r="U736" s="361">
        <v>88.44</v>
      </c>
      <c r="V736" s="346">
        <v>124.31190833811867</v>
      </c>
      <c r="W736" s="348">
        <v>122.60980686668596</v>
      </c>
      <c r="X736" s="347">
        <v>62.46</v>
      </c>
      <c r="Y736" s="357">
        <v>63.29</v>
      </c>
      <c r="Z736" s="365" t="s">
        <v>3017</v>
      </c>
      <c r="AA736" s="350">
        <v>144</v>
      </c>
      <c r="AB736" s="349" t="s">
        <v>2685</v>
      </c>
      <c r="AC736" s="350">
        <v>0</v>
      </c>
      <c r="AD736" s="349" t="s">
        <v>2685</v>
      </c>
      <c r="AE736" s="364">
        <v>0</v>
      </c>
      <c r="AF736" s="366">
        <v>17.326000000000001</v>
      </c>
      <c r="AG736" s="363">
        <v>0</v>
      </c>
      <c r="AH736" s="635" t="s">
        <v>7882</v>
      </c>
      <c r="AI736" s="324"/>
      <c r="AL736" s="487" t="s">
        <v>15029</v>
      </c>
      <c r="AM736" s="477" t="s">
        <v>70</v>
      </c>
      <c r="AN736" s="637">
        <v>100</v>
      </c>
      <c r="AO736" s="478">
        <v>-1313</v>
      </c>
      <c r="AP736" s="463">
        <v>-1313</v>
      </c>
      <c r="AQ736" s="479">
        <v>0</v>
      </c>
      <c r="AR736" s="476" t="s">
        <v>15030</v>
      </c>
      <c r="BA736" s="313" t="s">
        <v>4214</v>
      </c>
    </row>
    <row r="737" spans="2:53" ht="16.5" customHeight="1">
      <c r="B737" s="367" t="s">
        <v>4111</v>
      </c>
      <c r="C737" s="351" t="s">
        <v>4112</v>
      </c>
      <c r="D737" s="353">
        <v>-1314</v>
      </c>
      <c r="E737" s="352" t="s">
        <v>9968</v>
      </c>
      <c r="F737" s="341">
        <v>88.44</v>
      </c>
      <c r="G737" s="355" t="s">
        <v>9935</v>
      </c>
      <c r="H737" s="356" t="s">
        <v>9539</v>
      </c>
      <c r="I737" s="354" t="s">
        <v>233</v>
      </c>
      <c r="J737" s="340" t="s">
        <v>8772</v>
      </c>
      <c r="K737" s="339" t="s">
        <v>71</v>
      </c>
      <c r="L737" s="357">
        <v>13</v>
      </c>
      <c r="M737" s="358" t="s">
        <v>9974</v>
      </c>
      <c r="N737" s="359">
        <v>1000</v>
      </c>
      <c r="O737" s="360" t="s">
        <v>530</v>
      </c>
      <c r="P737" s="343" t="s">
        <v>531</v>
      </c>
      <c r="Q737" s="342" t="s">
        <v>2688</v>
      </c>
      <c r="R737" s="344">
        <v>35</v>
      </c>
      <c r="S737" s="345">
        <v>25</v>
      </c>
      <c r="T737" s="362">
        <v>25</v>
      </c>
      <c r="U737" s="361">
        <v>88.44</v>
      </c>
      <c r="V737" s="346">
        <v>124.3135979666592</v>
      </c>
      <c r="W737" s="348">
        <v>122.61119832548404</v>
      </c>
      <c r="X737" s="347">
        <v>62.69</v>
      </c>
      <c r="Y737" s="357">
        <v>63.25</v>
      </c>
      <c r="Z737" s="365" t="s">
        <v>3017</v>
      </c>
      <c r="AA737" s="350">
        <v>149.25</v>
      </c>
      <c r="AB737" s="349" t="s">
        <v>2685</v>
      </c>
      <c r="AC737" s="350">
        <v>0</v>
      </c>
      <c r="AD737" s="349" t="s">
        <v>2685</v>
      </c>
      <c r="AE737" s="364">
        <v>0</v>
      </c>
      <c r="AF737" s="366">
        <v>0</v>
      </c>
      <c r="AG737" s="363">
        <v>0</v>
      </c>
      <c r="AH737" s="635" t="s">
        <v>408</v>
      </c>
      <c r="AI737" s="324"/>
      <c r="AL737" s="487" t="s">
        <v>15031</v>
      </c>
      <c r="AM737" s="477" t="s">
        <v>71</v>
      </c>
      <c r="AN737" s="637">
        <v>100</v>
      </c>
      <c r="AO737" s="478">
        <v>-1314</v>
      </c>
      <c r="AP737" s="463">
        <v>-663</v>
      </c>
      <c r="AQ737" s="479">
        <v>-651</v>
      </c>
      <c r="AR737" s="476" t="s">
        <v>16985</v>
      </c>
      <c r="BA737" s="313" t="s">
        <v>4215</v>
      </c>
    </row>
    <row r="738" spans="2:53" ht="16.5" customHeight="1">
      <c r="B738" s="367" t="s">
        <v>4115</v>
      </c>
      <c r="C738" s="351" t="s">
        <v>4116</v>
      </c>
      <c r="D738" s="353">
        <v>-1315</v>
      </c>
      <c r="E738" s="352" t="s">
        <v>408</v>
      </c>
      <c r="F738" s="341">
        <v>88.43</v>
      </c>
      <c r="G738" s="355" t="s">
        <v>9977</v>
      </c>
      <c r="H738" s="356" t="s">
        <v>9978</v>
      </c>
      <c r="I738" s="354" t="s">
        <v>417</v>
      </c>
      <c r="J738" s="340" t="s">
        <v>8640</v>
      </c>
      <c r="K738" s="339" t="s">
        <v>70</v>
      </c>
      <c r="L738" s="357">
        <v>21</v>
      </c>
      <c r="M738" s="358" t="s">
        <v>9979</v>
      </c>
      <c r="N738" s="359">
        <v>200</v>
      </c>
      <c r="O738" s="360" t="s">
        <v>530</v>
      </c>
      <c r="P738" s="343" t="s">
        <v>530</v>
      </c>
      <c r="Q738" s="342" t="s">
        <v>2688</v>
      </c>
      <c r="R738" s="344">
        <v>20</v>
      </c>
      <c r="S738" s="345">
        <v>35</v>
      </c>
      <c r="T738" s="362">
        <v>30</v>
      </c>
      <c r="U738" s="361">
        <v>88.43</v>
      </c>
      <c r="V738" s="346">
        <v>124.30821169987713</v>
      </c>
      <c r="W738" s="348">
        <v>122.60676257636939</v>
      </c>
      <c r="X738" s="347">
        <v>62.46</v>
      </c>
      <c r="Y738" s="357" t="s">
        <v>408</v>
      </c>
      <c r="Z738" s="365" t="s">
        <v>3017</v>
      </c>
      <c r="AA738" s="350">
        <v>14.25</v>
      </c>
      <c r="AB738" s="349" t="s">
        <v>2685</v>
      </c>
      <c r="AC738" s="350">
        <v>10</v>
      </c>
      <c r="AD738" s="349" t="s">
        <v>2685</v>
      </c>
      <c r="AE738" s="364">
        <v>0</v>
      </c>
      <c r="AF738" s="366">
        <v>0</v>
      </c>
      <c r="AG738" s="363">
        <v>0</v>
      </c>
      <c r="AH738" s="635" t="s">
        <v>408</v>
      </c>
      <c r="AI738" s="324"/>
      <c r="AL738" s="487" t="s">
        <v>15032</v>
      </c>
      <c r="AM738" s="477" t="s">
        <v>70</v>
      </c>
      <c r="AN738" s="637">
        <v>100</v>
      </c>
      <c r="AO738" s="478">
        <v>-1315</v>
      </c>
      <c r="AP738" s="463">
        <v>-1315</v>
      </c>
      <c r="AQ738" s="479">
        <v>0</v>
      </c>
      <c r="AR738" s="476" t="s">
        <v>15030</v>
      </c>
      <c r="BA738" s="313" t="s">
        <v>4217</v>
      </c>
    </row>
    <row r="739" spans="2:53" ht="16.5" customHeight="1">
      <c r="B739" s="367" t="s">
        <v>4115</v>
      </c>
      <c r="C739" s="351" t="s">
        <v>4116</v>
      </c>
      <c r="D739" s="353">
        <v>-1316</v>
      </c>
      <c r="E739" s="352" t="s">
        <v>9973</v>
      </c>
      <c r="F739" s="341">
        <v>88.43</v>
      </c>
      <c r="G739" s="355" t="s">
        <v>9977</v>
      </c>
      <c r="H739" s="356" t="s">
        <v>9978</v>
      </c>
      <c r="I739" s="354" t="s">
        <v>417</v>
      </c>
      <c r="J739" s="340" t="s">
        <v>9980</v>
      </c>
      <c r="K739" s="339" t="s">
        <v>70</v>
      </c>
      <c r="L739" s="357">
        <v>91</v>
      </c>
      <c r="M739" s="358" t="s">
        <v>9979</v>
      </c>
      <c r="N739" s="359">
        <v>200</v>
      </c>
      <c r="O739" s="360" t="s">
        <v>530</v>
      </c>
      <c r="P739" s="343" t="s">
        <v>530</v>
      </c>
      <c r="Q739" s="342" t="s">
        <v>2688</v>
      </c>
      <c r="R739" s="344">
        <v>20</v>
      </c>
      <c r="S739" s="345">
        <v>35</v>
      </c>
      <c r="T739" s="362">
        <v>30</v>
      </c>
      <c r="U739" s="361">
        <v>88.43</v>
      </c>
      <c r="V739" s="346">
        <v>124.30821169987713</v>
      </c>
      <c r="W739" s="348">
        <v>122.60676257636939</v>
      </c>
      <c r="X739" s="347">
        <v>62.46</v>
      </c>
      <c r="Y739" s="357" t="s">
        <v>408</v>
      </c>
      <c r="Z739" s="365" t="s">
        <v>3017</v>
      </c>
      <c r="AA739" s="350">
        <v>14.25</v>
      </c>
      <c r="AB739" s="349" t="s">
        <v>2685</v>
      </c>
      <c r="AC739" s="350">
        <v>10</v>
      </c>
      <c r="AD739" s="349" t="s">
        <v>2685</v>
      </c>
      <c r="AE739" s="364">
        <v>0</v>
      </c>
      <c r="AF739" s="366">
        <v>0</v>
      </c>
      <c r="AG739" s="363">
        <v>0</v>
      </c>
      <c r="AH739" s="635" t="s">
        <v>408</v>
      </c>
      <c r="AI739" s="324"/>
      <c r="AL739" s="487" t="s">
        <v>15033</v>
      </c>
      <c r="AM739" s="477" t="s">
        <v>70</v>
      </c>
      <c r="AN739" s="637">
        <v>100</v>
      </c>
      <c r="AO739" s="478">
        <v>-1316</v>
      </c>
      <c r="AP739" s="463">
        <v>-1316</v>
      </c>
      <c r="AQ739" s="479">
        <v>0</v>
      </c>
      <c r="AR739" s="476" t="s">
        <v>15030</v>
      </c>
      <c r="BA739" s="313" t="s">
        <v>4218</v>
      </c>
    </row>
    <row r="740" spans="2:53" ht="16.5" customHeight="1">
      <c r="B740" s="367" t="s">
        <v>4111</v>
      </c>
      <c r="C740" s="351" t="s">
        <v>4112</v>
      </c>
      <c r="D740" s="353">
        <v>-1317</v>
      </c>
      <c r="E740" s="352" t="s">
        <v>9975</v>
      </c>
      <c r="F740" s="341">
        <v>88.43</v>
      </c>
      <c r="G740" s="355" t="s">
        <v>9910</v>
      </c>
      <c r="H740" s="356" t="s">
        <v>9539</v>
      </c>
      <c r="I740" s="354" t="s">
        <v>9336</v>
      </c>
      <c r="J740" s="340" t="s">
        <v>9982</v>
      </c>
      <c r="K740" s="339" t="s">
        <v>71</v>
      </c>
      <c r="L740" s="357">
        <v>8</v>
      </c>
      <c r="M740" s="358" t="s">
        <v>6868</v>
      </c>
      <c r="N740" s="359">
        <v>700</v>
      </c>
      <c r="O740" s="360" t="s">
        <v>532</v>
      </c>
      <c r="P740" s="343" t="s">
        <v>533</v>
      </c>
      <c r="Q740" s="342" t="s">
        <v>2688</v>
      </c>
      <c r="R740" s="344">
        <v>30</v>
      </c>
      <c r="S740" s="345">
        <v>30</v>
      </c>
      <c r="T740" s="362">
        <v>20</v>
      </c>
      <c r="U740" s="361">
        <v>88.43</v>
      </c>
      <c r="V740" s="346">
        <v>124.30966774657531</v>
      </c>
      <c r="W740" s="348">
        <v>122.60796167365027</v>
      </c>
      <c r="X740" s="347">
        <v>62.69</v>
      </c>
      <c r="Y740" s="357">
        <v>65.550000000000011</v>
      </c>
      <c r="Z740" s="365" t="s">
        <v>3017</v>
      </c>
      <c r="AA740" s="350">
        <v>138</v>
      </c>
      <c r="AB740" s="349" t="s">
        <v>2685</v>
      </c>
      <c r="AC740" s="350">
        <v>10</v>
      </c>
      <c r="AD740" s="349" t="s">
        <v>2685</v>
      </c>
      <c r="AE740" s="364">
        <v>0</v>
      </c>
      <c r="AF740" s="366">
        <v>0</v>
      </c>
      <c r="AG740" s="363">
        <v>0</v>
      </c>
      <c r="AH740" s="635" t="s">
        <v>408</v>
      </c>
      <c r="AI740" s="324"/>
      <c r="AL740" s="487" t="s">
        <v>15034</v>
      </c>
      <c r="AM740" s="477" t="s">
        <v>71</v>
      </c>
      <c r="AN740" s="637">
        <v>100</v>
      </c>
      <c r="AO740" s="478">
        <v>-1317</v>
      </c>
      <c r="AP740" s="463">
        <v>-665</v>
      </c>
      <c r="AQ740" s="479">
        <v>-652</v>
      </c>
      <c r="AR740" s="476" t="s">
        <v>16985</v>
      </c>
      <c r="BA740" s="313" t="s">
        <v>4220</v>
      </c>
    </row>
    <row r="741" spans="2:53" ht="16.5" customHeight="1">
      <c r="B741" s="367" t="s">
        <v>4111</v>
      </c>
      <c r="C741" s="351" t="s">
        <v>4112</v>
      </c>
      <c r="D741" s="353">
        <v>-1318</v>
      </c>
      <c r="E741" s="352" t="s">
        <v>408</v>
      </c>
      <c r="F741" s="341">
        <v>88.43</v>
      </c>
      <c r="G741" s="355" t="s">
        <v>9910</v>
      </c>
      <c r="H741" s="356" t="s">
        <v>9539</v>
      </c>
      <c r="I741" s="354" t="s">
        <v>9336</v>
      </c>
      <c r="J741" s="340" t="s">
        <v>9983</v>
      </c>
      <c r="K741" s="339" t="s">
        <v>71</v>
      </c>
      <c r="L741" s="357">
        <v>14</v>
      </c>
      <c r="M741" s="358" t="s">
        <v>6868</v>
      </c>
      <c r="N741" s="359">
        <v>700</v>
      </c>
      <c r="O741" s="360" t="s">
        <v>532</v>
      </c>
      <c r="P741" s="343" t="s">
        <v>533</v>
      </c>
      <c r="Q741" s="342" t="s">
        <v>2688</v>
      </c>
      <c r="R741" s="344">
        <v>30</v>
      </c>
      <c r="S741" s="345">
        <v>30</v>
      </c>
      <c r="T741" s="362">
        <v>20</v>
      </c>
      <c r="U741" s="361">
        <v>88.43</v>
      </c>
      <c r="V741" s="346">
        <v>124.30966774657531</v>
      </c>
      <c r="W741" s="348">
        <v>122.60796167365027</v>
      </c>
      <c r="X741" s="347">
        <v>62.69</v>
      </c>
      <c r="Y741" s="357">
        <v>65.550000000000011</v>
      </c>
      <c r="Z741" s="365" t="s">
        <v>3017</v>
      </c>
      <c r="AA741" s="350">
        <v>138</v>
      </c>
      <c r="AB741" s="349" t="s">
        <v>2685</v>
      </c>
      <c r="AC741" s="350">
        <v>10</v>
      </c>
      <c r="AD741" s="349" t="s">
        <v>2685</v>
      </c>
      <c r="AE741" s="364">
        <v>0</v>
      </c>
      <c r="AF741" s="366">
        <v>0</v>
      </c>
      <c r="AG741" s="363">
        <v>0</v>
      </c>
      <c r="AH741" s="635" t="s">
        <v>408</v>
      </c>
      <c r="AI741" s="324"/>
      <c r="AL741" s="487" t="s">
        <v>15035</v>
      </c>
      <c r="AM741" s="477" t="s">
        <v>71</v>
      </c>
      <c r="AN741" s="637">
        <v>100</v>
      </c>
      <c r="AO741" s="478">
        <v>-1318</v>
      </c>
      <c r="AP741" s="463">
        <v>-665</v>
      </c>
      <c r="AQ741" s="479">
        <v>-653</v>
      </c>
      <c r="AR741" s="476" t="s">
        <v>16985</v>
      </c>
      <c r="BA741" s="313" t="s">
        <v>4221</v>
      </c>
    </row>
    <row r="742" spans="2:53" ht="16.5" customHeight="1">
      <c r="B742" s="367" t="s">
        <v>4115</v>
      </c>
      <c r="C742" s="351" t="s">
        <v>4116</v>
      </c>
      <c r="D742" s="353">
        <v>-1319</v>
      </c>
      <c r="E742" s="352" t="s">
        <v>408</v>
      </c>
      <c r="F742" s="341">
        <v>88.42</v>
      </c>
      <c r="G742" s="355" t="s">
        <v>9984</v>
      </c>
      <c r="H742" s="356" t="s">
        <v>9985</v>
      </c>
      <c r="I742" s="354" t="s">
        <v>254</v>
      </c>
      <c r="J742" s="340" t="s">
        <v>9986</v>
      </c>
      <c r="K742" s="339" t="s">
        <v>70</v>
      </c>
      <c r="L742" s="357">
        <v>12</v>
      </c>
      <c r="M742" s="358" t="s">
        <v>9987</v>
      </c>
      <c r="N742" s="359">
        <v>1000</v>
      </c>
      <c r="O742" s="360" t="s">
        <v>532</v>
      </c>
      <c r="P742" s="343" t="s">
        <v>533</v>
      </c>
      <c r="Q742" s="342" t="s">
        <v>2688</v>
      </c>
      <c r="R742" s="344">
        <v>25</v>
      </c>
      <c r="S742" s="345">
        <v>35</v>
      </c>
      <c r="T742" s="362">
        <v>20</v>
      </c>
      <c r="U742" s="361">
        <v>88.42</v>
      </c>
      <c r="V742" s="346">
        <v>124.29879366068155</v>
      </c>
      <c r="W742" s="348">
        <v>122.5990065440907</v>
      </c>
      <c r="X742" s="347">
        <v>62.46</v>
      </c>
      <c r="Y742" s="357">
        <v>63.239999999999995</v>
      </c>
      <c r="Z742" s="365" t="s">
        <v>3017</v>
      </c>
      <c r="AA742" s="350">
        <v>196</v>
      </c>
      <c r="AB742" s="349" t="s">
        <v>2685</v>
      </c>
      <c r="AC742" s="350">
        <v>3</v>
      </c>
      <c r="AD742" s="349" t="s">
        <v>2685</v>
      </c>
      <c r="AE742" s="364">
        <v>0</v>
      </c>
      <c r="AF742" s="366">
        <v>0</v>
      </c>
      <c r="AG742" s="363">
        <v>0</v>
      </c>
      <c r="AH742" s="635" t="s">
        <v>408</v>
      </c>
      <c r="AI742" s="324"/>
      <c r="AL742" s="487" t="s">
        <v>15036</v>
      </c>
      <c r="AM742" s="477" t="s">
        <v>70</v>
      </c>
      <c r="AN742" s="637">
        <v>100</v>
      </c>
      <c r="AO742" s="478">
        <v>-1319</v>
      </c>
      <c r="AP742" s="463">
        <v>-1319</v>
      </c>
      <c r="AQ742" s="479">
        <v>0</v>
      </c>
      <c r="AR742" s="476" t="s">
        <v>15037</v>
      </c>
      <c r="BA742" s="313" t="s">
        <v>4225</v>
      </c>
    </row>
    <row r="743" spans="2:53" ht="16.5" customHeight="1">
      <c r="B743" s="367" t="s">
        <v>4115</v>
      </c>
      <c r="C743" s="351" t="s">
        <v>4116</v>
      </c>
      <c r="D743" s="353">
        <v>-1320</v>
      </c>
      <c r="E743" s="352" t="s">
        <v>4315</v>
      </c>
      <c r="F743" s="341">
        <v>88.41</v>
      </c>
      <c r="G743" s="355" t="s">
        <v>4287</v>
      </c>
      <c r="H743" s="356" t="s">
        <v>18627</v>
      </c>
      <c r="I743" s="354" t="s">
        <v>82</v>
      </c>
      <c r="J743" s="340" t="s">
        <v>9990</v>
      </c>
      <c r="K743" s="339" t="s">
        <v>71</v>
      </c>
      <c r="L743" s="357">
        <v>22</v>
      </c>
      <c r="M743" s="358" t="s">
        <v>3785</v>
      </c>
      <c r="N743" s="359">
        <v>800</v>
      </c>
      <c r="O743" s="360" t="s">
        <v>530</v>
      </c>
      <c r="P743" s="343" t="s">
        <v>531</v>
      </c>
      <c r="Q743" s="342" t="s">
        <v>2688</v>
      </c>
      <c r="R743" s="344">
        <v>35</v>
      </c>
      <c r="S743" s="345">
        <v>20</v>
      </c>
      <c r="T743" s="362">
        <v>30</v>
      </c>
      <c r="U743" s="361">
        <v>88.41</v>
      </c>
      <c r="V743" s="346">
        <v>124.28969574518656</v>
      </c>
      <c r="W743" s="348">
        <v>122.59151414309481</v>
      </c>
      <c r="X743" s="347">
        <v>62.68</v>
      </c>
      <c r="Y743" s="357">
        <v>63.239999999999995</v>
      </c>
      <c r="Z743" s="365" t="s">
        <v>3017</v>
      </c>
      <c r="AA743" s="350">
        <v>117.6</v>
      </c>
      <c r="AB743" s="349" t="s">
        <v>2685</v>
      </c>
      <c r="AC743" s="350">
        <v>0</v>
      </c>
      <c r="AD743" s="349" t="s">
        <v>2685</v>
      </c>
      <c r="AE743" s="364">
        <v>0</v>
      </c>
      <c r="AF743" s="366">
        <v>9.6</v>
      </c>
      <c r="AG743" s="363">
        <v>0</v>
      </c>
      <c r="AH743" s="635" t="s">
        <v>7879</v>
      </c>
      <c r="AI743" s="324"/>
      <c r="AL743" s="487" t="s">
        <v>15038</v>
      </c>
      <c r="AM743" s="477" t="s">
        <v>71</v>
      </c>
      <c r="AN743" s="637">
        <v>100</v>
      </c>
      <c r="AO743" s="478">
        <v>-1320</v>
      </c>
      <c r="AP743" s="463">
        <v>-666</v>
      </c>
      <c r="AQ743" s="479">
        <v>-654</v>
      </c>
      <c r="AR743" s="476" t="s">
        <v>17216</v>
      </c>
      <c r="BA743" s="313" t="s">
        <v>4229</v>
      </c>
    </row>
    <row r="744" spans="2:53" ht="16.5" customHeight="1">
      <c r="B744" s="367" t="s">
        <v>9991</v>
      </c>
      <c r="C744" s="351" t="s">
        <v>9992</v>
      </c>
      <c r="D744" s="353">
        <v>-1321</v>
      </c>
      <c r="E744" s="352" t="s">
        <v>4315</v>
      </c>
      <c r="F744" s="341">
        <v>88.38</v>
      </c>
      <c r="G744" s="355" t="s">
        <v>9993</v>
      </c>
      <c r="H744" s="356" t="s">
        <v>3996</v>
      </c>
      <c r="I744" s="354" t="s">
        <v>236</v>
      </c>
      <c r="J744" s="340" t="s">
        <v>9090</v>
      </c>
      <c r="K744" s="339" t="s">
        <v>70</v>
      </c>
      <c r="L744" s="357">
        <v>16</v>
      </c>
      <c r="M744" s="358" t="s">
        <v>9994</v>
      </c>
      <c r="N744" s="359">
        <v>1000</v>
      </c>
      <c r="O744" s="360" t="s">
        <v>532</v>
      </c>
      <c r="P744" s="343" t="s">
        <v>533</v>
      </c>
      <c r="Q744" s="342" t="s">
        <v>2688</v>
      </c>
      <c r="R744" s="344">
        <v>20</v>
      </c>
      <c r="S744" s="345">
        <v>35</v>
      </c>
      <c r="T744" s="362">
        <v>25</v>
      </c>
      <c r="U744" s="361">
        <v>88.38</v>
      </c>
      <c r="V744" s="346">
        <v>124.26918266280494</v>
      </c>
      <c r="W744" s="348">
        <v>122.57462101642759</v>
      </c>
      <c r="X744" s="347">
        <v>62.44</v>
      </c>
      <c r="Y744" s="357">
        <v>63.23</v>
      </c>
      <c r="Z744" s="365" t="s">
        <v>3017</v>
      </c>
      <c r="AA744" s="350">
        <v>194</v>
      </c>
      <c r="AB744" s="349" t="s">
        <v>2685</v>
      </c>
      <c r="AC744" s="350">
        <v>4</v>
      </c>
      <c r="AD744" s="349" t="s">
        <v>2685</v>
      </c>
      <c r="AE744" s="364">
        <v>0</v>
      </c>
      <c r="AF744" s="366">
        <v>10.548</v>
      </c>
      <c r="AG744" s="363">
        <v>0</v>
      </c>
      <c r="AH744" s="635" t="s">
        <v>8990</v>
      </c>
      <c r="AI744" s="324"/>
      <c r="AL744" s="487" t="s">
        <v>15039</v>
      </c>
      <c r="AM744" s="477" t="s">
        <v>70</v>
      </c>
      <c r="AN744" s="637">
        <v>100</v>
      </c>
      <c r="AO744" s="478">
        <v>-1321</v>
      </c>
      <c r="AP744" s="463">
        <v>-1321</v>
      </c>
      <c r="AQ744" s="479">
        <v>0</v>
      </c>
      <c r="AR744" s="476" t="s">
        <v>15040</v>
      </c>
      <c r="BA744" s="313" t="s">
        <v>4231</v>
      </c>
    </row>
    <row r="745" spans="2:53" ht="16.5" customHeight="1">
      <c r="B745" s="367" t="s">
        <v>4127</v>
      </c>
      <c r="C745" s="351" t="s">
        <v>4128</v>
      </c>
      <c r="D745" s="353">
        <v>-1322</v>
      </c>
      <c r="E745" s="352" t="s">
        <v>408</v>
      </c>
      <c r="F745" s="341">
        <v>88.37</v>
      </c>
      <c r="G745" s="355" t="s">
        <v>9952</v>
      </c>
      <c r="H745" s="356" t="s">
        <v>4010</v>
      </c>
      <c r="I745" s="354" t="s">
        <v>233</v>
      </c>
      <c r="J745" s="340" t="s">
        <v>8753</v>
      </c>
      <c r="K745" s="339" t="s">
        <v>71</v>
      </c>
      <c r="L745" s="357">
        <v>14</v>
      </c>
      <c r="M745" s="358" t="s">
        <v>9995</v>
      </c>
      <c r="N745" s="359">
        <v>1000</v>
      </c>
      <c r="O745" s="360" t="s">
        <v>530</v>
      </c>
      <c r="P745" s="343" t="s">
        <v>531</v>
      </c>
      <c r="Q745" s="342" t="s">
        <v>2688</v>
      </c>
      <c r="R745" s="344">
        <v>35</v>
      </c>
      <c r="S745" s="345">
        <v>25</v>
      </c>
      <c r="T745" s="362">
        <v>25</v>
      </c>
      <c r="U745" s="361">
        <v>88.37</v>
      </c>
      <c r="V745" s="346">
        <v>124.26276444643794</v>
      </c>
      <c r="W745" s="348">
        <v>122.5693354264783</v>
      </c>
      <c r="X745" s="347">
        <v>62.67</v>
      </c>
      <c r="Y745" s="357">
        <v>63.23</v>
      </c>
      <c r="Z745" s="365" t="s">
        <v>3017</v>
      </c>
      <c r="AA745" s="350">
        <v>149.25</v>
      </c>
      <c r="AB745" s="349" t="s">
        <v>2685</v>
      </c>
      <c r="AC745" s="350">
        <v>0</v>
      </c>
      <c r="AD745" s="349" t="s">
        <v>2685</v>
      </c>
      <c r="AE745" s="364">
        <v>0</v>
      </c>
      <c r="AF745" s="366">
        <v>0</v>
      </c>
      <c r="AG745" s="363">
        <v>0</v>
      </c>
      <c r="AH745" s="635" t="s">
        <v>408</v>
      </c>
      <c r="AI745" s="324"/>
      <c r="AL745" s="487" t="s">
        <v>15041</v>
      </c>
      <c r="AM745" s="477" t="s">
        <v>71</v>
      </c>
      <c r="AN745" s="637">
        <v>100</v>
      </c>
      <c r="AO745" s="478">
        <v>-1322</v>
      </c>
      <c r="AP745" s="463">
        <v>-666</v>
      </c>
      <c r="AQ745" s="479">
        <v>-656</v>
      </c>
      <c r="AR745" s="476" t="s">
        <v>15074</v>
      </c>
      <c r="BA745" s="313" t="s">
        <v>4234</v>
      </c>
    </row>
    <row r="746" spans="2:53" ht="16.5" customHeight="1">
      <c r="B746" s="367" t="s">
        <v>9996</v>
      </c>
      <c r="C746" s="351" t="s">
        <v>9997</v>
      </c>
      <c r="D746" s="353">
        <v>-1323</v>
      </c>
      <c r="E746" s="352" t="s">
        <v>9988</v>
      </c>
      <c r="F746" s="341">
        <v>88.36</v>
      </c>
      <c r="G746" s="355" t="s">
        <v>9998</v>
      </c>
      <c r="H746" s="356" t="s">
        <v>9507</v>
      </c>
      <c r="I746" s="354" t="s">
        <v>233</v>
      </c>
      <c r="J746" s="340" t="s">
        <v>9999</v>
      </c>
      <c r="K746" s="339" t="s">
        <v>70</v>
      </c>
      <c r="L746" s="357">
        <v>25</v>
      </c>
      <c r="M746" s="358" t="s">
        <v>10000</v>
      </c>
      <c r="N746" s="359">
        <v>1000</v>
      </c>
      <c r="O746" s="360" t="s">
        <v>530</v>
      </c>
      <c r="P746" s="343" t="s">
        <v>531</v>
      </c>
      <c r="Q746" s="342" t="s">
        <v>2688</v>
      </c>
      <c r="R746" s="344">
        <v>25</v>
      </c>
      <c r="S746" s="345">
        <v>35</v>
      </c>
      <c r="T746" s="362">
        <v>25</v>
      </c>
      <c r="U746" s="361">
        <v>88.36</v>
      </c>
      <c r="V746" s="346">
        <v>124.25390108238688</v>
      </c>
      <c r="W746" s="348">
        <v>122.56203618549507</v>
      </c>
      <c r="X746" s="347">
        <v>62.44</v>
      </c>
      <c r="Y746" s="357">
        <v>63.22</v>
      </c>
      <c r="Z746" s="365" t="s">
        <v>3017</v>
      </c>
      <c r="AA746" s="350">
        <v>149.25</v>
      </c>
      <c r="AB746" s="349" t="s">
        <v>2685</v>
      </c>
      <c r="AC746" s="350">
        <v>0</v>
      </c>
      <c r="AD746" s="349" t="s">
        <v>2685</v>
      </c>
      <c r="AE746" s="364">
        <v>0</v>
      </c>
      <c r="AF746" s="366">
        <v>11.176</v>
      </c>
      <c r="AG746" s="363">
        <v>0</v>
      </c>
      <c r="AH746" s="635" t="s">
        <v>7993</v>
      </c>
      <c r="AI746" s="324"/>
      <c r="AL746" s="487" t="s">
        <v>15042</v>
      </c>
      <c r="AM746" s="477" t="s">
        <v>70</v>
      </c>
      <c r="AN746" s="637">
        <v>100</v>
      </c>
      <c r="AO746" s="478">
        <v>-1323</v>
      </c>
      <c r="AP746" s="463">
        <v>-1323</v>
      </c>
      <c r="AQ746" s="479">
        <v>0</v>
      </c>
      <c r="AR746" s="476" t="s">
        <v>15043</v>
      </c>
      <c r="BA746" s="313" t="s">
        <v>4237</v>
      </c>
    </row>
    <row r="747" spans="2:53" ht="16.5" customHeight="1">
      <c r="B747" s="367" t="s">
        <v>9996</v>
      </c>
      <c r="C747" s="351" t="s">
        <v>9997</v>
      </c>
      <c r="D747" s="353">
        <v>-1324</v>
      </c>
      <c r="E747" s="352" t="s">
        <v>408</v>
      </c>
      <c r="F747" s="341">
        <v>88.35</v>
      </c>
      <c r="G747" s="355" t="s">
        <v>9934</v>
      </c>
      <c r="H747" s="356" t="s">
        <v>9571</v>
      </c>
      <c r="I747" s="354" t="s">
        <v>9336</v>
      </c>
      <c r="J747" s="340" t="s">
        <v>10002</v>
      </c>
      <c r="K747" s="339" t="s">
        <v>71</v>
      </c>
      <c r="L747" s="357">
        <v>3</v>
      </c>
      <c r="M747" s="358" t="s">
        <v>6875</v>
      </c>
      <c r="N747" s="359">
        <v>700</v>
      </c>
      <c r="O747" s="360" t="s">
        <v>532</v>
      </c>
      <c r="P747" s="343" t="s">
        <v>533</v>
      </c>
      <c r="Q747" s="342" t="s">
        <v>2688</v>
      </c>
      <c r="R747" s="344">
        <v>30</v>
      </c>
      <c r="S747" s="345">
        <v>30</v>
      </c>
      <c r="T747" s="362">
        <v>20</v>
      </c>
      <c r="U747" s="361">
        <v>88.35</v>
      </c>
      <c r="V747" s="346">
        <v>124.24968128224305</v>
      </c>
      <c r="W747" s="348">
        <v>122.55856105596486</v>
      </c>
      <c r="X747" s="347">
        <v>62.67</v>
      </c>
      <c r="Y747" s="357">
        <v>65.53</v>
      </c>
      <c r="Z747" s="365" t="s">
        <v>3017</v>
      </c>
      <c r="AA747" s="350">
        <v>138</v>
      </c>
      <c r="AB747" s="349" t="s">
        <v>2685</v>
      </c>
      <c r="AC747" s="350">
        <v>10</v>
      </c>
      <c r="AD747" s="349" t="s">
        <v>2685</v>
      </c>
      <c r="AE747" s="364">
        <v>0</v>
      </c>
      <c r="AF747" s="366">
        <v>0</v>
      </c>
      <c r="AG747" s="363">
        <v>0</v>
      </c>
      <c r="AH747" s="635" t="s">
        <v>408</v>
      </c>
      <c r="AI747" s="324"/>
      <c r="AL747" s="487" t="s">
        <v>15044</v>
      </c>
      <c r="AM747" s="477" t="s">
        <v>71</v>
      </c>
      <c r="AN747" s="637">
        <v>100</v>
      </c>
      <c r="AO747" s="478">
        <v>-1324</v>
      </c>
      <c r="AP747" s="463">
        <v>-667</v>
      </c>
      <c r="AQ747" s="479">
        <v>-657</v>
      </c>
      <c r="AR747" s="476" t="s">
        <v>16986</v>
      </c>
      <c r="BA747" s="313" t="s">
        <v>4240</v>
      </c>
    </row>
    <row r="748" spans="2:53" ht="16.5" customHeight="1">
      <c r="B748" s="367" t="s">
        <v>10003</v>
      </c>
      <c r="C748" s="351" t="s">
        <v>10004</v>
      </c>
      <c r="D748" s="353">
        <v>-1325</v>
      </c>
      <c r="E748" s="352" t="s">
        <v>9993</v>
      </c>
      <c r="F748" s="341">
        <v>88.34</v>
      </c>
      <c r="G748" s="355" t="s">
        <v>9915</v>
      </c>
      <c r="H748" s="356" t="s">
        <v>4016</v>
      </c>
      <c r="I748" s="354" t="s">
        <v>233</v>
      </c>
      <c r="J748" s="340" t="s">
        <v>542</v>
      </c>
      <c r="K748" s="339" t="s">
        <v>71</v>
      </c>
      <c r="L748" s="357">
        <v>13</v>
      </c>
      <c r="M748" s="358" t="s">
        <v>10006</v>
      </c>
      <c r="N748" s="359">
        <v>1000</v>
      </c>
      <c r="O748" s="360" t="s">
        <v>530</v>
      </c>
      <c r="P748" s="343" t="s">
        <v>531</v>
      </c>
      <c r="Q748" s="342" t="s">
        <v>2688</v>
      </c>
      <c r="R748" s="344">
        <v>35</v>
      </c>
      <c r="S748" s="345">
        <v>25</v>
      </c>
      <c r="T748" s="362">
        <v>25</v>
      </c>
      <c r="U748" s="361">
        <v>88.34</v>
      </c>
      <c r="V748" s="346">
        <v>124.24065186514167</v>
      </c>
      <c r="W748" s="348">
        <v>122.55112506541079</v>
      </c>
      <c r="X748" s="347">
        <v>62.66</v>
      </c>
      <c r="Y748" s="357">
        <v>63.22</v>
      </c>
      <c r="Z748" s="365" t="s">
        <v>3017</v>
      </c>
      <c r="AA748" s="350">
        <v>149.25</v>
      </c>
      <c r="AB748" s="349" t="s">
        <v>2685</v>
      </c>
      <c r="AC748" s="350">
        <v>0</v>
      </c>
      <c r="AD748" s="349" t="s">
        <v>2685</v>
      </c>
      <c r="AE748" s="364">
        <v>0</v>
      </c>
      <c r="AF748" s="366">
        <v>0</v>
      </c>
      <c r="AG748" s="363">
        <v>0</v>
      </c>
      <c r="AH748" s="635" t="s">
        <v>408</v>
      </c>
      <c r="AI748" s="324"/>
      <c r="AL748" s="487" t="s">
        <v>15048</v>
      </c>
      <c r="AM748" s="477" t="s">
        <v>71</v>
      </c>
      <c r="AN748" s="637">
        <v>100</v>
      </c>
      <c r="AO748" s="478">
        <v>-1325</v>
      </c>
      <c r="AP748" s="463">
        <v>-667</v>
      </c>
      <c r="AQ748" s="479">
        <v>-658</v>
      </c>
      <c r="AR748" s="476" t="s">
        <v>16987</v>
      </c>
      <c r="BA748" s="313" t="s">
        <v>4241</v>
      </c>
    </row>
    <row r="749" spans="2:53" ht="16.5" customHeight="1">
      <c r="B749" s="367" t="s">
        <v>4133</v>
      </c>
      <c r="C749" s="351" t="s">
        <v>4134</v>
      </c>
      <c r="D749" s="353">
        <v>-1326</v>
      </c>
      <c r="E749" s="352" t="s">
        <v>408</v>
      </c>
      <c r="F749" s="341">
        <v>88.32</v>
      </c>
      <c r="G749" s="355" t="s">
        <v>10007</v>
      </c>
      <c r="H749" s="356" t="s">
        <v>9510</v>
      </c>
      <c r="I749" s="354" t="s">
        <v>233</v>
      </c>
      <c r="J749" s="340" t="s">
        <v>550</v>
      </c>
      <c r="K749" s="339" t="s">
        <v>70</v>
      </c>
      <c r="L749" s="357">
        <v>9</v>
      </c>
      <c r="M749" s="358" t="s">
        <v>10008</v>
      </c>
      <c r="N749" s="359">
        <v>1000</v>
      </c>
      <c r="O749" s="360" t="s">
        <v>530</v>
      </c>
      <c r="P749" s="343" t="s">
        <v>531</v>
      </c>
      <c r="Q749" s="342" t="s">
        <v>2688</v>
      </c>
      <c r="R749" s="344">
        <v>25</v>
      </c>
      <c r="S749" s="345">
        <v>35</v>
      </c>
      <c r="T749" s="362">
        <v>25</v>
      </c>
      <c r="U749" s="361">
        <v>88.32</v>
      </c>
      <c r="V749" s="346">
        <v>124.23198501552636</v>
      </c>
      <c r="W749" s="348">
        <v>122.54398765984524</v>
      </c>
      <c r="X749" s="347">
        <v>62.43</v>
      </c>
      <c r="Y749" s="357">
        <v>63.21</v>
      </c>
      <c r="Z749" s="365" t="s">
        <v>3017</v>
      </c>
      <c r="AA749" s="350">
        <v>149.25</v>
      </c>
      <c r="AB749" s="349" t="s">
        <v>2685</v>
      </c>
      <c r="AC749" s="350">
        <v>0</v>
      </c>
      <c r="AD749" s="349" t="s">
        <v>2685</v>
      </c>
      <c r="AE749" s="364">
        <v>0</v>
      </c>
      <c r="AF749" s="366">
        <v>11.173999999999999</v>
      </c>
      <c r="AG749" s="363">
        <v>0</v>
      </c>
      <c r="AH749" s="635" t="s">
        <v>7993</v>
      </c>
      <c r="AI749" s="324"/>
      <c r="AL749" s="487" t="s">
        <v>15049</v>
      </c>
      <c r="AM749" s="477" t="s">
        <v>70</v>
      </c>
      <c r="AN749" s="637">
        <v>100</v>
      </c>
      <c r="AO749" s="478">
        <v>-1326</v>
      </c>
      <c r="AP749" s="463">
        <v>-1326</v>
      </c>
      <c r="AQ749" s="479">
        <v>0</v>
      </c>
      <c r="AR749" s="476" t="s">
        <v>15050</v>
      </c>
      <c r="BA749" s="313" t="s">
        <v>4243</v>
      </c>
    </row>
    <row r="750" spans="2:53" ht="16.5" customHeight="1">
      <c r="B750" s="367" t="s">
        <v>4138</v>
      </c>
      <c r="C750" s="351" t="s">
        <v>4139</v>
      </c>
      <c r="D750" s="353">
        <v>-1327</v>
      </c>
      <c r="E750" s="352" t="s">
        <v>10001</v>
      </c>
      <c r="F750" s="341">
        <v>88.31</v>
      </c>
      <c r="G750" s="355" t="s">
        <v>4306</v>
      </c>
      <c r="H750" s="356" t="s">
        <v>4025</v>
      </c>
      <c r="I750" s="354" t="s">
        <v>9336</v>
      </c>
      <c r="J750" s="340" t="s">
        <v>10009</v>
      </c>
      <c r="K750" s="339" t="s">
        <v>71</v>
      </c>
      <c r="L750" s="357">
        <v>9</v>
      </c>
      <c r="M750" s="358" t="s">
        <v>10010</v>
      </c>
      <c r="N750" s="359">
        <v>700</v>
      </c>
      <c r="O750" s="360" t="s">
        <v>532</v>
      </c>
      <c r="P750" s="343" t="s">
        <v>533</v>
      </c>
      <c r="Q750" s="342" t="s">
        <v>2688</v>
      </c>
      <c r="R750" s="344">
        <v>30</v>
      </c>
      <c r="S750" s="345">
        <v>30</v>
      </c>
      <c r="T750" s="362">
        <v>20</v>
      </c>
      <c r="U750" s="361">
        <v>88.31</v>
      </c>
      <c r="V750" s="346">
        <v>124.2196880500769</v>
      </c>
      <c r="W750" s="348">
        <v>122.53386074712213</v>
      </c>
      <c r="X750" s="347">
        <v>62.65</v>
      </c>
      <c r="Y750" s="357">
        <v>65.52000000000001</v>
      </c>
      <c r="Z750" s="365" t="s">
        <v>3017</v>
      </c>
      <c r="AA750" s="350">
        <v>138</v>
      </c>
      <c r="AB750" s="349" t="s">
        <v>2685</v>
      </c>
      <c r="AC750" s="350">
        <v>10</v>
      </c>
      <c r="AD750" s="349" t="s">
        <v>2685</v>
      </c>
      <c r="AE750" s="364">
        <v>0</v>
      </c>
      <c r="AF750" s="366">
        <v>0</v>
      </c>
      <c r="AG750" s="363">
        <v>0</v>
      </c>
      <c r="AH750" s="635" t="s">
        <v>408</v>
      </c>
      <c r="AI750" s="324"/>
      <c r="AL750" s="487" t="s">
        <v>15051</v>
      </c>
      <c r="AM750" s="477" t="s">
        <v>71</v>
      </c>
      <c r="AN750" s="637">
        <v>100</v>
      </c>
      <c r="AO750" s="478">
        <v>-1327</v>
      </c>
      <c r="AP750" s="463">
        <v>-668</v>
      </c>
      <c r="AQ750" s="479">
        <v>-659</v>
      </c>
      <c r="AR750" s="476" t="s">
        <v>16988</v>
      </c>
      <c r="BA750" s="313" t="s">
        <v>4247</v>
      </c>
    </row>
    <row r="751" spans="2:53" ht="16.5" customHeight="1">
      <c r="B751" s="367" t="s">
        <v>4133</v>
      </c>
      <c r="C751" s="351" t="s">
        <v>4134</v>
      </c>
      <c r="D751" s="353">
        <v>-1328</v>
      </c>
      <c r="E751" s="352" t="s">
        <v>10005</v>
      </c>
      <c r="F751" s="341">
        <v>88.31</v>
      </c>
      <c r="G751" s="355" t="s">
        <v>4306</v>
      </c>
      <c r="H751" s="356" t="s">
        <v>4025</v>
      </c>
      <c r="I751" s="354" t="s">
        <v>82</v>
      </c>
      <c r="J751" s="340" t="s">
        <v>10011</v>
      </c>
      <c r="K751" s="339" t="s">
        <v>71</v>
      </c>
      <c r="L751" s="357">
        <v>13</v>
      </c>
      <c r="M751" s="358" t="s">
        <v>10012</v>
      </c>
      <c r="N751" s="359">
        <v>800</v>
      </c>
      <c r="O751" s="360" t="s">
        <v>530</v>
      </c>
      <c r="P751" s="343" t="s">
        <v>531</v>
      </c>
      <c r="Q751" s="342" t="s">
        <v>2688</v>
      </c>
      <c r="R751" s="344">
        <v>35</v>
      </c>
      <c r="S751" s="345">
        <v>20</v>
      </c>
      <c r="T751" s="362">
        <v>30</v>
      </c>
      <c r="U751" s="361">
        <v>88.31</v>
      </c>
      <c r="V751" s="346">
        <v>124.22024304730212</v>
      </c>
      <c r="W751" s="348">
        <v>122.53431780366057</v>
      </c>
      <c r="X751" s="347">
        <v>62.65</v>
      </c>
      <c r="Y751" s="357">
        <v>63.21</v>
      </c>
      <c r="Z751" s="365" t="s">
        <v>3017</v>
      </c>
      <c r="AA751" s="350">
        <v>117.6</v>
      </c>
      <c r="AB751" s="349" t="s">
        <v>2685</v>
      </c>
      <c r="AC751" s="350">
        <v>0</v>
      </c>
      <c r="AD751" s="349" t="s">
        <v>2685</v>
      </c>
      <c r="AE751" s="364">
        <v>0</v>
      </c>
      <c r="AF751" s="366">
        <v>9.6</v>
      </c>
      <c r="AG751" s="363">
        <v>0</v>
      </c>
      <c r="AH751" s="635" t="s">
        <v>7879</v>
      </c>
      <c r="AI751" s="324"/>
      <c r="AL751" s="487" t="s">
        <v>15053</v>
      </c>
      <c r="AM751" s="477" t="s">
        <v>71</v>
      </c>
      <c r="AN751" s="637">
        <v>100</v>
      </c>
      <c r="AO751" s="478">
        <v>-1328</v>
      </c>
      <c r="AP751" s="463">
        <v>-668</v>
      </c>
      <c r="AQ751" s="479">
        <v>-660</v>
      </c>
      <c r="AR751" s="476" t="s">
        <v>16988</v>
      </c>
      <c r="BA751" s="313" t="s">
        <v>4249</v>
      </c>
    </row>
    <row r="752" spans="2:53" ht="16.5" customHeight="1">
      <c r="B752" s="367" t="s">
        <v>4102</v>
      </c>
      <c r="C752" s="351" t="s">
        <v>4103</v>
      </c>
      <c r="D752" s="353">
        <v>-1329</v>
      </c>
      <c r="E752" s="352" t="s">
        <v>408</v>
      </c>
      <c r="F752" s="341">
        <v>88.3</v>
      </c>
      <c r="G752" s="355" t="s">
        <v>9943</v>
      </c>
      <c r="H752" s="356" t="s">
        <v>18628</v>
      </c>
      <c r="I752" s="354" t="s">
        <v>417</v>
      </c>
      <c r="J752" s="340" t="s">
        <v>8216</v>
      </c>
      <c r="K752" s="339" t="s">
        <v>71</v>
      </c>
      <c r="L752" s="357">
        <v>13</v>
      </c>
      <c r="M752" s="358" t="s">
        <v>9919</v>
      </c>
      <c r="N752" s="359">
        <v>200</v>
      </c>
      <c r="O752" s="360" t="s">
        <v>530</v>
      </c>
      <c r="P752" s="343" t="s">
        <v>530</v>
      </c>
      <c r="Q752" s="342" t="s">
        <v>2688</v>
      </c>
      <c r="R752" s="344">
        <v>30</v>
      </c>
      <c r="S752" s="345">
        <v>30</v>
      </c>
      <c r="T752" s="362">
        <v>25</v>
      </c>
      <c r="U752" s="361">
        <v>88.3</v>
      </c>
      <c r="V752" s="346">
        <v>124.21763725913121</v>
      </c>
      <c r="W752" s="348">
        <v>122.53217186046099</v>
      </c>
      <c r="X752" s="347">
        <v>62.65</v>
      </c>
      <c r="Y752" s="357" t="s">
        <v>408</v>
      </c>
      <c r="Z752" s="365" t="s">
        <v>3017</v>
      </c>
      <c r="AA752" s="350">
        <v>14.25</v>
      </c>
      <c r="AB752" s="349" t="s">
        <v>2685</v>
      </c>
      <c r="AC752" s="350">
        <v>10</v>
      </c>
      <c r="AD752" s="349" t="s">
        <v>2685</v>
      </c>
      <c r="AE752" s="364">
        <v>0</v>
      </c>
      <c r="AF752" s="366">
        <v>0</v>
      </c>
      <c r="AG752" s="363">
        <v>0</v>
      </c>
      <c r="AH752" s="635" t="s">
        <v>408</v>
      </c>
      <c r="AI752" s="324"/>
      <c r="AL752" s="487" t="s">
        <v>15054</v>
      </c>
      <c r="AM752" s="477" t="s">
        <v>71</v>
      </c>
      <c r="AN752" s="637">
        <v>100</v>
      </c>
      <c r="AO752" s="478">
        <v>-1329</v>
      </c>
      <c r="AP752" s="463">
        <v>-669</v>
      </c>
      <c r="AQ752" s="479">
        <v>-660</v>
      </c>
      <c r="AR752" s="476" t="s">
        <v>16989</v>
      </c>
      <c r="BA752" s="313" t="s">
        <v>4250</v>
      </c>
    </row>
    <row r="753" spans="2:53" ht="16.5" customHeight="1">
      <c r="B753" s="367" t="s">
        <v>4138</v>
      </c>
      <c r="C753" s="351" t="s">
        <v>4139</v>
      </c>
      <c r="D753" s="353">
        <v>-1330</v>
      </c>
      <c r="E753" s="352" t="s">
        <v>4326</v>
      </c>
      <c r="F753" s="341">
        <v>88.29</v>
      </c>
      <c r="G753" s="355" t="s">
        <v>9981</v>
      </c>
      <c r="H753" s="356" t="s">
        <v>9580</v>
      </c>
      <c r="I753" s="354" t="s">
        <v>9336</v>
      </c>
      <c r="J753" s="340" t="s">
        <v>10015</v>
      </c>
      <c r="K753" s="339" t="s">
        <v>71</v>
      </c>
      <c r="L753" s="357">
        <v>12</v>
      </c>
      <c r="M753" s="358" t="s">
        <v>10016</v>
      </c>
      <c r="N753" s="359">
        <v>700</v>
      </c>
      <c r="O753" s="360" t="s">
        <v>532</v>
      </c>
      <c r="P753" s="343" t="s">
        <v>533</v>
      </c>
      <c r="Q753" s="342" t="s">
        <v>2688</v>
      </c>
      <c r="R753" s="344">
        <v>30</v>
      </c>
      <c r="S753" s="345">
        <v>35</v>
      </c>
      <c r="T753" s="362">
        <v>20</v>
      </c>
      <c r="U753" s="361">
        <v>88.29</v>
      </c>
      <c r="V753" s="346">
        <v>124.21023452159396</v>
      </c>
      <c r="W753" s="348">
        <v>122.52607548837149</v>
      </c>
      <c r="X753" s="347">
        <v>62.65</v>
      </c>
      <c r="Y753" s="357">
        <v>65.52000000000001</v>
      </c>
      <c r="Z753" s="365" t="s">
        <v>3017</v>
      </c>
      <c r="AA753" s="350">
        <v>103.5</v>
      </c>
      <c r="AB753" s="349" t="s">
        <v>2685</v>
      </c>
      <c r="AC753" s="350">
        <v>10</v>
      </c>
      <c r="AD753" s="349" t="s">
        <v>2685</v>
      </c>
      <c r="AE753" s="364">
        <v>0</v>
      </c>
      <c r="AF753" s="366">
        <v>0</v>
      </c>
      <c r="AG753" s="363">
        <v>0</v>
      </c>
      <c r="AH753" s="635" t="s">
        <v>408</v>
      </c>
      <c r="AI753" s="324"/>
      <c r="AL753" s="487" t="s">
        <v>15055</v>
      </c>
      <c r="AM753" s="477" t="s">
        <v>71</v>
      </c>
      <c r="AN753" s="637">
        <v>100</v>
      </c>
      <c r="AO753" s="478">
        <v>-1330</v>
      </c>
      <c r="AP753" s="463">
        <v>-669</v>
      </c>
      <c r="AQ753" s="479">
        <v>-661</v>
      </c>
      <c r="AR753" s="476" t="s">
        <v>16990</v>
      </c>
      <c r="BA753" s="313" t="s">
        <v>4251</v>
      </c>
    </row>
    <row r="754" spans="2:53" ht="16.5" customHeight="1">
      <c r="B754" s="367" t="s">
        <v>4151</v>
      </c>
      <c r="C754" s="351" t="s">
        <v>4152</v>
      </c>
      <c r="D754" s="353">
        <v>-1331</v>
      </c>
      <c r="E754" s="352" t="s">
        <v>4326</v>
      </c>
      <c r="F754" s="341">
        <v>88.27</v>
      </c>
      <c r="G754" s="355" t="s">
        <v>9989</v>
      </c>
      <c r="H754" s="356" t="s">
        <v>4022</v>
      </c>
      <c r="I754" s="354" t="s">
        <v>9336</v>
      </c>
      <c r="J754" s="340" t="s">
        <v>10017</v>
      </c>
      <c r="K754" s="339" t="s">
        <v>71</v>
      </c>
      <c r="L754" s="357">
        <v>4</v>
      </c>
      <c r="M754" s="358" t="s">
        <v>9022</v>
      </c>
      <c r="N754" s="359">
        <v>700</v>
      </c>
      <c r="O754" s="360" t="s">
        <v>532</v>
      </c>
      <c r="P754" s="343" t="s">
        <v>533</v>
      </c>
      <c r="Q754" s="342" t="s">
        <v>2688</v>
      </c>
      <c r="R754" s="344">
        <v>30</v>
      </c>
      <c r="S754" s="345">
        <v>30</v>
      </c>
      <c r="T754" s="362">
        <v>20</v>
      </c>
      <c r="U754" s="361">
        <v>88.27</v>
      </c>
      <c r="V754" s="346">
        <v>124.18969481791073</v>
      </c>
      <c r="W754" s="348">
        <v>122.50916043827942</v>
      </c>
      <c r="X754" s="347">
        <v>62.64</v>
      </c>
      <c r="Y754" s="357">
        <v>65.510000000000005</v>
      </c>
      <c r="Z754" s="365" t="s">
        <v>3017</v>
      </c>
      <c r="AA754" s="350">
        <v>138</v>
      </c>
      <c r="AB754" s="349" t="s">
        <v>2685</v>
      </c>
      <c r="AC754" s="350">
        <v>10</v>
      </c>
      <c r="AD754" s="349" t="s">
        <v>2685</v>
      </c>
      <c r="AE754" s="364">
        <v>0</v>
      </c>
      <c r="AF754" s="366">
        <v>0</v>
      </c>
      <c r="AG754" s="363">
        <v>0</v>
      </c>
      <c r="AH754" s="635" t="s">
        <v>408</v>
      </c>
      <c r="AI754" s="324"/>
      <c r="AL754" s="487" t="s">
        <v>15057</v>
      </c>
      <c r="AM754" s="477" t="s">
        <v>71</v>
      </c>
      <c r="AN754" s="637">
        <v>100</v>
      </c>
      <c r="AO754" s="478">
        <v>-1331</v>
      </c>
      <c r="AP754" s="463">
        <v>-669</v>
      </c>
      <c r="AQ754" s="479">
        <v>-662</v>
      </c>
      <c r="AR754" s="476" t="s">
        <v>16991</v>
      </c>
      <c r="BA754" s="313" t="s">
        <v>4252</v>
      </c>
    </row>
    <row r="755" spans="2:53" ht="16.5" customHeight="1">
      <c r="B755" s="367" t="s">
        <v>10018</v>
      </c>
      <c r="C755" s="351" t="s">
        <v>10019</v>
      </c>
      <c r="D755" s="353">
        <v>-1332</v>
      </c>
      <c r="E755" s="352" t="s">
        <v>10013</v>
      </c>
      <c r="F755" s="341">
        <v>88.25</v>
      </c>
      <c r="G755" s="355" t="s">
        <v>10020</v>
      </c>
      <c r="H755" s="356" t="s">
        <v>3995</v>
      </c>
      <c r="I755" s="354" t="s">
        <v>195</v>
      </c>
      <c r="J755" s="340" t="s">
        <v>10021</v>
      </c>
      <c r="K755" s="339" t="s">
        <v>70</v>
      </c>
      <c r="L755" s="357">
        <v>11</v>
      </c>
      <c r="M755" s="358" t="s">
        <v>10022</v>
      </c>
      <c r="N755" s="359">
        <v>100</v>
      </c>
      <c r="O755" s="360" t="s">
        <v>454</v>
      </c>
      <c r="P755" s="343" t="s">
        <v>454</v>
      </c>
      <c r="Q755" s="342" t="s">
        <v>2688</v>
      </c>
      <c r="R755" s="344">
        <v>25</v>
      </c>
      <c r="S755" s="345">
        <v>30</v>
      </c>
      <c r="T755" s="362">
        <v>25</v>
      </c>
      <c r="U755" s="361">
        <v>88.25</v>
      </c>
      <c r="V755" s="346">
        <v>124.17857142857143</v>
      </c>
      <c r="W755" s="348">
        <v>122.5</v>
      </c>
      <c r="X755" s="347">
        <v>62.4</v>
      </c>
      <c r="Y755" s="357" t="s">
        <v>408</v>
      </c>
      <c r="Z755" s="365" t="s">
        <v>3017</v>
      </c>
      <c r="AA755" s="350">
        <v>19</v>
      </c>
      <c r="AB755" s="349" t="s">
        <v>2685</v>
      </c>
      <c r="AC755" s="350">
        <v>0</v>
      </c>
      <c r="AD755" s="349" t="s">
        <v>2685</v>
      </c>
      <c r="AE755" s="364">
        <v>0</v>
      </c>
      <c r="AF755" s="366">
        <v>0</v>
      </c>
      <c r="AG755" s="363">
        <v>0</v>
      </c>
      <c r="AH755" s="635" t="s">
        <v>408</v>
      </c>
      <c r="AI755" s="324"/>
      <c r="AL755" s="487" t="s">
        <v>15059</v>
      </c>
      <c r="AM755" s="477" t="s">
        <v>70</v>
      </c>
      <c r="AN755" s="637">
        <v>100</v>
      </c>
      <c r="AO755" s="478">
        <v>-1332</v>
      </c>
      <c r="AP755" s="463">
        <v>-1332</v>
      </c>
      <c r="AQ755" s="479">
        <v>0</v>
      </c>
      <c r="AR755" s="476" t="s">
        <v>15060</v>
      </c>
      <c r="BA755" s="313" t="s">
        <v>4254</v>
      </c>
    </row>
    <row r="756" spans="2:53" ht="16.5" customHeight="1">
      <c r="B756" s="367" t="s">
        <v>10023</v>
      </c>
      <c r="C756" s="351" t="s">
        <v>10024</v>
      </c>
      <c r="D756" s="353">
        <v>-1333</v>
      </c>
      <c r="E756" s="352" t="s">
        <v>4328</v>
      </c>
      <c r="F756" s="341">
        <v>88.25</v>
      </c>
      <c r="G756" s="355" t="s">
        <v>10025</v>
      </c>
      <c r="H756" s="356" t="s">
        <v>3995</v>
      </c>
      <c r="I756" s="354" t="s">
        <v>233</v>
      </c>
      <c r="J756" s="340" t="s">
        <v>10026</v>
      </c>
      <c r="K756" s="339" t="s">
        <v>70</v>
      </c>
      <c r="L756" s="357">
        <v>10</v>
      </c>
      <c r="M756" s="358" t="s">
        <v>10027</v>
      </c>
      <c r="N756" s="359">
        <v>1000</v>
      </c>
      <c r="O756" s="360" t="s">
        <v>530</v>
      </c>
      <c r="P756" s="343" t="s">
        <v>531</v>
      </c>
      <c r="Q756" s="342" t="s">
        <v>2688</v>
      </c>
      <c r="R756" s="344">
        <v>25</v>
      </c>
      <c r="S756" s="345">
        <v>35</v>
      </c>
      <c r="T756" s="362">
        <v>25</v>
      </c>
      <c r="U756" s="361">
        <v>88.25</v>
      </c>
      <c r="V756" s="346">
        <v>124.18007837930216</v>
      </c>
      <c r="W756" s="348">
        <v>122.50124101824883</v>
      </c>
      <c r="X756" s="347">
        <v>62.4</v>
      </c>
      <c r="Y756" s="357">
        <v>63.19</v>
      </c>
      <c r="Z756" s="365" t="s">
        <v>3017</v>
      </c>
      <c r="AA756" s="350">
        <v>149.25</v>
      </c>
      <c r="AB756" s="349" t="s">
        <v>2685</v>
      </c>
      <c r="AC756" s="350">
        <v>0</v>
      </c>
      <c r="AD756" s="349" t="s">
        <v>2685</v>
      </c>
      <c r="AE756" s="364">
        <v>0</v>
      </c>
      <c r="AF756" s="366">
        <v>4.7389999999999999</v>
      </c>
      <c r="AG756" s="363">
        <v>0</v>
      </c>
      <c r="AH756" s="635" t="s">
        <v>7791</v>
      </c>
      <c r="AI756" s="324"/>
      <c r="AL756" s="487" t="s">
        <v>15061</v>
      </c>
      <c r="AM756" s="477" t="s">
        <v>70</v>
      </c>
      <c r="AN756" s="637">
        <v>100</v>
      </c>
      <c r="AO756" s="478">
        <v>-1333</v>
      </c>
      <c r="AP756" s="463">
        <v>-1333</v>
      </c>
      <c r="AQ756" s="479">
        <v>0</v>
      </c>
      <c r="AR756" s="476" t="s">
        <v>15062</v>
      </c>
      <c r="BA756" s="313" t="s">
        <v>4258</v>
      </c>
    </row>
    <row r="757" spans="2:53" ht="16.5" customHeight="1">
      <c r="B757" s="367" t="s">
        <v>10018</v>
      </c>
      <c r="C757" s="351" t="s">
        <v>10019</v>
      </c>
      <c r="D757" s="353">
        <v>-1334</v>
      </c>
      <c r="E757" s="352" t="s">
        <v>408</v>
      </c>
      <c r="F757" s="341">
        <v>88.24</v>
      </c>
      <c r="G757" s="355" t="s">
        <v>4331</v>
      </c>
      <c r="H757" s="356" t="s">
        <v>3995</v>
      </c>
      <c r="I757" s="354" t="s">
        <v>417</v>
      </c>
      <c r="J757" s="340" t="s">
        <v>8283</v>
      </c>
      <c r="K757" s="339" t="s">
        <v>70</v>
      </c>
      <c r="L757" s="357">
        <v>11</v>
      </c>
      <c r="M757" s="358" t="s">
        <v>4343</v>
      </c>
      <c r="N757" s="359">
        <v>200</v>
      </c>
      <c r="O757" s="360" t="s">
        <v>530</v>
      </c>
      <c r="P757" s="343" t="s">
        <v>530</v>
      </c>
      <c r="Q757" s="342" t="s">
        <v>2688</v>
      </c>
      <c r="R757" s="344">
        <v>20</v>
      </c>
      <c r="S757" s="345">
        <v>35</v>
      </c>
      <c r="T757" s="362">
        <v>30</v>
      </c>
      <c r="U757" s="361">
        <v>88.24</v>
      </c>
      <c r="V757" s="346">
        <v>124.1746339243342</v>
      </c>
      <c r="W757" s="348">
        <v>122.4967573494517</v>
      </c>
      <c r="X757" s="347">
        <v>62.4</v>
      </c>
      <c r="Y757" s="357" t="s">
        <v>408</v>
      </c>
      <c r="Z757" s="365" t="s">
        <v>3017</v>
      </c>
      <c r="AA757" s="350">
        <v>14.25</v>
      </c>
      <c r="AB757" s="349" t="s">
        <v>2685</v>
      </c>
      <c r="AC757" s="350">
        <v>10</v>
      </c>
      <c r="AD757" s="349" t="s">
        <v>2685</v>
      </c>
      <c r="AE757" s="364">
        <v>0</v>
      </c>
      <c r="AF757" s="366">
        <v>0</v>
      </c>
      <c r="AG757" s="363">
        <v>0</v>
      </c>
      <c r="AH757" s="635" t="s">
        <v>408</v>
      </c>
      <c r="AI757" s="324"/>
      <c r="AL757" s="487" t="s">
        <v>15063</v>
      </c>
      <c r="AM757" s="477" t="s">
        <v>70</v>
      </c>
      <c r="AN757" s="637">
        <v>100</v>
      </c>
      <c r="AO757" s="478">
        <v>-1334</v>
      </c>
      <c r="AP757" s="463">
        <v>-1334</v>
      </c>
      <c r="AQ757" s="479">
        <v>0</v>
      </c>
      <c r="AR757" s="476" t="s">
        <v>15060</v>
      </c>
      <c r="BA757" s="313" t="s">
        <v>4259</v>
      </c>
    </row>
    <row r="758" spans="2:53" ht="16.5" customHeight="1">
      <c r="B758" s="367" t="s">
        <v>4155</v>
      </c>
      <c r="C758" s="351" t="s">
        <v>4156</v>
      </c>
      <c r="D758" s="353">
        <v>-1335</v>
      </c>
      <c r="E758" s="352" t="s">
        <v>408</v>
      </c>
      <c r="F758" s="341">
        <v>88.22</v>
      </c>
      <c r="G758" s="355" t="s">
        <v>10028</v>
      </c>
      <c r="H758" s="356" t="s">
        <v>10029</v>
      </c>
      <c r="I758" s="354" t="s">
        <v>233</v>
      </c>
      <c r="J758" s="340" t="s">
        <v>10030</v>
      </c>
      <c r="K758" s="339" t="s">
        <v>70</v>
      </c>
      <c r="L758" s="357">
        <v>9</v>
      </c>
      <c r="M758" s="358" t="s">
        <v>10031</v>
      </c>
      <c r="N758" s="359">
        <v>1000</v>
      </c>
      <c r="O758" s="360" t="s">
        <v>530</v>
      </c>
      <c r="P758" s="343" t="s">
        <v>531</v>
      </c>
      <c r="Q758" s="342" t="s">
        <v>2688</v>
      </c>
      <c r="R758" s="344">
        <v>25</v>
      </c>
      <c r="S758" s="345">
        <v>35</v>
      </c>
      <c r="T758" s="362">
        <v>25</v>
      </c>
      <c r="U758" s="361">
        <v>88.22</v>
      </c>
      <c r="V758" s="346">
        <v>124.15961102728939</v>
      </c>
      <c r="W758" s="348">
        <v>122.48438555188537</v>
      </c>
      <c r="X758" s="347">
        <v>62.39</v>
      </c>
      <c r="Y758" s="357">
        <v>63.18</v>
      </c>
      <c r="Z758" s="365" t="s">
        <v>3017</v>
      </c>
      <c r="AA758" s="350">
        <v>149.25</v>
      </c>
      <c r="AB758" s="349" t="s">
        <v>2685</v>
      </c>
      <c r="AC758" s="350">
        <v>0</v>
      </c>
      <c r="AD758" s="349" t="s">
        <v>2685</v>
      </c>
      <c r="AE758" s="364">
        <v>0</v>
      </c>
      <c r="AF758" s="366">
        <v>11.169</v>
      </c>
      <c r="AG758" s="363">
        <v>0</v>
      </c>
      <c r="AH758" s="635" t="s">
        <v>7993</v>
      </c>
      <c r="AI758" s="324"/>
      <c r="AL758" s="487" t="s">
        <v>15064</v>
      </c>
      <c r="AM758" s="477" t="s">
        <v>70</v>
      </c>
      <c r="AN758" s="637">
        <v>100</v>
      </c>
      <c r="AO758" s="478">
        <v>-1335</v>
      </c>
      <c r="AP758" s="463">
        <v>-1335</v>
      </c>
      <c r="AQ758" s="479">
        <v>0</v>
      </c>
      <c r="AR758" s="476" t="s">
        <v>17217</v>
      </c>
      <c r="BA758" s="313" t="s">
        <v>4261</v>
      </c>
    </row>
    <row r="759" spans="2:53" ht="16.5" customHeight="1">
      <c r="B759" s="367" t="s">
        <v>4155</v>
      </c>
      <c r="C759" s="351" t="s">
        <v>4156</v>
      </c>
      <c r="D759" s="353">
        <v>-1336</v>
      </c>
      <c r="E759" s="352" t="s">
        <v>10005</v>
      </c>
      <c r="F759" s="341">
        <v>88.22</v>
      </c>
      <c r="G759" s="355" t="s">
        <v>9968</v>
      </c>
      <c r="H759" s="356" t="s">
        <v>9588</v>
      </c>
      <c r="I759" s="354" t="s">
        <v>9336</v>
      </c>
      <c r="J759" s="340" t="s">
        <v>10032</v>
      </c>
      <c r="K759" s="339" t="s">
        <v>71</v>
      </c>
      <c r="L759" s="357">
        <v>9</v>
      </c>
      <c r="M759" s="358" t="s">
        <v>6880</v>
      </c>
      <c r="N759" s="359">
        <v>700</v>
      </c>
      <c r="O759" s="360" t="s">
        <v>532</v>
      </c>
      <c r="P759" s="343" t="s">
        <v>533</v>
      </c>
      <c r="Q759" s="342" t="s">
        <v>2688</v>
      </c>
      <c r="R759" s="344">
        <v>30</v>
      </c>
      <c r="S759" s="345">
        <v>30</v>
      </c>
      <c r="T759" s="362">
        <v>20</v>
      </c>
      <c r="U759" s="361">
        <v>88.22</v>
      </c>
      <c r="V759" s="346">
        <v>124.15970158574459</v>
      </c>
      <c r="W759" s="348">
        <v>122.48446012943671</v>
      </c>
      <c r="X759" s="347">
        <v>62.62</v>
      </c>
      <c r="Y759" s="357">
        <v>65.5</v>
      </c>
      <c r="Z759" s="365" t="s">
        <v>3017</v>
      </c>
      <c r="AA759" s="350">
        <v>138</v>
      </c>
      <c r="AB759" s="349" t="s">
        <v>2685</v>
      </c>
      <c r="AC759" s="350">
        <v>10</v>
      </c>
      <c r="AD759" s="349" t="s">
        <v>2685</v>
      </c>
      <c r="AE759" s="364">
        <v>0</v>
      </c>
      <c r="AF759" s="366">
        <v>0</v>
      </c>
      <c r="AG759" s="363">
        <v>0</v>
      </c>
      <c r="AH759" s="635" t="s">
        <v>408</v>
      </c>
      <c r="AI759" s="324"/>
      <c r="AL759" s="487" t="s">
        <v>15065</v>
      </c>
      <c r="AM759" s="477" t="s">
        <v>71</v>
      </c>
      <c r="AN759" s="637">
        <v>100</v>
      </c>
      <c r="AO759" s="478">
        <v>-1336</v>
      </c>
      <c r="AP759" s="463">
        <v>-671</v>
      </c>
      <c r="AQ759" s="479">
        <v>-665</v>
      </c>
      <c r="AR759" s="476" t="s">
        <v>16992</v>
      </c>
      <c r="BA759" s="313" t="s">
        <v>4262</v>
      </c>
    </row>
    <row r="760" spans="2:53" ht="16.5" customHeight="1">
      <c r="B760" s="367" t="s">
        <v>4155</v>
      </c>
      <c r="C760" s="351" t="s">
        <v>4156</v>
      </c>
      <c r="D760" s="353">
        <v>-1337</v>
      </c>
      <c r="E760" s="352" t="s">
        <v>10005</v>
      </c>
      <c r="F760" s="341">
        <v>88.21</v>
      </c>
      <c r="G760" s="355" t="s">
        <v>10459</v>
      </c>
      <c r="H760" s="356" t="s">
        <v>9520</v>
      </c>
      <c r="I760" s="354" t="s">
        <v>9189</v>
      </c>
      <c r="J760" s="340" t="s">
        <v>8835</v>
      </c>
      <c r="K760" s="339" t="s">
        <v>70</v>
      </c>
      <c r="L760" s="357">
        <v>20</v>
      </c>
      <c r="M760" s="358" t="s">
        <v>9944</v>
      </c>
      <c r="N760" s="359">
        <v>1000</v>
      </c>
      <c r="O760" s="360" t="s">
        <v>532</v>
      </c>
      <c r="P760" s="343" t="s">
        <v>532</v>
      </c>
      <c r="Q760" s="342" t="s">
        <v>2688</v>
      </c>
      <c r="R760" s="344">
        <v>20</v>
      </c>
      <c r="S760" s="345">
        <v>35</v>
      </c>
      <c r="T760" s="362">
        <v>25</v>
      </c>
      <c r="U760" s="361">
        <v>88.21</v>
      </c>
      <c r="V760" s="346">
        <v>124.15204750923503</v>
      </c>
      <c r="W760" s="348">
        <v>122.47815677231119</v>
      </c>
      <c r="X760" s="347" t="s">
        <v>18629</v>
      </c>
      <c r="Y760" s="357" t="s">
        <v>408</v>
      </c>
      <c r="Z760" s="365" t="s">
        <v>3017</v>
      </c>
      <c r="AA760" s="350">
        <v>195.56</v>
      </c>
      <c r="AB760" s="349" t="s">
        <v>2685</v>
      </c>
      <c r="AC760" s="350">
        <v>0</v>
      </c>
      <c r="AD760" s="349" t="s">
        <v>2685</v>
      </c>
      <c r="AE760" s="364">
        <v>0</v>
      </c>
      <c r="AF760" s="366">
        <v>15.766999999999999</v>
      </c>
      <c r="AG760" s="363">
        <v>0</v>
      </c>
      <c r="AH760" s="635" t="s">
        <v>9517</v>
      </c>
      <c r="AI760" s="324"/>
      <c r="AL760" s="487" t="s">
        <v>15023</v>
      </c>
      <c r="AM760" s="477" t="s">
        <v>70</v>
      </c>
      <c r="AN760" s="637">
        <v>100</v>
      </c>
      <c r="AO760" s="478">
        <v>-1337</v>
      </c>
      <c r="AP760" s="463">
        <v>-1337</v>
      </c>
      <c r="AQ760" s="479">
        <v>0</v>
      </c>
      <c r="AR760" s="476" t="s">
        <v>17218</v>
      </c>
      <c r="BA760" s="313" t="s">
        <v>4265</v>
      </c>
    </row>
    <row r="761" spans="2:53" ht="16.5" customHeight="1">
      <c r="B761" s="367" t="s">
        <v>10033</v>
      </c>
      <c r="C761" s="351" t="s">
        <v>10034</v>
      </c>
      <c r="D761" s="353">
        <v>-1338</v>
      </c>
      <c r="E761" s="352" t="s">
        <v>408</v>
      </c>
      <c r="F761" s="341">
        <v>88.2</v>
      </c>
      <c r="G761" s="355" t="s">
        <v>9969</v>
      </c>
      <c r="H761" s="356" t="s">
        <v>18630</v>
      </c>
      <c r="I761" s="354" t="s">
        <v>82</v>
      </c>
      <c r="J761" s="340" t="s">
        <v>10037</v>
      </c>
      <c r="K761" s="339" t="s">
        <v>71</v>
      </c>
      <c r="L761" s="357">
        <v>20</v>
      </c>
      <c r="M761" s="358" t="s">
        <v>3807</v>
      </c>
      <c r="N761" s="359">
        <v>800</v>
      </c>
      <c r="O761" s="360" t="s">
        <v>530</v>
      </c>
      <c r="P761" s="343" t="s">
        <v>531</v>
      </c>
      <c r="Q761" s="342" t="s">
        <v>2688</v>
      </c>
      <c r="R761" s="344">
        <v>35</v>
      </c>
      <c r="S761" s="345">
        <v>20</v>
      </c>
      <c r="T761" s="362">
        <v>30</v>
      </c>
      <c r="U761" s="361">
        <v>88.2</v>
      </c>
      <c r="V761" s="346">
        <v>124.14131952697888</v>
      </c>
      <c r="W761" s="348">
        <v>122.46932196339435</v>
      </c>
      <c r="X761" s="347">
        <v>62.61</v>
      </c>
      <c r="Y761" s="357">
        <v>63.169999999999995</v>
      </c>
      <c r="Z761" s="365" t="s">
        <v>3017</v>
      </c>
      <c r="AA761" s="350">
        <v>117.6</v>
      </c>
      <c r="AB761" s="349" t="s">
        <v>2685</v>
      </c>
      <c r="AC761" s="350">
        <v>0</v>
      </c>
      <c r="AD761" s="349" t="s">
        <v>2685</v>
      </c>
      <c r="AE761" s="364">
        <v>0</v>
      </c>
      <c r="AF761" s="366">
        <v>9.6</v>
      </c>
      <c r="AG761" s="363">
        <v>0</v>
      </c>
      <c r="AH761" s="635" t="s">
        <v>7879</v>
      </c>
      <c r="AI761" s="324"/>
      <c r="AL761" s="487" t="s">
        <v>15067</v>
      </c>
      <c r="AM761" s="477" t="s">
        <v>71</v>
      </c>
      <c r="AN761" s="637">
        <v>100</v>
      </c>
      <c r="AO761" s="478">
        <v>-1338</v>
      </c>
      <c r="AP761" s="463">
        <v>-672</v>
      </c>
      <c r="AQ761" s="479">
        <v>-666</v>
      </c>
      <c r="AR761" s="476" t="s">
        <v>17219</v>
      </c>
      <c r="BA761" s="313" t="s">
        <v>4268</v>
      </c>
    </row>
    <row r="762" spans="2:53" ht="16.5" customHeight="1">
      <c r="B762" s="367" t="s">
        <v>10033</v>
      </c>
      <c r="C762" s="351" t="s">
        <v>10034</v>
      </c>
      <c r="D762" s="353">
        <v>-1339</v>
      </c>
      <c r="E762" s="352" t="s">
        <v>408</v>
      </c>
      <c r="F762" s="341">
        <v>88.2</v>
      </c>
      <c r="G762" s="355" t="s">
        <v>9969</v>
      </c>
      <c r="H762" s="356" t="s">
        <v>18630</v>
      </c>
      <c r="I762" s="354" t="s">
        <v>82</v>
      </c>
      <c r="J762" s="340" t="s">
        <v>10038</v>
      </c>
      <c r="K762" s="339" t="s">
        <v>71</v>
      </c>
      <c r="L762" s="357">
        <v>18</v>
      </c>
      <c r="M762" s="358" t="s">
        <v>3807</v>
      </c>
      <c r="N762" s="359">
        <v>800</v>
      </c>
      <c r="O762" s="360" t="s">
        <v>530</v>
      </c>
      <c r="P762" s="343" t="s">
        <v>531</v>
      </c>
      <c r="Q762" s="342" t="s">
        <v>2688</v>
      </c>
      <c r="R762" s="344">
        <v>35</v>
      </c>
      <c r="S762" s="345">
        <v>20</v>
      </c>
      <c r="T762" s="362">
        <v>30</v>
      </c>
      <c r="U762" s="361">
        <v>88.2</v>
      </c>
      <c r="V762" s="346">
        <v>124.14131952697888</v>
      </c>
      <c r="W762" s="348">
        <v>122.46932196339435</v>
      </c>
      <c r="X762" s="347">
        <v>62.61</v>
      </c>
      <c r="Y762" s="357">
        <v>63.169999999999995</v>
      </c>
      <c r="Z762" s="365" t="s">
        <v>3017</v>
      </c>
      <c r="AA762" s="350">
        <v>117.6</v>
      </c>
      <c r="AB762" s="349" t="s">
        <v>2685</v>
      </c>
      <c r="AC762" s="350">
        <v>0</v>
      </c>
      <c r="AD762" s="349" t="s">
        <v>2685</v>
      </c>
      <c r="AE762" s="364">
        <v>0</v>
      </c>
      <c r="AF762" s="366">
        <v>9.6</v>
      </c>
      <c r="AG762" s="363">
        <v>0</v>
      </c>
      <c r="AH762" s="635" t="s">
        <v>7879</v>
      </c>
      <c r="AI762" s="324"/>
      <c r="AL762" s="487" t="s">
        <v>15068</v>
      </c>
      <c r="AM762" s="477" t="s">
        <v>71</v>
      </c>
      <c r="AN762" s="637">
        <v>100</v>
      </c>
      <c r="AO762" s="478">
        <v>-1339</v>
      </c>
      <c r="AP762" s="463">
        <v>-673</v>
      </c>
      <c r="AQ762" s="479">
        <v>-666</v>
      </c>
      <c r="AR762" s="476" t="s">
        <v>17219</v>
      </c>
      <c r="BA762" s="313" t="s">
        <v>4271</v>
      </c>
    </row>
    <row r="763" spans="2:53" ht="16.5" customHeight="1">
      <c r="B763" s="367" t="s">
        <v>10039</v>
      </c>
      <c r="C763" s="351" t="s">
        <v>10040</v>
      </c>
      <c r="D763" s="353">
        <v>-1340</v>
      </c>
      <c r="E763" s="352" t="s">
        <v>4335</v>
      </c>
      <c r="F763" s="341">
        <v>88.18</v>
      </c>
      <c r="G763" s="355" t="s">
        <v>9984</v>
      </c>
      <c r="H763" s="356" t="s">
        <v>10065</v>
      </c>
      <c r="I763" s="354" t="s">
        <v>9336</v>
      </c>
      <c r="J763" s="340" t="s">
        <v>10041</v>
      </c>
      <c r="K763" s="339" t="s">
        <v>71</v>
      </c>
      <c r="L763" s="357">
        <v>10</v>
      </c>
      <c r="M763" s="358" t="s">
        <v>10042</v>
      </c>
      <c r="N763" s="359">
        <v>700</v>
      </c>
      <c r="O763" s="360" t="s">
        <v>532</v>
      </c>
      <c r="P763" s="343" t="s">
        <v>533</v>
      </c>
      <c r="Q763" s="342" t="s">
        <v>2688</v>
      </c>
      <c r="R763" s="344">
        <v>30</v>
      </c>
      <c r="S763" s="345">
        <v>30</v>
      </c>
      <c r="T763" s="362">
        <v>20</v>
      </c>
      <c r="U763" s="361">
        <v>88.18</v>
      </c>
      <c r="V763" s="346">
        <v>124.12970835357847</v>
      </c>
      <c r="W763" s="348">
        <v>122.45975982059403</v>
      </c>
      <c r="X763" s="347">
        <v>62.61</v>
      </c>
      <c r="Y763" s="357">
        <v>65.490000000000009</v>
      </c>
      <c r="Z763" s="365" t="s">
        <v>3017</v>
      </c>
      <c r="AA763" s="350">
        <v>138</v>
      </c>
      <c r="AB763" s="349" t="s">
        <v>2685</v>
      </c>
      <c r="AC763" s="350">
        <v>10</v>
      </c>
      <c r="AD763" s="349" t="s">
        <v>2685</v>
      </c>
      <c r="AE763" s="364">
        <v>0</v>
      </c>
      <c r="AF763" s="366">
        <v>0</v>
      </c>
      <c r="AG763" s="363">
        <v>0</v>
      </c>
      <c r="AH763" s="635" t="s">
        <v>408</v>
      </c>
      <c r="AI763" s="324"/>
      <c r="AL763" s="487" t="s">
        <v>15069</v>
      </c>
      <c r="AM763" s="477" t="s">
        <v>71</v>
      </c>
      <c r="AN763" s="637">
        <v>100</v>
      </c>
      <c r="AO763" s="478">
        <v>-1340</v>
      </c>
      <c r="AP763" s="463">
        <v>-673</v>
      </c>
      <c r="AQ763" s="479">
        <v>-667</v>
      </c>
      <c r="AR763" s="476" t="s">
        <v>16993</v>
      </c>
      <c r="BA763" s="313" t="s">
        <v>4274</v>
      </c>
    </row>
    <row r="764" spans="2:53" ht="16.5" customHeight="1">
      <c r="B764" s="367" t="s">
        <v>10039</v>
      </c>
      <c r="C764" s="351" t="s">
        <v>10040</v>
      </c>
      <c r="D764" s="353">
        <v>-1341</v>
      </c>
      <c r="E764" s="352" t="s">
        <v>10035</v>
      </c>
      <c r="F764" s="341">
        <v>88.18</v>
      </c>
      <c r="G764" s="355" t="s">
        <v>9984</v>
      </c>
      <c r="H764" s="356" t="s">
        <v>10065</v>
      </c>
      <c r="I764" s="354" t="s">
        <v>9336</v>
      </c>
      <c r="J764" s="340" t="s">
        <v>10043</v>
      </c>
      <c r="K764" s="339" t="s">
        <v>71</v>
      </c>
      <c r="L764" s="357">
        <v>14</v>
      </c>
      <c r="M764" s="358" t="s">
        <v>10042</v>
      </c>
      <c r="N764" s="359">
        <v>700</v>
      </c>
      <c r="O764" s="360" t="s">
        <v>532</v>
      </c>
      <c r="P764" s="343" t="s">
        <v>533</v>
      </c>
      <c r="Q764" s="342" t="s">
        <v>2688</v>
      </c>
      <c r="R764" s="344">
        <v>30</v>
      </c>
      <c r="S764" s="345">
        <v>30</v>
      </c>
      <c r="T764" s="362">
        <v>20</v>
      </c>
      <c r="U764" s="361">
        <v>88.18</v>
      </c>
      <c r="V764" s="346">
        <v>124.12970835357847</v>
      </c>
      <c r="W764" s="348">
        <v>122.45975982059403</v>
      </c>
      <c r="X764" s="347">
        <v>62.61</v>
      </c>
      <c r="Y764" s="357">
        <v>65.490000000000009</v>
      </c>
      <c r="Z764" s="365" t="s">
        <v>3017</v>
      </c>
      <c r="AA764" s="350">
        <v>138</v>
      </c>
      <c r="AB764" s="349" t="s">
        <v>2685</v>
      </c>
      <c r="AC764" s="350">
        <v>10</v>
      </c>
      <c r="AD764" s="349" t="s">
        <v>2685</v>
      </c>
      <c r="AE764" s="364">
        <v>0</v>
      </c>
      <c r="AF764" s="366">
        <v>0</v>
      </c>
      <c r="AG764" s="363">
        <v>0</v>
      </c>
      <c r="AH764" s="635" t="s">
        <v>408</v>
      </c>
      <c r="AI764" s="324"/>
      <c r="AL764" s="487" t="s">
        <v>15070</v>
      </c>
      <c r="AM764" s="477" t="s">
        <v>71</v>
      </c>
      <c r="AN764" s="637">
        <v>100</v>
      </c>
      <c r="AO764" s="478">
        <v>-1341</v>
      </c>
      <c r="AP764" s="463">
        <v>-673</v>
      </c>
      <c r="AQ764" s="479">
        <v>-668</v>
      </c>
      <c r="AR764" s="476" t="s">
        <v>16993</v>
      </c>
      <c r="BA764" s="313" t="s">
        <v>4278</v>
      </c>
    </row>
    <row r="765" spans="2:53" ht="16.5" customHeight="1">
      <c r="B765" s="367" t="s">
        <v>10044</v>
      </c>
      <c r="C765" s="351" t="s">
        <v>10045</v>
      </c>
      <c r="D765" s="353">
        <v>-1342</v>
      </c>
      <c r="E765" s="352" t="s">
        <v>10035</v>
      </c>
      <c r="F765" s="341">
        <v>88.14</v>
      </c>
      <c r="G765" s="355" t="s">
        <v>9993</v>
      </c>
      <c r="H765" s="356" t="s">
        <v>18631</v>
      </c>
      <c r="I765" s="354" t="s">
        <v>9336</v>
      </c>
      <c r="J765" s="340" t="s">
        <v>10047</v>
      </c>
      <c r="K765" s="339" t="s">
        <v>71</v>
      </c>
      <c r="L765" s="357">
        <v>9</v>
      </c>
      <c r="M765" s="358" t="s">
        <v>6882</v>
      </c>
      <c r="N765" s="359">
        <v>700</v>
      </c>
      <c r="O765" s="360" t="s">
        <v>532</v>
      </c>
      <c r="P765" s="343" t="s">
        <v>533</v>
      </c>
      <c r="Q765" s="342" t="s">
        <v>2688</v>
      </c>
      <c r="R765" s="344">
        <v>30</v>
      </c>
      <c r="S765" s="345">
        <v>30</v>
      </c>
      <c r="T765" s="362">
        <v>20</v>
      </c>
      <c r="U765" s="361">
        <v>88.14</v>
      </c>
      <c r="V765" s="346">
        <v>124.09971512141232</v>
      </c>
      <c r="W765" s="348">
        <v>122.43505951175131</v>
      </c>
      <c r="X765" s="347">
        <v>62.6</v>
      </c>
      <c r="Y765" s="357">
        <v>65.48</v>
      </c>
      <c r="Z765" s="365" t="s">
        <v>3017</v>
      </c>
      <c r="AA765" s="350">
        <v>138</v>
      </c>
      <c r="AB765" s="349" t="s">
        <v>2685</v>
      </c>
      <c r="AC765" s="350">
        <v>10</v>
      </c>
      <c r="AD765" s="349" t="s">
        <v>2685</v>
      </c>
      <c r="AE765" s="364">
        <v>0</v>
      </c>
      <c r="AF765" s="366">
        <v>0</v>
      </c>
      <c r="AG765" s="363">
        <v>0</v>
      </c>
      <c r="AH765" s="635" t="s">
        <v>408</v>
      </c>
      <c r="AI765" s="324"/>
      <c r="AL765" s="487" t="s">
        <v>15071</v>
      </c>
      <c r="AM765" s="477" t="s">
        <v>71</v>
      </c>
      <c r="AN765" s="637">
        <v>100</v>
      </c>
      <c r="AO765" s="478">
        <v>-1342</v>
      </c>
      <c r="AP765" s="463">
        <v>-673</v>
      </c>
      <c r="AQ765" s="479">
        <v>-669</v>
      </c>
      <c r="AR765" s="476" t="s">
        <v>16994</v>
      </c>
      <c r="BA765" s="313" t="s">
        <v>4280</v>
      </c>
    </row>
    <row r="766" spans="2:53" ht="16.5" customHeight="1">
      <c r="B766" s="367" t="s">
        <v>10044</v>
      </c>
      <c r="C766" s="351" t="s">
        <v>10045</v>
      </c>
      <c r="D766" s="353">
        <v>-1343</v>
      </c>
      <c r="E766" s="352" t="s">
        <v>4324</v>
      </c>
      <c r="F766" s="341">
        <v>88.14</v>
      </c>
      <c r="G766" s="355" t="s">
        <v>9993</v>
      </c>
      <c r="H766" s="356" t="s">
        <v>18631</v>
      </c>
      <c r="I766" s="354" t="s">
        <v>9336</v>
      </c>
      <c r="J766" s="340" t="s">
        <v>10048</v>
      </c>
      <c r="K766" s="339" t="s">
        <v>71</v>
      </c>
      <c r="L766" s="357">
        <v>7</v>
      </c>
      <c r="M766" s="358" t="s">
        <v>6882</v>
      </c>
      <c r="N766" s="359">
        <v>700</v>
      </c>
      <c r="O766" s="360" t="s">
        <v>532</v>
      </c>
      <c r="P766" s="343" t="s">
        <v>533</v>
      </c>
      <c r="Q766" s="342" t="s">
        <v>2688</v>
      </c>
      <c r="R766" s="344">
        <v>30</v>
      </c>
      <c r="S766" s="345">
        <v>30</v>
      </c>
      <c r="T766" s="362">
        <v>20</v>
      </c>
      <c r="U766" s="361">
        <v>88.14</v>
      </c>
      <c r="V766" s="346">
        <v>124.09971512141232</v>
      </c>
      <c r="W766" s="348">
        <v>122.43505951175131</v>
      </c>
      <c r="X766" s="347">
        <v>62.6</v>
      </c>
      <c r="Y766" s="357">
        <v>65.48</v>
      </c>
      <c r="Z766" s="365" t="s">
        <v>3017</v>
      </c>
      <c r="AA766" s="350">
        <v>138</v>
      </c>
      <c r="AB766" s="349" t="s">
        <v>2685</v>
      </c>
      <c r="AC766" s="350">
        <v>10</v>
      </c>
      <c r="AD766" s="349" t="s">
        <v>2685</v>
      </c>
      <c r="AE766" s="364">
        <v>0</v>
      </c>
      <c r="AF766" s="366">
        <v>0</v>
      </c>
      <c r="AG766" s="363">
        <v>0</v>
      </c>
      <c r="AH766" s="635" t="s">
        <v>408</v>
      </c>
      <c r="AI766" s="324"/>
      <c r="AL766" s="487" t="s">
        <v>15072</v>
      </c>
      <c r="AM766" s="477" t="s">
        <v>71</v>
      </c>
      <c r="AN766" s="637">
        <v>100</v>
      </c>
      <c r="AO766" s="478">
        <v>-1343</v>
      </c>
      <c r="AP766" s="463">
        <v>-674</v>
      </c>
      <c r="AQ766" s="479">
        <v>-669</v>
      </c>
      <c r="AR766" s="476" t="s">
        <v>17220</v>
      </c>
      <c r="BA766" s="313" t="s">
        <v>4281</v>
      </c>
    </row>
    <row r="767" spans="2:53" ht="16.5" customHeight="1">
      <c r="B767" s="367" t="s">
        <v>9996</v>
      </c>
      <c r="C767" s="351" t="s">
        <v>9997</v>
      </c>
      <c r="D767" s="353">
        <v>-1344</v>
      </c>
      <c r="E767" s="352" t="s">
        <v>4324</v>
      </c>
      <c r="F767" s="341">
        <v>88.12</v>
      </c>
      <c r="G767" s="355" t="s">
        <v>10001</v>
      </c>
      <c r="H767" s="356" t="s">
        <v>18632</v>
      </c>
      <c r="I767" s="354" t="s">
        <v>417</v>
      </c>
      <c r="J767" s="340" t="s">
        <v>560</v>
      </c>
      <c r="K767" s="339" t="s">
        <v>71</v>
      </c>
      <c r="L767" s="357">
        <v>10</v>
      </c>
      <c r="M767" s="358" t="s">
        <v>9979</v>
      </c>
      <c r="N767" s="359">
        <v>200</v>
      </c>
      <c r="O767" s="360" t="s">
        <v>530</v>
      </c>
      <c r="P767" s="343" t="s">
        <v>530</v>
      </c>
      <c r="Q767" s="342" t="s">
        <v>2688</v>
      </c>
      <c r="R767" s="344">
        <v>30</v>
      </c>
      <c r="S767" s="345">
        <v>30</v>
      </c>
      <c r="T767" s="362">
        <v>25</v>
      </c>
      <c r="U767" s="361">
        <v>88.12</v>
      </c>
      <c r="V767" s="346">
        <v>124.08748539976355</v>
      </c>
      <c r="W767" s="348">
        <v>122.42498797627586</v>
      </c>
      <c r="X767" s="347">
        <v>62.59</v>
      </c>
      <c r="Y767" s="357" t="s">
        <v>408</v>
      </c>
      <c r="Z767" s="365" t="s">
        <v>3017</v>
      </c>
      <c r="AA767" s="350">
        <v>14.25</v>
      </c>
      <c r="AB767" s="349" t="s">
        <v>2685</v>
      </c>
      <c r="AC767" s="350">
        <v>10</v>
      </c>
      <c r="AD767" s="349" t="s">
        <v>2685</v>
      </c>
      <c r="AE767" s="364">
        <v>0</v>
      </c>
      <c r="AF767" s="366">
        <v>0</v>
      </c>
      <c r="AG767" s="363">
        <v>0</v>
      </c>
      <c r="AH767" s="635" t="s">
        <v>408</v>
      </c>
      <c r="AI767" s="324"/>
      <c r="AL767" s="487" t="s">
        <v>15073</v>
      </c>
      <c r="AM767" s="477" t="s">
        <v>71</v>
      </c>
      <c r="AN767" s="637">
        <v>100</v>
      </c>
      <c r="AO767" s="478">
        <v>-1344</v>
      </c>
      <c r="AP767" s="463">
        <v>-674</v>
      </c>
      <c r="AQ767" s="479">
        <v>-670</v>
      </c>
      <c r="AR767" s="476" t="s">
        <v>16995</v>
      </c>
      <c r="BA767" s="313" t="s">
        <v>4282</v>
      </c>
    </row>
    <row r="768" spans="2:53" ht="16.5" customHeight="1">
      <c r="B768" s="367" t="s">
        <v>9996</v>
      </c>
      <c r="C768" s="351" t="s">
        <v>9997</v>
      </c>
      <c r="D768" s="353">
        <v>-1345</v>
      </c>
      <c r="E768" s="352" t="s">
        <v>10046</v>
      </c>
      <c r="F768" s="341">
        <v>88.12</v>
      </c>
      <c r="G768" s="355" t="s">
        <v>10001</v>
      </c>
      <c r="H768" s="356" t="s">
        <v>18632</v>
      </c>
      <c r="I768" s="354" t="s">
        <v>417</v>
      </c>
      <c r="J768" s="340" t="s">
        <v>8654</v>
      </c>
      <c r="K768" s="339" t="s">
        <v>71</v>
      </c>
      <c r="L768" s="357">
        <v>15</v>
      </c>
      <c r="M768" s="358" t="s">
        <v>9979</v>
      </c>
      <c r="N768" s="359">
        <v>200</v>
      </c>
      <c r="O768" s="360" t="s">
        <v>530</v>
      </c>
      <c r="P768" s="343" t="s">
        <v>530</v>
      </c>
      <c r="Q768" s="342" t="s">
        <v>2688</v>
      </c>
      <c r="R768" s="344">
        <v>30</v>
      </c>
      <c r="S768" s="345">
        <v>30</v>
      </c>
      <c r="T768" s="362">
        <v>25</v>
      </c>
      <c r="U768" s="361">
        <v>88.12</v>
      </c>
      <c r="V768" s="346">
        <v>124.08748539976355</v>
      </c>
      <c r="W768" s="348">
        <v>122.42498797627586</v>
      </c>
      <c r="X768" s="347">
        <v>62.59</v>
      </c>
      <c r="Y768" s="357" t="s">
        <v>408</v>
      </c>
      <c r="Z768" s="365" t="s">
        <v>3017</v>
      </c>
      <c r="AA768" s="350">
        <v>14.25</v>
      </c>
      <c r="AB768" s="349" t="s">
        <v>2685</v>
      </c>
      <c r="AC768" s="350">
        <v>10</v>
      </c>
      <c r="AD768" s="349" t="s">
        <v>2685</v>
      </c>
      <c r="AE768" s="364">
        <v>0</v>
      </c>
      <c r="AF768" s="366">
        <v>0</v>
      </c>
      <c r="AG768" s="363">
        <v>0</v>
      </c>
      <c r="AH768" s="635" t="s">
        <v>408</v>
      </c>
      <c r="AI768" s="324"/>
      <c r="AL768" s="487" t="s">
        <v>15075</v>
      </c>
      <c r="AM768" s="477" t="s">
        <v>71</v>
      </c>
      <c r="AN768" s="637">
        <v>100</v>
      </c>
      <c r="AO768" s="478">
        <v>-1345</v>
      </c>
      <c r="AP768" s="463">
        <v>-674</v>
      </c>
      <c r="AQ768" s="479">
        <v>-671</v>
      </c>
      <c r="AR768" s="476" t="s">
        <v>16995</v>
      </c>
      <c r="BA768" s="313" t="s">
        <v>4284</v>
      </c>
    </row>
    <row r="769" spans="2:53" ht="16.5" customHeight="1">
      <c r="B769" s="367" t="s">
        <v>4166</v>
      </c>
      <c r="C769" s="351" t="s">
        <v>4167</v>
      </c>
      <c r="D769" s="353">
        <v>-1346</v>
      </c>
      <c r="E769" s="352" t="s">
        <v>10046</v>
      </c>
      <c r="F769" s="341">
        <v>88.1</v>
      </c>
      <c r="G769" s="355" t="s">
        <v>10049</v>
      </c>
      <c r="H769" s="356" t="s">
        <v>18633</v>
      </c>
      <c r="I769" s="354" t="s">
        <v>239</v>
      </c>
      <c r="J769" s="340" t="s">
        <v>10050</v>
      </c>
      <c r="K769" s="339" t="s">
        <v>71</v>
      </c>
      <c r="L769" s="357">
        <v>37</v>
      </c>
      <c r="M769" s="358" t="s">
        <v>10051</v>
      </c>
      <c r="N769" s="359">
        <v>1000</v>
      </c>
      <c r="O769" s="360" t="s">
        <v>454</v>
      </c>
      <c r="P769" s="343" t="s">
        <v>454</v>
      </c>
      <c r="Q769" s="342" t="s">
        <v>2738</v>
      </c>
      <c r="R769" s="344">
        <v>0</v>
      </c>
      <c r="S769" s="345">
        <v>50</v>
      </c>
      <c r="T769" s="362">
        <v>50</v>
      </c>
      <c r="U769" s="361">
        <v>88.1</v>
      </c>
      <c r="V769" s="346">
        <v>124.07142857142857</v>
      </c>
      <c r="W769" s="348">
        <v>122.41176470588235</v>
      </c>
      <c r="X769" s="347">
        <v>62.35</v>
      </c>
      <c r="Y769" s="357" t="s">
        <v>408</v>
      </c>
      <c r="Z769" s="365" t="s">
        <v>3017</v>
      </c>
      <c r="AA769" s="350">
        <v>-1</v>
      </c>
      <c r="AB769" s="349" t="s">
        <v>2685</v>
      </c>
      <c r="AC769" s="350">
        <v>0</v>
      </c>
      <c r="AD769" s="349" t="s">
        <v>2685</v>
      </c>
      <c r="AE769" s="364">
        <v>0</v>
      </c>
      <c r="AF769" s="366">
        <v>0</v>
      </c>
      <c r="AG769" s="363">
        <v>0</v>
      </c>
      <c r="AH769" s="635" t="s">
        <v>408</v>
      </c>
      <c r="AI769" s="324"/>
      <c r="AL769" s="487" t="s">
        <v>15076</v>
      </c>
      <c r="AM769" s="477" t="s">
        <v>71</v>
      </c>
      <c r="AN769" s="637">
        <v>100</v>
      </c>
      <c r="AO769" s="478">
        <v>-1346</v>
      </c>
      <c r="AP769" s="463">
        <v>-672</v>
      </c>
      <c r="AQ769" s="479">
        <v>-674</v>
      </c>
      <c r="AR769" s="476" t="s">
        <v>16996</v>
      </c>
      <c r="BA769" s="313" t="s">
        <v>4286</v>
      </c>
    </row>
    <row r="770" spans="2:53" ht="16.5" customHeight="1">
      <c r="B770" s="367" t="s">
        <v>4166</v>
      </c>
      <c r="C770" s="351" t="s">
        <v>4167</v>
      </c>
      <c r="D770" s="353">
        <v>-1347</v>
      </c>
      <c r="E770" s="352" t="s">
        <v>408</v>
      </c>
      <c r="F770" s="341">
        <v>88.1</v>
      </c>
      <c r="G770" s="355" t="s">
        <v>10049</v>
      </c>
      <c r="H770" s="356" t="s">
        <v>18633</v>
      </c>
      <c r="I770" s="354" t="s">
        <v>239</v>
      </c>
      <c r="J770" s="340" t="s">
        <v>10052</v>
      </c>
      <c r="K770" s="339" t="s">
        <v>71</v>
      </c>
      <c r="L770" s="357">
        <v>57</v>
      </c>
      <c r="M770" s="358" t="s">
        <v>10051</v>
      </c>
      <c r="N770" s="359">
        <v>1000</v>
      </c>
      <c r="O770" s="360" t="s">
        <v>454</v>
      </c>
      <c r="P770" s="343" t="s">
        <v>454</v>
      </c>
      <c r="Q770" s="342" t="s">
        <v>2738</v>
      </c>
      <c r="R770" s="344">
        <v>0</v>
      </c>
      <c r="S770" s="345">
        <v>50</v>
      </c>
      <c r="T770" s="362">
        <v>50</v>
      </c>
      <c r="U770" s="361">
        <v>88.1</v>
      </c>
      <c r="V770" s="346">
        <v>124.07142857142857</v>
      </c>
      <c r="W770" s="348">
        <v>122.41176470588235</v>
      </c>
      <c r="X770" s="347">
        <v>62.35</v>
      </c>
      <c r="Y770" s="357" t="s">
        <v>408</v>
      </c>
      <c r="Z770" s="365" t="s">
        <v>3017</v>
      </c>
      <c r="AA770" s="350">
        <v>-1</v>
      </c>
      <c r="AB770" s="349" t="s">
        <v>2685</v>
      </c>
      <c r="AC770" s="350">
        <v>0</v>
      </c>
      <c r="AD770" s="349" t="s">
        <v>2685</v>
      </c>
      <c r="AE770" s="364">
        <v>0</v>
      </c>
      <c r="AF770" s="366">
        <v>0</v>
      </c>
      <c r="AG770" s="363">
        <v>0</v>
      </c>
      <c r="AH770" s="635" t="s">
        <v>408</v>
      </c>
      <c r="AI770" s="324"/>
      <c r="AL770" s="487" t="s">
        <v>15077</v>
      </c>
      <c r="AM770" s="477" t="s">
        <v>71</v>
      </c>
      <c r="AN770" s="637">
        <v>100</v>
      </c>
      <c r="AO770" s="478">
        <v>-1347</v>
      </c>
      <c r="AP770" s="463">
        <v>-673</v>
      </c>
      <c r="AQ770" s="479">
        <v>-674</v>
      </c>
      <c r="AR770" s="476" t="s">
        <v>16996</v>
      </c>
      <c r="BA770" s="313" t="s">
        <v>4288</v>
      </c>
    </row>
    <row r="771" spans="2:53" ht="16.5" customHeight="1">
      <c r="B771" s="367" t="s">
        <v>10053</v>
      </c>
      <c r="C771" s="351" t="s">
        <v>10054</v>
      </c>
      <c r="D771" s="353">
        <v>-1348</v>
      </c>
      <c r="E771" s="352" t="s">
        <v>408</v>
      </c>
      <c r="F771" s="341">
        <v>88.1</v>
      </c>
      <c r="G771" s="355" t="s">
        <v>4320</v>
      </c>
      <c r="H771" s="356" t="s">
        <v>18634</v>
      </c>
      <c r="I771" s="354" t="s">
        <v>9336</v>
      </c>
      <c r="J771" s="340" t="s">
        <v>10056</v>
      </c>
      <c r="K771" s="339" t="s">
        <v>71</v>
      </c>
      <c r="L771" s="357">
        <v>9</v>
      </c>
      <c r="M771" s="358" t="s">
        <v>6884</v>
      </c>
      <c r="N771" s="359">
        <v>700</v>
      </c>
      <c r="O771" s="360" t="s">
        <v>532</v>
      </c>
      <c r="P771" s="343" t="s">
        <v>533</v>
      </c>
      <c r="Q771" s="342" t="s">
        <v>2688</v>
      </c>
      <c r="R771" s="344">
        <v>30</v>
      </c>
      <c r="S771" s="345">
        <v>30</v>
      </c>
      <c r="T771" s="362">
        <v>20</v>
      </c>
      <c r="U771" s="361">
        <v>88.1</v>
      </c>
      <c r="V771" s="346">
        <v>124.06972188924615</v>
      </c>
      <c r="W771" s="348">
        <v>122.41035920290859</v>
      </c>
      <c r="X771" s="347">
        <v>62.58</v>
      </c>
      <c r="Y771" s="357">
        <v>65.48</v>
      </c>
      <c r="Z771" s="365" t="s">
        <v>3017</v>
      </c>
      <c r="AA771" s="350">
        <v>138</v>
      </c>
      <c r="AB771" s="349" t="s">
        <v>2685</v>
      </c>
      <c r="AC771" s="350">
        <v>10</v>
      </c>
      <c r="AD771" s="349" t="s">
        <v>2685</v>
      </c>
      <c r="AE771" s="364">
        <v>0</v>
      </c>
      <c r="AF771" s="366">
        <v>0</v>
      </c>
      <c r="AG771" s="363">
        <v>0</v>
      </c>
      <c r="AH771" s="635" t="s">
        <v>408</v>
      </c>
      <c r="AI771" s="324"/>
      <c r="AL771" s="487" t="s">
        <v>15079</v>
      </c>
      <c r="AM771" s="477" t="s">
        <v>71</v>
      </c>
      <c r="AN771" s="637">
        <v>100</v>
      </c>
      <c r="AO771" s="478">
        <v>-1348</v>
      </c>
      <c r="AP771" s="463">
        <v>-675</v>
      </c>
      <c r="AQ771" s="479">
        <v>-673</v>
      </c>
      <c r="AR771" s="476" t="s">
        <v>15078</v>
      </c>
      <c r="BA771" s="313" t="s">
        <v>4293</v>
      </c>
    </row>
    <row r="772" spans="2:53" ht="16.5" customHeight="1">
      <c r="B772" s="367" t="s">
        <v>4172</v>
      </c>
      <c r="C772" s="351" t="s">
        <v>4173</v>
      </c>
      <c r="D772" s="353">
        <v>-1349</v>
      </c>
      <c r="E772" s="352" t="s">
        <v>10055</v>
      </c>
      <c r="F772" s="341">
        <v>88.06</v>
      </c>
      <c r="G772" s="355" t="s">
        <v>10058</v>
      </c>
      <c r="H772" s="356" t="s">
        <v>18635</v>
      </c>
      <c r="I772" s="354" t="s">
        <v>417</v>
      </c>
      <c r="J772" s="340" t="s">
        <v>8624</v>
      </c>
      <c r="K772" s="339" t="s">
        <v>70</v>
      </c>
      <c r="L772" s="357">
        <v>24</v>
      </c>
      <c r="M772" s="358" t="s">
        <v>10059</v>
      </c>
      <c r="N772" s="359">
        <v>200</v>
      </c>
      <c r="O772" s="360" t="s">
        <v>530</v>
      </c>
      <c r="P772" s="343" t="s">
        <v>530</v>
      </c>
      <c r="Q772" s="342" t="s">
        <v>2688</v>
      </c>
      <c r="R772" s="344">
        <v>20</v>
      </c>
      <c r="S772" s="345">
        <v>35</v>
      </c>
      <c r="T772" s="362">
        <v>30</v>
      </c>
      <c r="U772" s="361">
        <v>88.06</v>
      </c>
      <c r="V772" s="346">
        <v>124.04122717540231</v>
      </c>
      <c r="W772" s="348">
        <v>122.38689296797837</v>
      </c>
      <c r="X772" s="347">
        <v>62.34</v>
      </c>
      <c r="Y772" s="357" t="s">
        <v>408</v>
      </c>
      <c r="Z772" s="365" t="s">
        <v>3017</v>
      </c>
      <c r="AA772" s="350">
        <v>14.25</v>
      </c>
      <c r="AB772" s="349" t="s">
        <v>2685</v>
      </c>
      <c r="AC772" s="350">
        <v>10</v>
      </c>
      <c r="AD772" s="349" t="s">
        <v>2685</v>
      </c>
      <c r="AE772" s="364">
        <v>0</v>
      </c>
      <c r="AF772" s="366">
        <v>0</v>
      </c>
      <c r="AG772" s="363">
        <v>0</v>
      </c>
      <c r="AH772" s="635" t="s">
        <v>408</v>
      </c>
      <c r="AI772" s="324"/>
      <c r="AL772" s="487" t="s">
        <v>15080</v>
      </c>
      <c r="AM772" s="477" t="s">
        <v>70</v>
      </c>
      <c r="AN772" s="637">
        <v>100</v>
      </c>
      <c r="AO772" s="478">
        <v>-1349</v>
      </c>
      <c r="AP772" s="463">
        <v>-1349</v>
      </c>
      <c r="AQ772" s="479">
        <v>0</v>
      </c>
      <c r="AR772" s="476" t="s">
        <v>15081</v>
      </c>
      <c r="BA772" s="313" t="s">
        <v>4295</v>
      </c>
    </row>
    <row r="773" spans="2:53" ht="16.5" customHeight="1">
      <c r="B773" s="367" t="s">
        <v>4151</v>
      </c>
      <c r="C773" s="351" t="s">
        <v>4152</v>
      </c>
      <c r="D773" s="353">
        <v>-1350</v>
      </c>
      <c r="E773" s="352" t="s">
        <v>10057</v>
      </c>
      <c r="F773" s="341">
        <v>88.05</v>
      </c>
      <c r="G773" s="355" t="s">
        <v>18636</v>
      </c>
      <c r="H773" s="356" t="s">
        <v>9574</v>
      </c>
      <c r="I773" s="354" t="s">
        <v>9189</v>
      </c>
      <c r="J773" s="340" t="s">
        <v>9960</v>
      </c>
      <c r="K773" s="339" t="s">
        <v>71</v>
      </c>
      <c r="L773" s="357">
        <v>8</v>
      </c>
      <c r="M773" s="358" t="s">
        <v>9961</v>
      </c>
      <c r="N773" s="359">
        <v>1000</v>
      </c>
      <c r="O773" s="360" t="s">
        <v>532</v>
      </c>
      <c r="P773" s="343" t="s">
        <v>532</v>
      </c>
      <c r="Q773" s="342" t="s">
        <v>2688</v>
      </c>
      <c r="R773" s="344">
        <v>30</v>
      </c>
      <c r="S773" s="345">
        <v>25</v>
      </c>
      <c r="T773" s="362">
        <v>25</v>
      </c>
      <c r="U773" s="361">
        <v>88.05</v>
      </c>
      <c r="V773" s="346">
        <v>124.03607191075722</v>
      </c>
      <c r="W773" s="348">
        <v>122.38264745591772</v>
      </c>
      <c r="X773" s="347" t="s">
        <v>18637</v>
      </c>
      <c r="Y773" s="357" t="s">
        <v>408</v>
      </c>
      <c r="Z773" s="365" t="s">
        <v>3017</v>
      </c>
      <c r="AA773" s="350">
        <v>195.56</v>
      </c>
      <c r="AB773" s="349" t="s">
        <v>2685</v>
      </c>
      <c r="AC773" s="350">
        <v>0</v>
      </c>
      <c r="AD773" s="349" t="s">
        <v>2685</v>
      </c>
      <c r="AE773" s="364">
        <v>0</v>
      </c>
      <c r="AF773" s="366">
        <v>15.596</v>
      </c>
      <c r="AG773" s="363">
        <v>0</v>
      </c>
      <c r="AH773" s="635" t="s">
        <v>9192</v>
      </c>
      <c r="AI773" s="324"/>
      <c r="AL773" s="487" t="s">
        <v>15046</v>
      </c>
      <c r="AM773" s="477" t="s">
        <v>71</v>
      </c>
      <c r="AN773" s="637">
        <v>100</v>
      </c>
      <c r="AO773" s="478">
        <v>-1350</v>
      </c>
      <c r="AP773" s="463">
        <v>-676</v>
      </c>
      <c r="AQ773" s="479">
        <v>-674</v>
      </c>
      <c r="AR773" s="476" t="s">
        <v>17221</v>
      </c>
      <c r="BA773" s="313" t="s">
        <v>4297</v>
      </c>
    </row>
    <row r="774" spans="2:53" ht="16.5" customHeight="1">
      <c r="B774" s="367" t="s">
        <v>4175</v>
      </c>
      <c r="C774" s="351" t="s">
        <v>4176</v>
      </c>
      <c r="D774" s="353">
        <v>-1351</v>
      </c>
      <c r="E774" s="352" t="s">
        <v>408</v>
      </c>
      <c r="F774" s="341">
        <v>88.05</v>
      </c>
      <c r="G774" s="355" t="s">
        <v>10060</v>
      </c>
      <c r="H774" s="356" t="s">
        <v>4020</v>
      </c>
      <c r="I774" s="354" t="s">
        <v>254</v>
      </c>
      <c r="J774" s="340" t="s">
        <v>8496</v>
      </c>
      <c r="K774" s="339" t="s">
        <v>70</v>
      </c>
      <c r="L774" s="357">
        <v>18</v>
      </c>
      <c r="M774" s="358" t="s">
        <v>10061</v>
      </c>
      <c r="N774" s="359">
        <v>1000</v>
      </c>
      <c r="O774" s="360" t="s">
        <v>532</v>
      </c>
      <c r="P774" s="343" t="s">
        <v>533</v>
      </c>
      <c r="Q774" s="342" t="s">
        <v>2688</v>
      </c>
      <c r="R774" s="344">
        <v>25</v>
      </c>
      <c r="S774" s="345">
        <v>35</v>
      </c>
      <c r="T774" s="362">
        <v>20</v>
      </c>
      <c r="U774" s="361">
        <v>88.05</v>
      </c>
      <c r="V774" s="346">
        <v>124.03237665577917</v>
      </c>
      <c r="W774" s="348">
        <v>122.37960430475933</v>
      </c>
      <c r="X774" s="347">
        <v>62.34</v>
      </c>
      <c r="Y774" s="357">
        <v>63.11</v>
      </c>
      <c r="Z774" s="365" t="s">
        <v>3017</v>
      </c>
      <c r="AA774" s="350">
        <v>196</v>
      </c>
      <c r="AB774" s="349" t="s">
        <v>2685</v>
      </c>
      <c r="AC774" s="350">
        <v>3</v>
      </c>
      <c r="AD774" s="349" t="s">
        <v>2685</v>
      </c>
      <c r="AE774" s="364">
        <v>0</v>
      </c>
      <c r="AF774" s="366">
        <v>0</v>
      </c>
      <c r="AG774" s="363">
        <v>0</v>
      </c>
      <c r="AH774" s="635" t="s">
        <v>408</v>
      </c>
      <c r="AI774" s="324"/>
      <c r="AL774" s="487" t="s">
        <v>15082</v>
      </c>
      <c r="AM774" s="477" t="s">
        <v>70</v>
      </c>
      <c r="AN774" s="637">
        <v>100</v>
      </c>
      <c r="AO774" s="478">
        <v>-1351</v>
      </c>
      <c r="AP774" s="463">
        <v>-1351</v>
      </c>
      <c r="AQ774" s="479">
        <v>0</v>
      </c>
      <c r="AR774" s="476" t="s">
        <v>15083</v>
      </c>
      <c r="BA774" s="313" t="s">
        <v>4301</v>
      </c>
    </row>
    <row r="775" spans="2:53" ht="16.5" customHeight="1">
      <c r="B775" s="367" t="s">
        <v>10062</v>
      </c>
      <c r="C775" s="351" t="s">
        <v>10063</v>
      </c>
      <c r="D775" s="353">
        <v>-1352</v>
      </c>
      <c r="E775" s="352" t="s">
        <v>408</v>
      </c>
      <c r="F775" s="341">
        <v>88</v>
      </c>
      <c r="G775" s="355" t="s">
        <v>10064</v>
      </c>
      <c r="H775" s="356" t="s">
        <v>10065</v>
      </c>
      <c r="I775" s="354" t="s">
        <v>221</v>
      </c>
      <c r="J775" s="340" t="s">
        <v>8633</v>
      </c>
      <c r="K775" s="339" t="s">
        <v>70</v>
      </c>
      <c r="L775" s="357">
        <v>24</v>
      </c>
      <c r="M775" s="358" t="s">
        <v>10066</v>
      </c>
      <c r="N775" s="359">
        <v>1000</v>
      </c>
      <c r="O775" s="360" t="s">
        <v>532</v>
      </c>
      <c r="P775" s="343" t="s">
        <v>533</v>
      </c>
      <c r="Q775" s="342" t="s">
        <v>2688</v>
      </c>
      <c r="R775" s="344">
        <v>20</v>
      </c>
      <c r="S775" s="345">
        <v>35</v>
      </c>
      <c r="T775" s="362">
        <v>30</v>
      </c>
      <c r="U775" s="361">
        <v>88</v>
      </c>
      <c r="V775" s="346">
        <v>124.00048201522115</v>
      </c>
      <c r="W775" s="348">
        <v>122.35333813018214</v>
      </c>
      <c r="X775" s="347">
        <v>62.33</v>
      </c>
      <c r="Y775" s="357">
        <v>63.12</v>
      </c>
      <c r="Z775" s="365" t="s">
        <v>3017</v>
      </c>
      <c r="AA775" s="350">
        <v>144</v>
      </c>
      <c r="AB775" s="349" t="s">
        <v>2685</v>
      </c>
      <c r="AC775" s="350">
        <v>0</v>
      </c>
      <c r="AD775" s="349" t="s">
        <v>2685</v>
      </c>
      <c r="AE775" s="364">
        <v>0</v>
      </c>
      <c r="AF775" s="366">
        <v>17.285</v>
      </c>
      <c r="AG775" s="363">
        <v>0</v>
      </c>
      <c r="AH775" s="635" t="s">
        <v>7882</v>
      </c>
      <c r="AI775" s="324"/>
      <c r="AL775" s="487" t="s">
        <v>15084</v>
      </c>
      <c r="AM775" s="477" t="s">
        <v>70</v>
      </c>
      <c r="AN775" s="637">
        <v>100</v>
      </c>
      <c r="AO775" s="478">
        <v>-1352</v>
      </c>
      <c r="AP775" s="463">
        <v>-1352</v>
      </c>
      <c r="AQ775" s="479">
        <v>0</v>
      </c>
      <c r="AR775" s="476" t="s">
        <v>15085</v>
      </c>
      <c r="BA775" s="313" t="s">
        <v>4303</v>
      </c>
    </row>
    <row r="776" spans="2:53" ht="16.5" customHeight="1">
      <c r="B776" s="367" t="s">
        <v>10067</v>
      </c>
      <c r="C776" s="351" t="s">
        <v>10068</v>
      </c>
      <c r="D776" s="353">
        <v>-1353</v>
      </c>
      <c r="E776" s="352" t="s">
        <v>408</v>
      </c>
      <c r="F776" s="341">
        <v>87.95</v>
      </c>
      <c r="G776" s="355" t="s">
        <v>10069</v>
      </c>
      <c r="H776" s="356" t="s">
        <v>4035</v>
      </c>
      <c r="I776" s="354" t="s">
        <v>221</v>
      </c>
      <c r="J776" s="340" t="s">
        <v>8856</v>
      </c>
      <c r="K776" s="339" t="s">
        <v>70</v>
      </c>
      <c r="L776" s="357">
        <v>32</v>
      </c>
      <c r="M776" s="358" t="s">
        <v>10071</v>
      </c>
      <c r="N776" s="359">
        <v>1000</v>
      </c>
      <c r="O776" s="360" t="s">
        <v>532</v>
      </c>
      <c r="P776" s="343" t="s">
        <v>533</v>
      </c>
      <c r="Q776" s="342" t="s">
        <v>2688</v>
      </c>
      <c r="R776" s="344">
        <v>20</v>
      </c>
      <c r="S776" s="345">
        <v>35</v>
      </c>
      <c r="T776" s="362">
        <v>30</v>
      </c>
      <c r="U776" s="361">
        <v>87.95</v>
      </c>
      <c r="V776" s="346">
        <v>123.96344342701629</v>
      </c>
      <c r="W776" s="348">
        <v>122.32283576342518</v>
      </c>
      <c r="X776" s="347">
        <v>62.31</v>
      </c>
      <c r="Y776" s="357">
        <v>63.1</v>
      </c>
      <c r="Z776" s="365" t="s">
        <v>3017</v>
      </c>
      <c r="AA776" s="350">
        <v>144</v>
      </c>
      <c r="AB776" s="349" t="s">
        <v>2685</v>
      </c>
      <c r="AC776" s="350">
        <v>0</v>
      </c>
      <c r="AD776" s="349" t="s">
        <v>2685</v>
      </c>
      <c r="AE776" s="364">
        <v>0</v>
      </c>
      <c r="AF776" s="366">
        <v>17.28</v>
      </c>
      <c r="AG776" s="363">
        <v>0</v>
      </c>
      <c r="AH776" s="635" t="s">
        <v>7882</v>
      </c>
      <c r="AI776" s="324"/>
      <c r="AL776" s="487" t="s">
        <v>15086</v>
      </c>
      <c r="AM776" s="477" t="s">
        <v>70</v>
      </c>
      <c r="AN776" s="637">
        <v>100</v>
      </c>
      <c r="AO776" s="478">
        <v>-1353</v>
      </c>
      <c r="AP776" s="463">
        <v>-1353</v>
      </c>
      <c r="AQ776" s="479">
        <v>0</v>
      </c>
      <c r="AR776" s="476" t="s">
        <v>15087</v>
      </c>
      <c r="BA776" s="313" t="s">
        <v>4307</v>
      </c>
    </row>
    <row r="777" spans="2:53" ht="16.5" customHeight="1">
      <c r="B777" s="367" t="s">
        <v>10067</v>
      </c>
      <c r="C777" s="351" t="s">
        <v>10068</v>
      </c>
      <c r="D777" s="353">
        <v>-1354</v>
      </c>
      <c r="E777" s="352" t="s">
        <v>408</v>
      </c>
      <c r="F777" s="341">
        <v>87.95</v>
      </c>
      <c r="G777" s="355" t="s">
        <v>10072</v>
      </c>
      <c r="H777" s="356" t="s">
        <v>10070</v>
      </c>
      <c r="I777" s="354" t="s">
        <v>233</v>
      </c>
      <c r="J777" s="340" t="s">
        <v>9544</v>
      </c>
      <c r="K777" s="339" t="s">
        <v>70</v>
      </c>
      <c r="L777" s="357">
        <v>14</v>
      </c>
      <c r="M777" s="358" t="s">
        <v>10073</v>
      </c>
      <c r="N777" s="359">
        <v>1000</v>
      </c>
      <c r="O777" s="360" t="s">
        <v>530</v>
      </c>
      <c r="P777" s="343" t="s">
        <v>531</v>
      </c>
      <c r="Q777" s="342" t="s">
        <v>2688</v>
      </c>
      <c r="R777" s="344">
        <v>25</v>
      </c>
      <c r="S777" s="345">
        <v>35</v>
      </c>
      <c r="T777" s="362">
        <v>25</v>
      </c>
      <c r="U777" s="361">
        <v>87.95</v>
      </c>
      <c r="V777" s="346">
        <v>123.96114378913336</v>
      </c>
      <c r="W777" s="348">
        <v>122.32094194399218</v>
      </c>
      <c r="X777" s="347">
        <v>62.31</v>
      </c>
      <c r="Y777" s="357">
        <v>63.089999999999996</v>
      </c>
      <c r="Z777" s="365" t="s">
        <v>3017</v>
      </c>
      <c r="AA777" s="350">
        <v>149.25</v>
      </c>
      <c r="AB777" s="349" t="s">
        <v>2685</v>
      </c>
      <c r="AC777" s="350">
        <v>0</v>
      </c>
      <c r="AD777" s="349" t="s">
        <v>2685</v>
      </c>
      <c r="AE777" s="364">
        <v>0</v>
      </c>
      <c r="AF777" s="366">
        <v>11.154</v>
      </c>
      <c r="AG777" s="363">
        <v>0</v>
      </c>
      <c r="AH777" s="635" t="s">
        <v>7993</v>
      </c>
      <c r="AI777" s="324"/>
      <c r="AL777" s="487" t="s">
        <v>15088</v>
      </c>
      <c r="AM777" s="477" t="s">
        <v>70</v>
      </c>
      <c r="AN777" s="637">
        <v>100</v>
      </c>
      <c r="AO777" s="478">
        <v>-1354</v>
      </c>
      <c r="AP777" s="463">
        <v>-1354</v>
      </c>
      <c r="AQ777" s="479">
        <v>0</v>
      </c>
      <c r="AR777" s="476" t="s">
        <v>15089</v>
      </c>
      <c r="BA777" s="313" t="s">
        <v>4310</v>
      </c>
    </row>
    <row r="778" spans="2:53" ht="16.5" customHeight="1">
      <c r="B778" s="367" t="s">
        <v>18202</v>
      </c>
      <c r="C778" s="351" t="s">
        <v>18203</v>
      </c>
      <c r="D778" s="353">
        <v>-1355</v>
      </c>
      <c r="E778" s="352" t="s">
        <v>408</v>
      </c>
      <c r="F778" s="341">
        <v>87.94</v>
      </c>
      <c r="G778" s="355" t="s">
        <v>4329</v>
      </c>
      <c r="H778" s="356" t="s">
        <v>9629</v>
      </c>
      <c r="I778" s="354" t="s">
        <v>417</v>
      </c>
      <c r="J778" s="340" t="s">
        <v>8618</v>
      </c>
      <c r="K778" s="339" t="s">
        <v>71</v>
      </c>
      <c r="L778" s="357">
        <v>10</v>
      </c>
      <c r="M778" s="358" t="s">
        <v>4343</v>
      </c>
      <c r="N778" s="359">
        <v>200</v>
      </c>
      <c r="O778" s="360" t="s">
        <v>530</v>
      </c>
      <c r="P778" s="343" t="s">
        <v>530</v>
      </c>
      <c r="Q778" s="342" t="s">
        <v>2688</v>
      </c>
      <c r="R778" s="344">
        <v>30</v>
      </c>
      <c r="S778" s="345">
        <v>30</v>
      </c>
      <c r="T778" s="362">
        <v>25</v>
      </c>
      <c r="U778" s="361">
        <v>87.94</v>
      </c>
      <c r="V778" s="346">
        <v>123.95736638339608</v>
      </c>
      <c r="W778" s="348">
        <v>122.31783113926737</v>
      </c>
      <c r="X778" s="347">
        <v>62.53</v>
      </c>
      <c r="Y778" s="357" t="s">
        <v>408</v>
      </c>
      <c r="Z778" s="365" t="s">
        <v>3017</v>
      </c>
      <c r="AA778" s="350">
        <v>14.25</v>
      </c>
      <c r="AB778" s="349" t="s">
        <v>2685</v>
      </c>
      <c r="AC778" s="350">
        <v>10</v>
      </c>
      <c r="AD778" s="349" t="s">
        <v>2685</v>
      </c>
      <c r="AE778" s="364">
        <v>0</v>
      </c>
      <c r="AF778" s="366">
        <v>0</v>
      </c>
      <c r="AG778" s="363">
        <v>0</v>
      </c>
      <c r="AH778" s="635" t="s">
        <v>408</v>
      </c>
      <c r="AI778" s="324"/>
      <c r="AL778" s="487" t="s">
        <v>15090</v>
      </c>
      <c r="AM778" s="477" t="s">
        <v>71</v>
      </c>
      <c r="AN778" s="637">
        <v>100</v>
      </c>
      <c r="AO778" s="478">
        <v>-1355</v>
      </c>
      <c r="AP778" s="463">
        <v>-678</v>
      </c>
      <c r="AQ778" s="479">
        <v>-677</v>
      </c>
      <c r="AR778" s="476" t="s">
        <v>16997</v>
      </c>
      <c r="BA778" s="313" t="s">
        <v>4312</v>
      </c>
    </row>
    <row r="779" spans="2:53" ht="16.5" customHeight="1">
      <c r="B779" s="367" t="s">
        <v>10074</v>
      </c>
      <c r="C779" s="351" t="s">
        <v>10075</v>
      </c>
      <c r="D779" s="353">
        <v>-1356</v>
      </c>
      <c r="E779" s="352" t="s">
        <v>408</v>
      </c>
      <c r="F779" s="341">
        <v>87.93</v>
      </c>
      <c r="G779" s="355" t="s">
        <v>10076</v>
      </c>
      <c r="H779" s="356" t="s">
        <v>10077</v>
      </c>
      <c r="I779" s="354" t="s">
        <v>215</v>
      </c>
      <c r="J779" s="340" t="s">
        <v>486</v>
      </c>
      <c r="K779" s="339" t="s">
        <v>70</v>
      </c>
      <c r="L779" s="357">
        <v>66</v>
      </c>
      <c r="M779" s="358" t="s">
        <v>10078</v>
      </c>
      <c r="N779" s="359">
        <v>1000</v>
      </c>
      <c r="O779" s="360" t="s">
        <v>530</v>
      </c>
      <c r="P779" s="343" t="s">
        <v>531</v>
      </c>
      <c r="Q779" s="342" t="s">
        <v>2688</v>
      </c>
      <c r="R779" s="344">
        <v>25</v>
      </c>
      <c r="S779" s="345">
        <v>38</v>
      </c>
      <c r="T779" s="362">
        <v>25</v>
      </c>
      <c r="U779" s="361">
        <v>87.93</v>
      </c>
      <c r="V779" s="346">
        <v>123.9484162276801</v>
      </c>
      <c r="W779" s="348">
        <v>122.31046042279537</v>
      </c>
      <c r="X779" s="347">
        <v>62.31</v>
      </c>
      <c r="Y779" s="357">
        <v>63.089999999999996</v>
      </c>
      <c r="Z779" s="365" t="s">
        <v>3017</v>
      </c>
      <c r="AA779" s="350">
        <v>121.25</v>
      </c>
      <c r="AB779" s="349" t="s">
        <v>2685</v>
      </c>
      <c r="AC779" s="350">
        <v>10</v>
      </c>
      <c r="AD779" s="349" t="s">
        <v>2685</v>
      </c>
      <c r="AE779" s="364">
        <v>0</v>
      </c>
      <c r="AF779" s="366">
        <v>0</v>
      </c>
      <c r="AG779" s="363">
        <v>0</v>
      </c>
      <c r="AH779" s="635" t="s">
        <v>408</v>
      </c>
      <c r="AI779" s="324"/>
      <c r="AL779" s="487" t="s">
        <v>15091</v>
      </c>
      <c r="AM779" s="477" t="s">
        <v>70</v>
      </c>
      <c r="AN779" s="637">
        <v>100</v>
      </c>
      <c r="AO779" s="478">
        <v>-1356</v>
      </c>
      <c r="AP779" s="463">
        <v>-1356</v>
      </c>
      <c r="AQ779" s="479">
        <v>0</v>
      </c>
      <c r="AR779" s="476" t="s">
        <v>15092</v>
      </c>
      <c r="BA779" s="313" t="s">
        <v>4316</v>
      </c>
    </row>
    <row r="780" spans="2:53" ht="16.5" customHeight="1">
      <c r="B780" s="367" t="s">
        <v>10082</v>
      </c>
      <c r="C780" s="351" t="s">
        <v>10083</v>
      </c>
      <c r="D780" s="353">
        <v>-1357</v>
      </c>
      <c r="E780" s="352" t="s">
        <v>10079</v>
      </c>
      <c r="F780" s="341">
        <v>87.8</v>
      </c>
      <c r="G780" s="355" t="s">
        <v>10084</v>
      </c>
      <c r="H780" s="356" t="s">
        <v>4059</v>
      </c>
      <c r="I780" s="354" t="s">
        <v>209</v>
      </c>
      <c r="J780" s="340" t="s">
        <v>10085</v>
      </c>
      <c r="K780" s="339" t="s">
        <v>70</v>
      </c>
      <c r="L780" s="357">
        <v>33</v>
      </c>
      <c r="M780" s="358" t="s">
        <v>10086</v>
      </c>
      <c r="N780" s="359">
        <v>1000</v>
      </c>
      <c r="O780" s="360" t="s">
        <v>530</v>
      </c>
      <c r="P780" s="343" t="s">
        <v>530</v>
      </c>
      <c r="Q780" s="342" t="s">
        <v>2688</v>
      </c>
      <c r="R780" s="344">
        <v>20</v>
      </c>
      <c r="S780" s="345">
        <v>30</v>
      </c>
      <c r="T780" s="362">
        <v>30</v>
      </c>
      <c r="U780" s="361">
        <v>87.8</v>
      </c>
      <c r="V780" s="346">
        <v>123.85943694580219</v>
      </c>
      <c r="W780" s="348">
        <v>122.23718336713121</v>
      </c>
      <c r="X780" s="347">
        <v>62.26</v>
      </c>
      <c r="Y780" s="357" t="s">
        <v>408</v>
      </c>
      <c r="Z780" s="365" t="s">
        <v>3017</v>
      </c>
      <c r="AA780" s="350">
        <v>198</v>
      </c>
      <c r="AB780" s="349" t="s">
        <v>2685</v>
      </c>
      <c r="AC780" s="350">
        <v>10</v>
      </c>
      <c r="AD780" s="349" t="s">
        <v>2685</v>
      </c>
      <c r="AE780" s="364">
        <v>0</v>
      </c>
      <c r="AF780" s="366">
        <v>0</v>
      </c>
      <c r="AG780" s="363">
        <v>0</v>
      </c>
      <c r="AH780" s="635" t="s">
        <v>408</v>
      </c>
      <c r="AI780" s="324"/>
      <c r="AL780" s="487" t="s">
        <v>15093</v>
      </c>
      <c r="AM780" s="477" t="s">
        <v>70</v>
      </c>
      <c r="AN780" s="637">
        <v>100</v>
      </c>
      <c r="AO780" s="478">
        <v>-1357</v>
      </c>
      <c r="AP780" s="463">
        <v>-1357</v>
      </c>
      <c r="AQ780" s="479">
        <v>0</v>
      </c>
      <c r="AR780" s="476" t="s">
        <v>15094</v>
      </c>
      <c r="BA780" s="313" t="s">
        <v>4318</v>
      </c>
    </row>
    <row r="781" spans="2:53" ht="16.5" customHeight="1">
      <c r="B781" s="367" t="s">
        <v>10087</v>
      </c>
      <c r="C781" s="351" t="s">
        <v>10088</v>
      </c>
      <c r="D781" s="353">
        <v>-1358</v>
      </c>
      <c r="E781" s="352" t="s">
        <v>4351</v>
      </c>
      <c r="F781" s="341">
        <v>87.78</v>
      </c>
      <c r="G781" s="355" t="s">
        <v>18638</v>
      </c>
      <c r="H781" s="356" t="s">
        <v>10110</v>
      </c>
      <c r="I781" s="354" t="s">
        <v>9336</v>
      </c>
      <c r="J781" s="340" t="s">
        <v>10090</v>
      </c>
      <c r="K781" s="339" t="s">
        <v>71</v>
      </c>
      <c r="L781" s="357">
        <v>9</v>
      </c>
      <c r="M781" s="358" t="s">
        <v>10091</v>
      </c>
      <c r="N781" s="359">
        <v>700</v>
      </c>
      <c r="O781" s="360" t="s">
        <v>532</v>
      </c>
      <c r="P781" s="343" t="s">
        <v>533</v>
      </c>
      <c r="Q781" s="342" t="s">
        <v>2688</v>
      </c>
      <c r="R781" s="344">
        <v>30</v>
      </c>
      <c r="S781" s="345">
        <v>30</v>
      </c>
      <c r="T781" s="362">
        <v>20</v>
      </c>
      <c r="U781" s="361">
        <v>87.78</v>
      </c>
      <c r="V781" s="346">
        <v>123.84526471172191</v>
      </c>
      <c r="W781" s="348">
        <v>122.22551211553568</v>
      </c>
      <c r="X781" s="347">
        <v>62.48</v>
      </c>
      <c r="Y781" s="357">
        <v>65.33</v>
      </c>
      <c r="Z781" s="365" t="s">
        <v>3017</v>
      </c>
      <c r="AA781" s="350">
        <v>138</v>
      </c>
      <c r="AB781" s="349" t="s">
        <v>2685</v>
      </c>
      <c r="AC781" s="350">
        <v>10</v>
      </c>
      <c r="AD781" s="349" t="s">
        <v>2685</v>
      </c>
      <c r="AE781" s="364">
        <v>0</v>
      </c>
      <c r="AF781" s="366">
        <v>0</v>
      </c>
      <c r="AG781" s="363">
        <v>0</v>
      </c>
      <c r="AH781" s="635" t="s">
        <v>408</v>
      </c>
      <c r="AI781" s="324"/>
      <c r="AL781" s="487" t="s">
        <v>15095</v>
      </c>
      <c r="AM781" s="477" t="s">
        <v>71</v>
      </c>
      <c r="AN781" s="637">
        <v>100</v>
      </c>
      <c r="AO781" s="478">
        <v>-1358</v>
      </c>
      <c r="AP781" s="463">
        <v>-677</v>
      </c>
      <c r="AQ781" s="479">
        <v>-681</v>
      </c>
      <c r="AR781" s="476" t="s">
        <v>16998</v>
      </c>
      <c r="BA781" s="313" t="s">
        <v>4319</v>
      </c>
    </row>
    <row r="782" spans="2:53" ht="16.5" customHeight="1">
      <c r="B782" s="367" t="s">
        <v>10092</v>
      </c>
      <c r="C782" s="351" t="s">
        <v>10093</v>
      </c>
      <c r="D782" s="353">
        <v>-1359</v>
      </c>
      <c r="E782" s="352" t="s">
        <v>4351</v>
      </c>
      <c r="F782" s="341">
        <v>87.77</v>
      </c>
      <c r="G782" s="355" t="s">
        <v>4365</v>
      </c>
      <c r="H782" s="356" t="s">
        <v>10094</v>
      </c>
      <c r="I782" s="354" t="s">
        <v>233</v>
      </c>
      <c r="J782" s="340" t="s">
        <v>8742</v>
      </c>
      <c r="K782" s="339" t="s">
        <v>70</v>
      </c>
      <c r="L782" s="357">
        <v>13</v>
      </c>
      <c r="M782" s="358" t="s">
        <v>10095</v>
      </c>
      <c r="N782" s="359">
        <v>1000</v>
      </c>
      <c r="O782" s="360" t="s">
        <v>530</v>
      </c>
      <c r="P782" s="343" t="s">
        <v>531</v>
      </c>
      <c r="Q782" s="342" t="s">
        <v>2688</v>
      </c>
      <c r="R782" s="344">
        <v>25</v>
      </c>
      <c r="S782" s="345">
        <v>35</v>
      </c>
      <c r="T782" s="362">
        <v>25</v>
      </c>
      <c r="U782" s="361">
        <v>87.77</v>
      </c>
      <c r="V782" s="346">
        <v>123.83375508386345</v>
      </c>
      <c r="W782" s="348">
        <v>122.21603359847579</v>
      </c>
      <c r="X782" s="347">
        <v>62.25</v>
      </c>
      <c r="Y782" s="357">
        <v>63.019999999999996</v>
      </c>
      <c r="Z782" s="365" t="s">
        <v>3017</v>
      </c>
      <c r="AA782" s="350">
        <v>149.25</v>
      </c>
      <c r="AB782" s="349" t="s">
        <v>2685</v>
      </c>
      <c r="AC782" s="350">
        <v>0</v>
      </c>
      <c r="AD782" s="349" t="s">
        <v>2685</v>
      </c>
      <c r="AE782" s="364">
        <v>0</v>
      </c>
      <c r="AF782" s="366">
        <v>4.7270000000000003</v>
      </c>
      <c r="AG782" s="363">
        <v>0</v>
      </c>
      <c r="AH782" s="635" t="s">
        <v>7791</v>
      </c>
      <c r="AI782" s="324"/>
      <c r="AL782" s="487" t="s">
        <v>15096</v>
      </c>
      <c r="AM782" s="477" t="s">
        <v>70</v>
      </c>
      <c r="AN782" s="637">
        <v>100</v>
      </c>
      <c r="AO782" s="478">
        <v>-1359</v>
      </c>
      <c r="AP782" s="463">
        <v>-1359</v>
      </c>
      <c r="AQ782" s="479">
        <v>0</v>
      </c>
      <c r="AR782" s="476" t="s">
        <v>15097</v>
      </c>
      <c r="BA782" s="313" t="s">
        <v>4321</v>
      </c>
    </row>
    <row r="783" spans="2:53" ht="16.5" customHeight="1">
      <c r="B783" s="367" t="s">
        <v>10062</v>
      </c>
      <c r="C783" s="351" t="s">
        <v>10063</v>
      </c>
      <c r="D783" s="353">
        <v>-1360</v>
      </c>
      <c r="E783" s="352" t="s">
        <v>408</v>
      </c>
      <c r="F783" s="341">
        <v>87.76</v>
      </c>
      <c r="G783" s="355" t="s">
        <v>10079</v>
      </c>
      <c r="H783" s="356" t="s">
        <v>18639</v>
      </c>
      <c r="I783" s="354" t="s">
        <v>402</v>
      </c>
      <c r="J783" s="340" t="s">
        <v>442</v>
      </c>
      <c r="K783" s="339" t="s">
        <v>71</v>
      </c>
      <c r="L783" s="357">
        <v>260</v>
      </c>
      <c r="M783" s="358" t="s">
        <v>10081</v>
      </c>
      <c r="N783" s="359">
        <v>800</v>
      </c>
      <c r="O783" s="360" t="s">
        <v>530</v>
      </c>
      <c r="P783" s="343" t="s">
        <v>530</v>
      </c>
      <c r="Q783" s="342" t="s">
        <v>2688</v>
      </c>
      <c r="R783" s="344">
        <v>33</v>
      </c>
      <c r="S783" s="345">
        <v>33</v>
      </c>
      <c r="T783" s="362">
        <v>33</v>
      </c>
      <c r="U783" s="361">
        <v>87.76</v>
      </c>
      <c r="V783" s="346">
        <v>123.83147552005478</v>
      </c>
      <c r="W783" s="348">
        <v>122.21415631063336</v>
      </c>
      <c r="X783" s="347">
        <v>62.48</v>
      </c>
      <c r="Y783" s="357" t="s">
        <v>408</v>
      </c>
      <c r="Z783" s="365" t="s">
        <v>4408</v>
      </c>
      <c r="AA783" s="350">
        <v>0</v>
      </c>
      <c r="AB783" s="349" t="s">
        <v>2685</v>
      </c>
      <c r="AC783" s="350">
        <v>0</v>
      </c>
      <c r="AD783" s="349" t="s">
        <v>2685</v>
      </c>
      <c r="AE783" s="364">
        <v>0</v>
      </c>
      <c r="AF783" s="366">
        <v>0</v>
      </c>
      <c r="AG783" s="363">
        <v>0</v>
      </c>
      <c r="AH783" s="635" t="s">
        <v>408</v>
      </c>
      <c r="AI783" s="324"/>
      <c r="AL783" s="487" t="s">
        <v>7196</v>
      </c>
      <c r="AM783" s="477" t="s">
        <v>71</v>
      </c>
      <c r="AN783" s="637">
        <v>100</v>
      </c>
      <c r="AO783" s="478">
        <v>-1360</v>
      </c>
      <c r="AP783" s="463">
        <v>-678</v>
      </c>
      <c r="AQ783" s="479">
        <v>-682</v>
      </c>
      <c r="AR783" s="476" t="s">
        <v>16999</v>
      </c>
      <c r="BA783" s="313" t="s">
        <v>4325</v>
      </c>
    </row>
    <row r="784" spans="2:53" ht="16.5" customHeight="1">
      <c r="B784" s="367" t="s">
        <v>4181</v>
      </c>
      <c r="C784" s="351" t="s">
        <v>4182</v>
      </c>
      <c r="D784" s="353">
        <v>-1361</v>
      </c>
      <c r="E784" s="352" t="s">
        <v>4363</v>
      </c>
      <c r="F784" s="341">
        <v>87.76</v>
      </c>
      <c r="G784" s="355" t="s">
        <v>18640</v>
      </c>
      <c r="H784" s="356" t="s">
        <v>4088</v>
      </c>
      <c r="I784" s="354" t="s">
        <v>417</v>
      </c>
      <c r="J784" s="340" t="s">
        <v>8772</v>
      </c>
      <c r="K784" s="339" t="s">
        <v>71</v>
      </c>
      <c r="L784" s="357">
        <v>11</v>
      </c>
      <c r="M784" s="358" t="s">
        <v>10059</v>
      </c>
      <c r="N784" s="359">
        <v>200</v>
      </c>
      <c r="O784" s="360" t="s">
        <v>530</v>
      </c>
      <c r="P784" s="343" t="s">
        <v>530</v>
      </c>
      <c r="Q784" s="342" t="s">
        <v>2688</v>
      </c>
      <c r="R784" s="344">
        <v>30</v>
      </c>
      <c r="S784" s="345">
        <v>30</v>
      </c>
      <c r="T784" s="362">
        <v>25</v>
      </c>
      <c r="U784" s="361">
        <v>87.76</v>
      </c>
      <c r="V784" s="346">
        <v>123.82852983845814</v>
      </c>
      <c r="W784" s="348">
        <v>122.21173045520082</v>
      </c>
      <c r="X784" s="347">
        <v>62.47</v>
      </c>
      <c r="Y784" s="357" t="s">
        <v>408</v>
      </c>
      <c r="Z784" s="365" t="s">
        <v>3017</v>
      </c>
      <c r="AA784" s="350">
        <v>14.25</v>
      </c>
      <c r="AB784" s="349" t="s">
        <v>2685</v>
      </c>
      <c r="AC784" s="350">
        <v>10</v>
      </c>
      <c r="AD784" s="349" t="s">
        <v>2685</v>
      </c>
      <c r="AE784" s="364">
        <v>0</v>
      </c>
      <c r="AF784" s="366">
        <v>0</v>
      </c>
      <c r="AG784" s="363">
        <v>0</v>
      </c>
      <c r="AH784" s="635" t="s">
        <v>408</v>
      </c>
      <c r="AI784" s="324"/>
      <c r="AL784" s="487" t="s">
        <v>15098</v>
      </c>
      <c r="AM784" s="477" t="s">
        <v>71</v>
      </c>
      <c r="AN784" s="637">
        <v>100</v>
      </c>
      <c r="AO784" s="478">
        <v>-1361</v>
      </c>
      <c r="AP784" s="463">
        <v>-679</v>
      </c>
      <c r="AQ784" s="479">
        <v>-682</v>
      </c>
      <c r="AR784" s="476" t="s">
        <v>15111</v>
      </c>
      <c r="BA784" s="313" t="s">
        <v>4327</v>
      </c>
    </row>
    <row r="785" spans="2:53" ht="16.5" customHeight="1">
      <c r="B785" s="367" t="s">
        <v>4181</v>
      </c>
      <c r="C785" s="351" t="s">
        <v>4182</v>
      </c>
      <c r="D785" s="353">
        <v>-1362</v>
      </c>
      <c r="E785" s="352" t="s">
        <v>408</v>
      </c>
      <c r="F785" s="341">
        <v>87.76</v>
      </c>
      <c r="G785" s="355" t="s">
        <v>18640</v>
      </c>
      <c r="H785" s="356" t="s">
        <v>4088</v>
      </c>
      <c r="I785" s="354" t="s">
        <v>417</v>
      </c>
      <c r="J785" s="340" t="s">
        <v>8190</v>
      </c>
      <c r="K785" s="339" t="s">
        <v>71</v>
      </c>
      <c r="L785" s="357">
        <v>15</v>
      </c>
      <c r="M785" s="358" t="s">
        <v>10059</v>
      </c>
      <c r="N785" s="359">
        <v>200</v>
      </c>
      <c r="O785" s="360" t="s">
        <v>530</v>
      </c>
      <c r="P785" s="343" t="s">
        <v>530</v>
      </c>
      <c r="Q785" s="342" t="s">
        <v>2688</v>
      </c>
      <c r="R785" s="344">
        <v>30</v>
      </c>
      <c r="S785" s="345">
        <v>30</v>
      </c>
      <c r="T785" s="362">
        <v>25</v>
      </c>
      <c r="U785" s="361">
        <v>87.76</v>
      </c>
      <c r="V785" s="346">
        <v>123.82852983845814</v>
      </c>
      <c r="W785" s="348">
        <v>122.21173045520082</v>
      </c>
      <c r="X785" s="347">
        <v>62.47</v>
      </c>
      <c r="Y785" s="357" t="s">
        <v>408</v>
      </c>
      <c r="Z785" s="365" t="s">
        <v>3017</v>
      </c>
      <c r="AA785" s="350">
        <v>14.25</v>
      </c>
      <c r="AB785" s="349" t="s">
        <v>2685</v>
      </c>
      <c r="AC785" s="350">
        <v>10</v>
      </c>
      <c r="AD785" s="349" t="s">
        <v>2685</v>
      </c>
      <c r="AE785" s="364">
        <v>0</v>
      </c>
      <c r="AF785" s="366">
        <v>0</v>
      </c>
      <c r="AG785" s="363">
        <v>0</v>
      </c>
      <c r="AH785" s="635" t="s">
        <v>408</v>
      </c>
      <c r="AI785" s="324"/>
      <c r="AL785" s="487" t="s">
        <v>15099</v>
      </c>
      <c r="AM785" s="477" t="s">
        <v>71</v>
      </c>
      <c r="AN785" s="637">
        <v>100</v>
      </c>
      <c r="AO785" s="478">
        <v>-1362</v>
      </c>
      <c r="AP785" s="463">
        <v>-679</v>
      </c>
      <c r="AQ785" s="479">
        <v>-683</v>
      </c>
      <c r="AR785" s="476" t="s">
        <v>15111</v>
      </c>
      <c r="BA785" s="313" t="s">
        <v>4330</v>
      </c>
    </row>
    <row r="786" spans="2:53" ht="16.5" customHeight="1">
      <c r="B786" s="367" t="s">
        <v>10098</v>
      </c>
      <c r="C786" s="351" t="s">
        <v>10099</v>
      </c>
      <c r="D786" s="353">
        <v>-1363</v>
      </c>
      <c r="E786" s="352" t="s">
        <v>10096</v>
      </c>
      <c r="F786" s="341">
        <v>87.69</v>
      </c>
      <c r="G786" s="355" t="s">
        <v>4353</v>
      </c>
      <c r="H786" s="356" t="s">
        <v>10124</v>
      </c>
      <c r="I786" s="354" t="s">
        <v>9336</v>
      </c>
      <c r="J786" s="340" t="s">
        <v>10101</v>
      </c>
      <c r="K786" s="339" t="s">
        <v>71</v>
      </c>
      <c r="L786" s="357">
        <v>4</v>
      </c>
      <c r="M786" s="358" t="s">
        <v>10102</v>
      </c>
      <c r="N786" s="359">
        <v>700</v>
      </c>
      <c r="O786" s="360" t="s">
        <v>532</v>
      </c>
      <c r="P786" s="343" t="s">
        <v>533</v>
      </c>
      <c r="Q786" s="342" t="s">
        <v>2688</v>
      </c>
      <c r="R786" s="344">
        <v>30</v>
      </c>
      <c r="S786" s="345">
        <v>30</v>
      </c>
      <c r="T786" s="362">
        <v>20</v>
      </c>
      <c r="U786" s="361">
        <v>87.69</v>
      </c>
      <c r="V786" s="346">
        <v>123.77572506048547</v>
      </c>
      <c r="W786" s="348">
        <v>122.16824416745862</v>
      </c>
      <c r="X786" s="347">
        <v>62.45</v>
      </c>
      <c r="Y786" s="357">
        <v>65.28</v>
      </c>
      <c r="Z786" s="365" t="s">
        <v>3017</v>
      </c>
      <c r="AA786" s="350">
        <v>138</v>
      </c>
      <c r="AB786" s="349" t="s">
        <v>2685</v>
      </c>
      <c r="AC786" s="350">
        <v>10</v>
      </c>
      <c r="AD786" s="349" t="s">
        <v>2685</v>
      </c>
      <c r="AE786" s="364">
        <v>0</v>
      </c>
      <c r="AF786" s="366">
        <v>0</v>
      </c>
      <c r="AG786" s="363">
        <v>0</v>
      </c>
      <c r="AH786" s="635" t="s">
        <v>408</v>
      </c>
      <c r="AI786" s="324"/>
      <c r="AL786" s="487" t="s">
        <v>15100</v>
      </c>
      <c r="AM786" s="477" t="s">
        <v>71</v>
      </c>
      <c r="AN786" s="637">
        <v>100</v>
      </c>
      <c r="AO786" s="478">
        <v>-1363</v>
      </c>
      <c r="AP786" s="463">
        <v>-679</v>
      </c>
      <c r="AQ786" s="479">
        <v>-684</v>
      </c>
      <c r="AR786" s="476" t="s">
        <v>15116</v>
      </c>
      <c r="BA786" s="313" t="s">
        <v>4332</v>
      </c>
    </row>
    <row r="787" spans="2:53" ht="16.5" customHeight="1">
      <c r="B787" s="367" t="s">
        <v>4222</v>
      </c>
      <c r="C787" s="351" t="s">
        <v>4223</v>
      </c>
      <c r="D787" s="353">
        <v>-1364</v>
      </c>
      <c r="E787" s="352" t="s">
        <v>10096</v>
      </c>
      <c r="F787" s="341">
        <v>87.67</v>
      </c>
      <c r="G787" s="355" t="s">
        <v>10494</v>
      </c>
      <c r="H787" s="356" t="s">
        <v>18641</v>
      </c>
      <c r="I787" s="354" t="s">
        <v>228</v>
      </c>
      <c r="J787" s="340" t="s">
        <v>10104</v>
      </c>
      <c r="K787" s="339" t="s">
        <v>71</v>
      </c>
      <c r="L787" s="357">
        <v>22</v>
      </c>
      <c r="M787" s="358" t="s">
        <v>10105</v>
      </c>
      <c r="N787" s="359">
        <v>1000</v>
      </c>
      <c r="O787" s="360" t="s">
        <v>530</v>
      </c>
      <c r="P787" s="343" t="s">
        <v>531</v>
      </c>
      <c r="Q787" s="342" t="s">
        <v>2688</v>
      </c>
      <c r="R787" s="344">
        <v>35</v>
      </c>
      <c r="S787" s="345">
        <v>30</v>
      </c>
      <c r="T787" s="362">
        <v>35</v>
      </c>
      <c r="U787" s="361">
        <v>87.67</v>
      </c>
      <c r="V787" s="346">
        <v>123.76710165278335</v>
      </c>
      <c r="W787" s="348">
        <v>122.1611425375863</v>
      </c>
      <c r="X787" s="347">
        <v>62.45</v>
      </c>
      <c r="Y787" s="357">
        <v>64.92</v>
      </c>
      <c r="Z787" s="365" t="s">
        <v>2689</v>
      </c>
      <c r="AA787" s="350">
        <v>100</v>
      </c>
      <c r="AB787" s="349" t="s">
        <v>2685</v>
      </c>
      <c r="AC787" s="350">
        <v>10</v>
      </c>
      <c r="AD787" s="349" t="s">
        <v>2685</v>
      </c>
      <c r="AE787" s="364">
        <v>0</v>
      </c>
      <c r="AF787" s="366">
        <v>11.361000000000001</v>
      </c>
      <c r="AG787" s="363">
        <v>0</v>
      </c>
      <c r="AH787" s="635" t="s">
        <v>5862</v>
      </c>
      <c r="AI787" s="324"/>
      <c r="AL787" s="487" t="s">
        <v>15101</v>
      </c>
      <c r="AM787" s="477" t="s">
        <v>71</v>
      </c>
      <c r="AN787" s="637">
        <v>100</v>
      </c>
      <c r="AO787" s="478">
        <v>-1364</v>
      </c>
      <c r="AP787" s="463">
        <v>-679</v>
      </c>
      <c r="AQ787" s="479">
        <v>-685</v>
      </c>
      <c r="AR787" s="476" t="s">
        <v>17000</v>
      </c>
      <c r="BA787" s="313" t="s">
        <v>4336</v>
      </c>
    </row>
    <row r="788" spans="2:53" ht="16.5" customHeight="1">
      <c r="B788" s="367" t="s">
        <v>4226</v>
      </c>
      <c r="C788" s="351" t="s">
        <v>4227</v>
      </c>
      <c r="D788" s="353">
        <v>-1365</v>
      </c>
      <c r="E788" s="352" t="s">
        <v>10100</v>
      </c>
      <c r="F788" s="341">
        <v>87.66</v>
      </c>
      <c r="G788" s="355" t="s">
        <v>10106</v>
      </c>
      <c r="H788" s="356" t="s">
        <v>10107</v>
      </c>
      <c r="I788" s="354" t="s">
        <v>236</v>
      </c>
      <c r="J788" s="340" t="s">
        <v>10108</v>
      </c>
      <c r="K788" s="339" t="s">
        <v>70</v>
      </c>
      <c r="L788" s="357">
        <v>27</v>
      </c>
      <c r="M788" s="358" t="s">
        <v>10109</v>
      </c>
      <c r="N788" s="359">
        <v>1000</v>
      </c>
      <c r="O788" s="360" t="s">
        <v>532</v>
      </c>
      <c r="P788" s="343" t="s">
        <v>533</v>
      </c>
      <c r="Q788" s="342" t="s">
        <v>2688</v>
      </c>
      <c r="R788" s="344">
        <v>20</v>
      </c>
      <c r="S788" s="345">
        <v>35</v>
      </c>
      <c r="T788" s="362">
        <v>25</v>
      </c>
      <c r="U788" s="361">
        <v>87.66</v>
      </c>
      <c r="V788" s="346">
        <v>123.75883795918909</v>
      </c>
      <c r="W788" s="348">
        <v>122.15433714286161</v>
      </c>
      <c r="X788" s="347">
        <v>62.21</v>
      </c>
      <c r="Y788" s="357">
        <v>62.98</v>
      </c>
      <c r="Z788" s="365" t="s">
        <v>3017</v>
      </c>
      <c r="AA788" s="350">
        <v>194</v>
      </c>
      <c r="AB788" s="349" t="s">
        <v>2685</v>
      </c>
      <c r="AC788" s="350">
        <v>4</v>
      </c>
      <c r="AD788" s="349" t="s">
        <v>2685</v>
      </c>
      <c r="AE788" s="364">
        <v>0</v>
      </c>
      <c r="AF788" s="366">
        <v>10.491</v>
      </c>
      <c r="AG788" s="363">
        <v>0</v>
      </c>
      <c r="AH788" s="635" t="s">
        <v>8990</v>
      </c>
      <c r="AI788" s="324"/>
      <c r="AL788" s="487" t="s">
        <v>15102</v>
      </c>
      <c r="AM788" s="477" t="s">
        <v>70</v>
      </c>
      <c r="AN788" s="637">
        <v>100</v>
      </c>
      <c r="AO788" s="478">
        <v>-1365</v>
      </c>
      <c r="AP788" s="463">
        <v>-1365</v>
      </c>
      <c r="AQ788" s="479">
        <v>0</v>
      </c>
      <c r="AR788" s="476" t="s">
        <v>15103</v>
      </c>
      <c r="BA788" s="313" t="s">
        <v>4339</v>
      </c>
    </row>
    <row r="789" spans="2:53" ht="16.5" customHeight="1">
      <c r="B789" s="367" t="s">
        <v>4232</v>
      </c>
      <c r="C789" s="351" t="s">
        <v>4233</v>
      </c>
      <c r="D789" s="353">
        <v>-1366</v>
      </c>
      <c r="E789" s="352" t="s">
        <v>10103</v>
      </c>
      <c r="F789" s="341">
        <v>87.65</v>
      </c>
      <c r="G789" s="355" t="s">
        <v>10112</v>
      </c>
      <c r="H789" s="356" t="s">
        <v>4075</v>
      </c>
      <c r="I789" s="354" t="s">
        <v>254</v>
      </c>
      <c r="J789" s="340" t="s">
        <v>10113</v>
      </c>
      <c r="K789" s="339" t="s">
        <v>70</v>
      </c>
      <c r="L789" s="357">
        <v>10</v>
      </c>
      <c r="M789" s="358" t="s">
        <v>10114</v>
      </c>
      <c r="N789" s="359">
        <v>1000</v>
      </c>
      <c r="O789" s="360" t="s">
        <v>532</v>
      </c>
      <c r="P789" s="343" t="s">
        <v>533</v>
      </c>
      <c r="Q789" s="342" t="s">
        <v>2688</v>
      </c>
      <c r="R789" s="344">
        <v>25</v>
      </c>
      <c r="S789" s="345">
        <v>35</v>
      </c>
      <c r="T789" s="362">
        <v>20</v>
      </c>
      <c r="U789" s="361">
        <v>87.65</v>
      </c>
      <c r="V789" s="346">
        <v>123.74872911589104</v>
      </c>
      <c r="W789" s="348">
        <v>122.14601221308675</v>
      </c>
      <c r="X789" s="347">
        <v>62.21</v>
      </c>
      <c r="Y789" s="357">
        <v>62.97</v>
      </c>
      <c r="Z789" s="365" t="s">
        <v>3017</v>
      </c>
      <c r="AA789" s="350">
        <v>196</v>
      </c>
      <c r="AB789" s="349" t="s">
        <v>2685</v>
      </c>
      <c r="AC789" s="350">
        <v>3</v>
      </c>
      <c r="AD789" s="349" t="s">
        <v>2685</v>
      </c>
      <c r="AE789" s="364">
        <v>0</v>
      </c>
      <c r="AF789" s="366">
        <v>0</v>
      </c>
      <c r="AG789" s="363">
        <v>0</v>
      </c>
      <c r="AH789" s="635" t="s">
        <v>408</v>
      </c>
      <c r="AI789" s="324"/>
      <c r="AL789" s="487" t="s">
        <v>15104</v>
      </c>
      <c r="AM789" s="477" t="s">
        <v>70</v>
      </c>
      <c r="AN789" s="637">
        <v>100</v>
      </c>
      <c r="AO789" s="478">
        <v>-1366</v>
      </c>
      <c r="AP789" s="463">
        <v>-1366</v>
      </c>
      <c r="AQ789" s="479">
        <v>0</v>
      </c>
      <c r="AR789" s="476" t="s">
        <v>15105</v>
      </c>
      <c r="BA789" s="313" t="s">
        <v>4340</v>
      </c>
    </row>
    <row r="790" spans="2:53" ht="16.5" customHeight="1">
      <c r="B790" s="367" t="s">
        <v>4205</v>
      </c>
      <c r="C790" s="351" t="s">
        <v>4206</v>
      </c>
      <c r="D790" s="353">
        <v>-1367</v>
      </c>
      <c r="E790" s="352" t="s">
        <v>408</v>
      </c>
      <c r="F790" s="341">
        <v>87.58</v>
      </c>
      <c r="G790" s="355" t="s">
        <v>10518</v>
      </c>
      <c r="H790" s="356" t="s">
        <v>18642</v>
      </c>
      <c r="I790" s="354" t="s">
        <v>417</v>
      </c>
      <c r="J790" s="340" t="s">
        <v>561</v>
      </c>
      <c r="K790" s="339" t="s">
        <v>71</v>
      </c>
      <c r="L790" s="357">
        <v>11</v>
      </c>
      <c r="M790" s="358" t="s">
        <v>10097</v>
      </c>
      <c r="N790" s="359">
        <v>200</v>
      </c>
      <c r="O790" s="360" t="s">
        <v>530</v>
      </c>
      <c r="P790" s="343" t="s">
        <v>530</v>
      </c>
      <c r="Q790" s="342" t="s">
        <v>2688</v>
      </c>
      <c r="R790" s="344">
        <v>30</v>
      </c>
      <c r="S790" s="345">
        <v>30</v>
      </c>
      <c r="T790" s="362">
        <v>25</v>
      </c>
      <c r="U790" s="361">
        <v>87.58</v>
      </c>
      <c r="V790" s="346">
        <v>123.70004642339882</v>
      </c>
      <c r="W790" s="348">
        <v>122.1059205839755</v>
      </c>
      <c r="X790" s="347">
        <v>62.42</v>
      </c>
      <c r="Y790" s="357" t="s">
        <v>408</v>
      </c>
      <c r="Z790" s="365" t="s">
        <v>3017</v>
      </c>
      <c r="AA790" s="350">
        <v>14.25</v>
      </c>
      <c r="AB790" s="349" t="s">
        <v>2685</v>
      </c>
      <c r="AC790" s="350">
        <v>10</v>
      </c>
      <c r="AD790" s="349" t="s">
        <v>2685</v>
      </c>
      <c r="AE790" s="364">
        <v>0</v>
      </c>
      <c r="AF790" s="366">
        <v>0</v>
      </c>
      <c r="AG790" s="363">
        <v>0</v>
      </c>
      <c r="AH790" s="635" t="s">
        <v>408</v>
      </c>
      <c r="AI790" s="324"/>
      <c r="AL790" s="487" t="s">
        <v>15107</v>
      </c>
      <c r="AM790" s="477" t="s">
        <v>71</v>
      </c>
      <c r="AN790" s="637">
        <v>100</v>
      </c>
      <c r="AO790" s="478">
        <v>-1367</v>
      </c>
      <c r="AP790" s="463">
        <v>-680</v>
      </c>
      <c r="AQ790" s="479">
        <v>-687</v>
      </c>
      <c r="AR790" s="476" t="s">
        <v>17001</v>
      </c>
      <c r="BA790" s="313" t="s">
        <v>4342</v>
      </c>
    </row>
    <row r="791" spans="2:53" ht="16.5" customHeight="1">
      <c r="B791" s="367" t="s">
        <v>4205</v>
      </c>
      <c r="C791" s="351" t="s">
        <v>4206</v>
      </c>
      <c r="D791" s="353">
        <v>-1368</v>
      </c>
      <c r="E791" s="352" t="s">
        <v>408</v>
      </c>
      <c r="F791" s="341">
        <v>87.58</v>
      </c>
      <c r="G791" s="355" t="s">
        <v>10518</v>
      </c>
      <c r="H791" s="356" t="s">
        <v>18642</v>
      </c>
      <c r="I791" s="354" t="s">
        <v>417</v>
      </c>
      <c r="J791" s="340" t="s">
        <v>8232</v>
      </c>
      <c r="K791" s="339" t="s">
        <v>71</v>
      </c>
      <c r="L791" s="357">
        <v>8</v>
      </c>
      <c r="M791" s="358" t="s">
        <v>10097</v>
      </c>
      <c r="N791" s="359">
        <v>200</v>
      </c>
      <c r="O791" s="360" t="s">
        <v>530</v>
      </c>
      <c r="P791" s="343" t="s">
        <v>530</v>
      </c>
      <c r="Q791" s="342" t="s">
        <v>2688</v>
      </c>
      <c r="R791" s="344">
        <v>30</v>
      </c>
      <c r="S791" s="345">
        <v>30</v>
      </c>
      <c r="T791" s="362">
        <v>25</v>
      </c>
      <c r="U791" s="361">
        <v>87.58</v>
      </c>
      <c r="V791" s="346">
        <v>123.70004642339882</v>
      </c>
      <c r="W791" s="348">
        <v>122.1059205839755</v>
      </c>
      <c r="X791" s="347">
        <v>62.42</v>
      </c>
      <c r="Y791" s="357" t="s">
        <v>408</v>
      </c>
      <c r="Z791" s="365" t="s">
        <v>3017</v>
      </c>
      <c r="AA791" s="350">
        <v>14.25</v>
      </c>
      <c r="AB791" s="349" t="s">
        <v>2685</v>
      </c>
      <c r="AC791" s="350">
        <v>10</v>
      </c>
      <c r="AD791" s="349" t="s">
        <v>2685</v>
      </c>
      <c r="AE791" s="364">
        <v>0</v>
      </c>
      <c r="AF791" s="366">
        <v>0</v>
      </c>
      <c r="AG791" s="363">
        <v>0</v>
      </c>
      <c r="AH791" s="635" t="s">
        <v>408</v>
      </c>
      <c r="AI791" s="324"/>
      <c r="AL791" s="487" t="s">
        <v>15108</v>
      </c>
      <c r="AM791" s="477" t="s">
        <v>71</v>
      </c>
      <c r="AN791" s="637">
        <v>100</v>
      </c>
      <c r="AO791" s="478">
        <v>-1368</v>
      </c>
      <c r="AP791" s="463">
        <v>-680</v>
      </c>
      <c r="AQ791" s="479">
        <v>-688</v>
      </c>
      <c r="AR791" s="476" t="s">
        <v>17001</v>
      </c>
      <c r="BA791" s="313" t="s">
        <v>4344</v>
      </c>
    </row>
    <row r="792" spans="2:53" ht="16.5" customHeight="1">
      <c r="B792" s="367" t="s">
        <v>10115</v>
      </c>
      <c r="C792" s="351" t="s">
        <v>10116</v>
      </c>
      <c r="D792" s="353">
        <v>-1369</v>
      </c>
      <c r="E792" s="352" t="s">
        <v>408</v>
      </c>
      <c r="F792" s="341">
        <v>87.54</v>
      </c>
      <c r="G792" s="355" t="s">
        <v>10117</v>
      </c>
      <c r="H792" s="356" t="s">
        <v>10118</v>
      </c>
      <c r="I792" s="354" t="s">
        <v>238</v>
      </c>
      <c r="J792" s="340" t="s">
        <v>8056</v>
      </c>
      <c r="K792" s="339" t="s">
        <v>70</v>
      </c>
      <c r="L792" s="357">
        <v>6</v>
      </c>
      <c r="M792" s="358" t="s">
        <v>10119</v>
      </c>
      <c r="N792" s="359">
        <v>1000</v>
      </c>
      <c r="O792" s="360" t="s">
        <v>532</v>
      </c>
      <c r="P792" s="343" t="s">
        <v>533</v>
      </c>
      <c r="Q792" s="342" t="s">
        <v>2688</v>
      </c>
      <c r="R792" s="344">
        <v>25</v>
      </c>
      <c r="S792" s="345">
        <v>35</v>
      </c>
      <c r="T792" s="362">
        <v>30</v>
      </c>
      <c r="U792" s="361">
        <v>87.54</v>
      </c>
      <c r="V792" s="346">
        <v>123.67092260897567</v>
      </c>
      <c r="W792" s="348">
        <v>122.08193626621527</v>
      </c>
      <c r="X792" s="347">
        <v>62.17</v>
      </c>
      <c r="Y792" s="357">
        <v>62.94</v>
      </c>
      <c r="Z792" s="365" t="s">
        <v>3017</v>
      </c>
      <c r="AA792" s="350">
        <v>98</v>
      </c>
      <c r="AB792" s="349" t="s">
        <v>2685</v>
      </c>
      <c r="AC792" s="350">
        <v>0</v>
      </c>
      <c r="AD792" s="349" t="s">
        <v>2685</v>
      </c>
      <c r="AE792" s="364">
        <v>0</v>
      </c>
      <c r="AF792" s="366">
        <v>17.248000000000001</v>
      </c>
      <c r="AG792" s="363">
        <v>0</v>
      </c>
      <c r="AH792" s="635" t="s">
        <v>7882</v>
      </c>
      <c r="AI792" s="324"/>
      <c r="AL792" s="487" t="s">
        <v>15109</v>
      </c>
      <c r="AM792" s="477" t="s">
        <v>70</v>
      </c>
      <c r="AN792" s="637">
        <v>100</v>
      </c>
      <c r="AO792" s="478">
        <v>-1369</v>
      </c>
      <c r="AP792" s="463">
        <v>-1369</v>
      </c>
      <c r="AQ792" s="479">
        <v>0</v>
      </c>
      <c r="AR792" s="476" t="s">
        <v>17222</v>
      </c>
      <c r="BA792" s="313" t="s">
        <v>4345</v>
      </c>
    </row>
    <row r="793" spans="2:53" ht="16.5" customHeight="1">
      <c r="B793" s="367" t="s">
        <v>4244</v>
      </c>
      <c r="C793" s="351" t="s">
        <v>4245</v>
      </c>
      <c r="D793" s="353">
        <v>-1370</v>
      </c>
      <c r="E793" s="352" t="s">
        <v>408</v>
      </c>
      <c r="F793" s="341">
        <v>87.52</v>
      </c>
      <c r="G793" s="355" t="s">
        <v>18643</v>
      </c>
      <c r="H793" s="356" t="s">
        <v>4120</v>
      </c>
      <c r="I793" s="354" t="s">
        <v>9336</v>
      </c>
      <c r="J793" s="340" t="s">
        <v>10121</v>
      </c>
      <c r="K793" s="339" t="s">
        <v>71</v>
      </c>
      <c r="L793" s="357">
        <v>9</v>
      </c>
      <c r="M793" s="358" t="s">
        <v>10122</v>
      </c>
      <c r="N793" s="359">
        <v>700</v>
      </c>
      <c r="O793" s="360" t="s">
        <v>532</v>
      </c>
      <c r="P793" s="343" t="s">
        <v>533</v>
      </c>
      <c r="Q793" s="342" t="s">
        <v>2688</v>
      </c>
      <c r="R793" s="344">
        <v>30</v>
      </c>
      <c r="S793" s="345">
        <v>30</v>
      </c>
      <c r="T793" s="362">
        <v>20</v>
      </c>
      <c r="U793" s="361">
        <v>87.52</v>
      </c>
      <c r="V793" s="346">
        <v>123.65982564175808</v>
      </c>
      <c r="W793" s="348">
        <v>122.07279758733019</v>
      </c>
      <c r="X793" s="347">
        <v>62.4</v>
      </c>
      <c r="Y793" s="357">
        <v>65.190000000000012</v>
      </c>
      <c r="Z793" s="365" t="s">
        <v>3017</v>
      </c>
      <c r="AA793" s="350">
        <v>138</v>
      </c>
      <c r="AB793" s="349" t="s">
        <v>2685</v>
      </c>
      <c r="AC793" s="350">
        <v>10</v>
      </c>
      <c r="AD793" s="349" t="s">
        <v>2685</v>
      </c>
      <c r="AE793" s="364">
        <v>0</v>
      </c>
      <c r="AF793" s="366">
        <v>0</v>
      </c>
      <c r="AG793" s="363">
        <v>0</v>
      </c>
      <c r="AH793" s="635" t="s">
        <v>408</v>
      </c>
      <c r="AI793" s="324"/>
      <c r="AL793" s="487" t="s">
        <v>15110</v>
      </c>
      <c r="AM793" s="477" t="s">
        <v>71</v>
      </c>
      <c r="AN793" s="637">
        <v>100</v>
      </c>
      <c r="AO793" s="478">
        <v>-1370</v>
      </c>
      <c r="AP793" s="463">
        <v>-681</v>
      </c>
      <c r="AQ793" s="479">
        <v>-689</v>
      </c>
      <c r="AR793" s="476" t="s">
        <v>17002</v>
      </c>
      <c r="BA793" s="313" t="s">
        <v>4346</v>
      </c>
    </row>
    <row r="794" spans="2:53" ht="16.5" customHeight="1">
      <c r="B794" s="367" t="s">
        <v>4255</v>
      </c>
      <c r="C794" s="351" t="s">
        <v>4256</v>
      </c>
      <c r="D794" s="353">
        <v>-1371</v>
      </c>
      <c r="E794" s="352" t="s">
        <v>4390</v>
      </c>
      <c r="F794" s="341">
        <v>87.5</v>
      </c>
      <c r="G794" s="355" t="s">
        <v>10123</v>
      </c>
      <c r="H794" s="356" t="s">
        <v>9750</v>
      </c>
      <c r="I794" s="354" t="s">
        <v>497</v>
      </c>
      <c r="J794" s="340" t="s">
        <v>10125</v>
      </c>
      <c r="K794" s="339" t="s">
        <v>71</v>
      </c>
      <c r="L794" s="357">
        <v>5</v>
      </c>
      <c r="M794" s="358" t="s">
        <v>10126</v>
      </c>
      <c r="N794" s="359">
        <v>200</v>
      </c>
      <c r="O794" s="360" t="s">
        <v>454</v>
      </c>
      <c r="P794" s="343" t="s">
        <v>454</v>
      </c>
      <c r="Q794" s="342" t="s">
        <v>2738</v>
      </c>
      <c r="R794" s="344">
        <v>50</v>
      </c>
      <c r="S794" s="345">
        <v>0</v>
      </c>
      <c r="T794" s="362">
        <v>0</v>
      </c>
      <c r="U794" s="361">
        <v>87.5</v>
      </c>
      <c r="V794" s="346">
        <v>123.64285714285714</v>
      </c>
      <c r="W794" s="348">
        <v>122.05882352941177</v>
      </c>
      <c r="X794" s="347">
        <v>62.16</v>
      </c>
      <c r="Y794" s="357" t="s">
        <v>408</v>
      </c>
      <c r="Z794" s="365" t="s">
        <v>4408</v>
      </c>
      <c r="AA794" s="350">
        <v>94</v>
      </c>
      <c r="AB794" s="349" t="s">
        <v>2685</v>
      </c>
      <c r="AC794" s="350">
        <v>1.5</v>
      </c>
      <c r="AD794" s="349" t="s">
        <v>2685</v>
      </c>
      <c r="AE794" s="364">
        <v>0</v>
      </c>
      <c r="AF794" s="366">
        <v>0</v>
      </c>
      <c r="AG794" s="363">
        <v>0</v>
      </c>
      <c r="AH794" s="635" t="s">
        <v>10127</v>
      </c>
      <c r="AI794" s="324"/>
      <c r="AL794" s="487" t="s">
        <v>15112</v>
      </c>
      <c r="AM794" s="477" t="s">
        <v>71</v>
      </c>
      <c r="AN794" s="637">
        <v>100</v>
      </c>
      <c r="AO794" s="478">
        <v>-1371</v>
      </c>
      <c r="AP794" s="463">
        <v>-678</v>
      </c>
      <c r="AQ794" s="479">
        <v>-693</v>
      </c>
      <c r="AR794" s="476" t="s">
        <v>17003</v>
      </c>
      <c r="BA794" s="313" t="s">
        <v>4350</v>
      </c>
    </row>
    <row r="795" spans="2:53" ht="16.5" customHeight="1">
      <c r="B795" s="367" t="s">
        <v>4266</v>
      </c>
      <c r="C795" s="351" t="s">
        <v>4267</v>
      </c>
      <c r="D795" s="353">
        <v>-1372</v>
      </c>
      <c r="E795" s="352" t="s">
        <v>408</v>
      </c>
      <c r="F795" s="341">
        <v>87.47</v>
      </c>
      <c r="G795" s="355" t="s">
        <v>10131</v>
      </c>
      <c r="H795" s="356" t="s">
        <v>4096</v>
      </c>
      <c r="I795" s="354" t="s">
        <v>238</v>
      </c>
      <c r="J795" s="340" t="s">
        <v>7250</v>
      </c>
      <c r="K795" s="339" t="s">
        <v>70</v>
      </c>
      <c r="L795" s="357">
        <v>20</v>
      </c>
      <c r="M795" s="358" t="s">
        <v>10132</v>
      </c>
      <c r="N795" s="359">
        <v>1000</v>
      </c>
      <c r="O795" s="360" t="s">
        <v>532</v>
      </c>
      <c r="P795" s="343" t="s">
        <v>533</v>
      </c>
      <c r="Q795" s="342" t="s">
        <v>2688</v>
      </c>
      <c r="R795" s="344">
        <v>25</v>
      </c>
      <c r="S795" s="345">
        <v>35</v>
      </c>
      <c r="T795" s="362">
        <v>30</v>
      </c>
      <c r="U795" s="361">
        <v>87.47</v>
      </c>
      <c r="V795" s="346">
        <v>123.62209408173139</v>
      </c>
      <c r="W795" s="348">
        <v>122.04172453789644</v>
      </c>
      <c r="X795" s="347">
        <v>62.15</v>
      </c>
      <c r="Y795" s="357">
        <v>62.91</v>
      </c>
      <c r="Z795" s="365" t="s">
        <v>3017</v>
      </c>
      <c r="AA795" s="350">
        <v>98</v>
      </c>
      <c r="AB795" s="349" t="s">
        <v>2685</v>
      </c>
      <c r="AC795" s="350">
        <v>0</v>
      </c>
      <c r="AD795" s="349" t="s">
        <v>2685</v>
      </c>
      <c r="AE795" s="364">
        <v>0</v>
      </c>
      <c r="AF795" s="366">
        <v>17.242000000000001</v>
      </c>
      <c r="AG795" s="363">
        <v>0</v>
      </c>
      <c r="AH795" s="635" t="s">
        <v>7882</v>
      </c>
      <c r="AL795" s="487" t="s">
        <v>15113</v>
      </c>
      <c r="AM795" s="477" t="s">
        <v>70</v>
      </c>
      <c r="AN795" s="637">
        <v>100</v>
      </c>
      <c r="AO795" s="478">
        <v>-1372</v>
      </c>
      <c r="AP795" s="463">
        <v>-1372</v>
      </c>
      <c r="AQ795" s="479">
        <v>0</v>
      </c>
      <c r="AR795" s="476" t="s">
        <v>15114</v>
      </c>
      <c r="BA795" s="313" t="s">
        <v>4352</v>
      </c>
    </row>
    <row r="796" spans="2:53" ht="16.5" customHeight="1">
      <c r="B796" s="367" t="s">
        <v>4269</v>
      </c>
      <c r="C796" s="351" t="s">
        <v>4270</v>
      </c>
      <c r="D796" s="353">
        <v>-1373</v>
      </c>
      <c r="E796" s="352" t="s">
        <v>408</v>
      </c>
      <c r="F796" s="341">
        <v>87.46</v>
      </c>
      <c r="G796" s="355" t="s">
        <v>10100</v>
      </c>
      <c r="H796" s="356" t="s">
        <v>18644</v>
      </c>
      <c r="I796" s="354" t="s">
        <v>233</v>
      </c>
      <c r="J796" s="340" t="s">
        <v>10136</v>
      </c>
      <c r="K796" s="339" t="s">
        <v>71</v>
      </c>
      <c r="L796" s="357">
        <v>5</v>
      </c>
      <c r="M796" s="358" t="s">
        <v>10137</v>
      </c>
      <c r="N796" s="359">
        <v>1000</v>
      </c>
      <c r="O796" s="360" t="s">
        <v>530</v>
      </c>
      <c r="P796" s="343" t="s">
        <v>531</v>
      </c>
      <c r="Q796" s="342" t="s">
        <v>2688</v>
      </c>
      <c r="R796" s="344">
        <v>35</v>
      </c>
      <c r="S796" s="345">
        <v>25</v>
      </c>
      <c r="T796" s="362">
        <v>25</v>
      </c>
      <c r="U796" s="361">
        <v>87.46</v>
      </c>
      <c r="V796" s="346">
        <v>123.61227610310178</v>
      </c>
      <c r="W796" s="348">
        <v>122.03363914373088</v>
      </c>
      <c r="X796" s="347">
        <v>62.38</v>
      </c>
      <c r="Y796" s="357">
        <v>62.91</v>
      </c>
      <c r="Z796" s="365" t="s">
        <v>3017</v>
      </c>
      <c r="AA796" s="350">
        <v>149.25</v>
      </c>
      <c r="AB796" s="349" t="s">
        <v>2685</v>
      </c>
      <c r="AC796" s="350">
        <v>0</v>
      </c>
      <c r="AD796" s="349" t="s">
        <v>2685</v>
      </c>
      <c r="AE796" s="364">
        <v>0</v>
      </c>
      <c r="AF796" s="366">
        <v>0</v>
      </c>
      <c r="AG796" s="363">
        <v>0</v>
      </c>
      <c r="AH796" s="635" t="s">
        <v>408</v>
      </c>
      <c r="AL796" s="487" t="s">
        <v>15115</v>
      </c>
      <c r="AM796" s="477" t="s">
        <v>71</v>
      </c>
      <c r="AN796" s="637">
        <v>100</v>
      </c>
      <c r="AO796" s="478">
        <v>-1373</v>
      </c>
      <c r="AP796" s="463">
        <v>-681</v>
      </c>
      <c r="AQ796" s="479">
        <v>-692</v>
      </c>
      <c r="AR796" s="476" t="s">
        <v>17004</v>
      </c>
      <c r="BA796" s="313" t="s">
        <v>4354</v>
      </c>
    </row>
    <row r="797" spans="2:53" ht="16.5" customHeight="1">
      <c r="B797" s="367" t="s">
        <v>10138</v>
      </c>
      <c r="C797" s="351" t="s">
        <v>10139</v>
      </c>
      <c r="D797" s="353">
        <v>-1374</v>
      </c>
      <c r="E797" s="352" t="s">
        <v>408</v>
      </c>
      <c r="F797" s="341">
        <v>87.39</v>
      </c>
      <c r="G797" s="355" t="s">
        <v>18645</v>
      </c>
      <c r="H797" s="356" t="s">
        <v>4131</v>
      </c>
      <c r="I797" s="354" t="s">
        <v>83</v>
      </c>
      <c r="J797" s="340" t="s">
        <v>499</v>
      </c>
      <c r="K797" s="339" t="s">
        <v>71</v>
      </c>
      <c r="L797" s="357">
        <v>13</v>
      </c>
      <c r="M797" s="358" t="s">
        <v>10141</v>
      </c>
      <c r="N797" s="359">
        <v>1000</v>
      </c>
      <c r="O797" s="360" t="s">
        <v>532</v>
      </c>
      <c r="P797" s="343" t="s">
        <v>533</v>
      </c>
      <c r="Q797" s="342" t="s">
        <v>2688</v>
      </c>
      <c r="R797" s="344">
        <v>35</v>
      </c>
      <c r="S797" s="345">
        <v>30</v>
      </c>
      <c r="T797" s="362">
        <v>20</v>
      </c>
      <c r="U797" s="361">
        <v>87.39</v>
      </c>
      <c r="V797" s="346">
        <v>123.56244808131657</v>
      </c>
      <c r="W797" s="348">
        <v>121.994285142656</v>
      </c>
      <c r="X797" s="347">
        <v>62.35</v>
      </c>
      <c r="Y797" s="357">
        <v>62.57</v>
      </c>
      <c r="Z797" s="365" t="s">
        <v>3017</v>
      </c>
      <c r="AA797" s="350">
        <v>148</v>
      </c>
      <c r="AB797" s="349" t="s">
        <v>2685</v>
      </c>
      <c r="AC797" s="350">
        <v>0</v>
      </c>
      <c r="AD797" s="349" t="s">
        <v>2685</v>
      </c>
      <c r="AE797" s="364">
        <v>0</v>
      </c>
      <c r="AF797" s="366">
        <v>5.3719999999999999</v>
      </c>
      <c r="AG797" s="363">
        <v>0</v>
      </c>
      <c r="AH797" s="635" t="s">
        <v>8698</v>
      </c>
      <c r="AL797" s="487" t="s">
        <v>15119</v>
      </c>
      <c r="AM797" s="477" t="s">
        <v>71</v>
      </c>
      <c r="AN797" s="637">
        <v>100</v>
      </c>
      <c r="AO797" s="478">
        <v>-1374</v>
      </c>
      <c r="AP797" s="463">
        <v>-681</v>
      </c>
      <c r="AQ797" s="479">
        <v>-693</v>
      </c>
      <c r="AR797" s="476" t="s">
        <v>17005</v>
      </c>
      <c r="BA797" s="313" t="s">
        <v>4357</v>
      </c>
    </row>
    <row r="798" spans="2:53" ht="16.5" customHeight="1">
      <c r="B798" s="367" t="s">
        <v>10145</v>
      </c>
      <c r="C798" s="351" t="s">
        <v>10146</v>
      </c>
      <c r="D798" s="353">
        <v>-1375</v>
      </c>
      <c r="E798" s="352" t="s">
        <v>408</v>
      </c>
      <c r="F798" s="341">
        <v>87.36</v>
      </c>
      <c r="G798" s="355" t="s">
        <v>10147</v>
      </c>
      <c r="H798" s="356" t="s">
        <v>10148</v>
      </c>
      <c r="I798" s="354" t="s">
        <v>236</v>
      </c>
      <c r="J798" s="340" t="s">
        <v>7351</v>
      </c>
      <c r="K798" s="339" t="s">
        <v>70</v>
      </c>
      <c r="L798" s="357">
        <v>18</v>
      </c>
      <c r="M798" s="358" t="s">
        <v>10149</v>
      </c>
      <c r="N798" s="359">
        <v>1000</v>
      </c>
      <c r="O798" s="360" t="s">
        <v>532</v>
      </c>
      <c r="P798" s="343" t="s">
        <v>533</v>
      </c>
      <c r="Q798" s="342" t="s">
        <v>2688</v>
      </c>
      <c r="R798" s="344">
        <v>20</v>
      </c>
      <c r="S798" s="345">
        <v>35</v>
      </c>
      <c r="T798" s="362">
        <v>25</v>
      </c>
      <c r="U798" s="361">
        <v>87.36</v>
      </c>
      <c r="V798" s="346">
        <v>123.54378407605833</v>
      </c>
      <c r="W798" s="348">
        <v>121.98240804840076</v>
      </c>
      <c r="X798" s="347">
        <v>62.11</v>
      </c>
      <c r="Y798" s="357">
        <v>62.87</v>
      </c>
      <c r="Z798" s="365" t="s">
        <v>3017</v>
      </c>
      <c r="AA798" s="350">
        <v>194</v>
      </c>
      <c r="AB798" s="349" t="s">
        <v>2685</v>
      </c>
      <c r="AC798" s="350">
        <v>4</v>
      </c>
      <c r="AD798" s="349" t="s">
        <v>2685</v>
      </c>
      <c r="AE798" s="364">
        <v>0</v>
      </c>
      <c r="AF798" s="366">
        <v>10.467000000000001</v>
      </c>
      <c r="AG798" s="363">
        <v>0</v>
      </c>
      <c r="AH798" s="635" t="s">
        <v>8990</v>
      </c>
      <c r="AL798" s="487" t="s">
        <v>15120</v>
      </c>
      <c r="AM798" s="477" t="s">
        <v>70</v>
      </c>
      <c r="AN798" s="637">
        <v>100</v>
      </c>
      <c r="AO798" s="478">
        <v>-1375</v>
      </c>
      <c r="AP798" s="463">
        <v>-1375</v>
      </c>
      <c r="AQ798" s="479">
        <v>0</v>
      </c>
      <c r="AR798" s="476" t="s">
        <v>15121</v>
      </c>
      <c r="BA798" s="313" t="s">
        <v>4358</v>
      </c>
    </row>
    <row r="799" spans="2:53" ht="16.5" customHeight="1">
      <c r="B799" s="367" t="s">
        <v>10150</v>
      </c>
      <c r="C799" s="351" t="s">
        <v>10151</v>
      </c>
      <c r="D799" s="353">
        <v>-1376</v>
      </c>
      <c r="E799" s="352" t="s">
        <v>10135</v>
      </c>
      <c r="F799" s="341">
        <v>87.33</v>
      </c>
      <c r="G799" s="355" t="s">
        <v>10152</v>
      </c>
      <c r="H799" s="356" t="s">
        <v>9749</v>
      </c>
      <c r="I799" s="354" t="s">
        <v>496</v>
      </c>
      <c r="J799" s="340" t="s">
        <v>8633</v>
      </c>
      <c r="K799" s="339" t="s">
        <v>71</v>
      </c>
      <c r="L799" s="357">
        <v>10</v>
      </c>
      <c r="M799" s="358" t="s">
        <v>10153</v>
      </c>
      <c r="N799" s="359">
        <v>1000</v>
      </c>
      <c r="O799" s="360" t="s">
        <v>530</v>
      </c>
      <c r="P799" s="343" t="s">
        <v>531</v>
      </c>
      <c r="Q799" s="342" t="s">
        <v>2738</v>
      </c>
      <c r="R799" s="344">
        <v>29</v>
      </c>
      <c r="S799" s="345">
        <v>29</v>
      </c>
      <c r="T799" s="362">
        <v>29</v>
      </c>
      <c r="U799" s="361">
        <v>87.33</v>
      </c>
      <c r="V799" s="346">
        <v>123.51870187018699</v>
      </c>
      <c r="W799" s="348">
        <v>121.96644664466444</v>
      </c>
      <c r="X799" s="347">
        <v>62.1</v>
      </c>
      <c r="Y799" s="357">
        <v>62.86</v>
      </c>
      <c r="Z799" s="365" t="s">
        <v>3017</v>
      </c>
      <c r="AA799" s="350">
        <v>135.71</v>
      </c>
      <c r="AB799" s="349" t="s">
        <v>2685</v>
      </c>
      <c r="AC799" s="350">
        <v>10</v>
      </c>
      <c r="AD799" s="349" t="s">
        <v>2685</v>
      </c>
      <c r="AE799" s="364">
        <v>0</v>
      </c>
      <c r="AF799" s="366">
        <v>0</v>
      </c>
      <c r="AG799" s="363">
        <v>0</v>
      </c>
      <c r="AH799" s="635" t="s">
        <v>408</v>
      </c>
      <c r="AL799" s="487" t="s">
        <v>15122</v>
      </c>
      <c r="AM799" s="477" t="s">
        <v>71</v>
      </c>
      <c r="AN799" s="637">
        <v>100</v>
      </c>
      <c r="AO799" s="478">
        <v>-1376</v>
      </c>
      <c r="AP799" s="463">
        <v>-679</v>
      </c>
      <c r="AQ799" s="479">
        <v>-697</v>
      </c>
      <c r="AR799" s="476" t="s">
        <v>17006</v>
      </c>
      <c r="BA799" s="313" t="s">
        <v>4360</v>
      </c>
    </row>
    <row r="800" spans="2:53" ht="16.5" customHeight="1">
      <c r="B800" s="367" t="s">
        <v>10150</v>
      </c>
      <c r="C800" s="351" t="s">
        <v>10151</v>
      </c>
      <c r="D800" s="353">
        <v>-1377</v>
      </c>
      <c r="E800" s="352" t="s">
        <v>4377</v>
      </c>
      <c r="F800" s="341">
        <v>87.33</v>
      </c>
      <c r="G800" s="355" t="s">
        <v>10152</v>
      </c>
      <c r="H800" s="356" t="s">
        <v>4119</v>
      </c>
      <c r="I800" s="354" t="s">
        <v>9189</v>
      </c>
      <c r="J800" s="340" t="s">
        <v>9971</v>
      </c>
      <c r="K800" s="339" t="s">
        <v>70</v>
      </c>
      <c r="L800" s="357">
        <v>14</v>
      </c>
      <c r="M800" s="358" t="s">
        <v>10111</v>
      </c>
      <c r="N800" s="359">
        <v>1000</v>
      </c>
      <c r="O800" s="360" t="s">
        <v>532</v>
      </c>
      <c r="P800" s="343" t="s">
        <v>532</v>
      </c>
      <c r="Q800" s="342" t="s">
        <v>2688</v>
      </c>
      <c r="R800" s="344">
        <v>20</v>
      </c>
      <c r="S800" s="345">
        <v>35</v>
      </c>
      <c r="T800" s="362">
        <v>25</v>
      </c>
      <c r="U800" s="361">
        <v>87.33</v>
      </c>
      <c r="V800" s="346">
        <v>123.51821063438909</v>
      </c>
      <c r="W800" s="348">
        <v>121.96613404006578</v>
      </c>
      <c r="X800" s="347" t="s">
        <v>18646</v>
      </c>
      <c r="Y800" s="357" t="s">
        <v>408</v>
      </c>
      <c r="Z800" s="365" t="s">
        <v>3017</v>
      </c>
      <c r="AA800" s="350">
        <v>195.56</v>
      </c>
      <c r="AB800" s="349" t="s">
        <v>2685</v>
      </c>
      <c r="AC800" s="350">
        <v>0</v>
      </c>
      <c r="AD800" s="349" t="s">
        <v>2685</v>
      </c>
      <c r="AE800" s="364">
        <v>0</v>
      </c>
      <c r="AF800" s="366">
        <v>15.7</v>
      </c>
      <c r="AG800" s="363">
        <v>0</v>
      </c>
      <c r="AH800" s="635" t="s">
        <v>9517</v>
      </c>
      <c r="AL800" s="487" t="s">
        <v>15106</v>
      </c>
      <c r="AM800" s="477" t="s">
        <v>70</v>
      </c>
      <c r="AN800" s="637">
        <v>100</v>
      </c>
      <c r="AO800" s="478">
        <v>-1377</v>
      </c>
      <c r="AP800" s="463">
        <v>-1377</v>
      </c>
      <c r="AQ800" s="479">
        <v>0</v>
      </c>
      <c r="AR800" s="476" t="s">
        <v>17223</v>
      </c>
      <c r="BA800" s="313" t="s">
        <v>4364</v>
      </c>
    </row>
    <row r="801" spans="2:53" ht="16.5" customHeight="1">
      <c r="B801" s="367" t="s">
        <v>4289</v>
      </c>
      <c r="C801" s="351" t="s">
        <v>4290</v>
      </c>
      <c r="D801" s="353">
        <v>-1378</v>
      </c>
      <c r="E801" s="352" t="s">
        <v>10142</v>
      </c>
      <c r="F801" s="341">
        <v>87.31</v>
      </c>
      <c r="G801" s="355" t="s">
        <v>10154</v>
      </c>
      <c r="H801" s="356" t="s">
        <v>10155</v>
      </c>
      <c r="I801" s="354" t="s">
        <v>221</v>
      </c>
      <c r="J801" s="340" t="s">
        <v>8418</v>
      </c>
      <c r="K801" s="339" t="s">
        <v>70</v>
      </c>
      <c r="L801" s="357">
        <v>8</v>
      </c>
      <c r="M801" s="358" t="s">
        <v>10156</v>
      </c>
      <c r="N801" s="359">
        <v>1000</v>
      </c>
      <c r="O801" s="360" t="s">
        <v>532</v>
      </c>
      <c r="P801" s="343" t="s">
        <v>533</v>
      </c>
      <c r="Q801" s="342" t="s">
        <v>2688</v>
      </c>
      <c r="R801" s="344">
        <v>20</v>
      </c>
      <c r="S801" s="345">
        <v>35</v>
      </c>
      <c r="T801" s="362">
        <v>30</v>
      </c>
      <c r="U801" s="361">
        <v>87.31</v>
      </c>
      <c r="V801" s="346">
        <v>123.50622272792721</v>
      </c>
      <c r="W801" s="348">
        <v>121.95850537231732</v>
      </c>
      <c r="X801" s="347">
        <v>62.09</v>
      </c>
      <c r="Y801" s="357">
        <v>62.83</v>
      </c>
      <c r="Z801" s="365" t="s">
        <v>3017</v>
      </c>
      <c r="AA801" s="350">
        <v>144</v>
      </c>
      <c r="AB801" s="349" t="s">
        <v>2685</v>
      </c>
      <c r="AC801" s="350">
        <v>0</v>
      </c>
      <c r="AD801" s="349" t="s">
        <v>2685</v>
      </c>
      <c r="AE801" s="364">
        <v>0</v>
      </c>
      <c r="AF801" s="366">
        <v>17.218</v>
      </c>
      <c r="AG801" s="363">
        <v>0</v>
      </c>
      <c r="AH801" s="635" t="s">
        <v>7882</v>
      </c>
      <c r="AL801" s="487" t="s">
        <v>15123</v>
      </c>
      <c r="AM801" s="477" t="s">
        <v>70</v>
      </c>
      <c r="AN801" s="637">
        <v>100</v>
      </c>
      <c r="AO801" s="478">
        <v>-1378</v>
      </c>
      <c r="AP801" s="463">
        <v>-1378</v>
      </c>
      <c r="AQ801" s="479">
        <v>0</v>
      </c>
      <c r="AR801" s="476" t="s">
        <v>15124</v>
      </c>
      <c r="BA801" s="313" t="s">
        <v>4366</v>
      </c>
    </row>
    <row r="802" spans="2:53" ht="16.5" customHeight="1">
      <c r="B802" s="367" t="s">
        <v>4298</v>
      </c>
      <c r="C802" s="351" t="s">
        <v>4299</v>
      </c>
      <c r="D802" s="353">
        <v>-1379</v>
      </c>
      <c r="E802" s="352" t="s">
        <v>408</v>
      </c>
      <c r="F802" s="341">
        <v>87.25</v>
      </c>
      <c r="G802" s="355" t="s">
        <v>4389</v>
      </c>
      <c r="H802" s="356" t="s">
        <v>9750</v>
      </c>
      <c r="I802" s="354" t="s">
        <v>238</v>
      </c>
      <c r="J802" s="340" t="s">
        <v>10159</v>
      </c>
      <c r="K802" s="339" t="s">
        <v>71</v>
      </c>
      <c r="L802" s="357">
        <v>6</v>
      </c>
      <c r="M802" s="358" t="s">
        <v>10160</v>
      </c>
      <c r="N802" s="359">
        <v>1000</v>
      </c>
      <c r="O802" s="360" t="s">
        <v>532</v>
      </c>
      <c r="P802" s="343" t="s">
        <v>533</v>
      </c>
      <c r="Q802" s="342" t="s">
        <v>2688</v>
      </c>
      <c r="R802" s="344">
        <v>35</v>
      </c>
      <c r="S802" s="345">
        <v>25</v>
      </c>
      <c r="T802" s="362">
        <v>25</v>
      </c>
      <c r="U802" s="361">
        <v>87.25</v>
      </c>
      <c r="V802" s="346">
        <v>123.46253633652461</v>
      </c>
      <c r="W802" s="348">
        <v>121.93070494142475</v>
      </c>
      <c r="X802" s="347">
        <v>62.31</v>
      </c>
      <c r="Y802" s="357">
        <v>62.83</v>
      </c>
      <c r="Z802" s="365" t="s">
        <v>3017</v>
      </c>
      <c r="AA802" s="350">
        <v>148</v>
      </c>
      <c r="AB802" s="349" t="s">
        <v>2685</v>
      </c>
      <c r="AC802" s="350">
        <v>0</v>
      </c>
      <c r="AD802" s="349" t="s">
        <v>2685</v>
      </c>
      <c r="AE802" s="364">
        <v>0</v>
      </c>
      <c r="AF802" s="366">
        <v>0</v>
      </c>
      <c r="AG802" s="363">
        <v>0</v>
      </c>
      <c r="AH802" s="635" t="s">
        <v>408</v>
      </c>
      <c r="AL802" s="487" t="s">
        <v>15125</v>
      </c>
      <c r="AM802" s="477" t="s">
        <v>71</v>
      </c>
      <c r="AN802" s="637">
        <v>100</v>
      </c>
      <c r="AO802" s="478">
        <v>-1379</v>
      </c>
      <c r="AP802" s="463">
        <v>-682</v>
      </c>
      <c r="AQ802" s="479">
        <v>-697</v>
      </c>
      <c r="AR802" s="476" t="s">
        <v>17003</v>
      </c>
      <c r="BA802" s="313" t="s">
        <v>4367</v>
      </c>
    </row>
    <row r="803" spans="2:53" ht="16.5" customHeight="1">
      <c r="B803" s="367" t="s">
        <v>4298</v>
      </c>
      <c r="C803" s="351" t="s">
        <v>4299</v>
      </c>
      <c r="D803" s="353">
        <v>-1380</v>
      </c>
      <c r="E803" s="352" t="s">
        <v>408</v>
      </c>
      <c r="F803" s="341">
        <v>87.24</v>
      </c>
      <c r="G803" s="355" t="s">
        <v>10161</v>
      </c>
      <c r="H803" s="356" t="s">
        <v>9711</v>
      </c>
      <c r="I803" s="354" t="s">
        <v>215</v>
      </c>
      <c r="J803" s="340" t="s">
        <v>8283</v>
      </c>
      <c r="K803" s="339" t="s">
        <v>70</v>
      </c>
      <c r="L803" s="357">
        <v>6</v>
      </c>
      <c r="M803" s="358" t="s">
        <v>10162</v>
      </c>
      <c r="N803" s="359">
        <v>1000</v>
      </c>
      <c r="O803" s="360" t="s">
        <v>530</v>
      </c>
      <c r="P803" s="343" t="s">
        <v>531</v>
      </c>
      <c r="Q803" s="342" t="s">
        <v>2688</v>
      </c>
      <c r="R803" s="344">
        <v>25</v>
      </c>
      <c r="S803" s="345">
        <v>38</v>
      </c>
      <c r="T803" s="362">
        <v>25</v>
      </c>
      <c r="U803" s="361">
        <v>87.24</v>
      </c>
      <c r="V803" s="346">
        <v>123.45763297259957</v>
      </c>
      <c r="W803" s="348">
        <v>121.927584618927</v>
      </c>
      <c r="X803" s="347">
        <v>62.07</v>
      </c>
      <c r="Y803" s="357">
        <v>62.8</v>
      </c>
      <c r="Z803" s="365" t="s">
        <v>3017</v>
      </c>
      <c r="AA803" s="350">
        <v>121.25</v>
      </c>
      <c r="AB803" s="349" t="s">
        <v>2685</v>
      </c>
      <c r="AC803" s="350">
        <v>10</v>
      </c>
      <c r="AD803" s="349" t="s">
        <v>2685</v>
      </c>
      <c r="AE803" s="364">
        <v>0</v>
      </c>
      <c r="AF803" s="366">
        <v>0</v>
      </c>
      <c r="AG803" s="363">
        <v>0</v>
      </c>
      <c r="AH803" s="635" t="s">
        <v>408</v>
      </c>
      <c r="AL803" s="487" t="s">
        <v>15127</v>
      </c>
      <c r="AM803" s="477" t="s">
        <v>70</v>
      </c>
      <c r="AN803" s="637">
        <v>100</v>
      </c>
      <c r="AO803" s="478">
        <v>-1380</v>
      </c>
      <c r="AP803" s="463">
        <v>-1380</v>
      </c>
      <c r="AQ803" s="479">
        <v>0</v>
      </c>
      <c r="AR803" s="476" t="s">
        <v>15128</v>
      </c>
      <c r="BA803" s="313" t="s">
        <v>4371</v>
      </c>
    </row>
    <row r="804" spans="2:53" ht="16.5" customHeight="1">
      <c r="B804" s="367" t="s">
        <v>4298</v>
      </c>
      <c r="C804" s="351" t="s">
        <v>4299</v>
      </c>
      <c r="D804" s="353">
        <v>-1381</v>
      </c>
      <c r="E804" s="352" t="s">
        <v>408</v>
      </c>
      <c r="F804" s="341">
        <v>87.22</v>
      </c>
      <c r="G804" s="355" t="s">
        <v>10165</v>
      </c>
      <c r="H804" s="356" t="s">
        <v>4136</v>
      </c>
      <c r="I804" s="354" t="s">
        <v>236</v>
      </c>
      <c r="J804" s="340" t="s">
        <v>10166</v>
      </c>
      <c r="K804" s="339" t="s">
        <v>70</v>
      </c>
      <c r="L804" s="357">
        <v>30</v>
      </c>
      <c r="M804" s="358" t="s">
        <v>10167</v>
      </c>
      <c r="N804" s="359">
        <v>1000</v>
      </c>
      <c r="O804" s="360" t="s">
        <v>532</v>
      </c>
      <c r="P804" s="343" t="s">
        <v>533</v>
      </c>
      <c r="Q804" s="342" t="s">
        <v>2688</v>
      </c>
      <c r="R804" s="344">
        <v>20</v>
      </c>
      <c r="S804" s="345">
        <v>35</v>
      </c>
      <c r="T804" s="362">
        <v>25</v>
      </c>
      <c r="U804" s="361">
        <v>87.22</v>
      </c>
      <c r="V804" s="346">
        <v>123.44475128725324</v>
      </c>
      <c r="W804" s="348">
        <v>121.91938718279751</v>
      </c>
      <c r="X804" s="347">
        <v>62.07</v>
      </c>
      <c r="Y804" s="357">
        <v>62.82</v>
      </c>
      <c r="Z804" s="365" t="s">
        <v>3017</v>
      </c>
      <c r="AA804" s="350">
        <v>194</v>
      </c>
      <c r="AB804" s="349" t="s">
        <v>2685</v>
      </c>
      <c r="AC804" s="350">
        <v>4</v>
      </c>
      <c r="AD804" s="349" t="s">
        <v>2685</v>
      </c>
      <c r="AE804" s="364">
        <v>0</v>
      </c>
      <c r="AF804" s="366">
        <v>12.895</v>
      </c>
      <c r="AG804" s="363">
        <v>0</v>
      </c>
      <c r="AH804" s="635" t="s">
        <v>408</v>
      </c>
      <c r="AL804" s="487" t="s">
        <v>15129</v>
      </c>
      <c r="AM804" s="477" t="s">
        <v>70</v>
      </c>
      <c r="AN804" s="637">
        <v>100</v>
      </c>
      <c r="AO804" s="478">
        <v>-1381</v>
      </c>
      <c r="AP804" s="463">
        <v>-1381</v>
      </c>
      <c r="AQ804" s="479">
        <v>0</v>
      </c>
      <c r="AR804" s="476" t="s">
        <v>15128</v>
      </c>
      <c r="BA804" s="313" t="s">
        <v>4374</v>
      </c>
    </row>
    <row r="805" spans="2:53" ht="16.5" customHeight="1">
      <c r="B805" s="367" t="s">
        <v>4275</v>
      </c>
      <c r="C805" s="351" t="s">
        <v>4276</v>
      </c>
      <c r="D805" s="353">
        <v>-1382</v>
      </c>
      <c r="E805" s="352" t="s">
        <v>10157</v>
      </c>
      <c r="F805" s="341">
        <v>87.16</v>
      </c>
      <c r="G805" s="355" t="s">
        <v>4394</v>
      </c>
      <c r="H805" s="356" t="s">
        <v>18647</v>
      </c>
      <c r="I805" s="354" t="s">
        <v>237</v>
      </c>
      <c r="J805" s="340" t="s">
        <v>10158</v>
      </c>
      <c r="K805" s="339" t="s">
        <v>71</v>
      </c>
      <c r="L805" s="357">
        <v>9</v>
      </c>
      <c r="M805" s="358" t="s">
        <v>4439</v>
      </c>
      <c r="N805" s="359">
        <v>1000</v>
      </c>
      <c r="O805" s="360" t="s">
        <v>530</v>
      </c>
      <c r="P805" s="343" t="s">
        <v>530</v>
      </c>
      <c r="Q805" s="342" t="s">
        <v>2688</v>
      </c>
      <c r="R805" s="344">
        <v>30</v>
      </c>
      <c r="S805" s="345">
        <v>30</v>
      </c>
      <c r="T805" s="362">
        <v>20</v>
      </c>
      <c r="U805" s="361">
        <v>87.16</v>
      </c>
      <c r="V805" s="346">
        <v>123.40215117854935</v>
      </c>
      <c r="W805" s="348">
        <v>121.89227802271323</v>
      </c>
      <c r="X805" s="347">
        <v>62.28</v>
      </c>
      <c r="Y805" s="357" t="s">
        <v>408</v>
      </c>
      <c r="Z805" s="365" t="s">
        <v>3017</v>
      </c>
      <c r="AA805" s="350">
        <v>196</v>
      </c>
      <c r="AB805" s="349" t="s">
        <v>2685</v>
      </c>
      <c r="AC805" s="350">
        <v>0</v>
      </c>
      <c r="AD805" s="349" t="s">
        <v>2685</v>
      </c>
      <c r="AE805" s="364">
        <v>0</v>
      </c>
      <c r="AF805" s="366">
        <v>0</v>
      </c>
      <c r="AG805" s="363">
        <v>0</v>
      </c>
      <c r="AH805" s="635" t="s">
        <v>408</v>
      </c>
      <c r="AL805" s="487" t="s">
        <v>15131</v>
      </c>
      <c r="AM805" s="477" t="s">
        <v>71</v>
      </c>
      <c r="AN805" s="637">
        <v>100</v>
      </c>
      <c r="AO805" s="478">
        <v>-1382</v>
      </c>
      <c r="AP805" s="463">
        <v>-682</v>
      </c>
      <c r="AQ805" s="479">
        <v>-700</v>
      </c>
      <c r="AR805" s="476" t="s">
        <v>17007</v>
      </c>
      <c r="BA805" s="313" t="s">
        <v>4375</v>
      </c>
    </row>
    <row r="806" spans="2:53" ht="16.5" customHeight="1">
      <c r="B806" s="367" t="s">
        <v>18204</v>
      </c>
      <c r="C806" s="351" t="s">
        <v>18205</v>
      </c>
      <c r="D806" s="353">
        <v>-1383</v>
      </c>
      <c r="E806" s="352" t="s">
        <v>4417</v>
      </c>
      <c r="F806" s="341">
        <v>87.13</v>
      </c>
      <c r="G806" s="355" t="s">
        <v>18648</v>
      </c>
      <c r="H806" s="356" t="s">
        <v>4135</v>
      </c>
      <c r="I806" s="354" t="s">
        <v>9189</v>
      </c>
      <c r="J806" s="340" t="s">
        <v>10129</v>
      </c>
      <c r="K806" s="339" t="s">
        <v>70</v>
      </c>
      <c r="L806" s="357">
        <v>34</v>
      </c>
      <c r="M806" s="358" t="s">
        <v>10130</v>
      </c>
      <c r="N806" s="359">
        <v>1000</v>
      </c>
      <c r="O806" s="360" t="s">
        <v>532</v>
      </c>
      <c r="P806" s="343" t="s">
        <v>532</v>
      </c>
      <c r="Q806" s="342" t="s">
        <v>2688</v>
      </c>
      <c r="R806" s="344">
        <v>20</v>
      </c>
      <c r="S806" s="345">
        <v>35</v>
      </c>
      <c r="T806" s="362">
        <v>25</v>
      </c>
      <c r="U806" s="361">
        <v>87.13</v>
      </c>
      <c r="V806" s="346">
        <v>123.38055754140025</v>
      </c>
      <c r="W806" s="348">
        <v>121.8785366172547</v>
      </c>
      <c r="X806" s="347" t="s">
        <v>18649</v>
      </c>
      <c r="Y806" s="357" t="s">
        <v>408</v>
      </c>
      <c r="Z806" s="365" t="s">
        <v>3017</v>
      </c>
      <c r="AA806" s="350">
        <v>195.56</v>
      </c>
      <c r="AB806" s="349" t="s">
        <v>2685</v>
      </c>
      <c r="AC806" s="350">
        <v>0</v>
      </c>
      <c r="AD806" s="349" t="s">
        <v>2685</v>
      </c>
      <c r="AE806" s="364">
        <v>0</v>
      </c>
      <c r="AF806" s="366">
        <v>15.686999999999999</v>
      </c>
      <c r="AG806" s="363">
        <v>0</v>
      </c>
      <c r="AH806" s="635" t="s">
        <v>9517</v>
      </c>
      <c r="AL806" s="487" t="s">
        <v>15117</v>
      </c>
      <c r="AM806" s="477" t="s">
        <v>70</v>
      </c>
      <c r="AN806" s="637">
        <v>100</v>
      </c>
      <c r="AO806" s="478">
        <v>-1383</v>
      </c>
      <c r="AP806" s="463">
        <v>-1383</v>
      </c>
      <c r="AQ806" s="479">
        <v>0</v>
      </c>
      <c r="AR806" s="476" t="s">
        <v>17224</v>
      </c>
      <c r="BA806" s="313" t="s">
        <v>4376</v>
      </c>
    </row>
    <row r="807" spans="2:53" ht="16.5" customHeight="1">
      <c r="B807" s="367" t="s">
        <v>4313</v>
      </c>
      <c r="C807" s="351" t="s">
        <v>4314</v>
      </c>
      <c r="D807" s="353">
        <v>-1384</v>
      </c>
      <c r="E807" s="352" t="s">
        <v>408</v>
      </c>
      <c r="F807" s="341">
        <v>87.12</v>
      </c>
      <c r="G807" s="355" t="s">
        <v>10690</v>
      </c>
      <c r="H807" s="356" t="s">
        <v>4148</v>
      </c>
      <c r="I807" s="354" t="s">
        <v>9189</v>
      </c>
      <c r="J807" s="340" t="s">
        <v>10133</v>
      </c>
      <c r="K807" s="339" t="s">
        <v>70</v>
      </c>
      <c r="L807" s="357">
        <v>11</v>
      </c>
      <c r="M807" s="358" t="s">
        <v>10134</v>
      </c>
      <c r="N807" s="359">
        <v>1000</v>
      </c>
      <c r="O807" s="360" t="s">
        <v>532</v>
      </c>
      <c r="P807" s="343" t="s">
        <v>532</v>
      </c>
      <c r="Q807" s="342" t="s">
        <v>2688</v>
      </c>
      <c r="R807" s="344">
        <v>20</v>
      </c>
      <c r="S807" s="345">
        <v>35</v>
      </c>
      <c r="T807" s="362">
        <v>25</v>
      </c>
      <c r="U807" s="361">
        <v>87.12</v>
      </c>
      <c r="V807" s="346">
        <v>123.37221116350973</v>
      </c>
      <c r="W807" s="348">
        <v>121.87322528586984</v>
      </c>
      <c r="X807" s="347" t="s">
        <v>18649</v>
      </c>
      <c r="Y807" s="357" t="s">
        <v>408</v>
      </c>
      <c r="Z807" s="365" t="s">
        <v>3017</v>
      </c>
      <c r="AA807" s="350">
        <v>195.56</v>
      </c>
      <c r="AB807" s="349" t="s">
        <v>2685</v>
      </c>
      <c r="AC807" s="350">
        <v>0</v>
      </c>
      <c r="AD807" s="349" t="s">
        <v>2685</v>
      </c>
      <c r="AE807" s="364">
        <v>0</v>
      </c>
      <c r="AF807" s="366">
        <v>15.686999999999999</v>
      </c>
      <c r="AG807" s="363">
        <v>0</v>
      </c>
      <c r="AH807" s="635" t="s">
        <v>9517</v>
      </c>
      <c r="AL807" s="487" t="s">
        <v>15118</v>
      </c>
      <c r="AM807" s="477" t="s">
        <v>70</v>
      </c>
      <c r="AN807" s="637">
        <v>100</v>
      </c>
      <c r="AO807" s="478">
        <v>-1384</v>
      </c>
      <c r="AP807" s="463">
        <v>-1384</v>
      </c>
      <c r="AQ807" s="479">
        <v>0</v>
      </c>
      <c r="AR807" s="476" t="s">
        <v>17225</v>
      </c>
      <c r="BA807" s="313" t="s">
        <v>4378</v>
      </c>
    </row>
    <row r="808" spans="2:53" ht="16.5" customHeight="1">
      <c r="B808" s="367" t="s">
        <v>10170</v>
      </c>
      <c r="C808" s="351" t="s">
        <v>10171</v>
      </c>
      <c r="D808" s="353">
        <v>-1385</v>
      </c>
      <c r="E808" s="352" t="s">
        <v>408</v>
      </c>
      <c r="F808" s="341">
        <v>87.1</v>
      </c>
      <c r="G808" s="355" t="s">
        <v>18650</v>
      </c>
      <c r="H808" s="356" t="s">
        <v>4161</v>
      </c>
      <c r="I808" s="354" t="s">
        <v>254</v>
      </c>
      <c r="J808" s="340" t="s">
        <v>10175</v>
      </c>
      <c r="K808" s="339" t="s">
        <v>71</v>
      </c>
      <c r="L808" s="357">
        <v>5</v>
      </c>
      <c r="M808" s="358" t="s">
        <v>10176</v>
      </c>
      <c r="N808" s="359">
        <v>1000</v>
      </c>
      <c r="O808" s="360" t="s">
        <v>532</v>
      </c>
      <c r="P808" s="343" t="s">
        <v>533</v>
      </c>
      <c r="Q808" s="342" t="s">
        <v>2688</v>
      </c>
      <c r="R808" s="344">
        <v>35</v>
      </c>
      <c r="S808" s="345">
        <v>25</v>
      </c>
      <c r="T808" s="362">
        <v>20</v>
      </c>
      <c r="U808" s="361">
        <v>87.1</v>
      </c>
      <c r="V808" s="346">
        <v>123.35781502809176</v>
      </c>
      <c r="W808" s="348">
        <v>121.86406410878567</v>
      </c>
      <c r="X808" s="347">
        <v>62.26</v>
      </c>
      <c r="Y808" s="357">
        <v>62.769999999999996</v>
      </c>
      <c r="Z808" s="365" t="s">
        <v>3017</v>
      </c>
      <c r="AA808" s="350">
        <v>196</v>
      </c>
      <c r="AB808" s="349" t="s">
        <v>2685</v>
      </c>
      <c r="AC808" s="350">
        <v>3</v>
      </c>
      <c r="AD808" s="349" t="s">
        <v>2685</v>
      </c>
      <c r="AE808" s="364">
        <v>0</v>
      </c>
      <c r="AF808" s="366">
        <v>0</v>
      </c>
      <c r="AG808" s="363">
        <v>0</v>
      </c>
      <c r="AH808" s="635" t="s">
        <v>408</v>
      </c>
      <c r="AL808" s="487" t="s">
        <v>15132</v>
      </c>
      <c r="AM808" s="477" t="s">
        <v>71</v>
      </c>
      <c r="AN808" s="637">
        <v>100</v>
      </c>
      <c r="AO808" s="478">
        <v>-1385</v>
      </c>
      <c r="AP808" s="463">
        <v>-683</v>
      </c>
      <c r="AQ808" s="479">
        <v>-702</v>
      </c>
      <c r="AR808" s="476" t="s">
        <v>17008</v>
      </c>
      <c r="BA808" s="313" t="s">
        <v>4379</v>
      </c>
    </row>
    <row r="809" spans="2:53" ht="16.5" customHeight="1">
      <c r="B809" s="367" t="s">
        <v>10177</v>
      </c>
      <c r="C809" s="351" t="s">
        <v>10178</v>
      </c>
      <c r="D809" s="353">
        <v>-1386</v>
      </c>
      <c r="E809" s="352" t="s">
        <v>408</v>
      </c>
      <c r="F809" s="341">
        <v>87.08</v>
      </c>
      <c r="G809" s="355" t="s">
        <v>10179</v>
      </c>
      <c r="H809" s="356" t="s">
        <v>4153</v>
      </c>
      <c r="I809" s="354" t="s">
        <v>221</v>
      </c>
      <c r="J809" s="340" t="s">
        <v>8491</v>
      </c>
      <c r="K809" s="339" t="s">
        <v>70</v>
      </c>
      <c r="L809" s="357">
        <v>10</v>
      </c>
      <c r="M809" s="358" t="s">
        <v>10180</v>
      </c>
      <c r="N809" s="359">
        <v>1000</v>
      </c>
      <c r="O809" s="360" t="s">
        <v>532</v>
      </c>
      <c r="P809" s="343" t="s">
        <v>533</v>
      </c>
      <c r="Q809" s="342" t="s">
        <v>2688</v>
      </c>
      <c r="R809" s="344">
        <v>20</v>
      </c>
      <c r="S809" s="345">
        <v>35</v>
      </c>
      <c r="T809" s="362">
        <v>30</v>
      </c>
      <c r="U809" s="361">
        <v>87.08</v>
      </c>
      <c r="V809" s="346">
        <v>123.34573734935508</v>
      </c>
      <c r="W809" s="348">
        <v>121.85637831322596</v>
      </c>
      <c r="X809" s="347">
        <v>62.02</v>
      </c>
      <c r="Y809" s="357">
        <v>62.73</v>
      </c>
      <c r="Z809" s="365" t="s">
        <v>3017</v>
      </c>
      <c r="AA809" s="350">
        <v>144</v>
      </c>
      <c r="AB809" s="349" t="s">
        <v>2685</v>
      </c>
      <c r="AC809" s="350">
        <v>0</v>
      </c>
      <c r="AD809" s="349" t="s">
        <v>2685</v>
      </c>
      <c r="AE809" s="364">
        <v>0</v>
      </c>
      <c r="AF809" s="366">
        <v>17.198</v>
      </c>
      <c r="AG809" s="363">
        <v>0</v>
      </c>
      <c r="AH809" s="635" t="s">
        <v>7882</v>
      </c>
      <c r="AL809" s="487" t="s">
        <v>15133</v>
      </c>
      <c r="AM809" s="477" t="s">
        <v>70</v>
      </c>
      <c r="AN809" s="637">
        <v>100</v>
      </c>
      <c r="AO809" s="478">
        <v>-1386</v>
      </c>
      <c r="AP809" s="463">
        <v>-1386</v>
      </c>
      <c r="AQ809" s="479">
        <v>0</v>
      </c>
      <c r="AR809" s="476" t="s">
        <v>15134</v>
      </c>
      <c r="BA809" s="313" t="s">
        <v>4382</v>
      </c>
    </row>
    <row r="810" spans="2:53" ht="16.5" customHeight="1">
      <c r="B810" s="367" t="s">
        <v>10181</v>
      </c>
      <c r="C810" s="351" t="s">
        <v>10182</v>
      </c>
      <c r="D810" s="353">
        <v>-1387</v>
      </c>
      <c r="E810" s="352" t="s">
        <v>408</v>
      </c>
      <c r="F810" s="341">
        <v>87.06</v>
      </c>
      <c r="G810" s="355" t="s">
        <v>10183</v>
      </c>
      <c r="H810" s="356" t="s">
        <v>4140</v>
      </c>
      <c r="I810" s="354" t="s">
        <v>236</v>
      </c>
      <c r="J810" s="340" t="s">
        <v>10184</v>
      </c>
      <c r="K810" s="339" t="s">
        <v>70</v>
      </c>
      <c r="L810" s="357">
        <v>10</v>
      </c>
      <c r="M810" s="358" t="s">
        <v>10185</v>
      </c>
      <c r="N810" s="359">
        <v>1000</v>
      </c>
      <c r="O810" s="360" t="s">
        <v>532</v>
      </c>
      <c r="P810" s="343" t="s">
        <v>533</v>
      </c>
      <c r="Q810" s="342" t="s">
        <v>2688</v>
      </c>
      <c r="R810" s="344">
        <v>20</v>
      </c>
      <c r="S810" s="345">
        <v>35</v>
      </c>
      <c r="T810" s="362">
        <v>25</v>
      </c>
      <c r="U810" s="361">
        <v>87.06</v>
      </c>
      <c r="V810" s="346">
        <v>123.33087040327258</v>
      </c>
      <c r="W810" s="348">
        <v>121.84691752935528</v>
      </c>
      <c r="X810" s="347">
        <v>62.02</v>
      </c>
      <c r="Y810" s="357">
        <v>62.769999999999996</v>
      </c>
      <c r="Z810" s="365" t="s">
        <v>3017</v>
      </c>
      <c r="AA810" s="350">
        <v>194</v>
      </c>
      <c r="AB810" s="349" t="s">
        <v>2685</v>
      </c>
      <c r="AC810" s="350">
        <v>4</v>
      </c>
      <c r="AD810" s="349" t="s">
        <v>2685</v>
      </c>
      <c r="AE810" s="364">
        <v>0</v>
      </c>
      <c r="AF810" s="366">
        <v>10.445</v>
      </c>
      <c r="AG810" s="363">
        <v>0</v>
      </c>
      <c r="AH810" s="635" t="s">
        <v>8990</v>
      </c>
      <c r="AL810" s="487" t="s">
        <v>15136</v>
      </c>
      <c r="AM810" s="477" t="s">
        <v>70</v>
      </c>
      <c r="AN810" s="637">
        <v>100</v>
      </c>
      <c r="AO810" s="478">
        <v>-1387</v>
      </c>
      <c r="AP810" s="463">
        <v>-1387</v>
      </c>
      <c r="AQ810" s="479">
        <v>0</v>
      </c>
      <c r="AR810" s="476" t="s">
        <v>15137</v>
      </c>
      <c r="BA810" s="313" t="s">
        <v>4383</v>
      </c>
    </row>
    <row r="811" spans="2:53" ht="16.5" customHeight="1">
      <c r="B811" s="367" t="s">
        <v>10186</v>
      </c>
      <c r="C811" s="351" t="s">
        <v>10187</v>
      </c>
      <c r="D811" s="353">
        <v>-1388</v>
      </c>
      <c r="E811" s="352" t="s">
        <v>10161</v>
      </c>
      <c r="F811" s="341">
        <v>87.01</v>
      </c>
      <c r="G811" s="355" t="s">
        <v>10627</v>
      </c>
      <c r="H811" s="356" t="s">
        <v>9752</v>
      </c>
      <c r="I811" s="354" t="s">
        <v>9336</v>
      </c>
      <c r="J811" s="340" t="s">
        <v>10189</v>
      </c>
      <c r="K811" s="339" t="s">
        <v>71</v>
      </c>
      <c r="L811" s="357">
        <v>3</v>
      </c>
      <c r="M811" s="358" t="s">
        <v>10190</v>
      </c>
      <c r="N811" s="359">
        <v>700</v>
      </c>
      <c r="O811" s="360" t="s">
        <v>532</v>
      </c>
      <c r="P811" s="343" t="s">
        <v>533</v>
      </c>
      <c r="Q811" s="342" t="s">
        <v>2688</v>
      </c>
      <c r="R811" s="344">
        <v>30</v>
      </c>
      <c r="S811" s="345">
        <v>30</v>
      </c>
      <c r="T811" s="362">
        <v>20</v>
      </c>
      <c r="U811" s="361">
        <v>87.01</v>
      </c>
      <c r="V811" s="346">
        <v>123.29407819591201</v>
      </c>
      <c r="W811" s="348">
        <v>121.82350430648947</v>
      </c>
      <c r="X811" s="347">
        <v>62.23</v>
      </c>
      <c r="Y811" s="357">
        <v>64.900000000000006</v>
      </c>
      <c r="Z811" s="365" t="s">
        <v>3017</v>
      </c>
      <c r="AA811" s="350">
        <v>138</v>
      </c>
      <c r="AB811" s="349" t="s">
        <v>2685</v>
      </c>
      <c r="AC811" s="350">
        <v>10</v>
      </c>
      <c r="AD811" s="349" t="s">
        <v>2685</v>
      </c>
      <c r="AE811" s="364">
        <v>0</v>
      </c>
      <c r="AF811" s="366">
        <v>0</v>
      </c>
      <c r="AG811" s="363">
        <v>0</v>
      </c>
      <c r="AH811" s="635" t="s">
        <v>408</v>
      </c>
      <c r="AL811" s="487" t="s">
        <v>15138</v>
      </c>
      <c r="AM811" s="477" t="s">
        <v>71</v>
      </c>
      <c r="AN811" s="637">
        <v>100</v>
      </c>
      <c r="AO811" s="478">
        <v>-1388</v>
      </c>
      <c r="AP811" s="463">
        <v>-684</v>
      </c>
      <c r="AQ811" s="479">
        <v>-704</v>
      </c>
      <c r="AR811" s="476" t="s">
        <v>17009</v>
      </c>
      <c r="BA811" s="313" t="s">
        <v>4386</v>
      </c>
    </row>
    <row r="812" spans="2:53" ht="16.5" customHeight="1">
      <c r="B812" s="367" t="s">
        <v>4304</v>
      </c>
      <c r="C812" s="351" t="s">
        <v>4305</v>
      </c>
      <c r="D812" s="353">
        <v>-1389</v>
      </c>
      <c r="E812" s="352" t="s">
        <v>10172</v>
      </c>
      <c r="F812" s="341">
        <v>86.94</v>
      </c>
      <c r="G812" s="355" t="s">
        <v>18651</v>
      </c>
      <c r="H812" s="356" t="s">
        <v>10203</v>
      </c>
      <c r="I812" s="354" t="s">
        <v>9189</v>
      </c>
      <c r="J812" s="340" t="s">
        <v>10143</v>
      </c>
      <c r="K812" s="339" t="s">
        <v>71</v>
      </c>
      <c r="L812" s="357">
        <v>10</v>
      </c>
      <c r="M812" s="358" t="s">
        <v>10144</v>
      </c>
      <c r="N812" s="359">
        <v>1000</v>
      </c>
      <c r="O812" s="360" t="s">
        <v>532</v>
      </c>
      <c r="P812" s="343" t="s">
        <v>532</v>
      </c>
      <c r="Q812" s="342" t="s">
        <v>2688</v>
      </c>
      <c r="R812" s="344">
        <v>30</v>
      </c>
      <c r="S812" s="345">
        <v>25</v>
      </c>
      <c r="T812" s="362">
        <v>25</v>
      </c>
      <c r="U812" s="361">
        <v>86.94</v>
      </c>
      <c r="V812" s="346">
        <v>123.24583004682728</v>
      </c>
      <c r="W812" s="348">
        <v>121.7928009388901</v>
      </c>
      <c r="X812" s="347" t="s">
        <v>18652</v>
      </c>
      <c r="Y812" s="357" t="s">
        <v>408</v>
      </c>
      <c r="Z812" s="365" t="s">
        <v>3017</v>
      </c>
      <c r="AA812" s="350">
        <v>195.56</v>
      </c>
      <c r="AB812" s="349" t="s">
        <v>2685</v>
      </c>
      <c r="AC812" s="350">
        <v>0</v>
      </c>
      <c r="AD812" s="349" t="s">
        <v>2685</v>
      </c>
      <c r="AE812" s="364">
        <v>0</v>
      </c>
      <c r="AF812" s="366">
        <v>15.513</v>
      </c>
      <c r="AG812" s="363">
        <v>0</v>
      </c>
      <c r="AH812" s="635" t="s">
        <v>9192</v>
      </c>
      <c r="AL812" s="487" t="s">
        <v>15126</v>
      </c>
      <c r="AM812" s="477" t="s">
        <v>71</v>
      </c>
      <c r="AN812" s="637">
        <v>100</v>
      </c>
      <c r="AO812" s="478">
        <v>-1389</v>
      </c>
      <c r="AP812" s="463">
        <v>-684</v>
      </c>
      <c r="AQ812" s="479">
        <v>-705</v>
      </c>
      <c r="AR812" s="476" t="s">
        <v>17226</v>
      </c>
      <c r="BA812" s="313" t="s">
        <v>4391</v>
      </c>
    </row>
    <row r="813" spans="2:53" ht="16.5" customHeight="1">
      <c r="B813" s="367" t="s">
        <v>18206</v>
      </c>
      <c r="C813" s="351" t="s">
        <v>18207</v>
      </c>
      <c r="D813" s="353">
        <v>-1390</v>
      </c>
      <c r="E813" s="352" t="s">
        <v>408</v>
      </c>
      <c r="F813" s="341">
        <v>86.89</v>
      </c>
      <c r="G813" s="355" t="s">
        <v>18653</v>
      </c>
      <c r="H813" s="356" t="s">
        <v>4170</v>
      </c>
      <c r="I813" s="354" t="s">
        <v>9189</v>
      </c>
      <c r="J813" s="340" t="s">
        <v>10163</v>
      </c>
      <c r="K813" s="339" t="s">
        <v>70</v>
      </c>
      <c r="L813" s="357">
        <v>19</v>
      </c>
      <c r="M813" s="358" t="s">
        <v>10164</v>
      </c>
      <c r="N813" s="359">
        <v>1000</v>
      </c>
      <c r="O813" s="360" t="s">
        <v>532</v>
      </c>
      <c r="P813" s="343" t="s">
        <v>532</v>
      </c>
      <c r="Q813" s="342" t="s">
        <v>2688</v>
      </c>
      <c r="R813" s="344">
        <v>20</v>
      </c>
      <c r="S813" s="345">
        <v>35</v>
      </c>
      <c r="T813" s="362">
        <v>25</v>
      </c>
      <c r="U813" s="361">
        <v>86.89</v>
      </c>
      <c r="V813" s="346">
        <v>123.20746644803798</v>
      </c>
      <c r="W813" s="348">
        <v>121.76838773966053</v>
      </c>
      <c r="X813" s="347" t="s">
        <v>18654</v>
      </c>
      <c r="Y813" s="357" t="s">
        <v>408</v>
      </c>
      <c r="Z813" s="365" t="s">
        <v>3017</v>
      </c>
      <c r="AA813" s="350">
        <v>195.56</v>
      </c>
      <c r="AB813" s="349" t="s">
        <v>2685</v>
      </c>
      <c r="AC813" s="350">
        <v>0</v>
      </c>
      <c r="AD813" s="349" t="s">
        <v>2685</v>
      </c>
      <c r="AE813" s="364">
        <v>0</v>
      </c>
      <c r="AF813" s="366">
        <v>15.673</v>
      </c>
      <c r="AG813" s="363">
        <v>0</v>
      </c>
      <c r="AH813" s="635" t="s">
        <v>9517</v>
      </c>
      <c r="AL813" s="487" t="s">
        <v>15130</v>
      </c>
      <c r="AM813" s="477" t="s">
        <v>70</v>
      </c>
      <c r="AN813" s="637">
        <v>100</v>
      </c>
      <c r="AO813" s="478">
        <v>-1390</v>
      </c>
      <c r="AP813" s="463">
        <v>-1390</v>
      </c>
      <c r="AQ813" s="479">
        <v>0</v>
      </c>
      <c r="AR813" s="476" t="s">
        <v>17227</v>
      </c>
      <c r="BA813" s="313" t="s">
        <v>4395</v>
      </c>
    </row>
    <row r="814" spans="2:53" ht="16.5" customHeight="1">
      <c r="B814" s="367" t="s">
        <v>4333</v>
      </c>
      <c r="C814" s="351" t="s">
        <v>4334</v>
      </c>
      <c r="D814" s="353">
        <v>-1391</v>
      </c>
      <c r="E814" s="352" t="s">
        <v>408</v>
      </c>
      <c r="F814" s="341">
        <v>86.84</v>
      </c>
      <c r="G814" s="355" t="s">
        <v>4461</v>
      </c>
      <c r="H814" s="356" t="s">
        <v>9773</v>
      </c>
      <c r="I814" s="354" t="s">
        <v>73</v>
      </c>
      <c r="J814" s="340" t="s">
        <v>10195</v>
      </c>
      <c r="K814" s="339" t="s">
        <v>70</v>
      </c>
      <c r="L814" s="357" t="s">
        <v>408</v>
      </c>
      <c r="M814" s="358" t="s">
        <v>10196</v>
      </c>
      <c r="N814" s="359">
        <v>1000</v>
      </c>
      <c r="O814" s="360" t="s">
        <v>530</v>
      </c>
      <c r="P814" s="343" t="s">
        <v>531</v>
      </c>
      <c r="Q814" s="342" t="s">
        <v>2688</v>
      </c>
      <c r="R814" s="344">
        <v>22</v>
      </c>
      <c r="S814" s="345">
        <v>33</v>
      </c>
      <c r="T814" s="362">
        <v>33</v>
      </c>
      <c r="U814" s="361">
        <v>86.84</v>
      </c>
      <c r="V814" s="346">
        <v>123.1687735739893</v>
      </c>
      <c r="W814" s="348">
        <v>121.74376500162955</v>
      </c>
      <c r="X814" s="347">
        <v>61.94</v>
      </c>
      <c r="Y814" s="357">
        <v>62.69</v>
      </c>
      <c r="Z814" s="365" t="s">
        <v>2689</v>
      </c>
      <c r="AA814" s="350">
        <v>111.11</v>
      </c>
      <c r="AB814" s="349" t="s">
        <v>2685</v>
      </c>
      <c r="AC814" s="350">
        <v>0</v>
      </c>
      <c r="AD814" s="349" t="s">
        <v>2685</v>
      </c>
      <c r="AE814" s="364">
        <v>0</v>
      </c>
      <c r="AF814" s="366">
        <v>6.2690000000000001</v>
      </c>
      <c r="AG814" s="363">
        <v>0</v>
      </c>
      <c r="AH814" s="635" t="s">
        <v>7791</v>
      </c>
      <c r="AL814" s="487" t="s">
        <v>15142</v>
      </c>
      <c r="AM814" s="477" t="s">
        <v>70</v>
      </c>
      <c r="AN814" s="637">
        <v>100</v>
      </c>
      <c r="AO814" s="478">
        <v>-1391</v>
      </c>
      <c r="AP814" s="463">
        <v>-1391</v>
      </c>
      <c r="AQ814" s="479">
        <v>0</v>
      </c>
      <c r="AR814" s="476" t="s">
        <v>15143</v>
      </c>
      <c r="BA814" s="313" t="s">
        <v>4396</v>
      </c>
    </row>
    <row r="815" spans="2:53" ht="16.5" customHeight="1">
      <c r="B815" s="367" t="s">
        <v>4337</v>
      </c>
      <c r="C815" s="351" t="s">
        <v>4338</v>
      </c>
      <c r="D815" s="353">
        <v>-1392</v>
      </c>
      <c r="E815" s="352" t="s">
        <v>4431</v>
      </c>
      <c r="F815" s="341">
        <v>86.82</v>
      </c>
      <c r="G815" s="355" t="s">
        <v>10197</v>
      </c>
      <c r="H815" s="356" t="s">
        <v>9756</v>
      </c>
      <c r="I815" s="354" t="s">
        <v>237</v>
      </c>
      <c r="J815" s="340" t="s">
        <v>10198</v>
      </c>
      <c r="K815" s="339" t="s">
        <v>70</v>
      </c>
      <c r="L815" s="357">
        <v>9</v>
      </c>
      <c r="M815" s="358" t="s">
        <v>10199</v>
      </c>
      <c r="N815" s="359">
        <v>1000</v>
      </c>
      <c r="O815" s="360" t="s">
        <v>530</v>
      </c>
      <c r="P815" s="343" t="s">
        <v>530</v>
      </c>
      <c r="Q815" s="342" t="s">
        <v>2688</v>
      </c>
      <c r="R815" s="344">
        <v>20</v>
      </c>
      <c r="S815" s="345">
        <v>30</v>
      </c>
      <c r="T815" s="362">
        <v>30</v>
      </c>
      <c r="U815" s="361">
        <v>86.82</v>
      </c>
      <c r="V815" s="346">
        <v>123.15822689743794</v>
      </c>
      <c r="W815" s="348">
        <v>121.73705348018778</v>
      </c>
      <c r="X815" s="347">
        <v>61.93</v>
      </c>
      <c r="Y815" s="357" t="s">
        <v>408</v>
      </c>
      <c r="Z815" s="365" t="s">
        <v>3017</v>
      </c>
      <c r="AA815" s="350">
        <v>196</v>
      </c>
      <c r="AB815" s="349" t="s">
        <v>2685</v>
      </c>
      <c r="AC815" s="350">
        <v>0</v>
      </c>
      <c r="AD815" s="349" t="s">
        <v>2685</v>
      </c>
      <c r="AE815" s="364">
        <v>0</v>
      </c>
      <c r="AF815" s="366">
        <v>11.052</v>
      </c>
      <c r="AG815" s="363">
        <v>0</v>
      </c>
      <c r="AH815" s="635" t="s">
        <v>9931</v>
      </c>
      <c r="AL815" s="487" t="s">
        <v>15144</v>
      </c>
      <c r="AM815" s="477" t="s">
        <v>70</v>
      </c>
      <c r="AN815" s="637">
        <v>100</v>
      </c>
      <c r="AO815" s="478">
        <v>-1392</v>
      </c>
      <c r="AP815" s="463">
        <v>-1392</v>
      </c>
      <c r="AQ815" s="479">
        <v>0</v>
      </c>
      <c r="AR815" s="476" t="s">
        <v>15145</v>
      </c>
      <c r="BA815" s="313" t="s">
        <v>4400</v>
      </c>
    </row>
    <row r="816" spans="2:53" ht="16.5" customHeight="1">
      <c r="B816" s="367" t="s">
        <v>10200</v>
      </c>
      <c r="C816" s="351" t="s">
        <v>10201</v>
      </c>
      <c r="D816" s="353">
        <v>-1393</v>
      </c>
      <c r="E816" s="352" t="s">
        <v>408</v>
      </c>
      <c r="F816" s="341">
        <v>86.8</v>
      </c>
      <c r="G816" s="355" t="s">
        <v>10202</v>
      </c>
      <c r="H816" s="356" t="s">
        <v>10203</v>
      </c>
      <c r="I816" s="354" t="s">
        <v>9189</v>
      </c>
      <c r="J816" s="340" t="s">
        <v>8480</v>
      </c>
      <c r="K816" s="339" t="s">
        <v>70</v>
      </c>
      <c r="L816" s="357">
        <v>26</v>
      </c>
      <c r="M816" s="358" t="s">
        <v>10168</v>
      </c>
      <c r="N816" s="359">
        <v>1000</v>
      </c>
      <c r="O816" s="360" t="s">
        <v>532</v>
      </c>
      <c r="P816" s="343" t="s">
        <v>532</v>
      </c>
      <c r="Q816" s="342" t="s">
        <v>2688</v>
      </c>
      <c r="R816" s="344">
        <v>20</v>
      </c>
      <c r="S816" s="345">
        <v>35</v>
      </c>
      <c r="T816" s="362">
        <v>25</v>
      </c>
      <c r="U816" s="361">
        <v>86.8</v>
      </c>
      <c r="V816" s="346">
        <v>123.14368227613075</v>
      </c>
      <c r="W816" s="348">
        <v>121.72779781208321</v>
      </c>
      <c r="X816" s="347" t="s">
        <v>18655</v>
      </c>
      <c r="Y816" s="357" t="s">
        <v>408</v>
      </c>
      <c r="Z816" s="365" t="s">
        <v>3017</v>
      </c>
      <c r="AA816" s="350">
        <v>195.56</v>
      </c>
      <c r="AB816" s="349" t="s">
        <v>2685</v>
      </c>
      <c r="AC816" s="350">
        <v>0</v>
      </c>
      <c r="AD816" s="349" t="s">
        <v>2685</v>
      </c>
      <c r="AE816" s="364">
        <v>0</v>
      </c>
      <c r="AF816" s="366">
        <v>15.666</v>
      </c>
      <c r="AG816" s="363">
        <v>0</v>
      </c>
      <c r="AH816" s="635" t="s">
        <v>9517</v>
      </c>
      <c r="AL816" s="487" t="s">
        <v>15135</v>
      </c>
      <c r="AM816" s="477" t="s">
        <v>70</v>
      </c>
      <c r="AN816" s="637">
        <v>100</v>
      </c>
      <c r="AO816" s="478">
        <v>-1393</v>
      </c>
      <c r="AP816" s="463">
        <v>-1393</v>
      </c>
      <c r="AQ816" s="479">
        <v>0</v>
      </c>
      <c r="AR816" s="476" t="s">
        <v>15147</v>
      </c>
      <c r="BA816" s="313" t="s">
        <v>4403</v>
      </c>
    </row>
    <row r="817" spans="2:53" ht="16.5" customHeight="1">
      <c r="B817" s="367" t="s">
        <v>10200</v>
      </c>
      <c r="C817" s="351" t="s">
        <v>10201</v>
      </c>
      <c r="D817" s="353">
        <v>-1394</v>
      </c>
      <c r="E817" s="352" t="s">
        <v>408</v>
      </c>
      <c r="F817" s="341">
        <v>86.8</v>
      </c>
      <c r="G817" s="355" t="s">
        <v>10202</v>
      </c>
      <c r="H817" s="356" t="s">
        <v>10203</v>
      </c>
      <c r="I817" s="354" t="s">
        <v>73</v>
      </c>
      <c r="J817" s="340" t="s">
        <v>10204</v>
      </c>
      <c r="K817" s="339" t="s">
        <v>70</v>
      </c>
      <c r="L817" s="357" t="s">
        <v>408</v>
      </c>
      <c r="M817" s="358" t="s">
        <v>6426</v>
      </c>
      <c r="N817" s="359">
        <v>1000</v>
      </c>
      <c r="O817" s="360" t="s">
        <v>530</v>
      </c>
      <c r="P817" s="343" t="s">
        <v>531</v>
      </c>
      <c r="Q817" s="342" t="s">
        <v>2688</v>
      </c>
      <c r="R817" s="344">
        <v>22</v>
      </c>
      <c r="S817" s="345">
        <v>33</v>
      </c>
      <c r="T817" s="362">
        <v>33</v>
      </c>
      <c r="U817" s="361">
        <v>86.8</v>
      </c>
      <c r="V817" s="346">
        <v>123.14570463735468</v>
      </c>
      <c r="W817" s="348">
        <v>121.72908476922572</v>
      </c>
      <c r="X817" s="347">
        <v>61.93</v>
      </c>
      <c r="Y817" s="357">
        <v>62.68</v>
      </c>
      <c r="Z817" s="365" t="s">
        <v>2689</v>
      </c>
      <c r="AA817" s="350">
        <v>111.11</v>
      </c>
      <c r="AB817" s="349" t="s">
        <v>2685</v>
      </c>
      <c r="AC817" s="350">
        <v>0</v>
      </c>
      <c r="AD817" s="349" t="s">
        <v>2685</v>
      </c>
      <c r="AE817" s="364">
        <v>0</v>
      </c>
      <c r="AF817" s="366">
        <v>6.2679999999999998</v>
      </c>
      <c r="AG817" s="363">
        <v>0</v>
      </c>
      <c r="AH817" s="635" t="s">
        <v>7791</v>
      </c>
      <c r="AL817" s="487" t="s">
        <v>15146</v>
      </c>
      <c r="AM817" s="477" t="s">
        <v>70</v>
      </c>
      <c r="AN817" s="637">
        <v>100</v>
      </c>
      <c r="AO817" s="478">
        <v>-1394</v>
      </c>
      <c r="AP817" s="463">
        <v>-1394</v>
      </c>
      <c r="AQ817" s="479">
        <v>0</v>
      </c>
      <c r="AR817" s="476" t="s">
        <v>15147</v>
      </c>
      <c r="BA817" s="313" t="s">
        <v>4404</v>
      </c>
    </row>
    <row r="818" spans="2:53" ht="16.5" customHeight="1">
      <c r="B818" s="367" t="s">
        <v>10205</v>
      </c>
      <c r="C818" s="351" t="s">
        <v>10206</v>
      </c>
      <c r="D818" s="353">
        <v>-1395</v>
      </c>
      <c r="E818" s="352" t="s">
        <v>408</v>
      </c>
      <c r="F818" s="341">
        <v>86.71</v>
      </c>
      <c r="G818" s="355" t="s">
        <v>4482</v>
      </c>
      <c r="H818" s="356" t="s">
        <v>10207</v>
      </c>
      <c r="I818" s="354" t="s">
        <v>209</v>
      </c>
      <c r="J818" s="340" t="s">
        <v>10208</v>
      </c>
      <c r="K818" s="339" t="s">
        <v>70</v>
      </c>
      <c r="L818" s="357">
        <v>23</v>
      </c>
      <c r="M818" s="358" t="s">
        <v>10209</v>
      </c>
      <c r="N818" s="359">
        <v>1000</v>
      </c>
      <c r="O818" s="360" t="s">
        <v>530</v>
      </c>
      <c r="P818" s="343" t="s">
        <v>530</v>
      </c>
      <c r="Q818" s="342" t="s">
        <v>2688</v>
      </c>
      <c r="R818" s="344">
        <v>20</v>
      </c>
      <c r="S818" s="345">
        <v>30</v>
      </c>
      <c r="T818" s="362">
        <v>30</v>
      </c>
      <c r="U818" s="361">
        <v>86.71</v>
      </c>
      <c r="V818" s="346">
        <v>123.07904469998984</v>
      </c>
      <c r="W818" s="348">
        <v>121.68666480908445</v>
      </c>
      <c r="X818" s="347">
        <v>61.9</v>
      </c>
      <c r="Y818" s="357" t="s">
        <v>408</v>
      </c>
      <c r="Z818" s="365" t="s">
        <v>3017</v>
      </c>
      <c r="AA818" s="350">
        <v>198</v>
      </c>
      <c r="AB818" s="349" t="s">
        <v>2685</v>
      </c>
      <c r="AC818" s="350">
        <v>10</v>
      </c>
      <c r="AD818" s="349" t="s">
        <v>2685</v>
      </c>
      <c r="AE818" s="364">
        <v>0</v>
      </c>
      <c r="AF818" s="366">
        <v>0</v>
      </c>
      <c r="AG818" s="363">
        <v>0</v>
      </c>
      <c r="AH818" s="635" t="s">
        <v>408</v>
      </c>
      <c r="AL818" s="487" t="s">
        <v>15148</v>
      </c>
      <c r="AM818" s="477" t="s">
        <v>70</v>
      </c>
      <c r="AN818" s="637">
        <v>100</v>
      </c>
      <c r="AO818" s="478">
        <v>-1395</v>
      </c>
      <c r="AP818" s="463">
        <v>-1395</v>
      </c>
      <c r="AQ818" s="479">
        <v>0</v>
      </c>
      <c r="AR818" s="476" t="s">
        <v>15149</v>
      </c>
      <c r="BA818" s="313" t="s">
        <v>4406</v>
      </c>
    </row>
    <row r="819" spans="2:53" ht="16.5" customHeight="1">
      <c r="B819" s="367" t="s">
        <v>10205</v>
      </c>
      <c r="C819" s="351" t="s">
        <v>10206</v>
      </c>
      <c r="D819" s="353">
        <v>-1396</v>
      </c>
      <c r="E819" s="352" t="s">
        <v>408</v>
      </c>
      <c r="F819" s="341">
        <v>86.71</v>
      </c>
      <c r="G819" s="355" t="s">
        <v>4482</v>
      </c>
      <c r="H819" s="356" t="s">
        <v>10207</v>
      </c>
      <c r="I819" s="354" t="s">
        <v>254</v>
      </c>
      <c r="J819" s="340" t="s">
        <v>10210</v>
      </c>
      <c r="K819" s="339" t="s">
        <v>70</v>
      </c>
      <c r="L819" s="357">
        <v>7</v>
      </c>
      <c r="M819" s="358" t="s">
        <v>10211</v>
      </c>
      <c r="N819" s="359">
        <v>1000</v>
      </c>
      <c r="O819" s="360" t="s">
        <v>532</v>
      </c>
      <c r="P819" s="343" t="s">
        <v>533</v>
      </c>
      <c r="Q819" s="342" t="s">
        <v>2688</v>
      </c>
      <c r="R819" s="344">
        <v>25</v>
      </c>
      <c r="S819" s="345">
        <v>35</v>
      </c>
      <c r="T819" s="362">
        <v>20</v>
      </c>
      <c r="U819" s="361">
        <v>86.71</v>
      </c>
      <c r="V819" s="346">
        <v>123.07918132069389</v>
      </c>
      <c r="W819" s="348">
        <v>121.68675174953248</v>
      </c>
      <c r="X819" s="347">
        <v>61.9</v>
      </c>
      <c r="Y819" s="357">
        <v>62.64</v>
      </c>
      <c r="Z819" s="365" t="s">
        <v>3017</v>
      </c>
      <c r="AA819" s="350">
        <v>196</v>
      </c>
      <c r="AB819" s="349" t="s">
        <v>2685</v>
      </c>
      <c r="AC819" s="350">
        <v>3</v>
      </c>
      <c r="AD819" s="349" t="s">
        <v>2685</v>
      </c>
      <c r="AE819" s="364">
        <v>0</v>
      </c>
      <c r="AF819" s="366">
        <v>0</v>
      </c>
      <c r="AG819" s="363">
        <v>0</v>
      </c>
      <c r="AH819" s="635" t="s">
        <v>408</v>
      </c>
      <c r="AL819" s="487" t="s">
        <v>15150</v>
      </c>
      <c r="AM819" s="477" t="s">
        <v>70</v>
      </c>
      <c r="AN819" s="637">
        <v>100</v>
      </c>
      <c r="AO819" s="478">
        <v>-1396</v>
      </c>
      <c r="AP819" s="463">
        <v>-1396</v>
      </c>
      <c r="AQ819" s="479">
        <v>0</v>
      </c>
      <c r="AR819" s="476" t="s">
        <v>15149</v>
      </c>
      <c r="BA819" s="313" t="s">
        <v>4409</v>
      </c>
    </row>
    <row r="820" spans="2:53" ht="16.5" customHeight="1">
      <c r="B820" s="367" t="s">
        <v>4322</v>
      </c>
      <c r="C820" s="351" t="s">
        <v>4323</v>
      </c>
      <c r="D820" s="353">
        <v>-1397</v>
      </c>
      <c r="E820" s="352" t="s">
        <v>408</v>
      </c>
      <c r="F820" s="341">
        <v>86.69</v>
      </c>
      <c r="G820" s="355" t="s">
        <v>18656</v>
      </c>
      <c r="H820" s="356" t="s">
        <v>10282</v>
      </c>
      <c r="I820" s="354" t="s">
        <v>9189</v>
      </c>
      <c r="J820" s="340" t="s">
        <v>8726</v>
      </c>
      <c r="K820" s="339" t="s">
        <v>71</v>
      </c>
      <c r="L820" s="357">
        <v>10</v>
      </c>
      <c r="M820" s="358" t="s">
        <v>10169</v>
      </c>
      <c r="N820" s="359">
        <v>1000</v>
      </c>
      <c r="O820" s="360" t="s">
        <v>532</v>
      </c>
      <c r="P820" s="343" t="s">
        <v>532</v>
      </c>
      <c r="Q820" s="342" t="s">
        <v>2688</v>
      </c>
      <c r="R820" s="344">
        <v>30</v>
      </c>
      <c r="S820" s="345">
        <v>25</v>
      </c>
      <c r="T820" s="362">
        <v>25</v>
      </c>
      <c r="U820" s="361">
        <v>86.69</v>
      </c>
      <c r="V820" s="346">
        <v>123.06419566564178</v>
      </c>
      <c r="W820" s="348">
        <v>121.67721542359023</v>
      </c>
      <c r="X820" s="347" t="s">
        <v>18657</v>
      </c>
      <c r="Y820" s="357" t="s">
        <v>408</v>
      </c>
      <c r="Z820" s="365" t="s">
        <v>3017</v>
      </c>
      <c r="AA820" s="350">
        <v>195.56</v>
      </c>
      <c r="AB820" s="349" t="s">
        <v>2685</v>
      </c>
      <c r="AC820" s="350">
        <v>0</v>
      </c>
      <c r="AD820" s="349" t="s">
        <v>2685</v>
      </c>
      <c r="AE820" s="364">
        <v>0</v>
      </c>
      <c r="AF820" s="366">
        <v>15.499000000000001</v>
      </c>
      <c r="AG820" s="363">
        <v>0</v>
      </c>
      <c r="AH820" s="635" t="s">
        <v>9192</v>
      </c>
      <c r="AL820" s="487" t="s">
        <v>15139</v>
      </c>
      <c r="AM820" s="477" t="s">
        <v>71</v>
      </c>
      <c r="AN820" s="637">
        <v>100</v>
      </c>
      <c r="AO820" s="478">
        <v>-1397</v>
      </c>
      <c r="AP820" s="463">
        <v>-686</v>
      </c>
      <c r="AQ820" s="479">
        <v>-711</v>
      </c>
      <c r="AR820" s="476" t="s">
        <v>15166</v>
      </c>
      <c r="BA820" s="313" t="s">
        <v>4410</v>
      </c>
    </row>
    <row r="821" spans="2:53" ht="16.5" customHeight="1">
      <c r="B821" s="367" t="s">
        <v>18208</v>
      </c>
      <c r="C821" s="351" t="s">
        <v>18209</v>
      </c>
      <c r="D821" s="353">
        <v>-1398</v>
      </c>
      <c r="E821" s="352" t="s">
        <v>408</v>
      </c>
      <c r="F821" s="341">
        <v>86.66</v>
      </c>
      <c r="G821" s="355" t="s">
        <v>4490</v>
      </c>
      <c r="H821" s="356" t="s">
        <v>18658</v>
      </c>
      <c r="I821" s="354" t="s">
        <v>9189</v>
      </c>
      <c r="J821" s="340" t="s">
        <v>10191</v>
      </c>
      <c r="K821" s="339" t="s">
        <v>71</v>
      </c>
      <c r="L821" s="357">
        <v>14</v>
      </c>
      <c r="M821" s="358" t="s">
        <v>10192</v>
      </c>
      <c r="N821" s="359">
        <v>1000</v>
      </c>
      <c r="O821" s="360" t="s">
        <v>532</v>
      </c>
      <c r="P821" s="343" t="s">
        <v>532</v>
      </c>
      <c r="Q821" s="342" t="s">
        <v>2688</v>
      </c>
      <c r="R821" s="344">
        <v>25</v>
      </c>
      <c r="S821" s="345">
        <v>30</v>
      </c>
      <c r="T821" s="362">
        <v>25</v>
      </c>
      <c r="U821" s="361">
        <v>86.66</v>
      </c>
      <c r="V821" s="346">
        <v>123.04543340623098</v>
      </c>
      <c r="W821" s="348">
        <v>121.66527580396517</v>
      </c>
      <c r="X821" s="347" t="s">
        <v>18659</v>
      </c>
      <c r="Y821" s="357" t="s">
        <v>408</v>
      </c>
      <c r="Z821" s="365" t="s">
        <v>3017</v>
      </c>
      <c r="AA821" s="350">
        <v>195.56</v>
      </c>
      <c r="AB821" s="349" t="s">
        <v>2685</v>
      </c>
      <c r="AC821" s="350">
        <v>0</v>
      </c>
      <c r="AD821" s="349" t="s">
        <v>2685</v>
      </c>
      <c r="AE821" s="364">
        <v>0</v>
      </c>
      <c r="AF821" s="366">
        <v>0</v>
      </c>
      <c r="AG821" s="363">
        <v>0</v>
      </c>
      <c r="AH821" s="635" t="s">
        <v>408</v>
      </c>
      <c r="AL821" s="487" t="s">
        <v>15140</v>
      </c>
      <c r="AM821" s="477" t="s">
        <v>71</v>
      </c>
      <c r="AN821" s="637">
        <v>100</v>
      </c>
      <c r="AO821" s="478">
        <v>-1398</v>
      </c>
      <c r="AP821" s="463">
        <v>-684</v>
      </c>
      <c r="AQ821" s="479">
        <v>-714</v>
      </c>
      <c r="AR821" s="476" t="s">
        <v>17228</v>
      </c>
      <c r="BA821" s="313" t="s">
        <v>4413</v>
      </c>
    </row>
    <row r="822" spans="2:53" ht="16.5" customHeight="1">
      <c r="B822" s="367" t="s">
        <v>4347</v>
      </c>
      <c r="C822" s="351" t="s">
        <v>4348</v>
      </c>
      <c r="D822" s="353">
        <v>-1399</v>
      </c>
      <c r="E822" s="352" t="s">
        <v>408</v>
      </c>
      <c r="F822" s="341">
        <v>86.63</v>
      </c>
      <c r="G822" s="355" t="s">
        <v>10741</v>
      </c>
      <c r="H822" s="356" t="s">
        <v>4191</v>
      </c>
      <c r="I822" s="354" t="s">
        <v>9189</v>
      </c>
      <c r="J822" s="340" t="s">
        <v>10193</v>
      </c>
      <c r="K822" s="339" t="s">
        <v>70</v>
      </c>
      <c r="L822" s="357">
        <v>36</v>
      </c>
      <c r="M822" s="358" t="s">
        <v>10194</v>
      </c>
      <c r="N822" s="359">
        <v>1000</v>
      </c>
      <c r="O822" s="360" t="s">
        <v>532</v>
      </c>
      <c r="P822" s="343" t="s">
        <v>532</v>
      </c>
      <c r="Q822" s="342" t="s">
        <v>2688</v>
      </c>
      <c r="R822" s="344">
        <v>20</v>
      </c>
      <c r="S822" s="345">
        <v>35</v>
      </c>
      <c r="T822" s="362">
        <v>25</v>
      </c>
      <c r="U822" s="361">
        <v>86.63</v>
      </c>
      <c r="V822" s="346">
        <v>123.02451069207157</v>
      </c>
      <c r="W822" s="348">
        <v>121.6519613495001</v>
      </c>
      <c r="X822" s="347" t="s">
        <v>18660</v>
      </c>
      <c r="Y822" s="357" t="s">
        <v>408</v>
      </c>
      <c r="Z822" s="365" t="s">
        <v>3017</v>
      </c>
      <c r="AA822" s="350">
        <v>195.56</v>
      </c>
      <c r="AB822" s="349" t="s">
        <v>2685</v>
      </c>
      <c r="AC822" s="350">
        <v>0</v>
      </c>
      <c r="AD822" s="349" t="s">
        <v>2685</v>
      </c>
      <c r="AE822" s="364">
        <v>0</v>
      </c>
      <c r="AF822" s="366">
        <v>15.651999999999999</v>
      </c>
      <c r="AG822" s="363">
        <v>0</v>
      </c>
      <c r="AH822" s="635" t="s">
        <v>9517</v>
      </c>
      <c r="AL822" s="487" t="s">
        <v>15141</v>
      </c>
      <c r="AM822" s="477" t="s">
        <v>70</v>
      </c>
      <c r="AN822" s="637">
        <v>100</v>
      </c>
      <c r="AO822" s="478">
        <v>-1399</v>
      </c>
      <c r="AP822" s="463">
        <v>-1399</v>
      </c>
      <c r="AQ822" s="479">
        <v>0</v>
      </c>
      <c r="AR822" s="476" t="s">
        <v>17229</v>
      </c>
      <c r="BA822" s="313" t="s">
        <v>4416</v>
      </c>
    </row>
    <row r="823" spans="2:53" ht="16.5" customHeight="1">
      <c r="B823" s="367" t="s">
        <v>10218</v>
      </c>
      <c r="C823" s="351" t="s">
        <v>10219</v>
      </c>
      <c r="D823" s="353">
        <v>-1400</v>
      </c>
      <c r="E823" s="352" t="s">
        <v>10197</v>
      </c>
      <c r="F823" s="341">
        <v>86.6</v>
      </c>
      <c r="G823" s="355" t="s">
        <v>4454</v>
      </c>
      <c r="H823" s="356" t="s">
        <v>4216</v>
      </c>
      <c r="I823" s="354" t="s">
        <v>254</v>
      </c>
      <c r="J823" s="340" t="s">
        <v>8197</v>
      </c>
      <c r="K823" s="339" t="s">
        <v>71</v>
      </c>
      <c r="L823" s="357">
        <v>8</v>
      </c>
      <c r="M823" s="358" t="s">
        <v>10220</v>
      </c>
      <c r="N823" s="359">
        <v>1000</v>
      </c>
      <c r="O823" s="360" t="s">
        <v>532</v>
      </c>
      <c r="P823" s="343" t="s">
        <v>533</v>
      </c>
      <c r="Q823" s="342" t="s">
        <v>2688</v>
      </c>
      <c r="R823" s="344">
        <v>35</v>
      </c>
      <c r="S823" s="345">
        <v>25</v>
      </c>
      <c r="T823" s="362">
        <v>20</v>
      </c>
      <c r="U823" s="361">
        <v>86.6</v>
      </c>
      <c r="V823" s="346">
        <v>122.9980698867608</v>
      </c>
      <c r="W823" s="348">
        <v>121.63504765006418</v>
      </c>
      <c r="X823" s="347">
        <v>62.09</v>
      </c>
      <c r="Y823" s="357">
        <v>62.6</v>
      </c>
      <c r="Z823" s="365" t="s">
        <v>3017</v>
      </c>
      <c r="AA823" s="350">
        <v>196</v>
      </c>
      <c r="AB823" s="349" t="s">
        <v>2685</v>
      </c>
      <c r="AC823" s="350">
        <v>3</v>
      </c>
      <c r="AD823" s="349" t="s">
        <v>2685</v>
      </c>
      <c r="AE823" s="364">
        <v>0</v>
      </c>
      <c r="AF823" s="366">
        <v>0</v>
      </c>
      <c r="AG823" s="363">
        <v>0</v>
      </c>
      <c r="AH823" s="635" t="s">
        <v>408</v>
      </c>
      <c r="AL823" s="487" t="s">
        <v>15151</v>
      </c>
      <c r="AM823" s="477" t="s">
        <v>71</v>
      </c>
      <c r="AN823" s="637">
        <v>100</v>
      </c>
      <c r="AO823" s="478">
        <v>-1400</v>
      </c>
      <c r="AP823" s="463">
        <v>-687</v>
      </c>
      <c r="AQ823" s="479">
        <v>-713</v>
      </c>
      <c r="AR823" s="476" t="s">
        <v>15170</v>
      </c>
      <c r="BA823" s="313" t="s">
        <v>4418</v>
      </c>
    </row>
    <row r="824" spans="2:53" ht="16.5" customHeight="1">
      <c r="B824" s="367" t="s">
        <v>10221</v>
      </c>
      <c r="C824" s="351" t="s">
        <v>10222</v>
      </c>
      <c r="D824" s="353">
        <v>-1401</v>
      </c>
      <c r="E824" s="352" t="s">
        <v>10213</v>
      </c>
      <c r="F824" s="341">
        <v>86.58</v>
      </c>
      <c r="G824" s="355" t="s">
        <v>10223</v>
      </c>
      <c r="H824" s="356" t="s">
        <v>10215</v>
      </c>
      <c r="I824" s="354" t="s">
        <v>236</v>
      </c>
      <c r="J824" s="340" t="s">
        <v>10224</v>
      </c>
      <c r="K824" s="339" t="s">
        <v>70</v>
      </c>
      <c r="L824" s="357">
        <v>17</v>
      </c>
      <c r="M824" s="358" t="s">
        <v>10225</v>
      </c>
      <c r="N824" s="359">
        <v>1000</v>
      </c>
      <c r="O824" s="360" t="s">
        <v>532</v>
      </c>
      <c r="P824" s="343" t="s">
        <v>533</v>
      </c>
      <c r="Q824" s="342" t="s">
        <v>2688</v>
      </c>
      <c r="R824" s="344">
        <v>20</v>
      </c>
      <c r="S824" s="345">
        <v>35</v>
      </c>
      <c r="T824" s="362">
        <v>25</v>
      </c>
      <c r="U824" s="361">
        <v>86.58</v>
      </c>
      <c r="V824" s="346">
        <v>122.98435669547793</v>
      </c>
      <c r="W824" s="348">
        <v>121.62569774691677</v>
      </c>
      <c r="X824" s="347">
        <v>61.85</v>
      </c>
      <c r="Y824" s="357">
        <v>62.6</v>
      </c>
      <c r="Z824" s="365" t="s">
        <v>3017</v>
      </c>
      <c r="AA824" s="350">
        <v>194</v>
      </c>
      <c r="AB824" s="349" t="s">
        <v>2685</v>
      </c>
      <c r="AC824" s="350">
        <v>4</v>
      </c>
      <c r="AD824" s="349" t="s">
        <v>2685</v>
      </c>
      <c r="AE824" s="364">
        <v>0</v>
      </c>
      <c r="AF824" s="366">
        <v>12.843</v>
      </c>
      <c r="AG824" s="363">
        <v>0</v>
      </c>
      <c r="AH824" s="635" t="s">
        <v>408</v>
      </c>
      <c r="AL824" s="487" t="s">
        <v>15152</v>
      </c>
      <c r="AM824" s="477" t="s">
        <v>70</v>
      </c>
      <c r="AN824" s="637">
        <v>100</v>
      </c>
      <c r="AO824" s="478">
        <v>-1401</v>
      </c>
      <c r="AP824" s="463">
        <v>-1401</v>
      </c>
      <c r="AQ824" s="479">
        <v>0</v>
      </c>
      <c r="AR824" s="476" t="s">
        <v>15156</v>
      </c>
      <c r="BA824" s="313" t="s">
        <v>4420</v>
      </c>
    </row>
    <row r="825" spans="2:53" ht="16.5" customHeight="1">
      <c r="B825" s="367" t="s">
        <v>10226</v>
      </c>
      <c r="C825" s="351" t="s">
        <v>10227</v>
      </c>
      <c r="D825" s="353">
        <v>-1402</v>
      </c>
      <c r="E825" s="352" t="s">
        <v>408</v>
      </c>
      <c r="F825" s="341">
        <v>86.58</v>
      </c>
      <c r="G825" s="355" t="s">
        <v>10228</v>
      </c>
      <c r="H825" s="356" t="s">
        <v>10215</v>
      </c>
      <c r="I825" s="354" t="s">
        <v>236</v>
      </c>
      <c r="J825" s="340" t="s">
        <v>480</v>
      </c>
      <c r="K825" s="339" t="s">
        <v>70</v>
      </c>
      <c r="L825" s="357">
        <v>17</v>
      </c>
      <c r="M825" s="358" t="s">
        <v>10229</v>
      </c>
      <c r="N825" s="359">
        <v>1000</v>
      </c>
      <c r="O825" s="360" t="s">
        <v>532</v>
      </c>
      <c r="P825" s="343" t="s">
        <v>533</v>
      </c>
      <c r="Q825" s="342" t="s">
        <v>2688</v>
      </c>
      <c r="R825" s="344">
        <v>20</v>
      </c>
      <c r="S825" s="345">
        <v>35</v>
      </c>
      <c r="T825" s="362">
        <v>25</v>
      </c>
      <c r="U825" s="361">
        <v>86.58</v>
      </c>
      <c r="V825" s="346">
        <v>122.9868230272474</v>
      </c>
      <c r="W825" s="348">
        <v>121.62737933675959</v>
      </c>
      <c r="X825" s="347">
        <v>61.85</v>
      </c>
      <c r="Y825" s="357">
        <v>62.6</v>
      </c>
      <c r="Z825" s="365" t="s">
        <v>3017</v>
      </c>
      <c r="AA825" s="350">
        <v>194</v>
      </c>
      <c r="AB825" s="349" t="s">
        <v>2685</v>
      </c>
      <c r="AC825" s="350">
        <v>4</v>
      </c>
      <c r="AD825" s="349" t="s">
        <v>2685</v>
      </c>
      <c r="AE825" s="364">
        <v>0</v>
      </c>
      <c r="AF825" s="366">
        <v>10.41</v>
      </c>
      <c r="AG825" s="363">
        <v>0</v>
      </c>
      <c r="AH825" s="635" t="s">
        <v>8990</v>
      </c>
      <c r="AL825" s="487" t="s">
        <v>15153</v>
      </c>
      <c r="AM825" s="477" t="s">
        <v>70</v>
      </c>
      <c r="AN825" s="637">
        <v>100</v>
      </c>
      <c r="AO825" s="478">
        <v>-1402</v>
      </c>
      <c r="AP825" s="463">
        <v>-1402</v>
      </c>
      <c r="AQ825" s="479">
        <v>0</v>
      </c>
      <c r="AR825" s="476" t="s">
        <v>15156</v>
      </c>
      <c r="BA825" s="313" t="s">
        <v>4423</v>
      </c>
    </row>
    <row r="826" spans="2:53" ht="16.5" customHeight="1">
      <c r="B826" s="367" t="s">
        <v>10230</v>
      </c>
      <c r="C826" s="351" t="s">
        <v>10231</v>
      </c>
      <c r="D826" s="353">
        <v>-1403</v>
      </c>
      <c r="E826" s="352" t="s">
        <v>4498</v>
      </c>
      <c r="F826" s="341">
        <v>86.56</v>
      </c>
      <c r="G826" s="355" t="s">
        <v>4504</v>
      </c>
      <c r="H826" s="356" t="s">
        <v>4196</v>
      </c>
      <c r="I826" s="354" t="s">
        <v>254</v>
      </c>
      <c r="J826" s="340" t="s">
        <v>10232</v>
      </c>
      <c r="K826" s="339" t="s">
        <v>70</v>
      </c>
      <c r="L826" s="357">
        <v>7</v>
      </c>
      <c r="M826" s="358" t="s">
        <v>10233</v>
      </c>
      <c r="N826" s="359">
        <v>1000</v>
      </c>
      <c r="O826" s="360" t="s">
        <v>532</v>
      </c>
      <c r="P826" s="343" t="s">
        <v>533</v>
      </c>
      <c r="Q826" s="342" t="s">
        <v>2688</v>
      </c>
      <c r="R826" s="344">
        <v>25</v>
      </c>
      <c r="S826" s="345">
        <v>35</v>
      </c>
      <c r="T826" s="362">
        <v>20</v>
      </c>
      <c r="U826" s="361">
        <v>86.56</v>
      </c>
      <c r="V826" s="346">
        <v>122.97299920605843</v>
      </c>
      <c r="W826" s="348">
        <v>121.61795400413075</v>
      </c>
      <c r="X826" s="347">
        <v>61.84</v>
      </c>
      <c r="Y826" s="357">
        <v>62.589999999999996</v>
      </c>
      <c r="Z826" s="365" t="s">
        <v>3017</v>
      </c>
      <c r="AA826" s="350">
        <v>196</v>
      </c>
      <c r="AB826" s="349" t="s">
        <v>2685</v>
      </c>
      <c r="AC826" s="350">
        <v>3</v>
      </c>
      <c r="AD826" s="349" t="s">
        <v>2685</v>
      </c>
      <c r="AE826" s="364">
        <v>0</v>
      </c>
      <c r="AF826" s="366">
        <v>0</v>
      </c>
      <c r="AG826" s="363">
        <v>0</v>
      </c>
      <c r="AH826" s="635" t="s">
        <v>408</v>
      </c>
      <c r="AL826" s="487" t="s">
        <v>15157</v>
      </c>
      <c r="AM826" s="477" t="s">
        <v>70</v>
      </c>
      <c r="AN826" s="637">
        <v>100</v>
      </c>
      <c r="AO826" s="478">
        <v>-1403</v>
      </c>
      <c r="AP826" s="463">
        <v>-1403</v>
      </c>
      <c r="AQ826" s="479">
        <v>0</v>
      </c>
      <c r="AR826" s="476" t="s">
        <v>15158</v>
      </c>
      <c r="BA826" s="313" t="s">
        <v>4426</v>
      </c>
    </row>
    <row r="827" spans="2:53" ht="16.5" customHeight="1">
      <c r="B827" s="367" t="s">
        <v>10200</v>
      </c>
      <c r="C827" s="351" t="s">
        <v>10201</v>
      </c>
      <c r="D827" s="353">
        <v>-1404</v>
      </c>
      <c r="E827" s="352" t="s">
        <v>408</v>
      </c>
      <c r="F827" s="341">
        <v>86.54</v>
      </c>
      <c r="G827" s="355" t="s">
        <v>4473</v>
      </c>
      <c r="H827" s="356" t="s">
        <v>4219</v>
      </c>
      <c r="I827" s="354" t="s">
        <v>237</v>
      </c>
      <c r="J827" s="340" t="s">
        <v>8659</v>
      </c>
      <c r="K827" s="339" t="s">
        <v>71</v>
      </c>
      <c r="L827" s="357">
        <v>8</v>
      </c>
      <c r="M827" s="358" t="s">
        <v>4494</v>
      </c>
      <c r="N827" s="359">
        <v>1000</v>
      </c>
      <c r="O827" s="360" t="s">
        <v>530</v>
      </c>
      <c r="P827" s="343" t="s">
        <v>530</v>
      </c>
      <c r="Q827" s="342" t="s">
        <v>2688</v>
      </c>
      <c r="R827" s="344">
        <v>30</v>
      </c>
      <c r="S827" s="345">
        <v>30</v>
      </c>
      <c r="T827" s="362">
        <v>20</v>
      </c>
      <c r="U827" s="361">
        <v>86.54</v>
      </c>
      <c r="V827" s="346">
        <v>122.96040615562576</v>
      </c>
      <c r="W827" s="348">
        <v>121.60936783338121</v>
      </c>
      <c r="X827" s="347">
        <v>62.08</v>
      </c>
      <c r="Y827" s="357" t="s">
        <v>408</v>
      </c>
      <c r="Z827" s="365" t="s">
        <v>3017</v>
      </c>
      <c r="AA827" s="350">
        <v>196</v>
      </c>
      <c r="AB827" s="349" t="s">
        <v>2685</v>
      </c>
      <c r="AC827" s="350">
        <v>0</v>
      </c>
      <c r="AD827" s="349" t="s">
        <v>2685</v>
      </c>
      <c r="AE827" s="364">
        <v>0</v>
      </c>
      <c r="AF827" s="366">
        <v>0</v>
      </c>
      <c r="AG827" s="363">
        <v>0</v>
      </c>
      <c r="AH827" s="635" t="s">
        <v>408</v>
      </c>
      <c r="AL827" s="487" t="s">
        <v>15159</v>
      </c>
      <c r="AM827" s="477" t="s">
        <v>71</v>
      </c>
      <c r="AN827" s="637">
        <v>100</v>
      </c>
      <c r="AO827" s="478">
        <v>-1404</v>
      </c>
      <c r="AP827" s="463">
        <v>-688</v>
      </c>
      <c r="AQ827" s="479">
        <v>-716</v>
      </c>
      <c r="AR827" s="476" t="s">
        <v>15175</v>
      </c>
      <c r="BA827" s="313" t="s">
        <v>4427</v>
      </c>
    </row>
    <row r="828" spans="2:53" ht="16.5" customHeight="1">
      <c r="B828" s="367" t="s">
        <v>4355</v>
      </c>
      <c r="C828" s="351" t="s">
        <v>4356</v>
      </c>
      <c r="D828" s="353">
        <v>-1405</v>
      </c>
      <c r="E828" s="352" t="s">
        <v>408</v>
      </c>
      <c r="F828" s="341">
        <v>86.53</v>
      </c>
      <c r="G828" s="355" t="s">
        <v>10234</v>
      </c>
      <c r="H828" s="356" t="s">
        <v>9805</v>
      </c>
      <c r="I828" s="354" t="s">
        <v>254</v>
      </c>
      <c r="J828" s="340" t="s">
        <v>555</v>
      </c>
      <c r="K828" s="339" t="s">
        <v>70</v>
      </c>
      <c r="L828" s="357">
        <v>10</v>
      </c>
      <c r="M828" s="358" t="s">
        <v>10235</v>
      </c>
      <c r="N828" s="359">
        <v>1000</v>
      </c>
      <c r="O828" s="360" t="s">
        <v>532</v>
      </c>
      <c r="P828" s="343" t="s">
        <v>533</v>
      </c>
      <c r="Q828" s="342" t="s">
        <v>2688</v>
      </c>
      <c r="R828" s="344">
        <v>25</v>
      </c>
      <c r="S828" s="345">
        <v>35</v>
      </c>
      <c r="T828" s="362">
        <v>20</v>
      </c>
      <c r="U828" s="361">
        <v>86.53</v>
      </c>
      <c r="V828" s="346">
        <v>122.95082290205887</v>
      </c>
      <c r="W828" s="348">
        <v>121.60283379685832</v>
      </c>
      <c r="X828" s="347">
        <v>61.83</v>
      </c>
      <c r="Y828" s="357">
        <v>62.58</v>
      </c>
      <c r="Z828" s="365" t="s">
        <v>3017</v>
      </c>
      <c r="AA828" s="350">
        <v>196</v>
      </c>
      <c r="AB828" s="349" t="s">
        <v>2685</v>
      </c>
      <c r="AC828" s="350">
        <v>3</v>
      </c>
      <c r="AD828" s="349" t="s">
        <v>2685</v>
      </c>
      <c r="AE828" s="364">
        <v>0</v>
      </c>
      <c r="AF828" s="366">
        <v>0</v>
      </c>
      <c r="AG828" s="363">
        <v>0</v>
      </c>
      <c r="AH828" s="635" t="s">
        <v>408</v>
      </c>
      <c r="AL828" s="487" t="s">
        <v>15160</v>
      </c>
      <c r="AM828" s="477" t="s">
        <v>70</v>
      </c>
      <c r="AN828" s="637">
        <v>100</v>
      </c>
      <c r="AO828" s="478">
        <v>-1405</v>
      </c>
      <c r="AP828" s="463">
        <v>-1405</v>
      </c>
      <c r="AQ828" s="479">
        <v>0</v>
      </c>
      <c r="AR828" s="476" t="s">
        <v>15161</v>
      </c>
      <c r="BA828" s="313" t="s">
        <v>4428</v>
      </c>
    </row>
    <row r="829" spans="2:53" ht="16.5" customHeight="1">
      <c r="B829" s="367" t="s">
        <v>4355</v>
      </c>
      <c r="C829" s="351" t="s">
        <v>4356</v>
      </c>
      <c r="D829" s="353">
        <v>-1406</v>
      </c>
      <c r="E829" s="352" t="s">
        <v>408</v>
      </c>
      <c r="F829" s="341">
        <v>86.52</v>
      </c>
      <c r="G829" s="355" t="s">
        <v>10234</v>
      </c>
      <c r="H829" s="356" t="s">
        <v>9805</v>
      </c>
      <c r="I829" s="354" t="s">
        <v>237</v>
      </c>
      <c r="J829" s="340" t="s">
        <v>10236</v>
      </c>
      <c r="K829" s="339" t="s">
        <v>70</v>
      </c>
      <c r="L829" s="357">
        <v>10</v>
      </c>
      <c r="M829" s="358" t="s">
        <v>10237</v>
      </c>
      <c r="N829" s="359">
        <v>1000</v>
      </c>
      <c r="O829" s="360" t="s">
        <v>530</v>
      </c>
      <c r="P829" s="343" t="s">
        <v>530</v>
      </c>
      <c r="Q829" s="342" t="s">
        <v>2688</v>
      </c>
      <c r="R829" s="344">
        <v>20</v>
      </c>
      <c r="S829" s="345">
        <v>30</v>
      </c>
      <c r="T829" s="362">
        <v>30</v>
      </c>
      <c r="U829" s="361">
        <v>86.52</v>
      </c>
      <c r="V829" s="346">
        <v>122.94939079413892</v>
      </c>
      <c r="W829" s="348">
        <v>121.60185735964018</v>
      </c>
      <c r="X829" s="347">
        <v>61.83</v>
      </c>
      <c r="Y829" s="357" t="s">
        <v>408</v>
      </c>
      <c r="Z829" s="365" t="s">
        <v>3017</v>
      </c>
      <c r="AA829" s="350">
        <v>196</v>
      </c>
      <c r="AB829" s="349" t="s">
        <v>2685</v>
      </c>
      <c r="AC829" s="350">
        <v>0</v>
      </c>
      <c r="AD829" s="349" t="s">
        <v>2685</v>
      </c>
      <c r="AE829" s="364">
        <v>0</v>
      </c>
      <c r="AF829" s="366">
        <v>11.037000000000001</v>
      </c>
      <c r="AG829" s="363">
        <v>0</v>
      </c>
      <c r="AH829" s="635" t="s">
        <v>9931</v>
      </c>
      <c r="AL829" s="487" t="s">
        <v>15162</v>
      </c>
      <c r="AM829" s="477" t="s">
        <v>70</v>
      </c>
      <c r="AN829" s="637">
        <v>100</v>
      </c>
      <c r="AO829" s="478">
        <v>-1406</v>
      </c>
      <c r="AP829" s="463">
        <v>-1406</v>
      </c>
      <c r="AQ829" s="479">
        <v>0</v>
      </c>
      <c r="AR829" s="476" t="s">
        <v>15161</v>
      </c>
      <c r="BA829" s="313" t="s">
        <v>4432</v>
      </c>
    </row>
    <row r="830" spans="2:53" ht="16.5" customHeight="1">
      <c r="B830" s="367" t="s">
        <v>10238</v>
      </c>
      <c r="C830" s="351" t="s">
        <v>10239</v>
      </c>
      <c r="D830" s="353">
        <v>-1407</v>
      </c>
      <c r="E830" s="352" t="s">
        <v>408</v>
      </c>
      <c r="F830" s="341">
        <v>86.51</v>
      </c>
      <c r="G830" s="355" t="s">
        <v>10725</v>
      </c>
      <c r="H830" s="356" t="s">
        <v>10309</v>
      </c>
      <c r="I830" s="354" t="s">
        <v>254</v>
      </c>
      <c r="J830" s="340" t="s">
        <v>8726</v>
      </c>
      <c r="K830" s="339" t="s">
        <v>71</v>
      </c>
      <c r="L830" s="357">
        <v>8</v>
      </c>
      <c r="M830" s="358" t="s">
        <v>10242</v>
      </c>
      <c r="N830" s="359">
        <v>1000</v>
      </c>
      <c r="O830" s="360" t="s">
        <v>532</v>
      </c>
      <c r="P830" s="343" t="s">
        <v>533</v>
      </c>
      <c r="Q830" s="342" t="s">
        <v>2688</v>
      </c>
      <c r="R830" s="344">
        <v>35</v>
      </c>
      <c r="S830" s="345">
        <v>25</v>
      </c>
      <c r="T830" s="362">
        <v>20</v>
      </c>
      <c r="U830" s="361">
        <v>86.51</v>
      </c>
      <c r="V830" s="346">
        <v>122.94029603946232</v>
      </c>
      <c r="W830" s="348">
        <v>121.5956563905425</v>
      </c>
      <c r="X830" s="347">
        <v>62.06</v>
      </c>
      <c r="Y830" s="357">
        <v>62.57</v>
      </c>
      <c r="Z830" s="365" t="s">
        <v>3017</v>
      </c>
      <c r="AA830" s="350">
        <v>196</v>
      </c>
      <c r="AB830" s="349" t="s">
        <v>2685</v>
      </c>
      <c r="AC830" s="350">
        <v>3</v>
      </c>
      <c r="AD830" s="349" t="s">
        <v>2685</v>
      </c>
      <c r="AE830" s="364">
        <v>0</v>
      </c>
      <c r="AF830" s="366">
        <v>0</v>
      </c>
      <c r="AG830" s="363">
        <v>0</v>
      </c>
      <c r="AH830" s="635" t="s">
        <v>408</v>
      </c>
      <c r="AL830" s="487" t="s">
        <v>15163</v>
      </c>
      <c r="AM830" s="477" t="s">
        <v>71</v>
      </c>
      <c r="AN830" s="637">
        <v>100</v>
      </c>
      <c r="AO830" s="478">
        <v>-1407</v>
      </c>
      <c r="AP830" s="463">
        <v>-689</v>
      </c>
      <c r="AQ830" s="479">
        <v>-718</v>
      </c>
      <c r="AR830" s="476" t="s">
        <v>17010</v>
      </c>
      <c r="BA830" s="313" t="s">
        <v>4436</v>
      </c>
    </row>
    <row r="831" spans="2:53" ht="16.5" customHeight="1">
      <c r="B831" s="367" t="s">
        <v>10243</v>
      </c>
      <c r="C831" s="351" t="s">
        <v>10244</v>
      </c>
      <c r="D831" s="353">
        <v>-1408</v>
      </c>
      <c r="E831" s="352" t="s">
        <v>408</v>
      </c>
      <c r="F831" s="341">
        <v>86.5</v>
      </c>
      <c r="G831" s="355" t="s">
        <v>10245</v>
      </c>
      <c r="H831" s="356" t="s">
        <v>4264</v>
      </c>
      <c r="I831" s="354" t="s">
        <v>497</v>
      </c>
      <c r="J831" s="340" t="s">
        <v>10246</v>
      </c>
      <c r="K831" s="339" t="s">
        <v>71</v>
      </c>
      <c r="L831" s="357">
        <v>5</v>
      </c>
      <c r="M831" s="358" t="s">
        <v>10247</v>
      </c>
      <c r="N831" s="359">
        <v>200</v>
      </c>
      <c r="O831" s="360" t="s">
        <v>454</v>
      </c>
      <c r="P831" s="343" t="s">
        <v>454</v>
      </c>
      <c r="Q831" s="342" t="s">
        <v>2738</v>
      </c>
      <c r="R831" s="344">
        <v>50</v>
      </c>
      <c r="S831" s="345">
        <v>0</v>
      </c>
      <c r="T831" s="362">
        <v>0</v>
      </c>
      <c r="U831" s="361">
        <v>86.5</v>
      </c>
      <c r="V831" s="346">
        <v>122.93333333333334</v>
      </c>
      <c r="W831" s="348">
        <v>121.59090909090909</v>
      </c>
      <c r="X831" s="347">
        <v>61.82</v>
      </c>
      <c r="Y831" s="357" t="s">
        <v>408</v>
      </c>
      <c r="Z831" s="365" t="s">
        <v>4408</v>
      </c>
      <c r="AA831" s="350">
        <v>94</v>
      </c>
      <c r="AB831" s="349" t="s">
        <v>2685</v>
      </c>
      <c r="AC831" s="350">
        <v>1.5</v>
      </c>
      <c r="AD831" s="349" t="s">
        <v>2685</v>
      </c>
      <c r="AE831" s="364">
        <v>0</v>
      </c>
      <c r="AF831" s="366">
        <v>0</v>
      </c>
      <c r="AG831" s="363">
        <v>0</v>
      </c>
      <c r="AH831" s="635" t="s">
        <v>10127</v>
      </c>
      <c r="AL831" s="487" t="s">
        <v>15164</v>
      </c>
      <c r="AM831" s="477" t="s">
        <v>71</v>
      </c>
      <c r="AN831" s="637">
        <v>100</v>
      </c>
      <c r="AO831" s="478">
        <v>-1408</v>
      </c>
      <c r="AP831" s="463">
        <v>-688</v>
      </c>
      <c r="AQ831" s="479">
        <v>-720</v>
      </c>
      <c r="AR831" s="476" t="s">
        <v>17011</v>
      </c>
      <c r="BA831" s="313" t="s">
        <v>4440</v>
      </c>
    </row>
    <row r="832" spans="2:53" ht="16.5" customHeight="1">
      <c r="B832" s="367" t="s">
        <v>10249</v>
      </c>
      <c r="C832" s="351" t="s">
        <v>10250</v>
      </c>
      <c r="D832" s="353">
        <v>-1409</v>
      </c>
      <c r="E832" s="352" t="s">
        <v>10240</v>
      </c>
      <c r="F832" s="341">
        <v>86.42</v>
      </c>
      <c r="G832" s="355" t="s">
        <v>18661</v>
      </c>
      <c r="H832" s="356" t="s">
        <v>18610</v>
      </c>
      <c r="I832" s="354" t="s">
        <v>73</v>
      </c>
      <c r="J832" s="340" t="s">
        <v>10253</v>
      </c>
      <c r="K832" s="339" t="s">
        <v>71</v>
      </c>
      <c r="L832" s="357" t="s">
        <v>408</v>
      </c>
      <c r="M832" s="358" t="s">
        <v>10254</v>
      </c>
      <c r="N832" s="359">
        <v>1000</v>
      </c>
      <c r="O832" s="360" t="s">
        <v>530</v>
      </c>
      <c r="P832" s="343" t="s">
        <v>531</v>
      </c>
      <c r="Q832" s="342" t="s">
        <v>2688</v>
      </c>
      <c r="R832" s="344">
        <v>38</v>
      </c>
      <c r="S832" s="345">
        <v>25</v>
      </c>
      <c r="T832" s="362">
        <v>25</v>
      </c>
      <c r="U832" s="361">
        <v>86.42</v>
      </c>
      <c r="V832" s="346">
        <v>122.87886355838297</v>
      </c>
      <c r="W832" s="348">
        <v>121.5537706079884</v>
      </c>
      <c r="X832" s="347">
        <v>62.03</v>
      </c>
      <c r="Y832" s="357">
        <v>62.55</v>
      </c>
      <c r="Z832" s="365" t="s">
        <v>2689</v>
      </c>
      <c r="AA832" s="350">
        <v>125</v>
      </c>
      <c r="AB832" s="349" t="s">
        <v>2685</v>
      </c>
      <c r="AC832" s="350">
        <v>0</v>
      </c>
      <c r="AD832" s="349" t="s">
        <v>2685</v>
      </c>
      <c r="AE832" s="364">
        <v>0</v>
      </c>
      <c r="AF832" s="366">
        <v>4.6909999999999998</v>
      </c>
      <c r="AG832" s="363">
        <v>0</v>
      </c>
      <c r="AH832" s="635" t="s">
        <v>8698</v>
      </c>
      <c r="AL832" s="487" t="s">
        <v>15165</v>
      </c>
      <c r="AM832" s="477" t="s">
        <v>71</v>
      </c>
      <c r="AN832" s="637">
        <v>100</v>
      </c>
      <c r="AO832" s="478">
        <v>-1409</v>
      </c>
      <c r="AP832" s="463">
        <v>-690</v>
      </c>
      <c r="AQ832" s="479">
        <v>-719</v>
      </c>
      <c r="AR832" s="476" t="s">
        <v>17012</v>
      </c>
      <c r="BA832" s="313" t="s">
        <v>4444</v>
      </c>
    </row>
    <row r="833" spans="2:53" ht="16.5" customHeight="1">
      <c r="B833" s="367" t="s">
        <v>4361</v>
      </c>
      <c r="C833" s="351" t="s">
        <v>4362</v>
      </c>
      <c r="D833" s="353">
        <v>-1410</v>
      </c>
      <c r="E833" s="352" t="s">
        <v>408</v>
      </c>
      <c r="F833" s="341">
        <v>86.37</v>
      </c>
      <c r="G833" s="355" t="s">
        <v>10241</v>
      </c>
      <c r="H833" s="356" t="s">
        <v>4236</v>
      </c>
      <c r="I833" s="354" t="s">
        <v>254</v>
      </c>
      <c r="J833" s="340" t="s">
        <v>10261</v>
      </c>
      <c r="K833" s="339" t="s">
        <v>71</v>
      </c>
      <c r="L833" s="357">
        <v>7</v>
      </c>
      <c r="M833" s="358" t="s">
        <v>10262</v>
      </c>
      <c r="N833" s="359">
        <v>1000</v>
      </c>
      <c r="O833" s="360" t="s">
        <v>532</v>
      </c>
      <c r="P833" s="343" t="s">
        <v>533</v>
      </c>
      <c r="Q833" s="342" t="s">
        <v>2688</v>
      </c>
      <c r="R833" s="344">
        <v>35</v>
      </c>
      <c r="S833" s="345">
        <v>25</v>
      </c>
      <c r="T833" s="362">
        <v>20</v>
      </c>
      <c r="U833" s="361">
        <v>86.37</v>
      </c>
      <c r="V833" s="346">
        <v>122.8459320888748</v>
      </c>
      <c r="W833" s="348">
        <v>121.53131733332373</v>
      </c>
      <c r="X833" s="347">
        <v>62.02</v>
      </c>
      <c r="Y833" s="357">
        <v>62.519999999999996</v>
      </c>
      <c r="Z833" s="365" t="s">
        <v>3017</v>
      </c>
      <c r="AA833" s="350">
        <v>196</v>
      </c>
      <c r="AB833" s="349" t="s">
        <v>2685</v>
      </c>
      <c r="AC833" s="350">
        <v>3</v>
      </c>
      <c r="AD833" s="349" t="s">
        <v>2685</v>
      </c>
      <c r="AE833" s="364">
        <v>0</v>
      </c>
      <c r="AF833" s="366">
        <v>0</v>
      </c>
      <c r="AG833" s="363">
        <v>0</v>
      </c>
      <c r="AH833" s="635" t="s">
        <v>408</v>
      </c>
      <c r="AL833" s="487" t="s">
        <v>15168</v>
      </c>
      <c r="AM833" s="477" t="s">
        <v>71</v>
      </c>
      <c r="AN833" s="637">
        <v>100</v>
      </c>
      <c r="AO833" s="478">
        <v>-1410</v>
      </c>
      <c r="AP833" s="463">
        <v>-690</v>
      </c>
      <c r="AQ833" s="479">
        <v>-720</v>
      </c>
      <c r="AR833" s="476" t="s">
        <v>17013</v>
      </c>
      <c r="BA833" s="313" t="s">
        <v>4449</v>
      </c>
    </row>
    <row r="834" spans="2:53" ht="16.5" customHeight="1">
      <c r="B834" s="367" t="s">
        <v>10265</v>
      </c>
      <c r="C834" s="351" t="s">
        <v>10266</v>
      </c>
      <c r="D834" s="353">
        <v>-1411</v>
      </c>
      <c r="E834" s="352" t="s">
        <v>408</v>
      </c>
      <c r="F834" s="341">
        <v>86.34</v>
      </c>
      <c r="G834" s="355" t="s">
        <v>18662</v>
      </c>
      <c r="H834" s="356" t="s">
        <v>18663</v>
      </c>
      <c r="I834" s="354" t="s">
        <v>254</v>
      </c>
      <c r="J834" s="340" t="s">
        <v>8534</v>
      </c>
      <c r="K834" s="339" t="s">
        <v>71</v>
      </c>
      <c r="L834" s="357">
        <v>12</v>
      </c>
      <c r="M834" s="358" t="s">
        <v>10270</v>
      </c>
      <c r="N834" s="359">
        <v>1000</v>
      </c>
      <c r="O834" s="360" t="s">
        <v>532</v>
      </c>
      <c r="P834" s="343" t="s">
        <v>533</v>
      </c>
      <c r="Q834" s="342" t="s">
        <v>2688</v>
      </c>
      <c r="R834" s="344">
        <v>35</v>
      </c>
      <c r="S834" s="345">
        <v>25</v>
      </c>
      <c r="T834" s="362">
        <v>20</v>
      </c>
      <c r="U834" s="361">
        <v>86.34</v>
      </c>
      <c r="V834" s="346">
        <v>122.82667413977531</v>
      </c>
      <c r="W834" s="348">
        <v>121.51818691348316</v>
      </c>
      <c r="X834" s="347">
        <v>62.01</v>
      </c>
      <c r="Y834" s="357">
        <v>62.51</v>
      </c>
      <c r="Z834" s="365" t="s">
        <v>3017</v>
      </c>
      <c r="AA834" s="350">
        <v>196</v>
      </c>
      <c r="AB834" s="349" t="s">
        <v>2685</v>
      </c>
      <c r="AC834" s="350">
        <v>3</v>
      </c>
      <c r="AD834" s="349" t="s">
        <v>2685</v>
      </c>
      <c r="AE834" s="364">
        <v>0</v>
      </c>
      <c r="AF834" s="366">
        <v>0</v>
      </c>
      <c r="AG834" s="363">
        <v>0</v>
      </c>
      <c r="AH834" s="635" t="s">
        <v>408</v>
      </c>
      <c r="AL834" s="487" t="s">
        <v>15169</v>
      </c>
      <c r="AM834" s="477" t="s">
        <v>71</v>
      </c>
      <c r="AN834" s="637">
        <v>100</v>
      </c>
      <c r="AO834" s="478">
        <v>-1411</v>
      </c>
      <c r="AP834" s="463">
        <v>-690</v>
      </c>
      <c r="AQ834" s="479">
        <v>-721</v>
      </c>
      <c r="AR834" s="476" t="s">
        <v>17014</v>
      </c>
      <c r="BA834" s="313" t="s">
        <v>4451</v>
      </c>
    </row>
    <row r="835" spans="2:53" ht="16.5" customHeight="1">
      <c r="B835" s="367" t="s">
        <v>10265</v>
      </c>
      <c r="C835" s="351" t="s">
        <v>10266</v>
      </c>
      <c r="D835" s="353">
        <v>-1412</v>
      </c>
      <c r="E835" s="352" t="s">
        <v>10251</v>
      </c>
      <c r="F835" s="341">
        <v>86.33</v>
      </c>
      <c r="G835" s="355" t="s">
        <v>10271</v>
      </c>
      <c r="H835" s="356" t="s">
        <v>10272</v>
      </c>
      <c r="I835" s="354" t="s">
        <v>215</v>
      </c>
      <c r="J835" s="340" t="s">
        <v>8633</v>
      </c>
      <c r="K835" s="339" t="s">
        <v>70</v>
      </c>
      <c r="L835" s="357">
        <v>25</v>
      </c>
      <c r="M835" s="358" t="s">
        <v>10273</v>
      </c>
      <c r="N835" s="359">
        <v>1000</v>
      </c>
      <c r="O835" s="360" t="s">
        <v>530</v>
      </c>
      <c r="P835" s="343" t="s">
        <v>531</v>
      </c>
      <c r="Q835" s="342" t="s">
        <v>2688</v>
      </c>
      <c r="R835" s="344">
        <v>25</v>
      </c>
      <c r="S835" s="345">
        <v>38</v>
      </c>
      <c r="T835" s="362">
        <v>25</v>
      </c>
      <c r="U835" s="361">
        <v>86.33</v>
      </c>
      <c r="V835" s="346">
        <v>122.82127160855551</v>
      </c>
      <c r="W835" s="348">
        <v>121.51450336946967</v>
      </c>
      <c r="X835" s="347">
        <v>61.77</v>
      </c>
      <c r="Y835" s="357">
        <v>62.449999999999996</v>
      </c>
      <c r="Z835" s="365" t="s">
        <v>3017</v>
      </c>
      <c r="AA835" s="350">
        <v>121.25</v>
      </c>
      <c r="AB835" s="349" t="s">
        <v>2685</v>
      </c>
      <c r="AC835" s="350">
        <v>10</v>
      </c>
      <c r="AD835" s="349" t="s">
        <v>2685</v>
      </c>
      <c r="AE835" s="364">
        <v>0</v>
      </c>
      <c r="AF835" s="366">
        <v>0</v>
      </c>
      <c r="AG835" s="363">
        <v>0</v>
      </c>
      <c r="AH835" s="635" t="s">
        <v>408</v>
      </c>
      <c r="AL835" s="487" t="s">
        <v>15171</v>
      </c>
      <c r="AM835" s="477" t="s">
        <v>70</v>
      </c>
      <c r="AN835" s="637">
        <v>100</v>
      </c>
      <c r="AO835" s="478">
        <v>-1412</v>
      </c>
      <c r="AP835" s="463">
        <v>-1412</v>
      </c>
      <c r="AQ835" s="479">
        <v>0</v>
      </c>
      <c r="AR835" s="476" t="s">
        <v>15172</v>
      </c>
      <c r="BA835" s="313" t="s">
        <v>4456</v>
      </c>
    </row>
    <row r="836" spans="2:53" ht="16.5" customHeight="1">
      <c r="B836" s="367" t="s">
        <v>10265</v>
      </c>
      <c r="C836" s="351" t="s">
        <v>10266</v>
      </c>
      <c r="D836" s="353">
        <v>-1413</v>
      </c>
      <c r="E836" s="352" t="s">
        <v>10255</v>
      </c>
      <c r="F836" s="341">
        <v>86.33</v>
      </c>
      <c r="G836" s="355" t="s">
        <v>18664</v>
      </c>
      <c r="H836" s="356" t="s">
        <v>18665</v>
      </c>
      <c r="I836" s="354" t="s">
        <v>73</v>
      </c>
      <c r="J836" s="340" t="s">
        <v>10274</v>
      </c>
      <c r="K836" s="339" t="s">
        <v>71</v>
      </c>
      <c r="L836" s="357" t="s">
        <v>408</v>
      </c>
      <c r="M836" s="358" t="s">
        <v>10275</v>
      </c>
      <c r="N836" s="359">
        <v>1000</v>
      </c>
      <c r="O836" s="360" t="s">
        <v>530</v>
      </c>
      <c r="P836" s="343" t="s">
        <v>531</v>
      </c>
      <c r="Q836" s="342" t="s">
        <v>2688</v>
      </c>
      <c r="R836" s="344">
        <v>38</v>
      </c>
      <c r="S836" s="345">
        <v>25</v>
      </c>
      <c r="T836" s="362">
        <v>25</v>
      </c>
      <c r="U836" s="361">
        <v>86.33</v>
      </c>
      <c r="V836" s="346">
        <v>122.82176698559482</v>
      </c>
      <c r="W836" s="348">
        <v>121.51484112654192</v>
      </c>
      <c r="X836" s="347">
        <v>62</v>
      </c>
      <c r="Y836" s="357">
        <v>62.519999999999996</v>
      </c>
      <c r="Z836" s="365" t="s">
        <v>2689</v>
      </c>
      <c r="AA836" s="350">
        <v>125</v>
      </c>
      <c r="AB836" s="349" t="s">
        <v>2685</v>
      </c>
      <c r="AC836" s="350">
        <v>0</v>
      </c>
      <c r="AD836" s="349" t="s">
        <v>2685</v>
      </c>
      <c r="AE836" s="364">
        <v>0</v>
      </c>
      <c r="AF836" s="366">
        <v>4.6890000000000001</v>
      </c>
      <c r="AG836" s="363">
        <v>0</v>
      </c>
      <c r="AH836" s="635" t="s">
        <v>8698</v>
      </c>
      <c r="AL836" s="487" t="s">
        <v>15173</v>
      </c>
      <c r="AM836" s="477" t="s">
        <v>71</v>
      </c>
      <c r="AN836" s="637">
        <v>100</v>
      </c>
      <c r="AO836" s="478">
        <v>-1413</v>
      </c>
      <c r="AP836" s="463">
        <v>-691</v>
      </c>
      <c r="AQ836" s="479">
        <v>-722</v>
      </c>
      <c r="AR836" s="476" t="s">
        <v>15191</v>
      </c>
      <c r="BA836" s="313" t="s">
        <v>4459</v>
      </c>
    </row>
    <row r="837" spans="2:53" ht="16.5" customHeight="1">
      <c r="B837" s="367" t="s">
        <v>16519</v>
      </c>
      <c r="C837" s="351" t="s">
        <v>16520</v>
      </c>
      <c r="D837" s="353">
        <v>-1414</v>
      </c>
      <c r="E837" s="352" t="s">
        <v>10259</v>
      </c>
      <c r="F837" s="341">
        <v>86.29</v>
      </c>
      <c r="G837" s="355" t="s">
        <v>18666</v>
      </c>
      <c r="H837" s="356" t="s">
        <v>10321</v>
      </c>
      <c r="I837" s="354" t="s">
        <v>236</v>
      </c>
      <c r="J837" s="340" t="s">
        <v>9835</v>
      </c>
      <c r="K837" s="339" t="s">
        <v>71</v>
      </c>
      <c r="L837" s="357">
        <v>21</v>
      </c>
      <c r="M837" s="358" t="s">
        <v>10278</v>
      </c>
      <c r="N837" s="359">
        <v>1000</v>
      </c>
      <c r="O837" s="360" t="s">
        <v>532</v>
      </c>
      <c r="P837" s="343" t="s">
        <v>533</v>
      </c>
      <c r="Q837" s="342" t="s">
        <v>2688</v>
      </c>
      <c r="R837" s="344">
        <v>35</v>
      </c>
      <c r="S837" s="345">
        <v>25</v>
      </c>
      <c r="T837" s="362">
        <v>20</v>
      </c>
      <c r="U837" s="361">
        <v>86.29</v>
      </c>
      <c r="V837" s="346">
        <v>122.79421073986474</v>
      </c>
      <c r="W837" s="348">
        <v>121.49605277718051</v>
      </c>
      <c r="X837" s="347">
        <v>61.99</v>
      </c>
      <c r="Y837" s="357">
        <v>62.5</v>
      </c>
      <c r="Z837" s="365" t="s">
        <v>3017</v>
      </c>
      <c r="AA837" s="350">
        <v>194</v>
      </c>
      <c r="AB837" s="349" t="s">
        <v>2685</v>
      </c>
      <c r="AC837" s="350">
        <v>4</v>
      </c>
      <c r="AD837" s="349" t="s">
        <v>2685</v>
      </c>
      <c r="AE837" s="364">
        <v>0</v>
      </c>
      <c r="AF837" s="366">
        <v>0</v>
      </c>
      <c r="AG837" s="363">
        <v>0</v>
      </c>
      <c r="AH837" s="635" t="s">
        <v>408</v>
      </c>
      <c r="AL837" s="487" t="s">
        <v>15174</v>
      </c>
      <c r="AM837" s="477" t="s">
        <v>71</v>
      </c>
      <c r="AN837" s="637">
        <v>100</v>
      </c>
      <c r="AO837" s="478">
        <v>-1414</v>
      </c>
      <c r="AP837" s="463">
        <v>-691</v>
      </c>
      <c r="AQ837" s="479">
        <v>-723</v>
      </c>
      <c r="AR837" s="476" t="s">
        <v>17015</v>
      </c>
      <c r="BA837" s="313" t="s">
        <v>4460</v>
      </c>
    </row>
    <row r="838" spans="2:53" ht="16.5" customHeight="1">
      <c r="B838" s="367" t="s">
        <v>16519</v>
      </c>
      <c r="C838" s="351" t="s">
        <v>16520</v>
      </c>
      <c r="D838" s="353">
        <v>-1415</v>
      </c>
      <c r="E838" s="352" t="s">
        <v>408</v>
      </c>
      <c r="F838" s="341">
        <v>86.29</v>
      </c>
      <c r="G838" s="355" t="s">
        <v>18667</v>
      </c>
      <c r="H838" s="356" t="s">
        <v>18613</v>
      </c>
      <c r="I838" s="354" t="s">
        <v>236</v>
      </c>
      <c r="J838" s="340" t="s">
        <v>10279</v>
      </c>
      <c r="K838" s="339" t="s">
        <v>71</v>
      </c>
      <c r="L838" s="357">
        <v>20</v>
      </c>
      <c r="M838" s="358" t="s">
        <v>10280</v>
      </c>
      <c r="N838" s="359">
        <v>1000</v>
      </c>
      <c r="O838" s="360" t="s">
        <v>532</v>
      </c>
      <c r="P838" s="343" t="s">
        <v>533</v>
      </c>
      <c r="Q838" s="342" t="s">
        <v>2688</v>
      </c>
      <c r="R838" s="344">
        <v>25</v>
      </c>
      <c r="S838" s="345">
        <v>35</v>
      </c>
      <c r="T838" s="362">
        <v>20</v>
      </c>
      <c r="U838" s="361">
        <v>86.29</v>
      </c>
      <c r="V838" s="346">
        <v>122.79184472273732</v>
      </c>
      <c r="W838" s="348">
        <v>121.49443958368454</v>
      </c>
      <c r="X838" s="347">
        <v>61.99</v>
      </c>
      <c r="Y838" s="357">
        <v>62.5</v>
      </c>
      <c r="Z838" s="365" t="s">
        <v>3017</v>
      </c>
      <c r="AA838" s="350">
        <v>194</v>
      </c>
      <c r="AB838" s="349" t="s">
        <v>2685</v>
      </c>
      <c r="AC838" s="350">
        <v>4</v>
      </c>
      <c r="AD838" s="349" t="s">
        <v>2685</v>
      </c>
      <c r="AE838" s="364">
        <v>0</v>
      </c>
      <c r="AF838" s="366">
        <v>0</v>
      </c>
      <c r="AG838" s="363">
        <v>0</v>
      </c>
      <c r="AH838" s="635" t="s">
        <v>408</v>
      </c>
      <c r="AL838" s="487" t="s">
        <v>15176</v>
      </c>
      <c r="AM838" s="477" t="s">
        <v>71</v>
      </c>
      <c r="AN838" s="637">
        <v>100</v>
      </c>
      <c r="AO838" s="478">
        <v>-1415</v>
      </c>
      <c r="AP838" s="463">
        <v>-691</v>
      </c>
      <c r="AQ838" s="479">
        <v>-724</v>
      </c>
      <c r="AR838" s="476" t="s">
        <v>17016</v>
      </c>
      <c r="BA838" s="313" t="s">
        <v>4462</v>
      </c>
    </row>
    <row r="839" spans="2:53" ht="16.5" customHeight="1">
      <c r="B839" s="367" t="s">
        <v>16519</v>
      </c>
      <c r="C839" s="351" t="s">
        <v>16520</v>
      </c>
      <c r="D839" s="353">
        <v>-1416</v>
      </c>
      <c r="E839" s="352" t="s">
        <v>408</v>
      </c>
      <c r="F839" s="341">
        <v>86.29</v>
      </c>
      <c r="G839" s="355" t="s">
        <v>18667</v>
      </c>
      <c r="H839" s="356" t="s">
        <v>4253</v>
      </c>
      <c r="I839" s="354" t="s">
        <v>236</v>
      </c>
      <c r="J839" s="340" t="s">
        <v>9757</v>
      </c>
      <c r="K839" s="339" t="s">
        <v>71</v>
      </c>
      <c r="L839" s="357">
        <v>21</v>
      </c>
      <c r="M839" s="358" t="s">
        <v>10280</v>
      </c>
      <c r="N839" s="359">
        <v>1000</v>
      </c>
      <c r="O839" s="360" t="s">
        <v>532</v>
      </c>
      <c r="P839" s="343" t="s">
        <v>533</v>
      </c>
      <c r="Q839" s="342" t="s">
        <v>2688</v>
      </c>
      <c r="R839" s="344">
        <v>25</v>
      </c>
      <c r="S839" s="345">
        <v>35</v>
      </c>
      <c r="T839" s="362">
        <v>20</v>
      </c>
      <c r="U839" s="361">
        <v>86.29</v>
      </c>
      <c r="V839" s="346">
        <v>122.79184472273732</v>
      </c>
      <c r="W839" s="348">
        <v>121.49443958368454</v>
      </c>
      <c r="X839" s="347">
        <v>61.99</v>
      </c>
      <c r="Y839" s="357">
        <v>62.5</v>
      </c>
      <c r="Z839" s="365" t="s">
        <v>3017</v>
      </c>
      <c r="AA839" s="350">
        <v>194</v>
      </c>
      <c r="AB839" s="349" t="s">
        <v>2685</v>
      </c>
      <c r="AC839" s="350">
        <v>4</v>
      </c>
      <c r="AD839" s="349" t="s">
        <v>2685</v>
      </c>
      <c r="AE839" s="364">
        <v>0</v>
      </c>
      <c r="AF839" s="366">
        <v>0</v>
      </c>
      <c r="AG839" s="363">
        <v>0</v>
      </c>
      <c r="AH839" s="635" t="s">
        <v>408</v>
      </c>
      <c r="AL839" s="487" t="s">
        <v>15177</v>
      </c>
      <c r="AM839" s="477" t="s">
        <v>71</v>
      </c>
      <c r="AN839" s="637">
        <v>100</v>
      </c>
      <c r="AO839" s="478">
        <v>-1416</v>
      </c>
      <c r="AP839" s="463">
        <v>-692</v>
      </c>
      <c r="AQ839" s="479">
        <v>-724</v>
      </c>
      <c r="AR839" s="476" t="s">
        <v>17016</v>
      </c>
      <c r="BA839" s="313" t="s">
        <v>4465</v>
      </c>
    </row>
    <row r="840" spans="2:53" ht="16.5" customHeight="1">
      <c r="B840" s="367" t="s">
        <v>16519</v>
      </c>
      <c r="C840" s="351" t="s">
        <v>16520</v>
      </c>
      <c r="D840" s="353">
        <v>-1417</v>
      </c>
      <c r="E840" s="352" t="s">
        <v>10269</v>
      </c>
      <c r="F840" s="341">
        <v>86.29</v>
      </c>
      <c r="G840" s="355" t="s">
        <v>10754</v>
      </c>
      <c r="H840" s="356" t="s">
        <v>18668</v>
      </c>
      <c r="I840" s="354" t="s">
        <v>9189</v>
      </c>
      <c r="J840" s="340" t="s">
        <v>10216</v>
      </c>
      <c r="K840" s="339" t="s">
        <v>70</v>
      </c>
      <c r="L840" s="357">
        <v>20</v>
      </c>
      <c r="M840" s="358" t="s">
        <v>10217</v>
      </c>
      <c r="N840" s="359">
        <v>1000</v>
      </c>
      <c r="O840" s="360" t="s">
        <v>532</v>
      </c>
      <c r="P840" s="343" t="s">
        <v>532</v>
      </c>
      <c r="Q840" s="342" t="s">
        <v>2688</v>
      </c>
      <c r="R840" s="344">
        <v>20</v>
      </c>
      <c r="S840" s="345">
        <v>35</v>
      </c>
      <c r="T840" s="362">
        <v>25</v>
      </c>
      <c r="U840" s="361">
        <v>86.29</v>
      </c>
      <c r="V840" s="346">
        <v>122.79250020490166</v>
      </c>
      <c r="W840" s="348">
        <v>121.49488650334203</v>
      </c>
      <c r="X840" s="347" t="s">
        <v>18669</v>
      </c>
      <c r="Y840" s="357" t="s">
        <v>408</v>
      </c>
      <c r="Z840" s="365" t="s">
        <v>3017</v>
      </c>
      <c r="AA840" s="350">
        <v>195.56</v>
      </c>
      <c r="AB840" s="349" t="s">
        <v>2685</v>
      </c>
      <c r="AC840" s="350">
        <v>0</v>
      </c>
      <c r="AD840" s="349" t="s">
        <v>2685</v>
      </c>
      <c r="AE840" s="364">
        <v>0</v>
      </c>
      <c r="AF840" s="366">
        <v>15.63</v>
      </c>
      <c r="AG840" s="363">
        <v>0</v>
      </c>
      <c r="AH840" s="635" t="s">
        <v>9517</v>
      </c>
      <c r="AL840" s="487" t="s">
        <v>15155</v>
      </c>
      <c r="AM840" s="477" t="s">
        <v>70</v>
      </c>
      <c r="AN840" s="637">
        <v>100</v>
      </c>
      <c r="AO840" s="478">
        <v>-1417</v>
      </c>
      <c r="AP840" s="463">
        <v>-1417</v>
      </c>
      <c r="AQ840" s="479">
        <v>0</v>
      </c>
      <c r="AR840" s="476" t="s">
        <v>17230</v>
      </c>
      <c r="BA840" s="313" t="s">
        <v>4467</v>
      </c>
    </row>
    <row r="841" spans="2:53" ht="16.5" customHeight="1">
      <c r="B841" s="367" t="s">
        <v>4368</v>
      </c>
      <c r="C841" s="351" t="s">
        <v>4369</v>
      </c>
      <c r="D841" s="353">
        <v>-1418</v>
      </c>
      <c r="E841" s="352" t="s">
        <v>408</v>
      </c>
      <c r="F841" s="341">
        <v>86.28</v>
      </c>
      <c r="G841" s="355" t="s">
        <v>10281</v>
      </c>
      <c r="H841" s="356" t="s">
        <v>10282</v>
      </c>
      <c r="I841" s="354" t="s">
        <v>236</v>
      </c>
      <c r="J841" s="340" t="s">
        <v>10283</v>
      </c>
      <c r="K841" s="339" t="s">
        <v>70</v>
      </c>
      <c r="L841" s="357">
        <v>25</v>
      </c>
      <c r="M841" s="358" t="s">
        <v>10284</v>
      </c>
      <c r="N841" s="359">
        <v>1000</v>
      </c>
      <c r="O841" s="360" t="s">
        <v>532</v>
      </c>
      <c r="P841" s="343" t="s">
        <v>533</v>
      </c>
      <c r="Q841" s="342" t="s">
        <v>2688</v>
      </c>
      <c r="R841" s="344">
        <v>20</v>
      </c>
      <c r="S841" s="345">
        <v>35</v>
      </c>
      <c r="T841" s="362">
        <v>25</v>
      </c>
      <c r="U841" s="361">
        <v>86.28</v>
      </c>
      <c r="V841" s="346">
        <v>122.78579478180167</v>
      </c>
      <c r="W841" s="348">
        <v>121.49031462395568</v>
      </c>
      <c r="X841" s="347">
        <v>61.75</v>
      </c>
      <c r="Y841" s="357">
        <v>62.5</v>
      </c>
      <c r="Z841" s="365" t="s">
        <v>3017</v>
      </c>
      <c r="AA841" s="350">
        <v>194</v>
      </c>
      <c r="AB841" s="349" t="s">
        <v>2685</v>
      </c>
      <c r="AC841" s="350">
        <v>4</v>
      </c>
      <c r="AD841" s="349" t="s">
        <v>2685</v>
      </c>
      <c r="AE841" s="364">
        <v>0</v>
      </c>
      <c r="AF841" s="366">
        <v>10.388999999999999</v>
      </c>
      <c r="AG841" s="363">
        <v>0</v>
      </c>
      <c r="AH841" s="635" t="s">
        <v>8990</v>
      </c>
      <c r="AL841" s="487" t="s">
        <v>15179</v>
      </c>
      <c r="AM841" s="477" t="s">
        <v>70</v>
      </c>
      <c r="AN841" s="637">
        <v>100</v>
      </c>
      <c r="AO841" s="478">
        <v>-1418</v>
      </c>
      <c r="AP841" s="463">
        <v>-1418</v>
      </c>
      <c r="AQ841" s="479">
        <v>0</v>
      </c>
      <c r="AR841" s="476" t="s">
        <v>15180</v>
      </c>
      <c r="BA841" s="313" t="s">
        <v>4469</v>
      </c>
    </row>
    <row r="842" spans="2:53" ht="16.5" customHeight="1">
      <c r="B842" s="367" t="s">
        <v>4368</v>
      </c>
      <c r="C842" s="351" t="s">
        <v>4369</v>
      </c>
      <c r="D842" s="353">
        <v>-1419</v>
      </c>
      <c r="E842" s="352" t="s">
        <v>10269</v>
      </c>
      <c r="F842" s="341">
        <v>86.27</v>
      </c>
      <c r="G842" s="355" t="s">
        <v>18670</v>
      </c>
      <c r="H842" s="356" t="s">
        <v>4246</v>
      </c>
      <c r="I842" s="354" t="s">
        <v>73</v>
      </c>
      <c r="J842" s="340" t="s">
        <v>10286</v>
      </c>
      <c r="K842" s="339" t="s">
        <v>71</v>
      </c>
      <c r="L842" s="357" t="s">
        <v>408</v>
      </c>
      <c r="M842" s="358" t="s">
        <v>7071</v>
      </c>
      <c r="N842" s="359">
        <v>1000</v>
      </c>
      <c r="O842" s="360" t="s">
        <v>530</v>
      </c>
      <c r="P842" s="343" t="s">
        <v>531</v>
      </c>
      <c r="Q842" s="342" t="s">
        <v>2688</v>
      </c>
      <c r="R842" s="344">
        <v>38</v>
      </c>
      <c r="S842" s="345">
        <v>25</v>
      </c>
      <c r="T842" s="362">
        <v>25</v>
      </c>
      <c r="U842" s="361">
        <v>86.27</v>
      </c>
      <c r="V842" s="346">
        <v>122.7832571168222</v>
      </c>
      <c r="W842" s="348">
        <v>121.48858439783332</v>
      </c>
      <c r="X842" s="347">
        <v>61.98</v>
      </c>
      <c r="Y842" s="357">
        <v>62.5</v>
      </c>
      <c r="Z842" s="365" t="s">
        <v>2689</v>
      </c>
      <c r="AA842" s="350">
        <v>125</v>
      </c>
      <c r="AB842" s="349" t="s">
        <v>2685</v>
      </c>
      <c r="AC842" s="350">
        <v>0</v>
      </c>
      <c r="AD842" s="349" t="s">
        <v>2685</v>
      </c>
      <c r="AE842" s="364">
        <v>0</v>
      </c>
      <c r="AF842" s="366">
        <v>4.6879999999999997</v>
      </c>
      <c r="AG842" s="363">
        <v>0</v>
      </c>
      <c r="AH842" s="635" t="s">
        <v>8698</v>
      </c>
      <c r="AL842" s="487" t="s">
        <v>15182</v>
      </c>
      <c r="AM842" s="477" t="s">
        <v>71</v>
      </c>
      <c r="AN842" s="637">
        <v>100</v>
      </c>
      <c r="AO842" s="478">
        <v>-1419</v>
      </c>
      <c r="AP842" s="463">
        <v>-693</v>
      </c>
      <c r="AQ842" s="479">
        <v>-726</v>
      </c>
      <c r="AR842" s="476" t="s">
        <v>17017</v>
      </c>
      <c r="BA842" s="313" t="s">
        <v>4470</v>
      </c>
    </row>
    <row r="843" spans="2:53" ht="16.5" customHeight="1">
      <c r="B843" s="367" t="s">
        <v>4372</v>
      </c>
      <c r="C843" s="351" t="s">
        <v>4373</v>
      </c>
      <c r="D843" s="353">
        <v>-1420</v>
      </c>
      <c r="E843" s="352" t="s">
        <v>10276</v>
      </c>
      <c r="F843" s="341">
        <v>86.26</v>
      </c>
      <c r="G843" s="355" t="s">
        <v>4529</v>
      </c>
      <c r="H843" s="356" t="s">
        <v>10287</v>
      </c>
      <c r="I843" s="354" t="s">
        <v>216</v>
      </c>
      <c r="J843" s="340" t="s">
        <v>8856</v>
      </c>
      <c r="K843" s="339" t="s">
        <v>70</v>
      </c>
      <c r="L843" s="357">
        <v>10</v>
      </c>
      <c r="M843" s="358" t="s">
        <v>10288</v>
      </c>
      <c r="N843" s="359">
        <v>300</v>
      </c>
      <c r="O843" s="360" t="s">
        <v>530</v>
      </c>
      <c r="P843" s="343" t="s">
        <v>530</v>
      </c>
      <c r="Q843" s="342" t="s">
        <v>2688</v>
      </c>
      <c r="R843" s="344">
        <v>25</v>
      </c>
      <c r="S843" s="345">
        <v>45</v>
      </c>
      <c r="T843" s="362">
        <v>30</v>
      </c>
      <c r="U843" s="361">
        <v>86.26</v>
      </c>
      <c r="V843" s="346">
        <v>122.7735951962601</v>
      </c>
      <c r="W843" s="348">
        <v>121.48199672472279</v>
      </c>
      <c r="X843" s="347">
        <v>61.74</v>
      </c>
      <c r="Y843" s="357" t="s">
        <v>408</v>
      </c>
      <c r="Z843" s="365" t="s">
        <v>3017</v>
      </c>
      <c r="AA843" s="350">
        <v>-2</v>
      </c>
      <c r="AB843" s="349" t="s">
        <v>2685</v>
      </c>
      <c r="AC843" s="350">
        <v>0</v>
      </c>
      <c r="AD843" s="349" t="s">
        <v>2685</v>
      </c>
      <c r="AE843" s="364">
        <v>0</v>
      </c>
      <c r="AF843" s="366">
        <v>0</v>
      </c>
      <c r="AG843" s="363">
        <v>0</v>
      </c>
      <c r="AH843" s="635" t="s">
        <v>408</v>
      </c>
      <c r="AL843" s="487" t="s">
        <v>15183</v>
      </c>
      <c r="AM843" s="477" t="s">
        <v>70</v>
      </c>
      <c r="AN843" s="637">
        <v>100</v>
      </c>
      <c r="AO843" s="478">
        <v>-1420</v>
      </c>
      <c r="AP843" s="463">
        <v>-1420</v>
      </c>
      <c r="AQ843" s="479">
        <v>0</v>
      </c>
      <c r="AR843" s="476" t="s">
        <v>15184</v>
      </c>
      <c r="BA843" s="313" t="s">
        <v>4474</v>
      </c>
    </row>
    <row r="844" spans="2:53" ht="16.5" customHeight="1">
      <c r="B844" s="367" t="s">
        <v>4355</v>
      </c>
      <c r="C844" s="351" t="s">
        <v>4356</v>
      </c>
      <c r="D844" s="353">
        <v>-1421</v>
      </c>
      <c r="E844" s="352" t="s">
        <v>10276</v>
      </c>
      <c r="F844" s="341">
        <v>86.26</v>
      </c>
      <c r="G844" s="355" t="s">
        <v>10234</v>
      </c>
      <c r="H844" s="356" t="s">
        <v>4248</v>
      </c>
      <c r="I844" s="354" t="s">
        <v>9189</v>
      </c>
      <c r="J844" s="340" t="s">
        <v>8654</v>
      </c>
      <c r="K844" s="339" t="s">
        <v>71</v>
      </c>
      <c r="L844" s="357">
        <v>6</v>
      </c>
      <c r="M844" s="358" t="s">
        <v>10212</v>
      </c>
      <c r="N844" s="359">
        <v>1000</v>
      </c>
      <c r="O844" s="360" t="s">
        <v>532</v>
      </c>
      <c r="P844" s="343" t="s">
        <v>532</v>
      </c>
      <c r="Q844" s="342" t="s">
        <v>2688</v>
      </c>
      <c r="R844" s="344">
        <v>30</v>
      </c>
      <c r="S844" s="345">
        <v>25</v>
      </c>
      <c r="T844" s="362">
        <v>25</v>
      </c>
      <c r="U844" s="361">
        <v>86.26</v>
      </c>
      <c r="V844" s="346">
        <v>122.77555460899158</v>
      </c>
      <c r="W844" s="348">
        <v>121.4833326879488</v>
      </c>
      <c r="X844" s="347" t="s">
        <v>18671</v>
      </c>
      <c r="Y844" s="357" t="s">
        <v>408</v>
      </c>
      <c r="Z844" s="365" t="s">
        <v>3017</v>
      </c>
      <c r="AA844" s="350">
        <v>195.56</v>
      </c>
      <c r="AB844" s="349" t="s">
        <v>2685</v>
      </c>
      <c r="AC844" s="350">
        <v>0</v>
      </c>
      <c r="AD844" s="349" t="s">
        <v>2685</v>
      </c>
      <c r="AE844" s="364">
        <v>0</v>
      </c>
      <c r="AF844" s="366">
        <v>15.47</v>
      </c>
      <c r="AG844" s="363">
        <v>0</v>
      </c>
      <c r="AH844" s="635" t="s">
        <v>9192</v>
      </c>
      <c r="AL844" s="487" t="s">
        <v>15154</v>
      </c>
      <c r="AM844" s="477" t="s">
        <v>71</v>
      </c>
      <c r="AN844" s="637">
        <v>100</v>
      </c>
      <c r="AO844" s="478">
        <v>-1421</v>
      </c>
      <c r="AP844" s="463">
        <v>-694</v>
      </c>
      <c r="AQ844" s="479">
        <v>-727</v>
      </c>
      <c r="AR844" s="476" t="s">
        <v>17017</v>
      </c>
      <c r="BA844" s="313" t="s">
        <v>4477</v>
      </c>
    </row>
    <row r="845" spans="2:53" ht="16.5" customHeight="1">
      <c r="B845" s="367" t="s">
        <v>10289</v>
      </c>
      <c r="C845" s="351" t="s">
        <v>10290</v>
      </c>
      <c r="D845" s="353">
        <v>-1422</v>
      </c>
      <c r="E845" s="352" t="s">
        <v>10276</v>
      </c>
      <c r="F845" s="341">
        <v>86.23</v>
      </c>
      <c r="G845" s="355" t="s">
        <v>10245</v>
      </c>
      <c r="H845" s="356" t="s">
        <v>4264</v>
      </c>
      <c r="I845" s="354" t="s">
        <v>397</v>
      </c>
      <c r="J845" s="340" t="s">
        <v>436</v>
      </c>
      <c r="K845" s="339" t="s">
        <v>71</v>
      </c>
      <c r="L845" s="357">
        <v>181</v>
      </c>
      <c r="M845" s="358" t="s">
        <v>10292</v>
      </c>
      <c r="N845" s="359">
        <v>1000</v>
      </c>
      <c r="O845" s="360" t="s">
        <v>454</v>
      </c>
      <c r="P845" s="343" t="s">
        <v>454</v>
      </c>
      <c r="Q845" s="342" t="s">
        <v>2688</v>
      </c>
      <c r="R845" s="344">
        <v>25</v>
      </c>
      <c r="S845" s="345">
        <v>25</v>
      </c>
      <c r="T845" s="362">
        <v>25</v>
      </c>
      <c r="U845" s="361">
        <v>86.23</v>
      </c>
      <c r="V845" s="346">
        <v>122.75555555555556</v>
      </c>
      <c r="W845" s="348">
        <v>121.46969696969697</v>
      </c>
      <c r="X845" s="347">
        <v>61.97</v>
      </c>
      <c r="Y845" s="357" t="s">
        <v>408</v>
      </c>
      <c r="Z845" s="365" t="s">
        <v>4408</v>
      </c>
      <c r="AA845" s="350">
        <v>225</v>
      </c>
      <c r="AB845" s="349" t="s">
        <v>2685</v>
      </c>
      <c r="AC845" s="350">
        <v>0</v>
      </c>
      <c r="AD845" s="349" t="s">
        <v>2685</v>
      </c>
      <c r="AE845" s="364">
        <v>0</v>
      </c>
      <c r="AF845" s="366">
        <v>0</v>
      </c>
      <c r="AG845" s="363">
        <v>0</v>
      </c>
      <c r="AH845" s="635" t="s">
        <v>10293</v>
      </c>
      <c r="AL845" s="487" t="s">
        <v>7203</v>
      </c>
      <c r="AM845" s="477" t="s">
        <v>71</v>
      </c>
      <c r="AN845" s="637">
        <v>100</v>
      </c>
      <c r="AO845" s="478">
        <v>-1422</v>
      </c>
      <c r="AP845" s="463">
        <v>-694</v>
      </c>
      <c r="AQ845" s="479">
        <v>-728</v>
      </c>
      <c r="AR845" s="476" t="s">
        <v>17011</v>
      </c>
      <c r="BA845" s="313" t="s">
        <v>4481</v>
      </c>
    </row>
    <row r="846" spans="2:53" ht="16.5" customHeight="1">
      <c r="B846" s="367" t="s">
        <v>18210</v>
      </c>
      <c r="C846" s="351" t="s">
        <v>18211</v>
      </c>
      <c r="D846" s="353">
        <v>-1423</v>
      </c>
      <c r="E846" s="352" t="s">
        <v>408</v>
      </c>
      <c r="F846" s="341">
        <v>86.13</v>
      </c>
      <c r="G846" s="355" t="s">
        <v>4544</v>
      </c>
      <c r="H846" s="356" t="s">
        <v>10309</v>
      </c>
      <c r="I846" s="354" t="s">
        <v>9189</v>
      </c>
      <c r="J846" s="340" t="s">
        <v>9074</v>
      </c>
      <c r="K846" s="339" t="s">
        <v>70</v>
      </c>
      <c r="L846" s="357">
        <v>24</v>
      </c>
      <c r="M846" s="358" t="s">
        <v>10248</v>
      </c>
      <c r="N846" s="359">
        <v>1000</v>
      </c>
      <c r="O846" s="360" t="s">
        <v>532</v>
      </c>
      <c r="P846" s="343" t="s">
        <v>532</v>
      </c>
      <c r="Q846" s="342" t="s">
        <v>2688</v>
      </c>
      <c r="R846" s="344">
        <v>20</v>
      </c>
      <c r="S846" s="345">
        <v>35</v>
      </c>
      <c r="T846" s="362">
        <v>25</v>
      </c>
      <c r="U846" s="361">
        <v>86.13</v>
      </c>
      <c r="V846" s="346">
        <v>122.68686321669063</v>
      </c>
      <c r="W846" s="348">
        <v>121.42286128410724</v>
      </c>
      <c r="X846" s="347" t="s">
        <v>18672</v>
      </c>
      <c r="Y846" s="357" t="s">
        <v>408</v>
      </c>
      <c r="Z846" s="365" t="s">
        <v>3017</v>
      </c>
      <c r="AA846" s="350">
        <v>195.56</v>
      </c>
      <c r="AB846" s="349" t="s">
        <v>2685</v>
      </c>
      <c r="AC846" s="350">
        <v>0</v>
      </c>
      <c r="AD846" s="349" t="s">
        <v>2685</v>
      </c>
      <c r="AE846" s="364">
        <v>0</v>
      </c>
      <c r="AF846" s="366">
        <v>15.616</v>
      </c>
      <c r="AG846" s="363">
        <v>0</v>
      </c>
      <c r="AH846" s="635" t="s">
        <v>9517</v>
      </c>
      <c r="AL846" s="487" t="s">
        <v>15167</v>
      </c>
      <c r="AM846" s="477" t="s">
        <v>70</v>
      </c>
      <c r="AN846" s="637">
        <v>100</v>
      </c>
      <c r="AO846" s="478">
        <v>-1423</v>
      </c>
      <c r="AP846" s="463">
        <v>-1423</v>
      </c>
      <c r="AQ846" s="479">
        <v>0</v>
      </c>
      <c r="AR846" s="476" t="s">
        <v>17231</v>
      </c>
      <c r="BA846" s="313" t="s">
        <v>4483</v>
      </c>
    </row>
    <row r="847" spans="2:53" ht="16.5" customHeight="1">
      <c r="B847" s="367" t="s">
        <v>10294</v>
      </c>
      <c r="C847" s="351" t="s">
        <v>10295</v>
      </c>
      <c r="D847" s="353">
        <v>-1424</v>
      </c>
      <c r="E847" s="352" t="s">
        <v>10281</v>
      </c>
      <c r="F847" s="341">
        <v>86.1</v>
      </c>
      <c r="G847" s="355" t="s">
        <v>10296</v>
      </c>
      <c r="H847" s="356" t="s">
        <v>9853</v>
      </c>
      <c r="I847" s="354" t="s">
        <v>236</v>
      </c>
      <c r="J847" s="340" t="s">
        <v>9103</v>
      </c>
      <c r="K847" s="339" t="s">
        <v>70</v>
      </c>
      <c r="L847" s="357">
        <v>230</v>
      </c>
      <c r="M847" s="358" t="s">
        <v>10297</v>
      </c>
      <c r="N847" s="359">
        <v>1000</v>
      </c>
      <c r="O847" s="360" t="s">
        <v>532</v>
      </c>
      <c r="P847" s="343" t="s">
        <v>533</v>
      </c>
      <c r="Q847" s="342" t="s">
        <v>2688</v>
      </c>
      <c r="R847" s="344">
        <v>20</v>
      </c>
      <c r="S847" s="345">
        <v>35</v>
      </c>
      <c r="T847" s="362">
        <v>25</v>
      </c>
      <c r="U847" s="361">
        <v>86.1</v>
      </c>
      <c r="V847" s="346">
        <v>122.66360114241311</v>
      </c>
      <c r="W847" s="348">
        <v>121.40700077891802</v>
      </c>
      <c r="X847" s="347">
        <v>61.69</v>
      </c>
      <c r="Y847" s="357">
        <v>62.44</v>
      </c>
      <c r="Z847" s="365" t="s">
        <v>3017</v>
      </c>
      <c r="AA847" s="350">
        <v>194</v>
      </c>
      <c r="AB847" s="349" t="s">
        <v>2685</v>
      </c>
      <c r="AC847" s="350">
        <v>4</v>
      </c>
      <c r="AD847" s="349" t="s">
        <v>2685</v>
      </c>
      <c r="AE847" s="364">
        <v>0</v>
      </c>
      <c r="AF847" s="366">
        <v>10.375</v>
      </c>
      <c r="AG847" s="363">
        <v>0</v>
      </c>
      <c r="AH847" s="635" t="s">
        <v>8990</v>
      </c>
      <c r="AL847" s="487" t="s">
        <v>15186</v>
      </c>
      <c r="AM847" s="477" t="s">
        <v>70</v>
      </c>
      <c r="AN847" s="637">
        <v>100</v>
      </c>
      <c r="AO847" s="478">
        <v>-1424</v>
      </c>
      <c r="AP847" s="463">
        <v>-1424</v>
      </c>
      <c r="AQ847" s="479">
        <v>0</v>
      </c>
      <c r="AR847" s="476" t="s">
        <v>15187</v>
      </c>
      <c r="BA847" s="313" t="s">
        <v>4484</v>
      </c>
    </row>
    <row r="848" spans="2:53" ht="16.5" customHeight="1">
      <c r="B848" s="367" t="s">
        <v>10298</v>
      </c>
      <c r="C848" s="351" t="s">
        <v>10299</v>
      </c>
      <c r="D848" s="353">
        <v>-1425</v>
      </c>
      <c r="E848" s="352" t="s">
        <v>408</v>
      </c>
      <c r="F848" s="341">
        <v>86.06</v>
      </c>
      <c r="G848" s="355" t="s">
        <v>10300</v>
      </c>
      <c r="H848" s="356" t="s">
        <v>10301</v>
      </c>
      <c r="I848" s="354" t="s">
        <v>236</v>
      </c>
      <c r="J848" s="340" t="s">
        <v>551</v>
      </c>
      <c r="K848" s="339" t="s">
        <v>70</v>
      </c>
      <c r="L848" s="357">
        <v>7</v>
      </c>
      <c r="M848" s="358" t="s">
        <v>10302</v>
      </c>
      <c r="N848" s="359">
        <v>1000</v>
      </c>
      <c r="O848" s="360" t="s">
        <v>532</v>
      </c>
      <c r="P848" s="343" t="s">
        <v>533</v>
      </c>
      <c r="Q848" s="342" t="s">
        <v>2688</v>
      </c>
      <c r="R848" s="344">
        <v>20</v>
      </c>
      <c r="S848" s="345">
        <v>35</v>
      </c>
      <c r="T848" s="362">
        <v>25</v>
      </c>
      <c r="U848" s="361">
        <v>86.06</v>
      </c>
      <c r="V848" s="346">
        <v>122.64037974695167</v>
      </c>
      <c r="W848" s="348">
        <v>121.39116800928522</v>
      </c>
      <c r="X848" s="347">
        <v>61.67</v>
      </c>
      <c r="Y848" s="357">
        <v>62.43</v>
      </c>
      <c r="Z848" s="365" t="s">
        <v>3017</v>
      </c>
      <c r="AA848" s="350">
        <v>194</v>
      </c>
      <c r="AB848" s="349" t="s">
        <v>2685</v>
      </c>
      <c r="AC848" s="350">
        <v>4</v>
      </c>
      <c r="AD848" s="349" t="s">
        <v>2685</v>
      </c>
      <c r="AE848" s="364">
        <v>0</v>
      </c>
      <c r="AF848" s="366">
        <v>12.8</v>
      </c>
      <c r="AG848" s="363">
        <v>0</v>
      </c>
      <c r="AH848" s="635" t="s">
        <v>408</v>
      </c>
      <c r="AL848" s="487" t="s">
        <v>15188</v>
      </c>
      <c r="AM848" s="477" t="s">
        <v>70</v>
      </c>
      <c r="AN848" s="637">
        <v>100</v>
      </c>
      <c r="AO848" s="478">
        <v>-1425</v>
      </c>
      <c r="AP848" s="463">
        <v>-1425</v>
      </c>
      <c r="AQ848" s="479">
        <v>0</v>
      </c>
      <c r="AR848" s="476" t="s">
        <v>15189</v>
      </c>
      <c r="BA848" s="313" t="s">
        <v>4485</v>
      </c>
    </row>
    <row r="849" spans="2:53" ht="16.5" customHeight="1">
      <c r="B849" s="367" t="s">
        <v>4384</v>
      </c>
      <c r="C849" s="351" t="s">
        <v>4385</v>
      </c>
      <c r="D849" s="353">
        <v>-1426</v>
      </c>
      <c r="E849" s="352" t="s">
        <v>4537</v>
      </c>
      <c r="F849" s="341">
        <v>86.06</v>
      </c>
      <c r="G849" s="355" t="s">
        <v>10744</v>
      </c>
      <c r="H849" s="356" t="s">
        <v>9895</v>
      </c>
      <c r="I849" s="354" t="s">
        <v>233</v>
      </c>
      <c r="J849" s="340" t="s">
        <v>10304</v>
      </c>
      <c r="K849" s="339" t="s">
        <v>71</v>
      </c>
      <c r="L849" s="357">
        <v>31</v>
      </c>
      <c r="M849" s="358" t="s">
        <v>10305</v>
      </c>
      <c r="N849" s="359">
        <v>1000</v>
      </c>
      <c r="O849" s="360" t="s">
        <v>530</v>
      </c>
      <c r="P849" s="343" t="s">
        <v>531</v>
      </c>
      <c r="Q849" s="342" t="s">
        <v>2688</v>
      </c>
      <c r="R849" s="344">
        <v>35</v>
      </c>
      <c r="S849" s="345">
        <v>25</v>
      </c>
      <c r="T849" s="362">
        <v>25</v>
      </c>
      <c r="U849" s="361">
        <v>86.06</v>
      </c>
      <c r="V849" s="346">
        <v>122.64086752637749</v>
      </c>
      <c r="W849" s="348">
        <v>121.39150058616647</v>
      </c>
      <c r="X849" s="347">
        <v>61.91</v>
      </c>
      <c r="Y849" s="357">
        <v>62.43</v>
      </c>
      <c r="Z849" s="365" t="s">
        <v>3017</v>
      </c>
      <c r="AA849" s="350">
        <v>149.25</v>
      </c>
      <c r="AB849" s="349" t="s">
        <v>2685</v>
      </c>
      <c r="AC849" s="350">
        <v>0</v>
      </c>
      <c r="AD849" s="349" t="s">
        <v>2685</v>
      </c>
      <c r="AE849" s="364">
        <v>0</v>
      </c>
      <c r="AF849" s="366">
        <v>0</v>
      </c>
      <c r="AG849" s="363">
        <v>0</v>
      </c>
      <c r="AH849" s="635" t="s">
        <v>408</v>
      </c>
      <c r="AL849" s="487" t="s">
        <v>15190</v>
      </c>
      <c r="AM849" s="477" t="s">
        <v>71</v>
      </c>
      <c r="AN849" s="637">
        <v>100</v>
      </c>
      <c r="AO849" s="478">
        <v>-1426</v>
      </c>
      <c r="AP849" s="463">
        <v>-695</v>
      </c>
      <c r="AQ849" s="479">
        <v>-731</v>
      </c>
      <c r="AR849" s="476" t="s">
        <v>17018</v>
      </c>
      <c r="BA849" s="313" t="s">
        <v>4489</v>
      </c>
    </row>
    <row r="850" spans="2:53" ht="16.5" customHeight="1">
      <c r="B850" s="367" t="s">
        <v>10318</v>
      </c>
      <c r="C850" s="351" t="s">
        <v>10319</v>
      </c>
      <c r="D850" s="353">
        <v>-1427</v>
      </c>
      <c r="E850" s="352" t="s">
        <v>408</v>
      </c>
      <c r="F850" s="341">
        <v>86.01</v>
      </c>
      <c r="G850" s="355" t="s">
        <v>18673</v>
      </c>
      <c r="H850" s="356" t="s">
        <v>18674</v>
      </c>
      <c r="I850" s="354" t="s">
        <v>9189</v>
      </c>
      <c r="J850" s="340" t="s">
        <v>10263</v>
      </c>
      <c r="K850" s="339" t="s">
        <v>70</v>
      </c>
      <c r="L850" s="357">
        <v>35</v>
      </c>
      <c r="M850" s="358" t="s">
        <v>10264</v>
      </c>
      <c r="N850" s="359">
        <v>1000</v>
      </c>
      <c r="O850" s="360" t="s">
        <v>532</v>
      </c>
      <c r="P850" s="343" t="s">
        <v>532</v>
      </c>
      <c r="Q850" s="342" t="s">
        <v>2688</v>
      </c>
      <c r="R850" s="344">
        <v>20</v>
      </c>
      <c r="S850" s="345">
        <v>35</v>
      </c>
      <c r="T850" s="362">
        <v>25</v>
      </c>
      <c r="U850" s="361">
        <v>86.01</v>
      </c>
      <c r="V850" s="346">
        <v>122.60665735527115</v>
      </c>
      <c r="W850" s="348">
        <v>121.36817546950306</v>
      </c>
      <c r="X850" s="347" t="s">
        <v>18675</v>
      </c>
      <c r="Y850" s="357" t="s">
        <v>408</v>
      </c>
      <c r="Z850" s="365" t="s">
        <v>3017</v>
      </c>
      <c r="AA850" s="350">
        <v>195.56</v>
      </c>
      <c r="AB850" s="349" t="s">
        <v>2685</v>
      </c>
      <c r="AC850" s="350">
        <v>0</v>
      </c>
      <c r="AD850" s="349" t="s">
        <v>2685</v>
      </c>
      <c r="AE850" s="364">
        <v>0</v>
      </c>
      <c r="AF850" s="366">
        <v>15.609</v>
      </c>
      <c r="AG850" s="363">
        <v>0</v>
      </c>
      <c r="AH850" s="635" t="s">
        <v>9517</v>
      </c>
      <c r="AL850" s="487" t="s">
        <v>15178</v>
      </c>
      <c r="AM850" s="477" t="s">
        <v>70</v>
      </c>
      <c r="AN850" s="637">
        <v>100</v>
      </c>
      <c r="AO850" s="478">
        <v>-1427</v>
      </c>
      <c r="AP850" s="463">
        <v>-1427</v>
      </c>
      <c r="AQ850" s="479">
        <v>0</v>
      </c>
      <c r="AR850" s="476" t="s">
        <v>17232</v>
      </c>
      <c r="BA850" s="313" t="s">
        <v>4491</v>
      </c>
    </row>
    <row r="851" spans="2:53" ht="16.5" customHeight="1">
      <c r="B851" s="367" t="s">
        <v>10294</v>
      </c>
      <c r="C851" s="351" t="s">
        <v>10295</v>
      </c>
      <c r="D851" s="353">
        <v>-1428</v>
      </c>
      <c r="E851" s="352" t="s">
        <v>408</v>
      </c>
      <c r="F851" s="341">
        <v>85.98</v>
      </c>
      <c r="G851" s="355" t="s">
        <v>18676</v>
      </c>
      <c r="H851" s="356" t="s">
        <v>9920</v>
      </c>
      <c r="I851" s="354" t="s">
        <v>215</v>
      </c>
      <c r="J851" s="340" t="s">
        <v>8214</v>
      </c>
      <c r="K851" s="339" t="s">
        <v>71</v>
      </c>
      <c r="L851" s="357">
        <v>3</v>
      </c>
      <c r="M851" s="358" t="s">
        <v>10310</v>
      </c>
      <c r="N851" s="359">
        <v>1000</v>
      </c>
      <c r="O851" s="360" t="s">
        <v>530</v>
      </c>
      <c r="P851" s="343" t="s">
        <v>531</v>
      </c>
      <c r="Q851" s="342" t="s">
        <v>2688</v>
      </c>
      <c r="R851" s="344">
        <v>38</v>
      </c>
      <c r="S851" s="345">
        <v>25</v>
      </c>
      <c r="T851" s="362">
        <v>25</v>
      </c>
      <c r="U851" s="361">
        <v>85.98</v>
      </c>
      <c r="V851" s="346">
        <v>122.58738425925924</v>
      </c>
      <c r="W851" s="348">
        <v>121.35503472222221</v>
      </c>
      <c r="X851" s="347">
        <v>61.89</v>
      </c>
      <c r="Y851" s="357">
        <v>62.46</v>
      </c>
      <c r="Z851" s="365" t="s">
        <v>3017</v>
      </c>
      <c r="AA851" s="350">
        <v>121.25</v>
      </c>
      <c r="AB851" s="349" t="s">
        <v>2685</v>
      </c>
      <c r="AC851" s="350">
        <v>10</v>
      </c>
      <c r="AD851" s="349" t="s">
        <v>2685</v>
      </c>
      <c r="AE851" s="364">
        <v>0</v>
      </c>
      <c r="AF851" s="366">
        <v>0</v>
      </c>
      <c r="AG851" s="363">
        <v>0</v>
      </c>
      <c r="AH851" s="635" t="s">
        <v>8002</v>
      </c>
      <c r="AL851" s="487" t="s">
        <v>15192</v>
      </c>
      <c r="AM851" s="477" t="s">
        <v>71</v>
      </c>
      <c r="AN851" s="637">
        <v>100</v>
      </c>
      <c r="AO851" s="478">
        <v>-1428</v>
      </c>
      <c r="AP851" s="463">
        <v>-696</v>
      </c>
      <c r="AQ851" s="479">
        <v>-732</v>
      </c>
      <c r="AR851" s="476" t="s">
        <v>17233</v>
      </c>
      <c r="BA851" s="313" t="s">
        <v>4492</v>
      </c>
    </row>
    <row r="852" spans="2:53" ht="16.5" customHeight="1">
      <c r="B852" s="367" t="s">
        <v>10311</v>
      </c>
      <c r="C852" s="351" t="s">
        <v>10312</v>
      </c>
      <c r="D852" s="353">
        <v>-1429</v>
      </c>
      <c r="E852" s="352" t="s">
        <v>10303</v>
      </c>
      <c r="F852" s="341">
        <v>85.98</v>
      </c>
      <c r="G852" s="355" t="s">
        <v>10313</v>
      </c>
      <c r="H852" s="356" t="s">
        <v>4246</v>
      </c>
      <c r="I852" s="354" t="s">
        <v>215</v>
      </c>
      <c r="J852" s="340" t="s">
        <v>10314</v>
      </c>
      <c r="K852" s="339" t="s">
        <v>70</v>
      </c>
      <c r="L852" s="357">
        <v>22</v>
      </c>
      <c r="M852" s="358" t="s">
        <v>10315</v>
      </c>
      <c r="N852" s="359">
        <v>1000</v>
      </c>
      <c r="O852" s="360" t="s">
        <v>530</v>
      </c>
      <c r="P852" s="343" t="s">
        <v>531</v>
      </c>
      <c r="Q852" s="342" t="s">
        <v>2688</v>
      </c>
      <c r="R852" s="344">
        <v>25</v>
      </c>
      <c r="S852" s="345">
        <v>38</v>
      </c>
      <c r="T852" s="362">
        <v>25</v>
      </c>
      <c r="U852" s="361">
        <v>85.98</v>
      </c>
      <c r="V852" s="346">
        <v>122.58406094345152</v>
      </c>
      <c r="W852" s="348">
        <v>121.35276882508059</v>
      </c>
      <c r="X852" s="347">
        <v>61.65</v>
      </c>
      <c r="Y852" s="357">
        <v>62.33</v>
      </c>
      <c r="Z852" s="365" t="s">
        <v>3017</v>
      </c>
      <c r="AA852" s="350">
        <v>121.25</v>
      </c>
      <c r="AB852" s="349" t="s">
        <v>2685</v>
      </c>
      <c r="AC852" s="350">
        <v>10</v>
      </c>
      <c r="AD852" s="349" t="s">
        <v>2685</v>
      </c>
      <c r="AE852" s="364">
        <v>0</v>
      </c>
      <c r="AF852" s="366">
        <v>0</v>
      </c>
      <c r="AG852" s="363">
        <v>0</v>
      </c>
      <c r="AH852" s="635" t="s">
        <v>408</v>
      </c>
      <c r="AL852" s="487" t="s">
        <v>15193</v>
      </c>
      <c r="AM852" s="477" t="s">
        <v>70</v>
      </c>
      <c r="AN852" s="637">
        <v>100</v>
      </c>
      <c r="AO852" s="478">
        <v>-1429</v>
      </c>
      <c r="AP852" s="463">
        <v>-1429</v>
      </c>
      <c r="AQ852" s="479">
        <v>0</v>
      </c>
      <c r="AR852" s="476" t="s">
        <v>15194</v>
      </c>
      <c r="BA852" s="313" t="s">
        <v>4495</v>
      </c>
    </row>
    <row r="853" spans="2:53" ht="16.5" customHeight="1">
      <c r="B853" s="367" t="s">
        <v>10311</v>
      </c>
      <c r="C853" s="351" t="s">
        <v>10312</v>
      </c>
      <c r="D853" s="353">
        <v>-1430</v>
      </c>
      <c r="E853" s="352" t="s">
        <v>408</v>
      </c>
      <c r="F853" s="341">
        <v>85.98</v>
      </c>
      <c r="G853" s="355" t="s">
        <v>4448</v>
      </c>
      <c r="H853" s="356" t="s">
        <v>4246</v>
      </c>
      <c r="I853" s="354" t="s">
        <v>9189</v>
      </c>
      <c r="J853" s="340" t="s">
        <v>10267</v>
      </c>
      <c r="K853" s="339" t="s">
        <v>70</v>
      </c>
      <c r="L853" s="357">
        <v>6</v>
      </c>
      <c r="M853" s="358" t="s">
        <v>10268</v>
      </c>
      <c r="N853" s="359">
        <v>1000</v>
      </c>
      <c r="O853" s="360" t="s">
        <v>532</v>
      </c>
      <c r="P853" s="343" t="s">
        <v>532</v>
      </c>
      <c r="Q853" s="342" t="s">
        <v>2688</v>
      </c>
      <c r="R853" s="344">
        <v>20</v>
      </c>
      <c r="S853" s="345">
        <v>35</v>
      </c>
      <c r="T853" s="362">
        <v>25</v>
      </c>
      <c r="U853" s="361">
        <v>85.98</v>
      </c>
      <c r="V853" s="346">
        <v>122.58905119056931</v>
      </c>
      <c r="W853" s="348">
        <v>121.35617126629725</v>
      </c>
      <c r="X853" s="347" t="s">
        <v>18675</v>
      </c>
      <c r="Y853" s="357" t="s">
        <v>408</v>
      </c>
      <c r="Z853" s="365" t="s">
        <v>3017</v>
      </c>
      <c r="AA853" s="350">
        <v>195.56</v>
      </c>
      <c r="AB853" s="349" t="s">
        <v>2685</v>
      </c>
      <c r="AC853" s="350">
        <v>0</v>
      </c>
      <c r="AD853" s="349" t="s">
        <v>2685</v>
      </c>
      <c r="AE853" s="364">
        <v>0</v>
      </c>
      <c r="AF853" s="366">
        <v>15.609</v>
      </c>
      <c r="AG853" s="363">
        <v>0</v>
      </c>
      <c r="AH853" s="635" t="s">
        <v>9517</v>
      </c>
      <c r="AL853" s="487" t="s">
        <v>15181</v>
      </c>
      <c r="AM853" s="477" t="s">
        <v>70</v>
      </c>
      <c r="AN853" s="637">
        <v>100</v>
      </c>
      <c r="AO853" s="478">
        <v>-1430</v>
      </c>
      <c r="AP853" s="463">
        <v>-1430</v>
      </c>
      <c r="AQ853" s="479">
        <v>0</v>
      </c>
      <c r="AR853" s="476" t="s">
        <v>15194</v>
      </c>
      <c r="BA853" s="313" t="s">
        <v>4499</v>
      </c>
    </row>
    <row r="854" spans="2:53" ht="16.5" customHeight="1">
      <c r="B854" s="367" t="s">
        <v>4380</v>
      </c>
      <c r="C854" s="351" t="s">
        <v>4381</v>
      </c>
      <c r="D854" s="353">
        <v>-1431</v>
      </c>
      <c r="E854" s="352" t="s">
        <v>4548</v>
      </c>
      <c r="F854" s="341">
        <v>85.94</v>
      </c>
      <c r="G854" s="355" t="s">
        <v>18677</v>
      </c>
      <c r="H854" s="356" t="s">
        <v>10374</v>
      </c>
      <c r="I854" s="354" t="s">
        <v>9189</v>
      </c>
      <c r="J854" s="340" t="s">
        <v>10257</v>
      </c>
      <c r="K854" s="339" t="s">
        <v>71</v>
      </c>
      <c r="L854" s="357">
        <v>12</v>
      </c>
      <c r="M854" s="358" t="s">
        <v>10258</v>
      </c>
      <c r="N854" s="359">
        <v>1000</v>
      </c>
      <c r="O854" s="360" t="s">
        <v>532</v>
      </c>
      <c r="P854" s="343" t="s">
        <v>532</v>
      </c>
      <c r="Q854" s="342" t="s">
        <v>2688</v>
      </c>
      <c r="R854" s="344">
        <v>30</v>
      </c>
      <c r="S854" s="345">
        <v>25</v>
      </c>
      <c r="T854" s="362">
        <v>25</v>
      </c>
      <c r="U854" s="361">
        <v>85.94</v>
      </c>
      <c r="V854" s="346">
        <v>122.55941507725043</v>
      </c>
      <c r="W854" s="348">
        <v>121.33596482539802</v>
      </c>
      <c r="X854" s="347" t="s">
        <v>18678</v>
      </c>
      <c r="Y854" s="357" t="s">
        <v>408</v>
      </c>
      <c r="Z854" s="365" t="s">
        <v>3017</v>
      </c>
      <c r="AA854" s="350">
        <v>195.56</v>
      </c>
      <c r="AB854" s="349" t="s">
        <v>2685</v>
      </c>
      <c r="AC854" s="350">
        <v>0</v>
      </c>
      <c r="AD854" s="349" t="s">
        <v>2685</v>
      </c>
      <c r="AE854" s="364">
        <v>0</v>
      </c>
      <c r="AF854" s="366">
        <v>15.441000000000001</v>
      </c>
      <c r="AG854" s="363">
        <v>0</v>
      </c>
      <c r="AH854" s="635" t="s">
        <v>9192</v>
      </c>
      <c r="AL854" s="487" t="s">
        <v>15185</v>
      </c>
      <c r="AM854" s="477" t="s">
        <v>71</v>
      </c>
      <c r="AN854" s="637">
        <v>100</v>
      </c>
      <c r="AO854" s="478">
        <v>-1431</v>
      </c>
      <c r="AP854" s="463">
        <v>-697</v>
      </c>
      <c r="AQ854" s="479">
        <v>-734</v>
      </c>
      <c r="AR854" s="476" t="s">
        <v>17234</v>
      </c>
      <c r="BA854" s="313" t="s">
        <v>4501</v>
      </c>
    </row>
    <row r="855" spans="2:53" ht="16.5" customHeight="1">
      <c r="B855" s="367" t="s">
        <v>4397</v>
      </c>
      <c r="C855" s="351" t="s">
        <v>4398</v>
      </c>
      <c r="D855" s="353">
        <v>-1432</v>
      </c>
      <c r="E855" s="352" t="s">
        <v>408</v>
      </c>
      <c r="F855" s="341">
        <v>85.9</v>
      </c>
      <c r="G855" s="355" t="s">
        <v>4552</v>
      </c>
      <c r="H855" s="356" t="s">
        <v>9945</v>
      </c>
      <c r="I855" s="354" t="s">
        <v>254</v>
      </c>
      <c r="J855" s="340" t="s">
        <v>8787</v>
      </c>
      <c r="K855" s="339" t="s">
        <v>71</v>
      </c>
      <c r="L855" s="357">
        <v>27</v>
      </c>
      <c r="M855" s="358" t="s">
        <v>10317</v>
      </c>
      <c r="N855" s="359">
        <v>1000</v>
      </c>
      <c r="O855" s="360" t="s">
        <v>532</v>
      </c>
      <c r="P855" s="343" t="s">
        <v>533</v>
      </c>
      <c r="Q855" s="342" t="s">
        <v>2688</v>
      </c>
      <c r="R855" s="344">
        <v>35</v>
      </c>
      <c r="S855" s="345">
        <v>25</v>
      </c>
      <c r="T855" s="362">
        <v>20</v>
      </c>
      <c r="U855" s="361">
        <v>85.9</v>
      </c>
      <c r="V855" s="346">
        <v>122.53202751855309</v>
      </c>
      <c r="W855" s="348">
        <v>121.31729148992255</v>
      </c>
      <c r="X855" s="347">
        <v>61.86</v>
      </c>
      <c r="Y855" s="357">
        <v>62.36</v>
      </c>
      <c r="Z855" s="365" t="s">
        <v>3017</v>
      </c>
      <c r="AA855" s="350">
        <v>196</v>
      </c>
      <c r="AB855" s="349" t="s">
        <v>2685</v>
      </c>
      <c r="AC855" s="350">
        <v>3</v>
      </c>
      <c r="AD855" s="349" t="s">
        <v>2685</v>
      </c>
      <c r="AE855" s="364">
        <v>0</v>
      </c>
      <c r="AF855" s="366">
        <v>0</v>
      </c>
      <c r="AG855" s="363">
        <v>0</v>
      </c>
      <c r="AH855" s="635" t="s">
        <v>408</v>
      </c>
      <c r="AL855" s="487" t="s">
        <v>15196</v>
      </c>
      <c r="AM855" s="477" t="s">
        <v>71</v>
      </c>
      <c r="AN855" s="637">
        <v>100</v>
      </c>
      <c r="AO855" s="478">
        <v>-1432</v>
      </c>
      <c r="AP855" s="463">
        <v>-697</v>
      </c>
      <c r="AQ855" s="479">
        <v>-735</v>
      </c>
      <c r="AR855" s="476" t="s">
        <v>17019</v>
      </c>
      <c r="BA855" s="313" t="s">
        <v>4506</v>
      </c>
    </row>
    <row r="856" spans="2:53" ht="16.5" customHeight="1">
      <c r="B856" s="367" t="s">
        <v>4401</v>
      </c>
      <c r="C856" s="351" t="s">
        <v>4402</v>
      </c>
      <c r="D856" s="353">
        <v>-1433</v>
      </c>
      <c r="E856" s="352" t="s">
        <v>10316</v>
      </c>
      <c r="F856" s="341">
        <v>85.86</v>
      </c>
      <c r="G856" s="355" t="s">
        <v>4544</v>
      </c>
      <c r="H856" s="356" t="s">
        <v>4294</v>
      </c>
      <c r="I856" s="354" t="s">
        <v>254</v>
      </c>
      <c r="J856" s="340" t="s">
        <v>9921</v>
      </c>
      <c r="K856" s="339" t="s">
        <v>71</v>
      </c>
      <c r="L856" s="357">
        <v>28</v>
      </c>
      <c r="M856" s="358" t="s">
        <v>10324</v>
      </c>
      <c r="N856" s="359">
        <v>1000</v>
      </c>
      <c r="O856" s="360" t="s">
        <v>532</v>
      </c>
      <c r="P856" s="343" t="s">
        <v>533</v>
      </c>
      <c r="Q856" s="342" t="s">
        <v>2688</v>
      </c>
      <c r="R856" s="344">
        <v>35</v>
      </c>
      <c r="S856" s="345">
        <v>25</v>
      </c>
      <c r="T856" s="362">
        <v>20</v>
      </c>
      <c r="U856" s="361">
        <v>85.86</v>
      </c>
      <c r="V856" s="346">
        <v>122.50891797963369</v>
      </c>
      <c r="W856" s="348">
        <v>121.30153498611388</v>
      </c>
      <c r="X856" s="347">
        <v>61.85</v>
      </c>
      <c r="Y856" s="357">
        <v>62.35</v>
      </c>
      <c r="Z856" s="365" t="s">
        <v>3017</v>
      </c>
      <c r="AA856" s="350">
        <v>196</v>
      </c>
      <c r="AB856" s="349" t="s">
        <v>2685</v>
      </c>
      <c r="AC856" s="350">
        <v>3</v>
      </c>
      <c r="AD856" s="349" t="s">
        <v>2685</v>
      </c>
      <c r="AE856" s="364">
        <v>0</v>
      </c>
      <c r="AF856" s="366">
        <v>0</v>
      </c>
      <c r="AG856" s="363">
        <v>0</v>
      </c>
      <c r="AH856" s="635" t="s">
        <v>408</v>
      </c>
      <c r="AL856" s="487" t="s">
        <v>15197</v>
      </c>
      <c r="AM856" s="477" t="s">
        <v>71</v>
      </c>
      <c r="AN856" s="637">
        <v>100</v>
      </c>
      <c r="AO856" s="478">
        <v>-1433</v>
      </c>
      <c r="AP856" s="463">
        <v>-697</v>
      </c>
      <c r="AQ856" s="479">
        <v>-736</v>
      </c>
      <c r="AR856" s="476" t="s">
        <v>17020</v>
      </c>
      <c r="BA856" s="313" t="s">
        <v>4510</v>
      </c>
    </row>
    <row r="857" spans="2:53" ht="16.5" customHeight="1">
      <c r="B857" s="367" t="s">
        <v>10325</v>
      </c>
      <c r="C857" s="351" t="s">
        <v>10326</v>
      </c>
      <c r="D857" s="353">
        <v>-1434</v>
      </c>
      <c r="E857" s="352" t="s">
        <v>10320</v>
      </c>
      <c r="F857" s="341">
        <v>85.78</v>
      </c>
      <c r="G857" s="355" t="s">
        <v>4566</v>
      </c>
      <c r="H857" s="356" t="s">
        <v>18679</v>
      </c>
      <c r="I857" s="354" t="s">
        <v>221</v>
      </c>
      <c r="J857" s="340" t="s">
        <v>8938</v>
      </c>
      <c r="K857" s="339" t="s">
        <v>71</v>
      </c>
      <c r="L857" s="357">
        <v>48</v>
      </c>
      <c r="M857" s="358" t="s">
        <v>10329</v>
      </c>
      <c r="N857" s="359">
        <v>1000</v>
      </c>
      <c r="O857" s="360" t="s">
        <v>532</v>
      </c>
      <c r="P857" s="343" t="s">
        <v>533</v>
      </c>
      <c r="Q857" s="342" t="s">
        <v>2688</v>
      </c>
      <c r="R857" s="344">
        <v>35</v>
      </c>
      <c r="S857" s="345">
        <v>25</v>
      </c>
      <c r="T857" s="362">
        <v>25</v>
      </c>
      <c r="U857" s="361">
        <v>85.78</v>
      </c>
      <c r="V857" s="346">
        <v>122.45520293625343</v>
      </c>
      <c r="W857" s="348">
        <v>121.26491109290006</v>
      </c>
      <c r="X857" s="347">
        <v>61.82</v>
      </c>
      <c r="Y857" s="357">
        <v>62.39</v>
      </c>
      <c r="Z857" s="365" t="s">
        <v>3017</v>
      </c>
      <c r="AA857" s="350">
        <v>144</v>
      </c>
      <c r="AB857" s="349" t="s">
        <v>2685</v>
      </c>
      <c r="AC857" s="350">
        <v>0</v>
      </c>
      <c r="AD857" s="349" t="s">
        <v>2685</v>
      </c>
      <c r="AE857" s="364">
        <v>0</v>
      </c>
      <c r="AF857" s="366">
        <v>0</v>
      </c>
      <c r="AG857" s="363">
        <v>0</v>
      </c>
      <c r="AH857" s="635" t="s">
        <v>408</v>
      </c>
      <c r="AL857" s="487" t="s">
        <v>15198</v>
      </c>
      <c r="AM857" s="477" t="s">
        <v>71</v>
      </c>
      <c r="AN857" s="637">
        <v>100</v>
      </c>
      <c r="AO857" s="478">
        <v>-1434</v>
      </c>
      <c r="AP857" s="463">
        <v>-697</v>
      </c>
      <c r="AQ857" s="479">
        <v>-737</v>
      </c>
      <c r="AR857" s="476" t="s">
        <v>17021</v>
      </c>
      <c r="BA857" s="313" t="s">
        <v>4511</v>
      </c>
    </row>
    <row r="858" spans="2:53" ht="16.5" customHeight="1">
      <c r="B858" s="367" t="s">
        <v>4411</v>
      </c>
      <c r="C858" s="351" t="s">
        <v>4412</v>
      </c>
      <c r="D858" s="353">
        <v>-1435</v>
      </c>
      <c r="E858" s="352" t="s">
        <v>10323</v>
      </c>
      <c r="F858" s="341">
        <v>85.77</v>
      </c>
      <c r="G858" s="355" t="s">
        <v>10330</v>
      </c>
      <c r="H858" s="356" t="s">
        <v>18680</v>
      </c>
      <c r="I858" s="354" t="s">
        <v>254</v>
      </c>
      <c r="J858" s="340" t="s">
        <v>10331</v>
      </c>
      <c r="K858" s="339" t="s">
        <v>70</v>
      </c>
      <c r="L858" s="357">
        <v>6</v>
      </c>
      <c r="M858" s="358" t="s">
        <v>10332</v>
      </c>
      <c r="N858" s="359">
        <v>1000</v>
      </c>
      <c r="O858" s="360" t="s">
        <v>532</v>
      </c>
      <c r="P858" s="343" t="s">
        <v>533</v>
      </c>
      <c r="Q858" s="342" t="s">
        <v>2688</v>
      </c>
      <c r="R858" s="344">
        <v>25</v>
      </c>
      <c r="S858" s="345">
        <v>35</v>
      </c>
      <c r="T858" s="362">
        <v>20</v>
      </c>
      <c r="U858" s="361">
        <v>85.77</v>
      </c>
      <c r="V858" s="346">
        <v>122.44664622080502</v>
      </c>
      <c r="W858" s="348">
        <v>121.2590769687307</v>
      </c>
      <c r="X858" s="347">
        <v>61.58</v>
      </c>
      <c r="Y858" s="357">
        <v>62.32</v>
      </c>
      <c r="Z858" s="365" t="s">
        <v>3017</v>
      </c>
      <c r="AA858" s="350">
        <v>196</v>
      </c>
      <c r="AB858" s="349" t="s">
        <v>2685</v>
      </c>
      <c r="AC858" s="350">
        <v>3</v>
      </c>
      <c r="AD858" s="349" t="s">
        <v>2685</v>
      </c>
      <c r="AE858" s="364">
        <v>0</v>
      </c>
      <c r="AF858" s="366">
        <v>4.4509999999999996</v>
      </c>
      <c r="AG858" s="363">
        <v>0</v>
      </c>
      <c r="AH858" s="635" t="s">
        <v>4466</v>
      </c>
      <c r="AL858" s="487" t="s">
        <v>15199</v>
      </c>
      <c r="AM858" s="477" t="s">
        <v>70</v>
      </c>
      <c r="AN858" s="637">
        <v>100</v>
      </c>
      <c r="AO858" s="478">
        <v>-1435</v>
      </c>
      <c r="AP858" s="463">
        <v>-1435</v>
      </c>
      <c r="AQ858" s="479">
        <v>0</v>
      </c>
      <c r="AR858" s="476" t="s">
        <v>17235</v>
      </c>
      <c r="BA858" s="313" t="s">
        <v>4513</v>
      </c>
    </row>
    <row r="859" spans="2:53" ht="16.5" customHeight="1">
      <c r="B859" s="367" t="s">
        <v>4387</v>
      </c>
      <c r="C859" s="351" t="s">
        <v>4388</v>
      </c>
      <c r="D859" s="353">
        <v>-1436</v>
      </c>
      <c r="E859" s="352" t="s">
        <v>10327</v>
      </c>
      <c r="F859" s="341">
        <v>85.76</v>
      </c>
      <c r="G859" s="355" t="s">
        <v>10306</v>
      </c>
      <c r="H859" s="356" t="s">
        <v>18681</v>
      </c>
      <c r="I859" s="354" t="s">
        <v>209</v>
      </c>
      <c r="J859" s="340" t="s">
        <v>8696</v>
      </c>
      <c r="K859" s="339" t="s">
        <v>71</v>
      </c>
      <c r="L859" s="357">
        <v>120</v>
      </c>
      <c r="M859" s="358" t="s">
        <v>10322</v>
      </c>
      <c r="N859" s="359">
        <v>1000</v>
      </c>
      <c r="O859" s="360" t="s">
        <v>530</v>
      </c>
      <c r="P859" s="343" t="s">
        <v>530</v>
      </c>
      <c r="Q859" s="342" t="s">
        <v>2688</v>
      </c>
      <c r="R859" s="344">
        <v>30</v>
      </c>
      <c r="S859" s="345">
        <v>25</v>
      </c>
      <c r="T859" s="362">
        <v>25</v>
      </c>
      <c r="U859" s="361">
        <v>85.76</v>
      </c>
      <c r="V859" s="346">
        <v>122.43705250294164</v>
      </c>
      <c r="W859" s="348">
        <v>121.25253579746021</v>
      </c>
      <c r="X859" s="347">
        <v>61.81</v>
      </c>
      <c r="Y859" s="357" t="s">
        <v>408</v>
      </c>
      <c r="Z859" s="365" t="s">
        <v>3017</v>
      </c>
      <c r="AA859" s="350">
        <v>198</v>
      </c>
      <c r="AB859" s="349" t="s">
        <v>2685</v>
      </c>
      <c r="AC859" s="350">
        <v>10</v>
      </c>
      <c r="AD859" s="349" t="s">
        <v>2685</v>
      </c>
      <c r="AE859" s="364">
        <v>0</v>
      </c>
      <c r="AF859" s="366">
        <v>0</v>
      </c>
      <c r="AG859" s="363">
        <v>0</v>
      </c>
      <c r="AH859" s="635" t="s">
        <v>408</v>
      </c>
      <c r="AL859" s="487" t="s">
        <v>15200</v>
      </c>
      <c r="AM859" s="477" t="s">
        <v>71</v>
      </c>
      <c r="AN859" s="637">
        <v>100</v>
      </c>
      <c r="AO859" s="478">
        <v>-1436</v>
      </c>
      <c r="AP859" s="463">
        <v>-698</v>
      </c>
      <c r="AQ859" s="479">
        <v>-738</v>
      </c>
      <c r="AR859" s="476" t="s">
        <v>15228</v>
      </c>
      <c r="BA859" s="313" t="s">
        <v>4514</v>
      </c>
    </row>
    <row r="860" spans="2:53" ht="16.5" customHeight="1">
      <c r="B860" s="367" t="s">
        <v>4414</v>
      </c>
      <c r="C860" s="351" t="s">
        <v>4415</v>
      </c>
      <c r="D860" s="353">
        <v>-1437</v>
      </c>
      <c r="E860" s="352" t="s">
        <v>10328</v>
      </c>
      <c r="F860" s="341">
        <v>85.75</v>
      </c>
      <c r="G860" s="355" t="s">
        <v>10306</v>
      </c>
      <c r="H860" s="356" t="s">
        <v>18681</v>
      </c>
      <c r="I860" s="354" t="s">
        <v>236</v>
      </c>
      <c r="J860" s="340" t="s">
        <v>8534</v>
      </c>
      <c r="K860" s="339" t="s">
        <v>71</v>
      </c>
      <c r="L860" s="357">
        <v>14</v>
      </c>
      <c r="M860" s="358" t="s">
        <v>10334</v>
      </c>
      <c r="N860" s="359">
        <v>1000</v>
      </c>
      <c r="O860" s="360" t="s">
        <v>532</v>
      </c>
      <c r="P860" s="343" t="s">
        <v>533</v>
      </c>
      <c r="Q860" s="342" t="s">
        <v>2688</v>
      </c>
      <c r="R860" s="344">
        <v>35</v>
      </c>
      <c r="S860" s="345">
        <v>25</v>
      </c>
      <c r="T860" s="362">
        <v>20</v>
      </c>
      <c r="U860" s="361">
        <v>85.75</v>
      </c>
      <c r="V860" s="346">
        <v>122.43408709170423</v>
      </c>
      <c r="W860" s="348">
        <v>121.25051392616197</v>
      </c>
      <c r="X860" s="347">
        <v>61.81</v>
      </c>
      <c r="Y860" s="357">
        <v>62.32</v>
      </c>
      <c r="Z860" s="365" t="s">
        <v>3017</v>
      </c>
      <c r="AA860" s="350">
        <v>194</v>
      </c>
      <c r="AB860" s="349" t="s">
        <v>2685</v>
      </c>
      <c r="AC860" s="350">
        <v>4</v>
      </c>
      <c r="AD860" s="349" t="s">
        <v>2685</v>
      </c>
      <c r="AE860" s="364">
        <v>0</v>
      </c>
      <c r="AF860" s="366">
        <v>0</v>
      </c>
      <c r="AG860" s="363">
        <v>0</v>
      </c>
      <c r="AH860" s="635" t="s">
        <v>408</v>
      </c>
      <c r="AL860" s="487" t="s">
        <v>15201</v>
      </c>
      <c r="AM860" s="477" t="s">
        <v>71</v>
      </c>
      <c r="AN860" s="637">
        <v>100</v>
      </c>
      <c r="AO860" s="478">
        <v>-1437</v>
      </c>
      <c r="AP860" s="463">
        <v>-698</v>
      </c>
      <c r="AQ860" s="479">
        <v>-739</v>
      </c>
      <c r="AR860" s="476" t="s">
        <v>15228</v>
      </c>
      <c r="BA860" s="313" t="s">
        <v>4515</v>
      </c>
    </row>
    <row r="861" spans="2:53" ht="16.5" customHeight="1">
      <c r="B861" s="367" t="s">
        <v>16521</v>
      </c>
      <c r="C861" s="351" t="s">
        <v>16522</v>
      </c>
      <c r="D861" s="353">
        <v>-1438</v>
      </c>
      <c r="E861" s="352" t="s">
        <v>408</v>
      </c>
      <c r="F861" s="341">
        <v>85.73</v>
      </c>
      <c r="G861" s="355" t="s">
        <v>18682</v>
      </c>
      <c r="H861" s="356" t="s">
        <v>9973</v>
      </c>
      <c r="I861" s="354" t="s">
        <v>236</v>
      </c>
      <c r="J861" s="340" t="s">
        <v>8938</v>
      </c>
      <c r="K861" s="339" t="s">
        <v>71</v>
      </c>
      <c r="L861" s="357">
        <v>165</v>
      </c>
      <c r="M861" s="358" t="s">
        <v>10335</v>
      </c>
      <c r="N861" s="359">
        <v>1000</v>
      </c>
      <c r="O861" s="360" t="s">
        <v>532</v>
      </c>
      <c r="P861" s="343" t="s">
        <v>533</v>
      </c>
      <c r="Q861" s="342" t="s">
        <v>2688</v>
      </c>
      <c r="R861" s="344">
        <v>30</v>
      </c>
      <c r="S861" s="345">
        <v>25</v>
      </c>
      <c r="T861" s="362">
        <v>25</v>
      </c>
      <c r="U861" s="361">
        <v>85.73</v>
      </c>
      <c r="V861" s="346">
        <v>122.42128286612891</v>
      </c>
      <c r="W861" s="348">
        <v>121.24178377236062</v>
      </c>
      <c r="X861" s="347">
        <v>61.8</v>
      </c>
      <c r="Y861" s="357">
        <v>62.309999999999995</v>
      </c>
      <c r="Z861" s="365" t="s">
        <v>3017</v>
      </c>
      <c r="AA861" s="350">
        <v>194</v>
      </c>
      <c r="AB861" s="349" t="s">
        <v>2685</v>
      </c>
      <c r="AC861" s="350">
        <v>4</v>
      </c>
      <c r="AD861" s="349" t="s">
        <v>2685</v>
      </c>
      <c r="AE861" s="364">
        <v>0</v>
      </c>
      <c r="AF861" s="366">
        <v>4.2869999999999999</v>
      </c>
      <c r="AG861" s="363">
        <v>0</v>
      </c>
      <c r="AH861" s="635" t="s">
        <v>10336</v>
      </c>
      <c r="AL861" s="487" t="s">
        <v>15202</v>
      </c>
      <c r="AM861" s="477" t="s">
        <v>71</v>
      </c>
      <c r="AN861" s="637">
        <v>100</v>
      </c>
      <c r="AO861" s="478">
        <v>-1438</v>
      </c>
      <c r="AP861" s="463">
        <v>-698</v>
      </c>
      <c r="AQ861" s="479">
        <v>-740</v>
      </c>
      <c r="AR861" s="476" t="s">
        <v>17022</v>
      </c>
      <c r="BA861" s="313" t="s">
        <v>4518</v>
      </c>
    </row>
    <row r="862" spans="2:53" ht="16.5" customHeight="1">
      <c r="B862" s="367" t="s">
        <v>16521</v>
      </c>
      <c r="C862" s="351" t="s">
        <v>16522</v>
      </c>
      <c r="D862" s="353">
        <v>-1439</v>
      </c>
      <c r="E862" s="352" t="s">
        <v>10276</v>
      </c>
      <c r="F862" s="341">
        <v>85.71</v>
      </c>
      <c r="G862" s="355" t="s">
        <v>10313</v>
      </c>
      <c r="H862" s="356" t="s">
        <v>18683</v>
      </c>
      <c r="I862" s="354" t="s">
        <v>236</v>
      </c>
      <c r="J862" s="340" t="s">
        <v>10339</v>
      </c>
      <c r="K862" s="339" t="s">
        <v>71</v>
      </c>
      <c r="L862" s="357">
        <v>16</v>
      </c>
      <c r="M862" s="358" t="s">
        <v>10340</v>
      </c>
      <c r="N862" s="359">
        <v>1000</v>
      </c>
      <c r="O862" s="360" t="s">
        <v>532</v>
      </c>
      <c r="P862" s="343" t="s">
        <v>533</v>
      </c>
      <c r="Q862" s="342" t="s">
        <v>2688</v>
      </c>
      <c r="R862" s="344">
        <v>35</v>
      </c>
      <c r="S862" s="345">
        <v>25</v>
      </c>
      <c r="T862" s="362">
        <v>20</v>
      </c>
      <c r="U862" s="361">
        <v>85.71</v>
      </c>
      <c r="V862" s="346">
        <v>122.40712596296494</v>
      </c>
      <c r="W862" s="348">
        <v>121.23213133838519</v>
      </c>
      <c r="X862" s="347">
        <v>61.8</v>
      </c>
      <c r="Y862" s="357">
        <v>62.309999999999995</v>
      </c>
      <c r="Z862" s="365" t="s">
        <v>3017</v>
      </c>
      <c r="AA862" s="350">
        <v>194</v>
      </c>
      <c r="AB862" s="349" t="s">
        <v>2685</v>
      </c>
      <c r="AC862" s="350">
        <v>4</v>
      </c>
      <c r="AD862" s="349" t="s">
        <v>2685</v>
      </c>
      <c r="AE862" s="364">
        <v>0</v>
      </c>
      <c r="AF862" s="366">
        <v>0</v>
      </c>
      <c r="AG862" s="363">
        <v>0</v>
      </c>
      <c r="AH862" s="635" t="s">
        <v>408</v>
      </c>
      <c r="AL862" s="487" t="s">
        <v>15203</v>
      </c>
      <c r="AM862" s="477" t="s">
        <v>71</v>
      </c>
      <c r="AN862" s="637">
        <v>100</v>
      </c>
      <c r="AO862" s="478">
        <v>-1439</v>
      </c>
      <c r="AP862" s="463">
        <v>-699</v>
      </c>
      <c r="AQ862" s="479">
        <v>-740</v>
      </c>
      <c r="AR862" s="476" t="s">
        <v>17023</v>
      </c>
      <c r="BA862" s="313" t="s">
        <v>4522</v>
      </c>
    </row>
    <row r="863" spans="2:53" ht="16.5" customHeight="1">
      <c r="B863" s="367" t="s">
        <v>10341</v>
      </c>
      <c r="C863" s="351" t="s">
        <v>10342</v>
      </c>
      <c r="D863" s="353">
        <v>-1440</v>
      </c>
      <c r="E863" s="352" t="s">
        <v>10276</v>
      </c>
      <c r="F863" s="341">
        <v>85.7</v>
      </c>
      <c r="G863" s="355" t="s">
        <v>10347</v>
      </c>
      <c r="H863" s="356" t="s">
        <v>9898</v>
      </c>
      <c r="I863" s="354" t="s">
        <v>254</v>
      </c>
      <c r="J863" s="340" t="s">
        <v>7910</v>
      </c>
      <c r="K863" s="339" t="s">
        <v>70</v>
      </c>
      <c r="L863" s="357">
        <v>10</v>
      </c>
      <c r="M863" s="358" t="s">
        <v>10348</v>
      </c>
      <c r="N863" s="359">
        <v>1000</v>
      </c>
      <c r="O863" s="360" t="s">
        <v>532</v>
      </c>
      <c r="P863" s="343" t="s">
        <v>533</v>
      </c>
      <c r="Q863" s="342" t="s">
        <v>2688</v>
      </c>
      <c r="R863" s="344">
        <v>25</v>
      </c>
      <c r="S863" s="345">
        <v>40</v>
      </c>
      <c r="T863" s="362">
        <v>15</v>
      </c>
      <c r="U863" s="361">
        <v>85.7</v>
      </c>
      <c r="V863" s="346">
        <v>122.39756027634887</v>
      </c>
      <c r="W863" s="348">
        <v>121.22560927932878</v>
      </c>
      <c r="X863" s="347">
        <v>61.55</v>
      </c>
      <c r="Y863" s="357">
        <v>62.29</v>
      </c>
      <c r="Z863" s="365" t="s">
        <v>3017</v>
      </c>
      <c r="AA863" s="350">
        <v>196</v>
      </c>
      <c r="AB863" s="349" t="s">
        <v>2685</v>
      </c>
      <c r="AC863" s="350">
        <v>3</v>
      </c>
      <c r="AD863" s="349" t="s">
        <v>2685</v>
      </c>
      <c r="AE863" s="364">
        <v>0</v>
      </c>
      <c r="AF863" s="366">
        <v>0</v>
      </c>
      <c r="AG863" s="363">
        <v>0</v>
      </c>
      <c r="AH863" s="635" t="s">
        <v>408</v>
      </c>
      <c r="AL863" s="487" t="s">
        <v>15204</v>
      </c>
      <c r="AM863" s="477" t="s">
        <v>70</v>
      </c>
      <c r="AN863" s="637">
        <v>100</v>
      </c>
      <c r="AO863" s="478">
        <v>-1440</v>
      </c>
      <c r="AP863" s="463">
        <v>-1440</v>
      </c>
      <c r="AQ863" s="479">
        <v>0</v>
      </c>
      <c r="AR863" s="476" t="s">
        <v>15205</v>
      </c>
      <c r="BA863" s="313" t="s">
        <v>4525</v>
      </c>
    </row>
    <row r="864" spans="2:53" ht="16.5" customHeight="1">
      <c r="B864" s="367" t="s">
        <v>4392</v>
      </c>
      <c r="C864" s="351" t="s">
        <v>4393</v>
      </c>
      <c r="D864" s="353">
        <v>-1441</v>
      </c>
      <c r="E864" s="352" t="s">
        <v>408</v>
      </c>
      <c r="F864" s="341">
        <v>85.69</v>
      </c>
      <c r="G864" s="355" t="s">
        <v>18684</v>
      </c>
      <c r="H864" s="356" t="s">
        <v>9988</v>
      </c>
      <c r="I864" s="354" t="s">
        <v>237</v>
      </c>
      <c r="J864" s="340" t="s">
        <v>489</v>
      </c>
      <c r="K864" s="339" t="s">
        <v>71</v>
      </c>
      <c r="L864" s="357">
        <v>29</v>
      </c>
      <c r="M864" s="358" t="s">
        <v>4592</v>
      </c>
      <c r="N864" s="359">
        <v>1000</v>
      </c>
      <c r="O864" s="360" t="s">
        <v>530</v>
      </c>
      <c r="P864" s="343" t="s">
        <v>530</v>
      </c>
      <c r="Q864" s="342" t="s">
        <v>2688</v>
      </c>
      <c r="R864" s="344">
        <v>30</v>
      </c>
      <c r="S864" s="345">
        <v>30</v>
      </c>
      <c r="T864" s="362">
        <v>20</v>
      </c>
      <c r="U864" s="361">
        <v>85.69</v>
      </c>
      <c r="V864" s="346">
        <v>122.39234057764203</v>
      </c>
      <c r="W864" s="348">
        <v>121.22205039384684</v>
      </c>
      <c r="X864" s="347">
        <v>61.79</v>
      </c>
      <c r="Y864" s="357" t="s">
        <v>408</v>
      </c>
      <c r="Z864" s="365" t="s">
        <v>3017</v>
      </c>
      <c r="AA864" s="350">
        <v>196</v>
      </c>
      <c r="AB864" s="349" t="s">
        <v>2685</v>
      </c>
      <c r="AC864" s="350">
        <v>0</v>
      </c>
      <c r="AD864" s="349" t="s">
        <v>2685</v>
      </c>
      <c r="AE864" s="364">
        <v>0</v>
      </c>
      <c r="AF864" s="366">
        <v>0</v>
      </c>
      <c r="AG864" s="363">
        <v>0</v>
      </c>
      <c r="AH864" s="635" t="s">
        <v>408</v>
      </c>
      <c r="AL864" s="487" t="s">
        <v>15206</v>
      </c>
      <c r="AM864" s="477" t="s">
        <v>71</v>
      </c>
      <c r="AN864" s="637">
        <v>100</v>
      </c>
      <c r="AO864" s="478">
        <v>-1441</v>
      </c>
      <c r="AP864" s="463">
        <v>-699</v>
      </c>
      <c r="AQ864" s="479">
        <v>-742</v>
      </c>
      <c r="AR864" s="476" t="s">
        <v>17024</v>
      </c>
      <c r="BA864" s="313" t="s">
        <v>4526</v>
      </c>
    </row>
    <row r="865" spans="2:53" ht="16.5" customHeight="1">
      <c r="B865" s="367" t="s">
        <v>10349</v>
      </c>
      <c r="C865" s="351" t="s">
        <v>10350</v>
      </c>
      <c r="D865" s="353">
        <v>-1442</v>
      </c>
      <c r="E865" s="352" t="s">
        <v>10276</v>
      </c>
      <c r="F865" s="341">
        <v>85.69</v>
      </c>
      <c r="G865" s="355" t="s">
        <v>10351</v>
      </c>
      <c r="H865" s="356" t="s">
        <v>10354</v>
      </c>
      <c r="I865" s="354" t="s">
        <v>254</v>
      </c>
      <c r="J865" s="340" t="s">
        <v>8307</v>
      </c>
      <c r="K865" s="339" t="s">
        <v>70</v>
      </c>
      <c r="L865" s="357">
        <v>11</v>
      </c>
      <c r="M865" s="358" t="s">
        <v>3494</v>
      </c>
      <c r="N865" s="359">
        <v>1000</v>
      </c>
      <c r="O865" s="360" t="s">
        <v>532</v>
      </c>
      <c r="P865" s="343" t="s">
        <v>533</v>
      </c>
      <c r="Q865" s="342" t="s">
        <v>2688</v>
      </c>
      <c r="R865" s="344">
        <v>25</v>
      </c>
      <c r="S865" s="345">
        <v>35</v>
      </c>
      <c r="T865" s="362">
        <v>20</v>
      </c>
      <c r="U865" s="361">
        <v>85.69</v>
      </c>
      <c r="V865" s="346">
        <v>122.39238324679717</v>
      </c>
      <c r="W865" s="348">
        <v>121.22207948645261</v>
      </c>
      <c r="X865" s="347">
        <v>61.55</v>
      </c>
      <c r="Y865" s="357">
        <v>62.29</v>
      </c>
      <c r="Z865" s="365" t="s">
        <v>3017</v>
      </c>
      <c r="AA865" s="350">
        <v>196</v>
      </c>
      <c r="AB865" s="349" t="s">
        <v>2685</v>
      </c>
      <c r="AC865" s="350">
        <v>3</v>
      </c>
      <c r="AD865" s="349" t="s">
        <v>2685</v>
      </c>
      <c r="AE865" s="364">
        <v>0</v>
      </c>
      <c r="AF865" s="366">
        <v>0</v>
      </c>
      <c r="AG865" s="363">
        <v>0</v>
      </c>
      <c r="AH865" s="635" t="s">
        <v>408</v>
      </c>
      <c r="AL865" s="487" t="s">
        <v>15207</v>
      </c>
      <c r="AM865" s="477" t="s">
        <v>70</v>
      </c>
      <c r="AN865" s="637">
        <v>100</v>
      </c>
      <c r="AO865" s="478">
        <v>-1442</v>
      </c>
      <c r="AP865" s="463">
        <v>-1442</v>
      </c>
      <c r="AQ865" s="479">
        <v>0</v>
      </c>
      <c r="AR865" s="476" t="s">
        <v>15208</v>
      </c>
      <c r="BA865" s="313" t="s">
        <v>4528</v>
      </c>
    </row>
    <row r="866" spans="2:53" ht="16.5" customHeight="1">
      <c r="B866" s="367" t="s">
        <v>10357</v>
      </c>
      <c r="C866" s="351" t="s">
        <v>10358</v>
      </c>
      <c r="D866" s="353">
        <v>-1443</v>
      </c>
      <c r="E866" s="352" t="s">
        <v>408</v>
      </c>
      <c r="F866" s="341">
        <v>85.67</v>
      </c>
      <c r="G866" s="355" t="s">
        <v>4641</v>
      </c>
      <c r="H866" s="356" t="s">
        <v>4285</v>
      </c>
      <c r="I866" s="354" t="s">
        <v>9189</v>
      </c>
      <c r="J866" s="340" t="s">
        <v>10307</v>
      </c>
      <c r="K866" s="339" t="s">
        <v>70</v>
      </c>
      <c r="L866" s="357">
        <v>14</v>
      </c>
      <c r="M866" s="358" t="s">
        <v>10308</v>
      </c>
      <c r="N866" s="359">
        <v>1000</v>
      </c>
      <c r="O866" s="360" t="s">
        <v>532</v>
      </c>
      <c r="P866" s="343" t="s">
        <v>532</v>
      </c>
      <c r="Q866" s="342" t="s">
        <v>2688</v>
      </c>
      <c r="R866" s="344">
        <v>20</v>
      </c>
      <c r="S866" s="345">
        <v>35</v>
      </c>
      <c r="T866" s="362">
        <v>25</v>
      </c>
      <c r="U866" s="361">
        <v>85.67</v>
      </c>
      <c r="V866" s="346">
        <v>122.37777721414724</v>
      </c>
      <c r="W866" s="348">
        <v>121.21212082782768</v>
      </c>
      <c r="X866" s="347" t="s">
        <v>18685</v>
      </c>
      <c r="Y866" s="357" t="s">
        <v>408</v>
      </c>
      <c r="Z866" s="365" t="s">
        <v>3017</v>
      </c>
      <c r="AA866" s="350">
        <v>195.56</v>
      </c>
      <c r="AB866" s="349" t="s">
        <v>2685</v>
      </c>
      <c r="AC866" s="350">
        <v>0</v>
      </c>
      <c r="AD866" s="349" t="s">
        <v>2685</v>
      </c>
      <c r="AE866" s="364">
        <v>0</v>
      </c>
      <c r="AF866" s="366">
        <v>15.587999999999999</v>
      </c>
      <c r="AG866" s="363">
        <v>0</v>
      </c>
      <c r="AH866" s="635" t="s">
        <v>9517</v>
      </c>
      <c r="AL866" s="487" t="s">
        <v>15195</v>
      </c>
      <c r="AM866" s="477" t="s">
        <v>70</v>
      </c>
      <c r="AN866" s="637">
        <v>100</v>
      </c>
      <c r="AO866" s="478">
        <v>-1443</v>
      </c>
      <c r="AP866" s="463">
        <v>-1443</v>
      </c>
      <c r="AQ866" s="479">
        <v>0</v>
      </c>
      <c r="AR866" s="476" t="s">
        <v>17236</v>
      </c>
      <c r="BA866" s="313" t="s">
        <v>4530</v>
      </c>
    </row>
    <row r="867" spans="2:53" ht="16.5" customHeight="1">
      <c r="B867" s="367" t="s">
        <v>10357</v>
      </c>
      <c r="C867" s="351" t="s">
        <v>10358</v>
      </c>
      <c r="D867" s="353">
        <v>-1444</v>
      </c>
      <c r="E867" s="352" t="s">
        <v>408</v>
      </c>
      <c r="F867" s="341">
        <v>85.66</v>
      </c>
      <c r="G867" s="355" t="s">
        <v>4535</v>
      </c>
      <c r="H867" s="356" t="s">
        <v>9920</v>
      </c>
      <c r="I867" s="354" t="s">
        <v>254</v>
      </c>
      <c r="J867" s="340" t="s">
        <v>10359</v>
      </c>
      <c r="K867" s="339" t="s">
        <v>70</v>
      </c>
      <c r="L867" s="357">
        <v>12</v>
      </c>
      <c r="M867" s="358" t="s">
        <v>10360</v>
      </c>
      <c r="N867" s="359">
        <v>1000</v>
      </c>
      <c r="O867" s="360" t="s">
        <v>532</v>
      </c>
      <c r="P867" s="343" t="s">
        <v>533</v>
      </c>
      <c r="Q867" s="342" t="s">
        <v>2688</v>
      </c>
      <c r="R867" s="344">
        <v>25</v>
      </c>
      <c r="S867" s="345">
        <v>35</v>
      </c>
      <c r="T867" s="362">
        <v>20</v>
      </c>
      <c r="U867" s="361">
        <v>85.66</v>
      </c>
      <c r="V867" s="346">
        <v>122.37423899807024</v>
      </c>
      <c r="W867" s="348">
        <v>121.20970840777517</v>
      </c>
      <c r="X867" s="347">
        <v>61.54</v>
      </c>
      <c r="Y867" s="357">
        <v>62.28</v>
      </c>
      <c r="Z867" s="365" t="s">
        <v>3017</v>
      </c>
      <c r="AA867" s="350">
        <v>196</v>
      </c>
      <c r="AB867" s="349" t="s">
        <v>2685</v>
      </c>
      <c r="AC867" s="350">
        <v>3</v>
      </c>
      <c r="AD867" s="349" t="s">
        <v>2685</v>
      </c>
      <c r="AE867" s="364">
        <v>0</v>
      </c>
      <c r="AF867" s="366">
        <v>0</v>
      </c>
      <c r="AG867" s="363">
        <v>0</v>
      </c>
      <c r="AH867" s="635" t="s">
        <v>408</v>
      </c>
      <c r="AL867" s="487" t="s">
        <v>15209</v>
      </c>
      <c r="AM867" s="477" t="s">
        <v>70</v>
      </c>
      <c r="AN867" s="637">
        <v>100</v>
      </c>
      <c r="AO867" s="478">
        <v>-1444</v>
      </c>
      <c r="AP867" s="463">
        <v>-1444</v>
      </c>
      <c r="AQ867" s="479">
        <v>0</v>
      </c>
      <c r="AR867" s="476" t="s">
        <v>15210</v>
      </c>
      <c r="BA867" s="313" t="s">
        <v>4534</v>
      </c>
    </row>
    <row r="868" spans="2:53" ht="16.5" customHeight="1">
      <c r="B868" s="367" t="s">
        <v>4421</v>
      </c>
      <c r="C868" s="351" t="s">
        <v>4422</v>
      </c>
      <c r="D868" s="353">
        <v>-1445</v>
      </c>
      <c r="E868" s="352" t="s">
        <v>408</v>
      </c>
      <c r="F868" s="341">
        <v>85.6</v>
      </c>
      <c r="G868" s="355" t="s">
        <v>10323</v>
      </c>
      <c r="H868" s="356" t="s">
        <v>10007</v>
      </c>
      <c r="I868" s="354" t="s">
        <v>236</v>
      </c>
      <c r="J868" s="340" t="s">
        <v>489</v>
      </c>
      <c r="K868" s="339" t="s">
        <v>71</v>
      </c>
      <c r="L868" s="357">
        <v>47</v>
      </c>
      <c r="M868" s="358" t="s">
        <v>10361</v>
      </c>
      <c r="N868" s="359">
        <v>1000</v>
      </c>
      <c r="O868" s="360" t="s">
        <v>532</v>
      </c>
      <c r="P868" s="343" t="s">
        <v>533</v>
      </c>
      <c r="Q868" s="342" t="s">
        <v>2688</v>
      </c>
      <c r="R868" s="344">
        <v>25</v>
      </c>
      <c r="S868" s="345">
        <v>35</v>
      </c>
      <c r="T868" s="362">
        <v>20</v>
      </c>
      <c r="U868" s="361">
        <v>85.6</v>
      </c>
      <c r="V868" s="346">
        <v>122.33622247692811</v>
      </c>
      <c r="W868" s="348">
        <v>121.18378805245099</v>
      </c>
      <c r="X868" s="347">
        <v>61.76</v>
      </c>
      <c r="Y868" s="357">
        <v>62.269999999999996</v>
      </c>
      <c r="Z868" s="365" t="s">
        <v>3017</v>
      </c>
      <c r="AA868" s="350">
        <v>194</v>
      </c>
      <c r="AB868" s="349" t="s">
        <v>2685</v>
      </c>
      <c r="AC868" s="350">
        <v>4</v>
      </c>
      <c r="AD868" s="349" t="s">
        <v>2685</v>
      </c>
      <c r="AE868" s="364">
        <v>0</v>
      </c>
      <c r="AF868" s="366">
        <v>0</v>
      </c>
      <c r="AG868" s="363">
        <v>0</v>
      </c>
      <c r="AH868" s="635" t="s">
        <v>408</v>
      </c>
      <c r="AL868" s="487" t="s">
        <v>15214</v>
      </c>
      <c r="AM868" s="477" t="s">
        <v>71</v>
      </c>
      <c r="AN868" s="637">
        <v>100</v>
      </c>
      <c r="AO868" s="478">
        <v>-1445</v>
      </c>
      <c r="AP868" s="463">
        <v>-701</v>
      </c>
      <c r="AQ868" s="479">
        <v>-744</v>
      </c>
      <c r="AR868" s="476" t="s">
        <v>17025</v>
      </c>
      <c r="BA868" s="313" t="s">
        <v>4536</v>
      </c>
    </row>
    <row r="869" spans="2:53" ht="16.5" customHeight="1">
      <c r="B869" s="367" t="s">
        <v>10362</v>
      </c>
      <c r="C869" s="351" t="s">
        <v>10363</v>
      </c>
      <c r="D869" s="353">
        <v>-1446</v>
      </c>
      <c r="E869" s="352" t="s">
        <v>408</v>
      </c>
      <c r="F869" s="341">
        <v>85.59</v>
      </c>
      <c r="G869" s="355" t="s">
        <v>18686</v>
      </c>
      <c r="H869" s="356" t="s">
        <v>10036</v>
      </c>
      <c r="I869" s="354" t="s">
        <v>254</v>
      </c>
      <c r="J869" s="340" t="s">
        <v>10365</v>
      </c>
      <c r="K869" s="339" t="s">
        <v>71</v>
      </c>
      <c r="L869" s="357">
        <v>17</v>
      </c>
      <c r="M869" s="358" t="s">
        <v>10366</v>
      </c>
      <c r="N869" s="359">
        <v>1000</v>
      </c>
      <c r="O869" s="360" t="s">
        <v>532</v>
      </c>
      <c r="P869" s="343" t="s">
        <v>533</v>
      </c>
      <c r="Q869" s="342" t="s">
        <v>2688</v>
      </c>
      <c r="R869" s="344">
        <v>35</v>
      </c>
      <c r="S869" s="345">
        <v>25</v>
      </c>
      <c r="T869" s="362">
        <v>20</v>
      </c>
      <c r="U869" s="361">
        <v>85.59</v>
      </c>
      <c r="V869" s="346">
        <v>122.32404166827855</v>
      </c>
      <c r="W869" s="348">
        <v>121.17548295564448</v>
      </c>
      <c r="X869" s="347">
        <v>61.76</v>
      </c>
      <c r="Y869" s="357">
        <v>62.26</v>
      </c>
      <c r="Z869" s="365" t="s">
        <v>3017</v>
      </c>
      <c r="AA869" s="350">
        <v>196</v>
      </c>
      <c r="AB869" s="349" t="s">
        <v>2685</v>
      </c>
      <c r="AC869" s="350">
        <v>3</v>
      </c>
      <c r="AD869" s="349" t="s">
        <v>2685</v>
      </c>
      <c r="AE869" s="364">
        <v>0</v>
      </c>
      <c r="AF869" s="366">
        <v>0</v>
      </c>
      <c r="AG869" s="363">
        <v>0</v>
      </c>
      <c r="AH869" s="635" t="s">
        <v>408</v>
      </c>
      <c r="AL869" s="487" t="s">
        <v>15216</v>
      </c>
      <c r="AM869" s="477" t="s">
        <v>71</v>
      </c>
      <c r="AN869" s="637">
        <v>100</v>
      </c>
      <c r="AO869" s="478">
        <v>-1446</v>
      </c>
      <c r="AP869" s="463">
        <v>-701</v>
      </c>
      <c r="AQ869" s="479">
        <v>-745</v>
      </c>
      <c r="AR869" s="476" t="s">
        <v>17026</v>
      </c>
      <c r="BA869" s="313" t="s">
        <v>4538</v>
      </c>
    </row>
    <row r="870" spans="2:53" ht="16.5" customHeight="1">
      <c r="B870" s="367" t="s">
        <v>10367</v>
      </c>
      <c r="C870" s="351" t="s">
        <v>10368</v>
      </c>
      <c r="D870" s="353">
        <v>-1447</v>
      </c>
      <c r="E870" s="352" t="s">
        <v>408</v>
      </c>
      <c r="F870" s="341">
        <v>85.58</v>
      </c>
      <c r="G870" s="355" t="s">
        <v>18686</v>
      </c>
      <c r="H870" s="356" t="s">
        <v>10013</v>
      </c>
      <c r="I870" s="354" t="s">
        <v>254</v>
      </c>
      <c r="J870" s="340" t="s">
        <v>10371</v>
      </c>
      <c r="K870" s="339" t="s">
        <v>71</v>
      </c>
      <c r="L870" s="357">
        <v>9</v>
      </c>
      <c r="M870" s="358" t="s">
        <v>10372</v>
      </c>
      <c r="N870" s="359">
        <v>1000</v>
      </c>
      <c r="O870" s="360" t="s">
        <v>532</v>
      </c>
      <c r="P870" s="343" t="s">
        <v>533</v>
      </c>
      <c r="Q870" s="342" t="s">
        <v>2688</v>
      </c>
      <c r="R870" s="344">
        <v>35</v>
      </c>
      <c r="S870" s="345">
        <v>25</v>
      </c>
      <c r="T870" s="362">
        <v>20</v>
      </c>
      <c r="U870" s="361">
        <v>85.58</v>
      </c>
      <c r="V870" s="346">
        <v>122.3221158733686</v>
      </c>
      <c r="W870" s="348">
        <v>121.17416991366042</v>
      </c>
      <c r="X870" s="347">
        <v>61.76</v>
      </c>
      <c r="Y870" s="357">
        <v>62.25</v>
      </c>
      <c r="Z870" s="365" t="s">
        <v>3017</v>
      </c>
      <c r="AA870" s="350">
        <v>196</v>
      </c>
      <c r="AB870" s="349" t="s">
        <v>2685</v>
      </c>
      <c r="AC870" s="350">
        <v>3</v>
      </c>
      <c r="AD870" s="349" t="s">
        <v>2685</v>
      </c>
      <c r="AE870" s="364">
        <v>0</v>
      </c>
      <c r="AF870" s="366">
        <v>0</v>
      </c>
      <c r="AG870" s="363">
        <v>0</v>
      </c>
      <c r="AH870" s="635" t="s">
        <v>408</v>
      </c>
      <c r="AL870" s="487" t="s">
        <v>15217</v>
      </c>
      <c r="AM870" s="477" t="s">
        <v>71</v>
      </c>
      <c r="AN870" s="637">
        <v>100</v>
      </c>
      <c r="AO870" s="478">
        <v>-1447</v>
      </c>
      <c r="AP870" s="463">
        <v>-702</v>
      </c>
      <c r="AQ870" s="479">
        <v>-745</v>
      </c>
      <c r="AR870" s="476" t="s">
        <v>17026</v>
      </c>
      <c r="BA870" s="313" t="s">
        <v>4541</v>
      </c>
    </row>
    <row r="871" spans="2:53" ht="16.5" customHeight="1">
      <c r="B871" s="367" t="s">
        <v>4424</v>
      </c>
      <c r="C871" s="351" t="s">
        <v>4425</v>
      </c>
      <c r="D871" s="353">
        <v>-1448</v>
      </c>
      <c r="E871" s="352" t="s">
        <v>408</v>
      </c>
      <c r="F871" s="341">
        <v>85.56</v>
      </c>
      <c r="G871" s="355" t="s">
        <v>10373</v>
      </c>
      <c r="H871" s="356" t="s">
        <v>10374</v>
      </c>
      <c r="I871" s="354" t="s">
        <v>254</v>
      </c>
      <c r="J871" s="340" t="s">
        <v>10375</v>
      </c>
      <c r="K871" s="339" t="s">
        <v>70</v>
      </c>
      <c r="L871" s="357">
        <v>78</v>
      </c>
      <c r="M871" s="358" t="s">
        <v>10376</v>
      </c>
      <c r="N871" s="359">
        <v>1000</v>
      </c>
      <c r="O871" s="360" t="s">
        <v>532</v>
      </c>
      <c r="P871" s="343" t="s">
        <v>533</v>
      </c>
      <c r="Q871" s="342" t="s">
        <v>2688</v>
      </c>
      <c r="R871" s="344">
        <v>25</v>
      </c>
      <c r="S871" s="345">
        <v>35</v>
      </c>
      <c r="T871" s="362">
        <v>25</v>
      </c>
      <c r="U871" s="361">
        <v>85.56</v>
      </c>
      <c r="V871" s="346">
        <v>122.30836446572474</v>
      </c>
      <c r="W871" s="348">
        <v>121.16479395390323</v>
      </c>
      <c r="X871" s="347">
        <v>61.51</v>
      </c>
      <c r="Y871" s="357">
        <v>62.25</v>
      </c>
      <c r="Z871" s="365" t="s">
        <v>3017</v>
      </c>
      <c r="AA871" s="350">
        <v>147</v>
      </c>
      <c r="AB871" s="349" t="s">
        <v>2685</v>
      </c>
      <c r="AC871" s="350">
        <v>3</v>
      </c>
      <c r="AD871" s="349" t="s">
        <v>2685</v>
      </c>
      <c r="AE871" s="364">
        <v>0</v>
      </c>
      <c r="AF871" s="366">
        <v>6.67</v>
      </c>
      <c r="AG871" s="363">
        <v>0</v>
      </c>
      <c r="AH871" s="635" t="s">
        <v>10377</v>
      </c>
      <c r="AL871" s="487" t="s">
        <v>15218</v>
      </c>
      <c r="AM871" s="477" t="s">
        <v>70</v>
      </c>
      <c r="AN871" s="637">
        <v>100</v>
      </c>
      <c r="AO871" s="478">
        <v>-1448</v>
      </c>
      <c r="AP871" s="463">
        <v>-1448</v>
      </c>
      <c r="AQ871" s="479">
        <v>0</v>
      </c>
      <c r="AR871" s="476" t="s">
        <v>15219</v>
      </c>
      <c r="BA871" s="313" t="s">
        <v>4546</v>
      </c>
    </row>
    <row r="872" spans="2:53" ht="16.5" customHeight="1">
      <c r="B872" s="367" t="s">
        <v>4424</v>
      </c>
      <c r="C872" s="351" t="s">
        <v>4425</v>
      </c>
      <c r="D872" s="353">
        <v>-1449</v>
      </c>
      <c r="E872" s="352" t="s">
        <v>10276</v>
      </c>
      <c r="F872" s="341">
        <v>85.55</v>
      </c>
      <c r="G872" s="355" t="s">
        <v>10830</v>
      </c>
      <c r="H872" s="356" t="s">
        <v>10469</v>
      </c>
      <c r="I872" s="354" t="s">
        <v>254</v>
      </c>
      <c r="J872" s="340" t="s">
        <v>10378</v>
      </c>
      <c r="K872" s="339" t="s">
        <v>71</v>
      </c>
      <c r="L872" s="357">
        <v>8</v>
      </c>
      <c r="M872" s="358" t="s">
        <v>10379</v>
      </c>
      <c r="N872" s="359">
        <v>1000</v>
      </c>
      <c r="O872" s="360" t="s">
        <v>532</v>
      </c>
      <c r="P872" s="343" t="s">
        <v>533</v>
      </c>
      <c r="Q872" s="342" t="s">
        <v>2688</v>
      </c>
      <c r="R872" s="344">
        <v>35</v>
      </c>
      <c r="S872" s="345">
        <v>25</v>
      </c>
      <c r="T872" s="362">
        <v>20</v>
      </c>
      <c r="U872" s="361">
        <v>85.55</v>
      </c>
      <c r="V872" s="346">
        <v>122.29708053953927</v>
      </c>
      <c r="W872" s="348">
        <v>121.15710036786768</v>
      </c>
      <c r="X872" s="347">
        <v>61.74</v>
      </c>
      <c r="Y872" s="357">
        <v>62.239999999999995</v>
      </c>
      <c r="Z872" s="365" t="s">
        <v>3017</v>
      </c>
      <c r="AA872" s="350">
        <v>196</v>
      </c>
      <c r="AB872" s="349" t="s">
        <v>2685</v>
      </c>
      <c r="AC872" s="350">
        <v>3</v>
      </c>
      <c r="AD872" s="349" t="s">
        <v>2685</v>
      </c>
      <c r="AE872" s="364">
        <v>0</v>
      </c>
      <c r="AF872" s="366">
        <v>0</v>
      </c>
      <c r="AG872" s="363">
        <v>0</v>
      </c>
      <c r="AH872" s="635" t="s">
        <v>408</v>
      </c>
      <c r="AL872" s="487" t="s">
        <v>15220</v>
      </c>
      <c r="AM872" s="477" t="s">
        <v>71</v>
      </c>
      <c r="AN872" s="637">
        <v>100</v>
      </c>
      <c r="AO872" s="478">
        <v>-1449</v>
      </c>
      <c r="AP872" s="463">
        <v>-702</v>
      </c>
      <c r="AQ872" s="479">
        <v>-747</v>
      </c>
      <c r="AR872" s="476" t="s">
        <v>17027</v>
      </c>
      <c r="BA872" s="313" t="s">
        <v>4547</v>
      </c>
    </row>
    <row r="873" spans="2:53" ht="16.5" customHeight="1">
      <c r="B873" s="367" t="s">
        <v>4429</v>
      </c>
      <c r="C873" s="351" t="s">
        <v>4430</v>
      </c>
      <c r="D873" s="353">
        <v>-1450</v>
      </c>
      <c r="E873" s="352" t="s">
        <v>10364</v>
      </c>
      <c r="F873" s="341">
        <v>85.54</v>
      </c>
      <c r="G873" s="355" t="s">
        <v>4603</v>
      </c>
      <c r="H873" s="356" t="s">
        <v>10455</v>
      </c>
      <c r="I873" s="354" t="s">
        <v>236</v>
      </c>
      <c r="J873" s="340" t="s">
        <v>8654</v>
      </c>
      <c r="K873" s="339" t="s">
        <v>71</v>
      </c>
      <c r="L873" s="357">
        <v>18</v>
      </c>
      <c r="M873" s="358" t="s">
        <v>10380</v>
      </c>
      <c r="N873" s="359">
        <v>1000</v>
      </c>
      <c r="O873" s="360" t="s">
        <v>532</v>
      </c>
      <c r="P873" s="343" t="s">
        <v>533</v>
      </c>
      <c r="Q873" s="342" t="s">
        <v>2688</v>
      </c>
      <c r="R873" s="344">
        <v>35</v>
      </c>
      <c r="S873" s="345">
        <v>25</v>
      </c>
      <c r="T873" s="362">
        <v>20</v>
      </c>
      <c r="U873" s="361">
        <v>85.54</v>
      </c>
      <c r="V873" s="346">
        <v>122.29157826836797</v>
      </c>
      <c r="W873" s="348">
        <v>121.1533488193418</v>
      </c>
      <c r="X873" s="347">
        <v>61.74</v>
      </c>
      <c r="Y873" s="357">
        <v>62.25</v>
      </c>
      <c r="Z873" s="365" t="s">
        <v>3017</v>
      </c>
      <c r="AA873" s="350">
        <v>194</v>
      </c>
      <c r="AB873" s="349" t="s">
        <v>2685</v>
      </c>
      <c r="AC873" s="350">
        <v>4</v>
      </c>
      <c r="AD873" s="349" t="s">
        <v>2685</v>
      </c>
      <c r="AE873" s="364">
        <v>0</v>
      </c>
      <c r="AF873" s="366">
        <v>0</v>
      </c>
      <c r="AG873" s="363">
        <v>0</v>
      </c>
      <c r="AH873" s="635" t="s">
        <v>408</v>
      </c>
      <c r="AL873" s="487" t="s">
        <v>15221</v>
      </c>
      <c r="AM873" s="477" t="s">
        <v>71</v>
      </c>
      <c r="AN873" s="637">
        <v>100</v>
      </c>
      <c r="AO873" s="478">
        <v>-1450</v>
      </c>
      <c r="AP873" s="463">
        <v>-703</v>
      </c>
      <c r="AQ873" s="479">
        <v>-747</v>
      </c>
      <c r="AR873" s="476" t="s">
        <v>15254</v>
      </c>
      <c r="BA873" s="313" t="s">
        <v>4549</v>
      </c>
    </row>
    <row r="874" spans="2:53" ht="16.5" customHeight="1">
      <c r="B874" s="367" t="s">
        <v>4429</v>
      </c>
      <c r="C874" s="351" t="s">
        <v>4430</v>
      </c>
      <c r="D874" s="353">
        <v>-1451</v>
      </c>
      <c r="E874" s="352" t="s">
        <v>10369</v>
      </c>
      <c r="F874" s="341">
        <v>85.53</v>
      </c>
      <c r="G874" s="355" t="s">
        <v>10381</v>
      </c>
      <c r="H874" s="356" t="s">
        <v>4292</v>
      </c>
      <c r="I874" s="354" t="s">
        <v>209</v>
      </c>
      <c r="J874" s="340" t="s">
        <v>10382</v>
      </c>
      <c r="K874" s="339" t="s">
        <v>70</v>
      </c>
      <c r="L874" s="357">
        <v>32</v>
      </c>
      <c r="M874" s="358" t="s">
        <v>4627</v>
      </c>
      <c r="N874" s="359">
        <v>1000</v>
      </c>
      <c r="O874" s="360" t="s">
        <v>530</v>
      </c>
      <c r="P874" s="343" t="s">
        <v>530</v>
      </c>
      <c r="Q874" s="342" t="s">
        <v>2688</v>
      </c>
      <c r="R874" s="344">
        <v>20</v>
      </c>
      <c r="S874" s="345">
        <v>30</v>
      </c>
      <c r="T874" s="362">
        <v>30</v>
      </c>
      <c r="U874" s="361">
        <v>85.53</v>
      </c>
      <c r="V874" s="346">
        <v>122.28701055922268</v>
      </c>
      <c r="W874" s="348">
        <v>121.15023447219728</v>
      </c>
      <c r="X874" s="347">
        <v>61.5</v>
      </c>
      <c r="Y874" s="357" t="s">
        <v>408</v>
      </c>
      <c r="Z874" s="365" t="s">
        <v>3017</v>
      </c>
      <c r="AA874" s="350">
        <v>198</v>
      </c>
      <c r="AB874" s="349" t="s">
        <v>2685</v>
      </c>
      <c r="AC874" s="350">
        <v>10</v>
      </c>
      <c r="AD874" s="349" t="s">
        <v>2685</v>
      </c>
      <c r="AE874" s="364">
        <v>0</v>
      </c>
      <c r="AF874" s="366">
        <v>0</v>
      </c>
      <c r="AG874" s="363">
        <v>0</v>
      </c>
      <c r="AH874" s="635" t="s">
        <v>408</v>
      </c>
      <c r="AL874" s="487" t="s">
        <v>15222</v>
      </c>
      <c r="AM874" s="477" t="s">
        <v>70</v>
      </c>
      <c r="AN874" s="637">
        <v>100</v>
      </c>
      <c r="AO874" s="478">
        <v>-1451</v>
      </c>
      <c r="AP874" s="463">
        <v>-1451</v>
      </c>
      <c r="AQ874" s="479">
        <v>0</v>
      </c>
      <c r="AR874" s="476" t="s">
        <v>15223</v>
      </c>
      <c r="BA874" s="313" t="s">
        <v>4553</v>
      </c>
    </row>
    <row r="875" spans="2:53" ht="16.5" customHeight="1">
      <c r="B875" s="367" t="s">
        <v>4433</v>
      </c>
      <c r="C875" s="351" t="s">
        <v>4434</v>
      </c>
      <c r="D875" s="353">
        <v>-1452</v>
      </c>
      <c r="E875" s="352" t="s">
        <v>408</v>
      </c>
      <c r="F875" s="341">
        <v>85.52</v>
      </c>
      <c r="G875" s="355" t="s">
        <v>10383</v>
      </c>
      <c r="H875" s="356" t="s">
        <v>18687</v>
      </c>
      <c r="I875" s="354" t="s">
        <v>221</v>
      </c>
      <c r="J875" s="340" t="s">
        <v>10384</v>
      </c>
      <c r="K875" s="339" t="s">
        <v>70</v>
      </c>
      <c r="L875" s="357">
        <v>24</v>
      </c>
      <c r="M875" s="358" t="s">
        <v>10385</v>
      </c>
      <c r="N875" s="359">
        <v>1000</v>
      </c>
      <c r="O875" s="360" t="s">
        <v>532</v>
      </c>
      <c r="P875" s="343" t="s">
        <v>533</v>
      </c>
      <c r="Q875" s="342" t="s">
        <v>2688</v>
      </c>
      <c r="R875" s="344">
        <v>20</v>
      </c>
      <c r="S875" s="345">
        <v>35</v>
      </c>
      <c r="T875" s="362">
        <v>30</v>
      </c>
      <c r="U875" s="361">
        <v>85.52</v>
      </c>
      <c r="V875" s="346">
        <v>122.28239403713305</v>
      </c>
      <c r="W875" s="348">
        <v>121.14708684349981</v>
      </c>
      <c r="X875" s="347">
        <v>61.5</v>
      </c>
      <c r="Y875" s="357">
        <v>62.16</v>
      </c>
      <c r="Z875" s="365" t="s">
        <v>3017</v>
      </c>
      <c r="AA875" s="350">
        <v>144</v>
      </c>
      <c r="AB875" s="349" t="s">
        <v>2685</v>
      </c>
      <c r="AC875" s="350">
        <v>0</v>
      </c>
      <c r="AD875" s="349" t="s">
        <v>2685</v>
      </c>
      <c r="AE875" s="364">
        <v>0</v>
      </c>
      <c r="AF875" s="366">
        <v>17.071000000000002</v>
      </c>
      <c r="AG875" s="363">
        <v>0</v>
      </c>
      <c r="AH875" s="635" t="s">
        <v>7882</v>
      </c>
      <c r="AL875" s="487" t="s">
        <v>15224</v>
      </c>
      <c r="AM875" s="477" t="s">
        <v>70</v>
      </c>
      <c r="AN875" s="637">
        <v>100</v>
      </c>
      <c r="AO875" s="478">
        <v>-1452</v>
      </c>
      <c r="AP875" s="463">
        <v>-1452</v>
      </c>
      <c r="AQ875" s="479">
        <v>0</v>
      </c>
      <c r="AR875" s="476" t="s">
        <v>15223</v>
      </c>
      <c r="BA875" s="313" t="s">
        <v>4556</v>
      </c>
    </row>
    <row r="876" spans="2:53" ht="16.5" customHeight="1">
      <c r="B876" s="367" t="s">
        <v>4433</v>
      </c>
      <c r="C876" s="351" t="s">
        <v>4434</v>
      </c>
      <c r="D876" s="353">
        <v>-1453</v>
      </c>
      <c r="E876" s="352" t="s">
        <v>4640</v>
      </c>
      <c r="F876" s="341">
        <v>85.52</v>
      </c>
      <c r="G876" s="355" t="s">
        <v>10386</v>
      </c>
      <c r="H876" s="356" t="s">
        <v>18688</v>
      </c>
      <c r="I876" s="354" t="s">
        <v>238</v>
      </c>
      <c r="J876" s="340" t="s">
        <v>8157</v>
      </c>
      <c r="K876" s="339" t="s">
        <v>71</v>
      </c>
      <c r="L876" s="357">
        <v>33</v>
      </c>
      <c r="M876" s="358" t="s">
        <v>10387</v>
      </c>
      <c r="N876" s="359">
        <v>1000</v>
      </c>
      <c r="O876" s="360" t="s">
        <v>532</v>
      </c>
      <c r="P876" s="343" t="s">
        <v>533</v>
      </c>
      <c r="Q876" s="342" t="s">
        <v>2688</v>
      </c>
      <c r="R876" s="344">
        <v>25</v>
      </c>
      <c r="S876" s="345">
        <v>35</v>
      </c>
      <c r="T876" s="362">
        <v>30</v>
      </c>
      <c r="U876" s="361">
        <v>85.52</v>
      </c>
      <c r="V876" s="346">
        <v>122.27851518236679</v>
      </c>
      <c r="W876" s="348">
        <v>121.14444216979554</v>
      </c>
      <c r="X876" s="347">
        <v>61.49</v>
      </c>
      <c r="Y876" s="357">
        <v>62.239999999999995</v>
      </c>
      <c r="Z876" s="365" t="s">
        <v>3017</v>
      </c>
      <c r="AA876" s="350">
        <v>98</v>
      </c>
      <c r="AB876" s="349" t="s">
        <v>2685</v>
      </c>
      <c r="AC876" s="350">
        <v>0</v>
      </c>
      <c r="AD876" s="349" t="s">
        <v>2685</v>
      </c>
      <c r="AE876" s="364">
        <v>0</v>
      </c>
      <c r="AF876" s="366">
        <v>17.088000000000001</v>
      </c>
      <c r="AG876" s="363">
        <v>0</v>
      </c>
      <c r="AH876" s="635" t="s">
        <v>7882</v>
      </c>
      <c r="AL876" s="487" t="s">
        <v>15225</v>
      </c>
      <c r="AM876" s="477" t="s">
        <v>71</v>
      </c>
      <c r="AN876" s="637">
        <v>100</v>
      </c>
      <c r="AO876" s="478">
        <v>-1453</v>
      </c>
      <c r="AP876" s="463">
        <v>-702</v>
      </c>
      <c r="AQ876" s="479">
        <v>-751</v>
      </c>
      <c r="AR876" s="476" t="s">
        <v>17028</v>
      </c>
      <c r="BA876" s="313" t="s">
        <v>4560</v>
      </c>
    </row>
    <row r="877" spans="2:53" ht="16.5" customHeight="1">
      <c r="B877" s="367" t="s">
        <v>4437</v>
      </c>
      <c r="C877" s="351" t="s">
        <v>4438</v>
      </c>
      <c r="D877" s="353">
        <v>-1454</v>
      </c>
      <c r="E877" s="352" t="s">
        <v>10276</v>
      </c>
      <c r="F877" s="341">
        <v>85.5</v>
      </c>
      <c r="G877" s="355" t="s">
        <v>4643</v>
      </c>
      <c r="H877" s="356" t="s">
        <v>10388</v>
      </c>
      <c r="I877" s="354" t="s">
        <v>195</v>
      </c>
      <c r="J877" s="340" t="s">
        <v>8633</v>
      </c>
      <c r="K877" s="339" t="s">
        <v>70</v>
      </c>
      <c r="L877" s="357">
        <v>82</v>
      </c>
      <c r="M877" s="358" t="s">
        <v>10389</v>
      </c>
      <c r="N877" s="359">
        <v>100</v>
      </c>
      <c r="O877" s="360" t="s">
        <v>454</v>
      </c>
      <c r="P877" s="343" t="s">
        <v>454</v>
      </c>
      <c r="Q877" s="342" t="s">
        <v>2738</v>
      </c>
      <c r="R877" s="344">
        <v>25</v>
      </c>
      <c r="S877" s="345">
        <v>35</v>
      </c>
      <c r="T877" s="362">
        <v>20</v>
      </c>
      <c r="U877" s="361">
        <v>85.5</v>
      </c>
      <c r="V877" s="346">
        <v>122.26666666666667</v>
      </c>
      <c r="W877" s="348">
        <v>121.13636363636364</v>
      </c>
      <c r="X877" s="347">
        <v>61.48</v>
      </c>
      <c r="Y877" s="357" t="s">
        <v>408</v>
      </c>
      <c r="Z877" s="365" t="s">
        <v>3017</v>
      </c>
      <c r="AA877" s="350">
        <v>19</v>
      </c>
      <c r="AB877" s="349" t="s">
        <v>2685</v>
      </c>
      <c r="AC877" s="350">
        <v>0</v>
      </c>
      <c r="AD877" s="349" t="s">
        <v>2685</v>
      </c>
      <c r="AE877" s="364">
        <v>0</v>
      </c>
      <c r="AF877" s="366">
        <v>0</v>
      </c>
      <c r="AG877" s="363">
        <v>0</v>
      </c>
      <c r="AH877" s="635" t="s">
        <v>408</v>
      </c>
      <c r="AL877" s="487" t="s">
        <v>15226</v>
      </c>
      <c r="AM877" s="477" t="s">
        <v>70</v>
      </c>
      <c r="AN877" s="637">
        <v>100</v>
      </c>
      <c r="AO877" s="478">
        <v>-1454</v>
      </c>
      <c r="AP877" s="463">
        <v>-1454</v>
      </c>
      <c r="AQ877" s="479">
        <v>0</v>
      </c>
      <c r="AR877" s="476" t="s">
        <v>17237</v>
      </c>
      <c r="BA877" s="313" t="s">
        <v>4565</v>
      </c>
    </row>
    <row r="878" spans="2:53" ht="16.5" customHeight="1">
      <c r="B878" s="367" t="s">
        <v>10390</v>
      </c>
      <c r="C878" s="351" t="s">
        <v>10391</v>
      </c>
      <c r="D878" s="353">
        <v>-1455</v>
      </c>
      <c r="E878" s="352" t="s">
        <v>408</v>
      </c>
      <c r="F878" s="341">
        <v>85.49</v>
      </c>
      <c r="G878" s="355" t="s">
        <v>18689</v>
      </c>
      <c r="H878" s="356" t="s">
        <v>10028</v>
      </c>
      <c r="I878" s="354" t="s">
        <v>254</v>
      </c>
      <c r="J878" s="340" t="s">
        <v>491</v>
      </c>
      <c r="K878" s="339" t="s">
        <v>10392</v>
      </c>
      <c r="L878" s="357">
        <v>25</v>
      </c>
      <c r="M878" s="358" t="s">
        <v>10393</v>
      </c>
      <c r="N878" s="359">
        <v>1000</v>
      </c>
      <c r="O878" s="360" t="s">
        <v>532</v>
      </c>
      <c r="P878" s="343" t="s">
        <v>533</v>
      </c>
      <c r="Q878" s="342" t="s">
        <v>2688</v>
      </c>
      <c r="R878" s="344">
        <v>30</v>
      </c>
      <c r="S878" s="345">
        <v>30</v>
      </c>
      <c r="T878" s="362">
        <v>20</v>
      </c>
      <c r="U878" s="361">
        <v>85.49</v>
      </c>
      <c r="V878" s="346">
        <v>122.25795138524623</v>
      </c>
      <c r="W878" s="348">
        <v>121.13042139903152</v>
      </c>
      <c r="X878" s="347">
        <v>61.72</v>
      </c>
      <c r="Y878" s="357">
        <v>62.22</v>
      </c>
      <c r="Z878" s="365" t="s">
        <v>3017</v>
      </c>
      <c r="AA878" s="350">
        <v>196</v>
      </c>
      <c r="AB878" s="349" t="s">
        <v>2685</v>
      </c>
      <c r="AC878" s="350">
        <v>3</v>
      </c>
      <c r="AD878" s="349" t="s">
        <v>2685</v>
      </c>
      <c r="AE878" s="364">
        <v>0</v>
      </c>
      <c r="AF878" s="366">
        <v>0</v>
      </c>
      <c r="AG878" s="363">
        <v>0</v>
      </c>
      <c r="AH878" s="635" t="s">
        <v>408</v>
      </c>
      <c r="AL878" s="487" t="s">
        <v>15227</v>
      </c>
      <c r="AM878" s="477" t="s">
        <v>10392</v>
      </c>
      <c r="AN878" s="637">
        <v>100</v>
      </c>
      <c r="AO878" s="478">
        <v>-1455</v>
      </c>
      <c r="AP878" s="463">
        <v>-705</v>
      </c>
      <c r="AQ878" s="479">
        <v>-750</v>
      </c>
      <c r="AR878" s="476" t="s">
        <v>17029</v>
      </c>
      <c r="BA878" s="313" t="s">
        <v>4567</v>
      </c>
    </row>
    <row r="879" spans="2:53" ht="16.5" customHeight="1">
      <c r="B879" s="367" t="s">
        <v>4445</v>
      </c>
      <c r="C879" s="351" t="s">
        <v>4446</v>
      </c>
      <c r="D879" s="353">
        <v>-1456</v>
      </c>
      <c r="E879" s="352" t="s">
        <v>408</v>
      </c>
      <c r="F879" s="341">
        <v>85.47</v>
      </c>
      <c r="G879" s="355" t="s">
        <v>10394</v>
      </c>
      <c r="H879" s="356" t="s">
        <v>4300</v>
      </c>
      <c r="I879" s="354" t="s">
        <v>238</v>
      </c>
      <c r="J879" s="340" t="s">
        <v>10395</v>
      </c>
      <c r="K879" s="339" t="s">
        <v>70</v>
      </c>
      <c r="L879" s="357">
        <v>10</v>
      </c>
      <c r="M879" s="358" t="s">
        <v>10396</v>
      </c>
      <c r="N879" s="359">
        <v>1000</v>
      </c>
      <c r="O879" s="360" t="s">
        <v>532</v>
      </c>
      <c r="P879" s="343" t="s">
        <v>533</v>
      </c>
      <c r="Q879" s="342" t="s">
        <v>2688</v>
      </c>
      <c r="R879" s="344">
        <v>25</v>
      </c>
      <c r="S879" s="345">
        <v>35</v>
      </c>
      <c r="T879" s="362">
        <v>30</v>
      </c>
      <c r="U879" s="361">
        <v>85.47</v>
      </c>
      <c r="V879" s="346">
        <v>122.24406526214388</v>
      </c>
      <c r="W879" s="348">
        <v>121.12095358782537</v>
      </c>
      <c r="X879" s="347">
        <v>61.47</v>
      </c>
      <c r="Y879" s="357">
        <v>62.22</v>
      </c>
      <c r="Z879" s="365" t="s">
        <v>3017</v>
      </c>
      <c r="AA879" s="350">
        <v>98</v>
      </c>
      <c r="AB879" s="349" t="s">
        <v>2685</v>
      </c>
      <c r="AC879" s="350">
        <v>0</v>
      </c>
      <c r="AD879" s="349" t="s">
        <v>2685</v>
      </c>
      <c r="AE879" s="364">
        <v>0</v>
      </c>
      <c r="AF879" s="366">
        <v>17.084</v>
      </c>
      <c r="AG879" s="363">
        <v>0</v>
      </c>
      <c r="AH879" s="635" t="s">
        <v>7882</v>
      </c>
      <c r="AL879" s="487" t="s">
        <v>15229</v>
      </c>
      <c r="AM879" s="477" t="s">
        <v>70</v>
      </c>
      <c r="AN879" s="637">
        <v>100</v>
      </c>
      <c r="AO879" s="478">
        <v>-1456</v>
      </c>
      <c r="AP879" s="463">
        <v>-1456</v>
      </c>
      <c r="AQ879" s="479">
        <v>0</v>
      </c>
      <c r="AR879" s="476" t="s">
        <v>15230</v>
      </c>
      <c r="BA879" s="313" t="s">
        <v>4569</v>
      </c>
    </row>
    <row r="880" spans="2:53" ht="16.5" customHeight="1">
      <c r="B880" s="367" t="s">
        <v>4441</v>
      </c>
      <c r="C880" s="351" t="s">
        <v>4442</v>
      </c>
      <c r="D880" s="353">
        <v>-1457</v>
      </c>
      <c r="E880" s="352" t="s">
        <v>408</v>
      </c>
      <c r="F880" s="341">
        <v>85.47</v>
      </c>
      <c r="G880" s="355" t="s">
        <v>10397</v>
      </c>
      <c r="H880" s="356" t="s">
        <v>4291</v>
      </c>
      <c r="I880" s="354" t="s">
        <v>237</v>
      </c>
      <c r="J880" s="340" t="s">
        <v>10398</v>
      </c>
      <c r="K880" s="339" t="s">
        <v>70</v>
      </c>
      <c r="L880" s="357">
        <v>5</v>
      </c>
      <c r="M880" s="358" t="s">
        <v>10399</v>
      </c>
      <c r="N880" s="359">
        <v>1000</v>
      </c>
      <c r="O880" s="360" t="s">
        <v>530</v>
      </c>
      <c r="P880" s="343" t="s">
        <v>530</v>
      </c>
      <c r="Q880" s="342" t="s">
        <v>2688</v>
      </c>
      <c r="R880" s="344">
        <v>20</v>
      </c>
      <c r="S880" s="345">
        <v>30</v>
      </c>
      <c r="T880" s="362">
        <v>30</v>
      </c>
      <c r="U880" s="361">
        <v>85.47</v>
      </c>
      <c r="V880" s="346">
        <v>122.2494246702859</v>
      </c>
      <c r="W880" s="348">
        <v>121.12460772974039</v>
      </c>
      <c r="X880" s="347">
        <v>61.48</v>
      </c>
      <c r="Y880" s="357" t="s">
        <v>408</v>
      </c>
      <c r="Z880" s="365" t="s">
        <v>3017</v>
      </c>
      <c r="AA880" s="350">
        <v>196</v>
      </c>
      <c r="AB880" s="349" t="s">
        <v>2685</v>
      </c>
      <c r="AC880" s="350">
        <v>0</v>
      </c>
      <c r="AD880" s="349" t="s">
        <v>2685</v>
      </c>
      <c r="AE880" s="364">
        <v>0</v>
      </c>
      <c r="AF880" s="366">
        <v>10.984</v>
      </c>
      <c r="AG880" s="363">
        <v>0</v>
      </c>
      <c r="AH880" s="635" t="s">
        <v>9931</v>
      </c>
      <c r="AL880" s="487" t="s">
        <v>15231</v>
      </c>
      <c r="AM880" s="477" t="s">
        <v>70</v>
      </c>
      <c r="AN880" s="637">
        <v>100</v>
      </c>
      <c r="AO880" s="478">
        <v>-1457</v>
      </c>
      <c r="AP880" s="463">
        <v>-1457</v>
      </c>
      <c r="AQ880" s="479">
        <v>0</v>
      </c>
      <c r="AR880" s="476" t="s">
        <v>15232</v>
      </c>
      <c r="BA880" s="313" t="s">
        <v>4570</v>
      </c>
    </row>
    <row r="881" spans="2:53" ht="16.5" customHeight="1">
      <c r="B881" s="367" t="s">
        <v>10400</v>
      </c>
      <c r="C881" s="351" t="s">
        <v>10401</v>
      </c>
      <c r="D881" s="353">
        <v>-1458</v>
      </c>
      <c r="E881" s="352" t="s">
        <v>408</v>
      </c>
      <c r="F881" s="341">
        <v>85.47</v>
      </c>
      <c r="G881" s="355" t="s">
        <v>10402</v>
      </c>
      <c r="H881" s="356" t="s">
        <v>10089</v>
      </c>
      <c r="I881" s="354" t="s">
        <v>254</v>
      </c>
      <c r="J881" s="340" t="s">
        <v>7965</v>
      </c>
      <c r="K881" s="339" t="s">
        <v>71</v>
      </c>
      <c r="L881" s="357">
        <v>303</v>
      </c>
      <c r="M881" s="358" t="s">
        <v>10403</v>
      </c>
      <c r="N881" s="359">
        <v>1000</v>
      </c>
      <c r="O881" s="360" t="s">
        <v>532</v>
      </c>
      <c r="P881" s="343" t="s">
        <v>533</v>
      </c>
      <c r="Q881" s="342" t="s">
        <v>2688</v>
      </c>
      <c r="R881" s="344">
        <v>30</v>
      </c>
      <c r="S881" s="345">
        <v>30</v>
      </c>
      <c r="T881" s="362">
        <v>25</v>
      </c>
      <c r="U881" s="361">
        <v>85.47</v>
      </c>
      <c r="V881" s="346">
        <v>122.24698187001191</v>
      </c>
      <c r="W881" s="348">
        <v>121.12294218409903</v>
      </c>
      <c r="X881" s="347">
        <v>61.48</v>
      </c>
      <c r="Y881" s="357">
        <v>62.21</v>
      </c>
      <c r="Z881" s="365" t="s">
        <v>3017</v>
      </c>
      <c r="AA881" s="350">
        <v>147</v>
      </c>
      <c r="AB881" s="349" t="s">
        <v>2685</v>
      </c>
      <c r="AC881" s="350">
        <v>3</v>
      </c>
      <c r="AD881" s="349" t="s">
        <v>2685</v>
      </c>
      <c r="AE881" s="364">
        <v>0</v>
      </c>
      <c r="AF881" s="366">
        <v>0</v>
      </c>
      <c r="AG881" s="363">
        <v>0</v>
      </c>
      <c r="AH881" s="635" t="s">
        <v>408</v>
      </c>
      <c r="AL881" s="487" t="s">
        <v>15233</v>
      </c>
      <c r="AM881" s="477" t="s">
        <v>71</v>
      </c>
      <c r="AN881" s="637">
        <v>100</v>
      </c>
      <c r="AO881" s="478">
        <v>-1458</v>
      </c>
      <c r="AP881" s="463">
        <v>-703</v>
      </c>
      <c r="AQ881" s="479">
        <v>-755</v>
      </c>
      <c r="AR881" s="476" t="s">
        <v>17030</v>
      </c>
      <c r="BA881" s="313" t="s">
        <v>4575</v>
      </c>
    </row>
    <row r="882" spans="2:53" ht="16.5" customHeight="1">
      <c r="B882" s="367" t="s">
        <v>4445</v>
      </c>
      <c r="C882" s="351" t="s">
        <v>4446</v>
      </c>
      <c r="D882" s="353">
        <v>-1459</v>
      </c>
      <c r="E882" s="352" t="s">
        <v>4647</v>
      </c>
      <c r="F882" s="341">
        <v>85.46</v>
      </c>
      <c r="G882" s="355" t="s">
        <v>10404</v>
      </c>
      <c r="H882" s="356" t="s">
        <v>4302</v>
      </c>
      <c r="I882" s="354" t="s">
        <v>221</v>
      </c>
      <c r="J882" s="340" t="s">
        <v>10405</v>
      </c>
      <c r="K882" s="339" t="s">
        <v>70</v>
      </c>
      <c r="L882" s="357">
        <v>7</v>
      </c>
      <c r="M882" s="358" t="s">
        <v>10406</v>
      </c>
      <c r="N882" s="359">
        <v>1000</v>
      </c>
      <c r="O882" s="360" t="s">
        <v>532</v>
      </c>
      <c r="P882" s="343" t="s">
        <v>533</v>
      </c>
      <c r="Q882" s="342" t="s">
        <v>2688</v>
      </c>
      <c r="R882" s="344">
        <v>20</v>
      </c>
      <c r="S882" s="345">
        <v>35</v>
      </c>
      <c r="T882" s="362">
        <v>30</v>
      </c>
      <c r="U882" s="361">
        <v>85.46</v>
      </c>
      <c r="V882" s="346">
        <v>122.23756066691524</v>
      </c>
      <c r="W882" s="348">
        <v>121.11651863653313</v>
      </c>
      <c r="X882" s="347">
        <v>61.47</v>
      </c>
      <c r="Y882" s="357">
        <v>62.14</v>
      </c>
      <c r="Z882" s="365" t="s">
        <v>3017</v>
      </c>
      <c r="AA882" s="350">
        <v>144</v>
      </c>
      <c r="AB882" s="349" t="s">
        <v>2685</v>
      </c>
      <c r="AC882" s="350">
        <v>0</v>
      </c>
      <c r="AD882" s="349" t="s">
        <v>2685</v>
      </c>
      <c r="AE882" s="364">
        <v>0</v>
      </c>
      <c r="AF882" s="366">
        <v>17.065999999999999</v>
      </c>
      <c r="AG882" s="363">
        <v>0</v>
      </c>
      <c r="AH882" s="635" t="s">
        <v>7882</v>
      </c>
      <c r="AL882" s="487" t="s">
        <v>15234</v>
      </c>
      <c r="AM882" s="477" t="s">
        <v>70</v>
      </c>
      <c r="AN882" s="637">
        <v>100</v>
      </c>
      <c r="AO882" s="478">
        <v>-1459</v>
      </c>
      <c r="AP882" s="463">
        <v>-1459</v>
      </c>
      <c r="AQ882" s="479">
        <v>0</v>
      </c>
      <c r="AR882" s="476" t="s">
        <v>15235</v>
      </c>
      <c r="BA882" s="313" t="s">
        <v>4577</v>
      </c>
    </row>
    <row r="883" spans="2:53" ht="16.5" customHeight="1">
      <c r="B883" s="367" t="s">
        <v>4452</v>
      </c>
      <c r="C883" s="351" t="s">
        <v>4453</v>
      </c>
      <c r="D883" s="353">
        <v>-1460</v>
      </c>
      <c r="E883" s="352" t="s">
        <v>408</v>
      </c>
      <c r="F883" s="341">
        <v>85.44</v>
      </c>
      <c r="G883" s="355" t="s">
        <v>10407</v>
      </c>
      <c r="H883" s="356" t="s">
        <v>4311</v>
      </c>
      <c r="I883" s="354" t="s">
        <v>236</v>
      </c>
      <c r="J883" s="340" t="s">
        <v>8418</v>
      </c>
      <c r="K883" s="339" t="s">
        <v>70</v>
      </c>
      <c r="L883" s="357">
        <v>26</v>
      </c>
      <c r="M883" s="358" t="s">
        <v>10408</v>
      </c>
      <c r="N883" s="359">
        <v>1000</v>
      </c>
      <c r="O883" s="360" t="s">
        <v>532</v>
      </c>
      <c r="P883" s="343" t="s">
        <v>533</v>
      </c>
      <c r="Q883" s="342" t="s">
        <v>2688</v>
      </c>
      <c r="R883" s="344">
        <v>20</v>
      </c>
      <c r="S883" s="345">
        <v>35</v>
      </c>
      <c r="T883" s="362">
        <v>25</v>
      </c>
      <c r="U883" s="361">
        <v>85.44</v>
      </c>
      <c r="V883" s="346">
        <v>122.22760740872016</v>
      </c>
      <c r="W883" s="348">
        <v>121.10973232412738</v>
      </c>
      <c r="X883" s="347">
        <v>61.47</v>
      </c>
      <c r="Y883" s="357">
        <v>62.21</v>
      </c>
      <c r="Z883" s="365" t="s">
        <v>3017</v>
      </c>
      <c r="AA883" s="350">
        <v>194</v>
      </c>
      <c r="AB883" s="349" t="s">
        <v>2685</v>
      </c>
      <c r="AC883" s="350">
        <v>4</v>
      </c>
      <c r="AD883" s="349" t="s">
        <v>2685</v>
      </c>
      <c r="AE883" s="364">
        <v>0</v>
      </c>
      <c r="AF883" s="366">
        <v>12.75</v>
      </c>
      <c r="AG883" s="363">
        <v>0</v>
      </c>
      <c r="AH883" s="635" t="s">
        <v>408</v>
      </c>
      <c r="AL883" s="487" t="s">
        <v>15236</v>
      </c>
      <c r="AM883" s="477" t="s">
        <v>70</v>
      </c>
      <c r="AN883" s="637">
        <v>100</v>
      </c>
      <c r="AO883" s="478">
        <v>-1460</v>
      </c>
      <c r="AP883" s="463">
        <v>-1460</v>
      </c>
      <c r="AQ883" s="479">
        <v>0</v>
      </c>
      <c r="AR883" s="476" t="s">
        <v>15237</v>
      </c>
      <c r="BA883" s="313" t="s">
        <v>4581</v>
      </c>
    </row>
    <row r="884" spans="2:53" ht="16.5" customHeight="1">
      <c r="B884" s="367" t="s">
        <v>4457</v>
      </c>
      <c r="C884" s="351" t="s">
        <v>4458</v>
      </c>
      <c r="D884" s="353">
        <v>-1461</v>
      </c>
      <c r="E884" s="352" t="s">
        <v>408</v>
      </c>
      <c r="F884" s="341">
        <v>85.43</v>
      </c>
      <c r="G884" s="355" t="s">
        <v>10409</v>
      </c>
      <c r="H884" s="356" t="s">
        <v>4308</v>
      </c>
      <c r="I884" s="354" t="s">
        <v>302</v>
      </c>
      <c r="J884" s="340" t="s">
        <v>10410</v>
      </c>
      <c r="K884" s="339" t="s">
        <v>70</v>
      </c>
      <c r="L884" s="357">
        <v>10</v>
      </c>
      <c r="M884" s="358" t="s">
        <v>10411</v>
      </c>
      <c r="N884" s="359">
        <v>600</v>
      </c>
      <c r="O884" s="360" t="s">
        <v>530</v>
      </c>
      <c r="P884" s="343" t="s">
        <v>531</v>
      </c>
      <c r="Q884" s="342" t="s">
        <v>2688</v>
      </c>
      <c r="R884" s="344">
        <v>37</v>
      </c>
      <c r="S884" s="345">
        <v>43</v>
      </c>
      <c r="T884" s="362">
        <v>20</v>
      </c>
      <c r="U884" s="361">
        <v>85.43</v>
      </c>
      <c r="V884" s="346">
        <v>122.22257175993039</v>
      </c>
      <c r="W884" s="348">
        <v>121.10629892722527</v>
      </c>
      <c r="X884" s="347">
        <v>61.46</v>
      </c>
      <c r="Y884" s="357">
        <v>65.760000000000005</v>
      </c>
      <c r="Z884" s="365" t="s">
        <v>2689</v>
      </c>
      <c r="AA884" s="350">
        <v>100</v>
      </c>
      <c r="AB884" s="349" t="s">
        <v>2685</v>
      </c>
      <c r="AC884" s="350">
        <v>10</v>
      </c>
      <c r="AD884" s="349" t="s">
        <v>2685</v>
      </c>
      <c r="AE884" s="364">
        <v>0</v>
      </c>
      <c r="AF884" s="366">
        <v>0.3</v>
      </c>
      <c r="AG884" s="363">
        <v>0</v>
      </c>
      <c r="AH884" s="635" t="s">
        <v>8021</v>
      </c>
      <c r="AL884" s="487" t="s">
        <v>15238</v>
      </c>
      <c r="AM884" s="477" t="s">
        <v>70</v>
      </c>
      <c r="AN884" s="637">
        <v>100</v>
      </c>
      <c r="AO884" s="478">
        <v>-1461</v>
      </c>
      <c r="AP884" s="463">
        <v>-1461</v>
      </c>
      <c r="AQ884" s="479">
        <v>0</v>
      </c>
      <c r="AR884" s="476" t="s">
        <v>15239</v>
      </c>
      <c r="BA884" s="313" t="s">
        <v>4584</v>
      </c>
    </row>
    <row r="885" spans="2:53" ht="16.5" customHeight="1">
      <c r="B885" s="367" t="s">
        <v>10412</v>
      </c>
      <c r="C885" s="351" t="s">
        <v>10413</v>
      </c>
      <c r="D885" s="353">
        <v>-1462</v>
      </c>
      <c r="E885" s="352" t="s">
        <v>408</v>
      </c>
      <c r="F885" s="341">
        <v>85.42</v>
      </c>
      <c r="G885" s="355" t="s">
        <v>10351</v>
      </c>
      <c r="H885" s="356" t="s">
        <v>4341</v>
      </c>
      <c r="I885" s="354" t="s">
        <v>254</v>
      </c>
      <c r="J885" s="340" t="s">
        <v>10416</v>
      </c>
      <c r="K885" s="339" t="s">
        <v>71</v>
      </c>
      <c r="L885" s="357">
        <v>9</v>
      </c>
      <c r="M885" s="358" t="s">
        <v>10417</v>
      </c>
      <c r="N885" s="359">
        <v>1000</v>
      </c>
      <c r="O885" s="360" t="s">
        <v>532</v>
      </c>
      <c r="P885" s="343" t="s">
        <v>533</v>
      </c>
      <c r="Q885" s="342" t="s">
        <v>2688</v>
      </c>
      <c r="R885" s="344">
        <v>35</v>
      </c>
      <c r="S885" s="345">
        <v>25</v>
      </c>
      <c r="T885" s="362">
        <v>20</v>
      </c>
      <c r="U885" s="361">
        <v>85.42</v>
      </c>
      <c r="V885" s="346">
        <v>122.21041976859152</v>
      </c>
      <c r="W885" s="348">
        <v>121.09801347858513</v>
      </c>
      <c r="X885" s="347">
        <v>61.7</v>
      </c>
      <c r="Y885" s="357">
        <v>62.199999999999996</v>
      </c>
      <c r="Z885" s="365" t="s">
        <v>3017</v>
      </c>
      <c r="AA885" s="350">
        <v>196</v>
      </c>
      <c r="AB885" s="349" t="s">
        <v>2685</v>
      </c>
      <c r="AC885" s="350">
        <v>3</v>
      </c>
      <c r="AD885" s="349" t="s">
        <v>2685</v>
      </c>
      <c r="AE885" s="364">
        <v>0</v>
      </c>
      <c r="AF885" s="366">
        <v>0</v>
      </c>
      <c r="AG885" s="363">
        <v>0</v>
      </c>
      <c r="AH885" s="635" t="s">
        <v>408</v>
      </c>
      <c r="AL885" s="487" t="s">
        <v>15240</v>
      </c>
      <c r="AM885" s="477" t="s">
        <v>71</v>
      </c>
      <c r="AN885" s="637">
        <v>100</v>
      </c>
      <c r="AO885" s="478">
        <v>-1462</v>
      </c>
      <c r="AP885" s="463">
        <v>-707</v>
      </c>
      <c r="AQ885" s="479">
        <v>-755</v>
      </c>
      <c r="AR885" s="476" t="s">
        <v>17031</v>
      </c>
      <c r="BA885" s="313" t="s">
        <v>4587</v>
      </c>
    </row>
    <row r="886" spans="2:53" ht="16.5" customHeight="1">
      <c r="B886" s="367" t="s">
        <v>10418</v>
      </c>
      <c r="C886" s="351" t="s">
        <v>10419</v>
      </c>
      <c r="D886" s="353">
        <v>-1463</v>
      </c>
      <c r="E886" s="352" t="s">
        <v>408</v>
      </c>
      <c r="F886" s="341">
        <v>85.4</v>
      </c>
      <c r="G886" s="355" t="s">
        <v>10420</v>
      </c>
      <c r="H886" s="356" t="s">
        <v>9973</v>
      </c>
      <c r="I886" s="354" t="s">
        <v>237</v>
      </c>
      <c r="J886" s="340" t="s">
        <v>10421</v>
      </c>
      <c r="K886" s="339" t="s">
        <v>70</v>
      </c>
      <c r="L886" s="357">
        <v>6</v>
      </c>
      <c r="M886" s="358" t="s">
        <v>10422</v>
      </c>
      <c r="N886" s="359">
        <v>1000</v>
      </c>
      <c r="O886" s="360" t="s">
        <v>530</v>
      </c>
      <c r="P886" s="343" t="s">
        <v>530</v>
      </c>
      <c r="Q886" s="342" t="s">
        <v>2688</v>
      </c>
      <c r="R886" s="344">
        <v>20</v>
      </c>
      <c r="S886" s="345">
        <v>30</v>
      </c>
      <c r="T886" s="362">
        <v>30</v>
      </c>
      <c r="U886" s="361">
        <v>85.4</v>
      </c>
      <c r="V886" s="346">
        <v>122.1970551111099</v>
      </c>
      <c r="W886" s="348">
        <v>121.08890121212039</v>
      </c>
      <c r="X886" s="347">
        <v>61.45</v>
      </c>
      <c r="Y886" s="357" t="s">
        <v>408</v>
      </c>
      <c r="Z886" s="365" t="s">
        <v>3017</v>
      </c>
      <c r="AA886" s="350">
        <v>196</v>
      </c>
      <c r="AB886" s="349" t="s">
        <v>2685</v>
      </c>
      <c r="AC886" s="350">
        <v>0</v>
      </c>
      <c r="AD886" s="349" t="s">
        <v>2685</v>
      </c>
      <c r="AE886" s="364">
        <v>0</v>
      </c>
      <c r="AF886" s="366">
        <v>10.98</v>
      </c>
      <c r="AG886" s="363">
        <v>0</v>
      </c>
      <c r="AH886" s="635" t="s">
        <v>9931</v>
      </c>
      <c r="AL886" s="487" t="s">
        <v>15241</v>
      </c>
      <c r="AM886" s="477" t="s">
        <v>70</v>
      </c>
      <c r="AN886" s="637">
        <v>100</v>
      </c>
      <c r="AO886" s="478">
        <v>-1463</v>
      </c>
      <c r="AP886" s="463">
        <v>-1463</v>
      </c>
      <c r="AQ886" s="479">
        <v>0</v>
      </c>
      <c r="AR886" s="476" t="s">
        <v>15242</v>
      </c>
      <c r="BA886" s="313" t="s">
        <v>4591</v>
      </c>
    </row>
    <row r="887" spans="2:53" ht="16.5" customHeight="1">
      <c r="B887" s="367" t="s">
        <v>4463</v>
      </c>
      <c r="C887" s="351" t="s">
        <v>4464</v>
      </c>
      <c r="D887" s="353">
        <v>-1464</v>
      </c>
      <c r="E887" s="352" t="s">
        <v>408</v>
      </c>
      <c r="F887" s="341">
        <v>85.37</v>
      </c>
      <c r="G887" s="355" t="s">
        <v>18690</v>
      </c>
      <c r="H887" s="356" t="s">
        <v>9969</v>
      </c>
      <c r="I887" s="354" t="s">
        <v>9189</v>
      </c>
      <c r="J887" s="340" t="s">
        <v>10337</v>
      </c>
      <c r="K887" s="339" t="s">
        <v>70</v>
      </c>
      <c r="L887" s="357">
        <v>45</v>
      </c>
      <c r="M887" s="358" t="s">
        <v>10338</v>
      </c>
      <c r="N887" s="359">
        <v>1000</v>
      </c>
      <c r="O887" s="360" t="s">
        <v>532</v>
      </c>
      <c r="P887" s="343" t="s">
        <v>532</v>
      </c>
      <c r="Q887" s="342" t="s">
        <v>2688</v>
      </c>
      <c r="R887" s="344">
        <v>20</v>
      </c>
      <c r="S887" s="345">
        <v>35</v>
      </c>
      <c r="T887" s="362">
        <v>25</v>
      </c>
      <c r="U887" s="361">
        <v>85.37</v>
      </c>
      <c r="V887" s="346">
        <v>122.17817570249905</v>
      </c>
      <c r="W887" s="348">
        <v>121.07602888806753</v>
      </c>
      <c r="X887" s="347" t="s">
        <v>18691</v>
      </c>
      <c r="Y887" s="357" t="s">
        <v>408</v>
      </c>
      <c r="Z887" s="365" t="s">
        <v>3017</v>
      </c>
      <c r="AA887" s="350">
        <v>195.56</v>
      </c>
      <c r="AB887" s="349" t="s">
        <v>2685</v>
      </c>
      <c r="AC887" s="350">
        <v>0</v>
      </c>
      <c r="AD887" s="349" t="s">
        <v>2685</v>
      </c>
      <c r="AE887" s="364">
        <v>0</v>
      </c>
      <c r="AF887" s="366">
        <v>15.567</v>
      </c>
      <c r="AG887" s="363">
        <v>0</v>
      </c>
      <c r="AH887" s="635" t="s">
        <v>9517</v>
      </c>
      <c r="AL887" s="487" t="s">
        <v>15211</v>
      </c>
      <c r="AM887" s="477" t="s">
        <v>70</v>
      </c>
      <c r="AN887" s="637">
        <v>100</v>
      </c>
      <c r="AO887" s="478">
        <v>-1464</v>
      </c>
      <c r="AP887" s="463">
        <v>-1464</v>
      </c>
      <c r="AQ887" s="479">
        <v>0</v>
      </c>
      <c r="AR887" s="476" t="s">
        <v>17238</v>
      </c>
      <c r="BA887" s="313" t="s">
        <v>4593</v>
      </c>
    </row>
    <row r="888" spans="2:53" ht="16.5" customHeight="1">
      <c r="B888" s="367" t="s">
        <v>4471</v>
      </c>
      <c r="C888" s="351" t="s">
        <v>4472</v>
      </c>
      <c r="D888" s="353">
        <v>-1465</v>
      </c>
      <c r="E888" s="352" t="s">
        <v>408</v>
      </c>
      <c r="F888" s="341">
        <v>85.35</v>
      </c>
      <c r="G888" s="355" t="s">
        <v>4564</v>
      </c>
      <c r="H888" s="356" t="s">
        <v>9988</v>
      </c>
      <c r="I888" s="354" t="s">
        <v>9189</v>
      </c>
      <c r="J888" s="340" t="s">
        <v>10345</v>
      </c>
      <c r="K888" s="339" t="s">
        <v>70</v>
      </c>
      <c r="L888" s="357">
        <v>3</v>
      </c>
      <c r="M888" s="358" t="s">
        <v>10346</v>
      </c>
      <c r="N888" s="359">
        <v>1000</v>
      </c>
      <c r="O888" s="360" t="s">
        <v>532</v>
      </c>
      <c r="P888" s="343" t="s">
        <v>532</v>
      </c>
      <c r="Q888" s="342" t="s">
        <v>2688</v>
      </c>
      <c r="R888" s="344">
        <v>20</v>
      </c>
      <c r="S888" s="345">
        <v>35</v>
      </c>
      <c r="T888" s="362">
        <v>25</v>
      </c>
      <c r="U888" s="361">
        <v>85.35</v>
      </c>
      <c r="V888" s="346">
        <v>122.16640320864398</v>
      </c>
      <c r="W888" s="348">
        <v>121.0680021877118</v>
      </c>
      <c r="X888" s="347" t="s">
        <v>18692</v>
      </c>
      <c r="Y888" s="357" t="s">
        <v>408</v>
      </c>
      <c r="Z888" s="365" t="s">
        <v>3017</v>
      </c>
      <c r="AA888" s="350">
        <v>195.56</v>
      </c>
      <c r="AB888" s="349" t="s">
        <v>2685</v>
      </c>
      <c r="AC888" s="350">
        <v>0</v>
      </c>
      <c r="AD888" s="349" t="s">
        <v>2685</v>
      </c>
      <c r="AE888" s="364">
        <v>0</v>
      </c>
      <c r="AF888" s="366">
        <v>15.56</v>
      </c>
      <c r="AG888" s="363">
        <v>0</v>
      </c>
      <c r="AH888" s="635" t="s">
        <v>9517</v>
      </c>
      <c r="AL888" s="487" t="s">
        <v>15212</v>
      </c>
      <c r="AM888" s="477" t="s">
        <v>70</v>
      </c>
      <c r="AN888" s="637">
        <v>100</v>
      </c>
      <c r="AO888" s="478">
        <v>-1465</v>
      </c>
      <c r="AP888" s="463">
        <v>-1465</v>
      </c>
      <c r="AQ888" s="479">
        <v>0</v>
      </c>
      <c r="AR888" s="476" t="s">
        <v>15244</v>
      </c>
      <c r="BA888" s="313" t="s">
        <v>4594</v>
      </c>
    </row>
    <row r="889" spans="2:53" ht="16.5" customHeight="1">
      <c r="B889" s="367" t="s">
        <v>4471</v>
      </c>
      <c r="C889" s="351" t="s">
        <v>4472</v>
      </c>
      <c r="D889" s="353">
        <v>-1466</v>
      </c>
      <c r="E889" s="352" t="s">
        <v>10414</v>
      </c>
      <c r="F889" s="341">
        <v>85.34</v>
      </c>
      <c r="G889" s="355" t="s">
        <v>10425</v>
      </c>
      <c r="H889" s="356" t="s">
        <v>9988</v>
      </c>
      <c r="I889" s="354" t="s">
        <v>236</v>
      </c>
      <c r="J889" s="340" t="s">
        <v>10426</v>
      </c>
      <c r="K889" s="339" t="s">
        <v>70</v>
      </c>
      <c r="L889" s="357">
        <v>41</v>
      </c>
      <c r="M889" s="358" t="s">
        <v>10427</v>
      </c>
      <c r="N889" s="359">
        <v>1000</v>
      </c>
      <c r="O889" s="360" t="s">
        <v>532</v>
      </c>
      <c r="P889" s="343" t="s">
        <v>533</v>
      </c>
      <c r="Q889" s="342" t="s">
        <v>2688</v>
      </c>
      <c r="R889" s="344">
        <v>20</v>
      </c>
      <c r="S889" s="345">
        <v>35</v>
      </c>
      <c r="T889" s="362">
        <v>25</v>
      </c>
      <c r="U889" s="361">
        <v>85.34</v>
      </c>
      <c r="V889" s="346">
        <v>122.16077760157791</v>
      </c>
      <c r="W889" s="348">
        <v>121.06416654653039</v>
      </c>
      <c r="X889" s="347">
        <v>61.43</v>
      </c>
      <c r="Y889" s="357">
        <v>62.18</v>
      </c>
      <c r="Z889" s="365" t="s">
        <v>3017</v>
      </c>
      <c r="AA889" s="350">
        <v>194</v>
      </c>
      <c r="AB889" s="349" t="s">
        <v>2685</v>
      </c>
      <c r="AC889" s="350">
        <v>4</v>
      </c>
      <c r="AD889" s="349" t="s">
        <v>2685</v>
      </c>
      <c r="AE889" s="364">
        <v>0</v>
      </c>
      <c r="AF889" s="366">
        <v>12.741</v>
      </c>
      <c r="AG889" s="363">
        <v>0</v>
      </c>
      <c r="AH889" s="635" t="s">
        <v>408</v>
      </c>
      <c r="AL889" s="487" t="s">
        <v>15243</v>
      </c>
      <c r="AM889" s="477" t="s">
        <v>70</v>
      </c>
      <c r="AN889" s="637">
        <v>100</v>
      </c>
      <c r="AO889" s="478">
        <v>-1466</v>
      </c>
      <c r="AP889" s="463">
        <v>-1466</v>
      </c>
      <c r="AQ889" s="479">
        <v>0</v>
      </c>
      <c r="AR889" s="476" t="s">
        <v>17239</v>
      </c>
      <c r="BA889" s="313" t="s">
        <v>4595</v>
      </c>
    </row>
    <row r="890" spans="2:53" ht="16.5" customHeight="1">
      <c r="B890" s="367" t="s">
        <v>4471</v>
      </c>
      <c r="C890" s="351" t="s">
        <v>4472</v>
      </c>
      <c r="D890" s="353">
        <v>-1467</v>
      </c>
      <c r="E890" s="352" t="s">
        <v>408</v>
      </c>
      <c r="F890" s="341">
        <v>85.33</v>
      </c>
      <c r="G890" s="355" t="s">
        <v>10428</v>
      </c>
      <c r="H890" s="356" t="s">
        <v>18693</v>
      </c>
      <c r="I890" s="354" t="s">
        <v>9189</v>
      </c>
      <c r="J890" s="340" t="s">
        <v>10352</v>
      </c>
      <c r="K890" s="339" t="s">
        <v>70</v>
      </c>
      <c r="L890" s="357">
        <v>13</v>
      </c>
      <c r="M890" s="358" t="s">
        <v>10353</v>
      </c>
      <c r="N890" s="359">
        <v>1000</v>
      </c>
      <c r="O890" s="360" t="s">
        <v>532</v>
      </c>
      <c r="P890" s="343" t="s">
        <v>532</v>
      </c>
      <c r="Q890" s="342" t="s">
        <v>2688</v>
      </c>
      <c r="R890" s="344">
        <v>20</v>
      </c>
      <c r="S890" s="345">
        <v>35</v>
      </c>
      <c r="T890" s="362">
        <v>25</v>
      </c>
      <c r="U890" s="361">
        <v>85.33</v>
      </c>
      <c r="V890" s="346">
        <v>122.15659279709807</v>
      </c>
      <c r="W890" s="348">
        <v>121.06131327074868</v>
      </c>
      <c r="X890" s="347" t="s">
        <v>18692</v>
      </c>
      <c r="Y890" s="357" t="s">
        <v>408</v>
      </c>
      <c r="Z890" s="365" t="s">
        <v>3017</v>
      </c>
      <c r="AA890" s="350">
        <v>195.56</v>
      </c>
      <c r="AB890" s="349" t="s">
        <v>2685</v>
      </c>
      <c r="AC890" s="350">
        <v>0</v>
      </c>
      <c r="AD890" s="349" t="s">
        <v>2685</v>
      </c>
      <c r="AE890" s="364">
        <v>0</v>
      </c>
      <c r="AF890" s="366">
        <v>15.56</v>
      </c>
      <c r="AG890" s="363">
        <v>0</v>
      </c>
      <c r="AH890" s="635" t="s">
        <v>9517</v>
      </c>
      <c r="AL890" s="487" t="s">
        <v>15213</v>
      </c>
      <c r="AM890" s="477" t="s">
        <v>70</v>
      </c>
      <c r="AN890" s="637">
        <v>100</v>
      </c>
      <c r="AO890" s="478">
        <v>-1467</v>
      </c>
      <c r="AP890" s="463">
        <v>-1467</v>
      </c>
      <c r="AQ890" s="479">
        <v>0</v>
      </c>
      <c r="AR890" s="476" t="s">
        <v>15247</v>
      </c>
      <c r="BA890" s="313" t="s">
        <v>4598</v>
      </c>
    </row>
    <row r="891" spans="2:53" ht="16.5" customHeight="1">
      <c r="B891" s="367" t="s">
        <v>4471</v>
      </c>
      <c r="C891" s="351" t="s">
        <v>4472</v>
      </c>
      <c r="D891" s="353">
        <v>-1468</v>
      </c>
      <c r="E891" s="352" t="s">
        <v>10423</v>
      </c>
      <c r="F891" s="341">
        <v>85.33</v>
      </c>
      <c r="G891" s="355" t="s">
        <v>4629</v>
      </c>
      <c r="H891" s="356" t="s">
        <v>18694</v>
      </c>
      <c r="I891" s="354" t="s">
        <v>254</v>
      </c>
      <c r="J891" s="340" t="s">
        <v>9953</v>
      </c>
      <c r="K891" s="339" t="s">
        <v>71</v>
      </c>
      <c r="L891" s="357">
        <v>5</v>
      </c>
      <c r="M891" s="358" t="s">
        <v>10429</v>
      </c>
      <c r="N891" s="359">
        <v>1000</v>
      </c>
      <c r="O891" s="360" t="s">
        <v>532</v>
      </c>
      <c r="P891" s="343" t="s">
        <v>533</v>
      </c>
      <c r="Q891" s="342" t="s">
        <v>2688</v>
      </c>
      <c r="R891" s="344">
        <v>35</v>
      </c>
      <c r="S891" s="345">
        <v>25</v>
      </c>
      <c r="T891" s="362">
        <v>20</v>
      </c>
      <c r="U891" s="361">
        <v>85.33</v>
      </c>
      <c r="V891" s="346">
        <v>122.15457171620301</v>
      </c>
      <c r="W891" s="348">
        <v>121.0599352610475</v>
      </c>
      <c r="X891" s="347">
        <v>61.67</v>
      </c>
      <c r="Y891" s="357">
        <v>62.169999999999995</v>
      </c>
      <c r="Z891" s="365" t="s">
        <v>3017</v>
      </c>
      <c r="AA891" s="350">
        <v>196</v>
      </c>
      <c r="AB891" s="349" t="s">
        <v>2685</v>
      </c>
      <c r="AC891" s="350">
        <v>3</v>
      </c>
      <c r="AD891" s="349" t="s">
        <v>2685</v>
      </c>
      <c r="AE891" s="364">
        <v>0</v>
      </c>
      <c r="AF891" s="366">
        <v>0</v>
      </c>
      <c r="AG891" s="363">
        <v>0</v>
      </c>
      <c r="AH891" s="635" t="s">
        <v>408</v>
      </c>
      <c r="AL891" s="487" t="s">
        <v>15245</v>
      </c>
      <c r="AM891" s="477" t="s">
        <v>71</v>
      </c>
      <c r="AN891" s="637">
        <v>100</v>
      </c>
      <c r="AO891" s="478">
        <v>-1468</v>
      </c>
      <c r="AP891" s="463">
        <v>-709</v>
      </c>
      <c r="AQ891" s="479">
        <v>-759</v>
      </c>
      <c r="AR891" s="476" t="s">
        <v>15278</v>
      </c>
      <c r="BA891" s="313" t="s">
        <v>4602</v>
      </c>
    </row>
    <row r="892" spans="2:53" ht="16.5" customHeight="1">
      <c r="B892" s="367" t="s">
        <v>10430</v>
      </c>
      <c r="C892" s="351" t="s">
        <v>10431</v>
      </c>
      <c r="D892" s="353">
        <v>-1469</v>
      </c>
      <c r="E892" s="352" t="s">
        <v>10423</v>
      </c>
      <c r="F892" s="341">
        <v>85.32</v>
      </c>
      <c r="G892" s="355" t="s">
        <v>10432</v>
      </c>
      <c r="H892" s="356" t="s">
        <v>10014</v>
      </c>
      <c r="I892" s="354" t="s">
        <v>9189</v>
      </c>
      <c r="J892" s="340" t="s">
        <v>10355</v>
      </c>
      <c r="K892" s="339" t="s">
        <v>70</v>
      </c>
      <c r="L892" s="357">
        <v>47</v>
      </c>
      <c r="M892" s="358" t="s">
        <v>10356</v>
      </c>
      <c r="N892" s="359">
        <v>1000</v>
      </c>
      <c r="O892" s="360" t="s">
        <v>532</v>
      </c>
      <c r="P892" s="343" t="s">
        <v>532</v>
      </c>
      <c r="Q892" s="342" t="s">
        <v>2688</v>
      </c>
      <c r="R892" s="344">
        <v>20</v>
      </c>
      <c r="S892" s="345">
        <v>35</v>
      </c>
      <c r="T892" s="362">
        <v>25</v>
      </c>
      <c r="U892" s="361">
        <v>85.32</v>
      </c>
      <c r="V892" s="346">
        <v>122.14678238555219</v>
      </c>
      <c r="W892" s="348">
        <v>121.05462435378558</v>
      </c>
      <c r="X892" s="347" t="s">
        <v>18692</v>
      </c>
      <c r="Y892" s="357" t="s">
        <v>408</v>
      </c>
      <c r="Z892" s="365" t="s">
        <v>3017</v>
      </c>
      <c r="AA892" s="350">
        <v>195.56</v>
      </c>
      <c r="AB892" s="349" t="s">
        <v>2685</v>
      </c>
      <c r="AC892" s="350">
        <v>0</v>
      </c>
      <c r="AD892" s="349" t="s">
        <v>2685</v>
      </c>
      <c r="AE892" s="364">
        <v>0</v>
      </c>
      <c r="AF892" s="366">
        <v>15.56</v>
      </c>
      <c r="AG892" s="363">
        <v>0</v>
      </c>
      <c r="AH892" s="635" t="s">
        <v>9517</v>
      </c>
      <c r="AL892" s="487" t="s">
        <v>15215</v>
      </c>
      <c r="AM892" s="477" t="s">
        <v>70</v>
      </c>
      <c r="AN892" s="637">
        <v>100</v>
      </c>
      <c r="AO892" s="478">
        <v>-1469</v>
      </c>
      <c r="AP892" s="463">
        <v>-1469</v>
      </c>
      <c r="AQ892" s="479">
        <v>0</v>
      </c>
      <c r="AR892" s="476" t="s">
        <v>15247</v>
      </c>
      <c r="BA892" s="313" t="s">
        <v>4605</v>
      </c>
    </row>
    <row r="893" spans="2:53" ht="16.5" customHeight="1">
      <c r="B893" s="367" t="s">
        <v>10430</v>
      </c>
      <c r="C893" s="351" t="s">
        <v>10431</v>
      </c>
      <c r="D893" s="353">
        <v>-1470</v>
      </c>
      <c r="E893" s="352" t="s">
        <v>408</v>
      </c>
      <c r="F893" s="341">
        <v>85.32</v>
      </c>
      <c r="G893" s="355" t="s">
        <v>10432</v>
      </c>
      <c r="H893" s="356" t="s">
        <v>10014</v>
      </c>
      <c r="I893" s="354" t="s">
        <v>237</v>
      </c>
      <c r="J893" s="340" t="s">
        <v>10433</v>
      </c>
      <c r="K893" s="339" t="s">
        <v>70</v>
      </c>
      <c r="L893" s="357">
        <v>7</v>
      </c>
      <c r="M893" s="358" t="s">
        <v>10434</v>
      </c>
      <c r="N893" s="359">
        <v>1000</v>
      </c>
      <c r="O893" s="360" t="s">
        <v>530</v>
      </c>
      <c r="P893" s="343" t="s">
        <v>530</v>
      </c>
      <c r="Q893" s="342" t="s">
        <v>2688</v>
      </c>
      <c r="R893" s="344">
        <v>20</v>
      </c>
      <c r="S893" s="345">
        <v>30</v>
      </c>
      <c r="T893" s="362">
        <v>30</v>
      </c>
      <c r="U893" s="361">
        <v>85.32</v>
      </c>
      <c r="V893" s="346">
        <v>122.14728408896062</v>
      </c>
      <c r="W893" s="348">
        <v>121.05496642429132</v>
      </c>
      <c r="X893" s="347">
        <v>61.42</v>
      </c>
      <c r="Y893" s="357" t="s">
        <v>408</v>
      </c>
      <c r="Z893" s="365" t="s">
        <v>3017</v>
      </c>
      <c r="AA893" s="350">
        <v>196</v>
      </c>
      <c r="AB893" s="349" t="s">
        <v>2685</v>
      </c>
      <c r="AC893" s="350">
        <v>0</v>
      </c>
      <c r="AD893" s="349" t="s">
        <v>2685</v>
      </c>
      <c r="AE893" s="364">
        <v>0</v>
      </c>
      <c r="AF893" s="366">
        <v>10.976000000000001</v>
      </c>
      <c r="AG893" s="363">
        <v>0</v>
      </c>
      <c r="AH893" s="635" t="s">
        <v>9931</v>
      </c>
      <c r="AL893" s="487" t="s">
        <v>15246</v>
      </c>
      <c r="AM893" s="477" t="s">
        <v>70</v>
      </c>
      <c r="AN893" s="637">
        <v>100</v>
      </c>
      <c r="AO893" s="478">
        <v>-1470</v>
      </c>
      <c r="AP893" s="463">
        <v>-1470</v>
      </c>
      <c r="AQ893" s="479">
        <v>0</v>
      </c>
      <c r="AR893" s="476" t="s">
        <v>15247</v>
      </c>
      <c r="BA893" s="313" t="s">
        <v>4606</v>
      </c>
    </row>
    <row r="894" spans="2:53" ht="16.5" customHeight="1">
      <c r="B894" s="367" t="s">
        <v>10430</v>
      </c>
      <c r="C894" s="351" t="s">
        <v>10431</v>
      </c>
      <c r="D894" s="353">
        <v>-1471</v>
      </c>
      <c r="E894" s="352" t="s">
        <v>10428</v>
      </c>
      <c r="F894" s="341">
        <v>85.32</v>
      </c>
      <c r="G894" s="355" t="s">
        <v>10435</v>
      </c>
      <c r="H894" s="356" t="s">
        <v>4317</v>
      </c>
      <c r="I894" s="354" t="s">
        <v>237</v>
      </c>
      <c r="J894" s="340" t="s">
        <v>10436</v>
      </c>
      <c r="K894" s="339" t="s">
        <v>70</v>
      </c>
      <c r="L894" s="357">
        <v>6</v>
      </c>
      <c r="M894" s="358" t="s">
        <v>10437</v>
      </c>
      <c r="N894" s="359">
        <v>1000</v>
      </c>
      <c r="O894" s="360" t="s">
        <v>530</v>
      </c>
      <c r="P894" s="343" t="s">
        <v>530</v>
      </c>
      <c r="Q894" s="342" t="s">
        <v>2688</v>
      </c>
      <c r="R894" s="344">
        <v>20</v>
      </c>
      <c r="S894" s="345">
        <v>30</v>
      </c>
      <c r="T894" s="362">
        <v>30</v>
      </c>
      <c r="U894" s="361">
        <v>85.32</v>
      </c>
      <c r="V894" s="346">
        <v>122.14451903217454</v>
      </c>
      <c r="W894" s="348">
        <v>121.05308115830083</v>
      </c>
      <c r="X894" s="347">
        <v>61.42</v>
      </c>
      <c r="Y894" s="357" t="s">
        <v>408</v>
      </c>
      <c r="Z894" s="365" t="s">
        <v>3017</v>
      </c>
      <c r="AA894" s="350">
        <v>196</v>
      </c>
      <c r="AB894" s="349" t="s">
        <v>2685</v>
      </c>
      <c r="AC894" s="350">
        <v>0</v>
      </c>
      <c r="AD894" s="349" t="s">
        <v>2685</v>
      </c>
      <c r="AE894" s="364">
        <v>0</v>
      </c>
      <c r="AF894" s="366">
        <v>10.975</v>
      </c>
      <c r="AG894" s="363">
        <v>0</v>
      </c>
      <c r="AH894" s="635" t="s">
        <v>9931</v>
      </c>
      <c r="AL894" s="487" t="s">
        <v>15248</v>
      </c>
      <c r="AM894" s="477" t="s">
        <v>70</v>
      </c>
      <c r="AN894" s="637">
        <v>100</v>
      </c>
      <c r="AO894" s="478">
        <v>-1471</v>
      </c>
      <c r="AP894" s="463">
        <v>-1471</v>
      </c>
      <c r="AQ894" s="479">
        <v>0</v>
      </c>
      <c r="AR894" s="476" t="s">
        <v>15249</v>
      </c>
      <c r="BA894" s="313" t="s">
        <v>4609</v>
      </c>
    </row>
    <row r="895" spans="2:53" ht="16.5" customHeight="1">
      <c r="B895" s="367" t="s">
        <v>10438</v>
      </c>
      <c r="C895" s="351" t="s">
        <v>10439</v>
      </c>
      <c r="D895" s="353">
        <v>-1472</v>
      </c>
      <c r="E895" s="352" t="s">
        <v>408</v>
      </c>
      <c r="F895" s="341">
        <v>85.3</v>
      </c>
      <c r="G895" s="355" t="s">
        <v>4671</v>
      </c>
      <c r="H895" s="356" t="s">
        <v>10440</v>
      </c>
      <c r="I895" s="354" t="s">
        <v>221</v>
      </c>
      <c r="J895" s="340" t="s">
        <v>9103</v>
      </c>
      <c r="K895" s="339" t="s">
        <v>70</v>
      </c>
      <c r="L895" s="357">
        <v>89</v>
      </c>
      <c r="M895" s="358" t="s">
        <v>10441</v>
      </c>
      <c r="N895" s="359">
        <v>1000</v>
      </c>
      <c r="O895" s="360" t="s">
        <v>532</v>
      </c>
      <c r="P895" s="343" t="s">
        <v>533</v>
      </c>
      <c r="Q895" s="342" t="s">
        <v>2688</v>
      </c>
      <c r="R895" s="344">
        <v>20</v>
      </c>
      <c r="S895" s="345">
        <v>35</v>
      </c>
      <c r="T895" s="362">
        <v>30</v>
      </c>
      <c r="U895" s="361">
        <v>85.3</v>
      </c>
      <c r="V895" s="346">
        <v>122.1353405828187</v>
      </c>
      <c r="W895" s="348">
        <v>121.04682312464911</v>
      </c>
      <c r="X895" s="347">
        <v>61.42</v>
      </c>
      <c r="Y895" s="357">
        <v>62.08</v>
      </c>
      <c r="Z895" s="365" t="s">
        <v>3017</v>
      </c>
      <c r="AA895" s="350">
        <v>144</v>
      </c>
      <c r="AB895" s="349" t="s">
        <v>2685</v>
      </c>
      <c r="AC895" s="350">
        <v>0</v>
      </c>
      <c r="AD895" s="349" t="s">
        <v>2685</v>
      </c>
      <c r="AE895" s="364">
        <v>0</v>
      </c>
      <c r="AF895" s="366">
        <v>17.053000000000001</v>
      </c>
      <c r="AG895" s="363">
        <v>0</v>
      </c>
      <c r="AH895" s="635" t="s">
        <v>7882</v>
      </c>
      <c r="AL895" s="487" t="s">
        <v>15250</v>
      </c>
      <c r="AM895" s="477" t="s">
        <v>70</v>
      </c>
      <c r="AN895" s="637">
        <v>100</v>
      </c>
      <c r="AO895" s="478">
        <v>-1472</v>
      </c>
      <c r="AP895" s="463">
        <v>-1472</v>
      </c>
      <c r="AQ895" s="479">
        <v>0</v>
      </c>
      <c r="AR895" s="476" t="s">
        <v>15249</v>
      </c>
      <c r="BA895" s="313" t="s">
        <v>4612</v>
      </c>
    </row>
    <row r="896" spans="2:53" ht="16.5" customHeight="1">
      <c r="B896" s="367" t="s">
        <v>4475</v>
      </c>
      <c r="C896" s="351" t="s">
        <v>4476</v>
      </c>
      <c r="D896" s="353">
        <v>-1473</v>
      </c>
      <c r="E896" s="352" t="s">
        <v>408</v>
      </c>
      <c r="F896" s="341">
        <v>85.29</v>
      </c>
      <c r="G896" s="355" t="s">
        <v>4675</v>
      </c>
      <c r="H896" s="356" t="s">
        <v>18695</v>
      </c>
      <c r="I896" s="354" t="s">
        <v>237</v>
      </c>
      <c r="J896" s="340" t="s">
        <v>85</v>
      </c>
      <c r="K896" s="339" t="s">
        <v>71</v>
      </c>
      <c r="L896" s="357">
        <v>300</v>
      </c>
      <c r="M896" s="358" t="s">
        <v>10442</v>
      </c>
      <c r="N896" s="359">
        <v>1000</v>
      </c>
      <c r="O896" s="360" t="s">
        <v>530</v>
      </c>
      <c r="P896" s="343" t="s">
        <v>530</v>
      </c>
      <c r="Q896" s="342" t="s">
        <v>2688</v>
      </c>
      <c r="R896" s="344">
        <v>25</v>
      </c>
      <c r="S896" s="345">
        <v>25</v>
      </c>
      <c r="T896" s="362">
        <v>25</v>
      </c>
      <c r="U896" s="361">
        <v>85.29</v>
      </c>
      <c r="V896" s="346">
        <v>122.12817320612012</v>
      </c>
      <c r="W896" s="348">
        <v>121.04193627690007</v>
      </c>
      <c r="X896" s="347">
        <v>61.41</v>
      </c>
      <c r="Y896" s="357" t="s">
        <v>408</v>
      </c>
      <c r="Z896" s="365" t="s">
        <v>3017</v>
      </c>
      <c r="AA896" s="350">
        <v>245</v>
      </c>
      <c r="AB896" s="349" t="s">
        <v>2685</v>
      </c>
      <c r="AC896" s="350">
        <v>0</v>
      </c>
      <c r="AD896" s="349" t="s">
        <v>2685</v>
      </c>
      <c r="AE896" s="364">
        <v>0</v>
      </c>
      <c r="AF896" s="366">
        <v>0</v>
      </c>
      <c r="AG896" s="363">
        <v>0</v>
      </c>
      <c r="AH896" s="635" t="s">
        <v>408</v>
      </c>
      <c r="AL896" s="487" t="s">
        <v>15251</v>
      </c>
      <c r="AM896" s="477" t="s">
        <v>71</v>
      </c>
      <c r="AN896" s="637">
        <v>100</v>
      </c>
      <c r="AO896" s="478">
        <v>-1473</v>
      </c>
      <c r="AP896" s="463">
        <v>-709</v>
      </c>
      <c r="AQ896" s="479">
        <v>-764</v>
      </c>
      <c r="AR896" s="476" t="s">
        <v>17032</v>
      </c>
      <c r="BA896" s="313" t="s">
        <v>4614</v>
      </c>
    </row>
    <row r="897" spans="2:53" ht="16.5" customHeight="1">
      <c r="B897" s="367" t="s">
        <v>4478</v>
      </c>
      <c r="C897" s="351" t="s">
        <v>4479</v>
      </c>
      <c r="D897" s="353">
        <v>-1474</v>
      </c>
      <c r="E897" s="352" t="s">
        <v>408</v>
      </c>
      <c r="F897" s="341">
        <v>85.28</v>
      </c>
      <c r="G897" s="355" t="s">
        <v>4650</v>
      </c>
      <c r="H897" s="356" t="s">
        <v>10079</v>
      </c>
      <c r="I897" s="354" t="s">
        <v>236</v>
      </c>
      <c r="J897" s="340" t="s">
        <v>9709</v>
      </c>
      <c r="K897" s="339" t="s">
        <v>71</v>
      </c>
      <c r="L897" s="357">
        <v>14</v>
      </c>
      <c r="M897" s="358" t="s">
        <v>10443</v>
      </c>
      <c r="N897" s="359">
        <v>1000</v>
      </c>
      <c r="O897" s="360" t="s">
        <v>532</v>
      </c>
      <c r="P897" s="343" t="s">
        <v>533</v>
      </c>
      <c r="Q897" s="342" t="s">
        <v>2688</v>
      </c>
      <c r="R897" s="344">
        <v>35</v>
      </c>
      <c r="S897" s="345">
        <v>25</v>
      </c>
      <c r="T897" s="362">
        <v>20</v>
      </c>
      <c r="U897" s="361">
        <v>85.28</v>
      </c>
      <c r="V897" s="346">
        <v>122.11825672647254</v>
      </c>
      <c r="W897" s="348">
        <v>121.03517504077672</v>
      </c>
      <c r="X897" s="347">
        <v>61.65</v>
      </c>
      <c r="Y897" s="357">
        <v>62.16</v>
      </c>
      <c r="Z897" s="365" t="s">
        <v>3017</v>
      </c>
      <c r="AA897" s="350">
        <v>194</v>
      </c>
      <c r="AB897" s="349" t="s">
        <v>2685</v>
      </c>
      <c r="AC897" s="350">
        <v>4</v>
      </c>
      <c r="AD897" s="349" t="s">
        <v>2685</v>
      </c>
      <c r="AE897" s="364">
        <v>0</v>
      </c>
      <c r="AF897" s="366">
        <v>0</v>
      </c>
      <c r="AG897" s="363">
        <v>0</v>
      </c>
      <c r="AH897" s="635" t="s">
        <v>408</v>
      </c>
      <c r="AL897" s="487" t="s">
        <v>15252</v>
      </c>
      <c r="AM897" s="477" t="s">
        <v>71</v>
      </c>
      <c r="AN897" s="637">
        <v>100</v>
      </c>
      <c r="AO897" s="478">
        <v>-1474</v>
      </c>
      <c r="AP897" s="463">
        <v>-712</v>
      </c>
      <c r="AQ897" s="479">
        <v>-762</v>
      </c>
      <c r="AR897" s="476" t="s">
        <v>17033</v>
      </c>
      <c r="BA897" s="313" t="s">
        <v>4616</v>
      </c>
    </row>
    <row r="898" spans="2:53" ht="16.5" customHeight="1">
      <c r="B898" s="367" t="s">
        <v>4429</v>
      </c>
      <c r="C898" s="351" t="s">
        <v>4430</v>
      </c>
      <c r="D898" s="353">
        <v>-1475</v>
      </c>
      <c r="E898" s="352" t="s">
        <v>408</v>
      </c>
      <c r="F898" s="341">
        <v>85.26</v>
      </c>
      <c r="G898" s="355" t="s">
        <v>10381</v>
      </c>
      <c r="H898" s="356" t="s">
        <v>4351</v>
      </c>
      <c r="I898" s="354" t="s">
        <v>237</v>
      </c>
      <c r="J898" s="340" t="s">
        <v>8534</v>
      </c>
      <c r="K898" s="339" t="s">
        <v>71</v>
      </c>
      <c r="L898" s="357">
        <v>8</v>
      </c>
      <c r="M898" s="358" t="s">
        <v>4658</v>
      </c>
      <c r="N898" s="359">
        <v>1000</v>
      </c>
      <c r="O898" s="360" t="s">
        <v>530</v>
      </c>
      <c r="P898" s="343" t="s">
        <v>530</v>
      </c>
      <c r="Q898" s="342" t="s">
        <v>2688</v>
      </c>
      <c r="R898" s="344">
        <v>30</v>
      </c>
      <c r="S898" s="345">
        <v>30</v>
      </c>
      <c r="T898" s="362">
        <v>20</v>
      </c>
      <c r="U898" s="361">
        <v>85.26</v>
      </c>
      <c r="V898" s="346">
        <v>122.10832829205184</v>
      </c>
      <c r="W898" s="348">
        <v>121.02840565367171</v>
      </c>
      <c r="X898" s="347">
        <v>61.65</v>
      </c>
      <c r="Y898" s="357" t="s">
        <v>408</v>
      </c>
      <c r="Z898" s="365" t="s">
        <v>3017</v>
      </c>
      <c r="AA898" s="350">
        <v>196</v>
      </c>
      <c r="AB898" s="349" t="s">
        <v>2685</v>
      </c>
      <c r="AC898" s="350">
        <v>0</v>
      </c>
      <c r="AD898" s="349" t="s">
        <v>2685</v>
      </c>
      <c r="AE898" s="364">
        <v>0</v>
      </c>
      <c r="AF898" s="366">
        <v>0</v>
      </c>
      <c r="AG898" s="363">
        <v>0</v>
      </c>
      <c r="AH898" s="635" t="s">
        <v>408</v>
      </c>
      <c r="AL898" s="487" t="s">
        <v>15253</v>
      </c>
      <c r="AM898" s="477" t="s">
        <v>71</v>
      </c>
      <c r="AN898" s="637">
        <v>100</v>
      </c>
      <c r="AO898" s="478">
        <v>-1475</v>
      </c>
      <c r="AP898" s="463">
        <v>-712</v>
      </c>
      <c r="AQ898" s="479">
        <v>-763</v>
      </c>
      <c r="AR898" s="476" t="s">
        <v>17034</v>
      </c>
      <c r="BA898" s="313" t="s">
        <v>4617</v>
      </c>
    </row>
    <row r="899" spans="2:53" ht="16.5" customHeight="1">
      <c r="B899" s="367" t="s">
        <v>4429</v>
      </c>
      <c r="C899" s="351" t="s">
        <v>4430</v>
      </c>
      <c r="D899" s="353">
        <v>-1476</v>
      </c>
      <c r="E899" s="352" t="s">
        <v>10276</v>
      </c>
      <c r="F899" s="341">
        <v>85.26</v>
      </c>
      <c r="G899" s="355" t="s">
        <v>10381</v>
      </c>
      <c r="H899" s="356" t="s">
        <v>4351</v>
      </c>
      <c r="I899" s="354" t="s">
        <v>237</v>
      </c>
      <c r="J899" s="340" t="s">
        <v>10424</v>
      </c>
      <c r="K899" s="339" t="s">
        <v>71</v>
      </c>
      <c r="L899" s="357">
        <v>4</v>
      </c>
      <c r="M899" s="358" t="s">
        <v>4658</v>
      </c>
      <c r="N899" s="359">
        <v>1000</v>
      </c>
      <c r="O899" s="360" t="s">
        <v>530</v>
      </c>
      <c r="P899" s="343" t="s">
        <v>530</v>
      </c>
      <c r="Q899" s="342" t="s">
        <v>2688</v>
      </c>
      <c r="R899" s="344">
        <v>30</v>
      </c>
      <c r="S899" s="345">
        <v>30</v>
      </c>
      <c r="T899" s="362">
        <v>20</v>
      </c>
      <c r="U899" s="361">
        <v>85.26</v>
      </c>
      <c r="V899" s="346">
        <v>122.10832829205184</v>
      </c>
      <c r="W899" s="348">
        <v>121.02840565367171</v>
      </c>
      <c r="X899" s="347">
        <v>61.65</v>
      </c>
      <c r="Y899" s="357" t="s">
        <v>408</v>
      </c>
      <c r="Z899" s="365" t="s">
        <v>3017</v>
      </c>
      <c r="AA899" s="350">
        <v>196</v>
      </c>
      <c r="AB899" s="349" t="s">
        <v>2685</v>
      </c>
      <c r="AC899" s="350">
        <v>0</v>
      </c>
      <c r="AD899" s="349" t="s">
        <v>2685</v>
      </c>
      <c r="AE899" s="364">
        <v>0</v>
      </c>
      <c r="AF899" s="366">
        <v>0</v>
      </c>
      <c r="AG899" s="363">
        <v>0</v>
      </c>
      <c r="AH899" s="635" t="s">
        <v>408</v>
      </c>
      <c r="AL899" s="487" t="s">
        <v>15255</v>
      </c>
      <c r="AM899" s="477" t="s">
        <v>71</v>
      </c>
      <c r="AN899" s="637">
        <v>100</v>
      </c>
      <c r="AO899" s="478">
        <v>-1476</v>
      </c>
      <c r="AP899" s="463">
        <v>-712</v>
      </c>
      <c r="AQ899" s="479">
        <v>-764</v>
      </c>
      <c r="AR899" s="476" t="s">
        <v>17034</v>
      </c>
      <c r="BA899" s="313" t="s">
        <v>4618</v>
      </c>
    </row>
    <row r="900" spans="2:53" ht="16.5" customHeight="1">
      <c r="B900" s="367" t="s">
        <v>10444</v>
      </c>
      <c r="C900" s="351" t="s">
        <v>10445</v>
      </c>
      <c r="D900" s="353">
        <v>-1477</v>
      </c>
      <c r="E900" s="352" t="s">
        <v>408</v>
      </c>
      <c r="F900" s="341">
        <v>85.26</v>
      </c>
      <c r="G900" s="355" t="s">
        <v>10381</v>
      </c>
      <c r="H900" s="356" t="s">
        <v>4351</v>
      </c>
      <c r="I900" s="354" t="s">
        <v>254</v>
      </c>
      <c r="J900" s="340" t="s">
        <v>10449</v>
      </c>
      <c r="K900" s="339" t="s">
        <v>71</v>
      </c>
      <c r="L900" s="357">
        <v>9</v>
      </c>
      <c r="M900" s="358" t="s">
        <v>10450</v>
      </c>
      <c r="N900" s="359">
        <v>1000</v>
      </c>
      <c r="O900" s="360" t="s">
        <v>532</v>
      </c>
      <c r="P900" s="343" t="s">
        <v>533</v>
      </c>
      <c r="Q900" s="342" t="s">
        <v>2688</v>
      </c>
      <c r="R900" s="344">
        <v>35</v>
      </c>
      <c r="S900" s="345">
        <v>25</v>
      </c>
      <c r="T900" s="362">
        <v>20</v>
      </c>
      <c r="U900" s="361">
        <v>85.26</v>
      </c>
      <c r="V900" s="346">
        <v>122.10835263836422</v>
      </c>
      <c r="W900" s="348">
        <v>121.02842225343015</v>
      </c>
      <c r="X900" s="347">
        <v>61.65</v>
      </c>
      <c r="Y900" s="357">
        <v>62.14</v>
      </c>
      <c r="Z900" s="365" t="s">
        <v>3017</v>
      </c>
      <c r="AA900" s="350">
        <v>196</v>
      </c>
      <c r="AB900" s="349" t="s">
        <v>2685</v>
      </c>
      <c r="AC900" s="350">
        <v>3</v>
      </c>
      <c r="AD900" s="349" t="s">
        <v>2685</v>
      </c>
      <c r="AE900" s="364">
        <v>0</v>
      </c>
      <c r="AF900" s="366">
        <v>0</v>
      </c>
      <c r="AG900" s="363">
        <v>0</v>
      </c>
      <c r="AH900" s="635" t="s">
        <v>408</v>
      </c>
      <c r="AL900" s="487" t="s">
        <v>15256</v>
      </c>
      <c r="AM900" s="477" t="s">
        <v>71</v>
      </c>
      <c r="AN900" s="637">
        <v>100</v>
      </c>
      <c r="AO900" s="478">
        <v>-1477</v>
      </c>
      <c r="AP900" s="463">
        <v>-713</v>
      </c>
      <c r="AQ900" s="479">
        <v>-764</v>
      </c>
      <c r="AR900" s="476" t="s">
        <v>17034</v>
      </c>
      <c r="BA900" s="313" t="s">
        <v>4623</v>
      </c>
    </row>
    <row r="901" spans="2:53" ht="16.5" customHeight="1">
      <c r="B901" s="367" t="s">
        <v>4486</v>
      </c>
      <c r="C901" s="351" t="s">
        <v>4487</v>
      </c>
      <c r="D901" s="353">
        <v>-1478</v>
      </c>
      <c r="E901" s="352" t="s">
        <v>4699</v>
      </c>
      <c r="F901" s="341">
        <v>85.25</v>
      </c>
      <c r="G901" s="355" t="s">
        <v>10386</v>
      </c>
      <c r="H901" s="356" t="s">
        <v>18696</v>
      </c>
      <c r="I901" s="354" t="s">
        <v>236</v>
      </c>
      <c r="J901" s="340" t="s">
        <v>8659</v>
      </c>
      <c r="K901" s="339" t="s">
        <v>71</v>
      </c>
      <c r="L901" s="357">
        <v>32</v>
      </c>
      <c r="M901" s="358" t="s">
        <v>10451</v>
      </c>
      <c r="N901" s="359">
        <v>1000</v>
      </c>
      <c r="O901" s="360" t="s">
        <v>532</v>
      </c>
      <c r="P901" s="343" t="s">
        <v>533</v>
      </c>
      <c r="Q901" s="342" t="s">
        <v>2688</v>
      </c>
      <c r="R901" s="344">
        <v>25</v>
      </c>
      <c r="S901" s="345">
        <v>35</v>
      </c>
      <c r="T901" s="362">
        <v>20</v>
      </c>
      <c r="U901" s="361">
        <v>85.25</v>
      </c>
      <c r="V901" s="346">
        <v>122.10034724347823</v>
      </c>
      <c r="W901" s="348">
        <v>121.02296402964424</v>
      </c>
      <c r="X901" s="347">
        <v>61.64</v>
      </c>
      <c r="Y901" s="357">
        <v>62.15</v>
      </c>
      <c r="Z901" s="365" t="s">
        <v>3017</v>
      </c>
      <c r="AA901" s="350">
        <v>194</v>
      </c>
      <c r="AB901" s="349" t="s">
        <v>2685</v>
      </c>
      <c r="AC901" s="350">
        <v>4</v>
      </c>
      <c r="AD901" s="349" t="s">
        <v>2685</v>
      </c>
      <c r="AE901" s="364">
        <v>0</v>
      </c>
      <c r="AF901" s="366">
        <v>0</v>
      </c>
      <c r="AG901" s="363">
        <v>0</v>
      </c>
      <c r="AH901" s="635" t="s">
        <v>408</v>
      </c>
      <c r="AL901" s="487" t="s">
        <v>15257</v>
      </c>
      <c r="AM901" s="477" t="s">
        <v>71</v>
      </c>
      <c r="AN901" s="637">
        <v>100</v>
      </c>
      <c r="AO901" s="478">
        <v>-1478</v>
      </c>
      <c r="AP901" s="463">
        <v>-713</v>
      </c>
      <c r="AQ901" s="479">
        <v>-765</v>
      </c>
      <c r="AR901" s="476" t="s">
        <v>17035</v>
      </c>
      <c r="BA901" s="313" t="s">
        <v>4628</v>
      </c>
    </row>
    <row r="902" spans="2:53" ht="16.5" customHeight="1">
      <c r="B902" s="367" t="s">
        <v>10452</v>
      </c>
      <c r="C902" s="351" t="s">
        <v>10453</v>
      </c>
      <c r="D902" s="353">
        <v>-1479</v>
      </c>
      <c r="E902" s="352" t="s">
        <v>10276</v>
      </c>
      <c r="F902" s="341">
        <v>85.24</v>
      </c>
      <c r="G902" s="355" t="s">
        <v>10454</v>
      </c>
      <c r="H902" s="356" t="s">
        <v>10469</v>
      </c>
      <c r="I902" s="354" t="s">
        <v>237</v>
      </c>
      <c r="J902" s="340" t="s">
        <v>9090</v>
      </c>
      <c r="K902" s="339" t="s">
        <v>70</v>
      </c>
      <c r="L902" s="357">
        <v>16</v>
      </c>
      <c r="M902" s="358" t="s">
        <v>10456</v>
      </c>
      <c r="N902" s="359">
        <v>1000</v>
      </c>
      <c r="O902" s="360" t="s">
        <v>530</v>
      </c>
      <c r="P902" s="343" t="s">
        <v>530</v>
      </c>
      <c r="Q902" s="342" t="s">
        <v>2688</v>
      </c>
      <c r="R902" s="344">
        <v>20</v>
      </c>
      <c r="S902" s="345">
        <v>30</v>
      </c>
      <c r="T902" s="362">
        <v>30</v>
      </c>
      <c r="U902" s="361">
        <v>85.24</v>
      </c>
      <c r="V902" s="346">
        <v>122.09355741411024</v>
      </c>
      <c r="W902" s="348">
        <v>121.01833460052971</v>
      </c>
      <c r="X902" s="347">
        <v>61.4</v>
      </c>
      <c r="Y902" s="357" t="s">
        <v>408</v>
      </c>
      <c r="Z902" s="365" t="s">
        <v>3017</v>
      </c>
      <c r="AA902" s="350">
        <v>196</v>
      </c>
      <c r="AB902" s="349" t="s">
        <v>2685</v>
      </c>
      <c r="AC902" s="350">
        <v>0</v>
      </c>
      <c r="AD902" s="349" t="s">
        <v>2685</v>
      </c>
      <c r="AE902" s="364">
        <v>0</v>
      </c>
      <c r="AF902" s="366">
        <v>10.972</v>
      </c>
      <c r="AG902" s="363">
        <v>0</v>
      </c>
      <c r="AH902" s="635" t="s">
        <v>9931</v>
      </c>
      <c r="AL902" s="487" t="s">
        <v>15258</v>
      </c>
      <c r="AM902" s="477" t="s">
        <v>70</v>
      </c>
      <c r="AN902" s="637">
        <v>100</v>
      </c>
      <c r="AO902" s="478">
        <v>-1479</v>
      </c>
      <c r="AP902" s="463">
        <v>-1479</v>
      </c>
      <c r="AQ902" s="479">
        <v>0</v>
      </c>
      <c r="AR902" s="476" t="s">
        <v>15259</v>
      </c>
      <c r="BA902" s="313" t="s">
        <v>4631</v>
      </c>
    </row>
    <row r="903" spans="2:53" ht="16.5" customHeight="1">
      <c r="B903" s="367" t="s">
        <v>10457</v>
      </c>
      <c r="C903" s="351" t="s">
        <v>10458</v>
      </c>
      <c r="D903" s="353">
        <v>-1480</v>
      </c>
      <c r="E903" s="352" t="s">
        <v>408</v>
      </c>
      <c r="F903" s="341">
        <v>85.21</v>
      </c>
      <c r="G903" s="355" t="s">
        <v>4692</v>
      </c>
      <c r="H903" s="356" t="s">
        <v>10459</v>
      </c>
      <c r="I903" s="354" t="s">
        <v>236</v>
      </c>
      <c r="J903" s="340" t="s">
        <v>10460</v>
      </c>
      <c r="K903" s="339" t="s">
        <v>70</v>
      </c>
      <c r="L903" s="357">
        <v>22</v>
      </c>
      <c r="M903" s="358" t="s">
        <v>10461</v>
      </c>
      <c r="N903" s="359">
        <v>1000</v>
      </c>
      <c r="O903" s="360" t="s">
        <v>532</v>
      </c>
      <c r="P903" s="343" t="s">
        <v>533</v>
      </c>
      <c r="Q903" s="342" t="s">
        <v>2688</v>
      </c>
      <c r="R903" s="344">
        <v>20</v>
      </c>
      <c r="S903" s="345">
        <v>35</v>
      </c>
      <c r="T903" s="362">
        <v>25</v>
      </c>
      <c r="U903" s="361">
        <v>85.21</v>
      </c>
      <c r="V903" s="346">
        <v>122.07628332728736</v>
      </c>
      <c r="W903" s="348">
        <v>121.00655681405956</v>
      </c>
      <c r="X903" s="347">
        <v>61.39</v>
      </c>
      <c r="Y903" s="357">
        <v>62.14</v>
      </c>
      <c r="Z903" s="365" t="s">
        <v>3017</v>
      </c>
      <c r="AA903" s="350">
        <v>194</v>
      </c>
      <c r="AB903" s="349" t="s">
        <v>2685</v>
      </c>
      <c r="AC903" s="350">
        <v>4</v>
      </c>
      <c r="AD903" s="349" t="s">
        <v>2685</v>
      </c>
      <c r="AE903" s="364">
        <v>0</v>
      </c>
      <c r="AF903" s="366">
        <v>10.311</v>
      </c>
      <c r="AG903" s="363">
        <v>0</v>
      </c>
      <c r="AH903" s="635" t="s">
        <v>8990</v>
      </c>
      <c r="AL903" s="487" t="s">
        <v>15260</v>
      </c>
      <c r="AM903" s="477" t="s">
        <v>70</v>
      </c>
      <c r="AN903" s="637">
        <v>100</v>
      </c>
      <c r="AO903" s="478">
        <v>-1480</v>
      </c>
      <c r="AP903" s="463">
        <v>-1480</v>
      </c>
      <c r="AQ903" s="479">
        <v>0</v>
      </c>
      <c r="AR903" s="476" t="s">
        <v>15261</v>
      </c>
      <c r="BA903" s="313" t="s">
        <v>4635</v>
      </c>
    </row>
    <row r="904" spans="2:53" ht="16.5" customHeight="1">
      <c r="B904" s="367" t="s">
        <v>4496</v>
      </c>
      <c r="C904" s="351" t="s">
        <v>4497</v>
      </c>
      <c r="D904" s="353">
        <v>-1481</v>
      </c>
      <c r="E904" s="352" t="s">
        <v>408</v>
      </c>
      <c r="F904" s="341">
        <v>85.19</v>
      </c>
      <c r="G904" s="355" t="s">
        <v>4702</v>
      </c>
      <c r="H904" s="356" t="s">
        <v>10446</v>
      </c>
      <c r="I904" s="354" t="s">
        <v>239</v>
      </c>
      <c r="J904" s="340" t="s">
        <v>10462</v>
      </c>
      <c r="K904" s="339" t="s">
        <v>70</v>
      </c>
      <c r="L904" s="357">
        <v>17</v>
      </c>
      <c r="M904" s="358" t="s">
        <v>10463</v>
      </c>
      <c r="N904" s="359">
        <v>1000</v>
      </c>
      <c r="O904" s="360" t="s">
        <v>454</v>
      </c>
      <c r="P904" s="343" t="s">
        <v>454</v>
      </c>
      <c r="Q904" s="342" t="s">
        <v>2738</v>
      </c>
      <c r="R904" s="344">
        <v>25</v>
      </c>
      <c r="S904" s="345">
        <v>35</v>
      </c>
      <c r="T904" s="362">
        <v>20</v>
      </c>
      <c r="U904" s="361">
        <v>85.19</v>
      </c>
      <c r="V904" s="346">
        <v>122.05833333333332</v>
      </c>
      <c r="W904" s="348">
        <v>120.99166666666666</v>
      </c>
      <c r="X904" s="347">
        <v>61.38</v>
      </c>
      <c r="Y904" s="357" t="s">
        <v>408</v>
      </c>
      <c r="Z904" s="365" t="s">
        <v>3017</v>
      </c>
      <c r="AA904" s="350">
        <v>195</v>
      </c>
      <c r="AB904" s="349" t="s">
        <v>2685</v>
      </c>
      <c r="AC904" s="350">
        <v>10</v>
      </c>
      <c r="AD904" s="349" t="s">
        <v>2685</v>
      </c>
      <c r="AE904" s="364">
        <v>0</v>
      </c>
      <c r="AF904" s="366">
        <v>0</v>
      </c>
      <c r="AG904" s="363">
        <v>0</v>
      </c>
      <c r="AH904" s="635" t="s">
        <v>408</v>
      </c>
      <c r="AL904" s="487" t="s">
        <v>15262</v>
      </c>
      <c r="AM904" s="477" t="s">
        <v>70</v>
      </c>
      <c r="AN904" s="637">
        <v>100</v>
      </c>
      <c r="AO904" s="478">
        <v>-1481</v>
      </c>
      <c r="AP904" s="463">
        <v>-1481</v>
      </c>
      <c r="AQ904" s="479">
        <v>0</v>
      </c>
      <c r="AR904" s="476" t="s">
        <v>15263</v>
      </c>
      <c r="BA904" s="313" t="s">
        <v>4639</v>
      </c>
    </row>
    <row r="905" spans="2:53" ht="16.5" customHeight="1">
      <c r="B905" s="367" t="s">
        <v>16523</v>
      </c>
      <c r="C905" s="351" t="s">
        <v>16524</v>
      </c>
      <c r="D905" s="353">
        <v>-1482</v>
      </c>
      <c r="E905" s="352" t="s">
        <v>408</v>
      </c>
      <c r="F905" s="341">
        <v>85.17</v>
      </c>
      <c r="G905" s="355" t="s">
        <v>10409</v>
      </c>
      <c r="H905" s="356" t="s">
        <v>18697</v>
      </c>
      <c r="I905" s="354" t="s">
        <v>236</v>
      </c>
      <c r="J905" s="340" t="s">
        <v>10466</v>
      </c>
      <c r="K905" s="339" t="s">
        <v>71</v>
      </c>
      <c r="L905" s="357">
        <v>33</v>
      </c>
      <c r="M905" s="358" t="s">
        <v>10467</v>
      </c>
      <c r="N905" s="359">
        <v>1000</v>
      </c>
      <c r="O905" s="360" t="s">
        <v>532</v>
      </c>
      <c r="P905" s="343" t="s">
        <v>533</v>
      </c>
      <c r="Q905" s="342" t="s">
        <v>2688</v>
      </c>
      <c r="R905" s="344">
        <v>35</v>
      </c>
      <c r="S905" s="345">
        <v>25</v>
      </c>
      <c r="T905" s="362">
        <v>20</v>
      </c>
      <c r="U905" s="361">
        <v>85.17</v>
      </c>
      <c r="V905" s="346">
        <v>122.04373420393793</v>
      </c>
      <c r="W905" s="348">
        <v>120.97706753727127</v>
      </c>
      <c r="X905" s="347">
        <v>61.61</v>
      </c>
      <c r="Y905" s="357">
        <v>62.12</v>
      </c>
      <c r="Z905" s="365" t="s">
        <v>3017</v>
      </c>
      <c r="AA905" s="350">
        <v>194</v>
      </c>
      <c r="AB905" s="349" t="s">
        <v>2685</v>
      </c>
      <c r="AC905" s="350">
        <v>4</v>
      </c>
      <c r="AD905" s="349" t="s">
        <v>2685</v>
      </c>
      <c r="AE905" s="364">
        <v>0</v>
      </c>
      <c r="AF905" s="366">
        <v>0</v>
      </c>
      <c r="AG905" s="363">
        <v>0</v>
      </c>
      <c r="AH905" s="635" t="s">
        <v>408</v>
      </c>
      <c r="AL905" s="487" t="s">
        <v>15265</v>
      </c>
      <c r="AM905" s="477" t="s">
        <v>71</v>
      </c>
      <c r="AN905" s="637">
        <v>100</v>
      </c>
      <c r="AO905" s="478">
        <v>-1482</v>
      </c>
      <c r="AP905" s="463">
        <v>-714</v>
      </c>
      <c r="AQ905" s="479">
        <v>-768</v>
      </c>
      <c r="AR905" s="476" t="s">
        <v>17036</v>
      </c>
      <c r="BA905" s="313" t="s">
        <v>4642</v>
      </c>
    </row>
    <row r="906" spans="2:53" ht="16.5" customHeight="1">
      <c r="B906" s="367" t="s">
        <v>4502</v>
      </c>
      <c r="C906" s="351" t="s">
        <v>4503</v>
      </c>
      <c r="D906" s="353">
        <v>-1483</v>
      </c>
      <c r="E906" s="352" t="s">
        <v>408</v>
      </c>
      <c r="F906" s="341">
        <v>85.15</v>
      </c>
      <c r="G906" s="355" t="s">
        <v>10470</v>
      </c>
      <c r="H906" s="356" t="s">
        <v>18698</v>
      </c>
      <c r="I906" s="354" t="s">
        <v>237</v>
      </c>
      <c r="J906" s="340" t="s">
        <v>10471</v>
      </c>
      <c r="K906" s="339" t="s">
        <v>70</v>
      </c>
      <c r="L906" s="357">
        <v>10</v>
      </c>
      <c r="M906" s="358" t="s">
        <v>10472</v>
      </c>
      <c r="N906" s="359">
        <v>1000</v>
      </c>
      <c r="O906" s="360" t="s">
        <v>530</v>
      </c>
      <c r="P906" s="343" t="s">
        <v>530</v>
      </c>
      <c r="Q906" s="342" t="s">
        <v>2688</v>
      </c>
      <c r="R906" s="344">
        <v>20</v>
      </c>
      <c r="S906" s="345">
        <v>30</v>
      </c>
      <c r="T906" s="362">
        <v>30</v>
      </c>
      <c r="U906" s="361">
        <v>85.15</v>
      </c>
      <c r="V906" s="346">
        <v>122.03164253636173</v>
      </c>
      <c r="W906" s="348">
        <v>120.96497586969507</v>
      </c>
      <c r="X906" s="347">
        <v>61.36</v>
      </c>
      <c r="Y906" s="357" t="s">
        <v>408</v>
      </c>
      <c r="Z906" s="365" t="s">
        <v>3017</v>
      </c>
      <c r="AA906" s="350">
        <v>196</v>
      </c>
      <c r="AB906" s="349" t="s">
        <v>2685</v>
      </c>
      <c r="AC906" s="350">
        <v>0</v>
      </c>
      <c r="AD906" s="349" t="s">
        <v>2685</v>
      </c>
      <c r="AE906" s="364">
        <v>0</v>
      </c>
      <c r="AF906" s="366">
        <v>10.965999999999999</v>
      </c>
      <c r="AG906" s="363">
        <v>0</v>
      </c>
      <c r="AH906" s="635" t="s">
        <v>9931</v>
      </c>
      <c r="AL906" s="487" t="s">
        <v>15266</v>
      </c>
      <c r="AM906" s="477" t="s">
        <v>70</v>
      </c>
      <c r="AN906" s="637">
        <v>100</v>
      </c>
      <c r="AO906" s="478">
        <v>-1483</v>
      </c>
      <c r="AP906" s="463">
        <v>-1483</v>
      </c>
      <c r="AQ906" s="479">
        <v>0</v>
      </c>
      <c r="AR906" s="476" t="s">
        <v>15267</v>
      </c>
      <c r="BA906" s="313" t="s">
        <v>4645</v>
      </c>
    </row>
    <row r="907" spans="2:53" ht="16.5" customHeight="1">
      <c r="B907" s="367" t="s">
        <v>10473</v>
      </c>
      <c r="C907" s="351" t="s">
        <v>10474</v>
      </c>
      <c r="D907" s="353">
        <v>-1484</v>
      </c>
      <c r="E907" s="352" t="s">
        <v>10276</v>
      </c>
      <c r="F907" s="341">
        <v>85.14</v>
      </c>
      <c r="G907" s="355" t="s">
        <v>4654</v>
      </c>
      <c r="H907" s="356" t="s">
        <v>10055</v>
      </c>
      <c r="I907" s="354" t="s">
        <v>237</v>
      </c>
      <c r="J907" s="340" t="s">
        <v>7353</v>
      </c>
      <c r="K907" s="339" t="s">
        <v>70</v>
      </c>
      <c r="L907" s="357">
        <v>13</v>
      </c>
      <c r="M907" s="358" t="s">
        <v>10475</v>
      </c>
      <c r="N907" s="359">
        <v>1000</v>
      </c>
      <c r="O907" s="360" t="s">
        <v>530</v>
      </c>
      <c r="P907" s="343" t="s">
        <v>530</v>
      </c>
      <c r="Q907" s="342" t="s">
        <v>2688</v>
      </c>
      <c r="R907" s="344">
        <v>20</v>
      </c>
      <c r="S907" s="345">
        <v>30</v>
      </c>
      <c r="T907" s="362">
        <v>30</v>
      </c>
      <c r="U907" s="361">
        <v>85.14</v>
      </c>
      <c r="V907" s="346">
        <v>122.02929031939969</v>
      </c>
      <c r="W907" s="348">
        <v>120.96262365273303</v>
      </c>
      <c r="X907" s="347">
        <v>61.36</v>
      </c>
      <c r="Y907" s="357" t="s">
        <v>408</v>
      </c>
      <c r="Z907" s="365" t="s">
        <v>3017</v>
      </c>
      <c r="AA907" s="350">
        <v>196</v>
      </c>
      <c r="AB907" s="349" t="s">
        <v>2685</v>
      </c>
      <c r="AC907" s="350">
        <v>0</v>
      </c>
      <c r="AD907" s="349" t="s">
        <v>2685</v>
      </c>
      <c r="AE907" s="364">
        <v>0</v>
      </c>
      <c r="AF907" s="366">
        <v>10.965999999999999</v>
      </c>
      <c r="AG907" s="363">
        <v>0</v>
      </c>
      <c r="AH907" s="635" t="s">
        <v>9931</v>
      </c>
      <c r="AL907" s="487" t="s">
        <v>15268</v>
      </c>
      <c r="AM907" s="477" t="s">
        <v>70</v>
      </c>
      <c r="AN907" s="637">
        <v>100</v>
      </c>
      <c r="AO907" s="478">
        <v>-1484</v>
      </c>
      <c r="AP907" s="463">
        <v>-1484</v>
      </c>
      <c r="AQ907" s="479">
        <v>0</v>
      </c>
      <c r="AR907" s="476" t="s">
        <v>15269</v>
      </c>
      <c r="BA907" s="313" t="s">
        <v>4646</v>
      </c>
    </row>
    <row r="908" spans="2:53" ht="16.5" customHeight="1">
      <c r="B908" s="367" t="s">
        <v>10476</v>
      </c>
      <c r="C908" s="351" t="s">
        <v>10477</v>
      </c>
      <c r="D908" s="353">
        <v>-1485</v>
      </c>
      <c r="E908" s="352" t="s">
        <v>10468</v>
      </c>
      <c r="F908" s="341">
        <v>85.12</v>
      </c>
      <c r="G908" s="355" t="s">
        <v>10478</v>
      </c>
      <c r="H908" s="356" t="s">
        <v>10479</v>
      </c>
      <c r="I908" s="354" t="s">
        <v>209</v>
      </c>
      <c r="J908" s="340" t="s">
        <v>10480</v>
      </c>
      <c r="K908" s="339" t="s">
        <v>70</v>
      </c>
      <c r="L908" s="357">
        <v>26</v>
      </c>
      <c r="M908" s="358" t="s">
        <v>4744</v>
      </c>
      <c r="N908" s="359">
        <v>1000</v>
      </c>
      <c r="O908" s="360" t="s">
        <v>530</v>
      </c>
      <c r="P908" s="343" t="s">
        <v>530</v>
      </c>
      <c r="Q908" s="342" t="s">
        <v>2688</v>
      </c>
      <c r="R908" s="344">
        <v>20</v>
      </c>
      <c r="S908" s="345">
        <v>30</v>
      </c>
      <c r="T908" s="362">
        <v>30</v>
      </c>
      <c r="U908" s="361">
        <v>85.12</v>
      </c>
      <c r="V908" s="346">
        <v>122.01623853642606</v>
      </c>
      <c r="W908" s="348">
        <v>120.9495718697594</v>
      </c>
      <c r="X908" s="347">
        <v>61.35</v>
      </c>
      <c r="Y908" s="357" t="s">
        <v>408</v>
      </c>
      <c r="Z908" s="365" t="s">
        <v>3017</v>
      </c>
      <c r="AA908" s="350">
        <v>198</v>
      </c>
      <c r="AB908" s="349" t="s">
        <v>2685</v>
      </c>
      <c r="AC908" s="350">
        <v>10</v>
      </c>
      <c r="AD908" s="349" t="s">
        <v>2685</v>
      </c>
      <c r="AE908" s="364">
        <v>0</v>
      </c>
      <c r="AF908" s="366">
        <v>0</v>
      </c>
      <c r="AG908" s="363">
        <v>0</v>
      </c>
      <c r="AH908" s="635" t="s">
        <v>408</v>
      </c>
      <c r="AL908" s="487" t="s">
        <v>15271</v>
      </c>
      <c r="AM908" s="477" t="s">
        <v>70</v>
      </c>
      <c r="AN908" s="637">
        <v>100</v>
      </c>
      <c r="AO908" s="478">
        <v>-1485</v>
      </c>
      <c r="AP908" s="463">
        <v>-1485</v>
      </c>
      <c r="AQ908" s="479">
        <v>0</v>
      </c>
      <c r="AR908" s="476" t="s">
        <v>15272</v>
      </c>
      <c r="BA908" s="313" t="s">
        <v>4648</v>
      </c>
    </row>
    <row r="909" spans="2:53" ht="16.5" customHeight="1">
      <c r="B909" s="367" t="s">
        <v>4507</v>
      </c>
      <c r="C909" s="351" t="s">
        <v>4508</v>
      </c>
      <c r="D909" s="353">
        <v>-1486</v>
      </c>
      <c r="E909" s="352" t="s">
        <v>10468</v>
      </c>
      <c r="F909" s="341">
        <v>85.1</v>
      </c>
      <c r="G909" s="355" t="s">
        <v>4727</v>
      </c>
      <c r="H909" s="356" t="s">
        <v>10481</v>
      </c>
      <c r="I909" s="354" t="s">
        <v>236</v>
      </c>
      <c r="J909" s="340" t="s">
        <v>9074</v>
      </c>
      <c r="K909" s="339" t="s">
        <v>70</v>
      </c>
      <c r="L909" s="357">
        <v>28</v>
      </c>
      <c r="M909" s="358" t="s">
        <v>10482</v>
      </c>
      <c r="N909" s="359">
        <v>1000</v>
      </c>
      <c r="O909" s="360" t="s">
        <v>532</v>
      </c>
      <c r="P909" s="343" t="s">
        <v>533</v>
      </c>
      <c r="Q909" s="342" t="s">
        <v>2688</v>
      </c>
      <c r="R909" s="344">
        <v>20</v>
      </c>
      <c r="S909" s="345">
        <v>35</v>
      </c>
      <c r="T909" s="362">
        <v>25</v>
      </c>
      <c r="U909" s="361">
        <v>85.1</v>
      </c>
      <c r="V909" s="346">
        <v>122.0004198403423</v>
      </c>
      <c r="W909" s="348">
        <v>120.93375317367564</v>
      </c>
      <c r="X909" s="347">
        <v>61.34</v>
      </c>
      <c r="Y909" s="357">
        <v>62.1</v>
      </c>
      <c r="Z909" s="365" t="s">
        <v>3017</v>
      </c>
      <c r="AA909" s="350">
        <v>194</v>
      </c>
      <c r="AB909" s="349" t="s">
        <v>2685</v>
      </c>
      <c r="AC909" s="350">
        <v>4</v>
      </c>
      <c r="AD909" s="349" t="s">
        <v>2685</v>
      </c>
      <c r="AE909" s="364">
        <v>0</v>
      </c>
      <c r="AF909" s="366">
        <v>12.72</v>
      </c>
      <c r="AG909" s="363">
        <v>0</v>
      </c>
      <c r="AH909" s="635" t="s">
        <v>408</v>
      </c>
      <c r="AL909" s="487" t="s">
        <v>15273</v>
      </c>
      <c r="AM909" s="477" t="s">
        <v>70</v>
      </c>
      <c r="AN909" s="637">
        <v>100</v>
      </c>
      <c r="AO909" s="478">
        <v>-1486</v>
      </c>
      <c r="AP909" s="463">
        <v>-1486</v>
      </c>
      <c r="AQ909" s="479">
        <v>0</v>
      </c>
      <c r="AR909" s="476" t="s">
        <v>15274</v>
      </c>
      <c r="BA909" s="313" t="s">
        <v>4651</v>
      </c>
    </row>
    <row r="910" spans="2:53" ht="16.5" customHeight="1">
      <c r="B910" s="367" t="s">
        <v>10483</v>
      </c>
      <c r="C910" s="351" t="s">
        <v>10484</v>
      </c>
      <c r="D910" s="353">
        <v>-1486</v>
      </c>
      <c r="E910" s="352" t="s">
        <v>10468</v>
      </c>
      <c r="F910" s="341">
        <v>85.09</v>
      </c>
      <c r="G910" s="355" t="s">
        <v>10485</v>
      </c>
      <c r="H910" s="356" t="s">
        <v>10486</v>
      </c>
      <c r="I910" s="354" t="s">
        <v>236</v>
      </c>
      <c r="J910" s="340" t="s">
        <v>8168</v>
      </c>
      <c r="K910" s="339" t="s">
        <v>70</v>
      </c>
      <c r="L910" s="357">
        <v>30</v>
      </c>
      <c r="M910" s="358" t="s">
        <v>10487</v>
      </c>
      <c r="N910" s="359">
        <v>1000</v>
      </c>
      <c r="O910" s="360" t="s">
        <v>532</v>
      </c>
      <c r="P910" s="343" t="s">
        <v>533</v>
      </c>
      <c r="Q910" s="342" t="s">
        <v>2688</v>
      </c>
      <c r="R910" s="344">
        <v>20</v>
      </c>
      <c r="S910" s="345">
        <v>35</v>
      </c>
      <c r="T910" s="362">
        <v>25</v>
      </c>
      <c r="U910" s="361">
        <v>85.09</v>
      </c>
      <c r="V910" s="346">
        <v>121.99195283772214</v>
      </c>
      <c r="W910" s="348">
        <v>120.92528617105548</v>
      </c>
      <c r="X910" s="347">
        <v>61.34</v>
      </c>
      <c r="Y910" s="357">
        <v>62.1</v>
      </c>
      <c r="Z910" s="365" t="s">
        <v>3017</v>
      </c>
      <c r="AA910" s="350">
        <v>194</v>
      </c>
      <c r="AB910" s="349" t="s">
        <v>2685</v>
      </c>
      <c r="AC910" s="350">
        <v>4</v>
      </c>
      <c r="AD910" s="349" t="s">
        <v>2685</v>
      </c>
      <c r="AE910" s="364">
        <v>0</v>
      </c>
      <c r="AF910" s="366">
        <v>12.718999999999999</v>
      </c>
      <c r="AG910" s="363">
        <v>0</v>
      </c>
      <c r="AH910" s="635" t="s">
        <v>408</v>
      </c>
      <c r="AL910" s="487" t="s">
        <v>15275</v>
      </c>
      <c r="AM910" s="477" t="s">
        <v>70</v>
      </c>
      <c r="AN910" s="637">
        <v>100</v>
      </c>
      <c r="AO910" s="478">
        <v>-1486</v>
      </c>
      <c r="AP910" s="463">
        <v>-1486</v>
      </c>
      <c r="AQ910" s="479">
        <v>0</v>
      </c>
      <c r="AR910" s="476" t="s">
        <v>15276</v>
      </c>
      <c r="BA910" s="313" t="s">
        <v>4655</v>
      </c>
    </row>
    <row r="911" spans="2:53" ht="16.5" customHeight="1">
      <c r="B911" s="367" t="s">
        <v>10430</v>
      </c>
      <c r="C911" s="351" t="s">
        <v>10431</v>
      </c>
      <c r="D911" s="353">
        <v>-1487</v>
      </c>
      <c r="E911" s="352" t="s">
        <v>408</v>
      </c>
      <c r="F911" s="341">
        <v>85.07</v>
      </c>
      <c r="G911" s="355" t="s">
        <v>10432</v>
      </c>
      <c r="H911" s="356" t="s">
        <v>10582</v>
      </c>
      <c r="I911" s="354" t="s">
        <v>237</v>
      </c>
      <c r="J911" s="340" t="s">
        <v>7249</v>
      </c>
      <c r="K911" s="339" t="s">
        <v>71</v>
      </c>
      <c r="L911" s="357">
        <v>166</v>
      </c>
      <c r="M911" s="358" t="s">
        <v>4693</v>
      </c>
      <c r="N911" s="359">
        <v>1000</v>
      </c>
      <c r="O911" s="360" t="s">
        <v>530</v>
      </c>
      <c r="P911" s="343" t="s">
        <v>530</v>
      </c>
      <c r="Q911" s="342" t="s">
        <v>2688</v>
      </c>
      <c r="R911" s="344">
        <v>30</v>
      </c>
      <c r="S911" s="345">
        <v>30</v>
      </c>
      <c r="T911" s="362">
        <v>20</v>
      </c>
      <c r="U911" s="361">
        <v>85.07</v>
      </c>
      <c r="V911" s="346">
        <v>121.97864346455994</v>
      </c>
      <c r="W911" s="348">
        <v>120.91197679789326</v>
      </c>
      <c r="X911" s="347">
        <v>61.58</v>
      </c>
      <c r="Y911" s="357" t="s">
        <v>408</v>
      </c>
      <c r="Z911" s="365" t="s">
        <v>3017</v>
      </c>
      <c r="AA911" s="350">
        <v>196</v>
      </c>
      <c r="AB911" s="349" t="s">
        <v>2685</v>
      </c>
      <c r="AC911" s="350">
        <v>0</v>
      </c>
      <c r="AD911" s="349" t="s">
        <v>2685</v>
      </c>
      <c r="AE911" s="364">
        <v>0</v>
      </c>
      <c r="AF911" s="366">
        <v>0</v>
      </c>
      <c r="AG911" s="363">
        <v>0</v>
      </c>
      <c r="AH911" s="635" t="s">
        <v>408</v>
      </c>
      <c r="AL911" s="487" t="s">
        <v>15277</v>
      </c>
      <c r="AM911" s="477" t="s">
        <v>71</v>
      </c>
      <c r="AN911" s="637">
        <v>100</v>
      </c>
      <c r="AO911" s="478">
        <v>-1487</v>
      </c>
      <c r="AP911" s="463">
        <v>-716</v>
      </c>
      <c r="AQ911" s="479">
        <v>-771</v>
      </c>
      <c r="AR911" s="476" t="s">
        <v>17037</v>
      </c>
      <c r="BA911" s="313" t="s">
        <v>4659</v>
      </c>
    </row>
    <row r="912" spans="2:53" ht="16.5" customHeight="1">
      <c r="B912" s="367" t="s">
        <v>10430</v>
      </c>
      <c r="C912" s="351" t="s">
        <v>10431</v>
      </c>
      <c r="D912" s="353">
        <v>-1487</v>
      </c>
      <c r="E912" s="352" t="s">
        <v>408</v>
      </c>
      <c r="F912" s="341">
        <v>85.07</v>
      </c>
      <c r="G912" s="355" t="s">
        <v>10432</v>
      </c>
      <c r="H912" s="356" t="s">
        <v>10582</v>
      </c>
      <c r="I912" s="354" t="s">
        <v>237</v>
      </c>
      <c r="J912" s="340" t="s">
        <v>8726</v>
      </c>
      <c r="K912" s="339" t="s">
        <v>71</v>
      </c>
      <c r="L912" s="357">
        <v>9</v>
      </c>
      <c r="M912" s="358" t="s">
        <v>4693</v>
      </c>
      <c r="N912" s="359">
        <v>1000</v>
      </c>
      <c r="O912" s="360" t="s">
        <v>530</v>
      </c>
      <c r="P912" s="343" t="s">
        <v>530</v>
      </c>
      <c r="Q912" s="342" t="s">
        <v>2688</v>
      </c>
      <c r="R912" s="344">
        <v>30</v>
      </c>
      <c r="S912" s="345">
        <v>30</v>
      </c>
      <c r="T912" s="362">
        <v>20</v>
      </c>
      <c r="U912" s="361">
        <v>85.07</v>
      </c>
      <c r="V912" s="346">
        <v>121.97864346455994</v>
      </c>
      <c r="W912" s="348">
        <v>120.91197679789326</v>
      </c>
      <c r="X912" s="347">
        <v>61.58</v>
      </c>
      <c r="Y912" s="357" t="s">
        <v>408</v>
      </c>
      <c r="Z912" s="365" t="s">
        <v>3017</v>
      </c>
      <c r="AA912" s="350">
        <v>196</v>
      </c>
      <c r="AB912" s="349" t="s">
        <v>2685</v>
      </c>
      <c r="AC912" s="350">
        <v>0</v>
      </c>
      <c r="AD912" s="349" t="s">
        <v>2685</v>
      </c>
      <c r="AE912" s="364">
        <v>0</v>
      </c>
      <c r="AF912" s="366">
        <v>0</v>
      </c>
      <c r="AG912" s="363">
        <v>0</v>
      </c>
      <c r="AH912" s="635" t="s">
        <v>408</v>
      </c>
      <c r="AL912" s="487" t="s">
        <v>15279</v>
      </c>
      <c r="AM912" s="477" t="s">
        <v>71</v>
      </c>
      <c r="AN912" s="637">
        <v>100</v>
      </c>
      <c r="AO912" s="478">
        <v>-1487</v>
      </c>
      <c r="AP912" s="463">
        <v>-716</v>
      </c>
      <c r="AQ912" s="479">
        <v>-771</v>
      </c>
      <c r="AR912" s="476" t="s">
        <v>17037</v>
      </c>
      <c r="BA912" s="313" t="s">
        <v>4663</v>
      </c>
    </row>
    <row r="913" spans="2:53" ht="16.5" customHeight="1">
      <c r="B913" s="367" t="s">
        <v>10430</v>
      </c>
      <c r="C913" s="351" t="s">
        <v>10431</v>
      </c>
      <c r="D913" s="353">
        <v>-1488</v>
      </c>
      <c r="E913" s="352" t="s">
        <v>408</v>
      </c>
      <c r="F913" s="341">
        <v>85.07</v>
      </c>
      <c r="G913" s="355" t="s">
        <v>10432</v>
      </c>
      <c r="H913" s="356" t="s">
        <v>10582</v>
      </c>
      <c r="I913" s="354" t="s">
        <v>237</v>
      </c>
      <c r="J913" s="340" t="s">
        <v>9921</v>
      </c>
      <c r="K913" s="339" t="s">
        <v>71</v>
      </c>
      <c r="L913" s="357">
        <v>20</v>
      </c>
      <c r="M913" s="358" t="s">
        <v>4693</v>
      </c>
      <c r="N913" s="359">
        <v>1000</v>
      </c>
      <c r="O913" s="360" t="s">
        <v>530</v>
      </c>
      <c r="P913" s="343" t="s">
        <v>530</v>
      </c>
      <c r="Q913" s="342" t="s">
        <v>2688</v>
      </c>
      <c r="R913" s="344">
        <v>30</v>
      </c>
      <c r="S913" s="345">
        <v>30</v>
      </c>
      <c r="T913" s="362">
        <v>20</v>
      </c>
      <c r="U913" s="361">
        <v>85.07</v>
      </c>
      <c r="V913" s="346">
        <v>121.97864346455994</v>
      </c>
      <c r="W913" s="348">
        <v>120.91197679789326</v>
      </c>
      <c r="X913" s="347">
        <v>61.58</v>
      </c>
      <c r="Y913" s="357" t="s">
        <v>408</v>
      </c>
      <c r="Z913" s="365" t="s">
        <v>3017</v>
      </c>
      <c r="AA913" s="350">
        <v>196</v>
      </c>
      <c r="AB913" s="349" t="s">
        <v>2685</v>
      </c>
      <c r="AC913" s="350">
        <v>0</v>
      </c>
      <c r="AD913" s="349" t="s">
        <v>2685</v>
      </c>
      <c r="AE913" s="364">
        <v>0</v>
      </c>
      <c r="AF913" s="366">
        <v>0</v>
      </c>
      <c r="AG913" s="363">
        <v>0</v>
      </c>
      <c r="AH913" s="635" t="s">
        <v>408</v>
      </c>
      <c r="AL913" s="487" t="s">
        <v>15280</v>
      </c>
      <c r="AM913" s="477" t="s">
        <v>71</v>
      </c>
      <c r="AN913" s="637">
        <v>100</v>
      </c>
      <c r="AO913" s="478">
        <v>-1488</v>
      </c>
      <c r="AP913" s="463">
        <v>-716</v>
      </c>
      <c r="AQ913" s="479">
        <v>-772</v>
      </c>
      <c r="AR913" s="476" t="s">
        <v>17037</v>
      </c>
      <c r="BA913" s="313" t="s">
        <v>4667</v>
      </c>
    </row>
    <row r="914" spans="2:53" ht="16.5" customHeight="1">
      <c r="B914" s="367" t="s">
        <v>10488</v>
      </c>
      <c r="C914" s="351" t="s">
        <v>10489</v>
      </c>
      <c r="D914" s="353">
        <v>-1488</v>
      </c>
      <c r="E914" s="352" t="s">
        <v>408</v>
      </c>
      <c r="F914" s="341">
        <v>85.05</v>
      </c>
      <c r="G914" s="355" t="s">
        <v>4724</v>
      </c>
      <c r="H914" s="356" t="s">
        <v>4349</v>
      </c>
      <c r="I914" s="354" t="s">
        <v>236</v>
      </c>
      <c r="J914" s="340" t="s">
        <v>10490</v>
      </c>
      <c r="K914" s="339" t="s">
        <v>70</v>
      </c>
      <c r="L914" s="357">
        <v>11</v>
      </c>
      <c r="M914" s="358" t="s">
        <v>10491</v>
      </c>
      <c r="N914" s="359">
        <v>1000</v>
      </c>
      <c r="O914" s="360" t="s">
        <v>532</v>
      </c>
      <c r="P914" s="343" t="s">
        <v>533</v>
      </c>
      <c r="Q914" s="342" t="s">
        <v>2688</v>
      </c>
      <c r="R914" s="344">
        <v>20</v>
      </c>
      <c r="S914" s="345">
        <v>35</v>
      </c>
      <c r="T914" s="362">
        <v>25</v>
      </c>
      <c r="U914" s="361">
        <v>85.05</v>
      </c>
      <c r="V914" s="346">
        <v>121.96960991901507</v>
      </c>
      <c r="W914" s="348">
        <v>120.90294325234841</v>
      </c>
      <c r="X914" s="347">
        <v>61.33</v>
      </c>
      <c r="Y914" s="357">
        <v>62.08</v>
      </c>
      <c r="Z914" s="365" t="s">
        <v>3017</v>
      </c>
      <c r="AA914" s="350">
        <v>194</v>
      </c>
      <c r="AB914" s="349" t="s">
        <v>2685</v>
      </c>
      <c r="AC914" s="350">
        <v>4</v>
      </c>
      <c r="AD914" s="349" t="s">
        <v>2685</v>
      </c>
      <c r="AE914" s="364">
        <v>0</v>
      </c>
      <c r="AF914" s="366">
        <v>10.298</v>
      </c>
      <c r="AG914" s="363">
        <v>0</v>
      </c>
      <c r="AH914" s="635" t="s">
        <v>8990</v>
      </c>
      <c r="AL914" s="487" t="s">
        <v>15281</v>
      </c>
      <c r="AM914" s="477" t="s">
        <v>70</v>
      </c>
      <c r="AN914" s="637">
        <v>100</v>
      </c>
      <c r="AO914" s="478">
        <v>-1488</v>
      </c>
      <c r="AP914" s="463">
        <v>-1488</v>
      </c>
      <c r="AQ914" s="479">
        <v>0</v>
      </c>
      <c r="AR914" s="476" t="s">
        <v>15282</v>
      </c>
      <c r="BA914" s="313" t="s">
        <v>4670</v>
      </c>
    </row>
    <row r="915" spans="2:53" ht="16.5" customHeight="1">
      <c r="B915" s="367" t="s">
        <v>4496</v>
      </c>
      <c r="C915" s="351" t="s">
        <v>4497</v>
      </c>
      <c r="D915" s="353">
        <v>-1489</v>
      </c>
      <c r="E915" s="352" t="s">
        <v>408</v>
      </c>
      <c r="F915" s="341">
        <v>85.02</v>
      </c>
      <c r="G915" s="355" t="s">
        <v>18699</v>
      </c>
      <c r="H915" s="356" t="s">
        <v>4370</v>
      </c>
      <c r="I915" s="354" t="s">
        <v>215</v>
      </c>
      <c r="J915" s="340" t="s">
        <v>489</v>
      </c>
      <c r="K915" s="339" t="s">
        <v>71</v>
      </c>
      <c r="L915" s="357">
        <v>35</v>
      </c>
      <c r="M915" s="358" t="s">
        <v>10493</v>
      </c>
      <c r="N915" s="359">
        <v>1000</v>
      </c>
      <c r="O915" s="360" t="s">
        <v>530</v>
      </c>
      <c r="P915" s="343" t="s">
        <v>531</v>
      </c>
      <c r="Q915" s="342" t="s">
        <v>2688</v>
      </c>
      <c r="R915" s="344">
        <v>38</v>
      </c>
      <c r="S915" s="345">
        <v>25</v>
      </c>
      <c r="T915" s="362">
        <v>25</v>
      </c>
      <c r="U915" s="361">
        <v>85.02</v>
      </c>
      <c r="V915" s="346">
        <v>121.94527938342966</v>
      </c>
      <c r="W915" s="348">
        <v>120.87861271676299</v>
      </c>
      <c r="X915" s="347">
        <v>61.56</v>
      </c>
      <c r="Y915" s="357">
        <v>62.15</v>
      </c>
      <c r="Z915" s="365" t="s">
        <v>3017</v>
      </c>
      <c r="AA915" s="350">
        <v>121.25</v>
      </c>
      <c r="AB915" s="349" t="s">
        <v>2685</v>
      </c>
      <c r="AC915" s="350">
        <v>10</v>
      </c>
      <c r="AD915" s="349" t="s">
        <v>2685</v>
      </c>
      <c r="AE915" s="364">
        <v>0</v>
      </c>
      <c r="AF915" s="366">
        <v>0</v>
      </c>
      <c r="AG915" s="363">
        <v>0</v>
      </c>
      <c r="AH915" s="635" t="s">
        <v>8002</v>
      </c>
      <c r="AL915" s="487" t="s">
        <v>15283</v>
      </c>
      <c r="AM915" s="477" t="s">
        <v>71</v>
      </c>
      <c r="AN915" s="637">
        <v>100</v>
      </c>
      <c r="AO915" s="478">
        <v>-1489</v>
      </c>
      <c r="AP915" s="463">
        <v>-716</v>
      </c>
      <c r="AQ915" s="479">
        <v>-773</v>
      </c>
      <c r="AR915" s="476" t="s">
        <v>17038</v>
      </c>
      <c r="BA915" s="313" t="s">
        <v>4672</v>
      </c>
    </row>
    <row r="916" spans="2:53" ht="16.5" customHeight="1">
      <c r="B916" s="367" t="s">
        <v>4516</v>
      </c>
      <c r="C916" s="351" t="s">
        <v>4517</v>
      </c>
      <c r="D916" s="353">
        <v>-1489</v>
      </c>
      <c r="E916" s="352" t="s">
        <v>408</v>
      </c>
      <c r="F916" s="341">
        <v>84.97</v>
      </c>
      <c r="G916" s="355" t="s">
        <v>4732</v>
      </c>
      <c r="H916" s="356" t="s">
        <v>10494</v>
      </c>
      <c r="I916" s="354" t="s">
        <v>301</v>
      </c>
      <c r="J916" s="340" t="s">
        <v>419</v>
      </c>
      <c r="K916" s="339" t="s">
        <v>70</v>
      </c>
      <c r="L916" s="357">
        <v>125</v>
      </c>
      <c r="M916" s="358" t="s">
        <v>10495</v>
      </c>
      <c r="N916" s="359">
        <v>1000</v>
      </c>
      <c r="O916" s="360" t="s">
        <v>530</v>
      </c>
      <c r="P916" s="343" t="s">
        <v>531</v>
      </c>
      <c r="Q916" s="342" t="s">
        <v>2688</v>
      </c>
      <c r="R916" s="344">
        <v>20</v>
      </c>
      <c r="S916" s="345">
        <v>35</v>
      </c>
      <c r="T916" s="362">
        <v>25</v>
      </c>
      <c r="U916" s="361">
        <v>84.97</v>
      </c>
      <c r="V916" s="346">
        <v>121.91648362669875</v>
      </c>
      <c r="W916" s="348">
        <v>120.84981696003207</v>
      </c>
      <c r="X916" s="347">
        <v>61.3</v>
      </c>
      <c r="Y916" s="357">
        <v>62.05</v>
      </c>
      <c r="Z916" s="365" t="s">
        <v>3017</v>
      </c>
      <c r="AA916" s="350">
        <v>198</v>
      </c>
      <c r="AB916" s="349" t="s">
        <v>2685</v>
      </c>
      <c r="AC916" s="350">
        <v>10</v>
      </c>
      <c r="AD916" s="349" t="s">
        <v>2685</v>
      </c>
      <c r="AE916" s="364">
        <v>0</v>
      </c>
      <c r="AF916" s="366">
        <v>10.997999999999999</v>
      </c>
      <c r="AG916" s="363">
        <v>0</v>
      </c>
      <c r="AH916" s="635" t="s">
        <v>10496</v>
      </c>
      <c r="AL916" s="487" t="s">
        <v>7197</v>
      </c>
      <c r="AM916" s="477" t="s">
        <v>70</v>
      </c>
      <c r="AN916" s="637">
        <v>100</v>
      </c>
      <c r="AO916" s="478">
        <v>-1489</v>
      </c>
      <c r="AP916" s="463">
        <v>-1489</v>
      </c>
      <c r="AQ916" s="479">
        <v>0</v>
      </c>
      <c r="AR916" s="476" t="s">
        <v>15284</v>
      </c>
      <c r="BA916" s="313" t="s">
        <v>4676</v>
      </c>
    </row>
    <row r="917" spans="2:53" ht="16.5" customHeight="1">
      <c r="B917" s="367" t="s">
        <v>4519</v>
      </c>
      <c r="C917" s="351" t="s">
        <v>4520</v>
      </c>
      <c r="D917" s="353">
        <v>-1490</v>
      </c>
      <c r="E917" s="352" t="s">
        <v>10492</v>
      </c>
      <c r="F917" s="341">
        <v>84.96</v>
      </c>
      <c r="G917" s="355" t="s">
        <v>4710</v>
      </c>
      <c r="H917" s="356" t="s">
        <v>18700</v>
      </c>
      <c r="I917" s="354" t="s">
        <v>254</v>
      </c>
      <c r="J917" s="340" t="s">
        <v>10499</v>
      </c>
      <c r="K917" s="339" t="s">
        <v>71</v>
      </c>
      <c r="L917" s="357">
        <v>20</v>
      </c>
      <c r="M917" s="358" t="s">
        <v>10500</v>
      </c>
      <c r="N917" s="359">
        <v>1000</v>
      </c>
      <c r="O917" s="360" t="s">
        <v>532</v>
      </c>
      <c r="P917" s="343" t="s">
        <v>533</v>
      </c>
      <c r="Q917" s="342" t="s">
        <v>2688</v>
      </c>
      <c r="R917" s="344">
        <v>35</v>
      </c>
      <c r="S917" s="345">
        <v>25</v>
      </c>
      <c r="T917" s="362">
        <v>20</v>
      </c>
      <c r="U917" s="361">
        <v>84.96</v>
      </c>
      <c r="V917" s="346">
        <v>121.90655274186885</v>
      </c>
      <c r="W917" s="348">
        <v>120.83988607520219</v>
      </c>
      <c r="X917" s="347">
        <v>61.55</v>
      </c>
      <c r="Y917" s="357">
        <v>62.04</v>
      </c>
      <c r="Z917" s="365" t="s">
        <v>3017</v>
      </c>
      <c r="AA917" s="350">
        <v>196</v>
      </c>
      <c r="AB917" s="349" t="s">
        <v>2685</v>
      </c>
      <c r="AC917" s="350">
        <v>3</v>
      </c>
      <c r="AD917" s="349" t="s">
        <v>2685</v>
      </c>
      <c r="AE917" s="364">
        <v>0</v>
      </c>
      <c r="AF917" s="366">
        <v>0</v>
      </c>
      <c r="AG917" s="363">
        <v>0</v>
      </c>
      <c r="AH917" s="635" t="s">
        <v>408</v>
      </c>
      <c r="AL917" s="487" t="s">
        <v>15285</v>
      </c>
      <c r="AM917" s="477" t="s">
        <v>71</v>
      </c>
      <c r="AN917" s="637">
        <v>100</v>
      </c>
      <c r="AO917" s="478">
        <v>-1490</v>
      </c>
      <c r="AP917" s="463">
        <v>-716</v>
      </c>
      <c r="AQ917" s="479">
        <v>-774</v>
      </c>
      <c r="AR917" s="476" t="s">
        <v>17039</v>
      </c>
      <c r="BA917" s="313" t="s">
        <v>4678</v>
      </c>
    </row>
    <row r="918" spans="2:53" ht="16.5" customHeight="1">
      <c r="B918" s="367" t="s">
        <v>18212</v>
      </c>
      <c r="C918" s="351" t="s">
        <v>18213</v>
      </c>
      <c r="D918" s="353">
        <v>-1490</v>
      </c>
      <c r="E918" s="352" t="s">
        <v>408</v>
      </c>
      <c r="F918" s="341">
        <v>84.95</v>
      </c>
      <c r="G918" s="355" t="s">
        <v>18701</v>
      </c>
      <c r="H918" s="356" t="s">
        <v>18702</v>
      </c>
      <c r="I918" s="354" t="s">
        <v>9189</v>
      </c>
      <c r="J918" s="340" t="s">
        <v>10447</v>
      </c>
      <c r="K918" s="339" t="s">
        <v>70</v>
      </c>
      <c r="L918" s="357">
        <v>24</v>
      </c>
      <c r="M918" s="358" t="s">
        <v>10448</v>
      </c>
      <c r="N918" s="359">
        <v>1000</v>
      </c>
      <c r="O918" s="360" t="s">
        <v>532</v>
      </c>
      <c r="P918" s="343" t="s">
        <v>532</v>
      </c>
      <c r="Q918" s="342" t="s">
        <v>2688</v>
      </c>
      <c r="R918" s="344">
        <v>20</v>
      </c>
      <c r="S918" s="345">
        <v>35</v>
      </c>
      <c r="T918" s="362">
        <v>25</v>
      </c>
      <c r="U918" s="361">
        <v>84.95</v>
      </c>
      <c r="V918" s="346">
        <v>121.90198872815211</v>
      </c>
      <c r="W918" s="348">
        <v>120.83532206148543</v>
      </c>
      <c r="X918" s="347" t="s">
        <v>18703</v>
      </c>
      <c r="Y918" s="357" t="s">
        <v>408</v>
      </c>
      <c r="Z918" s="365" t="s">
        <v>3017</v>
      </c>
      <c r="AA918" s="350">
        <v>195.56</v>
      </c>
      <c r="AB918" s="349" t="s">
        <v>2685</v>
      </c>
      <c r="AC918" s="350">
        <v>0</v>
      </c>
      <c r="AD918" s="349" t="s">
        <v>2685</v>
      </c>
      <c r="AE918" s="364">
        <v>0</v>
      </c>
      <c r="AF918" s="366">
        <v>15.53</v>
      </c>
      <c r="AG918" s="363">
        <v>0</v>
      </c>
      <c r="AH918" s="635" t="s">
        <v>9517</v>
      </c>
      <c r="AL918" s="487" t="s">
        <v>15264</v>
      </c>
      <c r="AM918" s="477" t="s">
        <v>70</v>
      </c>
      <c r="AN918" s="637">
        <v>100</v>
      </c>
      <c r="AO918" s="478">
        <v>-1490</v>
      </c>
      <c r="AP918" s="463">
        <v>-1490</v>
      </c>
      <c r="AQ918" s="479">
        <v>0</v>
      </c>
      <c r="AR918" s="476" t="s">
        <v>17240</v>
      </c>
      <c r="BA918" s="313" t="s">
        <v>4683</v>
      </c>
    </row>
    <row r="919" spans="2:53" ht="16.5" customHeight="1">
      <c r="B919" s="367" t="s">
        <v>4523</v>
      </c>
      <c r="C919" s="351" t="s">
        <v>4524</v>
      </c>
      <c r="D919" s="353">
        <v>-1491</v>
      </c>
      <c r="E919" s="352" t="s">
        <v>4727</v>
      </c>
      <c r="F919" s="341">
        <v>84.92</v>
      </c>
      <c r="G919" s="355" t="s">
        <v>4743</v>
      </c>
      <c r="H919" s="356" t="s">
        <v>4359</v>
      </c>
      <c r="I919" s="354" t="s">
        <v>221</v>
      </c>
      <c r="J919" s="340" t="s">
        <v>7255</v>
      </c>
      <c r="K919" s="339" t="s">
        <v>70</v>
      </c>
      <c r="L919" s="357">
        <v>23</v>
      </c>
      <c r="M919" s="358" t="s">
        <v>10501</v>
      </c>
      <c r="N919" s="359">
        <v>1000</v>
      </c>
      <c r="O919" s="360" t="s">
        <v>532</v>
      </c>
      <c r="P919" s="343" t="s">
        <v>533</v>
      </c>
      <c r="Q919" s="342" t="s">
        <v>2688</v>
      </c>
      <c r="R919" s="344">
        <v>20</v>
      </c>
      <c r="S919" s="345">
        <v>35</v>
      </c>
      <c r="T919" s="362">
        <v>30</v>
      </c>
      <c r="U919" s="361">
        <v>84.92</v>
      </c>
      <c r="V919" s="346">
        <v>121.87849866783932</v>
      </c>
      <c r="W919" s="348">
        <v>120.81183200117266</v>
      </c>
      <c r="X919" s="347">
        <v>61.28</v>
      </c>
      <c r="Y919" s="357">
        <v>61.949999999999996</v>
      </c>
      <c r="Z919" s="365" t="s">
        <v>3017</v>
      </c>
      <c r="AA919" s="350">
        <v>144</v>
      </c>
      <c r="AB919" s="349" t="s">
        <v>2685</v>
      </c>
      <c r="AC919" s="350">
        <v>0</v>
      </c>
      <c r="AD919" s="349" t="s">
        <v>2685</v>
      </c>
      <c r="AE919" s="364">
        <v>0</v>
      </c>
      <c r="AF919" s="366">
        <v>17.018999999999998</v>
      </c>
      <c r="AG919" s="363">
        <v>0</v>
      </c>
      <c r="AH919" s="635" t="s">
        <v>7882</v>
      </c>
      <c r="AL919" s="487" t="s">
        <v>15286</v>
      </c>
      <c r="AM919" s="477" t="s">
        <v>70</v>
      </c>
      <c r="AN919" s="637">
        <v>100</v>
      </c>
      <c r="AO919" s="478">
        <v>-1491</v>
      </c>
      <c r="AP919" s="463">
        <v>-1491</v>
      </c>
      <c r="AQ919" s="479">
        <v>0</v>
      </c>
      <c r="AR919" s="476" t="s">
        <v>15287</v>
      </c>
      <c r="BA919" s="313" t="s">
        <v>4684</v>
      </c>
    </row>
    <row r="920" spans="2:53" ht="16.5" customHeight="1">
      <c r="B920" s="367" t="s">
        <v>4523</v>
      </c>
      <c r="C920" s="351" t="s">
        <v>4524</v>
      </c>
      <c r="D920" s="353">
        <v>-1491</v>
      </c>
      <c r="E920" s="352" t="s">
        <v>10497</v>
      </c>
      <c r="F920" s="341">
        <v>84.92</v>
      </c>
      <c r="G920" s="355" t="s">
        <v>4601</v>
      </c>
      <c r="H920" s="356" t="s">
        <v>10606</v>
      </c>
      <c r="I920" s="354" t="s">
        <v>254</v>
      </c>
      <c r="J920" s="340" t="s">
        <v>10502</v>
      </c>
      <c r="K920" s="339" t="s">
        <v>71</v>
      </c>
      <c r="L920" s="357">
        <v>5</v>
      </c>
      <c r="M920" s="358" t="s">
        <v>10503</v>
      </c>
      <c r="N920" s="359">
        <v>1000</v>
      </c>
      <c r="O920" s="360" t="s">
        <v>532</v>
      </c>
      <c r="P920" s="343" t="s">
        <v>533</v>
      </c>
      <c r="Q920" s="342" t="s">
        <v>2688</v>
      </c>
      <c r="R920" s="344">
        <v>35</v>
      </c>
      <c r="S920" s="345">
        <v>25</v>
      </c>
      <c r="T920" s="362">
        <v>20</v>
      </c>
      <c r="U920" s="361">
        <v>84.92</v>
      </c>
      <c r="V920" s="346">
        <v>121.88243019892569</v>
      </c>
      <c r="W920" s="348">
        <v>120.81576353225903</v>
      </c>
      <c r="X920" s="347">
        <v>61.54</v>
      </c>
      <c r="Y920" s="357">
        <v>62.03</v>
      </c>
      <c r="Z920" s="365" t="s">
        <v>3017</v>
      </c>
      <c r="AA920" s="350">
        <v>196</v>
      </c>
      <c r="AB920" s="349" t="s">
        <v>2685</v>
      </c>
      <c r="AC920" s="350">
        <v>3</v>
      </c>
      <c r="AD920" s="349" t="s">
        <v>2685</v>
      </c>
      <c r="AE920" s="364">
        <v>0</v>
      </c>
      <c r="AF920" s="366">
        <v>0</v>
      </c>
      <c r="AG920" s="363">
        <v>0</v>
      </c>
      <c r="AH920" s="635" t="s">
        <v>408</v>
      </c>
      <c r="AL920" s="487" t="s">
        <v>15288</v>
      </c>
      <c r="AM920" s="477" t="s">
        <v>71</v>
      </c>
      <c r="AN920" s="637">
        <v>100</v>
      </c>
      <c r="AO920" s="478">
        <v>-1491</v>
      </c>
      <c r="AP920" s="463">
        <v>-716</v>
      </c>
      <c r="AQ920" s="479">
        <v>-775</v>
      </c>
      <c r="AR920" s="476" t="s">
        <v>15320</v>
      </c>
      <c r="BA920" s="313" t="s">
        <v>4687</v>
      </c>
    </row>
    <row r="921" spans="2:53" ht="16.5" customHeight="1">
      <c r="B921" s="367" t="s">
        <v>4531</v>
      </c>
      <c r="C921" s="351" t="s">
        <v>4532</v>
      </c>
      <c r="D921" s="353">
        <v>-1492</v>
      </c>
      <c r="E921" s="352" t="s">
        <v>408</v>
      </c>
      <c r="F921" s="341">
        <v>84.9</v>
      </c>
      <c r="G921" s="355" t="s">
        <v>18704</v>
      </c>
      <c r="H921" s="356" t="s">
        <v>18705</v>
      </c>
      <c r="I921" s="354" t="s">
        <v>236</v>
      </c>
      <c r="J921" s="340" t="s">
        <v>560</v>
      </c>
      <c r="K921" s="339" t="s">
        <v>71</v>
      </c>
      <c r="L921" s="357">
        <v>8</v>
      </c>
      <c r="M921" s="358" t="s">
        <v>10505</v>
      </c>
      <c r="N921" s="359">
        <v>1000</v>
      </c>
      <c r="O921" s="360" t="s">
        <v>532</v>
      </c>
      <c r="P921" s="343" t="s">
        <v>533</v>
      </c>
      <c r="Q921" s="342" t="s">
        <v>2688</v>
      </c>
      <c r="R921" s="344">
        <v>35</v>
      </c>
      <c r="S921" s="345">
        <v>25</v>
      </c>
      <c r="T921" s="362">
        <v>20</v>
      </c>
      <c r="U921" s="361">
        <v>84.9</v>
      </c>
      <c r="V921" s="346">
        <v>121.86889203706981</v>
      </c>
      <c r="W921" s="348">
        <v>120.80222537040315</v>
      </c>
      <c r="X921" s="347">
        <v>61.53</v>
      </c>
      <c r="Y921" s="357">
        <v>62.03</v>
      </c>
      <c r="Z921" s="365" t="s">
        <v>3017</v>
      </c>
      <c r="AA921" s="350">
        <v>194</v>
      </c>
      <c r="AB921" s="349" t="s">
        <v>2685</v>
      </c>
      <c r="AC921" s="350">
        <v>4</v>
      </c>
      <c r="AD921" s="349" t="s">
        <v>2685</v>
      </c>
      <c r="AE921" s="364">
        <v>0</v>
      </c>
      <c r="AF921" s="366">
        <v>0</v>
      </c>
      <c r="AG921" s="363">
        <v>0</v>
      </c>
      <c r="AH921" s="635" t="s">
        <v>408</v>
      </c>
      <c r="AL921" s="487" t="s">
        <v>15289</v>
      </c>
      <c r="AM921" s="477" t="s">
        <v>71</v>
      </c>
      <c r="AN921" s="637">
        <v>100</v>
      </c>
      <c r="AO921" s="478">
        <v>-1492</v>
      </c>
      <c r="AP921" s="463">
        <v>-717</v>
      </c>
      <c r="AQ921" s="479">
        <v>-775</v>
      </c>
      <c r="AR921" s="476" t="s">
        <v>17040</v>
      </c>
      <c r="BA921" s="313" t="s">
        <v>4691</v>
      </c>
    </row>
    <row r="922" spans="2:53" ht="16.5" customHeight="1">
      <c r="B922" s="367" t="s">
        <v>10516</v>
      </c>
      <c r="C922" s="351" t="s">
        <v>10517</v>
      </c>
      <c r="D922" s="353">
        <v>-1492</v>
      </c>
      <c r="E922" s="352" t="s">
        <v>4700</v>
      </c>
      <c r="F922" s="341">
        <v>84.89</v>
      </c>
      <c r="G922" s="355" t="s">
        <v>18706</v>
      </c>
      <c r="H922" s="356" t="s">
        <v>18707</v>
      </c>
      <c r="I922" s="354" t="s">
        <v>9189</v>
      </c>
      <c r="J922" s="340" t="s">
        <v>10464</v>
      </c>
      <c r="K922" s="339" t="s">
        <v>70</v>
      </c>
      <c r="L922" s="357">
        <v>73</v>
      </c>
      <c r="M922" s="358" t="s">
        <v>10465</v>
      </c>
      <c r="N922" s="359">
        <v>1000</v>
      </c>
      <c r="O922" s="360" t="s">
        <v>532</v>
      </c>
      <c r="P922" s="343" t="s">
        <v>532</v>
      </c>
      <c r="Q922" s="342" t="s">
        <v>2688</v>
      </c>
      <c r="R922" s="344">
        <v>20</v>
      </c>
      <c r="S922" s="345">
        <v>35</v>
      </c>
      <c r="T922" s="362">
        <v>25</v>
      </c>
      <c r="U922" s="361">
        <v>84.89</v>
      </c>
      <c r="V922" s="346">
        <v>121.85916092028639</v>
      </c>
      <c r="W922" s="348">
        <v>120.79249425361972</v>
      </c>
      <c r="X922" s="347" t="s">
        <v>18703</v>
      </c>
      <c r="Y922" s="357" t="s">
        <v>408</v>
      </c>
      <c r="Z922" s="365" t="s">
        <v>3017</v>
      </c>
      <c r="AA922" s="350">
        <v>195.56</v>
      </c>
      <c r="AB922" s="349" t="s">
        <v>2685</v>
      </c>
      <c r="AC922" s="350">
        <v>0</v>
      </c>
      <c r="AD922" s="349" t="s">
        <v>2685</v>
      </c>
      <c r="AE922" s="364">
        <v>0</v>
      </c>
      <c r="AF922" s="366">
        <v>15.53</v>
      </c>
      <c r="AG922" s="363">
        <v>0</v>
      </c>
      <c r="AH922" s="635" t="s">
        <v>9517</v>
      </c>
      <c r="AL922" s="487" t="s">
        <v>15270</v>
      </c>
      <c r="AM922" s="477" t="s">
        <v>70</v>
      </c>
      <c r="AN922" s="637">
        <v>100</v>
      </c>
      <c r="AO922" s="478">
        <v>-1492</v>
      </c>
      <c r="AP922" s="463">
        <v>-1492</v>
      </c>
      <c r="AQ922" s="479">
        <v>0</v>
      </c>
      <c r="AR922" s="476" t="s">
        <v>17241</v>
      </c>
      <c r="BA922" s="313" t="s">
        <v>4694</v>
      </c>
    </row>
    <row r="923" spans="2:53" ht="16.5" customHeight="1">
      <c r="B923" s="367" t="s">
        <v>10511</v>
      </c>
      <c r="C923" s="351" t="s">
        <v>10512</v>
      </c>
      <c r="D923" s="353">
        <v>-1493</v>
      </c>
      <c r="E923" s="352" t="s">
        <v>10276</v>
      </c>
      <c r="F923" s="341">
        <v>84.88</v>
      </c>
      <c r="G923" s="355" t="s">
        <v>10513</v>
      </c>
      <c r="H923" s="356" t="s">
        <v>10084</v>
      </c>
      <c r="I923" s="354" t="s">
        <v>215</v>
      </c>
      <c r="J923" s="340" t="s">
        <v>10514</v>
      </c>
      <c r="K923" s="339" t="s">
        <v>70</v>
      </c>
      <c r="L923" s="357">
        <v>10</v>
      </c>
      <c r="M923" s="358" t="s">
        <v>10515</v>
      </c>
      <c r="N923" s="359">
        <v>1000</v>
      </c>
      <c r="O923" s="360" t="s">
        <v>530</v>
      </c>
      <c r="P923" s="343" t="s">
        <v>531</v>
      </c>
      <c r="Q923" s="342" t="s">
        <v>2688</v>
      </c>
      <c r="R923" s="344">
        <v>25</v>
      </c>
      <c r="S923" s="345">
        <v>38</v>
      </c>
      <c r="T923" s="362">
        <v>25</v>
      </c>
      <c r="U923" s="361">
        <v>84.88</v>
      </c>
      <c r="V923" s="346">
        <v>121.85207756232687</v>
      </c>
      <c r="W923" s="348">
        <v>120.78541089566021</v>
      </c>
      <c r="X923" s="347">
        <v>61.26</v>
      </c>
      <c r="Y923" s="357">
        <v>61.93</v>
      </c>
      <c r="Z923" s="365" t="s">
        <v>3017</v>
      </c>
      <c r="AA923" s="350">
        <v>121.25</v>
      </c>
      <c r="AB923" s="349" t="s">
        <v>2685</v>
      </c>
      <c r="AC923" s="350">
        <v>10</v>
      </c>
      <c r="AD923" s="349" t="s">
        <v>2685</v>
      </c>
      <c r="AE923" s="364">
        <v>0</v>
      </c>
      <c r="AF923" s="366">
        <v>0</v>
      </c>
      <c r="AG923" s="363">
        <v>0</v>
      </c>
      <c r="AH923" s="635" t="s">
        <v>408</v>
      </c>
      <c r="AL923" s="487" t="s">
        <v>15290</v>
      </c>
      <c r="AM923" s="477" t="s">
        <v>70</v>
      </c>
      <c r="AN923" s="637">
        <v>100</v>
      </c>
      <c r="AO923" s="478">
        <v>-1493</v>
      </c>
      <c r="AP923" s="463">
        <v>-1493</v>
      </c>
      <c r="AQ923" s="479">
        <v>0</v>
      </c>
      <c r="AR923" s="476" t="s">
        <v>15291</v>
      </c>
      <c r="BA923" s="313" t="s">
        <v>4695</v>
      </c>
    </row>
    <row r="924" spans="2:53" ht="16.5" customHeight="1">
      <c r="B924" s="367" t="s">
        <v>10516</v>
      </c>
      <c r="C924" s="351" t="s">
        <v>10517</v>
      </c>
      <c r="D924" s="353">
        <v>-1493</v>
      </c>
      <c r="E924" s="352" t="s">
        <v>10508</v>
      </c>
      <c r="F924" s="341">
        <v>84.88</v>
      </c>
      <c r="G924" s="355" t="s">
        <v>4749</v>
      </c>
      <c r="H924" s="356" t="s">
        <v>10518</v>
      </c>
      <c r="I924" s="354" t="s">
        <v>215</v>
      </c>
      <c r="J924" s="340" t="s">
        <v>8418</v>
      </c>
      <c r="K924" s="339" t="s">
        <v>70</v>
      </c>
      <c r="L924" s="357">
        <v>8</v>
      </c>
      <c r="M924" s="358" t="s">
        <v>10519</v>
      </c>
      <c r="N924" s="359">
        <v>1000</v>
      </c>
      <c r="O924" s="360" t="s">
        <v>530</v>
      </c>
      <c r="P924" s="343" t="s">
        <v>531</v>
      </c>
      <c r="Q924" s="342" t="s">
        <v>2688</v>
      </c>
      <c r="R924" s="344">
        <v>25</v>
      </c>
      <c r="S924" s="345">
        <v>38</v>
      </c>
      <c r="T924" s="362">
        <v>25</v>
      </c>
      <c r="U924" s="361">
        <v>84.88</v>
      </c>
      <c r="V924" s="346">
        <v>121.85429362880886</v>
      </c>
      <c r="W924" s="348">
        <v>120.7876269621422</v>
      </c>
      <c r="X924" s="347">
        <v>61.26</v>
      </c>
      <c r="Y924" s="357">
        <v>61.93</v>
      </c>
      <c r="Z924" s="365" t="s">
        <v>3017</v>
      </c>
      <c r="AA924" s="350">
        <v>121.25</v>
      </c>
      <c r="AB924" s="349" t="s">
        <v>2685</v>
      </c>
      <c r="AC924" s="350">
        <v>10</v>
      </c>
      <c r="AD924" s="349" t="s">
        <v>2685</v>
      </c>
      <c r="AE924" s="364">
        <v>0</v>
      </c>
      <c r="AF924" s="366">
        <v>0</v>
      </c>
      <c r="AG924" s="363">
        <v>0</v>
      </c>
      <c r="AH924" s="635" t="s">
        <v>408</v>
      </c>
      <c r="AL924" s="487" t="s">
        <v>15292</v>
      </c>
      <c r="AM924" s="477" t="s">
        <v>70</v>
      </c>
      <c r="AN924" s="637">
        <v>100</v>
      </c>
      <c r="AO924" s="478">
        <v>-1493</v>
      </c>
      <c r="AP924" s="463">
        <v>-1493</v>
      </c>
      <c r="AQ924" s="479">
        <v>0</v>
      </c>
      <c r="AR924" s="476" t="s">
        <v>15291</v>
      </c>
      <c r="BA924" s="313" t="s">
        <v>4697</v>
      </c>
    </row>
    <row r="925" spans="2:53" ht="16.5" customHeight="1">
      <c r="B925" s="367" t="s">
        <v>10476</v>
      </c>
      <c r="C925" s="351" t="s">
        <v>10477</v>
      </c>
      <c r="D925" s="353">
        <v>-1494</v>
      </c>
      <c r="E925" s="352" t="s">
        <v>408</v>
      </c>
      <c r="F925" s="341">
        <v>84.88</v>
      </c>
      <c r="G925" s="355" t="s">
        <v>4715</v>
      </c>
      <c r="H925" s="356" t="s">
        <v>18708</v>
      </c>
      <c r="I925" s="354" t="s">
        <v>237</v>
      </c>
      <c r="J925" s="340" t="s">
        <v>9936</v>
      </c>
      <c r="K925" s="339" t="s">
        <v>71</v>
      </c>
      <c r="L925" s="357">
        <v>4</v>
      </c>
      <c r="M925" s="358" t="s">
        <v>4770</v>
      </c>
      <c r="N925" s="359">
        <v>1000</v>
      </c>
      <c r="O925" s="360" t="s">
        <v>530</v>
      </c>
      <c r="P925" s="343" t="s">
        <v>530</v>
      </c>
      <c r="Q925" s="342" t="s">
        <v>2688</v>
      </c>
      <c r="R925" s="344">
        <v>30</v>
      </c>
      <c r="S925" s="345">
        <v>30</v>
      </c>
      <c r="T925" s="362">
        <v>20</v>
      </c>
      <c r="U925" s="361">
        <v>84.88</v>
      </c>
      <c r="V925" s="346">
        <v>121.8537187064485</v>
      </c>
      <c r="W925" s="348">
        <v>120.78705203978184</v>
      </c>
      <c r="X925" s="347">
        <v>61.52</v>
      </c>
      <c r="Y925" s="357" t="s">
        <v>408</v>
      </c>
      <c r="Z925" s="365" t="s">
        <v>3017</v>
      </c>
      <c r="AA925" s="350">
        <v>196</v>
      </c>
      <c r="AB925" s="349" t="s">
        <v>2685</v>
      </c>
      <c r="AC925" s="350">
        <v>0</v>
      </c>
      <c r="AD925" s="349" t="s">
        <v>2685</v>
      </c>
      <c r="AE925" s="364">
        <v>0</v>
      </c>
      <c r="AF925" s="366">
        <v>0</v>
      </c>
      <c r="AG925" s="363">
        <v>0</v>
      </c>
      <c r="AH925" s="635" t="s">
        <v>408</v>
      </c>
      <c r="AL925" s="487" t="s">
        <v>15293</v>
      </c>
      <c r="AM925" s="477" t="s">
        <v>71</v>
      </c>
      <c r="AN925" s="637">
        <v>100</v>
      </c>
      <c r="AO925" s="478">
        <v>-1494</v>
      </c>
      <c r="AP925" s="463">
        <v>-717</v>
      </c>
      <c r="AQ925" s="479">
        <v>-777</v>
      </c>
      <c r="AR925" s="476" t="s">
        <v>15324</v>
      </c>
      <c r="BA925" s="313" t="s">
        <v>4698</v>
      </c>
    </row>
    <row r="926" spans="2:53" ht="16.5" customHeight="1">
      <c r="B926" s="367" t="s">
        <v>10522</v>
      </c>
      <c r="C926" s="351" t="s">
        <v>10523</v>
      </c>
      <c r="D926" s="353">
        <v>-1494</v>
      </c>
      <c r="E926" s="352" t="s">
        <v>408</v>
      </c>
      <c r="F926" s="341">
        <v>84.85</v>
      </c>
      <c r="G926" s="355" t="s">
        <v>4719</v>
      </c>
      <c r="H926" s="356" t="s">
        <v>10623</v>
      </c>
      <c r="I926" s="354" t="s">
        <v>215</v>
      </c>
      <c r="J926" s="340" t="s">
        <v>9569</v>
      </c>
      <c r="K926" s="339" t="s">
        <v>71</v>
      </c>
      <c r="L926" s="357">
        <v>65</v>
      </c>
      <c r="M926" s="358" t="s">
        <v>10525</v>
      </c>
      <c r="N926" s="359">
        <v>1000</v>
      </c>
      <c r="O926" s="360" t="s">
        <v>530</v>
      </c>
      <c r="P926" s="343" t="s">
        <v>531</v>
      </c>
      <c r="Q926" s="342" t="s">
        <v>2688</v>
      </c>
      <c r="R926" s="344">
        <v>38</v>
      </c>
      <c r="S926" s="345">
        <v>25</v>
      </c>
      <c r="T926" s="362">
        <v>25</v>
      </c>
      <c r="U926" s="361">
        <v>84.85</v>
      </c>
      <c r="V926" s="346">
        <v>121.83598484848486</v>
      </c>
      <c r="W926" s="348">
        <v>120.76931818181819</v>
      </c>
      <c r="X926" s="347">
        <v>61.51</v>
      </c>
      <c r="Y926" s="357">
        <v>62.089999999999996</v>
      </c>
      <c r="Z926" s="365" t="s">
        <v>3017</v>
      </c>
      <c r="AA926" s="350">
        <v>121.25</v>
      </c>
      <c r="AB926" s="349" t="s">
        <v>2685</v>
      </c>
      <c r="AC926" s="350">
        <v>10</v>
      </c>
      <c r="AD926" s="349" t="s">
        <v>2685</v>
      </c>
      <c r="AE926" s="364">
        <v>0</v>
      </c>
      <c r="AF926" s="366">
        <v>0</v>
      </c>
      <c r="AG926" s="363">
        <v>0</v>
      </c>
      <c r="AH926" s="635" t="s">
        <v>8002</v>
      </c>
      <c r="AL926" s="487" t="s">
        <v>15294</v>
      </c>
      <c r="AM926" s="477" t="s">
        <v>71</v>
      </c>
      <c r="AN926" s="637">
        <v>100</v>
      </c>
      <c r="AO926" s="478">
        <v>-1494</v>
      </c>
      <c r="AP926" s="463">
        <v>-717</v>
      </c>
      <c r="AQ926" s="479">
        <v>-777</v>
      </c>
      <c r="AR926" s="476" t="s">
        <v>15331</v>
      </c>
      <c r="BA926" s="313" t="s">
        <v>4701</v>
      </c>
    </row>
    <row r="927" spans="2:53" ht="16.5" customHeight="1">
      <c r="B927" s="367" t="s">
        <v>4539</v>
      </c>
      <c r="C927" s="351" t="s">
        <v>4540</v>
      </c>
      <c r="D927" s="353">
        <v>-1495</v>
      </c>
      <c r="E927" s="352" t="s">
        <v>408</v>
      </c>
      <c r="F927" s="341">
        <v>84.85</v>
      </c>
      <c r="G927" s="355" t="s">
        <v>4644</v>
      </c>
      <c r="H927" s="356" t="s">
        <v>4363</v>
      </c>
      <c r="I927" s="354" t="s">
        <v>215</v>
      </c>
      <c r="J927" s="340" t="s">
        <v>10526</v>
      </c>
      <c r="K927" s="339" t="s">
        <v>70</v>
      </c>
      <c r="L927" s="357">
        <v>18</v>
      </c>
      <c r="M927" s="358" t="s">
        <v>10527</v>
      </c>
      <c r="N927" s="359">
        <v>1000</v>
      </c>
      <c r="O927" s="360" t="s">
        <v>530</v>
      </c>
      <c r="P927" s="343" t="s">
        <v>531</v>
      </c>
      <c r="Q927" s="342" t="s">
        <v>2688</v>
      </c>
      <c r="R927" s="344">
        <v>25</v>
      </c>
      <c r="S927" s="345">
        <v>38</v>
      </c>
      <c r="T927" s="362">
        <v>25</v>
      </c>
      <c r="U927" s="361">
        <v>84.85</v>
      </c>
      <c r="V927" s="346">
        <v>121.8343490304709</v>
      </c>
      <c r="W927" s="348">
        <v>120.76768236380424</v>
      </c>
      <c r="X927" s="347">
        <v>61.25</v>
      </c>
      <c r="Y927" s="357">
        <v>61.919999999999995</v>
      </c>
      <c r="Z927" s="365" t="s">
        <v>3017</v>
      </c>
      <c r="AA927" s="350">
        <v>121.25</v>
      </c>
      <c r="AB927" s="349" t="s">
        <v>2685</v>
      </c>
      <c r="AC927" s="350">
        <v>10</v>
      </c>
      <c r="AD927" s="349" t="s">
        <v>2685</v>
      </c>
      <c r="AE927" s="364">
        <v>0</v>
      </c>
      <c r="AF927" s="366">
        <v>0</v>
      </c>
      <c r="AG927" s="363">
        <v>0</v>
      </c>
      <c r="AH927" s="635" t="s">
        <v>408</v>
      </c>
      <c r="AL927" s="487" t="s">
        <v>15295</v>
      </c>
      <c r="AM927" s="477" t="s">
        <v>70</v>
      </c>
      <c r="AN927" s="637">
        <v>100</v>
      </c>
      <c r="AO927" s="478">
        <v>-1495</v>
      </c>
      <c r="AP927" s="463">
        <v>-1495</v>
      </c>
      <c r="AQ927" s="479">
        <v>0</v>
      </c>
      <c r="AR927" s="476" t="s">
        <v>15296</v>
      </c>
      <c r="BA927" s="313" t="s">
        <v>4703</v>
      </c>
    </row>
    <row r="928" spans="2:53" ht="16.5" customHeight="1">
      <c r="B928" s="367" t="s">
        <v>10528</v>
      </c>
      <c r="C928" s="351" t="s">
        <v>10529</v>
      </c>
      <c r="D928" s="353">
        <v>-1495</v>
      </c>
      <c r="E928" s="352" t="s">
        <v>10524</v>
      </c>
      <c r="F928" s="341">
        <v>84.82</v>
      </c>
      <c r="G928" s="355" t="s">
        <v>18709</v>
      </c>
      <c r="H928" s="356" t="s">
        <v>10140</v>
      </c>
      <c r="I928" s="354" t="s">
        <v>254</v>
      </c>
      <c r="J928" s="340" t="s">
        <v>10531</v>
      </c>
      <c r="K928" s="339" t="s">
        <v>71</v>
      </c>
      <c r="L928" s="357">
        <v>16</v>
      </c>
      <c r="M928" s="358" t="s">
        <v>10532</v>
      </c>
      <c r="N928" s="359">
        <v>1000</v>
      </c>
      <c r="O928" s="360" t="s">
        <v>532</v>
      </c>
      <c r="P928" s="343" t="s">
        <v>533</v>
      </c>
      <c r="Q928" s="342" t="s">
        <v>2688</v>
      </c>
      <c r="R928" s="344">
        <v>35</v>
      </c>
      <c r="S928" s="345">
        <v>25</v>
      </c>
      <c r="T928" s="362">
        <v>20</v>
      </c>
      <c r="U928" s="361">
        <v>84.82</v>
      </c>
      <c r="V928" s="346">
        <v>121.81350864765953</v>
      </c>
      <c r="W928" s="348">
        <v>120.74684198099287</v>
      </c>
      <c r="X928" s="347">
        <v>61.5</v>
      </c>
      <c r="Y928" s="357">
        <v>61.989999999999995</v>
      </c>
      <c r="Z928" s="365" t="s">
        <v>3017</v>
      </c>
      <c r="AA928" s="350">
        <v>196</v>
      </c>
      <c r="AB928" s="349" t="s">
        <v>2685</v>
      </c>
      <c r="AC928" s="350">
        <v>3</v>
      </c>
      <c r="AD928" s="349" t="s">
        <v>2685</v>
      </c>
      <c r="AE928" s="364">
        <v>0</v>
      </c>
      <c r="AF928" s="366">
        <v>0</v>
      </c>
      <c r="AG928" s="363">
        <v>0</v>
      </c>
      <c r="AH928" s="635" t="s">
        <v>408</v>
      </c>
      <c r="AL928" s="487" t="s">
        <v>15297</v>
      </c>
      <c r="AM928" s="477" t="s">
        <v>71</v>
      </c>
      <c r="AN928" s="637">
        <v>100</v>
      </c>
      <c r="AO928" s="478">
        <v>-1495</v>
      </c>
      <c r="AP928" s="463">
        <v>-717</v>
      </c>
      <c r="AQ928" s="479">
        <v>-778</v>
      </c>
      <c r="AR928" s="476" t="s">
        <v>17041</v>
      </c>
      <c r="BA928" s="313" t="s">
        <v>4704</v>
      </c>
    </row>
    <row r="929" spans="2:53" ht="16.5" customHeight="1">
      <c r="B929" s="367" t="s">
        <v>4550</v>
      </c>
      <c r="C929" s="351" t="s">
        <v>4551</v>
      </c>
      <c r="D929" s="353">
        <v>-1496</v>
      </c>
      <c r="E929" s="352" t="s">
        <v>408</v>
      </c>
      <c r="F929" s="341">
        <v>84.78</v>
      </c>
      <c r="G929" s="355" t="s">
        <v>10504</v>
      </c>
      <c r="H929" s="356" t="s">
        <v>10135</v>
      </c>
      <c r="I929" s="354" t="s">
        <v>254</v>
      </c>
      <c r="J929" s="340" t="s">
        <v>8934</v>
      </c>
      <c r="K929" s="339" t="s">
        <v>71</v>
      </c>
      <c r="L929" s="357">
        <v>18</v>
      </c>
      <c r="M929" s="358" t="s">
        <v>10536</v>
      </c>
      <c r="N929" s="359">
        <v>1000</v>
      </c>
      <c r="O929" s="360" t="s">
        <v>532</v>
      </c>
      <c r="P929" s="343" t="s">
        <v>533</v>
      </c>
      <c r="Q929" s="342" t="s">
        <v>2688</v>
      </c>
      <c r="R929" s="344">
        <v>35</v>
      </c>
      <c r="S929" s="345">
        <v>25</v>
      </c>
      <c r="T929" s="362">
        <v>20</v>
      </c>
      <c r="U929" s="361">
        <v>84.78</v>
      </c>
      <c r="V929" s="346">
        <v>121.78594002715306</v>
      </c>
      <c r="W929" s="348">
        <v>120.7192733604864</v>
      </c>
      <c r="X929" s="347">
        <v>61.48</v>
      </c>
      <c r="Y929" s="357">
        <v>61.98</v>
      </c>
      <c r="Z929" s="365" t="s">
        <v>3017</v>
      </c>
      <c r="AA929" s="350">
        <v>196</v>
      </c>
      <c r="AB929" s="349" t="s">
        <v>2685</v>
      </c>
      <c r="AC929" s="350">
        <v>3</v>
      </c>
      <c r="AD929" s="349" t="s">
        <v>2685</v>
      </c>
      <c r="AE929" s="364">
        <v>0</v>
      </c>
      <c r="AF929" s="366">
        <v>0</v>
      </c>
      <c r="AG929" s="363">
        <v>0</v>
      </c>
      <c r="AH929" s="635" t="s">
        <v>408</v>
      </c>
      <c r="AL929" s="487" t="s">
        <v>15299</v>
      </c>
      <c r="AM929" s="477" t="s">
        <v>71</v>
      </c>
      <c r="AN929" s="637">
        <v>100</v>
      </c>
      <c r="AO929" s="478">
        <v>-1496</v>
      </c>
      <c r="AP929" s="463">
        <v>-717</v>
      </c>
      <c r="AQ929" s="479">
        <v>-779</v>
      </c>
      <c r="AR929" s="476" t="s">
        <v>17042</v>
      </c>
      <c r="BA929" s="313" t="s">
        <v>4707</v>
      </c>
    </row>
    <row r="930" spans="2:53" ht="16.5" customHeight="1">
      <c r="B930" s="367" t="s">
        <v>4554</v>
      </c>
      <c r="C930" s="351" t="s">
        <v>4555</v>
      </c>
      <c r="D930" s="353">
        <v>-1496</v>
      </c>
      <c r="E930" s="352" t="s">
        <v>10530</v>
      </c>
      <c r="F930" s="341">
        <v>84.77</v>
      </c>
      <c r="G930" s="355" t="s">
        <v>10537</v>
      </c>
      <c r="H930" s="356" t="s">
        <v>10538</v>
      </c>
      <c r="I930" s="354" t="s">
        <v>236</v>
      </c>
      <c r="J930" s="340" t="s">
        <v>550</v>
      </c>
      <c r="K930" s="339" t="s">
        <v>70</v>
      </c>
      <c r="L930" s="357">
        <v>10</v>
      </c>
      <c r="M930" s="358" t="s">
        <v>10539</v>
      </c>
      <c r="N930" s="359">
        <v>1000</v>
      </c>
      <c r="O930" s="360" t="s">
        <v>532</v>
      </c>
      <c r="P930" s="343" t="s">
        <v>533</v>
      </c>
      <c r="Q930" s="342" t="s">
        <v>2688</v>
      </c>
      <c r="R930" s="344">
        <v>20</v>
      </c>
      <c r="S930" s="345">
        <v>35</v>
      </c>
      <c r="T930" s="362">
        <v>25</v>
      </c>
      <c r="U930" s="361">
        <v>84.77</v>
      </c>
      <c r="V930" s="346">
        <v>121.7816537770756</v>
      </c>
      <c r="W930" s="348">
        <v>120.71498711040894</v>
      </c>
      <c r="X930" s="347">
        <v>61.23</v>
      </c>
      <c r="Y930" s="357">
        <v>61.98</v>
      </c>
      <c r="Z930" s="365" t="s">
        <v>3017</v>
      </c>
      <c r="AA930" s="350">
        <v>194</v>
      </c>
      <c r="AB930" s="349" t="s">
        <v>2685</v>
      </c>
      <c r="AC930" s="350">
        <v>4</v>
      </c>
      <c r="AD930" s="349" t="s">
        <v>2685</v>
      </c>
      <c r="AE930" s="364">
        <v>0</v>
      </c>
      <c r="AF930" s="366">
        <v>12.689</v>
      </c>
      <c r="AG930" s="363">
        <v>0</v>
      </c>
      <c r="AH930" s="635" t="s">
        <v>408</v>
      </c>
      <c r="AL930" s="487" t="s">
        <v>15300</v>
      </c>
      <c r="AM930" s="477" t="s">
        <v>70</v>
      </c>
      <c r="AN930" s="637">
        <v>100</v>
      </c>
      <c r="AO930" s="478">
        <v>-1496</v>
      </c>
      <c r="AP930" s="463">
        <v>-1496</v>
      </c>
      <c r="AQ930" s="479">
        <v>0</v>
      </c>
      <c r="AR930" s="476" t="s">
        <v>15301</v>
      </c>
      <c r="BA930" s="313" t="s">
        <v>4711</v>
      </c>
    </row>
    <row r="931" spans="2:53" ht="16.5" customHeight="1">
      <c r="B931" s="367" t="s">
        <v>10506</v>
      </c>
      <c r="C931" s="351" t="s">
        <v>10507</v>
      </c>
      <c r="D931" s="353">
        <v>-1497</v>
      </c>
      <c r="E931" s="352" t="s">
        <v>10533</v>
      </c>
      <c r="F931" s="341">
        <v>84.76</v>
      </c>
      <c r="G931" s="355" t="s">
        <v>4604</v>
      </c>
      <c r="H931" s="356" t="s">
        <v>10594</v>
      </c>
      <c r="I931" s="354" t="s">
        <v>209</v>
      </c>
      <c r="J931" s="340" t="s">
        <v>10509</v>
      </c>
      <c r="K931" s="339" t="s">
        <v>71</v>
      </c>
      <c r="L931" s="357">
        <v>14</v>
      </c>
      <c r="M931" s="358" t="s">
        <v>10510</v>
      </c>
      <c r="N931" s="359">
        <v>1000</v>
      </c>
      <c r="O931" s="360" t="s">
        <v>530</v>
      </c>
      <c r="P931" s="343" t="s">
        <v>530</v>
      </c>
      <c r="Q931" s="342" t="s">
        <v>2688</v>
      </c>
      <c r="R931" s="344">
        <v>30</v>
      </c>
      <c r="S931" s="345">
        <v>25</v>
      </c>
      <c r="T931" s="362">
        <v>25</v>
      </c>
      <c r="U931" s="361">
        <v>84.76</v>
      </c>
      <c r="V931" s="346">
        <v>121.77609019370679</v>
      </c>
      <c r="W931" s="348">
        <v>120.70942352704013</v>
      </c>
      <c r="X931" s="347">
        <v>61.48</v>
      </c>
      <c r="Y931" s="357" t="s">
        <v>408</v>
      </c>
      <c r="Z931" s="365" t="s">
        <v>3017</v>
      </c>
      <c r="AA931" s="350">
        <v>198</v>
      </c>
      <c r="AB931" s="349" t="s">
        <v>2685</v>
      </c>
      <c r="AC931" s="350">
        <v>10</v>
      </c>
      <c r="AD931" s="349" t="s">
        <v>2685</v>
      </c>
      <c r="AE931" s="364">
        <v>0</v>
      </c>
      <c r="AF931" s="366">
        <v>0</v>
      </c>
      <c r="AG931" s="363">
        <v>0</v>
      </c>
      <c r="AH931" s="635" t="s">
        <v>408</v>
      </c>
      <c r="AL931" s="487" t="s">
        <v>15302</v>
      </c>
      <c r="AM931" s="477" t="s">
        <v>71</v>
      </c>
      <c r="AN931" s="637">
        <v>100</v>
      </c>
      <c r="AO931" s="478">
        <v>-1497</v>
      </c>
      <c r="AP931" s="463">
        <v>-717</v>
      </c>
      <c r="AQ931" s="479">
        <v>-780</v>
      </c>
      <c r="AR931" s="476" t="s">
        <v>17043</v>
      </c>
      <c r="BA931" s="313" t="s">
        <v>4712</v>
      </c>
    </row>
    <row r="932" spans="2:53" ht="16.5" customHeight="1">
      <c r="B932" s="367" t="s">
        <v>4557</v>
      </c>
      <c r="C932" s="351" t="s">
        <v>4558</v>
      </c>
      <c r="D932" s="353">
        <v>-1497</v>
      </c>
      <c r="E932" s="352" t="s">
        <v>10533</v>
      </c>
      <c r="F932" s="341">
        <v>84.76</v>
      </c>
      <c r="G932" s="355" t="s">
        <v>4763</v>
      </c>
      <c r="H932" s="356" t="s">
        <v>10540</v>
      </c>
      <c r="I932" s="354" t="s">
        <v>209</v>
      </c>
      <c r="J932" s="340" t="s">
        <v>8538</v>
      </c>
      <c r="K932" s="339" t="s">
        <v>70</v>
      </c>
      <c r="L932" s="357">
        <v>15</v>
      </c>
      <c r="M932" s="358" t="s">
        <v>4755</v>
      </c>
      <c r="N932" s="359">
        <v>1000</v>
      </c>
      <c r="O932" s="360" t="s">
        <v>530</v>
      </c>
      <c r="P932" s="343" t="s">
        <v>530</v>
      </c>
      <c r="Q932" s="342" t="s">
        <v>2688</v>
      </c>
      <c r="R932" s="344">
        <v>20</v>
      </c>
      <c r="S932" s="345">
        <v>30</v>
      </c>
      <c r="T932" s="362">
        <v>30</v>
      </c>
      <c r="U932" s="361">
        <v>84.76</v>
      </c>
      <c r="V932" s="346">
        <v>121.77564378418388</v>
      </c>
      <c r="W932" s="348">
        <v>120.70897711751722</v>
      </c>
      <c r="X932" s="347">
        <v>61.22</v>
      </c>
      <c r="Y932" s="357" t="s">
        <v>408</v>
      </c>
      <c r="Z932" s="365" t="s">
        <v>3017</v>
      </c>
      <c r="AA932" s="350">
        <v>198</v>
      </c>
      <c r="AB932" s="349" t="s">
        <v>2685</v>
      </c>
      <c r="AC932" s="350">
        <v>10</v>
      </c>
      <c r="AD932" s="349" t="s">
        <v>2685</v>
      </c>
      <c r="AE932" s="364">
        <v>0</v>
      </c>
      <c r="AF932" s="366">
        <v>0</v>
      </c>
      <c r="AG932" s="363">
        <v>0</v>
      </c>
      <c r="AH932" s="635" t="s">
        <v>408</v>
      </c>
      <c r="AL932" s="487" t="s">
        <v>15303</v>
      </c>
      <c r="AM932" s="477" t="s">
        <v>70</v>
      </c>
      <c r="AN932" s="637">
        <v>100</v>
      </c>
      <c r="AO932" s="478">
        <v>-1497</v>
      </c>
      <c r="AP932" s="463">
        <v>-1497</v>
      </c>
      <c r="AQ932" s="479">
        <v>0</v>
      </c>
      <c r="AR932" s="476" t="s">
        <v>15304</v>
      </c>
      <c r="BA932" s="313" t="s">
        <v>4716</v>
      </c>
    </row>
    <row r="933" spans="2:53" ht="16.5" customHeight="1">
      <c r="B933" s="367" t="s">
        <v>4557</v>
      </c>
      <c r="C933" s="351" t="s">
        <v>4558</v>
      </c>
      <c r="D933" s="353">
        <v>-1498</v>
      </c>
      <c r="E933" s="352" t="s">
        <v>10535</v>
      </c>
      <c r="F933" s="341">
        <v>84.76</v>
      </c>
      <c r="G933" s="355" t="s">
        <v>4763</v>
      </c>
      <c r="H933" s="356" t="s">
        <v>10540</v>
      </c>
      <c r="I933" s="354" t="s">
        <v>209</v>
      </c>
      <c r="J933" s="340" t="s">
        <v>8168</v>
      </c>
      <c r="K933" s="339" t="s">
        <v>70</v>
      </c>
      <c r="L933" s="357">
        <v>95</v>
      </c>
      <c r="M933" s="358" t="s">
        <v>4755</v>
      </c>
      <c r="N933" s="359">
        <v>1000</v>
      </c>
      <c r="O933" s="360" t="s">
        <v>530</v>
      </c>
      <c r="P933" s="343" t="s">
        <v>530</v>
      </c>
      <c r="Q933" s="342" t="s">
        <v>2688</v>
      </c>
      <c r="R933" s="344">
        <v>20</v>
      </c>
      <c r="S933" s="345">
        <v>30</v>
      </c>
      <c r="T933" s="362">
        <v>30</v>
      </c>
      <c r="U933" s="361">
        <v>84.76</v>
      </c>
      <c r="V933" s="346">
        <v>121.77564378418388</v>
      </c>
      <c r="W933" s="348">
        <v>120.70897711751722</v>
      </c>
      <c r="X933" s="347">
        <v>61.22</v>
      </c>
      <c r="Y933" s="357" t="s">
        <v>408</v>
      </c>
      <c r="Z933" s="365" t="s">
        <v>3017</v>
      </c>
      <c r="AA933" s="350">
        <v>198</v>
      </c>
      <c r="AB933" s="349" t="s">
        <v>2685</v>
      </c>
      <c r="AC933" s="350">
        <v>10</v>
      </c>
      <c r="AD933" s="349" t="s">
        <v>2685</v>
      </c>
      <c r="AE933" s="364">
        <v>0</v>
      </c>
      <c r="AF933" s="366">
        <v>0</v>
      </c>
      <c r="AG933" s="363">
        <v>0</v>
      </c>
      <c r="AH933" s="635" t="s">
        <v>408</v>
      </c>
      <c r="AL933" s="487" t="s">
        <v>15305</v>
      </c>
      <c r="AM933" s="477" t="s">
        <v>70</v>
      </c>
      <c r="AN933" s="637">
        <v>100</v>
      </c>
      <c r="AO933" s="478">
        <v>-1498</v>
      </c>
      <c r="AP933" s="463">
        <v>-1498</v>
      </c>
      <c r="AQ933" s="479">
        <v>0</v>
      </c>
      <c r="AR933" s="476" t="s">
        <v>15304</v>
      </c>
      <c r="BA933" s="313" t="s">
        <v>4720</v>
      </c>
    </row>
    <row r="934" spans="2:53" ht="16.5" customHeight="1">
      <c r="B934" s="367" t="s">
        <v>4557</v>
      </c>
      <c r="C934" s="351" t="s">
        <v>4558</v>
      </c>
      <c r="D934" s="353">
        <v>-1498</v>
      </c>
      <c r="E934" s="352" t="s">
        <v>408</v>
      </c>
      <c r="F934" s="341">
        <v>84.76</v>
      </c>
      <c r="G934" s="355" t="s">
        <v>10508</v>
      </c>
      <c r="H934" s="356" t="s">
        <v>10594</v>
      </c>
      <c r="I934" s="354" t="s">
        <v>238</v>
      </c>
      <c r="J934" s="340" t="s">
        <v>9633</v>
      </c>
      <c r="K934" s="339" t="s">
        <v>71</v>
      </c>
      <c r="L934" s="357">
        <v>7</v>
      </c>
      <c r="M934" s="358" t="s">
        <v>10543</v>
      </c>
      <c r="N934" s="359">
        <v>1000</v>
      </c>
      <c r="O934" s="360" t="s">
        <v>532</v>
      </c>
      <c r="P934" s="343" t="s">
        <v>533</v>
      </c>
      <c r="Q934" s="342" t="s">
        <v>2688</v>
      </c>
      <c r="R934" s="344">
        <v>35</v>
      </c>
      <c r="S934" s="345">
        <v>25</v>
      </c>
      <c r="T934" s="362">
        <v>25</v>
      </c>
      <c r="U934" s="361">
        <v>84.76</v>
      </c>
      <c r="V934" s="346">
        <v>121.77107114391656</v>
      </c>
      <c r="W934" s="348">
        <v>120.70440447724989</v>
      </c>
      <c r="X934" s="347">
        <v>61.48</v>
      </c>
      <c r="Y934" s="357">
        <v>61.98</v>
      </c>
      <c r="Z934" s="365" t="s">
        <v>3017</v>
      </c>
      <c r="AA934" s="350">
        <v>148</v>
      </c>
      <c r="AB934" s="349" t="s">
        <v>2685</v>
      </c>
      <c r="AC934" s="350">
        <v>0</v>
      </c>
      <c r="AD934" s="349" t="s">
        <v>2685</v>
      </c>
      <c r="AE934" s="364">
        <v>0</v>
      </c>
      <c r="AF934" s="366">
        <v>0</v>
      </c>
      <c r="AG934" s="363">
        <v>0</v>
      </c>
      <c r="AH934" s="635" t="s">
        <v>408</v>
      </c>
      <c r="AL934" s="487" t="s">
        <v>15306</v>
      </c>
      <c r="AM934" s="477" t="s">
        <v>71</v>
      </c>
      <c r="AN934" s="637">
        <v>100</v>
      </c>
      <c r="AO934" s="478">
        <v>-1498</v>
      </c>
      <c r="AP934" s="463">
        <v>-718</v>
      </c>
      <c r="AQ934" s="479">
        <v>-780</v>
      </c>
      <c r="AR934" s="476" t="s">
        <v>17044</v>
      </c>
      <c r="BA934" s="313" t="s">
        <v>4723</v>
      </c>
    </row>
    <row r="935" spans="2:53" ht="16.5" customHeight="1">
      <c r="B935" s="367" t="s">
        <v>4561</v>
      </c>
      <c r="C935" s="351" t="s">
        <v>4562</v>
      </c>
      <c r="D935" s="353">
        <v>-1499</v>
      </c>
      <c r="E935" s="352" t="s">
        <v>408</v>
      </c>
      <c r="F935" s="341">
        <v>84.75</v>
      </c>
      <c r="G935" s="355" t="s">
        <v>4740</v>
      </c>
      <c r="H935" s="356" t="s">
        <v>10646</v>
      </c>
      <c r="I935" s="354" t="s">
        <v>236</v>
      </c>
      <c r="J935" s="340" t="s">
        <v>10544</v>
      </c>
      <c r="K935" s="339" t="s">
        <v>71</v>
      </c>
      <c r="L935" s="357">
        <v>26</v>
      </c>
      <c r="M935" s="358" t="s">
        <v>10545</v>
      </c>
      <c r="N935" s="359">
        <v>1000</v>
      </c>
      <c r="O935" s="360" t="s">
        <v>532</v>
      </c>
      <c r="P935" s="343" t="s">
        <v>533</v>
      </c>
      <c r="Q935" s="342" t="s">
        <v>2688</v>
      </c>
      <c r="R935" s="344">
        <v>25</v>
      </c>
      <c r="S935" s="345">
        <v>35</v>
      </c>
      <c r="T935" s="362">
        <v>20</v>
      </c>
      <c r="U935" s="361">
        <v>84.75</v>
      </c>
      <c r="V935" s="346">
        <v>121.76510043719719</v>
      </c>
      <c r="W935" s="348">
        <v>120.69843377053053</v>
      </c>
      <c r="X935" s="347">
        <v>61.47</v>
      </c>
      <c r="Y935" s="357">
        <v>61.98</v>
      </c>
      <c r="Z935" s="365" t="s">
        <v>3017</v>
      </c>
      <c r="AA935" s="350">
        <v>194</v>
      </c>
      <c r="AB935" s="349" t="s">
        <v>2685</v>
      </c>
      <c r="AC935" s="350">
        <v>4</v>
      </c>
      <c r="AD935" s="349" t="s">
        <v>2685</v>
      </c>
      <c r="AE935" s="364">
        <v>0</v>
      </c>
      <c r="AF935" s="366">
        <v>0</v>
      </c>
      <c r="AG935" s="363">
        <v>0</v>
      </c>
      <c r="AH935" s="635" t="s">
        <v>408</v>
      </c>
      <c r="AL935" s="487" t="s">
        <v>15307</v>
      </c>
      <c r="AM935" s="477" t="s">
        <v>71</v>
      </c>
      <c r="AN935" s="637">
        <v>100</v>
      </c>
      <c r="AO935" s="478">
        <v>-1499</v>
      </c>
      <c r="AP935" s="463">
        <v>-718</v>
      </c>
      <c r="AQ935" s="479">
        <v>-781</v>
      </c>
      <c r="AR935" s="476" t="s">
        <v>17045</v>
      </c>
      <c r="BA935" s="313" t="s">
        <v>4725</v>
      </c>
    </row>
    <row r="936" spans="2:53" ht="16.5" customHeight="1">
      <c r="B936" s="367" t="s">
        <v>10549</v>
      </c>
      <c r="C936" s="351" t="s">
        <v>10550</v>
      </c>
      <c r="D936" s="353">
        <v>-1499</v>
      </c>
      <c r="E936" s="352" t="s">
        <v>408</v>
      </c>
      <c r="F936" s="341">
        <v>84.74</v>
      </c>
      <c r="G936" s="355" t="s">
        <v>18710</v>
      </c>
      <c r="H936" s="356" t="s">
        <v>18711</v>
      </c>
      <c r="I936" s="354" t="s">
        <v>254</v>
      </c>
      <c r="J936" s="340" t="s">
        <v>10553</v>
      </c>
      <c r="K936" s="339" t="s">
        <v>71</v>
      </c>
      <c r="L936" s="357">
        <v>3</v>
      </c>
      <c r="M936" s="358" t="s">
        <v>10554</v>
      </c>
      <c r="N936" s="359">
        <v>1000</v>
      </c>
      <c r="O936" s="360" t="s">
        <v>532</v>
      </c>
      <c r="P936" s="343" t="s">
        <v>533</v>
      </c>
      <c r="Q936" s="342" t="s">
        <v>2688</v>
      </c>
      <c r="R936" s="344">
        <v>35</v>
      </c>
      <c r="S936" s="345">
        <v>25</v>
      </c>
      <c r="T936" s="362">
        <v>20</v>
      </c>
      <c r="U936" s="361">
        <v>84.74</v>
      </c>
      <c r="V936" s="346">
        <v>121.75837140664659</v>
      </c>
      <c r="W936" s="348">
        <v>120.69170473997993</v>
      </c>
      <c r="X936" s="347">
        <v>61.47</v>
      </c>
      <c r="Y936" s="357">
        <v>61.96</v>
      </c>
      <c r="Z936" s="365" t="s">
        <v>3017</v>
      </c>
      <c r="AA936" s="350">
        <v>196</v>
      </c>
      <c r="AB936" s="349" t="s">
        <v>2685</v>
      </c>
      <c r="AC936" s="350">
        <v>3</v>
      </c>
      <c r="AD936" s="349" t="s">
        <v>2685</v>
      </c>
      <c r="AE936" s="364">
        <v>0</v>
      </c>
      <c r="AF936" s="366">
        <v>0</v>
      </c>
      <c r="AG936" s="363">
        <v>0</v>
      </c>
      <c r="AH936" s="635" t="s">
        <v>408</v>
      </c>
      <c r="AL936" s="487" t="s">
        <v>15308</v>
      </c>
      <c r="AM936" s="477" t="s">
        <v>71</v>
      </c>
      <c r="AN936" s="637">
        <v>100</v>
      </c>
      <c r="AO936" s="478">
        <v>-1499</v>
      </c>
      <c r="AP936" s="463">
        <v>-718</v>
      </c>
      <c r="AQ936" s="479">
        <v>-781</v>
      </c>
      <c r="AR936" s="476" t="s">
        <v>17046</v>
      </c>
      <c r="BA936" s="313" t="s">
        <v>4726</v>
      </c>
    </row>
    <row r="937" spans="2:53" ht="16.5" customHeight="1">
      <c r="B937" s="367" t="s">
        <v>4571</v>
      </c>
      <c r="C937" s="351" t="s">
        <v>4572</v>
      </c>
      <c r="D937" s="353">
        <v>-1500</v>
      </c>
      <c r="E937" s="352" t="s">
        <v>10541</v>
      </c>
      <c r="F937" s="341">
        <v>84.72</v>
      </c>
      <c r="G937" s="355" t="s">
        <v>4732</v>
      </c>
      <c r="H937" s="356" t="s">
        <v>18712</v>
      </c>
      <c r="I937" s="354" t="s">
        <v>236</v>
      </c>
      <c r="J937" s="340" t="s">
        <v>10555</v>
      </c>
      <c r="K937" s="339" t="s">
        <v>71</v>
      </c>
      <c r="L937" s="357">
        <v>12</v>
      </c>
      <c r="M937" s="358" t="s">
        <v>10556</v>
      </c>
      <c r="N937" s="359">
        <v>1000</v>
      </c>
      <c r="O937" s="360" t="s">
        <v>532</v>
      </c>
      <c r="P937" s="343" t="s">
        <v>533</v>
      </c>
      <c r="Q937" s="342" t="s">
        <v>2688</v>
      </c>
      <c r="R937" s="344">
        <v>35</v>
      </c>
      <c r="S937" s="345">
        <v>25</v>
      </c>
      <c r="T937" s="362">
        <v>20</v>
      </c>
      <c r="U937" s="361">
        <v>84.72</v>
      </c>
      <c r="V937" s="346">
        <v>121.74827932235405</v>
      </c>
      <c r="W937" s="348">
        <v>120.68161265568739</v>
      </c>
      <c r="X937" s="347">
        <v>61.47</v>
      </c>
      <c r="Y937" s="357">
        <v>61.97</v>
      </c>
      <c r="Z937" s="365" t="s">
        <v>3017</v>
      </c>
      <c r="AA937" s="350">
        <v>194</v>
      </c>
      <c r="AB937" s="349" t="s">
        <v>2685</v>
      </c>
      <c r="AC937" s="350">
        <v>4</v>
      </c>
      <c r="AD937" s="349" t="s">
        <v>2685</v>
      </c>
      <c r="AE937" s="364">
        <v>0</v>
      </c>
      <c r="AF937" s="366">
        <v>0</v>
      </c>
      <c r="AG937" s="363">
        <v>0</v>
      </c>
      <c r="AH937" s="635" t="s">
        <v>408</v>
      </c>
      <c r="AL937" s="487" t="s">
        <v>15309</v>
      </c>
      <c r="AM937" s="477" t="s">
        <v>71</v>
      </c>
      <c r="AN937" s="637">
        <v>100</v>
      </c>
      <c r="AO937" s="478">
        <v>-1500</v>
      </c>
      <c r="AP937" s="463">
        <v>-718</v>
      </c>
      <c r="AQ937" s="479">
        <v>-782</v>
      </c>
      <c r="AR937" s="476" t="s">
        <v>17047</v>
      </c>
      <c r="BA937" s="313" t="s">
        <v>4728</v>
      </c>
    </row>
    <row r="938" spans="2:53" ht="16.5" customHeight="1">
      <c r="B938" s="367" t="s">
        <v>4578</v>
      </c>
      <c r="C938" s="351" t="s">
        <v>4579</v>
      </c>
      <c r="D938" s="353">
        <v>-1500</v>
      </c>
      <c r="E938" s="352" t="s">
        <v>10276</v>
      </c>
      <c r="F938" s="341">
        <v>84.71</v>
      </c>
      <c r="G938" s="355" t="s">
        <v>10557</v>
      </c>
      <c r="H938" s="356" t="s">
        <v>10120</v>
      </c>
      <c r="I938" s="354" t="s">
        <v>221</v>
      </c>
      <c r="J938" s="340" t="s">
        <v>8011</v>
      </c>
      <c r="K938" s="339" t="s">
        <v>70</v>
      </c>
      <c r="L938" s="357">
        <v>20</v>
      </c>
      <c r="M938" s="358" t="s">
        <v>10558</v>
      </c>
      <c r="N938" s="359">
        <v>1000</v>
      </c>
      <c r="O938" s="360" t="s">
        <v>532</v>
      </c>
      <c r="P938" s="343" t="s">
        <v>533</v>
      </c>
      <c r="Q938" s="342" t="s">
        <v>2688</v>
      </c>
      <c r="R938" s="344">
        <v>20</v>
      </c>
      <c r="S938" s="345">
        <v>35</v>
      </c>
      <c r="T938" s="362">
        <v>30</v>
      </c>
      <c r="U938" s="361">
        <v>84.71</v>
      </c>
      <c r="V938" s="346">
        <v>121.73921599053776</v>
      </c>
      <c r="W938" s="348">
        <v>120.6725493238711</v>
      </c>
      <c r="X938" s="347">
        <v>61.2</v>
      </c>
      <c r="Y938" s="357">
        <v>61.87</v>
      </c>
      <c r="Z938" s="365" t="s">
        <v>3017</v>
      </c>
      <c r="AA938" s="350">
        <v>144</v>
      </c>
      <c r="AB938" s="349" t="s">
        <v>2685</v>
      </c>
      <c r="AC938" s="350">
        <v>0</v>
      </c>
      <c r="AD938" s="349" t="s">
        <v>2685</v>
      </c>
      <c r="AE938" s="364">
        <v>0</v>
      </c>
      <c r="AF938" s="366">
        <v>16.998000000000001</v>
      </c>
      <c r="AG938" s="363">
        <v>0</v>
      </c>
      <c r="AH938" s="635" t="s">
        <v>7882</v>
      </c>
      <c r="AL938" s="487" t="s">
        <v>15310</v>
      </c>
      <c r="AM938" s="477" t="s">
        <v>70</v>
      </c>
      <c r="AN938" s="637">
        <v>100</v>
      </c>
      <c r="AO938" s="478">
        <v>-1500</v>
      </c>
      <c r="AP938" s="463">
        <v>-1500</v>
      </c>
      <c r="AQ938" s="479">
        <v>0</v>
      </c>
      <c r="AR938" s="476" t="s">
        <v>15311</v>
      </c>
      <c r="BA938" s="313" t="s">
        <v>4729</v>
      </c>
    </row>
    <row r="939" spans="2:53" ht="16.5" customHeight="1">
      <c r="B939" s="367" t="s">
        <v>4578</v>
      </c>
      <c r="C939" s="351" t="s">
        <v>4579</v>
      </c>
      <c r="D939" s="353">
        <v>-1501</v>
      </c>
      <c r="E939" s="352" t="s">
        <v>408</v>
      </c>
      <c r="F939" s="341">
        <v>84.71</v>
      </c>
      <c r="G939" s="355" t="s">
        <v>10557</v>
      </c>
      <c r="H939" s="356" t="s">
        <v>10120</v>
      </c>
      <c r="I939" s="354" t="s">
        <v>236</v>
      </c>
      <c r="J939" s="340" t="s">
        <v>10559</v>
      </c>
      <c r="K939" s="339" t="s">
        <v>70</v>
      </c>
      <c r="L939" s="357">
        <v>6</v>
      </c>
      <c r="M939" s="358" t="s">
        <v>10560</v>
      </c>
      <c r="N939" s="359">
        <v>1000</v>
      </c>
      <c r="O939" s="360" t="s">
        <v>532</v>
      </c>
      <c r="P939" s="343" t="s">
        <v>533</v>
      </c>
      <c r="Q939" s="342" t="s">
        <v>2688</v>
      </c>
      <c r="R939" s="344">
        <v>20</v>
      </c>
      <c r="S939" s="345">
        <v>35</v>
      </c>
      <c r="T939" s="362">
        <v>25</v>
      </c>
      <c r="U939" s="361">
        <v>84.71</v>
      </c>
      <c r="V939" s="346">
        <v>121.73859825214156</v>
      </c>
      <c r="W939" s="348">
        <v>120.67193158547489</v>
      </c>
      <c r="X939" s="347">
        <v>61.2</v>
      </c>
      <c r="Y939" s="357">
        <v>61.96</v>
      </c>
      <c r="Z939" s="365" t="s">
        <v>3017</v>
      </c>
      <c r="AA939" s="350">
        <v>194</v>
      </c>
      <c r="AB939" s="349" t="s">
        <v>2685</v>
      </c>
      <c r="AC939" s="350">
        <v>4</v>
      </c>
      <c r="AD939" s="349" t="s">
        <v>2685</v>
      </c>
      <c r="AE939" s="364">
        <v>0</v>
      </c>
      <c r="AF939" s="366">
        <v>10.269</v>
      </c>
      <c r="AG939" s="363">
        <v>0</v>
      </c>
      <c r="AH939" s="635" t="s">
        <v>8990</v>
      </c>
      <c r="AL939" s="487" t="s">
        <v>15312</v>
      </c>
      <c r="AM939" s="477" t="s">
        <v>70</v>
      </c>
      <c r="AN939" s="637">
        <v>100</v>
      </c>
      <c r="AO939" s="478">
        <v>-1501</v>
      </c>
      <c r="AP939" s="463">
        <v>-1501</v>
      </c>
      <c r="AQ939" s="479">
        <v>0</v>
      </c>
      <c r="AR939" s="476" t="s">
        <v>15311</v>
      </c>
      <c r="BA939" s="313" t="s">
        <v>4730</v>
      </c>
    </row>
    <row r="940" spans="2:53" ht="16.5" customHeight="1">
      <c r="B940" s="367" t="s">
        <v>4582</v>
      </c>
      <c r="C940" s="351" t="s">
        <v>4583</v>
      </c>
      <c r="D940" s="353">
        <v>-1501</v>
      </c>
      <c r="E940" s="352" t="s">
        <v>10551</v>
      </c>
      <c r="F940" s="341">
        <v>84.69</v>
      </c>
      <c r="G940" s="355" t="s">
        <v>10561</v>
      </c>
      <c r="H940" s="356" t="s">
        <v>10562</v>
      </c>
      <c r="I940" s="354" t="s">
        <v>209</v>
      </c>
      <c r="J940" s="340" t="s">
        <v>8148</v>
      </c>
      <c r="K940" s="339" t="s">
        <v>70</v>
      </c>
      <c r="L940" s="357">
        <v>15</v>
      </c>
      <c r="M940" s="358" t="s">
        <v>10563</v>
      </c>
      <c r="N940" s="359">
        <v>1000</v>
      </c>
      <c r="O940" s="360" t="s">
        <v>530</v>
      </c>
      <c r="P940" s="343" t="s">
        <v>530</v>
      </c>
      <c r="Q940" s="342" t="s">
        <v>2688</v>
      </c>
      <c r="R940" s="344">
        <v>20</v>
      </c>
      <c r="S940" s="345">
        <v>30</v>
      </c>
      <c r="T940" s="362">
        <v>30</v>
      </c>
      <c r="U940" s="361">
        <v>84.69</v>
      </c>
      <c r="V940" s="346">
        <v>121.72757530436226</v>
      </c>
      <c r="W940" s="348">
        <v>120.6609086376956</v>
      </c>
      <c r="X940" s="347">
        <v>61.2</v>
      </c>
      <c r="Y940" s="357" t="s">
        <v>408</v>
      </c>
      <c r="Z940" s="365" t="s">
        <v>3017</v>
      </c>
      <c r="AA940" s="350">
        <v>198</v>
      </c>
      <c r="AB940" s="349" t="s">
        <v>2685</v>
      </c>
      <c r="AC940" s="350">
        <v>10</v>
      </c>
      <c r="AD940" s="349" t="s">
        <v>2685</v>
      </c>
      <c r="AE940" s="364">
        <v>0</v>
      </c>
      <c r="AF940" s="366">
        <v>0</v>
      </c>
      <c r="AG940" s="363">
        <v>0</v>
      </c>
      <c r="AH940" s="635" t="s">
        <v>408</v>
      </c>
      <c r="AL940" s="487" t="s">
        <v>15314</v>
      </c>
      <c r="AM940" s="477" t="s">
        <v>70</v>
      </c>
      <c r="AN940" s="637">
        <v>100</v>
      </c>
      <c r="AO940" s="478">
        <v>-1501</v>
      </c>
      <c r="AP940" s="463">
        <v>-1501</v>
      </c>
      <c r="AQ940" s="479">
        <v>0</v>
      </c>
      <c r="AR940" s="476" t="s">
        <v>15315</v>
      </c>
      <c r="BA940" s="313" t="s">
        <v>4731</v>
      </c>
    </row>
    <row r="941" spans="2:53" ht="16.5" customHeight="1">
      <c r="B941" s="367" t="s">
        <v>18212</v>
      </c>
      <c r="C941" s="351" t="s">
        <v>18213</v>
      </c>
      <c r="D941" s="353">
        <v>-1502</v>
      </c>
      <c r="E941" s="352" t="s">
        <v>10276</v>
      </c>
      <c r="F941" s="341">
        <v>84.69</v>
      </c>
      <c r="G941" s="355" t="s">
        <v>4737</v>
      </c>
      <c r="H941" s="356" t="s">
        <v>18713</v>
      </c>
      <c r="I941" s="354" t="s">
        <v>237</v>
      </c>
      <c r="J941" s="340" t="s">
        <v>10534</v>
      </c>
      <c r="K941" s="339" t="s">
        <v>71</v>
      </c>
      <c r="L941" s="357">
        <v>5</v>
      </c>
      <c r="M941" s="358" t="s">
        <v>4800</v>
      </c>
      <c r="N941" s="359">
        <v>1000</v>
      </c>
      <c r="O941" s="360" t="s">
        <v>530</v>
      </c>
      <c r="P941" s="343" t="s">
        <v>530</v>
      </c>
      <c r="Q941" s="342" t="s">
        <v>2688</v>
      </c>
      <c r="R941" s="344">
        <v>30</v>
      </c>
      <c r="S941" s="345">
        <v>30</v>
      </c>
      <c r="T941" s="362">
        <v>20</v>
      </c>
      <c r="U941" s="361">
        <v>84.69</v>
      </c>
      <c r="V941" s="346">
        <v>121.72951043855595</v>
      </c>
      <c r="W941" s="348">
        <v>120.66284377188929</v>
      </c>
      <c r="X941" s="347">
        <v>61.45</v>
      </c>
      <c r="Y941" s="357" t="s">
        <v>408</v>
      </c>
      <c r="Z941" s="365" t="s">
        <v>3017</v>
      </c>
      <c r="AA941" s="350">
        <v>196</v>
      </c>
      <c r="AB941" s="349" t="s">
        <v>2685</v>
      </c>
      <c r="AC941" s="350">
        <v>0</v>
      </c>
      <c r="AD941" s="349" t="s">
        <v>2685</v>
      </c>
      <c r="AE941" s="364">
        <v>0</v>
      </c>
      <c r="AF941" s="366">
        <v>0</v>
      </c>
      <c r="AG941" s="363">
        <v>0</v>
      </c>
      <c r="AH941" s="635" t="s">
        <v>408</v>
      </c>
      <c r="AL941" s="487" t="s">
        <v>15316</v>
      </c>
      <c r="AM941" s="477" t="s">
        <v>71</v>
      </c>
      <c r="AN941" s="637">
        <v>100</v>
      </c>
      <c r="AO941" s="478">
        <v>-1502</v>
      </c>
      <c r="AP941" s="463">
        <v>-719</v>
      </c>
      <c r="AQ941" s="479">
        <v>-783</v>
      </c>
      <c r="AR941" s="476" t="s">
        <v>17048</v>
      </c>
      <c r="BA941" s="313" t="s">
        <v>4734</v>
      </c>
    </row>
    <row r="942" spans="2:53" ht="16.5" customHeight="1">
      <c r="B942" s="367" t="s">
        <v>18212</v>
      </c>
      <c r="C942" s="351" t="s">
        <v>18213</v>
      </c>
      <c r="D942" s="353">
        <v>-1502</v>
      </c>
      <c r="E942" s="352" t="s">
        <v>408</v>
      </c>
      <c r="F942" s="341">
        <v>84.69</v>
      </c>
      <c r="G942" s="355" t="s">
        <v>4737</v>
      </c>
      <c r="H942" s="356" t="s">
        <v>18713</v>
      </c>
      <c r="I942" s="354" t="s">
        <v>237</v>
      </c>
      <c r="J942" s="340" t="s">
        <v>9633</v>
      </c>
      <c r="K942" s="339" t="s">
        <v>71</v>
      </c>
      <c r="L942" s="357">
        <v>12</v>
      </c>
      <c r="M942" s="358" t="s">
        <v>4800</v>
      </c>
      <c r="N942" s="359">
        <v>1000</v>
      </c>
      <c r="O942" s="360" t="s">
        <v>530</v>
      </c>
      <c r="P942" s="343" t="s">
        <v>530</v>
      </c>
      <c r="Q942" s="342" t="s">
        <v>2688</v>
      </c>
      <c r="R942" s="344">
        <v>30</v>
      </c>
      <c r="S942" s="345">
        <v>30</v>
      </c>
      <c r="T942" s="362">
        <v>20</v>
      </c>
      <c r="U942" s="361">
        <v>84.69</v>
      </c>
      <c r="V942" s="346">
        <v>121.72951043855595</v>
      </c>
      <c r="W942" s="348">
        <v>120.66284377188929</v>
      </c>
      <c r="X942" s="347">
        <v>61.45</v>
      </c>
      <c r="Y942" s="357" t="s">
        <v>408</v>
      </c>
      <c r="Z942" s="365" t="s">
        <v>3017</v>
      </c>
      <c r="AA942" s="350">
        <v>196</v>
      </c>
      <c r="AB942" s="349" t="s">
        <v>2685</v>
      </c>
      <c r="AC942" s="350">
        <v>0</v>
      </c>
      <c r="AD942" s="349" t="s">
        <v>2685</v>
      </c>
      <c r="AE942" s="364">
        <v>0</v>
      </c>
      <c r="AF942" s="366">
        <v>0</v>
      </c>
      <c r="AG942" s="363">
        <v>0</v>
      </c>
      <c r="AH942" s="635" t="s">
        <v>408</v>
      </c>
      <c r="AL942" s="487" t="s">
        <v>15317</v>
      </c>
      <c r="AM942" s="477" t="s">
        <v>71</v>
      </c>
      <c r="AN942" s="637">
        <v>100</v>
      </c>
      <c r="AO942" s="478">
        <v>-1502</v>
      </c>
      <c r="AP942" s="463">
        <v>-719</v>
      </c>
      <c r="AQ942" s="479">
        <v>-783</v>
      </c>
      <c r="AR942" s="476" t="s">
        <v>17048</v>
      </c>
      <c r="BA942" s="313" t="s">
        <v>4736</v>
      </c>
    </row>
    <row r="943" spans="2:53" ht="16.5" customHeight="1">
      <c r="B943" s="367" t="s">
        <v>10564</v>
      </c>
      <c r="C943" s="351" t="s">
        <v>10565</v>
      </c>
      <c r="D943" s="353">
        <v>-1503</v>
      </c>
      <c r="E943" s="352" t="s">
        <v>408</v>
      </c>
      <c r="F943" s="341">
        <v>84.68</v>
      </c>
      <c r="G943" s="355" t="s">
        <v>4590</v>
      </c>
      <c r="H943" s="356" t="s">
        <v>4399</v>
      </c>
      <c r="I943" s="354" t="s">
        <v>238</v>
      </c>
      <c r="J943" s="340" t="s">
        <v>9141</v>
      </c>
      <c r="K943" s="339" t="s">
        <v>71</v>
      </c>
      <c r="L943" s="357">
        <v>2</v>
      </c>
      <c r="M943" s="358" t="s">
        <v>10566</v>
      </c>
      <c r="N943" s="359">
        <v>1000</v>
      </c>
      <c r="O943" s="360" t="s">
        <v>532</v>
      </c>
      <c r="P943" s="343" t="s">
        <v>533</v>
      </c>
      <c r="Q943" s="342" t="s">
        <v>2688</v>
      </c>
      <c r="R943" s="344">
        <v>35</v>
      </c>
      <c r="S943" s="345">
        <v>25</v>
      </c>
      <c r="T943" s="362">
        <v>25</v>
      </c>
      <c r="U943" s="361">
        <v>84.68</v>
      </c>
      <c r="V943" s="346">
        <v>121.72251724018436</v>
      </c>
      <c r="W943" s="348">
        <v>120.6558505735177</v>
      </c>
      <c r="X943" s="347">
        <v>61.45</v>
      </c>
      <c r="Y943" s="357">
        <v>61.949999999999996</v>
      </c>
      <c r="Z943" s="365" t="s">
        <v>3017</v>
      </c>
      <c r="AA943" s="350">
        <v>148</v>
      </c>
      <c r="AB943" s="349" t="s">
        <v>2685</v>
      </c>
      <c r="AC943" s="350">
        <v>0</v>
      </c>
      <c r="AD943" s="349" t="s">
        <v>2685</v>
      </c>
      <c r="AE943" s="364">
        <v>0</v>
      </c>
      <c r="AF943" s="366">
        <v>0</v>
      </c>
      <c r="AG943" s="363">
        <v>0</v>
      </c>
      <c r="AH943" s="635" t="s">
        <v>408</v>
      </c>
      <c r="AL943" s="487" t="s">
        <v>15318</v>
      </c>
      <c r="AM943" s="477" t="s">
        <v>71</v>
      </c>
      <c r="AN943" s="637">
        <v>100</v>
      </c>
      <c r="AO943" s="478">
        <v>-1503</v>
      </c>
      <c r="AP943" s="463">
        <v>-719</v>
      </c>
      <c r="AQ943" s="479">
        <v>-784</v>
      </c>
      <c r="AR943" s="476" t="s">
        <v>17049</v>
      </c>
      <c r="BA943" s="313" t="s">
        <v>4738</v>
      </c>
    </row>
    <row r="944" spans="2:53" ht="16.5" customHeight="1">
      <c r="B944" s="367" t="s">
        <v>10564</v>
      </c>
      <c r="C944" s="351" t="s">
        <v>10565</v>
      </c>
      <c r="D944" s="353">
        <v>-1503</v>
      </c>
      <c r="E944" s="352" t="s">
        <v>408</v>
      </c>
      <c r="F944" s="341">
        <v>84.68</v>
      </c>
      <c r="G944" s="355" t="s">
        <v>4597</v>
      </c>
      <c r="H944" s="356" t="s">
        <v>10147</v>
      </c>
      <c r="I944" s="354" t="s">
        <v>236</v>
      </c>
      <c r="J944" s="340" t="s">
        <v>10567</v>
      </c>
      <c r="K944" s="339" t="s">
        <v>71</v>
      </c>
      <c r="L944" s="357">
        <v>7</v>
      </c>
      <c r="M944" s="358" t="s">
        <v>10568</v>
      </c>
      <c r="N944" s="359">
        <v>1000</v>
      </c>
      <c r="O944" s="360" t="s">
        <v>532</v>
      </c>
      <c r="P944" s="343" t="s">
        <v>533</v>
      </c>
      <c r="Q944" s="342" t="s">
        <v>2688</v>
      </c>
      <c r="R944" s="344">
        <v>35</v>
      </c>
      <c r="S944" s="345">
        <v>25</v>
      </c>
      <c r="T944" s="362">
        <v>20</v>
      </c>
      <c r="U944" s="361">
        <v>84.68</v>
      </c>
      <c r="V944" s="346">
        <v>121.71726462428427</v>
      </c>
      <c r="W944" s="348">
        <v>120.65059795761759</v>
      </c>
      <c r="X944" s="347">
        <v>61.45</v>
      </c>
      <c r="Y944" s="357">
        <v>61.949999999999996</v>
      </c>
      <c r="Z944" s="365" t="s">
        <v>3017</v>
      </c>
      <c r="AA944" s="350">
        <v>194</v>
      </c>
      <c r="AB944" s="349" t="s">
        <v>2685</v>
      </c>
      <c r="AC944" s="350">
        <v>4</v>
      </c>
      <c r="AD944" s="349" t="s">
        <v>2685</v>
      </c>
      <c r="AE944" s="364">
        <v>0</v>
      </c>
      <c r="AF944" s="366">
        <v>0</v>
      </c>
      <c r="AG944" s="363">
        <v>0</v>
      </c>
      <c r="AH944" s="635" t="s">
        <v>408</v>
      </c>
      <c r="AL944" s="487" t="s">
        <v>15319</v>
      </c>
      <c r="AM944" s="477" t="s">
        <v>71</v>
      </c>
      <c r="AN944" s="637">
        <v>100</v>
      </c>
      <c r="AO944" s="478">
        <v>-1503</v>
      </c>
      <c r="AP944" s="463">
        <v>-719</v>
      </c>
      <c r="AQ944" s="479">
        <v>-784</v>
      </c>
      <c r="AR944" s="476" t="s">
        <v>17050</v>
      </c>
      <c r="BA944" s="313" t="s">
        <v>4739</v>
      </c>
    </row>
    <row r="945" spans="2:53" ht="16.5" customHeight="1">
      <c r="B945" s="367" t="s">
        <v>4542</v>
      </c>
      <c r="C945" s="351" t="s">
        <v>4543</v>
      </c>
      <c r="D945" s="353">
        <v>-1504</v>
      </c>
      <c r="E945" s="352" t="s">
        <v>4782</v>
      </c>
      <c r="F945" s="341">
        <v>84.64</v>
      </c>
      <c r="G945" s="355" t="s">
        <v>18714</v>
      </c>
      <c r="H945" s="356" t="s">
        <v>4405</v>
      </c>
      <c r="I945" s="354" t="s">
        <v>221</v>
      </c>
      <c r="J945" s="340" t="s">
        <v>8214</v>
      </c>
      <c r="K945" s="339" t="s">
        <v>71</v>
      </c>
      <c r="L945" s="357">
        <v>10</v>
      </c>
      <c r="M945" s="358" t="s">
        <v>10570</v>
      </c>
      <c r="N945" s="359">
        <v>1000</v>
      </c>
      <c r="O945" s="360" t="s">
        <v>532</v>
      </c>
      <c r="P945" s="343" t="s">
        <v>533</v>
      </c>
      <c r="Q945" s="342" t="s">
        <v>2688</v>
      </c>
      <c r="R945" s="344">
        <v>35</v>
      </c>
      <c r="S945" s="345">
        <v>25</v>
      </c>
      <c r="T945" s="362">
        <v>25</v>
      </c>
      <c r="U945" s="361">
        <v>84.64</v>
      </c>
      <c r="V945" s="346">
        <v>121.69443527210763</v>
      </c>
      <c r="W945" s="348">
        <v>120.62776860544095</v>
      </c>
      <c r="X945" s="347">
        <v>61.44</v>
      </c>
      <c r="Y945" s="357">
        <v>62.019999999999996</v>
      </c>
      <c r="Z945" s="365" t="s">
        <v>3017</v>
      </c>
      <c r="AA945" s="350">
        <v>144</v>
      </c>
      <c r="AB945" s="349" t="s">
        <v>2685</v>
      </c>
      <c r="AC945" s="350">
        <v>0</v>
      </c>
      <c r="AD945" s="349" t="s">
        <v>2685</v>
      </c>
      <c r="AE945" s="364">
        <v>0</v>
      </c>
      <c r="AF945" s="366">
        <v>0</v>
      </c>
      <c r="AG945" s="363">
        <v>0</v>
      </c>
      <c r="AH945" s="635" t="s">
        <v>408</v>
      </c>
      <c r="AL945" s="487" t="s">
        <v>15321</v>
      </c>
      <c r="AM945" s="477" t="s">
        <v>71</v>
      </c>
      <c r="AN945" s="637">
        <v>100</v>
      </c>
      <c r="AO945" s="478">
        <v>-1504</v>
      </c>
      <c r="AP945" s="463">
        <v>-719</v>
      </c>
      <c r="AQ945" s="479">
        <v>-785</v>
      </c>
      <c r="AR945" s="476" t="s">
        <v>17051</v>
      </c>
      <c r="BA945" s="313" t="s">
        <v>4741</v>
      </c>
    </row>
    <row r="946" spans="2:53" ht="16.5" customHeight="1">
      <c r="B946" s="367" t="s">
        <v>16525</v>
      </c>
      <c r="C946" s="351" t="s">
        <v>16526</v>
      </c>
      <c r="D946" s="353">
        <v>-1504</v>
      </c>
      <c r="E946" s="352" t="s">
        <v>10276</v>
      </c>
      <c r="F946" s="341">
        <v>84.63</v>
      </c>
      <c r="G946" s="355" t="s">
        <v>10542</v>
      </c>
      <c r="H946" s="356" t="s">
        <v>4407</v>
      </c>
      <c r="I946" s="354" t="s">
        <v>236</v>
      </c>
      <c r="J946" s="340" t="s">
        <v>10571</v>
      </c>
      <c r="K946" s="339" t="s">
        <v>71</v>
      </c>
      <c r="L946" s="357">
        <v>10</v>
      </c>
      <c r="M946" s="358" t="s">
        <v>10572</v>
      </c>
      <c r="N946" s="359">
        <v>1000</v>
      </c>
      <c r="O946" s="360" t="s">
        <v>532</v>
      </c>
      <c r="P946" s="343" t="s">
        <v>533</v>
      </c>
      <c r="Q946" s="342" t="s">
        <v>2688</v>
      </c>
      <c r="R946" s="344">
        <v>35</v>
      </c>
      <c r="S946" s="345">
        <v>25</v>
      </c>
      <c r="T946" s="362">
        <v>20</v>
      </c>
      <c r="U946" s="361">
        <v>84.63</v>
      </c>
      <c r="V946" s="346">
        <v>121.68797296499616</v>
      </c>
      <c r="W946" s="348">
        <v>120.62130629832949</v>
      </c>
      <c r="X946" s="347">
        <v>61.44</v>
      </c>
      <c r="Y946" s="357">
        <v>61.94</v>
      </c>
      <c r="Z946" s="365" t="s">
        <v>3017</v>
      </c>
      <c r="AA946" s="350">
        <v>194</v>
      </c>
      <c r="AB946" s="349" t="s">
        <v>2685</v>
      </c>
      <c r="AC946" s="350">
        <v>4</v>
      </c>
      <c r="AD946" s="349" t="s">
        <v>2685</v>
      </c>
      <c r="AE946" s="364">
        <v>0</v>
      </c>
      <c r="AF946" s="366">
        <v>0</v>
      </c>
      <c r="AG946" s="363">
        <v>0</v>
      </c>
      <c r="AH946" s="635" t="s">
        <v>408</v>
      </c>
      <c r="AL946" s="487" t="s">
        <v>15322</v>
      </c>
      <c r="AM946" s="477" t="s">
        <v>71</v>
      </c>
      <c r="AN946" s="637">
        <v>100</v>
      </c>
      <c r="AO946" s="478">
        <v>-1504</v>
      </c>
      <c r="AP946" s="463">
        <v>-719</v>
      </c>
      <c r="AQ946" s="479">
        <v>-785</v>
      </c>
      <c r="AR946" s="476" t="s">
        <v>17052</v>
      </c>
      <c r="BA946" s="313" t="s">
        <v>4742</v>
      </c>
    </row>
    <row r="947" spans="2:53" ht="16.5" customHeight="1">
      <c r="B947" s="367" t="s">
        <v>4585</v>
      </c>
      <c r="C947" s="351" t="s">
        <v>4586</v>
      </c>
      <c r="D947" s="353">
        <v>-1505</v>
      </c>
      <c r="E947" s="352" t="s">
        <v>10569</v>
      </c>
      <c r="F947" s="341">
        <v>84.62</v>
      </c>
      <c r="G947" s="355" t="s">
        <v>10520</v>
      </c>
      <c r="H947" s="356" t="s">
        <v>10617</v>
      </c>
      <c r="I947" s="354" t="s">
        <v>254</v>
      </c>
      <c r="J947" s="340" t="s">
        <v>10575</v>
      </c>
      <c r="K947" s="339" t="s">
        <v>71</v>
      </c>
      <c r="L947" s="357">
        <v>14</v>
      </c>
      <c r="M947" s="358" t="s">
        <v>10576</v>
      </c>
      <c r="N947" s="359">
        <v>1000</v>
      </c>
      <c r="O947" s="360" t="s">
        <v>532</v>
      </c>
      <c r="P947" s="343" t="s">
        <v>533</v>
      </c>
      <c r="Q947" s="342" t="s">
        <v>2688</v>
      </c>
      <c r="R947" s="344">
        <v>35</v>
      </c>
      <c r="S947" s="345">
        <v>25</v>
      </c>
      <c r="T947" s="362">
        <v>20</v>
      </c>
      <c r="U947" s="361">
        <v>84.62</v>
      </c>
      <c r="V947" s="346">
        <v>121.67738858390886</v>
      </c>
      <c r="W947" s="348">
        <v>120.61072191724219</v>
      </c>
      <c r="X947" s="347">
        <v>61.43</v>
      </c>
      <c r="Y947" s="357">
        <v>61.919999999999995</v>
      </c>
      <c r="Z947" s="365" t="s">
        <v>3017</v>
      </c>
      <c r="AA947" s="350">
        <v>196</v>
      </c>
      <c r="AB947" s="349" t="s">
        <v>2685</v>
      </c>
      <c r="AC947" s="350">
        <v>3</v>
      </c>
      <c r="AD947" s="349" t="s">
        <v>2685</v>
      </c>
      <c r="AE947" s="364">
        <v>0</v>
      </c>
      <c r="AF947" s="366">
        <v>0</v>
      </c>
      <c r="AG947" s="363">
        <v>0</v>
      </c>
      <c r="AH947" s="635" t="s">
        <v>408</v>
      </c>
      <c r="AL947" s="487" t="s">
        <v>15323</v>
      </c>
      <c r="AM947" s="477" t="s">
        <v>71</v>
      </c>
      <c r="AN947" s="637">
        <v>100</v>
      </c>
      <c r="AO947" s="478">
        <v>-1505</v>
      </c>
      <c r="AP947" s="463">
        <v>-720</v>
      </c>
      <c r="AQ947" s="479">
        <v>-785</v>
      </c>
      <c r="AR947" s="476" t="s">
        <v>15356</v>
      </c>
      <c r="BA947" s="313" t="s">
        <v>4745</v>
      </c>
    </row>
    <row r="948" spans="2:53" ht="16.5" customHeight="1">
      <c r="B948" s="367" t="s">
        <v>4588</v>
      </c>
      <c r="C948" s="351" t="s">
        <v>4589</v>
      </c>
      <c r="D948" s="353">
        <v>-1505</v>
      </c>
      <c r="E948" s="352" t="s">
        <v>10276</v>
      </c>
      <c r="F948" s="341">
        <v>84.61</v>
      </c>
      <c r="G948" s="355" t="s">
        <v>10577</v>
      </c>
      <c r="H948" s="356" t="s">
        <v>10123</v>
      </c>
      <c r="I948" s="354" t="s">
        <v>221</v>
      </c>
      <c r="J948" s="340" t="s">
        <v>10578</v>
      </c>
      <c r="K948" s="339" t="s">
        <v>70</v>
      </c>
      <c r="L948" s="357">
        <v>47</v>
      </c>
      <c r="M948" s="358" t="s">
        <v>10579</v>
      </c>
      <c r="N948" s="359">
        <v>1000</v>
      </c>
      <c r="O948" s="360" t="s">
        <v>532</v>
      </c>
      <c r="P948" s="343" t="s">
        <v>533</v>
      </c>
      <c r="Q948" s="342" t="s">
        <v>2688</v>
      </c>
      <c r="R948" s="344">
        <v>20</v>
      </c>
      <c r="S948" s="345">
        <v>35</v>
      </c>
      <c r="T948" s="362">
        <v>30</v>
      </c>
      <c r="U948" s="361">
        <v>84.61</v>
      </c>
      <c r="V948" s="346">
        <v>121.67266982249369</v>
      </c>
      <c r="W948" s="348">
        <v>120.60600315582701</v>
      </c>
      <c r="X948" s="347">
        <v>61.16</v>
      </c>
      <c r="Y948" s="357">
        <v>61.83</v>
      </c>
      <c r="Z948" s="365" t="s">
        <v>3017</v>
      </c>
      <c r="AA948" s="350">
        <v>144</v>
      </c>
      <c r="AB948" s="349" t="s">
        <v>2685</v>
      </c>
      <c r="AC948" s="350">
        <v>0</v>
      </c>
      <c r="AD948" s="349" t="s">
        <v>2685</v>
      </c>
      <c r="AE948" s="364">
        <v>0</v>
      </c>
      <c r="AF948" s="366">
        <v>16.988</v>
      </c>
      <c r="AG948" s="363">
        <v>0</v>
      </c>
      <c r="AH948" s="635" t="s">
        <v>7882</v>
      </c>
      <c r="AL948" s="487" t="s">
        <v>15325</v>
      </c>
      <c r="AM948" s="477" t="s">
        <v>70</v>
      </c>
      <c r="AN948" s="637">
        <v>100</v>
      </c>
      <c r="AO948" s="478">
        <v>-1505</v>
      </c>
      <c r="AP948" s="463">
        <v>-1505</v>
      </c>
      <c r="AQ948" s="479">
        <v>0</v>
      </c>
      <c r="AR948" s="476" t="s">
        <v>15326</v>
      </c>
      <c r="BA948" s="313" t="s">
        <v>4746</v>
      </c>
    </row>
    <row r="949" spans="2:53" ht="16.5" customHeight="1">
      <c r="B949" s="367" t="s">
        <v>4588</v>
      </c>
      <c r="C949" s="351" t="s">
        <v>4589</v>
      </c>
      <c r="D949" s="353">
        <v>-1506</v>
      </c>
      <c r="E949" s="352" t="s">
        <v>10573</v>
      </c>
      <c r="F949" s="341">
        <v>84.6</v>
      </c>
      <c r="G949" s="355" t="s">
        <v>10580</v>
      </c>
      <c r="H949" s="356" t="s">
        <v>4389</v>
      </c>
      <c r="I949" s="354" t="s">
        <v>238</v>
      </c>
      <c r="J949" s="340" t="s">
        <v>9074</v>
      </c>
      <c r="K949" s="339" t="s">
        <v>70</v>
      </c>
      <c r="L949" s="357">
        <v>9</v>
      </c>
      <c r="M949" s="358" t="s">
        <v>10581</v>
      </c>
      <c r="N949" s="359">
        <v>1000</v>
      </c>
      <c r="O949" s="360" t="s">
        <v>532</v>
      </c>
      <c r="P949" s="343" t="s">
        <v>533</v>
      </c>
      <c r="Q949" s="342" t="s">
        <v>2688</v>
      </c>
      <c r="R949" s="344">
        <v>25</v>
      </c>
      <c r="S949" s="345">
        <v>35</v>
      </c>
      <c r="T949" s="362">
        <v>30</v>
      </c>
      <c r="U949" s="361">
        <v>84.6</v>
      </c>
      <c r="V949" s="346">
        <v>121.66629131864993</v>
      </c>
      <c r="W949" s="348">
        <v>120.59962465198325</v>
      </c>
      <c r="X949" s="347">
        <v>61.16</v>
      </c>
      <c r="Y949" s="357">
        <v>61.92</v>
      </c>
      <c r="Z949" s="365" t="s">
        <v>3017</v>
      </c>
      <c r="AA949" s="350">
        <v>98</v>
      </c>
      <c r="AB949" s="349" t="s">
        <v>2685</v>
      </c>
      <c r="AC949" s="350">
        <v>0</v>
      </c>
      <c r="AD949" s="349" t="s">
        <v>2685</v>
      </c>
      <c r="AE949" s="364">
        <v>0</v>
      </c>
      <c r="AF949" s="366">
        <v>17.006</v>
      </c>
      <c r="AG949" s="363">
        <v>0</v>
      </c>
      <c r="AH949" s="635" t="s">
        <v>7882</v>
      </c>
      <c r="AL949" s="487" t="s">
        <v>15327</v>
      </c>
      <c r="AM949" s="477" t="s">
        <v>70</v>
      </c>
      <c r="AN949" s="637">
        <v>100</v>
      </c>
      <c r="AO949" s="478">
        <v>-1506</v>
      </c>
      <c r="AP949" s="463">
        <v>-1506</v>
      </c>
      <c r="AQ949" s="479">
        <v>0</v>
      </c>
      <c r="AR949" s="476" t="s">
        <v>15328</v>
      </c>
      <c r="BA949" s="313" t="s">
        <v>4750</v>
      </c>
    </row>
    <row r="950" spans="2:53" ht="16.5" customHeight="1">
      <c r="B950" s="367" t="s">
        <v>4588</v>
      </c>
      <c r="C950" s="351" t="s">
        <v>4589</v>
      </c>
      <c r="D950" s="353">
        <v>-1506</v>
      </c>
      <c r="E950" s="352" t="s">
        <v>408</v>
      </c>
      <c r="F950" s="341">
        <v>84.6</v>
      </c>
      <c r="G950" s="355" t="s">
        <v>10580</v>
      </c>
      <c r="H950" s="356" t="s">
        <v>4389</v>
      </c>
      <c r="I950" s="354" t="s">
        <v>238</v>
      </c>
      <c r="J950" s="340" t="s">
        <v>8418</v>
      </c>
      <c r="K950" s="339" t="s">
        <v>70</v>
      </c>
      <c r="L950" s="357">
        <v>10</v>
      </c>
      <c r="M950" s="358" t="s">
        <v>10581</v>
      </c>
      <c r="N950" s="359">
        <v>1000</v>
      </c>
      <c r="O950" s="360" t="s">
        <v>532</v>
      </c>
      <c r="P950" s="343" t="s">
        <v>533</v>
      </c>
      <c r="Q950" s="342" t="s">
        <v>2688</v>
      </c>
      <c r="R950" s="344">
        <v>25</v>
      </c>
      <c r="S950" s="345">
        <v>35</v>
      </c>
      <c r="T950" s="362">
        <v>30</v>
      </c>
      <c r="U950" s="361">
        <v>84.6</v>
      </c>
      <c r="V950" s="346">
        <v>121.66629131864993</v>
      </c>
      <c r="W950" s="348">
        <v>120.59962465198325</v>
      </c>
      <c r="X950" s="347">
        <v>61.16</v>
      </c>
      <c r="Y950" s="357">
        <v>61.92</v>
      </c>
      <c r="Z950" s="365" t="s">
        <v>3017</v>
      </c>
      <c r="AA950" s="350">
        <v>98</v>
      </c>
      <c r="AB950" s="349" t="s">
        <v>2685</v>
      </c>
      <c r="AC950" s="350">
        <v>0</v>
      </c>
      <c r="AD950" s="349" t="s">
        <v>2685</v>
      </c>
      <c r="AE950" s="364">
        <v>0</v>
      </c>
      <c r="AF950" s="366">
        <v>17.006</v>
      </c>
      <c r="AG950" s="363">
        <v>0</v>
      </c>
      <c r="AH950" s="635" t="s">
        <v>7882</v>
      </c>
      <c r="AL950" s="487" t="s">
        <v>15329</v>
      </c>
      <c r="AM950" s="477" t="s">
        <v>70</v>
      </c>
      <c r="AN950" s="637">
        <v>100</v>
      </c>
      <c r="AO950" s="478">
        <v>-1506</v>
      </c>
      <c r="AP950" s="463">
        <v>-1506</v>
      </c>
      <c r="AQ950" s="479">
        <v>0</v>
      </c>
      <c r="AR950" s="476" t="s">
        <v>15328</v>
      </c>
      <c r="BA950" s="313" t="s">
        <v>4751</v>
      </c>
    </row>
    <row r="951" spans="2:53" ht="16.5" customHeight="1">
      <c r="B951" s="367" t="s">
        <v>10584</v>
      </c>
      <c r="C951" s="351" t="s">
        <v>10585</v>
      </c>
      <c r="D951" s="353">
        <v>-1507</v>
      </c>
      <c r="E951" s="352" t="s">
        <v>10551</v>
      </c>
      <c r="F951" s="341">
        <v>84.59</v>
      </c>
      <c r="G951" s="355" t="s">
        <v>18715</v>
      </c>
      <c r="H951" s="356" t="s">
        <v>10621</v>
      </c>
      <c r="I951" s="354" t="s">
        <v>236</v>
      </c>
      <c r="J951" s="340" t="s">
        <v>561</v>
      </c>
      <c r="K951" s="339" t="s">
        <v>71</v>
      </c>
      <c r="L951" s="357">
        <v>8</v>
      </c>
      <c r="M951" s="358" t="s">
        <v>10583</v>
      </c>
      <c r="N951" s="359">
        <v>1000</v>
      </c>
      <c r="O951" s="360" t="s">
        <v>532</v>
      </c>
      <c r="P951" s="343" t="s">
        <v>533</v>
      </c>
      <c r="Q951" s="342" t="s">
        <v>2688</v>
      </c>
      <c r="R951" s="344">
        <v>35</v>
      </c>
      <c r="S951" s="345">
        <v>25</v>
      </c>
      <c r="T951" s="362">
        <v>20</v>
      </c>
      <c r="U951" s="361">
        <v>84.59</v>
      </c>
      <c r="V951" s="346">
        <v>121.65868130570806</v>
      </c>
      <c r="W951" s="348">
        <v>120.59201463904138</v>
      </c>
      <c r="X951" s="347">
        <v>61.42</v>
      </c>
      <c r="Y951" s="357">
        <v>61.919999999999995</v>
      </c>
      <c r="Z951" s="365" t="s">
        <v>3017</v>
      </c>
      <c r="AA951" s="350">
        <v>194</v>
      </c>
      <c r="AB951" s="349" t="s">
        <v>2685</v>
      </c>
      <c r="AC951" s="350">
        <v>4</v>
      </c>
      <c r="AD951" s="349" t="s">
        <v>2685</v>
      </c>
      <c r="AE951" s="364">
        <v>0</v>
      </c>
      <c r="AF951" s="366">
        <v>0</v>
      </c>
      <c r="AG951" s="363">
        <v>0</v>
      </c>
      <c r="AH951" s="635" t="s">
        <v>408</v>
      </c>
      <c r="AL951" s="487" t="s">
        <v>15330</v>
      </c>
      <c r="AM951" s="477" t="s">
        <v>71</v>
      </c>
      <c r="AN951" s="637">
        <v>100</v>
      </c>
      <c r="AO951" s="478">
        <v>-1507</v>
      </c>
      <c r="AP951" s="463">
        <v>-720</v>
      </c>
      <c r="AQ951" s="479">
        <v>-787</v>
      </c>
      <c r="AR951" s="476" t="s">
        <v>17053</v>
      </c>
      <c r="BA951" s="313" t="s">
        <v>4754</v>
      </c>
    </row>
    <row r="952" spans="2:53" ht="16.5" customHeight="1">
      <c r="B952" s="367" t="s">
        <v>10584</v>
      </c>
      <c r="C952" s="351" t="s">
        <v>10585</v>
      </c>
      <c r="D952" s="353">
        <v>-1507</v>
      </c>
      <c r="E952" s="352" t="s">
        <v>10551</v>
      </c>
      <c r="F952" s="341">
        <v>84.58</v>
      </c>
      <c r="G952" s="355" t="s">
        <v>10589</v>
      </c>
      <c r="H952" s="356" t="s">
        <v>10128</v>
      </c>
      <c r="I952" s="354" t="s">
        <v>209</v>
      </c>
      <c r="J952" s="340" t="s">
        <v>8283</v>
      </c>
      <c r="K952" s="339" t="s">
        <v>70</v>
      </c>
      <c r="L952" s="357">
        <v>6</v>
      </c>
      <c r="M952" s="358" t="s">
        <v>4199</v>
      </c>
      <c r="N952" s="359">
        <v>1000</v>
      </c>
      <c r="O952" s="360" t="s">
        <v>530</v>
      </c>
      <c r="P952" s="343" t="s">
        <v>530</v>
      </c>
      <c r="Q952" s="342" t="s">
        <v>2688</v>
      </c>
      <c r="R952" s="344">
        <v>20</v>
      </c>
      <c r="S952" s="345">
        <v>30</v>
      </c>
      <c r="T952" s="362">
        <v>30</v>
      </c>
      <c r="U952" s="361">
        <v>84.58</v>
      </c>
      <c r="V952" s="346">
        <v>121.6560741996262</v>
      </c>
      <c r="W952" s="348">
        <v>120.58940753295953</v>
      </c>
      <c r="X952" s="347">
        <v>61.15</v>
      </c>
      <c r="Y952" s="357" t="s">
        <v>408</v>
      </c>
      <c r="Z952" s="365" t="s">
        <v>3017</v>
      </c>
      <c r="AA952" s="350">
        <v>198</v>
      </c>
      <c r="AB952" s="349" t="s">
        <v>2685</v>
      </c>
      <c r="AC952" s="350">
        <v>10</v>
      </c>
      <c r="AD952" s="349" t="s">
        <v>2685</v>
      </c>
      <c r="AE952" s="364">
        <v>0</v>
      </c>
      <c r="AF952" s="366">
        <v>0</v>
      </c>
      <c r="AG952" s="363">
        <v>0</v>
      </c>
      <c r="AH952" s="635" t="s">
        <v>408</v>
      </c>
      <c r="AL952" s="487" t="s">
        <v>15332</v>
      </c>
      <c r="AM952" s="477" t="s">
        <v>70</v>
      </c>
      <c r="AN952" s="637">
        <v>100</v>
      </c>
      <c r="AO952" s="478">
        <v>-1507</v>
      </c>
      <c r="AP952" s="463">
        <v>-1507</v>
      </c>
      <c r="AQ952" s="479">
        <v>0</v>
      </c>
      <c r="AR952" s="476" t="s">
        <v>15333</v>
      </c>
      <c r="BA952" s="313" t="s">
        <v>4756</v>
      </c>
    </row>
    <row r="953" spans="2:53" ht="16.5" customHeight="1">
      <c r="B953" s="367" t="s">
        <v>10584</v>
      </c>
      <c r="C953" s="351" t="s">
        <v>10585</v>
      </c>
      <c r="D953" s="353">
        <v>-1508</v>
      </c>
      <c r="E953" s="352" t="s">
        <v>408</v>
      </c>
      <c r="F953" s="341">
        <v>84.58</v>
      </c>
      <c r="G953" s="355" t="s">
        <v>10589</v>
      </c>
      <c r="H953" s="356" t="s">
        <v>10142</v>
      </c>
      <c r="I953" s="354" t="s">
        <v>221</v>
      </c>
      <c r="J953" s="340" t="s">
        <v>8757</v>
      </c>
      <c r="K953" s="339" t="s">
        <v>70</v>
      </c>
      <c r="L953" s="357">
        <v>35</v>
      </c>
      <c r="M953" s="358" t="s">
        <v>10590</v>
      </c>
      <c r="N953" s="359">
        <v>1000</v>
      </c>
      <c r="O953" s="360" t="s">
        <v>532</v>
      </c>
      <c r="P953" s="343" t="s">
        <v>533</v>
      </c>
      <c r="Q953" s="342" t="s">
        <v>2688</v>
      </c>
      <c r="R953" s="344">
        <v>20</v>
      </c>
      <c r="S953" s="345">
        <v>35</v>
      </c>
      <c r="T953" s="362">
        <v>30</v>
      </c>
      <c r="U953" s="361">
        <v>84.58</v>
      </c>
      <c r="V953" s="346">
        <v>121.6540987988535</v>
      </c>
      <c r="W953" s="348">
        <v>120.58743213218682</v>
      </c>
      <c r="X953" s="347">
        <v>61.15</v>
      </c>
      <c r="Y953" s="357">
        <v>61.82</v>
      </c>
      <c r="Z953" s="365" t="s">
        <v>3017</v>
      </c>
      <c r="AA953" s="350">
        <v>144</v>
      </c>
      <c r="AB953" s="349" t="s">
        <v>2685</v>
      </c>
      <c r="AC953" s="350">
        <v>0</v>
      </c>
      <c r="AD953" s="349" t="s">
        <v>2685</v>
      </c>
      <c r="AE953" s="364">
        <v>0</v>
      </c>
      <c r="AF953" s="366">
        <v>16.986000000000001</v>
      </c>
      <c r="AG953" s="363">
        <v>0</v>
      </c>
      <c r="AH953" s="635" t="s">
        <v>7882</v>
      </c>
      <c r="AL953" s="487" t="s">
        <v>15334</v>
      </c>
      <c r="AM953" s="477" t="s">
        <v>70</v>
      </c>
      <c r="AN953" s="637">
        <v>100</v>
      </c>
      <c r="AO953" s="478">
        <v>-1508</v>
      </c>
      <c r="AP953" s="463">
        <v>-1508</v>
      </c>
      <c r="AQ953" s="479">
        <v>0</v>
      </c>
      <c r="AR953" s="476" t="s">
        <v>15333</v>
      </c>
      <c r="BA953" s="313" t="s">
        <v>4760</v>
      </c>
    </row>
    <row r="954" spans="2:53" ht="16.5" customHeight="1">
      <c r="B954" s="367" t="s">
        <v>18214</v>
      </c>
      <c r="C954" s="351" t="s">
        <v>18215</v>
      </c>
      <c r="D954" s="353">
        <v>-1508</v>
      </c>
      <c r="E954" s="352" t="s">
        <v>408</v>
      </c>
      <c r="F954" s="341">
        <v>84.58</v>
      </c>
      <c r="G954" s="355" t="s">
        <v>4794</v>
      </c>
      <c r="H954" s="356" t="s">
        <v>10128</v>
      </c>
      <c r="I954" s="354" t="s">
        <v>9189</v>
      </c>
      <c r="J954" s="340" t="s">
        <v>9544</v>
      </c>
      <c r="K954" s="339" t="s">
        <v>70</v>
      </c>
      <c r="L954" s="357">
        <v>7</v>
      </c>
      <c r="M954" s="358" t="s">
        <v>10521</v>
      </c>
      <c r="N954" s="359">
        <v>1000</v>
      </c>
      <c r="O954" s="360" t="s">
        <v>532</v>
      </c>
      <c r="P954" s="343" t="s">
        <v>532</v>
      </c>
      <c r="Q954" s="342" t="s">
        <v>2688</v>
      </c>
      <c r="R954" s="344">
        <v>20</v>
      </c>
      <c r="S954" s="345">
        <v>35</v>
      </c>
      <c r="T954" s="362">
        <v>25</v>
      </c>
      <c r="U954" s="361">
        <v>84.58</v>
      </c>
      <c r="V954" s="346">
        <v>121.65063734810126</v>
      </c>
      <c r="W954" s="348">
        <v>120.58397068143458</v>
      </c>
      <c r="X954" s="347" t="s">
        <v>18716</v>
      </c>
      <c r="Y954" s="357" t="s">
        <v>408</v>
      </c>
      <c r="Z954" s="365" t="s">
        <v>3017</v>
      </c>
      <c r="AA954" s="350">
        <v>195.56</v>
      </c>
      <c r="AB954" s="349" t="s">
        <v>2685</v>
      </c>
      <c r="AC954" s="350">
        <v>0</v>
      </c>
      <c r="AD954" s="349" t="s">
        <v>2685</v>
      </c>
      <c r="AE954" s="364">
        <v>0</v>
      </c>
      <c r="AF954" s="366">
        <v>15.507</v>
      </c>
      <c r="AG954" s="363">
        <v>0</v>
      </c>
      <c r="AH954" s="635" t="s">
        <v>9517</v>
      </c>
      <c r="AL954" s="487" t="s">
        <v>15298</v>
      </c>
      <c r="AM954" s="477" t="s">
        <v>70</v>
      </c>
      <c r="AN954" s="637">
        <v>100</v>
      </c>
      <c r="AO954" s="478">
        <v>-1508</v>
      </c>
      <c r="AP954" s="463">
        <v>-1508</v>
      </c>
      <c r="AQ954" s="479">
        <v>0</v>
      </c>
      <c r="AR954" s="476" t="s">
        <v>17242</v>
      </c>
      <c r="BA954" s="313" t="s">
        <v>4762</v>
      </c>
    </row>
    <row r="955" spans="2:53" ht="16.5" customHeight="1">
      <c r="B955" s="367" t="s">
        <v>10591</v>
      </c>
      <c r="C955" s="351" t="s">
        <v>10592</v>
      </c>
      <c r="D955" s="353">
        <v>-1509</v>
      </c>
      <c r="E955" s="352" t="s">
        <v>4686</v>
      </c>
      <c r="F955" s="341">
        <v>84.54</v>
      </c>
      <c r="G955" s="355" t="s">
        <v>10593</v>
      </c>
      <c r="H955" s="356" t="s">
        <v>10594</v>
      </c>
      <c r="I955" s="354" t="s">
        <v>215</v>
      </c>
      <c r="J955" s="340" t="s">
        <v>10595</v>
      </c>
      <c r="K955" s="339" t="s">
        <v>70</v>
      </c>
      <c r="L955" s="357">
        <v>9</v>
      </c>
      <c r="M955" s="358" t="s">
        <v>10596</v>
      </c>
      <c r="N955" s="359">
        <v>1000</v>
      </c>
      <c r="O955" s="360" t="s">
        <v>530</v>
      </c>
      <c r="P955" s="343" t="s">
        <v>531</v>
      </c>
      <c r="Q955" s="342" t="s">
        <v>2688</v>
      </c>
      <c r="R955" s="344">
        <v>25</v>
      </c>
      <c r="S955" s="345">
        <v>38</v>
      </c>
      <c r="T955" s="362">
        <v>25</v>
      </c>
      <c r="U955" s="361">
        <v>84.54</v>
      </c>
      <c r="V955" s="346">
        <v>121.62382271468145</v>
      </c>
      <c r="W955" s="348">
        <v>120.55715604801479</v>
      </c>
      <c r="X955" s="347">
        <v>61.13</v>
      </c>
      <c r="Y955" s="357">
        <v>61.8</v>
      </c>
      <c r="Z955" s="365" t="s">
        <v>3017</v>
      </c>
      <c r="AA955" s="350">
        <v>121.25</v>
      </c>
      <c r="AB955" s="349" t="s">
        <v>2685</v>
      </c>
      <c r="AC955" s="350">
        <v>10</v>
      </c>
      <c r="AD955" s="349" t="s">
        <v>2685</v>
      </c>
      <c r="AE955" s="364">
        <v>0</v>
      </c>
      <c r="AF955" s="366">
        <v>0</v>
      </c>
      <c r="AG955" s="363">
        <v>0</v>
      </c>
      <c r="AH955" s="635" t="s">
        <v>408</v>
      </c>
      <c r="AL955" s="487" t="s">
        <v>15335</v>
      </c>
      <c r="AM955" s="477" t="s">
        <v>70</v>
      </c>
      <c r="AN955" s="637">
        <v>100</v>
      </c>
      <c r="AO955" s="478">
        <v>-1509</v>
      </c>
      <c r="AP955" s="463">
        <v>-1509</v>
      </c>
      <c r="AQ955" s="479">
        <v>0</v>
      </c>
      <c r="AR955" s="476" t="s">
        <v>15336</v>
      </c>
      <c r="BA955" s="313" t="s">
        <v>4764</v>
      </c>
    </row>
    <row r="956" spans="2:53" ht="16.5" customHeight="1">
      <c r="B956" s="367" t="s">
        <v>10591</v>
      </c>
      <c r="C956" s="351" t="s">
        <v>10592</v>
      </c>
      <c r="D956" s="353">
        <v>-1509</v>
      </c>
      <c r="E956" s="352" t="s">
        <v>10276</v>
      </c>
      <c r="F956" s="341">
        <v>84.54</v>
      </c>
      <c r="G956" s="355" t="s">
        <v>4759</v>
      </c>
      <c r="H956" s="356" t="s">
        <v>10173</v>
      </c>
      <c r="I956" s="354" t="s">
        <v>236</v>
      </c>
      <c r="J956" s="340" t="s">
        <v>8618</v>
      </c>
      <c r="K956" s="339" t="s">
        <v>71</v>
      </c>
      <c r="L956" s="357">
        <v>9</v>
      </c>
      <c r="M956" s="358" t="s">
        <v>10598</v>
      </c>
      <c r="N956" s="359">
        <v>1000</v>
      </c>
      <c r="O956" s="360" t="s">
        <v>532</v>
      </c>
      <c r="P956" s="343" t="s">
        <v>533</v>
      </c>
      <c r="Q956" s="342" t="s">
        <v>2688</v>
      </c>
      <c r="R956" s="344">
        <v>35</v>
      </c>
      <c r="S956" s="345">
        <v>25</v>
      </c>
      <c r="T956" s="362">
        <v>20</v>
      </c>
      <c r="U956" s="361">
        <v>84.54</v>
      </c>
      <c r="V956" s="346">
        <v>121.62938964641992</v>
      </c>
      <c r="W956" s="348">
        <v>120.56272297975326</v>
      </c>
      <c r="X956" s="347">
        <v>61.4</v>
      </c>
      <c r="Y956" s="357">
        <v>61.9</v>
      </c>
      <c r="Z956" s="365" t="s">
        <v>3017</v>
      </c>
      <c r="AA956" s="350">
        <v>194</v>
      </c>
      <c r="AB956" s="349" t="s">
        <v>2685</v>
      </c>
      <c r="AC956" s="350">
        <v>4</v>
      </c>
      <c r="AD956" s="349" t="s">
        <v>2685</v>
      </c>
      <c r="AE956" s="364">
        <v>0</v>
      </c>
      <c r="AF956" s="366">
        <v>0</v>
      </c>
      <c r="AG956" s="363">
        <v>0</v>
      </c>
      <c r="AH956" s="635" t="s">
        <v>408</v>
      </c>
      <c r="AL956" s="487" t="s">
        <v>15337</v>
      </c>
      <c r="AM956" s="477" t="s">
        <v>71</v>
      </c>
      <c r="AN956" s="637">
        <v>100</v>
      </c>
      <c r="AO956" s="478">
        <v>-1509</v>
      </c>
      <c r="AP956" s="463">
        <v>-721</v>
      </c>
      <c r="AQ956" s="479">
        <v>-788</v>
      </c>
      <c r="AR956" s="476" t="s">
        <v>17054</v>
      </c>
      <c r="BA956" s="313" t="s">
        <v>4769</v>
      </c>
    </row>
    <row r="957" spans="2:53" ht="16.5" customHeight="1">
      <c r="B957" s="367" t="s">
        <v>4599</v>
      </c>
      <c r="C957" s="351" t="s">
        <v>4600</v>
      </c>
      <c r="D957" s="353">
        <v>-1510</v>
      </c>
      <c r="E957" s="352" t="s">
        <v>408</v>
      </c>
      <c r="F957" s="341">
        <v>84.53</v>
      </c>
      <c r="G957" s="355" t="s">
        <v>10599</v>
      </c>
      <c r="H957" s="356" t="s">
        <v>10586</v>
      </c>
      <c r="I957" s="354" t="s">
        <v>238</v>
      </c>
      <c r="J957" s="340" t="s">
        <v>8757</v>
      </c>
      <c r="K957" s="339" t="s">
        <v>70</v>
      </c>
      <c r="L957" s="357">
        <v>18</v>
      </c>
      <c r="M957" s="358" t="s">
        <v>10600</v>
      </c>
      <c r="N957" s="359">
        <v>1000</v>
      </c>
      <c r="O957" s="360" t="s">
        <v>532</v>
      </c>
      <c r="P957" s="343" t="s">
        <v>533</v>
      </c>
      <c r="Q957" s="342" t="s">
        <v>2688</v>
      </c>
      <c r="R957" s="344">
        <v>25</v>
      </c>
      <c r="S957" s="345">
        <v>35</v>
      </c>
      <c r="T957" s="362">
        <v>30</v>
      </c>
      <c r="U957" s="361">
        <v>84.53</v>
      </c>
      <c r="V957" s="346">
        <v>121.6214553810869</v>
      </c>
      <c r="W957" s="348">
        <v>120.55478871442024</v>
      </c>
      <c r="X957" s="347">
        <v>61.13</v>
      </c>
      <c r="Y957" s="357">
        <v>61.9</v>
      </c>
      <c r="Z957" s="365" t="s">
        <v>3017</v>
      </c>
      <c r="AA957" s="350">
        <v>98</v>
      </c>
      <c r="AB957" s="349" t="s">
        <v>2685</v>
      </c>
      <c r="AC957" s="350">
        <v>0</v>
      </c>
      <c r="AD957" s="349" t="s">
        <v>2685</v>
      </c>
      <c r="AE957" s="364">
        <v>0</v>
      </c>
      <c r="AF957" s="366">
        <v>17</v>
      </c>
      <c r="AG957" s="363">
        <v>0</v>
      </c>
      <c r="AH957" s="635" t="s">
        <v>7882</v>
      </c>
      <c r="AL957" s="487" t="s">
        <v>15338</v>
      </c>
      <c r="AM957" s="477" t="s">
        <v>70</v>
      </c>
      <c r="AN957" s="637">
        <v>100</v>
      </c>
      <c r="AO957" s="478">
        <v>-1510</v>
      </c>
      <c r="AP957" s="463">
        <v>-1510</v>
      </c>
      <c r="AQ957" s="479">
        <v>0</v>
      </c>
      <c r="AR957" s="476" t="s">
        <v>15336</v>
      </c>
      <c r="BA957" s="313" t="s">
        <v>4771</v>
      </c>
    </row>
    <row r="958" spans="2:53" ht="16.5" customHeight="1">
      <c r="B958" s="367" t="s">
        <v>4557</v>
      </c>
      <c r="C958" s="351" t="s">
        <v>4558</v>
      </c>
      <c r="D958" s="353">
        <v>-1510</v>
      </c>
      <c r="E958" s="352" t="s">
        <v>408</v>
      </c>
      <c r="F958" s="341">
        <v>84.51</v>
      </c>
      <c r="G958" s="355" t="s">
        <v>4763</v>
      </c>
      <c r="H958" s="356" t="s">
        <v>10632</v>
      </c>
      <c r="I958" s="354" t="s">
        <v>237</v>
      </c>
      <c r="J958" s="340" t="s">
        <v>8217</v>
      </c>
      <c r="K958" s="339" t="s">
        <v>71</v>
      </c>
      <c r="L958" s="357">
        <v>6</v>
      </c>
      <c r="M958" s="358" t="s">
        <v>4832</v>
      </c>
      <c r="N958" s="359">
        <v>1000</v>
      </c>
      <c r="O958" s="360" t="s">
        <v>530</v>
      </c>
      <c r="P958" s="343" t="s">
        <v>530</v>
      </c>
      <c r="Q958" s="342" t="s">
        <v>2688</v>
      </c>
      <c r="R958" s="344">
        <v>30</v>
      </c>
      <c r="S958" s="345">
        <v>30</v>
      </c>
      <c r="T958" s="362">
        <v>20</v>
      </c>
      <c r="U958" s="361">
        <v>84.51</v>
      </c>
      <c r="V958" s="346">
        <v>121.60577032204591</v>
      </c>
      <c r="W958" s="348">
        <v>120.53910365537925</v>
      </c>
      <c r="X958" s="347">
        <v>61.39</v>
      </c>
      <c r="Y958" s="357" t="s">
        <v>408</v>
      </c>
      <c r="Z958" s="365" t="s">
        <v>3017</v>
      </c>
      <c r="AA958" s="350">
        <v>196</v>
      </c>
      <c r="AB958" s="349" t="s">
        <v>2685</v>
      </c>
      <c r="AC958" s="350">
        <v>0</v>
      </c>
      <c r="AD958" s="349" t="s">
        <v>2685</v>
      </c>
      <c r="AE958" s="364">
        <v>0</v>
      </c>
      <c r="AF958" s="366">
        <v>0</v>
      </c>
      <c r="AG958" s="363">
        <v>0</v>
      </c>
      <c r="AH958" s="635" t="s">
        <v>408</v>
      </c>
      <c r="AL958" s="487" t="s">
        <v>15340</v>
      </c>
      <c r="AM958" s="477" t="s">
        <v>71</v>
      </c>
      <c r="AN958" s="637">
        <v>100</v>
      </c>
      <c r="AO958" s="478">
        <v>-1510</v>
      </c>
      <c r="AP958" s="463">
        <v>-721</v>
      </c>
      <c r="AQ958" s="479">
        <v>-789</v>
      </c>
      <c r="AR958" s="476" t="s">
        <v>17055</v>
      </c>
      <c r="BA958" s="313" t="s">
        <v>4772</v>
      </c>
    </row>
    <row r="959" spans="2:53" ht="16.5" customHeight="1">
      <c r="B959" s="367" t="s">
        <v>10601</v>
      </c>
      <c r="C959" s="351" t="s">
        <v>10602</v>
      </c>
      <c r="D959" s="353">
        <v>-1511</v>
      </c>
      <c r="E959" s="352" t="s">
        <v>408</v>
      </c>
      <c r="F959" s="341">
        <v>84.5</v>
      </c>
      <c r="G959" s="355" t="s">
        <v>4815</v>
      </c>
      <c r="H959" s="356" t="s">
        <v>4450</v>
      </c>
      <c r="I959" s="354" t="s">
        <v>497</v>
      </c>
      <c r="J959" s="340" t="s">
        <v>8633</v>
      </c>
      <c r="K959" s="339" t="s">
        <v>71</v>
      </c>
      <c r="L959" s="357">
        <v>12</v>
      </c>
      <c r="M959" s="358" t="s">
        <v>10603</v>
      </c>
      <c r="N959" s="359">
        <v>200</v>
      </c>
      <c r="O959" s="360" t="s">
        <v>454</v>
      </c>
      <c r="P959" s="343" t="s">
        <v>454</v>
      </c>
      <c r="Q959" s="342" t="s">
        <v>2738</v>
      </c>
      <c r="R959" s="344">
        <v>50</v>
      </c>
      <c r="S959" s="345">
        <v>0</v>
      </c>
      <c r="T959" s="362">
        <v>0</v>
      </c>
      <c r="U959" s="361">
        <v>84.5</v>
      </c>
      <c r="V959" s="346">
        <v>121.6</v>
      </c>
      <c r="W959" s="348">
        <v>120.53333333333333</v>
      </c>
      <c r="X959" s="347">
        <v>61.12</v>
      </c>
      <c r="Y959" s="357" t="s">
        <v>408</v>
      </c>
      <c r="Z959" s="365" t="s">
        <v>4408</v>
      </c>
      <c r="AA959" s="350">
        <v>94</v>
      </c>
      <c r="AB959" s="349" t="s">
        <v>2685</v>
      </c>
      <c r="AC959" s="350">
        <v>1.5</v>
      </c>
      <c r="AD959" s="349" t="s">
        <v>2685</v>
      </c>
      <c r="AE959" s="364">
        <v>0</v>
      </c>
      <c r="AF959" s="366">
        <v>0</v>
      </c>
      <c r="AG959" s="363">
        <v>0</v>
      </c>
      <c r="AH959" s="635" t="s">
        <v>10127</v>
      </c>
      <c r="AL959" s="487" t="s">
        <v>15341</v>
      </c>
      <c r="AM959" s="477" t="s">
        <v>71</v>
      </c>
      <c r="AN959" s="637">
        <v>100</v>
      </c>
      <c r="AO959" s="478">
        <v>-1511</v>
      </c>
      <c r="AP959" s="463">
        <v>-719</v>
      </c>
      <c r="AQ959" s="479">
        <v>-792</v>
      </c>
      <c r="AR959" s="476" t="s">
        <v>17056</v>
      </c>
      <c r="BA959" s="313" t="s">
        <v>4773</v>
      </c>
    </row>
    <row r="960" spans="2:53" ht="16.5" customHeight="1">
      <c r="B960" s="367" t="s">
        <v>10549</v>
      </c>
      <c r="C960" s="351" t="s">
        <v>10550</v>
      </c>
      <c r="D960" s="353">
        <v>-1511</v>
      </c>
      <c r="E960" s="352" t="s">
        <v>408</v>
      </c>
      <c r="F960" s="341">
        <v>84.49</v>
      </c>
      <c r="G960" s="355" t="s">
        <v>4767</v>
      </c>
      <c r="H960" s="356" t="s">
        <v>18717</v>
      </c>
      <c r="I960" s="354" t="s">
        <v>209</v>
      </c>
      <c r="J960" s="340" t="s">
        <v>8190</v>
      </c>
      <c r="K960" s="339" t="s">
        <v>71</v>
      </c>
      <c r="L960" s="357">
        <v>10</v>
      </c>
      <c r="M960" s="358" t="s">
        <v>4755</v>
      </c>
      <c r="N960" s="359">
        <v>1000</v>
      </c>
      <c r="O960" s="360" t="s">
        <v>530</v>
      </c>
      <c r="P960" s="343" t="s">
        <v>530</v>
      </c>
      <c r="Q960" s="342" t="s">
        <v>2688</v>
      </c>
      <c r="R960" s="344">
        <v>30</v>
      </c>
      <c r="S960" s="345">
        <v>25</v>
      </c>
      <c r="T960" s="362">
        <v>25</v>
      </c>
      <c r="U960" s="361">
        <v>84.49</v>
      </c>
      <c r="V960" s="346">
        <v>121.59074800527219</v>
      </c>
      <c r="W960" s="348">
        <v>120.52408133860553</v>
      </c>
      <c r="X960" s="347">
        <v>61.38</v>
      </c>
      <c r="Y960" s="357" t="s">
        <v>408</v>
      </c>
      <c r="Z960" s="365" t="s">
        <v>3017</v>
      </c>
      <c r="AA960" s="350">
        <v>198</v>
      </c>
      <c r="AB960" s="349" t="s">
        <v>2685</v>
      </c>
      <c r="AC960" s="350">
        <v>10</v>
      </c>
      <c r="AD960" s="349" t="s">
        <v>2685</v>
      </c>
      <c r="AE960" s="364">
        <v>0</v>
      </c>
      <c r="AF960" s="366">
        <v>0</v>
      </c>
      <c r="AG960" s="363">
        <v>0</v>
      </c>
      <c r="AH960" s="635" t="s">
        <v>408</v>
      </c>
      <c r="AL960" s="487" t="s">
        <v>15342</v>
      </c>
      <c r="AM960" s="477" t="s">
        <v>71</v>
      </c>
      <c r="AN960" s="637">
        <v>100</v>
      </c>
      <c r="AO960" s="478">
        <v>-1511</v>
      </c>
      <c r="AP960" s="463">
        <v>-721</v>
      </c>
      <c r="AQ960" s="479">
        <v>-790</v>
      </c>
      <c r="AR960" s="476" t="s">
        <v>17057</v>
      </c>
      <c r="BA960" s="313" t="s">
        <v>4775</v>
      </c>
    </row>
    <row r="961" spans="2:53" ht="16.5" customHeight="1">
      <c r="B961" s="367" t="s">
        <v>10549</v>
      </c>
      <c r="C961" s="351" t="s">
        <v>10550</v>
      </c>
      <c r="D961" s="353">
        <v>-1512</v>
      </c>
      <c r="E961" s="352" t="s">
        <v>10276</v>
      </c>
      <c r="F961" s="341">
        <v>84.49</v>
      </c>
      <c r="G961" s="355" t="s">
        <v>4767</v>
      </c>
      <c r="H961" s="356" t="s">
        <v>18717</v>
      </c>
      <c r="I961" s="354" t="s">
        <v>209</v>
      </c>
      <c r="J961" s="340" t="s">
        <v>491</v>
      </c>
      <c r="K961" s="339" t="s">
        <v>71</v>
      </c>
      <c r="L961" s="357">
        <v>33</v>
      </c>
      <c r="M961" s="358" t="s">
        <v>4755</v>
      </c>
      <c r="N961" s="359">
        <v>1000</v>
      </c>
      <c r="O961" s="360" t="s">
        <v>530</v>
      </c>
      <c r="P961" s="343" t="s">
        <v>530</v>
      </c>
      <c r="Q961" s="342" t="s">
        <v>2688</v>
      </c>
      <c r="R961" s="344">
        <v>30</v>
      </c>
      <c r="S961" s="345">
        <v>25</v>
      </c>
      <c r="T961" s="362">
        <v>25</v>
      </c>
      <c r="U961" s="361">
        <v>84.49</v>
      </c>
      <c r="V961" s="346">
        <v>121.59074800527219</v>
      </c>
      <c r="W961" s="348">
        <v>120.52408133860553</v>
      </c>
      <c r="X961" s="347">
        <v>61.38</v>
      </c>
      <c r="Y961" s="357" t="s">
        <v>408</v>
      </c>
      <c r="Z961" s="365" t="s">
        <v>3017</v>
      </c>
      <c r="AA961" s="350">
        <v>198</v>
      </c>
      <c r="AB961" s="349" t="s">
        <v>2685</v>
      </c>
      <c r="AC961" s="350">
        <v>10</v>
      </c>
      <c r="AD961" s="349" t="s">
        <v>2685</v>
      </c>
      <c r="AE961" s="364">
        <v>0</v>
      </c>
      <c r="AF961" s="366">
        <v>0</v>
      </c>
      <c r="AG961" s="363">
        <v>0</v>
      </c>
      <c r="AH961" s="635" t="s">
        <v>408</v>
      </c>
      <c r="AL961" s="487" t="s">
        <v>15343</v>
      </c>
      <c r="AM961" s="477" t="s">
        <v>71</v>
      </c>
      <c r="AN961" s="637">
        <v>100</v>
      </c>
      <c r="AO961" s="478">
        <v>-1512</v>
      </c>
      <c r="AP961" s="463">
        <v>-722</v>
      </c>
      <c r="AQ961" s="479">
        <v>-790</v>
      </c>
      <c r="AR961" s="476" t="s">
        <v>17057</v>
      </c>
      <c r="BA961" s="313" t="s">
        <v>4776</v>
      </c>
    </row>
    <row r="962" spans="2:53" ht="16.5" customHeight="1">
      <c r="B962" s="367" t="s">
        <v>16527</v>
      </c>
      <c r="C962" s="351" t="s">
        <v>16528</v>
      </c>
      <c r="D962" s="353">
        <v>-1512</v>
      </c>
      <c r="E962" s="352" t="s">
        <v>408</v>
      </c>
      <c r="F962" s="341">
        <v>84.46</v>
      </c>
      <c r="G962" s="355" t="s">
        <v>18718</v>
      </c>
      <c r="H962" s="356" t="s">
        <v>10188</v>
      </c>
      <c r="I962" s="354" t="s">
        <v>236</v>
      </c>
      <c r="J962" s="340" t="s">
        <v>10604</v>
      </c>
      <c r="K962" s="339" t="s">
        <v>71</v>
      </c>
      <c r="L962" s="357">
        <v>25</v>
      </c>
      <c r="M962" s="358" t="s">
        <v>10605</v>
      </c>
      <c r="N962" s="359">
        <v>1000</v>
      </c>
      <c r="O962" s="360" t="s">
        <v>532</v>
      </c>
      <c r="P962" s="343" t="s">
        <v>533</v>
      </c>
      <c r="Q962" s="342" t="s">
        <v>2688</v>
      </c>
      <c r="R962" s="344">
        <v>25</v>
      </c>
      <c r="S962" s="345">
        <v>35</v>
      </c>
      <c r="T962" s="362">
        <v>20</v>
      </c>
      <c r="U962" s="361">
        <v>84.46</v>
      </c>
      <c r="V962" s="346">
        <v>121.57194907243294</v>
      </c>
      <c r="W962" s="348">
        <v>120.50528240576628</v>
      </c>
      <c r="X962" s="347">
        <v>61.37</v>
      </c>
      <c r="Y962" s="357">
        <v>61.879999999999995</v>
      </c>
      <c r="Z962" s="365" t="s">
        <v>3017</v>
      </c>
      <c r="AA962" s="350">
        <v>194</v>
      </c>
      <c r="AB962" s="349" t="s">
        <v>2685</v>
      </c>
      <c r="AC962" s="350">
        <v>4</v>
      </c>
      <c r="AD962" s="349" t="s">
        <v>2685</v>
      </c>
      <c r="AE962" s="364">
        <v>0</v>
      </c>
      <c r="AF962" s="366">
        <v>0</v>
      </c>
      <c r="AG962" s="363">
        <v>0</v>
      </c>
      <c r="AH962" s="635" t="s">
        <v>408</v>
      </c>
      <c r="AL962" s="487" t="s">
        <v>15344</v>
      </c>
      <c r="AM962" s="477" t="s">
        <v>71</v>
      </c>
      <c r="AN962" s="637">
        <v>100</v>
      </c>
      <c r="AO962" s="478">
        <v>-1512</v>
      </c>
      <c r="AP962" s="463">
        <v>-721</v>
      </c>
      <c r="AQ962" s="479">
        <v>-791</v>
      </c>
      <c r="AR962" s="476" t="s">
        <v>17058</v>
      </c>
      <c r="BA962" s="313" t="s">
        <v>4779</v>
      </c>
    </row>
    <row r="963" spans="2:53" ht="16.5" customHeight="1">
      <c r="B963" s="367" t="s">
        <v>4610</v>
      </c>
      <c r="C963" s="351" t="s">
        <v>4611</v>
      </c>
      <c r="D963" s="353">
        <v>-1513</v>
      </c>
      <c r="E963" s="352" t="s">
        <v>408</v>
      </c>
      <c r="F963" s="341">
        <v>84.46</v>
      </c>
      <c r="G963" s="355" t="s">
        <v>18719</v>
      </c>
      <c r="H963" s="356" t="s">
        <v>18713</v>
      </c>
      <c r="I963" s="354" t="s">
        <v>9189</v>
      </c>
      <c r="J963" s="340" t="s">
        <v>10547</v>
      </c>
      <c r="K963" s="339" t="s">
        <v>70</v>
      </c>
      <c r="L963" s="357">
        <v>16</v>
      </c>
      <c r="M963" s="358" t="s">
        <v>10548</v>
      </c>
      <c r="N963" s="359">
        <v>1000</v>
      </c>
      <c r="O963" s="360" t="s">
        <v>532</v>
      </c>
      <c r="P963" s="343" t="s">
        <v>532</v>
      </c>
      <c r="Q963" s="342" t="s">
        <v>2688</v>
      </c>
      <c r="R963" s="344">
        <v>20</v>
      </c>
      <c r="S963" s="345">
        <v>35</v>
      </c>
      <c r="T963" s="362">
        <v>25</v>
      </c>
      <c r="U963" s="361">
        <v>84.46</v>
      </c>
      <c r="V963" s="346">
        <v>121.57385659627118</v>
      </c>
      <c r="W963" s="348">
        <v>120.50718992960452</v>
      </c>
      <c r="X963" s="347" t="s">
        <v>18720</v>
      </c>
      <c r="Y963" s="357" t="s">
        <v>408</v>
      </c>
      <c r="Z963" s="365" t="s">
        <v>3017</v>
      </c>
      <c r="AA963" s="350">
        <v>195.56</v>
      </c>
      <c r="AB963" s="349" t="s">
        <v>2685</v>
      </c>
      <c r="AC963" s="350">
        <v>0</v>
      </c>
      <c r="AD963" s="349" t="s">
        <v>2685</v>
      </c>
      <c r="AE963" s="364">
        <v>0</v>
      </c>
      <c r="AF963" s="366">
        <v>15.499000000000001</v>
      </c>
      <c r="AG963" s="363">
        <v>0</v>
      </c>
      <c r="AH963" s="635" t="s">
        <v>9517</v>
      </c>
      <c r="AL963" s="487" t="s">
        <v>15313</v>
      </c>
      <c r="AM963" s="477" t="s">
        <v>70</v>
      </c>
      <c r="AN963" s="637">
        <v>100</v>
      </c>
      <c r="AO963" s="478">
        <v>-1513</v>
      </c>
      <c r="AP963" s="463">
        <v>-1513</v>
      </c>
      <c r="AQ963" s="479">
        <v>0</v>
      </c>
      <c r="AR963" s="476" t="s">
        <v>17243</v>
      </c>
      <c r="BA963" s="313" t="s">
        <v>4783</v>
      </c>
    </row>
    <row r="964" spans="2:53" ht="16.5" customHeight="1">
      <c r="B964" s="367" t="s">
        <v>4610</v>
      </c>
      <c r="C964" s="351" t="s">
        <v>4611</v>
      </c>
      <c r="D964" s="353">
        <v>-1513</v>
      </c>
      <c r="E964" s="352" t="s">
        <v>10276</v>
      </c>
      <c r="F964" s="341">
        <v>84.45</v>
      </c>
      <c r="G964" s="355" t="s">
        <v>10557</v>
      </c>
      <c r="H964" s="356" t="s">
        <v>10188</v>
      </c>
      <c r="I964" s="354" t="s">
        <v>236</v>
      </c>
      <c r="J964" s="340" t="s">
        <v>8753</v>
      </c>
      <c r="K964" s="339" t="s">
        <v>71</v>
      </c>
      <c r="L964" s="357">
        <v>10</v>
      </c>
      <c r="M964" s="358" t="s">
        <v>10607</v>
      </c>
      <c r="N964" s="359">
        <v>1000</v>
      </c>
      <c r="O964" s="360" t="s">
        <v>532</v>
      </c>
      <c r="P964" s="343" t="s">
        <v>533</v>
      </c>
      <c r="Q964" s="342" t="s">
        <v>2688</v>
      </c>
      <c r="R964" s="344">
        <v>35</v>
      </c>
      <c r="S964" s="345">
        <v>25</v>
      </c>
      <c r="T964" s="362">
        <v>20</v>
      </c>
      <c r="U964" s="361">
        <v>84.45</v>
      </c>
      <c r="V964" s="346">
        <v>121.56736025028039</v>
      </c>
      <c r="W964" s="348">
        <v>120.50069358361372</v>
      </c>
      <c r="X964" s="347">
        <v>61.37</v>
      </c>
      <c r="Y964" s="357">
        <v>61.87</v>
      </c>
      <c r="Z964" s="365" t="s">
        <v>3017</v>
      </c>
      <c r="AA964" s="350">
        <v>194</v>
      </c>
      <c r="AB964" s="349" t="s">
        <v>2685</v>
      </c>
      <c r="AC964" s="350">
        <v>4</v>
      </c>
      <c r="AD964" s="349" t="s">
        <v>2685</v>
      </c>
      <c r="AE964" s="364">
        <v>0</v>
      </c>
      <c r="AF964" s="366">
        <v>0</v>
      </c>
      <c r="AG964" s="363">
        <v>0</v>
      </c>
      <c r="AH964" s="635" t="s">
        <v>408</v>
      </c>
      <c r="AL964" s="487" t="s">
        <v>15345</v>
      </c>
      <c r="AM964" s="477" t="s">
        <v>71</v>
      </c>
      <c r="AN964" s="637">
        <v>100</v>
      </c>
      <c r="AO964" s="478">
        <v>-1513</v>
      </c>
      <c r="AP964" s="463">
        <v>-722</v>
      </c>
      <c r="AQ964" s="479">
        <v>-791</v>
      </c>
      <c r="AR964" s="476" t="s">
        <v>17058</v>
      </c>
      <c r="BA964" s="313" t="s">
        <v>4786</v>
      </c>
    </row>
    <row r="965" spans="2:53" ht="16.5" customHeight="1">
      <c r="B965" s="367" t="s">
        <v>4610</v>
      </c>
      <c r="C965" s="351" t="s">
        <v>4611</v>
      </c>
      <c r="D965" s="353">
        <v>-1514</v>
      </c>
      <c r="E965" s="352" t="s">
        <v>10276</v>
      </c>
      <c r="F965" s="341">
        <v>84.45</v>
      </c>
      <c r="G965" s="355" t="s">
        <v>18721</v>
      </c>
      <c r="H965" s="356" t="s">
        <v>18722</v>
      </c>
      <c r="I965" s="354" t="s">
        <v>254</v>
      </c>
      <c r="J965" s="340" t="s">
        <v>10609</v>
      </c>
      <c r="K965" s="339" t="s">
        <v>71</v>
      </c>
      <c r="L965" s="357">
        <v>9</v>
      </c>
      <c r="M965" s="358" t="s">
        <v>10610</v>
      </c>
      <c r="N965" s="359">
        <v>1000</v>
      </c>
      <c r="O965" s="360" t="s">
        <v>532</v>
      </c>
      <c r="P965" s="343" t="s">
        <v>533</v>
      </c>
      <c r="Q965" s="342" t="s">
        <v>2688</v>
      </c>
      <c r="R965" s="344">
        <v>35</v>
      </c>
      <c r="S965" s="345">
        <v>25</v>
      </c>
      <c r="T965" s="362">
        <v>20</v>
      </c>
      <c r="U965" s="361">
        <v>84.45</v>
      </c>
      <c r="V965" s="346">
        <v>121.56539106310136</v>
      </c>
      <c r="W965" s="348">
        <v>120.4987243964347</v>
      </c>
      <c r="X965" s="347">
        <v>61.37</v>
      </c>
      <c r="Y965" s="357">
        <v>61.86</v>
      </c>
      <c r="Z965" s="365" t="s">
        <v>3017</v>
      </c>
      <c r="AA965" s="350">
        <v>196</v>
      </c>
      <c r="AB965" s="349" t="s">
        <v>2685</v>
      </c>
      <c r="AC965" s="350">
        <v>3</v>
      </c>
      <c r="AD965" s="349" t="s">
        <v>2685</v>
      </c>
      <c r="AE965" s="364">
        <v>0</v>
      </c>
      <c r="AF965" s="366">
        <v>0</v>
      </c>
      <c r="AG965" s="363">
        <v>0</v>
      </c>
      <c r="AH965" s="635" t="s">
        <v>408</v>
      </c>
      <c r="AL965" s="487" t="s">
        <v>15346</v>
      </c>
      <c r="AM965" s="477" t="s">
        <v>71</v>
      </c>
      <c r="AN965" s="637">
        <v>100</v>
      </c>
      <c r="AO965" s="478">
        <v>-1514</v>
      </c>
      <c r="AP965" s="463">
        <v>-722</v>
      </c>
      <c r="AQ965" s="479">
        <v>-792</v>
      </c>
      <c r="AR965" s="476" t="s">
        <v>17059</v>
      </c>
      <c r="BA965" s="313" t="s">
        <v>4788</v>
      </c>
    </row>
    <row r="966" spans="2:53" ht="16.5" customHeight="1">
      <c r="B966" s="367" t="s">
        <v>10611</v>
      </c>
      <c r="C966" s="351" t="s">
        <v>10612</v>
      </c>
      <c r="D966" s="353">
        <v>-1514</v>
      </c>
      <c r="E966" s="352" t="s">
        <v>10608</v>
      </c>
      <c r="F966" s="341">
        <v>84.42</v>
      </c>
      <c r="G966" s="355" t="s">
        <v>10613</v>
      </c>
      <c r="H966" s="356" t="s">
        <v>4407</v>
      </c>
      <c r="I966" s="354" t="s">
        <v>215</v>
      </c>
      <c r="J966" s="340" t="s">
        <v>7351</v>
      </c>
      <c r="K966" s="339" t="s">
        <v>70</v>
      </c>
      <c r="L966" s="357">
        <v>13</v>
      </c>
      <c r="M966" s="358" t="s">
        <v>10614</v>
      </c>
      <c r="N966" s="359">
        <v>1000</v>
      </c>
      <c r="O966" s="360" t="s">
        <v>530</v>
      </c>
      <c r="P966" s="343" t="s">
        <v>531</v>
      </c>
      <c r="Q966" s="342" t="s">
        <v>2688</v>
      </c>
      <c r="R966" s="344">
        <v>25</v>
      </c>
      <c r="S966" s="345">
        <v>38</v>
      </c>
      <c r="T966" s="362">
        <v>25</v>
      </c>
      <c r="U966" s="361">
        <v>84.42</v>
      </c>
      <c r="V966" s="346">
        <v>121.54626038781164</v>
      </c>
      <c r="W966" s="348">
        <v>120.47959372114498</v>
      </c>
      <c r="X966" s="347">
        <v>61.09</v>
      </c>
      <c r="Y966" s="357">
        <v>61.76</v>
      </c>
      <c r="Z966" s="365" t="s">
        <v>3017</v>
      </c>
      <c r="AA966" s="350">
        <v>121.25</v>
      </c>
      <c r="AB966" s="349" t="s">
        <v>2685</v>
      </c>
      <c r="AC966" s="350">
        <v>10</v>
      </c>
      <c r="AD966" s="349" t="s">
        <v>2685</v>
      </c>
      <c r="AE966" s="364">
        <v>0</v>
      </c>
      <c r="AF966" s="366">
        <v>0</v>
      </c>
      <c r="AG966" s="363">
        <v>0</v>
      </c>
      <c r="AH966" s="635" t="s">
        <v>408</v>
      </c>
      <c r="AL966" s="487" t="s">
        <v>15347</v>
      </c>
      <c r="AM966" s="477" t="s">
        <v>70</v>
      </c>
      <c r="AN966" s="637">
        <v>100</v>
      </c>
      <c r="AO966" s="478">
        <v>-1514</v>
      </c>
      <c r="AP966" s="463">
        <v>-1514</v>
      </c>
      <c r="AQ966" s="479">
        <v>0</v>
      </c>
      <c r="AR966" s="476" t="s">
        <v>15348</v>
      </c>
      <c r="BA966" s="313" t="s">
        <v>4791</v>
      </c>
    </row>
    <row r="967" spans="2:53" ht="16.5" customHeight="1">
      <c r="B967" s="367" t="s">
        <v>4619</v>
      </c>
      <c r="C967" s="351" t="s">
        <v>4620</v>
      </c>
      <c r="D967" s="353">
        <v>-1515</v>
      </c>
      <c r="E967" s="352" t="s">
        <v>408</v>
      </c>
      <c r="F967" s="341">
        <v>84.41</v>
      </c>
      <c r="G967" s="355" t="s">
        <v>10616</v>
      </c>
      <c r="H967" s="356" t="s">
        <v>10617</v>
      </c>
      <c r="I967" s="354" t="s">
        <v>209</v>
      </c>
      <c r="J967" s="340" t="s">
        <v>10618</v>
      </c>
      <c r="K967" s="339" t="s">
        <v>70</v>
      </c>
      <c r="L967" s="357">
        <v>16</v>
      </c>
      <c r="M967" s="358" t="s">
        <v>4860</v>
      </c>
      <c r="N967" s="359">
        <v>1000</v>
      </c>
      <c r="O967" s="360" t="s">
        <v>530</v>
      </c>
      <c r="P967" s="343" t="s">
        <v>530</v>
      </c>
      <c r="Q967" s="342" t="s">
        <v>2688</v>
      </c>
      <c r="R967" s="344">
        <v>20</v>
      </c>
      <c r="S967" s="345">
        <v>30</v>
      </c>
      <c r="T967" s="362">
        <v>30</v>
      </c>
      <c r="U967" s="361">
        <v>84.41</v>
      </c>
      <c r="V967" s="346">
        <v>121.53690569173268</v>
      </c>
      <c r="W967" s="348">
        <v>120.47023902506602</v>
      </c>
      <c r="X967" s="347">
        <v>61.09</v>
      </c>
      <c r="Y967" s="357" t="s">
        <v>408</v>
      </c>
      <c r="Z967" s="365" t="s">
        <v>3017</v>
      </c>
      <c r="AA967" s="350">
        <v>198</v>
      </c>
      <c r="AB967" s="349" t="s">
        <v>2685</v>
      </c>
      <c r="AC967" s="350">
        <v>10</v>
      </c>
      <c r="AD967" s="349" t="s">
        <v>2685</v>
      </c>
      <c r="AE967" s="364">
        <v>0</v>
      </c>
      <c r="AF967" s="366">
        <v>0</v>
      </c>
      <c r="AG967" s="363">
        <v>0</v>
      </c>
      <c r="AH967" s="635" t="s">
        <v>408</v>
      </c>
      <c r="AL967" s="487" t="s">
        <v>15349</v>
      </c>
      <c r="AM967" s="477" t="s">
        <v>70</v>
      </c>
      <c r="AN967" s="637">
        <v>100</v>
      </c>
      <c r="AO967" s="478">
        <v>-1515</v>
      </c>
      <c r="AP967" s="463">
        <v>-1515</v>
      </c>
      <c r="AQ967" s="479">
        <v>0</v>
      </c>
      <c r="AR967" s="476" t="s">
        <v>15350</v>
      </c>
      <c r="BA967" s="313" t="s">
        <v>4795</v>
      </c>
    </row>
    <row r="968" spans="2:53" ht="16.5" customHeight="1">
      <c r="B968" s="367" t="s">
        <v>10619</v>
      </c>
      <c r="C968" s="351" t="s">
        <v>10620</v>
      </c>
      <c r="D968" s="353">
        <v>-1515</v>
      </c>
      <c r="E968" s="352" t="s">
        <v>10615</v>
      </c>
      <c r="F968" s="341">
        <v>84.38</v>
      </c>
      <c r="G968" s="355" t="s">
        <v>4836</v>
      </c>
      <c r="H968" s="356" t="s">
        <v>10621</v>
      </c>
      <c r="I968" s="354" t="s">
        <v>479</v>
      </c>
      <c r="J968" s="340" t="s">
        <v>9564</v>
      </c>
      <c r="K968" s="339" t="s">
        <v>70</v>
      </c>
      <c r="L968" s="357">
        <v>14</v>
      </c>
      <c r="M968" s="358" t="s">
        <v>10622</v>
      </c>
      <c r="N968" s="359">
        <v>500</v>
      </c>
      <c r="O968" s="360" t="s">
        <v>454</v>
      </c>
      <c r="P968" s="343" t="s">
        <v>454</v>
      </c>
      <c r="Q968" s="342" t="s">
        <v>2688</v>
      </c>
      <c r="R968" s="344">
        <v>20</v>
      </c>
      <c r="S968" s="345">
        <v>30</v>
      </c>
      <c r="T968" s="362">
        <v>30</v>
      </c>
      <c r="U968" s="361">
        <v>84.38</v>
      </c>
      <c r="V968" s="346">
        <v>121.51666666666667</v>
      </c>
      <c r="W968" s="348">
        <v>120.45</v>
      </c>
      <c r="X968" s="347">
        <v>61.08</v>
      </c>
      <c r="Y968" s="357" t="s">
        <v>408</v>
      </c>
      <c r="Z968" s="365" t="s">
        <v>3017</v>
      </c>
      <c r="AA968" s="350">
        <v>97</v>
      </c>
      <c r="AB968" s="349" t="s">
        <v>2685</v>
      </c>
      <c r="AC968" s="350">
        <v>2</v>
      </c>
      <c r="AD968" s="349" t="s">
        <v>2685</v>
      </c>
      <c r="AE968" s="364">
        <v>0</v>
      </c>
      <c r="AF968" s="366">
        <v>0</v>
      </c>
      <c r="AG968" s="363">
        <v>0</v>
      </c>
      <c r="AH968" s="635" t="s">
        <v>408</v>
      </c>
      <c r="AL968" s="487" t="s">
        <v>15351</v>
      </c>
      <c r="AM968" s="477" t="s">
        <v>70</v>
      </c>
      <c r="AN968" s="637">
        <v>100</v>
      </c>
      <c r="AO968" s="478">
        <v>-1515</v>
      </c>
      <c r="AP968" s="463">
        <v>-1515</v>
      </c>
      <c r="AQ968" s="479">
        <v>0</v>
      </c>
      <c r="AR968" s="476" t="s">
        <v>15352</v>
      </c>
      <c r="BA968" s="313" t="s">
        <v>4799</v>
      </c>
    </row>
    <row r="969" spans="2:53" ht="16.5" customHeight="1">
      <c r="B969" s="367" t="s">
        <v>4624</v>
      </c>
      <c r="C969" s="351" t="s">
        <v>4625</v>
      </c>
      <c r="D969" s="353">
        <v>-1516</v>
      </c>
      <c r="E969" s="352" t="s">
        <v>408</v>
      </c>
      <c r="F969" s="341">
        <v>84.38</v>
      </c>
      <c r="G969" s="355" t="s">
        <v>4784</v>
      </c>
      <c r="H969" s="356" t="s">
        <v>10687</v>
      </c>
      <c r="I969" s="354" t="s">
        <v>254</v>
      </c>
      <c r="J969" s="340" t="s">
        <v>10624</v>
      </c>
      <c r="K969" s="339" t="s">
        <v>71</v>
      </c>
      <c r="L969" s="357">
        <v>8</v>
      </c>
      <c r="M969" s="358" t="s">
        <v>10625</v>
      </c>
      <c r="N969" s="359">
        <v>1000</v>
      </c>
      <c r="O969" s="360" t="s">
        <v>532</v>
      </c>
      <c r="P969" s="343" t="s">
        <v>533</v>
      </c>
      <c r="Q969" s="342" t="s">
        <v>2688</v>
      </c>
      <c r="R969" s="344">
        <v>35</v>
      </c>
      <c r="S969" s="345">
        <v>25</v>
      </c>
      <c r="T969" s="362">
        <v>20</v>
      </c>
      <c r="U969" s="361">
        <v>84.38</v>
      </c>
      <c r="V969" s="346">
        <v>121.51886901599669</v>
      </c>
      <c r="W969" s="348">
        <v>120.45220234933002</v>
      </c>
      <c r="X969" s="347">
        <v>61.34</v>
      </c>
      <c r="Y969" s="357">
        <v>61.839999999999996</v>
      </c>
      <c r="Z969" s="365" t="s">
        <v>3017</v>
      </c>
      <c r="AA969" s="350">
        <v>196</v>
      </c>
      <c r="AB969" s="349" t="s">
        <v>2685</v>
      </c>
      <c r="AC969" s="350">
        <v>3</v>
      </c>
      <c r="AD969" s="349" t="s">
        <v>2685</v>
      </c>
      <c r="AE969" s="364">
        <v>0</v>
      </c>
      <c r="AF969" s="366">
        <v>0</v>
      </c>
      <c r="AG969" s="363">
        <v>0</v>
      </c>
      <c r="AH969" s="635" t="s">
        <v>408</v>
      </c>
      <c r="AL969" s="487" t="s">
        <v>15353</v>
      </c>
      <c r="AM969" s="477" t="s">
        <v>71</v>
      </c>
      <c r="AN969" s="637">
        <v>100</v>
      </c>
      <c r="AO969" s="478">
        <v>-1516</v>
      </c>
      <c r="AP969" s="463">
        <v>-723</v>
      </c>
      <c r="AQ969" s="479">
        <v>-793</v>
      </c>
      <c r="AR969" s="476" t="s">
        <v>17060</v>
      </c>
      <c r="BA969" s="313" t="s">
        <v>4801</v>
      </c>
    </row>
    <row r="970" spans="2:53" ht="16.5" customHeight="1">
      <c r="B970" s="367" t="s">
        <v>4632</v>
      </c>
      <c r="C970" s="351" t="s">
        <v>4633</v>
      </c>
      <c r="D970" s="353">
        <v>-1516</v>
      </c>
      <c r="E970" s="352" t="s">
        <v>408</v>
      </c>
      <c r="F970" s="341">
        <v>84.37</v>
      </c>
      <c r="G970" s="355" t="s">
        <v>10626</v>
      </c>
      <c r="H970" s="356" t="s">
        <v>10627</v>
      </c>
      <c r="I970" s="354" t="s">
        <v>254</v>
      </c>
      <c r="J970" s="340" t="s">
        <v>10628</v>
      </c>
      <c r="K970" s="339" t="s">
        <v>70</v>
      </c>
      <c r="L970" s="357">
        <v>11</v>
      </c>
      <c r="M970" s="358" t="s">
        <v>10629</v>
      </c>
      <c r="N970" s="359">
        <v>1000</v>
      </c>
      <c r="O970" s="360" t="s">
        <v>532</v>
      </c>
      <c r="P970" s="343" t="s">
        <v>533</v>
      </c>
      <c r="Q970" s="342" t="s">
        <v>2688</v>
      </c>
      <c r="R970" s="344">
        <v>25</v>
      </c>
      <c r="S970" s="345">
        <v>35</v>
      </c>
      <c r="T970" s="362">
        <v>20</v>
      </c>
      <c r="U970" s="361">
        <v>84.37</v>
      </c>
      <c r="V970" s="346">
        <v>121.51306747016424</v>
      </c>
      <c r="W970" s="348">
        <v>120.44640080349758</v>
      </c>
      <c r="X970" s="347">
        <v>61.08</v>
      </c>
      <c r="Y970" s="357">
        <v>61.83</v>
      </c>
      <c r="Z970" s="365" t="s">
        <v>3017</v>
      </c>
      <c r="AA970" s="350">
        <v>196</v>
      </c>
      <c r="AB970" s="349" t="s">
        <v>2685</v>
      </c>
      <c r="AC970" s="350">
        <v>3</v>
      </c>
      <c r="AD970" s="349" t="s">
        <v>2685</v>
      </c>
      <c r="AE970" s="364">
        <v>0</v>
      </c>
      <c r="AF970" s="366">
        <v>0</v>
      </c>
      <c r="AG970" s="363">
        <v>0</v>
      </c>
      <c r="AH970" s="635" t="s">
        <v>408</v>
      </c>
      <c r="AL970" s="487" t="s">
        <v>15354</v>
      </c>
      <c r="AM970" s="477" t="s">
        <v>70</v>
      </c>
      <c r="AN970" s="637">
        <v>100</v>
      </c>
      <c r="AO970" s="478">
        <v>-1516</v>
      </c>
      <c r="AP970" s="463">
        <v>-1516</v>
      </c>
      <c r="AQ970" s="479">
        <v>0</v>
      </c>
      <c r="AR970" s="476" t="s">
        <v>15352</v>
      </c>
      <c r="BA970" s="313" t="s">
        <v>4802</v>
      </c>
    </row>
    <row r="971" spans="2:53" ht="16.5" customHeight="1">
      <c r="B971" s="367" t="s">
        <v>4636</v>
      </c>
      <c r="C971" s="351" t="s">
        <v>4637</v>
      </c>
      <c r="D971" s="353">
        <v>-1517</v>
      </c>
      <c r="E971" s="352" t="s">
        <v>4682</v>
      </c>
      <c r="F971" s="341">
        <v>84.36</v>
      </c>
      <c r="G971" s="355" t="s">
        <v>18723</v>
      </c>
      <c r="H971" s="356" t="s">
        <v>4435</v>
      </c>
      <c r="I971" s="354" t="s">
        <v>236</v>
      </c>
      <c r="J971" s="340" t="s">
        <v>8804</v>
      </c>
      <c r="K971" s="339" t="s">
        <v>71</v>
      </c>
      <c r="L971" s="357">
        <v>9</v>
      </c>
      <c r="M971" s="358" t="s">
        <v>10630</v>
      </c>
      <c r="N971" s="359">
        <v>1000</v>
      </c>
      <c r="O971" s="360" t="s">
        <v>532</v>
      </c>
      <c r="P971" s="343" t="s">
        <v>533</v>
      </c>
      <c r="Q971" s="342" t="s">
        <v>2688</v>
      </c>
      <c r="R971" s="344">
        <v>35</v>
      </c>
      <c r="S971" s="345">
        <v>25</v>
      </c>
      <c r="T971" s="362">
        <v>20</v>
      </c>
      <c r="U971" s="361">
        <v>84.36</v>
      </c>
      <c r="V971" s="346">
        <v>121.50533085414085</v>
      </c>
      <c r="W971" s="348">
        <v>120.43866418747419</v>
      </c>
      <c r="X971" s="347">
        <v>61.34</v>
      </c>
      <c r="Y971" s="357">
        <v>61.839999999999996</v>
      </c>
      <c r="Z971" s="365" t="s">
        <v>3017</v>
      </c>
      <c r="AA971" s="350">
        <v>194</v>
      </c>
      <c r="AB971" s="349" t="s">
        <v>2685</v>
      </c>
      <c r="AC971" s="350">
        <v>4</v>
      </c>
      <c r="AD971" s="349" t="s">
        <v>2685</v>
      </c>
      <c r="AE971" s="364">
        <v>0</v>
      </c>
      <c r="AF971" s="366">
        <v>0</v>
      </c>
      <c r="AG971" s="363">
        <v>0</v>
      </c>
      <c r="AH971" s="635" t="s">
        <v>408</v>
      </c>
      <c r="AL971" s="487" t="s">
        <v>15355</v>
      </c>
      <c r="AM971" s="477" t="s">
        <v>71</v>
      </c>
      <c r="AN971" s="637">
        <v>100</v>
      </c>
      <c r="AO971" s="478">
        <v>-1517</v>
      </c>
      <c r="AP971" s="463">
        <v>-723</v>
      </c>
      <c r="AQ971" s="479">
        <v>-794</v>
      </c>
      <c r="AR971" s="476" t="s">
        <v>17061</v>
      </c>
      <c r="BA971" s="313" t="s">
        <v>4803</v>
      </c>
    </row>
    <row r="972" spans="2:53" ht="16.5" customHeight="1">
      <c r="B972" s="367" t="s">
        <v>10584</v>
      </c>
      <c r="C972" s="351" t="s">
        <v>10585</v>
      </c>
      <c r="D972" s="353">
        <v>-1517</v>
      </c>
      <c r="E972" s="352" t="s">
        <v>408</v>
      </c>
      <c r="F972" s="341">
        <v>84.32</v>
      </c>
      <c r="G972" s="355" t="s">
        <v>10589</v>
      </c>
      <c r="H972" s="356" t="s">
        <v>18724</v>
      </c>
      <c r="I972" s="354" t="s">
        <v>237</v>
      </c>
      <c r="J972" s="340" t="s">
        <v>9953</v>
      </c>
      <c r="K972" s="339" t="s">
        <v>71</v>
      </c>
      <c r="L972" s="357">
        <v>4</v>
      </c>
      <c r="M972" s="358" t="s">
        <v>4817</v>
      </c>
      <c r="N972" s="359">
        <v>1000</v>
      </c>
      <c r="O972" s="360" t="s">
        <v>530</v>
      </c>
      <c r="P972" s="343" t="s">
        <v>530</v>
      </c>
      <c r="Q972" s="342" t="s">
        <v>2688</v>
      </c>
      <c r="R972" s="344">
        <v>30</v>
      </c>
      <c r="S972" s="345">
        <v>30</v>
      </c>
      <c r="T972" s="362">
        <v>20</v>
      </c>
      <c r="U972" s="361">
        <v>84.32</v>
      </c>
      <c r="V972" s="346">
        <v>121.48209917438432</v>
      </c>
      <c r="W972" s="348">
        <v>120.41543250771765</v>
      </c>
      <c r="X972" s="347">
        <v>61.33</v>
      </c>
      <c r="Y972" s="357" t="s">
        <v>408</v>
      </c>
      <c r="Z972" s="365" t="s">
        <v>3017</v>
      </c>
      <c r="AA972" s="350">
        <v>196</v>
      </c>
      <c r="AB972" s="349" t="s">
        <v>2685</v>
      </c>
      <c r="AC972" s="350">
        <v>0</v>
      </c>
      <c r="AD972" s="349" t="s">
        <v>2685</v>
      </c>
      <c r="AE972" s="364">
        <v>0</v>
      </c>
      <c r="AF972" s="366">
        <v>0</v>
      </c>
      <c r="AG972" s="363">
        <v>0</v>
      </c>
      <c r="AH972" s="635" t="s">
        <v>408</v>
      </c>
      <c r="AL972" s="487" t="s">
        <v>15357</v>
      </c>
      <c r="AM972" s="477" t="s">
        <v>71</v>
      </c>
      <c r="AN972" s="637">
        <v>100</v>
      </c>
      <c r="AO972" s="478">
        <v>-1517</v>
      </c>
      <c r="AP972" s="463">
        <v>-723</v>
      </c>
      <c r="AQ972" s="479">
        <v>-794</v>
      </c>
      <c r="AR972" s="476" t="s">
        <v>17062</v>
      </c>
      <c r="BA972" s="313" t="s">
        <v>4807</v>
      </c>
    </row>
    <row r="973" spans="2:53" ht="16.5" customHeight="1">
      <c r="B973" s="367" t="s">
        <v>10638</v>
      </c>
      <c r="C973" s="351" t="s">
        <v>10639</v>
      </c>
      <c r="D973" s="353">
        <v>-1518</v>
      </c>
      <c r="E973" s="352" t="s">
        <v>10276</v>
      </c>
      <c r="F973" s="341">
        <v>84.31</v>
      </c>
      <c r="G973" s="355" t="s">
        <v>18725</v>
      </c>
      <c r="H973" s="356" t="s">
        <v>18726</v>
      </c>
      <c r="I973" s="354" t="s">
        <v>479</v>
      </c>
      <c r="J973" s="340" t="s">
        <v>9423</v>
      </c>
      <c r="K973" s="339" t="s">
        <v>71</v>
      </c>
      <c r="L973" s="357">
        <v>11</v>
      </c>
      <c r="M973" s="358" t="s">
        <v>10642</v>
      </c>
      <c r="N973" s="359">
        <v>500</v>
      </c>
      <c r="O973" s="360" t="s">
        <v>454</v>
      </c>
      <c r="P973" s="343" t="s">
        <v>454</v>
      </c>
      <c r="Q973" s="342" t="s">
        <v>2688</v>
      </c>
      <c r="R973" s="344">
        <v>20</v>
      </c>
      <c r="S973" s="345">
        <v>30</v>
      </c>
      <c r="T973" s="362">
        <v>30</v>
      </c>
      <c r="U973" s="361">
        <v>84.31</v>
      </c>
      <c r="V973" s="346">
        <v>121.47500000000001</v>
      </c>
      <c r="W973" s="348">
        <v>120.40833333333335</v>
      </c>
      <c r="X973" s="347">
        <v>61.32</v>
      </c>
      <c r="Y973" s="357" t="s">
        <v>408</v>
      </c>
      <c r="Z973" s="365" t="s">
        <v>3017</v>
      </c>
      <c r="AA973" s="350">
        <v>97</v>
      </c>
      <c r="AB973" s="349" t="s">
        <v>2685</v>
      </c>
      <c r="AC973" s="350">
        <v>2</v>
      </c>
      <c r="AD973" s="349" t="s">
        <v>2685</v>
      </c>
      <c r="AE973" s="364">
        <v>0</v>
      </c>
      <c r="AF973" s="366">
        <v>0</v>
      </c>
      <c r="AG973" s="363">
        <v>0</v>
      </c>
      <c r="AH973" s="635" t="s">
        <v>408</v>
      </c>
      <c r="AL973" s="487" t="s">
        <v>15358</v>
      </c>
      <c r="AM973" s="477" t="s">
        <v>71</v>
      </c>
      <c r="AN973" s="637">
        <v>100</v>
      </c>
      <c r="AO973" s="478">
        <v>-1518</v>
      </c>
      <c r="AP973" s="463">
        <v>-723</v>
      </c>
      <c r="AQ973" s="479">
        <v>-795</v>
      </c>
      <c r="AR973" s="476" t="s">
        <v>15383</v>
      </c>
      <c r="BA973" s="313" t="s">
        <v>4810</v>
      </c>
    </row>
    <row r="974" spans="2:53" ht="16.5" customHeight="1">
      <c r="B974" s="367" t="s">
        <v>4652</v>
      </c>
      <c r="C974" s="351" t="s">
        <v>4653</v>
      </c>
      <c r="D974" s="353">
        <v>-1518</v>
      </c>
      <c r="E974" s="352" t="s">
        <v>408</v>
      </c>
      <c r="F974" s="341">
        <v>84.3</v>
      </c>
      <c r="G974" s="355" t="s">
        <v>4848</v>
      </c>
      <c r="H974" s="356" t="s">
        <v>18727</v>
      </c>
      <c r="I974" s="354" t="s">
        <v>9189</v>
      </c>
      <c r="J974" s="340" t="s">
        <v>10587</v>
      </c>
      <c r="K974" s="339" t="s">
        <v>70</v>
      </c>
      <c r="L974" s="357">
        <v>17</v>
      </c>
      <c r="M974" s="358" t="s">
        <v>10588</v>
      </c>
      <c r="N974" s="359">
        <v>1000</v>
      </c>
      <c r="O974" s="360" t="s">
        <v>532</v>
      </c>
      <c r="P974" s="343" t="s">
        <v>532</v>
      </c>
      <c r="Q974" s="342" t="s">
        <v>2688</v>
      </c>
      <c r="R974" s="344">
        <v>20</v>
      </c>
      <c r="S974" s="345">
        <v>35</v>
      </c>
      <c r="T974" s="362">
        <v>25</v>
      </c>
      <c r="U974" s="361">
        <v>84.3</v>
      </c>
      <c r="V974" s="346">
        <v>121.46440318408786</v>
      </c>
      <c r="W974" s="348">
        <v>120.39773651742119</v>
      </c>
      <c r="X974" s="347" t="s">
        <v>18728</v>
      </c>
      <c r="Y974" s="357" t="s">
        <v>408</v>
      </c>
      <c r="Z974" s="365" t="s">
        <v>3017</v>
      </c>
      <c r="AA974" s="350">
        <v>195.56</v>
      </c>
      <c r="AB974" s="349" t="s">
        <v>2685</v>
      </c>
      <c r="AC974" s="350">
        <v>0</v>
      </c>
      <c r="AD974" s="349" t="s">
        <v>2685</v>
      </c>
      <c r="AE974" s="364">
        <v>0</v>
      </c>
      <c r="AF974" s="366">
        <v>15.484</v>
      </c>
      <c r="AG974" s="363">
        <v>0</v>
      </c>
      <c r="AH974" s="635" t="s">
        <v>9517</v>
      </c>
      <c r="AL974" s="487" t="s">
        <v>15339</v>
      </c>
      <c r="AM974" s="477" t="s">
        <v>70</v>
      </c>
      <c r="AN974" s="637">
        <v>100</v>
      </c>
      <c r="AO974" s="478">
        <v>-1518</v>
      </c>
      <c r="AP974" s="463">
        <v>-1518</v>
      </c>
      <c r="AQ974" s="479">
        <v>0</v>
      </c>
      <c r="AR974" s="476" t="s">
        <v>15363</v>
      </c>
      <c r="BA974" s="313" t="s">
        <v>4814</v>
      </c>
    </row>
    <row r="975" spans="2:53" ht="16.5" customHeight="1">
      <c r="B975" s="367" t="s">
        <v>10638</v>
      </c>
      <c r="C975" s="351" t="s">
        <v>10639</v>
      </c>
      <c r="D975" s="353">
        <v>-1519</v>
      </c>
      <c r="E975" s="352" t="s">
        <v>408</v>
      </c>
      <c r="F975" s="341">
        <v>84.3</v>
      </c>
      <c r="G975" s="355" t="s">
        <v>4798</v>
      </c>
      <c r="H975" s="356" t="s">
        <v>4443</v>
      </c>
      <c r="I975" s="354" t="s">
        <v>254</v>
      </c>
      <c r="J975" s="340" t="s">
        <v>8953</v>
      </c>
      <c r="K975" s="339" t="s">
        <v>71</v>
      </c>
      <c r="L975" s="357">
        <v>8</v>
      </c>
      <c r="M975" s="358" t="s">
        <v>10643</v>
      </c>
      <c r="N975" s="359">
        <v>1000</v>
      </c>
      <c r="O975" s="360" t="s">
        <v>532</v>
      </c>
      <c r="P975" s="343" t="s">
        <v>533</v>
      </c>
      <c r="Q975" s="342" t="s">
        <v>2688</v>
      </c>
      <c r="R975" s="344">
        <v>35</v>
      </c>
      <c r="S975" s="345">
        <v>25</v>
      </c>
      <c r="T975" s="362">
        <v>20</v>
      </c>
      <c r="U975" s="361">
        <v>84.3</v>
      </c>
      <c r="V975" s="346">
        <v>121.46890089132873</v>
      </c>
      <c r="W975" s="348">
        <v>120.40223422466207</v>
      </c>
      <c r="X975" s="347">
        <v>61.32</v>
      </c>
      <c r="Y975" s="357">
        <v>61.809999999999995</v>
      </c>
      <c r="Z975" s="365" t="s">
        <v>3017</v>
      </c>
      <c r="AA975" s="350">
        <v>196</v>
      </c>
      <c r="AB975" s="349" t="s">
        <v>2685</v>
      </c>
      <c r="AC975" s="350">
        <v>3</v>
      </c>
      <c r="AD975" s="349" t="s">
        <v>2685</v>
      </c>
      <c r="AE975" s="364">
        <v>0</v>
      </c>
      <c r="AF975" s="366">
        <v>0</v>
      </c>
      <c r="AG975" s="363">
        <v>0</v>
      </c>
      <c r="AH975" s="635" t="s">
        <v>408</v>
      </c>
      <c r="AL975" s="487" t="s">
        <v>15359</v>
      </c>
      <c r="AM975" s="477" t="s">
        <v>71</v>
      </c>
      <c r="AN975" s="637">
        <v>100</v>
      </c>
      <c r="AO975" s="478">
        <v>-1519</v>
      </c>
      <c r="AP975" s="463">
        <v>-723</v>
      </c>
      <c r="AQ975" s="479">
        <v>-796</v>
      </c>
      <c r="AR975" s="476" t="s">
        <v>17063</v>
      </c>
      <c r="BA975" s="313" t="s">
        <v>4816</v>
      </c>
    </row>
    <row r="976" spans="2:53" ht="16.5" customHeight="1">
      <c r="B976" s="367" t="s">
        <v>4656</v>
      </c>
      <c r="C976" s="351" t="s">
        <v>4657</v>
      </c>
      <c r="D976" s="353">
        <v>-1519</v>
      </c>
      <c r="E976" s="352" t="s">
        <v>10640</v>
      </c>
      <c r="F976" s="341">
        <v>84.28</v>
      </c>
      <c r="G976" s="355" t="s">
        <v>4850</v>
      </c>
      <c r="H976" s="356" t="s">
        <v>10635</v>
      </c>
      <c r="I976" s="354" t="s">
        <v>496</v>
      </c>
      <c r="J976" s="340" t="s">
        <v>10125</v>
      </c>
      <c r="K976" s="339" t="s">
        <v>70</v>
      </c>
      <c r="L976" s="357">
        <v>5</v>
      </c>
      <c r="M976" s="358" t="s">
        <v>10644</v>
      </c>
      <c r="N976" s="359">
        <v>1000</v>
      </c>
      <c r="O976" s="360" t="s">
        <v>530</v>
      </c>
      <c r="P976" s="343" t="s">
        <v>531</v>
      </c>
      <c r="Q976" s="342" t="s">
        <v>2738</v>
      </c>
      <c r="R976" s="344">
        <v>25</v>
      </c>
      <c r="S976" s="345">
        <v>38</v>
      </c>
      <c r="T976" s="362">
        <v>25</v>
      </c>
      <c r="U976" s="361">
        <v>84.28</v>
      </c>
      <c r="V976" s="346">
        <v>121.4507042253521</v>
      </c>
      <c r="W976" s="348">
        <v>120.38403755868542</v>
      </c>
      <c r="X976" s="347">
        <v>61.04</v>
      </c>
      <c r="Y976" s="357">
        <v>61.809999999999995</v>
      </c>
      <c r="Z976" s="365" t="s">
        <v>3017</v>
      </c>
      <c r="AA976" s="350">
        <v>118.75</v>
      </c>
      <c r="AB976" s="349" t="s">
        <v>2685</v>
      </c>
      <c r="AC976" s="350">
        <v>10</v>
      </c>
      <c r="AD976" s="349" t="s">
        <v>2685</v>
      </c>
      <c r="AE976" s="364">
        <v>0</v>
      </c>
      <c r="AF976" s="366">
        <v>0</v>
      </c>
      <c r="AG976" s="363">
        <v>0</v>
      </c>
      <c r="AH976" s="635" t="s">
        <v>408</v>
      </c>
      <c r="AL976" s="487" t="s">
        <v>15360</v>
      </c>
      <c r="AM976" s="477" t="s">
        <v>70</v>
      </c>
      <c r="AN976" s="637">
        <v>100</v>
      </c>
      <c r="AO976" s="478">
        <v>-1519</v>
      </c>
      <c r="AP976" s="463">
        <v>-1519</v>
      </c>
      <c r="AQ976" s="479">
        <v>0</v>
      </c>
      <c r="AR976" s="476" t="s">
        <v>15361</v>
      </c>
      <c r="BA976" s="313" t="s">
        <v>4818</v>
      </c>
    </row>
    <row r="977" spans="2:53" ht="16.5" customHeight="1">
      <c r="B977" s="367" t="s">
        <v>4610</v>
      </c>
      <c r="C977" s="351" t="s">
        <v>4611</v>
      </c>
      <c r="D977" s="353">
        <v>-1520</v>
      </c>
      <c r="E977" s="352" t="s">
        <v>4844</v>
      </c>
      <c r="F977" s="341">
        <v>84.27</v>
      </c>
      <c r="G977" s="355" t="s">
        <v>4806</v>
      </c>
      <c r="H977" s="356" t="s">
        <v>18729</v>
      </c>
      <c r="I977" s="354" t="s">
        <v>221</v>
      </c>
      <c r="J977" s="340" t="s">
        <v>10647</v>
      </c>
      <c r="K977" s="339" t="s">
        <v>71</v>
      </c>
      <c r="L977" s="357">
        <v>10</v>
      </c>
      <c r="M977" s="358" t="s">
        <v>10648</v>
      </c>
      <c r="N977" s="359">
        <v>1000</v>
      </c>
      <c r="O977" s="360" t="s">
        <v>532</v>
      </c>
      <c r="P977" s="343" t="s">
        <v>533</v>
      </c>
      <c r="Q977" s="342" t="s">
        <v>2688</v>
      </c>
      <c r="R977" s="344">
        <v>25</v>
      </c>
      <c r="S977" s="345">
        <v>40</v>
      </c>
      <c r="T977" s="362">
        <v>20</v>
      </c>
      <c r="U977" s="361">
        <v>84.27</v>
      </c>
      <c r="V977" s="346">
        <v>121.4434054631548</v>
      </c>
      <c r="W977" s="348">
        <v>120.37673879648814</v>
      </c>
      <c r="X977" s="347">
        <v>61.3</v>
      </c>
      <c r="Y977" s="357">
        <v>61.9</v>
      </c>
      <c r="Z977" s="365" t="s">
        <v>3017</v>
      </c>
      <c r="AA977" s="350">
        <v>144</v>
      </c>
      <c r="AB977" s="349" t="s">
        <v>2685</v>
      </c>
      <c r="AC977" s="350">
        <v>0</v>
      </c>
      <c r="AD977" s="349" t="s">
        <v>2685</v>
      </c>
      <c r="AE977" s="364">
        <v>0</v>
      </c>
      <c r="AF977" s="366">
        <v>0</v>
      </c>
      <c r="AG977" s="363">
        <v>0</v>
      </c>
      <c r="AH977" s="635" t="s">
        <v>408</v>
      </c>
      <c r="AL977" s="487" t="s">
        <v>15364</v>
      </c>
      <c r="AM977" s="477" t="s">
        <v>71</v>
      </c>
      <c r="AN977" s="637">
        <v>100</v>
      </c>
      <c r="AO977" s="478">
        <v>-1520</v>
      </c>
      <c r="AP977" s="463">
        <v>-724</v>
      </c>
      <c r="AQ977" s="479">
        <v>-796</v>
      </c>
      <c r="AR977" s="476" t="s">
        <v>17064</v>
      </c>
      <c r="BA977" s="313" t="s">
        <v>4819</v>
      </c>
    </row>
    <row r="978" spans="2:53" ht="16.5" customHeight="1">
      <c r="B978" s="367" t="s">
        <v>4656</v>
      </c>
      <c r="C978" s="351" t="s">
        <v>4657</v>
      </c>
      <c r="D978" s="353">
        <v>-1520</v>
      </c>
      <c r="E978" s="352" t="s">
        <v>408</v>
      </c>
      <c r="F978" s="341">
        <v>84.27</v>
      </c>
      <c r="G978" s="355" t="s">
        <v>4852</v>
      </c>
      <c r="H978" s="356" t="s">
        <v>10635</v>
      </c>
      <c r="I978" s="354" t="s">
        <v>238</v>
      </c>
      <c r="J978" s="340" t="s">
        <v>10649</v>
      </c>
      <c r="K978" s="339" t="s">
        <v>70</v>
      </c>
      <c r="L978" s="357">
        <v>150</v>
      </c>
      <c r="M978" s="358" t="s">
        <v>10650</v>
      </c>
      <c r="N978" s="359">
        <v>1000</v>
      </c>
      <c r="O978" s="360" t="s">
        <v>532</v>
      </c>
      <c r="P978" s="343" t="s">
        <v>533</v>
      </c>
      <c r="Q978" s="342" t="s">
        <v>2688</v>
      </c>
      <c r="R978" s="344">
        <v>25</v>
      </c>
      <c r="S978" s="345">
        <v>40</v>
      </c>
      <c r="T978" s="362">
        <v>25</v>
      </c>
      <c r="U978" s="361">
        <v>84.27</v>
      </c>
      <c r="V978" s="346">
        <v>121.4462883184158</v>
      </c>
      <c r="W978" s="348">
        <v>120.37962165174913</v>
      </c>
      <c r="X978" s="347">
        <v>61.04</v>
      </c>
      <c r="Y978" s="357">
        <v>61.809999999999995</v>
      </c>
      <c r="Z978" s="365" t="s">
        <v>3017</v>
      </c>
      <c r="AA978" s="350">
        <v>98</v>
      </c>
      <c r="AB978" s="349" t="s">
        <v>2685</v>
      </c>
      <c r="AC978" s="350">
        <v>0</v>
      </c>
      <c r="AD978" s="349" t="s">
        <v>2685</v>
      </c>
      <c r="AE978" s="364">
        <v>0</v>
      </c>
      <c r="AF978" s="366">
        <v>0</v>
      </c>
      <c r="AG978" s="363">
        <v>0</v>
      </c>
      <c r="AH978" s="635" t="s">
        <v>408</v>
      </c>
      <c r="AL978" s="487" t="s">
        <v>15365</v>
      </c>
      <c r="AM978" s="477" t="s">
        <v>70</v>
      </c>
      <c r="AN978" s="637">
        <v>100</v>
      </c>
      <c r="AO978" s="478">
        <v>-1520</v>
      </c>
      <c r="AP978" s="463">
        <v>-1520</v>
      </c>
      <c r="AQ978" s="479">
        <v>0</v>
      </c>
      <c r="AR978" s="476" t="s">
        <v>15361</v>
      </c>
      <c r="BA978" s="313" t="s">
        <v>4820</v>
      </c>
    </row>
    <row r="979" spans="2:53" ht="16.5" customHeight="1">
      <c r="B979" s="367" t="s">
        <v>4664</v>
      </c>
      <c r="C979" s="351" t="s">
        <v>4665</v>
      </c>
      <c r="D979" s="353">
        <v>-1521</v>
      </c>
      <c r="E979" s="352" t="s">
        <v>10645</v>
      </c>
      <c r="F979" s="341">
        <v>84.25</v>
      </c>
      <c r="G979" s="355" t="s">
        <v>10651</v>
      </c>
      <c r="H979" s="356" t="s">
        <v>10652</v>
      </c>
      <c r="I979" s="354" t="s">
        <v>237</v>
      </c>
      <c r="J979" s="340" t="s">
        <v>10653</v>
      </c>
      <c r="K979" s="339" t="s">
        <v>70</v>
      </c>
      <c r="L979" s="357">
        <v>200</v>
      </c>
      <c r="M979" s="358" t="s">
        <v>10654</v>
      </c>
      <c r="N979" s="359">
        <v>1000</v>
      </c>
      <c r="O979" s="360" t="s">
        <v>530</v>
      </c>
      <c r="P979" s="343" t="s">
        <v>530</v>
      </c>
      <c r="Q979" s="342" t="s">
        <v>2688</v>
      </c>
      <c r="R979" s="344">
        <v>20</v>
      </c>
      <c r="S979" s="345">
        <v>30</v>
      </c>
      <c r="T979" s="362">
        <v>30</v>
      </c>
      <c r="U979" s="361">
        <v>84.25</v>
      </c>
      <c r="V979" s="346">
        <v>121.43463808800669</v>
      </c>
      <c r="W979" s="348">
        <v>120.36797142134003</v>
      </c>
      <c r="X979" s="347">
        <v>61.03</v>
      </c>
      <c r="Y979" s="357" t="s">
        <v>408</v>
      </c>
      <c r="Z979" s="365" t="s">
        <v>3017</v>
      </c>
      <c r="AA979" s="350">
        <v>196</v>
      </c>
      <c r="AB979" s="349" t="s">
        <v>2685</v>
      </c>
      <c r="AC979" s="350">
        <v>0</v>
      </c>
      <c r="AD979" s="349" t="s">
        <v>2685</v>
      </c>
      <c r="AE979" s="364">
        <v>0</v>
      </c>
      <c r="AF979" s="366">
        <v>10.909000000000001</v>
      </c>
      <c r="AG979" s="363">
        <v>0</v>
      </c>
      <c r="AH979" s="635" t="s">
        <v>9931</v>
      </c>
      <c r="AL979" s="487" t="s">
        <v>15367</v>
      </c>
      <c r="AM979" s="477" t="s">
        <v>70</v>
      </c>
      <c r="AN979" s="637">
        <v>100</v>
      </c>
      <c r="AO979" s="478">
        <v>-1521</v>
      </c>
      <c r="AP979" s="463">
        <v>-1521</v>
      </c>
      <c r="AQ979" s="479">
        <v>0</v>
      </c>
      <c r="AR979" s="476" t="s">
        <v>15368</v>
      </c>
      <c r="BA979" s="313" t="s">
        <v>4823</v>
      </c>
    </row>
    <row r="980" spans="2:53" ht="16.5" customHeight="1">
      <c r="B980" s="367" t="s">
        <v>4668</v>
      </c>
      <c r="C980" s="351" t="s">
        <v>4669</v>
      </c>
      <c r="D980" s="353">
        <v>-1521</v>
      </c>
      <c r="E980" s="352" t="s">
        <v>408</v>
      </c>
      <c r="F980" s="341">
        <v>84.24</v>
      </c>
      <c r="G980" s="355" t="s">
        <v>18730</v>
      </c>
      <c r="H980" s="356" t="s">
        <v>4447</v>
      </c>
      <c r="I980" s="354" t="s">
        <v>254</v>
      </c>
      <c r="J980" s="340" t="s">
        <v>10655</v>
      </c>
      <c r="K980" s="339" t="s">
        <v>71</v>
      </c>
      <c r="L980" s="357">
        <v>20</v>
      </c>
      <c r="M980" s="358" t="s">
        <v>10656</v>
      </c>
      <c r="N980" s="359">
        <v>1000</v>
      </c>
      <c r="O980" s="360" t="s">
        <v>532</v>
      </c>
      <c r="P980" s="343" t="s">
        <v>533</v>
      </c>
      <c r="Q980" s="342" t="s">
        <v>2688</v>
      </c>
      <c r="R980" s="344">
        <v>35</v>
      </c>
      <c r="S980" s="345">
        <v>25</v>
      </c>
      <c r="T980" s="362">
        <v>20</v>
      </c>
      <c r="U980" s="361">
        <v>84.24</v>
      </c>
      <c r="V980" s="346">
        <v>121.42410188300573</v>
      </c>
      <c r="W980" s="348">
        <v>120.35743521633906</v>
      </c>
      <c r="X980" s="347">
        <v>61.29</v>
      </c>
      <c r="Y980" s="357">
        <v>61.79</v>
      </c>
      <c r="Z980" s="365" t="s">
        <v>3017</v>
      </c>
      <c r="AA980" s="350">
        <v>196</v>
      </c>
      <c r="AB980" s="349" t="s">
        <v>2685</v>
      </c>
      <c r="AC980" s="350">
        <v>3</v>
      </c>
      <c r="AD980" s="349" t="s">
        <v>2685</v>
      </c>
      <c r="AE980" s="364">
        <v>0</v>
      </c>
      <c r="AF980" s="366">
        <v>0</v>
      </c>
      <c r="AG980" s="363">
        <v>0</v>
      </c>
      <c r="AH980" s="635" t="s">
        <v>408</v>
      </c>
      <c r="AL980" s="487" t="s">
        <v>15369</v>
      </c>
      <c r="AM980" s="477" t="s">
        <v>71</v>
      </c>
      <c r="AN980" s="637">
        <v>100</v>
      </c>
      <c r="AO980" s="478">
        <v>-1521</v>
      </c>
      <c r="AP980" s="463">
        <v>-724</v>
      </c>
      <c r="AQ980" s="479">
        <v>-797</v>
      </c>
      <c r="AR980" s="476" t="s">
        <v>17056</v>
      </c>
      <c r="BA980" s="313" t="s">
        <v>4826</v>
      </c>
    </row>
    <row r="981" spans="2:53" ht="16.5" customHeight="1">
      <c r="B981" s="367" t="s">
        <v>4668</v>
      </c>
      <c r="C981" s="351" t="s">
        <v>4669</v>
      </c>
      <c r="D981" s="353">
        <v>-1522</v>
      </c>
      <c r="E981" s="352" t="s">
        <v>408</v>
      </c>
      <c r="F981" s="341">
        <v>84.23</v>
      </c>
      <c r="G981" s="355" t="s">
        <v>4872</v>
      </c>
      <c r="H981" s="356" t="s">
        <v>10657</v>
      </c>
      <c r="I981" s="354" t="s">
        <v>236</v>
      </c>
      <c r="J981" s="340" t="s">
        <v>555</v>
      </c>
      <c r="K981" s="339" t="s">
        <v>70</v>
      </c>
      <c r="L981" s="357">
        <v>13</v>
      </c>
      <c r="M981" s="358" t="s">
        <v>10658</v>
      </c>
      <c r="N981" s="359">
        <v>1000</v>
      </c>
      <c r="O981" s="360" t="s">
        <v>532</v>
      </c>
      <c r="P981" s="343" t="s">
        <v>533</v>
      </c>
      <c r="Q981" s="342" t="s">
        <v>2688</v>
      </c>
      <c r="R981" s="344">
        <v>20</v>
      </c>
      <c r="S981" s="345">
        <v>35</v>
      </c>
      <c r="T981" s="362">
        <v>25</v>
      </c>
      <c r="U981" s="361">
        <v>84.23</v>
      </c>
      <c r="V981" s="346">
        <v>121.4225240141935</v>
      </c>
      <c r="W981" s="348">
        <v>120.35585734752682</v>
      </c>
      <c r="X981" s="347">
        <v>61.02</v>
      </c>
      <c r="Y981" s="357">
        <v>61.8</v>
      </c>
      <c r="Z981" s="365" t="s">
        <v>3017</v>
      </c>
      <c r="AA981" s="350">
        <v>194</v>
      </c>
      <c r="AB981" s="349" t="s">
        <v>2685</v>
      </c>
      <c r="AC981" s="350">
        <v>4</v>
      </c>
      <c r="AD981" s="349" t="s">
        <v>2685</v>
      </c>
      <c r="AE981" s="364">
        <v>0</v>
      </c>
      <c r="AF981" s="366">
        <v>12.635999999999999</v>
      </c>
      <c r="AG981" s="363">
        <v>0</v>
      </c>
      <c r="AH981" s="635" t="s">
        <v>408</v>
      </c>
      <c r="AL981" s="487" t="s">
        <v>15370</v>
      </c>
      <c r="AM981" s="477" t="s">
        <v>70</v>
      </c>
      <c r="AN981" s="637">
        <v>100</v>
      </c>
      <c r="AO981" s="478">
        <v>-1522</v>
      </c>
      <c r="AP981" s="463">
        <v>-1522</v>
      </c>
      <c r="AQ981" s="479">
        <v>0</v>
      </c>
      <c r="AR981" s="476" t="s">
        <v>15371</v>
      </c>
      <c r="BA981" s="313" t="s">
        <v>4829</v>
      </c>
    </row>
    <row r="982" spans="2:53" ht="16.5" customHeight="1">
      <c r="B982" s="367" t="s">
        <v>10661</v>
      </c>
      <c r="C982" s="351" t="s">
        <v>10662</v>
      </c>
      <c r="D982" s="353">
        <v>-1522</v>
      </c>
      <c r="E982" s="352" t="s">
        <v>4836</v>
      </c>
      <c r="F982" s="341">
        <v>84.15</v>
      </c>
      <c r="G982" s="355" t="s">
        <v>10663</v>
      </c>
      <c r="H982" s="356" t="s">
        <v>10664</v>
      </c>
      <c r="I982" s="354" t="s">
        <v>221</v>
      </c>
      <c r="J982" s="340" t="s">
        <v>9649</v>
      </c>
      <c r="K982" s="339" t="s">
        <v>70</v>
      </c>
      <c r="L982" s="357">
        <v>9</v>
      </c>
      <c r="M982" s="358" t="s">
        <v>10665</v>
      </c>
      <c r="N982" s="359">
        <v>1000</v>
      </c>
      <c r="O982" s="360" t="s">
        <v>532</v>
      </c>
      <c r="P982" s="343" t="s">
        <v>533</v>
      </c>
      <c r="Q982" s="342" t="s">
        <v>2688</v>
      </c>
      <c r="R982" s="344">
        <v>20</v>
      </c>
      <c r="S982" s="345">
        <v>35</v>
      </c>
      <c r="T982" s="362">
        <v>30</v>
      </c>
      <c r="U982" s="361">
        <v>84.15</v>
      </c>
      <c r="V982" s="346">
        <v>121.36470034712688</v>
      </c>
      <c r="W982" s="348">
        <v>120.29803368046022</v>
      </c>
      <c r="X982" s="347">
        <v>60.99</v>
      </c>
      <c r="Y982" s="357">
        <v>61.66</v>
      </c>
      <c r="Z982" s="365" t="s">
        <v>3017</v>
      </c>
      <c r="AA982" s="350">
        <v>144</v>
      </c>
      <c r="AB982" s="349" t="s">
        <v>2685</v>
      </c>
      <c r="AC982" s="350">
        <v>0</v>
      </c>
      <c r="AD982" s="349" t="s">
        <v>2685</v>
      </c>
      <c r="AE982" s="364">
        <v>0</v>
      </c>
      <c r="AF982" s="366">
        <v>16.943000000000001</v>
      </c>
      <c r="AG982" s="363">
        <v>0</v>
      </c>
      <c r="AH982" s="635" t="s">
        <v>7882</v>
      </c>
      <c r="AL982" s="487" t="s">
        <v>15372</v>
      </c>
      <c r="AM982" s="477" t="s">
        <v>70</v>
      </c>
      <c r="AN982" s="637">
        <v>100</v>
      </c>
      <c r="AO982" s="478">
        <v>-1522</v>
      </c>
      <c r="AP982" s="463">
        <v>-1522</v>
      </c>
      <c r="AQ982" s="479">
        <v>0</v>
      </c>
      <c r="AR982" s="476" t="s">
        <v>15373</v>
      </c>
      <c r="BA982" s="313" t="s">
        <v>4830</v>
      </c>
    </row>
    <row r="983" spans="2:53" ht="16.5" customHeight="1">
      <c r="B983" s="367" t="s">
        <v>4619</v>
      </c>
      <c r="C983" s="351" t="s">
        <v>4620</v>
      </c>
      <c r="D983" s="353">
        <v>-1523</v>
      </c>
      <c r="E983" s="352" t="s">
        <v>4856</v>
      </c>
      <c r="F983" s="341">
        <v>84.14</v>
      </c>
      <c r="G983" s="355" t="s">
        <v>18731</v>
      </c>
      <c r="H983" s="356" t="s">
        <v>10725</v>
      </c>
      <c r="I983" s="354" t="s">
        <v>237</v>
      </c>
      <c r="J983" s="340" t="s">
        <v>10659</v>
      </c>
      <c r="K983" s="339" t="s">
        <v>71</v>
      </c>
      <c r="L983" s="357">
        <v>13</v>
      </c>
      <c r="M983" s="358" t="s">
        <v>4841</v>
      </c>
      <c r="N983" s="359">
        <v>1000</v>
      </c>
      <c r="O983" s="360" t="s">
        <v>530</v>
      </c>
      <c r="P983" s="343" t="s">
        <v>530</v>
      </c>
      <c r="Q983" s="342" t="s">
        <v>2688</v>
      </c>
      <c r="R983" s="344">
        <v>30</v>
      </c>
      <c r="S983" s="345">
        <v>30</v>
      </c>
      <c r="T983" s="362">
        <v>20</v>
      </c>
      <c r="U983" s="361">
        <v>84.14</v>
      </c>
      <c r="V983" s="346">
        <v>121.35843752036627</v>
      </c>
      <c r="W983" s="348">
        <v>120.2917708536996</v>
      </c>
      <c r="X983" s="347">
        <v>61.26</v>
      </c>
      <c r="Y983" s="357" t="s">
        <v>408</v>
      </c>
      <c r="Z983" s="365" t="s">
        <v>3017</v>
      </c>
      <c r="AA983" s="350">
        <v>196</v>
      </c>
      <c r="AB983" s="349" t="s">
        <v>2685</v>
      </c>
      <c r="AC983" s="350">
        <v>0</v>
      </c>
      <c r="AD983" s="349" t="s">
        <v>2685</v>
      </c>
      <c r="AE983" s="364">
        <v>0</v>
      </c>
      <c r="AF983" s="366">
        <v>0</v>
      </c>
      <c r="AG983" s="363">
        <v>0</v>
      </c>
      <c r="AH983" s="635" t="s">
        <v>408</v>
      </c>
      <c r="AL983" s="487" t="s">
        <v>15374</v>
      </c>
      <c r="AM983" s="477" t="s">
        <v>71</v>
      </c>
      <c r="AN983" s="637">
        <v>100</v>
      </c>
      <c r="AO983" s="478">
        <v>-1523</v>
      </c>
      <c r="AP983" s="463">
        <v>-724</v>
      </c>
      <c r="AQ983" s="479">
        <v>-799</v>
      </c>
      <c r="AR983" s="476" t="s">
        <v>17065</v>
      </c>
      <c r="BA983" s="313" t="s">
        <v>4831</v>
      </c>
    </row>
    <row r="984" spans="2:53" ht="16.5" customHeight="1">
      <c r="B984" s="367" t="s">
        <v>4619</v>
      </c>
      <c r="C984" s="351" t="s">
        <v>4620</v>
      </c>
      <c r="D984" s="353">
        <v>-1523</v>
      </c>
      <c r="E984" s="352" t="s">
        <v>408</v>
      </c>
      <c r="F984" s="341">
        <v>84.14</v>
      </c>
      <c r="G984" s="355" t="s">
        <v>18731</v>
      </c>
      <c r="H984" s="356" t="s">
        <v>4419</v>
      </c>
      <c r="I984" s="354" t="s">
        <v>237</v>
      </c>
      <c r="J984" s="340" t="s">
        <v>10660</v>
      </c>
      <c r="K984" s="339" t="s">
        <v>71</v>
      </c>
      <c r="L984" s="357">
        <v>5</v>
      </c>
      <c r="M984" s="358" t="s">
        <v>4841</v>
      </c>
      <c r="N984" s="359">
        <v>1000</v>
      </c>
      <c r="O984" s="360" t="s">
        <v>530</v>
      </c>
      <c r="P984" s="343" t="s">
        <v>530</v>
      </c>
      <c r="Q984" s="342" t="s">
        <v>2688</v>
      </c>
      <c r="R984" s="344">
        <v>30</v>
      </c>
      <c r="S984" s="345">
        <v>30</v>
      </c>
      <c r="T984" s="362">
        <v>20</v>
      </c>
      <c r="U984" s="361">
        <v>84.14</v>
      </c>
      <c r="V984" s="346">
        <v>121.35843752036627</v>
      </c>
      <c r="W984" s="348">
        <v>120.2917708536996</v>
      </c>
      <c r="X984" s="347">
        <v>61.26</v>
      </c>
      <c r="Y984" s="357" t="s">
        <v>408</v>
      </c>
      <c r="Z984" s="365" t="s">
        <v>3017</v>
      </c>
      <c r="AA984" s="350">
        <v>196</v>
      </c>
      <c r="AB984" s="349" t="s">
        <v>2685</v>
      </c>
      <c r="AC984" s="350">
        <v>0</v>
      </c>
      <c r="AD984" s="349" t="s">
        <v>2685</v>
      </c>
      <c r="AE984" s="364">
        <v>0</v>
      </c>
      <c r="AF984" s="366">
        <v>0</v>
      </c>
      <c r="AG984" s="363">
        <v>0</v>
      </c>
      <c r="AH984" s="635" t="s">
        <v>408</v>
      </c>
      <c r="AL984" s="487" t="s">
        <v>15375</v>
      </c>
      <c r="AM984" s="477" t="s">
        <v>71</v>
      </c>
      <c r="AN984" s="637">
        <v>100</v>
      </c>
      <c r="AO984" s="478">
        <v>-1523</v>
      </c>
      <c r="AP984" s="463">
        <v>-724</v>
      </c>
      <c r="AQ984" s="479">
        <v>-799</v>
      </c>
      <c r="AR984" s="476" t="s">
        <v>17065</v>
      </c>
      <c r="BA984" s="313" t="s">
        <v>4833</v>
      </c>
    </row>
    <row r="985" spans="2:53" ht="16.5" customHeight="1">
      <c r="B985" s="367" t="s">
        <v>10619</v>
      </c>
      <c r="C985" s="351" t="s">
        <v>10620</v>
      </c>
      <c r="D985" s="353">
        <v>-1524</v>
      </c>
      <c r="E985" s="352" t="s">
        <v>10626</v>
      </c>
      <c r="F985" s="341">
        <v>84.12</v>
      </c>
      <c r="G985" s="355" t="s">
        <v>10948</v>
      </c>
      <c r="H985" s="356" t="s">
        <v>18732</v>
      </c>
      <c r="I985" s="354" t="s">
        <v>209</v>
      </c>
      <c r="J985" s="340" t="s">
        <v>9141</v>
      </c>
      <c r="K985" s="339" t="s">
        <v>71</v>
      </c>
      <c r="L985" s="357">
        <v>15</v>
      </c>
      <c r="M985" s="358" t="s">
        <v>4860</v>
      </c>
      <c r="N985" s="359">
        <v>1000</v>
      </c>
      <c r="O985" s="360" t="s">
        <v>530</v>
      </c>
      <c r="P985" s="343" t="s">
        <v>530</v>
      </c>
      <c r="Q985" s="342" t="s">
        <v>2688</v>
      </c>
      <c r="R985" s="344">
        <v>30</v>
      </c>
      <c r="S985" s="345">
        <v>25</v>
      </c>
      <c r="T985" s="362">
        <v>25</v>
      </c>
      <c r="U985" s="361">
        <v>84.12</v>
      </c>
      <c r="V985" s="346">
        <v>121.34396245990463</v>
      </c>
      <c r="W985" s="348">
        <v>120.27729579323797</v>
      </c>
      <c r="X985" s="347">
        <v>61.25</v>
      </c>
      <c r="Y985" s="357" t="s">
        <v>408</v>
      </c>
      <c r="Z985" s="365" t="s">
        <v>3017</v>
      </c>
      <c r="AA985" s="350">
        <v>198</v>
      </c>
      <c r="AB985" s="349" t="s">
        <v>2685</v>
      </c>
      <c r="AC985" s="350">
        <v>10</v>
      </c>
      <c r="AD985" s="349" t="s">
        <v>2685</v>
      </c>
      <c r="AE985" s="364">
        <v>0</v>
      </c>
      <c r="AF985" s="366">
        <v>0</v>
      </c>
      <c r="AG985" s="363">
        <v>0</v>
      </c>
      <c r="AH985" s="635" t="s">
        <v>408</v>
      </c>
      <c r="AL985" s="487" t="s">
        <v>15376</v>
      </c>
      <c r="AM985" s="477" t="s">
        <v>71</v>
      </c>
      <c r="AN985" s="637">
        <v>100</v>
      </c>
      <c r="AO985" s="478">
        <v>-1524</v>
      </c>
      <c r="AP985" s="463">
        <v>-724</v>
      </c>
      <c r="AQ985" s="479">
        <v>-800</v>
      </c>
      <c r="AR985" s="476" t="s">
        <v>17066</v>
      </c>
      <c r="BA985" s="313" t="s">
        <v>4838</v>
      </c>
    </row>
    <row r="986" spans="2:53" ht="16.5" customHeight="1">
      <c r="B986" s="367" t="s">
        <v>4705</v>
      </c>
      <c r="C986" s="351" t="s">
        <v>4706</v>
      </c>
      <c r="D986" s="353">
        <v>-1524</v>
      </c>
      <c r="E986" s="352" t="s">
        <v>10626</v>
      </c>
      <c r="F986" s="341">
        <v>84.08</v>
      </c>
      <c r="G986" s="355" t="s">
        <v>10631</v>
      </c>
      <c r="H986" s="356" t="s">
        <v>4488</v>
      </c>
      <c r="I986" s="354" t="s">
        <v>238</v>
      </c>
      <c r="J986" s="340" t="s">
        <v>8269</v>
      </c>
      <c r="K986" s="339" t="s">
        <v>71</v>
      </c>
      <c r="L986" s="357">
        <v>8</v>
      </c>
      <c r="M986" s="358" t="s">
        <v>10668</v>
      </c>
      <c r="N986" s="359">
        <v>1000</v>
      </c>
      <c r="O986" s="360" t="s">
        <v>532</v>
      </c>
      <c r="P986" s="343" t="s">
        <v>533</v>
      </c>
      <c r="Q986" s="342" t="s">
        <v>2688</v>
      </c>
      <c r="R986" s="344">
        <v>35</v>
      </c>
      <c r="S986" s="345">
        <v>25</v>
      </c>
      <c r="T986" s="362">
        <v>25</v>
      </c>
      <c r="U986" s="361">
        <v>84.08</v>
      </c>
      <c r="V986" s="346">
        <v>121.3179013757494</v>
      </c>
      <c r="W986" s="348">
        <v>120.25123470908274</v>
      </c>
      <c r="X986" s="347">
        <v>61.24</v>
      </c>
      <c r="Y986" s="357">
        <v>61.739999999999995</v>
      </c>
      <c r="Z986" s="365" t="s">
        <v>3017</v>
      </c>
      <c r="AA986" s="350">
        <v>148</v>
      </c>
      <c r="AB986" s="349" t="s">
        <v>2685</v>
      </c>
      <c r="AC986" s="350">
        <v>0</v>
      </c>
      <c r="AD986" s="349" t="s">
        <v>2685</v>
      </c>
      <c r="AE986" s="364">
        <v>0</v>
      </c>
      <c r="AF986" s="366">
        <v>0</v>
      </c>
      <c r="AG986" s="363">
        <v>0</v>
      </c>
      <c r="AH986" s="635" t="s">
        <v>408</v>
      </c>
      <c r="AL986" s="487" t="s">
        <v>15377</v>
      </c>
      <c r="AM986" s="477" t="s">
        <v>71</v>
      </c>
      <c r="AN986" s="637">
        <v>100</v>
      </c>
      <c r="AO986" s="478">
        <v>-1524</v>
      </c>
      <c r="AP986" s="463">
        <v>-724</v>
      </c>
      <c r="AQ986" s="479">
        <v>-800</v>
      </c>
      <c r="AR986" s="476" t="s">
        <v>17067</v>
      </c>
      <c r="BA986" s="313" t="s">
        <v>4839</v>
      </c>
    </row>
    <row r="987" spans="2:53" ht="16.5" customHeight="1">
      <c r="B987" s="367" t="s">
        <v>4705</v>
      </c>
      <c r="C987" s="351" t="s">
        <v>4706</v>
      </c>
      <c r="D987" s="353">
        <v>-1525</v>
      </c>
      <c r="E987" s="352" t="s">
        <v>408</v>
      </c>
      <c r="F987" s="341">
        <v>84.08</v>
      </c>
      <c r="G987" s="355" t="s">
        <v>10669</v>
      </c>
      <c r="H987" s="356" t="s">
        <v>10670</v>
      </c>
      <c r="I987" s="354" t="s">
        <v>301</v>
      </c>
      <c r="J987" s="340" t="s">
        <v>10671</v>
      </c>
      <c r="K987" s="339" t="s">
        <v>70</v>
      </c>
      <c r="L987" s="357">
        <v>62</v>
      </c>
      <c r="M987" s="358" t="s">
        <v>10672</v>
      </c>
      <c r="N987" s="359">
        <v>1000</v>
      </c>
      <c r="O987" s="360" t="s">
        <v>530</v>
      </c>
      <c r="P987" s="343" t="s">
        <v>531</v>
      </c>
      <c r="Q987" s="342" t="s">
        <v>2688</v>
      </c>
      <c r="R987" s="344">
        <v>20</v>
      </c>
      <c r="S987" s="345">
        <v>35</v>
      </c>
      <c r="T987" s="362">
        <v>25</v>
      </c>
      <c r="U987" s="361">
        <v>84.08</v>
      </c>
      <c r="V987" s="346">
        <v>121.31952259164532</v>
      </c>
      <c r="W987" s="348">
        <v>120.25285592497866</v>
      </c>
      <c r="X987" s="347">
        <v>60.96</v>
      </c>
      <c r="Y987" s="357">
        <v>61.739999999999995</v>
      </c>
      <c r="Z987" s="365" t="s">
        <v>3017</v>
      </c>
      <c r="AA987" s="350">
        <v>198</v>
      </c>
      <c r="AB987" s="349" t="s">
        <v>2685</v>
      </c>
      <c r="AC987" s="350">
        <v>10</v>
      </c>
      <c r="AD987" s="349" t="s">
        <v>2685</v>
      </c>
      <c r="AE987" s="364">
        <v>0</v>
      </c>
      <c r="AF987" s="366">
        <v>10.944000000000001</v>
      </c>
      <c r="AG987" s="363">
        <v>0</v>
      </c>
      <c r="AH987" s="635" t="s">
        <v>10496</v>
      </c>
      <c r="AL987" s="487" t="s">
        <v>15378</v>
      </c>
      <c r="AM987" s="477" t="s">
        <v>70</v>
      </c>
      <c r="AN987" s="637">
        <v>100</v>
      </c>
      <c r="AO987" s="478">
        <v>-1525</v>
      </c>
      <c r="AP987" s="463">
        <v>-1525</v>
      </c>
      <c r="AQ987" s="479">
        <v>0</v>
      </c>
      <c r="AR987" s="476" t="s">
        <v>15379</v>
      </c>
      <c r="BA987" s="313" t="s">
        <v>4840</v>
      </c>
    </row>
    <row r="988" spans="2:53" ht="16.5" customHeight="1">
      <c r="B988" s="367" t="s">
        <v>4713</v>
      </c>
      <c r="C988" s="351" t="s">
        <v>4714</v>
      </c>
      <c r="D988" s="353">
        <v>-1525</v>
      </c>
      <c r="E988" s="352" t="s">
        <v>10666</v>
      </c>
      <c r="F988" s="341">
        <v>84.06</v>
      </c>
      <c r="G988" s="355" t="s">
        <v>4878</v>
      </c>
      <c r="H988" s="356" t="s">
        <v>10673</v>
      </c>
      <c r="I988" s="354" t="s">
        <v>237</v>
      </c>
      <c r="J988" s="340" t="s">
        <v>10674</v>
      </c>
      <c r="K988" s="339" t="s">
        <v>70</v>
      </c>
      <c r="L988" s="357">
        <v>7</v>
      </c>
      <c r="M988" s="358" t="s">
        <v>10675</v>
      </c>
      <c r="N988" s="359">
        <v>1000</v>
      </c>
      <c r="O988" s="360" t="s">
        <v>530</v>
      </c>
      <c r="P988" s="343" t="s">
        <v>530</v>
      </c>
      <c r="Q988" s="342" t="s">
        <v>2688</v>
      </c>
      <c r="R988" s="344">
        <v>20</v>
      </c>
      <c r="S988" s="345">
        <v>30</v>
      </c>
      <c r="T988" s="362">
        <v>30</v>
      </c>
      <c r="U988" s="361">
        <v>84.06</v>
      </c>
      <c r="V988" s="346">
        <v>121.30562258507766</v>
      </c>
      <c r="W988" s="348">
        <v>120.23895591841099</v>
      </c>
      <c r="X988" s="347">
        <v>60.96</v>
      </c>
      <c r="Y988" s="357" t="s">
        <v>408</v>
      </c>
      <c r="Z988" s="365" t="s">
        <v>3017</v>
      </c>
      <c r="AA988" s="350">
        <v>196</v>
      </c>
      <c r="AB988" s="349" t="s">
        <v>2685</v>
      </c>
      <c r="AC988" s="350">
        <v>0</v>
      </c>
      <c r="AD988" s="349" t="s">
        <v>2685</v>
      </c>
      <c r="AE988" s="364">
        <v>0</v>
      </c>
      <c r="AF988" s="366">
        <v>10.897</v>
      </c>
      <c r="AG988" s="363">
        <v>0</v>
      </c>
      <c r="AH988" s="635" t="s">
        <v>9931</v>
      </c>
      <c r="AL988" s="487" t="s">
        <v>15380</v>
      </c>
      <c r="AM988" s="477" t="s">
        <v>70</v>
      </c>
      <c r="AN988" s="637">
        <v>100</v>
      </c>
      <c r="AO988" s="478">
        <v>-1525</v>
      </c>
      <c r="AP988" s="463">
        <v>-1525</v>
      </c>
      <c r="AQ988" s="479">
        <v>0</v>
      </c>
      <c r="AR988" s="476" t="s">
        <v>15381</v>
      </c>
      <c r="BA988" s="313" t="s">
        <v>4842</v>
      </c>
    </row>
    <row r="989" spans="2:53" ht="16.5" customHeight="1">
      <c r="B989" s="367" t="s">
        <v>4717</v>
      </c>
      <c r="C989" s="351" t="s">
        <v>4718</v>
      </c>
      <c r="D989" s="353">
        <v>-1526</v>
      </c>
      <c r="E989" s="352" t="s">
        <v>408</v>
      </c>
      <c r="F989" s="341">
        <v>84.05</v>
      </c>
      <c r="G989" s="355" t="s">
        <v>10640</v>
      </c>
      <c r="H989" s="356" t="s">
        <v>10214</v>
      </c>
      <c r="I989" s="354" t="s">
        <v>236</v>
      </c>
      <c r="J989" s="340" t="s">
        <v>8863</v>
      </c>
      <c r="K989" s="339" t="s">
        <v>71</v>
      </c>
      <c r="L989" s="357">
        <v>9</v>
      </c>
      <c r="M989" s="358" t="s">
        <v>10678</v>
      </c>
      <c r="N989" s="359">
        <v>1000</v>
      </c>
      <c r="O989" s="360" t="s">
        <v>532</v>
      </c>
      <c r="P989" s="343" t="s">
        <v>533</v>
      </c>
      <c r="Q989" s="342" t="s">
        <v>2688</v>
      </c>
      <c r="R989" s="344">
        <v>35</v>
      </c>
      <c r="S989" s="345">
        <v>25</v>
      </c>
      <c r="T989" s="362">
        <v>20</v>
      </c>
      <c r="U989" s="361">
        <v>84.05</v>
      </c>
      <c r="V989" s="346">
        <v>121.29856620034236</v>
      </c>
      <c r="W989" s="348">
        <v>120.2318995336757</v>
      </c>
      <c r="X989" s="347">
        <v>61.23</v>
      </c>
      <c r="Y989" s="357">
        <v>61.73</v>
      </c>
      <c r="Z989" s="365" t="s">
        <v>3017</v>
      </c>
      <c r="AA989" s="350">
        <v>194</v>
      </c>
      <c r="AB989" s="349" t="s">
        <v>2685</v>
      </c>
      <c r="AC989" s="350">
        <v>4</v>
      </c>
      <c r="AD989" s="349" t="s">
        <v>2685</v>
      </c>
      <c r="AE989" s="364">
        <v>0</v>
      </c>
      <c r="AF989" s="366">
        <v>0</v>
      </c>
      <c r="AG989" s="363">
        <v>0</v>
      </c>
      <c r="AH989" s="635" t="s">
        <v>408</v>
      </c>
      <c r="AL989" s="487" t="s">
        <v>15382</v>
      </c>
      <c r="AM989" s="477" t="s">
        <v>71</v>
      </c>
      <c r="AN989" s="637">
        <v>100</v>
      </c>
      <c r="AO989" s="478">
        <v>-1526</v>
      </c>
      <c r="AP989" s="463">
        <v>-724</v>
      </c>
      <c r="AQ989" s="479">
        <v>-802</v>
      </c>
      <c r="AR989" s="476" t="s">
        <v>17068</v>
      </c>
      <c r="BA989" s="313" t="s">
        <v>4843</v>
      </c>
    </row>
    <row r="990" spans="2:53" ht="16.5" customHeight="1">
      <c r="B990" s="367" t="s">
        <v>4721</v>
      </c>
      <c r="C990" s="351" t="s">
        <v>4722</v>
      </c>
      <c r="D990" s="353">
        <v>-1526</v>
      </c>
      <c r="E990" s="352" t="s">
        <v>408</v>
      </c>
      <c r="F990" s="341">
        <v>84.04</v>
      </c>
      <c r="G990" s="355" t="s">
        <v>10681</v>
      </c>
      <c r="H990" s="356" t="s">
        <v>4455</v>
      </c>
      <c r="I990" s="354" t="s">
        <v>238</v>
      </c>
      <c r="J990" s="340" t="s">
        <v>8835</v>
      </c>
      <c r="K990" s="339" t="s">
        <v>70</v>
      </c>
      <c r="L990" s="357">
        <v>55</v>
      </c>
      <c r="M990" s="358" t="s">
        <v>10682</v>
      </c>
      <c r="N990" s="359">
        <v>1000</v>
      </c>
      <c r="O990" s="360" t="s">
        <v>532</v>
      </c>
      <c r="P990" s="343" t="s">
        <v>533</v>
      </c>
      <c r="Q990" s="342" t="s">
        <v>2688</v>
      </c>
      <c r="R990" s="344">
        <v>25</v>
      </c>
      <c r="S990" s="345">
        <v>35</v>
      </c>
      <c r="T990" s="362">
        <v>30</v>
      </c>
      <c r="U990" s="361">
        <v>84.04</v>
      </c>
      <c r="V990" s="346">
        <v>121.29265850562491</v>
      </c>
      <c r="W990" s="348">
        <v>120.22599183895825</v>
      </c>
      <c r="X990" s="347">
        <v>60.95</v>
      </c>
      <c r="Y990" s="357">
        <v>61.73</v>
      </c>
      <c r="Z990" s="365" t="s">
        <v>3017</v>
      </c>
      <c r="AA990" s="350">
        <v>98</v>
      </c>
      <c r="AB990" s="349" t="s">
        <v>2685</v>
      </c>
      <c r="AC990" s="350">
        <v>0</v>
      </c>
      <c r="AD990" s="349" t="s">
        <v>2685</v>
      </c>
      <c r="AE990" s="364">
        <v>0</v>
      </c>
      <c r="AF990" s="366">
        <v>16.954000000000001</v>
      </c>
      <c r="AG990" s="363">
        <v>0</v>
      </c>
      <c r="AH990" s="635" t="s">
        <v>7882</v>
      </c>
      <c r="AL990" s="487" t="s">
        <v>15384</v>
      </c>
      <c r="AM990" s="477" t="s">
        <v>70</v>
      </c>
      <c r="AN990" s="637">
        <v>100</v>
      </c>
      <c r="AO990" s="478">
        <v>-1526</v>
      </c>
      <c r="AP990" s="463">
        <v>-1526</v>
      </c>
      <c r="AQ990" s="479">
        <v>0</v>
      </c>
      <c r="AR990" s="476" t="s">
        <v>15385</v>
      </c>
      <c r="BA990" s="313" t="s">
        <v>4845</v>
      </c>
    </row>
    <row r="991" spans="2:53" ht="16.5" customHeight="1">
      <c r="B991" s="367" t="s">
        <v>4721</v>
      </c>
      <c r="C991" s="351" t="s">
        <v>4722</v>
      </c>
      <c r="D991" s="353">
        <v>-1527</v>
      </c>
      <c r="E991" s="352" t="s">
        <v>4870</v>
      </c>
      <c r="F991" s="341">
        <v>84.04</v>
      </c>
      <c r="G991" s="355" t="s">
        <v>10991</v>
      </c>
      <c r="H991" s="356" t="s">
        <v>18733</v>
      </c>
      <c r="I991" s="354" t="s">
        <v>9189</v>
      </c>
      <c r="J991" s="340" t="s">
        <v>10633</v>
      </c>
      <c r="K991" s="339" t="s">
        <v>70</v>
      </c>
      <c r="L991" s="357">
        <v>29</v>
      </c>
      <c r="M991" s="358" t="s">
        <v>10634</v>
      </c>
      <c r="N991" s="359">
        <v>1000</v>
      </c>
      <c r="O991" s="360" t="s">
        <v>532</v>
      </c>
      <c r="P991" s="343" t="s">
        <v>532</v>
      </c>
      <c r="Q991" s="342" t="s">
        <v>2688</v>
      </c>
      <c r="R991" s="344">
        <v>20</v>
      </c>
      <c r="S991" s="345">
        <v>35</v>
      </c>
      <c r="T991" s="362">
        <v>25</v>
      </c>
      <c r="U991" s="361">
        <v>84.04</v>
      </c>
      <c r="V991" s="346">
        <v>121.29633798483374</v>
      </c>
      <c r="W991" s="348">
        <v>120.22967131816708</v>
      </c>
      <c r="X991" s="347" t="s">
        <v>18734</v>
      </c>
      <c r="Y991" s="357" t="s">
        <v>408</v>
      </c>
      <c r="Z991" s="365" t="s">
        <v>3017</v>
      </c>
      <c r="AA991" s="350">
        <v>195.56</v>
      </c>
      <c r="AB991" s="349" t="s">
        <v>2685</v>
      </c>
      <c r="AC991" s="350">
        <v>0</v>
      </c>
      <c r="AD991" s="349" t="s">
        <v>2685</v>
      </c>
      <c r="AE991" s="364">
        <v>0</v>
      </c>
      <c r="AF991" s="366">
        <v>15.461</v>
      </c>
      <c r="AG991" s="363">
        <v>0</v>
      </c>
      <c r="AH991" s="635" t="s">
        <v>9517</v>
      </c>
      <c r="AL991" s="487" t="s">
        <v>15362</v>
      </c>
      <c r="AM991" s="477" t="s">
        <v>70</v>
      </c>
      <c r="AN991" s="637">
        <v>100</v>
      </c>
      <c r="AO991" s="478">
        <v>-1527</v>
      </c>
      <c r="AP991" s="463">
        <v>-1527</v>
      </c>
      <c r="AQ991" s="479">
        <v>0</v>
      </c>
      <c r="AR991" s="476" t="s">
        <v>17244</v>
      </c>
      <c r="BA991" s="313" t="s">
        <v>4849</v>
      </c>
    </row>
    <row r="992" spans="2:53" ht="16.5" customHeight="1">
      <c r="B992" s="367" t="s">
        <v>18216</v>
      </c>
      <c r="C992" s="351" t="s">
        <v>18217</v>
      </c>
      <c r="D992" s="353">
        <v>-1527</v>
      </c>
      <c r="E992" s="352" t="s">
        <v>10276</v>
      </c>
      <c r="F992" s="341">
        <v>84.03</v>
      </c>
      <c r="G992" s="355" t="s">
        <v>11000</v>
      </c>
      <c r="H992" s="356" t="s">
        <v>18653</v>
      </c>
      <c r="I992" s="354" t="s">
        <v>9189</v>
      </c>
      <c r="J992" s="340" t="s">
        <v>10636</v>
      </c>
      <c r="K992" s="339" t="s">
        <v>70</v>
      </c>
      <c r="L992" s="357">
        <v>17</v>
      </c>
      <c r="M992" s="358" t="s">
        <v>10637</v>
      </c>
      <c r="N992" s="359">
        <v>1000</v>
      </c>
      <c r="O992" s="360" t="s">
        <v>532</v>
      </c>
      <c r="P992" s="343" t="s">
        <v>532</v>
      </c>
      <c r="Q992" s="342" t="s">
        <v>2688</v>
      </c>
      <c r="R992" s="344">
        <v>20</v>
      </c>
      <c r="S992" s="345">
        <v>35</v>
      </c>
      <c r="T992" s="362">
        <v>25</v>
      </c>
      <c r="U992" s="361">
        <v>84.03</v>
      </c>
      <c r="V992" s="346">
        <v>121.28960413946139</v>
      </c>
      <c r="W992" s="348">
        <v>120.22293747279473</v>
      </c>
      <c r="X992" s="347" t="s">
        <v>18734</v>
      </c>
      <c r="Y992" s="357" t="s">
        <v>408</v>
      </c>
      <c r="Z992" s="365" t="s">
        <v>3017</v>
      </c>
      <c r="AA992" s="350">
        <v>195.56</v>
      </c>
      <c r="AB992" s="349" t="s">
        <v>2685</v>
      </c>
      <c r="AC992" s="350">
        <v>0</v>
      </c>
      <c r="AD992" s="349" t="s">
        <v>2685</v>
      </c>
      <c r="AE992" s="364">
        <v>0</v>
      </c>
      <c r="AF992" s="366">
        <v>15.461</v>
      </c>
      <c r="AG992" s="363">
        <v>0</v>
      </c>
      <c r="AH992" s="635" t="s">
        <v>9517</v>
      </c>
      <c r="AL992" s="487" t="s">
        <v>15366</v>
      </c>
      <c r="AM992" s="477" t="s">
        <v>70</v>
      </c>
      <c r="AN992" s="637">
        <v>100</v>
      </c>
      <c r="AO992" s="478">
        <v>-1527</v>
      </c>
      <c r="AP992" s="463">
        <v>-1527</v>
      </c>
      <c r="AQ992" s="479">
        <v>0</v>
      </c>
      <c r="AR992" s="476" t="s">
        <v>17245</v>
      </c>
      <c r="BA992" s="313" t="s">
        <v>4851</v>
      </c>
    </row>
    <row r="993" spans="2:53" ht="16.5" customHeight="1">
      <c r="B993" s="367" t="s">
        <v>10683</v>
      </c>
      <c r="C993" s="351" t="s">
        <v>10684</v>
      </c>
      <c r="D993" s="353">
        <v>-1528</v>
      </c>
      <c r="E993" s="352" t="s">
        <v>10677</v>
      </c>
      <c r="F993" s="341">
        <v>84.01</v>
      </c>
      <c r="G993" s="355" t="s">
        <v>10855</v>
      </c>
      <c r="H993" s="356" t="s">
        <v>4500</v>
      </c>
      <c r="I993" s="354" t="s">
        <v>302</v>
      </c>
      <c r="J993" s="340" t="s">
        <v>10685</v>
      </c>
      <c r="K993" s="339" t="s">
        <v>71</v>
      </c>
      <c r="L993" s="357">
        <v>16</v>
      </c>
      <c r="M993" s="358" t="s">
        <v>10686</v>
      </c>
      <c r="N993" s="359">
        <v>600</v>
      </c>
      <c r="O993" s="360" t="s">
        <v>530</v>
      </c>
      <c r="P993" s="343" t="s">
        <v>531</v>
      </c>
      <c r="Q993" s="342" t="s">
        <v>2688</v>
      </c>
      <c r="R993" s="344">
        <v>37</v>
      </c>
      <c r="S993" s="345">
        <v>43</v>
      </c>
      <c r="T993" s="362">
        <v>20</v>
      </c>
      <c r="U993" s="361">
        <v>84.01</v>
      </c>
      <c r="V993" s="346">
        <v>121.27244167244167</v>
      </c>
      <c r="W993" s="348">
        <v>120.20577500577501</v>
      </c>
      <c r="X993" s="347">
        <v>61.22</v>
      </c>
      <c r="Y993" s="357">
        <v>65.210000000000008</v>
      </c>
      <c r="Z993" s="365" t="s">
        <v>2689</v>
      </c>
      <c r="AA993" s="350">
        <v>100</v>
      </c>
      <c r="AB993" s="349" t="s">
        <v>2685</v>
      </c>
      <c r="AC993" s="350">
        <v>10</v>
      </c>
      <c r="AD993" s="349" t="s">
        <v>2685</v>
      </c>
      <c r="AE993" s="364">
        <v>0</v>
      </c>
      <c r="AF993" s="366">
        <v>0</v>
      </c>
      <c r="AG993" s="363">
        <v>0</v>
      </c>
      <c r="AH993" s="635" t="s">
        <v>408</v>
      </c>
      <c r="AL993" s="487" t="s">
        <v>15386</v>
      </c>
      <c r="AM993" s="477" t="s">
        <v>71</v>
      </c>
      <c r="AN993" s="637">
        <v>100</v>
      </c>
      <c r="AO993" s="478">
        <v>-1528</v>
      </c>
      <c r="AP993" s="463">
        <v>-725</v>
      </c>
      <c r="AQ993" s="479">
        <v>-803</v>
      </c>
      <c r="AR993" s="476" t="s">
        <v>17069</v>
      </c>
      <c r="BA993" s="313" t="s">
        <v>4853</v>
      </c>
    </row>
    <row r="994" spans="2:53" ht="16.5" customHeight="1">
      <c r="B994" s="367" t="s">
        <v>4673</v>
      </c>
      <c r="C994" s="351" t="s">
        <v>4674</v>
      </c>
      <c r="D994" s="353">
        <v>-1528</v>
      </c>
      <c r="E994" s="352" t="s">
        <v>10677</v>
      </c>
      <c r="F994" s="341">
        <v>83.98</v>
      </c>
      <c r="G994" s="355" t="s">
        <v>18735</v>
      </c>
      <c r="H994" s="356" t="s">
        <v>10757</v>
      </c>
      <c r="I994" s="354" t="s">
        <v>215</v>
      </c>
      <c r="J994" s="340" t="s">
        <v>8190</v>
      </c>
      <c r="K994" s="339" t="s">
        <v>71</v>
      </c>
      <c r="L994" s="357">
        <v>12</v>
      </c>
      <c r="M994" s="358" t="s">
        <v>10691</v>
      </c>
      <c r="N994" s="359">
        <v>1000</v>
      </c>
      <c r="O994" s="360" t="s">
        <v>530</v>
      </c>
      <c r="P994" s="343" t="s">
        <v>531</v>
      </c>
      <c r="Q994" s="342" t="s">
        <v>2688</v>
      </c>
      <c r="R994" s="344">
        <v>38</v>
      </c>
      <c r="S994" s="345">
        <v>25</v>
      </c>
      <c r="T994" s="362">
        <v>25</v>
      </c>
      <c r="U994" s="361">
        <v>83.98</v>
      </c>
      <c r="V994" s="346">
        <v>121.25214152700185</v>
      </c>
      <c r="W994" s="348">
        <v>120.18547486033519</v>
      </c>
      <c r="X994" s="347">
        <v>61.21</v>
      </c>
      <c r="Y994" s="357">
        <v>61.8</v>
      </c>
      <c r="Z994" s="365" t="s">
        <v>3017</v>
      </c>
      <c r="AA994" s="350">
        <v>121.25</v>
      </c>
      <c r="AB994" s="349" t="s">
        <v>2685</v>
      </c>
      <c r="AC994" s="350">
        <v>10</v>
      </c>
      <c r="AD994" s="349" t="s">
        <v>2685</v>
      </c>
      <c r="AE994" s="364">
        <v>0</v>
      </c>
      <c r="AF994" s="366">
        <v>0</v>
      </c>
      <c r="AG994" s="363">
        <v>0</v>
      </c>
      <c r="AH994" s="635" t="s">
        <v>8002</v>
      </c>
      <c r="AL994" s="487" t="s">
        <v>15387</v>
      </c>
      <c r="AM994" s="477" t="s">
        <v>71</v>
      </c>
      <c r="AN994" s="637">
        <v>100</v>
      </c>
      <c r="AO994" s="478">
        <v>-1528</v>
      </c>
      <c r="AP994" s="463">
        <v>-725</v>
      </c>
      <c r="AQ994" s="479">
        <v>-803</v>
      </c>
      <c r="AR994" s="476" t="s">
        <v>17070</v>
      </c>
      <c r="BA994" s="313" t="s">
        <v>4857</v>
      </c>
    </row>
    <row r="995" spans="2:53" ht="16.5" customHeight="1">
      <c r="B995" s="367" t="s">
        <v>18218</v>
      </c>
      <c r="C995" s="351" t="s">
        <v>18219</v>
      </c>
      <c r="D995" s="353">
        <v>-1529</v>
      </c>
      <c r="E995" s="352" t="s">
        <v>408</v>
      </c>
      <c r="F995" s="341">
        <v>83.95</v>
      </c>
      <c r="G995" s="355" t="s">
        <v>18736</v>
      </c>
      <c r="H995" s="356" t="s">
        <v>10252</v>
      </c>
      <c r="I995" s="354" t="s">
        <v>237</v>
      </c>
      <c r="J995" s="340" t="s">
        <v>10679</v>
      </c>
      <c r="K995" s="339" t="s">
        <v>71</v>
      </c>
      <c r="L995" s="357">
        <v>4</v>
      </c>
      <c r="M995" s="358" t="s">
        <v>4874</v>
      </c>
      <c r="N995" s="359">
        <v>1000</v>
      </c>
      <c r="O995" s="360" t="s">
        <v>530</v>
      </c>
      <c r="P995" s="343" t="s">
        <v>530</v>
      </c>
      <c r="Q995" s="342" t="s">
        <v>2688</v>
      </c>
      <c r="R995" s="344">
        <v>30</v>
      </c>
      <c r="S995" s="345">
        <v>30</v>
      </c>
      <c r="T995" s="362">
        <v>20</v>
      </c>
      <c r="U995" s="361">
        <v>83.95</v>
      </c>
      <c r="V995" s="346">
        <v>121.23400300424352</v>
      </c>
      <c r="W995" s="348">
        <v>120.16733633757686</v>
      </c>
      <c r="X995" s="347">
        <v>61.2</v>
      </c>
      <c r="Y995" s="357" t="s">
        <v>408</v>
      </c>
      <c r="Z995" s="365" t="s">
        <v>3017</v>
      </c>
      <c r="AA995" s="350">
        <v>196</v>
      </c>
      <c r="AB995" s="349" t="s">
        <v>2685</v>
      </c>
      <c r="AC995" s="350">
        <v>0</v>
      </c>
      <c r="AD995" s="349" t="s">
        <v>2685</v>
      </c>
      <c r="AE995" s="364">
        <v>0</v>
      </c>
      <c r="AF995" s="366">
        <v>0</v>
      </c>
      <c r="AG995" s="363">
        <v>0</v>
      </c>
      <c r="AH995" s="635" t="s">
        <v>408</v>
      </c>
      <c r="AL995" s="487" t="s">
        <v>15388</v>
      </c>
      <c r="AM995" s="477" t="s">
        <v>71</v>
      </c>
      <c r="AN995" s="637">
        <v>100</v>
      </c>
      <c r="AO995" s="478">
        <v>-1529</v>
      </c>
      <c r="AP995" s="463">
        <v>-725</v>
      </c>
      <c r="AQ995" s="479">
        <v>-804</v>
      </c>
      <c r="AR995" s="476" t="s">
        <v>17071</v>
      </c>
      <c r="BA995" s="313" t="s">
        <v>4861</v>
      </c>
    </row>
    <row r="996" spans="2:53" ht="16.5" customHeight="1">
      <c r="B996" s="367" t="s">
        <v>18218</v>
      </c>
      <c r="C996" s="351" t="s">
        <v>18219</v>
      </c>
      <c r="D996" s="353">
        <v>-1529</v>
      </c>
      <c r="E996" s="352" t="s">
        <v>4785</v>
      </c>
      <c r="F996" s="341">
        <v>83.95</v>
      </c>
      <c r="G996" s="355" t="s">
        <v>18736</v>
      </c>
      <c r="H996" s="356" t="s">
        <v>10252</v>
      </c>
      <c r="I996" s="354" t="s">
        <v>237</v>
      </c>
      <c r="J996" s="340" t="s">
        <v>10680</v>
      </c>
      <c r="K996" s="339" t="s">
        <v>71</v>
      </c>
      <c r="L996" s="357">
        <v>5</v>
      </c>
      <c r="M996" s="358" t="s">
        <v>4874</v>
      </c>
      <c r="N996" s="359">
        <v>1000</v>
      </c>
      <c r="O996" s="360" t="s">
        <v>530</v>
      </c>
      <c r="P996" s="343" t="s">
        <v>530</v>
      </c>
      <c r="Q996" s="342" t="s">
        <v>2688</v>
      </c>
      <c r="R996" s="344">
        <v>30</v>
      </c>
      <c r="S996" s="345">
        <v>30</v>
      </c>
      <c r="T996" s="362">
        <v>20</v>
      </c>
      <c r="U996" s="361">
        <v>83.95</v>
      </c>
      <c r="V996" s="346">
        <v>121.23400300424352</v>
      </c>
      <c r="W996" s="348">
        <v>120.16733633757686</v>
      </c>
      <c r="X996" s="347">
        <v>61.2</v>
      </c>
      <c r="Y996" s="357" t="s">
        <v>408</v>
      </c>
      <c r="Z996" s="365" t="s">
        <v>3017</v>
      </c>
      <c r="AA996" s="350">
        <v>196</v>
      </c>
      <c r="AB996" s="349" t="s">
        <v>2685</v>
      </c>
      <c r="AC996" s="350">
        <v>0</v>
      </c>
      <c r="AD996" s="349" t="s">
        <v>2685</v>
      </c>
      <c r="AE996" s="364">
        <v>0</v>
      </c>
      <c r="AF996" s="366">
        <v>0</v>
      </c>
      <c r="AG996" s="363">
        <v>0</v>
      </c>
      <c r="AH996" s="635" t="s">
        <v>408</v>
      </c>
      <c r="AL996" s="487" t="s">
        <v>15389</v>
      </c>
      <c r="AM996" s="477" t="s">
        <v>71</v>
      </c>
      <c r="AN996" s="637">
        <v>100</v>
      </c>
      <c r="AO996" s="478">
        <v>-1529</v>
      </c>
      <c r="AP996" s="463">
        <v>-725</v>
      </c>
      <c r="AQ996" s="479">
        <v>-804</v>
      </c>
      <c r="AR996" s="476" t="s">
        <v>17071</v>
      </c>
      <c r="BA996" s="313" t="s">
        <v>4862</v>
      </c>
    </row>
    <row r="997" spans="2:53" ht="16.5" customHeight="1">
      <c r="B997" s="367" t="s">
        <v>18220</v>
      </c>
      <c r="C997" s="351" t="s">
        <v>18221</v>
      </c>
      <c r="D997" s="353">
        <v>-1530</v>
      </c>
      <c r="E997" s="352" t="s">
        <v>10663</v>
      </c>
      <c r="F997" s="341">
        <v>83.93</v>
      </c>
      <c r="G997" s="355" t="s">
        <v>18737</v>
      </c>
      <c r="H997" s="356" t="s">
        <v>10234</v>
      </c>
      <c r="I997" s="354" t="s">
        <v>209</v>
      </c>
      <c r="J997" s="340" t="s">
        <v>7365</v>
      </c>
      <c r="K997" s="339" t="s">
        <v>71</v>
      </c>
      <c r="L997" s="357">
        <v>5</v>
      </c>
      <c r="M997" s="358" t="s">
        <v>10676</v>
      </c>
      <c r="N997" s="359">
        <v>1000</v>
      </c>
      <c r="O997" s="360" t="s">
        <v>530</v>
      </c>
      <c r="P997" s="343" t="s">
        <v>530</v>
      </c>
      <c r="Q997" s="342" t="s">
        <v>2688</v>
      </c>
      <c r="R997" s="344">
        <v>30</v>
      </c>
      <c r="S997" s="345">
        <v>25</v>
      </c>
      <c r="T997" s="362">
        <v>25</v>
      </c>
      <c r="U997" s="361">
        <v>83.93</v>
      </c>
      <c r="V997" s="346">
        <v>121.21966851622427</v>
      </c>
      <c r="W997" s="348">
        <v>120.15300184955761</v>
      </c>
      <c r="X997" s="347">
        <v>61.19</v>
      </c>
      <c r="Y997" s="357" t="s">
        <v>408</v>
      </c>
      <c r="Z997" s="365" t="s">
        <v>3017</v>
      </c>
      <c r="AA997" s="350">
        <v>198</v>
      </c>
      <c r="AB997" s="349" t="s">
        <v>2685</v>
      </c>
      <c r="AC997" s="350">
        <v>10</v>
      </c>
      <c r="AD997" s="349" t="s">
        <v>2685</v>
      </c>
      <c r="AE997" s="364">
        <v>0</v>
      </c>
      <c r="AF997" s="366">
        <v>0</v>
      </c>
      <c r="AG997" s="363">
        <v>0</v>
      </c>
      <c r="AH997" s="635" t="s">
        <v>408</v>
      </c>
      <c r="AL997" s="487" t="s">
        <v>15390</v>
      </c>
      <c r="AM997" s="477" t="s">
        <v>71</v>
      </c>
      <c r="AN997" s="637">
        <v>100</v>
      </c>
      <c r="AO997" s="478">
        <v>-1530</v>
      </c>
      <c r="AP997" s="463">
        <v>-725</v>
      </c>
      <c r="AQ997" s="479">
        <v>-805</v>
      </c>
      <c r="AR997" s="476" t="s">
        <v>17072</v>
      </c>
      <c r="BA997" s="313" t="s">
        <v>4863</v>
      </c>
    </row>
    <row r="998" spans="2:53" ht="16.5" customHeight="1">
      <c r="B998" s="367" t="s">
        <v>4679</v>
      </c>
      <c r="C998" s="351" t="s">
        <v>4680</v>
      </c>
      <c r="D998" s="353">
        <v>-1530</v>
      </c>
      <c r="E998" s="352" t="s">
        <v>10689</v>
      </c>
      <c r="F998" s="341">
        <v>83.89</v>
      </c>
      <c r="G998" s="355" t="s">
        <v>18738</v>
      </c>
      <c r="H998" s="356" t="s">
        <v>4509</v>
      </c>
      <c r="I998" s="354" t="s">
        <v>216</v>
      </c>
      <c r="J998" s="340" t="s">
        <v>8214</v>
      </c>
      <c r="K998" s="339" t="s">
        <v>71</v>
      </c>
      <c r="L998" s="357">
        <v>3</v>
      </c>
      <c r="M998" s="358" t="s">
        <v>10688</v>
      </c>
      <c r="N998" s="359">
        <v>300</v>
      </c>
      <c r="O998" s="360" t="s">
        <v>530</v>
      </c>
      <c r="P998" s="343" t="s">
        <v>530</v>
      </c>
      <c r="Q998" s="342" t="s">
        <v>2688</v>
      </c>
      <c r="R998" s="344">
        <v>45</v>
      </c>
      <c r="S998" s="345">
        <v>25</v>
      </c>
      <c r="T998" s="362">
        <v>30</v>
      </c>
      <c r="U998" s="361">
        <v>83.89</v>
      </c>
      <c r="V998" s="346">
        <v>121.19103790731342</v>
      </c>
      <c r="W998" s="348">
        <v>120.12437124064674</v>
      </c>
      <c r="X998" s="347">
        <v>61.18</v>
      </c>
      <c r="Y998" s="357" t="s">
        <v>408</v>
      </c>
      <c r="Z998" s="365" t="s">
        <v>3017</v>
      </c>
      <c r="AA998" s="350">
        <v>-2</v>
      </c>
      <c r="AB998" s="349" t="s">
        <v>2685</v>
      </c>
      <c r="AC998" s="350">
        <v>0</v>
      </c>
      <c r="AD998" s="349" t="s">
        <v>2685</v>
      </c>
      <c r="AE998" s="364">
        <v>0</v>
      </c>
      <c r="AF998" s="366">
        <v>0</v>
      </c>
      <c r="AG998" s="363">
        <v>0</v>
      </c>
      <c r="AH998" s="635" t="s">
        <v>408</v>
      </c>
      <c r="AL998" s="487" t="s">
        <v>15391</v>
      </c>
      <c r="AM998" s="477" t="s">
        <v>71</v>
      </c>
      <c r="AN998" s="637">
        <v>100</v>
      </c>
      <c r="AO998" s="478">
        <v>-1530</v>
      </c>
      <c r="AP998" s="463">
        <v>-725</v>
      </c>
      <c r="AQ998" s="479">
        <v>-805</v>
      </c>
      <c r="AR998" s="476" t="s">
        <v>17073</v>
      </c>
      <c r="BA998" s="313" t="s">
        <v>4864</v>
      </c>
    </row>
    <row r="999" spans="2:53" ht="16.5" customHeight="1">
      <c r="B999" s="367" t="s">
        <v>4708</v>
      </c>
      <c r="C999" s="351" t="s">
        <v>4709</v>
      </c>
      <c r="D999" s="353">
        <v>-1531</v>
      </c>
      <c r="E999" s="352" t="s">
        <v>10692</v>
      </c>
      <c r="F999" s="341">
        <v>83.87</v>
      </c>
      <c r="G999" s="355" t="s">
        <v>10663</v>
      </c>
      <c r="H999" s="356" t="s">
        <v>18739</v>
      </c>
      <c r="I999" s="354" t="s">
        <v>221</v>
      </c>
      <c r="J999" s="340" t="s">
        <v>10696</v>
      </c>
      <c r="K999" s="339" t="s">
        <v>71</v>
      </c>
      <c r="L999" s="357">
        <v>12</v>
      </c>
      <c r="M999" s="358" t="s">
        <v>10697</v>
      </c>
      <c r="N999" s="359">
        <v>1000</v>
      </c>
      <c r="O999" s="360" t="s">
        <v>532</v>
      </c>
      <c r="P999" s="343" t="s">
        <v>533</v>
      </c>
      <c r="Q999" s="342" t="s">
        <v>2688</v>
      </c>
      <c r="R999" s="344">
        <v>25</v>
      </c>
      <c r="S999" s="345">
        <v>40</v>
      </c>
      <c r="T999" s="362">
        <v>20</v>
      </c>
      <c r="U999" s="361">
        <v>83.87</v>
      </c>
      <c r="V999" s="346">
        <v>121.18315930858054</v>
      </c>
      <c r="W999" s="348">
        <v>120.11649264191388</v>
      </c>
      <c r="X999" s="347">
        <v>61.17</v>
      </c>
      <c r="Y999" s="357">
        <v>61.76</v>
      </c>
      <c r="Z999" s="365" t="s">
        <v>3017</v>
      </c>
      <c r="AA999" s="350">
        <v>144</v>
      </c>
      <c r="AB999" s="349" t="s">
        <v>2685</v>
      </c>
      <c r="AC999" s="350">
        <v>0</v>
      </c>
      <c r="AD999" s="349" t="s">
        <v>2685</v>
      </c>
      <c r="AE999" s="364">
        <v>0</v>
      </c>
      <c r="AF999" s="366">
        <v>0</v>
      </c>
      <c r="AG999" s="363">
        <v>0</v>
      </c>
      <c r="AH999" s="635" t="s">
        <v>408</v>
      </c>
      <c r="AL999" s="487" t="s">
        <v>15392</v>
      </c>
      <c r="AM999" s="477" t="s">
        <v>71</v>
      </c>
      <c r="AN999" s="637">
        <v>100</v>
      </c>
      <c r="AO999" s="478">
        <v>-1531</v>
      </c>
      <c r="AP999" s="463">
        <v>-726</v>
      </c>
      <c r="AQ999" s="479">
        <v>-805</v>
      </c>
      <c r="AR999" s="476" t="s">
        <v>17074</v>
      </c>
      <c r="BA999" s="313" t="s">
        <v>4867</v>
      </c>
    </row>
    <row r="1000" spans="2:53" ht="16.5" customHeight="1">
      <c r="B1000" s="367" t="s">
        <v>4747</v>
      </c>
      <c r="C1000" s="351" t="s">
        <v>4748</v>
      </c>
      <c r="D1000" s="353">
        <v>-1531</v>
      </c>
      <c r="E1000" s="352" t="s">
        <v>10694</v>
      </c>
      <c r="F1000" s="341">
        <v>83.86</v>
      </c>
      <c r="G1000" s="355" t="s">
        <v>10698</v>
      </c>
      <c r="H1000" s="356" t="s">
        <v>10699</v>
      </c>
      <c r="I1000" s="354" t="s">
        <v>209</v>
      </c>
      <c r="J1000" s="340" t="s">
        <v>10700</v>
      </c>
      <c r="K1000" s="339" t="s">
        <v>70</v>
      </c>
      <c r="L1000" s="357">
        <v>20</v>
      </c>
      <c r="M1000" s="358" t="s">
        <v>4922</v>
      </c>
      <c r="N1000" s="359">
        <v>1000</v>
      </c>
      <c r="O1000" s="360" t="s">
        <v>530</v>
      </c>
      <c r="P1000" s="343" t="s">
        <v>530</v>
      </c>
      <c r="Q1000" s="342" t="s">
        <v>2688</v>
      </c>
      <c r="R1000" s="344">
        <v>20</v>
      </c>
      <c r="S1000" s="345">
        <v>30</v>
      </c>
      <c r="T1000" s="362">
        <v>30</v>
      </c>
      <c r="U1000" s="361">
        <v>83.86</v>
      </c>
      <c r="V1000" s="346">
        <v>121.17174174855185</v>
      </c>
      <c r="W1000" s="348">
        <v>120.10507508188519</v>
      </c>
      <c r="X1000" s="347">
        <v>60.89</v>
      </c>
      <c r="Y1000" s="357" t="s">
        <v>408</v>
      </c>
      <c r="Z1000" s="365" t="s">
        <v>3017</v>
      </c>
      <c r="AA1000" s="350">
        <v>198</v>
      </c>
      <c r="AB1000" s="349" t="s">
        <v>2685</v>
      </c>
      <c r="AC1000" s="350">
        <v>10</v>
      </c>
      <c r="AD1000" s="349" t="s">
        <v>2685</v>
      </c>
      <c r="AE1000" s="364">
        <v>0</v>
      </c>
      <c r="AF1000" s="366">
        <v>0</v>
      </c>
      <c r="AG1000" s="363">
        <v>0</v>
      </c>
      <c r="AH1000" s="635" t="s">
        <v>408</v>
      </c>
      <c r="AL1000" s="487" t="s">
        <v>15393</v>
      </c>
      <c r="AM1000" s="477" t="s">
        <v>70</v>
      </c>
      <c r="AN1000" s="637">
        <v>100</v>
      </c>
      <c r="AO1000" s="478">
        <v>-1531</v>
      </c>
      <c r="AP1000" s="463">
        <v>-1531</v>
      </c>
      <c r="AQ1000" s="479">
        <v>0</v>
      </c>
      <c r="AR1000" s="476" t="s">
        <v>15394</v>
      </c>
      <c r="BA1000" s="313" t="s">
        <v>4871</v>
      </c>
    </row>
    <row r="1001" spans="2:53" ht="16.5" customHeight="1">
      <c r="B1001" s="367" t="s">
        <v>4747</v>
      </c>
      <c r="C1001" s="351" t="s">
        <v>4748</v>
      </c>
      <c r="D1001" s="353">
        <v>-1532</v>
      </c>
      <c r="E1001" s="352" t="s">
        <v>408</v>
      </c>
      <c r="F1001" s="341">
        <v>83.86</v>
      </c>
      <c r="G1001" s="355" t="s">
        <v>10701</v>
      </c>
      <c r="H1001" s="356" t="s">
        <v>4493</v>
      </c>
      <c r="I1001" s="354" t="s">
        <v>238</v>
      </c>
      <c r="J1001" s="340" t="s">
        <v>10702</v>
      </c>
      <c r="K1001" s="339" t="s">
        <v>70</v>
      </c>
      <c r="L1001" s="357">
        <v>13</v>
      </c>
      <c r="M1001" s="358" t="s">
        <v>10703</v>
      </c>
      <c r="N1001" s="359">
        <v>1000</v>
      </c>
      <c r="O1001" s="360" t="s">
        <v>532</v>
      </c>
      <c r="P1001" s="343" t="s">
        <v>533</v>
      </c>
      <c r="Q1001" s="342" t="s">
        <v>2688</v>
      </c>
      <c r="R1001" s="344">
        <v>25</v>
      </c>
      <c r="S1001" s="345">
        <v>35</v>
      </c>
      <c r="T1001" s="362">
        <v>30</v>
      </c>
      <c r="U1001" s="361">
        <v>83.86</v>
      </c>
      <c r="V1001" s="346">
        <v>121.17491200130296</v>
      </c>
      <c r="W1001" s="348">
        <v>120.10824533463629</v>
      </c>
      <c r="X1001" s="347">
        <v>60.89</v>
      </c>
      <c r="Y1001" s="357">
        <v>61.66</v>
      </c>
      <c r="Z1001" s="365" t="s">
        <v>3017</v>
      </c>
      <c r="AA1001" s="350">
        <v>98</v>
      </c>
      <c r="AB1001" s="349" t="s">
        <v>2685</v>
      </c>
      <c r="AC1001" s="350">
        <v>0</v>
      </c>
      <c r="AD1001" s="349" t="s">
        <v>2685</v>
      </c>
      <c r="AE1001" s="364">
        <v>0</v>
      </c>
      <c r="AF1001" s="366">
        <v>16.936</v>
      </c>
      <c r="AG1001" s="363">
        <v>0</v>
      </c>
      <c r="AH1001" s="635" t="s">
        <v>7882</v>
      </c>
      <c r="AL1001" s="487" t="s">
        <v>15395</v>
      </c>
      <c r="AM1001" s="477" t="s">
        <v>70</v>
      </c>
      <c r="AN1001" s="637">
        <v>100</v>
      </c>
      <c r="AO1001" s="478">
        <v>-1532</v>
      </c>
      <c r="AP1001" s="463">
        <v>-1532</v>
      </c>
      <c r="AQ1001" s="479">
        <v>0</v>
      </c>
      <c r="AR1001" s="476" t="s">
        <v>17246</v>
      </c>
      <c r="BA1001" s="313" t="s">
        <v>4873</v>
      </c>
    </row>
    <row r="1002" spans="2:53" ht="16.5" customHeight="1">
      <c r="B1002" s="367" t="s">
        <v>4688</v>
      </c>
      <c r="C1002" s="351" t="s">
        <v>4689</v>
      </c>
      <c r="D1002" s="353">
        <v>-1532</v>
      </c>
      <c r="E1002" s="352" t="s">
        <v>408</v>
      </c>
      <c r="F1002" s="341">
        <v>83.84</v>
      </c>
      <c r="G1002" s="355" t="s">
        <v>10975</v>
      </c>
      <c r="H1002" s="356" t="s">
        <v>10277</v>
      </c>
      <c r="I1002" s="354" t="s">
        <v>209</v>
      </c>
      <c r="J1002" s="340" t="s">
        <v>8216</v>
      </c>
      <c r="K1002" s="339" t="s">
        <v>71</v>
      </c>
      <c r="L1002" s="357">
        <v>9</v>
      </c>
      <c r="M1002" s="358" t="s">
        <v>10693</v>
      </c>
      <c r="N1002" s="359">
        <v>1000</v>
      </c>
      <c r="O1002" s="360" t="s">
        <v>530</v>
      </c>
      <c r="P1002" s="343" t="s">
        <v>530</v>
      </c>
      <c r="Q1002" s="342" t="s">
        <v>2688</v>
      </c>
      <c r="R1002" s="344">
        <v>30</v>
      </c>
      <c r="S1002" s="345">
        <v>25</v>
      </c>
      <c r="T1002" s="362">
        <v>25</v>
      </c>
      <c r="U1002" s="361">
        <v>83.84</v>
      </c>
      <c r="V1002" s="346">
        <v>121.15752154438411</v>
      </c>
      <c r="W1002" s="348">
        <v>120.09085487771743</v>
      </c>
      <c r="X1002" s="347">
        <v>61.16</v>
      </c>
      <c r="Y1002" s="357" t="s">
        <v>408</v>
      </c>
      <c r="Z1002" s="365" t="s">
        <v>3017</v>
      </c>
      <c r="AA1002" s="350">
        <v>198</v>
      </c>
      <c r="AB1002" s="349" t="s">
        <v>2685</v>
      </c>
      <c r="AC1002" s="350">
        <v>10</v>
      </c>
      <c r="AD1002" s="349" t="s">
        <v>2685</v>
      </c>
      <c r="AE1002" s="364">
        <v>0</v>
      </c>
      <c r="AF1002" s="366">
        <v>0</v>
      </c>
      <c r="AG1002" s="363">
        <v>0</v>
      </c>
      <c r="AH1002" s="635" t="s">
        <v>408</v>
      </c>
      <c r="AL1002" s="487" t="s">
        <v>15396</v>
      </c>
      <c r="AM1002" s="477" t="s">
        <v>71</v>
      </c>
      <c r="AN1002" s="637">
        <v>100</v>
      </c>
      <c r="AO1002" s="478">
        <v>-1532</v>
      </c>
      <c r="AP1002" s="463">
        <v>-726</v>
      </c>
      <c r="AQ1002" s="479">
        <v>-806</v>
      </c>
      <c r="AR1002" s="476" t="s">
        <v>17075</v>
      </c>
      <c r="BA1002" s="313" t="s">
        <v>4875</v>
      </c>
    </row>
    <row r="1003" spans="2:53" ht="16.5" customHeight="1">
      <c r="B1003" s="367" t="s">
        <v>4757</v>
      </c>
      <c r="C1003" s="351" t="s">
        <v>4758</v>
      </c>
      <c r="D1003" s="353">
        <v>-1533</v>
      </c>
      <c r="E1003" s="352" t="s">
        <v>10704</v>
      </c>
      <c r="F1003" s="341">
        <v>83.79</v>
      </c>
      <c r="G1003" s="355" t="s">
        <v>10888</v>
      </c>
      <c r="H1003" s="356" t="s">
        <v>10291</v>
      </c>
      <c r="I1003" s="354" t="s">
        <v>238</v>
      </c>
      <c r="J1003" s="340" t="s">
        <v>8863</v>
      </c>
      <c r="K1003" s="339" t="s">
        <v>71</v>
      </c>
      <c r="L1003" s="357">
        <v>4</v>
      </c>
      <c r="M1003" s="358" t="s">
        <v>10707</v>
      </c>
      <c r="N1003" s="359">
        <v>1000</v>
      </c>
      <c r="O1003" s="360" t="s">
        <v>532</v>
      </c>
      <c r="P1003" s="343" t="s">
        <v>533</v>
      </c>
      <c r="Q1003" s="342" t="s">
        <v>2688</v>
      </c>
      <c r="R1003" s="344">
        <v>35</v>
      </c>
      <c r="S1003" s="345">
        <v>25</v>
      </c>
      <c r="T1003" s="362">
        <v>25</v>
      </c>
      <c r="U1003" s="361">
        <v>83.79</v>
      </c>
      <c r="V1003" s="346">
        <v>121.12612288554163</v>
      </c>
      <c r="W1003" s="348">
        <v>120.05945621887496</v>
      </c>
      <c r="X1003" s="347">
        <v>61.14</v>
      </c>
      <c r="Y1003" s="357">
        <v>61.64</v>
      </c>
      <c r="Z1003" s="365" t="s">
        <v>3017</v>
      </c>
      <c r="AA1003" s="350">
        <v>148</v>
      </c>
      <c r="AB1003" s="349" t="s">
        <v>2685</v>
      </c>
      <c r="AC1003" s="350">
        <v>0</v>
      </c>
      <c r="AD1003" s="349" t="s">
        <v>2685</v>
      </c>
      <c r="AE1003" s="364">
        <v>0</v>
      </c>
      <c r="AF1003" s="366">
        <v>0</v>
      </c>
      <c r="AG1003" s="363">
        <v>0</v>
      </c>
      <c r="AH1003" s="635" t="s">
        <v>408</v>
      </c>
      <c r="AL1003" s="487" t="s">
        <v>15397</v>
      </c>
      <c r="AM1003" s="477" t="s">
        <v>71</v>
      </c>
      <c r="AN1003" s="637">
        <v>100</v>
      </c>
      <c r="AO1003" s="478">
        <v>-1533</v>
      </c>
      <c r="AP1003" s="463">
        <v>-726</v>
      </c>
      <c r="AQ1003" s="479">
        <v>-807</v>
      </c>
      <c r="AR1003" s="476" t="s">
        <v>17076</v>
      </c>
      <c r="BA1003" s="313" t="s">
        <v>4877</v>
      </c>
    </row>
    <row r="1004" spans="2:53" ht="16.5" customHeight="1">
      <c r="B1004" s="367" t="s">
        <v>4765</v>
      </c>
      <c r="C1004" s="351" t="s">
        <v>4766</v>
      </c>
      <c r="D1004" s="353">
        <v>-1533</v>
      </c>
      <c r="E1004" s="352" t="s">
        <v>10706</v>
      </c>
      <c r="F1004" s="341">
        <v>83.78</v>
      </c>
      <c r="G1004" s="355" t="s">
        <v>10708</v>
      </c>
      <c r="H1004" s="356" t="s">
        <v>10709</v>
      </c>
      <c r="I1004" s="354" t="s">
        <v>425</v>
      </c>
      <c r="J1004" s="340" t="s">
        <v>8283</v>
      </c>
      <c r="K1004" s="339" t="s">
        <v>70</v>
      </c>
      <c r="L1004" s="357">
        <v>15</v>
      </c>
      <c r="M1004" s="358" t="s">
        <v>10710</v>
      </c>
      <c r="N1004" s="359">
        <v>1000</v>
      </c>
      <c r="O1004" s="360" t="s">
        <v>454</v>
      </c>
      <c r="P1004" s="343" t="s">
        <v>454</v>
      </c>
      <c r="Q1004" s="342" t="s">
        <v>2738</v>
      </c>
      <c r="R1004" s="344">
        <v>25</v>
      </c>
      <c r="S1004" s="345">
        <v>35</v>
      </c>
      <c r="T1004" s="362">
        <v>20</v>
      </c>
      <c r="U1004" s="361">
        <v>83.78</v>
      </c>
      <c r="V1004" s="346">
        <v>121.11676528599605</v>
      </c>
      <c r="W1004" s="348">
        <v>120.05009861932939</v>
      </c>
      <c r="X1004" s="347">
        <v>60.86</v>
      </c>
      <c r="Y1004" s="357" t="s">
        <v>408</v>
      </c>
      <c r="Z1004" s="365" t="s">
        <v>3017</v>
      </c>
      <c r="AA1004" s="350">
        <v>196</v>
      </c>
      <c r="AB1004" s="349" t="s">
        <v>2685</v>
      </c>
      <c r="AC1004" s="350">
        <v>10</v>
      </c>
      <c r="AD1004" s="349" t="s">
        <v>2685</v>
      </c>
      <c r="AE1004" s="364">
        <v>0</v>
      </c>
      <c r="AF1004" s="366">
        <v>37.701000000000001</v>
      </c>
      <c r="AG1004" s="363">
        <v>0</v>
      </c>
      <c r="AH1004" s="635" t="s">
        <v>10711</v>
      </c>
      <c r="AL1004" s="487" t="s">
        <v>15398</v>
      </c>
      <c r="AM1004" s="477" t="s">
        <v>70</v>
      </c>
      <c r="AN1004" s="637">
        <v>100</v>
      </c>
      <c r="AO1004" s="478">
        <v>-1533</v>
      </c>
      <c r="AP1004" s="463">
        <v>-1533</v>
      </c>
      <c r="AQ1004" s="479">
        <v>0</v>
      </c>
      <c r="AR1004" s="476" t="s">
        <v>15399</v>
      </c>
      <c r="BA1004" s="313" t="s">
        <v>4879</v>
      </c>
    </row>
    <row r="1005" spans="2:53" ht="16.5" customHeight="1">
      <c r="B1005" s="367" t="s">
        <v>4765</v>
      </c>
      <c r="C1005" s="351" t="s">
        <v>4766</v>
      </c>
      <c r="D1005" s="353">
        <v>-1534</v>
      </c>
      <c r="E1005" s="352" t="s">
        <v>408</v>
      </c>
      <c r="F1005" s="341">
        <v>83.77</v>
      </c>
      <c r="G1005" s="355" t="s">
        <v>10712</v>
      </c>
      <c r="H1005" s="356" t="s">
        <v>10234</v>
      </c>
      <c r="I1005" s="354" t="s">
        <v>221</v>
      </c>
      <c r="J1005" s="340" t="s">
        <v>10713</v>
      </c>
      <c r="K1005" s="339" t="s">
        <v>70</v>
      </c>
      <c r="L1005" s="357">
        <v>12</v>
      </c>
      <c r="M1005" s="358" t="s">
        <v>10714</v>
      </c>
      <c r="N1005" s="359">
        <v>1000</v>
      </c>
      <c r="O1005" s="360" t="s">
        <v>532</v>
      </c>
      <c r="P1005" s="343" t="s">
        <v>533</v>
      </c>
      <c r="Q1005" s="342" t="s">
        <v>2688</v>
      </c>
      <c r="R1005" s="344">
        <v>20</v>
      </c>
      <c r="S1005" s="345">
        <v>35</v>
      </c>
      <c r="T1005" s="362">
        <v>30</v>
      </c>
      <c r="U1005" s="361">
        <v>83.77</v>
      </c>
      <c r="V1005" s="346">
        <v>121.11553911328743</v>
      </c>
      <c r="W1005" s="348">
        <v>120.04887244662076</v>
      </c>
      <c r="X1005" s="347">
        <v>60.86</v>
      </c>
      <c r="Y1005" s="357">
        <v>61.519999999999996</v>
      </c>
      <c r="Z1005" s="365" t="s">
        <v>3017</v>
      </c>
      <c r="AA1005" s="350">
        <v>144</v>
      </c>
      <c r="AB1005" s="349" t="s">
        <v>2685</v>
      </c>
      <c r="AC1005" s="350">
        <v>0</v>
      </c>
      <c r="AD1005" s="349" t="s">
        <v>2685</v>
      </c>
      <c r="AE1005" s="364">
        <v>0</v>
      </c>
      <c r="AF1005" s="366">
        <v>16.907</v>
      </c>
      <c r="AG1005" s="363">
        <v>0</v>
      </c>
      <c r="AH1005" s="635" t="s">
        <v>7882</v>
      </c>
      <c r="AL1005" s="487" t="s">
        <v>15400</v>
      </c>
      <c r="AM1005" s="477" t="s">
        <v>70</v>
      </c>
      <c r="AN1005" s="637">
        <v>100</v>
      </c>
      <c r="AO1005" s="478">
        <v>-1534</v>
      </c>
      <c r="AP1005" s="463">
        <v>-1534</v>
      </c>
      <c r="AQ1005" s="479">
        <v>0</v>
      </c>
      <c r="AR1005" s="476" t="s">
        <v>15399</v>
      </c>
      <c r="BA1005" s="313" t="s">
        <v>4880</v>
      </c>
    </row>
    <row r="1006" spans="2:53" ht="16.5" customHeight="1">
      <c r="B1006" s="367" t="s">
        <v>4721</v>
      </c>
      <c r="C1006" s="351" t="s">
        <v>4722</v>
      </c>
      <c r="D1006" s="353">
        <v>-1534</v>
      </c>
      <c r="E1006" s="352" t="s">
        <v>408</v>
      </c>
      <c r="F1006" s="341">
        <v>83.76</v>
      </c>
      <c r="G1006" s="355" t="s">
        <v>10681</v>
      </c>
      <c r="H1006" s="356" t="s">
        <v>4521</v>
      </c>
      <c r="I1006" s="354" t="s">
        <v>237</v>
      </c>
      <c r="J1006" s="340" t="s">
        <v>10705</v>
      </c>
      <c r="K1006" s="339" t="s">
        <v>71</v>
      </c>
      <c r="L1006" s="357">
        <v>9</v>
      </c>
      <c r="M1006" s="358" t="s">
        <v>4890</v>
      </c>
      <c r="N1006" s="359">
        <v>1000</v>
      </c>
      <c r="O1006" s="360" t="s">
        <v>530</v>
      </c>
      <c r="P1006" s="343" t="s">
        <v>530</v>
      </c>
      <c r="Q1006" s="342" t="s">
        <v>2688</v>
      </c>
      <c r="R1006" s="344">
        <v>30</v>
      </c>
      <c r="S1006" s="345">
        <v>30</v>
      </c>
      <c r="T1006" s="362">
        <v>20</v>
      </c>
      <c r="U1006" s="361">
        <v>83.76</v>
      </c>
      <c r="V1006" s="346">
        <v>121.10955403436857</v>
      </c>
      <c r="W1006" s="348">
        <v>120.04288736770189</v>
      </c>
      <c r="X1006" s="347">
        <v>61.13</v>
      </c>
      <c r="Y1006" s="357" t="s">
        <v>408</v>
      </c>
      <c r="Z1006" s="365" t="s">
        <v>3017</v>
      </c>
      <c r="AA1006" s="350">
        <v>196</v>
      </c>
      <c r="AB1006" s="349" t="s">
        <v>2685</v>
      </c>
      <c r="AC1006" s="350">
        <v>0</v>
      </c>
      <c r="AD1006" s="349" t="s">
        <v>2685</v>
      </c>
      <c r="AE1006" s="364">
        <v>0</v>
      </c>
      <c r="AF1006" s="366">
        <v>0</v>
      </c>
      <c r="AG1006" s="363">
        <v>0</v>
      </c>
      <c r="AH1006" s="635" t="s">
        <v>408</v>
      </c>
      <c r="AL1006" s="487" t="s">
        <v>15401</v>
      </c>
      <c r="AM1006" s="477" t="s">
        <v>71</v>
      </c>
      <c r="AN1006" s="637">
        <v>100</v>
      </c>
      <c r="AO1006" s="478">
        <v>-1534</v>
      </c>
      <c r="AP1006" s="463">
        <v>-726</v>
      </c>
      <c r="AQ1006" s="479">
        <v>-808</v>
      </c>
      <c r="AR1006" s="476" t="s">
        <v>17077</v>
      </c>
      <c r="BA1006" s="313" t="s">
        <v>4882</v>
      </c>
    </row>
    <row r="1007" spans="2:53" ht="16.5" customHeight="1">
      <c r="B1007" s="367" t="s">
        <v>4777</v>
      </c>
      <c r="C1007" s="351" t="s">
        <v>4778</v>
      </c>
      <c r="D1007" s="353">
        <v>-1535</v>
      </c>
      <c r="E1007" s="352" t="s">
        <v>408</v>
      </c>
      <c r="F1007" s="341">
        <v>83.75</v>
      </c>
      <c r="G1007" s="355" t="s">
        <v>10715</v>
      </c>
      <c r="H1007" s="356" t="s">
        <v>10245</v>
      </c>
      <c r="I1007" s="354" t="s">
        <v>221</v>
      </c>
      <c r="J1007" s="340" t="s">
        <v>8148</v>
      </c>
      <c r="K1007" s="339" t="s">
        <v>70</v>
      </c>
      <c r="L1007" s="357">
        <v>9</v>
      </c>
      <c r="M1007" s="358" t="s">
        <v>10716</v>
      </c>
      <c r="N1007" s="359">
        <v>1000</v>
      </c>
      <c r="O1007" s="360" t="s">
        <v>532</v>
      </c>
      <c r="P1007" s="343" t="s">
        <v>533</v>
      </c>
      <c r="Q1007" s="342" t="s">
        <v>2688</v>
      </c>
      <c r="R1007" s="344">
        <v>20</v>
      </c>
      <c r="S1007" s="345">
        <v>35</v>
      </c>
      <c r="T1007" s="362">
        <v>30</v>
      </c>
      <c r="U1007" s="361">
        <v>83.75</v>
      </c>
      <c r="V1007" s="346">
        <v>121.10006326025392</v>
      </c>
      <c r="W1007" s="348">
        <v>120.03339659358724</v>
      </c>
      <c r="X1007" s="347">
        <v>60.85</v>
      </c>
      <c r="Y1007" s="357">
        <v>61.51</v>
      </c>
      <c r="Z1007" s="365" t="s">
        <v>3017</v>
      </c>
      <c r="AA1007" s="350">
        <v>144</v>
      </c>
      <c r="AB1007" s="349" t="s">
        <v>2685</v>
      </c>
      <c r="AC1007" s="350">
        <v>0</v>
      </c>
      <c r="AD1007" s="349" t="s">
        <v>2685</v>
      </c>
      <c r="AE1007" s="364">
        <v>0</v>
      </c>
      <c r="AF1007" s="366">
        <v>16.904</v>
      </c>
      <c r="AG1007" s="363">
        <v>0</v>
      </c>
      <c r="AH1007" s="635" t="s">
        <v>7882</v>
      </c>
      <c r="AL1007" s="487" t="s">
        <v>15402</v>
      </c>
      <c r="AM1007" s="477" t="s">
        <v>70</v>
      </c>
      <c r="AN1007" s="637">
        <v>100</v>
      </c>
      <c r="AO1007" s="478">
        <v>-1535</v>
      </c>
      <c r="AP1007" s="463">
        <v>-1535</v>
      </c>
      <c r="AQ1007" s="479">
        <v>0</v>
      </c>
      <c r="AR1007" s="476" t="s">
        <v>15403</v>
      </c>
      <c r="BA1007" s="313" t="s">
        <v>4885</v>
      </c>
    </row>
    <row r="1008" spans="2:53" ht="16.5" customHeight="1">
      <c r="B1008" s="367" t="s">
        <v>4777</v>
      </c>
      <c r="C1008" s="351" t="s">
        <v>4778</v>
      </c>
      <c r="D1008" s="353">
        <v>-1535</v>
      </c>
      <c r="E1008" s="352" t="s">
        <v>408</v>
      </c>
      <c r="F1008" s="341">
        <v>83.75</v>
      </c>
      <c r="G1008" s="355" t="s">
        <v>10715</v>
      </c>
      <c r="H1008" s="356" t="s">
        <v>4559</v>
      </c>
      <c r="I1008" s="354" t="s">
        <v>238</v>
      </c>
      <c r="J1008" s="340" t="s">
        <v>10717</v>
      </c>
      <c r="K1008" s="339" t="s">
        <v>71</v>
      </c>
      <c r="L1008" s="357">
        <v>100</v>
      </c>
      <c r="M1008" s="358" t="s">
        <v>10718</v>
      </c>
      <c r="N1008" s="359">
        <v>1000</v>
      </c>
      <c r="O1008" s="360" t="s">
        <v>532</v>
      </c>
      <c r="P1008" s="343" t="s">
        <v>533</v>
      </c>
      <c r="Q1008" s="342" t="s">
        <v>2688</v>
      </c>
      <c r="R1008" s="344">
        <v>35</v>
      </c>
      <c r="S1008" s="345">
        <v>30</v>
      </c>
      <c r="T1008" s="362">
        <v>25</v>
      </c>
      <c r="U1008" s="361">
        <v>83.75</v>
      </c>
      <c r="V1008" s="346">
        <v>121.09927091995593</v>
      </c>
      <c r="W1008" s="348">
        <v>120.03260425328925</v>
      </c>
      <c r="X1008" s="347">
        <v>60.85</v>
      </c>
      <c r="Y1008" s="357">
        <v>61.62</v>
      </c>
      <c r="Z1008" s="365" t="s">
        <v>3017</v>
      </c>
      <c r="AA1008" s="350">
        <v>98</v>
      </c>
      <c r="AB1008" s="349" t="s">
        <v>2685</v>
      </c>
      <c r="AC1008" s="350">
        <v>0</v>
      </c>
      <c r="AD1008" s="349" t="s">
        <v>2685</v>
      </c>
      <c r="AE1008" s="364">
        <v>0</v>
      </c>
      <c r="AF1008" s="366">
        <v>0</v>
      </c>
      <c r="AG1008" s="363">
        <v>0</v>
      </c>
      <c r="AH1008" s="635" t="s">
        <v>408</v>
      </c>
      <c r="AL1008" s="487" t="s">
        <v>15404</v>
      </c>
      <c r="AM1008" s="477" t="s">
        <v>71</v>
      </c>
      <c r="AN1008" s="637">
        <v>100</v>
      </c>
      <c r="AO1008" s="478">
        <v>-1535</v>
      </c>
      <c r="AP1008" s="463">
        <v>-724</v>
      </c>
      <c r="AQ1008" s="479">
        <v>-811</v>
      </c>
      <c r="AR1008" s="476" t="s">
        <v>17078</v>
      </c>
      <c r="BA1008" s="313" t="s">
        <v>4886</v>
      </c>
    </row>
    <row r="1009" spans="2:53" ht="16.5" customHeight="1">
      <c r="B1009" s="367" t="s">
        <v>10719</v>
      </c>
      <c r="C1009" s="351" t="s">
        <v>10720</v>
      </c>
      <c r="D1009" s="353">
        <v>-1536</v>
      </c>
      <c r="E1009" s="352" t="s">
        <v>408</v>
      </c>
      <c r="F1009" s="341">
        <v>83.71</v>
      </c>
      <c r="G1009" s="355" t="s">
        <v>4912</v>
      </c>
      <c r="H1009" s="356" t="s">
        <v>18740</v>
      </c>
      <c r="I1009" s="354" t="s">
        <v>496</v>
      </c>
      <c r="J1009" s="340" t="s">
        <v>10721</v>
      </c>
      <c r="K1009" s="339" t="s">
        <v>70</v>
      </c>
      <c r="L1009" s="357">
        <v>10</v>
      </c>
      <c r="M1009" s="358" t="s">
        <v>10722</v>
      </c>
      <c r="N1009" s="359">
        <v>1000</v>
      </c>
      <c r="O1009" s="360" t="s">
        <v>530</v>
      </c>
      <c r="P1009" s="343" t="s">
        <v>531</v>
      </c>
      <c r="Q1009" s="342" t="s">
        <v>2738</v>
      </c>
      <c r="R1009" s="344">
        <v>25</v>
      </c>
      <c r="S1009" s="345">
        <v>38</v>
      </c>
      <c r="T1009" s="362">
        <v>25</v>
      </c>
      <c r="U1009" s="361">
        <v>83.71</v>
      </c>
      <c r="V1009" s="346">
        <v>121.07091412742383</v>
      </c>
      <c r="W1009" s="348">
        <v>120.00424746075717</v>
      </c>
      <c r="X1009" s="347">
        <v>60.84</v>
      </c>
      <c r="Y1009" s="357">
        <v>61.61</v>
      </c>
      <c r="Z1009" s="365" t="s">
        <v>3017</v>
      </c>
      <c r="AA1009" s="350">
        <v>118.75</v>
      </c>
      <c r="AB1009" s="349" t="s">
        <v>2685</v>
      </c>
      <c r="AC1009" s="350">
        <v>10</v>
      </c>
      <c r="AD1009" s="349" t="s">
        <v>2685</v>
      </c>
      <c r="AE1009" s="364">
        <v>0</v>
      </c>
      <c r="AF1009" s="366">
        <v>0</v>
      </c>
      <c r="AG1009" s="363">
        <v>0</v>
      </c>
      <c r="AH1009" s="635" t="s">
        <v>408</v>
      </c>
      <c r="AL1009" s="487" t="s">
        <v>15405</v>
      </c>
      <c r="AM1009" s="477" t="s">
        <v>70</v>
      </c>
      <c r="AN1009" s="637">
        <v>100</v>
      </c>
      <c r="AO1009" s="478">
        <v>-1536</v>
      </c>
      <c r="AP1009" s="463">
        <v>-1536</v>
      </c>
      <c r="AQ1009" s="479">
        <v>0</v>
      </c>
      <c r="AR1009" s="476" t="s">
        <v>15406</v>
      </c>
      <c r="BA1009" s="313" t="s">
        <v>4888</v>
      </c>
    </row>
    <row r="1010" spans="2:53" ht="16.5" customHeight="1">
      <c r="B1010" s="367" t="s">
        <v>10723</v>
      </c>
      <c r="C1010" s="351" t="s">
        <v>10724</v>
      </c>
      <c r="D1010" s="353">
        <v>-1536</v>
      </c>
      <c r="E1010" s="352" t="s">
        <v>4768</v>
      </c>
      <c r="F1010" s="341">
        <v>83.69</v>
      </c>
      <c r="G1010" s="355" t="s">
        <v>18741</v>
      </c>
      <c r="H1010" s="356" t="s">
        <v>10281</v>
      </c>
      <c r="I1010" s="354" t="s">
        <v>238</v>
      </c>
      <c r="J1010" s="340" t="s">
        <v>8898</v>
      </c>
      <c r="K1010" s="339" t="s">
        <v>71</v>
      </c>
      <c r="L1010" s="357">
        <v>13</v>
      </c>
      <c r="M1010" s="358" t="s">
        <v>10726</v>
      </c>
      <c r="N1010" s="359">
        <v>1000</v>
      </c>
      <c r="O1010" s="360" t="s">
        <v>532</v>
      </c>
      <c r="P1010" s="343" t="s">
        <v>533</v>
      </c>
      <c r="Q1010" s="342" t="s">
        <v>2688</v>
      </c>
      <c r="R1010" s="344">
        <v>35</v>
      </c>
      <c r="S1010" s="345">
        <v>25</v>
      </c>
      <c r="T1010" s="362">
        <v>25</v>
      </c>
      <c r="U1010" s="361">
        <v>83.69</v>
      </c>
      <c r="V1010" s="346">
        <v>121.06198956153092</v>
      </c>
      <c r="W1010" s="348">
        <v>119.99707680929016</v>
      </c>
      <c r="X1010" s="347">
        <v>61.12</v>
      </c>
      <c r="Y1010" s="357">
        <v>61.6</v>
      </c>
      <c r="Z1010" s="365" t="s">
        <v>3017</v>
      </c>
      <c r="AA1010" s="350">
        <v>148</v>
      </c>
      <c r="AB1010" s="349" t="s">
        <v>2685</v>
      </c>
      <c r="AC1010" s="350">
        <v>0</v>
      </c>
      <c r="AD1010" s="349" t="s">
        <v>2685</v>
      </c>
      <c r="AE1010" s="364">
        <v>0</v>
      </c>
      <c r="AF1010" s="366">
        <v>0</v>
      </c>
      <c r="AG1010" s="363">
        <v>0</v>
      </c>
      <c r="AH1010" s="635" t="s">
        <v>408</v>
      </c>
      <c r="AL1010" s="487" t="s">
        <v>15407</v>
      </c>
      <c r="AM1010" s="477" t="s">
        <v>71</v>
      </c>
      <c r="AN1010" s="637">
        <v>100</v>
      </c>
      <c r="AO1010" s="478">
        <v>-1536</v>
      </c>
      <c r="AP1010" s="463">
        <v>-726</v>
      </c>
      <c r="AQ1010" s="479">
        <v>-810</v>
      </c>
      <c r="AR1010" s="476" t="s">
        <v>17079</v>
      </c>
      <c r="BA1010" s="313" t="s">
        <v>4891</v>
      </c>
    </row>
    <row r="1011" spans="2:53" ht="16.5" customHeight="1">
      <c r="B1011" s="367" t="s">
        <v>4789</v>
      </c>
      <c r="C1011" s="351" t="s">
        <v>4790</v>
      </c>
      <c r="D1011" s="353">
        <v>-1537</v>
      </c>
      <c r="E1011" s="352" t="s">
        <v>408</v>
      </c>
      <c r="F1011" s="341">
        <v>83.67</v>
      </c>
      <c r="G1011" s="355" t="s">
        <v>10727</v>
      </c>
      <c r="H1011" s="356" t="s">
        <v>10285</v>
      </c>
      <c r="I1011" s="354" t="s">
        <v>209</v>
      </c>
      <c r="J1011" s="340" t="s">
        <v>10728</v>
      </c>
      <c r="K1011" s="339" t="s">
        <v>70</v>
      </c>
      <c r="L1011" s="357">
        <v>16</v>
      </c>
      <c r="M1011" s="358" t="s">
        <v>4948</v>
      </c>
      <c r="N1011" s="359">
        <v>1000</v>
      </c>
      <c r="O1011" s="360" t="s">
        <v>530</v>
      </c>
      <c r="P1011" s="343" t="s">
        <v>530</v>
      </c>
      <c r="Q1011" s="342" t="s">
        <v>2688</v>
      </c>
      <c r="R1011" s="344">
        <v>20</v>
      </c>
      <c r="S1011" s="345">
        <v>30</v>
      </c>
      <c r="T1011" s="362">
        <v>30</v>
      </c>
      <c r="U1011" s="361">
        <v>83.67</v>
      </c>
      <c r="V1011" s="346">
        <v>121.04549992007431</v>
      </c>
      <c r="W1011" s="348">
        <v>119.98677078337977</v>
      </c>
      <c r="X1011" s="347">
        <v>60.82</v>
      </c>
      <c r="Y1011" s="357" t="s">
        <v>408</v>
      </c>
      <c r="Z1011" s="365" t="s">
        <v>3017</v>
      </c>
      <c r="AA1011" s="350">
        <v>198</v>
      </c>
      <c r="AB1011" s="349" t="s">
        <v>2685</v>
      </c>
      <c r="AC1011" s="350">
        <v>10</v>
      </c>
      <c r="AD1011" s="349" t="s">
        <v>2685</v>
      </c>
      <c r="AE1011" s="364">
        <v>0</v>
      </c>
      <c r="AF1011" s="366">
        <v>0</v>
      </c>
      <c r="AG1011" s="363">
        <v>0</v>
      </c>
      <c r="AH1011" s="635" t="s">
        <v>408</v>
      </c>
      <c r="AL1011" s="487" t="s">
        <v>15408</v>
      </c>
      <c r="AM1011" s="477" t="s">
        <v>70</v>
      </c>
      <c r="AN1011" s="637">
        <v>100</v>
      </c>
      <c r="AO1011" s="478">
        <v>-1537</v>
      </c>
      <c r="AP1011" s="463">
        <v>-1537</v>
      </c>
      <c r="AQ1011" s="479">
        <v>0</v>
      </c>
      <c r="AR1011" s="476" t="s">
        <v>15409</v>
      </c>
      <c r="BA1011" s="313" t="s">
        <v>4892</v>
      </c>
    </row>
    <row r="1012" spans="2:53" ht="16.5" customHeight="1">
      <c r="B1012" s="367" t="s">
        <v>4747</v>
      </c>
      <c r="C1012" s="351" t="s">
        <v>4748</v>
      </c>
      <c r="D1012" s="353">
        <v>-1537</v>
      </c>
      <c r="E1012" s="352" t="s">
        <v>10729</v>
      </c>
      <c r="F1012" s="341">
        <v>83.66</v>
      </c>
      <c r="G1012" s="355" t="s">
        <v>4889</v>
      </c>
      <c r="H1012" s="356" t="s">
        <v>18742</v>
      </c>
      <c r="I1012" s="354" t="s">
        <v>221</v>
      </c>
      <c r="J1012" s="340" t="s">
        <v>9573</v>
      </c>
      <c r="K1012" s="339" t="s">
        <v>71</v>
      </c>
      <c r="L1012" s="357">
        <v>6</v>
      </c>
      <c r="M1012" s="358" t="s">
        <v>10732</v>
      </c>
      <c r="N1012" s="359">
        <v>1000</v>
      </c>
      <c r="O1012" s="360" t="s">
        <v>532</v>
      </c>
      <c r="P1012" s="343" t="s">
        <v>533</v>
      </c>
      <c r="Q1012" s="342" t="s">
        <v>2688</v>
      </c>
      <c r="R1012" s="344">
        <v>35</v>
      </c>
      <c r="S1012" s="345">
        <v>25</v>
      </c>
      <c r="T1012" s="362">
        <v>25</v>
      </c>
      <c r="U1012" s="361">
        <v>83.66</v>
      </c>
      <c r="V1012" s="346">
        <v>121.04021825433806</v>
      </c>
      <c r="W1012" s="348">
        <v>119.98346974229462</v>
      </c>
      <c r="X1012" s="347">
        <v>61.1</v>
      </c>
      <c r="Y1012" s="357">
        <v>61.68</v>
      </c>
      <c r="Z1012" s="365" t="s">
        <v>3017</v>
      </c>
      <c r="AA1012" s="350">
        <v>144</v>
      </c>
      <c r="AB1012" s="349" t="s">
        <v>2685</v>
      </c>
      <c r="AC1012" s="350">
        <v>0</v>
      </c>
      <c r="AD1012" s="349" t="s">
        <v>2685</v>
      </c>
      <c r="AE1012" s="364">
        <v>0</v>
      </c>
      <c r="AF1012" s="366">
        <v>0</v>
      </c>
      <c r="AG1012" s="363">
        <v>0</v>
      </c>
      <c r="AH1012" s="635" t="s">
        <v>408</v>
      </c>
      <c r="AL1012" s="487" t="s">
        <v>15410</v>
      </c>
      <c r="AM1012" s="477" t="s">
        <v>71</v>
      </c>
      <c r="AN1012" s="637">
        <v>100</v>
      </c>
      <c r="AO1012" s="478">
        <v>-1537</v>
      </c>
      <c r="AP1012" s="463">
        <v>-727</v>
      </c>
      <c r="AQ1012" s="479">
        <v>-810</v>
      </c>
      <c r="AR1012" s="476" t="s">
        <v>17080</v>
      </c>
      <c r="BA1012" s="313" t="s">
        <v>4896</v>
      </c>
    </row>
    <row r="1013" spans="2:53" ht="16.5" customHeight="1">
      <c r="B1013" s="367" t="s">
        <v>10736</v>
      </c>
      <c r="C1013" s="351" t="s">
        <v>10737</v>
      </c>
      <c r="D1013" s="353">
        <v>-1538</v>
      </c>
      <c r="E1013" s="352" t="s">
        <v>10730</v>
      </c>
      <c r="F1013" s="341">
        <v>83.6</v>
      </c>
      <c r="G1013" s="355" t="s">
        <v>10738</v>
      </c>
      <c r="H1013" s="356" t="s">
        <v>4521</v>
      </c>
      <c r="I1013" s="354" t="s">
        <v>221</v>
      </c>
      <c r="J1013" s="340" t="s">
        <v>7256</v>
      </c>
      <c r="K1013" s="339" t="s">
        <v>70</v>
      </c>
      <c r="L1013" s="357">
        <v>32</v>
      </c>
      <c r="M1013" s="358" t="s">
        <v>10739</v>
      </c>
      <c r="N1013" s="359">
        <v>1000</v>
      </c>
      <c r="O1013" s="360" t="s">
        <v>532</v>
      </c>
      <c r="P1013" s="343" t="s">
        <v>533</v>
      </c>
      <c r="Q1013" s="342" t="s">
        <v>2688</v>
      </c>
      <c r="R1013" s="344">
        <v>20</v>
      </c>
      <c r="S1013" s="345">
        <v>35</v>
      </c>
      <c r="T1013" s="362">
        <v>30</v>
      </c>
      <c r="U1013" s="361">
        <v>83.6</v>
      </c>
      <c r="V1013" s="346">
        <v>120.99691351943341</v>
      </c>
      <c r="W1013" s="348">
        <v>119.95627567962227</v>
      </c>
      <c r="X1013" s="347">
        <v>60.8</v>
      </c>
      <c r="Y1013" s="357">
        <v>61.46</v>
      </c>
      <c r="Z1013" s="365" t="s">
        <v>3017</v>
      </c>
      <c r="AA1013" s="350">
        <v>144</v>
      </c>
      <c r="AB1013" s="349" t="s">
        <v>2685</v>
      </c>
      <c r="AC1013" s="350">
        <v>0</v>
      </c>
      <c r="AD1013" s="349" t="s">
        <v>2685</v>
      </c>
      <c r="AE1013" s="364">
        <v>0</v>
      </c>
      <c r="AF1013" s="366">
        <v>16.891999999999999</v>
      </c>
      <c r="AG1013" s="363">
        <v>0</v>
      </c>
      <c r="AH1013" s="635" t="s">
        <v>7882</v>
      </c>
      <c r="AL1013" s="487" t="s">
        <v>15411</v>
      </c>
      <c r="AM1013" s="477" t="s">
        <v>70</v>
      </c>
      <c r="AN1013" s="637">
        <v>100</v>
      </c>
      <c r="AO1013" s="478">
        <v>-1538</v>
      </c>
      <c r="AP1013" s="463">
        <v>-1538</v>
      </c>
      <c r="AQ1013" s="479">
        <v>0</v>
      </c>
      <c r="AR1013" s="476" t="s">
        <v>15412</v>
      </c>
      <c r="BA1013" s="313" t="s">
        <v>4901</v>
      </c>
    </row>
    <row r="1014" spans="2:53" ht="16.5" customHeight="1">
      <c r="B1014" s="367" t="s">
        <v>10736</v>
      </c>
      <c r="C1014" s="351" t="s">
        <v>10737</v>
      </c>
      <c r="D1014" s="353">
        <v>-1538</v>
      </c>
      <c r="E1014" s="352" t="s">
        <v>10698</v>
      </c>
      <c r="F1014" s="341">
        <v>83.59</v>
      </c>
      <c r="G1014" s="355" t="s">
        <v>18743</v>
      </c>
      <c r="H1014" s="356" t="s">
        <v>18744</v>
      </c>
      <c r="I1014" s="354" t="s">
        <v>301</v>
      </c>
      <c r="J1014" s="340" t="s">
        <v>10742</v>
      </c>
      <c r="K1014" s="339" t="s">
        <v>71</v>
      </c>
      <c r="L1014" s="357">
        <v>122</v>
      </c>
      <c r="M1014" s="358" t="s">
        <v>10743</v>
      </c>
      <c r="N1014" s="359">
        <v>1000</v>
      </c>
      <c r="O1014" s="360" t="s">
        <v>530</v>
      </c>
      <c r="P1014" s="343" t="s">
        <v>531</v>
      </c>
      <c r="Q1014" s="342" t="s">
        <v>2688</v>
      </c>
      <c r="R1014" s="344">
        <v>30</v>
      </c>
      <c r="S1014" s="345">
        <v>30</v>
      </c>
      <c r="T1014" s="362">
        <v>20</v>
      </c>
      <c r="U1014" s="361">
        <v>83.59</v>
      </c>
      <c r="V1014" s="346">
        <v>120.99416395222582</v>
      </c>
      <c r="W1014" s="348">
        <v>119.95444263481721</v>
      </c>
      <c r="X1014" s="347">
        <v>61.08</v>
      </c>
      <c r="Y1014" s="357">
        <v>61.559999999999995</v>
      </c>
      <c r="Z1014" s="365" t="s">
        <v>3017</v>
      </c>
      <c r="AA1014" s="350">
        <v>195</v>
      </c>
      <c r="AB1014" s="349" t="s">
        <v>2685</v>
      </c>
      <c r="AC1014" s="350">
        <v>10</v>
      </c>
      <c r="AD1014" s="349" t="s">
        <v>2685</v>
      </c>
      <c r="AE1014" s="364">
        <v>0</v>
      </c>
      <c r="AF1014" s="366">
        <v>0</v>
      </c>
      <c r="AG1014" s="363">
        <v>0</v>
      </c>
      <c r="AH1014" s="635" t="s">
        <v>408</v>
      </c>
      <c r="AL1014" s="487" t="s">
        <v>15413</v>
      </c>
      <c r="AM1014" s="477" t="s">
        <v>71</v>
      </c>
      <c r="AN1014" s="637">
        <v>100</v>
      </c>
      <c r="AO1014" s="478">
        <v>-1538</v>
      </c>
      <c r="AP1014" s="463">
        <v>-727</v>
      </c>
      <c r="AQ1014" s="479">
        <v>-811</v>
      </c>
      <c r="AR1014" s="476" t="s">
        <v>17081</v>
      </c>
      <c r="BA1014" s="313" t="s">
        <v>4904</v>
      </c>
    </row>
    <row r="1015" spans="2:53" ht="16.5" customHeight="1">
      <c r="B1015" s="367" t="s">
        <v>4792</v>
      </c>
      <c r="C1015" s="351" t="s">
        <v>4793</v>
      </c>
      <c r="D1015" s="353">
        <v>-1539</v>
      </c>
      <c r="E1015" s="352" t="s">
        <v>408</v>
      </c>
      <c r="F1015" s="341">
        <v>83.58</v>
      </c>
      <c r="G1015" s="355" t="s">
        <v>4934</v>
      </c>
      <c r="H1015" s="356" t="s">
        <v>10744</v>
      </c>
      <c r="I1015" s="354" t="s">
        <v>238</v>
      </c>
      <c r="J1015" s="340" t="s">
        <v>8443</v>
      </c>
      <c r="K1015" s="339" t="s">
        <v>70</v>
      </c>
      <c r="L1015" s="357">
        <v>15</v>
      </c>
      <c r="M1015" s="358" t="s">
        <v>10745</v>
      </c>
      <c r="N1015" s="359">
        <v>1000</v>
      </c>
      <c r="O1015" s="360" t="s">
        <v>532</v>
      </c>
      <c r="P1015" s="343" t="s">
        <v>533</v>
      </c>
      <c r="Q1015" s="342" t="s">
        <v>2688</v>
      </c>
      <c r="R1015" s="344">
        <v>25</v>
      </c>
      <c r="S1015" s="345">
        <v>35</v>
      </c>
      <c r="T1015" s="362">
        <v>30</v>
      </c>
      <c r="U1015" s="361">
        <v>83.58</v>
      </c>
      <c r="V1015" s="346">
        <v>120.98843682293069</v>
      </c>
      <c r="W1015" s="348">
        <v>119.95062454862047</v>
      </c>
      <c r="X1015" s="347">
        <v>60.8</v>
      </c>
      <c r="Y1015" s="357">
        <v>61.559999999999995</v>
      </c>
      <c r="Z1015" s="365" t="s">
        <v>3017</v>
      </c>
      <c r="AA1015" s="350">
        <v>98</v>
      </c>
      <c r="AB1015" s="349" t="s">
        <v>2685</v>
      </c>
      <c r="AC1015" s="350">
        <v>0</v>
      </c>
      <c r="AD1015" s="349" t="s">
        <v>2685</v>
      </c>
      <c r="AE1015" s="364">
        <v>0</v>
      </c>
      <c r="AF1015" s="366">
        <v>16.911000000000001</v>
      </c>
      <c r="AG1015" s="363">
        <v>0</v>
      </c>
      <c r="AH1015" s="635" t="s">
        <v>7882</v>
      </c>
      <c r="AL1015" s="487" t="s">
        <v>15414</v>
      </c>
      <c r="AM1015" s="477" t="s">
        <v>70</v>
      </c>
      <c r="AN1015" s="637">
        <v>100</v>
      </c>
      <c r="AO1015" s="478">
        <v>-1539</v>
      </c>
      <c r="AP1015" s="463">
        <v>-1539</v>
      </c>
      <c r="AQ1015" s="479">
        <v>0</v>
      </c>
      <c r="AR1015" s="476" t="s">
        <v>15415</v>
      </c>
      <c r="BA1015" s="313" t="s">
        <v>4908</v>
      </c>
    </row>
    <row r="1016" spans="2:53" ht="16.5" customHeight="1">
      <c r="B1016" s="367" t="s">
        <v>4796</v>
      </c>
      <c r="C1016" s="351" t="s">
        <v>4797</v>
      </c>
      <c r="D1016" s="353">
        <v>-1539</v>
      </c>
      <c r="E1016" s="352" t="s">
        <v>408</v>
      </c>
      <c r="F1016" s="341">
        <v>83.56</v>
      </c>
      <c r="G1016" s="355" t="s">
        <v>4938</v>
      </c>
      <c r="H1016" s="356" t="s">
        <v>10748</v>
      </c>
      <c r="I1016" s="354" t="s">
        <v>211</v>
      </c>
      <c r="J1016" s="340" t="s">
        <v>10749</v>
      </c>
      <c r="K1016" s="339" t="s">
        <v>70</v>
      </c>
      <c r="L1016" s="357">
        <v>4</v>
      </c>
      <c r="M1016" s="358" t="s">
        <v>10750</v>
      </c>
      <c r="N1016" s="359">
        <v>500</v>
      </c>
      <c r="O1016" s="360" t="s">
        <v>530</v>
      </c>
      <c r="P1016" s="343" t="s">
        <v>531</v>
      </c>
      <c r="Q1016" s="342" t="s">
        <v>2688</v>
      </c>
      <c r="R1016" s="344">
        <v>30</v>
      </c>
      <c r="S1016" s="345">
        <v>40</v>
      </c>
      <c r="T1016" s="362">
        <v>30</v>
      </c>
      <c r="U1016" s="361">
        <v>83.56</v>
      </c>
      <c r="V1016" s="346">
        <v>120.97657381131638</v>
      </c>
      <c r="W1016" s="348">
        <v>119.94271587421092</v>
      </c>
      <c r="X1016" s="347">
        <v>60.79</v>
      </c>
      <c r="Y1016" s="357">
        <v>61.44</v>
      </c>
      <c r="Z1016" s="365" t="s">
        <v>2689</v>
      </c>
      <c r="AA1016" s="350">
        <v>30</v>
      </c>
      <c r="AB1016" s="349" t="s">
        <v>2685</v>
      </c>
      <c r="AC1016" s="350">
        <v>5</v>
      </c>
      <c r="AD1016" s="349" t="s">
        <v>2685</v>
      </c>
      <c r="AE1016" s="364">
        <v>0</v>
      </c>
      <c r="AF1016" s="366">
        <v>0</v>
      </c>
      <c r="AG1016" s="363">
        <v>0</v>
      </c>
      <c r="AH1016" s="635" t="s">
        <v>408</v>
      </c>
      <c r="AL1016" s="487" t="s">
        <v>15417</v>
      </c>
      <c r="AM1016" s="477" t="s">
        <v>70</v>
      </c>
      <c r="AN1016" s="637">
        <v>100</v>
      </c>
      <c r="AO1016" s="478">
        <v>-1539</v>
      </c>
      <c r="AP1016" s="463">
        <v>-1539</v>
      </c>
      <c r="AQ1016" s="479">
        <v>0</v>
      </c>
      <c r="AR1016" s="476" t="s">
        <v>15418</v>
      </c>
      <c r="BA1016" s="313" t="s">
        <v>4911</v>
      </c>
    </row>
    <row r="1017" spans="2:53" ht="16.5" customHeight="1">
      <c r="B1017" s="367" t="s">
        <v>18222</v>
      </c>
      <c r="C1017" s="351" t="s">
        <v>18223</v>
      </c>
      <c r="D1017" s="353">
        <v>-1540</v>
      </c>
      <c r="E1017" s="352" t="s">
        <v>10740</v>
      </c>
      <c r="F1017" s="341">
        <v>83.56</v>
      </c>
      <c r="G1017" s="355" t="s">
        <v>18745</v>
      </c>
      <c r="H1017" s="356" t="s">
        <v>4468</v>
      </c>
      <c r="I1017" s="354" t="s">
        <v>237</v>
      </c>
      <c r="J1017" s="340" t="s">
        <v>8772</v>
      </c>
      <c r="K1017" s="339" t="s">
        <v>71</v>
      </c>
      <c r="L1017" s="357">
        <v>12</v>
      </c>
      <c r="M1017" s="358" t="s">
        <v>4910</v>
      </c>
      <c r="N1017" s="359">
        <v>1000</v>
      </c>
      <c r="O1017" s="360" t="s">
        <v>530</v>
      </c>
      <c r="P1017" s="343" t="s">
        <v>530</v>
      </c>
      <c r="Q1017" s="342" t="s">
        <v>2688</v>
      </c>
      <c r="R1017" s="344">
        <v>30</v>
      </c>
      <c r="S1017" s="345">
        <v>30</v>
      </c>
      <c r="T1017" s="362">
        <v>20</v>
      </c>
      <c r="U1017" s="361">
        <v>83.56</v>
      </c>
      <c r="V1017" s="346">
        <v>120.97277485025266</v>
      </c>
      <c r="W1017" s="348">
        <v>119.94018323350177</v>
      </c>
      <c r="X1017" s="347">
        <v>61.06</v>
      </c>
      <c r="Y1017" s="357" t="s">
        <v>408</v>
      </c>
      <c r="Z1017" s="365" t="s">
        <v>3017</v>
      </c>
      <c r="AA1017" s="350">
        <v>196</v>
      </c>
      <c r="AB1017" s="349" t="s">
        <v>2685</v>
      </c>
      <c r="AC1017" s="350">
        <v>0</v>
      </c>
      <c r="AD1017" s="349" t="s">
        <v>2685</v>
      </c>
      <c r="AE1017" s="364">
        <v>0</v>
      </c>
      <c r="AF1017" s="366">
        <v>0</v>
      </c>
      <c r="AG1017" s="363">
        <v>0</v>
      </c>
      <c r="AH1017" s="635" t="s">
        <v>408</v>
      </c>
      <c r="AL1017" s="487" t="s">
        <v>15419</v>
      </c>
      <c r="AM1017" s="477" t="s">
        <v>71</v>
      </c>
      <c r="AN1017" s="637">
        <v>100</v>
      </c>
      <c r="AO1017" s="478">
        <v>-1540</v>
      </c>
      <c r="AP1017" s="463">
        <v>-727</v>
      </c>
      <c r="AQ1017" s="479">
        <v>-813</v>
      </c>
      <c r="AR1017" s="476" t="s">
        <v>17082</v>
      </c>
      <c r="BA1017" s="313" t="s">
        <v>4913</v>
      </c>
    </row>
    <row r="1018" spans="2:53" ht="16.5" customHeight="1">
      <c r="B1018" s="367" t="s">
        <v>10751</v>
      </c>
      <c r="C1018" s="351" t="s">
        <v>10752</v>
      </c>
      <c r="D1018" s="353">
        <v>-1540</v>
      </c>
      <c r="E1018" s="352" t="s">
        <v>408</v>
      </c>
      <c r="F1018" s="341">
        <v>83.54</v>
      </c>
      <c r="G1018" s="355" t="s">
        <v>10753</v>
      </c>
      <c r="H1018" s="356" t="s">
        <v>10754</v>
      </c>
      <c r="I1018" s="354" t="s">
        <v>301</v>
      </c>
      <c r="J1018" s="340" t="s">
        <v>10755</v>
      </c>
      <c r="K1018" s="339" t="s">
        <v>70</v>
      </c>
      <c r="L1018" s="357">
        <v>82</v>
      </c>
      <c r="M1018" s="358" t="s">
        <v>10756</v>
      </c>
      <c r="N1018" s="359">
        <v>1000</v>
      </c>
      <c r="O1018" s="360" t="s">
        <v>530</v>
      </c>
      <c r="P1018" s="343" t="s">
        <v>531</v>
      </c>
      <c r="Q1018" s="342" t="s">
        <v>2688</v>
      </c>
      <c r="R1018" s="344">
        <v>20</v>
      </c>
      <c r="S1018" s="345">
        <v>35</v>
      </c>
      <c r="T1018" s="362">
        <v>25</v>
      </c>
      <c r="U1018" s="361">
        <v>83.54</v>
      </c>
      <c r="V1018" s="346">
        <v>120.96321970442467</v>
      </c>
      <c r="W1018" s="348">
        <v>119.93381313628312</v>
      </c>
      <c r="X1018" s="347">
        <v>60.78</v>
      </c>
      <c r="Y1018" s="357">
        <v>61.54</v>
      </c>
      <c r="Z1018" s="365" t="s">
        <v>3017</v>
      </c>
      <c r="AA1018" s="350">
        <v>198</v>
      </c>
      <c r="AB1018" s="349" t="s">
        <v>2685</v>
      </c>
      <c r="AC1018" s="350">
        <v>10</v>
      </c>
      <c r="AD1018" s="349" t="s">
        <v>2685</v>
      </c>
      <c r="AE1018" s="364">
        <v>0</v>
      </c>
      <c r="AF1018" s="366">
        <v>10.912000000000001</v>
      </c>
      <c r="AG1018" s="363">
        <v>0</v>
      </c>
      <c r="AH1018" s="635" t="s">
        <v>10496</v>
      </c>
      <c r="AL1018" s="487" t="s">
        <v>15420</v>
      </c>
      <c r="AM1018" s="477" t="s">
        <v>70</v>
      </c>
      <c r="AN1018" s="637">
        <v>100</v>
      </c>
      <c r="AO1018" s="478">
        <v>-1540</v>
      </c>
      <c r="AP1018" s="463">
        <v>-1540</v>
      </c>
      <c r="AQ1018" s="479">
        <v>0</v>
      </c>
      <c r="AR1018" s="476" t="s">
        <v>15421</v>
      </c>
      <c r="BA1018" s="313" t="s">
        <v>4918</v>
      </c>
    </row>
    <row r="1019" spans="2:53" ht="16.5" customHeight="1">
      <c r="B1019" s="367" t="s">
        <v>4752</v>
      </c>
      <c r="C1019" s="351" t="s">
        <v>4753</v>
      </c>
      <c r="D1019" s="353">
        <v>-1541</v>
      </c>
      <c r="E1019" s="352" t="s">
        <v>10746</v>
      </c>
      <c r="F1019" s="341">
        <v>83.53</v>
      </c>
      <c r="G1019" s="355" t="s">
        <v>10729</v>
      </c>
      <c r="H1019" s="356" t="s">
        <v>18746</v>
      </c>
      <c r="I1019" s="354" t="s">
        <v>212</v>
      </c>
      <c r="J1019" s="340" t="s">
        <v>7355</v>
      </c>
      <c r="K1019" s="339" t="s">
        <v>71</v>
      </c>
      <c r="L1019" s="357">
        <v>12</v>
      </c>
      <c r="M1019" s="358" t="s">
        <v>10731</v>
      </c>
      <c r="N1019" s="359">
        <v>800</v>
      </c>
      <c r="O1019" s="360" t="s">
        <v>532</v>
      </c>
      <c r="P1019" s="343" t="s">
        <v>532</v>
      </c>
      <c r="Q1019" s="342" t="s">
        <v>2688</v>
      </c>
      <c r="R1019" s="344">
        <v>40</v>
      </c>
      <c r="S1019" s="345">
        <v>30</v>
      </c>
      <c r="T1019" s="362">
        <v>30</v>
      </c>
      <c r="U1019" s="361">
        <v>83.53</v>
      </c>
      <c r="V1019" s="346">
        <v>120.95514550499573</v>
      </c>
      <c r="W1019" s="348">
        <v>119.92843033666382</v>
      </c>
      <c r="X1019" s="347" t="s">
        <v>18747</v>
      </c>
      <c r="Y1019" s="357" t="s">
        <v>408</v>
      </c>
      <c r="Z1019" s="365" t="s">
        <v>3017</v>
      </c>
      <c r="AA1019" s="350">
        <v>190</v>
      </c>
      <c r="AB1019" s="349" t="s">
        <v>2685</v>
      </c>
      <c r="AC1019" s="350">
        <v>10</v>
      </c>
      <c r="AD1019" s="349" t="s">
        <v>2685</v>
      </c>
      <c r="AE1019" s="364">
        <v>0</v>
      </c>
      <c r="AF1019" s="366">
        <v>0</v>
      </c>
      <c r="AG1019" s="363">
        <v>0</v>
      </c>
      <c r="AH1019" s="635" t="s">
        <v>408</v>
      </c>
      <c r="AL1019" s="487" t="s">
        <v>15422</v>
      </c>
      <c r="AM1019" s="477" t="s">
        <v>71</v>
      </c>
      <c r="AN1019" s="637">
        <v>100</v>
      </c>
      <c r="AO1019" s="478">
        <v>-1541</v>
      </c>
      <c r="AP1019" s="463">
        <v>-728</v>
      </c>
      <c r="AQ1019" s="479">
        <v>-813</v>
      </c>
      <c r="AR1019" s="476" t="s">
        <v>17083</v>
      </c>
      <c r="BA1019" s="313" t="s">
        <v>4919</v>
      </c>
    </row>
    <row r="1020" spans="2:53" ht="16.5" customHeight="1">
      <c r="B1020" s="367" t="s">
        <v>4804</v>
      </c>
      <c r="C1020" s="351" t="s">
        <v>4805</v>
      </c>
      <c r="D1020" s="353">
        <v>-1541</v>
      </c>
      <c r="E1020" s="352" t="s">
        <v>408</v>
      </c>
      <c r="F1020" s="341">
        <v>83.51</v>
      </c>
      <c r="G1020" s="355" t="s">
        <v>10730</v>
      </c>
      <c r="H1020" s="356" t="s">
        <v>4544</v>
      </c>
      <c r="I1020" s="354" t="s">
        <v>73</v>
      </c>
      <c r="J1020" s="340" t="s">
        <v>10758</v>
      </c>
      <c r="K1020" s="339" t="s">
        <v>71</v>
      </c>
      <c r="L1020" s="357" t="s">
        <v>408</v>
      </c>
      <c r="M1020" s="358" t="s">
        <v>10759</v>
      </c>
      <c r="N1020" s="359">
        <v>1000</v>
      </c>
      <c r="O1020" s="360" t="s">
        <v>530</v>
      </c>
      <c r="P1020" s="343" t="s">
        <v>531</v>
      </c>
      <c r="Q1020" s="342" t="s">
        <v>2688</v>
      </c>
      <c r="R1020" s="344">
        <v>38</v>
      </c>
      <c r="S1020" s="345">
        <v>25</v>
      </c>
      <c r="T1020" s="362">
        <v>25</v>
      </c>
      <c r="U1020" s="361">
        <v>83.51</v>
      </c>
      <c r="V1020" s="346">
        <v>120.94555133798491</v>
      </c>
      <c r="W1020" s="348">
        <v>119.92203422532327</v>
      </c>
      <c r="X1020" s="347">
        <v>61.05</v>
      </c>
      <c r="Y1020" s="357">
        <v>61.53</v>
      </c>
      <c r="Z1020" s="365" t="s">
        <v>2689</v>
      </c>
      <c r="AA1020" s="350">
        <v>125</v>
      </c>
      <c r="AB1020" s="349" t="s">
        <v>2685</v>
      </c>
      <c r="AC1020" s="350">
        <v>0</v>
      </c>
      <c r="AD1020" s="349" t="s">
        <v>2685</v>
      </c>
      <c r="AE1020" s="364">
        <v>0</v>
      </c>
      <c r="AF1020" s="366">
        <v>4.6150000000000002</v>
      </c>
      <c r="AG1020" s="363">
        <v>0</v>
      </c>
      <c r="AH1020" s="635" t="s">
        <v>8698</v>
      </c>
      <c r="AL1020" s="487" t="s">
        <v>15423</v>
      </c>
      <c r="AM1020" s="477" t="s">
        <v>71</v>
      </c>
      <c r="AN1020" s="637">
        <v>100</v>
      </c>
      <c r="AO1020" s="478">
        <v>-1541</v>
      </c>
      <c r="AP1020" s="463">
        <v>-728</v>
      </c>
      <c r="AQ1020" s="479">
        <v>-813</v>
      </c>
      <c r="AR1020" s="476" t="s">
        <v>17084</v>
      </c>
      <c r="BA1020" s="313" t="s">
        <v>4923</v>
      </c>
    </row>
    <row r="1021" spans="2:53" ht="16.5" customHeight="1">
      <c r="B1021" s="367" t="s">
        <v>10760</v>
      </c>
      <c r="C1021" s="351" t="s">
        <v>10761</v>
      </c>
      <c r="D1021" s="353">
        <v>-1542</v>
      </c>
      <c r="E1021" s="352" t="s">
        <v>408</v>
      </c>
      <c r="F1021" s="341">
        <v>83.5</v>
      </c>
      <c r="G1021" s="355" t="s">
        <v>10762</v>
      </c>
      <c r="H1021" s="356" t="s">
        <v>18748</v>
      </c>
      <c r="I1021" s="354" t="s">
        <v>497</v>
      </c>
      <c r="J1021" s="340" t="s">
        <v>9611</v>
      </c>
      <c r="K1021" s="339" t="s">
        <v>71</v>
      </c>
      <c r="L1021" s="357">
        <v>3</v>
      </c>
      <c r="M1021" s="358" t="s">
        <v>10764</v>
      </c>
      <c r="N1021" s="359">
        <v>200</v>
      </c>
      <c r="O1021" s="360" t="s">
        <v>454</v>
      </c>
      <c r="P1021" s="343" t="s">
        <v>454</v>
      </c>
      <c r="Q1021" s="342" t="s">
        <v>2738</v>
      </c>
      <c r="R1021" s="344">
        <v>50</v>
      </c>
      <c r="S1021" s="345">
        <v>0</v>
      </c>
      <c r="T1021" s="362">
        <v>0</v>
      </c>
      <c r="U1021" s="361">
        <v>83.5</v>
      </c>
      <c r="V1021" s="346">
        <v>120.9375</v>
      </c>
      <c r="W1021" s="348">
        <v>119.91666666666667</v>
      </c>
      <c r="X1021" s="347">
        <v>60.76</v>
      </c>
      <c r="Y1021" s="357" t="s">
        <v>408</v>
      </c>
      <c r="Z1021" s="365" t="s">
        <v>4408</v>
      </c>
      <c r="AA1021" s="350">
        <v>94</v>
      </c>
      <c r="AB1021" s="349" t="s">
        <v>2685</v>
      </c>
      <c r="AC1021" s="350">
        <v>1.5</v>
      </c>
      <c r="AD1021" s="349" t="s">
        <v>2685</v>
      </c>
      <c r="AE1021" s="364">
        <v>0</v>
      </c>
      <c r="AF1021" s="366">
        <v>0</v>
      </c>
      <c r="AG1021" s="363">
        <v>0</v>
      </c>
      <c r="AH1021" s="635" t="s">
        <v>10127</v>
      </c>
      <c r="AL1021" s="487" t="s">
        <v>15424</v>
      </c>
      <c r="AM1021" s="477" t="s">
        <v>71</v>
      </c>
      <c r="AN1021" s="637">
        <v>100</v>
      </c>
      <c r="AO1021" s="478">
        <v>-1542</v>
      </c>
      <c r="AP1021" s="463">
        <v>-726</v>
      </c>
      <c r="AQ1021" s="479">
        <v>-816</v>
      </c>
      <c r="AR1021" s="476" t="s">
        <v>17085</v>
      </c>
      <c r="BA1021" s="313" t="s">
        <v>4924</v>
      </c>
    </row>
    <row r="1022" spans="2:53" ht="16.5" customHeight="1">
      <c r="B1022" s="367" t="s">
        <v>10760</v>
      </c>
      <c r="C1022" s="351" t="s">
        <v>10761</v>
      </c>
      <c r="D1022" s="353">
        <v>-1542</v>
      </c>
      <c r="E1022" s="352" t="s">
        <v>4946</v>
      </c>
      <c r="F1022" s="341">
        <v>83.5</v>
      </c>
      <c r="G1022" s="355" t="s">
        <v>10765</v>
      </c>
      <c r="H1022" s="356" t="s">
        <v>18749</v>
      </c>
      <c r="I1022" s="354" t="s">
        <v>238</v>
      </c>
      <c r="J1022" s="340" t="s">
        <v>551</v>
      </c>
      <c r="K1022" s="339" t="s">
        <v>71</v>
      </c>
      <c r="L1022" s="357">
        <v>2</v>
      </c>
      <c r="M1022" s="358" t="s">
        <v>10766</v>
      </c>
      <c r="N1022" s="359">
        <v>1000</v>
      </c>
      <c r="O1022" s="360" t="s">
        <v>532</v>
      </c>
      <c r="P1022" s="343" t="s">
        <v>533</v>
      </c>
      <c r="Q1022" s="342" t="s">
        <v>2688</v>
      </c>
      <c r="R1022" s="344">
        <v>25</v>
      </c>
      <c r="S1022" s="345">
        <v>35</v>
      </c>
      <c r="T1022" s="362">
        <v>30</v>
      </c>
      <c r="U1022" s="361">
        <v>83.5</v>
      </c>
      <c r="V1022" s="346">
        <v>120.93948508331991</v>
      </c>
      <c r="W1022" s="348">
        <v>119.91799005554661</v>
      </c>
      <c r="X1022" s="347">
        <v>60.77</v>
      </c>
      <c r="Y1022" s="357">
        <v>61.53</v>
      </c>
      <c r="Z1022" s="365" t="s">
        <v>3017</v>
      </c>
      <c r="AA1022" s="350">
        <v>98</v>
      </c>
      <c r="AB1022" s="349" t="s">
        <v>2685</v>
      </c>
      <c r="AC1022" s="350">
        <v>0</v>
      </c>
      <c r="AD1022" s="349" t="s">
        <v>2685</v>
      </c>
      <c r="AE1022" s="364">
        <v>0</v>
      </c>
      <c r="AF1022" s="366">
        <v>16.905000000000001</v>
      </c>
      <c r="AG1022" s="363">
        <v>0</v>
      </c>
      <c r="AH1022" s="635" t="s">
        <v>7882</v>
      </c>
      <c r="AL1022" s="487" t="s">
        <v>15425</v>
      </c>
      <c r="AM1022" s="477" t="s">
        <v>71</v>
      </c>
      <c r="AN1022" s="637">
        <v>100</v>
      </c>
      <c r="AO1022" s="478">
        <v>-1542</v>
      </c>
      <c r="AP1022" s="463">
        <v>-726</v>
      </c>
      <c r="AQ1022" s="479">
        <v>-816</v>
      </c>
      <c r="AR1022" s="476" t="s">
        <v>17086</v>
      </c>
      <c r="BA1022" s="313" t="s">
        <v>4928</v>
      </c>
    </row>
    <row r="1023" spans="2:53" ht="16.5" customHeight="1">
      <c r="B1023" s="367" t="s">
        <v>10760</v>
      </c>
      <c r="C1023" s="351" t="s">
        <v>10761</v>
      </c>
      <c r="D1023" s="353">
        <v>-1543</v>
      </c>
      <c r="E1023" s="352" t="s">
        <v>408</v>
      </c>
      <c r="F1023" s="341">
        <v>83.5</v>
      </c>
      <c r="G1023" s="355" t="s">
        <v>10765</v>
      </c>
      <c r="H1023" s="356" t="s">
        <v>4533</v>
      </c>
      <c r="I1023" s="354" t="s">
        <v>238</v>
      </c>
      <c r="J1023" s="340" t="s">
        <v>550</v>
      </c>
      <c r="K1023" s="339" t="s">
        <v>70</v>
      </c>
      <c r="L1023" s="357">
        <v>5</v>
      </c>
      <c r="M1023" s="358" t="s">
        <v>10766</v>
      </c>
      <c r="N1023" s="359">
        <v>1000</v>
      </c>
      <c r="O1023" s="360" t="s">
        <v>532</v>
      </c>
      <c r="P1023" s="343" t="s">
        <v>533</v>
      </c>
      <c r="Q1023" s="342" t="s">
        <v>2688</v>
      </c>
      <c r="R1023" s="344">
        <v>25</v>
      </c>
      <c r="S1023" s="345">
        <v>35</v>
      </c>
      <c r="T1023" s="362">
        <v>30</v>
      </c>
      <c r="U1023" s="361">
        <v>83.5</v>
      </c>
      <c r="V1023" s="346">
        <v>120.93948508331991</v>
      </c>
      <c r="W1023" s="348">
        <v>119.91799005554661</v>
      </c>
      <c r="X1023" s="347">
        <v>60.77</v>
      </c>
      <c r="Y1023" s="357">
        <v>61.53</v>
      </c>
      <c r="Z1023" s="365" t="s">
        <v>3017</v>
      </c>
      <c r="AA1023" s="350">
        <v>98</v>
      </c>
      <c r="AB1023" s="349" t="s">
        <v>2685</v>
      </c>
      <c r="AC1023" s="350">
        <v>0</v>
      </c>
      <c r="AD1023" s="349" t="s">
        <v>2685</v>
      </c>
      <c r="AE1023" s="364">
        <v>0</v>
      </c>
      <c r="AF1023" s="366">
        <v>16.905000000000001</v>
      </c>
      <c r="AG1023" s="363">
        <v>0</v>
      </c>
      <c r="AH1023" s="635" t="s">
        <v>7882</v>
      </c>
      <c r="AL1023" s="487" t="s">
        <v>15426</v>
      </c>
      <c r="AM1023" s="477" t="s">
        <v>70</v>
      </c>
      <c r="AN1023" s="637">
        <v>100</v>
      </c>
      <c r="AO1023" s="478">
        <v>-1543</v>
      </c>
      <c r="AP1023" s="463">
        <v>-1543</v>
      </c>
      <c r="AQ1023" s="479">
        <v>0</v>
      </c>
      <c r="AR1023" s="476" t="s">
        <v>15427</v>
      </c>
      <c r="BA1023" s="313" t="s">
        <v>4929</v>
      </c>
    </row>
    <row r="1024" spans="2:53" ht="16.5" customHeight="1">
      <c r="B1024" s="367" t="s">
        <v>4811</v>
      </c>
      <c r="C1024" s="351" t="s">
        <v>4812</v>
      </c>
      <c r="D1024" s="353">
        <v>-1543</v>
      </c>
      <c r="E1024" s="352" t="s">
        <v>408</v>
      </c>
      <c r="F1024" s="341">
        <v>83.48</v>
      </c>
      <c r="G1024" s="355" t="s">
        <v>10767</v>
      </c>
      <c r="H1024" s="356" t="s">
        <v>10768</v>
      </c>
      <c r="I1024" s="354" t="s">
        <v>238</v>
      </c>
      <c r="J1024" s="340" t="s">
        <v>10769</v>
      </c>
      <c r="K1024" s="339" t="s">
        <v>70</v>
      </c>
      <c r="L1024" s="357">
        <v>4</v>
      </c>
      <c r="M1024" s="358" t="s">
        <v>10770</v>
      </c>
      <c r="N1024" s="359">
        <v>1000</v>
      </c>
      <c r="O1024" s="360" t="s">
        <v>532</v>
      </c>
      <c r="P1024" s="343" t="s">
        <v>533</v>
      </c>
      <c r="Q1024" s="342" t="s">
        <v>2688</v>
      </c>
      <c r="R1024" s="344">
        <v>25</v>
      </c>
      <c r="S1024" s="345">
        <v>35</v>
      </c>
      <c r="T1024" s="362">
        <v>30</v>
      </c>
      <c r="U1024" s="361">
        <v>83.48</v>
      </c>
      <c r="V1024" s="346">
        <v>120.92316783678298</v>
      </c>
      <c r="W1024" s="348">
        <v>119.90711189118866</v>
      </c>
      <c r="X1024" s="347">
        <v>60.76</v>
      </c>
      <c r="Y1024" s="357">
        <v>61.519999999999996</v>
      </c>
      <c r="Z1024" s="365" t="s">
        <v>3017</v>
      </c>
      <c r="AA1024" s="350">
        <v>98</v>
      </c>
      <c r="AB1024" s="349" t="s">
        <v>2685</v>
      </c>
      <c r="AC1024" s="350">
        <v>0</v>
      </c>
      <c r="AD1024" s="349" t="s">
        <v>2685</v>
      </c>
      <c r="AE1024" s="364">
        <v>0</v>
      </c>
      <c r="AF1024" s="366">
        <v>16.902999999999999</v>
      </c>
      <c r="AG1024" s="363">
        <v>0</v>
      </c>
      <c r="AH1024" s="635" t="s">
        <v>7882</v>
      </c>
      <c r="AL1024" s="487" t="s">
        <v>15428</v>
      </c>
      <c r="AM1024" s="477" t="s">
        <v>70</v>
      </c>
      <c r="AN1024" s="637">
        <v>100</v>
      </c>
      <c r="AO1024" s="478">
        <v>-1543</v>
      </c>
      <c r="AP1024" s="463">
        <v>-1543</v>
      </c>
      <c r="AQ1024" s="479">
        <v>0</v>
      </c>
      <c r="AR1024" s="476" t="s">
        <v>15429</v>
      </c>
      <c r="BA1024" s="313" t="s">
        <v>4930</v>
      </c>
    </row>
    <row r="1025" spans="2:53" ht="16.5" customHeight="1">
      <c r="B1025" s="367" t="s">
        <v>4821</v>
      </c>
      <c r="C1025" s="351" t="s">
        <v>4822</v>
      </c>
      <c r="D1025" s="353">
        <v>-1544</v>
      </c>
      <c r="E1025" s="352" t="s">
        <v>408</v>
      </c>
      <c r="F1025" s="341">
        <v>83.45</v>
      </c>
      <c r="G1025" s="355" t="s">
        <v>10771</v>
      </c>
      <c r="H1025" s="356" t="s">
        <v>4468</v>
      </c>
      <c r="I1025" s="354" t="s">
        <v>209</v>
      </c>
      <c r="J1025" s="340" t="s">
        <v>8633</v>
      </c>
      <c r="K1025" s="339" t="s">
        <v>70</v>
      </c>
      <c r="L1025" s="357">
        <v>26</v>
      </c>
      <c r="M1025" s="358" t="s">
        <v>10772</v>
      </c>
      <c r="N1025" s="359">
        <v>1000</v>
      </c>
      <c r="O1025" s="360" t="s">
        <v>530</v>
      </c>
      <c r="P1025" s="343" t="s">
        <v>530</v>
      </c>
      <c r="Q1025" s="342" t="s">
        <v>2688</v>
      </c>
      <c r="R1025" s="344">
        <v>20</v>
      </c>
      <c r="S1025" s="345">
        <v>30</v>
      </c>
      <c r="T1025" s="362">
        <v>30</v>
      </c>
      <c r="U1025" s="361">
        <v>83.45</v>
      </c>
      <c r="V1025" s="346">
        <v>120.90677027461481</v>
      </c>
      <c r="W1025" s="348">
        <v>119.89618018307655</v>
      </c>
      <c r="X1025" s="347">
        <v>60.75</v>
      </c>
      <c r="Y1025" s="357" t="s">
        <v>408</v>
      </c>
      <c r="Z1025" s="365" t="s">
        <v>3017</v>
      </c>
      <c r="AA1025" s="350">
        <v>198</v>
      </c>
      <c r="AB1025" s="349" t="s">
        <v>2685</v>
      </c>
      <c r="AC1025" s="350">
        <v>10</v>
      </c>
      <c r="AD1025" s="349" t="s">
        <v>2685</v>
      </c>
      <c r="AE1025" s="364">
        <v>0</v>
      </c>
      <c r="AF1025" s="366">
        <v>0</v>
      </c>
      <c r="AG1025" s="363">
        <v>0</v>
      </c>
      <c r="AH1025" s="635" t="s">
        <v>408</v>
      </c>
      <c r="AL1025" s="487" t="s">
        <v>15430</v>
      </c>
      <c r="AM1025" s="477" t="s">
        <v>70</v>
      </c>
      <c r="AN1025" s="637">
        <v>100</v>
      </c>
      <c r="AO1025" s="478">
        <v>-1544</v>
      </c>
      <c r="AP1025" s="463">
        <v>-1544</v>
      </c>
      <c r="AQ1025" s="479">
        <v>0</v>
      </c>
      <c r="AR1025" s="476" t="s">
        <v>15431</v>
      </c>
      <c r="BA1025" s="313" t="s">
        <v>4933</v>
      </c>
    </row>
    <row r="1026" spans="2:53" ht="16.5" customHeight="1">
      <c r="B1026" s="367" t="s">
        <v>4780</v>
      </c>
      <c r="C1026" s="351" t="s">
        <v>4781</v>
      </c>
      <c r="D1026" s="353">
        <v>-1544</v>
      </c>
      <c r="E1026" s="352" t="s">
        <v>408</v>
      </c>
      <c r="F1026" s="341">
        <v>83.43</v>
      </c>
      <c r="G1026" s="355" t="s">
        <v>11083</v>
      </c>
      <c r="H1026" s="356" t="s">
        <v>4563</v>
      </c>
      <c r="I1026" s="354" t="s">
        <v>209</v>
      </c>
      <c r="J1026" s="340" t="s">
        <v>10747</v>
      </c>
      <c r="K1026" s="339" t="s">
        <v>71</v>
      </c>
      <c r="L1026" s="357">
        <v>31</v>
      </c>
      <c r="M1026" s="358" t="s">
        <v>4903</v>
      </c>
      <c r="N1026" s="359">
        <v>1000</v>
      </c>
      <c r="O1026" s="360" t="s">
        <v>530</v>
      </c>
      <c r="P1026" s="343" t="s">
        <v>530</v>
      </c>
      <c r="Q1026" s="342" t="s">
        <v>2688</v>
      </c>
      <c r="R1026" s="344">
        <v>30</v>
      </c>
      <c r="S1026" s="345">
        <v>25</v>
      </c>
      <c r="T1026" s="362">
        <v>25</v>
      </c>
      <c r="U1026" s="361">
        <v>83.43</v>
      </c>
      <c r="V1026" s="346">
        <v>120.8920743658399</v>
      </c>
      <c r="W1026" s="348">
        <v>119.88638291055995</v>
      </c>
      <c r="X1026" s="347">
        <v>61.02</v>
      </c>
      <c r="Y1026" s="357" t="s">
        <v>408</v>
      </c>
      <c r="Z1026" s="365" t="s">
        <v>3017</v>
      </c>
      <c r="AA1026" s="350">
        <v>198</v>
      </c>
      <c r="AB1026" s="349" t="s">
        <v>2685</v>
      </c>
      <c r="AC1026" s="350">
        <v>10</v>
      </c>
      <c r="AD1026" s="349" t="s">
        <v>2685</v>
      </c>
      <c r="AE1026" s="364">
        <v>0</v>
      </c>
      <c r="AF1026" s="366">
        <v>0</v>
      </c>
      <c r="AG1026" s="363">
        <v>0</v>
      </c>
      <c r="AH1026" s="635" t="s">
        <v>408</v>
      </c>
      <c r="AL1026" s="487" t="s">
        <v>15432</v>
      </c>
      <c r="AM1026" s="477" t="s">
        <v>71</v>
      </c>
      <c r="AN1026" s="637">
        <v>100</v>
      </c>
      <c r="AO1026" s="478">
        <v>-1544</v>
      </c>
      <c r="AP1026" s="463">
        <v>-728</v>
      </c>
      <c r="AQ1026" s="479">
        <v>-816</v>
      </c>
      <c r="AR1026" s="476" t="s">
        <v>17087</v>
      </c>
      <c r="BA1026" s="313" t="s">
        <v>4936</v>
      </c>
    </row>
    <row r="1027" spans="2:53" ht="16.5" customHeight="1">
      <c r="B1027" s="367" t="s">
        <v>10773</v>
      </c>
      <c r="C1027" s="351" t="s">
        <v>10774</v>
      </c>
      <c r="D1027" s="353">
        <v>-1545</v>
      </c>
      <c r="E1027" s="352" t="s">
        <v>408</v>
      </c>
      <c r="F1027" s="341">
        <v>83.43</v>
      </c>
      <c r="G1027" s="355" t="s">
        <v>10775</v>
      </c>
      <c r="H1027" s="356" t="s">
        <v>10776</v>
      </c>
      <c r="I1027" s="354" t="s">
        <v>301</v>
      </c>
      <c r="J1027" s="340" t="s">
        <v>420</v>
      </c>
      <c r="K1027" s="339" t="s">
        <v>70</v>
      </c>
      <c r="L1027" s="357">
        <v>208</v>
      </c>
      <c r="M1027" s="358" t="s">
        <v>10777</v>
      </c>
      <c r="N1027" s="359">
        <v>1000</v>
      </c>
      <c r="O1027" s="360" t="s">
        <v>530</v>
      </c>
      <c r="P1027" s="343" t="s">
        <v>531</v>
      </c>
      <c r="Q1027" s="342" t="s">
        <v>2688</v>
      </c>
      <c r="R1027" s="344">
        <v>20</v>
      </c>
      <c r="S1027" s="345">
        <v>35</v>
      </c>
      <c r="T1027" s="362">
        <v>25</v>
      </c>
      <c r="U1027" s="361">
        <v>83.43</v>
      </c>
      <c r="V1027" s="346">
        <v>120.89612482331682</v>
      </c>
      <c r="W1027" s="348">
        <v>119.88908321554455</v>
      </c>
      <c r="X1027" s="347">
        <v>60.74</v>
      </c>
      <c r="Y1027" s="357">
        <v>61.5</v>
      </c>
      <c r="Z1027" s="365" t="s">
        <v>3017</v>
      </c>
      <c r="AA1027" s="350">
        <v>198</v>
      </c>
      <c r="AB1027" s="349" t="s">
        <v>2685</v>
      </c>
      <c r="AC1027" s="350">
        <v>10</v>
      </c>
      <c r="AD1027" s="349" t="s">
        <v>2685</v>
      </c>
      <c r="AE1027" s="364">
        <v>0</v>
      </c>
      <c r="AF1027" s="366">
        <v>10.907</v>
      </c>
      <c r="AG1027" s="363">
        <v>0</v>
      </c>
      <c r="AH1027" s="635" t="s">
        <v>10496</v>
      </c>
      <c r="AL1027" s="487" t="s">
        <v>7198</v>
      </c>
      <c r="AM1027" s="477" t="s">
        <v>70</v>
      </c>
      <c r="AN1027" s="637">
        <v>100</v>
      </c>
      <c r="AO1027" s="478">
        <v>-1545</v>
      </c>
      <c r="AP1027" s="463">
        <v>-1545</v>
      </c>
      <c r="AQ1027" s="479">
        <v>0</v>
      </c>
      <c r="AR1027" s="476" t="s">
        <v>15433</v>
      </c>
      <c r="BA1027" s="313" t="s">
        <v>4937</v>
      </c>
    </row>
    <row r="1028" spans="2:53" ht="16.5" customHeight="1">
      <c r="B1028" s="367" t="s">
        <v>4827</v>
      </c>
      <c r="C1028" s="351" t="s">
        <v>4828</v>
      </c>
      <c r="D1028" s="353">
        <v>-1545</v>
      </c>
      <c r="E1028" s="352" t="s">
        <v>408</v>
      </c>
      <c r="F1028" s="341">
        <v>83.42</v>
      </c>
      <c r="G1028" s="355" t="s">
        <v>4935</v>
      </c>
      <c r="H1028" s="356" t="s">
        <v>4563</v>
      </c>
      <c r="I1028" s="354" t="s">
        <v>238</v>
      </c>
      <c r="J1028" s="340" t="s">
        <v>7253</v>
      </c>
      <c r="K1028" s="339" t="s">
        <v>71</v>
      </c>
      <c r="L1028" s="357">
        <v>44</v>
      </c>
      <c r="M1028" s="358" t="s">
        <v>10778</v>
      </c>
      <c r="N1028" s="359">
        <v>1000</v>
      </c>
      <c r="O1028" s="360" t="s">
        <v>532</v>
      </c>
      <c r="P1028" s="343" t="s">
        <v>533</v>
      </c>
      <c r="Q1028" s="342" t="s">
        <v>2688</v>
      </c>
      <c r="R1028" s="344">
        <v>35</v>
      </c>
      <c r="S1028" s="345">
        <v>30</v>
      </c>
      <c r="T1028" s="362">
        <v>25</v>
      </c>
      <c r="U1028" s="361">
        <v>83.42</v>
      </c>
      <c r="V1028" s="346">
        <v>120.88732623517433</v>
      </c>
      <c r="W1028" s="348">
        <v>119.88321749011621</v>
      </c>
      <c r="X1028" s="347">
        <v>61.02</v>
      </c>
      <c r="Y1028" s="357">
        <v>61.5</v>
      </c>
      <c r="Z1028" s="365" t="s">
        <v>3017</v>
      </c>
      <c r="AA1028" s="350">
        <v>98</v>
      </c>
      <c r="AB1028" s="349" t="s">
        <v>2685</v>
      </c>
      <c r="AC1028" s="350">
        <v>0</v>
      </c>
      <c r="AD1028" s="349" t="s">
        <v>2685</v>
      </c>
      <c r="AE1028" s="364">
        <v>0</v>
      </c>
      <c r="AF1028" s="366">
        <v>6.5890000000000004</v>
      </c>
      <c r="AG1028" s="363">
        <v>0</v>
      </c>
      <c r="AH1028" s="635" t="s">
        <v>8698</v>
      </c>
      <c r="AL1028" s="487" t="s">
        <v>15434</v>
      </c>
      <c r="AM1028" s="477" t="s">
        <v>71</v>
      </c>
      <c r="AN1028" s="637">
        <v>100</v>
      </c>
      <c r="AO1028" s="478">
        <v>-1545</v>
      </c>
      <c r="AP1028" s="463">
        <v>-729</v>
      </c>
      <c r="AQ1028" s="479">
        <v>-816</v>
      </c>
      <c r="AR1028" s="476" t="s">
        <v>17087</v>
      </c>
      <c r="BA1028" s="313" t="s">
        <v>4939</v>
      </c>
    </row>
    <row r="1029" spans="2:53" ht="16.5" customHeight="1">
      <c r="B1029" s="367" t="s">
        <v>4827</v>
      </c>
      <c r="C1029" s="351" t="s">
        <v>4828</v>
      </c>
      <c r="D1029" s="353">
        <v>-1546</v>
      </c>
      <c r="E1029" s="352" t="s">
        <v>4954</v>
      </c>
      <c r="F1029" s="341">
        <v>83.42</v>
      </c>
      <c r="G1029" s="355" t="s">
        <v>4935</v>
      </c>
      <c r="H1029" s="356" t="s">
        <v>4563</v>
      </c>
      <c r="I1029" s="354" t="s">
        <v>238</v>
      </c>
      <c r="J1029" s="340" t="s">
        <v>8659</v>
      </c>
      <c r="K1029" s="339" t="s">
        <v>71</v>
      </c>
      <c r="L1029" s="357">
        <v>6</v>
      </c>
      <c r="M1029" s="358" t="s">
        <v>10779</v>
      </c>
      <c r="N1029" s="359">
        <v>1000</v>
      </c>
      <c r="O1029" s="360" t="s">
        <v>532</v>
      </c>
      <c r="P1029" s="343" t="s">
        <v>533</v>
      </c>
      <c r="Q1029" s="342" t="s">
        <v>2688</v>
      </c>
      <c r="R1029" s="344">
        <v>35</v>
      </c>
      <c r="S1029" s="345">
        <v>25</v>
      </c>
      <c r="T1029" s="362">
        <v>25</v>
      </c>
      <c r="U1029" s="361">
        <v>83.42</v>
      </c>
      <c r="V1029" s="346">
        <v>120.88805040419849</v>
      </c>
      <c r="W1029" s="348">
        <v>119.88370026946566</v>
      </c>
      <c r="X1029" s="347">
        <v>61.02</v>
      </c>
      <c r="Y1029" s="357">
        <v>61.5</v>
      </c>
      <c r="Z1029" s="365" t="s">
        <v>3017</v>
      </c>
      <c r="AA1029" s="350">
        <v>148</v>
      </c>
      <c r="AB1029" s="349" t="s">
        <v>2685</v>
      </c>
      <c r="AC1029" s="350">
        <v>0</v>
      </c>
      <c r="AD1029" s="349" t="s">
        <v>2685</v>
      </c>
      <c r="AE1029" s="364">
        <v>0</v>
      </c>
      <c r="AF1029" s="366">
        <v>0</v>
      </c>
      <c r="AG1029" s="363">
        <v>0</v>
      </c>
      <c r="AH1029" s="635" t="s">
        <v>408</v>
      </c>
      <c r="AL1029" s="487" t="s">
        <v>15435</v>
      </c>
      <c r="AM1029" s="477" t="s">
        <v>71</v>
      </c>
      <c r="AN1029" s="637">
        <v>100</v>
      </c>
      <c r="AO1029" s="478">
        <v>-1546</v>
      </c>
      <c r="AP1029" s="463">
        <v>-729</v>
      </c>
      <c r="AQ1029" s="479">
        <v>-817</v>
      </c>
      <c r="AR1029" s="476" t="s">
        <v>17087</v>
      </c>
      <c r="BA1029" s="313" t="s">
        <v>4943</v>
      </c>
    </row>
    <row r="1030" spans="2:53" ht="16.5" customHeight="1">
      <c r="B1030" s="367" t="s">
        <v>4834</v>
      </c>
      <c r="C1030" s="351" t="s">
        <v>4835</v>
      </c>
      <c r="D1030" s="353">
        <v>-1546</v>
      </c>
      <c r="E1030" s="352" t="s">
        <v>4954</v>
      </c>
      <c r="F1030" s="341">
        <v>83.39</v>
      </c>
      <c r="G1030" s="355" t="s">
        <v>18750</v>
      </c>
      <c r="H1030" s="356" t="s">
        <v>10320</v>
      </c>
      <c r="I1030" s="354" t="s">
        <v>238</v>
      </c>
      <c r="J1030" s="340" t="s">
        <v>8726</v>
      </c>
      <c r="K1030" s="339" t="s">
        <v>71</v>
      </c>
      <c r="L1030" s="357">
        <v>7</v>
      </c>
      <c r="M1030" s="358" t="s">
        <v>10781</v>
      </c>
      <c r="N1030" s="359">
        <v>1000</v>
      </c>
      <c r="O1030" s="360" t="s">
        <v>532</v>
      </c>
      <c r="P1030" s="343" t="s">
        <v>533</v>
      </c>
      <c r="Q1030" s="342" t="s">
        <v>2688</v>
      </c>
      <c r="R1030" s="344">
        <v>35</v>
      </c>
      <c r="S1030" s="345">
        <v>25</v>
      </c>
      <c r="T1030" s="362">
        <v>25</v>
      </c>
      <c r="U1030" s="361">
        <v>83.39</v>
      </c>
      <c r="V1030" s="346">
        <v>120.87087638115858</v>
      </c>
      <c r="W1030" s="348">
        <v>119.87225092077239</v>
      </c>
      <c r="X1030" s="347">
        <v>61.01</v>
      </c>
      <c r="Y1030" s="357">
        <v>61.489999999999995</v>
      </c>
      <c r="Z1030" s="365" t="s">
        <v>3017</v>
      </c>
      <c r="AA1030" s="350">
        <v>148</v>
      </c>
      <c r="AB1030" s="349" t="s">
        <v>2685</v>
      </c>
      <c r="AC1030" s="350">
        <v>0</v>
      </c>
      <c r="AD1030" s="349" t="s">
        <v>2685</v>
      </c>
      <c r="AE1030" s="364">
        <v>0</v>
      </c>
      <c r="AF1030" s="366">
        <v>0</v>
      </c>
      <c r="AG1030" s="363">
        <v>0</v>
      </c>
      <c r="AH1030" s="635" t="s">
        <v>408</v>
      </c>
      <c r="AL1030" s="487" t="s">
        <v>15436</v>
      </c>
      <c r="AM1030" s="477" t="s">
        <v>71</v>
      </c>
      <c r="AN1030" s="637">
        <v>100</v>
      </c>
      <c r="AO1030" s="478">
        <v>-1546</v>
      </c>
      <c r="AP1030" s="463">
        <v>-729</v>
      </c>
      <c r="AQ1030" s="479">
        <v>-817</v>
      </c>
      <c r="AR1030" s="476" t="s">
        <v>17088</v>
      </c>
      <c r="BA1030" s="313" t="s">
        <v>4947</v>
      </c>
    </row>
    <row r="1031" spans="2:53" ht="16.5" customHeight="1">
      <c r="B1031" s="367" t="s">
        <v>10782</v>
      </c>
      <c r="C1031" s="351" t="s">
        <v>10783</v>
      </c>
      <c r="D1031" s="353">
        <v>-1547</v>
      </c>
      <c r="E1031" s="352" t="s">
        <v>10780</v>
      </c>
      <c r="F1031" s="341">
        <v>83.39</v>
      </c>
      <c r="G1031" s="355" t="s">
        <v>10784</v>
      </c>
      <c r="H1031" s="356" t="s">
        <v>4480</v>
      </c>
      <c r="I1031" s="354" t="s">
        <v>301</v>
      </c>
      <c r="J1031" s="340" t="s">
        <v>10785</v>
      </c>
      <c r="K1031" s="339" t="s">
        <v>70</v>
      </c>
      <c r="L1031" s="357">
        <v>126</v>
      </c>
      <c r="M1031" s="358" t="s">
        <v>10786</v>
      </c>
      <c r="N1031" s="359">
        <v>1000</v>
      </c>
      <c r="O1031" s="360" t="s">
        <v>530</v>
      </c>
      <c r="P1031" s="343" t="s">
        <v>531</v>
      </c>
      <c r="Q1031" s="342" t="s">
        <v>2688</v>
      </c>
      <c r="R1031" s="344">
        <v>20</v>
      </c>
      <c r="S1031" s="345">
        <v>35</v>
      </c>
      <c r="T1031" s="362">
        <v>25</v>
      </c>
      <c r="U1031" s="361">
        <v>83.39</v>
      </c>
      <c r="V1031" s="346">
        <v>120.86671407779836</v>
      </c>
      <c r="W1031" s="348">
        <v>119.86947605186558</v>
      </c>
      <c r="X1031" s="347">
        <v>60.73</v>
      </c>
      <c r="Y1031" s="357">
        <v>61.489999999999995</v>
      </c>
      <c r="Z1031" s="365" t="s">
        <v>3017</v>
      </c>
      <c r="AA1031" s="350">
        <v>198</v>
      </c>
      <c r="AB1031" s="349" t="s">
        <v>2685</v>
      </c>
      <c r="AC1031" s="350">
        <v>10</v>
      </c>
      <c r="AD1031" s="349" t="s">
        <v>2685</v>
      </c>
      <c r="AE1031" s="364">
        <v>0</v>
      </c>
      <c r="AF1031" s="366">
        <v>18.175000000000001</v>
      </c>
      <c r="AG1031" s="363">
        <v>0</v>
      </c>
      <c r="AH1031" s="635" t="s">
        <v>10787</v>
      </c>
      <c r="AL1031" s="487" t="s">
        <v>15437</v>
      </c>
      <c r="AM1031" s="477" t="s">
        <v>70</v>
      </c>
      <c r="AN1031" s="637">
        <v>100</v>
      </c>
      <c r="AO1031" s="478">
        <v>-1547</v>
      </c>
      <c r="AP1031" s="463">
        <v>-1547</v>
      </c>
      <c r="AQ1031" s="479">
        <v>0</v>
      </c>
      <c r="AR1031" s="476" t="s">
        <v>15438</v>
      </c>
      <c r="BA1031" s="313" t="s">
        <v>4949</v>
      </c>
    </row>
    <row r="1032" spans="2:53" ht="16.5" customHeight="1">
      <c r="B1032" s="367" t="s">
        <v>10792</v>
      </c>
      <c r="C1032" s="351" t="s">
        <v>10793</v>
      </c>
      <c r="D1032" s="353">
        <v>-1547</v>
      </c>
      <c r="E1032" s="352" t="s">
        <v>408</v>
      </c>
      <c r="F1032" s="341">
        <v>83.35</v>
      </c>
      <c r="G1032" s="355" t="s">
        <v>4960</v>
      </c>
      <c r="H1032" s="356" t="s">
        <v>4559</v>
      </c>
      <c r="I1032" s="354" t="s">
        <v>238</v>
      </c>
      <c r="J1032" s="340" t="s">
        <v>7251</v>
      </c>
      <c r="K1032" s="339" t="s">
        <v>70</v>
      </c>
      <c r="L1032" s="357">
        <v>131</v>
      </c>
      <c r="M1032" s="358" t="s">
        <v>10794</v>
      </c>
      <c r="N1032" s="359">
        <v>1000</v>
      </c>
      <c r="O1032" s="360" t="s">
        <v>532</v>
      </c>
      <c r="P1032" s="343" t="s">
        <v>533</v>
      </c>
      <c r="Q1032" s="342" t="s">
        <v>2688</v>
      </c>
      <c r="R1032" s="344">
        <v>25</v>
      </c>
      <c r="S1032" s="345">
        <v>40</v>
      </c>
      <c r="T1032" s="362">
        <v>25</v>
      </c>
      <c r="U1032" s="361">
        <v>83.35</v>
      </c>
      <c r="V1032" s="346">
        <v>120.84284935620886</v>
      </c>
      <c r="W1032" s="348">
        <v>119.85356623747258</v>
      </c>
      <c r="X1032" s="347">
        <v>60.71</v>
      </c>
      <c r="Y1032" s="357">
        <v>61.47</v>
      </c>
      <c r="Z1032" s="365" t="s">
        <v>3017</v>
      </c>
      <c r="AA1032" s="350">
        <v>98</v>
      </c>
      <c r="AB1032" s="349" t="s">
        <v>2685</v>
      </c>
      <c r="AC1032" s="350">
        <v>0</v>
      </c>
      <c r="AD1032" s="349" t="s">
        <v>2685</v>
      </c>
      <c r="AE1032" s="364">
        <v>0</v>
      </c>
      <c r="AF1032" s="366">
        <v>6.5860000000000003</v>
      </c>
      <c r="AG1032" s="363">
        <v>0</v>
      </c>
      <c r="AH1032" s="635" t="s">
        <v>7791</v>
      </c>
      <c r="AL1032" s="487" t="s">
        <v>15439</v>
      </c>
      <c r="AM1032" s="477" t="s">
        <v>70</v>
      </c>
      <c r="AN1032" s="637">
        <v>100</v>
      </c>
      <c r="AO1032" s="478">
        <v>-1547</v>
      </c>
      <c r="AP1032" s="463">
        <v>-1547</v>
      </c>
      <c r="AQ1032" s="479">
        <v>0</v>
      </c>
      <c r="AR1032" s="476" t="s">
        <v>15440</v>
      </c>
      <c r="BA1032" s="313" t="s">
        <v>4950</v>
      </c>
    </row>
    <row r="1033" spans="2:53" ht="16.5" customHeight="1">
      <c r="B1033" s="367" t="s">
        <v>4846</v>
      </c>
      <c r="C1033" s="351" t="s">
        <v>4847</v>
      </c>
      <c r="D1033" s="353">
        <v>-1548</v>
      </c>
      <c r="E1033" s="352" t="s">
        <v>10790</v>
      </c>
      <c r="F1033" s="341">
        <v>83.32</v>
      </c>
      <c r="G1033" s="355" t="s">
        <v>4881</v>
      </c>
      <c r="H1033" s="356" t="s">
        <v>4568</v>
      </c>
      <c r="I1033" s="354" t="s">
        <v>238</v>
      </c>
      <c r="J1033" s="340" t="s">
        <v>10795</v>
      </c>
      <c r="K1033" s="339" t="s">
        <v>70</v>
      </c>
      <c r="L1033" s="357">
        <v>32</v>
      </c>
      <c r="M1033" s="358" t="s">
        <v>5061</v>
      </c>
      <c r="N1033" s="359">
        <v>1000</v>
      </c>
      <c r="O1033" s="360" t="s">
        <v>532</v>
      </c>
      <c r="P1033" s="343" t="s">
        <v>533</v>
      </c>
      <c r="Q1033" s="342" t="s">
        <v>2688</v>
      </c>
      <c r="R1033" s="344">
        <v>25</v>
      </c>
      <c r="S1033" s="345">
        <v>35</v>
      </c>
      <c r="T1033" s="362">
        <v>30</v>
      </c>
      <c r="U1033" s="361">
        <v>83.32</v>
      </c>
      <c r="V1033" s="346">
        <v>120.82526435756144</v>
      </c>
      <c r="W1033" s="348">
        <v>119.84184290504096</v>
      </c>
      <c r="X1033" s="347">
        <v>60.71</v>
      </c>
      <c r="Y1033" s="357">
        <v>61.46</v>
      </c>
      <c r="Z1033" s="365" t="s">
        <v>3017</v>
      </c>
      <c r="AA1033" s="350">
        <v>98</v>
      </c>
      <c r="AB1033" s="349" t="s">
        <v>2685</v>
      </c>
      <c r="AC1033" s="350">
        <v>0</v>
      </c>
      <c r="AD1033" s="349" t="s">
        <v>2685</v>
      </c>
      <c r="AE1033" s="364">
        <v>0</v>
      </c>
      <c r="AF1033" s="366">
        <v>16.89</v>
      </c>
      <c r="AG1033" s="363">
        <v>0</v>
      </c>
      <c r="AH1033" s="635" t="s">
        <v>7882</v>
      </c>
      <c r="AL1033" s="487" t="s">
        <v>15441</v>
      </c>
      <c r="AM1033" s="477" t="s">
        <v>70</v>
      </c>
      <c r="AN1033" s="637">
        <v>100</v>
      </c>
      <c r="AO1033" s="478">
        <v>-1548</v>
      </c>
      <c r="AP1033" s="463">
        <v>-1548</v>
      </c>
      <c r="AQ1033" s="479">
        <v>0</v>
      </c>
      <c r="AR1033" s="476" t="s">
        <v>15442</v>
      </c>
      <c r="BA1033" s="313" t="s">
        <v>4951</v>
      </c>
    </row>
    <row r="1034" spans="2:53" ht="16.5" customHeight="1">
      <c r="B1034" s="367" t="s">
        <v>10788</v>
      </c>
      <c r="C1034" s="351" t="s">
        <v>10789</v>
      </c>
      <c r="D1034" s="353">
        <v>-1548</v>
      </c>
      <c r="E1034" s="352" t="s">
        <v>408</v>
      </c>
      <c r="F1034" s="341">
        <v>83.29</v>
      </c>
      <c r="G1034" s="355" t="s">
        <v>4931</v>
      </c>
      <c r="H1034" s="356" t="s">
        <v>10333</v>
      </c>
      <c r="I1034" s="354" t="s">
        <v>221</v>
      </c>
      <c r="J1034" s="340" t="s">
        <v>10797</v>
      </c>
      <c r="K1034" s="339" t="s">
        <v>71</v>
      </c>
      <c r="L1034" s="357">
        <v>28</v>
      </c>
      <c r="M1034" s="358" t="s">
        <v>10798</v>
      </c>
      <c r="N1034" s="359">
        <v>1000</v>
      </c>
      <c r="O1034" s="360" t="s">
        <v>532</v>
      </c>
      <c r="P1034" s="343" t="s">
        <v>533</v>
      </c>
      <c r="Q1034" s="342" t="s">
        <v>2688</v>
      </c>
      <c r="R1034" s="344">
        <v>35</v>
      </c>
      <c r="S1034" s="345">
        <v>25</v>
      </c>
      <c r="T1034" s="362">
        <v>25</v>
      </c>
      <c r="U1034" s="361">
        <v>83.29</v>
      </c>
      <c r="V1034" s="346">
        <v>120.80508426965335</v>
      </c>
      <c r="W1034" s="348">
        <v>119.82838951310222</v>
      </c>
      <c r="X1034" s="347">
        <v>60.97</v>
      </c>
      <c r="Y1034" s="357">
        <v>61.55</v>
      </c>
      <c r="Z1034" s="365" t="s">
        <v>3017</v>
      </c>
      <c r="AA1034" s="350">
        <v>144</v>
      </c>
      <c r="AB1034" s="349" t="s">
        <v>2685</v>
      </c>
      <c r="AC1034" s="350">
        <v>0</v>
      </c>
      <c r="AD1034" s="349" t="s">
        <v>2685</v>
      </c>
      <c r="AE1034" s="364">
        <v>0</v>
      </c>
      <c r="AF1034" s="366">
        <v>0</v>
      </c>
      <c r="AG1034" s="363">
        <v>0</v>
      </c>
      <c r="AH1034" s="635" t="s">
        <v>408</v>
      </c>
      <c r="AL1034" s="487" t="s">
        <v>15443</v>
      </c>
      <c r="AM1034" s="477" t="s">
        <v>71</v>
      </c>
      <c r="AN1034" s="637">
        <v>100</v>
      </c>
      <c r="AO1034" s="478">
        <v>-1548</v>
      </c>
      <c r="AP1034" s="463">
        <v>-729</v>
      </c>
      <c r="AQ1034" s="479">
        <v>-819</v>
      </c>
      <c r="AR1034" s="476" t="s">
        <v>15471</v>
      </c>
      <c r="BA1034" s="313" t="s">
        <v>4955</v>
      </c>
    </row>
    <row r="1035" spans="2:53" ht="16.5" customHeight="1">
      <c r="B1035" s="367" t="s">
        <v>18224</v>
      </c>
      <c r="C1035" s="351" t="s">
        <v>18225</v>
      </c>
      <c r="D1035" s="353">
        <v>-1549</v>
      </c>
      <c r="E1035" s="352" t="s">
        <v>408</v>
      </c>
      <c r="F1035" s="341">
        <v>83.29</v>
      </c>
      <c r="G1035" s="355" t="s">
        <v>18751</v>
      </c>
      <c r="H1035" s="356" t="s">
        <v>10306</v>
      </c>
      <c r="I1035" s="354" t="s">
        <v>9189</v>
      </c>
      <c r="J1035" s="340" t="s">
        <v>10734</v>
      </c>
      <c r="K1035" s="339" t="s">
        <v>70</v>
      </c>
      <c r="L1035" s="357">
        <v>14</v>
      </c>
      <c r="M1035" s="358" t="s">
        <v>10735</v>
      </c>
      <c r="N1035" s="359">
        <v>1000</v>
      </c>
      <c r="O1035" s="360" t="s">
        <v>532</v>
      </c>
      <c r="P1035" s="343" t="s">
        <v>532</v>
      </c>
      <c r="Q1035" s="342" t="s">
        <v>2688</v>
      </c>
      <c r="R1035" s="344">
        <v>20</v>
      </c>
      <c r="S1035" s="345">
        <v>35</v>
      </c>
      <c r="T1035" s="362">
        <v>25</v>
      </c>
      <c r="U1035" s="361">
        <v>83.29</v>
      </c>
      <c r="V1035" s="346">
        <v>120.80494610558031</v>
      </c>
      <c r="W1035" s="348">
        <v>119.82829740372021</v>
      </c>
      <c r="X1035" s="347" t="s">
        <v>18752</v>
      </c>
      <c r="Y1035" s="357" t="s">
        <v>408</v>
      </c>
      <c r="Z1035" s="365" t="s">
        <v>3017</v>
      </c>
      <c r="AA1035" s="350">
        <v>195.56</v>
      </c>
      <c r="AB1035" s="349" t="s">
        <v>2685</v>
      </c>
      <c r="AC1035" s="350">
        <v>0</v>
      </c>
      <c r="AD1035" s="349" t="s">
        <v>2685</v>
      </c>
      <c r="AE1035" s="364">
        <v>0</v>
      </c>
      <c r="AF1035" s="366">
        <v>15.407999999999999</v>
      </c>
      <c r="AG1035" s="363">
        <v>0</v>
      </c>
      <c r="AH1035" s="635" t="s">
        <v>9517</v>
      </c>
      <c r="AL1035" s="487" t="s">
        <v>15416</v>
      </c>
      <c r="AM1035" s="477" t="s">
        <v>70</v>
      </c>
      <c r="AN1035" s="637">
        <v>100</v>
      </c>
      <c r="AO1035" s="478">
        <v>-1549</v>
      </c>
      <c r="AP1035" s="463">
        <v>-1549</v>
      </c>
      <c r="AQ1035" s="479">
        <v>0</v>
      </c>
      <c r="AR1035" s="476" t="s">
        <v>17247</v>
      </c>
      <c r="BA1035" s="313" t="s">
        <v>4957</v>
      </c>
    </row>
    <row r="1036" spans="2:53" ht="16.5" customHeight="1">
      <c r="B1036" s="367" t="s">
        <v>10799</v>
      </c>
      <c r="C1036" s="351" t="s">
        <v>10800</v>
      </c>
      <c r="D1036" s="353">
        <v>-1549</v>
      </c>
      <c r="E1036" s="352" t="s">
        <v>10796</v>
      </c>
      <c r="F1036" s="341">
        <v>83.25</v>
      </c>
      <c r="G1036" s="355" t="s">
        <v>10801</v>
      </c>
      <c r="H1036" s="356" t="s">
        <v>10802</v>
      </c>
      <c r="I1036" s="354" t="s">
        <v>195</v>
      </c>
      <c r="J1036" s="340" t="s">
        <v>10125</v>
      </c>
      <c r="K1036" s="339" t="s">
        <v>70</v>
      </c>
      <c r="L1036" s="357">
        <v>14</v>
      </c>
      <c r="M1036" s="358" t="s">
        <v>10803</v>
      </c>
      <c r="N1036" s="359">
        <v>100</v>
      </c>
      <c r="O1036" s="360" t="s">
        <v>454</v>
      </c>
      <c r="P1036" s="343" t="s">
        <v>454</v>
      </c>
      <c r="Q1036" s="342" t="s">
        <v>2738</v>
      </c>
      <c r="R1036" s="344">
        <v>25</v>
      </c>
      <c r="S1036" s="345">
        <v>35</v>
      </c>
      <c r="T1036" s="362">
        <v>20</v>
      </c>
      <c r="U1036" s="361">
        <v>83.25</v>
      </c>
      <c r="V1036" s="346">
        <v>120.78125</v>
      </c>
      <c r="W1036" s="348">
        <v>119.8125</v>
      </c>
      <c r="X1036" s="347">
        <v>60.68</v>
      </c>
      <c r="Y1036" s="357" t="s">
        <v>408</v>
      </c>
      <c r="Z1036" s="365" t="s">
        <v>3017</v>
      </c>
      <c r="AA1036" s="350">
        <v>19</v>
      </c>
      <c r="AB1036" s="349" t="s">
        <v>2685</v>
      </c>
      <c r="AC1036" s="350">
        <v>0</v>
      </c>
      <c r="AD1036" s="349" t="s">
        <v>2685</v>
      </c>
      <c r="AE1036" s="364">
        <v>0</v>
      </c>
      <c r="AF1036" s="366">
        <v>0</v>
      </c>
      <c r="AG1036" s="363">
        <v>0</v>
      </c>
      <c r="AH1036" s="635" t="s">
        <v>408</v>
      </c>
      <c r="AL1036" s="487" t="s">
        <v>15444</v>
      </c>
      <c r="AM1036" s="477" t="s">
        <v>70</v>
      </c>
      <c r="AN1036" s="637">
        <v>100</v>
      </c>
      <c r="AO1036" s="478">
        <v>-1549</v>
      </c>
      <c r="AP1036" s="463">
        <v>-1549</v>
      </c>
      <c r="AQ1036" s="479">
        <v>0</v>
      </c>
      <c r="AR1036" s="476" t="s">
        <v>15445</v>
      </c>
      <c r="BA1036" s="313" t="s">
        <v>4961</v>
      </c>
    </row>
    <row r="1037" spans="2:53" ht="16.5" customHeight="1">
      <c r="B1037" s="367" t="s">
        <v>10799</v>
      </c>
      <c r="C1037" s="351" t="s">
        <v>10800</v>
      </c>
      <c r="D1037" s="353">
        <v>-1550</v>
      </c>
      <c r="E1037" s="352" t="s">
        <v>408</v>
      </c>
      <c r="F1037" s="341">
        <v>83.24</v>
      </c>
      <c r="G1037" s="355" t="s">
        <v>10804</v>
      </c>
      <c r="H1037" s="356" t="s">
        <v>10802</v>
      </c>
      <c r="I1037" s="354" t="s">
        <v>221</v>
      </c>
      <c r="J1037" s="340" t="s">
        <v>10633</v>
      </c>
      <c r="K1037" s="339" t="s">
        <v>70</v>
      </c>
      <c r="L1037" s="357">
        <v>7</v>
      </c>
      <c r="M1037" s="358" t="s">
        <v>10625</v>
      </c>
      <c r="N1037" s="359">
        <v>1000</v>
      </c>
      <c r="O1037" s="360" t="s">
        <v>532</v>
      </c>
      <c r="P1037" s="343" t="s">
        <v>533</v>
      </c>
      <c r="Q1037" s="342" t="s">
        <v>2688</v>
      </c>
      <c r="R1037" s="344">
        <v>20</v>
      </c>
      <c r="S1037" s="345">
        <v>35</v>
      </c>
      <c r="T1037" s="362">
        <v>30</v>
      </c>
      <c r="U1037" s="361">
        <v>83.24</v>
      </c>
      <c r="V1037" s="346">
        <v>120.77667726612202</v>
      </c>
      <c r="W1037" s="348">
        <v>119.80945151074802</v>
      </c>
      <c r="X1037" s="347">
        <v>60.68</v>
      </c>
      <c r="Y1037" s="357">
        <v>61.32</v>
      </c>
      <c r="Z1037" s="365" t="s">
        <v>3017</v>
      </c>
      <c r="AA1037" s="350">
        <v>144</v>
      </c>
      <c r="AB1037" s="349" t="s">
        <v>2685</v>
      </c>
      <c r="AC1037" s="350">
        <v>0</v>
      </c>
      <c r="AD1037" s="349" t="s">
        <v>2685</v>
      </c>
      <c r="AE1037" s="364">
        <v>0</v>
      </c>
      <c r="AF1037" s="366">
        <v>16.863</v>
      </c>
      <c r="AG1037" s="363">
        <v>0</v>
      </c>
      <c r="AH1037" s="635" t="s">
        <v>7882</v>
      </c>
      <c r="AL1037" s="487" t="s">
        <v>15446</v>
      </c>
      <c r="AM1037" s="477" t="s">
        <v>70</v>
      </c>
      <c r="AN1037" s="637">
        <v>100</v>
      </c>
      <c r="AO1037" s="478">
        <v>-1550</v>
      </c>
      <c r="AP1037" s="463">
        <v>-1550</v>
      </c>
      <c r="AQ1037" s="479">
        <v>0</v>
      </c>
      <c r="AR1037" s="476" t="s">
        <v>15445</v>
      </c>
      <c r="BA1037" s="313" t="s">
        <v>4962</v>
      </c>
    </row>
    <row r="1038" spans="2:53" ht="16.5" customHeight="1">
      <c r="B1038" s="367" t="s">
        <v>10799</v>
      </c>
      <c r="C1038" s="351" t="s">
        <v>10800</v>
      </c>
      <c r="D1038" s="353">
        <v>-1550</v>
      </c>
      <c r="E1038" s="352" t="s">
        <v>408</v>
      </c>
      <c r="F1038" s="341">
        <v>83.24</v>
      </c>
      <c r="G1038" s="355" t="s">
        <v>10804</v>
      </c>
      <c r="H1038" s="356" t="s">
        <v>10802</v>
      </c>
      <c r="I1038" s="354" t="s">
        <v>238</v>
      </c>
      <c r="J1038" s="340" t="s">
        <v>8633</v>
      </c>
      <c r="K1038" s="339" t="s">
        <v>70</v>
      </c>
      <c r="L1038" s="357">
        <v>42</v>
      </c>
      <c r="M1038" s="358" t="s">
        <v>10805</v>
      </c>
      <c r="N1038" s="359">
        <v>1000</v>
      </c>
      <c r="O1038" s="360" t="s">
        <v>532</v>
      </c>
      <c r="P1038" s="343" t="s">
        <v>533</v>
      </c>
      <c r="Q1038" s="342" t="s">
        <v>2688</v>
      </c>
      <c r="R1038" s="344">
        <v>25</v>
      </c>
      <c r="S1038" s="345">
        <v>35</v>
      </c>
      <c r="T1038" s="362">
        <v>30</v>
      </c>
      <c r="U1038" s="361">
        <v>83.24</v>
      </c>
      <c r="V1038" s="346">
        <v>120.77631261795065</v>
      </c>
      <c r="W1038" s="348">
        <v>119.80920841196709</v>
      </c>
      <c r="X1038" s="347">
        <v>60.68</v>
      </c>
      <c r="Y1038" s="357">
        <v>61.43</v>
      </c>
      <c r="Z1038" s="365" t="s">
        <v>3017</v>
      </c>
      <c r="AA1038" s="350">
        <v>98</v>
      </c>
      <c r="AB1038" s="349" t="s">
        <v>2685</v>
      </c>
      <c r="AC1038" s="350">
        <v>0</v>
      </c>
      <c r="AD1038" s="349" t="s">
        <v>2685</v>
      </c>
      <c r="AE1038" s="364">
        <v>0</v>
      </c>
      <c r="AF1038" s="366">
        <v>16.884</v>
      </c>
      <c r="AG1038" s="363">
        <v>0</v>
      </c>
      <c r="AH1038" s="635" t="s">
        <v>7882</v>
      </c>
      <c r="AL1038" s="487" t="s">
        <v>15447</v>
      </c>
      <c r="AM1038" s="477" t="s">
        <v>70</v>
      </c>
      <c r="AN1038" s="637">
        <v>100</v>
      </c>
      <c r="AO1038" s="478">
        <v>-1550</v>
      </c>
      <c r="AP1038" s="463">
        <v>-1550</v>
      </c>
      <c r="AQ1038" s="479">
        <v>0</v>
      </c>
      <c r="AR1038" s="476" t="s">
        <v>15445</v>
      </c>
      <c r="BA1038" s="313" t="s">
        <v>4965</v>
      </c>
    </row>
    <row r="1039" spans="2:53" ht="16.5" customHeight="1">
      <c r="B1039" s="367" t="s">
        <v>10806</v>
      </c>
      <c r="C1039" s="351" t="s">
        <v>10807</v>
      </c>
      <c r="D1039" s="353">
        <v>-1551</v>
      </c>
      <c r="E1039" s="352" t="s">
        <v>408</v>
      </c>
      <c r="F1039" s="341">
        <v>83.22</v>
      </c>
      <c r="G1039" s="355" t="s">
        <v>10753</v>
      </c>
      <c r="H1039" s="356" t="s">
        <v>4596</v>
      </c>
      <c r="I1039" s="354" t="s">
        <v>254</v>
      </c>
      <c r="J1039" s="340" t="s">
        <v>489</v>
      </c>
      <c r="K1039" s="339" t="s">
        <v>10392</v>
      </c>
      <c r="L1039" s="357">
        <v>36</v>
      </c>
      <c r="M1039" s="358" t="s">
        <v>10809</v>
      </c>
      <c r="N1039" s="359">
        <v>1000</v>
      </c>
      <c r="O1039" s="360" t="s">
        <v>532</v>
      </c>
      <c r="P1039" s="343" t="s">
        <v>533</v>
      </c>
      <c r="Q1039" s="342" t="s">
        <v>2688</v>
      </c>
      <c r="R1039" s="344">
        <v>30</v>
      </c>
      <c r="S1039" s="345">
        <v>30</v>
      </c>
      <c r="T1039" s="362">
        <v>20</v>
      </c>
      <c r="U1039" s="361">
        <v>83.22</v>
      </c>
      <c r="V1039" s="346">
        <v>120.76131444351913</v>
      </c>
      <c r="W1039" s="348">
        <v>119.79920962901275</v>
      </c>
      <c r="X1039" s="347">
        <v>60.95</v>
      </c>
      <c r="Y1039" s="357">
        <v>61.419999999999995</v>
      </c>
      <c r="Z1039" s="365" t="s">
        <v>3017</v>
      </c>
      <c r="AA1039" s="350">
        <v>196</v>
      </c>
      <c r="AB1039" s="349" t="s">
        <v>2685</v>
      </c>
      <c r="AC1039" s="350">
        <v>3</v>
      </c>
      <c r="AD1039" s="349" t="s">
        <v>2685</v>
      </c>
      <c r="AE1039" s="364">
        <v>0</v>
      </c>
      <c r="AF1039" s="366">
        <v>0</v>
      </c>
      <c r="AG1039" s="363">
        <v>0</v>
      </c>
      <c r="AH1039" s="635" t="s">
        <v>408</v>
      </c>
      <c r="AL1039" s="487" t="s">
        <v>15448</v>
      </c>
      <c r="AM1039" s="477" t="s">
        <v>10392</v>
      </c>
      <c r="AN1039" s="637">
        <v>100</v>
      </c>
      <c r="AO1039" s="478">
        <v>-1551</v>
      </c>
      <c r="AP1039" s="463">
        <v>-730</v>
      </c>
      <c r="AQ1039" s="479">
        <v>-821</v>
      </c>
      <c r="AR1039" s="476" t="s">
        <v>17089</v>
      </c>
      <c r="BA1039" s="313" t="s">
        <v>4966</v>
      </c>
    </row>
    <row r="1040" spans="2:53" ht="16.5" customHeight="1">
      <c r="B1040" s="367" t="s">
        <v>10751</v>
      </c>
      <c r="C1040" s="351" t="s">
        <v>10752</v>
      </c>
      <c r="D1040" s="353">
        <v>-1551</v>
      </c>
      <c r="E1040" s="352" t="s">
        <v>4971</v>
      </c>
      <c r="F1040" s="341">
        <v>83.21</v>
      </c>
      <c r="G1040" s="355" t="s">
        <v>4942</v>
      </c>
      <c r="H1040" s="356" t="s">
        <v>4596</v>
      </c>
      <c r="I1040" s="354" t="s">
        <v>209</v>
      </c>
      <c r="J1040" s="340" t="s">
        <v>8640</v>
      </c>
      <c r="K1040" s="339" t="s">
        <v>71</v>
      </c>
      <c r="L1040" s="357">
        <v>15</v>
      </c>
      <c r="M1040" s="358" t="s">
        <v>10791</v>
      </c>
      <c r="N1040" s="359">
        <v>1000</v>
      </c>
      <c r="O1040" s="360" t="s">
        <v>530</v>
      </c>
      <c r="P1040" s="343" t="s">
        <v>530</v>
      </c>
      <c r="Q1040" s="342" t="s">
        <v>2688</v>
      </c>
      <c r="R1040" s="344">
        <v>30</v>
      </c>
      <c r="S1040" s="345">
        <v>25</v>
      </c>
      <c r="T1040" s="362">
        <v>25</v>
      </c>
      <c r="U1040" s="361">
        <v>83.21</v>
      </c>
      <c r="V1040" s="346">
        <v>120.75653365531338</v>
      </c>
      <c r="W1040" s="348">
        <v>119.79602243687559</v>
      </c>
      <c r="X1040" s="347">
        <v>60.95</v>
      </c>
      <c r="Y1040" s="357" t="s">
        <v>408</v>
      </c>
      <c r="Z1040" s="365" t="s">
        <v>3017</v>
      </c>
      <c r="AA1040" s="350">
        <v>198</v>
      </c>
      <c r="AB1040" s="349" t="s">
        <v>2685</v>
      </c>
      <c r="AC1040" s="350">
        <v>10</v>
      </c>
      <c r="AD1040" s="349" t="s">
        <v>2685</v>
      </c>
      <c r="AE1040" s="364">
        <v>0</v>
      </c>
      <c r="AF1040" s="366">
        <v>0</v>
      </c>
      <c r="AG1040" s="363">
        <v>0</v>
      </c>
      <c r="AH1040" s="635" t="s">
        <v>408</v>
      </c>
      <c r="AL1040" s="487" t="s">
        <v>15449</v>
      </c>
      <c r="AM1040" s="477" t="s">
        <v>71</v>
      </c>
      <c r="AN1040" s="637">
        <v>100</v>
      </c>
      <c r="AO1040" s="478">
        <v>-1551</v>
      </c>
      <c r="AP1040" s="463">
        <v>-730</v>
      </c>
      <c r="AQ1040" s="479">
        <v>-821</v>
      </c>
      <c r="AR1040" s="476" t="s">
        <v>17089</v>
      </c>
      <c r="BA1040" s="313" t="s">
        <v>4968</v>
      </c>
    </row>
    <row r="1041" spans="2:53" ht="16.5" customHeight="1">
      <c r="B1041" s="367" t="s">
        <v>4858</v>
      </c>
      <c r="C1041" s="351" t="s">
        <v>4859</v>
      </c>
      <c r="D1041" s="353">
        <v>-1552</v>
      </c>
      <c r="E1041" s="352" t="s">
        <v>408</v>
      </c>
      <c r="F1041" s="341">
        <v>83.21</v>
      </c>
      <c r="G1041" s="355" t="s">
        <v>10810</v>
      </c>
      <c r="H1041" s="356" t="s">
        <v>4573</v>
      </c>
      <c r="I1041" s="354" t="s">
        <v>424</v>
      </c>
      <c r="J1041" s="340" t="s">
        <v>10811</v>
      </c>
      <c r="K1041" s="339" t="s">
        <v>70</v>
      </c>
      <c r="L1041" s="357">
        <v>25</v>
      </c>
      <c r="M1041" s="358" t="s">
        <v>10812</v>
      </c>
      <c r="N1041" s="359">
        <v>1000</v>
      </c>
      <c r="O1041" s="360" t="s">
        <v>454</v>
      </c>
      <c r="P1041" s="343" t="s">
        <v>454</v>
      </c>
      <c r="Q1041" s="342" t="s">
        <v>2738</v>
      </c>
      <c r="R1041" s="344">
        <v>25</v>
      </c>
      <c r="S1041" s="345">
        <v>35</v>
      </c>
      <c r="T1041" s="362">
        <v>20</v>
      </c>
      <c r="U1041" s="361">
        <v>83.21</v>
      </c>
      <c r="V1041" s="346">
        <v>120.7545731707317</v>
      </c>
      <c r="W1041" s="348">
        <v>119.79471544715447</v>
      </c>
      <c r="X1041" s="347">
        <v>60.67</v>
      </c>
      <c r="Y1041" s="357" t="s">
        <v>408</v>
      </c>
      <c r="Z1041" s="365" t="s">
        <v>3017</v>
      </c>
      <c r="AA1041" s="350">
        <v>196</v>
      </c>
      <c r="AB1041" s="349" t="s">
        <v>2685</v>
      </c>
      <c r="AC1041" s="350">
        <v>3</v>
      </c>
      <c r="AD1041" s="349" t="s">
        <v>2685</v>
      </c>
      <c r="AE1041" s="364">
        <v>0</v>
      </c>
      <c r="AF1041" s="366">
        <v>16.641999999999999</v>
      </c>
      <c r="AG1041" s="363">
        <v>0</v>
      </c>
      <c r="AH1041" s="635" t="s">
        <v>10813</v>
      </c>
      <c r="AL1041" s="487" t="s">
        <v>15450</v>
      </c>
      <c r="AM1041" s="477" t="s">
        <v>70</v>
      </c>
      <c r="AN1041" s="637">
        <v>100</v>
      </c>
      <c r="AO1041" s="478">
        <v>-1552</v>
      </c>
      <c r="AP1041" s="463">
        <v>-1552</v>
      </c>
      <c r="AQ1041" s="479">
        <v>0</v>
      </c>
      <c r="AR1041" s="476" t="s">
        <v>15451</v>
      </c>
      <c r="BA1041" s="313" t="s">
        <v>4969</v>
      </c>
    </row>
    <row r="1042" spans="2:53" ht="16.5" customHeight="1">
      <c r="B1042" s="367" t="s">
        <v>4824</v>
      </c>
      <c r="C1042" s="351" t="s">
        <v>4825</v>
      </c>
      <c r="D1042" s="353">
        <v>-1552</v>
      </c>
      <c r="E1042" s="352" t="s">
        <v>10814</v>
      </c>
      <c r="F1042" s="341">
        <v>83.21</v>
      </c>
      <c r="G1042" s="355" t="s">
        <v>4942</v>
      </c>
      <c r="H1042" s="356" t="s">
        <v>4596</v>
      </c>
      <c r="I1042" s="354" t="s">
        <v>221</v>
      </c>
      <c r="J1042" s="340" t="s">
        <v>8696</v>
      </c>
      <c r="K1042" s="339" t="s">
        <v>71</v>
      </c>
      <c r="L1042" s="357">
        <v>22</v>
      </c>
      <c r="M1042" s="358" t="s">
        <v>10815</v>
      </c>
      <c r="N1042" s="359">
        <v>1000</v>
      </c>
      <c r="O1042" s="360" t="s">
        <v>532</v>
      </c>
      <c r="P1042" s="343" t="s">
        <v>533</v>
      </c>
      <c r="Q1042" s="342" t="s">
        <v>2688</v>
      </c>
      <c r="R1042" s="344">
        <v>25</v>
      </c>
      <c r="S1042" s="345">
        <v>40</v>
      </c>
      <c r="T1042" s="362">
        <v>20</v>
      </c>
      <c r="U1042" s="361">
        <v>83.21</v>
      </c>
      <c r="V1042" s="346">
        <v>120.75648480273023</v>
      </c>
      <c r="W1042" s="348">
        <v>119.79598986848683</v>
      </c>
      <c r="X1042" s="347">
        <v>60.95</v>
      </c>
      <c r="Y1042" s="357">
        <v>61.519999999999996</v>
      </c>
      <c r="Z1042" s="365" t="s">
        <v>3017</v>
      </c>
      <c r="AA1042" s="350">
        <v>144</v>
      </c>
      <c r="AB1042" s="349" t="s">
        <v>2685</v>
      </c>
      <c r="AC1042" s="350">
        <v>0</v>
      </c>
      <c r="AD1042" s="349" t="s">
        <v>2685</v>
      </c>
      <c r="AE1042" s="364">
        <v>0</v>
      </c>
      <c r="AF1042" s="366">
        <v>0</v>
      </c>
      <c r="AG1042" s="363">
        <v>0</v>
      </c>
      <c r="AH1042" s="635" t="s">
        <v>408</v>
      </c>
      <c r="AL1042" s="487" t="s">
        <v>15452</v>
      </c>
      <c r="AM1042" s="477" t="s">
        <v>71</v>
      </c>
      <c r="AN1042" s="637">
        <v>100</v>
      </c>
      <c r="AO1042" s="478">
        <v>-1552</v>
      </c>
      <c r="AP1042" s="463">
        <v>-731</v>
      </c>
      <c r="AQ1042" s="479">
        <v>-821</v>
      </c>
      <c r="AR1042" s="476" t="s">
        <v>17089</v>
      </c>
      <c r="BA1042" s="313" t="s">
        <v>4970</v>
      </c>
    </row>
    <row r="1043" spans="2:53" ht="16.5" customHeight="1">
      <c r="B1043" s="367" t="s">
        <v>10806</v>
      </c>
      <c r="C1043" s="351" t="s">
        <v>10807</v>
      </c>
      <c r="D1043" s="353">
        <v>-1553</v>
      </c>
      <c r="E1043" s="352" t="s">
        <v>10816</v>
      </c>
      <c r="F1043" s="341">
        <v>83.21</v>
      </c>
      <c r="G1043" s="355" t="s">
        <v>4942</v>
      </c>
      <c r="H1043" s="356" t="s">
        <v>4596</v>
      </c>
      <c r="I1043" s="354" t="s">
        <v>301</v>
      </c>
      <c r="J1043" s="340" t="s">
        <v>10817</v>
      </c>
      <c r="K1043" s="339" t="s">
        <v>71</v>
      </c>
      <c r="L1043" s="357">
        <v>126</v>
      </c>
      <c r="M1043" s="358" t="s">
        <v>10818</v>
      </c>
      <c r="N1043" s="359">
        <v>1000</v>
      </c>
      <c r="O1043" s="360" t="s">
        <v>530</v>
      </c>
      <c r="P1043" s="343" t="s">
        <v>531</v>
      </c>
      <c r="Q1043" s="342" t="s">
        <v>2688</v>
      </c>
      <c r="R1043" s="344">
        <v>30</v>
      </c>
      <c r="S1043" s="345">
        <v>30</v>
      </c>
      <c r="T1043" s="362">
        <v>20</v>
      </c>
      <c r="U1043" s="361">
        <v>83.21</v>
      </c>
      <c r="V1043" s="346">
        <v>120.75800760043431</v>
      </c>
      <c r="W1043" s="348">
        <v>119.7970050669562</v>
      </c>
      <c r="X1043" s="347">
        <v>60.95</v>
      </c>
      <c r="Y1043" s="357">
        <v>61.419999999999995</v>
      </c>
      <c r="Z1043" s="365" t="s">
        <v>3017</v>
      </c>
      <c r="AA1043" s="350">
        <v>195</v>
      </c>
      <c r="AB1043" s="349" t="s">
        <v>2685</v>
      </c>
      <c r="AC1043" s="350">
        <v>10</v>
      </c>
      <c r="AD1043" s="349" t="s">
        <v>2685</v>
      </c>
      <c r="AE1043" s="364">
        <v>0</v>
      </c>
      <c r="AF1043" s="366">
        <v>0</v>
      </c>
      <c r="AG1043" s="363">
        <v>0</v>
      </c>
      <c r="AH1043" s="635" t="s">
        <v>408</v>
      </c>
      <c r="AL1043" s="487" t="s">
        <v>15453</v>
      </c>
      <c r="AM1043" s="477" t="s">
        <v>71</v>
      </c>
      <c r="AN1043" s="637">
        <v>100</v>
      </c>
      <c r="AO1043" s="478">
        <v>-1553</v>
      </c>
      <c r="AP1043" s="463">
        <v>-731</v>
      </c>
      <c r="AQ1043" s="479">
        <v>-822</v>
      </c>
      <c r="AR1043" s="476" t="s">
        <v>17089</v>
      </c>
      <c r="BA1043" s="313" t="s">
        <v>4972</v>
      </c>
    </row>
    <row r="1044" spans="2:53" ht="16.5" customHeight="1">
      <c r="B1044" s="367" t="s">
        <v>4868</v>
      </c>
      <c r="C1044" s="351" t="s">
        <v>4869</v>
      </c>
      <c r="D1044" s="353">
        <v>-1553</v>
      </c>
      <c r="E1044" s="352" t="s">
        <v>408</v>
      </c>
      <c r="F1044" s="341">
        <v>83.19</v>
      </c>
      <c r="G1044" s="355" t="s">
        <v>10819</v>
      </c>
      <c r="H1044" s="356" t="s">
        <v>10820</v>
      </c>
      <c r="I1044" s="354" t="s">
        <v>301</v>
      </c>
      <c r="J1044" s="340" t="s">
        <v>10821</v>
      </c>
      <c r="K1044" s="339" t="s">
        <v>70</v>
      </c>
      <c r="L1044" s="357">
        <v>50</v>
      </c>
      <c r="M1044" s="358" t="s">
        <v>10822</v>
      </c>
      <c r="N1044" s="359">
        <v>1000</v>
      </c>
      <c r="O1044" s="360" t="s">
        <v>530</v>
      </c>
      <c r="P1044" s="343" t="s">
        <v>531</v>
      </c>
      <c r="Q1044" s="342" t="s">
        <v>2688</v>
      </c>
      <c r="R1044" s="344">
        <v>20</v>
      </c>
      <c r="S1044" s="345">
        <v>35</v>
      </c>
      <c r="T1044" s="362">
        <v>25</v>
      </c>
      <c r="U1044" s="361">
        <v>83.19</v>
      </c>
      <c r="V1044" s="346">
        <v>120.74583228963516</v>
      </c>
      <c r="W1044" s="348">
        <v>119.78888819309012</v>
      </c>
      <c r="X1044" s="347">
        <v>60.66</v>
      </c>
      <c r="Y1044" s="357">
        <v>61.419999999999995</v>
      </c>
      <c r="Z1044" s="365" t="s">
        <v>3017</v>
      </c>
      <c r="AA1044" s="350">
        <v>198</v>
      </c>
      <c r="AB1044" s="349" t="s">
        <v>2685</v>
      </c>
      <c r="AC1044" s="350">
        <v>10</v>
      </c>
      <c r="AD1044" s="349" t="s">
        <v>2685</v>
      </c>
      <c r="AE1044" s="364">
        <v>0</v>
      </c>
      <c r="AF1044" s="366">
        <v>10.895</v>
      </c>
      <c r="AG1044" s="363">
        <v>0</v>
      </c>
      <c r="AH1044" s="635" t="s">
        <v>10496</v>
      </c>
      <c r="AL1044" s="487" t="s">
        <v>15454</v>
      </c>
      <c r="AM1044" s="477" t="s">
        <v>70</v>
      </c>
      <c r="AN1044" s="637">
        <v>100</v>
      </c>
      <c r="AO1044" s="478">
        <v>-1553</v>
      </c>
      <c r="AP1044" s="463">
        <v>-1553</v>
      </c>
      <c r="AQ1044" s="479">
        <v>0</v>
      </c>
      <c r="AR1044" s="476" t="s">
        <v>17248</v>
      </c>
      <c r="BA1044" s="313" t="s">
        <v>4976</v>
      </c>
    </row>
    <row r="1045" spans="2:53" ht="16.5" customHeight="1">
      <c r="B1045" s="367" t="s">
        <v>10824</v>
      </c>
      <c r="C1045" s="351" t="s">
        <v>10825</v>
      </c>
      <c r="D1045" s="353">
        <v>-1554</v>
      </c>
      <c r="E1045" s="352" t="s">
        <v>10823</v>
      </c>
      <c r="F1045" s="341">
        <v>83.1</v>
      </c>
      <c r="G1045" s="355" t="s">
        <v>10826</v>
      </c>
      <c r="H1045" s="356" t="s">
        <v>10827</v>
      </c>
      <c r="I1045" s="354" t="s">
        <v>425</v>
      </c>
      <c r="J1045" s="340" t="s">
        <v>8614</v>
      </c>
      <c r="K1045" s="339" t="s">
        <v>70</v>
      </c>
      <c r="L1045" s="357">
        <v>9</v>
      </c>
      <c r="M1045" s="358" t="s">
        <v>10828</v>
      </c>
      <c r="N1045" s="359">
        <v>1000</v>
      </c>
      <c r="O1045" s="360" t="s">
        <v>454</v>
      </c>
      <c r="P1045" s="343" t="s">
        <v>454</v>
      </c>
      <c r="Q1045" s="342" t="s">
        <v>2738</v>
      </c>
      <c r="R1045" s="344">
        <v>25</v>
      </c>
      <c r="S1045" s="345">
        <v>35</v>
      </c>
      <c r="T1045" s="362">
        <v>20</v>
      </c>
      <c r="U1045" s="361">
        <v>83.1</v>
      </c>
      <c r="V1045" s="346">
        <v>120.68786982248521</v>
      </c>
      <c r="W1045" s="348">
        <v>119.75024654832347</v>
      </c>
      <c r="X1045" s="347">
        <v>60.63</v>
      </c>
      <c r="Y1045" s="357" t="s">
        <v>408</v>
      </c>
      <c r="Z1045" s="365" t="s">
        <v>3017</v>
      </c>
      <c r="AA1045" s="350">
        <v>196</v>
      </c>
      <c r="AB1045" s="349" t="s">
        <v>2685</v>
      </c>
      <c r="AC1045" s="350">
        <v>10</v>
      </c>
      <c r="AD1045" s="349" t="s">
        <v>2685</v>
      </c>
      <c r="AE1045" s="364">
        <v>0</v>
      </c>
      <c r="AF1045" s="366">
        <v>37.395000000000003</v>
      </c>
      <c r="AG1045" s="363">
        <v>0</v>
      </c>
      <c r="AH1045" s="635" t="s">
        <v>10711</v>
      </c>
      <c r="AL1045" s="487" t="s">
        <v>15455</v>
      </c>
      <c r="AM1045" s="477" t="s">
        <v>70</v>
      </c>
      <c r="AN1045" s="637">
        <v>100</v>
      </c>
      <c r="AO1045" s="478">
        <v>-1554</v>
      </c>
      <c r="AP1045" s="463">
        <v>-1554</v>
      </c>
      <c r="AQ1045" s="479">
        <v>0</v>
      </c>
      <c r="AR1045" s="476" t="s">
        <v>15456</v>
      </c>
      <c r="BA1045" s="313" t="s">
        <v>4978</v>
      </c>
    </row>
    <row r="1046" spans="2:53" ht="16.5" customHeight="1">
      <c r="B1046" s="367" t="s">
        <v>4883</v>
      </c>
      <c r="C1046" s="351" t="s">
        <v>4884</v>
      </c>
      <c r="D1046" s="353">
        <v>-1554</v>
      </c>
      <c r="E1046" s="352" t="s">
        <v>408</v>
      </c>
      <c r="F1046" s="341">
        <v>83.1</v>
      </c>
      <c r="G1046" s="355" t="s">
        <v>10829</v>
      </c>
      <c r="H1046" s="356" t="s">
        <v>10830</v>
      </c>
      <c r="I1046" s="354" t="s">
        <v>237</v>
      </c>
      <c r="J1046" s="340" t="s">
        <v>10831</v>
      </c>
      <c r="K1046" s="339" t="s">
        <v>70</v>
      </c>
      <c r="L1046" s="357">
        <v>18</v>
      </c>
      <c r="M1046" s="358" t="s">
        <v>10832</v>
      </c>
      <c r="N1046" s="359">
        <v>1000</v>
      </c>
      <c r="O1046" s="360" t="s">
        <v>530</v>
      </c>
      <c r="P1046" s="343" t="s">
        <v>530</v>
      </c>
      <c r="Q1046" s="342" t="s">
        <v>2688</v>
      </c>
      <c r="R1046" s="344">
        <v>20</v>
      </c>
      <c r="S1046" s="345">
        <v>30</v>
      </c>
      <c r="T1046" s="362">
        <v>30</v>
      </c>
      <c r="U1046" s="361">
        <v>83.1</v>
      </c>
      <c r="V1046" s="346">
        <v>120.6881547948643</v>
      </c>
      <c r="W1046" s="348">
        <v>119.75043652990954</v>
      </c>
      <c r="X1046" s="347">
        <v>60.64</v>
      </c>
      <c r="Y1046" s="357" t="s">
        <v>408</v>
      </c>
      <c r="Z1046" s="365" t="s">
        <v>3017</v>
      </c>
      <c r="AA1046" s="350">
        <v>196</v>
      </c>
      <c r="AB1046" s="349" t="s">
        <v>2685</v>
      </c>
      <c r="AC1046" s="350">
        <v>0</v>
      </c>
      <c r="AD1046" s="349" t="s">
        <v>2685</v>
      </c>
      <c r="AE1046" s="364">
        <v>0</v>
      </c>
      <c r="AF1046" s="366">
        <v>10.846</v>
      </c>
      <c r="AG1046" s="363">
        <v>0</v>
      </c>
      <c r="AH1046" s="635" t="s">
        <v>9931</v>
      </c>
      <c r="AL1046" s="487" t="s">
        <v>15457</v>
      </c>
      <c r="AM1046" s="477" t="s">
        <v>70</v>
      </c>
      <c r="AN1046" s="637">
        <v>100</v>
      </c>
      <c r="AO1046" s="478">
        <v>-1554</v>
      </c>
      <c r="AP1046" s="463">
        <v>-1554</v>
      </c>
      <c r="AQ1046" s="479">
        <v>0</v>
      </c>
      <c r="AR1046" s="476" t="s">
        <v>15458</v>
      </c>
      <c r="BA1046" s="313" t="s">
        <v>4981</v>
      </c>
    </row>
    <row r="1047" spans="2:53" ht="16.5" customHeight="1">
      <c r="B1047" s="367" t="s">
        <v>10833</v>
      </c>
      <c r="C1047" s="351" t="s">
        <v>10834</v>
      </c>
      <c r="D1047" s="353">
        <v>-1555</v>
      </c>
      <c r="E1047" s="352" t="s">
        <v>408</v>
      </c>
      <c r="F1047" s="341">
        <v>83.06</v>
      </c>
      <c r="G1047" s="355" t="s">
        <v>4887</v>
      </c>
      <c r="H1047" s="356" t="s">
        <v>4615</v>
      </c>
      <c r="I1047" s="354" t="s">
        <v>239</v>
      </c>
      <c r="J1047" s="340" t="s">
        <v>10835</v>
      </c>
      <c r="K1047" s="339" t="s">
        <v>70</v>
      </c>
      <c r="L1047" s="357">
        <v>10</v>
      </c>
      <c r="M1047" s="358" t="s">
        <v>10836</v>
      </c>
      <c r="N1047" s="359">
        <v>1000</v>
      </c>
      <c r="O1047" s="360" t="s">
        <v>454</v>
      </c>
      <c r="P1047" s="343" t="s">
        <v>454</v>
      </c>
      <c r="Q1047" s="342" t="s">
        <v>2738</v>
      </c>
      <c r="R1047" s="344">
        <v>25</v>
      </c>
      <c r="S1047" s="345">
        <v>35</v>
      </c>
      <c r="T1047" s="362">
        <v>20</v>
      </c>
      <c r="U1047" s="361">
        <v>83.06</v>
      </c>
      <c r="V1047" s="346">
        <v>120.6640625</v>
      </c>
      <c r="W1047" s="348">
        <v>119.734375</v>
      </c>
      <c r="X1047" s="347">
        <v>60.62</v>
      </c>
      <c r="Y1047" s="357" t="s">
        <v>408</v>
      </c>
      <c r="Z1047" s="365" t="s">
        <v>3017</v>
      </c>
      <c r="AA1047" s="350">
        <v>195</v>
      </c>
      <c r="AB1047" s="349" t="s">
        <v>2685</v>
      </c>
      <c r="AC1047" s="350">
        <v>10</v>
      </c>
      <c r="AD1047" s="349" t="s">
        <v>2685</v>
      </c>
      <c r="AE1047" s="364">
        <v>0</v>
      </c>
      <c r="AF1047" s="366">
        <v>0</v>
      </c>
      <c r="AG1047" s="363">
        <v>0</v>
      </c>
      <c r="AH1047" s="635" t="s">
        <v>408</v>
      </c>
      <c r="AL1047" s="487" t="s">
        <v>15459</v>
      </c>
      <c r="AM1047" s="477" t="s">
        <v>70</v>
      </c>
      <c r="AN1047" s="637">
        <v>100</v>
      </c>
      <c r="AO1047" s="478">
        <v>-1555</v>
      </c>
      <c r="AP1047" s="463">
        <v>-1555</v>
      </c>
      <c r="AQ1047" s="479">
        <v>0</v>
      </c>
      <c r="AR1047" s="476" t="s">
        <v>15460</v>
      </c>
      <c r="BA1047" s="313" t="s">
        <v>4984</v>
      </c>
    </row>
    <row r="1048" spans="2:53" ht="16.5" customHeight="1">
      <c r="B1048" s="367" t="s">
        <v>10833</v>
      </c>
      <c r="C1048" s="351" t="s">
        <v>10834</v>
      </c>
      <c r="D1048" s="353">
        <v>-1555</v>
      </c>
      <c r="E1048" s="352" t="s">
        <v>408</v>
      </c>
      <c r="F1048" s="341">
        <v>83.06</v>
      </c>
      <c r="G1048" s="355" t="s">
        <v>4887</v>
      </c>
      <c r="H1048" s="356" t="s">
        <v>4615</v>
      </c>
      <c r="I1048" s="354" t="s">
        <v>237</v>
      </c>
      <c r="J1048" s="340" t="s">
        <v>10837</v>
      </c>
      <c r="K1048" s="339" t="s">
        <v>70</v>
      </c>
      <c r="L1048" s="357">
        <v>6</v>
      </c>
      <c r="M1048" s="358" t="s">
        <v>10838</v>
      </c>
      <c r="N1048" s="359">
        <v>1000</v>
      </c>
      <c r="O1048" s="360" t="s">
        <v>530</v>
      </c>
      <c r="P1048" s="343" t="s">
        <v>530</v>
      </c>
      <c r="Q1048" s="342" t="s">
        <v>2688</v>
      </c>
      <c r="R1048" s="344">
        <v>20</v>
      </c>
      <c r="S1048" s="345">
        <v>30</v>
      </c>
      <c r="T1048" s="362">
        <v>30</v>
      </c>
      <c r="U1048" s="361">
        <v>83.06</v>
      </c>
      <c r="V1048" s="346">
        <v>120.66525813919</v>
      </c>
      <c r="W1048" s="348">
        <v>119.73517209279333</v>
      </c>
      <c r="X1048" s="347">
        <v>60.62</v>
      </c>
      <c r="Y1048" s="357" t="s">
        <v>408</v>
      </c>
      <c r="Z1048" s="365" t="s">
        <v>3017</v>
      </c>
      <c r="AA1048" s="350">
        <v>196</v>
      </c>
      <c r="AB1048" s="349" t="s">
        <v>2685</v>
      </c>
      <c r="AC1048" s="350">
        <v>0</v>
      </c>
      <c r="AD1048" s="349" t="s">
        <v>2685</v>
      </c>
      <c r="AE1048" s="364">
        <v>0</v>
      </c>
      <c r="AF1048" s="366">
        <v>10.843999999999999</v>
      </c>
      <c r="AG1048" s="363">
        <v>0</v>
      </c>
      <c r="AH1048" s="635" t="s">
        <v>9931</v>
      </c>
      <c r="AL1048" s="487" t="s">
        <v>15461</v>
      </c>
      <c r="AM1048" s="477" t="s">
        <v>70</v>
      </c>
      <c r="AN1048" s="637">
        <v>100</v>
      </c>
      <c r="AO1048" s="478">
        <v>-1555</v>
      </c>
      <c r="AP1048" s="463">
        <v>-1555</v>
      </c>
      <c r="AQ1048" s="479">
        <v>0</v>
      </c>
      <c r="AR1048" s="476" t="s">
        <v>15460</v>
      </c>
      <c r="BA1048" s="313" t="s">
        <v>4985</v>
      </c>
    </row>
    <row r="1049" spans="2:53" ht="16.5" customHeight="1">
      <c r="B1049" s="367" t="s">
        <v>4854</v>
      </c>
      <c r="C1049" s="351" t="s">
        <v>4855</v>
      </c>
      <c r="D1049" s="353">
        <v>-1556</v>
      </c>
      <c r="E1049" s="352" t="s">
        <v>408</v>
      </c>
      <c r="F1049" s="341">
        <v>83.04</v>
      </c>
      <c r="G1049" s="355" t="s">
        <v>18753</v>
      </c>
      <c r="H1049" s="356" t="s">
        <v>18754</v>
      </c>
      <c r="I1049" s="354" t="s">
        <v>221</v>
      </c>
      <c r="J1049" s="340" t="s">
        <v>8726</v>
      </c>
      <c r="K1049" s="339" t="s">
        <v>71</v>
      </c>
      <c r="L1049" s="357">
        <v>10</v>
      </c>
      <c r="M1049" s="358" t="s">
        <v>10840</v>
      </c>
      <c r="N1049" s="359">
        <v>1000</v>
      </c>
      <c r="O1049" s="360" t="s">
        <v>532</v>
      </c>
      <c r="P1049" s="343" t="s">
        <v>533</v>
      </c>
      <c r="Q1049" s="342" t="s">
        <v>2688</v>
      </c>
      <c r="R1049" s="344">
        <v>35</v>
      </c>
      <c r="S1049" s="345">
        <v>25</v>
      </c>
      <c r="T1049" s="362">
        <v>25</v>
      </c>
      <c r="U1049" s="361">
        <v>83.04</v>
      </c>
      <c r="V1049" s="346">
        <v>120.64754231039467</v>
      </c>
      <c r="W1049" s="348">
        <v>119.72336154026311</v>
      </c>
      <c r="X1049" s="347">
        <v>60.89</v>
      </c>
      <c r="Y1049" s="357">
        <v>61.46</v>
      </c>
      <c r="Z1049" s="365" t="s">
        <v>3017</v>
      </c>
      <c r="AA1049" s="350">
        <v>144</v>
      </c>
      <c r="AB1049" s="349" t="s">
        <v>2685</v>
      </c>
      <c r="AC1049" s="350">
        <v>0</v>
      </c>
      <c r="AD1049" s="349" t="s">
        <v>2685</v>
      </c>
      <c r="AE1049" s="364">
        <v>0</v>
      </c>
      <c r="AF1049" s="366">
        <v>0</v>
      </c>
      <c r="AG1049" s="363">
        <v>0</v>
      </c>
      <c r="AH1049" s="635" t="s">
        <v>408</v>
      </c>
      <c r="AL1049" s="487" t="s">
        <v>15462</v>
      </c>
      <c r="AM1049" s="477" t="s">
        <v>71</v>
      </c>
      <c r="AN1049" s="637">
        <v>100</v>
      </c>
      <c r="AO1049" s="478">
        <v>-1556</v>
      </c>
      <c r="AP1049" s="463">
        <v>-731</v>
      </c>
      <c r="AQ1049" s="479">
        <v>-825</v>
      </c>
      <c r="AR1049" s="476" t="s">
        <v>17090</v>
      </c>
      <c r="BA1049" s="313" t="s">
        <v>4989</v>
      </c>
    </row>
    <row r="1050" spans="2:53" ht="16.5" customHeight="1">
      <c r="B1050" s="367" t="s">
        <v>4854</v>
      </c>
      <c r="C1050" s="351" t="s">
        <v>4855</v>
      </c>
      <c r="D1050" s="353">
        <v>-1556</v>
      </c>
      <c r="E1050" s="352" t="s">
        <v>10839</v>
      </c>
      <c r="F1050" s="341">
        <v>83.03</v>
      </c>
      <c r="G1050" s="355" t="s">
        <v>18755</v>
      </c>
      <c r="H1050" s="356" t="s">
        <v>4634</v>
      </c>
      <c r="I1050" s="354" t="s">
        <v>221</v>
      </c>
      <c r="J1050" s="340" t="s">
        <v>8618</v>
      </c>
      <c r="K1050" s="339" t="s">
        <v>71</v>
      </c>
      <c r="L1050" s="357">
        <v>4</v>
      </c>
      <c r="M1050" s="358" t="s">
        <v>10842</v>
      </c>
      <c r="N1050" s="359">
        <v>1000</v>
      </c>
      <c r="O1050" s="360" t="s">
        <v>532</v>
      </c>
      <c r="P1050" s="343" t="s">
        <v>533</v>
      </c>
      <c r="Q1050" s="342" t="s">
        <v>2688</v>
      </c>
      <c r="R1050" s="344">
        <v>35</v>
      </c>
      <c r="S1050" s="345">
        <v>25</v>
      </c>
      <c r="T1050" s="362">
        <v>25</v>
      </c>
      <c r="U1050" s="361">
        <v>83.03</v>
      </c>
      <c r="V1050" s="346">
        <v>120.64581108007313</v>
      </c>
      <c r="W1050" s="348">
        <v>119.72220738671541</v>
      </c>
      <c r="X1050" s="347">
        <v>60.89</v>
      </c>
      <c r="Y1050" s="357">
        <v>61.46</v>
      </c>
      <c r="Z1050" s="365" t="s">
        <v>3017</v>
      </c>
      <c r="AA1050" s="350">
        <v>144</v>
      </c>
      <c r="AB1050" s="349" t="s">
        <v>2685</v>
      </c>
      <c r="AC1050" s="350">
        <v>0</v>
      </c>
      <c r="AD1050" s="349" t="s">
        <v>2685</v>
      </c>
      <c r="AE1050" s="364">
        <v>0</v>
      </c>
      <c r="AF1050" s="366">
        <v>0</v>
      </c>
      <c r="AG1050" s="363">
        <v>0</v>
      </c>
      <c r="AH1050" s="635" t="s">
        <v>408</v>
      </c>
      <c r="AL1050" s="487" t="s">
        <v>15463</v>
      </c>
      <c r="AM1050" s="477" t="s">
        <v>71</v>
      </c>
      <c r="AN1050" s="637">
        <v>100</v>
      </c>
      <c r="AO1050" s="478">
        <v>-1556</v>
      </c>
      <c r="AP1050" s="463">
        <v>-731</v>
      </c>
      <c r="AQ1050" s="479">
        <v>-825</v>
      </c>
      <c r="AR1050" s="476" t="s">
        <v>17090</v>
      </c>
      <c r="BA1050" s="313" t="s">
        <v>4992</v>
      </c>
    </row>
    <row r="1051" spans="2:53" ht="16.5" customHeight="1">
      <c r="B1051" s="367" t="s">
        <v>10843</v>
      </c>
      <c r="C1051" s="351" t="s">
        <v>10844</v>
      </c>
      <c r="D1051" s="353">
        <v>-1557</v>
      </c>
      <c r="E1051" s="352" t="s">
        <v>10841</v>
      </c>
      <c r="F1051" s="341">
        <v>83</v>
      </c>
      <c r="G1051" s="355" t="s">
        <v>5014</v>
      </c>
      <c r="H1051" s="356" t="s">
        <v>10370</v>
      </c>
      <c r="I1051" s="354" t="s">
        <v>195</v>
      </c>
      <c r="J1051" s="340" t="s">
        <v>8835</v>
      </c>
      <c r="K1051" s="339" t="s">
        <v>70</v>
      </c>
      <c r="L1051" s="357">
        <v>65</v>
      </c>
      <c r="M1051" s="358" t="s">
        <v>10845</v>
      </c>
      <c r="N1051" s="359">
        <v>100</v>
      </c>
      <c r="O1051" s="360" t="s">
        <v>454</v>
      </c>
      <c r="P1051" s="343" t="s">
        <v>454</v>
      </c>
      <c r="Q1051" s="342" t="s">
        <v>2738</v>
      </c>
      <c r="R1051" s="344">
        <v>25</v>
      </c>
      <c r="S1051" s="345">
        <v>35</v>
      </c>
      <c r="T1051" s="362">
        <v>20</v>
      </c>
      <c r="U1051" s="361">
        <v>83</v>
      </c>
      <c r="V1051" s="346">
        <v>120.625</v>
      </c>
      <c r="W1051" s="348">
        <v>119.70833333333333</v>
      </c>
      <c r="X1051" s="347">
        <v>60.6</v>
      </c>
      <c r="Y1051" s="357" t="s">
        <v>408</v>
      </c>
      <c r="Z1051" s="365" t="s">
        <v>3017</v>
      </c>
      <c r="AA1051" s="350">
        <v>19</v>
      </c>
      <c r="AB1051" s="349" t="s">
        <v>2685</v>
      </c>
      <c r="AC1051" s="350">
        <v>0</v>
      </c>
      <c r="AD1051" s="349" t="s">
        <v>2685</v>
      </c>
      <c r="AE1051" s="364">
        <v>0</v>
      </c>
      <c r="AF1051" s="366">
        <v>0</v>
      </c>
      <c r="AG1051" s="363">
        <v>0</v>
      </c>
      <c r="AH1051" s="635" t="s">
        <v>408</v>
      </c>
      <c r="AL1051" s="487" t="s">
        <v>15464</v>
      </c>
      <c r="AM1051" s="477" t="s">
        <v>70</v>
      </c>
      <c r="AN1051" s="637">
        <v>100</v>
      </c>
      <c r="AO1051" s="478">
        <v>-1557</v>
      </c>
      <c r="AP1051" s="463">
        <v>-1557</v>
      </c>
      <c r="AQ1051" s="479">
        <v>0</v>
      </c>
      <c r="AR1051" s="476" t="s">
        <v>15465</v>
      </c>
      <c r="BA1051" s="313" t="s">
        <v>4996</v>
      </c>
    </row>
    <row r="1052" spans="2:53" ht="16.5" customHeight="1">
      <c r="B1052" s="367" t="s">
        <v>10843</v>
      </c>
      <c r="C1052" s="351" t="s">
        <v>10844</v>
      </c>
      <c r="D1052" s="353">
        <v>-1557</v>
      </c>
      <c r="E1052" s="352" t="s">
        <v>408</v>
      </c>
      <c r="F1052" s="341">
        <v>83</v>
      </c>
      <c r="G1052" s="355" t="s">
        <v>5020</v>
      </c>
      <c r="H1052" s="356" t="s">
        <v>4607</v>
      </c>
      <c r="I1052" s="354" t="s">
        <v>221</v>
      </c>
      <c r="J1052" s="340" t="s">
        <v>10846</v>
      </c>
      <c r="K1052" s="339" t="s">
        <v>70</v>
      </c>
      <c r="L1052" s="357">
        <v>10</v>
      </c>
      <c r="M1052" s="358" t="s">
        <v>10847</v>
      </c>
      <c r="N1052" s="359">
        <v>1000</v>
      </c>
      <c r="O1052" s="360" t="s">
        <v>532</v>
      </c>
      <c r="P1052" s="343" t="s">
        <v>533</v>
      </c>
      <c r="Q1052" s="342" t="s">
        <v>2688</v>
      </c>
      <c r="R1052" s="344">
        <v>20</v>
      </c>
      <c r="S1052" s="345">
        <v>35</v>
      </c>
      <c r="T1052" s="362">
        <v>30</v>
      </c>
      <c r="U1052" s="361">
        <v>83</v>
      </c>
      <c r="V1052" s="346">
        <v>120.62402488626235</v>
      </c>
      <c r="W1052" s="348">
        <v>119.70768325750822</v>
      </c>
      <c r="X1052" s="347">
        <v>60.6</v>
      </c>
      <c r="Y1052" s="357">
        <v>61.23</v>
      </c>
      <c r="Z1052" s="365" t="s">
        <v>3017</v>
      </c>
      <c r="AA1052" s="350">
        <v>144</v>
      </c>
      <c r="AB1052" s="349" t="s">
        <v>2685</v>
      </c>
      <c r="AC1052" s="350">
        <v>0</v>
      </c>
      <c r="AD1052" s="349" t="s">
        <v>2685</v>
      </c>
      <c r="AE1052" s="364">
        <v>0</v>
      </c>
      <c r="AF1052" s="366">
        <v>16.844000000000001</v>
      </c>
      <c r="AG1052" s="363">
        <v>0</v>
      </c>
      <c r="AH1052" s="635" t="s">
        <v>7882</v>
      </c>
      <c r="AL1052" s="487" t="s">
        <v>15466</v>
      </c>
      <c r="AM1052" s="477" t="s">
        <v>70</v>
      </c>
      <c r="AN1052" s="637">
        <v>100</v>
      </c>
      <c r="AO1052" s="478">
        <v>-1557</v>
      </c>
      <c r="AP1052" s="463">
        <v>-1557</v>
      </c>
      <c r="AQ1052" s="479">
        <v>0</v>
      </c>
      <c r="AR1052" s="476" t="s">
        <v>15467</v>
      </c>
      <c r="BA1052" s="313" t="s">
        <v>5000</v>
      </c>
    </row>
    <row r="1053" spans="2:53" ht="16.5" customHeight="1">
      <c r="B1053" s="367" t="s">
        <v>4893</v>
      </c>
      <c r="C1053" s="351" t="s">
        <v>4894</v>
      </c>
      <c r="D1053" s="353">
        <v>-1558</v>
      </c>
      <c r="E1053" s="352" t="s">
        <v>408</v>
      </c>
      <c r="F1053" s="341">
        <v>82.99</v>
      </c>
      <c r="G1053" s="355" t="s">
        <v>4995</v>
      </c>
      <c r="H1053" s="356" t="s">
        <v>10343</v>
      </c>
      <c r="I1053" s="354" t="s">
        <v>214</v>
      </c>
      <c r="J1053" s="340" t="s">
        <v>8633</v>
      </c>
      <c r="K1053" s="339" t="s">
        <v>70</v>
      </c>
      <c r="L1053" s="357">
        <v>14</v>
      </c>
      <c r="M1053" s="358" t="s">
        <v>10848</v>
      </c>
      <c r="N1053" s="359">
        <v>200</v>
      </c>
      <c r="O1053" s="360" t="s">
        <v>532</v>
      </c>
      <c r="P1053" s="343" t="s">
        <v>532</v>
      </c>
      <c r="Q1053" s="342" t="s">
        <v>2688</v>
      </c>
      <c r="R1053" s="344">
        <v>20</v>
      </c>
      <c r="S1053" s="345">
        <v>30</v>
      </c>
      <c r="T1053" s="362">
        <v>30</v>
      </c>
      <c r="U1053" s="361">
        <v>82.99</v>
      </c>
      <c r="V1053" s="346">
        <v>120.61735537702602</v>
      </c>
      <c r="W1053" s="348">
        <v>119.70323691801734</v>
      </c>
      <c r="X1053" s="347" t="s">
        <v>18756</v>
      </c>
      <c r="Y1053" s="357" t="s">
        <v>408</v>
      </c>
      <c r="Z1053" s="365" t="s">
        <v>4408</v>
      </c>
      <c r="AA1053" s="350">
        <v>36</v>
      </c>
      <c r="AB1053" s="349" t="s">
        <v>2685</v>
      </c>
      <c r="AC1053" s="350">
        <v>0</v>
      </c>
      <c r="AD1053" s="349" t="s">
        <v>2685</v>
      </c>
      <c r="AE1053" s="364">
        <v>0</v>
      </c>
      <c r="AF1053" s="366">
        <v>0</v>
      </c>
      <c r="AG1053" s="363">
        <v>0</v>
      </c>
      <c r="AH1053" s="635" t="s">
        <v>408</v>
      </c>
      <c r="AL1053" s="487" t="s">
        <v>15472</v>
      </c>
      <c r="AM1053" s="477" t="s">
        <v>70</v>
      </c>
      <c r="AN1053" s="637">
        <v>100</v>
      </c>
      <c r="AO1053" s="478">
        <v>-1558</v>
      </c>
      <c r="AP1053" s="463">
        <v>-1558</v>
      </c>
      <c r="AQ1053" s="479">
        <v>0</v>
      </c>
      <c r="AR1053" s="476" t="s">
        <v>15467</v>
      </c>
      <c r="BA1053" s="313" t="s">
        <v>5002</v>
      </c>
    </row>
    <row r="1054" spans="2:53" ht="16.5" customHeight="1">
      <c r="B1054" s="367" t="s">
        <v>4846</v>
      </c>
      <c r="C1054" s="351" t="s">
        <v>4847</v>
      </c>
      <c r="D1054" s="353">
        <v>-1558</v>
      </c>
      <c r="E1054" s="352" t="s">
        <v>408</v>
      </c>
      <c r="F1054" s="341">
        <v>82.99</v>
      </c>
      <c r="G1054" s="355" t="s">
        <v>4881</v>
      </c>
      <c r="H1054" s="356" t="s">
        <v>10381</v>
      </c>
      <c r="I1054" s="354" t="s">
        <v>209</v>
      </c>
      <c r="J1054" s="340" t="s">
        <v>8534</v>
      </c>
      <c r="K1054" s="339" t="s">
        <v>71</v>
      </c>
      <c r="L1054" s="357">
        <v>14</v>
      </c>
      <c r="M1054" s="358" t="s">
        <v>4956</v>
      </c>
      <c r="N1054" s="359">
        <v>1000</v>
      </c>
      <c r="O1054" s="360" t="s">
        <v>530</v>
      </c>
      <c r="P1054" s="343" t="s">
        <v>530</v>
      </c>
      <c r="Q1054" s="342" t="s">
        <v>2688</v>
      </c>
      <c r="R1054" s="344">
        <v>30</v>
      </c>
      <c r="S1054" s="345">
        <v>25</v>
      </c>
      <c r="T1054" s="362">
        <v>25</v>
      </c>
      <c r="U1054" s="361">
        <v>82.99</v>
      </c>
      <c r="V1054" s="346">
        <v>120.61836165585693</v>
      </c>
      <c r="W1054" s="348">
        <v>119.70390777057128</v>
      </c>
      <c r="X1054" s="347">
        <v>60.88</v>
      </c>
      <c r="Y1054" s="357" t="s">
        <v>408</v>
      </c>
      <c r="Z1054" s="365" t="s">
        <v>3017</v>
      </c>
      <c r="AA1054" s="350">
        <v>198</v>
      </c>
      <c r="AB1054" s="349" t="s">
        <v>2685</v>
      </c>
      <c r="AC1054" s="350">
        <v>10</v>
      </c>
      <c r="AD1054" s="349" t="s">
        <v>2685</v>
      </c>
      <c r="AE1054" s="364">
        <v>0</v>
      </c>
      <c r="AF1054" s="366">
        <v>0</v>
      </c>
      <c r="AG1054" s="363">
        <v>0</v>
      </c>
      <c r="AH1054" s="635" t="s">
        <v>408</v>
      </c>
      <c r="AL1054" s="487" t="s">
        <v>15468</v>
      </c>
      <c r="AM1054" s="477" t="s">
        <v>71</v>
      </c>
      <c r="AN1054" s="637">
        <v>100</v>
      </c>
      <c r="AO1054" s="478">
        <v>-1558</v>
      </c>
      <c r="AP1054" s="463">
        <v>-732</v>
      </c>
      <c r="AQ1054" s="479">
        <v>-826</v>
      </c>
      <c r="AR1054" s="476" t="s">
        <v>15486</v>
      </c>
      <c r="BA1054" s="313" t="s">
        <v>5003</v>
      </c>
    </row>
    <row r="1055" spans="2:53" ht="16.5" customHeight="1">
      <c r="B1055" s="367" t="s">
        <v>4865</v>
      </c>
      <c r="C1055" s="351" t="s">
        <v>4866</v>
      </c>
      <c r="D1055" s="353">
        <v>-1559</v>
      </c>
      <c r="E1055" s="352" t="s">
        <v>10849</v>
      </c>
      <c r="F1055" s="341">
        <v>82.97</v>
      </c>
      <c r="G1055" s="355" t="s">
        <v>4927</v>
      </c>
      <c r="H1055" s="356" t="s">
        <v>18757</v>
      </c>
      <c r="I1055" s="354" t="s">
        <v>215</v>
      </c>
      <c r="J1055" s="340" t="s">
        <v>8216</v>
      </c>
      <c r="K1055" s="339" t="s">
        <v>71</v>
      </c>
      <c r="L1055" s="357">
        <v>6</v>
      </c>
      <c r="M1055" s="358" t="s">
        <v>10851</v>
      </c>
      <c r="N1055" s="359">
        <v>1000</v>
      </c>
      <c r="O1055" s="360" t="s">
        <v>530</v>
      </c>
      <c r="P1055" s="343" t="s">
        <v>531</v>
      </c>
      <c r="Q1055" s="342" t="s">
        <v>2688</v>
      </c>
      <c r="R1055" s="344">
        <v>38</v>
      </c>
      <c r="S1055" s="345">
        <v>25</v>
      </c>
      <c r="T1055" s="362">
        <v>25</v>
      </c>
      <c r="U1055" s="361">
        <v>82.97</v>
      </c>
      <c r="V1055" s="346">
        <v>120.60354362965998</v>
      </c>
      <c r="W1055" s="348">
        <v>119.69402908644</v>
      </c>
      <c r="X1055" s="347">
        <v>60.87</v>
      </c>
      <c r="Y1055" s="357">
        <v>61.43</v>
      </c>
      <c r="Z1055" s="365" t="s">
        <v>3017</v>
      </c>
      <c r="AA1055" s="350">
        <v>121.25</v>
      </c>
      <c r="AB1055" s="349" t="s">
        <v>2685</v>
      </c>
      <c r="AC1055" s="350">
        <v>10</v>
      </c>
      <c r="AD1055" s="349" t="s">
        <v>2685</v>
      </c>
      <c r="AE1055" s="364">
        <v>0</v>
      </c>
      <c r="AF1055" s="366">
        <v>0</v>
      </c>
      <c r="AG1055" s="363">
        <v>0</v>
      </c>
      <c r="AH1055" s="635" t="s">
        <v>8002</v>
      </c>
      <c r="AL1055" s="487" t="s">
        <v>15469</v>
      </c>
      <c r="AM1055" s="477" t="s">
        <v>71</v>
      </c>
      <c r="AN1055" s="637">
        <v>100</v>
      </c>
      <c r="AO1055" s="478">
        <v>-1559</v>
      </c>
      <c r="AP1055" s="463">
        <v>-732</v>
      </c>
      <c r="AQ1055" s="479">
        <v>-827</v>
      </c>
      <c r="AR1055" s="476" t="s">
        <v>17091</v>
      </c>
      <c r="BA1055" s="313" t="s">
        <v>5005</v>
      </c>
    </row>
    <row r="1056" spans="2:53" ht="16.5" customHeight="1">
      <c r="B1056" s="367" t="s">
        <v>4865</v>
      </c>
      <c r="C1056" s="351" t="s">
        <v>4866</v>
      </c>
      <c r="D1056" s="353">
        <v>-1559</v>
      </c>
      <c r="E1056" s="352" t="s">
        <v>10819</v>
      </c>
      <c r="F1056" s="341">
        <v>82.96</v>
      </c>
      <c r="G1056" s="355" t="s">
        <v>4909</v>
      </c>
      <c r="H1056" s="356" t="s">
        <v>18757</v>
      </c>
      <c r="I1056" s="354" t="s">
        <v>221</v>
      </c>
      <c r="J1056" s="340" t="s">
        <v>8654</v>
      </c>
      <c r="K1056" s="339" t="s">
        <v>71</v>
      </c>
      <c r="L1056" s="357">
        <v>11</v>
      </c>
      <c r="M1056" s="358" t="s">
        <v>4296</v>
      </c>
      <c r="N1056" s="359">
        <v>1000</v>
      </c>
      <c r="O1056" s="360" t="s">
        <v>532</v>
      </c>
      <c r="P1056" s="343" t="s">
        <v>533</v>
      </c>
      <c r="Q1056" s="342" t="s">
        <v>2688</v>
      </c>
      <c r="R1056" s="344">
        <v>35</v>
      </c>
      <c r="S1056" s="345">
        <v>25</v>
      </c>
      <c r="T1056" s="362">
        <v>25</v>
      </c>
      <c r="U1056" s="361">
        <v>82.96</v>
      </c>
      <c r="V1056" s="346">
        <v>120.60030802337775</v>
      </c>
      <c r="W1056" s="348">
        <v>119.69187201558516</v>
      </c>
      <c r="X1056" s="347">
        <v>60.87</v>
      </c>
      <c r="Y1056" s="357">
        <v>61.43</v>
      </c>
      <c r="Z1056" s="365" t="s">
        <v>3017</v>
      </c>
      <c r="AA1056" s="350">
        <v>144</v>
      </c>
      <c r="AB1056" s="349" t="s">
        <v>2685</v>
      </c>
      <c r="AC1056" s="350">
        <v>0</v>
      </c>
      <c r="AD1056" s="349" t="s">
        <v>2685</v>
      </c>
      <c r="AE1056" s="364">
        <v>0</v>
      </c>
      <c r="AF1056" s="366">
        <v>0</v>
      </c>
      <c r="AG1056" s="363">
        <v>0</v>
      </c>
      <c r="AH1056" s="635" t="s">
        <v>408</v>
      </c>
      <c r="AL1056" s="487" t="s">
        <v>15470</v>
      </c>
      <c r="AM1056" s="477" t="s">
        <v>71</v>
      </c>
      <c r="AN1056" s="637">
        <v>100</v>
      </c>
      <c r="AO1056" s="478">
        <v>-1559</v>
      </c>
      <c r="AP1056" s="463">
        <v>-732</v>
      </c>
      <c r="AQ1056" s="479">
        <v>-827</v>
      </c>
      <c r="AR1056" s="476" t="s">
        <v>17091</v>
      </c>
      <c r="BA1056" s="313" t="s">
        <v>5006</v>
      </c>
    </row>
    <row r="1057" spans="2:53" ht="16.5" customHeight="1">
      <c r="B1057" s="367" t="s">
        <v>10852</v>
      </c>
      <c r="C1057" s="351" t="s">
        <v>10853</v>
      </c>
      <c r="D1057" s="353">
        <v>-1570</v>
      </c>
      <c r="E1057" s="352" t="s">
        <v>408</v>
      </c>
      <c r="F1057" s="341">
        <v>82.92</v>
      </c>
      <c r="G1057" s="355" t="s">
        <v>10854</v>
      </c>
      <c r="H1057" s="356" t="s">
        <v>10260</v>
      </c>
      <c r="I1057" s="354" t="s">
        <v>212</v>
      </c>
      <c r="J1057" s="340" t="s">
        <v>8283</v>
      </c>
      <c r="K1057" s="339" t="s">
        <v>70</v>
      </c>
      <c r="L1057" s="357">
        <v>10</v>
      </c>
      <c r="M1057" s="358" t="s">
        <v>10856</v>
      </c>
      <c r="N1057" s="359">
        <v>800</v>
      </c>
      <c r="O1057" s="360" t="s">
        <v>532</v>
      </c>
      <c r="P1057" s="343" t="s">
        <v>532</v>
      </c>
      <c r="Q1057" s="342" t="s">
        <v>2688</v>
      </c>
      <c r="R1057" s="344">
        <v>30</v>
      </c>
      <c r="S1057" s="345">
        <v>40</v>
      </c>
      <c r="T1057" s="362">
        <v>30</v>
      </c>
      <c r="U1057" s="361">
        <v>82.92</v>
      </c>
      <c r="V1057" s="346">
        <v>120.5731192513054</v>
      </c>
      <c r="W1057" s="348">
        <v>119.67374616753693</v>
      </c>
      <c r="X1057" s="347" t="s">
        <v>18758</v>
      </c>
      <c r="Y1057" s="357" t="s">
        <v>408</v>
      </c>
      <c r="Z1057" s="365" t="s">
        <v>3017</v>
      </c>
      <c r="AA1057" s="350">
        <v>190</v>
      </c>
      <c r="AB1057" s="349" t="s">
        <v>2685</v>
      </c>
      <c r="AC1057" s="350">
        <v>10</v>
      </c>
      <c r="AD1057" s="349" t="s">
        <v>2685</v>
      </c>
      <c r="AE1057" s="364">
        <v>0</v>
      </c>
      <c r="AF1057" s="366">
        <v>0</v>
      </c>
      <c r="AG1057" s="363">
        <v>0</v>
      </c>
      <c r="AH1057" s="635" t="s">
        <v>408</v>
      </c>
      <c r="AL1057" s="487" t="s">
        <v>15476</v>
      </c>
      <c r="AM1057" s="477" t="s">
        <v>70</v>
      </c>
      <c r="AN1057" s="637">
        <v>100</v>
      </c>
      <c r="AO1057" s="478">
        <v>-1570</v>
      </c>
      <c r="AP1057" s="463">
        <v>-1570</v>
      </c>
      <c r="AQ1057" s="479">
        <v>0</v>
      </c>
      <c r="AR1057" s="476" t="s">
        <v>17249</v>
      </c>
      <c r="BA1057" s="313" t="s">
        <v>5007</v>
      </c>
    </row>
    <row r="1058" spans="2:53" ht="16.5" customHeight="1">
      <c r="B1058" s="367" t="s">
        <v>10852</v>
      </c>
      <c r="C1058" s="351" t="s">
        <v>10853</v>
      </c>
      <c r="D1058" s="353">
        <v>-1570</v>
      </c>
      <c r="E1058" s="352" t="s">
        <v>4899</v>
      </c>
      <c r="F1058" s="341">
        <v>82.92</v>
      </c>
      <c r="G1058" s="355" t="s">
        <v>11137</v>
      </c>
      <c r="H1058" s="356" t="s">
        <v>10733</v>
      </c>
      <c r="I1058" s="354" t="s">
        <v>238</v>
      </c>
      <c r="J1058" s="340" t="s">
        <v>8190</v>
      </c>
      <c r="K1058" s="339" t="s">
        <v>71</v>
      </c>
      <c r="L1058" s="357">
        <v>8</v>
      </c>
      <c r="M1058" s="358" t="s">
        <v>10857</v>
      </c>
      <c r="N1058" s="359">
        <v>1000</v>
      </c>
      <c r="O1058" s="360" t="s">
        <v>532</v>
      </c>
      <c r="P1058" s="343" t="s">
        <v>533</v>
      </c>
      <c r="Q1058" s="342" t="s">
        <v>2688</v>
      </c>
      <c r="R1058" s="344">
        <v>35</v>
      </c>
      <c r="S1058" s="345">
        <v>25</v>
      </c>
      <c r="T1058" s="362">
        <v>25</v>
      </c>
      <c r="U1058" s="361">
        <v>82.92</v>
      </c>
      <c r="V1058" s="346">
        <v>120.57703513295037</v>
      </c>
      <c r="W1058" s="348">
        <v>119.67635675530025</v>
      </c>
      <c r="X1058" s="347">
        <v>60.86</v>
      </c>
      <c r="Y1058" s="357">
        <v>61.32</v>
      </c>
      <c r="Z1058" s="365" t="s">
        <v>3017</v>
      </c>
      <c r="AA1058" s="350">
        <v>148</v>
      </c>
      <c r="AB1058" s="349" t="s">
        <v>2685</v>
      </c>
      <c r="AC1058" s="350">
        <v>0</v>
      </c>
      <c r="AD1058" s="349" t="s">
        <v>2685</v>
      </c>
      <c r="AE1058" s="364">
        <v>0</v>
      </c>
      <c r="AF1058" s="366">
        <v>0</v>
      </c>
      <c r="AG1058" s="363">
        <v>0</v>
      </c>
      <c r="AH1058" s="635" t="s">
        <v>408</v>
      </c>
      <c r="AL1058" s="487" t="s">
        <v>15473</v>
      </c>
      <c r="AM1058" s="477" t="s">
        <v>71</v>
      </c>
      <c r="AN1058" s="637">
        <v>100</v>
      </c>
      <c r="AO1058" s="478">
        <v>-1570</v>
      </c>
      <c r="AP1058" s="463">
        <v>-736</v>
      </c>
      <c r="AQ1058" s="479">
        <v>-834</v>
      </c>
      <c r="AR1058" s="476" t="s">
        <v>17250</v>
      </c>
      <c r="BA1058" s="313" t="s">
        <v>5009</v>
      </c>
    </row>
    <row r="1059" spans="2:53" ht="16.5" customHeight="1">
      <c r="B1059" s="367" t="s">
        <v>10852</v>
      </c>
      <c r="C1059" s="351" t="s">
        <v>10853</v>
      </c>
      <c r="D1059" s="353">
        <v>-1570</v>
      </c>
      <c r="E1059" s="352" t="s">
        <v>408</v>
      </c>
      <c r="F1059" s="341">
        <v>82.92</v>
      </c>
      <c r="G1059" s="355" t="s">
        <v>10858</v>
      </c>
      <c r="H1059" s="356" t="s">
        <v>10245</v>
      </c>
      <c r="I1059" s="354" t="s">
        <v>237</v>
      </c>
      <c r="J1059" s="340" t="s">
        <v>10859</v>
      </c>
      <c r="K1059" s="339" t="s">
        <v>70</v>
      </c>
      <c r="L1059" s="357">
        <v>4</v>
      </c>
      <c r="M1059" s="358" t="s">
        <v>10818</v>
      </c>
      <c r="N1059" s="359">
        <v>1000</v>
      </c>
      <c r="O1059" s="360" t="s">
        <v>530</v>
      </c>
      <c r="P1059" s="343" t="s">
        <v>530</v>
      </c>
      <c r="Q1059" s="342" t="s">
        <v>2688</v>
      </c>
      <c r="R1059" s="344">
        <v>20</v>
      </c>
      <c r="S1059" s="345">
        <v>30</v>
      </c>
      <c r="T1059" s="362">
        <v>30</v>
      </c>
      <c r="U1059" s="361">
        <v>82.92</v>
      </c>
      <c r="V1059" s="346">
        <v>120.57653247383438</v>
      </c>
      <c r="W1059" s="348">
        <v>119.67602164922292</v>
      </c>
      <c r="X1059" s="347">
        <v>60.58</v>
      </c>
      <c r="Y1059" s="357" t="s">
        <v>408</v>
      </c>
      <c r="Z1059" s="365" t="s">
        <v>3017</v>
      </c>
      <c r="AA1059" s="350">
        <v>196</v>
      </c>
      <c r="AB1059" s="349" t="s">
        <v>2685</v>
      </c>
      <c r="AC1059" s="350">
        <v>0</v>
      </c>
      <c r="AD1059" s="349" t="s">
        <v>2685</v>
      </c>
      <c r="AE1059" s="364">
        <v>0</v>
      </c>
      <c r="AF1059" s="366">
        <v>10.837999999999999</v>
      </c>
      <c r="AG1059" s="363">
        <v>0</v>
      </c>
      <c r="AH1059" s="635" t="s">
        <v>9931</v>
      </c>
      <c r="AL1059" s="487" t="s">
        <v>15474</v>
      </c>
      <c r="AM1059" s="477" t="s">
        <v>70</v>
      </c>
      <c r="AN1059" s="637">
        <v>100</v>
      </c>
      <c r="AO1059" s="478">
        <v>-1570</v>
      </c>
      <c r="AP1059" s="463">
        <v>-1570</v>
      </c>
      <c r="AQ1059" s="479">
        <v>0</v>
      </c>
      <c r="AR1059" s="476" t="s">
        <v>17251</v>
      </c>
      <c r="BA1059" s="313" t="s">
        <v>5010</v>
      </c>
    </row>
    <row r="1060" spans="2:53" ht="16.5" customHeight="1">
      <c r="B1060" s="367" t="s">
        <v>10860</v>
      </c>
      <c r="C1060" s="351" t="s">
        <v>10861</v>
      </c>
      <c r="D1060" s="353">
        <v>-1570</v>
      </c>
      <c r="E1060" s="352" t="s">
        <v>408</v>
      </c>
      <c r="F1060" s="341">
        <v>82.9</v>
      </c>
      <c r="G1060" s="355" t="s">
        <v>5008</v>
      </c>
      <c r="H1060" s="356" t="s">
        <v>18759</v>
      </c>
      <c r="I1060" s="354" t="s">
        <v>221</v>
      </c>
      <c r="J1060" s="340" t="s">
        <v>10862</v>
      </c>
      <c r="K1060" s="339" t="s">
        <v>70</v>
      </c>
      <c r="L1060" s="357">
        <v>7</v>
      </c>
      <c r="M1060" s="358" t="s">
        <v>10863</v>
      </c>
      <c r="N1060" s="359">
        <v>1000</v>
      </c>
      <c r="O1060" s="360" t="s">
        <v>532</v>
      </c>
      <c r="P1060" s="343" t="s">
        <v>533</v>
      </c>
      <c r="Q1060" s="342" t="s">
        <v>2688</v>
      </c>
      <c r="R1060" s="344">
        <v>20</v>
      </c>
      <c r="S1060" s="345">
        <v>35</v>
      </c>
      <c r="T1060" s="362">
        <v>30</v>
      </c>
      <c r="U1060" s="361">
        <v>82.9</v>
      </c>
      <c r="V1060" s="346">
        <v>120.56202931116218</v>
      </c>
      <c r="W1060" s="348">
        <v>119.66635287410813</v>
      </c>
      <c r="X1060" s="347">
        <v>60.57</v>
      </c>
      <c r="Y1060" s="357">
        <v>61.199999999999996</v>
      </c>
      <c r="Z1060" s="365" t="s">
        <v>3017</v>
      </c>
      <c r="AA1060" s="350">
        <v>144</v>
      </c>
      <c r="AB1060" s="349" t="s">
        <v>2685</v>
      </c>
      <c r="AC1060" s="350">
        <v>0</v>
      </c>
      <c r="AD1060" s="349" t="s">
        <v>2685</v>
      </c>
      <c r="AE1060" s="364">
        <v>0</v>
      </c>
      <c r="AF1060" s="366">
        <v>16.837</v>
      </c>
      <c r="AG1060" s="363">
        <v>0</v>
      </c>
      <c r="AH1060" s="635" t="s">
        <v>7882</v>
      </c>
      <c r="AL1060" s="487" t="s">
        <v>15475</v>
      </c>
      <c r="AM1060" s="477" t="s">
        <v>70</v>
      </c>
      <c r="AN1060" s="637">
        <v>100</v>
      </c>
      <c r="AO1060" s="478">
        <v>-1570</v>
      </c>
      <c r="AP1060" s="463">
        <v>-1570</v>
      </c>
      <c r="AQ1060" s="479">
        <v>0</v>
      </c>
      <c r="AR1060" s="476" t="s">
        <v>17252</v>
      </c>
      <c r="BA1060" s="313" t="s">
        <v>5012</v>
      </c>
    </row>
    <row r="1061" spans="2:53" ht="16.5" customHeight="1">
      <c r="B1061" s="367" t="s">
        <v>10864</v>
      </c>
      <c r="C1061" s="351" t="s">
        <v>10865</v>
      </c>
      <c r="D1061" s="353">
        <v>-1570</v>
      </c>
      <c r="E1061" s="352" t="s">
        <v>408</v>
      </c>
      <c r="F1061" s="341">
        <v>82.85</v>
      </c>
      <c r="G1061" s="355" t="s">
        <v>10866</v>
      </c>
      <c r="H1061" s="356" t="s">
        <v>10277</v>
      </c>
      <c r="I1061" s="354" t="s">
        <v>301</v>
      </c>
      <c r="J1061" s="340" t="s">
        <v>10867</v>
      </c>
      <c r="K1061" s="339" t="s">
        <v>70</v>
      </c>
      <c r="L1061" s="357">
        <v>31</v>
      </c>
      <c r="M1061" s="358" t="s">
        <v>10868</v>
      </c>
      <c r="N1061" s="359">
        <v>1000</v>
      </c>
      <c r="O1061" s="360" t="s">
        <v>530</v>
      </c>
      <c r="P1061" s="343" t="s">
        <v>531</v>
      </c>
      <c r="Q1061" s="342" t="s">
        <v>2688</v>
      </c>
      <c r="R1061" s="344">
        <v>20</v>
      </c>
      <c r="S1061" s="345">
        <v>35</v>
      </c>
      <c r="T1061" s="362">
        <v>25</v>
      </c>
      <c r="U1061" s="361">
        <v>82.85</v>
      </c>
      <c r="V1061" s="346">
        <v>120.53240069076546</v>
      </c>
      <c r="W1061" s="348">
        <v>119.6466004605103</v>
      </c>
      <c r="X1061" s="347">
        <v>60.56</v>
      </c>
      <c r="Y1061" s="357">
        <v>61.3</v>
      </c>
      <c r="Z1061" s="365" t="s">
        <v>3017</v>
      </c>
      <c r="AA1061" s="350">
        <v>198</v>
      </c>
      <c r="AB1061" s="349" t="s">
        <v>2685</v>
      </c>
      <c r="AC1061" s="350">
        <v>10</v>
      </c>
      <c r="AD1061" s="349" t="s">
        <v>2685</v>
      </c>
      <c r="AE1061" s="364">
        <v>0</v>
      </c>
      <c r="AF1061" s="366">
        <v>10.879</v>
      </c>
      <c r="AG1061" s="363">
        <v>0</v>
      </c>
      <c r="AH1061" s="635" t="s">
        <v>10496</v>
      </c>
      <c r="AL1061" s="487" t="s">
        <v>15477</v>
      </c>
      <c r="AM1061" s="477" t="s">
        <v>70</v>
      </c>
      <c r="AN1061" s="637">
        <v>100</v>
      </c>
      <c r="AO1061" s="478">
        <v>-1570</v>
      </c>
      <c r="AP1061" s="463">
        <v>-1570</v>
      </c>
      <c r="AQ1061" s="479">
        <v>0</v>
      </c>
      <c r="AR1061" s="476" t="s">
        <v>17253</v>
      </c>
      <c r="BA1061" s="313" t="s">
        <v>5016</v>
      </c>
    </row>
    <row r="1062" spans="2:53" ht="16.5" customHeight="1">
      <c r="B1062" s="367" t="s">
        <v>10869</v>
      </c>
      <c r="C1062" s="351" t="s">
        <v>10870</v>
      </c>
      <c r="D1062" s="353">
        <v>-1570</v>
      </c>
      <c r="E1062" s="352" t="s">
        <v>10871</v>
      </c>
      <c r="F1062" s="341">
        <v>82.81</v>
      </c>
      <c r="G1062" s="355" t="s">
        <v>11016</v>
      </c>
      <c r="H1062" s="356" t="s">
        <v>18744</v>
      </c>
      <c r="I1062" s="354" t="s">
        <v>238</v>
      </c>
      <c r="J1062" s="340" t="s">
        <v>8534</v>
      </c>
      <c r="K1062" s="339" t="s">
        <v>71</v>
      </c>
      <c r="L1062" s="357">
        <v>7</v>
      </c>
      <c r="M1062" s="358" t="s">
        <v>10794</v>
      </c>
      <c r="N1062" s="359">
        <v>1000</v>
      </c>
      <c r="O1062" s="360" t="s">
        <v>532</v>
      </c>
      <c r="P1062" s="343" t="s">
        <v>533</v>
      </c>
      <c r="Q1062" s="342" t="s">
        <v>2688</v>
      </c>
      <c r="R1062" s="344">
        <v>35</v>
      </c>
      <c r="S1062" s="345">
        <v>25</v>
      </c>
      <c r="T1062" s="362">
        <v>25</v>
      </c>
      <c r="U1062" s="361">
        <v>82.81</v>
      </c>
      <c r="V1062" s="346">
        <v>120.50553219959092</v>
      </c>
      <c r="W1062" s="348">
        <v>119.62868813306061</v>
      </c>
      <c r="X1062" s="347">
        <v>60.82</v>
      </c>
      <c r="Y1062" s="357">
        <v>61.28</v>
      </c>
      <c r="Z1062" s="365" t="s">
        <v>3017</v>
      </c>
      <c r="AA1062" s="350">
        <v>148</v>
      </c>
      <c r="AB1062" s="349" t="s">
        <v>2685</v>
      </c>
      <c r="AC1062" s="350">
        <v>0</v>
      </c>
      <c r="AD1062" s="349" t="s">
        <v>2685</v>
      </c>
      <c r="AE1062" s="364">
        <v>0</v>
      </c>
      <c r="AF1062" s="366">
        <v>0</v>
      </c>
      <c r="AG1062" s="363">
        <v>0</v>
      </c>
      <c r="AH1062" s="635" t="s">
        <v>408</v>
      </c>
      <c r="AL1062" s="487" t="s">
        <v>15478</v>
      </c>
      <c r="AM1062" s="477" t="s">
        <v>71</v>
      </c>
      <c r="AN1062" s="637">
        <v>100</v>
      </c>
      <c r="AO1062" s="478">
        <v>-1570</v>
      </c>
      <c r="AP1062" s="463">
        <v>-736</v>
      </c>
      <c r="AQ1062" s="479">
        <v>-834</v>
      </c>
      <c r="AR1062" s="476" t="s">
        <v>17254</v>
      </c>
      <c r="BA1062" s="313" t="s">
        <v>5021</v>
      </c>
    </row>
    <row r="1063" spans="2:53" ht="16.5" customHeight="1">
      <c r="B1063" s="367" t="s">
        <v>4905</v>
      </c>
      <c r="C1063" s="351" t="s">
        <v>4906</v>
      </c>
      <c r="D1063" s="353">
        <v>-1570</v>
      </c>
      <c r="E1063" s="352" t="s">
        <v>408</v>
      </c>
      <c r="F1063" s="341">
        <v>82.8</v>
      </c>
      <c r="G1063" s="355" t="s">
        <v>10872</v>
      </c>
      <c r="H1063" s="356" t="s">
        <v>10271</v>
      </c>
      <c r="I1063" s="354" t="s">
        <v>73</v>
      </c>
      <c r="J1063" s="340" t="s">
        <v>10873</v>
      </c>
      <c r="K1063" s="339" t="s">
        <v>70</v>
      </c>
      <c r="L1063" s="357" t="s">
        <v>408</v>
      </c>
      <c r="M1063" s="358" t="s">
        <v>10874</v>
      </c>
      <c r="N1063" s="359">
        <v>1000</v>
      </c>
      <c r="O1063" s="360" t="s">
        <v>530</v>
      </c>
      <c r="P1063" s="343" t="s">
        <v>531</v>
      </c>
      <c r="Q1063" s="342" t="s">
        <v>2688</v>
      </c>
      <c r="R1063" s="344">
        <v>22</v>
      </c>
      <c r="S1063" s="345">
        <v>33</v>
      </c>
      <c r="T1063" s="362">
        <v>33</v>
      </c>
      <c r="U1063" s="361">
        <v>82.8</v>
      </c>
      <c r="V1063" s="346">
        <v>120.49884345948809</v>
      </c>
      <c r="W1063" s="348">
        <v>119.62422897299206</v>
      </c>
      <c r="X1063" s="347">
        <v>60.54</v>
      </c>
      <c r="Y1063" s="357">
        <v>61.28</v>
      </c>
      <c r="Z1063" s="365" t="s">
        <v>2689</v>
      </c>
      <c r="AA1063" s="350">
        <v>111.11</v>
      </c>
      <c r="AB1063" s="349" t="s">
        <v>2685</v>
      </c>
      <c r="AC1063" s="350">
        <v>0</v>
      </c>
      <c r="AD1063" s="349" t="s">
        <v>2685</v>
      </c>
      <c r="AE1063" s="364">
        <v>0</v>
      </c>
      <c r="AF1063" s="366">
        <v>6.1280000000000001</v>
      </c>
      <c r="AG1063" s="363">
        <v>0</v>
      </c>
      <c r="AH1063" s="635" t="s">
        <v>7791</v>
      </c>
      <c r="AL1063" s="487" t="s">
        <v>15479</v>
      </c>
      <c r="AM1063" s="477" t="s">
        <v>70</v>
      </c>
      <c r="AN1063" s="637">
        <v>100</v>
      </c>
      <c r="AO1063" s="478">
        <v>-1570</v>
      </c>
      <c r="AP1063" s="463">
        <v>-1570</v>
      </c>
      <c r="AQ1063" s="479">
        <v>0</v>
      </c>
      <c r="AR1063" s="476" t="s">
        <v>17255</v>
      </c>
      <c r="BA1063" s="313" t="s">
        <v>5023</v>
      </c>
    </row>
    <row r="1064" spans="2:53" ht="16.5" customHeight="1">
      <c r="B1064" s="367" t="s">
        <v>10875</v>
      </c>
      <c r="C1064" s="351" t="s">
        <v>10876</v>
      </c>
      <c r="D1064" s="353">
        <v>-1570</v>
      </c>
      <c r="E1064" s="352" t="s">
        <v>4999</v>
      </c>
      <c r="F1064" s="341">
        <v>82.78</v>
      </c>
      <c r="G1064" s="355" t="s">
        <v>18760</v>
      </c>
      <c r="H1064" s="356" t="s">
        <v>18677</v>
      </c>
      <c r="I1064" s="354" t="s">
        <v>238</v>
      </c>
      <c r="J1064" s="340" t="s">
        <v>8696</v>
      </c>
      <c r="K1064" s="339" t="s">
        <v>71</v>
      </c>
      <c r="L1064" s="357">
        <v>13</v>
      </c>
      <c r="M1064" s="358" t="s">
        <v>10877</v>
      </c>
      <c r="N1064" s="359">
        <v>1000</v>
      </c>
      <c r="O1064" s="360" t="s">
        <v>532</v>
      </c>
      <c r="P1064" s="343" t="s">
        <v>533</v>
      </c>
      <c r="Q1064" s="342" t="s">
        <v>2688</v>
      </c>
      <c r="R1064" s="344">
        <v>35</v>
      </c>
      <c r="S1064" s="345">
        <v>25</v>
      </c>
      <c r="T1064" s="362">
        <v>25</v>
      </c>
      <c r="U1064" s="361">
        <v>82.78</v>
      </c>
      <c r="V1064" s="346">
        <v>120.48765646625104</v>
      </c>
      <c r="W1064" s="348">
        <v>119.61677097750069</v>
      </c>
      <c r="X1064" s="347">
        <v>60.81</v>
      </c>
      <c r="Y1064" s="357">
        <v>61.269999999999996</v>
      </c>
      <c r="Z1064" s="365" t="s">
        <v>3017</v>
      </c>
      <c r="AA1064" s="350">
        <v>148</v>
      </c>
      <c r="AB1064" s="349" t="s">
        <v>2685</v>
      </c>
      <c r="AC1064" s="350">
        <v>0</v>
      </c>
      <c r="AD1064" s="349" t="s">
        <v>2685</v>
      </c>
      <c r="AE1064" s="364">
        <v>0</v>
      </c>
      <c r="AF1064" s="366">
        <v>0</v>
      </c>
      <c r="AG1064" s="363">
        <v>0</v>
      </c>
      <c r="AH1064" s="635" t="s">
        <v>408</v>
      </c>
      <c r="AL1064" s="487" t="s">
        <v>15480</v>
      </c>
      <c r="AM1064" s="477" t="s">
        <v>71</v>
      </c>
      <c r="AN1064" s="637">
        <v>100</v>
      </c>
      <c r="AO1064" s="478">
        <v>-1570</v>
      </c>
      <c r="AP1064" s="463">
        <v>-736</v>
      </c>
      <c r="AQ1064" s="479">
        <v>-834</v>
      </c>
      <c r="AR1064" s="476" t="s">
        <v>17256</v>
      </c>
      <c r="BA1064" s="313" t="s">
        <v>5025</v>
      </c>
    </row>
    <row r="1065" spans="2:53" ht="16.5" customHeight="1">
      <c r="B1065" s="367" t="s">
        <v>4914</v>
      </c>
      <c r="C1065" s="351" t="s">
        <v>4915</v>
      </c>
      <c r="D1065" s="353">
        <v>-1570</v>
      </c>
      <c r="E1065" s="352" t="s">
        <v>5019</v>
      </c>
      <c r="F1065" s="341">
        <v>82.72</v>
      </c>
      <c r="G1065" s="355" t="s">
        <v>10878</v>
      </c>
      <c r="H1065" s="356" t="s">
        <v>10763</v>
      </c>
      <c r="I1065" s="354" t="s">
        <v>215</v>
      </c>
      <c r="J1065" s="340" t="s">
        <v>8168</v>
      </c>
      <c r="K1065" s="339" t="s">
        <v>70</v>
      </c>
      <c r="L1065" s="357">
        <v>25</v>
      </c>
      <c r="M1065" s="358" t="s">
        <v>10879</v>
      </c>
      <c r="N1065" s="359">
        <v>1000</v>
      </c>
      <c r="O1065" s="360" t="s">
        <v>530</v>
      </c>
      <c r="P1065" s="343" t="s">
        <v>531</v>
      </c>
      <c r="Q1065" s="342" t="s">
        <v>2688</v>
      </c>
      <c r="R1065" s="344">
        <v>25</v>
      </c>
      <c r="S1065" s="345">
        <v>38</v>
      </c>
      <c r="T1065" s="362">
        <v>25</v>
      </c>
      <c r="U1065" s="361">
        <v>82.72</v>
      </c>
      <c r="V1065" s="346">
        <v>120.4523887434555</v>
      </c>
      <c r="W1065" s="348">
        <v>119.59325916230367</v>
      </c>
      <c r="X1065" s="347">
        <v>60.52</v>
      </c>
      <c r="Y1065" s="357">
        <v>61.14</v>
      </c>
      <c r="Z1065" s="365" t="s">
        <v>3017</v>
      </c>
      <c r="AA1065" s="350">
        <v>121.25</v>
      </c>
      <c r="AB1065" s="349" t="s">
        <v>2685</v>
      </c>
      <c r="AC1065" s="350">
        <v>10</v>
      </c>
      <c r="AD1065" s="349" t="s">
        <v>2685</v>
      </c>
      <c r="AE1065" s="364">
        <v>0</v>
      </c>
      <c r="AF1065" s="366">
        <v>0</v>
      </c>
      <c r="AG1065" s="363">
        <v>0</v>
      </c>
      <c r="AH1065" s="635" t="s">
        <v>408</v>
      </c>
      <c r="AL1065" s="487" t="s">
        <v>15481</v>
      </c>
      <c r="AM1065" s="477" t="s">
        <v>70</v>
      </c>
      <c r="AN1065" s="637">
        <v>100</v>
      </c>
      <c r="AO1065" s="478">
        <v>-1570</v>
      </c>
      <c r="AP1065" s="463">
        <v>-1570</v>
      </c>
      <c r="AQ1065" s="479">
        <v>0</v>
      </c>
      <c r="AR1065" s="476" t="s">
        <v>17257</v>
      </c>
      <c r="BA1065" s="313" t="s">
        <v>5026</v>
      </c>
    </row>
    <row r="1066" spans="2:53" ht="16.5" customHeight="1">
      <c r="B1066" s="367" t="s">
        <v>10852</v>
      </c>
      <c r="C1066" s="351" t="s">
        <v>10853</v>
      </c>
      <c r="D1066" s="353">
        <v>-1570</v>
      </c>
      <c r="E1066" s="352" t="s">
        <v>408</v>
      </c>
      <c r="F1066" s="341">
        <v>82.68</v>
      </c>
      <c r="G1066" s="355" t="s">
        <v>18761</v>
      </c>
      <c r="H1066" s="356" t="s">
        <v>4548</v>
      </c>
      <c r="I1066" s="354" t="s">
        <v>215</v>
      </c>
      <c r="J1066" s="340" t="s">
        <v>10466</v>
      </c>
      <c r="K1066" s="339" t="s">
        <v>71</v>
      </c>
      <c r="L1066" s="357">
        <v>10</v>
      </c>
      <c r="M1066" s="358" t="s">
        <v>10880</v>
      </c>
      <c r="N1066" s="359">
        <v>1000</v>
      </c>
      <c r="O1066" s="360" t="s">
        <v>530</v>
      </c>
      <c r="P1066" s="343" t="s">
        <v>531</v>
      </c>
      <c r="Q1066" s="342" t="s">
        <v>2688</v>
      </c>
      <c r="R1066" s="344">
        <v>38</v>
      </c>
      <c r="S1066" s="345">
        <v>25</v>
      </c>
      <c r="T1066" s="362">
        <v>25</v>
      </c>
      <c r="U1066" s="361">
        <v>82.68</v>
      </c>
      <c r="V1066" s="346">
        <v>120.42410897173293</v>
      </c>
      <c r="W1066" s="348">
        <v>119.57440598115528</v>
      </c>
      <c r="X1066" s="347">
        <v>60.78</v>
      </c>
      <c r="Y1066" s="357">
        <v>61.339999999999996</v>
      </c>
      <c r="Z1066" s="365" t="s">
        <v>3017</v>
      </c>
      <c r="AA1066" s="350">
        <v>121.25</v>
      </c>
      <c r="AB1066" s="349" t="s">
        <v>2685</v>
      </c>
      <c r="AC1066" s="350">
        <v>10</v>
      </c>
      <c r="AD1066" s="349" t="s">
        <v>2685</v>
      </c>
      <c r="AE1066" s="364">
        <v>0</v>
      </c>
      <c r="AF1066" s="366">
        <v>0</v>
      </c>
      <c r="AG1066" s="363">
        <v>0</v>
      </c>
      <c r="AH1066" s="635" t="s">
        <v>8002</v>
      </c>
      <c r="AL1066" s="487" t="s">
        <v>15482</v>
      </c>
      <c r="AM1066" s="477" t="s">
        <v>71</v>
      </c>
      <c r="AN1066" s="637">
        <v>100</v>
      </c>
      <c r="AO1066" s="478">
        <v>-1570</v>
      </c>
      <c r="AP1066" s="463">
        <v>-735</v>
      </c>
      <c r="AQ1066" s="479">
        <v>-835</v>
      </c>
      <c r="AR1066" s="476" t="s">
        <v>17258</v>
      </c>
      <c r="BA1066" s="313" t="s">
        <v>5030</v>
      </c>
    </row>
    <row r="1067" spans="2:53" ht="16.5" customHeight="1">
      <c r="B1067" s="367" t="s">
        <v>10881</v>
      </c>
      <c r="C1067" s="351" t="s">
        <v>10882</v>
      </c>
      <c r="D1067" s="353">
        <v>-1570</v>
      </c>
      <c r="E1067" s="352" t="s">
        <v>5004</v>
      </c>
      <c r="F1067" s="341">
        <v>82.68</v>
      </c>
      <c r="G1067" s="355" t="s">
        <v>18761</v>
      </c>
      <c r="H1067" s="356" t="s">
        <v>4548</v>
      </c>
      <c r="I1067" s="354" t="s">
        <v>238</v>
      </c>
      <c r="J1067" s="340" t="s">
        <v>10884</v>
      </c>
      <c r="K1067" s="339" t="s">
        <v>71</v>
      </c>
      <c r="L1067" s="357">
        <v>41</v>
      </c>
      <c r="M1067" s="358" t="s">
        <v>10885</v>
      </c>
      <c r="N1067" s="359">
        <v>1000</v>
      </c>
      <c r="O1067" s="360" t="s">
        <v>532</v>
      </c>
      <c r="P1067" s="343" t="s">
        <v>533</v>
      </c>
      <c r="Q1067" s="342" t="s">
        <v>2688</v>
      </c>
      <c r="R1067" s="344">
        <v>35</v>
      </c>
      <c r="S1067" s="345">
        <v>30</v>
      </c>
      <c r="T1067" s="362">
        <v>25</v>
      </c>
      <c r="U1067" s="361">
        <v>82.68</v>
      </c>
      <c r="V1067" s="346">
        <v>120.42233828704587</v>
      </c>
      <c r="W1067" s="348">
        <v>119.57322552469725</v>
      </c>
      <c r="X1067" s="347">
        <v>60.78</v>
      </c>
      <c r="Y1067" s="357">
        <v>61.239999999999995</v>
      </c>
      <c r="Z1067" s="365" t="s">
        <v>3017</v>
      </c>
      <c r="AA1067" s="350">
        <v>98</v>
      </c>
      <c r="AB1067" s="349" t="s">
        <v>2685</v>
      </c>
      <c r="AC1067" s="350">
        <v>0</v>
      </c>
      <c r="AD1067" s="349" t="s">
        <v>2685</v>
      </c>
      <c r="AE1067" s="364">
        <v>0</v>
      </c>
      <c r="AF1067" s="366">
        <v>6.5609999999999999</v>
      </c>
      <c r="AG1067" s="363">
        <v>0</v>
      </c>
      <c r="AH1067" s="635" t="s">
        <v>8698</v>
      </c>
      <c r="AL1067" s="487" t="s">
        <v>15483</v>
      </c>
      <c r="AM1067" s="477" t="s">
        <v>71</v>
      </c>
      <c r="AN1067" s="637">
        <v>100</v>
      </c>
      <c r="AO1067" s="478">
        <v>-1570</v>
      </c>
      <c r="AP1067" s="463">
        <v>-735</v>
      </c>
      <c r="AQ1067" s="479">
        <v>-835</v>
      </c>
      <c r="AR1067" s="476" t="s">
        <v>17258</v>
      </c>
      <c r="BA1067" s="313" t="s">
        <v>5031</v>
      </c>
    </row>
    <row r="1068" spans="2:53" ht="16.5" customHeight="1">
      <c r="B1068" s="367" t="s">
        <v>4897</v>
      </c>
      <c r="C1068" s="351" t="s">
        <v>4898</v>
      </c>
      <c r="D1068" s="353">
        <v>-1570</v>
      </c>
      <c r="E1068" s="352" t="s">
        <v>10883</v>
      </c>
      <c r="F1068" s="341">
        <v>82.67</v>
      </c>
      <c r="G1068" s="355" t="s">
        <v>4895</v>
      </c>
      <c r="H1068" s="356" t="s">
        <v>4574</v>
      </c>
      <c r="I1068" s="354" t="s">
        <v>215</v>
      </c>
      <c r="J1068" s="340" t="s">
        <v>9141</v>
      </c>
      <c r="K1068" s="339" t="s">
        <v>71</v>
      </c>
      <c r="L1068" s="357">
        <v>7</v>
      </c>
      <c r="M1068" s="358" t="s">
        <v>10886</v>
      </c>
      <c r="N1068" s="359">
        <v>1000</v>
      </c>
      <c r="O1068" s="360" t="s">
        <v>530</v>
      </c>
      <c r="P1068" s="343" t="s">
        <v>531</v>
      </c>
      <c r="Q1068" s="342" t="s">
        <v>2688</v>
      </c>
      <c r="R1068" s="344">
        <v>38</v>
      </c>
      <c r="S1068" s="345">
        <v>25</v>
      </c>
      <c r="T1068" s="362">
        <v>25</v>
      </c>
      <c r="U1068" s="361">
        <v>82.67</v>
      </c>
      <c r="V1068" s="346">
        <v>120.42165096272024</v>
      </c>
      <c r="W1068" s="348">
        <v>119.57276730848015</v>
      </c>
      <c r="X1068" s="347">
        <v>60.78</v>
      </c>
      <c r="Y1068" s="357">
        <v>61.33</v>
      </c>
      <c r="Z1068" s="365" t="s">
        <v>3017</v>
      </c>
      <c r="AA1068" s="350">
        <v>121.25</v>
      </c>
      <c r="AB1068" s="349" t="s">
        <v>2685</v>
      </c>
      <c r="AC1068" s="350">
        <v>10</v>
      </c>
      <c r="AD1068" s="349" t="s">
        <v>2685</v>
      </c>
      <c r="AE1068" s="364">
        <v>0</v>
      </c>
      <c r="AF1068" s="366">
        <v>0</v>
      </c>
      <c r="AG1068" s="363">
        <v>0</v>
      </c>
      <c r="AH1068" s="635" t="s">
        <v>8002</v>
      </c>
      <c r="AL1068" s="487" t="s">
        <v>15484</v>
      </c>
      <c r="AM1068" s="477" t="s">
        <v>71</v>
      </c>
      <c r="AN1068" s="637">
        <v>100</v>
      </c>
      <c r="AO1068" s="478">
        <v>-1570</v>
      </c>
      <c r="AP1068" s="463">
        <v>-735</v>
      </c>
      <c r="AQ1068" s="479">
        <v>-835</v>
      </c>
      <c r="AR1068" s="476" t="s">
        <v>17259</v>
      </c>
      <c r="BA1068" s="313" t="s">
        <v>5034</v>
      </c>
    </row>
    <row r="1069" spans="2:53" ht="16.5" customHeight="1">
      <c r="B1069" s="367" t="s">
        <v>4893</v>
      </c>
      <c r="C1069" s="351" t="s">
        <v>4894</v>
      </c>
      <c r="D1069" s="353">
        <v>-1570</v>
      </c>
      <c r="E1069" s="352" t="s">
        <v>5008</v>
      </c>
      <c r="F1069" s="341">
        <v>82.66</v>
      </c>
      <c r="G1069" s="355" t="s">
        <v>4995</v>
      </c>
      <c r="H1069" s="356" t="s">
        <v>18762</v>
      </c>
      <c r="I1069" s="354" t="s">
        <v>209</v>
      </c>
      <c r="J1069" s="340" t="s">
        <v>8726</v>
      </c>
      <c r="K1069" s="339" t="s">
        <v>71</v>
      </c>
      <c r="L1069" s="357">
        <v>18</v>
      </c>
      <c r="M1069" s="358" t="s">
        <v>5022</v>
      </c>
      <c r="N1069" s="359">
        <v>1000</v>
      </c>
      <c r="O1069" s="360" t="s">
        <v>530</v>
      </c>
      <c r="P1069" s="343" t="s">
        <v>530</v>
      </c>
      <c r="Q1069" s="342" t="s">
        <v>2688</v>
      </c>
      <c r="R1069" s="344">
        <v>30</v>
      </c>
      <c r="S1069" s="345">
        <v>25</v>
      </c>
      <c r="T1069" s="362">
        <v>25</v>
      </c>
      <c r="U1069" s="361">
        <v>82.66</v>
      </c>
      <c r="V1069" s="346">
        <v>120.40947559730427</v>
      </c>
      <c r="W1069" s="348">
        <v>119.56465039820284</v>
      </c>
      <c r="X1069" s="347">
        <v>60.77</v>
      </c>
      <c r="Y1069" s="357" t="s">
        <v>408</v>
      </c>
      <c r="Z1069" s="365" t="s">
        <v>3017</v>
      </c>
      <c r="AA1069" s="350">
        <v>198</v>
      </c>
      <c r="AB1069" s="349" t="s">
        <v>2685</v>
      </c>
      <c r="AC1069" s="350">
        <v>10</v>
      </c>
      <c r="AD1069" s="349" t="s">
        <v>2685</v>
      </c>
      <c r="AE1069" s="364">
        <v>0</v>
      </c>
      <c r="AF1069" s="366">
        <v>0</v>
      </c>
      <c r="AG1069" s="363">
        <v>0</v>
      </c>
      <c r="AH1069" s="635" t="s">
        <v>408</v>
      </c>
      <c r="AL1069" s="487" t="s">
        <v>15485</v>
      </c>
      <c r="AM1069" s="477" t="s">
        <v>71</v>
      </c>
      <c r="AN1069" s="637">
        <v>100</v>
      </c>
      <c r="AO1069" s="478">
        <v>-1570</v>
      </c>
      <c r="AP1069" s="463">
        <v>-735</v>
      </c>
      <c r="AQ1069" s="479">
        <v>-835</v>
      </c>
      <c r="AR1069" s="476" t="s">
        <v>17260</v>
      </c>
      <c r="BA1069" s="313" t="s">
        <v>5037</v>
      </c>
    </row>
    <row r="1070" spans="2:53" ht="16.5" customHeight="1">
      <c r="B1070" s="367" t="s">
        <v>4920</v>
      </c>
      <c r="C1070" s="351" t="s">
        <v>4921</v>
      </c>
      <c r="D1070" s="353">
        <v>-1570</v>
      </c>
      <c r="E1070" s="352" t="s">
        <v>408</v>
      </c>
      <c r="F1070" s="341">
        <v>82.64</v>
      </c>
      <c r="G1070" s="355" t="s">
        <v>10887</v>
      </c>
      <c r="H1070" s="356" t="s">
        <v>18763</v>
      </c>
      <c r="I1070" s="354" t="s">
        <v>212</v>
      </c>
      <c r="J1070" s="340" t="s">
        <v>8633</v>
      </c>
      <c r="K1070" s="339" t="s">
        <v>70</v>
      </c>
      <c r="L1070" s="357">
        <v>22</v>
      </c>
      <c r="M1070" s="358" t="s">
        <v>10889</v>
      </c>
      <c r="N1070" s="359">
        <v>800</v>
      </c>
      <c r="O1070" s="360" t="s">
        <v>532</v>
      </c>
      <c r="P1070" s="343" t="s">
        <v>532</v>
      </c>
      <c r="Q1070" s="342" t="s">
        <v>2688</v>
      </c>
      <c r="R1070" s="344">
        <v>30</v>
      </c>
      <c r="S1070" s="345">
        <v>40</v>
      </c>
      <c r="T1070" s="362">
        <v>30</v>
      </c>
      <c r="U1070" s="361">
        <v>82.64</v>
      </c>
      <c r="V1070" s="346">
        <v>120.40034818020919</v>
      </c>
      <c r="W1070" s="348">
        <v>119.5585654534728</v>
      </c>
      <c r="X1070" s="347" t="s">
        <v>18764</v>
      </c>
      <c r="Y1070" s="357" t="s">
        <v>408</v>
      </c>
      <c r="Z1070" s="365" t="s">
        <v>3017</v>
      </c>
      <c r="AA1070" s="350">
        <v>190</v>
      </c>
      <c r="AB1070" s="349" t="s">
        <v>2685</v>
      </c>
      <c r="AC1070" s="350">
        <v>10</v>
      </c>
      <c r="AD1070" s="349" t="s">
        <v>2685</v>
      </c>
      <c r="AE1070" s="364">
        <v>0</v>
      </c>
      <c r="AF1070" s="366">
        <v>0</v>
      </c>
      <c r="AG1070" s="363">
        <v>0</v>
      </c>
      <c r="AH1070" s="635" t="s">
        <v>408</v>
      </c>
      <c r="AL1070" s="487" t="s">
        <v>15488</v>
      </c>
      <c r="AM1070" s="477" t="s">
        <v>70</v>
      </c>
      <c r="AN1070" s="637">
        <v>100</v>
      </c>
      <c r="AO1070" s="478">
        <v>-1570</v>
      </c>
      <c r="AP1070" s="463">
        <v>-1570</v>
      </c>
      <c r="AQ1070" s="479">
        <v>0</v>
      </c>
      <c r="AR1070" s="476" t="s">
        <v>17261</v>
      </c>
      <c r="BA1070" s="313" t="s">
        <v>5038</v>
      </c>
    </row>
    <row r="1071" spans="2:53" ht="16.5" customHeight="1">
      <c r="B1071" s="367" t="s">
        <v>4925</v>
      </c>
      <c r="C1071" s="351" t="s">
        <v>4926</v>
      </c>
      <c r="D1071" s="353">
        <v>-1570</v>
      </c>
      <c r="E1071" s="352" t="s">
        <v>408</v>
      </c>
      <c r="F1071" s="341">
        <v>82.63</v>
      </c>
      <c r="G1071" s="355" t="s">
        <v>5032</v>
      </c>
      <c r="H1071" s="356" t="s">
        <v>18765</v>
      </c>
      <c r="I1071" s="354" t="s">
        <v>216</v>
      </c>
      <c r="J1071" s="340" t="s">
        <v>10891</v>
      </c>
      <c r="K1071" s="339" t="s">
        <v>70</v>
      </c>
      <c r="L1071" s="357">
        <v>6</v>
      </c>
      <c r="M1071" s="358" t="s">
        <v>10892</v>
      </c>
      <c r="N1071" s="359">
        <v>300</v>
      </c>
      <c r="O1071" s="360" t="s">
        <v>530</v>
      </c>
      <c r="P1071" s="343" t="s">
        <v>530</v>
      </c>
      <c r="Q1071" s="342" t="s">
        <v>2688</v>
      </c>
      <c r="R1071" s="344">
        <v>35</v>
      </c>
      <c r="S1071" s="345">
        <v>35</v>
      </c>
      <c r="T1071" s="362">
        <v>30</v>
      </c>
      <c r="U1071" s="361">
        <v>82.63</v>
      </c>
      <c r="V1071" s="346">
        <v>120.39580668733541</v>
      </c>
      <c r="W1071" s="348">
        <v>119.55553779155694</v>
      </c>
      <c r="X1071" s="347">
        <v>60.49</v>
      </c>
      <c r="Y1071" s="357" t="s">
        <v>408</v>
      </c>
      <c r="Z1071" s="365" t="s">
        <v>3017</v>
      </c>
      <c r="AA1071" s="350">
        <v>-2</v>
      </c>
      <c r="AB1071" s="349" t="s">
        <v>2685</v>
      </c>
      <c r="AC1071" s="350">
        <v>0</v>
      </c>
      <c r="AD1071" s="349" t="s">
        <v>2685</v>
      </c>
      <c r="AE1071" s="364">
        <v>0</v>
      </c>
      <c r="AF1071" s="366">
        <v>0</v>
      </c>
      <c r="AG1071" s="363">
        <v>0</v>
      </c>
      <c r="AH1071" s="635" t="s">
        <v>408</v>
      </c>
      <c r="AL1071" s="487" t="s">
        <v>15487</v>
      </c>
      <c r="AM1071" s="477" t="s">
        <v>70</v>
      </c>
      <c r="AN1071" s="637">
        <v>100</v>
      </c>
      <c r="AO1071" s="478">
        <v>-1570</v>
      </c>
      <c r="AP1071" s="463">
        <v>-1570</v>
      </c>
      <c r="AQ1071" s="479">
        <v>0</v>
      </c>
      <c r="AR1071" s="476" t="s">
        <v>17261</v>
      </c>
      <c r="BA1071" s="313" t="s">
        <v>5041</v>
      </c>
    </row>
    <row r="1072" spans="2:53" ht="16.5" customHeight="1">
      <c r="B1072" s="367" t="s">
        <v>10893</v>
      </c>
      <c r="C1072" s="351" t="s">
        <v>10894</v>
      </c>
      <c r="D1072" s="353">
        <v>-1570</v>
      </c>
      <c r="E1072" s="352" t="s">
        <v>10895</v>
      </c>
      <c r="F1072" s="341">
        <v>82.58</v>
      </c>
      <c r="G1072" s="355" t="s">
        <v>10854</v>
      </c>
      <c r="H1072" s="356" t="s">
        <v>4580</v>
      </c>
      <c r="I1072" s="354" t="s">
        <v>238</v>
      </c>
      <c r="J1072" s="340" t="s">
        <v>10897</v>
      </c>
      <c r="K1072" s="339" t="s">
        <v>71</v>
      </c>
      <c r="L1072" s="357">
        <v>7</v>
      </c>
      <c r="M1072" s="358" t="s">
        <v>10798</v>
      </c>
      <c r="N1072" s="359">
        <v>1000</v>
      </c>
      <c r="O1072" s="360" t="s">
        <v>532</v>
      </c>
      <c r="P1072" s="343" t="s">
        <v>533</v>
      </c>
      <c r="Q1072" s="342" t="s">
        <v>2688</v>
      </c>
      <c r="R1072" s="344">
        <v>35</v>
      </c>
      <c r="S1072" s="345">
        <v>25</v>
      </c>
      <c r="T1072" s="362">
        <v>25</v>
      </c>
      <c r="U1072" s="361">
        <v>82.58</v>
      </c>
      <c r="V1072" s="346">
        <v>120.36252633287199</v>
      </c>
      <c r="W1072" s="348">
        <v>119.53335088858134</v>
      </c>
      <c r="X1072" s="347">
        <v>60.75</v>
      </c>
      <c r="Y1072" s="357">
        <v>61.21</v>
      </c>
      <c r="Z1072" s="365" t="s">
        <v>3017</v>
      </c>
      <c r="AA1072" s="350">
        <v>148</v>
      </c>
      <c r="AB1072" s="349" t="s">
        <v>2685</v>
      </c>
      <c r="AC1072" s="350">
        <v>0</v>
      </c>
      <c r="AD1072" s="349" t="s">
        <v>2685</v>
      </c>
      <c r="AE1072" s="364">
        <v>0</v>
      </c>
      <c r="AF1072" s="366">
        <v>0</v>
      </c>
      <c r="AG1072" s="363">
        <v>0</v>
      </c>
      <c r="AH1072" s="635" t="s">
        <v>408</v>
      </c>
      <c r="AL1072" s="487" t="s">
        <v>15489</v>
      </c>
      <c r="AM1072" s="477" t="s">
        <v>71</v>
      </c>
      <c r="AN1072" s="637">
        <v>100</v>
      </c>
      <c r="AO1072" s="478">
        <v>-1570</v>
      </c>
      <c r="AP1072" s="463">
        <v>-735</v>
      </c>
      <c r="AQ1072" s="479">
        <v>-835</v>
      </c>
      <c r="AR1072" s="476" t="s">
        <v>17262</v>
      </c>
      <c r="BA1072" s="313" t="s">
        <v>5042</v>
      </c>
    </row>
    <row r="1073" spans="2:53" ht="16.5" customHeight="1">
      <c r="B1073" s="367" t="s">
        <v>4940</v>
      </c>
      <c r="C1073" s="351" t="s">
        <v>4941</v>
      </c>
      <c r="D1073" s="353">
        <v>-1570</v>
      </c>
      <c r="E1073" s="352" t="s">
        <v>408</v>
      </c>
      <c r="F1073" s="341">
        <v>82.54</v>
      </c>
      <c r="G1073" s="355" t="s">
        <v>5029</v>
      </c>
      <c r="H1073" s="356" t="s">
        <v>4559</v>
      </c>
      <c r="I1073" s="354" t="s">
        <v>238</v>
      </c>
      <c r="J1073" s="340" t="s">
        <v>10898</v>
      </c>
      <c r="K1073" s="339" t="s">
        <v>70</v>
      </c>
      <c r="L1073" s="357">
        <v>16</v>
      </c>
      <c r="M1073" s="358" t="s">
        <v>10899</v>
      </c>
      <c r="N1073" s="359">
        <v>1000</v>
      </c>
      <c r="O1073" s="360" t="s">
        <v>532</v>
      </c>
      <c r="P1073" s="343" t="s">
        <v>533</v>
      </c>
      <c r="Q1073" s="342" t="s">
        <v>2688</v>
      </c>
      <c r="R1073" s="344">
        <v>25</v>
      </c>
      <c r="S1073" s="345">
        <v>35</v>
      </c>
      <c r="T1073" s="362">
        <v>30</v>
      </c>
      <c r="U1073" s="361">
        <v>82.54</v>
      </c>
      <c r="V1073" s="346">
        <v>120.33887422387785</v>
      </c>
      <c r="W1073" s="348">
        <v>119.51758281591856</v>
      </c>
      <c r="X1073" s="347">
        <v>60.47</v>
      </c>
      <c r="Y1073" s="357">
        <v>61.19</v>
      </c>
      <c r="Z1073" s="365" t="s">
        <v>3017</v>
      </c>
      <c r="AA1073" s="350">
        <v>98</v>
      </c>
      <c r="AB1073" s="349" t="s">
        <v>2685</v>
      </c>
      <c r="AC1073" s="350">
        <v>0</v>
      </c>
      <c r="AD1073" s="349" t="s">
        <v>2685</v>
      </c>
      <c r="AE1073" s="364">
        <v>0</v>
      </c>
      <c r="AF1073" s="366">
        <v>16.831</v>
      </c>
      <c r="AG1073" s="363">
        <v>0</v>
      </c>
      <c r="AH1073" s="635" t="s">
        <v>7882</v>
      </c>
      <c r="AL1073" s="487" t="s">
        <v>15490</v>
      </c>
      <c r="AM1073" s="477" t="s">
        <v>70</v>
      </c>
      <c r="AN1073" s="637">
        <v>100</v>
      </c>
      <c r="AO1073" s="478">
        <v>-1570</v>
      </c>
      <c r="AP1073" s="463">
        <v>-1570</v>
      </c>
      <c r="AQ1073" s="479">
        <v>0</v>
      </c>
      <c r="AR1073" s="476" t="s">
        <v>17263</v>
      </c>
      <c r="BA1073" s="313" t="s">
        <v>5044</v>
      </c>
    </row>
    <row r="1074" spans="2:53" ht="16.5" customHeight="1">
      <c r="B1074" s="367" t="s">
        <v>4944</v>
      </c>
      <c r="C1074" s="351" t="s">
        <v>4945</v>
      </c>
      <c r="D1074" s="353">
        <v>-1570</v>
      </c>
      <c r="E1074" s="352" t="s">
        <v>408</v>
      </c>
      <c r="F1074" s="341">
        <v>82.53</v>
      </c>
      <c r="G1074" s="355" t="s">
        <v>10900</v>
      </c>
      <c r="H1074" s="356" t="s">
        <v>4563</v>
      </c>
      <c r="I1074" s="354" t="s">
        <v>209</v>
      </c>
      <c r="J1074" s="340" t="s">
        <v>8056</v>
      </c>
      <c r="K1074" s="339" t="s">
        <v>70</v>
      </c>
      <c r="L1074" s="357">
        <v>16</v>
      </c>
      <c r="M1074" s="358" t="s">
        <v>5033</v>
      </c>
      <c r="N1074" s="359">
        <v>1000</v>
      </c>
      <c r="O1074" s="360" t="s">
        <v>530</v>
      </c>
      <c r="P1074" s="343" t="s">
        <v>530</v>
      </c>
      <c r="Q1074" s="342" t="s">
        <v>2688</v>
      </c>
      <c r="R1074" s="344">
        <v>20</v>
      </c>
      <c r="S1074" s="345">
        <v>30</v>
      </c>
      <c r="T1074" s="362">
        <v>30</v>
      </c>
      <c r="U1074" s="361">
        <v>82.53</v>
      </c>
      <c r="V1074" s="346">
        <v>120.33313730528737</v>
      </c>
      <c r="W1074" s="348">
        <v>119.51375820352492</v>
      </c>
      <c r="X1074" s="347">
        <v>60.47</v>
      </c>
      <c r="Y1074" s="357" t="s">
        <v>408</v>
      </c>
      <c r="Z1074" s="365" t="s">
        <v>3017</v>
      </c>
      <c r="AA1074" s="350">
        <v>198</v>
      </c>
      <c r="AB1074" s="349" t="s">
        <v>2685</v>
      </c>
      <c r="AC1074" s="350">
        <v>10</v>
      </c>
      <c r="AD1074" s="349" t="s">
        <v>2685</v>
      </c>
      <c r="AE1074" s="364">
        <v>0</v>
      </c>
      <c r="AF1074" s="366">
        <v>0</v>
      </c>
      <c r="AG1074" s="363">
        <v>0</v>
      </c>
      <c r="AH1074" s="635" t="s">
        <v>408</v>
      </c>
      <c r="AL1074" s="487" t="s">
        <v>15491</v>
      </c>
      <c r="AM1074" s="477" t="s">
        <v>70</v>
      </c>
      <c r="AN1074" s="637">
        <v>100</v>
      </c>
      <c r="AO1074" s="478">
        <v>-1570</v>
      </c>
      <c r="AP1074" s="463">
        <v>-1570</v>
      </c>
      <c r="AQ1074" s="479">
        <v>0</v>
      </c>
      <c r="AR1074" s="476" t="s">
        <v>17264</v>
      </c>
      <c r="BA1074" s="313" t="s">
        <v>5048</v>
      </c>
    </row>
    <row r="1075" spans="2:53" ht="16.5" customHeight="1">
      <c r="B1075" s="367" t="s">
        <v>4944</v>
      </c>
      <c r="C1075" s="351" t="s">
        <v>4945</v>
      </c>
      <c r="D1075" s="353">
        <v>-1570</v>
      </c>
      <c r="E1075" s="352" t="s">
        <v>408</v>
      </c>
      <c r="F1075" s="341">
        <v>82.53</v>
      </c>
      <c r="G1075" s="355" t="s">
        <v>10900</v>
      </c>
      <c r="H1075" s="356" t="s">
        <v>4563</v>
      </c>
      <c r="I1075" s="354" t="s">
        <v>425</v>
      </c>
      <c r="J1075" s="340" t="s">
        <v>10113</v>
      </c>
      <c r="K1075" s="339" t="s">
        <v>70</v>
      </c>
      <c r="L1075" s="357">
        <v>32</v>
      </c>
      <c r="M1075" s="358" t="s">
        <v>10901</v>
      </c>
      <c r="N1075" s="359">
        <v>1000</v>
      </c>
      <c r="O1075" s="360" t="s">
        <v>454</v>
      </c>
      <c r="P1075" s="343" t="s">
        <v>454</v>
      </c>
      <c r="Q1075" s="342" t="s">
        <v>2738</v>
      </c>
      <c r="R1075" s="344">
        <v>25</v>
      </c>
      <c r="S1075" s="345">
        <v>35</v>
      </c>
      <c r="T1075" s="362">
        <v>20</v>
      </c>
      <c r="U1075" s="361">
        <v>82.53</v>
      </c>
      <c r="V1075" s="346">
        <v>120.33284023668639</v>
      </c>
      <c r="W1075" s="348">
        <v>119.51356015779092</v>
      </c>
      <c r="X1075" s="347">
        <v>60.47</v>
      </c>
      <c r="Y1075" s="357" t="s">
        <v>408</v>
      </c>
      <c r="Z1075" s="365" t="s">
        <v>3017</v>
      </c>
      <c r="AA1075" s="350">
        <v>196</v>
      </c>
      <c r="AB1075" s="349" t="s">
        <v>2685</v>
      </c>
      <c r="AC1075" s="350">
        <v>10</v>
      </c>
      <c r="AD1075" s="349" t="s">
        <v>2685</v>
      </c>
      <c r="AE1075" s="364">
        <v>0</v>
      </c>
      <c r="AF1075" s="366">
        <v>37.139000000000003</v>
      </c>
      <c r="AG1075" s="363">
        <v>0</v>
      </c>
      <c r="AH1075" s="635" t="s">
        <v>10711</v>
      </c>
      <c r="AL1075" s="487" t="s">
        <v>15492</v>
      </c>
      <c r="AM1075" s="477" t="s">
        <v>70</v>
      </c>
      <c r="AN1075" s="637">
        <v>100</v>
      </c>
      <c r="AO1075" s="478">
        <v>-1570</v>
      </c>
      <c r="AP1075" s="463">
        <v>-1570</v>
      </c>
      <c r="AQ1075" s="479">
        <v>0</v>
      </c>
      <c r="AR1075" s="476" t="s">
        <v>17264</v>
      </c>
      <c r="BA1075" s="313" t="s">
        <v>5050</v>
      </c>
    </row>
    <row r="1076" spans="2:53" ht="16.5" customHeight="1">
      <c r="B1076" s="367" t="s">
        <v>4914</v>
      </c>
      <c r="C1076" s="351" t="s">
        <v>4915</v>
      </c>
      <c r="D1076" s="353">
        <v>-1570</v>
      </c>
      <c r="E1076" s="352" t="s">
        <v>10878</v>
      </c>
      <c r="F1076" s="341">
        <v>82.5</v>
      </c>
      <c r="G1076" s="355" t="s">
        <v>4932</v>
      </c>
      <c r="H1076" s="356" t="s">
        <v>18686</v>
      </c>
      <c r="I1076" s="354" t="s">
        <v>215</v>
      </c>
      <c r="J1076" s="340" t="s">
        <v>10902</v>
      </c>
      <c r="K1076" s="339" t="s">
        <v>71</v>
      </c>
      <c r="L1076" s="357">
        <v>10</v>
      </c>
      <c r="M1076" s="358" t="s">
        <v>10903</v>
      </c>
      <c r="N1076" s="359">
        <v>1000</v>
      </c>
      <c r="O1076" s="360" t="s">
        <v>530</v>
      </c>
      <c r="P1076" s="343" t="s">
        <v>531</v>
      </c>
      <c r="Q1076" s="342" t="s">
        <v>2688</v>
      </c>
      <c r="R1076" s="344">
        <v>38</v>
      </c>
      <c r="S1076" s="345">
        <v>25</v>
      </c>
      <c r="T1076" s="362">
        <v>25</v>
      </c>
      <c r="U1076" s="361">
        <v>82.5</v>
      </c>
      <c r="V1076" s="346">
        <v>120.31349856616141</v>
      </c>
      <c r="W1076" s="348">
        <v>119.50066571077427</v>
      </c>
      <c r="X1076" s="347">
        <v>60.72</v>
      </c>
      <c r="Y1076" s="357">
        <v>61.27</v>
      </c>
      <c r="Z1076" s="365" t="s">
        <v>3017</v>
      </c>
      <c r="AA1076" s="350">
        <v>121.25</v>
      </c>
      <c r="AB1076" s="349" t="s">
        <v>2685</v>
      </c>
      <c r="AC1076" s="350">
        <v>10</v>
      </c>
      <c r="AD1076" s="349" t="s">
        <v>2685</v>
      </c>
      <c r="AE1076" s="364">
        <v>0</v>
      </c>
      <c r="AF1076" s="366">
        <v>0</v>
      </c>
      <c r="AG1076" s="363">
        <v>0</v>
      </c>
      <c r="AH1076" s="635" t="s">
        <v>8002</v>
      </c>
      <c r="AL1076" s="487" t="s">
        <v>15493</v>
      </c>
      <c r="AM1076" s="477" t="s">
        <v>71</v>
      </c>
      <c r="AN1076" s="637">
        <v>100</v>
      </c>
      <c r="AO1076" s="478">
        <v>-1570</v>
      </c>
      <c r="AP1076" s="463">
        <v>-734</v>
      </c>
      <c r="AQ1076" s="479">
        <v>-836</v>
      </c>
      <c r="AR1076" s="476" t="s">
        <v>17265</v>
      </c>
      <c r="BA1076" s="313" t="s">
        <v>5054</v>
      </c>
    </row>
    <row r="1077" spans="2:53" ht="16.5" customHeight="1">
      <c r="B1077" s="367" t="s">
        <v>10904</v>
      </c>
      <c r="C1077" s="351" t="s">
        <v>10905</v>
      </c>
      <c r="D1077" s="353">
        <v>-1570</v>
      </c>
      <c r="E1077" s="352" t="s">
        <v>408</v>
      </c>
      <c r="F1077" s="341">
        <v>82.5</v>
      </c>
      <c r="G1077" s="355" t="s">
        <v>10906</v>
      </c>
      <c r="H1077" s="356" t="s">
        <v>10320</v>
      </c>
      <c r="I1077" s="354" t="s">
        <v>195</v>
      </c>
      <c r="J1077" s="340" t="s">
        <v>7263</v>
      </c>
      <c r="K1077" s="339" t="s">
        <v>70</v>
      </c>
      <c r="L1077" s="357">
        <v>72</v>
      </c>
      <c r="M1077" s="358" t="s">
        <v>10907</v>
      </c>
      <c r="N1077" s="359">
        <v>100</v>
      </c>
      <c r="O1077" s="360" t="s">
        <v>454</v>
      </c>
      <c r="P1077" s="343" t="s">
        <v>454</v>
      </c>
      <c r="Q1077" s="342" t="s">
        <v>2738</v>
      </c>
      <c r="R1077" s="344">
        <v>25</v>
      </c>
      <c r="S1077" s="345">
        <v>35</v>
      </c>
      <c r="T1077" s="362">
        <v>20</v>
      </c>
      <c r="U1077" s="361">
        <v>82.5</v>
      </c>
      <c r="V1077" s="346">
        <v>120.3125</v>
      </c>
      <c r="W1077" s="348">
        <v>119.5</v>
      </c>
      <c r="X1077" s="347">
        <v>60.45</v>
      </c>
      <c r="Y1077" s="357" t="s">
        <v>408</v>
      </c>
      <c r="Z1077" s="365" t="s">
        <v>3017</v>
      </c>
      <c r="AA1077" s="350">
        <v>19</v>
      </c>
      <c r="AB1077" s="349" t="s">
        <v>2685</v>
      </c>
      <c r="AC1077" s="350">
        <v>0</v>
      </c>
      <c r="AD1077" s="349" t="s">
        <v>2685</v>
      </c>
      <c r="AE1077" s="364">
        <v>0</v>
      </c>
      <c r="AF1077" s="366">
        <v>0</v>
      </c>
      <c r="AG1077" s="363">
        <v>0</v>
      </c>
      <c r="AH1077" s="635" t="s">
        <v>408</v>
      </c>
      <c r="AL1077" s="487" t="s">
        <v>15494</v>
      </c>
      <c r="AM1077" s="477" t="s">
        <v>70</v>
      </c>
      <c r="AN1077" s="637">
        <v>100</v>
      </c>
      <c r="AO1077" s="478">
        <v>-1570</v>
      </c>
      <c r="AP1077" s="463">
        <v>-1570</v>
      </c>
      <c r="AQ1077" s="479">
        <v>0</v>
      </c>
      <c r="AR1077" s="476" t="s">
        <v>17266</v>
      </c>
      <c r="BA1077" s="313" t="s">
        <v>5055</v>
      </c>
    </row>
    <row r="1078" spans="2:53" ht="16.5" customHeight="1">
      <c r="B1078" s="367" t="s">
        <v>10904</v>
      </c>
      <c r="C1078" s="351" t="s">
        <v>10905</v>
      </c>
      <c r="D1078" s="353">
        <v>-1570</v>
      </c>
      <c r="E1078" s="352" t="s">
        <v>408</v>
      </c>
      <c r="F1078" s="341">
        <v>82.5</v>
      </c>
      <c r="G1078" s="355" t="s">
        <v>10906</v>
      </c>
      <c r="H1078" s="356" t="s">
        <v>10320</v>
      </c>
      <c r="I1078" s="354" t="s">
        <v>422</v>
      </c>
      <c r="J1078" s="340" t="s">
        <v>10908</v>
      </c>
      <c r="K1078" s="339" t="s">
        <v>70</v>
      </c>
      <c r="L1078" s="357">
        <v>18</v>
      </c>
      <c r="M1078" s="358" t="s">
        <v>10909</v>
      </c>
      <c r="N1078" s="359">
        <v>1000</v>
      </c>
      <c r="O1078" s="360" t="s">
        <v>454</v>
      </c>
      <c r="P1078" s="343" t="s">
        <v>454</v>
      </c>
      <c r="Q1078" s="342" t="s">
        <v>2688</v>
      </c>
      <c r="R1078" s="344">
        <v>35</v>
      </c>
      <c r="S1078" s="345">
        <v>25</v>
      </c>
      <c r="T1078" s="362">
        <v>20</v>
      </c>
      <c r="U1078" s="361">
        <v>82.5</v>
      </c>
      <c r="V1078" s="346">
        <v>120.3125</v>
      </c>
      <c r="W1078" s="348">
        <v>119.5</v>
      </c>
      <c r="X1078" s="347">
        <v>60.45</v>
      </c>
      <c r="Y1078" s="357" t="s">
        <v>408</v>
      </c>
      <c r="Z1078" s="365" t="s">
        <v>3017</v>
      </c>
      <c r="AA1078" s="350">
        <v>196</v>
      </c>
      <c r="AB1078" s="349" t="s">
        <v>2685</v>
      </c>
      <c r="AC1078" s="350">
        <v>5</v>
      </c>
      <c r="AD1078" s="349" t="s">
        <v>2685</v>
      </c>
      <c r="AE1078" s="364">
        <v>0</v>
      </c>
      <c r="AF1078" s="366">
        <v>0</v>
      </c>
      <c r="AG1078" s="363">
        <v>0</v>
      </c>
      <c r="AH1078" s="635" t="s">
        <v>408</v>
      </c>
      <c r="AL1078" s="487" t="s">
        <v>15495</v>
      </c>
      <c r="AM1078" s="477" t="s">
        <v>70</v>
      </c>
      <c r="AN1078" s="637">
        <v>100</v>
      </c>
      <c r="AO1078" s="478">
        <v>-1570</v>
      </c>
      <c r="AP1078" s="463">
        <v>-1570</v>
      </c>
      <c r="AQ1078" s="479">
        <v>0</v>
      </c>
      <c r="AR1078" s="476" t="s">
        <v>17266</v>
      </c>
      <c r="BA1078" s="313" t="s">
        <v>5057</v>
      </c>
    </row>
    <row r="1079" spans="2:53" ht="16.5" customHeight="1">
      <c r="B1079" s="367" t="s">
        <v>4952</v>
      </c>
      <c r="C1079" s="351" t="s">
        <v>4953</v>
      </c>
      <c r="D1079" s="353">
        <v>-1570</v>
      </c>
      <c r="E1079" s="352" t="s">
        <v>408</v>
      </c>
      <c r="F1079" s="341">
        <v>82.46</v>
      </c>
      <c r="G1079" s="355" t="s">
        <v>10910</v>
      </c>
      <c r="H1079" s="356" t="s">
        <v>18682</v>
      </c>
      <c r="I1079" s="354" t="s">
        <v>238</v>
      </c>
      <c r="J1079" s="340" t="s">
        <v>10912</v>
      </c>
      <c r="K1079" s="339" t="s">
        <v>70</v>
      </c>
      <c r="L1079" s="357">
        <v>16</v>
      </c>
      <c r="M1079" s="358" t="s">
        <v>10913</v>
      </c>
      <c r="N1079" s="359">
        <v>1000</v>
      </c>
      <c r="O1079" s="360" t="s">
        <v>532</v>
      </c>
      <c r="P1079" s="343" t="s">
        <v>533</v>
      </c>
      <c r="Q1079" s="342" t="s">
        <v>2688</v>
      </c>
      <c r="R1079" s="344">
        <v>25</v>
      </c>
      <c r="S1079" s="345">
        <v>35</v>
      </c>
      <c r="T1079" s="362">
        <v>30</v>
      </c>
      <c r="U1079" s="361">
        <v>82.46</v>
      </c>
      <c r="V1079" s="346">
        <v>120.28755682653122</v>
      </c>
      <c r="W1079" s="348">
        <v>119.48337121768748</v>
      </c>
      <c r="X1079" s="347">
        <v>60.44</v>
      </c>
      <c r="Y1079" s="357">
        <v>61.169999999999995</v>
      </c>
      <c r="Z1079" s="365" t="s">
        <v>3017</v>
      </c>
      <c r="AA1079" s="350">
        <v>98</v>
      </c>
      <c r="AB1079" s="349" t="s">
        <v>2685</v>
      </c>
      <c r="AC1079" s="350">
        <v>0</v>
      </c>
      <c r="AD1079" s="349" t="s">
        <v>2685</v>
      </c>
      <c r="AE1079" s="364">
        <v>0</v>
      </c>
      <c r="AF1079" s="366">
        <v>16.826000000000001</v>
      </c>
      <c r="AG1079" s="363">
        <v>0</v>
      </c>
      <c r="AH1079" s="635" t="s">
        <v>7882</v>
      </c>
      <c r="AL1079" s="487" t="s">
        <v>15496</v>
      </c>
      <c r="AM1079" s="477" t="s">
        <v>70</v>
      </c>
      <c r="AN1079" s="637">
        <v>100</v>
      </c>
      <c r="AO1079" s="478">
        <v>-1570</v>
      </c>
      <c r="AP1079" s="463">
        <v>-1570</v>
      </c>
      <c r="AQ1079" s="479">
        <v>0</v>
      </c>
      <c r="AR1079" s="476" t="s">
        <v>17267</v>
      </c>
      <c r="BA1079" s="313" t="s">
        <v>5062</v>
      </c>
    </row>
    <row r="1080" spans="2:53" ht="16.5" customHeight="1">
      <c r="B1080" s="367" t="s">
        <v>10914</v>
      </c>
      <c r="C1080" s="351" t="s">
        <v>10915</v>
      </c>
      <c r="D1080" s="353">
        <v>-1570</v>
      </c>
      <c r="E1080" s="352" t="s">
        <v>408</v>
      </c>
      <c r="F1080" s="341">
        <v>82.43</v>
      </c>
      <c r="G1080" s="355" t="s">
        <v>10916</v>
      </c>
      <c r="H1080" s="356" t="s">
        <v>4576</v>
      </c>
      <c r="I1080" s="354" t="s">
        <v>425</v>
      </c>
      <c r="J1080" s="340" t="s">
        <v>10917</v>
      </c>
      <c r="K1080" s="339" t="s">
        <v>70</v>
      </c>
      <c r="L1080" s="357">
        <v>30</v>
      </c>
      <c r="M1080" s="358" t="s">
        <v>10918</v>
      </c>
      <c r="N1080" s="359">
        <v>1000</v>
      </c>
      <c r="O1080" s="360" t="s">
        <v>454</v>
      </c>
      <c r="P1080" s="343" t="s">
        <v>454</v>
      </c>
      <c r="Q1080" s="342" t="s">
        <v>2738</v>
      </c>
      <c r="R1080" s="344">
        <v>25</v>
      </c>
      <c r="S1080" s="345">
        <v>35</v>
      </c>
      <c r="T1080" s="362">
        <v>20</v>
      </c>
      <c r="U1080" s="361">
        <v>82.43</v>
      </c>
      <c r="V1080" s="346">
        <v>120.26627218934911</v>
      </c>
      <c r="W1080" s="348">
        <v>119.46918145956607</v>
      </c>
      <c r="X1080" s="347">
        <v>60.43</v>
      </c>
      <c r="Y1080" s="357" t="s">
        <v>408</v>
      </c>
      <c r="Z1080" s="365" t="s">
        <v>3017</v>
      </c>
      <c r="AA1080" s="350">
        <v>196</v>
      </c>
      <c r="AB1080" s="349" t="s">
        <v>2685</v>
      </c>
      <c r="AC1080" s="350">
        <v>10</v>
      </c>
      <c r="AD1080" s="349" t="s">
        <v>2685</v>
      </c>
      <c r="AE1080" s="364">
        <v>0</v>
      </c>
      <c r="AF1080" s="366">
        <v>37.094000000000001</v>
      </c>
      <c r="AG1080" s="363">
        <v>0</v>
      </c>
      <c r="AH1080" s="635" t="s">
        <v>10711</v>
      </c>
      <c r="AL1080" s="487" t="s">
        <v>15497</v>
      </c>
      <c r="AM1080" s="477" t="s">
        <v>70</v>
      </c>
      <c r="AN1080" s="637">
        <v>100</v>
      </c>
      <c r="AO1080" s="478">
        <v>-1570</v>
      </c>
      <c r="AP1080" s="463">
        <v>-1570</v>
      </c>
      <c r="AQ1080" s="479">
        <v>0</v>
      </c>
      <c r="AR1080" s="476" t="s">
        <v>17268</v>
      </c>
      <c r="BA1080" s="313" t="s">
        <v>5064</v>
      </c>
    </row>
    <row r="1081" spans="2:53" ht="16.5" customHeight="1">
      <c r="B1081" s="367" t="s">
        <v>4925</v>
      </c>
      <c r="C1081" s="351" t="s">
        <v>4926</v>
      </c>
      <c r="D1081" s="353">
        <v>-1570</v>
      </c>
      <c r="E1081" s="352" t="s">
        <v>10919</v>
      </c>
      <c r="F1081" s="341">
        <v>82.4</v>
      </c>
      <c r="G1081" s="355" t="s">
        <v>10878</v>
      </c>
      <c r="H1081" s="356" t="s">
        <v>4615</v>
      </c>
      <c r="I1081" s="354" t="s">
        <v>215</v>
      </c>
      <c r="J1081" s="340" t="s">
        <v>10920</v>
      </c>
      <c r="K1081" s="339" t="s">
        <v>71</v>
      </c>
      <c r="L1081" s="357">
        <v>29</v>
      </c>
      <c r="M1081" s="358" t="s">
        <v>10921</v>
      </c>
      <c r="N1081" s="359">
        <v>1000</v>
      </c>
      <c r="O1081" s="360" t="s">
        <v>530</v>
      </c>
      <c r="P1081" s="343" t="s">
        <v>531</v>
      </c>
      <c r="Q1081" s="342" t="s">
        <v>2688</v>
      </c>
      <c r="R1081" s="344">
        <v>38</v>
      </c>
      <c r="S1081" s="345">
        <v>25</v>
      </c>
      <c r="T1081" s="362">
        <v>25</v>
      </c>
      <c r="U1081" s="361">
        <v>82.4</v>
      </c>
      <c r="V1081" s="346">
        <v>120.24713232281852</v>
      </c>
      <c r="W1081" s="348">
        <v>119.45642154854568</v>
      </c>
      <c r="X1081" s="347">
        <v>60.69</v>
      </c>
      <c r="Y1081" s="357">
        <v>61.239999999999995</v>
      </c>
      <c r="Z1081" s="365" t="s">
        <v>3017</v>
      </c>
      <c r="AA1081" s="350">
        <v>121.25</v>
      </c>
      <c r="AB1081" s="349" t="s">
        <v>2685</v>
      </c>
      <c r="AC1081" s="350">
        <v>10</v>
      </c>
      <c r="AD1081" s="349" t="s">
        <v>2685</v>
      </c>
      <c r="AE1081" s="364">
        <v>0</v>
      </c>
      <c r="AF1081" s="366">
        <v>0</v>
      </c>
      <c r="AG1081" s="363">
        <v>0</v>
      </c>
      <c r="AH1081" s="635" t="s">
        <v>8002</v>
      </c>
      <c r="AL1081" s="487" t="s">
        <v>15498</v>
      </c>
      <c r="AM1081" s="477" t="s">
        <v>71</v>
      </c>
      <c r="AN1081" s="637">
        <v>100</v>
      </c>
      <c r="AO1081" s="478">
        <v>-1570</v>
      </c>
      <c r="AP1081" s="463">
        <v>-734</v>
      </c>
      <c r="AQ1081" s="479">
        <v>-836</v>
      </c>
      <c r="AR1081" s="476" t="s">
        <v>17269</v>
      </c>
      <c r="BA1081" s="313" t="s">
        <v>5065</v>
      </c>
    </row>
    <row r="1082" spans="2:53" ht="16.5" customHeight="1">
      <c r="B1082" s="367" t="s">
        <v>4963</v>
      </c>
      <c r="C1082" s="351" t="s">
        <v>4964</v>
      </c>
      <c r="D1082" s="353">
        <v>-1570</v>
      </c>
      <c r="E1082" s="352" t="s">
        <v>408</v>
      </c>
      <c r="F1082" s="341">
        <v>82.35</v>
      </c>
      <c r="G1082" s="355" t="s">
        <v>4975</v>
      </c>
      <c r="H1082" s="356" t="s">
        <v>10316</v>
      </c>
      <c r="I1082" s="354" t="s">
        <v>238</v>
      </c>
      <c r="J1082" s="340" t="s">
        <v>8538</v>
      </c>
      <c r="K1082" s="339" t="s">
        <v>70</v>
      </c>
      <c r="L1082" s="357">
        <v>12</v>
      </c>
      <c r="M1082" s="358" t="s">
        <v>10922</v>
      </c>
      <c r="N1082" s="359">
        <v>1000</v>
      </c>
      <c r="O1082" s="360" t="s">
        <v>532</v>
      </c>
      <c r="P1082" s="343" t="s">
        <v>533</v>
      </c>
      <c r="Q1082" s="342" t="s">
        <v>2688</v>
      </c>
      <c r="R1082" s="344">
        <v>25</v>
      </c>
      <c r="S1082" s="345">
        <v>35</v>
      </c>
      <c r="T1082" s="362">
        <v>30</v>
      </c>
      <c r="U1082" s="361">
        <v>82.35</v>
      </c>
      <c r="V1082" s="346">
        <v>120.21913363006904</v>
      </c>
      <c r="W1082" s="348">
        <v>119.43775575337936</v>
      </c>
      <c r="X1082" s="347">
        <v>60.41</v>
      </c>
      <c r="Y1082" s="357">
        <v>61.129999999999995</v>
      </c>
      <c r="Z1082" s="365" t="s">
        <v>3017</v>
      </c>
      <c r="AA1082" s="350">
        <v>98</v>
      </c>
      <c r="AB1082" s="349" t="s">
        <v>2685</v>
      </c>
      <c r="AC1082" s="350">
        <v>0</v>
      </c>
      <c r="AD1082" s="349" t="s">
        <v>2685</v>
      </c>
      <c r="AE1082" s="364">
        <v>0</v>
      </c>
      <c r="AF1082" s="366">
        <v>16.817</v>
      </c>
      <c r="AG1082" s="363">
        <v>0</v>
      </c>
      <c r="AH1082" s="635" t="s">
        <v>7882</v>
      </c>
      <c r="AL1082" s="487" t="s">
        <v>15499</v>
      </c>
      <c r="AM1082" s="477" t="s">
        <v>70</v>
      </c>
      <c r="AN1082" s="637">
        <v>100</v>
      </c>
      <c r="AO1082" s="478">
        <v>-1570</v>
      </c>
      <c r="AP1082" s="463">
        <v>-1570</v>
      </c>
      <c r="AQ1082" s="479">
        <v>0</v>
      </c>
      <c r="AR1082" s="476" t="s">
        <v>17270</v>
      </c>
      <c r="BA1082" s="313" t="s">
        <v>5070</v>
      </c>
    </row>
    <row r="1083" spans="2:53" ht="16.5" customHeight="1">
      <c r="B1083" s="367" t="s">
        <v>10923</v>
      </c>
      <c r="C1083" s="351" t="s">
        <v>10924</v>
      </c>
      <c r="D1083" s="353">
        <v>-1570</v>
      </c>
      <c r="E1083" s="352" t="s">
        <v>10925</v>
      </c>
      <c r="F1083" s="341">
        <v>82.31</v>
      </c>
      <c r="G1083" s="355" t="s">
        <v>10887</v>
      </c>
      <c r="H1083" s="356" t="s">
        <v>4527</v>
      </c>
      <c r="I1083" s="354" t="s">
        <v>422</v>
      </c>
      <c r="J1083" s="340" t="s">
        <v>8659</v>
      </c>
      <c r="K1083" s="339" t="s">
        <v>71</v>
      </c>
      <c r="L1083" s="357">
        <v>18</v>
      </c>
      <c r="M1083" s="358" t="s">
        <v>10926</v>
      </c>
      <c r="N1083" s="359">
        <v>1000</v>
      </c>
      <c r="O1083" s="360" t="s">
        <v>454</v>
      </c>
      <c r="P1083" s="343" t="s">
        <v>454</v>
      </c>
      <c r="Q1083" s="342" t="s">
        <v>2688</v>
      </c>
      <c r="R1083" s="344">
        <v>25</v>
      </c>
      <c r="S1083" s="345">
        <v>35</v>
      </c>
      <c r="T1083" s="362">
        <v>20</v>
      </c>
      <c r="U1083" s="361">
        <v>82.31</v>
      </c>
      <c r="V1083" s="346">
        <v>120.1953125</v>
      </c>
      <c r="W1083" s="348">
        <v>119.421875</v>
      </c>
      <c r="X1083" s="347">
        <v>60.67</v>
      </c>
      <c r="Y1083" s="357" t="s">
        <v>408</v>
      </c>
      <c r="Z1083" s="365" t="s">
        <v>3017</v>
      </c>
      <c r="AA1083" s="350">
        <v>196</v>
      </c>
      <c r="AB1083" s="349" t="s">
        <v>2685</v>
      </c>
      <c r="AC1083" s="350">
        <v>5</v>
      </c>
      <c r="AD1083" s="349" t="s">
        <v>2685</v>
      </c>
      <c r="AE1083" s="364">
        <v>0</v>
      </c>
      <c r="AF1083" s="366">
        <v>0</v>
      </c>
      <c r="AG1083" s="363">
        <v>0</v>
      </c>
      <c r="AH1083" s="635" t="s">
        <v>408</v>
      </c>
      <c r="AL1083" s="487" t="s">
        <v>15500</v>
      </c>
      <c r="AM1083" s="477" t="s">
        <v>71</v>
      </c>
      <c r="AN1083" s="637">
        <v>100</v>
      </c>
      <c r="AO1083" s="478">
        <v>-1570</v>
      </c>
      <c r="AP1083" s="463">
        <v>-732</v>
      </c>
      <c r="AQ1083" s="479">
        <v>-838</v>
      </c>
      <c r="AR1083" s="476" t="s">
        <v>17271</v>
      </c>
      <c r="BA1083" s="313" t="s">
        <v>5072</v>
      </c>
    </row>
    <row r="1084" spans="2:53" ht="16.5" customHeight="1">
      <c r="B1084" s="367" t="s">
        <v>10923</v>
      </c>
      <c r="C1084" s="351" t="s">
        <v>10924</v>
      </c>
      <c r="D1084" s="353">
        <v>-1570</v>
      </c>
      <c r="E1084" s="352" t="s">
        <v>408</v>
      </c>
      <c r="F1084" s="341">
        <v>82.31</v>
      </c>
      <c r="G1084" s="355" t="s">
        <v>5089</v>
      </c>
      <c r="H1084" s="356" t="s">
        <v>18766</v>
      </c>
      <c r="I1084" s="354" t="s">
        <v>301</v>
      </c>
      <c r="J1084" s="340" t="s">
        <v>10927</v>
      </c>
      <c r="K1084" s="339" t="s">
        <v>70</v>
      </c>
      <c r="L1084" s="357">
        <v>9</v>
      </c>
      <c r="M1084" s="358" t="s">
        <v>10928</v>
      </c>
      <c r="N1084" s="359">
        <v>1000</v>
      </c>
      <c r="O1084" s="360" t="s">
        <v>530</v>
      </c>
      <c r="P1084" s="343" t="s">
        <v>531</v>
      </c>
      <c r="Q1084" s="342" t="s">
        <v>2688</v>
      </c>
      <c r="R1084" s="344">
        <v>20</v>
      </c>
      <c r="S1084" s="345">
        <v>35</v>
      </c>
      <c r="T1084" s="362">
        <v>25</v>
      </c>
      <c r="U1084" s="361">
        <v>82.31</v>
      </c>
      <c r="V1084" s="346">
        <v>120.19393865965105</v>
      </c>
      <c r="W1084" s="348">
        <v>119.42095910643404</v>
      </c>
      <c r="X1084" s="347">
        <v>60.4</v>
      </c>
      <c r="Y1084" s="357">
        <v>61.12</v>
      </c>
      <c r="Z1084" s="365" t="s">
        <v>3017</v>
      </c>
      <c r="AA1084" s="350">
        <v>198</v>
      </c>
      <c r="AB1084" s="349" t="s">
        <v>2685</v>
      </c>
      <c r="AC1084" s="350">
        <v>10</v>
      </c>
      <c r="AD1084" s="349" t="s">
        <v>2685</v>
      </c>
      <c r="AE1084" s="364">
        <v>0</v>
      </c>
      <c r="AF1084" s="366">
        <v>18.088999999999999</v>
      </c>
      <c r="AG1084" s="363">
        <v>0</v>
      </c>
      <c r="AH1084" s="635" t="s">
        <v>10787</v>
      </c>
      <c r="AL1084" s="487" t="s">
        <v>15501</v>
      </c>
      <c r="AM1084" s="477" t="s">
        <v>70</v>
      </c>
      <c r="AN1084" s="637">
        <v>100</v>
      </c>
      <c r="AO1084" s="478">
        <v>-1570</v>
      </c>
      <c r="AP1084" s="463">
        <v>-1570</v>
      </c>
      <c r="AQ1084" s="479">
        <v>0</v>
      </c>
      <c r="AR1084" s="476" t="s">
        <v>17272</v>
      </c>
      <c r="BA1084" s="313" t="s">
        <v>5073</v>
      </c>
    </row>
    <row r="1085" spans="2:53" ht="16.5" customHeight="1">
      <c r="B1085" s="367" t="s">
        <v>4973</v>
      </c>
      <c r="C1085" s="351" t="s">
        <v>4974</v>
      </c>
      <c r="D1085" s="353">
        <v>-1570</v>
      </c>
      <c r="E1085" s="352" t="s">
        <v>408</v>
      </c>
      <c r="F1085" s="341">
        <v>82.27</v>
      </c>
      <c r="G1085" s="355" t="s">
        <v>10929</v>
      </c>
      <c r="H1085" s="356" t="s">
        <v>18767</v>
      </c>
      <c r="I1085" s="354" t="s">
        <v>238</v>
      </c>
      <c r="J1085" s="340" t="s">
        <v>9439</v>
      </c>
      <c r="K1085" s="339" t="s">
        <v>70</v>
      </c>
      <c r="L1085" s="357">
        <v>5</v>
      </c>
      <c r="M1085" s="358" t="s">
        <v>10930</v>
      </c>
      <c r="N1085" s="359">
        <v>1000</v>
      </c>
      <c r="O1085" s="360" t="s">
        <v>532</v>
      </c>
      <c r="P1085" s="343" t="s">
        <v>533</v>
      </c>
      <c r="Q1085" s="342" t="s">
        <v>2688</v>
      </c>
      <c r="R1085" s="344">
        <v>25</v>
      </c>
      <c r="S1085" s="345">
        <v>35</v>
      </c>
      <c r="T1085" s="362">
        <v>30</v>
      </c>
      <c r="U1085" s="361">
        <v>82.27</v>
      </c>
      <c r="V1085" s="346">
        <v>120.1678162327224</v>
      </c>
      <c r="W1085" s="348">
        <v>119.40354415514827</v>
      </c>
      <c r="X1085" s="347">
        <v>60.38</v>
      </c>
      <c r="Y1085" s="357">
        <v>61.1</v>
      </c>
      <c r="Z1085" s="365" t="s">
        <v>3017</v>
      </c>
      <c r="AA1085" s="350">
        <v>98</v>
      </c>
      <c r="AB1085" s="349" t="s">
        <v>2685</v>
      </c>
      <c r="AC1085" s="350">
        <v>0</v>
      </c>
      <c r="AD1085" s="349" t="s">
        <v>2685</v>
      </c>
      <c r="AE1085" s="364">
        <v>0</v>
      </c>
      <c r="AF1085" s="366">
        <v>16.811</v>
      </c>
      <c r="AG1085" s="363">
        <v>0</v>
      </c>
      <c r="AH1085" s="635" t="s">
        <v>7882</v>
      </c>
      <c r="AL1085" s="487" t="s">
        <v>15502</v>
      </c>
      <c r="AM1085" s="477" t="s">
        <v>70</v>
      </c>
      <c r="AN1085" s="637">
        <v>100</v>
      </c>
      <c r="AO1085" s="478">
        <v>-1570</v>
      </c>
      <c r="AP1085" s="463">
        <v>-1570</v>
      </c>
      <c r="AQ1085" s="479">
        <v>0</v>
      </c>
      <c r="AR1085" s="476" t="s">
        <v>17273</v>
      </c>
      <c r="BA1085" s="313" t="s">
        <v>5074</v>
      </c>
    </row>
    <row r="1086" spans="2:53" ht="16.5" customHeight="1">
      <c r="B1086" s="367" t="s">
        <v>10931</v>
      </c>
      <c r="C1086" s="351" t="s">
        <v>10932</v>
      </c>
      <c r="D1086" s="353">
        <v>-1570</v>
      </c>
      <c r="E1086" s="352" t="s">
        <v>408</v>
      </c>
      <c r="F1086" s="341">
        <v>82.25</v>
      </c>
      <c r="G1086" s="355" t="s">
        <v>5103</v>
      </c>
      <c r="H1086" s="356" t="s">
        <v>18768</v>
      </c>
      <c r="I1086" s="354" t="s">
        <v>195</v>
      </c>
      <c r="J1086" s="340" t="s">
        <v>10246</v>
      </c>
      <c r="K1086" s="339" t="s">
        <v>70</v>
      </c>
      <c r="L1086" s="357">
        <v>14</v>
      </c>
      <c r="M1086" s="358" t="s">
        <v>10934</v>
      </c>
      <c r="N1086" s="359">
        <v>100</v>
      </c>
      <c r="O1086" s="360" t="s">
        <v>454</v>
      </c>
      <c r="P1086" s="343" t="s">
        <v>454</v>
      </c>
      <c r="Q1086" s="342" t="s">
        <v>2738</v>
      </c>
      <c r="R1086" s="344">
        <v>25</v>
      </c>
      <c r="S1086" s="345">
        <v>35</v>
      </c>
      <c r="T1086" s="362">
        <v>20</v>
      </c>
      <c r="U1086" s="361">
        <v>82.25</v>
      </c>
      <c r="V1086" s="346">
        <v>120.15625</v>
      </c>
      <c r="W1086" s="348">
        <v>119.39583333333333</v>
      </c>
      <c r="X1086" s="347">
        <v>60.38</v>
      </c>
      <c r="Y1086" s="357" t="s">
        <v>408</v>
      </c>
      <c r="Z1086" s="365" t="s">
        <v>3017</v>
      </c>
      <c r="AA1086" s="350">
        <v>19</v>
      </c>
      <c r="AB1086" s="349" t="s">
        <v>2685</v>
      </c>
      <c r="AC1086" s="350">
        <v>0</v>
      </c>
      <c r="AD1086" s="349" t="s">
        <v>2685</v>
      </c>
      <c r="AE1086" s="364">
        <v>0</v>
      </c>
      <c r="AF1086" s="366">
        <v>0</v>
      </c>
      <c r="AG1086" s="363">
        <v>0</v>
      </c>
      <c r="AH1086" s="635" t="s">
        <v>408</v>
      </c>
      <c r="AL1086" s="487" t="s">
        <v>15503</v>
      </c>
      <c r="AM1086" s="477" t="s">
        <v>70</v>
      </c>
      <c r="AN1086" s="637">
        <v>100</v>
      </c>
      <c r="AO1086" s="478">
        <v>-1570</v>
      </c>
      <c r="AP1086" s="463">
        <v>-1570</v>
      </c>
      <c r="AQ1086" s="479">
        <v>0</v>
      </c>
      <c r="AR1086" s="476" t="s">
        <v>17274</v>
      </c>
      <c r="BA1086" s="313" t="s">
        <v>5078</v>
      </c>
    </row>
    <row r="1087" spans="2:53" ht="16.5" customHeight="1">
      <c r="B1087" s="367" t="s">
        <v>10935</v>
      </c>
      <c r="C1087" s="351" t="s">
        <v>10936</v>
      </c>
      <c r="D1087" s="353">
        <v>-1570</v>
      </c>
      <c r="E1087" s="352" t="s">
        <v>408</v>
      </c>
      <c r="F1087" s="341">
        <v>82.23</v>
      </c>
      <c r="G1087" s="355" t="s">
        <v>10937</v>
      </c>
      <c r="H1087" s="356" t="s">
        <v>4613</v>
      </c>
      <c r="I1087" s="354" t="s">
        <v>215</v>
      </c>
      <c r="J1087" s="340" t="s">
        <v>8478</v>
      </c>
      <c r="K1087" s="339" t="s">
        <v>70</v>
      </c>
      <c r="L1087" s="357">
        <v>13</v>
      </c>
      <c r="M1087" s="358" t="s">
        <v>10938</v>
      </c>
      <c r="N1087" s="359">
        <v>1000</v>
      </c>
      <c r="O1087" s="360" t="s">
        <v>530</v>
      </c>
      <c r="P1087" s="343" t="s">
        <v>531</v>
      </c>
      <c r="Q1087" s="342" t="s">
        <v>2688</v>
      </c>
      <c r="R1087" s="344">
        <v>25</v>
      </c>
      <c r="S1087" s="345">
        <v>38</v>
      </c>
      <c r="T1087" s="362">
        <v>25</v>
      </c>
      <c r="U1087" s="361">
        <v>82.23</v>
      </c>
      <c r="V1087" s="346">
        <v>120.14087041884819</v>
      </c>
      <c r="W1087" s="348">
        <v>119.38558027923213</v>
      </c>
      <c r="X1087" s="347">
        <v>60.37</v>
      </c>
      <c r="Y1087" s="357">
        <v>60.98</v>
      </c>
      <c r="Z1087" s="365" t="s">
        <v>3017</v>
      </c>
      <c r="AA1087" s="350">
        <v>121.25</v>
      </c>
      <c r="AB1087" s="349" t="s">
        <v>2685</v>
      </c>
      <c r="AC1087" s="350">
        <v>10</v>
      </c>
      <c r="AD1087" s="349" t="s">
        <v>2685</v>
      </c>
      <c r="AE1087" s="364">
        <v>0</v>
      </c>
      <c r="AF1087" s="366">
        <v>0</v>
      </c>
      <c r="AG1087" s="363">
        <v>0</v>
      </c>
      <c r="AH1087" s="635" t="s">
        <v>408</v>
      </c>
      <c r="AL1087" s="487" t="s">
        <v>15504</v>
      </c>
      <c r="AM1087" s="477" t="s">
        <v>70</v>
      </c>
      <c r="AN1087" s="637">
        <v>100</v>
      </c>
      <c r="AO1087" s="478">
        <v>-1570</v>
      </c>
      <c r="AP1087" s="463">
        <v>-1570</v>
      </c>
      <c r="AQ1087" s="479">
        <v>0</v>
      </c>
      <c r="AR1087" s="476" t="s">
        <v>17275</v>
      </c>
      <c r="BA1087" s="313" t="s">
        <v>5081</v>
      </c>
    </row>
    <row r="1088" spans="2:53" ht="16.5" customHeight="1">
      <c r="B1088" s="367" t="s">
        <v>10935</v>
      </c>
      <c r="C1088" s="351" t="s">
        <v>10936</v>
      </c>
      <c r="D1088" s="353">
        <v>-1570</v>
      </c>
      <c r="E1088" s="352" t="s">
        <v>408</v>
      </c>
      <c r="F1088" s="341">
        <v>82.22</v>
      </c>
      <c r="G1088" s="355" t="s">
        <v>10937</v>
      </c>
      <c r="H1088" s="356" t="s">
        <v>4613</v>
      </c>
      <c r="I1088" s="354" t="s">
        <v>422</v>
      </c>
      <c r="J1088" s="340" t="s">
        <v>10939</v>
      </c>
      <c r="K1088" s="339" t="s">
        <v>70</v>
      </c>
      <c r="L1088" s="357">
        <v>17</v>
      </c>
      <c r="M1088" s="358" t="s">
        <v>10940</v>
      </c>
      <c r="N1088" s="359">
        <v>1000</v>
      </c>
      <c r="O1088" s="360" t="s">
        <v>454</v>
      </c>
      <c r="P1088" s="343" t="s">
        <v>454</v>
      </c>
      <c r="Q1088" s="342" t="s">
        <v>2688</v>
      </c>
      <c r="R1088" s="344">
        <v>20</v>
      </c>
      <c r="S1088" s="345">
        <v>35</v>
      </c>
      <c r="T1088" s="362">
        <v>30</v>
      </c>
      <c r="U1088" s="361">
        <v>82.22</v>
      </c>
      <c r="V1088" s="346">
        <v>120.13810198300283</v>
      </c>
      <c r="W1088" s="348">
        <v>119.38373465533522</v>
      </c>
      <c r="X1088" s="347">
        <v>60.37</v>
      </c>
      <c r="Y1088" s="357" t="s">
        <v>408</v>
      </c>
      <c r="Z1088" s="365" t="s">
        <v>3017</v>
      </c>
      <c r="AA1088" s="350">
        <v>147</v>
      </c>
      <c r="AB1088" s="349" t="s">
        <v>2685</v>
      </c>
      <c r="AC1088" s="350">
        <v>5</v>
      </c>
      <c r="AD1088" s="349" t="s">
        <v>2685</v>
      </c>
      <c r="AE1088" s="364">
        <v>0</v>
      </c>
      <c r="AF1088" s="366">
        <v>26.722000000000001</v>
      </c>
      <c r="AG1088" s="363">
        <v>0</v>
      </c>
      <c r="AH1088" s="635" t="s">
        <v>10941</v>
      </c>
      <c r="AL1088" s="487" t="s">
        <v>15505</v>
      </c>
      <c r="AM1088" s="477" t="s">
        <v>70</v>
      </c>
      <c r="AN1088" s="637">
        <v>100</v>
      </c>
      <c r="AO1088" s="478">
        <v>-1570</v>
      </c>
      <c r="AP1088" s="463">
        <v>-1570</v>
      </c>
      <c r="AQ1088" s="479">
        <v>0</v>
      </c>
      <c r="AR1088" s="476" t="s">
        <v>17275</v>
      </c>
      <c r="BA1088" s="313" t="s">
        <v>5083</v>
      </c>
    </row>
    <row r="1089" spans="2:53" ht="16.5" customHeight="1">
      <c r="B1089" s="367" t="s">
        <v>10942</v>
      </c>
      <c r="C1089" s="351" t="s">
        <v>10943</v>
      </c>
      <c r="D1089" s="353">
        <v>-1570</v>
      </c>
      <c r="E1089" s="352" t="s">
        <v>408</v>
      </c>
      <c r="F1089" s="341">
        <v>82.16</v>
      </c>
      <c r="G1089" s="355" t="s">
        <v>10944</v>
      </c>
      <c r="H1089" s="356" t="s">
        <v>4535</v>
      </c>
      <c r="I1089" s="354" t="s">
        <v>478</v>
      </c>
      <c r="J1089" s="340" t="s">
        <v>7351</v>
      </c>
      <c r="K1089" s="339" t="s">
        <v>70</v>
      </c>
      <c r="L1089" s="357">
        <v>31</v>
      </c>
      <c r="M1089" s="358" t="s">
        <v>10945</v>
      </c>
      <c r="N1089" s="359">
        <v>1000</v>
      </c>
      <c r="O1089" s="360" t="s">
        <v>532</v>
      </c>
      <c r="P1089" s="343" t="s">
        <v>533</v>
      </c>
      <c r="Q1089" s="342" t="s">
        <v>2688</v>
      </c>
      <c r="R1089" s="344">
        <v>25</v>
      </c>
      <c r="S1089" s="345">
        <v>35</v>
      </c>
      <c r="T1089" s="362">
        <v>25</v>
      </c>
      <c r="U1089" s="361">
        <v>82.16</v>
      </c>
      <c r="V1089" s="346">
        <v>120.1001016364265</v>
      </c>
      <c r="W1089" s="348">
        <v>119.35840109095101</v>
      </c>
      <c r="X1089" s="347">
        <v>60.36</v>
      </c>
      <c r="Y1089" s="357">
        <v>61.07</v>
      </c>
      <c r="Z1089" s="365" t="s">
        <v>3017</v>
      </c>
      <c r="AA1089" s="350">
        <v>149.25</v>
      </c>
      <c r="AB1089" s="349" t="s">
        <v>2685</v>
      </c>
      <c r="AC1089" s="350">
        <v>10</v>
      </c>
      <c r="AD1089" s="349" t="s">
        <v>2685</v>
      </c>
      <c r="AE1089" s="364">
        <v>0</v>
      </c>
      <c r="AF1089" s="366">
        <v>0</v>
      </c>
      <c r="AG1089" s="363">
        <v>0</v>
      </c>
      <c r="AH1089" s="635" t="s">
        <v>408</v>
      </c>
      <c r="AL1089" s="487" t="s">
        <v>15506</v>
      </c>
      <c r="AM1089" s="477" t="s">
        <v>70</v>
      </c>
      <c r="AN1089" s="637">
        <v>100</v>
      </c>
      <c r="AO1089" s="478">
        <v>-1570</v>
      </c>
      <c r="AP1089" s="463">
        <v>-1570</v>
      </c>
      <c r="AQ1089" s="479">
        <v>0</v>
      </c>
      <c r="AR1089" s="476" t="s">
        <v>17276</v>
      </c>
      <c r="BA1089" s="313" t="s">
        <v>5085</v>
      </c>
    </row>
    <row r="1090" spans="2:53" ht="16.5" customHeight="1">
      <c r="B1090" s="367" t="s">
        <v>10942</v>
      </c>
      <c r="C1090" s="351" t="s">
        <v>10943</v>
      </c>
      <c r="D1090" s="353">
        <v>-1570</v>
      </c>
      <c r="E1090" s="352" t="s">
        <v>5114</v>
      </c>
      <c r="F1090" s="341">
        <v>82.16</v>
      </c>
      <c r="G1090" s="355" t="s">
        <v>18769</v>
      </c>
      <c r="H1090" s="356" t="s">
        <v>4649</v>
      </c>
      <c r="I1090" s="354" t="s">
        <v>238</v>
      </c>
      <c r="J1090" s="340" t="s">
        <v>7254</v>
      </c>
      <c r="K1090" s="339" t="s">
        <v>71</v>
      </c>
      <c r="L1090" s="357">
        <v>33</v>
      </c>
      <c r="M1090" s="358" t="s">
        <v>10946</v>
      </c>
      <c r="N1090" s="359">
        <v>1000</v>
      </c>
      <c r="O1090" s="360" t="s">
        <v>532</v>
      </c>
      <c r="P1090" s="343" t="s">
        <v>533</v>
      </c>
      <c r="Q1090" s="342" t="s">
        <v>2688</v>
      </c>
      <c r="R1090" s="344">
        <v>35</v>
      </c>
      <c r="S1090" s="345">
        <v>30</v>
      </c>
      <c r="T1090" s="362">
        <v>25</v>
      </c>
      <c r="U1090" s="361">
        <v>82.16</v>
      </c>
      <c r="V1090" s="346">
        <v>120.09969424996562</v>
      </c>
      <c r="W1090" s="348">
        <v>119.35812949997708</v>
      </c>
      <c r="X1090" s="347">
        <v>60.62</v>
      </c>
      <c r="Y1090" s="357">
        <v>61.07</v>
      </c>
      <c r="Z1090" s="365" t="s">
        <v>3017</v>
      </c>
      <c r="AA1090" s="350">
        <v>98</v>
      </c>
      <c r="AB1090" s="349" t="s">
        <v>2685</v>
      </c>
      <c r="AC1090" s="350">
        <v>0</v>
      </c>
      <c r="AD1090" s="349" t="s">
        <v>2685</v>
      </c>
      <c r="AE1090" s="364">
        <v>0</v>
      </c>
      <c r="AF1090" s="366">
        <v>6.5430000000000001</v>
      </c>
      <c r="AG1090" s="363">
        <v>0</v>
      </c>
      <c r="AH1090" s="635" t="s">
        <v>8698</v>
      </c>
      <c r="AL1090" s="487" t="s">
        <v>15507</v>
      </c>
      <c r="AM1090" s="477" t="s">
        <v>71</v>
      </c>
      <c r="AN1090" s="637">
        <v>100</v>
      </c>
      <c r="AO1090" s="478">
        <v>-1570</v>
      </c>
      <c r="AP1090" s="463">
        <v>-731</v>
      </c>
      <c r="AQ1090" s="479">
        <v>-839</v>
      </c>
      <c r="AR1090" s="476" t="s">
        <v>17277</v>
      </c>
      <c r="BA1090" s="313" t="s">
        <v>5086</v>
      </c>
    </row>
    <row r="1091" spans="2:53" ht="16.5" customHeight="1">
      <c r="B1091" s="367" t="s">
        <v>4958</v>
      </c>
      <c r="C1091" s="351" t="s">
        <v>4959</v>
      </c>
      <c r="D1091" s="353">
        <v>-1570</v>
      </c>
      <c r="E1091" s="352" t="s">
        <v>10947</v>
      </c>
      <c r="F1091" s="341">
        <v>82.14</v>
      </c>
      <c r="G1091" s="355" t="s">
        <v>10910</v>
      </c>
      <c r="H1091" s="356" t="s">
        <v>18770</v>
      </c>
      <c r="I1091" s="354" t="s">
        <v>215</v>
      </c>
      <c r="J1091" s="340" t="s">
        <v>8534</v>
      </c>
      <c r="K1091" s="339" t="s">
        <v>71</v>
      </c>
      <c r="L1091" s="357">
        <v>5</v>
      </c>
      <c r="M1091" s="358" t="s">
        <v>10949</v>
      </c>
      <c r="N1091" s="359">
        <v>1000</v>
      </c>
      <c r="O1091" s="360" t="s">
        <v>530</v>
      </c>
      <c r="P1091" s="343" t="s">
        <v>531</v>
      </c>
      <c r="Q1091" s="342" t="s">
        <v>2688</v>
      </c>
      <c r="R1091" s="344">
        <v>38</v>
      </c>
      <c r="S1091" s="345">
        <v>25</v>
      </c>
      <c r="T1091" s="362">
        <v>25</v>
      </c>
      <c r="U1091" s="361">
        <v>82.14</v>
      </c>
      <c r="V1091" s="346">
        <v>120.08736173699303</v>
      </c>
      <c r="W1091" s="348">
        <v>119.34990782466203</v>
      </c>
      <c r="X1091" s="347">
        <v>60.61</v>
      </c>
      <c r="Y1091" s="357">
        <v>61.15</v>
      </c>
      <c r="Z1091" s="365" t="s">
        <v>3017</v>
      </c>
      <c r="AA1091" s="350">
        <v>121.25</v>
      </c>
      <c r="AB1091" s="349" t="s">
        <v>2685</v>
      </c>
      <c r="AC1091" s="350">
        <v>10</v>
      </c>
      <c r="AD1091" s="349" t="s">
        <v>2685</v>
      </c>
      <c r="AE1091" s="364">
        <v>0</v>
      </c>
      <c r="AF1091" s="366">
        <v>0</v>
      </c>
      <c r="AG1091" s="363">
        <v>0</v>
      </c>
      <c r="AH1091" s="635" t="s">
        <v>8002</v>
      </c>
      <c r="AL1091" s="487" t="s">
        <v>15508</v>
      </c>
      <c r="AM1091" s="477" t="s">
        <v>71</v>
      </c>
      <c r="AN1091" s="637">
        <v>100</v>
      </c>
      <c r="AO1091" s="478">
        <v>-1570</v>
      </c>
      <c r="AP1091" s="463">
        <v>-731</v>
      </c>
      <c r="AQ1091" s="479">
        <v>-839</v>
      </c>
      <c r="AR1091" s="476" t="s">
        <v>17278</v>
      </c>
      <c r="BA1091" s="313" t="s">
        <v>5090</v>
      </c>
    </row>
    <row r="1092" spans="2:53" ht="16.5" customHeight="1">
      <c r="B1092" s="367" t="s">
        <v>10950</v>
      </c>
      <c r="C1092" s="351" t="s">
        <v>10951</v>
      </c>
      <c r="D1092" s="353">
        <v>-1570</v>
      </c>
      <c r="E1092" s="352" t="s">
        <v>408</v>
      </c>
      <c r="F1092" s="341">
        <v>82.13</v>
      </c>
      <c r="G1092" s="355" t="s">
        <v>5124</v>
      </c>
      <c r="H1092" s="356" t="s">
        <v>18771</v>
      </c>
      <c r="I1092" s="354" t="s">
        <v>479</v>
      </c>
      <c r="J1092" s="340" t="s">
        <v>481</v>
      </c>
      <c r="K1092" s="339" t="s">
        <v>70</v>
      </c>
      <c r="L1092" s="357">
        <v>8</v>
      </c>
      <c r="M1092" s="358" t="s">
        <v>10952</v>
      </c>
      <c r="N1092" s="359">
        <v>500</v>
      </c>
      <c r="O1092" s="360" t="s">
        <v>454</v>
      </c>
      <c r="P1092" s="343" t="s">
        <v>454</v>
      </c>
      <c r="Q1092" s="342" t="s">
        <v>2688</v>
      </c>
      <c r="R1092" s="344">
        <v>20</v>
      </c>
      <c r="S1092" s="345">
        <v>30</v>
      </c>
      <c r="T1092" s="362">
        <v>30</v>
      </c>
      <c r="U1092" s="361">
        <v>82.13</v>
      </c>
      <c r="V1092" s="346">
        <v>120.08384146341463</v>
      </c>
      <c r="W1092" s="348">
        <v>119.34756097560975</v>
      </c>
      <c r="X1092" s="347">
        <v>60.34</v>
      </c>
      <c r="Y1092" s="357" t="s">
        <v>408</v>
      </c>
      <c r="Z1092" s="365" t="s">
        <v>3017</v>
      </c>
      <c r="AA1092" s="350">
        <v>97</v>
      </c>
      <c r="AB1092" s="349" t="s">
        <v>2685</v>
      </c>
      <c r="AC1092" s="350">
        <v>2</v>
      </c>
      <c r="AD1092" s="349" t="s">
        <v>2685</v>
      </c>
      <c r="AE1092" s="364">
        <v>0</v>
      </c>
      <c r="AF1092" s="366">
        <v>8.2129999999999992</v>
      </c>
      <c r="AG1092" s="363">
        <v>0</v>
      </c>
      <c r="AH1092" s="635" t="s">
        <v>10953</v>
      </c>
      <c r="AL1092" s="487" t="s">
        <v>7204</v>
      </c>
      <c r="AM1092" s="477" t="s">
        <v>70</v>
      </c>
      <c r="AN1092" s="637">
        <v>100</v>
      </c>
      <c r="AO1092" s="478">
        <v>-1570</v>
      </c>
      <c r="AP1092" s="463">
        <v>-1570</v>
      </c>
      <c r="AQ1092" s="479">
        <v>0</v>
      </c>
      <c r="AR1092" s="476" t="s">
        <v>17279</v>
      </c>
      <c r="BA1092" s="313" t="s">
        <v>5092</v>
      </c>
    </row>
    <row r="1093" spans="2:53" ht="16.5" customHeight="1">
      <c r="B1093" s="367" t="s">
        <v>10954</v>
      </c>
      <c r="C1093" s="351" t="s">
        <v>10955</v>
      </c>
      <c r="D1093" s="353">
        <v>-1570</v>
      </c>
      <c r="E1093" s="352" t="s">
        <v>408</v>
      </c>
      <c r="F1093" s="341">
        <v>82.12</v>
      </c>
      <c r="G1093" s="355" t="s">
        <v>10956</v>
      </c>
      <c r="H1093" s="356" t="s">
        <v>4621</v>
      </c>
      <c r="I1093" s="354" t="s">
        <v>238</v>
      </c>
      <c r="J1093" s="340" t="s">
        <v>7252</v>
      </c>
      <c r="K1093" s="339" t="s">
        <v>70</v>
      </c>
      <c r="L1093" s="357">
        <v>40</v>
      </c>
      <c r="M1093" s="358" t="s">
        <v>10958</v>
      </c>
      <c r="N1093" s="359">
        <v>1000</v>
      </c>
      <c r="O1093" s="360" t="s">
        <v>532</v>
      </c>
      <c r="P1093" s="343" t="s">
        <v>533</v>
      </c>
      <c r="Q1093" s="342" t="s">
        <v>2688</v>
      </c>
      <c r="R1093" s="344">
        <v>25</v>
      </c>
      <c r="S1093" s="345">
        <v>40</v>
      </c>
      <c r="T1093" s="362">
        <v>25</v>
      </c>
      <c r="U1093" s="361">
        <v>82.12</v>
      </c>
      <c r="V1093" s="346">
        <v>120.07256713964935</v>
      </c>
      <c r="W1093" s="348">
        <v>119.34004475976623</v>
      </c>
      <c r="X1093" s="347">
        <v>60.34</v>
      </c>
      <c r="Y1093" s="357">
        <v>61.05</v>
      </c>
      <c r="Z1093" s="365" t="s">
        <v>3017</v>
      </c>
      <c r="AA1093" s="350">
        <v>98</v>
      </c>
      <c r="AB1093" s="349" t="s">
        <v>2685</v>
      </c>
      <c r="AC1093" s="350">
        <v>0</v>
      </c>
      <c r="AD1093" s="349" t="s">
        <v>2685</v>
      </c>
      <c r="AE1093" s="364">
        <v>0</v>
      </c>
      <c r="AF1093" s="366">
        <v>6.5410000000000004</v>
      </c>
      <c r="AG1093" s="363">
        <v>0</v>
      </c>
      <c r="AH1093" s="635" t="s">
        <v>7791</v>
      </c>
      <c r="AL1093" s="487" t="s">
        <v>15509</v>
      </c>
      <c r="AM1093" s="477" t="s">
        <v>70</v>
      </c>
      <c r="AN1093" s="637">
        <v>100</v>
      </c>
      <c r="AO1093" s="478">
        <v>-1570</v>
      </c>
      <c r="AP1093" s="463">
        <v>-1570</v>
      </c>
      <c r="AQ1093" s="479">
        <v>0</v>
      </c>
      <c r="AR1093" s="476" t="s">
        <v>17280</v>
      </c>
      <c r="BA1093" s="313" t="s">
        <v>5094</v>
      </c>
    </row>
    <row r="1094" spans="2:53" ht="16.5" customHeight="1">
      <c r="B1094" s="367" t="s">
        <v>4982</v>
      </c>
      <c r="C1094" s="351" t="s">
        <v>4983</v>
      </c>
      <c r="D1094" s="353">
        <v>-1570</v>
      </c>
      <c r="E1094" s="352" t="s">
        <v>408</v>
      </c>
      <c r="F1094" s="341">
        <v>82.1</v>
      </c>
      <c r="G1094" s="355" t="s">
        <v>5079</v>
      </c>
      <c r="H1094" s="356" t="s">
        <v>18772</v>
      </c>
      <c r="I1094" s="354" t="s">
        <v>425</v>
      </c>
      <c r="J1094" s="340" t="s">
        <v>10959</v>
      </c>
      <c r="K1094" s="339" t="s">
        <v>70</v>
      </c>
      <c r="L1094" s="357">
        <v>11</v>
      </c>
      <c r="M1094" s="358" t="s">
        <v>10960</v>
      </c>
      <c r="N1094" s="359">
        <v>1000</v>
      </c>
      <c r="O1094" s="360" t="s">
        <v>454</v>
      </c>
      <c r="P1094" s="343" t="s">
        <v>454</v>
      </c>
      <c r="Q1094" s="342" t="s">
        <v>2738</v>
      </c>
      <c r="R1094" s="344">
        <v>25</v>
      </c>
      <c r="S1094" s="345">
        <v>35</v>
      </c>
      <c r="T1094" s="362">
        <v>20</v>
      </c>
      <c r="U1094" s="361">
        <v>82.1</v>
      </c>
      <c r="V1094" s="346">
        <v>120.06286982248521</v>
      </c>
      <c r="W1094" s="348">
        <v>119.3335798816568</v>
      </c>
      <c r="X1094" s="347">
        <v>60.34</v>
      </c>
      <c r="Y1094" s="357" t="s">
        <v>408</v>
      </c>
      <c r="Z1094" s="365" t="s">
        <v>3017</v>
      </c>
      <c r="AA1094" s="350">
        <v>196</v>
      </c>
      <c r="AB1094" s="349" t="s">
        <v>2685</v>
      </c>
      <c r="AC1094" s="350">
        <v>10</v>
      </c>
      <c r="AD1094" s="349" t="s">
        <v>2685</v>
      </c>
      <c r="AE1094" s="364">
        <v>0</v>
      </c>
      <c r="AF1094" s="366">
        <v>36.945</v>
      </c>
      <c r="AG1094" s="363">
        <v>0</v>
      </c>
      <c r="AH1094" s="635" t="s">
        <v>10711</v>
      </c>
      <c r="AL1094" s="487" t="s">
        <v>15510</v>
      </c>
      <c r="AM1094" s="477" t="s">
        <v>70</v>
      </c>
      <c r="AN1094" s="637">
        <v>100</v>
      </c>
      <c r="AO1094" s="478">
        <v>-1570</v>
      </c>
      <c r="AP1094" s="463">
        <v>-1570</v>
      </c>
      <c r="AQ1094" s="479">
        <v>0</v>
      </c>
      <c r="AR1094" s="476" t="s">
        <v>17280</v>
      </c>
      <c r="BA1094" s="313" t="s">
        <v>5096</v>
      </c>
    </row>
    <row r="1095" spans="2:53" ht="16.5" customHeight="1">
      <c r="B1095" s="367" t="s">
        <v>4986</v>
      </c>
      <c r="C1095" s="351" t="s">
        <v>4987</v>
      </c>
      <c r="D1095" s="353">
        <v>-1570</v>
      </c>
      <c r="E1095" s="352" t="s">
        <v>408</v>
      </c>
      <c r="F1095" s="341">
        <v>82.08</v>
      </c>
      <c r="G1095" s="355" t="s">
        <v>5091</v>
      </c>
      <c r="H1095" s="356" t="s">
        <v>10364</v>
      </c>
      <c r="I1095" s="354" t="s">
        <v>238</v>
      </c>
      <c r="J1095" s="340" t="s">
        <v>559</v>
      </c>
      <c r="K1095" s="339" t="s">
        <v>70</v>
      </c>
      <c r="L1095" s="357">
        <v>7</v>
      </c>
      <c r="M1095" s="358" t="s">
        <v>10961</v>
      </c>
      <c r="N1095" s="359">
        <v>1000</v>
      </c>
      <c r="O1095" s="360" t="s">
        <v>532</v>
      </c>
      <c r="P1095" s="343" t="s">
        <v>533</v>
      </c>
      <c r="Q1095" s="342" t="s">
        <v>2688</v>
      </c>
      <c r="R1095" s="344">
        <v>25</v>
      </c>
      <c r="S1095" s="345">
        <v>35</v>
      </c>
      <c r="T1095" s="362">
        <v>30</v>
      </c>
      <c r="U1095" s="361">
        <v>82.08</v>
      </c>
      <c r="V1095" s="346">
        <v>120.04807563891363</v>
      </c>
      <c r="W1095" s="348">
        <v>119.32371709260909</v>
      </c>
      <c r="X1095" s="347">
        <v>60.33</v>
      </c>
      <c r="Y1095" s="357">
        <v>61.04</v>
      </c>
      <c r="Z1095" s="365" t="s">
        <v>3017</v>
      </c>
      <c r="AA1095" s="350">
        <v>98</v>
      </c>
      <c r="AB1095" s="349" t="s">
        <v>2685</v>
      </c>
      <c r="AC1095" s="350">
        <v>0</v>
      </c>
      <c r="AD1095" s="349" t="s">
        <v>2685</v>
      </c>
      <c r="AE1095" s="364">
        <v>0</v>
      </c>
      <c r="AF1095" s="366">
        <v>16.797000000000001</v>
      </c>
      <c r="AG1095" s="363">
        <v>0</v>
      </c>
      <c r="AH1095" s="635" t="s">
        <v>7882</v>
      </c>
      <c r="AL1095" s="487" t="s">
        <v>15511</v>
      </c>
      <c r="AM1095" s="477" t="s">
        <v>70</v>
      </c>
      <c r="AN1095" s="637">
        <v>100</v>
      </c>
      <c r="AO1095" s="478">
        <v>-1570</v>
      </c>
      <c r="AP1095" s="463">
        <v>-1570</v>
      </c>
      <c r="AQ1095" s="479">
        <v>0</v>
      </c>
      <c r="AR1095" s="476" t="s">
        <v>17281</v>
      </c>
      <c r="BA1095" s="313" t="s">
        <v>5101</v>
      </c>
    </row>
    <row r="1096" spans="2:53" ht="16.5" customHeight="1">
      <c r="B1096" s="367" t="s">
        <v>4990</v>
      </c>
      <c r="C1096" s="351" t="s">
        <v>4991</v>
      </c>
      <c r="D1096" s="353">
        <v>-1570</v>
      </c>
      <c r="E1096" s="352" t="s">
        <v>408</v>
      </c>
      <c r="F1096" s="341">
        <v>82.07</v>
      </c>
      <c r="G1096" s="355" t="s">
        <v>10962</v>
      </c>
      <c r="H1096" s="356" t="s">
        <v>10369</v>
      </c>
      <c r="I1096" s="354" t="s">
        <v>73</v>
      </c>
      <c r="J1096" s="340" t="s">
        <v>10963</v>
      </c>
      <c r="K1096" s="339" t="s">
        <v>70</v>
      </c>
      <c r="L1096" s="357" t="s">
        <v>408</v>
      </c>
      <c r="M1096" s="358" t="s">
        <v>10964</v>
      </c>
      <c r="N1096" s="359">
        <v>1000</v>
      </c>
      <c r="O1096" s="360" t="s">
        <v>530</v>
      </c>
      <c r="P1096" s="343" t="s">
        <v>531</v>
      </c>
      <c r="Q1096" s="342" t="s">
        <v>2688</v>
      </c>
      <c r="R1096" s="344">
        <v>22</v>
      </c>
      <c r="S1096" s="345">
        <v>33</v>
      </c>
      <c r="T1096" s="362">
        <v>33</v>
      </c>
      <c r="U1096" s="361">
        <v>82.07</v>
      </c>
      <c r="V1096" s="346">
        <v>120.04231561439839</v>
      </c>
      <c r="W1096" s="348">
        <v>119.3198770762656</v>
      </c>
      <c r="X1096" s="347">
        <v>60.32</v>
      </c>
      <c r="Y1096" s="357">
        <v>61.04</v>
      </c>
      <c r="Z1096" s="365" t="s">
        <v>2689</v>
      </c>
      <c r="AA1096" s="350">
        <v>111.11</v>
      </c>
      <c r="AB1096" s="349" t="s">
        <v>2685</v>
      </c>
      <c r="AC1096" s="350">
        <v>0</v>
      </c>
      <c r="AD1096" s="349" t="s">
        <v>2685</v>
      </c>
      <c r="AE1096" s="364">
        <v>0</v>
      </c>
      <c r="AF1096" s="366">
        <v>6.1040000000000001</v>
      </c>
      <c r="AG1096" s="363">
        <v>0</v>
      </c>
      <c r="AH1096" s="635" t="s">
        <v>7791</v>
      </c>
      <c r="AL1096" s="487" t="s">
        <v>15512</v>
      </c>
      <c r="AM1096" s="477" t="s">
        <v>70</v>
      </c>
      <c r="AN1096" s="637">
        <v>100</v>
      </c>
      <c r="AO1096" s="478">
        <v>-1570</v>
      </c>
      <c r="AP1096" s="463">
        <v>-1570</v>
      </c>
      <c r="AQ1096" s="479">
        <v>0</v>
      </c>
      <c r="AR1096" s="476" t="s">
        <v>17281</v>
      </c>
      <c r="BA1096" s="313" t="s">
        <v>5102</v>
      </c>
    </row>
    <row r="1097" spans="2:53" ht="16.5" customHeight="1">
      <c r="B1097" s="367" t="s">
        <v>4993</v>
      </c>
      <c r="C1097" s="351" t="s">
        <v>4994</v>
      </c>
      <c r="D1097" s="353">
        <v>-1570</v>
      </c>
      <c r="E1097" s="352" t="s">
        <v>10965</v>
      </c>
      <c r="F1097" s="341">
        <v>82.04</v>
      </c>
      <c r="G1097" s="355" t="s">
        <v>5015</v>
      </c>
      <c r="H1097" s="356" t="s">
        <v>4666</v>
      </c>
      <c r="I1097" s="354" t="s">
        <v>238</v>
      </c>
      <c r="J1097" s="340" t="s">
        <v>8772</v>
      </c>
      <c r="K1097" s="339" t="s">
        <v>71</v>
      </c>
      <c r="L1097" s="357">
        <v>13</v>
      </c>
      <c r="M1097" s="358" t="s">
        <v>10966</v>
      </c>
      <c r="N1097" s="359">
        <v>1000</v>
      </c>
      <c r="O1097" s="360" t="s">
        <v>532</v>
      </c>
      <c r="P1097" s="343" t="s">
        <v>533</v>
      </c>
      <c r="Q1097" s="342" t="s">
        <v>2688</v>
      </c>
      <c r="R1097" s="344">
        <v>35</v>
      </c>
      <c r="S1097" s="345">
        <v>25</v>
      </c>
      <c r="T1097" s="362">
        <v>25</v>
      </c>
      <c r="U1097" s="361">
        <v>82.04</v>
      </c>
      <c r="V1097" s="346">
        <v>120.02288739941457</v>
      </c>
      <c r="W1097" s="348">
        <v>119.30692493294305</v>
      </c>
      <c r="X1097" s="347">
        <v>60.58</v>
      </c>
      <c r="Y1097" s="357">
        <v>61.03</v>
      </c>
      <c r="Z1097" s="365" t="s">
        <v>3017</v>
      </c>
      <c r="AA1097" s="350">
        <v>148</v>
      </c>
      <c r="AB1097" s="349" t="s">
        <v>2685</v>
      </c>
      <c r="AC1097" s="350">
        <v>0</v>
      </c>
      <c r="AD1097" s="349" t="s">
        <v>2685</v>
      </c>
      <c r="AE1097" s="364">
        <v>0</v>
      </c>
      <c r="AF1097" s="366">
        <v>0</v>
      </c>
      <c r="AG1097" s="363">
        <v>0</v>
      </c>
      <c r="AH1097" s="635" t="s">
        <v>408</v>
      </c>
      <c r="AL1097" s="487" t="s">
        <v>15513</v>
      </c>
      <c r="AM1097" s="477" t="s">
        <v>71</v>
      </c>
      <c r="AN1097" s="637">
        <v>100</v>
      </c>
      <c r="AO1097" s="478">
        <v>-1570</v>
      </c>
      <c r="AP1097" s="463">
        <v>-731</v>
      </c>
      <c r="AQ1097" s="479">
        <v>-839</v>
      </c>
      <c r="AR1097" s="476" t="s">
        <v>17282</v>
      </c>
      <c r="BA1097" s="313" t="s">
        <v>5104</v>
      </c>
    </row>
    <row r="1098" spans="2:53" ht="16.5" customHeight="1">
      <c r="B1098" s="367" t="s">
        <v>4997</v>
      </c>
      <c r="C1098" s="351" t="s">
        <v>4998</v>
      </c>
      <c r="D1098" s="353">
        <v>-1570</v>
      </c>
      <c r="E1098" s="352" t="s">
        <v>408</v>
      </c>
      <c r="F1098" s="341">
        <v>82.02</v>
      </c>
      <c r="G1098" s="355" t="s">
        <v>5099</v>
      </c>
      <c r="H1098" s="356" t="s">
        <v>4638</v>
      </c>
      <c r="I1098" s="354" t="s">
        <v>238</v>
      </c>
      <c r="J1098" s="340" t="s">
        <v>10967</v>
      </c>
      <c r="K1098" s="339" t="s">
        <v>70</v>
      </c>
      <c r="L1098" s="357">
        <v>7</v>
      </c>
      <c r="M1098" s="358" t="s">
        <v>10968</v>
      </c>
      <c r="N1098" s="359">
        <v>1000</v>
      </c>
      <c r="O1098" s="360" t="s">
        <v>532</v>
      </c>
      <c r="P1098" s="343" t="s">
        <v>533</v>
      </c>
      <c r="Q1098" s="342" t="s">
        <v>2688</v>
      </c>
      <c r="R1098" s="344">
        <v>25</v>
      </c>
      <c r="S1098" s="345">
        <v>35</v>
      </c>
      <c r="T1098" s="362">
        <v>30</v>
      </c>
      <c r="U1098" s="361">
        <v>82.02</v>
      </c>
      <c r="V1098" s="346">
        <v>120.01386404068253</v>
      </c>
      <c r="W1098" s="348">
        <v>119.30090936045502</v>
      </c>
      <c r="X1098" s="347">
        <v>60.31</v>
      </c>
      <c r="Y1098" s="357">
        <v>61.019999999999996</v>
      </c>
      <c r="Z1098" s="365" t="s">
        <v>3017</v>
      </c>
      <c r="AA1098" s="350">
        <v>98</v>
      </c>
      <c r="AB1098" s="349" t="s">
        <v>2685</v>
      </c>
      <c r="AC1098" s="350">
        <v>0</v>
      </c>
      <c r="AD1098" s="349" t="s">
        <v>2685</v>
      </c>
      <c r="AE1098" s="364">
        <v>0</v>
      </c>
      <c r="AF1098" s="366">
        <v>16.792999999999999</v>
      </c>
      <c r="AG1098" s="363">
        <v>0</v>
      </c>
      <c r="AH1098" s="635" t="s">
        <v>7882</v>
      </c>
      <c r="AL1098" s="487" t="s">
        <v>15514</v>
      </c>
      <c r="AM1098" s="477" t="s">
        <v>70</v>
      </c>
      <c r="AN1098" s="637">
        <v>100</v>
      </c>
      <c r="AO1098" s="478">
        <v>-1570</v>
      </c>
      <c r="AP1098" s="463">
        <v>-1570</v>
      </c>
      <c r="AQ1098" s="479">
        <v>0</v>
      </c>
      <c r="AR1098" s="476" t="s">
        <v>17283</v>
      </c>
      <c r="BA1098" s="313" t="s">
        <v>5105</v>
      </c>
    </row>
    <row r="1099" spans="2:53" ht="16.5" customHeight="1">
      <c r="B1099" s="367" t="s">
        <v>10969</v>
      </c>
      <c r="C1099" s="351" t="s">
        <v>10970</v>
      </c>
      <c r="D1099" s="353">
        <v>-1570</v>
      </c>
      <c r="E1099" s="352" t="s">
        <v>4967</v>
      </c>
      <c r="F1099" s="341">
        <v>81.94</v>
      </c>
      <c r="G1099" s="355" t="s">
        <v>5113</v>
      </c>
      <c r="H1099" s="356" t="s">
        <v>4660</v>
      </c>
      <c r="I1099" s="354" t="s">
        <v>239</v>
      </c>
      <c r="J1099" s="340" t="s">
        <v>8410</v>
      </c>
      <c r="K1099" s="339" t="s">
        <v>70</v>
      </c>
      <c r="L1099" s="357">
        <v>15</v>
      </c>
      <c r="M1099" s="358" t="s">
        <v>10971</v>
      </c>
      <c r="N1099" s="359">
        <v>1000</v>
      </c>
      <c r="O1099" s="360" t="s">
        <v>454</v>
      </c>
      <c r="P1099" s="343" t="s">
        <v>454</v>
      </c>
      <c r="Q1099" s="342" t="s">
        <v>2738</v>
      </c>
      <c r="R1099" s="344">
        <v>25</v>
      </c>
      <c r="S1099" s="345">
        <v>35</v>
      </c>
      <c r="T1099" s="362">
        <v>20</v>
      </c>
      <c r="U1099" s="361">
        <v>81.94</v>
      </c>
      <c r="V1099" s="346">
        <v>119.9609375</v>
      </c>
      <c r="W1099" s="348">
        <v>119.265625</v>
      </c>
      <c r="X1099" s="347">
        <v>60.29</v>
      </c>
      <c r="Y1099" s="357" t="s">
        <v>408</v>
      </c>
      <c r="Z1099" s="365" t="s">
        <v>3017</v>
      </c>
      <c r="AA1099" s="350">
        <v>195</v>
      </c>
      <c r="AB1099" s="349" t="s">
        <v>2685</v>
      </c>
      <c r="AC1099" s="350">
        <v>10</v>
      </c>
      <c r="AD1099" s="349" t="s">
        <v>2685</v>
      </c>
      <c r="AE1099" s="364">
        <v>0</v>
      </c>
      <c r="AF1099" s="366">
        <v>0</v>
      </c>
      <c r="AG1099" s="363">
        <v>0</v>
      </c>
      <c r="AH1099" s="635" t="s">
        <v>408</v>
      </c>
      <c r="AL1099" s="487" t="s">
        <v>15515</v>
      </c>
      <c r="AM1099" s="477" t="s">
        <v>70</v>
      </c>
      <c r="AN1099" s="637">
        <v>100</v>
      </c>
      <c r="AO1099" s="478">
        <v>-1570</v>
      </c>
      <c r="AP1099" s="463">
        <v>-1570</v>
      </c>
      <c r="AQ1099" s="479">
        <v>0</v>
      </c>
      <c r="AR1099" s="476" t="s">
        <v>17284</v>
      </c>
      <c r="BA1099" s="313" t="s">
        <v>5109</v>
      </c>
    </row>
    <row r="1100" spans="2:53" ht="16.5" customHeight="1">
      <c r="B1100" s="367" t="s">
        <v>10972</v>
      </c>
      <c r="C1100" s="351" t="s">
        <v>10973</v>
      </c>
      <c r="D1100" s="353">
        <v>-1570</v>
      </c>
      <c r="E1100" s="352" t="s">
        <v>408</v>
      </c>
      <c r="F1100" s="341">
        <v>81.94</v>
      </c>
      <c r="G1100" s="355" t="s">
        <v>10929</v>
      </c>
      <c r="H1100" s="356" t="s">
        <v>18773</v>
      </c>
      <c r="I1100" s="354" t="s">
        <v>446</v>
      </c>
      <c r="J1100" s="340" t="s">
        <v>10976</v>
      </c>
      <c r="K1100" s="339" t="s">
        <v>71</v>
      </c>
      <c r="L1100" s="357">
        <v>11</v>
      </c>
      <c r="M1100" s="358" t="s">
        <v>10977</v>
      </c>
      <c r="N1100" s="359">
        <v>1000</v>
      </c>
      <c r="O1100" s="360" t="s">
        <v>454</v>
      </c>
      <c r="P1100" s="343" t="s">
        <v>454</v>
      </c>
      <c r="Q1100" s="342" t="s">
        <v>2688</v>
      </c>
      <c r="R1100" s="344">
        <v>25</v>
      </c>
      <c r="S1100" s="345">
        <v>35</v>
      </c>
      <c r="T1100" s="362">
        <v>30</v>
      </c>
      <c r="U1100" s="361">
        <v>81.94</v>
      </c>
      <c r="V1100" s="346">
        <v>119.96527777777777</v>
      </c>
      <c r="W1100" s="348">
        <v>119.26851851851852</v>
      </c>
      <c r="X1100" s="347">
        <v>60.55</v>
      </c>
      <c r="Y1100" s="357" t="s">
        <v>408</v>
      </c>
      <c r="Z1100" s="365" t="s">
        <v>3017</v>
      </c>
      <c r="AA1100" s="350">
        <v>98</v>
      </c>
      <c r="AB1100" s="349" t="s">
        <v>2685</v>
      </c>
      <c r="AC1100" s="350">
        <v>0</v>
      </c>
      <c r="AD1100" s="349" t="s">
        <v>2685</v>
      </c>
      <c r="AE1100" s="364">
        <v>0</v>
      </c>
      <c r="AF1100" s="366">
        <v>0</v>
      </c>
      <c r="AG1100" s="363">
        <v>0</v>
      </c>
      <c r="AH1100" s="635" t="s">
        <v>408</v>
      </c>
      <c r="AL1100" s="487" t="s">
        <v>15516</v>
      </c>
      <c r="AM1100" s="477" t="s">
        <v>71</v>
      </c>
      <c r="AN1100" s="637">
        <v>100</v>
      </c>
      <c r="AO1100" s="478">
        <v>-1570</v>
      </c>
      <c r="AP1100" s="463">
        <v>-730</v>
      </c>
      <c r="AQ1100" s="479">
        <v>-840</v>
      </c>
      <c r="AR1100" s="476" t="s">
        <v>17285</v>
      </c>
      <c r="BA1100" s="313" t="s">
        <v>5111</v>
      </c>
    </row>
    <row r="1101" spans="2:53" ht="16.5" customHeight="1">
      <c r="B1101" s="367" t="s">
        <v>10969</v>
      </c>
      <c r="C1101" s="351" t="s">
        <v>10970</v>
      </c>
      <c r="D1101" s="353">
        <v>-1570</v>
      </c>
      <c r="E1101" s="352" t="s">
        <v>5108</v>
      </c>
      <c r="F1101" s="341">
        <v>81.93</v>
      </c>
      <c r="G1101" s="355" t="s">
        <v>5103</v>
      </c>
      <c r="H1101" s="356" t="s">
        <v>10435</v>
      </c>
      <c r="I1101" s="354" t="s">
        <v>238</v>
      </c>
      <c r="J1101" s="340" t="s">
        <v>10979</v>
      </c>
      <c r="K1101" s="339" t="s">
        <v>71</v>
      </c>
      <c r="L1101" s="357">
        <v>8</v>
      </c>
      <c r="M1101" s="358" t="s">
        <v>10946</v>
      </c>
      <c r="N1101" s="359">
        <v>1000</v>
      </c>
      <c r="O1101" s="360" t="s">
        <v>532</v>
      </c>
      <c r="P1101" s="343" t="s">
        <v>533</v>
      </c>
      <c r="Q1101" s="342" t="s">
        <v>2688</v>
      </c>
      <c r="R1101" s="344">
        <v>35</v>
      </c>
      <c r="S1101" s="345">
        <v>25</v>
      </c>
      <c r="T1101" s="362">
        <v>25</v>
      </c>
      <c r="U1101" s="361">
        <v>81.93</v>
      </c>
      <c r="V1101" s="346">
        <v>119.95329286445524</v>
      </c>
      <c r="W1101" s="348">
        <v>119.2605285763035</v>
      </c>
      <c r="X1101" s="347">
        <v>60.55</v>
      </c>
      <c r="Y1101" s="357">
        <v>60.989999999999995</v>
      </c>
      <c r="Z1101" s="365" t="s">
        <v>3017</v>
      </c>
      <c r="AA1101" s="350">
        <v>148</v>
      </c>
      <c r="AB1101" s="349" t="s">
        <v>2685</v>
      </c>
      <c r="AC1101" s="350">
        <v>0</v>
      </c>
      <c r="AD1101" s="349" t="s">
        <v>2685</v>
      </c>
      <c r="AE1101" s="364">
        <v>0</v>
      </c>
      <c r="AF1101" s="366">
        <v>0</v>
      </c>
      <c r="AG1101" s="363">
        <v>0</v>
      </c>
      <c r="AH1101" s="635" t="s">
        <v>408</v>
      </c>
      <c r="AL1101" s="487" t="s">
        <v>15517</v>
      </c>
      <c r="AM1101" s="477" t="s">
        <v>71</v>
      </c>
      <c r="AN1101" s="637">
        <v>100</v>
      </c>
      <c r="AO1101" s="478">
        <v>-1570</v>
      </c>
      <c r="AP1101" s="463">
        <v>-730</v>
      </c>
      <c r="AQ1101" s="479">
        <v>-840</v>
      </c>
      <c r="AR1101" s="476" t="s">
        <v>17286</v>
      </c>
      <c r="BA1101" s="313" t="s">
        <v>5112</v>
      </c>
    </row>
    <row r="1102" spans="2:53" ht="16.5" customHeight="1">
      <c r="B1102" s="367" t="s">
        <v>5017</v>
      </c>
      <c r="C1102" s="351" t="s">
        <v>5018</v>
      </c>
      <c r="D1102" s="353">
        <v>-1570</v>
      </c>
      <c r="E1102" s="352" t="s">
        <v>5113</v>
      </c>
      <c r="F1102" s="341">
        <v>81.92</v>
      </c>
      <c r="G1102" s="355" t="s">
        <v>5119</v>
      </c>
      <c r="H1102" s="356" t="s">
        <v>18774</v>
      </c>
      <c r="I1102" s="354" t="s">
        <v>238</v>
      </c>
      <c r="J1102" s="340" t="s">
        <v>8323</v>
      </c>
      <c r="K1102" s="339" t="s">
        <v>70</v>
      </c>
      <c r="L1102" s="357">
        <v>5</v>
      </c>
      <c r="M1102" s="358" t="s">
        <v>4661</v>
      </c>
      <c r="N1102" s="359">
        <v>1000</v>
      </c>
      <c r="O1102" s="360" t="s">
        <v>532</v>
      </c>
      <c r="P1102" s="343" t="s">
        <v>533</v>
      </c>
      <c r="Q1102" s="342" t="s">
        <v>2688</v>
      </c>
      <c r="R1102" s="344">
        <v>25</v>
      </c>
      <c r="S1102" s="345">
        <v>35</v>
      </c>
      <c r="T1102" s="362">
        <v>30</v>
      </c>
      <c r="U1102" s="361">
        <v>81.92</v>
      </c>
      <c r="V1102" s="346">
        <v>119.94795594232754</v>
      </c>
      <c r="W1102" s="348">
        <v>119.25697062821835</v>
      </c>
      <c r="X1102" s="347">
        <v>60.28</v>
      </c>
      <c r="Y1102" s="357">
        <v>60.989999999999995</v>
      </c>
      <c r="Z1102" s="365" t="s">
        <v>3017</v>
      </c>
      <c r="AA1102" s="350">
        <v>98</v>
      </c>
      <c r="AB1102" s="349" t="s">
        <v>2685</v>
      </c>
      <c r="AC1102" s="350">
        <v>0</v>
      </c>
      <c r="AD1102" s="349" t="s">
        <v>2685</v>
      </c>
      <c r="AE1102" s="364">
        <v>0</v>
      </c>
      <c r="AF1102" s="366">
        <v>16.786000000000001</v>
      </c>
      <c r="AG1102" s="363">
        <v>0</v>
      </c>
      <c r="AH1102" s="635" t="s">
        <v>7882</v>
      </c>
      <c r="AL1102" s="487" t="s">
        <v>15518</v>
      </c>
      <c r="AM1102" s="477" t="s">
        <v>70</v>
      </c>
      <c r="AN1102" s="637">
        <v>100</v>
      </c>
      <c r="AO1102" s="478">
        <v>-1570</v>
      </c>
      <c r="AP1102" s="463">
        <v>-1570</v>
      </c>
      <c r="AQ1102" s="479">
        <v>0</v>
      </c>
      <c r="AR1102" s="476" t="s">
        <v>17287</v>
      </c>
      <c r="BA1102" s="313" t="s">
        <v>5115</v>
      </c>
    </row>
    <row r="1103" spans="2:53" ht="16.5" customHeight="1">
      <c r="B1103" s="367" t="s">
        <v>10981</v>
      </c>
      <c r="C1103" s="351" t="s">
        <v>10982</v>
      </c>
      <c r="D1103" s="353">
        <v>-1570</v>
      </c>
      <c r="E1103" s="352" t="s">
        <v>408</v>
      </c>
      <c r="F1103" s="341">
        <v>81.88</v>
      </c>
      <c r="G1103" s="355" t="s">
        <v>5068</v>
      </c>
      <c r="H1103" s="356" t="s">
        <v>4699</v>
      </c>
      <c r="I1103" s="354" t="s">
        <v>195</v>
      </c>
      <c r="J1103" s="340" t="s">
        <v>10983</v>
      </c>
      <c r="K1103" s="339" t="s">
        <v>71</v>
      </c>
      <c r="L1103" s="357">
        <v>14</v>
      </c>
      <c r="M1103" s="358" t="s">
        <v>10984</v>
      </c>
      <c r="N1103" s="359">
        <v>100</v>
      </c>
      <c r="O1103" s="360" t="s">
        <v>454</v>
      </c>
      <c r="P1103" s="343" t="s">
        <v>454</v>
      </c>
      <c r="Q1103" s="342" t="s">
        <v>2738</v>
      </c>
      <c r="R1103" s="344">
        <v>35</v>
      </c>
      <c r="S1103" s="345">
        <v>25</v>
      </c>
      <c r="T1103" s="362">
        <v>20</v>
      </c>
      <c r="U1103" s="361">
        <v>81.88</v>
      </c>
      <c r="V1103" s="346">
        <v>119.921875</v>
      </c>
      <c r="W1103" s="348">
        <v>119.23958333333333</v>
      </c>
      <c r="X1103" s="347">
        <v>60.53</v>
      </c>
      <c r="Y1103" s="357" t="s">
        <v>408</v>
      </c>
      <c r="Z1103" s="365" t="s">
        <v>3017</v>
      </c>
      <c r="AA1103" s="350">
        <v>19</v>
      </c>
      <c r="AB1103" s="349" t="s">
        <v>2685</v>
      </c>
      <c r="AC1103" s="350">
        <v>0</v>
      </c>
      <c r="AD1103" s="349" t="s">
        <v>2685</v>
      </c>
      <c r="AE1103" s="364">
        <v>0</v>
      </c>
      <c r="AF1103" s="366">
        <v>0</v>
      </c>
      <c r="AG1103" s="363">
        <v>0</v>
      </c>
      <c r="AH1103" s="635" t="s">
        <v>408</v>
      </c>
      <c r="AL1103" s="487" t="s">
        <v>15519</v>
      </c>
      <c r="AM1103" s="477" t="s">
        <v>71</v>
      </c>
      <c r="AN1103" s="637">
        <v>100</v>
      </c>
      <c r="AO1103" s="478">
        <v>-1570</v>
      </c>
      <c r="AP1103" s="463">
        <v>-730</v>
      </c>
      <c r="AQ1103" s="479">
        <v>-840</v>
      </c>
      <c r="AR1103" s="476" t="s">
        <v>17288</v>
      </c>
      <c r="BA1103" s="313" t="s">
        <v>5118</v>
      </c>
    </row>
    <row r="1104" spans="2:53" ht="16.5" customHeight="1">
      <c r="B1104" s="367" t="s">
        <v>10981</v>
      </c>
      <c r="C1104" s="351" t="s">
        <v>10982</v>
      </c>
      <c r="D1104" s="353">
        <v>-1570</v>
      </c>
      <c r="E1104" s="352" t="s">
        <v>5143</v>
      </c>
      <c r="F1104" s="341">
        <v>81.88</v>
      </c>
      <c r="G1104" s="355" t="s">
        <v>5129</v>
      </c>
      <c r="H1104" s="356" t="s">
        <v>10428</v>
      </c>
      <c r="I1104" s="354" t="s">
        <v>195</v>
      </c>
      <c r="J1104" s="340" t="s">
        <v>10986</v>
      </c>
      <c r="K1104" s="339" t="s">
        <v>70</v>
      </c>
      <c r="L1104" s="357">
        <v>21</v>
      </c>
      <c r="M1104" s="358" t="s">
        <v>10984</v>
      </c>
      <c r="N1104" s="359">
        <v>100</v>
      </c>
      <c r="O1104" s="360" t="s">
        <v>454</v>
      </c>
      <c r="P1104" s="343" t="s">
        <v>454</v>
      </c>
      <c r="Q1104" s="342" t="s">
        <v>2738</v>
      </c>
      <c r="R1104" s="344">
        <v>25</v>
      </c>
      <c r="S1104" s="345">
        <v>35</v>
      </c>
      <c r="T1104" s="362">
        <v>20</v>
      </c>
      <c r="U1104" s="361">
        <v>81.88</v>
      </c>
      <c r="V1104" s="346">
        <v>119.921875</v>
      </c>
      <c r="W1104" s="348">
        <v>119.23958333333333</v>
      </c>
      <c r="X1104" s="347">
        <v>60.27</v>
      </c>
      <c r="Y1104" s="357" t="s">
        <v>408</v>
      </c>
      <c r="Z1104" s="365" t="s">
        <v>3017</v>
      </c>
      <c r="AA1104" s="350">
        <v>19</v>
      </c>
      <c r="AB1104" s="349" t="s">
        <v>2685</v>
      </c>
      <c r="AC1104" s="350">
        <v>0</v>
      </c>
      <c r="AD1104" s="349" t="s">
        <v>2685</v>
      </c>
      <c r="AE1104" s="364">
        <v>0</v>
      </c>
      <c r="AF1104" s="366">
        <v>0</v>
      </c>
      <c r="AG1104" s="363">
        <v>0</v>
      </c>
      <c r="AH1104" s="635" t="s">
        <v>408</v>
      </c>
      <c r="AL1104" s="487" t="s">
        <v>15520</v>
      </c>
      <c r="AM1104" s="477" t="s">
        <v>70</v>
      </c>
      <c r="AN1104" s="637">
        <v>100</v>
      </c>
      <c r="AO1104" s="478">
        <v>-1570</v>
      </c>
      <c r="AP1104" s="463">
        <v>-1570</v>
      </c>
      <c r="AQ1104" s="479">
        <v>0</v>
      </c>
      <c r="AR1104" s="476" t="s">
        <v>17289</v>
      </c>
      <c r="BA1104" s="313" t="s">
        <v>5120</v>
      </c>
    </row>
    <row r="1105" spans="2:53" ht="16.5" customHeight="1">
      <c r="B1105" s="367" t="s">
        <v>10981</v>
      </c>
      <c r="C1105" s="351" t="s">
        <v>10982</v>
      </c>
      <c r="D1105" s="353">
        <v>-1570</v>
      </c>
      <c r="E1105" s="352" t="s">
        <v>5129</v>
      </c>
      <c r="F1105" s="341">
        <v>81.88</v>
      </c>
      <c r="G1105" s="355" t="s">
        <v>5129</v>
      </c>
      <c r="H1105" s="356" t="s">
        <v>10428</v>
      </c>
      <c r="I1105" s="354" t="s">
        <v>195</v>
      </c>
      <c r="J1105" s="340" t="s">
        <v>10987</v>
      </c>
      <c r="K1105" s="339" t="s">
        <v>70</v>
      </c>
      <c r="L1105" s="357">
        <v>41</v>
      </c>
      <c r="M1105" s="358" t="s">
        <v>10984</v>
      </c>
      <c r="N1105" s="359">
        <v>100</v>
      </c>
      <c r="O1105" s="360" t="s">
        <v>454</v>
      </c>
      <c r="P1105" s="343" t="s">
        <v>454</v>
      </c>
      <c r="Q1105" s="342" t="s">
        <v>2738</v>
      </c>
      <c r="R1105" s="344">
        <v>25</v>
      </c>
      <c r="S1105" s="345">
        <v>35</v>
      </c>
      <c r="T1105" s="362">
        <v>20</v>
      </c>
      <c r="U1105" s="361">
        <v>81.88</v>
      </c>
      <c r="V1105" s="346">
        <v>119.921875</v>
      </c>
      <c r="W1105" s="348">
        <v>119.23958333333333</v>
      </c>
      <c r="X1105" s="347">
        <v>60.27</v>
      </c>
      <c r="Y1105" s="357" t="s">
        <v>408</v>
      </c>
      <c r="Z1105" s="365" t="s">
        <v>3017</v>
      </c>
      <c r="AA1105" s="350">
        <v>19</v>
      </c>
      <c r="AB1105" s="349" t="s">
        <v>2685</v>
      </c>
      <c r="AC1105" s="350">
        <v>0</v>
      </c>
      <c r="AD1105" s="349" t="s">
        <v>2685</v>
      </c>
      <c r="AE1105" s="364">
        <v>0</v>
      </c>
      <c r="AF1105" s="366">
        <v>0</v>
      </c>
      <c r="AG1105" s="363">
        <v>0</v>
      </c>
      <c r="AH1105" s="635" t="s">
        <v>408</v>
      </c>
      <c r="AL1105" s="487" t="s">
        <v>15521</v>
      </c>
      <c r="AM1105" s="477" t="s">
        <v>70</v>
      </c>
      <c r="AN1105" s="637">
        <v>100</v>
      </c>
      <c r="AO1105" s="478">
        <v>-1570</v>
      </c>
      <c r="AP1105" s="463">
        <v>-1570</v>
      </c>
      <c r="AQ1105" s="479">
        <v>0</v>
      </c>
      <c r="AR1105" s="476" t="s">
        <v>17289</v>
      </c>
      <c r="BA1105" s="313" t="s">
        <v>5126</v>
      </c>
    </row>
    <row r="1106" spans="2:53" ht="16.5" customHeight="1">
      <c r="B1106" s="367" t="s">
        <v>10981</v>
      </c>
      <c r="C1106" s="351" t="s">
        <v>10982</v>
      </c>
      <c r="D1106" s="353">
        <v>-1570</v>
      </c>
      <c r="E1106" s="352" t="s">
        <v>408</v>
      </c>
      <c r="F1106" s="341">
        <v>81.88</v>
      </c>
      <c r="G1106" s="355" t="s">
        <v>5068</v>
      </c>
      <c r="H1106" s="356" t="s">
        <v>4699</v>
      </c>
      <c r="I1106" s="354" t="s">
        <v>424</v>
      </c>
      <c r="J1106" s="340" t="s">
        <v>7984</v>
      </c>
      <c r="K1106" s="339" t="s">
        <v>71</v>
      </c>
      <c r="L1106" s="357">
        <v>58</v>
      </c>
      <c r="M1106" s="358" t="s">
        <v>10988</v>
      </c>
      <c r="N1106" s="359">
        <v>1000</v>
      </c>
      <c r="O1106" s="360" t="s">
        <v>454</v>
      </c>
      <c r="P1106" s="343" t="s">
        <v>454</v>
      </c>
      <c r="Q1106" s="342" t="s">
        <v>2738</v>
      </c>
      <c r="R1106" s="344">
        <v>35</v>
      </c>
      <c r="S1106" s="345">
        <v>25</v>
      </c>
      <c r="T1106" s="362">
        <v>20</v>
      </c>
      <c r="U1106" s="361">
        <v>81.88</v>
      </c>
      <c r="V1106" s="346">
        <v>119.921875</v>
      </c>
      <c r="W1106" s="348">
        <v>119.23958333333333</v>
      </c>
      <c r="X1106" s="347">
        <v>60.53</v>
      </c>
      <c r="Y1106" s="357" t="s">
        <v>408</v>
      </c>
      <c r="Z1106" s="365" t="s">
        <v>3017</v>
      </c>
      <c r="AA1106" s="350">
        <v>196</v>
      </c>
      <c r="AB1106" s="349" t="s">
        <v>2685</v>
      </c>
      <c r="AC1106" s="350">
        <v>3</v>
      </c>
      <c r="AD1106" s="349" t="s">
        <v>2685</v>
      </c>
      <c r="AE1106" s="364">
        <v>0</v>
      </c>
      <c r="AF1106" s="366">
        <v>0</v>
      </c>
      <c r="AG1106" s="363">
        <v>0</v>
      </c>
      <c r="AH1106" s="635" t="s">
        <v>408</v>
      </c>
      <c r="AL1106" s="487" t="s">
        <v>15522</v>
      </c>
      <c r="AM1106" s="477" t="s">
        <v>71</v>
      </c>
      <c r="AN1106" s="637">
        <v>100</v>
      </c>
      <c r="AO1106" s="478">
        <v>-1570</v>
      </c>
      <c r="AP1106" s="463">
        <v>-730</v>
      </c>
      <c r="AQ1106" s="479">
        <v>-840</v>
      </c>
      <c r="AR1106" s="476" t="s">
        <v>17288</v>
      </c>
      <c r="BA1106" s="313" t="s">
        <v>5128</v>
      </c>
    </row>
    <row r="1107" spans="2:53" ht="16.5" customHeight="1">
      <c r="B1107" s="367" t="s">
        <v>4979</v>
      </c>
      <c r="C1107" s="351" t="s">
        <v>4980</v>
      </c>
      <c r="D1107" s="353">
        <v>-1570</v>
      </c>
      <c r="E1107" s="352" t="s">
        <v>408</v>
      </c>
      <c r="F1107" s="341">
        <v>81.87</v>
      </c>
      <c r="G1107" s="355" t="s">
        <v>5068</v>
      </c>
      <c r="H1107" s="356" t="s">
        <v>4699</v>
      </c>
      <c r="I1107" s="354" t="s">
        <v>209</v>
      </c>
      <c r="J1107" s="340" t="s">
        <v>8337</v>
      </c>
      <c r="K1107" s="339" t="s">
        <v>71</v>
      </c>
      <c r="L1107" s="357">
        <v>6</v>
      </c>
      <c r="M1107" s="358" t="s">
        <v>5063</v>
      </c>
      <c r="N1107" s="359">
        <v>1000</v>
      </c>
      <c r="O1107" s="360" t="s">
        <v>530</v>
      </c>
      <c r="P1107" s="343" t="s">
        <v>530</v>
      </c>
      <c r="Q1107" s="342" t="s">
        <v>2688</v>
      </c>
      <c r="R1107" s="344">
        <v>30</v>
      </c>
      <c r="S1107" s="345">
        <v>25</v>
      </c>
      <c r="T1107" s="362">
        <v>25</v>
      </c>
      <c r="U1107" s="361">
        <v>81.87</v>
      </c>
      <c r="V1107" s="346">
        <v>119.9199581284434</v>
      </c>
      <c r="W1107" s="348">
        <v>119.23830541896226</v>
      </c>
      <c r="X1107" s="347">
        <v>60.53</v>
      </c>
      <c r="Y1107" s="357" t="s">
        <v>408</v>
      </c>
      <c r="Z1107" s="365" t="s">
        <v>3017</v>
      </c>
      <c r="AA1107" s="350">
        <v>198</v>
      </c>
      <c r="AB1107" s="349" t="s">
        <v>2685</v>
      </c>
      <c r="AC1107" s="350">
        <v>10</v>
      </c>
      <c r="AD1107" s="349" t="s">
        <v>2685</v>
      </c>
      <c r="AE1107" s="364">
        <v>0</v>
      </c>
      <c r="AF1107" s="366">
        <v>0</v>
      </c>
      <c r="AG1107" s="363">
        <v>0</v>
      </c>
      <c r="AH1107" s="635" t="s">
        <v>408</v>
      </c>
      <c r="AL1107" s="487" t="s">
        <v>15523</v>
      </c>
      <c r="AM1107" s="477" t="s">
        <v>71</v>
      </c>
      <c r="AN1107" s="637">
        <v>100</v>
      </c>
      <c r="AO1107" s="478">
        <v>-1570</v>
      </c>
      <c r="AP1107" s="463">
        <v>-730</v>
      </c>
      <c r="AQ1107" s="479">
        <v>-840</v>
      </c>
      <c r="AR1107" s="476" t="s">
        <v>17288</v>
      </c>
      <c r="BA1107" s="313" t="s">
        <v>5132</v>
      </c>
    </row>
    <row r="1108" spans="2:53" ht="16.5" customHeight="1">
      <c r="B1108" s="367" t="s">
        <v>10989</v>
      </c>
      <c r="C1108" s="351" t="s">
        <v>10990</v>
      </c>
      <c r="D1108" s="353">
        <v>-1570</v>
      </c>
      <c r="E1108" s="352" t="s">
        <v>5129</v>
      </c>
      <c r="F1108" s="341">
        <v>81.81</v>
      </c>
      <c r="G1108" s="355" t="s">
        <v>5124</v>
      </c>
      <c r="H1108" s="356" t="s">
        <v>4685</v>
      </c>
      <c r="I1108" s="354" t="s">
        <v>422</v>
      </c>
      <c r="J1108" s="340" t="s">
        <v>9835</v>
      </c>
      <c r="K1108" s="339" t="s">
        <v>71</v>
      </c>
      <c r="L1108" s="357">
        <v>23</v>
      </c>
      <c r="M1108" s="358" t="s">
        <v>10992</v>
      </c>
      <c r="N1108" s="359">
        <v>1000</v>
      </c>
      <c r="O1108" s="360" t="s">
        <v>454</v>
      </c>
      <c r="P1108" s="343" t="s">
        <v>454</v>
      </c>
      <c r="Q1108" s="342" t="s">
        <v>2688</v>
      </c>
      <c r="R1108" s="344">
        <v>35</v>
      </c>
      <c r="S1108" s="345">
        <v>25</v>
      </c>
      <c r="T1108" s="362">
        <v>20</v>
      </c>
      <c r="U1108" s="361">
        <v>81.81</v>
      </c>
      <c r="V1108" s="346">
        <v>119.8828125</v>
      </c>
      <c r="W1108" s="348">
        <v>119.21354166666666</v>
      </c>
      <c r="X1108" s="347">
        <v>60.51</v>
      </c>
      <c r="Y1108" s="357" t="s">
        <v>408</v>
      </c>
      <c r="Z1108" s="365" t="s">
        <v>3017</v>
      </c>
      <c r="AA1108" s="350">
        <v>196</v>
      </c>
      <c r="AB1108" s="349" t="s">
        <v>2685</v>
      </c>
      <c r="AC1108" s="350">
        <v>5</v>
      </c>
      <c r="AD1108" s="349" t="s">
        <v>2685</v>
      </c>
      <c r="AE1108" s="364">
        <v>0</v>
      </c>
      <c r="AF1108" s="366">
        <v>0</v>
      </c>
      <c r="AG1108" s="363">
        <v>0</v>
      </c>
      <c r="AH1108" s="635" t="s">
        <v>408</v>
      </c>
      <c r="AL1108" s="487" t="s">
        <v>15524</v>
      </c>
      <c r="AM1108" s="477" t="s">
        <v>71</v>
      </c>
      <c r="AN1108" s="637">
        <v>100</v>
      </c>
      <c r="AO1108" s="478">
        <v>-1570</v>
      </c>
      <c r="AP1108" s="463">
        <v>-730</v>
      </c>
      <c r="AQ1108" s="479">
        <v>-840</v>
      </c>
      <c r="AR1108" s="476" t="s">
        <v>17290</v>
      </c>
      <c r="BA1108" s="313" t="s">
        <v>5134</v>
      </c>
    </row>
    <row r="1109" spans="2:53" ht="16.5" customHeight="1">
      <c r="B1109" s="367" t="s">
        <v>10993</v>
      </c>
      <c r="C1109" s="351" t="s">
        <v>10994</v>
      </c>
      <c r="D1109" s="353">
        <v>-1570</v>
      </c>
      <c r="E1109" s="352" t="s">
        <v>5142</v>
      </c>
      <c r="F1109" s="341">
        <v>81.8</v>
      </c>
      <c r="G1109" s="355" t="s">
        <v>10995</v>
      </c>
      <c r="H1109" s="356" t="s">
        <v>4675</v>
      </c>
      <c r="I1109" s="354" t="s">
        <v>425</v>
      </c>
      <c r="J1109" s="340" t="s">
        <v>10996</v>
      </c>
      <c r="K1109" s="339" t="s">
        <v>70</v>
      </c>
      <c r="L1109" s="357">
        <v>8</v>
      </c>
      <c r="M1109" s="358" t="s">
        <v>10997</v>
      </c>
      <c r="N1109" s="359">
        <v>1000</v>
      </c>
      <c r="O1109" s="360" t="s">
        <v>454</v>
      </c>
      <c r="P1109" s="343" t="s">
        <v>454</v>
      </c>
      <c r="Q1109" s="342" t="s">
        <v>2738</v>
      </c>
      <c r="R1109" s="344">
        <v>25</v>
      </c>
      <c r="S1109" s="345">
        <v>35</v>
      </c>
      <c r="T1109" s="362">
        <v>20</v>
      </c>
      <c r="U1109" s="361">
        <v>81.8</v>
      </c>
      <c r="V1109" s="346">
        <v>119.87426035502959</v>
      </c>
      <c r="W1109" s="348">
        <v>119.20784023668638</v>
      </c>
      <c r="X1109" s="347">
        <v>60.24</v>
      </c>
      <c r="Y1109" s="357" t="s">
        <v>408</v>
      </c>
      <c r="Z1109" s="365" t="s">
        <v>3017</v>
      </c>
      <c r="AA1109" s="350">
        <v>196</v>
      </c>
      <c r="AB1109" s="349" t="s">
        <v>2685</v>
      </c>
      <c r="AC1109" s="350">
        <v>10</v>
      </c>
      <c r="AD1109" s="349" t="s">
        <v>2685</v>
      </c>
      <c r="AE1109" s="364">
        <v>0</v>
      </c>
      <c r="AF1109" s="366">
        <v>36.81</v>
      </c>
      <c r="AG1109" s="363">
        <v>0</v>
      </c>
      <c r="AH1109" s="635" t="s">
        <v>10711</v>
      </c>
      <c r="AL1109" s="487" t="s">
        <v>15525</v>
      </c>
      <c r="AM1109" s="477" t="s">
        <v>70</v>
      </c>
      <c r="AN1109" s="637">
        <v>100</v>
      </c>
      <c r="AO1109" s="478">
        <v>-1570</v>
      </c>
      <c r="AP1109" s="463">
        <v>-1570</v>
      </c>
      <c r="AQ1109" s="479">
        <v>0</v>
      </c>
      <c r="AR1109" s="476" t="s">
        <v>17291</v>
      </c>
      <c r="BA1109" s="313" t="s">
        <v>5135</v>
      </c>
    </row>
    <row r="1110" spans="2:53" ht="16.5" customHeight="1">
      <c r="B1110" s="367" t="s">
        <v>10998</v>
      </c>
      <c r="C1110" s="351" t="s">
        <v>10999</v>
      </c>
      <c r="D1110" s="353">
        <v>-1570</v>
      </c>
      <c r="E1110" s="352" t="s">
        <v>408</v>
      </c>
      <c r="F1110" s="341">
        <v>81.790000000000006</v>
      </c>
      <c r="G1110" s="355" t="s">
        <v>10978</v>
      </c>
      <c r="H1110" s="356" t="s">
        <v>4690</v>
      </c>
      <c r="I1110" s="354" t="s">
        <v>238</v>
      </c>
      <c r="J1110" s="340" t="s">
        <v>11001</v>
      </c>
      <c r="K1110" s="339" t="s">
        <v>71</v>
      </c>
      <c r="L1110" s="357">
        <v>7</v>
      </c>
      <c r="M1110" s="358" t="s">
        <v>11002</v>
      </c>
      <c r="N1110" s="359">
        <v>1000</v>
      </c>
      <c r="O1110" s="360" t="s">
        <v>532</v>
      </c>
      <c r="P1110" s="343" t="s">
        <v>533</v>
      </c>
      <c r="Q1110" s="342" t="s">
        <v>2688</v>
      </c>
      <c r="R1110" s="344">
        <v>35</v>
      </c>
      <c r="S1110" s="345">
        <v>25</v>
      </c>
      <c r="T1110" s="362">
        <v>25</v>
      </c>
      <c r="U1110" s="361">
        <v>81.790000000000006</v>
      </c>
      <c r="V1110" s="346">
        <v>119.86742274925572</v>
      </c>
      <c r="W1110" s="348">
        <v>119.20328183283715</v>
      </c>
      <c r="X1110" s="347">
        <v>60.5</v>
      </c>
      <c r="Y1110" s="357">
        <v>60.94</v>
      </c>
      <c r="Z1110" s="365" t="s">
        <v>3017</v>
      </c>
      <c r="AA1110" s="350">
        <v>148</v>
      </c>
      <c r="AB1110" s="349" t="s">
        <v>2685</v>
      </c>
      <c r="AC1110" s="350">
        <v>0</v>
      </c>
      <c r="AD1110" s="349" t="s">
        <v>2685</v>
      </c>
      <c r="AE1110" s="364">
        <v>0</v>
      </c>
      <c r="AF1110" s="366">
        <v>0</v>
      </c>
      <c r="AG1110" s="363">
        <v>0</v>
      </c>
      <c r="AH1110" s="635" t="s">
        <v>408</v>
      </c>
      <c r="AL1110" s="487" t="s">
        <v>15526</v>
      </c>
      <c r="AM1110" s="477" t="s">
        <v>71</v>
      </c>
      <c r="AN1110" s="637">
        <v>100</v>
      </c>
      <c r="AO1110" s="478">
        <v>-1570</v>
      </c>
      <c r="AP1110" s="463">
        <v>-730</v>
      </c>
      <c r="AQ1110" s="479">
        <v>-840</v>
      </c>
      <c r="AR1110" s="476" t="s">
        <v>17292</v>
      </c>
      <c r="BA1110" s="313" t="s">
        <v>5137</v>
      </c>
    </row>
    <row r="1111" spans="2:53" ht="16.5" customHeight="1">
      <c r="B1111" s="367" t="s">
        <v>11003</v>
      </c>
      <c r="C1111" s="351" t="s">
        <v>11004</v>
      </c>
      <c r="D1111" s="353">
        <v>-1570</v>
      </c>
      <c r="E1111" s="352" t="s">
        <v>10995</v>
      </c>
      <c r="F1111" s="341">
        <v>81.78</v>
      </c>
      <c r="G1111" s="355" t="s">
        <v>5174</v>
      </c>
      <c r="H1111" s="356" t="s">
        <v>4681</v>
      </c>
      <c r="I1111" s="354" t="s">
        <v>424</v>
      </c>
      <c r="J1111" s="340" t="s">
        <v>11006</v>
      </c>
      <c r="K1111" s="339" t="s">
        <v>70</v>
      </c>
      <c r="L1111" s="357">
        <v>9</v>
      </c>
      <c r="M1111" s="358" t="s">
        <v>11007</v>
      </c>
      <c r="N1111" s="359">
        <v>1000</v>
      </c>
      <c r="O1111" s="360" t="s">
        <v>454</v>
      </c>
      <c r="P1111" s="343" t="s">
        <v>454</v>
      </c>
      <c r="Q1111" s="342" t="s">
        <v>2738</v>
      </c>
      <c r="R1111" s="344">
        <v>25</v>
      </c>
      <c r="S1111" s="345">
        <v>35</v>
      </c>
      <c r="T1111" s="362">
        <v>20</v>
      </c>
      <c r="U1111" s="361">
        <v>81.78</v>
      </c>
      <c r="V1111" s="346">
        <v>119.86280487804878</v>
      </c>
      <c r="W1111" s="348">
        <v>119.20020325203252</v>
      </c>
      <c r="X1111" s="347">
        <v>60.24</v>
      </c>
      <c r="Y1111" s="357" t="s">
        <v>408</v>
      </c>
      <c r="Z1111" s="365" t="s">
        <v>3017</v>
      </c>
      <c r="AA1111" s="350">
        <v>196</v>
      </c>
      <c r="AB1111" s="349" t="s">
        <v>2685</v>
      </c>
      <c r="AC1111" s="350">
        <v>3</v>
      </c>
      <c r="AD1111" s="349" t="s">
        <v>2685</v>
      </c>
      <c r="AE1111" s="364">
        <v>0</v>
      </c>
      <c r="AF1111" s="366">
        <v>16.356000000000002</v>
      </c>
      <c r="AG1111" s="363">
        <v>0</v>
      </c>
      <c r="AH1111" s="635" t="s">
        <v>10813</v>
      </c>
      <c r="AL1111" s="487" t="s">
        <v>15527</v>
      </c>
      <c r="AM1111" s="477" t="s">
        <v>70</v>
      </c>
      <c r="AN1111" s="637">
        <v>100</v>
      </c>
      <c r="AO1111" s="478">
        <v>-1570</v>
      </c>
      <c r="AP1111" s="463">
        <v>-1570</v>
      </c>
      <c r="AQ1111" s="479">
        <v>0</v>
      </c>
      <c r="AR1111" s="476" t="s">
        <v>17293</v>
      </c>
      <c r="BA1111" s="313" t="s">
        <v>5139</v>
      </c>
    </row>
    <row r="1112" spans="2:53" ht="16.5" customHeight="1">
      <c r="B1112" s="367" t="s">
        <v>11003</v>
      </c>
      <c r="C1112" s="351" t="s">
        <v>11004</v>
      </c>
      <c r="D1112" s="353">
        <v>-1570</v>
      </c>
      <c r="E1112" s="352" t="s">
        <v>408</v>
      </c>
      <c r="F1112" s="341">
        <v>81.78</v>
      </c>
      <c r="G1112" s="355" t="s">
        <v>11008</v>
      </c>
      <c r="H1112" s="356" t="s">
        <v>4677</v>
      </c>
      <c r="I1112" s="354" t="s">
        <v>478</v>
      </c>
      <c r="J1112" s="340" t="s">
        <v>11009</v>
      </c>
      <c r="K1112" s="339" t="s">
        <v>70</v>
      </c>
      <c r="L1112" s="357">
        <v>14</v>
      </c>
      <c r="M1112" s="358" t="s">
        <v>11010</v>
      </c>
      <c r="N1112" s="359">
        <v>1000</v>
      </c>
      <c r="O1112" s="360" t="s">
        <v>532</v>
      </c>
      <c r="P1112" s="343" t="s">
        <v>533</v>
      </c>
      <c r="Q1112" s="342" t="s">
        <v>2688</v>
      </c>
      <c r="R1112" s="344">
        <v>25</v>
      </c>
      <c r="S1112" s="345">
        <v>35</v>
      </c>
      <c r="T1112" s="362">
        <v>25</v>
      </c>
      <c r="U1112" s="361">
        <v>81.78</v>
      </c>
      <c r="V1112" s="346">
        <v>119.8634536981322</v>
      </c>
      <c r="W1112" s="348">
        <v>119.2006357987548</v>
      </c>
      <c r="X1112" s="347">
        <v>60.24</v>
      </c>
      <c r="Y1112" s="357">
        <v>60.93</v>
      </c>
      <c r="Z1112" s="365" t="s">
        <v>3017</v>
      </c>
      <c r="AA1112" s="350">
        <v>149.25</v>
      </c>
      <c r="AB1112" s="349" t="s">
        <v>2685</v>
      </c>
      <c r="AC1112" s="350">
        <v>10</v>
      </c>
      <c r="AD1112" s="349" t="s">
        <v>2685</v>
      </c>
      <c r="AE1112" s="364">
        <v>0</v>
      </c>
      <c r="AF1112" s="366">
        <v>0</v>
      </c>
      <c r="AG1112" s="363">
        <v>0</v>
      </c>
      <c r="AH1112" s="635" t="s">
        <v>408</v>
      </c>
      <c r="AL1112" s="487" t="s">
        <v>15528</v>
      </c>
      <c r="AM1112" s="477" t="s">
        <v>70</v>
      </c>
      <c r="AN1112" s="637">
        <v>100</v>
      </c>
      <c r="AO1112" s="478">
        <v>-1570</v>
      </c>
      <c r="AP1112" s="463">
        <v>-1570</v>
      </c>
      <c r="AQ1112" s="479">
        <v>0</v>
      </c>
      <c r="AR1112" s="476" t="s">
        <v>17294</v>
      </c>
      <c r="BA1112" s="313" t="s">
        <v>5141</v>
      </c>
    </row>
    <row r="1113" spans="2:53" ht="16.5" customHeight="1">
      <c r="B1113" s="367" t="s">
        <v>5027</v>
      </c>
      <c r="C1113" s="351" t="s">
        <v>5028</v>
      </c>
      <c r="D1113" s="353">
        <v>-1570</v>
      </c>
      <c r="E1113" s="352" t="s">
        <v>408</v>
      </c>
      <c r="F1113" s="341">
        <v>81.760000000000005</v>
      </c>
      <c r="G1113" s="355" t="s">
        <v>5152</v>
      </c>
      <c r="H1113" s="356" t="s">
        <v>10542</v>
      </c>
      <c r="I1113" s="354" t="s">
        <v>238</v>
      </c>
      <c r="J1113" s="340" t="s">
        <v>555</v>
      </c>
      <c r="K1113" s="339" t="s">
        <v>71</v>
      </c>
      <c r="L1113" s="357">
        <v>5</v>
      </c>
      <c r="M1113" s="358" t="s">
        <v>11012</v>
      </c>
      <c r="N1113" s="359">
        <v>1000</v>
      </c>
      <c r="O1113" s="360" t="s">
        <v>532</v>
      </c>
      <c r="P1113" s="343" t="s">
        <v>533</v>
      </c>
      <c r="Q1113" s="342" t="s">
        <v>2688</v>
      </c>
      <c r="R1113" s="344">
        <v>25</v>
      </c>
      <c r="S1113" s="345">
        <v>35</v>
      </c>
      <c r="T1113" s="362">
        <v>30</v>
      </c>
      <c r="U1113" s="361">
        <v>81.760000000000005</v>
      </c>
      <c r="V1113" s="346">
        <v>119.85005246310598</v>
      </c>
      <c r="W1113" s="348">
        <v>119.19170164207065</v>
      </c>
      <c r="X1113" s="347">
        <v>60.23</v>
      </c>
      <c r="Y1113" s="357">
        <v>60.93</v>
      </c>
      <c r="Z1113" s="365" t="s">
        <v>3017</v>
      </c>
      <c r="AA1113" s="350">
        <v>98</v>
      </c>
      <c r="AB1113" s="349" t="s">
        <v>2685</v>
      </c>
      <c r="AC1113" s="350">
        <v>0</v>
      </c>
      <c r="AD1113" s="349" t="s">
        <v>2685</v>
      </c>
      <c r="AE1113" s="364">
        <v>0</v>
      </c>
      <c r="AF1113" s="366">
        <v>16.773</v>
      </c>
      <c r="AG1113" s="363">
        <v>0</v>
      </c>
      <c r="AH1113" s="635" t="s">
        <v>7882</v>
      </c>
      <c r="AL1113" s="487" t="s">
        <v>15529</v>
      </c>
      <c r="AM1113" s="477" t="s">
        <v>71</v>
      </c>
      <c r="AN1113" s="637">
        <v>100</v>
      </c>
      <c r="AO1113" s="478">
        <v>-1570</v>
      </c>
      <c r="AP1113" s="463">
        <v>-727</v>
      </c>
      <c r="AQ1113" s="479">
        <v>-843</v>
      </c>
      <c r="AR1113" s="476" t="s">
        <v>17295</v>
      </c>
      <c r="BA1113" s="313" t="s">
        <v>5144</v>
      </c>
    </row>
    <row r="1114" spans="2:53" ht="16.5" customHeight="1">
      <c r="B1114" s="367" t="s">
        <v>4990</v>
      </c>
      <c r="C1114" s="351" t="s">
        <v>4991</v>
      </c>
      <c r="D1114" s="353">
        <v>-1570</v>
      </c>
      <c r="E1114" s="352" t="s">
        <v>5110</v>
      </c>
      <c r="F1114" s="341">
        <v>81.739999999999995</v>
      </c>
      <c r="G1114" s="355" t="s">
        <v>5143</v>
      </c>
      <c r="H1114" s="356" t="s">
        <v>4654</v>
      </c>
      <c r="I1114" s="354" t="s">
        <v>405</v>
      </c>
      <c r="J1114" s="340" t="s">
        <v>436</v>
      </c>
      <c r="K1114" s="339" t="s">
        <v>71</v>
      </c>
      <c r="L1114" s="357">
        <v>108</v>
      </c>
      <c r="M1114" s="358" t="s">
        <v>10980</v>
      </c>
      <c r="N1114" s="359">
        <v>800</v>
      </c>
      <c r="O1114" s="360" t="s">
        <v>530</v>
      </c>
      <c r="P1114" s="343" t="s">
        <v>530</v>
      </c>
      <c r="Q1114" s="342" t="s">
        <v>2688</v>
      </c>
      <c r="R1114" s="344">
        <v>25</v>
      </c>
      <c r="S1114" s="345">
        <v>25</v>
      </c>
      <c r="T1114" s="362">
        <v>25</v>
      </c>
      <c r="U1114" s="361">
        <v>81.739999999999995</v>
      </c>
      <c r="V1114" s="346">
        <v>119.83839344331605</v>
      </c>
      <c r="W1114" s="348">
        <v>119.1839289622107</v>
      </c>
      <c r="X1114" s="347">
        <v>60.49</v>
      </c>
      <c r="Y1114" s="357" t="s">
        <v>408</v>
      </c>
      <c r="Z1114" s="365" t="s">
        <v>4408</v>
      </c>
      <c r="AA1114" s="350">
        <v>178</v>
      </c>
      <c r="AB1114" s="349" t="s">
        <v>2685</v>
      </c>
      <c r="AC1114" s="350">
        <v>0</v>
      </c>
      <c r="AD1114" s="349" t="s">
        <v>2685</v>
      </c>
      <c r="AE1114" s="364">
        <v>0</v>
      </c>
      <c r="AF1114" s="366">
        <v>0</v>
      </c>
      <c r="AG1114" s="363">
        <v>0</v>
      </c>
      <c r="AH1114" s="635" t="s">
        <v>408</v>
      </c>
      <c r="AL1114" s="487" t="s">
        <v>7230</v>
      </c>
      <c r="AM1114" s="477" t="s">
        <v>71</v>
      </c>
      <c r="AN1114" s="637">
        <v>100</v>
      </c>
      <c r="AO1114" s="478">
        <v>-1570</v>
      </c>
      <c r="AP1114" s="463">
        <v>-729</v>
      </c>
      <c r="AQ1114" s="479">
        <v>-841</v>
      </c>
      <c r="AR1114" s="476" t="s">
        <v>17296</v>
      </c>
      <c r="BA1114" s="313" t="s">
        <v>5146</v>
      </c>
    </row>
    <row r="1115" spans="2:53" ht="16.5" customHeight="1">
      <c r="B1115" s="367" t="s">
        <v>11013</v>
      </c>
      <c r="C1115" s="351" t="s">
        <v>11014</v>
      </c>
      <c r="D1115" s="353">
        <v>-1570</v>
      </c>
      <c r="E1115" s="352" t="s">
        <v>408</v>
      </c>
      <c r="F1115" s="341">
        <v>81.73</v>
      </c>
      <c r="G1115" s="355" t="s">
        <v>11015</v>
      </c>
      <c r="H1115" s="356" t="s">
        <v>10454</v>
      </c>
      <c r="I1115" s="354" t="s">
        <v>238</v>
      </c>
      <c r="J1115" s="340" t="s">
        <v>418</v>
      </c>
      <c r="K1115" s="339" t="s">
        <v>70</v>
      </c>
      <c r="L1115" s="357">
        <v>18</v>
      </c>
      <c r="M1115" s="358" t="s">
        <v>11017</v>
      </c>
      <c r="N1115" s="359">
        <v>1000</v>
      </c>
      <c r="O1115" s="360" t="s">
        <v>532</v>
      </c>
      <c r="P1115" s="343" t="s">
        <v>533</v>
      </c>
      <c r="Q1115" s="342" t="s">
        <v>2688</v>
      </c>
      <c r="R1115" s="344">
        <v>25</v>
      </c>
      <c r="S1115" s="345">
        <v>35</v>
      </c>
      <c r="T1115" s="362">
        <v>30</v>
      </c>
      <c r="U1115" s="361">
        <v>81.73</v>
      </c>
      <c r="V1115" s="346">
        <v>119.83373521656904</v>
      </c>
      <c r="W1115" s="348">
        <v>119.18082347771269</v>
      </c>
      <c r="X1115" s="347">
        <v>60.23</v>
      </c>
      <c r="Y1115" s="357">
        <v>60.919999999999995</v>
      </c>
      <c r="Z1115" s="365" t="s">
        <v>3017</v>
      </c>
      <c r="AA1115" s="350">
        <v>98</v>
      </c>
      <c r="AB1115" s="349" t="s">
        <v>2685</v>
      </c>
      <c r="AC1115" s="350">
        <v>0</v>
      </c>
      <c r="AD1115" s="349" t="s">
        <v>2685</v>
      </c>
      <c r="AE1115" s="364">
        <v>0</v>
      </c>
      <c r="AF1115" s="366">
        <v>16.771000000000001</v>
      </c>
      <c r="AG1115" s="363">
        <v>0</v>
      </c>
      <c r="AH1115" s="635" t="s">
        <v>7882</v>
      </c>
      <c r="AL1115" s="487" t="s">
        <v>15530</v>
      </c>
      <c r="AM1115" s="477" t="s">
        <v>70</v>
      </c>
      <c r="AN1115" s="637">
        <v>100</v>
      </c>
      <c r="AO1115" s="478">
        <v>-1570</v>
      </c>
      <c r="AP1115" s="463">
        <v>-1570</v>
      </c>
      <c r="AQ1115" s="479">
        <v>0</v>
      </c>
      <c r="AR1115" s="476" t="s">
        <v>17297</v>
      </c>
      <c r="BA1115" s="313" t="s">
        <v>5148</v>
      </c>
    </row>
    <row r="1116" spans="2:53" ht="16.5" customHeight="1">
      <c r="B1116" s="367" t="s">
        <v>11018</v>
      </c>
      <c r="C1116" s="351" t="s">
        <v>11019</v>
      </c>
      <c r="D1116" s="353">
        <v>-1570</v>
      </c>
      <c r="E1116" s="352" t="s">
        <v>408</v>
      </c>
      <c r="F1116" s="341">
        <v>81.709999999999994</v>
      </c>
      <c r="G1116" s="355" t="s">
        <v>11020</v>
      </c>
      <c r="H1116" s="356" t="s">
        <v>18775</v>
      </c>
      <c r="I1116" s="354" t="s">
        <v>238</v>
      </c>
      <c r="J1116" s="340" t="s">
        <v>9309</v>
      </c>
      <c r="K1116" s="339" t="s">
        <v>70</v>
      </c>
      <c r="L1116" s="357">
        <v>13</v>
      </c>
      <c r="M1116" s="358" t="s">
        <v>11022</v>
      </c>
      <c r="N1116" s="359">
        <v>1000</v>
      </c>
      <c r="O1116" s="360" t="s">
        <v>532</v>
      </c>
      <c r="P1116" s="343" t="s">
        <v>533</v>
      </c>
      <c r="Q1116" s="342" t="s">
        <v>2688</v>
      </c>
      <c r="R1116" s="344">
        <v>25</v>
      </c>
      <c r="S1116" s="345">
        <v>35</v>
      </c>
      <c r="T1116" s="362">
        <v>30</v>
      </c>
      <c r="U1116" s="361">
        <v>81.709999999999994</v>
      </c>
      <c r="V1116" s="346">
        <v>119.81741797003212</v>
      </c>
      <c r="W1116" s="348">
        <v>119.16994531335476</v>
      </c>
      <c r="X1116" s="347">
        <v>60.22</v>
      </c>
      <c r="Y1116" s="357">
        <v>60.91</v>
      </c>
      <c r="Z1116" s="365" t="s">
        <v>3017</v>
      </c>
      <c r="AA1116" s="350">
        <v>98</v>
      </c>
      <c r="AB1116" s="349" t="s">
        <v>2685</v>
      </c>
      <c r="AC1116" s="350">
        <v>0</v>
      </c>
      <c r="AD1116" s="349" t="s">
        <v>2685</v>
      </c>
      <c r="AE1116" s="364">
        <v>0</v>
      </c>
      <c r="AF1116" s="366">
        <v>16.768999999999998</v>
      </c>
      <c r="AG1116" s="363">
        <v>0</v>
      </c>
      <c r="AH1116" s="635" t="s">
        <v>7882</v>
      </c>
      <c r="AL1116" s="487" t="s">
        <v>15531</v>
      </c>
      <c r="AM1116" s="477" t="s">
        <v>70</v>
      </c>
      <c r="AN1116" s="637">
        <v>100</v>
      </c>
      <c r="AO1116" s="478">
        <v>-1570</v>
      </c>
      <c r="AP1116" s="463">
        <v>-1570</v>
      </c>
      <c r="AQ1116" s="479">
        <v>0</v>
      </c>
      <c r="AR1116" s="476" t="s">
        <v>17298</v>
      </c>
      <c r="BA1116" s="313" t="s">
        <v>5149</v>
      </c>
    </row>
    <row r="1117" spans="2:53" ht="16.5" customHeight="1">
      <c r="B1117" s="367" t="s">
        <v>11027</v>
      </c>
      <c r="C1117" s="351" t="s">
        <v>11028</v>
      </c>
      <c r="D1117" s="353">
        <v>-1570</v>
      </c>
      <c r="E1117" s="352" t="s">
        <v>408</v>
      </c>
      <c r="F1117" s="341">
        <v>81.64</v>
      </c>
      <c r="G1117" s="355" t="s">
        <v>11029</v>
      </c>
      <c r="H1117" s="356" t="s">
        <v>4696</v>
      </c>
      <c r="I1117" s="354" t="s">
        <v>211</v>
      </c>
      <c r="J1117" s="340" t="s">
        <v>8283</v>
      </c>
      <c r="K1117" s="339" t="s">
        <v>70</v>
      </c>
      <c r="L1117" s="357">
        <v>7</v>
      </c>
      <c r="M1117" s="358" t="s">
        <v>11030</v>
      </c>
      <c r="N1117" s="359">
        <v>500</v>
      </c>
      <c r="O1117" s="360" t="s">
        <v>530</v>
      </c>
      <c r="P1117" s="343" t="s">
        <v>531</v>
      </c>
      <c r="Q1117" s="342" t="s">
        <v>2688</v>
      </c>
      <c r="R1117" s="344">
        <v>30</v>
      </c>
      <c r="S1117" s="345">
        <v>50</v>
      </c>
      <c r="T1117" s="362">
        <v>20</v>
      </c>
      <c r="U1117" s="361">
        <v>81.64</v>
      </c>
      <c r="V1117" s="346">
        <v>119.77312785117601</v>
      </c>
      <c r="W1117" s="348">
        <v>119.14041856745068</v>
      </c>
      <c r="X1117" s="347">
        <v>60.2</v>
      </c>
      <c r="Y1117" s="357">
        <v>60.75</v>
      </c>
      <c r="Z1117" s="365" t="s">
        <v>4408</v>
      </c>
      <c r="AA1117" s="350">
        <v>24</v>
      </c>
      <c r="AB1117" s="349" t="s">
        <v>2685</v>
      </c>
      <c r="AC1117" s="350">
        <v>5</v>
      </c>
      <c r="AD1117" s="349" t="s">
        <v>2685</v>
      </c>
      <c r="AE1117" s="364">
        <v>0</v>
      </c>
      <c r="AF1117" s="366">
        <v>0</v>
      </c>
      <c r="AG1117" s="363">
        <v>0</v>
      </c>
      <c r="AH1117" s="635" t="s">
        <v>408</v>
      </c>
      <c r="AL1117" s="487" t="s">
        <v>15532</v>
      </c>
      <c r="AM1117" s="477" t="s">
        <v>70</v>
      </c>
      <c r="AN1117" s="637">
        <v>100</v>
      </c>
      <c r="AO1117" s="478">
        <v>-1570</v>
      </c>
      <c r="AP1117" s="463">
        <v>-1570</v>
      </c>
      <c r="AQ1117" s="479">
        <v>0</v>
      </c>
      <c r="AR1117" s="476" t="s">
        <v>17299</v>
      </c>
      <c r="BA1117" s="313" t="s">
        <v>5153</v>
      </c>
    </row>
    <row r="1118" spans="2:53" ht="16.5" customHeight="1">
      <c r="B1118" s="367" t="s">
        <v>11027</v>
      </c>
      <c r="C1118" s="351" t="s">
        <v>11028</v>
      </c>
      <c r="D1118" s="353">
        <v>-1570</v>
      </c>
      <c r="E1118" s="352" t="s">
        <v>5036</v>
      </c>
      <c r="F1118" s="341">
        <v>81.63</v>
      </c>
      <c r="G1118" s="355" t="s">
        <v>5110</v>
      </c>
      <c r="H1118" s="356" t="s">
        <v>18776</v>
      </c>
      <c r="I1118" s="354" t="s">
        <v>479</v>
      </c>
      <c r="J1118" s="340" t="s">
        <v>8772</v>
      </c>
      <c r="K1118" s="339" t="s">
        <v>71</v>
      </c>
      <c r="L1118" s="357">
        <v>6</v>
      </c>
      <c r="M1118" s="358" t="s">
        <v>5049</v>
      </c>
      <c r="N1118" s="359">
        <v>500</v>
      </c>
      <c r="O1118" s="360" t="s">
        <v>454</v>
      </c>
      <c r="P1118" s="343" t="s">
        <v>454</v>
      </c>
      <c r="Q1118" s="342" t="s">
        <v>2688</v>
      </c>
      <c r="R1118" s="344">
        <v>30</v>
      </c>
      <c r="S1118" s="345">
        <v>20</v>
      </c>
      <c r="T1118" s="362">
        <v>30</v>
      </c>
      <c r="U1118" s="361">
        <v>81.63</v>
      </c>
      <c r="V1118" s="346">
        <v>119.765625</v>
      </c>
      <c r="W1118" s="348">
        <v>119.13541666666667</v>
      </c>
      <c r="X1118" s="347">
        <v>60.45</v>
      </c>
      <c r="Y1118" s="357" t="s">
        <v>408</v>
      </c>
      <c r="Z1118" s="365" t="s">
        <v>3017</v>
      </c>
      <c r="AA1118" s="350">
        <v>97</v>
      </c>
      <c r="AB1118" s="349" t="s">
        <v>2685</v>
      </c>
      <c r="AC1118" s="350">
        <v>2</v>
      </c>
      <c r="AD1118" s="349" t="s">
        <v>2685</v>
      </c>
      <c r="AE1118" s="364">
        <v>0</v>
      </c>
      <c r="AF1118" s="366">
        <v>0</v>
      </c>
      <c r="AG1118" s="363">
        <v>0</v>
      </c>
      <c r="AH1118" s="635" t="s">
        <v>408</v>
      </c>
      <c r="AL1118" s="487" t="s">
        <v>15533</v>
      </c>
      <c r="AM1118" s="477" t="s">
        <v>71</v>
      </c>
      <c r="AN1118" s="637">
        <v>100</v>
      </c>
      <c r="AO1118" s="478">
        <v>-1570</v>
      </c>
      <c r="AP1118" s="463">
        <v>-729</v>
      </c>
      <c r="AQ1118" s="479">
        <v>-841</v>
      </c>
      <c r="AR1118" s="476" t="s">
        <v>17300</v>
      </c>
      <c r="BA1118" s="313" t="s">
        <v>5155</v>
      </c>
    </row>
    <row r="1119" spans="2:53" ht="16.5" customHeight="1">
      <c r="B1119" s="367" t="s">
        <v>11027</v>
      </c>
      <c r="C1119" s="351" t="s">
        <v>11028</v>
      </c>
      <c r="D1119" s="353">
        <v>-1570</v>
      </c>
      <c r="E1119" s="352" t="s">
        <v>5036</v>
      </c>
      <c r="F1119" s="341">
        <v>81.62</v>
      </c>
      <c r="G1119" s="355" t="s">
        <v>5110</v>
      </c>
      <c r="H1119" s="356" t="s">
        <v>18776</v>
      </c>
      <c r="I1119" s="354" t="s">
        <v>238</v>
      </c>
      <c r="J1119" s="340" t="s">
        <v>8883</v>
      </c>
      <c r="K1119" s="339" t="s">
        <v>71</v>
      </c>
      <c r="L1119" s="357">
        <v>4</v>
      </c>
      <c r="M1119" s="358" t="s">
        <v>3743</v>
      </c>
      <c r="N1119" s="359">
        <v>1000</v>
      </c>
      <c r="O1119" s="360" t="s">
        <v>532</v>
      </c>
      <c r="P1119" s="343" t="s">
        <v>533</v>
      </c>
      <c r="Q1119" s="342" t="s">
        <v>2688</v>
      </c>
      <c r="R1119" s="344">
        <v>35</v>
      </c>
      <c r="S1119" s="345">
        <v>25</v>
      </c>
      <c r="T1119" s="362">
        <v>25</v>
      </c>
      <c r="U1119" s="361">
        <v>81.62</v>
      </c>
      <c r="V1119" s="346">
        <v>119.76437861101633</v>
      </c>
      <c r="W1119" s="348">
        <v>119.13458574067755</v>
      </c>
      <c r="X1119" s="347">
        <v>60.46</v>
      </c>
      <c r="Y1119" s="357">
        <v>60.87</v>
      </c>
      <c r="Z1119" s="365" t="s">
        <v>3017</v>
      </c>
      <c r="AA1119" s="350">
        <v>148</v>
      </c>
      <c r="AB1119" s="349" t="s">
        <v>2685</v>
      </c>
      <c r="AC1119" s="350">
        <v>0</v>
      </c>
      <c r="AD1119" s="349" t="s">
        <v>2685</v>
      </c>
      <c r="AE1119" s="364">
        <v>0</v>
      </c>
      <c r="AF1119" s="366">
        <v>0</v>
      </c>
      <c r="AG1119" s="363">
        <v>0</v>
      </c>
      <c r="AH1119" s="635" t="s">
        <v>408</v>
      </c>
      <c r="AL1119" s="487" t="s">
        <v>15534</v>
      </c>
      <c r="AM1119" s="477" t="s">
        <v>71</v>
      </c>
      <c r="AN1119" s="637">
        <v>100</v>
      </c>
      <c r="AO1119" s="478">
        <v>-1570</v>
      </c>
      <c r="AP1119" s="463">
        <v>-729</v>
      </c>
      <c r="AQ1119" s="479">
        <v>-841</v>
      </c>
      <c r="AR1119" s="476" t="s">
        <v>17300</v>
      </c>
      <c r="BA1119" s="313" t="s">
        <v>5158</v>
      </c>
    </row>
    <row r="1120" spans="2:53" ht="16.5" customHeight="1">
      <c r="B1120" s="367" t="s">
        <v>11032</v>
      </c>
      <c r="C1120" s="351" t="s">
        <v>11033</v>
      </c>
      <c r="D1120" s="353">
        <v>-1570</v>
      </c>
      <c r="E1120" s="352" t="s">
        <v>408</v>
      </c>
      <c r="F1120" s="341">
        <v>81.55</v>
      </c>
      <c r="G1120" s="355" t="s">
        <v>11034</v>
      </c>
      <c r="H1120" s="356" t="s">
        <v>18776</v>
      </c>
      <c r="I1120" s="354" t="s">
        <v>422</v>
      </c>
      <c r="J1120" s="340" t="s">
        <v>8835</v>
      </c>
      <c r="K1120" s="339" t="s">
        <v>70</v>
      </c>
      <c r="L1120" s="357">
        <v>12</v>
      </c>
      <c r="M1120" s="358" t="s">
        <v>11035</v>
      </c>
      <c r="N1120" s="359">
        <v>1000</v>
      </c>
      <c r="O1120" s="360" t="s">
        <v>454</v>
      </c>
      <c r="P1120" s="343" t="s">
        <v>454</v>
      </c>
      <c r="Q1120" s="342" t="s">
        <v>2688</v>
      </c>
      <c r="R1120" s="344">
        <v>20</v>
      </c>
      <c r="S1120" s="345">
        <v>35</v>
      </c>
      <c r="T1120" s="362">
        <v>30</v>
      </c>
      <c r="U1120" s="361">
        <v>81.55</v>
      </c>
      <c r="V1120" s="346">
        <v>119.72025495750709</v>
      </c>
      <c r="W1120" s="348">
        <v>119.10516997167139</v>
      </c>
      <c r="X1120" s="347">
        <v>60.17</v>
      </c>
      <c r="Y1120" s="357" t="s">
        <v>408</v>
      </c>
      <c r="Z1120" s="365" t="s">
        <v>3017</v>
      </c>
      <c r="AA1120" s="350">
        <v>147</v>
      </c>
      <c r="AB1120" s="349" t="s">
        <v>2685</v>
      </c>
      <c r="AC1120" s="350">
        <v>5</v>
      </c>
      <c r="AD1120" s="349" t="s">
        <v>2685</v>
      </c>
      <c r="AE1120" s="364">
        <v>0</v>
      </c>
      <c r="AF1120" s="366">
        <v>26.504000000000001</v>
      </c>
      <c r="AG1120" s="363">
        <v>0</v>
      </c>
      <c r="AH1120" s="635" t="s">
        <v>10941</v>
      </c>
      <c r="AL1120" s="487" t="s">
        <v>15535</v>
      </c>
      <c r="AM1120" s="477" t="s">
        <v>70</v>
      </c>
      <c r="AN1120" s="637">
        <v>100</v>
      </c>
      <c r="AO1120" s="478">
        <v>-1570</v>
      </c>
      <c r="AP1120" s="463">
        <v>-1570</v>
      </c>
      <c r="AQ1120" s="479">
        <v>0</v>
      </c>
      <c r="AR1120" s="476" t="s">
        <v>17301</v>
      </c>
      <c r="BA1120" s="313" t="s">
        <v>5161</v>
      </c>
    </row>
    <row r="1121" spans="2:53" ht="16.5" customHeight="1">
      <c r="B1121" s="367" t="s">
        <v>11036</v>
      </c>
      <c r="C1121" s="351" t="s">
        <v>11037</v>
      </c>
      <c r="D1121" s="353">
        <v>-1570</v>
      </c>
      <c r="E1121" s="352" t="s">
        <v>11031</v>
      </c>
      <c r="F1121" s="341">
        <v>81.540000000000006</v>
      </c>
      <c r="G1121" s="355" t="s">
        <v>5136</v>
      </c>
      <c r="H1121" s="356" t="s">
        <v>10508</v>
      </c>
      <c r="I1121" s="354" t="s">
        <v>238</v>
      </c>
      <c r="J1121" s="340" t="s">
        <v>11039</v>
      </c>
      <c r="K1121" s="339" t="s">
        <v>71</v>
      </c>
      <c r="L1121" s="357">
        <v>8</v>
      </c>
      <c r="M1121" s="358" t="s">
        <v>11040</v>
      </c>
      <c r="N1121" s="359">
        <v>1000</v>
      </c>
      <c r="O1121" s="360" t="s">
        <v>532</v>
      </c>
      <c r="P1121" s="343" t="s">
        <v>533</v>
      </c>
      <c r="Q1121" s="342" t="s">
        <v>2688</v>
      </c>
      <c r="R1121" s="344">
        <v>35</v>
      </c>
      <c r="S1121" s="345">
        <v>25</v>
      </c>
      <c r="T1121" s="362">
        <v>25</v>
      </c>
      <c r="U1121" s="361">
        <v>81.540000000000006</v>
      </c>
      <c r="V1121" s="346">
        <v>119.7128565418966</v>
      </c>
      <c r="W1121" s="348">
        <v>119.10023769459774</v>
      </c>
      <c r="X1121" s="347">
        <v>60.43</v>
      </c>
      <c r="Y1121" s="357">
        <v>60.839999999999996</v>
      </c>
      <c r="Z1121" s="365" t="s">
        <v>3017</v>
      </c>
      <c r="AA1121" s="350">
        <v>148</v>
      </c>
      <c r="AB1121" s="349" t="s">
        <v>2685</v>
      </c>
      <c r="AC1121" s="350">
        <v>0</v>
      </c>
      <c r="AD1121" s="349" t="s">
        <v>2685</v>
      </c>
      <c r="AE1121" s="364">
        <v>0</v>
      </c>
      <c r="AF1121" s="366">
        <v>0</v>
      </c>
      <c r="AG1121" s="363">
        <v>0</v>
      </c>
      <c r="AH1121" s="635" t="s">
        <v>408</v>
      </c>
      <c r="AL1121" s="487" t="s">
        <v>15536</v>
      </c>
      <c r="AM1121" s="477" t="s">
        <v>71</v>
      </c>
      <c r="AN1121" s="637">
        <v>100</v>
      </c>
      <c r="AO1121" s="478">
        <v>-1570</v>
      </c>
      <c r="AP1121" s="463">
        <v>-728</v>
      </c>
      <c r="AQ1121" s="479">
        <v>-842</v>
      </c>
      <c r="AR1121" s="476" t="s">
        <v>17302</v>
      </c>
      <c r="BA1121" s="313" t="s">
        <v>5164</v>
      </c>
    </row>
    <row r="1122" spans="2:53" ht="16.5" customHeight="1">
      <c r="B1122" s="367" t="s">
        <v>11023</v>
      </c>
      <c r="C1122" s="351" t="s">
        <v>11024</v>
      </c>
      <c r="D1122" s="353">
        <v>-1570</v>
      </c>
      <c r="E1122" s="352" t="s">
        <v>11031</v>
      </c>
      <c r="F1122" s="341">
        <v>81.53</v>
      </c>
      <c r="G1122" s="355" t="s">
        <v>18777</v>
      </c>
      <c r="H1122" s="356" t="s">
        <v>18710</v>
      </c>
      <c r="I1122" s="354" t="s">
        <v>209</v>
      </c>
      <c r="J1122" s="340" t="s">
        <v>11026</v>
      </c>
      <c r="K1122" s="339" t="s">
        <v>71</v>
      </c>
      <c r="L1122" s="357">
        <v>6</v>
      </c>
      <c r="M1122" s="358" t="s">
        <v>4505</v>
      </c>
      <c r="N1122" s="359">
        <v>1000</v>
      </c>
      <c r="O1122" s="360" t="s">
        <v>530</v>
      </c>
      <c r="P1122" s="343" t="s">
        <v>530</v>
      </c>
      <c r="Q1122" s="342" t="s">
        <v>2688</v>
      </c>
      <c r="R1122" s="344">
        <v>30</v>
      </c>
      <c r="S1122" s="345">
        <v>25</v>
      </c>
      <c r="T1122" s="362">
        <v>25</v>
      </c>
      <c r="U1122" s="361">
        <v>81.53</v>
      </c>
      <c r="V1122" s="346">
        <v>119.70930672158441</v>
      </c>
      <c r="W1122" s="348">
        <v>119.09787114772294</v>
      </c>
      <c r="X1122" s="347">
        <v>60.43</v>
      </c>
      <c r="Y1122" s="357" t="s">
        <v>408</v>
      </c>
      <c r="Z1122" s="365" t="s">
        <v>3017</v>
      </c>
      <c r="AA1122" s="350">
        <v>198</v>
      </c>
      <c r="AB1122" s="349" t="s">
        <v>2685</v>
      </c>
      <c r="AC1122" s="350">
        <v>10</v>
      </c>
      <c r="AD1122" s="349" t="s">
        <v>2685</v>
      </c>
      <c r="AE1122" s="364">
        <v>0</v>
      </c>
      <c r="AF1122" s="366">
        <v>0</v>
      </c>
      <c r="AG1122" s="363">
        <v>0</v>
      </c>
      <c r="AH1122" s="635" t="s">
        <v>408</v>
      </c>
      <c r="AL1122" s="487" t="s">
        <v>15537</v>
      </c>
      <c r="AM1122" s="477" t="s">
        <v>71</v>
      </c>
      <c r="AN1122" s="637">
        <v>100</v>
      </c>
      <c r="AO1122" s="478">
        <v>-1570</v>
      </c>
      <c r="AP1122" s="463">
        <v>-728</v>
      </c>
      <c r="AQ1122" s="479">
        <v>-842</v>
      </c>
      <c r="AR1122" s="476" t="s">
        <v>17303</v>
      </c>
      <c r="BA1122" s="313" t="s">
        <v>5165</v>
      </c>
    </row>
    <row r="1123" spans="2:53" ht="16.5" customHeight="1">
      <c r="B1123" s="367" t="s">
        <v>11023</v>
      </c>
      <c r="C1123" s="351" t="s">
        <v>11024</v>
      </c>
      <c r="D1123" s="353">
        <v>-1570</v>
      </c>
      <c r="E1123" s="352" t="s">
        <v>408</v>
      </c>
      <c r="F1123" s="341">
        <v>81.53</v>
      </c>
      <c r="G1123" s="355" t="s">
        <v>18777</v>
      </c>
      <c r="H1123" s="356" t="s">
        <v>18710</v>
      </c>
      <c r="I1123" s="354" t="s">
        <v>209</v>
      </c>
      <c r="J1123" s="340" t="s">
        <v>8883</v>
      </c>
      <c r="K1123" s="339" t="s">
        <v>71</v>
      </c>
      <c r="L1123" s="357">
        <v>9</v>
      </c>
      <c r="M1123" s="358" t="s">
        <v>4505</v>
      </c>
      <c r="N1123" s="359">
        <v>1000</v>
      </c>
      <c r="O1123" s="360" t="s">
        <v>530</v>
      </c>
      <c r="P1123" s="343" t="s">
        <v>530</v>
      </c>
      <c r="Q1123" s="342" t="s">
        <v>2688</v>
      </c>
      <c r="R1123" s="344">
        <v>30</v>
      </c>
      <c r="S1123" s="345">
        <v>25</v>
      </c>
      <c r="T1123" s="362">
        <v>25</v>
      </c>
      <c r="U1123" s="361">
        <v>81.53</v>
      </c>
      <c r="V1123" s="346">
        <v>119.70930672158441</v>
      </c>
      <c r="W1123" s="348">
        <v>119.09787114772294</v>
      </c>
      <c r="X1123" s="347">
        <v>60.43</v>
      </c>
      <c r="Y1123" s="357" t="s">
        <v>408</v>
      </c>
      <c r="Z1123" s="365" t="s">
        <v>3017</v>
      </c>
      <c r="AA1123" s="350">
        <v>198</v>
      </c>
      <c r="AB1123" s="349" t="s">
        <v>2685</v>
      </c>
      <c r="AC1123" s="350">
        <v>10</v>
      </c>
      <c r="AD1123" s="349" t="s">
        <v>2685</v>
      </c>
      <c r="AE1123" s="364">
        <v>0</v>
      </c>
      <c r="AF1123" s="366">
        <v>0</v>
      </c>
      <c r="AG1123" s="363">
        <v>0</v>
      </c>
      <c r="AH1123" s="635" t="s">
        <v>408</v>
      </c>
      <c r="AL1123" s="487" t="s">
        <v>15538</v>
      </c>
      <c r="AM1123" s="477" t="s">
        <v>71</v>
      </c>
      <c r="AN1123" s="637">
        <v>100</v>
      </c>
      <c r="AO1123" s="478">
        <v>-1570</v>
      </c>
      <c r="AP1123" s="463">
        <v>-728</v>
      </c>
      <c r="AQ1123" s="479">
        <v>-842</v>
      </c>
      <c r="AR1123" s="476" t="s">
        <v>17303</v>
      </c>
      <c r="BA1123" s="313" t="s">
        <v>5166</v>
      </c>
    </row>
    <row r="1124" spans="2:53" ht="16.5" customHeight="1">
      <c r="B1124" s="367" t="s">
        <v>11041</v>
      </c>
      <c r="C1124" s="351" t="s">
        <v>11042</v>
      </c>
      <c r="D1124" s="353">
        <v>-1570</v>
      </c>
      <c r="E1124" s="352" t="s">
        <v>5167</v>
      </c>
      <c r="F1124" s="341">
        <v>81.52</v>
      </c>
      <c r="G1124" s="355" t="s">
        <v>5173</v>
      </c>
      <c r="H1124" s="356" t="s">
        <v>10498</v>
      </c>
      <c r="I1124" s="354" t="s">
        <v>215</v>
      </c>
      <c r="J1124" s="340" t="s">
        <v>11043</v>
      </c>
      <c r="K1124" s="339" t="s">
        <v>70</v>
      </c>
      <c r="L1124" s="357">
        <v>5</v>
      </c>
      <c r="M1124" s="358" t="s">
        <v>11044</v>
      </c>
      <c r="N1124" s="359">
        <v>1000</v>
      </c>
      <c r="O1124" s="360" t="s">
        <v>530</v>
      </c>
      <c r="P1124" s="343" t="s">
        <v>531</v>
      </c>
      <c r="Q1124" s="342" t="s">
        <v>2688</v>
      </c>
      <c r="R1124" s="344">
        <v>25</v>
      </c>
      <c r="S1124" s="345">
        <v>38</v>
      </c>
      <c r="T1124" s="362">
        <v>25</v>
      </c>
      <c r="U1124" s="361">
        <v>81.52</v>
      </c>
      <c r="V1124" s="346">
        <v>119.70290071770334</v>
      </c>
      <c r="W1124" s="348">
        <v>119.09360047846889</v>
      </c>
      <c r="X1124" s="347">
        <v>60.17</v>
      </c>
      <c r="Y1124" s="357">
        <v>60.699999999999996</v>
      </c>
      <c r="Z1124" s="365" t="s">
        <v>3017</v>
      </c>
      <c r="AA1124" s="350">
        <v>121.25</v>
      </c>
      <c r="AB1124" s="349" t="s">
        <v>2685</v>
      </c>
      <c r="AC1124" s="350">
        <v>10</v>
      </c>
      <c r="AD1124" s="349" t="s">
        <v>2685</v>
      </c>
      <c r="AE1124" s="364">
        <v>0</v>
      </c>
      <c r="AF1124" s="366">
        <v>0</v>
      </c>
      <c r="AG1124" s="363">
        <v>0</v>
      </c>
      <c r="AH1124" s="635" t="s">
        <v>408</v>
      </c>
      <c r="AL1124" s="487" t="s">
        <v>15539</v>
      </c>
      <c r="AM1124" s="477" t="s">
        <v>70</v>
      </c>
      <c r="AN1124" s="637">
        <v>100</v>
      </c>
      <c r="AO1124" s="478">
        <v>-1570</v>
      </c>
      <c r="AP1124" s="463">
        <v>-1570</v>
      </c>
      <c r="AQ1124" s="479">
        <v>0</v>
      </c>
      <c r="AR1124" s="476" t="s">
        <v>17304</v>
      </c>
      <c r="BA1124" s="313" t="s">
        <v>5169</v>
      </c>
    </row>
    <row r="1125" spans="2:53" ht="16.5" customHeight="1">
      <c r="B1125" s="367" t="s">
        <v>5039</v>
      </c>
      <c r="C1125" s="351" t="s">
        <v>5040</v>
      </c>
      <c r="D1125" s="353">
        <v>-1570</v>
      </c>
      <c r="E1125" s="352" t="s">
        <v>408</v>
      </c>
      <c r="F1125" s="341">
        <v>81.5</v>
      </c>
      <c r="G1125" s="355" t="s">
        <v>11045</v>
      </c>
      <c r="H1125" s="356" t="s">
        <v>18778</v>
      </c>
      <c r="I1125" s="354" t="s">
        <v>195</v>
      </c>
      <c r="J1125" s="340" t="s">
        <v>9074</v>
      </c>
      <c r="K1125" s="339" t="s">
        <v>70</v>
      </c>
      <c r="L1125" s="357">
        <v>16</v>
      </c>
      <c r="M1125" s="358" t="s">
        <v>11046</v>
      </c>
      <c r="N1125" s="359">
        <v>100</v>
      </c>
      <c r="O1125" s="360" t="s">
        <v>454</v>
      </c>
      <c r="P1125" s="343" t="s">
        <v>454</v>
      </c>
      <c r="Q1125" s="342" t="s">
        <v>2738</v>
      </c>
      <c r="R1125" s="344">
        <v>25</v>
      </c>
      <c r="S1125" s="345">
        <v>35</v>
      </c>
      <c r="T1125" s="362">
        <v>20</v>
      </c>
      <c r="U1125" s="361">
        <v>81.5</v>
      </c>
      <c r="V1125" s="346">
        <v>119.6875</v>
      </c>
      <c r="W1125" s="348">
        <v>119.08333333333333</v>
      </c>
      <c r="X1125" s="347">
        <v>60.16</v>
      </c>
      <c r="Y1125" s="357" t="s">
        <v>408</v>
      </c>
      <c r="Z1125" s="365" t="s">
        <v>3017</v>
      </c>
      <c r="AA1125" s="350">
        <v>19</v>
      </c>
      <c r="AB1125" s="349" t="s">
        <v>2685</v>
      </c>
      <c r="AC1125" s="350">
        <v>0</v>
      </c>
      <c r="AD1125" s="349" t="s">
        <v>2685</v>
      </c>
      <c r="AE1125" s="364">
        <v>0</v>
      </c>
      <c r="AF1125" s="366">
        <v>0</v>
      </c>
      <c r="AG1125" s="363">
        <v>0</v>
      </c>
      <c r="AH1125" s="635" t="s">
        <v>408</v>
      </c>
      <c r="AL1125" s="487" t="s">
        <v>15540</v>
      </c>
      <c r="AM1125" s="477" t="s">
        <v>70</v>
      </c>
      <c r="AN1125" s="637">
        <v>100</v>
      </c>
      <c r="AO1125" s="478">
        <v>-1570</v>
      </c>
      <c r="AP1125" s="463">
        <v>-1570</v>
      </c>
      <c r="AQ1125" s="479">
        <v>0</v>
      </c>
      <c r="AR1125" s="476" t="s">
        <v>17305</v>
      </c>
      <c r="BA1125" s="313" t="s">
        <v>5170</v>
      </c>
    </row>
    <row r="1126" spans="2:53" ht="16.5" customHeight="1">
      <c r="B1126" s="367" t="s">
        <v>5039</v>
      </c>
      <c r="C1126" s="351" t="s">
        <v>5040</v>
      </c>
      <c r="D1126" s="353">
        <v>-1570</v>
      </c>
      <c r="E1126" s="352" t="s">
        <v>408</v>
      </c>
      <c r="F1126" s="341">
        <v>81.5</v>
      </c>
      <c r="G1126" s="355" t="s">
        <v>5142</v>
      </c>
      <c r="H1126" s="356" t="s">
        <v>18779</v>
      </c>
      <c r="I1126" s="354" t="s">
        <v>479</v>
      </c>
      <c r="J1126" s="340" t="s">
        <v>8269</v>
      </c>
      <c r="K1126" s="339" t="s">
        <v>71</v>
      </c>
      <c r="L1126" s="357">
        <v>6</v>
      </c>
      <c r="M1126" s="358" t="s">
        <v>11047</v>
      </c>
      <c r="N1126" s="359">
        <v>500</v>
      </c>
      <c r="O1126" s="360" t="s">
        <v>454</v>
      </c>
      <c r="P1126" s="343" t="s">
        <v>454</v>
      </c>
      <c r="Q1126" s="342" t="s">
        <v>2688</v>
      </c>
      <c r="R1126" s="344">
        <v>30</v>
      </c>
      <c r="S1126" s="345">
        <v>20</v>
      </c>
      <c r="T1126" s="362">
        <v>30</v>
      </c>
      <c r="U1126" s="361">
        <v>81.5</v>
      </c>
      <c r="V1126" s="346">
        <v>119.6875</v>
      </c>
      <c r="W1126" s="348">
        <v>119.08333333333333</v>
      </c>
      <c r="X1126" s="347">
        <v>60.41</v>
      </c>
      <c r="Y1126" s="357" t="s">
        <v>408</v>
      </c>
      <c r="Z1126" s="365" t="s">
        <v>3017</v>
      </c>
      <c r="AA1126" s="350">
        <v>97</v>
      </c>
      <c r="AB1126" s="349" t="s">
        <v>2685</v>
      </c>
      <c r="AC1126" s="350">
        <v>2</v>
      </c>
      <c r="AD1126" s="349" t="s">
        <v>2685</v>
      </c>
      <c r="AE1126" s="364">
        <v>0</v>
      </c>
      <c r="AF1126" s="366">
        <v>0</v>
      </c>
      <c r="AG1126" s="363">
        <v>0</v>
      </c>
      <c r="AH1126" s="635" t="s">
        <v>408</v>
      </c>
      <c r="AL1126" s="487" t="s">
        <v>15541</v>
      </c>
      <c r="AM1126" s="477" t="s">
        <v>71</v>
      </c>
      <c r="AN1126" s="637">
        <v>100</v>
      </c>
      <c r="AO1126" s="478">
        <v>-1570</v>
      </c>
      <c r="AP1126" s="463">
        <v>-728</v>
      </c>
      <c r="AQ1126" s="479">
        <v>-842</v>
      </c>
      <c r="AR1126" s="476" t="s">
        <v>17306</v>
      </c>
      <c r="BA1126" s="313" t="s">
        <v>5175</v>
      </c>
    </row>
    <row r="1127" spans="2:53" ht="16.5" customHeight="1">
      <c r="B1127" s="367" t="s">
        <v>5045</v>
      </c>
      <c r="C1127" s="351" t="s">
        <v>5046</v>
      </c>
      <c r="D1127" s="353">
        <v>-1570</v>
      </c>
      <c r="E1127" s="352" t="s">
        <v>11045</v>
      </c>
      <c r="F1127" s="341">
        <v>81.489999999999995</v>
      </c>
      <c r="G1127" s="355" t="s">
        <v>11048</v>
      </c>
      <c r="H1127" s="356" t="s">
        <v>4686</v>
      </c>
      <c r="I1127" s="354" t="s">
        <v>478</v>
      </c>
      <c r="J1127" s="340" t="s">
        <v>11049</v>
      </c>
      <c r="K1127" s="339" t="s">
        <v>71</v>
      </c>
      <c r="L1127" s="357">
        <v>104</v>
      </c>
      <c r="M1127" s="358" t="s">
        <v>11050</v>
      </c>
      <c r="N1127" s="359">
        <v>1000</v>
      </c>
      <c r="O1127" s="360" t="s">
        <v>532</v>
      </c>
      <c r="P1127" s="343" t="s">
        <v>533</v>
      </c>
      <c r="Q1127" s="342" t="s">
        <v>2688</v>
      </c>
      <c r="R1127" s="344">
        <v>30</v>
      </c>
      <c r="S1127" s="345">
        <v>35</v>
      </c>
      <c r="T1127" s="362">
        <v>25</v>
      </c>
      <c r="U1127" s="361">
        <v>81.489999999999995</v>
      </c>
      <c r="V1127" s="346">
        <v>119.68264726070856</v>
      </c>
      <c r="W1127" s="348">
        <v>119.08009817380571</v>
      </c>
      <c r="X1127" s="347">
        <v>60.15</v>
      </c>
      <c r="Y1127" s="357">
        <v>60.83</v>
      </c>
      <c r="Z1127" s="365" t="s">
        <v>3017</v>
      </c>
      <c r="AA1127" s="350">
        <v>99.5</v>
      </c>
      <c r="AB1127" s="349" t="s">
        <v>2685</v>
      </c>
      <c r="AC1127" s="350">
        <v>10</v>
      </c>
      <c r="AD1127" s="349" t="s">
        <v>2685</v>
      </c>
      <c r="AE1127" s="364">
        <v>0</v>
      </c>
      <c r="AF1127" s="366">
        <v>0</v>
      </c>
      <c r="AG1127" s="363">
        <v>0</v>
      </c>
      <c r="AH1127" s="635" t="s">
        <v>408</v>
      </c>
      <c r="AL1127" s="487" t="s">
        <v>15542</v>
      </c>
      <c r="AM1127" s="477" t="s">
        <v>71</v>
      </c>
      <c r="AN1127" s="637">
        <v>100</v>
      </c>
      <c r="AO1127" s="478">
        <v>-1570</v>
      </c>
      <c r="AP1127" s="463">
        <v>-726</v>
      </c>
      <c r="AQ1127" s="479">
        <v>-844</v>
      </c>
      <c r="AR1127" s="476" t="s">
        <v>17307</v>
      </c>
      <c r="BA1127" s="313" t="s">
        <v>5177</v>
      </c>
    </row>
    <row r="1128" spans="2:53" ht="16.5" customHeight="1">
      <c r="B1128" s="367" t="s">
        <v>5051</v>
      </c>
      <c r="C1128" s="351" t="s">
        <v>5052</v>
      </c>
      <c r="D1128" s="353">
        <v>-1570</v>
      </c>
      <c r="E1128" s="352" t="s">
        <v>408</v>
      </c>
      <c r="F1128" s="341">
        <v>81.47</v>
      </c>
      <c r="G1128" s="355" t="s">
        <v>11051</v>
      </c>
      <c r="H1128" s="356" t="s">
        <v>18780</v>
      </c>
      <c r="I1128" s="354" t="s">
        <v>425</v>
      </c>
      <c r="J1128" s="340" t="s">
        <v>11052</v>
      </c>
      <c r="K1128" s="339" t="s">
        <v>70</v>
      </c>
      <c r="L1128" s="357">
        <v>23</v>
      </c>
      <c r="M1128" s="358" t="s">
        <v>11053</v>
      </c>
      <c r="N1128" s="359">
        <v>1000</v>
      </c>
      <c r="O1128" s="360" t="s">
        <v>454</v>
      </c>
      <c r="P1128" s="343" t="s">
        <v>454</v>
      </c>
      <c r="Q1128" s="342" t="s">
        <v>2738</v>
      </c>
      <c r="R1128" s="344">
        <v>25</v>
      </c>
      <c r="S1128" s="345">
        <v>35</v>
      </c>
      <c r="T1128" s="362">
        <v>20</v>
      </c>
      <c r="U1128" s="361">
        <v>81.47</v>
      </c>
      <c r="V1128" s="346">
        <v>119.67085798816568</v>
      </c>
      <c r="W1128" s="348">
        <v>119.07223865877712</v>
      </c>
      <c r="X1128" s="347">
        <v>60.15</v>
      </c>
      <c r="Y1128" s="357" t="s">
        <v>408</v>
      </c>
      <c r="Z1128" s="365" t="s">
        <v>3017</v>
      </c>
      <c r="AA1128" s="350">
        <v>196</v>
      </c>
      <c r="AB1128" s="349" t="s">
        <v>2685</v>
      </c>
      <c r="AC1128" s="350">
        <v>10</v>
      </c>
      <c r="AD1128" s="349" t="s">
        <v>2685</v>
      </c>
      <c r="AE1128" s="364">
        <v>0</v>
      </c>
      <c r="AF1128" s="366">
        <v>36.661999999999999</v>
      </c>
      <c r="AG1128" s="363">
        <v>0</v>
      </c>
      <c r="AH1128" s="635" t="s">
        <v>10711</v>
      </c>
      <c r="AL1128" s="487" t="s">
        <v>15543</v>
      </c>
      <c r="AM1128" s="477" t="s">
        <v>70</v>
      </c>
      <c r="AN1128" s="637">
        <v>100</v>
      </c>
      <c r="AO1128" s="478">
        <v>-1570</v>
      </c>
      <c r="AP1128" s="463">
        <v>-1570</v>
      </c>
      <c r="AQ1128" s="479">
        <v>0</v>
      </c>
      <c r="AR1128" s="476" t="s">
        <v>17308</v>
      </c>
      <c r="BA1128" s="313" t="s">
        <v>5182</v>
      </c>
    </row>
    <row r="1129" spans="2:53" ht="16.5" customHeight="1">
      <c r="B1129" s="367" t="s">
        <v>5058</v>
      </c>
      <c r="C1129" s="351" t="s">
        <v>5059</v>
      </c>
      <c r="D1129" s="353">
        <v>-1570</v>
      </c>
      <c r="E1129" s="352" t="s">
        <v>408</v>
      </c>
      <c r="F1129" s="341">
        <v>81.44</v>
      </c>
      <c r="G1129" s="355" t="s">
        <v>11054</v>
      </c>
      <c r="H1129" s="356" t="s">
        <v>10508</v>
      </c>
      <c r="I1129" s="354" t="s">
        <v>478</v>
      </c>
      <c r="J1129" s="340" t="s">
        <v>74</v>
      </c>
      <c r="K1129" s="339" t="s">
        <v>70</v>
      </c>
      <c r="L1129" s="357">
        <v>22</v>
      </c>
      <c r="M1129" s="358" t="s">
        <v>11055</v>
      </c>
      <c r="N1129" s="359">
        <v>1000</v>
      </c>
      <c r="O1129" s="360" t="s">
        <v>532</v>
      </c>
      <c r="P1129" s="343" t="s">
        <v>533</v>
      </c>
      <c r="Q1129" s="342" t="s">
        <v>2688</v>
      </c>
      <c r="R1129" s="344">
        <v>25</v>
      </c>
      <c r="S1129" s="345">
        <v>35</v>
      </c>
      <c r="T1129" s="362">
        <v>25</v>
      </c>
      <c r="U1129" s="361">
        <v>81.44</v>
      </c>
      <c r="V1129" s="346">
        <v>119.64847279717976</v>
      </c>
      <c r="W1129" s="348">
        <v>119.05731519811984</v>
      </c>
      <c r="X1129" s="347">
        <v>60.14</v>
      </c>
      <c r="Y1129" s="357">
        <v>60.809999999999995</v>
      </c>
      <c r="Z1129" s="365" t="s">
        <v>3017</v>
      </c>
      <c r="AA1129" s="350">
        <v>149.25</v>
      </c>
      <c r="AB1129" s="349" t="s">
        <v>2685</v>
      </c>
      <c r="AC1129" s="350">
        <v>10</v>
      </c>
      <c r="AD1129" s="349" t="s">
        <v>2685</v>
      </c>
      <c r="AE1129" s="364">
        <v>0</v>
      </c>
      <c r="AF1129" s="366">
        <v>6.5149999999999997</v>
      </c>
      <c r="AG1129" s="363">
        <v>0</v>
      </c>
      <c r="AH1129" s="635" t="s">
        <v>8123</v>
      </c>
      <c r="AL1129" s="487" t="s">
        <v>7205</v>
      </c>
      <c r="AM1129" s="477" t="s">
        <v>70</v>
      </c>
      <c r="AN1129" s="637">
        <v>100</v>
      </c>
      <c r="AO1129" s="478">
        <v>-1570</v>
      </c>
      <c r="AP1129" s="463">
        <v>-1570</v>
      </c>
      <c r="AQ1129" s="479">
        <v>0</v>
      </c>
      <c r="AR1129" s="476" t="s">
        <v>17309</v>
      </c>
      <c r="BA1129" s="313" t="s">
        <v>5187</v>
      </c>
    </row>
    <row r="1130" spans="2:53" ht="16.5" customHeight="1">
      <c r="B1130" s="367" t="s">
        <v>5058</v>
      </c>
      <c r="C1130" s="351" t="s">
        <v>5059</v>
      </c>
      <c r="D1130" s="353">
        <v>-1570</v>
      </c>
      <c r="E1130" s="352" t="s">
        <v>408</v>
      </c>
      <c r="F1130" s="341">
        <v>81.44</v>
      </c>
      <c r="G1130" s="355" t="s">
        <v>5154</v>
      </c>
      <c r="H1130" s="356" t="s">
        <v>10542</v>
      </c>
      <c r="I1130" s="354" t="s">
        <v>422</v>
      </c>
      <c r="J1130" s="340" t="s">
        <v>489</v>
      </c>
      <c r="K1130" s="339" t="s">
        <v>71</v>
      </c>
      <c r="L1130" s="357">
        <v>40</v>
      </c>
      <c r="M1130" s="358" t="s">
        <v>11056</v>
      </c>
      <c r="N1130" s="359">
        <v>1000</v>
      </c>
      <c r="O1130" s="360" t="s">
        <v>454</v>
      </c>
      <c r="P1130" s="343" t="s">
        <v>454</v>
      </c>
      <c r="Q1130" s="342" t="s">
        <v>2688</v>
      </c>
      <c r="R1130" s="344">
        <v>25</v>
      </c>
      <c r="S1130" s="345">
        <v>35</v>
      </c>
      <c r="T1130" s="362">
        <v>20</v>
      </c>
      <c r="U1130" s="361">
        <v>81.44</v>
      </c>
      <c r="V1130" s="346">
        <v>119.6484375</v>
      </c>
      <c r="W1130" s="348">
        <v>119.05729166666667</v>
      </c>
      <c r="X1130" s="347">
        <v>60.4</v>
      </c>
      <c r="Y1130" s="357" t="s">
        <v>408</v>
      </c>
      <c r="Z1130" s="365" t="s">
        <v>3017</v>
      </c>
      <c r="AA1130" s="350">
        <v>196</v>
      </c>
      <c r="AB1130" s="349" t="s">
        <v>2685</v>
      </c>
      <c r="AC1130" s="350">
        <v>5</v>
      </c>
      <c r="AD1130" s="349" t="s">
        <v>2685</v>
      </c>
      <c r="AE1130" s="364">
        <v>0</v>
      </c>
      <c r="AF1130" s="366">
        <v>0</v>
      </c>
      <c r="AG1130" s="363">
        <v>0</v>
      </c>
      <c r="AH1130" s="635" t="s">
        <v>408</v>
      </c>
      <c r="AL1130" s="487" t="s">
        <v>15544</v>
      </c>
      <c r="AM1130" s="477" t="s">
        <v>71</v>
      </c>
      <c r="AN1130" s="637">
        <v>100</v>
      </c>
      <c r="AO1130" s="478">
        <v>-1570</v>
      </c>
      <c r="AP1130" s="463">
        <v>-727</v>
      </c>
      <c r="AQ1130" s="479">
        <v>-843</v>
      </c>
      <c r="AR1130" s="476" t="s">
        <v>17310</v>
      </c>
      <c r="BA1130" s="313" t="s">
        <v>5188</v>
      </c>
    </row>
    <row r="1131" spans="2:53" ht="16.5" customHeight="1">
      <c r="B1131" s="367" t="s">
        <v>18226</v>
      </c>
      <c r="C1131" s="351" t="s">
        <v>18227</v>
      </c>
      <c r="D1131" s="353">
        <v>-1570</v>
      </c>
      <c r="E1131" s="352" t="s">
        <v>11054</v>
      </c>
      <c r="F1131" s="341">
        <v>81.41</v>
      </c>
      <c r="G1131" s="355" t="s">
        <v>11038</v>
      </c>
      <c r="H1131" s="356" t="s">
        <v>10513</v>
      </c>
      <c r="I1131" s="354" t="s">
        <v>400</v>
      </c>
      <c r="J1131" s="340" t="s">
        <v>436</v>
      </c>
      <c r="K1131" s="339" t="s">
        <v>71</v>
      </c>
      <c r="L1131" s="357">
        <v>104</v>
      </c>
      <c r="M1131" s="358" t="s">
        <v>11011</v>
      </c>
      <c r="N1131" s="359">
        <v>1000</v>
      </c>
      <c r="O1131" s="360" t="s">
        <v>532</v>
      </c>
      <c r="P1131" s="343" t="s">
        <v>532</v>
      </c>
      <c r="Q1131" s="342" t="s">
        <v>2688</v>
      </c>
      <c r="R1131" s="344">
        <v>30</v>
      </c>
      <c r="S1131" s="345">
        <v>30</v>
      </c>
      <c r="T1131" s="362">
        <v>20</v>
      </c>
      <c r="U1131" s="361">
        <v>81.41</v>
      </c>
      <c r="V1131" s="346">
        <v>119.63172765396227</v>
      </c>
      <c r="W1131" s="348">
        <v>119.04615176930818</v>
      </c>
      <c r="X1131" s="347" t="s">
        <v>18781</v>
      </c>
      <c r="Y1131" s="357" t="s">
        <v>408</v>
      </c>
      <c r="Z1131" s="365" t="s">
        <v>4408</v>
      </c>
      <c r="AA1131" s="350">
        <v>190</v>
      </c>
      <c r="AB1131" s="349" t="s">
        <v>2685</v>
      </c>
      <c r="AC1131" s="350">
        <v>0</v>
      </c>
      <c r="AD1131" s="349" t="s">
        <v>2685</v>
      </c>
      <c r="AE1131" s="364">
        <v>0</v>
      </c>
      <c r="AF1131" s="366">
        <v>0</v>
      </c>
      <c r="AG1131" s="363">
        <v>0</v>
      </c>
      <c r="AH1131" s="635" t="s">
        <v>408</v>
      </c>
      <c r="AL1131" s="487" t="s">
        <v>7231</v>
      </c>
      <c r="AM1131" s="477" t="s">
        <v>71</v>
      </c>
      <c r="AN1131" s="637">
        <v>100</v>
      </c>
      <c r="AO1131" s="478">
        <v>-1570</v>
      </c>
      <c r="AP1131" s="463">
        <v>-727</v>
      </c>
      <c r="AQ1131" s="479">
        <v>-843</v>
      </c>
      <c r="AR1131" s="476" t="s">
        <v>17311</v>
      </c>
      <c r="BA1131" s="313" t="s">
        <v>5191</v>
      </c>
    </row>
    <row r="1132" spans="2:53" ht="16.5" customHeight="1">
      <c r="B1132" s="367" t="s">
        <v>11057</v>
      </c>
      <c r="C1132" s="351" t="s">
        <v>11058</v>
      </c>
      <c r="D1132" s="353">
        <v>-1570</v>
      </c>
      <c r="E1132" s="352" t="s">
        <v>11059</v>
      </c>
      <c r="F1132" s="341">
        <v>81.400000000000006</v>
      </c>
      <c r="G1132" s="355" t="s">
        <v>5130</v>
      </c>
      <c r="H1132" s="356" t="s">
        <v>10513</v>
      </c>
      <c r="I1132" s="354" t="s">
        <v>238</v>
      </c>
      <c r="J1132" s="340" t="s">
        <v>11060</v>
      </c>
      <c r="K1132" s="339" t="s">
        <v>71</v>
      </c>
      <c r="L1132" s="357">
        <v>5</v>
      </c>
      <c r="M1132" s="358" t="s">
        <v>11061</v>
      </c>
      <c r="N1132" s="359">
        <v>1000</v>
      </c>
      <c r="O1132" s="360" t="s">
        <v>532</v>
      </c>
      <c r="P1132" s="343" t="s">
        <v>533</v>
      </c>
      <c r="Q1132" s="342" t="s">
        <v>2688</v>
      </c>
      <c r="R1132" s="344">
        <v>35</v>
      </c>
      <c r="S1132" s="345">
        <v>25</v>
      </c>
      <c r="T1132" s="362">
        <v>25</v>
      </c>
      <c r="U1132" s="361">
        <v>81.400000000000006</v>
      </c>
      <c r="V1132" s="346">
        <v>119.62698642669707</v>
      </c>
      <c r="W1132" s="348">
        <v>119.04299095113139</v>
      </c>
      <c r="X1132" s="347">
        <v>60.39</v>
      </c>
      <c r="Y1132" s="357">
        <v>60.79</v>
      </c>
      <c r="Z1132" s="365" t="s">
        <v>3017</v>
      </c>
      <c r="AA1132" s="350">
        <v>148</v>
      </c>
      <c r="AB1132" s="349" t="s">
        <v>2685</v>
      </c>
      <c r="AC1132" s="350">
        <v>0</v>
      </c>
      <c r="AD1132" s="349" t="s">
        <v>2685</v>
      </c>
      <c r="AE1132" s="364">
        <v>0</v>
      </c>
      <c r="AF1132" s="366">
        <v>0</v>
      </c>
      <c r="AG1132" s="363">
        <v>0</v>
      </c>
      <c r="AH1132" s="635" t="s">
        <v>408</v>
      </c>
      <c r="AL1132" s="487" t="s">
        <v>15545</v>
      </c>
      <c r="AM1132" s="477" t="s">
        <v>71</v>
      </c>
      <c r="AN1132" s="637">
        <v>100</v>
      </c>
      <c r="AO1132" s="478">
        <v>-1570</v>
      </c>
      <c r="AP1132" s="463">
        <v>-727</v>
      </c>
      <c r="AQ1132" s="479">
        <v>-843</v>
      </c>
      <c r="AR1132" s="476" t="s">
        <v>17312</v>
      </c>
      <c r="BA1132" s="313" t="s">
        <v>5192</v>
      </c>
    </row>
    <row r="1133" spans="2:53" ht="16.5" customHeight="1">
      <c r="B1133" s="367" t="s">
        <v>11057</v>
      </c>
      <c r="C1133" s="351" t="s">
        <v>11058</v>
      </c>
      <c r="D1133" s="353">
        <v>-1570</v>
      </c>
      <c r="E1133" s="352" t="s">
        <v>11059</v>
      </c>
      <c r="F1133" s="341">
        <v>81.400000000000006</v>
      </c>
      <c r="G1133" s="355" t="s">
        <v>5130</v>
      </c>
      <c r="H1133" s="356" t="s">
        <v>10513</v>
      </c>
      <c r="I1133" s="354" t="s">
        <v>238</v>
      </c>
      <c r="J1133" s="340" t="s">
        <v>11062</v>
      </c>
      <c r="K1133" s="339" t="s">
        <v>71</v>
      </c>
      <c r="L1133" s="357">
        <v>7</v>
      </c>
      <c r="M1133" s="358" t="s">
        <v>11061</v>
      </c>
      <c r="N1133" s="359">
        <v>1000</v>
      </c>
      <c r="O1133" s="360" t="s">
        <v>532</v>
      </c>
      <c r="P1133" s="343" t="s">
        <v>533</v>
      </c>
      <c r="Q1133" s="342" t="s">
        <v>2688</v>
      </c>
      <c r="R1133" s="344">
        <v>35</v>
      </c>
      <c r="S1133" s="345">
        <v>25</v>
      </c>
      <c r="T1133" s="362">
        <v>25</v>
      </c>
      <c r="U1133" s="361">
        <v>81.400000000000006</v>
      </c>
      <c r="V1133" s="346">
        <v>119.62698642669707</v>
      </c>
      <c r="W1133" s="348">
        <v>119.04299095113139</v>
      </c>
      <c r="X1133" s="347">
        <v>60.39</v>
      </c>
      <c r="Y1133" s="357">
        <v>60.79</v>
      </c>
      <c r="Z1133" s="365" t="s">
        <v>3017</v>
      </c>
      <c r="AA1133" s="350">
        <v>148</v>
      </c>
      <c r="AB1133" s="349" t="s">
        <v>2685</v>
      </c>
      <c r="AC1133" s="350">
        <v>0</v>
      </c>
      <c r="AD1133" s="349" t="s">
        <v>2685</v>
      </c>
      <c r="AE1133" s="364">
        <v>0</v>
      </c>
      <c r="AF1133" s="366">
        <v>0</v>
      </c>
      <c r="AG1133" s="363">
        <v>0</v>
      </c>
      <c r="AH1133" s="635" t="s">
        <v>408</v>
      </c>
      <c r="AL1133" s="487" t="s">
        <v>15546</v>
      </c>
      <c r="AM1133" s="477" t="s">
        <v>71</v>
      </c>
      <c r="AN1133" s="637">
        <v>100</v>
      </c>
      <c r="AO1133" s="478">
        <v>-1570</v>
      </c>
      <c r="AP1133" s="463">
        <v>-727</v>
      </c>
      <c r="AQ1133" s="479">
        <v>-843</v>
      </c>
      <c r="AR1133" s="476" t="s">
        <v>17312</v>
      </c>
      <c r="BA1133" s="313" t="s">
        <v>5195</v>
      </c>
    </row>
    <row r="1134" spans="2:53" ht="16.5" customHeight="1">
      <c r="B1134" s="367" t="s">
        <v>11063</v>
      </c>
      <c r="C1134" s="351" t="s">
        <v>11064</v>
      </c>
      <c r="D1134" s="353">
        <v>-1570</v>
      </c>
      <c r="E1134" s="352" t="s">
        <v>408</v>
      </c>
      <c r="F1134" s="341">
        <v>81.39</v>
      </c>
      <c r="G1134" s="355" t="s">
        <v>11065</v>
      </c>
      <c r="H1134" s="356" t="s">
        <v>4626</v>
      </c>
      <c r="I1134" s="354" t="s">
        <v>422</v>
      </c>
      <c r="J1134" s="340" t="s">
        <v>8418</v>
      </c>
      <c r="K1134" s="339" t="s">
        <v>70</v>
      </c>
      <c r="L1134" s="357">
        <v>17</v>
      </c>
      <c r="M1134" s="358" t="s">
        <v>11066</v>
      </c>
      <c r="N1134" s="359">
        <v>1000</v>
      </c>
      <c r="O1134" s="360" t="s">
        <v>454</v>
      </c>
      <c r="P1134" s="343" t="s">
        <v>454</v>
      </c>
      <c r="Q1134" s="342" t="s">
        <v>2688</v>
      </c>
      <c r="R1134" s="344">
        <v>20</v>
      </c>
      <c r="S1134" s="345">
        <v>35</v>
      </c>
      <c r="T1134" s="362">
        <v>30</v>
      </c>
      <c r="U1134" s="361">
        <v>81.39</v>
      </c>
      <c r="V1134" s="346">
        <v>119.62110481586402</v>
      </c>
      <c r="W1134" s="348">
        <v>119.03906987724268</v>
      </c>
      <c r="X1134" s="347">
        <v>60.12</v>
      </c>
      <c r="Y1134" s="357" t="s">
        <v>408</v>
      </c>
      <c r="Z1134" s="365" t="s">
        <v>3017</v>
      </c>
      <c r="AA1134" s="350">
        <v>147</v>
      </c>
      <c r="AB1134" s="349" t="s">
        <v>2685</v>
      </c>
      <c r="AC1134" s="350">
        <v>5</v>
      </c>
      <c r="AD1134" s="349" t="s">
        <v>2685</v>
      </c>
      <c r="AE1134" s="364">
        <v>0</v>
      </c>
      <c r="AF1134" s="366">
        <v>26.452000000000002</v>
      </c>
      <c r="AG1134" s="363">
        <v>0</v>
      </c>
      <c r="AH1134" s="635" t="s">
        <v>10941</v>
      </c>
      <c r="AL1134" s="487" t="s">
        <v>15547</v>
      </c>
      <c r="AM1134" s="477" t="s">
        <v>70</v>
      </c>
      <c r="AN1134" s="637">
        <v>100</v>
      </c>
      <c r="AO1134" s="478">
        <v>-1570</v>
      </c>
      <c r="AP1134" s="463">
        <v>-1570</v>
      </c>
      <c r="AQ1134" s="479">
        <v>0</v>
      </c>
      <c r="AR1134" s="476" t="s">
        <v>17313</v>
      </c>
      <c r="BA1134" s="313" t="s">
        <v>5197</v>
      </c>
    </row>
    <row r="1135" spans="2:53" ht="16.5" customHeight="1">
      <c r="B1135" s="367" t="s">
        <v>11067</v>
      </c>
      <c r="C1135" s="351" t="s">
        <v>11068</v>
      </c>
      <c r="D1135" s="353">
        <v>-1570</v>
      </c>
      <c r="E1135" s="352" t="s">
        <v>408</v>
      </c>
      <c r="F1135" s="341">
        <v>81.38</v>
      </c>
      <c r="G1135" s="355" t="s">
        <v>5198</v>
      </c>
      <c r="H1135" s="356" t="s">
        <v>4590</v>
      </c>
      <c r="I1135" s="354" t="s">
        <v>195</v>
      </c>
      <c r="J1135" s="340" t="s">
        <v>8410</v>
      </c>
      <c r="K1135" s="339" t="s">
        <v>70</v>
      </c>
      <c r="L1135" s="357">
        <v>66</v>
      </c>
      <c r="M1135" s="358" t="s">
        <v>11069</v>
      </c>
      <c r="N1135" s="359">
        <v>100</v>
      </c>
      <c r="O1135" s="360" t="s">
        <v>454</v>
      </c>
      <c r="P1135" s="343" t="s">
        <v>454</v>
      </c>
      <c r="Q1135" s="342" t="s">
        <v>2738</v>
      </c>
      <c r="R1135" s="344">
        <v>25</v>
      </c>
      <c r="S1135" s="345">
        <v>35</v>
      </c>
      <c r="T1135" s="362">
        <v>20</v>
      </c>
      <c r="U1135" s="361">
        <v>81.38</v>
      </c>
      <c r="V1135" s="346">
        <v>119.60937499999999</v>
      </c>
      <c r="W1135" s="348">
        <v>119.03125</v>
      </c>
      <c r="X1135" s="347">
        <v>60.12</v>
      </c>
      <c r="Y1135" s="357" t="s">
        <v>408</v>
      </c>
      <c r="Z1135" s="365" t="s">
        <v>3017</v>
      </c>
      <c r="AA1135" s="350">
        <v>19</v>
      </c>
      <c r="AB1135" s="349" t="s">
        <v>2685</v>
      </c>
      <c r="AC1135" s="350">
        <v>0</v>
      </c>
      <c r="AD1135" s="349" t="s">
        <v>2685</v>
      </c>
      <c r="AE1135" s="364">
        <v>0</v>
      </c>
      <c r="AF1135" s="366">
        <v>0</v>
      </c>
      <c r="AG1135" s="363">
        <v>0</v>
      </c>
      <c r="AH1135" s="635" t="s">
        <v>408</v>
      </c>
      <c r="AL1135" s="487" t="s">
        <v>15548</v>
      </c>
      <c r="AM1135" s="477" t="s">
        <v>70</v>
      </c>
      <c r="AN1135" s="637">
        <v>100</v>
      </c>
      <c r="AO1135" s="478">
        <v>-1570</v>
      </c>
      <c r="AP1135" s="463">
        <v>-1570</v>
      </c>
      <c r="AQ1135" s="479">
        <v>0</v>
      </c>
      <c r="AR1135" s="476" t="s">
        <v>17314</v>
      </c>
      <c r="BA1135" s="313" t="s">
        <v>5199</v>
      </c>
    </row>
    <row r="1136" spans="2:53" ht="16.5" customHeight="1">
      <c r="B1136" s="367" t="s">
        <v>11070</v>
      </c>
      <c r="C1136" s="351" t="s">
        <v>11071</v>
      </c>
      <c r="D1136" s="353">
        <v>-1570</v>
      </c>
      <c r="E1136" s="352" t="s">
        <v>408</v>
      </c>
      <c r="F1136" s="341">
        <v>81.37</v>
      </c>
      <c r="G1136" s="355" t="s">
        <v>11072</v>
      </c>
      <c r="H1136" s="356" t="s">
        <v>4597</v>
      </c>
      <c r="I1136" s="354" t="s">
        <v>238</v>
      </c>
      <c r="J1136" s="340" t="s">
        <v>8307</v>
      </c>
      <c r="K1136" s="339" t="s">
        <v>70</v>
      </c>
      <c r="L1136" s="357">
        <v>6</v>
      </c>
      <c r="M1136" s="358" t="s">
        <v>11073</v>
      </c>
      <c r="N1136" s="359">
        <v>1000</v>
      </c>
      <c r="O1136" s="360" t="s">
        <v>532</v>
      </c>
      <c r="P1136" s="343" t="s">
        <v>533</v>
      </c>
      <c r="Q1136" s="342" t="s">
        <v>2688</v>
      </c>
      <c r="R1136" s="344">
        <v>25</v>
      </c>
      <c r="S1136" s="345">
        <v>35</v>
      </c>
      <c r="T1136" s="362">
        <v>30</v>
      </c>
      <c r="U1136" s="361">
        <v>81.37</v>
      </c>
      <c r="V1136" s="346">
        <v>119.60529376505208</v>
      </c>
      <c r="W1136" s="348">
        <v>119.02852917670138</v>
      </c>
      <c r="X1136" s="347">
        <v>60.12</v>
      </c>
      <c r="Y1136" s="357">
        <v>60.78</v>
      </c>
      <c r="Z1136" s="365" t="s">
        <v>3017</v>
      </c>
      <c r="AA1136" s="350">
        <v>98</v>
      </c>
      <c r="AB1136" s="349" t="s">
        <v>2685</v>
      </c>
      <c r="AC1136" s="350">
        <v>0</v>
      </c>
      <c r="AD1136" s="349" t="s">
        <v>2685</v>
      </c>
      <c r="AE1136" s="364">
        <v>0</v>
      </c>
      <c r="AF1136" s="366">
        <v>16.742000000000001</v>
      </c>
      <c r="AG1136" s="363">
        <v>0</v>
      </c>
      <c r="AH1136" s="635" t="s">
        <v>7882</v>
      </c>
      <c r="AL1136" s="487" t="s">
        <v>15549</v>
      </c>
      <c r="AM1136" s="477" t="s">
        <v>70</v>
      </c>
      <c r="AN1136" s="637">
        <v>100</v>
      </c>
      <c r="AO1136" s="478">
        <v>-1570</v>
      </c>
      <c r="AP1136" s="463">
        <v>-1570</v>
      </c>
      <c r="AQ1136" s="479">
        <v>0</v>
      </c>
      <c r="AR1136" s="476" t="s">
        <v>17314</v>
      </c>
      <c r="BA1136" s="313" t="s">
        <v>5200</v>
      </c>
    </row>
    <row r="1137" spans="2:53" ht="16.5" customHeight="1">
      <c r="B1137" s="367" t="s">
        <v>11070</v>
      </c>
      <c r="C1137" s="351" t="s">
        <v>11071</v>
      </c>
      <c r="D1137" s="353">
        <v>-1570</v>
      </c>
      <c r="E1137" s="352" t="s">
        <v>408</v>
      </c>
      <c r="F1137" s="341">
        <v>81.36</v>
      </c>
      <c r="G1137" s="355" t="s">
        <v>11072</v>
      </c>
      <c r="H1137" s="356" t="s">
        <v>4597</v>
      </c>
      <c r="I1137" s="354" t="s">
        <v>209</v>
      </c>
      <c r="J1137" s="340" t="s">
        <v>11074</v>
      </c>
      <c r="K1137" s="339" t="s">
        <v>70</v>
      </c>
      <c r="L1137" s="357">
        <v>9</v>
      </c>
      <c r="M1137" s="358" t="s">
        <v>4545</v>
      </c>
      <c r="N1137" s="359">
        <v>1000</v>
      </c>
      <c r="O1137" s="360" t="s">
        <v>530</v>
      </c>
      <c r="P1137" s="343" t="s">
        <v>530</v>
      </c>
      <c r="Q1137" s="342" t="s">
        <v>2688</v>
      </c>
      <c r="R1137" s="344">
        <v>20</v>
      </c>
      <c r="S1137" s="345">
        <v>30</v>
      </c>
      <c r="T1137" s="362">
        <v>30</v>
      </c>
      <c r="U1137" s="361">
        <v>81.36</v>
      </c>
      <c r="V1137" s="346">
        <v>119.60289589767912</v>
      </c>
      <c r="W1137" s="348">
        <v>119.02693059845275</v>
      </c>
      <c r="X1137" s="347">
        <v>60.12</v>
      </c>
      <c r="Y1137" s="357" t="s">
        <v>408</v>
      </c>
      <c r="Z1137" s="365" t="s">
        <v>3017</v>
      </c>
      <c r="AA1137" s="350">
        <v>198</v>
      </c>
      <c r="AB1137" s="349" t="s">
        <v>2685</v>
      </c>
      <c r="AC1137" s="350">
        <v>10</v>
      </c>
      <c r="AD1137" s="349" t="s">
        <v>2685</v>
      </c>
      <c r="AE1137" s="364">
        <v>0</v>
      </c>
      <c r="AF1137" s="366">
        <v>0</v>
      </c>
      <c r="AG1137" s="363">
        <v>0</v>
      </c>
      <c r="AH1137" s="635" t="s">
        <v>408</v>
      </c>
      <c r="AL1137" s="487" t="s">
        <v>15550</v>
      </c>
      <c r="AM1137" s="477" t="s">
        <v>70</v>
      </c>
      <c r="AN1137" s="637">
        <v>100</v>
      </c>
      <c r="AO1137" s="478">
        <v>-1570</v>
      </c>
      <c r="AP1137" s="463">
        <v>-1570</v>
      </c>
      <c r="AQ1137" s="479">
        <v>0</v>
      </c>
      <c r="AR1137" s="476" t="s">
        <v>17314</v>
      </c>
      <c r="BA1137" s="313" t="s">
        <v>5203</v>
      </c>
    </row>
    <row r="1138" spans="2:53" ht="16.5" customHeight="1">
      <c r="B1138" s="367" t="s">
        <v>11070</v>
      </c>
      <c r="C1138" s="351" t="s">
        <v>11071</v>
      </c>
      <c r="D1138" s="353">
        <v>-1570</v>
      </c>
      <c r="E1138" s="352" t="s">
        <v>408</v>
      </c>
      <c r="F1138" s="341">
        <v>81.36</v>
      </c>
      <c r="G1138" s="355" t="s">
        <v>11072</v>
      </c>
      <c r="H1138" s="356" t="s">
        <v>4597</v>
      </c>
      <c r="I1138" s="354" t="s">
        <v>209</v>
      </c>
      <c r="J1138" s="340" t="s">
        <v>10769</v>
      </c>
      <c r="K1138" s="339" t="s">
        <v>70</v>
      </c>
      <c r="L1138" s="357">
        <v>21</v>
      </c>
      <c r="M1138" s="358" t="s">
        <v>4545</v>
      </c>
      <c r="N1138" s="359">
        <v>1000</v>
      </c>
      <c r="O1138" s="360" t="s">
        <v>530</v>
      </c>
      <c r="P1138" s="343" t="s">
        <v>530</v>
      </c>
      <c r="Q1138" s="342" t="s">
        <v>2688</v>
      </c>
      <c r="R1138" s="344">
        <v>20</v>
      </c>
      <c r="S1138" s="345">
        <v>30</v>
      </c>
      <c r="T1138" s="362">
        <v>30</v>
      </c>
      <c r="U1138" s="361">
        <v>81.36</v>
      </c>
      <c r="V1138" s="346">
        <v>119.60289589767912</v>
      </c>
      <c r="W1138" s="348">
        <v>119.02693059845275</v>
      </c>
      <c r="X1138" s="347">
        <v>60.12</v>
      </c>
      <c r="Y1138" s="357" t="s">
        <v>408</v>
      </c>
      <c r="Z1138" s="365" t="s">
        <v>3017</v>
      </c>
      <c r="AA1138" s="350">
        <v>198</v>
      </c>
      <c r="AB1138" s="349" t="s">
        <v>2685</v>
      </c>
      <c r="AC1138" s="350">
        <v>10</v>
      </c>
      <c r="AD1138" s="349" t="s">
        <v>2685</v>
      </c>
      <c r="AE1138" s="364">
        <v>0</v>
      </c>
      <c r="AF1138" s="366">
        <v>0</v>
      </c>
      <c r="AG1138" s="363">
        <v>0</v>
      </c>
      <c r="AH1138" s="635" t="s">
        <v>408</v>
      </c>
      <c r="AL1138" s="487" t="s">
        <v>15551</v>
      </c>
      <c r="AM1138" s="477" t="s">
        <v>70</v>
      </c>
      <c r="AN1138" s="637">
        <v>100</v>
      </c>
      <c r="AO1138" s="478">
        <v>-1570</v>
      </c>
      <c r="AP1138" s="463">
        <v>-1570</v>
      </c>
      <c r="AQ1138" s="479">
        <v>0</v>
      </c>
      <c r="AR1138" s="476" t="s">
        <v>17314</v>
      </c>
      <c r="BA1138" s="313" t="s">
        <v>5205</v>
      </c>
    </row>
    <row r="1139" spans="2:53" ht="16.5" customHeight="1">
      <c r="B1139" s="367" t="s">
        <v>11075</v>
      </c>
      <c r="C1139" s="351" t="s">
        <v>11076</v>
      </c>
      <c r="D1139" s="353">
        <v>-1570</v>
      </c>
      <c r="E1139" s="352" t="s">
        <v>408</v>
      </c>
      <c r="F1139" s="341">
        <v>81.349999999999994</v>
      </c>
      <c r="G1139" s="355" t="s">
        <v>11077</v>
      </c>
      <c r="H1139" s="356" t="s">
        <v>18782</v>
      </c>
      <c r="I1139" s="354" t="s">
        <v>215</v>
      </c>
      <c r="J1139" s="340" t="s">
        <v>9074</v>
      </c>
      <c r="K1139" s="339" t="s">
        <v>70</v>
      </c>
      <c r="L1139" s="357">
        <v>7</v>
      </c>
      <c r="M1139" s="358" t="s">
        <v>11078</v>
      </c>
      <c r="N1139" s="359">
        <v>1000</v>
      </c>
      <c r="O1139" s="360" t="s">
        <v>530</v>
      </c>
      <c r="P1139" s="343" t="s">
        <v>531</v>
      </c>
      <c r="Q1139" s="342" t="s">
        <v>2688</v>
      </c>
      <c r="R1139" s="344">
        <v>25</v>
      </c>
      <c r="S1139" s="345">
        <v>38</v>
      </c>
      <c r="T1139" s="362">
        <v>25</v>
      </c>
      <c r="U1139" s="361">
        <v>81.349999999999994</v>
      </c>
      <c r="V1139" s="346">
        <v>119.5928528708134</v>
      </c>
      <c r="W1139" s="348">
        <v>119.02023524720894</v>
      </c>
      <c r="X1139" s="347">
        <v>60.11</v>
      </c>
      <c r="Y1139" s="357">
        <v>60.629999999999995</v>
      </c>
      <c r="Z1139" s="365" t="s">
        <v>3017</v>
      </c>
      <c r="AA1139" s="350">
        <v>121.25</v>
      </c>
      <c r="AB1139" s="349" t="s">
        <v>2685</v>
      </c>
      <c r="AC1139" s="350">
        <v>10</v>
      </c>
      <c r="AD1139" s="349" t="s">
        <v>2685</v>
      </c>
      <c r="AE1139" s="364">
        <v>0</v>
      </c>
      <c r="AF1139" s="366">
        <v>0</v>
      </c>
      <c r="AG1139" s="363">
        <v>0</v>
      </c>
      <c r="AH1139" s="635" t="s">
        <v>408</v>
      </c>
      <c r="AL1139" s="487" t="s">
        <v>15552</v>
      </c>
      <c r="AM1139" s="477" t="s">
        <v>70</v>
      </c>
      <c r="AN1139" s="637">
        <v>100</v>
      </c>
      <c r="AO1139" s="478">
        <v>-1570</v>
      </c>
      <c r="AP1139" s="463">
        <v>-1570</v>
      </c>
      <c r="AQ1139" s="479">
        <v>0</v>
      </c>
      <c r="AR1139" s="476" t="s">
        <v>17315</v>
      </c>
      <c r="BA1139" s="313" t="s">
        <v>5207</v>
      </c>
    </row>
    <row r="1140" spans="2:53" ht="16.5" customHeight="1">
      <c r="B1140" s="367" t="s">
        <v>11075</v>
      </c>
      <c r="C1140" s="351" t="s">
        <v>11076</v>
      </c>
      <c r="D1140" s="353">
        <v>-1570</v>
      </c>
      <c r="E1140" s="352" t="s">
        <v>11077</v>
      </c>
      <c r="F1140" s="341">
        <v>81.349999999999994</v>
      </c>
      <c r="G1140" s="355" t="s">
        <v>18783</v>
      </c>
      <c r="H1140" s="356" t="s">
        <v>10552</v>
      </c>
      <c r="I1140" s="354" t="s">
        <v>238</v>
      </c>
      <c r="J1140" s="340" t="s">
        <v>8216</v>
      </c>
      <c r="K1140" s="339" t="s">
        <v>71</v>
      </c>
      <c r="L1140" s="357">
        <v>14</v>
      </c>
      <c r="M1140" s="358" t="s">
        <v>11079</v>
      </c>
      <c r="N1140" s="359">
        <v>1000</v>
      </c>
      <c r="O1140" s="360" t="s">
        <v>532</v>
      </c>
      <c r="P1140" s="343" t="s">
        <v>533</v>
      </c>
      <c r="Q1140" s="342" t="s">
        <v>2688</v>
      </c>
      <c r="R1140" s="344">
        <v>35</v>
      </c>
      <c r="S1140" s="345">
        <v>25</v>
      </c>
      <c r="T1140" s="362">
        <v>25</v>
      </c>
      <c r="U1140" s="361">
        <v>81.349999999999994</v>
      </c>
      <c r="V1140" s="346">
        <v>119.5926383806173</v>
      </c>
      <c r="W1140" s="348">
        <v>119.02009225374486</v>
      </c>
      <c r="X1140" s="347">
        <v>60.37</v>
      </c>
      <c r="Y1140" s="357">
        <v>60.769999999999996</v>
      </c>
      <c r="Z1140" s="365" t="s">
        <v>3017</v>
      </c>
      <c r="AA1140" s="350">
        <v>148</v>
      </c>
      <c r="AB1140" s="349" t="s">
        <v>2685</v>
      </c>
      <c r="AC1140" s="350">
        <v>0</v>
      </c>
      <c r="AD1140" s="349" t="s">
        <v>2685</v>
      </c>
      <c r="AE1140" s="364">
        <v>0</v>
      </c>
      <c r="AF1140" s="366">
        <v>0</v>
      </c>
      <c r="AG1140" s="363">
        <v>0</v>
      </c>
      <c r="AH1140" s="635" t="s">
        <v>408</v>
      </c>
      <c r="AL1140" s="487" t="s">
        <v>15553</v>
      </c>
      <c r="AM1140" s="477" t="s">
        <v>71</v>
      </c>
      <c r="AN1140" s="637">
        <v>100</v>
      </c>
      <c r="AO1140" s="478">
        <v>-1570</v>
      </c>
      <c r="AP1140" s="463">
        <v>-727</v>
      </c>
      <c r="AQ1140" s="479">
        <v>-843</v>
      </c>
      <c r="AR1140" s="476" t="s">
        <v>17316</v>
      </c>
      <c r="BA1140" s="313" t="s">
        <v>5209</v>
      </c>
    </row>
    <row r="1141" spans="2:53" ht="16.5" customHeight="1">
      <c r="B1141" s="367" t="s">
        <v>11075</v>
      </c>
      <c r="C1141" s="351" t="s">
        <v>11076</v>
      </c>
      <c r="D1141" s="353">
        <v>-1570</v>
      </c>
      <c r="E1141" s="352" t="s">
        <v>11080</v>
      </c>
      <c r="F1141" s="341">
        <v>81.33</v>
      </c>
      <c r="G1141" s="355" t="s">
        <v>18784</v>
      </c>
      <c r="H1141" s="356" t="s">
        <v>10552</v>
      </c>
      <c r="I1141" s="354" t="s">
        <v>478</v>
      </c>
      <c r="J1141" s="340" t="s">
        <v>235</v>
      </c>
      <c r="K1141" s="339" t="s">
        <v>71</v>
      </c>
      <c r="L1141" s="357">
        <v>20</v>
      </c>
      <c r="M1141" s="358" t="s">
        <v>10766</v>
      </c>
      <c r="N1141" s="359">
        <v>1000</v>
      </c>
      <c r="O1141" s="360" t="s">
        <v>532</v>
      </c>
      <c r="P1141" s="343" t="s">
        <v>533</v>
      </c>
      <c r="Q1141" s="342" t="s">
        <v>2688</v>
      </c>
      <c r="R1141" s="344">
        <v>30</v>
      </c>
      <c r="S1141" s="345">
        <v>30</v>
      </c>
      <c r="T1141" s="362">
        <v>25</v>
      </c>
      <c r="U1141" s="361">
        <v>81.33</v>
      </c>
      <c r="V1141" s="346">
        <v>119.58410546708133</v>
      </c>
      <c r="W1141" s="348">
        <v>119.01440364472089</v>
      </c>
      <c r="X1141" s="347">
        <v>60.37</v>
      </c>
      <c r="Y1141" s="357">
        <v>60.769999999999996</v>
      </c>
      <c r="Z1141" s="365" t="s">
        <v>3017</v>
      </c>
      <c r="AA1141" s="350">
        <v>149.25</v>
      </c>
      <c r="AB1141" s="349" t="s">
        <v>2685</v>
      </c>
      <c r="AC1141" s="350">
        <v>10</v>
      </c>
      <c r="AD1141" s="349" t="s">
        <v>2685</v>
      </c>
      <c r="AE1141" s="364">
        <v>0</v>
      </c>
      <c r="AF1141" s="366">
        <v>6.5110000000000001</v>
      </c>
      <c r="AG1141" s="363">
        <v>0</v>
      </c>
      <c r="AH1141" s="635" t="s">
        <v>11081</v>
      </c>
      <c r="AL1141" s="487" t="s">
        <v>7206</v>
      </c>
      <c r="AM1141" s="477" t="s">
        <v>71</v>
      </c>
      <c r="AN1141" s="637">
        <v>100</v>
      </c>
      <c r="AO1141" s="478">
        <v>-1570</v>
      </c>
      <c r="AP1141" s="463">
        <v>-727</v>
      </c>
      <c r="AQ1141" s="479">
        <v>-843</v>
      </c>
      <c r="AR1141" s="476" t="s">
        <v>17317</v>
      </c>
      <c r="BA1141" s="313" t="s">
        <v>5212</v>
      </c>
    </row>
    <row r="1142" spans="2:53" ht="16.5" customHeight="1">
      <c r="B1142" s="367" t="s">
        <v>5066</v>
      </c>
      <c r="C1142" s="351" t="s">
        <v>5067</v>
      </c>
      <c r="D1142" s="353">
        <v>-1570</v>
      </c>
      <c r="E1142" s="352" t="s">
        <v>5180</v>
      </c>
      <c r="F1142" s="341">
        <v>81.319999999999993</v>
      </c>
      <c r="G1142" s="355" t="s">
        <v>5159</v>
      </c>
      <c r="H1142" s="356" t="s">
        <v>18785</v>
      </c>
      <c r="I1142" s="354" t="s">
        <v>238</v>
      </c>
      <c r="J1142" s="340" t="s">
        <v>499</v>
      </c>
      <c r="K1142" s="339" t="s">
        <v>71</v>
      </c>
      <c r="L1142" s="357">
        <v>3</v>
      </c>
      <c r="M1142" s="358" t="s">
        <v>11084</v>
      </c>
      <c r="N1142" s="359">
        <v>1000</v>
      </c>
      <c r="O1142" s="360" t="s">
        <v>532</v>
      </c>
      <c r="P1142" s="343" t="s">
        <v>533</v>
      </c>
      <c r="Q1142" s="342" t="s">
        <v>2688</v>
      </c>
      <c r="R1142" s="344">
        <v>35</v>
      </c>
      <c r="S1142" s="345">
        <v>25</v>
      </c>
      <c r="T1142" s="362">
        <v>25</v>
      </c>
      <c r="U1142" s="361">
        <v>81.319999999999993</v>
      </c>
      <c r="V1142" s="346">
        <v>119.5754643575774</v>
      </c>
      <c r="W1142" s="348">
        <v>119.0086429050516</v>
      </c>
      <c r="X1142" s="347">
        <v>60.36</v>
      </c>
      <c r="Y1142" s="357">
        <v>60.76</v>
      </c>
      <c r="Z1142" s="365" t="s">
        <v>3017</v>
      </c>
      <c r="AA1142" s="350">
        <v>148</v>
      </c>
      <c r="AB1142" s="349" t="s">
        <v>2685</v>
      </c>
      <c r="AC1142" s="350">
        <v>0</v>
      </c>
      <c r="AD1142" s="349" t="s">
        <v>2685</v>
      </c>
      <c r="AE1142" s="364">
        <v>0</v>
      </c>
      <c r="AF1142" s="366">
        <v>0</v>
      </c>
      <c r="AG1142" s="363">
        <v>0</v>
      </c>
      <c r="AH1142" s="635" t="s">
        <v>408</v>
      </c>
      <c r="AL1142" s="487" t="s">
        <v>15554</v>
      </c>
      <c r="AM1142" s="477" t="s">
        <v>71</v>
      </c>
      <c r="AN1142" s="637">
        <v>100</v>
      </c>
      <c r="AO1142" s="478">
        <v>-1570</v>
      </c>
      <c r="AP1142" s="463">
        <v>-727</v>
      </c>
      <c r="AQ1142" s="479">
        <v>-843</v>
      </c>
      <c r="AR1142" s="476" t="s">
        <v>17318</v>
      </c>
      <c r="BA1142" s="313" t="s">
        <v>5214</v>
      </c>
    </row>
    <row r="1143" spans="2:53" ht="16.5" customHeight="1">
      <c r="B1143" s="367" t="s">
        <v>11085</v>
      </c>
      <c r="C1143" s="351" t="s">
        <v>11086</v>
      </c>
      <c r="D1143" s="353">
        <v>-1570</v>
      </c>
      <c r="E1143" s="352" t="s">
        <v>5204</v>
      </c>
      <c r="F1143" s="341">
        <v>81.28</v>
      </c>
      <c r="G1143" s="355" t="s">
        <v>5206</v>
      </c>
      <c r="H1143" s="356" t="s">
        <v>18785</v>
      </c>
      <c r="I1143" s="354" t="s">
        <v>478</v>
      </c>
      <c r="J1143" s="340" t="s">
        <v>300</v>
      </c>
      <c r="K1143" s="339" t="s">
        <v>70</v>
      </c>
      <c r="L1143" s="357">
        <v>53</v>
      </c>
      <c r="M1143" s="358" t="s">
        <v>5061</v>
      </c>
      <c r="N1143" s="359">
        <v>1000</v>
      </c>
      <c r="O1143" s="360" t="s">
        <v>532</v>
      </c>
      <c r="P1143" s="343" t="s">
        <v>533</v>
      </c>
      <c r="Q1143" s="342" t="s">
        <v>2688</v>
      </c>
      <c r="R1143" s="344">
        <v>25</v>
      </c>
      <c r="S1143" s="345">
        <v>35</v>
      </c>
      <c r="T1143" s="362">
        <v>25</v>
      </c>
      <c r="U1143" s="361">
        <v>81.28</v>
      </c>
      <c r="V1143" s="346">
        <v>119.54992238743085</v>
      </c>
      <c r="W1143" s="348">
        <v>118.99306062754806</v>
      </c>
      <c r="X1143" s="347">
        <v>60.09</v>
      </c>
      <c r="Y1143" s="357">
        <v>60.75</v>
      </c>
      <c r="Z1143" s="365" t="s">
        <v>3017</v>
      </c>
      <c r="AA1143" s="350">
        <v>149.25</v>
      </c>
      <c r="AB1143" s="349" t="s">
        <v>2685</v>
      </c>
      <c r="AC1143" s="350">
        <v>10</v>
      </c>
      <c r="AD1143" s="349" t="s">
        <v>2685</v>
      </c>
      <c r="AE1143" s="364">
        <v>0</v>
      </c>
      <c r="AF1143" s="366">
        <v>6.5090000000000003</v>
      </c>
      <c r="AG1143" s="363">
        <v>0</v>
      </c>
      <c r="AH1143" s="635" t="s">
        <v>8123</v>
      </c>
      <c r="AL1143" s="487" t="s">
        <v>15555</v>
      </c>
      <c r="AM1143" s="477" t="s">
        <v>70</v>
      </c>
      <c r="AN1143" s="637">
        <v>100</v>
      </c>
      <c r="AO1143" s="478">
        <v>-1570</v>
      </c>
      <c r="AP1143" s="463">
        <v>-1570</v>
      </c>
      <c r="AQ1143" s="479">
        <v>0</v>
      </c>
      <c r="AR1143" s="476" t="s">
        <v>17319</v>
      </c>
      <c r="BA1143" s="313" t="s">
        <v>5218</v>
      </c>
    </row>
    <row r="1144" spans="2:53" ht="16.5" customHeight="1">
      <c r="B1144" s="367" t="s">
        <v>11085</v>
      </c>
      <c r="C1144" s="351" t="s">
        <v>11086</v>
      </c>
      <c r="D1144" s="353">
        <v>-1570</v>
      </c>
      <c r="E1144" s="352" t="s">
        <v>408</v>
      </c>
      <c r="F1144" s="341">
        <v>81.28</v>
      </c>
      <c r="G1144" s="355" t="s">
        <v>5206</v>
      </c>
      <c r="H1144" s="356" t="s">
        <v>18785</v>
      </c>
      <c r="I1144" s="354" t="s">
        <v>422</v>
      </c>
      <c r="J1144" s="340" t="s">
        <v>11088</v>
      </c>
      <c r="K1144" s="339" t="s">
        <v>70</v>
      </c>
      <c r="L1144" s="357">
        <v>12</v>
      </c>
      <c r="M1144" s="358" t="s">
        <v>11089</v>
      </c>
      <c r="N1144" s="359">
        <v>1000</v>
      </c>
      <c r="O1144" s="360" t="s">
        <v>454</v>
      </c>
      <c r="P1144" s="343" t="s">
        <v>454</v>
      </c>
      <c r="Q1144" s="342" t="s">
        <v>2688</v>
      </c>
      <c r="R1144" s="344">
        <v>20</v>
      </c>
      <c r="S1144" s="345">
        <v>35</v>
      </c>
      <c r="T1144" s="362">
        <v>30</v>
      </c>
      <c r="U1144" s="361">
        <v>81.28</v>
      </c>
      <c r="V1144" s="346">
        <v>119.55028328611898</v>
      </c>
      <c r="W1144" s="348">
        <v>118.99325974406564</v>
      </c>
      <c r="X1144" s="347">
        <v>60.09</v>
      </c>
      <c r="Y1144" s="357" t="s">
        <v>408</v>
      </c>
      <c r="Z1144" s="365" t="s">
        <v>3017</v>
      </c>
      <c r="AA1144" s="350">
        <v>147</v>
      </c>
      <c r="AB1144" s="349" t="s">
        <v>2685</v>
      </c>
      <c r="AC1144" s="350">
        <v>5</v>
      </c>
      <c r="AD1144" s="349" t="s">
        <v>2685</v>
      </c>
      <c r="AE1144" s="364">
        <v>0</v>
      </c>
      <c r="AF1144" s="366">
        <v>26.416</v>
      </c>
      <c r="AG1144" s="363">
        <v>0</v>
      </c>
      <c r="AH1144" s="635" t="s">
        <v>10941</v>
      </c>
      <c r="AL1144" s="487" t="s">
        <v>15556</v>
      </c>
      <c r="AM1144" s="477" t="s">
        <v>70</v>
      </c>
      <c r="AN1144" s="637">
        <v>100</v>
      </c>
      <c r="AO1144" s="478">
        <v>-1570</v>
      </c>
      <c r="AP1144" s="463">
        <v>-1570</v>
      </c>
      <c r="AQ1144" s="479">
        <v>0</v>
      </c>
      <c r="AR1144" s="476" t="s">
        <v>17319</v>
      </c>
      <c r="BA1144" s="313" t="s">
        <v>5219</v>
      </c>
    </row>
    <row r="1145" spans="2:53" ht="16.5" customHeight="1">
      <c r="B1145" s="367" t="s">
        <v>11090</v>
      </c>
      <c r="C1145" s="351" t="s">
        <v>11091</v>
      </c>
      <c r="D1145" s="353">
        <v>-1570</v>
      </c>
      <c r="E1145" s="352" t="s">
        <v>408</v>
      </c>
      <c r="F1145" s="341">
        <v>81.25</v>
      </c>
      <c r="G1145" s="355" t="s">
        <v>5208</v>
      </c>
      <c r="H1145" s="356" t="s">
        <v>18786</v>
      </c>
      <c r="I1145" s="354" t="s">
        <v>195</v>
      </c>
      <c r="J1145" s="340" t="s">
        <v>11093</v>
      </c>
      <c r="K1145" s="339" t="s">
        <v>70</v>
      </c>
      <c r="L1145" s="357">
        <v>17</v>
      </c>
      <c r="M1145" s="358" t="s">
        <v>11094</v>
      </c>
      <c r="N1145" s="359">
        <v>100</v>
      </c>
      <c r="O1145" s="360" t="s">
        <v>454</v>
      </c>
      <c r="P1145" s="343" t="s">
        <v>454</v>
      </c>
      <c r="Q1145" s="342" t="s">
        <v>2738</v>
      </c>
      <c r="R1145" s="344">
        <v>25</v>
      </c>
      <c r="S1145" s="345">
        <v>35</v>
      </c>
      <c r="T1145" s="362">
        <v>20</v>
      </c>
      <c r="U1145" s="361">
        <v>81.25</v>
      </c>
      <c r="V1145" s="346">
        <v>119.53125</v>
      </c>
      <c r="W1145" s="348">
        <v>118.98275862068965</v>
      </c>
      <c r="X1145" s="347">
        <v>60.09</v>
      </c>
      <c r="Y1145" s="357" t="s">
        <v>408</v>
      </c>
      <c r="Z1145" s="365" t="s">
        <v>3017</v>
      </c>
      <c r="AA1145" s="350">
        <v>19</v>
      </c>
      <c r="AB1145" s="349" t="s">
        <v>2685</v>
      </c>
      <c r="AC1145" s="350">
        <v>0</v>
      </c>
      <c r="AD1145" s="349" t="s">
        <v>2685</v>
      </c>
      <c r="AE1145" s="364">
        <v>0</v>
      </c>
      <c r="AF1145" s="366">
        <v>0</v>
      </c>
      <c r="AG1145" s="363">
        <v>0</v>
      </c>
      <c r="AH1145" s="635" t="s">
        <v>408</v>
      </c>
      <c r="AL1145" s="487" t="s">
        <v>15557</v>
      </c>
      <c r="AM1145" s="477" t="s">
        <v>70</v>
      </c>
      <c r="AN1145" s="637">
        <v>100</v>
      </c>
      <c r="AO1145" s="478">
        <v>-1570</v>
      </c>
      <c r="AP1145" s="463">
        <v>-1570</v>
      </c>
      <c r="AQ1145" s="479">
        <v>0</v>
      </c>
      <c r="AR1145" s="476" t="s">
        <v>17320</v>
      </c>
      <c r="BA1145" s="313" t="s">
        <v>5220</v>
      </c>
    </row>
    <row r="1146" spans="2:53" ht="16.5" customHeight="1">
      <c r="B1146" s="367" t="s">
        <v>5087</v>
      </c>
      <c r="C1146" s="351" t="s">
        <v>5088</v>
      </c>
      <c r="D1146" s="353">
        <v>-1570</v>
      </c>
      <c r="E1146" s="352" t="s">
        <v>408</v>
      </c>
      <c r="F1146" s="341">
        <v>81.209999999999994</v>
      </c>
      <c r="G1146" s="355" t="s">
        <v>5196</v>
      </c>
      <c r="H1146" s="356" t="s">
        <v>4774</v>
      </c>
      <c r="I1146" s="354" t="s">
        <v>238</v>
      </c>
      <c r="J1146" s="340" t="s">
        <v>10547</v>
      </c>
      <c r="K1146" s="339" t="s">
        <v>70</v>
      </c>
      <c r="L1146" s="357">
        <v>6</v>
      </c>
      <c r="M1146" s="358" t="s">
        <v>11095</v>
      </c>
      <c r="N1146" s="359">
        <v>1000</v>
      </c>
      <c r="O1146" s="360" t="s">
        <v>532</v>
      </c>
      <c r="P1146" s="343" t="s">
        <v>533</v>
      </c>
      <c r="Q1146" s="342" t="s">
        <v>2688</v>
      </c>
      <c r="R1146" s="344">
        <v>25</v>
      </c>
      <c r="S1146" s="345">
        <v>35</v>
      </c>
      <c r="T1146" s="362">
        <v>30</v>
      </c>
      <c r="U1146" s="361">
        <v>81.209999999999994</v>
      </c>
      <c r="V1146" s="346">
        <v>119.50459368295463</v>
      </c>
      <c r="W1146" s="348">
        <v>118.96805168714739</v>
      </c>
      <c r="X1146" s="347">
        <v>60.07</v>
      </c>
      <c r="Y1146" s="357">
        <v>60.72</v>
      </c>
      <c r="Z1146" s="365" t="s">
        <v>3017</v>
      </c>
      <c r="AA1146" s="350">
        <v>98</v>
      </c>
      <c r="AB1146" s="349" t="s">
        <v>2685</v>
      </c>
      <c r="AC1146" s="350">
        <v>0</v>
      </c>
      <c r="AD1146" s="349" t="s">
        <v>2685</v>
      </c>
      <c r="AE1146" s="364">
        <v>0</v>
      </c>
      <c r="AF1146" s="366">
        <v>16.728999999999999</v>
      </c>
      <c r="AG1146" s="363">
        <v>0</v>
      </c>
      <c r="AH1146" s="635" t="s">
        <v>7882</v>
      </c>
      <c r="AL1146" s="487" t="s">
        <v>15558</v>
      </c>
      <c r="AM1146" s="477" t="s">
        <v>70</v>
      </c>
      <c r="AN1146" s="637">
        <v>100</v>
      </c>
      <c r="AO1146" s="478">
        <v>-1570</v>
      </c>
      <c r="AP1146" s="463">
        <v>-1570</v>
      </c>
      <c r="AQ1146" s="479">
        <v>0</v>
      </c>
      <c r="AR1146" s="476" t="s">
        <v>17321</v>
      </c>
      <c r="BA1146" s="313" t="s">
        <v>5221</v>
      </c>
    </row>
    <row r="1147" spans="2:53" ht="16.5" customHeight="1">
      <c r="B1147" s="367" t="s">
        <v>5087</v>
      </c>
      <c r="C1147" s="351" t="s">
        <v>5088</v>
      </c>
      <c r="D1147" s="353">
        <v>-1570</v>
      </c>
      <c r="E1147" s="352" t="s">
        <v>408</v>
      </c>
      <c r="F1147" s="341">
        <v>81.209999999999994</v>
      </c>
      <c r="G1147" s="355" t="s">
        <v>5196</v>
      </c>
      <c r="H1147" s="356" t="s">
        <v>4774</v>
      </c>
      <c r="I1147" s="354" t="s">
        <v>238</v>
      </c>
      <c r="J1147" s="340" t="s">
        <v>8283</v>
      </c>
      <c r="K1147" s="339" t="s">
        <v>70</v>
      </c>
      <c r="L1147" s="357">
        <v>8</v>
      </c>
      <c r="M1147" s="358" t="s">
        <v>11095</v>
      </c>
      <c r="N1147" s="359">
        <v>1000</v>
      </c>
      <c r="O1147" s="360" t="s">
        <v>532</v>
      </c>
      <c r="P1147" s="343" t="s">
        <v>533</v>
      </c>
      <c r="Q1147" s="342" t="s">
        <v>2688</v>
      </c>
      <c r="R1147" s="344">
        <v>25</v>
      </c>
      <c r="S1147" s="345">
        <v>35</v>
      </c>
      <c r="T1147" s="362">
        <v>30</v>
      </c>
      <c r="U1147" s="361">
        <v>81.209999999999994</v>
      </c>
      <c r="V1147" s="346">
        <v>119.50459368295463</v>
      </c>
      <c r="W1147" s="348">
        <v>118.96805168714739</v>
      </c>
      <c r="X1147" s="347">
        <v>60.07</v>
      </c>
      <c r="Y1147" s="357">
        <v>60.72</v>
      </c>
      <c r="Z1147" s="365" t="s">
        <v>3017</v>
      </c>
      <c r="AA1147" s="350">
        <v>98</v>
      </c>
      <c r="AB1147" s="349" t="s">
        <v>2685</v>
      </c>
      <c r="AC1147" s="350">
        <v>0</v>
      </c>
      <c r="AD1147" s="349" t="s">
        <v>2685</v>
      </c>
      <c r="AE1147" s="364">
        <v>0</v>
      </c>
      <c r="AF1147" s="366">
        <v>16.728999999999999</v>
      </c>
      <c r="AG1147" s="363">
        <v>0</v>
      </c>
      <c r="AH1147" s="635" t="s">
        <v>7882</v>
      </c>
      <c r="AL1147" s="487" t="s">
        <v>15559</v>
      </c>
      <c r="AM1147" s="477" t="s">
        <v>70</v>
      </c>
      <c r="AN1147" s="637">
        <v>100</v>
      </c>
      <c r="AO1147" s="478">
        <v>-1570</v>
      </c>
      <c r="AP1147" s="463">
        <v>-1570</v>
      </c>
      <c r="AQ1147" s="479">
        <v>0</v>
      </c>
      <c r="AR1147" s="476" t="s">
        <v>17321</v>
      </c>
      <c r="BA1147" s="313" t="s">
        <v>5224</v>
      </c>
    </row>
    <row r="1148" spans="2:53" ht="16.5" customHeight="1">
      <c r="B1148" s="367" t="s">
        <v>18228</v>
      </c>
      <c r="C1148" s="351" t="s">
        <v>18229</v>
      </c>
      <c r="D1148" s="353">
        <v>-1570</v>
      </c>
      <c r="E1148" s="352" t="s">
        <v>408</v>
      </c>
      <c r="F1148" s="341">
        <v>81.19</v>
      </c>
      <c r="G1148" s="355" t="s">
        <v>11327</v>
      </c>
      <c r="H1148" s="356" t="s">
        <v>10574</v>
      </c>
      <c r="I1148" s="354" t="s">
        <v>209</v>
      </c>
      <c r="J1148" s="340" t="s">
        <v>11082</v>
      </c>
      <c r="K1148" s="339" t="s">
        <v>71</v>
      </c>
      <c r="L1148" s="357">
        <v>10</v>
      </c>
      <c r="M1148" s="358" t="s">
        <v>6219</v>
      </c>
      <c r="N1148" s="359">
        <v>1000</v>
      </c>
      <c r="O1148" s="360" t="s">
        <v>530</v>
      </c>
      <c r="P1148" s="343" t="s">
        <v>530</v>
      </c>
      <c r="Q1148" s="342" t="s">
        <v>2688</v>
      </c>
      <c r="R1148" s="344">
        <v>30</v>
      </c>
      <c r="S1148" s="345">
        <v>25</v>
      </c>
      <c r="T1148" s="362">
        <v>25</v>
      </c>
      <c r="U1148" s="361">
        <v>81.19</v>
      </c>
      <c r="V1148" s="346">
        <v>119.49596201871272</v>
      </c>
      <c r="W1148" s="348">
        <v>118.96328938963461</v>
      </c>
      <c r="X1148" s="347">
        <v>60.32</v>
      </c>
      <c r="Y1148" s="357" t="s">
        <v>408</v>
      </c>
      <c r="Z1148" s="365" t="s">
        <v>3017</v>
      </c>
      <c r="AA1148" s="350">
        <v>198</v>
      </c>
      <c r="AB1148" s="349" t="s">
        <v>2685</v>
      </c>
      <c r="AC1148" s="350">
        <v>10</v>
      </c>
      <c r="AD1148" s="349" t="s">
        <v>2685</v>
      </c>
      <c r="AE1148" s="364">
        <v>0</v>
      </c>
      <c r="AF1148" s="366">
        <v>0</v>
      </c>
      <c r="AG1148" s="363">
        <v>0</v>
      </c>
      <c r="AH1148" s="635" t="s">
        <v>408</v>
      </c>
      <c r="AL1148" s="487" t="s">
        <v>15560</v>
      </c>
      <c r="AM1148" s="477" t="s">
        <v>71</v>
      </c>
      <c r="AN1148" s="637">
        <v>100</v>
      </c>
      <c r="AO1148" s="478">
        <v>-1570</v>
      </c>
      <c r="AP1148" s="463">
        <v>-726</v>
      </c>
      <c r="AQ1148" s="479">
        <v>-844</v>
      </c>
      <c r="AR1148" s="476" t="s">
        <v>17322</v>
      </c>
      <c r="BA1148" s="313" t="s">
        <v>5226</v>
      </c>
    </row>
    <row r="1149" spans="2:53" ht="16.5" customHeight="1">
      <c r="B1149" s="367" t="s">
        <v>11096</v>
      </c>
      <c r="C1149" s="351" t="s">
        <v>11097</v>
      </c>
      <c r="D1149" s="353">
        <v>-1570</v>
      </c>
      <c r="E1149" s="352" t="s">
        <v>408</v>
      </c>
      <c r="F1149" s="341">
        <v>81.180000000000007</v>
      </c>
      <c r="G1149" s="355" t="s">
        <v>11098</v>
      </c>
      <c r="H1149" s="356" t="s">
        <v>10546</v>
      </c>
      <c r="I1149" s="354" t="s">
        <v>425</v>
      </c>
      <c r="J1149" s="340" t="s">
        <v>11100</v>
      </c>
      <c r="K1149" s="339" t="s">
        <v>70</v>
      </c>
      <c r="L1149" s="357">
        <v>36</v>
      </c>
      <c r="M1149" s="358" t="s">
        <v>11101</v>
      </c>
      <c r="N1149" s="359">
        <v>1000</v>
      </c>
      <c r="O1149" s="360" t="s">
        <v>454</v>
      </c>
      <c r="P1149" s="343" t="s">
        <v>454</v>
      </c>
      <c r="Q1149" s="342" t="s">
        <v>2738</v>
      </c>
      <c r="R1149" s="344">
        <v>25</v>
      </c>
      <c r="S1149" s="345">
        <v>35</v>
      </c>
      <c r="T1149" s="362">
        <v>20</v>
      </c>
      <c r="U1149" s="361">
        <v>81.180000000000007</v>
      </c>
      <c r="V1149" s="346">
        <v>119.48594674556213</v>
      </c>
      <c r="W1149" s="348">
        <v>118.95776372168946</v>
      </c>
      <c r="X1149" s="347">
        <v>60.06</v>
      </c>
      <c r="Y1149" s="357" t="s">
        <v>408</v>
      </c>
      <c r="Z1149" s="365" t="s">
        <v>3017</v>
      </c>
      <c r="AA1149" s="350">
        <v>196</v>
      </c>
      <c r="AB1149" s="349" t="s">
        <v>2685</v>
      </c>
      <c r="AC1149" s="350">
        <v>10</v>
      </c>
      <c r="AD1149" s="349" t="s">
        <v>2685</v>
      </c>
      <c r="AE1149" s="364">
        <v>0</v>
      </c>
      <c r="AF1149" s="366">
        <v>36.530999999999999</v>
      </c>
      <c r="AG1149" s="363">
        <v>0</v>
      </c>
      <c r="AH1149" s="635" t="s">
        <v>10711</v>
      </c>
      <c r="AL1149" s="487" t="s">
        <v>15561</v>
      </c>
      <c r="AM1149" s="477" t="s">
        <v>70</v>
      </c>
      <c r="AN1149" s="637">
        <v>100</v>
      </c>
      <c r="AO1149" s="478">
        <v>-1570</v>
      </c>
      <c r="AP1149" s="463">
        <v>-1570</v>
      </c>
      <c r="AQ1149" s="479">
        <v>0</v>
      </c>
      <c r="AR1149" s="476" t="s">
        <v>17323</v>
      </c>
      <c r="BA1149" s="313" t="s">
        <v>5227</v>
      </c>
    </row>
    <row r="1150" spans="2:53" ht="16.5" customHeight="1">
      <c r="B1150" s="367" t="s">
        <v>5097</v>
      </c>
      <c r="C1150" s="351" t="s">
        <v>5098</v>
      </c>
      <c r="D1150" s="353">
        <v>-1570</v>
      </c>
      <c r="E1150" s="352" t="s">
        <v>408</v>
      </c>
      <c r="F1150" s="341">
        <v>81.16</v>
      </c>
      <c r="G1150" s="355" t="s">
        <v>11102</v>
      </c>
      <c r="H1150" s="356" t="s">
        <v>18787</v>
      </c>
      <c r="I1150" s="354" t="s">
        <v>479</v>
      </c>
      <c r="J1150" s="340" t="s">
        <v>8835</v>
      </c>
      <c r="K1150" s="339" t="s">
        <v>70</v>
      </c>
      <c r="L1150" s="357">
        <v>9</v>
      </c>
      <c r="M1150" s="358" t="s">
        <v>11104</v>
      </c>
      <c r="N1150" s="359">
        <v>500</v>
      </c>
      <c r="O1150" s="360" t="s">
        <v>454</v>
      </c>
      <c r="P1150" s="343" t="s">
        <v>454</v>
      </c>
      <c r="Q1150" s="342" t="s">
        <v>2688</v>
      </c>
      <c r="R1150" s="344">
        <v>20</v>
      </c>
      <c r="S1150" s="345">
        <v>30</v>
      </c>
      <c r="T1150" s="362">
        <v>30</v>
      </c>
      <c r="U1150" s="361">
        <v>81.16</v>
      </c>
      <c r="V1150" s="346">
        <v>119.47408536585365</v>
      </c>
      <c r="W1150" s="348">
        <v>118.95121951219512</v>
      </c>
      <c r="X1150" s="347">
        <v>60.06</v>
      </c>
      <c r="Y1150" s="357" t="s">
        <v>408</v>
      </c>
      <c r="Z1150" s="365" t="s">
        <v>3017</v>
      </c>
      <c r="AA1150" s="350">
        <v>97</v>
      </c>
      <c r="AB1150" s="349" t="s">
        <v>2685</v>
      </c>
      <c r="AC1150" s="350">
        <v>2</v>
      </c>
      <c r="AD1150" s="349" t="s">
        <v>2685</v>
      </c>
      <c r="AE1150" s="364">
        <v>0</v>
      </c>
      <c r="AF1150" s="366">
        <v>8.1159999999999997</v>
      </c>
      <c r="AG1150" s="363">
        <v>0</v>
      </c>
      <c r="AH1150" s="635" t="s">
        <v>10953</v>
      </c>
      <c r="AL1150" s="487" t="s">
        <v>15562</v>
      </c>
      <c r="AM1150" s="477" t="s">
        <v>70</v>
      </c>
      <c r="AN1150" s="637">
        <v>100</v>
      </c>
      <c r="AO1150" s="478">
        <v>-1570</v>
      </c>
      <c r="AP1150" s="463">
        <v>-1570</v>
      </c>
      <c r="AQ1150" s="479">
        <v>0</v>
      </c>
      <c r="AR1150" s="476" t="s">
        <v>17324</v>
      </c>
      <c r="BA1150" s="313" t="s">
        <v>5230</v>
      </c>
    </row>
    <row r="1151" spans="2:53" ht="16.5" customHeight="1">
      <c r="B1151" s="367" t="s">
        <v>11105</v>
      </c>
      <c r="C1151" s="351" t="s">
        <v>11106</v>
      </c>
      <c r="D1151" s="353">
        <v>-1570</v>
      </c>
      <c r="E1151" s="352" t="s">
        <v>11107</v>
      </c>
      <c r="F1151" s="341">
        <v>81.13</v>
      </c>
      <c r="G1151" s="355" t="s">
        <v>11054</v>
      </c>
      <c r="H1151" s="356" t="s">
        <v>10561</v>
      </c>
      <c r="I1151" s="354" t="s">
        <v>195</v>
      </c>
      <c r="J1151" s="340" t="s">
        <v>9141</v>
      </c>
      <c r="K1151" s="339" t="s">
        <v>71</v>
      </c>
      <c r="L1151" s="357">
        <v>12</v>
      </c>
      <c r="M1151" s="358" t="s">
        <v>11108</v>
      </c>
      <c r="N1151" s="359">
        <v>100</v>
      </c>
      <c r="O1151" s="360" t="s">
        <v>454</v>
      </c>
      <c r="P1151" s="343" t="s">
        <v>454</v>
      </c>
      <c r="Q1151" s="342" t="s">
        <v>2738</v>
      </c>
      <c r="R1151" s="344">
        <v>35</v>
      </c>
      <c r="S1151" s="345">
        <v>25</v>
      </c>
      <c r="T1151" s="362">
        <v>20</v>
      </c>
      <c r="U1151" s="361">
        <v>81.13</v>
      </c>
      <c r="V1151" s="346">
        <v>119.453125</v>
      </c>
      <c r="W1151" s="348">
        <v>118.93965517241379</v>
      </c>
      <c r="X1151" s="347">
        <v>60.3</v>
      </c>
      <c r="Y1151" s="357" t="s">
        <v>408</v>
      </c>
      <c r="Z1151" s="365" t="s">
        <v>3017</v>
      </c>
      <c r="AA1151" s="350">
        <v>19</v>
      </c>
      <c r="AB1151" s="349" t="s">
        <v>2685</v>
      </c>
      <c r="AC1151" s="350">
        <v>0</v>
      </c>
      <c r="AD1151" s="349" t="s">
        <v>2685</v>
      </c>
      <c r="AE1151" s="364">
        <v>0</v>
      </c>
      <c r="AF1151" s="366">
        <v>0</v>
      </c>
      <c r="AG1151" s="363">
        <v>0</v>
      </c>
      <c r="AH1151" s="635" t="s">
        <v>408</v>
      </c>
      <c r="AL1151" s="487" t="s">
        <v>15563</v>
      </c>
      <c r="AM1151" s="477" t="s">
        <v>71</v>
      </c>
      <c r="AN1151" s="637">
        <v>100</v>
      </c>
      <c r="AO1151" s="478">
        <v>-1570</v>
      </c>
      <c r="AP1151" s="463">
        <v>-726</v>
      </c>
      <c r="AQ1151" s="479">
        <v>-844</v>
      </c>
      <c r="AR1151" s="476" t="s">
        <v>17325</v>
      </c>
      <c r="BA1151" s="313" t="s">
        <v>5231</v>
      </c>
    </row>
    <row r="1152" spans="2:53" ht="16.5" customHeight="1">
      <c r="B1152" s="367" t="s">
        <v>11109</v>
      </c>
      <c r="C1152" s="351" t="s">
        <v>11110</v>
      </c>
      <c r="D1152" s="353">
        <v>-1570</v>
      </c>
      <c r="E1152" s="352" t="s">
        <v>408</v>
      </c>
      <c r="F1152" s="341">
        <v>81.08</v>
      </c>
      <c r="G1152" s="355" t="s">
        <v>11111</v>
      </c>
      <c r="H1152" s="356" t="s">
        <v>10597</v>
      </c>
      <c r="I1152" s="354" t="s">
        <v>478</v>
      </c>
      <c r="J1152" s="340" t="s">
        <v>11112</v>
      </c>
      <c r="K1152" s="339" t="s">
        <v>70</v>
      </c>
      <c r="L1152" s="357">
        <v>18</v>
      </c>
      <c r="M1152" s="358" t="s">
        <v>11113</v>
      </c>
      <c r="N1152" s="359">
        <v>1000</v>
      </c>
      <c r="O1152" s="360" t="s">
        <v>532</v>
      </c>
      <c r="P1152" s="343" t="s">
        <v>533</v>
      </c>
      <c r="Q1152" s="342" t="s">
        <v>2688</v>
      </c>
      <c r="R1152" s="344">
        <v>25</v>
      </c>
      <c r="S1152" s="345">
        <v>35</v>
      </c>
      <c r="T1152" s="362">
        <v>25</v>
      </c>
      <c r="U1152" s="361">
        <v>81.08</v>
      </c>
      <c r="V1152" s="346">
        <v>119.42668656843507</v>
      </c>
      <c r="W1152" s="348">
        <v>118.92506845155039</v>
      </c>
      <c r="X1152" s="347">
        <v>60.04</v>
      </c>
      <c r="Y1152" s="357">
        <v>60.669999999999995</v>
      </c>
      <c r="Z1152" s="365" t="s">
        <v>3017</v>
      </c>
      <c r="AA1152" s="350">
        <v>149.25</v>
      </c>
      <c r="AB1152" s="349" t="s">
        <v>2685</v>
      </c>
      <c r="AC1152" s="350">
        <v>10</v>
      </c>
      <c r="AD1152" s="349" t="s">
        <v>2685</v>
      </c>
      <c r="AE1152" s="364">
        <v>0</v>
      </c>
      <c r="AF1152" s="366">
        <v>6.5</v>
      </c>
      <c r="AG1152" s="363">
        <v>0</v>
      </c>
      <c r="AH1152" s="635" t="s">
        <v>8123</v>
      </c>
      <c r="AL1152" s="487" t="s">
        <v>15564</v>
      </c>
      <c r="AM1152" s="477" t="s">
        <v>70</v>
      </c>
      <c r="AN1152" s="637">
        <v>100</v>
      </c>
      <c r="AO1152" s="478">
        <v>-1570</v>
      </c>
      <c r="AP1152" s="463">
        <v>-1570</v>
      </c>
      <c r="AQ1152" s="479">
        <v>0</v>
      </c>
      <c r="AR1152" s="476" t="s">
        <v>17326</v>
      </c>
      <c r="BA1152" s="313" t="s">
        <v>5233</v>
      </c>
    </row>
    <row r="1153" spans="2:53" ht="16.5" customHeight="1">
      <c r="B1153" s="367" t="s">
        <v>5106</v>
      </c>
      <c r="C1153" s="351" t="s">
        <v>5107</v>
      </c>
      <c r="D1153" s="353">
        <v>-1570</v>
      </c>
      <c r="E1153" s="352" t="s">
        <v>408</v>
      </c>
      <c r="F1153" s="341">
        <v>81.05</v>
      </c>
      <c r="G1153" s="355" t="s">
        <v>11114</v>
      </c>
      <c r="H1153" s="356" t="s">
        <v>18788</v>
      </c>
      <c r="I1153" s="354" t="s">
        <v>478</v>
      </c>
      <c r="J1153" s="340" t="s">
        <v>11115</v>
      </c>
      <c r="K1153" s="339" t="s">
        <v>70</v>
      </c>
      <c r="L1153" s="357">
        <v>36</v>
      </c>
      <c r="M1153" s="358" t="s">
        <v>11116</v>
      </c>
      <c r="N1153" s="359">
        <v>1000</v>
      </c>
      <c r="O1153" s="360" t="s">
        <v>532</v>
      </c>
      <c r="P1153" s="343" t="s">
        <v>533</v>
      </c>
      <c r="Q1153" s="342" t="s">
        <v>2688</v>
      </c>
      <c r="R1153" s="344">
        <v>25</v>
      </c>
      <c r="S1153" s="345">
        <v>35</v>
      </c>
      <c r="T1153" s="362">
        <v>25</v>
      </c>
      <c r="U1153" s="361">
        <v>81.05</v>
      </c>
      <c r="V1153" s="346">
        <v>119.40894807933721</v>
      </c>
      <c r="W1153" s="348">
        <v>118.91528169894467</v>
      </c>
      <c r="X1153" s="347">
        <v>60.03</v>
      </c>
      <c r="Y1153" s="357">
        <v>60.66</v>
      </c>
      <c r="Z1153" s="365" t="s">
        <v>3017</v>
      </c>
      <c r="AA1153" s="350">
        <v>149.25</v>
      </c>
      <c r="AB1153" s="349" t="s">
        <v>2685</v>
      </c>
      <c r="AC1153" s="350">
        <v>10</v>
      </c>
      <c r="AD1153" s="349" t="s">
        <v>2685</v>
      </c>
      <c r="AE1153" s="364">
        <v>0</v>
      </c>
      <c r="AF1153" s="366">
        <v>6.4989999999999997</v>
      </c>
      <c r="AG1153" s="363">
        <v>0</v>
      </c>
      <c r="AH1153" s="635" t="s">
        <v>8123</v>
      </c>
      <c r="AL1153" s="487" t="s">
        <v>15565</v>
      </c>
      <c r="AM1153" s="477" t="s">
        <v>70</v>
      </c>
      <c r="AN1153" s="637">
        <v>100</v>
      </c>
      <c r="AO1153" s="478">
        <v>-1570</v>
      </c>
      <c r="AP1153" s="463">
        <v>-1570</v>
      </c>
      <c r="AQ1153" s="479">
        <v>0</v>
      </c>
      <c r="AR1153" s="476" t="s">
        <v>17327</v>
      </c>
      <c r="BA1153" s="313" t="s">
        <v>5235</v>
      </c>
    </row>
    <row r="1154" spans="2:53" ht="16.5" customHeight="1">
      <c r="B1154" s="367" t="s">
        <v>11117</v>
      </c>
      <c r="C1154" s="351" t="s">
        <v>11118</v>
      </c>
      <c r="D1154" s="353">
        <v>-1570</v>
      </c>
      <c r="E1154" s="352" t="s">
        <v>408</v>
      </c>
      <c r="F1154" s="341">
        <v>81.040000000000006</v>
      </c>
      <c r="G1154" s="355" t="s">
        <v>11119</v>
      </c>
      <c r="H1154" s="356" t="s">
        <v>18788</v>
      </c>
      <c r="I1154" s="354" t="s">
        <v>238</v>
      </c>
      <c r="J1154" s="340" t="s">
        <v>11120</v>
      </c>
      <c r="K1154" s="339" t="s">
        <v>70</v>
      </c>
      <c r="L1154" s="357">
        <v>5</v>
      </c>
      <c r="M1154" s="358" t="s">
        <v>11121</v>
      </c>
      <c r="N1154" s="359">
        <v>1000</v>
      </c>
      <c r="O1154" s="360" t="s">
        <v>532</v>
      </c>
      <c r="P1154" s="343" t="s">
        <v>533</v>
      </c>
      <c r="Q1154" s="342" t="s">
        <v>2688</v>
      </c>
      <c r="R1154" s="344">
        <v>25</v>
      </c>
      <c r="S1154" s="345">
        <v>35</v>
      </c>
      <c r="T1154" s="362">
        <v>30</v>
      </c>
      <c r="U1154" s="361">
        <v>81.040000000000006</v>
      </c>
      <c r="V1154" s="346">
        <v>119.40172198432427</v>
      </c>
      <c r="W1154" s="348">
        <v>118.91129488790304</v>
      </c>
      <c r="X1154" s="347">
        <v>60.02</v>
      </c>
      <c r="Y1154" s="357">
        <v>60.66</v>
      </c>
      <c r="Z1154" s="365" t="s">
        <v>3017</v>
      </c>
      <c r="AA1154" s="350">
        <v>98</v>
      </c>
      <c r="AB1154" s="349" t="s">
        <v>2685</v>
      </c>
      <c r="AC1154" s="350">
        <v>0</v>
      </c>
      <c r="AD1154" s="349" t="s">
        <v>2685</v>
      </c>
      <c r="AE1154" s="364">
        <v>0</v>
      </c>
      <c r="AF1154" s="366">
        <v>16.716999999999999</v>
      </c>
      <c r="AG1154" s="363">
        <v>0</v>
      </c>
      <c r="AH1154" s="635" t="s">
        <v>7882</v>
      </c>
      <c r="AL1154" s="487" t="s">
        <v>15566</v>
      </c>
      <c r="AM1154" s="477" t="s">
        <v>70</v>
      </c>
      <c r="AN1154" s="637">
        <v>100</v>
      </c>
      <c r="AO1154" s="478">
        <v>-1570</v>
      </c>
      <c r="AP1154" s="463">
        <v>-1570</v>
      </c>
      <c r="AQ1154" s="479">
        <v>0</v>
      </c>
      <c r="AR1154" s="476" t="s">
        <v>17327</v>
      </c>
      <c r="BA1154" s="313" t="s">
        <v>5239</v>
      </c>
    </row>
    <row r="1155" spans="2:53" ht="16.5" customHeight="1">
      <c r="B1155" s="367" t="s">
        <v>5075</v>
      </c>
      <c r="C1155" s="351" t="s">
        <v>5076</v>
      </c>
      <c r="D1155" s="353">
        <v>-1570</v>
      </c>
      <c r="E1155" s="352" t="s">
        <v>11122</v>
      </c>
      <c r="F1155" s="341">
        <v>81</v>
      </c>
      <c r="G1155" s="355" t="s">
        <v>5204</v>
      </c>
      <c r="H1155" s="356" t="s">
        <v>18789</v>
      </c>
      <c r="I1155" s="354" t="s">
        <v>215</v>
      </c>
      <c r="J1155" s="340" t="s">
        <v>8217</v>
      </c>
      <c r="K1155" s="339" t="s">
        <v>71</v>
      </c>
      <c r="L1155" s="357">
        <v>7</v>
      </c>
      <c r="M1155" s="358" t="s">
        <v>11124</v>
      </c>
      <c r="N1155" s="359">
        <v>1000</v>
      </c>
      <c r="O1155" s="360" t="s">
        <v>530</v>
      </c>
      <c r="P1155" s="343" t="s">
        <v>531</v>
      </c>
      <c r="Q1155" s="342" t="s">
        <v>2688</v>
      </c>
      <c r="R1155" s="344">
        <v>38</v>
      </c>
      <c r="S1155" s="345">
        <v>25</v>
      </c>
      <c r="T1155" s="362">
        <v>25</v>
      </c>
      <c r="U1155" s="361">
        <v>81</v>
      </c>
      <c r="V1155" s="346">
        <v>119.37790932328804</v>
      </c>
      <c r="W1155" s="348">
        <v>118.89815686802099</v>
      </c>
      <c r="X1155" s="347">
        <v>60.26</v>
      </c>
      <c r="Y1155" s="357">
        <v>60.78</v>
      </c>
      <c r="Z1155" s="365" t="s">
        <v>3017</v>
      </c>
      <c r="AA1155" s="350">
        <v>121.25</v>
      </c>
      <c r="AB1155" s="349" t="s">
        <v>2685</v>
      </c>
      <c r="AC1155" s="350">
        <v>10</v>
      </c>
      <c r="AD1155" s="349" t="s">
        <v>2685</v>
      </c>
      <c r="AE1155" s="364">
        <v>0</v>
      </c>
      <c r="AF1155" s="366">
        <v>0</v>
      </c>
      <c r="AG1155" s="363">
        <v>0</v>
      </c>
      <c r="AH1155" s="635" t="s">
        <v>8002</v>
      </c>
      <c r="AL1155" s="487" t="s">
        <v>15567</v>
      </c>
      <c r="AM1155" s="477" t="s">
        <v>71</v>
      </c>
      <c r="AN1155" s="637">
        <v>100</v>
      </c>
      <c r="AO1155" s="478">
        <v>-1570</v>
      </c>
      <c r="AP1155" s="463">
        <v>-725</v>
      </c>
      <c r="AQ1155" s="479">
        <v>-845</v>
      </c>
      <c r="AR1155" s="476" t="s">
        <v>17328</v>
      </c>
      <c r="BA1155" s="313" t="s">
        <v>5241</v>
      </c>
    </row>
    <row r="1156" spans="2:53" ht="16.5" customHeight="1">
      <c r="B1156" s="367" t="s">
        <v>5116</v>
      </c>
      <c r="C1156" s="351" t="s">
        <v>5117</v>
      </c>
      <c r="D1156" s="353">
        <v>-1570</v>
      </c>
      <c r="E1156" s="352" t="s">
        <v>11125</v>
      </c>
      <c r="F1156" s="341">
        <v>81</v>
      </c>
      <c r="G1156" s="355" t="s">
        <v>5100</v>
      </c>
      <c r="H1156" s="356" t="s">
        <v>18789</v>
      </c>
      <c r="I1156" s="354" t="s">
        <v>195</v>
      </c>
      <c r="J1156" s="340" t="s">
        <v>8696</v>
      </c>
      <c r="K1156" s="339" t="s">
        <v>71</v>
      </c>
      <c r="L1156" s="357">
        <v>48</v>
      </c>
      <c r="M1156" s="358" t="s">
        <v>11126</v>
      </c>
      <c r="N1156" s="359">
        <v>100</v>
      </c>
      <c r="O1156" s="360" t="s">
        <v>454</v>
      </c>
      <c r="P1156" s="343" t="s">
        <v>454</v>
      </c>
      <c r="Q1156" s="342" t="s">
        <v>2738</v>
      </c>
      <c r="R1156" s="344">
        <v>35</v>
      </c>
      <c r="S1156" s="345">
        <v>25</v>
      </c>
      <c r="T1156" s="362">
        <v>20</v>
      </c>
      <c r="U1156" s="361">
        <v>81</v>
      </c>
      <c r="V1156" s="346">
        <v>119.375</v>
      </c>
      <c r="W1156" s="348">
        <v>118.89655172413794</v>
      </c>
      <c r="X1156" s="347">
        <v>60.26</v>
      </c>
      <c r="Y1156" s="357" t="s">
        <v>408</v>
      </c>
      <c r="Z1156" s="365" t="s">
        <v>3017</v>
      </c>
      <c r="AA1156" s="350">
        <v>19</v>
      </c>
      <c r="AB1156" s="349" t="s">
        <v>2685</v>
      </c>
      <c r="AC1156" s="350">
        <v>0</v>
      </c>
      <c r="AD1156" s="349" t="s">
        <v>2685</v>
      </c>
      <c r="AE1156" s="364">
        <v>0</v>
      </c>
      <c r="AF1156" s="366">
        <v>0</v>
      </c>
      <c r="AG1156" s="363">
        <v>0</v>
      </c>
      <c r="AH1156" s="635" t="s">
        <v>408</v>
      </c>
      <c r="AL1156" s="487" t="s">
        <v>15568</v>
      </c>
      <c r="AM1156" s="477" t="s">
        <v>71</v>
      </c>
      <c r="AN1156" s="637">
        <v>100</v>
      </c>
      <c r="AO1156" s="478">
        <v>-1570</v>
      </c>
      <c r="AP1156" s="463">
        <v>-725</v>
      </c>
      <c r="AQ1156" s="479">
        <v>-845</v>
      </c>
      <c r="AR1156" s="476" t="s">
        <v>17328</v>
      </c>
      <c r="BA1156" s="313" t="s">
        <v>5246</v>
      </c>
    </row>
    <row r="1157" spans="2:53" ht="16.5" customHeight="1">
      <c r="B1157" s="367" t="s">
        <v>5116</v>
      </c>
      <c r="C1157" s="351" t="s">
        <v>5117</v>
      </c>
      <c r="D1157" s="353">
        <v>-1570</v>
      </c>
      <c r="E1157" s="352" t="s">
        <v>408</v>
      </c>
      <c r="F1157" s="341">
        <v>81</v>
      </c>
      <c r="G1157" s="355" t="s">
        <v>5213</v>
      </c>
      <c r="H1157" s="356" t="s">
        <v>18790</v>
      </c>
      <c r="I1157" s="354" t="s">
        <v>195</v>
      </c>
      <c r="J1157" s="340" t="s">
        <v>11127</v>
      </c>
      <c r="K1157" s="339" t="s">
        <v>70</v>
      </c>
      <c r="L1157" s="357">
        <v>15</v>
      </c>
      <c r="M1157" s="358" t="s">
        <v>11126</v>
      </c>
      <c r="N1157" s="359">
        <v>100</v>
      </c>
      <c r="O1157" s="360" t="s">
        <v>454</v>
      </c>
      <c r="P1157" s="343" t="s">
        <v>454</v>
      </c>
      <c r="Q1157" s="342" t="s">
        <v>2738</v>
      </c>
      <c r="R1157" s="344">
        <v>25</v>
      </c>
      <c r="S1157" s="345">
        <v>35</v>
      </c>
      <c r="T1157" s="362">
        <v>20</v>
      </c>
      <c r="U1157" s="361">
        <v>81</v>
      </c>
      <c r="V1157" s="346">
        <v>119.375</v>
      </c>
      <c r="W1157" s="348">
        <v>118.89655172413794</v>
      </c>
      <c r="X1157" s="347">
        <v>60.01</v>
      </c>
      <c r="Y1157" s="357" t="s">
        <v>408</v>
      </c>
      <c r="Z1157" s="365" t="s">
        <v>3017</v>
      </c>
      <c r="AA1157" s="350">
        <v>19</v>
      </c>
      <c r="AB1157" s="349" t="s">
        <v>2685</v>
      </c>
      <c r="AC1157" s="350">
        <v>0</v>
      </c>
      <c r="AD1157" s="349" t="s">
        <v>2685</v>
      </c>
      <c r="AE1157" s="364">
        <v>0</v>
      </c>
      <c r="AF1157" s="366">
        <v>0</v>
      </c>
      <c r="AG1157" s="363">
        <v>0</v>
      </c>
      <c r="AH1157" s="635" t="s">
        <v>408</v>
      </c>
      <c r="AL1157" s="487" t="s">
        <v>15569</v>
      </c>
      <c r="AM1157" s="477" t="s">
        <v>70</v>
      </c>
      <c r="AN1157" s="637">
        <v>100</v>
      </c>
      <c r="AO1157" s="478">
        <v>-1570</v>
      </c>
      <c r="AP1157" s="463">
        <v>-1570</v>
      </c>
      <c r="AQ1157" s="479">
        <v>0</v>
      </c>
      <c r="AR1157" s="476" t="s">
        <v>17329</v>
      </c>
      <c r="BA1157" s="313" t="s">
        <v>5248</v>
      </c>
    </row>
    <row r="1158" spans="2:53" ht="16.5" customHeight="1">
      <c r="B1158" s="367" t="s">
        <v>5116</v>
      </c>
      <c r="C1158" s="351" t="s">
        <v>5117</v>
      </c>
      <c r="D1158" s="353">
        <v>-1570</v>
      </c>
      <c r="E1158" s="352" t="s">
        <v>408</v>
      </c>
      <c r="F1158" s="341">
        <v>80.989999999999995</v>
      </c>
      <c r="G1158" s="355" t="s">
        <v>5234</v>
      </c>
      <c r="H1158" s="356" t="s">
        <v>18791</v>
      </c>
      <c r="I1158" s="354" t="s">
        <v>422</v>
      </c>
      <c r="J1158" s="340" t="s">
        <v>8491</v>
      </c>
      <c r="K1158" s="339" t="s">
        <v>70</v>
      </c>
      <c r="L1158" s="357">
        <v>17</v>
      </c>
      <c r="M1158" s="358" t="s">
        <v>11128</v>
      </c>
      <c r="N1158" s="359">
        <v>1000</v>
      </c>
      <c r="O1158" s="360" t="s">
        <v>454</v>
      </c>
      <c r="P1158" s="343" t="s">
        <v>454</v>
      </c>
      <c r="Q1158" s="342" t="s">
        <v>2688</v>
      </c>
      <c r="R1158" s="344">
        <v>20</v>
      </c>
      <c r="S1158" s="345">
        <v>35</v>
      </c>
      <c r="T1158" s="362">
        <v>30</v>
      </c>
      <c r="U1158" s="361">
        <v>80.989999999999995</v>
      </c>
      <c r="V1158" s="346">
        <v>119.36614730878186</v>
      </c>
      <c r="W1158" s="348">
        <v>118.89166748070724</v>
      </c>
      <c r="X1158" s="347">
        <v>60.01</v>
      </c>
      <c r="Y1158" s="357" t="s">
        <v>408</v>
      </c>
      <c r="Z1158" s="365" t="s">
        <v>3017</v>
      </c>
      <c r="AA1158" s="350">
        <v>147</v>
      </c>
      <c r="AB1158" s="349" t="s">
        <v>2685</v>
      </c>
      <c r="AC1158" s="350">
        <v>5</v>
      </c>
      <c r="AD1158" s="349" t="s">
        <v>2685</v>
      </c>
      <c r="AE1158" s="364">
        <v>0</v>
      </c>
      <c r="AF1158" s="366">
        <v>26.321999999999999</v>
      </c>
      <c r="AG1158" s="363">
        <v>0</v>
      </c>
      <c r="AH1158" s="635" t="s">
        <v>10941</v>
      </c>
      <c r="AL1158" s="487" t="s">
        <v>15570</v>
      </c>
      <c r="AM1158" s="477" t="s">
        <v>70</v>
      </c>
      <c r="AN1158" s="637">
        <v>100</v>
      </c>
      <c r="AO1158" s="478">
        <v>-1570</v>
      </c>
      <c r="AP1158" s="463">
        <v>-1570</v>
      </c>
      <c r="AQ1158" s="479">
        <v>0</v>
      </c>
      <c r="AR1158" s="476" t="s">
        <v>17329</v>
      </c>
      <c r="BA1158" s="313" t="s">
        <v>5249</v>
      </c>
    </row>
    <row r="1159" spans="2:53" ht="16.5" customHeight="1">
      <c r="B1159" s="367" t="s">
        <v>11129</v>
      </c>
      <c r="C1159" s="351" t="s">
        <v>11130</v>
      </c>
      <c r="D1159" s="353">
        <v>-1570</v>
      </c>
      <c r="E1159" s="352" t="s">
        <v>5208</v>
      </c>
      <c r="F1159" s="341">
        <v>80.98</v>
      </c>
      <c r="G1159" s="355" t="s">
        <v>18792</v>
      </c>
      <c r="H1159" s="356" t="s">
        <v>18788</v>
      </c>
      <c r="I1159" s="354" t="s">
        <v>215</v>
      </c>
      <c r="J1159" s="340" t="s">
        <v>11132</v>
      </c>
      <c r="K1159" s="339" t="s">
        <v>71</v>
      </c>
      <c r="L1159" s="357">
        <v>3</v>
      </c>
      <c r="M1159" s="358" t="s">
        <v>11133</v>
      </c>
      <c r="N1159" s="359">
        <v>1000</v>
      </c>
      <c r="O1159" s="360" t="s">
        <v>530</v>
      </c>
      <c r="P1159" s="343" t="s">
        <v>531</v>
      </c>
      <c r="Q1159" s="342" t="s">
        <v>2688</v>
      </c>
      <c r="R1159" s="344">
        <v>38</v>
      </c>
      <c r="S1159" s="345">
        <v>25</v>
      </c>
      <c r="T1159" s="362">
        <v>25</v>
      </c>
      <c r="U1159" s="361">
        <v>80.98</v>
      </c>
      <c r="V1159" s="346">
        <v>119.36256205245355</v>
      </c>
      <c r="W1159" s="348">
        <v>118.88968940825025</v>
      </c>
      <c r="X1159" s="347">
        <v>60.25</v>
      </c>
      <c r="Y1159" s="357">
        <v>60.78</v>
      </c>
      <c r="Z1159" s="365" t="s">
        <v>3017</v>
      </c>
      <c r="AA1159" s="350">
        <v>121.25</v>
      </c>
      <c r="AB1159" s="349" t="s">
        <v>2685</v>
      </c>
      <c r="AC1159" s="350">
        <v>10</v>
      </c>
      <c r="AD1159" s="349" t="s">
        <v>2685</v>
      </c>
      <c r="AE1159" s="364">
        <v>0</v>
      </c>
      <c r="AF1159" s="366">
        <v>0</v>
      </c>
      <c r="AG1159" s="363">
        <v>0</v>
      </c>
      <c r="AH1159" s="635" t="s">
        <v>8002</v>
      </c>
      <c r="AL1159" s="487" t="s">
        <v>15571</v>
      </c>
      <c r="AM1159" s="477" t="s">
        <v>71</v>
      </c>
      <c r="AN1159" s="637">
        <v>100</v>
      </c>
      <c r="AO1159" s="478">
        <v>-1570</v>
      </c>
      <c r="AP1159" s="463">
        <v>-725</v>
      </c>
      <c r="AQ1159" s="479">
        <v>-845</v>
      </c>
      <c r="AR1159" s="476" t="s">
        <v>17330</v>
      </c>
      <c r="BA1159" s="313" t="s">
        <v>5250</v>
      </c>
    </row>
    <row r="1160" spans="2:53" ht="16.5" customHeight="1">
      <c r="B1160" s="367" t="s">
        <v>11134</v>
      </c>
      <c r="C1160" s="351" t="s">
        <v>11135</v>
      </c>
      <c r="D1160" s="353">
        <v>-1570</v>
      </c>
      <c r="E1160" s="352" t="s">
        <v>408</v>
      </c>
      <c r="F1160" s="341">
        <v>80.959999999999994</v>
      </c>
      <c r="G1160" s="355" t="s">
        <v>5138</v>
      </c>
      <c r="H1160" s="356" t="s">
        <v>10613</v>
      </c>
      <c r="I1160" s="354" t="s">
        <v>496</v>
      </c>
      <c r="J1160" s="340" t="s">
        <v>10246</v>
      </c>
      <c r="K1160" s="339" t="s">
        <v>71</v>
      </c>
      <c r="L1160" s="357">
        <v>6</v>
      </c>
      <c r="M1160" s="358" t="s">
        <v>11136</v>
      </c>
      <c r="N1160" s="359">
        <v>1000</v>
      </c>
      <c r="O1160" s="360" t="s">
        <v>530</v>
      </c>
      <c r="P1160" s="343" t="s">
        <v>531</v>
      </c>
      <c r="Q1160" s="342" t="s">
        <v>2738</v>
      </c>
      <c r="R1160" s="344">
        <v>29</v>
      </c>
      <c r="S1160" s="345">
        <v>29</v>
      </c>
      <c r="T1160" s="362">
        <v>29</v>
      </c>
      <c r="U1160" s="361">
        <v>80.959999999999994</v>
      </c>
      <c r="V1160" s="346">
        <v>119.3486518967499</v>
      </c>
      <c r="W1160" s="348">
        <v>118.88201483958615</v>
      </c>
      <c r="X1160" s="347">
        <v>60</v>
      </c>
      <c r="Y1160" s="357">
        <v>60.629999999999995</v>
      </c>
      <c r="Z1160" s="365" t="s">
        <v>3017</v>
      </c>
      <c r="AA1160" s="350">
        <v>135.71</v>
      </c>
      <c r="AB1160" s="349" t="s">
        <v>2685</v>
      </c>
      <c r="AC1160" s="350">
        <v>10</v>
      </c>
      <c r="AD1160" s="349" t="s">
        <v>2685</v>
      </c>
      <c r="AE1160" s="364">
        <v>0</v>
      </c>
      <c r="AF1160" s="366">
        <v>0</v>
      </c>
      <c r="AG1160" s="363">
        <v>0</v>
      </c>
      <c r="AH1160" s="635" t="s">
        <v>408</v>
      </c>
      <c r="AL1160" s="487" t="s">
        <v>15572</v>
      </c>
      <c r="AM1160" s="477" t="s">
        <v>71</v>
      </c>
      <c r="AN1160" s="637">
        <v>100</v>
      </c>
      <c r="AO1160" s="478">
        <v>-1570</v>
      </c>
      <c r="AP1160" s="463">
        <v>-724</v>
      </c>
      <c r="AQ1160" s="479">
        <v>-846</v>
      </c>
      <c r="AR1160" s="476" t="s">
        <v>17331</v>
      </c>
      <c r="BA1160" s="313" t="s">
        <v>5256</v>
      </c>
    </row>
    <row r="1161" spans="2:53" ht="16.5" customHeight="1">
      <c r="B1161" s="367" t="s">
        <v>11134</v>
      </c>
      <c r="C1161" s="351" t="s">
        <v>11135</v>
      </c>
      <c r="D1161" s="353">
        <v>-1570</v>
      </c>
      <c r="E1161" s="352" t="s">
        <v>5238</v>
      </c>
      <c r="F1161" s="341">
        <v>80.959999999999994</v>
      </c>
      <c r="G1161" s="355" t="s">
        <v>5206</v>
      </c>
      <c r="H1161" s="356" t="s">
        <v>18788</v>
      </c>
      <c r="I1161" s="354" t="s">
        <v>73</v>
      </c>
      <c r="J1161" s="340" t="s">
        <v>11138</v>
      </c>
      <c r="K1161" s="339" t="s">
        <v>71</v>
      </c>
      <c r="L1161" s="357" t="s">
        <v>408</v>
      </c>
      <c r="M1161" s="358" t="s">
        <v>11139</v>
      </c>
      <c r="N1161" s="359">
        <v>1000</v>
      </c>
      <c r="O1161" s="360" t="s">
        <v>530</v>
      </c>
      <c r="P1161" s="343" t="s">
        <v>531</v>
      </c>
      <c r="Q1161" s="342" t="s">
        <v>2688</v>
      </c>
      <c r="R1161" s="344">
        <v>38</v>
      </c>
      <c r="S1161" s="345">
        <v>25</v>
      </c>
      <c r="T1161" s="362">
        <v>25</v>
      </c>
      <c r="U1161" s="361">
        <v>80.959999999999994</v>
      </c>
      <c r="V1161" s="346">
        <v>119.35058548742502</v>
      </c>
      <c r="W1161" s="348">
        <v>118.88308164823449</v>
      </c>
      <c r="X1161" s="347">
        <v>60.25</v>
      </c>
      <c r="Y1161" s="357">
        <v>60.629999999999995</v>
      </c>
      <c r="Z1161" s="365" t="s">
        <v>2689</v>
      </c>
      <c r="AA1161" s="350">
        <v>125</v>
      </c>
      <c r="AB1161" s="349" t="s">
        <v>2685</v>
      </c>
      <c r="AC1161" s="350">
        <v>0</v>
      </c>
      <c r="AD1161" s="349" t="s">
        <v>2685</v>
      </c>
      <c r="AE1161" s="364">
        <v>0</v>
      </c>
      <c r="AF1161" s="366">
        <v>4.5469999999999997</v>
      </c>
      <c r="AG1161" s="363">
        <v>0</v>
      </c>
      <c r="AH1161" s="635" t="s">
        <v>8698</v>
      </c>
      <c r="AL1161" s="487" t="s">
        <v>15573</v>
      </c>
      <c r="AM1161" s="477" t="s">
        <v>71</v>
      </c>
      <c r="AN1161" s="637">
        <v>100</v>
      </c>
      <c r="AO1161" s="478">
        <v>-1570</v>
      </c>
      <c r="AP1161" s="463">
        <v>-725</v>
      </c>
      <c r="AQ1161" s="479">
        <v>-845</v>
      </c>
      <c r="AR1161" s="476" t="s">
        <v>17330</v>
      </c>
      <c r="BA1161" s="313" t="s">
        <v>5259</v>
      </c>
    </row>
    <row r="1162" spans="2:53" ht="16.5" customHeight="1">
      <c r="B1162" s="367" t="s">
        <v>11134</v>
      </c>
      <c r="C1162" s="351" t="s">
        <v>11135</v>
      </c>
      <c r="D1162" s="353">
        <v>-1570</v>
      </c>
      <c r="E1162" s="352" t="s">
        <v>5244</v>
      </c>
      <c r="F1162" s="341">
        <v>80.92</v>
      </c>
      <c r="G1162" s="355" t="s">
        <v>5210</v>
      </c>
      <c r="H1162" s="356" t="s">
        <v>18790</v>
      </c>
      <c r="I1162" s="354" t="s">
        <v>478</v>
      </c>
      <c r="J1162" s="340" t="s">
        <v>76</v>
      </c>
      <c r="K1162" s="339" t="s">
        <v>71</v>
      </c>
      <c r="L1162" s="357">
        <v>20</v>
      </c>
      <c r="M1162" s="358" t="s">
        <v>11140</v>
      </c>
      <c r="N1162" s="359">
        <v>1000</v>
      </c>
      <c r="O1162" s="360" t="s">
        <v>532</v>
      </c>
      <c r="P1162" s="343" t="s">
        <v>533</v>
      </c>
      <c r="Q1162" s="342" t="s">
        <v>2688</v>
      </c>
      <c r="R1162" s="344">
        <v>30</v>
      </c>
      <c r="S1162" s="345">
        <v>30</v>
      </c>
      <c r="T1162" s="362">
        <v>25</v>
      </c>
      <c r="U1162" s="361">
        <v>80.92</v>
      </c>
      <c r="V1162" s="346">
        <v>119.32711593802826</v>
      </c>
      <c r="W1162" s="348">
        <v>118.87013293132593</v>
      </c>
      <c r="X1162" s="347">
        <v>60.24</v>
      </c>
      <c r="Y1162" s="357">
        <v>60.62</v>
      </c>
      <c r="Z1162" s="365" t="s">
        <v>3017</v>
      </c>
      <c r="AA1162" s="350">
        <v>149.25</v>
      </c>
      <c r="AB1162" s="349" t="s">
        <v>2685</v>
      </c>
      <c r="AC1162" s="350">
        <v>10</v>
      </c>
      <c r="AD1162" s="349" t="s">
        <v>2685</v>
      </c>
      <c r="AE1162" s="364">
        <v>0</v>
      </c>
      <c r="AF1162" s="366">
        <v>6.4950000000000001</v>
      </c>
      <c r="AG1162" s="363">
        <v>0</v>
      </c>
      <c r="AH1162" s="635" t="s">
        <v>11081</v>
      </c>
      <c r="AL1162" s="487" t="s">
        <v>15574</v>
      </c>
      <c r="AM1162" s="477" t="s">
        <v>71</v>
      </c>
      <c r="AN1162" s="637">
        <v>100</v>
      </c>
      <c r="AO1162" s="478">
        <v>-1570</v>
      </c>
      <c r="AP1162" s="463">
        <v>-725</v>
      </c>
      <c r="AQ1162" s="479">
        <v>-845</v>
      </c>
      <c r="AR1162" s="476" t="s">
        <v>17332</v>
      </c>
      <c r="BA1162" s="313" t="s">
        <v>5261</v>
      </c>
    </row>
    <row r="1163" spans="2:53" ht="16.5" customHeight="1">
      <c r="B1163" s="367" t="s">
        <v>5121</v>
      </c>
      <c r="C1163" s="351" t="s">
        <v>5122</v>
      </c>
      <c r="D1163" s="353">
        <v>-1570</v>
      </c>
      <c r="E1163" s="352" t="s">
        <v>408</v>
      </c>
      <c r="F1163" s="341">
        <v>80.91</v>
      </c>
      <c r="G1163" s="355" t="s">
        <v>5069</v>
      </c>
      <c r="H1163" s="356" t="s">
        <v>18793</v>
      </c>
      <c r="I1163" s="354" t="s">
        <v>422</v>
      </c>
      <c r="J1163" s="340" t="s">
        <v>10405</v>
      </c>
      <c r="K1163" s="339" t="s">
        <v>70</v>
      </c>
      <c r="L1163" s="357">
        <v>12</v>
      </c>
      <c r="M1163" s="358" t="s">
        <v>11141</v>
      </c>
      <c r="N1163" s="359">
        <v>1000</v>
      </c>
      <c r="O1163" s="360" t="s">
        <v>454</v>
      </c>
      <c r="P1163" s="343" t="s">
        <v>454</v>
      </c>
      <c r="Q1163" s="342" t="s">
        <v>2688</v>
      </c>
      <c r="R1163" s="344">
        <v>20</v>
      </c>
      <c r="S1163" s="345">
        <v>35</v>
      </c>
      <c r="T1163" s="362">
        <v>30</v>
      </c>
      <c r="U1163" s="361">
        <v>80.91</v>
      </c>
      <c r="V1163" s="346">
        <v>119.31657223796033</v>
      </c>
      <c r="W1163" s="348">
        <v>118.86431571749536</v>
      </c>
      <c r="X1163" s="347">
        <v>59.98</v>
      </c>
      <c r="Y1163" s="357" t="s">
        <v>408</v>
      </c>
      <c r="Z1163" s="365" t="s">
        <v>3017</v>
      </c>
      <c r="AA1163" s="350">
        <v>147</v>
      </c>
      <c r="AB1163" s="349" t="s">
        <v>2685</v>
      </c>
      <c r="AC1163" s="350">
        <v>5</v>
      </c>
      <c r="AD1163" s="349" t="s">
        <v>2685</v>
      </c>
      <c r="AE1163" s="364">
        <v>0</v>
      </c>
      <c r="AF1163" s="366">
        <v>26.295999999999999</v>
      </c>
      <c r="AG1163" s="363">
        <v>0</v>
      </c>
      <c r="AH1163" s="635" t="s">
        <v>10941</v>
      </c>
      <c r="AL1163" s="487" t="s">
        <v>15575</v>
      </c>
      <c r="AM1163" s="477" t="s">
        <v>70</v>
      </c>
      <c r="AN1163" s="637">
        <v>100</v>
      </c>
      <c r="AO1163" s="478">
        <v>-1570</v>
      </c>
      <c r="AP1163" s="463">
        <v>-1570</v>
      </c>
      <c r="AQ1163" s="479">
        <v>0</v>
      </c>
      <c r="AR1163" s="476" t="s">
        <v>17333</v>
      </c>
      <c r="BA1163" s="313" t="s">
        <v>5262</v>
      </c>
    </row>
    <row r="1164" spans="2:53" ht="16.5" customHeight="1">
      <c r="B1164" s="367" t="s">
        <v>5121</v>
      </c>
      <c r="C1164" s="351" t="s">
        <v>5122</v>
      </c>
      <c r="D1164" s="353">
        <v>-1570</v>
      </c>
      <c r="E1164" s="352" t="s">
        <v>11142</v>
      </c>
      <c r="F1164" s="341">
        <v>80.91</v>
      </c>
      <c r="G1164" s="355" t="s">
        <v>18794</v>
      </c>
      <c r="H1164" s="356" t="s">
        <v>18791</v>
      </c>
      <c r="I1164" s="354" t="s">
        <v>9336</v>
      </c>
      <c r="J1164" s="340" t="s">
        <v>11143</v>
      </c>
      <c r="K1164" s="339" t="s">
        <v>71</v>
      </c>
      <c r="L1164" s="357">
        <v>11</v>
      </c>
      <c r="M1164" s="358" t="s">
        <v>11144</v>
      </c>
      <c r="N1164" s="359">
        <v>700</v>
      </c>
      <c r="O1164" s="360" t="s">
        <v>532</v>
      </c>
      <c r="P1164" s="343" t="s">
        <v>533</v>
      </c>
      <c r="Q1164" s="342" t="s">
        <v>2688</v>
      </c>
      <c r="R1164" s="344">
        <v>30</v>
      </c>
      <c r="S1164" s="345">
        <v>35</v>
      </c>
      <c r="T1164" s="362">
        <v>20</v>
      </c>
      <c r="U1164" s="361">
        <v>80.91</v>
      </c>
      <c r="V1164" s="346">
        <v>119.31710940188803</v>
      </c>
      <c r="W1164" s="348">
        <v>118.86461208380028</v>
      </c>
      <c r="X1164" s="347">
        <v>60.23</v>
      </c>
      <c r="Y1164" s="357">
        <v>62.57</v>
      </c>
      <c r="Z1164" s="365" t="s">
        <v>3017</v>
      </c>
      <c r="AA1164" s="350">
        <v>103.5</v>
      </c>
      <c r="AB1164" s="349" t="s">
        <v>2685</v>
      </c>
      <c r="AC1164" s="350">
        <v>10</v>
      </c>
      <c r="AD1164" s="349" t="s">
        <v>2685</v>
      </c>
      <c r="AE1164" s="364">
        <v>0</v>
      </c>
      <c r="AF1164" s="366">
        <v>0</v>
      </c>
      <c r="AG1164" s="363">
        <v>0</v>
      </c>
      <c r="AH1164" s="635" t="s">
        <v>408</v>
      </c>
      <c r="AL1164" s="487" t="s">
        <v>15576</v>
      </c>
      <c r="AM1164" s="477" t="s">
        <v>71</v>
      </c>
      <c r="AN1164" s="637">
        <v>100</v>
      </c>
      <c r="AO1164" s="478">
        <v>-1570</v>
      </c>
      <c r="AP1164" s="463">
        <v>-725</v>
      </c>
      <c r="AQ1164" s="479">
        <v>-845</v>
      </c>
      <c r="AR1164" s="476" t="s">
        <v>17332</v>
      </c>
      <c r="BA1164" s="313" t="s">
        <v>5264</v>
      </c>
    </row>
    <row r="1165" spans="2:53" ht="16.5" customHeight="1">
      <c r="B1165" s="367" t="s">
        <v>5150</v>
      </c>
      <c r="C1165" s="351" t="s">
        <v>5151</v>
      </c>
      <c r="D1165" s="353">
        <v>-1570</v>
      </c>
      <c r="E1165" s="352" t="s">
        <v>5253</v>
      </c>
      <c r="F1165" s="341">
        <v>80.88</v>
      </c>
      <c r="G1165" s="355" t="s">
        <v>11123</v>
      </c>
      <c r="H1165" s="356" t="s">
        <v>18793</v>
      </c>
      <c r="I1165" s="354" t="s">
        <v>195</v>
      </c>
      <c r="J1165" s="340" t="s">
        <v>11145</v>
      </c>
      <c r="K1165" s="339" t="s">
        <v>71</v>
      </c>
      <c r="L1165" s="357">
        <v>40</v>
      </c>
      <c r="M1165" s="358" t="s">
        <v>5168</v>
      </c>
      <c r="N1165" s="359">
        <v>100</v>
      </c>
      <c r="O1165" s="360" t="s">
        <v>454</v>
      </c>
      <c r="P1165" s="343" t="s">
        <v>454</v>
      </c>
      <c r="Q1165" s="342" t="s">
        <v>2738</v>
      </c>
      <c r="R1165" s="344">
        <v>35</v>
      </c>
      <c r="S1165" s="345">
        <v>25</v>
      </c>
      <c r="T1165" s="362">
        <v>20</v>
      </c>
      <c r="U1165" s="361">
        <v>80.88</v>
      </c>
      <c r="V1165" s="346">
        <v>119.296875</v>
      </c>
      <c r="W1165" s="348">
        <v>118.85344827586206</v>
      </c>
      <c r="X1165" s="347">
        <v>60.22</v>
      </c>
      <c r="Y1165" s="357" t="s">
        <v>408</v>
      </c>
      <c r="Z1165" s="365" t="s">
        <v>3017</v>
      </c>
      <c r="AA1165" s="350">
        <v>19</v>
      </c>
      <c r="AB1165" s="349" t="s">
        <v>2685</v>
      </c>
      <c r="AC1165" s="350">
        <v>0</v>
      </c>
      <c r="AD1165" s="349" t="s">
        <v>2685</v>
      </c>
      <c r="AE1165" s="364">
        <v>0</v>
      </c>
      <c r="AF1165" s="366">
        <v>0</v>
      </c>
      <c r="AG1165" s="363">
        <v>0</v>
      </c>
      <c r="AH1165" s="635" t="s">
        <v>408</v>
      </c>
      <c r="AL1165" s="487" t="s">
        <v>15577</v>
      </c>
      <c r="AM1165" s="477" t="s">
        <v>71</v>
      </c>
      <c r="AN1165" s="637">
        <v>100</v>
      </c>
      <c r="AO1165" s="478">
        <v>-1570</v>
      </c>
      <c r="AP1165" s="463">
        <v>-725</v>
      </c>
      <c r="AQ1165" s="479">
        <v>-845</v>
      </c>
      <c r="AR1165" s="476" t="s">
        <v>17334</v>
      </c>
      <c r="BA1165" s="313" t="s">
        <v>5269</v>
      </c>
    </row>
    <row r="1166" spans="2:53" ht="16.5" customHeight="1">
      <c r="B1166" s="367" t="s">
        <v>11146</v>
      </c>
      <c r="C1166" s="351" t="s">
        <v>11147</v>
      </c>
      <c r="D1166" s="353">
        <v>-1570</v>
      </c>
      <c r="E1166" s="352" t="s">
        <v>408</v>
      </c>
      <c r="F1166" s="341">
        <v>80.88</v>
      </c>
      <c r="G1166" s="355" t="s">
        <v>5253</v>
      </c>
      <c r="H1166" s="356" t="s">
        <v>4787</v>
      </c>
      <c r="I1166" s="354" t="s">
        <v>195</v>
      </c>
      <c r="J1166" s="340" t="s">
        <v>8168</v>
      </c>
      <c r="K1166" s="339" t="s">
        <v>70</v>
      </c>
      <c r="L1166" s="357">
        <v>70</v>
      </c>
      <c r="M1166" s="358" t="s">
        <v>5168</v>
      </c>
      <c r="N1166" s="359">
        <v>100</v>
      </c>
      <c r="O1166" s="360" t="s">
        <v>454</v>
      </c>
      <c r="P1166" s="343" t="s">
        <v>454</v>
      </c>
      <c r="Q1166" s="342" t="s">
        <v>2738</v>
      </c>
      <c r="R1166" s="344">
        <v>25</v>
      </c>
      <c r="S1166" s="345">
        <v>35</v>
      </c>
      <c r="T1166" s="362">
        <v>20</v>
      </c>
      <c r="U1166" s="361">
        <v>80.88</v>
      </c>
      <c r="V1166" s="346">
        <v>119.296875</v>
      </c>
      <c r="W1166" s="348">
        <v>118.85344827586206</v>
      </c>
      <c r="X1166" s="347">
        <v>59.97</v>
      </c>
      <c r="Y1166" s="357" t="s">
        <v>408</v>
      </c>
      <c r="Z1166" s="365" t="s">
        <v>3017</v>
      </c>
      <c r="AA1166" s="350">
        <v>19</v>
      </c>
      <c r="AB1166" s="349" t="s">
        <v>2685</v>
      </c>
      <c r="AC1166" s="350">
        <v>0</v>
      </c>
      <c r="AD1166" s="349" t="s">
        <v>2685</v>
      </c>
      <c r="AE1166" s="364">
        <v>0</v>
      </c>
      <c r="AF1166" s="366">
        <v>0</v>
      </c>
      <c r="AG1166" s="363">
        <v>0</v>
      </c>
      <c r="AH1166" s="635" t="s">
        <v>408</v>
      </c>
      <c r="AL1166" s="487" t="s">
        <v>15578</v>
      </c>
      <c r="AM1166" s="477" t="s">
        <v>70</v>
      </c>
      <c r="AN1166" s="637">
        <v>100</v>
      </c>
      <c r="AO1166" s="478">
        <v>-1570</v>
      </c>
      <c r="AP1166" s="463">
        <v>-1570</v>
      </c>
      <c r="AQ1166" s="479">
        <v>0</v>
      </c>
      <c r="AR1166" s="476" t="s">
        <v>17335</v>
      </c>
      <c r="BA1166" s="313" t="s">
        <v>5270</v>
      </c>
    </row>
    <row r="1167" spans="2:53" ht="16.5" customHeight="1">
      <c r="B1167" s="367" t="s">
        <v>11146</v>
      </c>
      <c r="C1167" s="351" t="s">
        <v>11147</v>
      </c>
      <c r="D1167" s="353">
        <v>-1570</v>
      </c>
      <c r="E1167" s="352" t="s">
        <v>408</v>
      </c>
      <c r="F1167" s="341">
        <v>80.88</v>
      </c>
      <c r="G1167" s="355" t="s">
        <v>5253</v>
      </c>
      <c r="H1167" s="356" t="s">
        <v>4787</v>
      </c>
      <c r="I1167" s="354" t="s">
        <v>195</v>
      </c>
      <c r="J1167" s="340" t="s">
        <v>9611</v>
      </c>
      <c r="K1167" s="339" t="s">
        <v>70</v>
      </c>
      <c r="L1167" s="357">
        <v>20</v>
      </c>
      <c r="M1167" s="358" t="s">
        <v>5168</v>
      </c>
      <c r="N1167" s="359">
        <v>100</v>
      </c>
      <c r="O1167" s="360" t="s">
        <v>454</v>
      </c>
      <c r="P1167" s="343" t="s">
        <v>454</v>
      </c>
      <c r="Q1167" s="342" t="s">
        <v>2738</v>
      </c>
      <c r="R1167" s="344">
        <v>25</v>
      </c>
      <c r="S1167" s="345">
        <v>35</v>
      </c>
      <c r="T1167" s="362">
        <v>20</v>
      </c>
      <c r="U1167" s="361">
        <v>80.88</v>
      </c>
      <c r="V1167" s="346">
        <v>119.296875</v>
      </c>
      <c r="W1167" s="348">
        <v>118.85344827586206</v>
      </c>
      <c r="X1167" s="347">
        <v>59.97</v>
      </c>
      <c r="Y1167" s="357" t="s">
        <v>408</v>
      </c>
      <c r="Z1167" s="365" t="s">
        <v>3017</v>
      </c>
      <c r="AA1167" s="350">
        <v>19</v>
      </c>
      <c r="AB1167" s="349" t="s">
        <v>2685</v>
      </c>
      <c r="AC1167" s="350">
        <v>0</v>
      </c>
      <c r="AD1167" s="349" t="s">
        <v>2685</v>
      </c>
      <c r="AE1167" s="364">
        <v>0</v>
      </c>
      <c r="AF1167" s="366">
        <v>0</v>
      </c>
      <c r="AG1167" s="363">
        <v>0</v>
      </c>
      <c r="AH1167" s="635" t="s">
        <v>408</v>
      </c>
      <c r="AL1167" s="487" t="s">
        <v>15579</v>
      </c>
      <c r="AM1167" s="477" t="s">
        <v>70</v>
      </c>
      <c r="AN1167" s="637">
        <v>100</v>
      </c>
      <c r="AO1167" s="478">
        <v>-1570</v>
      </c>
      <c r="AP1167" s="463">
        <v>-1570</v>
      </c>
      <c r="AQ1167" s="479">
        <v>0</v>
      </c>
      <c r="AR1167" s="476" t="s">
        <v>17335</v>
      </c>
      <c r="BA1167" s="313" t="s">
        <v>5272</v>
      </c>
    </row>
    <row r="1168" spans="2:53" ht="16.5" customHeight="1">
      <c r="B1168" s="367" t="s">
        <v>11146</v>
      </c>
      <c r="C1168" s="351" t="s">
        <v>11147</v>
      </c>
      <c r="D1168" s="353">
        <v>-1570</v>
      </c>
      <c r="E1168" s="352" t="s">
        <v>408</v>
      </c>
      <c r="F1168" s="341">
        <v>80.88</v>
      </c>
      <c r="G1168" s="355" t="s">
        <v>5253</v>
      </c>
      <c r="H1168" s="356" t="s">
        <v>4787</v>
      </c>
      <c r="I1168" s="354" t="s">
        <v>195</v>
      </c>
      <c r="J1168" s="340" t="s">
        <v>11148</v>
      </c>
      <c r="K1168" s="339" t="s">
        <v>70</v>
      </c>
      <c r="L1168" s="357">
        <v>17</v>
      </c>
      <c r="M1168" s="358" t="s">
        <v>5168</v>
      </c>
      <c r="N1168" s="359">
        <v>100</v>
      </c>
      <c r="O1168" s="360" t="s">
        <v>454</v>
      </c>
      <c r="P1168" s="343" t="s">
        <v>454</v>
      </c>
      <c r="Q1168" s="342" t="s">
        <v>2738</v>
      </c>
      <c r="R1168" s="344">
        <v>25</v>
      </c>
      <c r="S1168" s="345">
        <v>35</v>
      </c>
      <c r="T1168" s="362">
        <v>20</v>
      </c>
      <c r="U1168" s="361">
        <v>80.88</v>
      </c>
      <c r="V1168" s="346">
        <v>119.296875</v>
      </c>
      <c r="W1168" s="348">
        <v>118.85344827586206</v>
      </c>
      <c r="X1168" s="347">
        <v>59.97</v>
      </c>
      <c r="Y1168" s="357" t="s">
        <v>408</v>
      </c>
      <c r="Z1168" s="365" t="s">
        <v>3017</v>
      </c>
      <c r="AA1168" s="350">
        <v>19</v>
      </c>
      <c r="AB1168" s="349" t="s">
        <v>2685</v>
      </c>
      <c r="AC1168" s="350">
        <v>0</v>
      </c>
      <c r="AD1168" s="349" t="s">
        <v>2685</v>
      </c>
      <c r="AE1168" s="364">
        <v>0</v>
      </c>
      <c r="AF1168" s="366">
        <v>0</v>
      </c>
      <c r="AG1168" s="363">
        <v>0</v>
      </c>
      <c r="AH1168" s="635" t="s">
        <v>408</v>
      </c>
      <c r="AL1168" s="487" t="s">
        <v>15580</v>
      </c>
      <c r="AM1168" s="477" t="s">
        <v>70</v>
      </c>
      <c r="AN1168" s="637">
        <v>100</v>
      </c>
      <c r="AO1168" s="478">
        <v>-1570</v>
      </c>
      <c r="AP1168" s="463">
        <v>-1570</v>
      </c>
      <c r="AQ1168" s="479">
        <v>0</v>
      </c>
      <c r="AR1168" s="476" t="s">
        <v>17335</v>
      </c>
      <c r="BA1168" s="313" t="s">
        <v>5273</v>
      </c>
    </row>
    <row r="1169" spans="2:53" ht="16.5" customHeight="1">
      <c r="B1169" s="367" t="s">
        <v>5150</v>
      </c>
      <c r="C1169" s="351" t="s">
        <v>5151</v>
      </c>
      <c r="D1169" s="353">
        <v>-1570</v>
      </c>
      <c r="E1169" s="352" t="s">
        <v>5253</v>
      </c>
      <c r="F1169" s="341">
        <v>80.88</v>
      </c>
      <c r="G1169" s="355" t="s">
        <v>11123</v>
      </c>
      <c r="H1169" s="356" t="s">
        <v>18793</v>
      </c>
      <c r="I1169" s="354" t="s">
        <v>422</v>
      </c>
      <c r="J1169" s="340" t="s">
        <v>11149</v>
      </c>
      <c r="K1169" s="339" t="s">
        <v>71</v>
      </c>
      <c r="L1169" s="357">
        <v>15</v>
      </c>
      <c r="M1169" s="358" t="s">
        <v>5958</v>
      </c>
      <c r="N1169" s="359">
        <v>1000</v>
      </c>
      <c r="O1169" s="360" t="s">
        <v>454</v>
      </c>
      <c r="P1169" s="343" t="s">
        <v>454</v>
      </c>
      <c r="Q1169" s="342" t="s">
        <v>2688</v>
      </c>
      <c r="R1169" s="344">
        <v>35</v>
      </c>
      <c r="S1169" s="345">
        <v>25</v>
      </c>
      <c r="T1169" s="362">
        <v>20</v>
      </c>
      <c r="U1169" s="361">
        <v>80.88</v>
      </c>
      <c r="V1169" s="346">
        <v>119.296875</v>
      </c>
      <c r="W1169" s="348">
        <v>118.85344827586206</v>
      </c>
      <c r="X1169" s="347">
        <v>60.22</v>
      </c>
      <c r="Y1169" s="357" t="s">
        <v>408</v>
      </c>
      <c r="Z1169" s="365" t="s">
        <v>3017</v>
      </c>
      <c r="AA1169" s="350">
        <v>196</v>
      </c>
      <c r="AB1169" s="349" t="s">
        <v>2685</v>
      </c>
      <c r="AC1169" s="350">
        <v>5</v>
      </c>
      <c r="AD1169" s="349" t="s">
        <v>2685</v>
      </c>
      <c r="AE1169" s="364">
        <v>0</v>
      </c>
      <c r="AF1169" s="366">
        <v>0</v>
      </c>
      <c r="AG1169" s="363">
        <v>0</v>
      </c>
      <c r="AH1169" s="635" t="s">
        <v>408</v>
      </c>
      <c r="AL1169" s="487" t="s">
        <v>15581</v>
      </c>
      <c r="AM1169" s="477" t="s">
        <v>71</v>
      </c>
      <c r="AN1169" s="637">
        <v>100</v>
      </c>
      <c r="AO1169" s="478">
        <v>-1570</v>
      </c>
      <c r="AP1169" s="463">
        <v>-725</v>
      </c>
      <c r="AQ1169" s="479">
        <v>-845</v>
      </c>
      <c r="AR1169" s="476" t="s">
        <v>17334</v>
      </c>
      <c r="BA1169" s="313" t="s">
        <v>5278</v>
      </c>
    </row>
    <row r="1170" spans="2:53" ht="16.5" customHeight="1">
      <c r="B1170" s="367" t="s">
        <v>11150</v>
      </c>
      <c r="C1170" s="351" t="s">
        <v>11151</v>
      </c>
      <c r="D1170" s="353">
        <v>-1570</v>
      </c>
      <c r="E1170" s="352" t="s">
        <v>408</v>
      </c>
      <c r="F1170" s="341">
        <v>80.86</v>
      </c>
      <c r="G1170" s="355" t="s">
        <v>5257</v>
      </c>
      <c r="H1170" s="356" t="s">
        <v>10573</v>
      </c>
      <c r="I1170" s="354" t="s">
        <v>215</v>
      </c>
      <c r="J1170" s="340" t="s">
        <v>10769</v>
      </c>
      <c r="K1170" s="339" t="s">
        <v>70</v>
      </c>
      <c r="L1170" s="357">
        <v>6</v>
      </c>
      <c r="M1170" s="358" t="s">
        <v>11152</v>
      </c>
      <c r="N1170" s="359">
        <v>1000</v>
      </c>
      <c r="O1170" s="360" t="s">
        <v>530</v>
      </c>
      <c r="P1170" s="343" t="s">
        <v>531</v>
      </c>
      <c r="Q1170" s="342" t="s">
        <v>2688</v>
      </c>
      <c r="R1170" s="344">
        <v>25</v>
      </c>
      <c r="S1170" s="345">
        <v>38</v>
      </c>
      <c r="T1170" s="362">
        <v>25</v>
      </c>
      <c r="U1170" s="361">
        <v>80.86</v>
      </c>
      <c r="V1170" s="346">
        <v>119.28725518024412</v>
      </c>
      <c r="W1170" s="348">
        <v>118.8481407891002</v>
      </c>
      <c r="X1170" s="347">
        <v>59.97</v>
      </c>
      <c r="Y1170" s="357">
        <v>60.44</v>
      </c>
      <c r="Z1170" s="365" t="s">
        <v>3017</v>
      </c>
      <c r="AA1170" s="350">
        <v>121.25</v>
      </c>
      <c r="AB1170" s="349" t="s">
        <v>2685</v>
      </c>
      <c r="AC1170" s="350">
        <v>10</v>
      </c>
      <c r="AD1170" s="349" t="s">
        <v>2685</v>
      </c>
      <c r="AE1170" s="364">
        <v>0</v>
      </c>
      <c r="AF1170" s="366">
        <v>0</v>
      </c>
      <c r="AG1170" s="363">
        <v>0</v>
      </c>
      <c r="AH1170" s="635" t="s">
        <v>408</v>
      </c>
      <c r="AL1170" s="487" t="s">
        <v>15582</v>
      </c>
      <c r="AM1170" s="477" t="s">
        <v>70</v>
      </c>
      <c r="AN1170" s="637">
        <v>100</v>
      </c>
      <c r="AO1170" s="478">
        <v>-1570</v>
      </c>
      <c r="AP1170" s="463">
        <v>-1570</v>
      </c>
      <c r="AQ1170" s="479">
        <v>0</v>
      </c>
      <c r="AR1170" s="476" t="s">
        <v>17336</v>
      </c>
      <c r="BA1170" s="313" t="s">
        <v>5280</v>
      </c>
    </row>
    <row r="1171" spans="2:53" ht="16.5" customHeight="1">
      <c r="B1171" s="367" t="s">
        <v>11154</v>
      </c>
      <c r="C1171" s="351" t="s">
        <v>11155</v>
      </c>
      <c r="D1171" s="353">
        <v>-1570</v>
      </c>
      <c r="E1171" s="352" t="s">
        <v>5125</v>
      </c>
      <c r="F1171" s="341">
        <v>80.849999999999994</v>
      </c>
      <c r="G1171" s="355" t="s">
        <v>5260</v>
      </c>
      <c r="H1171" s="356" t="s">
        <v>10573</v>
      </c>
      <c r="I1171" s="354" t="s">
        <v>478</v>
      </c>
      <c r="J1171" s="340" t="s">
        <v>11156</v>
      </c>
      <c r="K1171" s="339" t="s">
        <v>70</v>
      </c>
      <c r="L1171" s="357">
        <v>18</v>
      </c>
      <c r="M1171" s="358" t="s">
        <v>11157</v>
      </c>
      <c r="N1171" s="359">
        <v>1000</v>
      </c>
      <c r="O1171" s="360" t="s">
        <v>532</v>
      </c>
      <c r="P1171" s="343" t="s">
        <v>533</v>
      </c>
      <c r="Q1171" s="342" t="s">
        <v>2688</v>
      </c>
      <c r="R1171" s="344">
        <v>25</v>
      </c>
      <c r="S1171" s="345">
        <v>35</v>
      </c>
      <c r="T1171" s="362">
        <v>25</v>
      </c>
      <c r="U1171" s="361">
        <v>80.849999999999994</v>
      </c>
      <c r="V1171" s="346">
        <v>119.28315083400801</v>
      </c>
      <c r="W1171" s="348">
        <v>118.84587632221131</v>
      </c>
      <c r="X1171" s="347">
        <v>59.97</v>
      </c>
      <c r="Y1171" s="357">
        <v>60.589999999999996</v>
      </c>
      <c r="Z1171" s="365" t="s">
        <v>3017</v>
      </c>
      <c r="AA1171" s="350">
        <v>149.25</v>
      </c>
      <c r="AB1171" s="349" t="s">
        <v>2685</v>
      </c>
      <c r="AC1171" s="350">
        <v>10</v>
      </c>
      <c r="AD1171" s="349" t="s">
        <v>2685</v>
      </c>
      <c r="AE1171" s="364">
        <v>0</v>
      </c>
      <c r="AF1171" s="366">
        <v>6.492</v>
      </c>
      <c r="AG1171" s="363">
        <v>0</v>
      </c>
      <c r="AH1171" s="635" t="s">
        <v>8123</v>
      </c>
      <c r="AL1171" s="487" t="s">
        <v>15583</v>
      </c>
      <c r="AM1171" s="477" t="s">
        <v>70</v>
      </c>
      <c r="AN1171" s="637">
        <v>100</v>
      </c>
      <c r="AO1171" s="478">
        <v>-1570</v>
      </c>
      <c r="AP1171" s="463">
        <v>-1570</v>
      </c>
      <c r="AQ1171" s="479">
        <v>0</v>
      </c>
      <c r="AR1171" s="476" t="s">
        <v>17336</v>
      </c>
      <c r="BA1171" s="313" t="s">
        <v>5285</v>
      </c>
    </row>
    <row r="1172" spans="2:53" ht="16.5" customHeight="1">
      <c r="B1172" s="367" t="s">
        <v>11158</v>
      </c>
      <c r="C1172" s="351" t="s">
        <v>11159</v>
      </c>
      <c r="D1172" s="353">
        <v>-1570</v>
      </c>
      <c r="E1172" s="352" t="s">
        <v>408</v>
      </c>
      <c r="F1172" s="341">
        <v>80.819999999999993</v>
      </c>
      <c r="G1172" s="355" t="s">
        <v>11160</v>
      </c>
      <c r="H1172" s="356" t="s">
        <v>18795</v>
      </c>
      <c r="I1172" s="354" t="s">
        <v>479</v>
      </c>
      <c r="J1172" s="340" t="s">
        <v>11161</v>
      </c>
      <c r="K1172" s="339" t="s">
        <v>70</v>
      </c>
      <c r="L1172" s="357">
        <v>11</v>
      </c>
      <c r="M1172" s="358" t="s">
        <v>11162</v>
      </c>
      <c r="N1172" s="359">
        <v>500</v>
      </c>
      <c r="O1172" s="360" t="s">
        <v>454</v>
      </c>
      <c r="P1172" s="343" t="s">
        <v>454</v>
      </c>
      <c r="Q1172" s="342" t="s">
        <v>2688</v>
      </c>
      <c r="R1172" s="344">
        <v>20</v>
      </c>
      <c r="S1172" s="345">
        <v>30</v>
      </c>
      <c r="T1172" s="362">
        <v>30</v>
      </c>
      <c r="U1172" s="361">
        <v>80.819999999999993</v>
      </c>
      <c r="V1172" s="346">
        <v>119.26067073170732</v>
      </c>
      <c r="W1172" s="348">
        <v>118.83347350714887</v>
      </c>
      <c r="X1172" s="347">
        <v>59.95</v>
      </c>
      <c r="Y1172" s="357" t="s">
        <v>408</v>
      </c>
      <c r="Z1172" s="365" t="s">
        <v>3017</v>
      </c>
      <c r="AA1172" s="350">
        <v>97</v>
      </c>
      <c r="AB1172" s="349" t="s">
        <v>2685</v>
      </c>
      <c r="AC1172" s="350">
        <v>2</v>
      </c>
      <c r="AD1172" s="349" t="s">
        <v>2685</v>
      </c>
      <c r="AE1172" s="364">
        <v>0</v>
      </c>
      <c r="AF1172" s="366">
        <v>8.0820000000000007</v>
      </c>
      <c r="AG1172" s="363">
        <v>0</v>
      </c>
      <c r="AH1172" s="635" t="s">
        <v>10953</v>
      </c>
      <c r="AL1172" s="487" t="s">
        <v>15584</v>
      </c>
      <c r="AM1172" s="477" t="s">
        <v>70</v>
      </c>
      <c r="AN1172" s="637">
        <v>100</v>
      </c>
      <c r="AO1172" s="478">
        <v>-1570</v>
      </c>
      <c r="AP1172" s="463">
        <v>-1570</v>
      </c>
      <c r="AQ1172" s="479">
        <v>0</v>
      </c>
      <c r="AR1172" s="476" t="s">
        <v>17337</v>
      </c>
      <c r="BA1172" s="313" t="s">
        <v>5287</v>
      </c>
    </row>
    <row r="1173" spans="2:53" ht="16.5" customHeight="1">
      <c r="B1173" s="367" t="s">
        <v>5156</v>
      </c>
      <c r="C1173" s="351" t="s">
        <v>5157</v>
      </c>
      <c r="D1173" s="353">
        <v>-1570</v>
      </c>
      <c r="E1173" s="352" t="s">
        <v>408</v>
      </c>
      <c r="F1173" s="341">
        <v>80.819999999999993</v>
      </c>
      <c r="G1173" s="355" t="s">
        <v>5263</v>
      </c>
      <c r="H1173" s="356" t="s">
        <v>18795</v>
      </c>
      <c r="I1173" s="354" t="s">
        <v>478</v>
      </c>
      <c r="J1173" s="340" t="s">
        <v>7259</v>
      </c>
      <c r="K1173" s="339" t="s">
        <v>70</v>
      </c>
      <c r="L1173" s="357">
        <v>10</v>
      </c>
      <c r="M1173" s="358" t="s">
        <v>11163</v>
      </c>
      <c r="N1173" s="359">
        <v>1000</v>
      </c>
      <c r="O1173" s="360" t="s">
        <v>532</v>
      </c>
      <c r="P1173" s="343" t="s">
        <v>533</v>
      </c>
      <c r="Q1173" s="342" t="s">
        <v>2688</v>
      </c>
      <c r="R1173" s="344">
        <v>25</v>
      </c>
      <c r="S1173" s="345">
        <v>35</v>
      </c>
      <c r="T1173" s="362">
        <v>25</v>
      </c>
      <c r="U1173" s="361">
        <v>80.819999999999993</v>
      </c>
      <c r="V1173" s="346">
        <v>119.26432485799144</v>
      </c>
      <c r="W1173" s="348">
        <v>118.83548957682287</v>
      </c>
      <c r="X1173" s="347">
        <v>59.96</v>
      </c>
      <c r="Y1173" s="357">
        <v>60.58</v>
      </c>
      <c r="Z1173" s="365" t="s">
        <v>3017</v>
      </c>
      <c r="AA1173" s="350">
        <v>149.25</v>
      </c>
      <c r="AB1173" s="349" t="s">
        <v>2685</v>
      </c>
      <c r="AC1173" s="350">
        <v>10</v>
      </c>
      <c r="AD1173" s="349" t="s">
        <v>2685</v>
      </c>
      <c r="AE1173" s="364">
        <v>0</v>
      </c>
      <c r="AF1173" s="366">
        <v>6.4909999999999997</v>
      </c>
      <c r="AG1173" s="363">
        <v>0</v>
      </c>
      <c r="AH1173" s="635" t="s">
        <v>8123</v>
      </c>
      <c r="AL1173" s="487" t="s">
        <v>15585</v>
      </c>
      <c r="AM1173" s="477" t="s">
        <v>70</v>
      </c>
      <c r="AN1173" s="637">
        <v>100</v>
      </c>
      <c r="AO1173" s="478">
        <v>-1570</v>
      </c>
      <c r="AP1173" s="463">
        <v>-1570</v>
      </c>
      <c r="AQ1173" s="479">
        <v>0</v>
      </c>
      <c r="AR1173" s="476" t="s">
        <v>17338</v>
      </c>
      <c r="BA1173" s="313" t="s">
        <v>5288</v>
      </c>
    </row>
    <row r="1174" spans="2:53" ht="16.5" customHeight="1">
      <c r="B1174" s="367" t="s">
        <v>11164</v>
      </c>
      <c r="C1174" s="351" t="s">
        <v>11165</v>
      </c>
      <c r="D1174" s="353">
        <v>-1570</v>
      </c>
      <c r="E1174" s="352" t="s">
        <v>408</v>
      </c>
      <c r="F1174" s="341">
        <v>80.77</v>
      </c>
      <c r="G1174" s="355" t="s">
        <v>11166</v>
      </c>
      <c r="H1174" s="356" t="s">
        <v>4809</v>
      </c>
      <c r="I1174" s="354" t="s">
        <v>425</v>
      </c>
      <c r="J1174" s="340" t="s">
        <v>11167</v>
      </c>
      <c r="K1174" s="339" t="s">
        <v>70</v>
      </c>
      <c r="L1174" s="357">
        <v>7</v>
      </c>
      <c r="M1174" s="358" t="s">
        <v>11168</v>
      </c>
      <c r="N1174" s="359">
        <v>1000</v>
      </c>
      <c r="O1174" s="360" t="s">
        <v>454</v>
      </c>
      <c r="P1174" s="343" t="s">
        <v>454</v>
      </c>
      <c r="Q1174" s="342" t="s">
        <v>2738</v>
      </c>
      <c r="R1174" s="344">
        <v>25</v>
      </c>
      <c r="S1174" s="345">
        <v>35</v>
      </c>
      <c r="T1174" s="362">
        <v>20</v>
      </c>
      <c r="U1174" s="361">
        <v>80.77</v>
      </c>
      <c r="V1174" s="346">
        <v>119.23076923076923</v>
      </c>
      <c r="W1174" s="348">
        <v>118.81697612732096</v>
      </c>
      <c r="X1174" s="347">
        <v>59.94</v>
      </c>
      <c r="Y1174" s="357" t="s">
        <v>408</v>
      </c>
      <c r="Z1174" s="365" t="s">
        <v>3017</v>
      </c>
      <c r="AA1174" s="350">
        <v>196</v>
      </c>
      <c r="AB1174" s="349" t="s">
        <v>2685</v>
      </c>
      <c r="AC1174" s="350">
        <v>10</v>
      </c>
      <c r="AD1174" s="349" t="s">
        <v>2685</v>
      </c>
      <c r="AE1174" s="364">
        <v>0</v>
      </c>
      <c r="AF1174" s="366">
        <v>36.347000000000001</v>
      </c>
      <c r="AG1174" s="363">
        <v>0</v>
      </c>
      <c r="AH1174" s="635" t="s">
        <v>10711</v>
      </c>
      <c r="AL1174" s="487" t="s">
        <v>15586</v>
      </c>
      <c r="AM1174" s="477" t="s">
        <v>70</v>
      </c>
      <c r="AN1174" s="637">
        <v>100</v>
      </c>
      <c r="AO1174" s="478">
        <v>-1570</v>
      </c>
      <c r="AP1174" s="463">
        <v>-1570</v>
      </c>
      <c r="AQ1174" s="479">
        <v>0</v>
      </c>
      <c r="AR1174" s="476" t="s">
        <v>17339</v>
      </c>
      <c r="BA1174" s="313" t="s">
        <v>5290</v>
      </c>
    </row>
    <row r="1175" spans="2:53" ht="16.5" customHeight="1">
      <c r="B1175" s="367" t="s">
        <v>11164</v>
      </c>
      <c r="C1175" s="351" t="s">
        <v>11165</v>
      </c>
      <c r="D1175" s="353">
        <v>-1570</v>
      </c>
      <c r="E1175" s="352" t="s">
        <v>408</v>
      </c>
      <c r="F1175" s="341">
        <v>80.77</v>
      </c>
      <c r="G1175" s="355" t="s">
        <v>11166</v>
      </c>
      <c r="H1175" s="356" t="s">
        <v>4809</v>
      </c>
      <c r="I1175" s="354" t="s">
        <v>478</v>
      </c>
      <c r="J1175" s="340" t="s">
        <v>11169</v>
      </c>
      <c r="K1175" s="339" t="s">
        <v>70</v>
      </c>
      <c r="L1175" s="357">
        <v>12</v>
      </c>
      <c r="M1175" s="358" t="s">
        <v>11170</v>
      </c>
      <c r="N1175" s="359">
        <v>1000</v>
      </c>
      <c r="O1175" s="360" t="s">
        <v>532</v>
      </c>
      <c r="P1175" s="343" t="s">
        <v>533</v>
      </c>
      <c r="Q1175" s="342" t="s">
        <v>2688</v>
      </c>
      <c r="R1175" s="344">
        <v>25</v>
      </c>
      <c r="S1175" s="345">
        <v>35</v>
      </c>
      <c r="T1175" s="362">
        <v>25</v>
      </c>
      <c r="U1175" s="361">
        <v>80.77</v>
      </c>
      <c r="V1175" s="346">
        <v>119.23150007929586</v>
      </c>
      <c r="W1175" s="348">
        <v>118.81737935409427</v>
      </c>
      <c r="X1175" s="347">
        <v>59.94</v>
      </c>
      <c r="Y1175" s="357">
        <v>60.57</v>
      </c>
      <c r="Z1175" s="365" t="s">
        <v>3017</v>
      </c>
      <c r="AA1175" s="350">
        <v>149.25</v>
      </c>
      <c r="AB1175" s="349" t="s">
        <v>2685</v>
      </c>
      <c r="AC1175" s="350">
        <v>10</v>
      </c>
      <c r="AD1175" s="349" t="s">
        <v>2685</v>
      </c>
      <c r="AE1175" s="364">
        <v>0</v>
      </c>
      <c r="AF1175" s="366">
        <v>6.49</v>
      </c>
      <c r="AG1175" s="363">
        <v>0</v>
      </c>
      <c r="AH1175" s="635" t="s">
        <v>8123</v>
      </c>
      <c r="AL1175" s="487" t="s">
        <v>15587</v>
      </c>
      <c r="AM1175" s="477" t="s">
        <v>70</v>
      </c>
      <c r="AN1175" s="637">
        <v>100</v>
      </c>
      <c r="AO1175" s="478">
        <v>-1570</v>
      </c>
      <c r="AP1175" s="463">
        <v>-1570</v>
      </c>
      <c r="AQ1175" s="479">
        <v>0</v>
      </c>
      <c r="AR1175" s="476" t="s">
        <v>17339</v>
      </c>
      <c r="BA1175" s="313" t="s">
        <v>5292</v>
      </c>
    </row>
    <row r="1176" spans="2:53" ht="16.5" customHeight="1">
      <c r="B1176" s="367" t="s">
        <v>11117</v>
      </c>
      <c r="C1176" s="351" t="s">
        <v>11118</v>
      </c>
      <c r="D1176" s="353">
        <v>-1570</v>
      </c>
      <c r="E1176" s="352" t="s">
        <v>408</v>
      </c>
      <c r="F1176" s="341">
        <v>80.75</v>
      </c>
      <c r="G1176" s="355" t="s">
        <v>11114</v>
      </c>
      <c r="H1176" s="356" t="s">
        <v>10645</v>
      </c>
      <c r="I1176" s="354" t="s">
        <v>215</v>
      </c>
      <c r="J1176" s="340" t="s">
        <v>8877</v>
      </c>
      <c r="K1176" s="339" t="s">
        <v>71</v>
      </c>
      <c r="L1176" s="357">
        <v>10</v>
      </c>
      <c r="M1176" s="358" t="s">
        <v>11171</v>
      </c>
      <c r="N1176" s="359">
        <v>1000</v>
      </c>
      <c r="O1176" s="360" t="s">
        <v>530</v>
      </c>
      <c r="P1176" s="343" t="s">
        <v>531</v>
      </c>
      <c r="Q1176" s="342" t="s">
        <v>2688</v>
      </c>
      <c r="R1176" s="344">
        <v>38</v>
      </c>
      <c r="S1176" s="345">
        <v>25</v>
      </c>
      <c r="T1176" s="362">
        <v>25</v>
      </c>
      <c r="U1176" s="361">
        <v>80.75</v>
      </c>
      <c r="V1176" s="346">
        <v>119.21732636295742</v>
      </c>
      <c r="W1176" s="348">
        <v>118.80955937266617</v>
      </c>
      <c r="X1176" s="347">
        <v>60.18</v>
      </c>
      <c r="Y1176" s="357">
        <v>60.699999999999996</v>
      </c>
      <c r="Z1176" s="365" t="s">
        <v>3017</v>
      </c>
      <c r="AA1176" s="350">
        <v>121.25</v>
      </c>
      <c r="AB1176" s="349" t="s">
        <v>2685</v>
      </c>
      <c r="AC1176" s="350">
        <v>10</v>
      </c>
      <c r="AD1176" s="349" t="s">
        <v>2685</v>
      </c>
      <c r="AE1176" s="364">
        <v>0</v>
      </c>
      <c r="AF1176" s="366">
        <v>0</v>
      </c>
      <c r="AG1176" s="363">
        <v>0</v>
      </c>
      <c r="AH1176" s="635" t="s">
        <v>8002</v>
      </c>
      <c r="AL1176" s="487" t="s">
        <v>15588</v>
      </c>
      <c r="AM1176" s="477" t="s">
        <v>71</v>
      </c>
      <c r="AN1176" s="637">
        <v>100</v>
      </c>
      <c r="AO1176" s="478">
        <v>-1570</v>
      </c>
      <c r="AP1176" s="463">
        <v>-724</v>
      </c>
      <c r="AQ1176" s="479">
        <v>-846</v>
      </c>
      <c r="AR1176" s="476" t="s">
        <v>17340</v>
      </c>
      <c r="BA1176" s="313" t="s">
        <v>5297</v>
      </c>
    </row>
    <row r="1177" spans="2:53" ht="16.5" customHeight="1">
      <c r="B1177" s="367" t="s">
        <v>11172</v>
      </c>
      <c r="C1177" s="351" t="s">
        <v>11173</v>
      </c>
      <c r="D1177" s="353">
        <v>-1570</v>
      </c>
      <c r="E1177" s="352" t="s">
        <v>11119</v>
      </c>
      <c r="F1177" s="341">
        <v>80.75</v>
      </c>
      <c r="G1177" s="355" t="s">
        <v>11174</v>
      </c>
      <c r="H1177" s="356" t="s">
        <v>10589</v>
      </c>
      <c r="I1177" s="354" t="s">
        <v>195</v>
      </c>
      <c r="J1177" s="340" t="s">
        <v>8538</v>
      </c>
      <c r="K1177" s="339" t="s">
        <v>70</v>
      </c>
      <c r="L1177" s="357">
        <v>15</v>
      </c>
      <c r="M1177" s="358" t="s">
        <v>5489</v>
      </c>
      <c r="N1177" s="359">
        <v>100</v>
      </c>
      <c r="O1177" s="360" t="s">
        <v>454</v>
      </c>
      <c r="P1177" s="343" t="s">
        <v>454</v>
      </c>
      <c r="Q1177" s="342" t="s">
        <v>2738</v>
      </c>
      <c r="R1177" s="344">
        <v>25</v>
      </c>
      <c r="S1177" s="345">
        <v>35</v>
      </c>
      <c r="T1177" s="362">
        <v>20</v>
      </c>
      <c r="U1177" s="361">
        <v>80.75</v>
      </c>
      <c r="V1177" s="346">
        <v>119.21875</v>
      </c>
      <c r="W1177" s="348">
        <v>118.81034482758621</v>
      </c>
      <c r="X1177" s="347">
        <v>59.94</v>
      </c>
      <c r="Y1177" s="357" t="s">
        <v>408</v>
      </c>
      <c r="Z1177" s="365" t="s">
        <v>3017</v>
      </c>
      <c r="AA1177" s="350">
        <v>19</v>
      </c>
      <c r="AB1177" s="349" t="s">
        <v>2685</v>
      </c>
      <c r="AC1177" s="350">
        <v>0</v>
      </c>
      <c r="AD1177" s="349" t="s">
        <v>2685</v>
      </c>
      <c r="AE1177" s="364">
        <v>0</v>
      </c>
      <c r="AF1177" s="366">
        <v>0</v>
      </c>
      <c r="AG1177" s="363">
        <v>0</v>
      </c>
      <c r="AH1177" s="635" t="s">
        <v>408</v>
      </c>
      <c r="AL1177" s="487" t="s">
        <v>15589</v>
      </c>
      <c r="AM1177" s="477" t="s">
        <v>70</v>
      </c>
      <c r="AN1177" s="637">
        <v>100</v>
      </c>
      <c r="AO1177" s="478">
        <v>-1570</v>
      </c>
      <c r="AP1177" s="463">
        <v>-1570</v>
      </c>
      <c r="AQ1177" s="479">
        <v>0</v>
      </c>
      <c r="AR1177" s="476" t="s">
        <v>17341</v>
      </c>
      <c r="BA1177" s="313" t="s">
        <v>5298</v>
      </c>
    </row>
    <row r="1178" spans="2:53" ht="16.5" customHeight="1">
      <c r="B1178" s="367" t="s">
        <v>11172</v>
      </c>
      <c r="C1178" s="351" t="s">
        <v>11173</v>
      </c>
      <c r="D1178" s="353">
        <v>-1570</v>
      </c>
      <c r="E1178" s="352" t="s">
        <v>408</v>
      </c>
      <c r="F1178" s="341">
        <v>80.75</v>
      </c>
      <c r="G1178" s="355" t="s">
        <v>11408</v>
      </c>
      <c r="H1178" s="356" t="s">
        <v>18796</v>
      </c>
      <c r="I1178" s="354" t="s">
        <v>425</v>
      </c>
      <c r="J1178" s="340" t="s">
        <v>489</v>
      </c>
      <c r="K1178" s="339" t="s">
        <v>71</v>
      </c>
      <c r="L1178" s="357">
        <v>19</v>
      </c>
      <c r="M1178" s="358" t="s">
        <v>11175</v>
      </c>
      <c r="N1178" s="359">
        <v>1000</v>
      </c>
      <c r="O1178" s="360" t="s">
        <v>454</v>
      </c>
      <c r="P1178" s="343" t="s">
        <v>454</v>
      </c>
      <c r="Q1178" s="342" t="s">
        <v>2738</v>
      </c>
      <c r="R1178" s="344">
        <v>35</v>
      </c>
      <c r="S1178" s="345">
        <v>25</v>
      </c>
      <c r="T1178" s="362">
        <v>20</v>
      </c>
      <c r="U1178" s="361">
        <v>80.75</v>
      </c>
      <c r="V1178" s="346">
        <v>119.21875</v>
      </c>
      <c r="W1178" s="348">
        <v>118.81034482758621</v>
      </c>
      <c r="X1178" s="347">
        <v>60.18</v>
      </c>
      <c r="Y1178" s="357" t="s">
        <v>408</v>
      </c>
      <c r="Z1178" s="365" t="s">
        <v>3017</v>
      </c>
      <c r="AA1178" s="350">
        <v>196</v>
      </c>
      <c r="AB1178" s="349" t="s">
        <v>2685</v>
      </c>
      <c r="AC1178" s="350">
        <v>10</v>
      </c>
      <c r="AD1178" s="349" t="s">
        <v>2685</v>
      </c>
      <c r="AE1178" s="364">
        <v>0</v>
      </c>
      <c r="AF1178" s="366">
        <v>0</v>
      </c>
      <c r="AG1178" s="363">
        <v>0</v>
      </c>
      <c r="AH1178" s="635" t="s">
        <v>408</v>
      </c>
      <c r="AL1178" s="487" t="s">
        <v>15590</v>
      </c>
      <c r="AM1178" s="477" t="s">
        <v>71</v>
      </c>
      <c r="AN1178" s="637">
        <v>100</v>
      </c>
      <c r="AO1178" s="478">
        <v>-1570</v>
      </c>
      <c r="AP1178" s="463">
        <v>-724</v>
      </c>
      <c r="AQ1178" s="479">
        <v>-846</v>
      </c>
      <c r="AR1178" s="476" t="s">
        <v>17342</v>
      </c>
      <c r="BA1178" s="313" t="s">
        <v>5301</v>
      </c>
    </row>
    <row r="1179" spans="2:53" ht="16.5" customHeight="1">
      <c r="B1179" s="367" t="s">
        <v>11172</v>
      </c>
      <c r="C1179" s="351" t="s">
        <v>11173</v>
      </c>
      <c r="D1179" s="353">
        <v>-1570</v>
      </c>
      <c r="E1179" s="352" t="s">
        <v>11174</v>
      </c>
      <c r="F1179" s="341">
        <v>80.75</v>
      </c>
      <c r="G1179" s="355" t="s">
        <v>11176</v>
      </c>
      <c r="H1179" s="356" t="s">
        <v>4794</v>
      </c>
      <c r="I1179" s="354" t="s">
        <v>478</v>
      </c>
      <c r="J1179" s="340" t="s">
        <v>11177</v>
      </c>
      <c r="K1179" s="339" t="s">
        <v>70</v>
      </c>
      <c r="L1179" s="357">
        <v>21</v>
      </c>
      <c r="M1179" s="358" t="s">
        <v>11178</v>
      </c>
      <c r="N1179" s="359">
        <v>1000</v>
      </c>
      <c r="O1179" s="360" t="s">
        <v>532</v>
      </c>
      <c r="P1179" s="343" t="s">
        <v>533</v>
      </c>
      <c r="Q1179" s="342" t="s">
        <v>2688</v>
      </c>
      <c r="R1179" s="344">
        <v>25</v>
      </c>
      <c r="S1179" s="345">
        <v>35</v>
      </c>
      <c r="T1179" s="362">
        <v>25</v>
      </c>
      <c r="U1179" s="361">
        <v>80.75</v>
      </c>
      <c r="V1179" s="346">
        <v>119.21798399395064</v>
      </c>
      <c r="W1179" s="348">
        <v>118.80992220355897</v>
      </c>
      <c r="X1179" s="347">
        <v>59.93</v>
      </c>
      <c r="Y1179" s="357">
        <v>60.559999999999995</v>
      </c>
      <c r="Z1179" s="365" t="s">
        <v>3017</v>
      </c>
      <c r="AA1179" s="350">
        <v>149.25</v>
      </c>
      <c r="AB1179" s="349" t="s">
        <v>2685</v>
      </c>
      <c r="AC1179" s="350">
        <v>10</v>
      </c>
      <c r="AD1179" s="349" t="s">
        <v>2685</v>
      </c>
      <c r="AE1179" s="364">
        <v>0</v>
      </c>
      <c r="AF1179" s="366">
        <v>6.4889999999999999</v>
      </c>
      <c r="AG1179" s="363">
        <v>0</v>
      </c>
      <c r="AH1179" s="635" t="s">
        <v>8123</v>
      </c>
      <c r="AL1179" s="487" t="s">
        <v>15591</v>
      </c>
      <c r="AM1179" s="477" t="s">
        <v>70</v>
      </c>
      <c r="AN1179" s="637">
        <v>100</v>
      </c>
      <c r="AO1179" s="478">
        <v>-1570</v>
      </c>
      <c r="AP1179" s="463">
        <v>-1570</v>
      </c>
      <c r="AQ1179" s="479">
        <v>0</v>
      </c>
      <c r="AR1179" s="476" t="s">
        <v>17343</v>
      </c>
      <c r="BA1179" s="313" t="s">
        <v>5302</v>
      </c>
    </row>
    <row r="1180" spans="2:53" ht="16.5" customHeight="1">
      <c r="B1180" s="367" t="s">
        <v>11117</v>
      </c>
      <c r="C1180" s="351" t="s">
        <v>11118</v>
      </c>
      <c r="D1180" s="353">
        <v>-1570</v>
      </c>
      <c r="E1180" s="352" t="s">
        <v>408</v>
      </c>
      <c r="F1180" s="341">
        <v>80.73</v>
      </c>
      <c r="G1180" s="355" t="s">
        <v>11119</v>
      </c>
      <c r="H1180" s="356" t="s">
        <v>10641</v>
      </c>
      <c r="I1180" s="354" t="s">
        <v>209</v>
      </c>
      <c r="J1180" s="340" t="s">
        <v>8772</v>
      </c>
      <c r="K1180" s="339" t="s">
        <v>71</v>
      </c>
      <c r="L1180" s="357">
        <v>8</v>
      </c>
      <c r="M1180" s="358" t="s">
        <v>11153</v>
      </c>
      <c r="N1180" s="359">
        <v>1000</v>
      </c>
      <c r="O1180" s="360" t="s">
        <v>530</v>
      </c>
      <c r="P1180" s="343" t="s">
        <v>530</v>
      </c>
      <c r="Q1180" s="342" t="s">
        <v>2688</v>
      </c>
      <c r="R1180" s="344">
        <v>30</v>
      </c>
      <c r="S1180" s="345">
        <v>25</v>
      </c>
      <c r="T1180" s="362">
        <v>25</v>
      </c>
      <c r="U1180" s="361">
        <v>80.73</v>
      </c>
      <c r="V1180" s="346">
        <v>119.20728510739849</v>
      </c>
      <c r="W1180" s="348">
        <v>118.80401936959917</v>
      </c>
      <c r="X1180" s="347">
        <v>60.17</v>
      </c>
      <c r="Y1180" s="357" t="s">
        <v>408</v>
      </c>
      <c r="Z1180" s="365" t="s">
        <v>3017</v>
      </c>
      <c r="AA1180" s="350">
        <v>198</v>
      </c>
      <c r="AB1180" s="349" t="s">
        <v>2685</v>
      </c>
      <c r="AC1180" s="350">
        <v>10</v>
      </c>
      <c r="AD1180" s="349" t="s">
        <v>2685</v>
      </c>
      <c r="AE1180" s="364">
        <v>0</v>
      </c>
      <c r="AF1180" s="366">
        <v>0</v>
      </c>
      <c r="AG1180" s="363">
        <v>0</v>
      </c>
      <c r="AH1180" s="635" t="s">
        <v>408</v>
      </c>
      <c r="AL1180" s="487" t="s">
        <v>15592</v>
      </c>
      <c r="AM1180" s="477" t="s">
        <v>71</v>
      </c>
      <c r="AN1180" s="637">
        <v>100</v>
      </c>
      <c r="AO1180" s="478">
        <v>-1570</v>
      </c>
      <c r="AP1180" s="463">
        <v>-724</v>
      </c>
      <c r="AQ1180" s="479">
        <v>-846</v>
      </c>
      <c r="AR1180" s="476" t="s">
        <v>17344</v>
      </c>
      <c r="BA1180" s="313" t="s">
        <v>5304</v>
      </c>
    </row>
    <row r="1181" spans="2:53" ht="16.5" customHeight="1">
      <c r="B1181" s="367" t="s">
        <v>11179</v>
      </c>
      <c r="C1181" s="351" t="s">
        <v>11180</v>
      </c>
      <c r="D1181" s="353">
        <v>-1570</v>
      </c>
      <c r="E1181" s="352" t="s">
        <v>11142</v>
      </c>
      <c r="F1181" s="341">
        <v>80.709999999999994</v>
      </c>
      <c r="G1181" s="355" t="s">
        <v>5276</v>
      </c>
      <c r="H1181" s="356" t="s">
        <v>10593</v>
      </c>
      <c r="I1181" s="354" t="s">
        <v>422</v>
      </c>
      <c r="J1181" s="340" t="s">
        <v>11181</v>
      </c>
      <c r="K1181" s="339" t="s">
        <v>70</v>
      </c>
      <c r="L1181" s="357">
        <v>12</v>
      </c>
      <c r="M1181" s="358" t="s">
        <v>11182</v>
      </c>
      <c r="N1181" s="359">
        <v>1000</v>
      </c>
      <c r="O1181" s="360" t="s">
        <v>454</v>
      </c>
      <c r="P1181" s="343" t="s">
        <v>454</v>
      </c>
      <c r="Q1181" s="342" t="s">
        <v>2688</v>
      </c>
      <c r="R1181" s="344">
        <v>20</v>
      </c>
      <c r="S1181" s="345">
        <v>35</v>
      </c>
      <c r="T1181" s="362">
        <v>30</v>
      </c>
      <c r="U1181" s="361">
        <v>80.709999999999994</v>
      </c>
      <c r="V1181" s="346">
        <v>119.19617563739376</v>
      </c>
      <c r="W1181" s="348">
        <v>118.79789000683793</v>
      </c>
      <c r="X1181" s="347">
        <v>59.92</v>
      </c>
      <c r="Y1181" s="357" t="s">
        <v>408</v>
      </c>
      <c r="Z1181" s="365" t="s">
        <v>3017</v>
      </c>
      <c r="AA1181" s="350">
        <v>147</v>
      </c>
      <c r="AB1181" s="349" t="s">
        <v>2685</v>
      </c>
      <c r="AC1181" s="350">
        <v>5</v>
      </c>
      <c r="AD1181" s="349" t="s">
        <v>2685</v>
      </c>
      <c r="AE1181" s="364">
        <v>0</v>
      </c>
      <c r="AF1181" s="366">
        <v>26.231000000000002</v>
      </c>
      <c r="AG1181" s="363">
        <v>0</v>
      </c>
      <c r="AH1181" s="635" t="s">
        <v>10941</v>
      </c>
      <c r="AL1181" s="487" t="s">
        <v>15593</v>
      </c>
      <c r="AM1181" s="477" t="s">
        <v>70</v>
      </c>
      <c r="AN1181" s="637">
        <v>100</v>
      </c>
      <c r="AO1181" s="478">
        <v>-1570</v>
      </c>
      <c r="AP1181" s="463">
        <v>-1570</v>
      </c>
      <c r="AQ1181" s="479">
        <v>0</v>
      </c>
      <c r="AR1181" s="476" t="s">
        <v>17345</v>
      </c>
      <c r="BA1181" s="313" t="s">
        <v>5307</v>
      </c>
    </row>
    <row r="1182" spans="2:53" ht="16.5" customHeight="1">
      <c r="B1182" s="367" t="s">
        <v>11183</v>
      </c>
      <c r="C1182" s="351" t="s">
        <v>11184</v>
      </c>
      <c r="D1182" s="353">
        <v>-1570</v>
      </c>
      <c r="E1182" s="352" t="s">
        <v>11142</v>
      </c>
      <c r="F1182" s="341">
        <v>80.7</v>
      </c>
      <c r="G1182" s="355" t="s">
        <v>5283</v>
      </c>
      <c r="H1182" s="356" t="s">
        <v>18797</v>
      </c>
      <c r="I1182" s="354" t="s">
        <v>422</v>
      </c>
      <c r="J1182" s="340" t="s">
        <v>8283</v>
      </c>
      <c r="K1182" s="339" t="s">
        <v>70</v>
      </c>
      <c r="L1182" s="357">
        <v>8</v>
      </c>
      <c r="M1182" s="358" t="s">
        <v>11185</v>
      </c>
      <c r="N1182" s="359">
        <v>1000</v>
      </c>
      <c r="O1182" s="360" t="s">
        <v>454</v>
      </c>
      <c r="P1182" s="343" t="s">
        <v>454</v>
      </c>
      <c r="Q1182" s="342" t="s">
        <v>2688</v>
      </c>
      <c r="R1182" s="344">
        <v>20</v>
      </c>
      <c r="S1182" s="345">
        <v>35</v>
      </c>
      <c r="T1182" s="362">
        <v>30</v>
      </c>
      <c r="U1182" s="361">
        <v>80.7</v>
      </c>
      <c r="V1182" s="346">
        <v>119.18909348441926</v>
      </c>
      <c r="W1182" s="348">
        <v>118.79398261209339</v>
      </c>
      <c r="X1182" s="347">
        <v>59.92</v>
      </c>
      <c r="Y1182" s="357" t="s">
        <v>408</v>
      </c>
      <c r="Z1182" s="365" t="s">
        <v>3017</v>
      </c>
      <c r="AA1182" s="350">
        <v>147</v>
      </c>
      <c r="AB1182" s="349" t="s">
        <v>2685</v>
      </c>
      <c r="AC1182" s="350">
        <v>5</v>
      </c>
      <c r="AD1182" s="349" t="s">
        <v>2685</v>
      </c>
      <c r="AE1182" s="364">
        <v>0</v>
      </c>
      <c r="AF1182" s="366">
        <v>26.228000000000002</v>
      </c>
      <c r="AG1182" s="363">
        <v>0</v>
      </c>
      <c r="AH1182" s="635" t="s">
        <v>10941</v>
      </c>
      <c r="AL1182" s="487" t="s">
        <v>15594</v>
      </c>
      <c r="AM1182" s="477" t="s">
        <v>70</v>
      </c>
      <c r="AN1182" s="637">
        <v>100</v>
      </c>
      <c r="AO1182" s="478">
        <v>-1570</v>
      </c>
      <c r="AP1182" s="463">
        <v>-1570</v>
      </c>
      <c r="AQ1182" s="479">
        <v>0</v>
      </c>
      <c r="AR1182" s="476" t="s">
        <v>17346</v>
      </c>
      <c r="BA1182" s="313" t="s">
        <v>5308</v>
      </c>
    </row>
    <row r="1183" spans="2:53" ht="16.5" customHeight="1">
      <c r="B1183" s="367" t="s">
        <v>11183</v>
      </c>
      <c r="C1183" s="351" t="s">
        <v>11184</v>
      </c>
      <c r="D1183" s="353">
        <v>-1570</v>
      </c>
      <c r="E1183" s="352" t="s">
        <v>408</v>
      </c>
      <c r="F1183" s="341">
        <v>80.69</v>
      </c>
      <c r="G1183" s="355" t="s">
        <v>11186</v>
      </c>
      <c r="H1183" s="356" t="s">
        <v>4808</v>
      </c>
      <c r="I1183" s="354" t="s">
        <v>216</v>
      </c>
      <c r="J1183" s="340" t="s">
        <v>11187</v>
      </c>
      <c r="K1183" s="339" t="s">
        <v>70</v>
      </c>
      <c r="L1183" s="357">
        <v>17</v>
      </c>
      <c r="M1183" s="358" t="s">
        <v>11188</v>
      </c>
      <c r="N1183" s="359">
        <v>300</v>
      </c>
      <c r="O1183" s="360" t="s">
        <v>530</v>
      </c>
      <c r="P1183" s="343" t="s">
        <v>530</v>
      </c>
      <c r="Q1183" s="342" t="s">
        <v>2688</v>
      </c>
      <c r="R1183" s="344">
        <v>25</v>
      </c>
      <c r="S1183" s="345">
        <v>45</v>
      </c>
      <c r="T1183" s="362">
        <v>30</v>
      </c>
      <c r="U1183" s="361">
        <v>80.69</v>
      </c>
      <c r="V1183" s="346">
        <v>119.18238903320518</v>
      </c>
      <c r="W1183" s="348">
        <v>118.79028360452699</v>
      </c>
      <c r="X1183" s="347">
        <v>59.91</v>
      </c>
      <c r="Y1183" s="357" t="s">
        <v>408</v>
      </c>
      <c r="Z1183" s="365" t="s">
        <v>3017</v>
      </c>
      <c r="AA1183" s="350">
        <v>-2</v>
      </c>
      <c r="AB1183" s="349" t="s">
        <v>2685</v>
      </c>
      <c r="AC1183" s="350">
        <v>0</v>
      </c>
      <c r="AD1183" s="349" t="s">
        <v>2685</v>
      </c>
      <c r="AE1183" s="364">
        <v>0</v>
      </c>
      <c r="AF1183" s="366">
        <v>0</v>
      </c>
      <c r="AG1183" s="363">
        <v>0</v>
      </c>
      <c r="AH1183" s="635" t="s">
        <v>408</v>
      </c>
      <c r="AL1183" s="487" t="s">
        <v>15595</v>
      </c>
      <c r="AM1183" s="477" t="s">
        <v>70</v>
      </c>
      <c r="AN1183" s="637">
        <v>100</v>
      </c>
      <c r="AO1183" s="478">
        <v>-1570</v>
      </c>
      <c r="AP1183" s="463">
        <v>-1570</v>
      </c>
      <c r="AQ1183" s="479">
        <v>0</v>
      </c>
      <c r="AR1183" s="476" t="s">
        <v>17347</v>
      </c>
      <c r="BA1183" s="313" t="s">
        <v>5314</v>
      </c>
    </row>
    <row r="1184" spans="2:53" ht="16.5" customHeight="1">
      <c r="B1184" s="367" t="s">
        <v>5171</v>
      </c>
      <c r="C1184" s="351" t="s">
        <v>5172</v>
      </c>
      <c r="D1184" s="353">
        <v>-1570</v>
      </c>
      <c r="E1184" s="352" t="s">
        <v>408</v>
      </c>
      <c r="F1184" s="341">
        <v>80.63</v>
      </c>
      <c r="G1184" s="355" t="s">
        <v>5295</v>
      </c>
      <c r="H1184" s="356" t="s">
        <v>4733</v>
      </c>
      <c r="I1184" s="354" t="s">
        <v>195</v>
      </c>
      <c r="J1184" s="340" t="s">
        <v>418</v>
      </c>
      <c r="K1184" s="339" t="s">
        <v>70</v>
      </c>
      <c r="L1184" s="357">
        <v>40</v>
      </c>
      <c r="M1184" s="358" t="s">
        <v>11189</v>
      </c>
      <c r="N1184" s="359">
        <v>100</v>
      </c>
      <c r="O1184" s="360" t="s">
        <v>454</v>
      </c>
      <c r="P1184" s="343" t="s">
        <v>454</v>
      </c>
      <c r="Q1184" s="342" t="s">
        <v>2738</v>
      </c>
      <c r="R1184" s="344">
        <v>25</v>
      </c>
      <c r="S1184" s="345">
        <v>35</v>
      </c>
      <c r="T1184" s="362">
        <v>20</v>
      </c>
      <c r="U1184" s="361">
        <v>80.63</v>
      </c>
      <c r="V1184" s="346">
        <v>119.140625</v>
      </c>
      <c r="W1184" s="348">
        <v>118.76724137931035</v>
      </c>
      <c r="X1184" s="347">
        <v>59.89</v>
      </c>
      <c r="Y1184" s="357" t="s">
        <v>408</v>
      </c>
      <c r="Z1184" s="365" t="s">
        <v>3017</v>
      </c>
      <c r="AA1184" s="350">
        <v>19</v>
      </c>
      <c r="AB1184" s="349" t="s">
        <v>2685</v>
      </c>
      <c r="AC1184" s="350">
        <v>0</v>
      </c>
      <c r="AD1184" s="349" t="s">
        <v>2685</v>
      </c>
      <c r="AE1184" s="364">
        <v>0</v>
      </c>
      <c r="AF1184" s="366">
        <v>0</v>
      </c>
      <c r="AG1184" s="363">
        <v>0</v>
      </c>
      <c r="AH1184" s="635" t="s">
        <v>408</v>
      </c>
      <c r="AL1184" s="487" t="s">
        <v>7213</v>
      </c>
      <c r="AM1184" s="477" t="s">
        <v>70</v>
      </c>
      <c r="AN1184" s="637">
        <v>100</v>
      </c>
      <c r="AO1184" s="478">
        <v>-1570</v>
      </c>
      <c r="AP1184" s="463">
        <v>-1570</v>
      </c>
      <c r="AQ1184" s="479">
        <v>0</v>
      </c>
      <c r="AR1184" s="476" t="s">
        <v>17348</v>
      </c>
      <c r="BA1184" s="313" t="s">
        <v>5316</v>
      </c>
    </row>
    <row r="1185" spans="2:53" ht="16.5" customHeight="1">
      <c r="B1185" s="367" t="s">
        <v>5171</v>
      </c>
      <c r="C1185" s="351" t="s">
        <v>5172</v>
      </c>
      <c r="D1185" s="353">
        <v>-1570</v>
      </c>
      <c r="E1185" s="352" t="s">
        <v>408</v>
      </c>
      <c r="F1185" s="341">
        <v>80.63</v>
      </c>
      <c r="G1185" s="355" t="s">
        <v>5295</v>
      </c>
      <c r="H1185" s="356" t="s">
        <v>4733</v>
      </c>
      <c r="I1185" s="354" t="s">
        <v>195</v>
      </c>
      <c r="J1185" s="340" t="s">
        <v>555</v>
      </c>
      <c r="K1185" s="339" t="s">
        <v>70</v>
      </c>
      <c r="L1185" s="357">
        <v>15</v>
      </c>
      <c r="M1185" s="358" t="s">
        <v>11189</v>
      </c>
      <c r="N1185" s="359">
        <v>100</v>
      </c>
      <c r="O1185" s="360" t="s">
        <v>454</v>
      </c>
      <c r="P1185" s="343" t="s">
        <v>454</v>
      </c>
      <c r="Q1185" s="342" t="s">
        <v>2738</v>
      </c>
      <c r="R1185" s="344">
        <v>25</v>
      </c>
      <c r="S1185" s="345">
        <v>35</v>
      </c>
      <c r="T1185" s="362">
        <v>20</v>
      </c>
      <c r="U1185" s="361">
        <v>80.63</v>
      </c>
      <c r="V1185" s="346">
        <v>119.140625</v>
      </c>
      <c r="W1185" s="348">
        <v>118.76724137931035</v>
      </c>
      <c r="X1185" s="347">
        <v>59.89</v>
      </c>
      <c r="Y1185" s="357" t="s">
        <v>408</v>
      </c>
      <c r="Z1185" s="365" t="s">
        <v>3017</v>
      </c>
      <c r="AA1185" s="350">
        <v>19</v>
      </c>
      <c r="AB1185" s="349" t="s">
        <v>2685</v>
      </c>
      <c r="AC1185" s="350">
        <v>0</v>
      </c>
      <c r="AD1185" s="349" t="s">
        <v>2685</v>
      </c>
      <c r="AE1185" s="364">
        <v>0</v>
      </c>
      <c r="AF1185" s="366">
        <v>0</v>
      </c>
      <c r="AG1185" s="363">
        <v>0</v>
      </c>
      <c r="AH1185" s="635" t="s">
        <v>408</v>
      </c>
      <c r="AL1185" s="487" t="s">
        <v>15596</v>
      </c>
      <c r="AM1185" s="477" t="s">
        <v>70</v>
      </c>
      <c r="AN1185" s="637">
        <v>100</v>
      </c>
      <c r="AO1185" s="478">
        <v>-1570</v>
      </c>
      <c r="AP1185" s="463">
        <v>-1570</v>
      </c>
      <c r="AQ1185" s="479">
        <v>0</v>
      </c>
      <c r="AR1185" s="476" t="s">
        <v>17348</v>
      </c>
      <c r="BA1185" s="313" t="s">
        <v>5317</v>
      </c>
    </row>
    <row r="1186" spans="2:53" ht="16.5" customHeight="1">
      <c r="B1186" s="367" t="s">
        <v>5171</v>
      </c>
      <c r="C1186" s="351" t="s">
        <v>5172</v>
      </c>
      <c r="D1186" s="353">
        <v>-1570</v>
      </c>
      <c r="E1186" s="352" t="s">
        <v>408</v>
      </c>
      <c r="F1186" s="341">
        <v>80.63</v>
      </c>
      <c r="G1186" s="355" t="s">
        <v>5244</v>
      </c>
      <c r="H1186" s="356" t="s">
        <v>4735</v>
      </c>
      <c r="I1186" s="354" t="s">
        <v>422</v>
      </c>
      <c r="J1186" s="340" t="s">
        <v>8534</v>
      </c>
      <c r="K1186" s="339" t="s">
        <v>71</v>
      </c>
      <c r="L1186" s="357">
        <v>14</v>
      </c>
      <c r="M1186" s="358" t="s">
        <v>5043</v>
      </c>
      <c r="N1186" s="359">
        <v>1000</v>
      </c>
      <c r="O1186" s="360" t="s">
        <v>454</v>
      </c>
      <c r="P1186" s="343" t="s">
        <v>454</v>
      </c>
      <c r="Q1186" s="342" t="s">
        <v>2688</v>
      </c>
      <c r="R1186" s="344">
        <v>35</v>
      </c>
      <c r="S1186" s="345">
        <v>25</v>
      </c>
      <c r="T1186" s="362">
        <v>20</v>
      </c>
      <c r="U1186" s="361">
        <v>80.63</v>
      </c>
      <c r="V1186" s="346">
        <v>119.140625</v>
      </c>
      <c r="W1186" s="348">
        <v>118.76724137931035</v>
      </c>
      <c r="X1186" s="347">
        <v>60.14</v>
      </c>
      <c r="Y1186" s="357" t="s">
        <v>408</v>
      </c>
      <c r="Z1186" s="365" t="s">
        <v>3017</v>
      </c>
      <c r="AA1186" s="350">
        <v>196</v>
      </c>
      <c r="AB1186" s="349" t="s">
        <v>2685</v>
      </c>
      <c r="AC1186" s="350">
        <v>5</v>
      </c>
      <c r="AD1186" s="349" t="s">
        <v>2685</v>
      </c>
      <c r="AE1186" s="364">
        <v>0</v>
      </c>
      <c r="AF1186" s="366">
        <v>0</v>
      </c>
      <c r="AG1186" s="363">
        <v>0</v>
      </c>
      <c r="AH1186" s="635" t="s">
        <v>408</v>
      </c>
      <c r="AL1186" s="487" t="s">
        <v>15597</v>
      </c>
      <c r="AM1186" s="477" t="s">
        <v>71</v>
      </c>
      <c r="AN1186" s="637">
        <v>100</v>
      </c>
      <c r="AO1186" s="478">
        <v>-1570</v>
      </c>
      <c r="AP1186" s="463">
        <v>-724</v>
      </c>
      <c r="AQ1186" s="479">
        <v>-846</v>
      </c>
      <c r="AR1186" s="476" t="s">
        <v>17349</v>
      </c>
      <c r="BA1186" s="313" t="s">
        <v>5319</v>
      </c>
    </row>
    <row r="1187" spans="2:53" ht="16.5" customHeight="1">
      <c r="B1187" s="367" t="s">
        <v>5171</v>
      </c>
      <c r="C1187" s="351" t="s">
        <v>5172</v>
      </c>
      <c r="D1187" s="353">
        <v>-1570</v>
      </c>
      <c r="E1187" s="352" t="s">
        <v>408</v>
      </c>
      <c r="F1187" s="341">
        <v>80.63</v>
      </c>
      <c r="G1187" s="355" t="s">
        <v>5244</v>
      </c>
      <c r="H1187" s="356" t="s">
        <v>4735</v>
      </c>
      <c r="I1187" s="354" t="s">
        <v>422</v>
      </c>
      <c r="J1187" s="340" t="s">
        <v>8618</v>
      </c>
      <c r="K1187" s="339" t="s">
        <v>71</v>
      </c>
      <c r="L1187" s="357">
        <v>12</v>
      </c>
      <c r="M1187" s="358" t="s">
        <v>5043</v>
      </c>
      <c r="N1187" s="359">
        <v>1000</v>
      </c>
      <c r="O1187" s="360" t="s">
        <v>454</v>
      </c>
      <c r="P1187" s="343" t="s">
        <v>454</v>
      </c>
      <c r="Q1187" s="342" t="s">
        <v>2688</v>
      </c>
      <c r="R1187" s="344">
        <v>35</v>
      </c>
      <c r="S1187" s="345">
        <v>25</v>
      </c>
      <c r="T1187" s="362">
        <v>20</v>
      </c>
      <c r="U1187" s="361">
        <v>80.63</v>
      </c>
      <c r="V1187" s="346">
        <v>119.140625</v>
      </c>
      <c r="W1187" s="348">
        <v>118.76724137931035</v>
      </c>
      <c r="X1187" s="347">
        <v>60.14</v>
      </c>
      <c r="Y1187" s="357" t="s">
        <v>408</v>
      </c>
      <c r="Z1187" s="365" t="s">
        <v>3017</v>
      </c>
      <c r="AA1187" s="350">
        <v>196</v>
      </c>
      <c r="AB1187" s="349" t="s">
        <v>2685</v>
      </c>
      <c r="AC1187" s="350">
        <v>5</v>
      </c>
      <c r="AD1187" s="349" t="s">
        <v>2685</v>
      </c>
      <c r="AE1187" s="364">
        <v>0</v>
      </c>
      <c r="AF1187" s="366">
        <v>0</v>
      </c>
      <c r="AG1187" s="363">
        <v>0</v>
      </c>
      <c r="AH1187" s="635" t="s">
        <v>408</v>
      </c>
      <c r="AL1187" s="487" t="s">
        <v>15598</v>
      </c>
      <c r="AM1187" s="477" t="s">
        <v>71</v>
      </c>
      <c r="AN1187" s="637">
        <v>100</v>
      </c>
      <c r="AO1187" s="478">
        <v>-1570</v>
      </c>
      <c r="AP1187" s="463">
        <v>-724</v>
      </c>
      <c r="AQ1187" s="479">
        <v>-846</v>
      </c>
      <c r="AR1187" s="476" t="s">
        <v>17349</v>
      </c>
      <c r="BA1187" s="313" t="s">
        <v>5320</v>
      </c>
    </row>
    <row r="1188" spans="2:53" ht="16.5" customHeight="1">
      <c r="B1188" s="367" t="s">
        <v>5171</v>
      </c>
      <c r="C1188" s="351" t="s">
        <v>5172</v>
      </c>
      <c r="D1188" s="353">
        <v>-1570</v>
      </c>
      <c r="E1188" s="352" t="s">
        <v>5295</v>
      </c>
      <c r="F1188" s="341">
        <v>80.63</v>
      </c>
      <c r="G1188" s="355" t="s">
        <v>5244</v>
      </c>
      <c r="H1188" s="356" t="s">
        <v>4735</v>
      </c>
      <c r="I1188" s="354" t="s">
        <v>422</v>
      </c>
      <c r="J1188" s="340" t="s">
        <v>11191</v>
      </c>
      <c r="K1188" s="339" t="s">
        <v>71</v>
      </c>
      <c r="L1188" s="357">
        <v>30</v>
      </c>
      <c r="M1188" s="358" t="s">
        <v>5043</v>
      </c>
      <c r="N1188" s="359">
        <v>1000</v>
      </c>
      <c r="O1188" s="360" t="s">
        <v>454</v>
      </c>
      <c r="P1188" s="343" t="s">
        <v>454</v>
      </c>
      <c r="Q1188" s="342" t="s">
        <v>2688</v>
      </c>
      <c r="R1188" s="344">
        <v>25</v>
      </c>
      <c r="S1188" s="345">
        <v>35</v>
      </c>
      <c r="T1188" s="362">
        <v>20</v>
      </c>
      <c r="U1188" s="361">
        <v>80.63</v>
      </c>
      <c r="V1188" s="346">
        <v>119.140625</v>
      </c>
      <c r="W1188" s="348">
        <v>118.76724137931035</v>
      </c>
      <c r="X1188" s="347">
        <v>60.14</v>
      </c>
      <c r="Y1188" s="357" t="s">
        <v>408</v>
      </c>
      <c r="Z1188" s="365" t="s">
        <v>3017</v>
      </c>
      <c r="AA1188" s="350">
        <v>196</v>
      </c>
      <c r="AB1188" s="349" t="s">
        <v>2685</v>
      </c>
      <c r="AC1188" s="350">
        <v>5</v>
      </c>
      <c r="AD1188" s="349" t="s">
        <v>2685</v>
      </c>
      <c r="AE1188" s="364">
        <v>0</v>
      </c>
      <c r="AF1188" s="366">
        <v>0</v>
      </c>
      <c r="AG1188" s="363">
        <v>0</v>
      </c>
      <c r="AH1188" s="635" t="s">
        <v>408</v>
      </c>
      <c r="AL1188" s="487" t="s">
        <v>15599</v>
      </c>
      <c r="AM1188" s="477" t="s">
        <v>71</v>
      </c>
      <c r="AN1188" s="637">
        <v>100</v>
      </c>
      <c r="AO1188" s="478">
        <v>-1570</v>
      </c>
      <c r="AP1188" s="463">
        <v>-724</v>
      </c>
      <c r="AQ1188" s="479">
        <v>-846</v>
      </c>
      <c r="AR1188" s="476" t="s">
        <v>17349</v>
      </c>
      <c r="BA1188" s="313" t="s">
        <v>5323</v>
      </c>
    </row>
    <row r="1189" spans="2:53" ht="16.5" customHeight="1">
      <c r="B1189" s="367" t="s">
        <v>5121</v>
      </c>
      <c r="C1189" s="351" t="s">
        <v>5122</v>
      </c>
      <c r="D1189" s="353">
        <v>-1570</v>
      </c>
      <c r="E1189" s="352" t="s">
        <v>5295</v>
      </c>
      <c r="F1189" s="341">
        <v>80.62</v>
      </c>
      <c r="G1189" s="355" t="s">
        <v>5247</v>
      </c>
      <c r="H1189" s="356" t="s">
        <v>10616</v>
      </c>
      <c r="I1189" s="354" t="s">
        <v>209</v>
      </c>
      <c r="J1189" s="340" t="s">
        <v>8654</v>
      </c>
      <c r="K1189" s="339" t="s">
        <v>71</v>
      </c>
      <c r="L1189" s="357">
        <v>20</v>
      </c>
      <c r="M1189" s="358" t="s">
        <v>2736</v>
      </c>
      <c r="N1189" s="359">
        <v>1000</v>
      </c>
      <c r="O1189" s="360" t="s">
        <v>530</v>
      </c>
      <c r="P1189" s="343" t="s">
        <v>530</v>
      </c>
      <c r="Q1189" s="342" t="s">
        <v>2688</v>
      </c>
      <c r="R1189" s="344">
        <v>30</v>
      </c>
      <c r="S1189" s="345">
        <v>25</v>
      </c>
      <c r="T1189" s="362">
        <v>25</v>
      </c>
      <c r="U1189" s="361">
        <v>80.62</v>
      </c>
      <c r="V1189" s="346">
        <v>119.13629975865079</v>
      </c>
      <c r="W1189" s="348">
        <v>118.76485503925561</v>
      </c>
      <c r="X1189" s="347">
        <v>60.13</v>
      </c>
      <c r="Y1189" s="357" t="s">
        <v>408</v>
      </c>
      <c r="Z1189" s="365" t="s">
        <v>3017</v>
      </c>
      <c r="AA1189" s="350">
        <v>198</v>
      </c>
      <c r="AB1189" s="349" t="s">
        <v>2685</v>
      </c>
      <c r="AC1189" s="350">
        <v>10</v>
      </c>
      <c r="AD1189" s="349" t="s">
        <v>2685</v>
      </c>
      <c r="AE1189" s="364">
        <v>0</v>
      </c>
      <c r="AF1189" s="366">
        <v>0</v>
      </c>
      <c r="AG1189" s="363">
        <v>0</v>
      </c>
      <c r="AH1189" s="635" t="s">
        <v>408</v>
      </c>
      <c r="AL1189" s="487" t="s">
        <v>15600</v>
      </c>
      <c r="AM1189" s="477" t="s">
        <v>71</v>
      </c>
      <c r="AN1189" s="637">
        <v>100</v>
      </c>
      <c r="AO1189" s="478">
        <v>-1570</v>
      </c>
      <c r="AP1189" s="463">
        <v>-724</v>
      </c>
      <c r="AQ1189" s="479">
        <v>-846</v>
      </c>
      <c r="AR1189" s="476" t="s">
        <v>17350</v>
      </c>
      <c r="BA1189" s="313" t="s">
        <v>5325</v>
      </c>
    </row>
    <row r="1190" spans="2:53" ht="16.5" customHeight="1">
      <c r="B1190" s="367" t="s">
        <v>5121</v>
      </c>
      <c r="C1190" s="351" t="s">
        <v>5122</v>
      </c>
      <c r="D1190" s="353">
        <v>-1570</v>
      </c>
      <c r="E1190" s="352" t="s">
        <v>5295</v>
      </c>
      <c r="F1190" s="341">
        <v>80.62</v>
      </c>
      <c r="G1190" s="355" t="s">
        <v>5247</v>
      </c>
      <c r="H1190" s="356" t="s">
        <v>10616</v>
      </c>
      <c r="I1190" s="354" t="s">
        <v>209</v>
      </c>
      <c r="J1190" s="340" t="s">
        <v>8217</v>
      </c>
      <c r="K1190" s="339" t="s">
        <v>71</v>
      </c>
      <c r="L1190" s="357">
        <v>16</v>
      </c>
      <c r="M1190" s="358" t="s">
        <v>2736</v>
      </c>
      <c r="N1190" s="359">
        <v>1000</v>
      </c>
      <c r="O1190" s="360" t="s">
        <v>530</v>
      </c>
      <c r="P1190" s="343" t="s">
        <v>530</v>
      </c>
      <c r="Q1190" s="342" t="s">
        <v>2688</v>
      </c>
      <c r="R1190" s="344">
        <v>30</v>
      </c>
      <c r="S1190" s="345">
        <v>25</v>
      </c>
      <c r="T1190" s="362">
        <v>25</v>
      </c>
      <c r="U1190" s="361">
        <v>80.62</v>
      </c>
      <c r="V1190" s="346">
        <v>119.13629975865079</v>
      </c>
      <c r="W1190" s="348">
        <v>118.76485503925561</v>
      </c>
      <c r="X1190" s="347">
        <v>60.13</v>
      </c>
      <c r="Y1190" s="357" t="s">
        <v>408</v>
      </c>
      <c r="Z1190" s="365" t="s">
        <v>3017</v>
      </c>
      <c r="AA1190" s="350">
        <v>198</v>
      </c>
      <c r="AB1190" s="349" t="s">
        <v>2685</v>
      </c>
      <c r="AC1190" s="350">
        <v>10</v>
      </c>
      <c r="AD1190" s="349" t="s">
        <v>2685</v>
      </c>
      <c r="AE1190" s="364">
        <v>0</v>
      </c>
      <c r="AF1190" s="366">
        <v>0</v>
      </c>
      <c r="AG1190" s="363">
        <v>0</v>
      </c>
      <c r="AH1190" s="635" t="s">
        <v>408</v>
      </c>
      <c r="AL1190" s="487" t="s">
        <v>15601</v>
      </c>
      <c r="AM1190" s="477" t="s">
        <v>71</v>
      </c>
      <c r="AN1190" s="637">
        <v>100</v>
      </c>
      <c r="AO1190" s="478">
        <v>-1570</v>
      </c>
      <c r="AP1190" s="463">
        <v>-724</v>
      </c>
      <c r="AQ1190" s="479">
        <v>-846</v>
      </c>
      <c r="AR1190" s="476" t="s">
        <v>17350</v>
      </c>
      <c r="BA1190" s="313" t="s">
        <v>5329</v>
      </c>
    </row>
    <row r="1191" spans="2:53" ht="16.5" customHeight="1">
      <c r="B1191" s="367" t="s">
        <v>11192</v>
      </c>
      <c r="C1191" s="351" t="s">
        <v>11193</v>
      </c>
      <c r="D1191" s="353">
        <v>-1570</v>
      </c>
      <c r="E1191" s="352" t="s">
        <v>408</v>
      </c>
      <c r="F1191" s="341">
        <v>80.569999999999993</v>
      </c>
      <c r="G1191" s="355" t="s">
        <v>11194</v>
      </c>
      <c r="H1191" s="356" t="s">
        <v>10608</v>
      </c>
      <c r="I1191" s="354" t="s">
        <v>422</v>
      </c>
      <c r="J1191" s="340" t="s">
        <v>8757</v>
      </c>
      <c r="K1191" s="339" t="s">
        <v>70</v>
      </c>
      <c r="L1191" s="357">
        <v>16</v>
      </c>
      <c r="M1191" s="358" t="s">
        <v>11195</v>
      </c>
      <c r="N1191" s="359">
        <v>1000</v>
      </c>
      <c r="O1191" s="360" t="s">
        <v>454</v>
      </c>
      <c r="P1191" s="343" t="s">
        <v>454</v>
      </c>
      <c r="Q1191" s="342" t="s">
        <v>2688</v>
      </c>
      <c r="R1191" s="344">
        <v>20</v>
      </c>
      <c r="S1191" s="345">
        <v>35</v>
      </c>
      <c r="T1191" s="362">
        <v>30</v>
      </c>
      <c r="U1191" s="361">
        <v>80.569999999999993</v>
      </c>
      <c r="V1191" s="346">
        <v>119.10410764872522</v>
      </c>
      <c r="W1191" s="348">
        <v>118.74709387515874</v>
      </c>
      <c r="X1191" s="347">
        <v>59.87</v>
      </c>
      <c r="Y1191" s="357" t="s">
        <v>408</v>
      </c>
      <c r="Z1191" s="365" t="s">
        <v>3017</v>
      </c>
      <c r="AA1191" s="350">
        <v>147</v>
      </c>
      <c r="AB1191" s="349" t="s">
        <v>2685</v>
      </c>
      <c r="AC1191" s="350">
        <v>5</v>
      </c>
      <c r="AD1191" s="349" t="s">
        <v>2685</v>
      </c>
      <c r="AE1191" s="364">
        <v>0</v>
      </c>
      <c r="AF1191" s="366">
        <v>26.184999999999999</v>
      </c>
      <c r="AG1191" s="363">
        <v>0</v>
      </c>
      <c r="AH1191" s="635" t="s">
        <v>10941</v>
      </c>
      <c r="AL1191" s="487" t="s">
        <v>15602</v>
      </c>
      <c r="AM1191" s="477" t="s">
        <v>70</v>
      </c>
      <c r="AN1191" s="637">
        <v>100</v>
      </c>
      <c r="AO1191" s="478">
        <v>-1570</v>
      </c>
      <c r="AP1191" s="463">
        <v>-1570</v>
      </c>
      <c r="AQ1191" s="479">
        <v>0</v>
      </c>
      <c r="AR1191" s="476" t="s">
        <v>17351</v>
      </c>
      <c r="BA1191" s="313" t="s">
        <v>5330</v>
      </c>
    </row>
    <row r="1192" spans="2:53" ht="16.5" customHeight="1">
      <c r="B1192" s="367" t="s">
        <v>11192</v>
      </c>
      <c r="C1192" s="351" t="s">
        <v>11193</v>
      </c>
      <c r="D1192" s="353">
        <v>-1570</v>
      </c>
      <c r="E1192" s="352" t="s">
        <v>11194</v>
      </c>
      <c r="F1192" s="341">
        <v>80.56</v>
      </c>
      <c r="G1192" s="355" t="s">
        <v>18798</v>
      </c>
      <c r="H1192" s="356" t="s">
        <v>18799</v>
      </c>
      <c r="I1192" s="354" t="s">
        <v>424</v>
      </c>
      <c r="J1192" s="340" t="s">
        <v>11197</v>
      </c>
      <c r="K1192" s="339" t="s">
        <v>71</v>
      </c>
      <c r="L1192" s="357">
        <v>141</v>
      </c>
      <c r="M1192" s="358" t="s">
        <v>5255</v>
      </c>
      <c r="N1192" s="359">
        <v>1000</v>
      </c>
      <c r="O1192" s="360" t="s">
        <v>454</v>
      </c>
      <c r="P1192" s="343" t="s">
        <v>454</v>
      </c>
      <c r="Q1192" s="342" t="s">
        <v>2738</v>
      </c>
      <c r="R1192" s="344">
        <v>35</v>
      </c>
      <c r="S1192" s="345">
        <v>25</v>
      </c>
      <c r="T1192" s="362">
        <v>20</v>
      </c>
      <c r="U1192" s="361">
        <v>80.56</v>
      </c>
      <c r="V1192" s="346">
        <v>119.1015625</v>
      </c>
      <c r="W1192" s="348">
        <v>118.74568965517241</v>
      </c>
      <c r="X1192" s="347">
        <v>60.12</v>
      </c>
      <c r="Y1192" s="357" t="s">
        <v>408</v>
      </c>
      <c r="Z1192" s="365" t="s">
        <v>3017</v>
      </c>
      <c r="AA1192" s="350">
        <v>196</v>
      </c>
      <c r="AB1192" s="349" t="s">
        <v>2685</v>
      </c>
      <c r="AC1192" s="350">
        <v>3</v>
      </c>
      <c r="AD1192" s="349" t="s">
        <v>2685</v>
      </c>
      <c r="AE1192" s="364">
        <v>0</v>
      </c>
      <c r="AF1192" s="366">
        <v>0</v>
      </c>
      <c r="AG1192" s="363">
        <v>0</v>
      </c>
      <c r="AH1192" s="635" t="s">
        <v>408</v>
      </c>
      <c r="AL1192" s="487" t="s">
        <v>15603</v>
      </c>
      <c r="AM1192" s="477" t="s">
        <v>71</v>
      </c>
      <c r="AN1192" s="637">
        <v>100</v>
      </c>
      <c r="AO1192" s="478">
        <v>-1570</v>
      </c>
      <c r="AP1192" s="463">
        <v>-723</v>
      </c>
      <c r="AQ1192" s="479">
        <v>-847</v>
      </c>
      <c r="AR1192" s="476" t="s">
        <v>17352</v>
      </c>
      <c r="BA1192" s="313" t="s">
        <v>5333</v>
      </c>
    </row>
    <row r="1193" spans="2:53" ht="16.5" customHeight="1">
      <c r="B1193" s="367" t="s">
        <v>11192</v>
      </c>
      <c r="C1193" s="351" t="s">
        <v>11193</v>
      </c>
      <c r="D1193" s="353">
        <v>-1570</v>
      </c>
      <c r="E1193" s="352" t="s">
        <v>11194</v>
      </c>
      <c r="F1193" s="341">
        <v>80.56</v>
      </c>
      <c r="G1193" s="355" t="s">
        <v>18798</v>
      </c>
      <c r="H1193" s="356" t="s">
        <v>18799</v>
      </c>
      <c r="I1193" s="354" t="s">
        <v>422</v>
      </c>
      <c r="J1193" s="340" t="s">
        <v>9411</v>
      </c>
      <c r="K1193" s="339" t="s">
        <v>71</v>
      </c>
      <c r="L1193" s="357">
        <v>15</v>
      </c>
      <c r="M1193" s="358" t="s">
        <v>11198</v>
      </c>
      <c r="N1193" s="359">
        <v>1000</v>
      </c>
      <c r="O1193" s="360" t="s">
        <v>454</v>
      </c>
      <c r="P1193" s="343" t="s">
        <v>454</v>
      </c>
      <c r="Q1193" s="342" t="s">
        <v>2688</v>
      </c>
      <c r="R1193" s="344">
        <v>35</v>
      </c>
      <c r="S1193" s="345">
        <v>25</v>
      </c>
      <c r="T1193" s="362">
        <v>20</v>
      </c>
      <c r="U1193" s="361">
        <v>80.56</v>
      </c>
      <c r="V1193" s="346">
        <v>119.1015625</v>
      </c>
      <c r="W1193" s="348">
        <v>118.74568965517241</v>
      </c>
      <c r="X1193" s="347">
        <v>60.12</v>
      </c>
      <c r="Y1193" s="357" t="s">
        <v>408</v>
      </c>
      <c r="Z1193" s="365" t="s">
        <v>3017</v>
      </c>
      <c r="AA1193" s="350">
        <v>196</v>
      </c>
      <c r="AB1193" s="349" t="s">
        <v>2685</v>
      </c>
      <c r="AC1193" s="350">
        <v>5</v>
      </c>
      <c r="AD1193" s="349" t="s">
        <v>2685</v>
      </c>
      <c r="AE1193" s="364">
        <v>0</v>
      </c>
      <c r="AF1193" s="366">
        <v>0</v>
      </c>
      <c r="AG1193" s="363">
        <v>0</v>
      </c>
      <c r="AH1193" s="635" t="s">
        <v>408</v>
      </c>
      <c r="AL1193" s="487" t="s">
        <v>15604</v>
      </c>
      <c r="AM1193" s="477" t="s">
        <v>71</v>
      </c>
      <c r="AN1193" s="637">
        <v>100</v>
      </c>
      <c r="AO1193" s="478">
        <v>-1570</v>
      </c>
      <c r="AP1193" s="463">
        <v>-723</v>
      </c>
      <c r="AQ1193" s="479">
        <v>-847</v>
      </c>
      <c r="AR1193" s="476" t="s">
        <v>17352</v>
      </c>
      <c r="BA1193" s="313" t="s">
        <v>5334</v>
      </c>
    </row>
    <row r="1194" spans="2:53" ht="16.5" customHeight="1">
      <c r="B1194" s="367" t="s">
        <v>5183</v>
      </c>
      <c r="C1194" s="351" t="s">
        <v>5184</v>
      </c>
      <c r="D1194" s="353">
        <v>-1570</v>
      </c>
      <c r="E1194" s="352" t="s">
        <v>408</v>
      </c>
      <c r="F1194" s="341">
        <v>80.540000000000006</v>
      </c>
      <c r="G1194" s="355" t="s">
        <v>5311</v>
      </c>
      <c r="H1194" s="356" t="s">
        <v>18800</v>
      </c>
      <c r="I1194" s="354" t="s">
        <v>478</v>
      </c>
      <c r="J1194" s="340" t="s">
        <v>11199</v>
      </c>
      <c r="K1194" s="339" t="s">
        <v>70</v>
      </c>
      <c r="L1194" s="357">
        <v>11</v>
      </c>
      <c r="M1194" s="358" t="s">
        <v>11200</v>
      </c>
      <c r="N1194" s="359">
        <v>1000</v>
      </c>
      <c r="O1194" s="360" t="s">
        <v>532</v>
      </c>
      <c r="P1194" s="343" t="s">
        <v>533</v>
      </c>
      <c r="Q1194" s="342" t="s">
        <v>2688</v>
      </c>
      <c r="R1194" s="344">
        <v>25</v>
      </c>
      <c r="S1194" s="345">
        <v>35</v>
      </c>
      <c r="T1194" s="362">
        <v>25</v>
      </c>
      <c r="U1194" s="361">
        <v>80.540000000000006</v>
      </c>
      <c r="V1194" s="346">
        <v>119.08861574850341</v>
      </c>
      <c r="W1194" s="348">
        <v>118.73854661986395</v>
      </c>
      <c r="X1194" s="347">
        <v>59.87</v>
      </c>
      <c r="Y1194" s="357">
        <v>60.489999999999995</v>
      </c>
      <c r="Z1194" s="365" t="s">
        <v>3017</v>
      </c>
      <c r="AA1194" s="350">
        <v>149.25</v>
      </c>
      <c r="AB1194" s="349" t="s">
        <v>2685</v>
      </c>
      <c r="AC1194" s="350">
        <v>10</v>
      </c>
      <c r="AD1194" s="349" t="s">
        <v>2685</v>
      </c>
      <c r="AE1194" s="364">
        <v>0</v>
      </c>
      <c r="AF1194" s="366">
        <v>6.4809999999999999</v>
      </c>
      <c r="AG1194" s="363">
        <v>0</v>
      </c>
      <c r="AH1194" s="635" t="s">
        <v>8123</v>
      </c>
      <c r="AL1194" s="487" t="s">
        <v>15605</v>
      </c>
      <c r="AM1194" s="477" t="s">
        <v>70</v>
      </c>
      <c r="AN1194" s="637">
        <v>100</v>
      </c>
      <c r="AO1194" s="478">
        <v>-1570</v>
      </c>
      <c r="AP1194" s="463">
        <v>-1570</v>
      </c>
      <c r="AQ1194" s="479">
        <v>0</v>
      </c>
      <c r="AR1194" s="476" t="s">
        <v>17353</v>
      </c>
      <c r="BA1194" s="313" t="s">
        <v>5336</v>
      </c>
    </row>
    <row r="1195" spans="2:53" ht="16.5" customHeight="1">
      <c r="B1195" s="367" t="s">
        <v>5183</v>
      </c>
      <c r="C1195" s="351" t="s">
        <v>5184</v>
      </c>
      <c r="D1195" s="353">
        <v>-1570</v>
      </c>
      <c r="E1195" s="352" t="s">
        <v>408</v>
      </c>
      <c r="F1195" s="341">
        <v>80.53</v>
      </c>
      <c r="G1195" s="355" t="s">
        <v>5315</v>
      </c>
      <c r="H1195" s="356" t="s">
        <v>18800</v>
      </c>
      <c r="I1195" s="354" t="s">
        <v>422</v>
      </c>
      <c r="J1195" s="340" t="s">
        <v>11201</v>
      </c>
      <c r="K1195" s="339" t="s">
        <v>70</v>
      </c>
      <c r="L1195" s="357">
        <v>10</v>
      </c>
      <c r="M1195" s="358" t="s">
        <v>11202</v>
      </c>
      <c r="N1195" s="359">
        <v>1000</v>
      </c>
      <c r="O1195" s="360" t="s">
        <v>454</v>
      </c>
      <c r="P1195" s="343" t="s">
        <v>454</v>
      </c>
      <c r="Q1195" s="342" t="s">
        <v>2688</v>
      </c>
      <c r="R1195" s="344">
        <v>20</v>
      </c>
      <c r="S1195" s="345">
        <v>35</v>
      </c>
      <c r="T1195" s="362">
        <v>30</v>
      </c>
      <c r="U1195" s="361">
        <v>80.53</v>
      </c>
      <c r="V1195" s="346">
        <v>119.0828611898017</v>
      </c>
      <c r="W1195" s="348">
        <v>118.73537169092508</v>
      </c>
      <c r="X1195" s="347">
        <v>59.87</v>
      </c>
      <c r="Y1195" s="357" t="s">
        <v>408</v>
      </c>
      <c r="Z1195" s="365" t="s">
        <v>3017</v>
      </c>
      <c r="AA1195" s="350">
        <v>147</v>
      </c>
      <c r="AB1195" s="349" t="s">
        <v>2685</v>
      </c>
      <c r="AC1195" s="350">
        <v>5</v>
      </c>
      <c r="AD1195" s="349" t="s">
        <v>2685</v>
      </c>
      <c r="AE1195" s="364">
        <v>0</v>
      </c>
      <c r="AF1195" s="366">
        <v>26.172000000000001</v>
      </c>
      <c r="AG1195" s="363">
        <v>0</v>
      </c>
      <c r="AH1195" s="635" t="s">
        <v>10941</v>
      </c>
      <c r="AL1195" s="487" t="s">
        <v>15606</v>
      </c>
      <c r="AM1195" s="477" t="s">
        <v>70</v>
      </c>
      <c r="AN1195" s="637">
        <v>100</v>
      </c>
      <c r="AO1195" s="478">
        <v>-1570</v>
      </c>
      <c r="AP1195" s="463">
        <v>-1570</v>
      </c>
      <c r="AQ1195" s="479">
        <v>0</v>
      </c>
      <c r="AR1195" s="476" t="s">
        <v>17353</v>
      </c>
      <c r="BA1195" s="313" t="s">
        <v>5337</v>
      </c>
    </row>
    <row r="1196" spans="2:53" ht="16.5" customHeight="1">
      <c r="B1196" s="367" t="s">
        <v>5189</v>
      </c>
      <c r="C1196" s="351" t="s">
        <v>5190</v>
      </c>
      <c r="D1196" s="353">
        <v>-1570</v>
      </c>
      <c r="E1196" s="352" t="s">
        <v>408</v>
      </c>
      <c r="F1196" s="341">
        <v>80.510000000000005</v>
      </c>
      <c r="G1196" s="355" t="s">
        <v>11203</v>
      </c>
      <c r="H1196" s="356" t="s">
        <v>18801</v>
      </c>
      <c r="I1196" s="354" t="s">
        <v>422</v>
      </c>
      <c r="J1196" s="340" t="s">
        <v>11204</v>
      </c>
      <c r="K1196" s="339" t="s">
        <v>70</v>
      </c>
      <c r="L1196" s="357">
        <v>18</v>
      </c>
      <c r="M1196" s="358" t="s">
        <v>11205</v>
      </c>
      <c r="N1196" s="359">
        <v>1000</v>
      </c>
      <c r="O1196" s="360" t="s">
        <v>454</v>
      </c>
      <c r="P1196" s="343" t="s">
        <v>454</v>
      </c>
      <c r="Q1196" s="342" t="s">
        <v>2688</v>
      </c>
      <c r="R1196" s="344">
        <v>20</v>
      </c>
      <c r="S1196" s="345">
        <v>35</v>
      </c>
      <c r="T1196" s="362">
        <v>30</v>
      </c>
      <c r="U1196" s="361">
        <v>80.510000000000005</v>
      </c>
      <c r="V1196" s="346">
        <v>119.0686968838527</v>
      </c>
      <c r="W1196" s="348">
        <v>118.72755690143596</v>
      </c>
      <c r="X1196" s="347">
        <v>59.86</v>
      </c>
      <c r="Y1196" s="357" t="s">
        <v>408</v>
      </c>
      <c r="Z1196" s="365" t="s">
        <v>3017</v>
      </c>
      <c r="AA1196" s="350">
        <v>147</v>
      </c>
      <c r="AB1196" s="349" t="s">
        <v>2685</v>
      </c>
      <c r="AC1196" s="350">
        <v>5</v>
      </c>
      <c r="AD1196" s="349" t="s">
        <v>2685</v>
      </c>
      <c r="AE1196" s="364">
        <v>0</v>
      </c>
      <c r="AF1196" s="366">
        <v>26.166</v>
      </c>
      <c r="AG1196" s="363">
        <v>0</v>
      </c>
      <c r="AH1196" s="635" t="s">
        <v>10941</v>
      </c>
      <c r="AL1196" s="487" t="s">
        <v>15607</v>
      </c>
      <c r="AM1196" s="477" t="s">
        <v>70</v>
      </c>
      <c r="AN1196" s="637">
        <v>100</v>
      </c>
      <c r="AO1196" s="478">
        <v>-1570</v>
      </c>
      <c r="AP1196" s="463">
        <v>-1570</v>
      </c>
      <c r="AQ1196" s="479">
        <v>0</v>
      </c>
      <c r="AR1196" s="476" t="s">
        <v>17354</v>
      </c>
      <c r="BA1196" s="313" t="s">
        <v>5339</v>
      </c>
    </row>
    <row r="1197" spans="2:53" ht="16.5" customHeight="1">
      <c r="B1197" s="367" t="s">
        <v>11207</v>
      </c>
      <c r="C1197" s="351" t="s">
        <v>11208</v>
      </c>
      <c r="D1197" s="353">
        <v>-1570</v>
      </c>
      <c r="E1197" s="352" t="s">
        <v>11206</v>
      </c>
      <c r="F1197" s="341">
        <v>80.5</v>
      </c>
      <c r="G1197" s="355" t="s">
        <v>11190</v>
      </c>
      <c r="H1197" s="356" t="s">
        <v>4836</v>
      </c>
      <c r="I1197" s="354" t="s">
        <v>195</v>
      </c>
      <c r="J1197" s="340" t="s">
        <v>8775</v>
      </c>
      <c r="K1197" s="339" t="s">
        <v>71</v>
      </c>
      <c r="L1197" s="357">
        <v>16</v>
      </c>
      <c r="M1197" s="358" t="s">
        <v>11209</v>
      </c>
      <c r="N1197" s="359">
        <v>100</v>
      </c>
      <c r="O1197" s="360" t="s">
        <v>454</v>
      </c>
      <c r="P1197" s="343" t="s">
        <v>454</v>
      </c>
      <c r="Q1197" s="342" t="s">
        <v>2738</v>
      </c>
      <c r="R1197" s="344">
        <v>35</v>
      </c>
      <c r="S1197" s="345">
        <v>25</v>
      </c>
      <c r="T1197" s="362">
        <v>20</v>
      </c>
      <c r="U1197" s="361">
        <v>80.5</v>
      </c>
      <c r="V1197" s="346">
        <v>119.0625</v>
      </c>
      <c r="W1197" s="348">
        <v>118.72413793103448</v>
      </c>
      <c r="X1197" s="347">
        <v>60.1</v>
      </c>
      <c r="Y1197" s="357" t="s">
        <v>408</v>
      </c>
      <c r="Z1197" s="365" t="s">
        <v>3017</v>
      </c>
      <c r="AA1197" s="350">
        <v>19</v>
      </c>
      <c r="AB1197" s="349" t="s">
        <v>2685</v>
      </c>
      <c r="AC1197" s="350">
        <v>0</v>
      </c>
      <c r="AD1197" s="349" t="s">
        <v>2685</v>
      </c>
      <c r="AE1197" s="364">
        <v>0</v>
      </c>
      <c r="AF1197" s="366">
        <v>0</v>
      </c>
      <c r="AG1197" s="363">
        <v>0</v>
      </c>
      <c r="AH1197" s="635" t="s">
        <v>408</v>
      </c>
      <c r="AL1197" s="487" t="s">
        <v>15608</v>
      </c>
      <c r="AM1197" s="477" t="s">
        <v>71</v>
      </c>
      <c r="AN1197" s="637">
        <v>100</v>
      </c>
      <c r="AO1197" s="478">
        <v>-1570</v>
      </c>
      <c r="AP1197" s="463">
        <v>-723</v>
      </c>
      <c r="AQ1197" s="479">
        <v>-847</v>
      </c>
      <c r="AR1197" s="476" t="s">
        <v>17355</v>
      </c>
      <c r="BA1197" s="313" t="s">
        <v>5341</v>
      </c>
    </row>
    <row r="1198" spans="2:53" ht="16.5" customHeight="1">
      <c r="B1198" s="367" t="s">
        <v>11207</v>
      </c>
      <c r="C1198" s="351" t="s">
        <v>11208</v>
      </c>
      <c r="D1198" s="353">
        <v>-1570</v>
      </c>
      <c r="E1198" s="352" t="s">
        <v>5318</v>
      </c>
      <c r="F1198" s="341">
        <v>80.5</v>
      </c>
      <c r="G1198" s="355" t="s">
        <v>11190</v>
      </c>
      <c r="H1198" s="356" t="s">
        <v>4836</v>
      </c>
      <c r="I1198" s="354" t="s">
        <v>424</v>
      </c>
      <c r="J1198" s="340" t="s">
        <v>11210</v>
      </c>
      <c r="K1198" s="339" t="s">
        <v>71</v>
      </c>
      <c r="L1198" s="357">
        <v>90</v>
      </c>
      <c r="M1198" s="358" t="s">
        <v>11211</v>
      </c>
      <c r="N1198" s="359">
        <v>1000</v>
      </c>
      <c r="O1198" s="360" t="s">
        <v>454</v>
      </c>
      <c r="P1198" s="343" t="s">
        <v>454</v>
      </c>
      <c r="Q1198" s="342" t="s">
        <v>2738</v>
      </c>
      <c r="R1198" s="344">
        <v>35</v>
      </c>
      <c r="S1198" s="345">
        <v>25</v>
      </c>
      <c r="T1198" s="362">
        <v>20</v>
      </c>
      <c r="U1198" s="361">
        <v>80.5</v>
      </c>
      <c r="V1198" s="346">
        <v>119.0625</v>
      </c>
      <c r="W1198" s="348">
        <v>118.72413793103448</v>
      </c>
      <c r="X1198" s="347">
        <v>60.1</v>
      </c>
      <c r="Y1198" s="357" t="s">
        <v>408</v>
      </c>
      <c r="Z1198" s="365" t="s">
        <v>3017</v>
      </c>
      <c r="AA1198" s="350">
        <v>196</v>
      </c>
      <c r="AB1198" s="349" t="s">
        <v>2685</v>
      </c>
      <c r="AC1198" s="350">
        <v>3</v>
      </c>
      <c r="AD1198" s="349" t="s">
        <v>2685</v>
      </c>
      <c r="AE1198" s="364">
        <v>0</v>
      </c>
      <c r="AF1198" s="366">
        <v>0</v>
      </c>
      <c r="AG1198" s="363">
        <v>0</v>
      </c>
      <c r="AH1198" s="635" t="s">
        <v>408</v>
      </c>
      <c r="AL1198" s="487" t="s">
        <v>15609</v>
      </c>
      <c r="AM1198" s="477" t="s">
        <v>71</v>
      </c>
      <c r="AN1198" s="637">
        <v>100</v>
      </c>
      <c r="AO1198" s="478">
        <v>-1570</v>
      </c>
      <c r="AP1198" s="463">
        <v>-723</v>
      </c>
      <c r="AQ1198" s="479">
        <v>-847</v>
      </c>
      <c r="AR1198" s="476" t="s">
        <v>17355</v>
      </c>
      <c r="BA1198" s="313" t="s">
        <v>5342</v>
      </c>
    </row>
    <row r="1199" spans="2:53" ht="16.5" customHeight="1">
      <c r="B1199" s="367" t="s">
        <v>11212</v>
      </c>
      <c r="C1199" s="351" t="s">
        <v>11213</v>
      </c>
      <c r="D1199" s="353">
        <v>-1570</v>
      </c>
      <c r="E1199" s="352" t="s">
        <v>5318</v>
      </c>
      <c r="F1199" s="341">
        <v>80.459999999999994</v>
      </c>
      <c r="G1199" s="355" t="s">
        <v>5163</v>
      </c>
      <c r="H1199" s="356" t="s">
        <v>18799</v>
      </c>
      <c r="I1199" s="354" t="s">
        <v>478</v>
      </c>
      <c r="J1199" s="340" t="s">
        <v>11214</v>
      </c>
      <c r="K1199" s="339" t="s">
        <v>70</v>
      </c>
      <c r="L1199" s="357">
        <v>19</v>
      </c>
      <c r="M1199" s="358" t="s">
        <v>11215</v>
      </c>
      <c r="N1199" s="359">
        <v>1000</v>
      </c>
      <c r="O1199" s="360" t="s">
        <v>532</v>
      </c>
      <c r="P1199" s="343" t="s">
        <v>533</v>
      </c>
      <c r="Q1199" s="342" t="s">
        <v>2688</v>
      </c>
      <c r="R1199" s="344">
        <v>25</v>
      </c>
      <c r="S1199" s="345">
        <v>35</v>
      </c>
      <c r="T1199" s="362">
        <v>25</v>
      </c>
      <c r="U1199" s="361">
        <v>80.459999999999994</v>
      </c>
      <c r="V1199" s="346">
        <v>119.0398825952512</v>
      </c>
      <c r="W1199" s="348">
        <v>118.71165936289721</v>
      </c>
      <c r="X1199" s="347">
        <v>59.84</v>
      </c>
      <c r="Y1199" s="357">
        <v>60.46</v>
      </c>
      <c r="Z1199" s="365" t="s">
        <v>3017</v>
      </c>
      <c r="AA1199" s="350">
        <v>149.25</v>
      </c>
      <c r="AB1199" s="349" t="s">
        <v>2685</v>
      </c>
      <c r="AC1199" s="350">
        <v>10</v>
      </c>
      <c r="AD1199" s="349" t="s">
        <v>2685</v>
      </c>
      <c r="AE1199" s="364">
        <v>0</v>
      </c>
      <c r="AF1199" s="366">
        <v>0</v>
      </c>
      <c r="AG1199" s="363">
        <v>0</v>
      </c>
      <c r="AH1199" s="635" t="s">
        <v>408</v>
      </c>
      <c r="AL1199" s="487" t="s">
        <v>15610</v>
      </c>
      <c r="AM1199" s="477" t="s">
        <v>70</v>
      </c>
      <c r="AN1199" s="637">
        <v>100</v>
      </c>
      <c r="AO1199" s="478">
        <v>-1570</v>
      </c>
      <c r="AP1199" s="463">
        <v>-1570</v>
      </c>
      <c r="AQ1199" s="479">
        <v>0</v>
      </c>
      <c r="AR1199" s="476" t="s">
        <v>17356</v>
      </c>
      <c r="BA1199" s="313" t="s">
        <v>5346</v>
      </c>
    </row>
    <row r="1200" spans="2:53" ht="16.5" customHeight="1">
      <c r="B1200" s="367" t="s">
        <v>11216</v>
      </c>
      <c r="C1200" s="351" t="s">
        <v>11217</v>
      </c>
      <c r="D1200" s="353">
        <v>-1570</v>
      </c>
      <c r="E1200" s="352" t="s">
        <v>408</v>
      </c>
      <c r="F1200" s="341">
        <v>80.44</v>
      </c>
      <c r="G1200" s="355" t="s">
        <v>11196</v>
      </c>
      <c r="H1200" s="356" t="s">
        <v>18802</v>
      </c>
      <c r="I1200" s="354" t="s">
        <v>422</v>
      </c>
      <c r="J1200" s="340" t="s">
        <v>9396</v>
      </c>
      <c r="K1200" s="339" t="s">
        <v>71</v>
      </c>
      <c r="L1200" s="357">
        <v>18</v>
      </c>
      <c r="M1200" s="358" t="s">
        <v>5363</v>
      </c>
      <c r="N1200" s="359">
        <v>1000</v>
      </c>
      <c r="O1200" s="360" t="s">
        <v>454</v>
      </c>
      <c r="P1200" s="343" t="s">
        <v>454</v>
      </c>
      <c r="Q1200" s="342" t="s">
        <v>2688</v>
      </c>
      <c r="R1200" s="344">
        <v>25</v>
      </c>
      <c r="S1200" s="345">
        <v>35</v>
      </c>
      <c r="T1200" s="362">
        <v>20</v>
      </c>
      <c r="U1200" s="361">
        <v>80.44</v>
      </c>
      <c r="V1200" s="346">
        <v>119.0234375</v>
      </c>
      <c r="W1200" s="348">
        <v>118.70258620689656</v>
      </c>
      <c r="X1200" s="347">
        <v>60.08</v>
      </c>
      <c r="Y1200" s="357" t="s">
        <v>408</v>
      </c>
      <c r="Z1200" s="365" t="s">
        <v>3017</v>
      </c>
      <c r="AA1200" s="350">
        <v>196</v>
      </c>
      <c r="AB1200" s="349" t="s">
        <v>2685</v>
      </c>
      <c r="AC1200" s="350">
        <v>5</v>
      </c>
      <c r="AD1200" s="349" t="s">
        <v>2685</v>
      </c>
      <c r="AE1200" s="364">
        <v>0</v>
      </c>
      <c r="AF1200" s="366">
        <v>0</v>
      </c>
      <c r="AG1200" s="363">
        <v>0</v>
      </c>
      <c r="AH1200" s="635" t="s">
        <v>408</v>
      </c>
      <c r="AL1200" s="487" t="s">
        <v>15611</v>
      </c>
      <c r="AM1200" s="477" t="s">
        <v>71</v>
      </c>
      <c r="AN1200" s="637">
        <v>100</v>
      </c>
      <c r="AO1200" s="478">
        <v>-1570</v>
      </c>
      <c r="AP1200" s="463">
        <v>-723</v>
      </c>
      <c r="AQ1200" s="479">
        <v>-847</v>
      </c>
      <c r="AR1200" s="476" t="s">
        <v>17357</v>
      </c>
      <c r="BA1200" s="313" t="s">
        <v>5348</v>
      </c>
    </row>
    <row r="1201" spans="2:53" ht="16.5" customHeight="1">
      <c r="B1201" s="367" t="s">
        <v>11218</v>
      </c>
      <c r="C1201" s="351" t="s">
        <v>11219</v>
      </c>
      <c r="D1201" s="353">
        <v>-1570</v>
      </c>
      <c r="E1201" s="352" t="s">
        <v>5131</v>
      </c>
      <c r="F1201" s="341">
        <v>80.400000000000006</v>
      </c>
      <c r="G1201" s="355" t="s">
        <v>11220</v>
      </c>
      <c r="H1201" s="356" t="s">
        <v>18803</v>
      </c>
      <c r="I1201" s="354" t="s">
        <v>215</v>
      </c>
      <c r="J1201" s="340" t="s">
        <v>11222</v>
      </c>
      <c r="K1201" s="339" t="s">
        <v>70</v>
      </c>
      <c r="L1201" s="357">
        <v>12</v>
      </c>
      <c r="M1201" s="358" t="s">
        <v>11223</v>
      </c>
      <c r="N1201" s="359">
        <v>1000</v>
      </c>
      <c r="O1201" s="360" t="s">
        <v>530</v>
      </c>
      <c r="P1201" s="343" t="s">
        <v>531</v>
      </c>
      <c r="Q1201" s="342" t="s">
        <v>2688</v>
      </c>
      <c r="R1201" s="344">
        <v>25</v>
      </c>
      <c r="S1201" s="345">
        <v>38</v>
      </c>
      <c r="T1201" s="362">
        <v>25</v>
      </c>
      <c r="U1201" s="361">
        <v>80.400000000000006</v>
      </c>
      <c r="V1201" s="346">
        <v>118.999148453023</v>
      </c>
      <c r="W1201" s="348">
        <v>118.68918535339199</v>
      </c>
      <c r="X1201" s="347">
        <v>59.83</v>
      </c>
      <c r="Y1201" s="357">
        <v>60.28</v>
      </c>
      <c r="Z1201" s="365" t="s">
        <v>3017</v>
      </c>
      <c r="AA1201" s="350">
        <v>121.25</v>
      </c>
      <c r="AB1201" s="349" t="s">
        <v>2685</v>
      </c>
      <c r="AC1201" s="350">
        <v>10</v>
      </c>
      <c r="AD1201" s="349" t="s">
        <v>2685</v>
      </c>
      <c r="AE1201" s="364">
        <v>0</v>
      </c>
      <c r="AF1201" s="366">
        <v>0</v>
      </c>
      <c r="AG1201" s="363">
        <v>0</v>
      </c>
      <c r="AH1201" s="635" t="s">
        <v>408</v>
      </c>
      <c r="AL1201" s="487" t="s">
        <v>15612</v>
      </c>
      <c r="AM1201" s="477" t="s">
        <v>70</v>
      </c>
      <c r="AN1201" s="637">
        <v>100</v>
      </c>
      <c r="AO1201" s="478">
        <v>-1570</v>
      </c>
      <c r="AP1201" s="463">
        <v>-1570</v>
      </c>
      <c r="AQ1201" s="479">
        <v>0</v>
      </c>
      <c r="AR1201" s="476" t="s">
        <v>17358</v>
      </c>
      <c r="BA1201" s="313" t="s">
        <v>5351</v>
      </c>
    </row>
    <row r="1202" spans="2:53" ht="16.5" customHeight="1">
      <c r="B1202" s="367" t="s">
        <v>11183</v>
      </c>
      <c r="C1202" s="351" t="s">
        <v>11184</v>
      </c>
      <c r="D1202" s="353">
        <v>-1570</v>
      </c>
      <c r="E1202" s="352" t="s">
        <v>408</v>
      </c>
      <c r="F1202" s="341">
        <v>80.39</v>
      </c>
      <c r="G1202" s="355" t="s">
        <v>11186</v>
      </c>
      <c r="H1202" s="356" t="s">
        <v>10667</v>
      </c>
      <c r="I1202" s="354" t="s">
        <v>209</v>
      </c>
      <c r="J1202" s="340" t="s">
        <v>8953</v>
      </c>
      <c r="K1202" s="339" t="s">
        <v>71</v>
      </c>
      <c r="L1202" s="357">
        <v>12</v>
      </c>
      <c r="M1202" s="358" t="s">
        <v>4592</v>
      </c>
      <c r="N1202" s="359">
        <v>1000</v>
      </c>
      <c r="O1202" s="360" t="s">
        <v>530</v>
      </c>
      <c r="P1202" s="343" t="s">
        <v>530</v>
      </c>
      <c r="Q1202" s="342" t="s">
        <v>2688</v>
      </c>
      <c r="R1202" s="344">
        <v>30</v>
      </c>
      <c r="S1202" s="345">
        <v>25</v>
      </c>
      <c r="T1202" s="362">
        <v>25</v>
      </c>
      <c r="U1202" s="361">
        <v>80.39</v>
      </c>
      <c r="V1202" s="346">
        <v>118.99186242662246</v>
      </c>
      <c r="W1202" s="348">
        <v>118.68516547675722</v>
      </c>
      <c r="X1202" s="347">
        <v>60.06</v>
      </c>
      <c r="Y1202" s="357" t="s">
        <v>408</v>
      </c>
      <c r="Z1202" s="365" t="s">
        <v>3017</v>
      </c>
      <c r="AA1202" s="350">
        <v>198</v>
      </c>
      <c r="AB1202" s="349" t="s">
        <v>2685</v>
      </c>
      <c r="AC1202" s="350">
        <v>10</v>
      </c>
      <c r="AD1202" s="349" t="s">
        <v>2685</v>
      </c>
      <c r="AE1202" s="364">
        <v>0</v>
      </c>
      <c r="AF1202" s="366">
        <v>0</v>
      </c>
      <c r="AG1202" s="363">
        <v>0</v>
      </c>
      <c r="AH1202" s="635" t="s">
        <v>408</v>
      </c>
      <c r="AL1202" s="487" t="s">
        <v>15613</v>
      </c>
      <c r="AM1202" s="477" t="s">
        <v>71</v>
      </c>
      <c r="AN1202" s="637">
        <v>100</v>
      </c>
      <c r="AO1202" s="478">
        <v>-1570</v>
      </c>
      <c r="AP1202" s="463">
        <v>-723</v>
      </c>
      <c r="AQ1202" s="479">
        <v>-847</v>
      </c>
      <c r="AR1202" s="476" t="s">
        <v>17359</v>
      </c>
      <c r="BA1202" s="313" t="s">
        <v>5355</v>
      </c>
    </row>
    <row r="1203" spans="2:53" ht="16.5" customHeight="1">
      <c r="B1203" s="367" t="s">
        <v>11218</v>
      </c>
      <c r="C1203" s="351" t="s">
        <v>11219</v>
      </c>
      <c r="D1203" s="353">
        <v>-1570</v>
      </c>
      <c r="E1203" s="352" t="s">
        <v>408</v>
      </c>
      <c r="F1203" s="341">
        <v>80.39</v>
      </c>
      <c r="G1203" s="355" t="s">
        <v>11224</v>
      </c>
      <c r="H1203" s="356" t="s">
        <v>18804</v>
      </c>
      <c r="I1203" s="354" t="s">
        <v>209</v>
      </c>
      <c r="J1203" s="340" t="s">
        <v>11225</v>
      </c>
      <c r="K1203" s="339" t="s">
        <v>70</v>
      </c>
      <c r="L1203" s="357">
        <v>25</v>
      </c>
      <c r="M1203" s="358" t="s">
        <v>4622</v>
      </c>
      <c r="N1203" s="359">
        <v>1000</v>
      </c>
      <c r="O1203" s="360" t="s">
        <v>530</v>
      </c>
      <c r="P1203" s="343" t="s">
        <v>530</v>
      </c>
      <c r="Q1203" s="342" t="s">
        <v>2688</v>
      </c>
      <c r="R1203" s="344">
        <v>20</v>
      </c>
      <c r="S1203" s="345">
        <v>30</v>
      </c>
      <c r="T1203" s="362">
        <v>30</v>
      </c>
      <c r="U1203" s="361">
        <v>80.39</v>
      </c>
      <c r="V1203" s="346">
        <v>118.99379682854358</v>
      </c>
      <c r="W1203" s="348">
        <v>118.68623273298957</v>
      </c>
      <c r="X1203" s="347">
        <v>59.82</v>
      </c>
      <c r="Y1203" s="357" t="s">
        <v>408</v>
      </c>
      <c r="Z1203" s="365" t="s">
        <v>3017</v>
      </c>
      <c r="AA1203" s="350">
        <v>198</v>
      </c>
      <c r="AB1203" s="349" t="s">
        <v>2685</v>
      </c>
      <c r="AC1203" s="350">
        <v>10</v>
      </c>
      <c r="AD1203" s="349" t="s">
        <v>2685</v>
      </c>
      <c r="AE1203" s="364">
        <v>0</v>
      </c>
      <c r="AF1203" s="366">
        <v>0</v>
      </c>
      <c r="AG1203" s="363">
        <v>0</v>
      </c>
      <c r="AH1203" s="635" t="s">
        <v>408</v>
      </c>
      <c r="AL1203" s="487" t="s">
        <v>15614</v>
      </c>
      <c r="AM1203" s="477" t="s">
        <v>70</v>
      </c>
      <c r="AN1203" s="637">
        <v>100</v>
      </c>
      <c r="AO1203" s="478">
        <v>-1570</v>
      </c>
      <c r="AP1203" s="463">
        <v>-1570</v>
      </c>
      <c r="AQ1203" s="479">
        <v>0</v>
      </c>
      <c r="AR1203" s="476" t="s">
        <v>17358</v>
      </c>
      <c r="BA1203" s="313" t="s">
        <v>5356</v>
      </c>
    </row>
    <row r="1204" spans="2:53" ht="16.5" customHeight="1">
      <c r="B1204" s="367" t="s">
        <v>11218</v>
      </c>
      <c r="C1204" s="351" t="s">
        <v>11219</v>
      </c>
      <c r="D1204" s="353">
        <v>-1570</v>
      </c>
      <c r="E1204" s="352" t="s">
        <v>11194</v>
      </c>
      <c r="F1204" s="341">
        <v>80.38</v>
      </c>
      <c r="G1204" s="355" t="s">
        <v>5185</v>
      </c>
      <c r="H1204" s="356" t="s">
        <v>18805</v>
      </c>
      <c r="I1204" s="354" t="s">
        <v>195</v>
      </c>
      <c r="J1204" s="340" t="s">
        <v>11227</v>
      </c>
      <c r="K1204" s="339" t="s">
        <v>70</v>
      </c>
      <c r="L1204" s="357">
        <v>18</v>
      </c>
      <c r="M1204" s="358" t="s">
        <v>11228</v>
      </c>
      <c r="N1204" s="359">
        <v>100</v>
      </c>
      <c r="O1204" s="360" t="s">
        <v>454</v>
      </c>
      <c r="P1204" s="343" t="s">
        <v>454</v>
      </c>
      <c r="Q1204" s="342" t="s">
        <v>2738</v>
      </c>
      <c r="R1204" s="344">
        <v>25</v>
      </c>
      <c r="S1204" s="345">
        <v>35</v>
      </c>
      <c r="T1204" s="362">
        <v>20</v>
      </c>
      <c r="U1204" s="361">
        <v>80.38</v>
      </c>
      <c r="V1204" s="346">
        <v>118.984375</v>
      </c>
      <c r="W1204" s="348">
        <v>118.68103448275862</v>
      </c>
      <c r="X1204" s="347">
        <v>59.82</v>
      </c>
      <c r="Y1204" s="357" t="s">
        <v>408</v>
      </c>
      <c r="Z1204" s="365" t="s">
        <v>3017</v>
      </c>
      <c r="AA1204" s="350">
        <v>19</v>
      </c>
      <c r="AB1204" s="349" t="s">
        <v>2685</v>
      </c>
      <c r="AC1204" s="350">
        <v>0</v>
      </c>
      <c r="AD1204" s="349" t="s">
        <v>2685</v>
      </c>
      <c r="AE1204" s="364">
        <v>0</v>
      </c>
      <c r="AF1204" s="366">
        <v>0</v>
      </c>
      <c r="AG1204" s="363">
        <v>0</v>
      </c>
      <c r="AH1204" s="635" t="s">
        <v>408</v>
      </c>
      <c r="AL1204" s="487" t="s">
        <v>15615</v>
      </c>
      <c r="AM1204" s="477" t="s">
        <v>70</v>
      </c>
      <c r="AN1204" s="637">
        <v>100</v>
      </c>
      <c r="AO1204" s="478">
        <v>-1570</v>
      </c>
      <c r="AP1204" s="463">
        <v>-1570</v>
      </c>
      <c r="AQ1204" s="479">
        <v>0</v>
      </c>
      <c r="AR1204" s="476" t="s">
        <v>17360</v>
      </c>
      <c r="BA1204" s="313" t="s">
        <v>5360</v>
      </c>
    </row>
    <row r="1205" spans="2:53" ht="16.5" customHeight="1">
      <c r="B1205" s="367" t="s">
        <v>11218</v>
      </c>
      <c r="C1205" s="351" t="s">
        <v>11219</v>
      </c>
      <c r="D1205" s="353">
        <v>-1570</v>
      </c>
      <c r="E1205" s="352" t="s">
        <v>408</v>
      </c>
      <c r="F1205" s="341">
        <v>80.34</v>
      </c>
      <c r="G1205" s="355" t="s">
        <v>11229</v>
      </c>
      <c r="H1205" s="356" t="s">
        <v>18806</v>
      </c>
      <c r="I1205" s="354" t="s">
        <v>478</v>
      </c>
      <c r="J1205" s="340" t="s">
        <v>11230</v>
      </c>
      <c r="K1205" s="339" t="s">
        <v>70</v>
      </c>
      <c r="L1205" s="357">
        <v>12</v>
      </c>
      <c r="M1205" s="358" t="s">
        <v>11231</v>
      </c>
      <c r="N1205" s="359">
        <v>1000</v>
      </c>
      <c r="O1205" s="360" t="s">
        <v>532</v>
      </c>
      <c r="P1205" s="343" t="s">
        <v>533</v>
      </c>
      <c r="Q1205" s="342" t="s">
        <v>2688</v>
      </c>
      <c r="R1205" s="344">
        <v>25</v>
      </c>
      <c r="S1205" s="345">
        <v>35</v>
      </c>
      <c r="T1205" s="362">
        <v>25</v>
      </c>
      <c r="U1205" s="361">
        <v>80.34</v>
      </c>
      <c r="V1205" s="346">
        <v>118.9637215589003</v>
      </c>
      <c r="W1205" s="348">
        <v>118.66963948077257</v>
      </c>
      <c r="X1205" s="347">
        <v>59.81</v>
      </c>
      <c r="Y1205" s="357">
        <v>60.419999999999995</v>
      </c>
      <c r="Z1205" s="365" t="s">
        <v>3017</v>
      </c>
      <c r="AA1205" s="350">
        <v>149.25</v>
      </c>
      <c r="AB1205" s="349" t="s">
        <v>2685</v>
      </c>
      <c r="AC1205" s="350">
        <v>10</v>
      </c>
      <c r="AD1205" s="349" t="s">
        <v>2685</v>
      </c>
      <c r="AE1205" s="364">
        <v>0</v>
      </c>
      <c r="AF1205" s="366">
        <v>0</v>
      </c>
      <c r="AG1205" s="363">
        <v>0</v>
      </c>
      <c r="AH1205" s="635" t="s">
        <v>408</v>
      </c>
      <c r="AL1205" s="487" t="s">
        <v>15616</v>
      </c>
      <c r="AM1205" s="477" t="s">
        <v>70</v>
      </c>
      <c r="AN1205" s="637">
        <v>100</v>
      </c>
      <c r="AO1205" s="478">
        <v>-1570</v>
      </c>
      <c r="AP1205" s="463">
        <v>-1570</v>
      </c>
      <c r="AQ1205" s="479">
        <v>0</v>
      </c>
      <c r="AR1205" s="476" t="s">
        <v>17361</v>
      </c>
      <c r="BA1205" s="313" t="s">
        <v>5361</v>
      </c>
    </row>
    <row r="1206" spans="2:53" ht="16.5" customHeight="1">
      <c r="B1206" s="367" t="s">
        <v>11218</v>
      </c>
      <c r="C1206" s="351" t="s">
        <v>11219</v>
      </c>
      <c r="D1206" s="353">
        <v>-1570</v>
      </c>
      <c r="E1206" s="352" t="s">
        <v>408</v>
      </c>
      <c r="F1206" s="341">
        <v>80.319999999999993</v>
      </c>
      <c r="G1206" s="355" t="s">
        <v>11232</v>
      </c>
      <c r="H1206" s="356" t="s">
        <v>18807</v>
      </c>
      <c r="I1206" s="354" t="s">
        <v>215</v>
      </c>
      <c r="J1206" s="340" t="s">
        <v>11233</v>
      </c>
      <c r="K1206" s="339" t="s">
        <v>70</v>
      </c>
      <c r="L1206" s="357">
        <v>16</v>
      </c>
      <c r="M1206" s="358" t="s">
        <v>11234</v>
      </c>
      <c r="N1206" s="359">
        <v>1000</v>
      </c>
      <c r="O1206" s="360" t="s">
        <v>530</v>
      </c>
      <c r="P1206" s="343" t="s">
        <v>531</v>
      </c>
      <c r="Q1206" s="342" t="s">
        <v>2688</v>
      </c>
      <c r="R1206" s="344">
        <v>25</v>
      </c>
      <c r="S1206" s="345">
        <v>38</v>
      </c>
      <c r="T1206" s="362">
        <v>25</v>
      </c>
      <c r="U1206" s="361">
        <v>80.319999999999993</v>
      </c>
      <c r="V1206" s="346">
        <v>118.94975872835649</v>
      </c>
      <c r="W1206" s="348">
        <v>118.66193585012772</v>
      </c>
      <c r="X1206" s="347">
        <v>59.8</v>
      </c>
      <c r="Y1206" s="357">
        <v>60.25</v>
      </c>
      <c r="Z1206" s="365" t="s">
        <v>3017</v>
      </c>
      <c r="AA1206" s="350">
        <v>121.25</v>
      </c>
      <c r="AB1206" s="349" t="s">
        <v>2685</v>
      </c>
      <c r="AC1206" s="350">
        <v>10</v>
      </c>
      <c r="AD1206" s="349" t="s">
        <v>2685</v>
      </c>
      <c r="AE1206" s="364">
        <v>0</v>
      </c>
      <c r="AF1206" s="366">
        <v>0</v>
      </c>
      <c r="AG1206" s="363">
        <v>0</v>
      </c>
      <c r="AH1206" s="635" t="s">
        <v>408</v>
      </c>
      <c r="AL1206" s="487" t="s">
        <v>15617</v>
      </c>
      <c r="AM1206" s="477" t="s">
        <v>70</v>
      </c>
      <c r="AN1206" s="637">
        <v>100</v>
      </c>
      <c r="AO1206" s="478">
        <v>-1570</v>
      </c>
      <c r="AP1206" s="463">
        <v>-1570</v>
      </c>
      <c r="AQ1206" s="479">
        <v>0</v>
      </c>
      <c r="AR1206" s="476" t="s">
        <v>17362</v>
      </c>
      <c r="BA1206" s="313" t="s">
        <v>5362</v>
      </c>
    </row>
    <row r="1207" spans="2:53" ht="16.5" customHeight="1">
      <c r="B1207" s="367" t="s">
        <v>11218</v>
      </c>
      <c r="C1207" s="351" t="s">
        <v>11219</v>
      </c>
      <c r="D1207" s="353">
        <v>-1570</v>
      </c>
      <c r="E1207" s="352" t="s">
        <v>408</v>
      </c>
      <c r="F1207" s="341">
        <v>80.31</v>
      </c>
      <c r="G1207" s="355" t="s">
        <v>18808</v>
      </c>
      <c r="H1207" s="356" t="s">
        <v>10663</v>
      </c>
      <c r="I1207" s="354" t="s">
        <v>425</v>
      </c>
      <c r="J1207" s="340" t="s">
        <v>8293</v>
      </c>
      <c r="K1207" s="339" t="s">
        <v>71</v>
      </c>
      <c r="L1207" s="357">
        <v>20</v>
      </c>
      <c r="M1207" s="358" t="s">
        <v>11236</v>
      </c>
      <c r="N1207" s="359">
        <v>1000</v>
      </c>
      <c r="O1207" s="360" t="s">
        <v>454</v>
      </c>
      <c r="P1207" s="343" t="s">
        <v>454</v>
      </c>
      <c r="Q1207" s="342" t="s">
        <v>2738</v>
      </c>
      <c r="R1207" s="344">
        <v>35</v>
      </c>
      <c r="S1207" s="345">
        <v>25</v>
      </c>
      <c r="T1207" s="362">
        <v>20</v>
      </c>
      <c r="U1207" s="361">
        <v>80.31</v>
      </c>
      <c r="V1207" s="346">
        <v>118.9453125</v>
      </c>
      <c r="W1207" s="348">
        <v>118.65948275862068</v>
      </c>
      <c r="X1207" s="347">
        <v>60.04</v>
      </c>
      <c r="Y1207" s="357" t="s">
        <v>408</v>
      </c>
      <c r="Z1207" s="365" t="s">
        <v>3017</v>
      </c>
      <c r="AA1207" s="350">
        <v>196</v>
      </c>
      <c r="AB1207" s="349" t="s">
        <v>2685</v>
      </c>
      <c r="AC1207" s="350">
        <v>10</v>
      </c>
      <c r="AD1207" s="349" t="s">
        <v>2685</v>
      </c>
      <c r="AE1207" s="364">
        <v>0</v>
      </c>
      <c r="AF1207" s="366">
        <v>0</v>
      </c>
      <c r="AG1207" s="363">
        <v>0</v>
      </c>
      <c r="AH1207" s="635" t="s">
        <v>408</v>
      </c>
      <c r="AL1207" s="487" t="s">
        <v>15618</v>
      </c>
      <c r="AM1207" s="477" t="s">
        <v>71</v>
      </c>
      <c r="AN1207" s="637">
        <v>100</v>
      </c>
      <c r="AO1207" s="478">
        <v>-1570</v>
      </c>
      <c r="AP1207" s="463">
        <v>-723</v>
      </c>
      <c r="AQ1207" s="479">
        <v>-847</v>
      </c>
      <c r="AR1207" s="476" t="s">
        <v>17363</v>
      </c>
      <c r="BA1207" s="313" t="s">
        <v>5364</v>
      </c>
    </row>
    <row r="1208" spans="2:53" ht="16.5" customHeight="1">
      <c r="B1208" s="367" t="s">
        <v>11218</v>
      </c>
      <c r="C1208" s="351" t="s">
        <v>11219</v>
      </c>
      <c r="D1208" s="353">
        <v>-1570</v>
      </c>
      <c r="E1208" s="352" t="s">
        <v>5340</v>
      </c>
      <c r="F1208" s="341">
        <v>80.31</v>
      </c>
      <c r="G1208" s="355" t="s">
        <v>18808</v>
      </c>
      <c r="H1208" s="356" t="s">
        <v>10663</v>
      </c>
      <c r="I1208" s="354" t="s">
        <v>425</v>
      </c>
      <c r="J1208" s="340" t="s">
        <v>8919</v>
      </c>
      <c r="K1208" s="339" t="s">
        <v>71</v>
      </c>
      <c r="L1208" s="357">
        <v>21</v>
      </c>
      <c r="M1208" s="358" t="s">
        <v>11236</v>
      </c>
      <c r="N1208" s="359">
        <v>1000</v>
      </c>
      <c r="O1208" s="360" t="s">
        <v>454</v>
      </c>
      <c r="P1208" s="343" t="s">
        <v>454</v>
      </c>
      <c r="Q1208" s="342" t="s">
        <v>2738</v>
      </c>
      <c r="R1208" s="344">
        <v>35</v>
      </c>
      <c r="S1208" s="345">
        <v>25</v>
      </c>
      <c r="T1208" s="362">
        <v>20</v>
      </c>
      <c r="U1208" s="361">
        <v>80.31</v>
      </c>
      <c r="V1208" s="346">
        <v>118.9453125</v>
      </c>
      <c r="W1208" s="348">
        <v>118.65948275862068</v>
      </c>
      <c r="X1208" s="347">
        <v>60.04</v>
      </c>
      <c r="Y1208" s="357" t="s">
        <v>408</v>
      </c>
      <c r="Z1208" s="365" t="s">
        <v>3017</v>
      </c>
      <c r="AA1208" s="350">
        <v>196</v>
      </c>
      <c r="AB1208" s="349" t="s">
        <v>2685</v>
      </c>
      <c r="AC1208" s="350">
        <v>10</v>
      </c>
      <c r="AD1208" s="349" t="s">
        <v>2685</v>
      </c>
      <c r="AE1208" s="364">
        <v>0</v>
      </c>
      <c r="AF1208" s="366">
        <v>0</v>
      </c>
      <c r="AG1208" s="363">
        <v>0</v>
      </c>
      <c r="AH1208" s="635" t="s">
        <v>408</v>
      </c>
      <c r="AL1208" s="487" t="s">
        <v>15619</v>
      </c>
      <c r="AM1208" s="477" t="s">
        <v>71</v>
      </c>
      <c r="AN1208" s="637">
        <v>100</v>
      </c>
      <c r="AO1208" s="478">
        <v>-1570</v>
      </c>
      <c r="AP1208" s="463">
        <v>-723</v>
      </c>
      <c r="AQ1208" s="479">
        <v>-847</v>
      </c>
      <c r="AR1208" s="476" t="s">
        <v>17363</v>
      </c>
      <c r="BA1208" s="313" t="s">
        <v>5365</v>
      </c>
    </row>
    <row r="1209" spans="2:53" ht="16.5" customHeight="1">
      <c r="B1209" s="367" t="s">
        <v>11218</v>
      </c>
      <c r="C1209" s="351" t="s">
        <v>11219</v>
      </c>
      <c r="D1209" s="353">
        <v>-1570</v>
      </c>
      <c r="E1209" s="352" t="s">
        <v>5340</v>
      </c>
      <c r="F1209" s="341">
        <v>80.31</v>
      </c>
      <c r="G1209" s="355" t="s">
        <v>5345</v>
      </c>
      <c r="H1209" s="356" t="s">
        <v>10631</v>
      </c>
      <c r="I1209" s="354" t="s">
        <v>478</v>
      </c>
      <c r="J1209" s="340" t="s">
        <v>84</v>
      </c>
      <c r="K1209" s="339" t="s">
        <v>70</v>
      </c>
      <c r="L1209" s="357">
        <v>13</v>
      </c>
      <c r="M1209" s="358" t="s">
        <v>11237</v>
      </c>
      <c r="N1209" s="359">
        <v>1000</v>
      </c>
      <c r="O1209" s="360" t="s">
        <v>532</v>
      </c>
      <c r="P1209" s="343" t="s">
        <v>533</v>
      </c>
      <c r="Q1209" s="342" t="s">
        <v>2688</v>
      </c>
      <c r="R1209" s="344">
        <v>25</v>
      </c>
      <c r="S1209" s="345">
        <v>35</v>
      </c>
      <c r="T1209" s="362">
        <v>25</v>
      </c>
      <c r="U1209" s="361">
        <v>80.31</v>
      </c>
      <c r="V1209" s="346">
        <v>118.94224024095519</v>
      </c>
      <c r="W1209" s="348">
        <v>118.65778771914768</v>
      </c>
      <c r="X1209" s="347">
        <v>59.8</v>
      </c>
      <c r="Y1209" s="357">
        <v>60.41</v>
      </c>
      <c r="Z1209" s="365" t="s">
        <v>3017</v>
      </c>
      <c r="AA1209" s="350">
        <v>149.25</v>
      </c>
      <c r="AB1209" s="349" t="s">
        <v>2685</v>
      </c>
      <c r="AC1209" s="350">
        <v>10</v>
      </c>
      <c r="AD1209" s="349" t="s">
        <v>2685</v>
      </c>
      <c r="AE1209" s="364">
        <v>0</v>
      </c>
      <c r="AF1209" s="366">
        <v>0</v>
      </c>
      <c r="AG1209" s="363">
        <v>0</v>
      </c>
      <c r="AH1209" s="635" t="s">
        <v>408</v>
      </c>
      <c r="AL1209" s="487" t="s">
        <v>7200</v>
      </c>
      <c r="AM1209" s="477" t="s">
        <v>70</v>
      </c>
      <c r="AN1209" s="637">
        <v>100</v>
      </c>
      <c r="AO1209" s="478">
        <v>-1570</v>
      </c>
      <c r="AP1209" s="463">
        <v>-1570</v>
      </c>
      <c r="AQ1209" s="479">
        <v>0</v>
      </c>
      <c r="AR1209" s="476" t="s">
        <v>17362</v>
      </c>
      <c r="BA1209" s="313" t="s">
        <v>5368</v>
      </c>
    </row>
    <row r="1210" spans="2:53" ht="16.5" customHeight="1">
      <c r="B1210" s="367" t="s">
        <v>11218</v>
      </c>
      <c r="C1210" s="351" t="s">
        <v>11219</v>
      </c>
      <c r="D1210" s="353">
        <v>-1570</v>
      </c>
      <c r="E1210" s="352" t="s">
        <v>408</v>
      </c>
      <c r="F1210" s="341">
        <v>80.31</v>
      </c>
      <c r="G1210" s="355" t="s">
        <v>18808</v>
      </c>
      <c r="H1210" s="356" t="s">
        <v>10663</v>
      </c>
      <c r="I1210" s="354" t="s">
        <v>422</v>
      </c>
      <c r="J1210" s="340" t="s">
        <v>11238</v>
      </c>
      <c r="K1210" s="339" t="s">
        <v>71</v>
      </c>
      <c r="L1210" s="357">
        <v>10</v>
      </c>
      <c r="M1210" s="358" t="s">
        <v>5255</v>
      </c>
      <c r="N1210" s="359">
        <v>1000</v>
      </c>
      <c r="O1210" s="360" t="s">
        <v>454</v>
      </c>
      <c r="P1210" s="343" t="s">
        <v>454</v>
      </c>
      <c r="Q1210" s="342" t="s">
        <v>2688</v>
      </c>
      <c r="R1210" s="344">
        <v>35</v>
      </c>
      <c r="S1210" s="345">
        <v>25</v>
      </c>
      <c r="T1210" s="362">
        <v>20</v>
      </c>
      <c r="U1210" s="361">
        <v>80.31</v>
      </c>
      <c r="V1210" s="346">
        <v>118.9453125</v>
      </c>
      <c r="W1210" s="348">
        <v>118.65948275862068</v>
      </c>
      <c r="X1210" s="347">
        <v>60.04</v>
      </c>
      <c r="Y1210" s="357" t="s">
        <v>408</v>
      </c>
      <c r="Z1210" s="365" t="s">
        <v>3017</v>
      </c>
      <c r="AA1210" s="350">
        <v>196</v>
      </c>
      <c r="AB1210" s="349" t="s">
        <v>2685</v>
      </c>
      <c r="AC1210" s="350">
        <v>5</v>
      </c>
      <c r="AD1210" s="349" t="s">
        <v>2685</v>
      </c>
      <c r="AE1210" s="364">
        <v>0</v>
      </c>
      <c r="AF1210" s="366">
        <v>0</v>
      </c>
      <c r="AG1210" s="363">
        <v>0</v>
      </c>
      <c r="AH1210" s="635" t="s">
        <v>408</v>
      </c>
      <c r="AL1210" s="487" t="s">
        <v>15620</v>
      </c>
      <c r="AM1210" s="477" t="s">
        <v>71</v>
      </c>
      <c r="AN1210" s="637">
        <v>100</v>
      </c>
      <c r="AO1210" s="478">
        <v>-1570</v>
      </c>
      <c r="AP1210" s="463">
        <v>-723</v>
      </c>
      <c r="AQ1210" s="479">
        <v>-847</v>
      </c>
      <c r="AR1210" s="476" t="s">
        <v>17363</v>
      </c>
      <c r="BA1210" s="313" t="s">
        <v>5372</v>
      </c>
    </row>
    <row r="1211" spans="2:53" ht="16.5" customHeight="1">
      <c r="B1211" s="367" t="s">
        <v>5201</v>
      </c>
      <c r="C1211" s="351" t="s">
        <v>5202</v>
      </c>
      <c r="D1211" s="353">
        <v>-1570</v>
      </c>
      <c r="E1211" s="352" t="s">
        <v>5340</v>
      </c>
      <c r="F1211" s="341">
        <v>80.28</v>
      </c>
      <c r="G1211" s="355" t="s">
        <v>11239</v>
      </c>
      <c r="H1211" s="356" t="s">
        <v>18809</v>
      </c>
      <c r="I1211" s="354" t="s">
        <v>216</v>
      </c>
      <c r="J1211" s="340" t="s">
        <v>9611</v>
      </c>
      <c r="K1211" s="339" t="s">
        <v>70</v>
      </c>
      <c r="L1211" s="357">
        <v>7</v>
      </c>
      <c r="M1211" s="358" t="s">
        <v>11240</v>
      </c>
      <c r="N1211" s="359">
        <v>300</v>
      </c>
      <c r="O1211" s="360" t="s">
        <v>530</v>
      </c>
      <c r="P1211" s="343" t="s">
        <v>530</v>
      </c>
      <c r="Q1211" s="342" t="s">
        <v>2688</v>
      </c>
      <c r="R1211" s="344">
        <v>25</v>
      </c>
      <c r="S1211" s="345">
        <v>45</v>
      </c>
      <c r="T1211" s="362">
        <v>30</v>
      </c>
      <c r="U1211" s="361">
        <v>80.28</v>
      </c>
      <c r="V1211" s="346">
        <v>118.92551152493041</v>
      </c>
      <c r="W1211" s="348">
        <v>118.64855808272021</v>
      </c>
      <c r="X1211" s="347">
        <v>59.79</v>
      </c>
      <c r="Y1211" s="357" t="s">
        <v>408</v>
      </c>
      <c r="Z1211" s="365" t="s">
        <v>3017</v>
      </c>
      <c r="AA1211" s="350">
        <v>-2</v>
      </c>
      <c r="AB1211" s="349" t="s">
        <v>2685</v>
      </c>
      <c r="AC1211" s="350">
        <v>0</v>
      </c>
      <c r="AD1211" s="349" t="s">
        <v>2685</v>
      </c>
      <c r="AE1211" s="364">
        <v>0</v>
      </c>
      <c r="AF1211" s="366">
        <v>0</v>
      </c>
      <c r="AG1211" s="363">
        <v>0</v>
      </c>
      <c r="AH1211" s="635" t="s">
        <v>408</v>
      </c>
      <c r="AL1211" s="487" t="s">
        <v>15621</v>
      </c>
      <c r="AM1211" s="477" t="s">
        <v>70</v>
      </c>
      <c r="AN1211" s="637">
        <v>100</v>
      </c>
      <c r="AO1211" s="478">
        <v>-1570</v>
      </c>
      <c r="AP1211" s="463">
        <v>-1570</v>
      </c>
      <c r="AQ1211" s="479">
        <v>0</v>
      </c>
      <c r="AR1211" s="476" t="s">
        <v>17364</v>
      </c>
      <c r="BA1211" s="313" t="s">
        <v>5373</v>
      </c>
    </row>
    <row r="1212" spans="2:53" ht="16.5" customHeight="1">
      <c r="B1212" s="367" t="s">
        <v>5178</v>
      </c>
      <c r="C1212" s="351" t="s">
        <v>5179</v>
      </c>
      <c r="D1212" s="353">
        <v>-1570</v>
      </c>
      <c r="E1212" s="352" t="s">
        <v>408</v>
      </c>
      <c r="F1212" s="341">
        <v>80.27</v>
      </c>
      <c r="G1212" s="355" t="s">
        <v>11500</v>
      </c>
      <c r="H1212" s="356" t="s">
        <v>10975</v>
      </c>
      <c r="I1212" s="354" t="s">
        <v>209</v>
      </c>
      <c r="J1212" s="340" t="s">
        <v>542</v>
      </c>
      <c r="K1212" s="339" t="s">
        <v>71</v>
      </c>
      <c r="L1212" s="357">
        <v>8</v>
      </c>
      <c r="M1212" s="358" t="s">
        <v>5289</v>
      </c>
      <c r="N1212" s="359">
        <v>1000</v>
      </c>
      <c r="O1212" s="360" t="s">
        <v>530</v>
      </c>
      <c r="P1212" s="343" t="s">
        <v>530</v>
      </c>
      <c r="Q1212" s="342" t="s">
        <v>2688</v>
      </c>
      <c r="R1212" s="344">
        <v>30</v>
      </c>
      <c r="S1212" s="345">
        <v>25</v>
      </c>
      <c r="T1212" s="362">
        <v>25</v>
      </c>
      <c r="U1212" s="361">
        <v>80.27</v>
      </c>
      <c r="V1212" s="346">
        <v>118.91953456542214</v>
      </c>
      <c r="W1212" s="348">
        <v>118.64526044988807</v>
      </c>
      <c r="X1212" s="347">
        <v>60.03</v>
      </c>
      <c r="Y1212" s="357" t="s">
        <v>408</v>
      </c>
      <c r="Z1212" s="365" t="s">
        <v>3017</v>
      </c>
      <c r="AA1212" s="350">
        <v>198</v>
      </c>
      <c r="AB1212" s="349" t="s">
        <v>2685</v>
      </c>
      <c r="AC1212" s="350">
        <v>10</v>
      </c>
      <c r="AD1212" s="349" t="s">
        <v>2685</v>
      </c>
      <c r="AE1212" s="364">
        <v>0</v>
      </c>
      <c r="AF1212" s="366">
        <v>0</v>
      </c>
      <c r="AG1212" s="363">
        <v>0</v>
      </c>
      <c r="AH1212" s="635" t="s">
        <v>408</v>
      </c>
      <c r="AL1212" s="487" t="s">
        <v>15622</v>
      </c>
      <c r="AM1212" s="477" t="s">
        <v>71</v>
      </c>
      <c r="AN1212" s="637">
        <v>100</v>
      </c>
      <c r="AO1212" s="478">
        <v>-1570</v>
      </c>
      <c r="AP1212" s="463">
        <v>-722</v>
      </c>
      <c r="AQ1212" s="479">
        <v>-848</v>
      </c>
      <c r="AR1212" s="476" t="s">
        <v>17365</v>
      </c>
      <c r="BA1212" s="313" t="s">
        <v>5375</v>
      </c>
    </row>
    <row r="1213" spans="2:53" ht="16.5" customHeight="1">
      <c r="B1213" s="367" t="s">
        <v>11241</v>
      </c>
      <c r="C1213" s="351" t="s">
        <v>11242</v>
      </c>
      <c r="D1213" s="353">
        <v>-1570</v>
      </c>
      <c r="E1213" s="352" t="s">
        <v>5374</v>
      </c>
      <c r="F1213" s="341">
        <v>80.25</v>
      </c>
      <c r="G1213" s="355" t="s">
        <v>11243</v>
      </c>
      <c r="H1213" s="356" t="s">
        <v>18735</v>
      </c>
      <c r="I1213" s="354" t="s">
        <v>195</v>
      </c>
      <c r="J1213" s="340" t="s">
        <v>11245</v>
      </c>
      <c r="K1213" s="339" t="s">
        <v>70</v>
      </c>
      <c r="L1213" s="357">
        <v>74</v>
      </c>
      <c r="M1213" s="358" t="s">
        <v>11246</v>
      </c>
      <c r="N1213" s="359">
        <v>100</v>
      </c>
      <c r="O1213" s="360" t="s">
        <v>454</v>
      </c>
      <c r="P1213" s="343" t="s">
        <v>454</v>
      </c>
      <c r="Q1213" s="342" t="s">
        <v>2738</v>
      </c>
      <c r="R1213" s="344">
        <v>25</v>
      </c>
      <c r="S1213" s="345">
        <v>35</v>
      </c>
      <c r="T1213" s="362">
        <v>20</v>
      </c>
      <c r="U1213" s="361">
        <v>80.25</v>
      </c>
      <c r="V1213" s="346">
        <v>118.90625</v>
      </c>
      <c r="W1213" s="348">
        <v>118.63793103448276</v>
      </c>
      <c r="X1213" s="347">
        <v>59.78</v>
      </c>
      <c r="Y1213" s="357" t="s">
        <v>408</v>
      </c>
      <c r="Z1213" s="365" t="s">
        <v>3017</v>
      </c>
      <c r="AA1213" s="350">
        <v>19</v>
      </c>
      <c r="AB1213" s="349" t="s">
        <v>2685</v>
      </c>
      <c r="AC1213" s="350">
        <v>0</v>
      </c>
      <c r="AD1213" s="349" t="s">
        <v>2685</v>
      </c>
      <c r="AE1213" s="364">
        <v>0</v>
      </c>
      <c r="AF1213" s="366">
        <v>0</v>
      </c>
      <c r="AG1213" s="363">
        <v>0</v>
      </c>
      <c r="AH1213" s="635" t="s">
        <v>408</v>
      </c>
      <c r="AL1213" s="487" t="s">
        <v>15623</v>
      </c>
      <c r="AM1213" s="477" t="s">
        <v>70</v>
      </c>
      <c r="AN1213" s="637">
        <v>100</v>
      </c>
      <c r="AO1213" s="478">
        <v>-1570</v>
      </c>
      <c r="AP1213" s="463">
        <v>-1570</v>
      </c>
      <c r="AQ1213" s="479">
        <v>0</v>
      </c>
      <c r="AR1213" s="476" t="s">
        <v>17366</v>
      </c>
      <c r="BA1213" s="313" t="s">
        <v>5379</v>
      </c>
    </row>
    <row r="1214" spans="2:53" ht="16.5" customHeight="1">
      <c r="B1214" s="367" t="s">
        <v>11241</v>
      </c>
      <c r="C1214" s="351" t="s">
        <v>11242</v>
      </c>
      <c r="D1214" s="353">
        <v>-1570</v>
      </c>
      <c r="E1214" s="352" t="s">
        <v>5374</v>
      </c>
      <c r="F1214" s="341">
        <v>80.25</v>
      </c>
      <c r="G1214" s="355" t="s">
        <v>5305</v>
      </c>
      <c r="H1214" s="356" t="s">
        <v>10692</v>
      </c>
      <c r="I1214" s="354" t="s">
        <v>425</v>
      </c>
      <c r="J1214" s="340" t="s">
        <v>11249</v>
      </c>
      <c r="K1214" s="339" t="s">
        <v>71</v>
      </c>
      <c r="L1214" s="357">
        <v>13</v>
      </c>
      <c r="M1214" s="358" t="s">
        <v>5958</v>
      </c>
      <c r="N1214" s="359">
        <v>1000</v>
      </c>
      <c r="O1214" s="360" t="s">
        <v>454</v>
      </c>
      <c r="P1214" s="343" t="s">
        <v>454</v>
      </c>
      <c r="Q1214" s="342" t="s">
        <v>2738</v>
      </c>
      <c r="R1214" s="344">
        <v>35</v>
      </c>
      <c r="S1214" s="345">
        <v>25</v>
      </c>
      <c r="T1214" s="362">
        <v>20</v>
      </c>
      <c r="U1214" s="361">
        <v>80.25</v>
      </c>
      <c r="V1214" s="346">
        <v>118.90625</v>
      </c>
      <c r="W1214" s="348">
        <v>118.63793103448276</v>
      </c>
      <c r="X1214" s="347">
        <v>60.02</v>
      </c>
      <c r="Y1214" s="357" t="s">
        <v>408</v>
      </c>
      <c r="Z1214" s="365" t="s">
        <v>3017</v>
      </c>
      <c r="AA1214" s="350">
        <v>196</v>
      </c>
      <c r="AB1214" s="349" t="s">
        <v>2685</v>
      </c>
      <c r="AC1214" s="350">
        <v>10</v>
      </c>
      <c r="AD1214" s="349" t="s">
        <v>2685</v>
      </c>
      <c r="AE1214" s="364">
        <v>0</v>
      </c>
      <c r="AF1214" s="366">
        <v>0</v>
      </c>
      <c r="AG1214" s="363">
        <v>0</v>
      </c>
      <c r="AH1214" s="635" t="s">
        <v>408</v>
      </c>
      <c r="AL1214" s="487" t="s">
        <v>15624</v>
      </c>
      <c r="AM1214" s="477" t="s">
        <v>71</v>
      </c>
      <c r="AN1214" s="637">
        <v>100</v>
      </c>
      <c r="AO1214" s="478">
        <v>-1570</v>
      </c>
      <c r="AP1214" s="463">
        <v>-722</v>
      </c>
      <c r="AQ1214" s="479">
        <v>-848</v>
      </c>
      <c r="AR1214" s="476" t="s">
        <v>17367</v>
      </c>
      <c r="BA1214" s="313" t="s">
        <v>5381</v>
      </c>
    </row>
    <row r="1215" spans="2:53" ht="16.5" customHeight="1">
      <c r="B1215" s="367" t="s">
        <v>11241</v>
      </c>
      <c r="C1215" s="351" t="s">
        <v>11242</v>
      </c>
      <c r="D1215" s="353">
        <v>-1570</v>
      </c>
      <c r="E1215" s="352" t="s">
        <v>408</v>
      </c>
      <c r="F1215" s="341">
        <v>80.25</v>
      </c>
      <c r="G1215" s="355" t="s">
        <v>5305</v>
      </c>
      <c r="H1215" s="356" t="s">
        <v>10692</v>
      </c>
      <c r="I1215" s="354" t="s">
        <v>422</v>
      </c>
      <c r="J1215" s="340" t="s">
        <v>11250</v>
      </c>
      <c r="K1215" s="339" t="s">
        <v>71</v>
      </c>
      <c r="L1215" s="357">
        <v>267</v>
      </c>
      <c r="M1215" s="358" t="s">
        <v>11211</v>
      </c>
      <c r="N1215" s="359">
        <v>1000</v>
      </c>
      <c r="O1215" s="360" t="s">
        <v>454</v>
      </c>
      <c r="P1215" s="343" t="s">
        <v>454</v>
      </c>
      <c r="Q1215" s="342" t="s">
        <v>2688</v>
      </c>
      <c r="R1215" s="344">
        <v>30</v>
      </c>
      <c r="S1215" s="345">
        <v>30</v>
      </c>
      <c r="T1215" s="362">
        <v>20</v>
      </c>
      <c r="U1215" s="361">
        <v>80.25</v>
      </c>
      <c r="V1215" s="346">
        <v>118.90625</v>
      </c>
      <c r="W1215" s="348">
        <v>118.63793103448276</v>
      </c>
      <c r="X1215" s="347">
        <v>60.02</v>
      </c>
      <c r="Y1215" s="357" t="s">
        <v>408</v>
      </c>
      <c r="Z1215" s="365" t="s">
        <v>3017</v>
      </c>
      <c r="AA1215" s="350">
        <v>196</v>
      </c>
      <c r="AB1215" s="349" t="s">
        <v>2685</v>
      </c>
      <c r="AC1215" s="350">
        <v>5</v>
      </c>
      <c r="AD1215" s="349" t="s">
        <v>2685</v>
      </c>
      <c r="AE1215" s="364">
        <v>0</v>
      </c>
      <c r="AF1215" s="366">
        <v>0</v>
      </c>
      <c r="AG1215" s="363">
        <v>0</v>
      </c>
      <c r="AH1215" s="635" t="s">
        <v>408</v>
      </c>
      <c r="AL1215" s="487" t="s">
        <v>15625</v>
      </c>
      <c r="AM1215" s="477" t="s">
        <v>71</v>
      </c>
      <c r="AN1215" s="637">
        <v>100</v>
      </c>
      <c r="AO1215" s="478">
        <v>-1570</v>
      </c>
      <c r="AP1215" s="463">
        <v>-722</v>
      </c>
      <c r="AQ1215" s="479">
        <v>-848</v>
      </c>
      <c r="AR1215" s="476" t="s">
        <v>17367</v>
      </c>
      <c r="BA1215" s="313" t="s">
        <v>5385</v>
      </c>
    </row>
    <row r="1216" spans="2:53" ht="16.5" customHeight="1">
      <c r="B1216" s="367" t="s">
        <v>11252</v>
      </c>
      <c r="C1216" s="351" t="s">
        <v>11253</v>
      </c>
      <c r="D1216" s="353">
        <v>-1570</v>
      </c>
      <c r="E1216" s="352" t="s">
        <v>11247</v>
      </c>
      <c r="F1216" s="341">
        <v>80.23</v>
      </c>
      <c r="G1216" s="355" t="s">
        <v>5357</v>
      </c>
      <c r="H1216" s="356" t="s">
        <v>18810</v>
      </c>
      <c r="I1216" s="354" t="s">
        <v>478</v>
      </c>
      <c r="J1216" s="340" t="s">
        <v>11254</v>
      </c>
      <c r="K1216" s="339" t="s">
        <v>70</v>
      </c>
      <c r="L1216" s="357">
        <v>23</v>
      </c>
      <c r="M1216" s="358" t="s">
        <v>11255</v>
      </c>
      <c r="N1216" s="359">
        <v>1000</v>
      </c>
      <c r="O1216" s="360" t="s">
        <v>532</v>
      </c>
      <c r="P1216" s="343" t="s">
        <v>533</v>
      </c>
      <c r="Q1216" s="342" t="s">
        <v>2688</v>
      </c>
      <c r="R1216" s="344">
        <v>25</v>
      </c>
      <c r="S1216" s="345">
        <v>35</v>
      </c>
      <c r="T1216" s="362">
        <v>25</v>
      </c>
      <c r="U1216" s="361">
        <v>80.23</v>
      </c>
      <c r="V1216" s="346">
        <v>118.89166707633002</v>
      </c>
      <c r="W1216" s="348">
        <v>118.62988528349243</v>
      </c>
      <c r="X1216" s="347">
        <v>59.78</v>
      </c>
      <c r="Y1216" s="357">
        <v>60.379999999999995</v>
      </c>
      <c r="Z1216" s="365" t="s">
        <v>3017</v>
      </c>
      <c r="AA1216" s="350">
        <v>149.25</v>
      </c>
      <c r="AB1216" s="349" t="s">
        <v>2685</v>
      </c>
      <c r="AC1216" s="350">
        <v>10</v>
      </c>
      <c r="AD1216" s="349" t="s">
        <v>2685</v>
      </c>
      <c r="AE1216" s="364">
        <v>0</v>
      </c>
      <c r="AF1216" s="366">
        <v>6.4690000000000003</v>
      </c>
      <c r="AG1216" s="363">
        <v>0</v>
      </c>
      <c r="AH1216" s="635" t="s">
        <v>8123</v>
      </c>
      <c r="AL1216" s="487" t="s">
        <v>15626</v>
      </c>
      <c r="AM1216" s="477" t="s">
        <v>70</v>
      </c>
      <c r="AN1216" s="637">
        <v>100</v>
      </c>
      <c r="AO1216" s="478">
        <v>-1570</v>
      </c>
      <c r="AP1216" s="463">
        <v>-1570</v>
      </c>
      <c r="AQ1216" s="479">
        <v>0</v>
      </c>
      <c r="AR1216" s="476" t="s">
        <v>17368</v>
      </c>
      <c r="BA1216" s="313" t="s">
        <v>5387</v>
      </c>
    </row>
    <row r="1217" spans="2:53" ht="16.5" customHeight="1">
      <c r="B1217" s="367" t="s">
        <v>11252</v>
      </c>
      <c r="C1217" s="351" t="s">
        <v>11253</v>
      </c>
      <c r="D1217" s="353">
        <v>-1570</v>
      </c>
      <c r="E1217" s="352" t="s">
        <v>11247</v>
      </c>
      <c r="F1217" s="341">
        <v>80.23</v>
      </c>
      <c r="G1217" s="355" t="s">
        <v>5357</v>
      </c>
      <c r="H1217" s="356" t="s">
        <v>18810</v>
      </c>
      <c r="I1217" s="354" t="s">
        <v>422</v>
      </c>
      <c r="J1217" s="340" t="s">
        <v>11256</v>
      </c>
      <c r="K1217" s="339" t="s">
        <v>70</v>
      </c>
      <c r="L1217" s="357">
        <v>13</v>
      </c>
      <c r="M1217" s="358" t="s">
        <v>11257</v>
      </c>
      <c r="N1217" s="359">
        <v>1000</v>
      </c>
      <c r="O1217" s="360" t="s">
        <v>454</v>
      </c>
      <c r="P1217" s="343" t="s">
        <v>454</v>
      </c>
      <c r="Q1217" s="342" t="s">
        <v>2688</v>
      </c>
      <c r="R1217" s="344">
        <v>20</v>
      </c>
      <c r="S1217" s="345">
        <v>35</v>
      </c>
      <c r="T1217" s="362">
        <v>30</v>
      </c>
      <c r="U1217" s="361">
        <v>80.23</v>
      </c>
      <c r="V1217" s="346">
        <v>118.89164305949008</v>
      </c>
      <c r="W1217" s="348">
        <v>118.62987203282211</v>
      </c>
      <c r="X1217" s="347">
        <v>59.78</v>
      </c>
      <c r="Y1217" s="357" t="s">
        <v>408</v>
      </c>
      <c r="Z1217" s="365" t="s">
        <v>3017</v>
      </c>
      <c r="AA1217" s="350">
        <v>147</v>
      </c>
      <c r="AB1217" s="349" t="s">
        <v>2685</v>
      </c>
      <c r="AC1217" s="350">
        <v>5</v>
      </c>
      <c r="AD1217" s="349" t="s">
        <v>2685</v>
      </c>
      <c r="AE1217" s="364">
        <v>0</v>
      </c>
      <c r="AF1217" s="366">
        <v>26.074999999999999</v>
      </c>
      <c r="AG1217" s="363">
        <v>0</v>
      </c>
      <c r="AH1217" s="635" t="s">
        <v>10941</v>
      </c>
      <c r="AL1217" s="487" t="s">
        <v>15627</v>
      </c>
      <c r="AM1217" s="477" t="s">
        <v>70</v>
      </c>
      <c r="AN1217" s="637">
        <v>100</v>
      </c>
      <c r="AO1217" s="478">
        <v>-1570</v>
      </c>
      <c r="AP1217" s="463">
        <v>-1570</v>
      </c>
      <c r="AQ1217" s="479">
        <v>0</v>
      </c>
      <c r="AR1217" s="476" t="s">
        <v>17368</v>
      </c>
      <c r="BA1217" s="313" t="s">
        <v>5388</v>
      </c>
    </row>
    <row r="1218" spans="2:53" ht="16.5" customHeight="1">
      <c r="B1218" s="367" t="s">
        <v>11258</v>
      </c>
      <c r="C1218" s="351" t="s">
        <v>11259</v>
      </c>
      <c r="D1218" s="353">
        <v>-1570</v>
      </c>
      <c r="E1218" s="352" t="s">
        <v>5176</v>
      </c>
      <c r="F1218" s="341">
        <v>80.22</v>
      </c>
      <c r="G1218" s="355" t="s">
        <v>11512</v>
      </c>
      <c r="H1218" s="356" t="s">
        <v>18811</v>
      </c>
      <c r="I1218" s="354" t="s">
        <v>446</v>
      </c>
      <c r="J1218" s="340" t="s">
        <v>8232</v>
      </c>
      <c r="K1218" s="339" t="s">
        <v>71</v>
      </c>
      <c r="L1218" s="357">
        <v>3</v>
      </c>
      <c r="M1218" s="358" t="s">
        <v>6103</v>
      </c>
      <c r="N1218" s="359">
        <v>1000</v>
      </c>
      <c r="O1218" s="360" t="s">
        <v>454</v>
      </c>
      <c r="P1218" s="343" t="s">
        <v>454</v>
      </c>
      <c r="Q1218" s="342" t="s">
        <v>2688</v>
      </c>
      <c r="R1218" s="344">
        <v>35</v>
      </c>
      <c r="S1218" s="345">
        <v>30</v>
      </c>
      <c r="T1218" s="362">
        <v>25</v>
      </c>
      <c r="U1218" s="361">
        <v>80.22</v>
      </c>
      <c r="V1218" s="346">
        <v>118.88888888888889</v>
      </c>
      <c r="W1218" s="348">
        <v>118.62835249042145</v>
      </c>
      <c r="X1218" s="347">
        <v>60.01</v>
      </c>
      <c r="Y1218" s="357" t="s">
        <v>408</v>
      </c>
      <c r="Z1218" s="365" t="s">
        <v>3017</v>
      </c>
      <c r="AA1218" s="350">
        <v>98</v>
      </c>
      <c r="AB1218" s="349" t="s">
        <v>2685</v>
      </c>
      <c r="AC1218" s="350">
        <v>0</v>
      </c>
      <c r="AD1218" s="349" t="s">
        <v>2685</v>
      </c>
      <c r="AE1218" s="364">
        <v>0</v>
      </c>
      <c r="AF1218" s="366">
        <v>0</v>
      </c>
      <c r="AG1218" s="363">
        <v>0</v>
      </c>
      <c r="AH1218" s="635" t="s">
        <v>408</v>
      </c>
      <c r="AL1218" s="487" t="s">
        <v>15628</v>
      </c>
      <c r="AM1218" s="477" t="s">
        <v>71</v>
      </c>
      <c r="AN1218" s="637">
        <v>100</v>
      </c>
      <c r="AO1218" s="478">
        <v>-1570</v>
      </c>
      <c r="AP1218" s="463">
        <v>-722</v>
      </c>
      <c r="AQ1218" s="479">
        <v>-848</v>
      </c>
      <c r="AR1218" s="476" t="s">
        <v>17369</v>
      </c>
      <c r="BA1218" s="313" t="s">
        <v>5391</v>
      </c>
    </row>
    <row r="1219" spans="2:53" ht="16.5" customHeight="1">
      <c r="B1219" s="367" t="s">
        <v>11260</v>
      </c>
      <c r="C1219" s="351" t="s">
        <v>11261</v>
      </c>
      <c r="D1219" s="353">
        <v>-1570</v>
      </c>
      <c r="E1219" s="352" t="s">
        <v>408</v>
      </c>
      <c r="F1219" s="341">
        <v>80.19</v>
      </c>
      <c r="G1219" s="355" t="s">
        <v>5324</v>
      </c>
      <c r="H1219" s="356" t="s">
        <v>18812</v>
      </c>
      <c r="I1219" s="354" t="s">
        <v>425</v>
      </c>
      <c r="J1219" s="340" t="s">
        <v>11263</v>
      </c>
      <c r="K1219" s="339" t="s">
        <v>71</v>
      </c>
      <c r="L1219" s="357">
        <v>40</v>
      </c>
      <c r="M1219" s="358" t="s">
        <v>11264</v>
      </c>
      <c r="N1219" s="359">
        <v>1000</v>
      </c>
      <c r="O1219" s="360" t="s">
        <v>454</v>
      </c>
      <c r="P1219" s="343" t="s">
        <v>454</v>
      </c>
      <c r="Q1219" s="342" t="s">
        <v>2738</v>
      </c>
      <c r="R1219" s="344">
        <v>35</v>
      </c>
      <c r="S1219" s="345">
        <v>25</v>
      </c>
      <c r="T1219" s="362">
        <v>20</v>
      </c>
      <c r="U1219" s="361">
        <v>80.19</v>
      </c>
      <c r="V1219" s="346">
        <v>118.8671875</v>
      </c>
      <c r="W1219" s="348">
        <v>118.61637931034483</v>
      </c>
      <c r="X1219" s="347">
        <v>60</v>
      </c>
      <c r="Y1219" s="357" t="s">
        <v>408</v>
      </c>
      <c r="Z1219" s="365" t="s">
        <v>3017</v>
      </c>
      <c r="AA1219" s="350">
        <v>196</v>
      </c>
      <c r="AB1219" s="349" t="s">
        <v>2685</v>
      </c>
      <c r="AC1219" s="350">
        <v>10</v>
      </c>
      <c r="AD1219" s="349" t="s">
        <v>2685</v>
      </c>
      <c r="AE1219" s="364">
        <v>0</v>
      </c>
      <c r="AF1219" s="366">
        <v>0</v>
      </c>
      <c r="AG1219" s="363">
        <v>0</v>
      </c>
      <c r="AH1219" s="635" t="s">
        <v>408</v>
      </c>
      <c r="AL1219" s="487" t="s">
        <v>15629</v>
      </c>
      <c r="AM1219" s="477" t="s">
        <v>71</v>
      </c>
      <c r="AN1219" s="637">
        <v>100</v>
      </c>
      <c r="AO1219" s="478">
        <v>-1570</v>
      </c>
      <c r="AP1219" s="463">
        <v>-722</v>
      </c>
      <c r="AQ1219" s="479">
        <v>-848</v>
      </c>
      <c r="AR1219" s="476" t="s">
        <v>17370</v>
      </c>
      <c r="BA1219" s="313" t="s">
        <v>5392</v>
      </c>
    </row>
    <row r="1220" spans="2:53" ht="16.5" customHeight="1">
      <c r="B1220" s="367" t="s">
        <v>11270</v>
      </c>
      <c r="C1220" s="351" t="s">
        <v>11271</v>
      </c>
      <c r="D1220" s="353">
        <v>-1570</v>
      </c>
      <c r="E1220" s="352" t="s">
        <v>408</v>
      </c>
      <c r="F1220" s="341">
        <v>80.16</v>
      </c>
      <c r="G1220" s="355" t="s">
        <v>11272</v>
      </c>
      <c r="H1220" s="356" t="s">
        <v>18813</v>
      </c>
      <c r="I1220" s="354" t="s">
        <v>209</v>
      </c>
      <c r="J1220" s="340" t="s">
        <v>8618</v>
      </c>
      <c r="K1220" s="339" t="s">
        <v>71</v>
      </c>
      <c r="L1220" s="357">
        <v>11</v>
      </c>
      <c r="M1220" s="358" t="s">
        <v>4622</v>
      </c>
      <c r="N1220" s="359">
        <v>1000</v>
      </c>
      <c r="O1220" s="360" t="s">
        <v>530</v>
      </c>
      <c r="P1220" s="343" t="s">
        <v>530</v>
      </c>
      <c r="Q1220" s="342" t="s">
        <v>2688</v>
      </c>
      <c r="R1220" s="344">
        <v>30</v>
      </c>
      <c r="S1220" s="345">
        <v>25</v>
      </c>
      <c r="T1220" s="362">
        <v>25</v>
      </c>
      <c r="U1220" s="361">
        <v>80.16</v>
      </c>
      <c r="V1220" s="346">
        <v>118.84740523255333</v>
      </c>
      <c r="W1220" s="348">
        <v>118.60546495589149</v>
      </c>
      <c r="X1220" s="347">
        <v>59.99</v>
      </c>
      <c r="Y1220" s="357" t="s">
        <v>408</v>
      </c>
      <c r="Z1220" s="365" t="s">
        <v>3017</v>
      </c>
      <c r="AA1220" s="350">
        <v>198</v>
      </c>
      <c r="AB1220" s="349" t="s">
        <v>2685</v>
      </c>
      <c r="AC1220" s="350">
        <v>10</v>
      </c>
      <c r="AD1220" s="349" t="s">
        <v>2685</v>
      </c>
      <c r="AE1220" s="364">
        <v>0</v>
      </c>
      <c r="AF1220" s="366">
        <v>0</v>
      </c>
      <c r="AG1220" s="363">
        <v>0</v>
      </c>
      <c r="AH1220" s="635" t="s">
        <v>408</v>
      </c>
      <c r="AL1220" s="487" t="s">
        <v>15630</v>
      </c>
      <c r="AM1220" s="477" t="s">
        <v>71</v>
      </c>
      <c r="AN1220" s="637">
        <v>100</v>
      </c>
      <c r="AO1220" s="478">
        <v>-1570</v>
      </c>
      <c r="AP1220" s="463">
        <v>-721</v>
      </c>
      <c r="AQ1220" s="479">
        <v>-849</v>
      </c>
      <c r="AR1220" s="476" t="s">
        <v>17371</v>
      </c>
      <c r="BA1220" s="313" t="s">
        <v>5395</v>
      </c>
    </row>
    <row r="1221" spans="2:53" ht="16.5" customHeight="1">
      <c r="B1221" s="367" t="s">
        <v>11270</v>
      </c>
      <c r="C1221" s="351" t="s">
        <v>11271</v>
      </c>
      <c r="D1221" s="353">
        <v>-1570</v>
      </c>
      <c r="E1221" s="352" t="s">
        <v>5181</v>
      </c>
      <c r="F1221" s="341">
        <v>80.16</v>
      </c>
      <c r="G1221" s="355" t="s">
        <v>11272</v>
      </c>
      <c r="H1221" s="356" t="s">
        <v>18813</v>
      </c>
      <c r="I1221" s="354" t="s">
        <v>209</v>
      </c>
      <c r="J1221" s="340" t="s">
        <v>8232</v>
      </c>
      <c r="K1221" s="339" t="s">
        <v>71</v>
      </c>
      <c r="L1221" s="357">
        <v>6</v>
      </c>
      <c r="M1221" s="358" t="s">
        <v>4622</v>
      </c>
      <c r="N1221" s="359">
        <v>1000</v>
      </c>
      <c r="O1221" s="360" t="s">
        <v>530</v>
      </c>
      <c r="P1221" s="343" t="s">
        <v>530</v>
      </c>
      <c r="Q1221" s="342" t="s">
        <v>2688</v>
      </c>
      <c r="R1221" s="344">
        <v>30</v>
      </c>
      <c r="S1221" s="345">
        <v>25</v>
      </c>
      <c r="T1221" s="362">
        <v>25</v>
      </c>
      <c r="U1221" s="361">
        <v>80.16</v>
      </c>
      <c r="V1221" s="346">
        <v>118.84740523255333</v>
      </c>
      <c r="W1221" s="348">
        <v>118.60546495589149</v>
      </c>
      <c r="X1221" s="347">
        <v>59.99</v>
      </c>
      <c r="Y1221" s="357" t="s">
        <v>408</v>
      </c>
      <c r="Z1221" s="365" t="s">
        <v>3017</v>
      </c>
      <c r="AA1221" s="350">
        <v>198</v>
      </c>
      <c r="AB1221" s="349" t="s">
        <v>2685</v>
      </c>
      <c r="AC1221" s="350">
        <v>10</v>
      </c>
      <c r="AD1221" s="349" t="s">
        <v>2685</v>
      </c>
      <c r="AE1221" s="364">
        <v>0</v>
      </c>
      <c r="AF1221" s="366">
        <v>0</v>
      </c>
      <c r="AG1221" s="363">
        <v>0</v>
      </c>
      <c r="AH1221" s="635" t="s">
        <v>408</v>
      </c>
      <c r="AL1221" s="487" t="s">
        <v>15631</v>
      </c>
      <c r="AM1221" s="477" t="s">
        <v>71</v>
      </c>
      <c r="AN1221" s="637">
        <v>100</v>
      </c>
      <c r="AO1221" s="478">
        <v>-1570</v>
      </c>
      <c r="AP1221" s="463">
        <v>-721</v>
      </c>
      <c r="AQ1221" s="479">
        <v>-849</v>
      </c>
      <c r="AR1221" s="476" t="s">
        <v>17371</v>
      </c>
      <c r="BA1221" s="313" t="s">
        <v>5398</v>
      </c>
    </row>
    <row r="1222" spans="2:53" ht="16.5" customHeight="1">
      <c r="B1222" s="367" t="s">
        <v>18230</v>
      </c>
      <c r="C1222" s="351" t="s">
        <v>18231</v>
      </c>
      <c r="D1222" s="353">
        <v>-1570</v>
      </c>
      <c r="E1222" s="352" t="s">
        <v>11262</v>
      </c>
      <c r="F1222" s="341">
        <v>80.13</v>
      </c>
      <c r="G1222" s="355" t="s">
        <v>11248</v>
      </c>
      <c r="H1222" s="356" t="s">
        <v>10681</v>
      </c>
      <c r="I1222" s="354" t="s">
        <v>216</v>
      </c>
      <c r="J1222" s="340" t="s">
        <v>489</v>
      </c>
      <c r="K1222" s="339" t="s">
        <v>71</v>
      </c>
      <c r="L1222" s="357">
        <v>42</v>
      </c>
      <c r="M1222" s="358" t="s">
        <v>11251</v>
      </c>
      <c r="N1222" s="359">
        <v>300</v>
      </c>
      <c r="O1222" s="360" t="s">
        <v>530</v>
      </c>
      <c r="P1222" s="343" t="s">
        <v>530</v>
      </c>
      <c r="Q1222" s="342" t="s">
        <v>2688</v>
      </c>
      <c r="R1222" s="344">
        <v>45</v>
      </c>
      <c r="S1222" s="345">
        <v>25</v>
      </c>
      <c r="T1222" s="362">
        <v>30</v>
      </c>
      <c r="U1222" s="361">
        <v>80.13</v>
      </c>
      <c r="V1222" s="346">
        <v>118.83330638333177</v>
      </c>
      <c r="W1222" s="348">
        <v>118.59768628045892</v>
      </c>
      <c r="X1222" s="347">
        <v>59.98</v>
      </c>
      <c r="Y1222" s="357" t="s">
        <v>408</v>
      </c>
      <c r="Z1222" s="365" t="s">
        <v>3017</v>
      </c>
      <c r="AA1222" s="350">
        <v>-2</v>
      </c>
      <c r="AB1222" s="349" t="s">
        <v>2685</v>
      </c>
      <c r="AC1222" s="350">
        <v>0</v>
      </c>
      <c r="AD1222" s="349" t="s">
        <v>2685</v>
      </c>
      <c r="AE1222" s="364">
        <v>0</v>
      </c>
      <c r="AF1222" s="366">
        <v>0</v>
      </c>
      <c r="AG1222" s="363">
        <v>0</v>
      </c>
      <c r="AH1222" s="635" t="s">
        <v>408</v>
      </c>
      <c r="AL1222" s="487" t="s">
        <v>15632</v>
      </c>
      <c r="AM1222" s="477" t="s">
        <v>71</v>
      </c>
      <c r="AN1222" s="637">
        <v>100</v>
      </c>
      <c r="AO1222" s="478">
        <v>-1570</v>
      </c>
      <c r="AP1222" s="463">
        <v>-721</v>
      </c>
      <c r="AQ1222" s="479">
        <v>-849</v>
      </c>
      <c r="AR1222" s="476" t="s">
        <v>17372</v>
      </c>
      <c r="BA1222" s="313" t="s">
        <v>5402</v>
      </c>
    </row>
    <row r="1223" spans="2:53" ht="16.5" customHeight="1">
      <c r="B1223" s="367" t="s">
        <v>5215</v>
      </c>
      <c r="C1223" s="351" t="s">
        <v>5216</v>
      </c>
      <c r="D1223" s="353">
        <v>-1570</v>
      </c>
      <c r="E1223" s="352" t="s">
        <v>11265</v>
      </c>
      <c r="F1223" s="341">
        <v>80.13</v>
      </c>
      <c r="G1223" s="355" t="s">
        <v>18814</v>
      </c>
      <c r="H1223" s="356" t="s">
        <v>4813</v>
      </c>
      <c r="I1223" s="354" t="s">
        <v>195</v>
      </c>
      <c r="J1223" s="340" t="s">
        <v>8659</v>
      </c>
      <c r="K1223" s="339" t="s">
        <v>71</v>
      </c>
      <c r="L1223" s="357">
        <v>15</v>
      </c>
      <c r="M1223" s="358" t="s">
        <v>11267</v>
      </c>
      <c r="N1223" s="359">
        <v>100</v>
      </c>
      <c r="O1223" s="360" t="s">
        <v>454</v>
      </c>
      <c r="P1223" s="343" t="s">
        <v>454</v>
      </c>
      <c r="Q1223" s="342" t="s">
        <v>2738</v>
      </c>
      <c r="R1223" s="344">
        <v>35</v>
      </c>
      <c r="S1223" s="345">
        <v>25</v>
      </c>
      <c r="T1223" s="362">
        <v>20</v>
      </c>
      <c r="U1223" s="361">
        <v>80.13</v>
      </c>
      <c r="V1223" s="346">
        <v>118.828125</v>
      </c>
      <c r="W1223" s="348">
        <v>118.5948275862069</v>
      </c>
      <c r="X1223" s="347">
        <v>59.98</v>
      </c>
      <c r="Y1223" s="357" t="s">
        <v>408</v>
      </c>
      <c r="Z1223" s="365" t="s">
        <v>3017</v>
      </c>
      <c r="AA1223" s="350">
        <v>19</v>
      </c>
      <c r="AB1223" s="349" t="s">
        <v>2685</v>
      </c>
      <c r="AC1223" s="350">
        <v>0</v>
      </c>
      <c r="AD1223" s="349" t="s">
        <v>2685</v>
      </c>
      <c r="AE1223" s="364">
        <v>0</v>
      </c>
      <c r="AF1223" s="366">
        <v>0</v>
      </c>
      <c r="AG1223" s="363">
        <v>0</v>
      </c>
      <c r="AH1223" s="635" t="s">
        <v>408</v>
      </c>
      <c r="AL1223" s="487" t="s">
        <v>15633</v>
      </c>
      <c r="AM1223" s="477" t="s">
        <v>71</v>
      </c>
      <c r="AN1223" s="637">
        <v>100</v>
      </c>
      <c r="AO1223" s="478">
        <v>-1570</v>
      </c>
      <c r="AP1223" s="463">
        <v>-721</v>
      </c>
      <c r="AQ1223" s="479">
        <v>-849</v>
      </c>
      <c r="AR1223" s="476" t="s">
        <v>17373</v>
      </c>
      <c r="BA1223" s="313" t="s">
        <v>5403</v>
      </c>
    </row>
    <row r="1224" spans="2:53" ht="16.5" customHeight="1">
      <c r="B1224" s="367" t="s">
        <v>5215</v>
      </c>
      <c r="C1224" s="351" t="s">
        <v>5216</v>
      </c>
      <c r="D1224" s="353">
        <v>-1570</v>
      </c>
      <c r="E1224" s="352" t="s">
        <v>5371</v>
      </c>
      <c r="F1224" s="341">
        <v>80.13</v>
      </c>
      <c r="G1224" s="355" t="s">
        <v>18814</v>
      </c>
      <c r="H1224" s="356" t="s">
        <v>4813</v>
      </c>
      <c r="I1224" s="354" t="s">
        <v>425</v>
      </c>
      <c r="J1224" s="340" t="s">
        <v>11268</v>
      </c>
      <c r="K1224" s="339" t="s">
        <v>71</v>
      </c>
      <c r="L1224" s="357">
        <v>9</v>
      </c>
      <c r="M1224" s="358" t="s">
        <v>5268</v>
      </c>
      <c r="N1224" s="359">
        <v>1000</v>
      </c>
      <c r="O1224" s="360" t="s">
        <v>454</v>
      </c>
      <c r="P1224" s="343" t="s">
        <v>454</v>
      </c>
      <c r="Q1224" s="342" t="s">
        <v>2738</v>
      </c>
      <c r="R1224" s="344">
        <v>35</v>
      </c>
      <c r="S1224" s="345">
        <v>25</v>
      </c>
      <c r="T1224" s="362">
        <v>20</v>
      </c>
      <c r="U1224" s="361">
        <v>80.13</v>
      </c>
      <c r="V1224" s="346">
        <v>118.828125</v>
      </c>
      <c r="W1224" s="348">
        <v>118.5948275862069</v>
      </c>
      <c r="X1224" s="347">
        <v>59.98</v>
      </c>
      <c r="Y1224" s="357" t="s">
        <v>408</v>
      </c>
      <c r="Z1224" s="365" t="s">
        <v>3017</v>
      </c>
      <c r="AA1224" s="350">
        <v>196</v>
      </c>
      <c r="AB1224" s="349" t="s">
        <v>2685</v>
      </c>
      <c r="AC1224" s="350">
        <v>10</v>
      </c>
      <c r="AD1224" s="349" t="s">
        <v>2685</v>
      </c>
      <c r="AE1224" s="364">
        <v>0</v>
      </c>
      <c r="AF1224" s="366">
        <v>0</v>
      </c>
      <c r="AG1224" s="363">
        <v>0</v>
      </c>
      <c r="AH1224" s="635" t="s">
        <v>408</v>
      </c>
      <c r="AL1224" s="487" t="s">
        <v>15634</v>
      </c>
      <c r="AM1224" s="477" t="s">
        <v>71</v>
      </c>
      <c r="AN1224" s="637">
        <v>100</v>
      </c>
      <c r="AO1224" s="478">
        <v>-1570</v>
      </c>
      <c r="AP1224" s="463">
        <v>-721</v>
      </c>
      <c r="AQ1224" s="479">
        <v>-849</v>
      </c>
      <c r="AR1224" s="476" t="s">
        <v>17373</v>
      </c>
      <c r="BA1224" s="313" t="s">
        <v>5404</v>
      </c>
    </row>
    <row r="1225" spans="2:53" ht="16.5" customHeight="1">
      <c r="B1225" s="367" t="s">
        <v>5215</v>
      </c>
      <c r="C1225" s="351" t="s">
        <v>5216</v>
      </c>
      <c r="D1225" s="353">
        <v>-1570</v>
      </c>
      <c r="E1225" s="352" t="s">
        <v>5371</v>
      </c>
      <c r="F1225" s="341">
        <v>80.13</v>
      </c>
      <c r="G1225" s="355" t="s">
        <v>18814</v>
      </c>
      <c r="H1225" s="356" t="s">
        <v>4813</v>
      </c>
      <c r="I1225" s="354" t="s">
        <v>479</v>
      </c>
      <c r="J1225" s="340" t="s">
        <v>8337</v>
      </c>
      <c r="K1225" s="339" t="s">
        <v>71</v>
      </c>
      <c r="L1225" s="357">
        <v>6</v>
      </c>
      <c r="M1225" s="358" t="s">
        <v>11269</v>
      </c>
      <c r="N1225" s="359">
        <v>500</v>
      </c>
      <c r="O1225" s="360" t="s">
        <v>454</v>
      </c>
      <c r="P1225" s="343" t="s">
        <v>454</v>
      </c>
      <c r="Q1225" s="342" t="s">
        <v>2688</v>
      </c>
      <c r="R1225" s="344">
        <v>30</v>
      </c>
      <c r="S1225" s="345">
        <v>20</v>
      </c>
      <c r="T1225" s="362">
        <v>30</v>
      </c>
      <c r="U1225" s="361">
        <v>80.13</v>
      </c>
      <c r="V1225" s="346">
        <v>118.828125</v>
      </c>
      <c r="W1225" s="348">
        <v>118.5948275862069</v>
      </c>
      <c r="X1225" s="347">
        <v>59.98</v>
      </c>
      <c r="Y1225" s="357" t="s">
        <v>408</v>
      </c>
      <c r="Z1225" s="365" t="s">
        <v>3017</v>
      </c>
      <c r="AA1225" s="350">
        <v>97</v>
      </c>
      <c r="AB1225" s="349" t="s">
        <v>2685</v>
      </c>
      <c r="AC1225" s="350">
        <v>2</v>
      </c>
      <c r="AD1225" s="349" t="s">
        <v>2685</v>
      </c>
      <c r="AE1225" s="364">
        <v>0</v>
      </c>
      <c r="AF1225" s="366">
        <v>0</v>
      </c>
      <c r="AG1225" s="363">
        <v>0</v>
      </c>
      <c r="AH1225" s="635" t="s">
        <v>408</v>
      </c>
      <c r="AL1225" s="487" t="s">
        <v>15635</v>
      </c>
      <c r="AM1225" s="477" t="s">
        <v>71</v>
      </c>
      <c r="AN1225" s="637">
        <v>100</v>
      </c>
      <c r="AO1225" s="478">
        <v>-1570</v>
      </c>
      <c r="AP1225" s="463">
        <v>-721</v>
      </c>
      <c r="AQ1225" s="479">
        <v>-849</v>
      </c>
      <c r="AR1225" s="476" t="s">
        <v>17373</v>
      </c>
      <c r="BA1225" s="313" t="s">
        <v>5410</v>
      </c>
    </row>
    <row r="1226" spans="2:53" ht="16.5" customHeight="1">
      <c r="B1226" s="367" t="s">
        <v>5215</v>
      </c>
      <c r="C1226" s="351" t="s">
        <v>5216</v>
      </c>
      <c r="D1226" s="353">
        <v>-1570</v>
      </c>
      <c r="E1226" s="352" t="s">
        <v>5371</v>
      </c>
      <c r="F1226" s="341">
        <v>80.13</v>
      </c>
      <c r="G1226" s="355" t="s">
        <v>18814</v>
      </c>
      <c r="H1226" s="356" t="s">
        <v>4813</v>
      </c>
      <c r="I1226" s="354" t="s">
        <v>479</v>
      </c>
      <c r="J1226" s="340" t="s">
        <v>501</v>
      </c>
      <c r="K1226" s="339" t="s">
        <v>71</v>
      </c>
      <c r="L1226" s="357">
        <v>7</v>
      </c>
      <c r="M1226" s="358" t="s">
        <v>11269</v>
      </c>
      <c r="N1226" s="359">
        <v>500</v>
      </c>
      <c r="O1226" s="360" t="s">
        <v>454</v>
      </c>
      <c r="P1226" s="343" t="s">
        <v>454</v>
      </c>
      <c r="Q1226" s="342" t="s">
        <v>2688</v>
      </c>
      <c r="R1226" s="344">
        <v>30</v>
      </c>
      <c r="S1226" s="345">
        <v>20</v>
      </c>
      <c r="T1226" s="362">
        <v>30</v>
      </c>
      <c r="U1226" s="361">
        <v>80.13</v>
      </c>
      <c r="V1226" s="346">
        <v>118.828125</v>
      </c>
      <c r="W1226" s="348">
        <v>118.5948275862069</v>
      </c>
      <c r="X1226" s="347">
        <v>59.98</v>
      </c>
      <c r="Y1226" s="357" t="s">
        <v>408</v>
      </c>
      <c r="Z1226" s="365" t="s">
        <v>3017</v>
      </c>
      <c r="AA1226" s="350">
        <v>97</v>
      </c>
      <c r="AB1226" s="349" t="s">
        <v>2685</v>
      </c>
      <c r="AC1226" s="350">
        <v>2</v>
      </c>
      <c r="AD1226" s="349" t="s">
        <v>2685</v>
      </c>
      <c r="AE1226" s="364">
        <v>0</v>
      </c>
      <c r="AF1226" s="366">
        <v>0</v>
      </c>
      <c r="AG1226" s="363">
        <v>0</v>
      </c>
      <c r="AH1226" s="635" t="s">
        <v>408</v>
      </c>
      <c r="AL1226" s="487" t="s">
        <v>15636</v>
      </c>
      <c r="AM1226" s="477" t="s">
        <v>71</v>
      </c>
      <c r="AN1226" s="637">
        <v>100</v>
      </c>
      <c r="AO1226" s="478">
        <v>-1570</v>
      </c>
      <c r="AP1226" s="463">
        <v>-721</v>
      </c>
      <c r="AQ1226" s="479">
        <v>-849</v>
      </c>
      <c r="AR1226" s="476" t="s">
        <v>17373</v>
      </c>
      <c r="BA1226" s="313" t="s">
        <v>5411</v>
      </c>
    </row>
    <row r="1227" spans="2:53" ht="16.5" customHeight="1">
      <c r="B1227" s="367" t="s">
        <v>5215</v>
      </c>
      <c r="C1227" s="351" t="s">
        <v>5216</v>
      </c>
      <c r="D1227" s="353">
        <v>-1570</v>
      </c>
      <c r="E1227" s="352" t="s">
        <v>5371</v>
      </c>
      <c r="F1227" s="341">
        <v>80.13</v>
      </c>
      <c r="G1227" s="355" t="s">
        <v>18814</v>
      </c>
      <c r="H1227" s="356" t="s">
        <v>4813</v>
      </c>
      <c r="I1227" s="354" t="s">
        <v>479</v>
      </c>
      <c r="J1227" s="340" t="s">
        <v>8974</v>
      </c>
      <c r="K1227" s="339" t="s">
        <v>71</v>
      </c>
      <c r="L1227" s="357">
        <v>6</v>
      </c>
      <c r="M1227" s="358" t="s">
        <v>11269</v>
      </c>
      <c r="N1227" s="359">
        <v>500</v>
      </c>
      <c r="O1227" s="360" t="s">
        <v>454</v>
      </c>
      <c r="P1227" s="343" t="s">
        <v>454</v>
      </c>
      <c r="Q1227" s="342" t="s">
        <v>2688</v>
      </c>
      <c r="R1227" s="344">
        <v>30</v>
      </c>
      <c r="S1227" s="345">
        <v>20</v>
      </c>
      <c r="T1227" s="362">
        <v>30</v>
      </c>
      <c r="U1227" s="361">
        <v>80.13</v>
      </c>
      <c r="V1227" s="346">
        <v>118.828125</v>
      </c>
      <c r="W1227" s="348">
        <v>118.5948275862069</v>
      </c>
      <c r="X1227" s="347">
        <v>59.98</v>
      </c>
      <c r="Y1227" s="357" t="s">
        <v>408</v>
      </c>
      <c r="Z1227" s="365" t="s">
        <v>3017</v>
      </c>
      <c r="AA1227" s="350">
        <v>97</v>
      </c>
      <c r="AB1227" s="349" t="s">
        <v>2685</v>
      </c>
      <c r="AC1227" s="350">
        <v>2</v>
      </c>
      <c r="AD1227" s="349" t="s">
        <v>2685</v>
      </c>
      <c r="AE1227" s="364">
        <v>0</v>
      </c>
      <c r="AF1227" s="366">
        <v>0</v>
      </c>
      <c r="AG1227" s="363">
        <v>0</v>
      </c>
      <c r="AH1227" s="635" t="s">
        <v>408</v>
      </c>
      <c r="AL1227" s="487" t="s">
        <v>15637</v>
      </c>
      <c r="AM1227" s="477" t="s">
        <v>71</v>
      </c>
      <c r="AN1227" s="637">
        <v>100</v>
      </c>
      <c r="AO1227" s="478">
        <v>-1570</v>
      </c>
      <c r="AP1227" s="463">
        <v>-721</v>
      </c>
      <c r="AQ1227" s="479">
        <v>-849</v>
      </c>
      <c r="AR1227" s="476" t="s">
        <v>17373</v>
      </c>
      <c r="BA1227" s="313" t="s">
        <v>5412</v>
      </c>
    </row>
    <row r="1228" spans="2:53" ht="16.5" customHeight="1">
      <c r="B1228" s="367" t="s">
        <v>11270</v>
      </c>
      <c r="C1228" s="351" t="s">
        <v>11271</v>
      </c>
      <c r="D1228" s="353">
        <v>-1570</v>
      </c>
      <c r="E1228" s="352" t="s">
        <v>5371</v>
      </c>
      <c r="F1228" s="341">
        <v>80.11</v>
      </c>
      <c r="G1228" s="355" t="s">
        <v>18815</v>
      </c>
      <c r="H1228" s="356" t="s">
        <v>10695</v>
      </c>
      <c r="I1228" s="354" t="s">
        <v>215</v>
      </c>
      <c r="J1228" s="340" t="s">
        <v>8772</v>
      </c>
      <c r="K1228" s="339" t="s">
        <v>71</v>
      </c>
      <c r="L1228" s="357">
        <v>3</v>
      </c>
      <c r="M1228" s="358" t="s">
        <v>11273</v>
      </c>
      <c r="N1228" s="359">
        <v>1000</v>
      </c>
      <c r="O1228" s="360" t="s">
        <v>530</v>
      </c>
      <c r="P1228" s="343" t="s">
        <v>531</v>
      </c>
      <c r="Q1228" s="342" t="s">
        <v>2688</v>
      </c>
      <c r="R1228" s="344">
        <v>38</v>
      </c>
      <c r="S1228" s="345">
        <v>25</v>
      </c>
      <c r="T1228" s="362">
        <v>25</v>
      </c>
      <c r="U1228" s="361">
        <v>80.11</v>
      </c>
      <c r="V1228" s="346">
        <v>118.81983921275754</v>
      </c>
      <c r="W1228" s="348">
        <v>118.59025611738348</v>
      </c>
      <c r="X1228" s="347">
        <v>59.97</v>
      </c>
      <c r="Y1228" s="357">
        <v>60.48</v>
      </c>
      <c r="Z1228" s="365" t="s">
        <v>3017</v>
      </c>
      <c r="AA1228" s="350">
        <v>121.25</v>
      </c>
      <c r="AB1228" s="349" t="s">
        <v>2685</v>
      </c>
      <c r="AC1228" s="350">
        <v>10</v>
      </c>
      <c r="AD1228" s="349" t="s">
        <v>2685</v>
      </c>
      <c r="AE1228" s="364">
        <v>0</v>
      </c>
      <c r="AF1228" s="366">
        <v>0</v>
      </c>
      <c r="AG1228" s="363">
        <v>0</v>
      </c>
      <c r="AH1228" s="635" t="s">
        <v>8002</v>
      </c>
      <c r="AL1228" s="487" t="s">
        <v>15638</v>
      </c>
      <c r="AM1228" s="477" t="s">
        <v>71</v>
      </c>
      <c r="AN1228" s="637">
        <v>100</v>
      </c>
      <c r="AO1228" s="478">
        <v>-1570</v>
      </c>
      <c r="AP1228" s="463">
        <v>-721</v>
      </c>
      <c r="AQ1228" s="479">
        <v>-849</v>
      </c>
      <c r="AR1228" s="476" t="s">
        <v>17374</v>
      </c>
      <c r="BA1228" s="313" t="s">
        <v>5413</v>
      </c>
    </row>
    <row r="1229" spans="2:53" ht="16.5" customHeight="1">
      <c r="B1229" s="367" t="s">
        <v>11274</v>
      </c>
      <c r="C1229" s="351" t="s">
        <v>11275</v>
      </c>
      <c r="D1229" s="353">
        <v>-1570</v>
      </c>
      <c r="E1229" s="352" t="s">
        <v>11272</v>
      </c>
      <c r="F1229" s="341">
        <v>80.099999999999994</v>
      </c>
      <c r="G1229" s="355" t="s">
        <v>11220</v>
      </c>
      <c r="H1229" s="356" t="s">
        <v>4785</v>
      </c>
      <c r="I1229" s="354" t="s">
        <v>425</v>
      </c>
      <c r="J1229" s="340" t="s">
        <v>8772</v>
      </c>
      <c r="K1229" s="339" t="s">
        <v>71</v>
      </c>
      <c r="L1229" s="357">
        <v>13</v>
      </c>
      <c r="M1229" s="358" t="s">
        <v>4900</v>
      </c>
      <c r="N1229" s="359">
        <v>1000</v>
      </c>
      <c r="O1229" s="360" t="s">
        <v>454</v>
      </c>
      <c r="P1229" s="343" t="s">
        <v>454</v>
      </c>
      <c r="Q1229" s="342" t="s">
        <v>2738</v>
      </c>
      <c r="R1229" s="344">
        <v>35</v>
      </c>
      <c r="S1229" s="345">
        <v>25</v>
      </c>
      <c r="T1229" s="362">
        <v>20</v>
      </c>
      <c r="U1229" s="361">
        <v>80.099999999999994</v>
      </c>
      <c r="V1229" s="346">
        <v>118.8125</v>
      </c>
      <c r="W1229" s="348">
        <v>118.58620689655173</v>
      </c>
      <c r="X1229" s="347">
        <v>59.97</v>
      </c>
      <c r="Y1229" s="357" t="s">
        <v>408</v>
      </c>
      <c r="Z1229" s="365" t="s">
        <v>3017</v>
      </c>
      <c r="AA1229" s="350">
        <v>196</v>
      </c>
      <c r="AB1229" s="349" t="s">
        <v>2685</v>
      </c>
      <c r="AC1229" s="350">
        <v>10</v>
      </c>
      <c r="AD1229" s="349" t="s">
        <v>2685</v>
      </c>
      <c r="AE1229" s="364">
        <v>0</v>
      </c>
      <c r="AF1229" s="366">
        <v>0</v>
      </c>
      <c r="AG1229" s="363">
        <v>0</v>
      </c>
      <c r="AH1229" s="635" t="s">
        <v>408</v>
      </c>
      <c r="AL1229" s="487" t="s">
        <v>15639</v>
      </c>
      <c r="AM1229" s="477" t="s">
        <v>71</v>
      </c>
      <c r="AN1229" s="637">
        <v>100</v>
      </c>
      <c r="AO1229" s="478">
        <v>-1570</v>
      </c>
      <c r="AP1229" s="463">
        <v>-721</v>
      </c>
      <c r="AQ1229" s="479">
        <v>-849</v>
      </c>
      <c r="AR1229" s="476" t="s">
        <v>17375</v>
      </c>
      <c r="BA1229" s="313" t="s">
        <v>5418</v>
      </c>
    </row>
    <row r="1230" spans="2:53" ht="16.5" customHeight="1">
      <c r="B1230" s="367" t="s">
        <v>11274</v>
      </c>
      <c r="C1230" s="351" t="s">
        <v>11275</v>
      </c>
      <c r="D1230" s="353">
        <v>-1570</v>
      </c>
      <c r="E1230" s="352" t="s">
        <v>11276</v>
      </c>
      <c r="F1230" s="341">
        <v>80.099999999999994</v>
      </c>
      <c r="G1230" s="355" t="s">
        <v>11276</v>
      </c>
      <c r="H1230" s="356" t="s">
        <v>10975</v>
      </c>
      <c r="I1230" s="354" t="s">
        <v>479</v>
      </c>
      <c r="J1230" s="340" t="s">
        <v>11277</v>
      </c>
      <c r="K1230" s="339" t="s">
        <v>70</v>
      </c>
      <c r="L1230" s="357">
        <v>8</v>
      </c>
      <c r="M1230" s="358" t="s">
        <v>11278</v>
      </c>
      <c r="N1230" s="359">
        <v>500</v>
      </c>
      <c r="O1230" s="360" t="s">
        <v>454</v>
      </c>
      <c r="P1230" s="343" t="s">
        <v>454</v>
      </c>
      <c r="Q1230" s="342" t="s">
        <v>2688</v>
      </c>
      <c r="R1230" s="344">
        <v>20</v>
      </c>
      <c r="S1230" s="345">
        <v>30</v>
      </c>
      <c r="T1230" s="362">
        <v>30</v>
      </c>
      <c r="U1230" s="361">
        <v>80.099999999999994</v>
      </c>
      <c r="V1230" s="346">
        <v>118.8109756097561</v>
      </c>
      <c r="W1230" s="348">
        <v>118.58536585365854</v>
      </c>
      <c r="X1230" s="347">
        <v>59.74</v>
      </c>
      <c r="Y1230" s="357" t="s">
        <v>408</v>
      </c>
      <c r="Z1230" s="365" t="s">
        <v>3017</v>
      </c>
      <c r="AA1230" s="350">
        <v>97</v>
      </c>
      <c r="AB1230" s="349" t="s">
        <v>2685</v>
      </c>
      <c r="AC1230" s="350">
        <v>2</v>
      </c>
      <c r="AD1230" s="349" t="s">
        <v>2685</v>
      </c>
      <c r="AE1230" s="364">
        <v>0</v>
      </c>
      <c r="AF1230" s="366">
        <v>8.01</v>
      </c>
      <c r="AG1230" s="363">
        <v>0</v>
      </c>
      <c r="AH1230" s="635" t="s">
        <v>10953</v>
      </c>
      <c r="AL1230" s="487" t="s">
        <v>15640</v>
      </c>
      <c r="AM1230" s="477" t="s">
        <v>70</v>
      </c>
      <c r="AN1230" s="637">
        <v>100</v>
      </c>
      <c r="AO1230" s="478">
        <v>-1570</v>
      </c>
      <c r="AP1230" s="463">
        <v>-1570</v>
      </c>
      <c r="AQ1230" s="479">
        <v>0</v>
      </c>
      <c r="AR1230" s="476" t="s">
        <v>17376</v>
      </c>
      <c r="BA1230" s="313" t="s">
        <v>5422</v>
      </c>
    </row>
    <row r="1231" spans="2:53" ht="16.5" customHeight="1">
      <c r="B1231" s="367" t="s">
        <v>11279</v>
      </c>
      <c r="C1231" s="351" t="s">
        <v>11280</v>
      </c>
      <c r="D1231" s="353">
        <v>-1570</v>
      </c>
      <c r="E1231" s="352" t="s">
        <v>408</v>
      </c>
      <c r="F1231" s="341">
        <v>80.06</v>
      </c>
      <c r="G1231" s="355" t="s">
        <v>5380</v>
      </c>
      <c r="H1231" s="356" t="s">
        <v>10890</v>
      </c>
      <c r="I1231" s="354" t="s">
        <v>239</v>
      </c>
      <c r="J1231" s="340" t="s">
        <v>10898</v>
      </c>
      <c r="K1231" s="339" t="s">
        <v>70</v>
      </c>
      <c r="L1231" s="357">
        <v>14</v>
      </c>
      <c r="M1231" s="358" t="s">
        <v>11198</v>
      </c>
      <c r="N1231" s="359">
        <v>1000</v>
      </c>
      <c r="O1231" s="360" t="s">
        <v>454</v>
      </c>
      <c r="P1231" s="343" t="s">
        <v>454</v>
      </c>
      <c r="Q1231" s="342" t="s">
        <v>2738</v>
      </c>
      <c r="R1231" s="344">
        <v>25</v>
      </c>
      <c r="S1231" s="345">
        <v>35</v>
      </c>
      <c r="T1231" s="362">
        <v>20</v>
      </c>
      <c r="U1231" s="361">
        <v>80.06</v>
      </c>
      <c r="V1231" s="346">
        <v>118.7890625</v>
      </c>
      <c r="W1231" s="348">
        <v>118.57327586206897</v>
      </c>
      <c r="X1231" s="347">
        <v>59.73</v>
      </c>
      <c r="Y1231" s="357" t="s">
        <v>408</v>
      </c>
      <c r="Z1231" s="365" t="s">
        <v>3017</v>
      </c>
      <c r="AA1231" s="350">
        <v>195</v>
      </c>
      <c r="AB1231" s="349" t="s">
        <v>2685</v>
      </c>
      <c r="AC1231" s="350">
        <v>10</v>
      </c>
      <c r="AD1231" s="349" t="s">
        <v>2685</v>
      </c>
      <c r="AE1231" s="364">
        <v>0</v>
      </c>
      <c r="AF1231" s="366">
        <v>0</v>
      </c>
      <c r="AG1231" s="363">
        <v>0</v>
      </c>
      <c r="AH1231" s="635" t="s">
        <v>408</v>
      </c>
      <c r="AL1231" s="487" t="s">
        <v>15641</v>
      </c>
      <c r="AM1231" s="477" t="s">
        <v>70</v>
      </c>
      <c r="AN1231" s="637">
        <v>100</v>
      </c>
      <c r="AO1231" s="478">
        <v>-1570</v>
      </c>
      <c r="AP1231" s="463">
        <v>-1570</v>
      </c>
      <c r="AQ1231" s="479">
        <v>0</v>
      </c>
      <c r="AR1231" s="476" t="s">
        <v>17377</v>
      </c>
      <c r="BA1231" s="313" t="s">
        <v>5425</v>
      </c>
    </row>
    <row r="1232" spans="2:53" ht="16.5" customHeight="1">
      <c r="B1232" s="367" t="s">
        <v>11279</v>
      </c>
      <c r="C1232" s="351" t="s">
        <v>11280</v>
      </c>
      <c r="D1232" s="353">
        <v>-1570</v>
      </c>
      <c r="E1232" s="352" t="s">
        <v>408</v>
      </c>
      <c r="F1232" s="341">
        <v>80.06</v>
      </c>
      <c r="G1232" s="355" t="s">
        <v>11545</v>
      </c>
      <c r="H1232" s="356" t="s">
        <v>18816</v>
      </c>
      <c r="I1232" s="354" t="s">
        <v>422</v>
      </c>
      <c r="J1232" s="340" t="s">
        <v>8863</v>
      </c>
      <c r="K1232" s="339" t="s">
        <v>71</v>
      </c>
      <c r="L1232" s="357">
        <v>12</v>
      </c>
      <c r="M1232" s="358" t="s">
        <v>5145</v>
      </c>
      <c r="N1232" s="359">
        <v>1000</v>
      </c>
      <c r="O1232" s="360" t="s">
        <v>454</v>
      </c>
      <c r="P1232" s="343" t="s">
        <v>454</v>
      </c>
      <c r="Q1232" s="342" t="s">
        <v>2688</v>
      </c>
      <c r="R1232" s="344">
        <v>35</v>
      </c>
      <c r="S1232" s="345">
        <v>25</v>
      </c>
      <c r="T1232" s="362">
        <v>20</v>
      </c>
      <c r="U1232" s="361">
        <v>80.06</v>
      </c>
      <c r="V1232" s="346">
        <v>118.7890625</v>
      </c>
      <c r="W1232" s="348">
        <v>118.57327586206897</v>
      </c>
      <c r="X1232" s="347">
        <v>59.96</v>
      </c>
      <c r="Y1232" s="357" t="s">
        <v>408</v>
      </c>
      <c r="Z1232" s="365" t="s">
        <v>3017</v>
      </c>
      <c r="AA1232" s="350">
        <v>196</v>
      </c>
      <c r="AB1232" s="349" t="s">
        <v>2685</v>
      </c>
      <c r="AC1232" s="350">
        <v>5</v>
      </c>
      <c r="AD1232" s="349" t="s">
        <v>2685</v>
      </c>
      <c r="AE1232" s="364">
        <v>0</v>
      </c>
      <c r="AF1232" s="366">
        <v>0</v>
      </c>
      <c r="AG1232" s="363">
        <v>0</v>
      </c>
      <c r="AH1232" s="635" t="s">
        <v>408</v>
      </c>
      <c r="AL1232" s="487" t="s">
        <v>15642</v>
      </c>
      <c r="AM1232" s="477" t="s">
        <v>71</v>
      </c>
      <c r="AN1232" s="637">
        <v>100</v>
      </c>
      <c r="AO1232" s="478">
        <v>-1570</v>
      </c>
      <c r="AP1232" s="463">
        <v>-721</v>
      </c>
      <c r="AQ1232" s="479">
        <v>-849</v>
      </c>
      <c r="AR1232" s="476" t="s">
        <v>17378</v>
      </c>
      <c r="BA1232" s="313" t="s">
        <v>5429</v>
      </c>
    </row>
    <row r="1233" spans="2:53" ht="16.5" customHeight="1">
      <c r="B1233" s="367" t="s">
        <v>11279</v>
      </c>
      <c r="C1233" s="351" t="s">
        <v>11280</v>
      </c>
      <c r="D1233" s="353">
        <v>-1570</v>
      </c>
      <c r="E1233" s="352" t="s">
        <v>5380</v>
      </c>
      <c r="F1233" s="341">
        <v>80.06</v>
      </c>
      <c r="G1233" s="355" t="s">
        <v>11545</v>
      </c>
      <c r="H1233" s="356" t="s">
        <v>18816</v>
      </c>
      <c r="I1233" s="354" t="s">
        <v>422</v>
      </c>
      <c r="J1233" s="340" t="s">
        <v>8883</v>
      </c>
      <c r="K1233" s="339" t="s">
        <v>71</v>
      </c>
      <c r="L1233" s="357">
        <v>8</v>
      </c>
      <c r="M1233" s="358" t="s">
        <v>5145</v>
      </c>
      <c r="N1233" s="359">
        <v>1000</v>
      </c>
      <c r="O1233" s="360" t="s">
        <v>454</v>
      </c>
      <c r="P1233" s="343" t="s">
        <v>454</v>
      </c>
      <c r="Q1233" s="342" t="s">
        <v>2688</v>
      </c>
      <c r="R1233" s="344">
        <v>35</v>
      </c>
      <c r="S1233" s="345">
        <v>25</v>
      </c>
      <c r="T1233" s="362">
        <v>20</v>
      </c>
      <c r="U1233" s="361">
        <v>80.06</v>
      </c>
      <c r="V1233" s="346">
        <v>118.7890625</v>
      </c>
      <c r="W1233" s="348">
        <v>118.57327586206897</v>
      </c>
      <c r="X1233" s="347">
        <v>59.96</v>
      </c>
      <c r="Y1233" s="357" t="s">
        <v>408</v>
      </c>
      <c r="Z1233" s="365" t="s">
        <v>3017</v>
      </c>
      <c r="AA1233" s="350">
        <v>196</v>
      </c>
      <c r="AB1233" s="349" t="s">
        <v>2685</v>
      </c>
      <c r="AC1233" s="350">
        <v>5</v>
      </c>
      <c r="AD1233" s="349" t="s">
        <v>2685</v>
      </c>
      <c r="AE1233" s="364">
        <v>0</v>
      </c>
      <c r="AF1233" s="366">
        <v>0</v>
      </c>
      <c r="AG1233" s="363">
        <v>0</v>
      </c>
      <c r="AH1233" s="635" t="s">
        <v>408</v>
      </c>
      <c r="AL1233" s="487" t="s">
        <v>15643</v>
      </c>
      <c r="AM1233" s="477" t="s">
        <v>71</v>
      </c>
      <c r="AN1233" s="637">
        <v>100</v>
      </c>
      <c r="AO1233" s="478">
        <v>-1570</v>
      </c>
      <c r="AP1233" s="463">
        <v>-721</v>
      </c>
      <c r="AQ1233" s="479">
        <v>-849</v>
      </c>
      <c r="AR1233" s="476" t="s">
        <v>17378</v>
      </c>
      <c r="BA1233" s="313" t="s">
        <v>5431</v>
      </c>
    </row>
    <row r="1234" spans="2:53" ht="16.5" customHeight="1">
      <c r="B1234" s="367" t="s">
        <v>5228</v>
      </c>
      <c r="C1234" s="351" t="s">
        <v>5229</v>
      </c>
      <c r="D1234" s="353">
        <v>-1570</v>
      </c>
      <c r="E1234" s="352" t="s">
        <v>5380</v>
      </c>
      <c r="F1234" s="341">
        <v>80.06</v>
      </c>
      <c r="G1234" s="355" t="s">
        <v>11281</v>
      </c>
      <c r="H1234" s="356" t="s">
        <v>18811</v>
      </c>
      <c r="I1234" s="354" t="s">
        <v>73</v>
      </c>
      <c r="J1234" s="340" t="s">
        <v>11282</v>
      </c>
      <c r="K1234" s="339" t="s">
        <v>70</v>
      </c>
      <c r="L1234" s="357" t="s">
        <v>408</v>
      </c>
      <c r="M1234" s="358" t="s">
        <v>11283</v>
      </c>
      <c r="N1234" s="359">
        <v>1000</v>
      </c>
      <c r="O1234" s="360" t="s">
        <v>530</v>
      </c>
      <c r="P1234" s="343" t="s">
        <v>531</v>
      </c>
      <c r="Q1234" s="342" t="s">
        <v>2688</v>
      </c>
      <c r="R1234" s="344">
        <v>22</v>
      </c>
      <c r="S1234" s="345">
        <v>33</v>
      </c>
      <c r="T1234" s="362">
        <v>33</v>
      </c>
      <c r="U1234" s="361">
        <v>80.06</v>
      </c>
      <c r="V1234" s="346">
        <v>118.78448544951914</v>
      </c>
      <c r="W1234" s="348">
        <v>118.57075059283815</v>
      </c>
      <c r="X1234" s="347">
        <v>59.73</v>
      </c>
      <c r="Y1234" s="357">
        <v>60.33</v>
      </c>
      <c r="Z1234" s="365" t="s">
        <v>2689</v>
      </c>
      <c r="AA1234" s="350">
        <v>111.11</v>
      </c>
      <c r="AB1234" s="349" t="s">
        <v>2685</v>
      </c>
      <c r="AC1234" s="350">
        <v>0</v>
      </c>
      <c r="AD1234" s="349" t="s">
        <v>2685</v>
      </c>
      <c r="AE1234" s="364">
        <v>0</v>
      </c>
      <c r="AF1234" s="366">
        <v>6.0330000000000004</v>
      </c>
      <c r="AG1234" s="363">
        <v>0</v>
      </c>
      <c r="AH1234" s="635" t="s">
        <v>7791</v>
      </c>
      <c r="AL1234" s="487" t="s">
        <v>15644</v>
      </c>
      <c r="AM1234" s="477" t="s">
        <v>70</v>
      </c>
      <c r="AN1234" s="637">
        <v>100</v>
      </c>
      <c r="AO1234" s="478">
        <v>-1570</v>
      </c>
      <c r="AP1234" s="463">
        <v>-1570</v>
      </c>
      <c r="AQ1234" s="479">
        <v>0</v>
      </c>
      <c r="AR1234" s="476" t="s">
        <v>17379</v>
      </c>
      <c r="BA1234" s="313" t="s">
        <v>5432</v>
      </c>
    </row>
    <row r="1235" spans="2:53" ht="16.5" customHeight="1">
      <c r="B1235" s="367" t="s">
        <v>11218</v>
      </c>
      <c r="C1235" s="351" t="s">
        <v>11219</v>
      </c>
      <c r="D1235" s="353">
        <v>-1570</v>
      </c>
      <c r="E1235" s="352" t="s">
        <v>408</v>
      </c>
      <c r="F1235" s="341">
        <v>80.040000000000006</v>
      </c>
      <c r="G1235" s="355" t="s">
        <v>18817</v>
      </c>
      <c r="H1235" s="356" t="s">
        <v>18818</v>
      </c>
      <c r="I1235" s="354" t="s">
        <v>209</v>
      </c>
      <c r="J1235" s="340" t="s">
        <v>11266</v>
      </c>
      <c r="K1235" s="339" t="s">
        <v>71</v>
      </c>
      <c r="L1235" s="357">
        <v>11</v>
      </c>
      <c r="M1235" s="358" t="s">
        <v>5328</v>
      </c>
      <c r="N1235" s="359">
        <v>1000</v>
      </c>
      <c r="O1235" s="360" t="s">
        <v>530</v>
      </c>
      <c r="P1235" s="343" t="s">
        <v>530</v>
      </c>
      <c r="Q1235" s="342" t="s">
        <v>2688</v>
      </c>
      <c r="R1235" s="344">
        <v>30</v>
      </c>
      <c r="S1235" s="345">
        <v>25</v>
      </c>
      <c r="T1235" s="362">
        <v>25</v>
      </c>
      <c r="U1235" s="361">
        <v>80.040000000000006</v>
      </c>
      <c r="V1235" s="346">
        <v>118.77541414552832</v>
      </c>
      <c r="W1235" s="348">
        <v>118.56574573546391</v>
      </c>
      <c r="X1235" s="347">
        <v>59.95</v>
      </c>
      <c r="Y1235" s="357" t="s">
        <v>408</v>
      </c>
      <c r="Z1235" s="365" t="s">
        <v>3017</v>
      </c>
      <c r="AA1235" s="350">
        <v>198</v>
      </c>
      <c r="AB1235" s="349" t="s">
        <v>2685</v>
      </c>
      <c r="AC1235" s="350">
        <v>10</v>
      </c>
      <c r="AD1235" s="349" t="s">
        <v>2685</v>
      </c>
      <c r="AE1235" s="364">
        <v>0</v>
      </c>
      <c r="AF1235" s="366">
        <v>0</v>
      </c>
      <c r="AG1235" s="363">
        <v>0</v>
      </c>
      <c r="AH1235" s="635" t="s">
        <v>408</v>
      </c>
      <c r="AL1235" s="487" t="s">
        <v>15645</v>
      </c>
      <c r="AM1235" s="477" t="s">
        <v>71</v>
      </c>
      <c r="AN1235" s="637">
        <v>100</v>
      </c>
      <c r="AO1235" s="478">
        <v>-1570</v>
      </c>
      <c r="AP1235" s="463">
        <v>-721</v>
      </c>
      <c r="AQ1235" s="479">
        <v>-849</v>
      </c>
      <c r="AR1235" s="476" t="s">
        <v>17380</v>
      </c>
      <c r="BA1235" s="313" t="s">
        <v>5436</v>
      </c>
    </row>
    <row r="1236" spans="2:53" ht="16.5" customHeight="1">
      <c r="B1236" s="367" t="s">
        <v>11284</v>
      </c>
      <c r="C1236" s="351" t="s">
        <v>11285</v>
      </c>
      <c r="D1236" s="353">
        <v>-1570</v>
      </c>
      <c r="E1236" s="352" t="s">
        <v>11286</v>
      </c>
      <c r="F1236" s="341">
        <v>80.040000000000006</v>
      </c>
      <c r="G1236" s="355" t="s">
        <v>18817</v>
      </c>
      <c r="H1236" s="356" t="s">
        <v>18818</v>
      </c>
      <c r="I1236" s="354" t="s">
        <v>478</v>
      </c>
      <c r="J1236" s="340" t="s">
        <v>232</v>
      </c>
      <c r="K1236" s="339" t="s">
        <v>71</v>
      </c>
      <c r="L1236" s="357">
        <v>13</v>
      </c>
      <c r="M1236" s="358" t="s">
        <v>11287</v>
      </c>
      <c r="N1236" s="359">
        <v>1000</v>
      </c>
      <c r="O1236" s="360" t="s">
        <v>532</v>
      </c>
      <c r="P1236" s="343" t="s">
        <v>533</v>
      </c>
      <c r="Q1236" s="342" t="s">
        <v>2688</v>
      </c>
      <c r="R1236" s="344">
        <v>30</v>
      </c>
      <c r="S1236" s="345">
        <v>30</v>
      </c>
      <c r="T1236" s="362">
        <v>25</v>
      </c>
      <c r="U1236" s="361">
        <v>80.040000000000006</v>
      </c>
      <c r="V1236" s="346">
        <v>118.77391942377548</v>
      </c>
      <c r="W1236" s="348">
        <v>118.56492106139338</v>
      </c>
      <c r="X1236" s="347">
        <v>59.95</v>
      </c>
      <c r="Y1236" s="357">
        <v>60.32</v>
      </c>
      <c r="Z1236" s="365" t="s">
        <v>3017</v>
      </c>
      <c r="AA1236" s="350">
        <v>149.25</v>
      </c>
      <c r="AB1236" s="349" t="s">
        <v>2685</v>
      </c>
      <c r="AC1236" s="350">
        <v>10</v>
      </c>
      <c r="AD1236" s="349" t="s">
        <v>2685</v>
      </c>
      <c r="AE1236" s="364">
        <v>0</v>
      </c>
      <c r="AF1236" s="366">
        <v>6.4630000000000001</v>
      </c>
      <c r="AG1236" s="363">
        <v>0</v>
      </c>
      <c r="AH1236" s="635" t="s">
        <v>11081</v>
      </c>
      <c r="AL1236" s="487" t="s">
        <v>7201</v>
      </c>
      <c r="AM1236" s="477" t="s">
        <v>71</v>
      </c>
      <c r="AN1236" s="637">
        <v>100</v>
      </c>
      <c r="AO1236" s="478">
        <v>-1570</v>
      </c>
      <c r="AP1236" s="463">
        <v>-721</v>
      </c>
      <c r="AQ1236" s="479">
        <v>-849</v>
      </c>
      <c r="AR1236" s="476" t="s">
        <v>17380</v>
      </c>
      <c r="BA1236" s="313" t="s">
        <v>5438</v>
      </c>
    </row>
    <row r="1237" spans="2:53" ht="16.5" customHeight="1">
      <c r="B1237" s="367" t="s">
        <v>11288</v>
      </c>
      <c r="C1237" s="351" t="s">
        <v>11289</v>
      </c>
      <c r="D1237" s="353">
        <v>-1570</v>
      </c>
      <c r="E1237" s="352" t="s">
        <v>408</v>
      </c>
      <c r="F1237" s="341">
        <v>80.02</v>
      </c>
      <c r="G1237" s="355" t="s">
        <v>5441</v>
      </c>
      <c r="H1237" s="356" t="s">
        <v>4813</v>
      </c>
      <c r="I1237" s="354" t="s">
        <v>478</v>
      </c>
      <c r="J1237" s="340" t="s">
        <v>69</v>
      </c>
      <c r="K1237" s="339" t="s">
        <v>70</v>
      </c>
      <c r="L1237" s="357">
        <v>42</v>
      </c>
      <c r="M1237" s="358" t="s">
        <v>11290</v>
      </c>
      <c r="N1237" s="359">
        <v>1000</v>
      </c>
      <c r="O1237" s="360" t="s">
        <v>532</v>
      </c>
      <c r="P1237" s="343" t="s">
        <v>533</v>
      </c>
      <c r="Q1237" s="342" t="s">
        <v>2688</v>
      </c>
      <c r="R1237" s="344">
        <v>25</v>
      </c>
      <c r="S1237" s="345">
        <v>35</v>
      </c>
      <c r="T1237" s="362">
        <v>25</v>
      </c>
      <c r="U1237" s="361">
        <v>80.02</v>
      </c>
      <c r="V1237" s="346">
        <v>118.76453115613641</v>
      </c>
      <c r="W1237" s="348">
        <v>118.55974132752354</v>
      </c>
      <c r="X1237" s="347">
        <v>59.72</v>
      </c>
      <c r="Y1237" s="357">
        <v>60.309999999999995</v>
      </c>
      <c r="Z1237" s="365" t="s">
        <v>3017</v>
      </c>
      <c r="AA1237" s="350">
        <v>149.25</v>
      </c>
      <c r="AB1237" s="349" t="s">
        <v>2685</v>
      </c>
      <c r="AC1237" s="350">
        <v>10</v>
      </c>
      <c r="AD1237" s="349" t="s">
        <v>2685</v>
      </c>
      <c r="AE1237" s="364">
        <v>0</v>
      </c>
      <c r="AF1237" s="366">
        <v>0</v>
      </c>
      <c r="AG1237" s="363">
        <v>0</v>
      </c>
      <c r="AH1237" s="635" t="s">
        <v>408</v>
      </c>
      <c r="AL1237" s="487" t="s">
        <v>7208</v>
      </c>
      <c r="AM1237" s="477" t="s">
        <v>70</v>
      </c>
      <c r="AN1237" s="637">
        <v>100</v>
      </c>
      <c r="AO1237" s="478">
        <v>-1570</v>
      </c>
      <c r="AP1237" s="463">
        <v>-1570</v>
      </c>
      <c r="AQ1237" s="479">
        <v>0</v>
      </c>
      <c r="AR1237" s="476" t="s">
        <v>17381</v>
      </c>
      <c r="BA1237" s="313" t="s">
        <v>5442</v>
      </c>
    </row>
    <row r="1238" spans="2:53" ht="16.5" customHeight="1">
      <c r="B1238" s="367" t="s">
        <v>5236</v>
      </c>
      <c r="C1238" s="351" t="s">
        <v>5237</v>
      </c>
      <c r="D1238" s="353">
        <v>-1570</v>
      </c>
      <c r="E1238" s="352" t="s">
        <v>11291</v>
      </c>
      <c r="F1238" s="341">
        <v>80</v>
      </c>
      <c r="G1238" s="355" t="s">
        <v>5347</v>
      </c>
      <c r="H1238" s="356" t="s">
        <v>18819</v>
      </c>
      <c r="I1238" s="354" t="s">
        <v>195</v>
      </c>
      <c r="J1238" s="340" t="s">
        <v>8214</v>
      </c>
      <c r="K1238" s="339" t="s">
        <v>71</v>
      </c>
      <c r="L1238" s="357">
        <v>13</v>
      </c>
      <c r="M1238" s="358" t="s">
        <v>11294</v>
      </c>
      <c r="N1238" s="359">
        <v>100</v>
      </c>
      <c r="O1238" s="360" t="s">
        <v>454</v>
      </c>
      <c r="P1238" s="343" t="s">
        <v>454</v>
      </c>
      <c r="Q1238" s="342" t="s">
        <v>2738</v>
      </c>
      <c r="R1238" s="344">
        <v>35</v>
      </c>
      <c r="S1238" s="345">
        <v>25</v>
      </c>
      <c r="T1238" s="362">
        <v>20</v>
      </c>
      <c r="U1238" s="361">
        <v>80</v>
      </c>
      <c r="V1238" s="346">
        <v>118.75</v>
      </c>
      <c r="W1238" s="348">
        <v>118.55172413793103</v>
      </c>
      <c r="X1238" s="347">
        <v>59.94</v>
      </c>
      <c r="Y1238" s="357" t="s">
        <v>408</v>
      </c>
      <c r="Z1238" s="365" t="s">
        <v>3017</v>
      </c>
      <c r="AA1238" s="350">
        <v>19</v>
      </c>
      <c r="AB1238" s="349" t="s">
        <v>2685</v>
      </c>
      <c r="AC1238" s="350">
        <v>0</v>
      </c>
      <c r="AD1238" s="349" t="s">
        <v>2685</v>
      </c>
      <c r="AE1238" s="364">
        <v>0</v>
      </c>
      <c r="AF1238" s="366">
        <v>0</v>
      </c>
      <c r="AG1238" s="363">
        <v>0</v>
      </c>
      <c r="AH1238" s="635" t="s">
        <v>408</v>
      </c>
      <c r="AL1238" s="487" t="s">
        <v>15646</v>
      </c>
      <c r="AM1238" s="477" t="s">
        <v>71</v>
      </c>
      <c r="AN1238" s="637">
        <v>100</v>
      </c>
      <c r="AO1238" s="478">
        <v>-1570</v>
      </c>
      <c r="AP1238" s="463">
        <v>-721</v>
      </c>
      <c r="AQ1238" s="479">
        <v>-849</v>
      </c>
      <c r="AR1238" s="476" t="s">
        <v>17382</v>
      </c>
      <c r="BA1238" s="313" t="s">
        <v>5446</v>
      </c>
    </row>
    <row r="1239" spans="2:53" ht="16.5" customHeight="1">
      <c r="B1239" s="367" t="s">
        <v>5236</v>
      </c>
      <c r="C1239" s="351" t="s">
        <v>5237</v>
      </c>
      <c r="D1239" s="353">
        <v>-1570</v>
      </c>
      <c r="E1239" s="352" t="s">
        <v>408</v>
      </c>
      <c r="F1239" s="341">
        <v>80</v>
      </c>
      <c r="G1239" s="355" t="s">
        <v>11291</v>
      </c>
      <c r="H1239" s="356" t="s">
        <v>18820</v>
      </c>
      <c r="I1239" s="354" t="s">
        <v>195</v>
      </c>
      <c r="J1239" s="340" t="s">
        <v>11295</v>
      </c>
      <c r="K1239" s="339" t="s">
        <v>70</v>
      </c>
      <c r="L1239" s="357">
        <v>16</v>
      </c>
      <c r="M1239" s="358" t="s">
        <v>11294</v>
      </c>
      <c r="N1239" s="359">
        <v>100</v>
      </c>
      <c r="O1239" s="360" t="s">
        <v>454</v>
      </c>
      <c r="P1239" s="343" t="s">
        <v>454</v>
      </c>
      <c r="Q1239" s="342" t="s">
        <v>2738</v>
      </c>
      <c r="R1239" s="344">
        <v>25</v>
      </c>
      <c r="S1239" s="345">
        <v>35</v>
      </c>
      <c r="T1239" s="362">
        <v>20</v>
      </c>
      <c r="U1239" s="361">
        <v>80</v>
      </c>
      <c r="V1239" s="346">
        <v>118.75</v>
      </c>
      <c r="W1239" s="348">
        <v>118.55172413793103</v>
      </c>
      <c r="X1239" s="347">
        <v>59.71</v>
      </c>
      <c r="Y1239" s="357" t="s">
        <v>408</v>
      </c>
      <c r="Z1239" s="365" t="s">
        <v>3017</v>
      </c>
      <c r="AA1239" s="350">
        <v>19</v>
      </c>
      <c r="AB1239" s="349" t="s">
        <v>2685</v>
      </c>
      <c r="AC1239" s="350">
        <v>0</v>
      </c>
      <c r="AD1239" s="349" t="s">
        <v>2685</v>
      </c>
      <c r="AE1239" s="364">
        <v>0</v>
      </c>
      <c r="AF1239" s="366">
        <v>0</v>
      </c>
      <c r="AG1239" s="363">
        <v>0</v>
      </c>
      <c r="AH1239" s="635" t="s">
        <v>408</v>
      </c>
      <c r="AL1239" s="487" t="s">
        <v>15647</v>
      </c>
      <c r="AM1239" s="477" t="s">
        <v>70</v>
      </c>
      <c r="AN1239" s="637">
        <v>100</v>
      </c>
      <c r="AO1239" s="478">
        <v>-1570</v>
      </c>
      <c r="AP1239" s="463">
        <v>-1570</v>
      </c>
      <c r="AQ1239" s="479">
        <v>0</v>
      </c>
      <c r="AR1239" s="476" t="s">
        <v>17383</v>
      </c>
      <c r="BA1239" s="313" t="s">
        <v>5449</v>
      </c>
    </row>
    <row r="1240" spans="2:53" ht="16.5" customHeight="1">
      <c r="B1240" s="367" t="s">
        <v>5236</v>
      </c>
      <c r="C1240" s="351" t="s">
        <v>5237</v>
      </c>
      <c r="D1240" s="353">
        <v>-1570</v>
      </c>
      <c r="E1240" s="352" t="s">
        <v>408</v>
      </c>
      <c r="F1240" s="341">
        <v>80</v>
      </c>
      <c r="G1240" s="355" t="s">
        <v>11291</v>
      </c>
      <c r="H1240" s="356" t="s">
        <v>18820</v>
      </c>
      <c r="I1240" s="354" t="s">
        <v>195</v>
      </c>
      <c r="J1240" s="340" t="s">
        <v>9544</v>
      </c>
      <c r="K1240" s="339" t="s">
        <v>70</v>
      </c>
      <c r="L1240" s="357">
        <v>17</v>
      </c>
      <c r="M1240" s="358" t="s">
        <v>11294</v>
      </c>
      <c r="N1240" s="359">
        <v>100</v>
      </c>
      <c r="O1240" s="360" t="s">
        <v>454</v>
      </c>
      <c r="P1240" s="343" t="s">
        <v>454</v>
      </c>
      <c r="Q1240" s="342" t="s">
        <v>2738</v>
      </c>
      <c r="R1240" s="344">
        <v>25</v>
      </c>
      <c r="S1240" s="345">
        <v>35</v>
      </c>
      <c r="T1240" s="362">
        <v>20</v>
      </c>
      <c r="U1240" s="361">
        <v>80</v>
      </c>
      <c r="V1240" s="346">
        <v>118.75</v>
      </c>
      <c r="W1240" s="348">
        <v>118.55172413793103</v>
      </c>
      <c r="X1240" s="347">
        <v>59.71</v>
      </c>
      <c r="Y1240" s="357" t="s">
        <v>408</v>
      </c>
      <c r="Z1240" s="365" t="s">
        <v>3017</v>
      </c>
      <c r="AA1240" s="350">
        <v>19</v>
      </c>
      <c r="AB1240" s="349" t="s">
        <v>2685</v>
      </c>
      <c r="AC1240" s="350">
        <v>0</v>
      </c>
      <c r="AD1240" s="349" t="s">
        <v>2685</v>
      </c>
      <c r="AE1240" s="364">
        <v>0</v>
      </c>
      <c r="AF1240" s="366">
        <v>0</v>
      </c>
      <c r="AG1240" s="363">
        <v>0</v>
      </c>
      <c r="AH1240" s="635" t="s">
        <v>408</v>
      </c>
      <c r="AL1240" s="487" t="s">
        <v>15648</v>
      </c>
      <c r="AM1240" s="477" t="s">
        <v>70</v>
      </c>
      <c r="AN1240" s="637">
        <v>100</v>
      </c>
      <c r="AO1240" s="478">
        <v>-1570</v>
      </c>
      <c r="AP1240" s="463">
        <v>-1570</v>
      </c>
      <c r="AQ1240" s="479">
        <v>0</v>
      </c>
      <c r="AR1240" s="476" t="s">
        <v>17383</v>
      </c>
      <c r="BA1240" s="313" t="s">
        <v>5450</v>
      </c>
    </row>
    <row r="1241" spans="2:53" ht="16.5" customHeight="1">
      <c r="B1241" s="367" t="s">
        <v>5236</v>
      </c>
      <c r="C1241" s="351" t="s">
        <v>5237</v>
      </c>
      <c r="D1241" s="353">
        <v>-1570</v>
      </c>
      <c r="E1241" s="352" t="s">
        <v>11291</v>
      </c>
      <c r="F1241" s="341">
        <v>80</v>
      </c>
      <c r="G1241" s="355" t="s">
        <v>5347</v>
      </c>
      <c r="H1241" s="356" t="s">
        <v>18819</v>
      </c>
      <c r="I1241" s="354" t="s">
        <v>425</v>
      </c>
      <c r="J1241" s="340" t="s">
        <v>8190</v>
      </c>
      <c r="K1241" s="339" t="s">
        <v>71</v>
      </c>
      <c r="L1241" s="357">
        <v>21</v>
      </c>
      <c r="M1241" s="358" t="s">
        <v>5043</v>
      </c>
      <c r="N1241" s="359">
        <v>1000</v>
      </c>
      <c r="O1241" s="360" t="s">
        <v>454</v>
      </c>
      <c r="P1241" s="343" t="s">
        <v>454</v>
      </c>
      <c r="Q1241" s="342" t="s">
        <v>2738</v>
      </c>
      <c r="R1241" s="344">
        <v>35</v>
      </c>
      <c r="S1241" s="345">
        <v>25</v>
      </c>
      <c r="T1241" s="362">
        <v>20</v>
      </c>
      <c r="U1241" s="361">
        <v>80</v>
      </c>
      <c r="V1241" s="346">
        <v>118.75</v>
      </c>
      <c r="W1241" s="348">
        <v>118.55172413793103</v>
      </c>
      <c r="X1241" s="347">
        <v>59.94</v>
      </c>
      <c r="Y1241" s="357" t="s">
        <v>408</v>
      </c>
      <c r="Z1241" s="365" t="s">
        <v>3017</v>
      </c>
      <c r="AA1241" s="350">
        <v>196</v>
      </c>
      <c r="AB1241" s="349" t="s">
        <v>2685</v>
      </c>
      <c r="AC1241" s="350">
        <v>10</v>
      </c>
      <c r="AD1241" s="349" t="s">
        <v>2685</v>
      </c>
      <c r="AE1241" s="364">
        <v>0</v>
      </c>
      <c r="AF1241" s="366">
        <v>0</v>
      </c>
      <c r="AG1241" s="363">
        <v>0</v>
      </c>
      <c r="AH1241" s="635" t="s">
        <v>408</v>
      </c>
      <c r="AL1241" s="487" t="s">
        <v>15649</v>
      </c>
      <c r="AM1241" s="477" t="s">
        <v>71</v>
      </c>
      <c r="AN1241" s="637">
        <v>100</v>
      </c>
      <c r="AO1241" s="478">
        <v>-1570</v>
      </c>
      <c r="AP1241" s="463">
        <v>-721</v>
      </c>
      <c r="AQ1241" s="479">
        <v>-849</v>
      </c>
      <c r="AR1241" s="476" t="s">
        <v>17382</v>
      </c>
      <c r="BA1241" s="313" t="s">
        <v>5453</v>
      </c>
    </row>
    <row r="1242" spans="2:53" ht="16.5" customHeight="1">
      <c r="B1242" s="367" t="s">
        <v>5236</v>
      </c>
      <c r="C1242" s="351" t="s">
        <v>5237</v>
      </c>
      <c r="D1242" s="353">
        <v>-1570</v>
      </c>
      <c r="E1242" s="352" t="s">
        <v>11291</v>
      </c>
      <c r="F1242" s="341">
        <v>80</v>
      </c>
      <c r="G1242" s="355" t="s">
        <v>5347</v>
      </c>
      <c r="H1242" s="356" t="s">
        <v>18819</v>
      </c>
      <c r="I1242" s="354" t="s">
        <v>422</v>
      </c>
      <c r="J1242" s="340" t="s">
        <v>11296</v>
      </c>
      <c r="K1242" s="339" t="s">
        <v>71</v>
      </c>
      <c r="L1242" s="357">
        <v>5</v>
      </c>
      <c r="M1242" s="358" t="s">
        <v>11297</v>
      </c>
      <c r="N1242" s="359">
        <v>1000</v>
      </c>
      <c r="O1242" s="360" t="s">
        <v>454</v>
      </c>
      <c r="P1242" s="343" t="s">
        <v>454</v>
      </c>
      <c r="Q1242" s="342" t="s">
        <v>2688</v>
      </c>
      <c r="R1242" s="344">
        <v>35</v>
      </c>
      <c r="S1242" s="345">
        <v>25</v>
      </c>
      <c r="T1242" s="362">
        <v>20</v>
      </c>
      <c r="U1242" s="361">
        <v>80</v>
      </c>
      <c r="V1242" s="346">
        <v>118.75</v>
      </c>
      <c r="W1242" s="348">
        <v>118.55172413793103</v>
      </c>
      <c r="X1242" s="347">
        <v>59.94</v>
      </c>
      <c r="Y1242" s="357" t="s">
        <v>408</v>
      </c>
      <c r="Z1242" s="365" t="s">
        <v>3017</v>
      </c>
      <c r="AA1242" s="350">
        <v>196</v>
      </c>
      <c r="AB1242" s="349" t="s">
        <v>2685</v>
      </c>
      <c r="AC1242" s="350">
        <v>5</v>
      </c>
      <c r="AD1242" s="349" t="s">
        <v>2685</v>
      </c>
      <c r="AE1242" s="364">
        <v>0</v>
      </c>
      <c r="AF1242" s="366">
        <v>0</v>
      </c>
      <c r="AG1242" s="363">
        <v>0</v>
      </c>
      <c r="AH1242" s="635" t="s">
        <v>408</v>
      </c>
      <c r="AL1242" s="487" t="s">
        <v>15650</v>
      </c>
      <c r="AM1242" s="477" t="s">
        <v>71</v>
      </c>
      <c r="AN1242" s="637">
        <v>100</v>
      </c>
      <c r="AO1242" s="478">
        <v>-1570</v>
      </c>
      <c r="AP1242" s="463">
        <v>-721</v>
      </c>
      <c r="AQ1242" s="479">
        <v>-849</v>
      </c>
      <c r="AR1242" s="476" t="s">
        <v>17382</v>
      </c>
      <c r="BA1242" s="313" t="s">
        <v>5456</v>
      </c>
    </row>
    <row r="1243" spans="2:53" ht="16.5" customHeight="1">
      <c r="B1243" s="367" t="s">
        <v>5236</v>
      </c>
      <c r="C1243" s="351" t="s">
        <v>5237</v>
      </c>
      <c r="D1243" s="353">
        <v>-1570</v>
      </c>
      <c r="E1243" s="352" t="s">
        <v>11291</v>
      </c>
      <c r="F1243" s="341">
        <v>80</v>
      </c>
      <c r="G1243" s="355" t="s">
        <v>5347</v>
      </c>
      <c r="H1243" s="356" t="s">
        <v>18819</v>
      </c>
      <c r="I1243" s="354" t="s">
        <v>422</v>
      </c>
      <c r="J1243" s="340" t="s">
        <v>11298</v>
      </c>
      <c r="K1243" s="339" t="s">
        <v>71</v>
      </c>
      <c r="L1243" s="357">
        <v>7</v>
      </c>
      <c r="M1243" s="358" t="s">
        <v>11297</v>
      </c>
      <c r="N1243" s="359">
        <v>1000</v>
      </c>
      <c r="O1243" s="360" t="s">
        <v>454</v>
      </c>
      <c r="P1243" s="343" t="s">
        <v>454</v>
      </c>
      <c r="Q1243" s="342" t="s">
        <v>2688</v>
      </c>
      <c r="R1243" s="344">
        <v>30</v>
      </c>
      <c r="S1243" s="345">
        <v>30</v>
      </c>
      <c r="T1243" s="362">
        <v>20</v>
      </c>
      <c r="U1243" s="361">
        <v>80</v>
      </c>
      <c r="V1243" s="346">
        <v>118.75</v>
      </c>
      <c r="W1243" s="348">
        <v>118.55172413793103</v>
      </c>
      <c r="X1243" s="347">
        <v>59.94</v>
      </c>
      <c r="Y1243" s="357" t="s">
        <v>408</v>
      </c>
      <c r="Z1243" s="365" t="s">
        <v>3017</v>
      </c>
      <c r="AA1243" s="350">
        <v>196</v>
      </c>
      <c r="AB1243" s="349" t="s">
        <v>2685</v>
      </c>
      <c r="AC1243" s="350">
        <v>5</v>
      </c>
      <c r="AD1243" s="349" t="s">
        <v>2685</v>
      </c>
      <c r="AE1243" s="364">
        <v>0</v>
      </c>
      <c r="AF1243" s="366">
        <v>0</v>
      </c>
      <c r="AG1243" s="363">
        <v>0</v>
      </c>
      <c r="AH1243" s="635" t="s">
        <v>408</v>
      </c>
      <c r="AL1243" s="487" t="s">
        <v>15651</v>
      </c>
      <c r="AM1243" s="477" t="s">
        <v>71</v>
      </c>
      <c r="AN1243" s="637">
        <v>100</v>
      </c>
      <c r="AO1243" s="478">
        <v>-1570</v>
      </c>
      <c r="AP1243" s="463">
        <v>-721</v>
      </c>
      <c r="AQ1243" s="479">
        <v>-849</v>
      </c>
      <c r="AR1243" s="476" t="s">
        <v>17382</v>
      </c>
      <c r="BA1243" s="313" t="s">
        <v>5458</v>
      </c>
    </row>
    <row r="1244" spans="2:53" ht="16.5" customHeight="1">
      <c r="B1244" s="367" t="s">
        <v>11299</v>
      </c>
      <c r="C1244" s="351" t="s">
        <v>11300</v>
      </c>
      <c r="D1244" s="353">
        <v>-1570</v>
      </c>
      <c r="E1244" s="352" t="s">
        <v>5396</v>
      </c>
      <c r="F1244" s="341">
        <v>79.94</v>
      </c>
      <c r="G1244" s="355" t="s">
        <v>5357</v>
      </c>
      <c r="H1244" s="356" t="s">
        <v>18821</v>
      </c>
      <c r="I1244" s="354" t="s">
        <v>422</v>
      </c>
      <c r="J1244" s="340" t="s">
        <v>8726</v>
      </c>
      <c r="K1244" s="339" t="s">
        <v>71</v>
      </c>
      <c r="L1244" s="357">
        <v>11</v>
      </c>
      <c r="M1244" s="358" t="s">
        <v>5332</v>
      </c>
      <c r="N1244" s="359">
        <v>1000</v>
      </c>
      <c r="O1244" s="360" t="s">
        <v>454</v>
      </c>
      <c r="P1244" s="343" t="s">
        <v>454</v>
      </c>
      <c r="Q1244" s="342" t="s">
        <v>2688</v>
      </c>
      <c r="R1244" s="344">
        <v>35</v>
      </c>
      <c r="S1244" s="345">
        <v>25</v>
      </c>
      <c r="T1244" s="362">
        <v>20</v>
      </c>
      <c r="U1244" s="361">
        <v>79.94</v>
      </c>
      <c r="V1244" s="346">
        <v>118.7109375</v>
      </c>
      <c r="W1244" s="348">
        <v>118.53017241379311</v>
      </c>
      <c r="X1244" s="347">
        <v>59.92</v>
      </c>
      <c r="Y1244" s="357" t="s">
        <v>408</v>
      </c>
      <c r="Z1244" s="365" t="s">
        <v>3017</v>
      </c>
      <c r="AA1244" s="350">
        <v>196</v>
      </c>
      <c r="AB1244" s="349" t="s">
        <v>2685</v>
      </c>
      <c r="AC1244" s="350">
        <v>5</v>
      </c>
      <c r="AD1244" s="349" t="s">
        <v>2685</v>
      </c>
      <c r="AE1244" s="364">
        <v>0</v>
      </c>
      <c r="AF1244" s="366">
        <v>0</v>
      </c>
      <c r="AG1244" s="363">
        <v>0</v>
      </c>
      <c r="AH1244" s="635" t="s">
        <v>408</v>
      </c>
      <c r="AL1244" s="487" t="s">
        <v>15652</v>
      </c>
      <c r="AM1244" s="477" t="s">
        <v>71</v>
      </c>
      <c r="AN1244" s="637">
        <v>100</v>
      </c>
      <c r="AO1244" s="478">
        <v>-1570</v>
      </c>
      <c r="AP1244" s="463">
        <v>-720</v>
      </c>
      <c r="AQ1244" s="479">
        <v>-850</v>
      </c>
      <c r="AR1244" s="476" t="s">
        <v>17384</v>
      </c>
      <c r="BA1244" s="313" t="s">
        <v>5459</v>
      </c>
    </row>
    <row r="1245" spans="2:53" ht="16.5" customHeight="1">
      <c r="B1245" s="367" t="s">
        <v>11299</v>
      </c>
      <c r="C1245" s="351" t="s">
        <v>11300</v>
      </c>
      <c r="D1245" s="353">
        <v>-1570</v>
      </c>
      <c r="E1245" s="352" t="s">
        <v>5396</v>
      </c>
      <c r="F1245" s="341">
        <v>79.94</v>
      </c>
      <c r="G1245" s="355" t="s">
        <v>5357</v>
      </c>
      <c r="H1245" s="356" t="s">
        <v>18821</v>
      </c>
      <c r="I1245" s="354" t="s">
        <v>422</v>
      </c>
      <c r="J1245" s="340" t="s">
        <v>11301</v>
      </c>
      <c r="K1245" s="339" t="s">
        <v>71</v>
      </c>
      <c r="L1245" s="357">
        <v>14</v>
      </c>
      <c r="M1245" s="358" t="s">
        <v>5332</v>
      </c>
      <c r="N1245" s="359">
        <v>1000</v>
      </c>
      <c r="O1245" s="360" t="s">
        <v>454</v>
      </c>
      <c r="P1245" s="343" t="s">
        <v>454</v>
      </c>
      <c r="Q1245" s="342" t="s">
        <v>2688</v>
      </c>
      <c r="R1245" s="344">
        <v>35</v>
      </c>
      <c r="S1245" s="345">
        <v>25</v>
      </c>
      <c r="T1245" s="362">
        <v>20</v>
      </c>
      <c r="U1245" s="361">
        <v>79.94</v>
      </c>
      <c r="V1245" s="346">
        <v>118.7109375</v>
      </c>
      <c r="W1245" s="348">
        <v>118.53017241379311</v>
      </c>
      <c r="X1245" s="347">
        <v>59.92</v>
      </c>
      <c r="Y1245" s="357" t="s">
        <v>408</v>
      </c>
      <c r="Z1245" s="365" t="s">
        <v>3017</v>
      </c>
      <c r="AA1245" s="350">
        <v>196</v>
      </c>
      <c r="AB1245" s="349" t="s">
        <v>2685</v>
      </c>
      <c r="AC1245" s="350">
        <v>5</v>
      </c>
      <c r="AD1245" s="349" t="s">
        <v>2685</v>
      </c>
      <c r="AE1245" s="364">
        <v>0</v>
      </c>
      <c r="AF1245" s="366">
        <v>0</v>
      </c>
      <c r="AG1245" s="363">
        <v>0</v>
      </c>
      <c r="AH1245" s="635" t="s">
        <v>408</v>
      </c>
      <c r="AL1245" s="487" t="s">
        <v>15653</v>
      </c>
      <c r="AM1245" s="477" t="s">
        <v>71</v>
      </c>
      <c r="AN1245" s="637">
        <v>100</v>
      </c>
      <c r="AO1245" s="478">
        <v>-1570</v>
      </c>
      <c r="AP1245" s="463">
        <v>-720</v>
      </c>
      <c r="AQ1245" s="479">
        <v>-850</v>
      </c>
      <c r="AR1245" s="476" t="s">
        <v>17384</v>
      </c>
      <c r="BA1245" s="313" t="s">
        <v>5460</v>
      </c>
    </row>
    <row r="1246" spans="2:53" ht="16.5" customHeight="1">
      <c r="B1246" s="367" t="s">
        <v>5251</v>
      </c>
      <c r="C1246" s="351" t="s">
        <v>5252</v>
      </c>
      <c r="D1246" s="353">
        <v>-1570</v>
      </c>
      <c r="E1246" s="352" t="s">
        <v>408</v>
      </c>
      <c r="F1246" s="341">
        <v>79.930000000000007</v>
      </c>
      <c r="G1246" s="355" t="s">
        <v>11302</v>
      </c>
      <c r="H1246" s="356" t="s">
        <v>11025</v>
      </c>
      <c r="I1246" s="354" t="s">
        <v>422</v>
      </c>
      <c r="J1246" s="340" t="s">
        <v>11304</v>
      </c>
      <c r="K1246" s="339" t="s">
        <v>70</v>
      </c>
      <c r="L1246" s="357">
        <v>10</v>
      </c>
      <c r="M1246" s="358" t="s">
        <v>5279</v>
      </c>
      <c r="N1246" s="359">
        <v>1000</v>
      </c>
      <c r="O1246" s="360" t="s">
        <v>454</v>
      </c>
      <c r="P1246" s="343" t="s">
        <v>454</v>
      </c>
      <c r="Q1246" s="342" t="s">
        <v>2688</v>
      </c>
      <c r="R1246" s="344">
        <v>20</v>
      </c>
      <c r="S1246" s="345">
        <v>35</v>
      </c>
      <c r="T1246" s="362">
        <v>30</v>
      </c>
      <c r="U1246" s="361">
        <v>79.930000000000007</v>
      </c>
      <c r="V1246" s="346">
        <v>118.70750708215297</v>
      </c>
      <c r="W1246" s="348">
        <v>118.52827976946371</v>
      </c>
      <c r="X1246" s="347">
        <v>59.69</v>
      </c>
      <c r="Y1246" s="357" t="s">
        <v>408</v>
      </c>
      <c r="Z1246" s="365" t="s">
        <v>3017</v>
      </c>
      <c r="AA1246" s="350">
        <v>147</v>
      </c>
      <c r="AB1246" s="349" t="s">
        <v>2685</v>
      </c>
      <c r="AC1246" s="350">
        <v>5</v>
      </c>
      <c r="AD1246" s="349" t="s">
        <v>2685</v>
      </c>
      <c r="AE1246" s="364">
        <v>0</v>
      </c>
      <c r="AF1246" s="366">
        <v>25.977</v>
      </c>
      <c r="AG1246" s="363">
        <v>0</v>
      </c>
      <c r="AH1246" s="635" t="s">
        <v>10941</v>
      </c>
      <c r="AL1246" s="487" t="s">
        <v>15654</v>
      </c>
      <c r="AM1246" s="477" t="s">
        <v>70</v>
      </c>
      <c r="AN1246" s="637">
        <v>100</v>
      </c>
      <c r="AO1246" s="478">
        <v>-1570</v>
      </c>
      <c r="AP1246" s="463">
        <v>-1570</v>
      </c>
      <c r="AQ1246" s="479">
        <v>0</v>
      </c>
      <c r="AR1246" s="476" t="s">
        <v>17385</v>
      </c>
      <c r="BA1246" s="313" t="s">
        <v>5465</v>
      </c>
    </row>
    <row r="1247" spans="2:53" ht="16.5" customHeight="1">
      <c r="B1247" s="367" t="s">
        <v>5251</v>
      </c>
      <c r="C1247" s="351" t="s">
        <v>5252</v>
      </c>
      <c r="D1247" s="353">
        <v>-1570</v>
      </c>
      <c r="E1247" s="352" t="s">
        <v>408</v>
      </c>
      <c r="F1247" s="341">
        <v>79.92</v>
      </c>
      <c r="G1247" s="355" t="s">
        <v>11305</v>
      </c>
      <c r="H1247" s="356" t="s">
        <v>4902</v>
      </c>
      <c r="I1247" s="354" t="s">
        <v>422</v>
      </c>
      <c r="J1247" s="340" t="s">
        <v>11306</v>
      </c>
      <c r="K1247" s="339" t="s">
        <v>70</v>
      </c>
      <c r="L1247" s="357">
        <v>13</v>
      </c>
      <c r="M1247" s="358" t="s">
        <v>11307</v>
      </c>
      <c r="N1247" s="359">
        <v>1000</v>
      </c>
      <c r="O1247" s="360" t="s">
        <v>454</v>
      </c>
      <c r="P1247" s="343" t="s">
        <v>454</v>
      </c>
      <c r="Q1247" s="342" t="s">
        <v>2688</v>
      </c>
      <c r="R1247" s="344">
        <v>20</v>
      </c>
      <c r="S1247" s="345">
        <v>35</v>
      </c>
      <c r="T1247" s="362">
        <v>30</v>
      </c>
      <c r="U1247" s="361">
        <v>79.92</v>
      </c>
      <c r="V1247" s="346">
        <v>118.70042492917847</v>
      </c>
      <c r="W1247" s="348">
        <v>118.52437237471915</v>
      </c>
      <c r="X1247" s="347">
        <v>59.69</v>
      </c>
      <c r="Y1247" s="357" t="s">
        <v>408</v>
      </c>
      <c r="Z1247" s="365" t="s">
        <v>3017</v>
      </c>
      <c r="AA1247" s="350">
        <v>147</v>
      </c>
      <c r="AB1247" s="349" t="s">
        <v>2685</v>
      </c>
      <c r="AC1247" s="350">
        <v>5</v>
      </c>
      <c r="AD1247" s="349" t="s">
        <v>2685</v>
      </c>
      <c r="AE1247" s="364">
        <v>0</v>
      </c>
      <c r="AF1247" s="366">
        <v>25.974</v>
      </c>
      <c r="AG1247" s="363">
        <v>0</v>
      </c>
      <c r="AH1247" s="635" t="s">
        <v>10941</v>
      </c>
      <c r="AL1247" s="487" t="s">
        <v>15655</v>
      </c>
      <c r="AM1247" s="477" t="s">
        <v>70</v>
      </c>
      <c r="AN1247" s="637">
        <v>100</v>
      </c>
      <c r="AO1247" s="478">
        <v>-1570</v>
      </c>
      <c r="AP1247" s="463">
        <v>-1570</v>
      </c>
      <c r="AQ1247" s="479">
        <v>0</v>
      </c>
      <c r="AR1247" s="476" t="s">
        <v>17386</v>
      </c>
      <c r="BA1247" s="313" t="s">
        <v>5467</v>
      </c>
    </row>
    <row r="1248" spans="2:53" ht="16.5" customHeight="1">
      <c r="B1248" s="367" t="s">
        <v>5265</v>
      </c>
      <c r="C1248" s="351" t="s">
        <v>5266</v>
      </c>
      <c r="D1248" s="353">
        <v>-1570</v>
      </c>
      <c r="E1248" s="352" t="s">
        <v>11308</v>
      </c>
      <c r="F1248" s="341">
        <v>79.88</v>
      </c>
      <c r="G1248" s="355" t="s">
        <v>11664</v>
      </c>
      <c r="H1248" s="356" t="s">
        <v>10911</v>
      </c>
      <c r="I1248" s="354" t="s">
        <v>195</v>
      </c>
      <c r="J1248" s="340" t="s">
        <v>11311</v>
      </c>
      <c r="K1248" s="339" t="s">
        <v>71</v>
      </c>
      <c r="L1248" s="357">
        <v>13</v>
      </c>
      <c r="M1248" s="358" t="s">
        <v>11312</v>
      </c>
      <c r="N1248" s="359">
        <v>100</v>
      </c>
      <c r="O1248" s="360" t="s">
        <v>454</v>
      </c>
      <c r="P1248" s="343" t="s">
        <v>454</v>
      </c>
      <c r="Q1248" s="342" t="s">
        <v>2738</v>
      </c>
      <c r="R1248" s="344">
        <v>35</v>
      </c>
      <c r="S1248" s="345">
        <v>25</v>
      </c>
      <c r="T1248" s="362">
        <v>20</v>
      </c>
      <c r="U1248" s="361">
        <v>79.88</v>
      </c>
      <c r="V1248" s="346">
        <v>118.671875</v>
      </c>
      <c r="W1248" s="348">
        <v>118.50862068965517</v>
      </c>
      <c r="X1248" s="347">
        <v>59.9</v>
      </c>
      <c r="Y1248" s="357" t="s">
        <v>408</v>
      </c>
      <c r="Z1248" s="365" t="s">
        <v>3017</v>
      </c>
      <c r="AA1248" s="350">
        <v>19</v>
      </c>
      <c r="AB1248" s="349" t="s">
        <v>2685</v>
      </c>
      <c r="AC1248" s="350">
        <v>0</v>
      </c>
      <c r="AD1248" s="349" t="s">
        <v>2685</v>
      </c>
      <c r="AE1248" s="364">
        <v>0</v>
      </c>
      <c r="AF1248" s="366">
        <v>0</v>
      </c>
      <c r="AG1248" s="363">
        <v>0</v>
      </c>
      <c r="AH1248" s="635" t="s">
        <v>408</v>
      </c>
      <c r="AL1248" s="487" t="s">
        <v>15656</v>
      </c>
      <c r="AM1248" s="477" t="s">
        <v>71</v>
      </c>
      <c r="AN1248" s="637">
        <v>100</v>
      </c>
      <c r="AO1248" s="478">
        <v>-1570</v>
      </c>
      <c r="AP1248" s="463">
        <v>-720</v>
      </c>
      <c r="AQ1248" s="479">
        <v>-850</v>
      </c>
      <c r="AR1248" s="476" t="s">
        <v>17387</v>
      </c>
      <c r="BA1248" s="313" t="s">
        <v>5468</v>
      </c>
    </row>
    <row r="1249" spans="2:53" ht="16.5" customHeight="1">
      <c r="B1249" s="367" t="s">
        <v>11313</v>
      </c>
      <c r="C1249" s="351" t="s">
        <v>11314</v>
      </c>
      <c r="D1249" s="353">
        <v>-1570</v>
      </c>
      <c r="E1249" s="352" t="s">
        <v>11310</v>
      </c>
      <c r="F1249" s="341">
        <v>79.88</v>
      </c>
      <c r="G1249" s="355" t="s">
        <v>5407</v>
      </c>
      <c r="H1249" s="356" t="s">
        <v>10706</v>
      </c>
      <c r="I1249" s="354" t="s">
        <v>195</v>
      </c>
      <c r="J1249" s="340" t="s">
        <v>11315</v>
      </c>
      <c r="K1249" s="339" t="s">
        <v>70</v>
      </c>
      <c r="L1249" s="357">
        <v>18</v>
      </c>
      <c r="M1249" s="358" t="s">
        <v>11312</v>
      </c>
      <c r="N1249" s="359">
        <v>100</v>
      </c>
      <c r="O1249" s="360" t="s">
        <v>454</v>
      </c>
      <c r="P1249" s="343" t="s">
        <v>454</v>
      </c>
      <c r="Q1249" s="342" t="s">
        <v>2738</v>
      </c>
      <c r="R1249" s="344">
        <v>25</v>
      </c>
      <c r="S1249" s="345">
        <v>35</v>
      </c>
      <c r="T1249" s="362">
        <v>20</v>
      </c>
      <c r="U1249" s="361">
        <v>79.88</v>
      </c>
      <c r="V1249" s="346">
        <v>118.671875</v>
      </c>
      <c r="W1249" s="348">
        <v>118.50862068965517</v>
      </c>
      <c r="X1249" s="347">
        <v>59.68</v>
      </c>
      <c r="Y1249" s="357" t="s">
        <v>408</v>
      </c>
      <c r="Z1249" s="365" t="s">
        <v>3017</v>
      </c>
      <c r="AA1249" s="350">
        <v>19</v>
      </c>
      <c r="AB1249" s="349" t="s">
        <v>2685</v>
      </c>
      <c r="AC1249" s="350">
        <v>0</v>
      </c>
      <c r="AD1249" s="349" t="s">
        <v>2685</v>
      </c>
      <c r="AE1249" s="364">
        <v>0</v>
      </c>
      <c r="AF1249" s="366">
        <v>0</v>
      </c>
      <c r="AG1249" s="363">
        <v>0</v>
      </c>
      <c r="AH1249" s="635" t="s">
        <v>408</v>
      </c>
      <c r="AL1249" s="487" t="s">
        <v>15657</v>
      </c>
      <c r="AM1249" s="477" t="s">
        <v>70</v>
      </c>
      <c r="AN1249" s="637">
        <v>100</v>
      </c>
      <c r="AO1249" s="478">
        <v>-1570</v>
      </c>
      <c r="AP1249" s="463">
        <v>-1570</v>
      </c>
      <c r="AQ1249" s="479">
        <v>0</v>
      </c>
      <c r="AR1249" s="476" t="s">
        <v>17388</v>
      </c>
      <c r="BA1249" s="313" t="s">
        <v>5470</v>
      </c>
    </row>
    <row r="1250" spans="2:53" ht="16.5" customHeight="1">
      <c r="B1250" s="367" t="s">
        <v>5265</v>
      </c>
      <c r="C1250" s="351" t="s">
        <v>5266</v>
      </c>
      <c r="D1250" s="353">
        <v>-1570</v>
      </c>
      <c r="E1250" s="352" t="s">
        <v>408</v>
      </c>
      <c r="F1250" s="341">
        <v>79.88</v>
      </c>
      <c r="G1250" s="355" t="s">
        <v>11664</v>
      </c>
      <c r="H1250" s="356" t="s">
        <v>10911</v>
      </c>
      <c r="I1250" s="354" t="s">
        <v>425</v>
      </c>
      <c r="J1250" s="340" t="s">
        <v>10466</v>
      </c>
      <c r="K1250" s="339" t="s">
        <v>71</v>
      </c>
      <c r="L1250" s="357">
        <v>14</v>
      </c>
      <c r="M1250" s="358" t="s">
        <v>11316</v>
      </c>
      <c r="N1250" s="359">
        <v>1000</v>
      </c>
      <c r="O1250" s="360" t="s">
        <v>454</v>
      </c>
      <c r="P1250" s="343" t="s">
        <v>454</v>
      </c>
      <c r="Q1250" s="342" t="s">
        <v>2738</v>
      </c>
      <c r="R1250" s="344">
        <v>35</v>
      </c>
      <c r="S1250" s="345">
        <v>25</v>
      </c>
      <c r="T1250" s="362">
        <v>20</v>
      </c>
      <c r="U1250" s="361">
        <v>79.88</v>
      </c>
      <c r="V1250" s="346">
        <v>118.671875</v>
      </c>
      <c r="W1250" s="348">
        <v>118.50862068965517</v>
      </c>
      <c r="X1250" s="347">
        <v>59.9</v>
      </c>
      <c r="Y1250" s="357" t="s">
        <v>408</v>
      </c>
      <c r="Z1250" s="365" t="s">
        <v>3017</v>
      </c>
      <c r="AA1250" s="350">
        <v>196</v>
      </c>
      <c r="AB1250" s="349" t="s">
        <v>2685</v>
      </c>
      <c r="AC1250" s="350">
        <v>10</v>
      </c>
      <c r="AD1250" s="349" t="s">
        <v>2685</v>
      </c>
      <c r="AE1250" s="364">
        <v>0</v>
      </c>
      <c r="AF1250" s="366">
        <v>0</v>
      </c>
      <c r="AG1250" s="363">
        <v>0</v>
      </c>
      <c r="AH1250" s="635" t="s">
        <v>408</v>
      </c>
      <c r="AL1250" s="487" t="s">
        <v>15658</v>
      </c>
      <c r="AM1250" s="477" t="s">
        <v>71</v>
      </c>
      <c r="AN1250" s="637">
        <v>100</v>
      </c>
      <c r="AO1250" s="478">
        <v>-1570</v>
      </c>
      <c r="AP1250" s="463">
        <v>-720</v>
      </c>
      <c r="AQ1250" s="479">
        <v>-850</v>
      </c>
      <c r="AR1250" s="476" t="s">
        <v>17387</v>
      </c>
      <c r="BA1250" s="313" t="s">
        <v>5473</v>
      </c>
    </row>
    <row r="1251" spans="2:53" ht="16.5" customHeight="1">
      <c r="B1251" s="367" t="s">
        <v>11313</v>
      </c>
      <c r="C1251" s="351" t="s">
        <v>11314</v>
      </c>
      <c r="D1251" s="353">
        <v>-1570</v>
      </c>
      <c r="E1251" s="352" t="s">
        <v>11310</v>
      </c>
      <c r="F1251" s="341">
        <v>79.88</v>
      </c>
      <c r="G1251" s="355" t="s">
        <v>5407</v>
      </c>
      <c r="H1251" s="356" t="s">
        <v>10706</v>
      </c>
      <c r="I1251" s="354" t="s">
        <v>478</v>
      </c>
      <c r="J1251" s="340" t="s">
        <v>68</v>
      </c>
      <c r="K1251" s="339" t="s">
        <v>70</v>
      </c>
      <c r="L1251" s="357">
        <v>28</v>
      </c>
      <c r="M1251" s="358" t="s">
        <v>11317</v>
      </c>
      <c r="N1251" s="359">
        <v>1000</v>
      </c>
      <c r="O1251" s="360" t="s">
        <v>532</v>
      </c>
      <c r="P1251" s="343" t="s">
        <v>533</v>
      </c>
      <c r="Q1251" s="342" t="s">
        <v>2688</v>
      </c>
      <c r="R1251" s="344">
        <v>25</v>
      </c>
      <c r="S1251" s="345">
        <v>35</v>
      </c>
      <c r="T1251" s="362">
        <v>25</v>
      </c>
      <c r="U1251" s="361">
        <v>79.88</v>
      </c>
      <c r="V1251" s="346">
        <v>118.672523633124</v>
      </c>
      <c r="W1251" s="348">
        <v>118.50897855620634</v>
      </c>
      <c r="X1251" s="347">
        <v>59.68</v>
      </c>
      <c r="Y1251" s="357">
        <v>60.26</v>
      </c>
      <c r="Z1251" s="365" t="s">
        <v>3017</v>
      </c>
      <c r="AA1251" s="350">
        <v>149.25</v>
      </c>
      <c r="AB1251" s="349" t="s">
        <v>2685</v>
      </c>
      <c r="AC1251" s="350">
        <v>10</v>
      </c>
      <c r="AD1251" s="349" t="s">
        <v>2685</v>
      </c>
      <c r="AE1251" s="364">
        <v>0</v>
      </c>
      <c r="AF1251" s="366">
        <v>0</v>
      </c>
      <c r="AG1251" s="363">
        <v>0</v>
      </c>
      <c r="AH1251" s="635" t="s">
        <v>408</v>
      </c>
      <c r="AL1251" s="487" t="s">
        <v>7210</v>
      </c>
      <c r="AM1251" s="477" t="s">
        <v>70</v>
      </c>
      <c r="AN1251" s="637">
        <v>100</v>
      </c>
      <c r="AO1251" s="478">
        <v>-1570</v>
      </c>
      <c r="AP1251" s="463">
        <v>-1570</v>
      </c>
      <c r="AQ1251" s="479">
        <v>0</v>
      </c>
      <c r="AR1251" s="476" t="s">
        <v>17388</v>
      </c>
      <c r="BA1251" s="313" t="s">
        <v>5475</v>
      </c>
    </row>
    <row r="1252" spans="2:53" ht="16.5" customHeight="1">
      <c r="B1252" s="367" t="s">
        <v>18232</v>
      </c>
      <c r="C1252" s="351" t="s">
        <v>18233</v>
      </c>
      <c r="D1252" s="353">
        <v>-1570</v>
      </c>
      <c r="E1252" s="352" t="s">
        <v>408</v>
      </c>
      <c r="F1252" s="341">
        <v>79.81</v>
      </c>
      <c r="G1252" s="355" t="s">
        <v>5378</v>
      </c>
      <c r="H1252" s="356" t="s">
        <v>11083</v>
      </c>
      <c r="I1252" s="354" t="s">
        <v>209</v>
      </c>
      <c r="J1252" s="340" t="s">
        <v>8804</v>
      </c>
      <c r="K1252" s="339" t="s">
        <v>71</v>
      </c>
      <c r="L1252" s="357">
        <v>12</v>
      </c>
      <c r="M1252" s="358" t="s">
        <v>11309</v>
      </c>
      <c r="N1252" s="359">
        <v>1000</v>
      </c>
      <c r="O1252" s="360" t="s">
        <v>530</v>
      </c>
      <c r="P1252" s="343" t="s">
        <v>530</v>
      </c>
      <c r="Q1252" s="342" t="s">
        <v>2688</v>
      </c>
      <c r="R1252" s="344">
        <v>30</v>
      </c>
      <c r="S1252" s="345">
        <v>25</v>
      </c>
      <c r="T1252" s="362">
        <v>25</v>
      </c>
      <c r="U1252" s="361">
        <v>79.81</v>
      </c>
      <c r="V1252" s="346">
        <v>118.63142706408333</v>
      </c>
      <c r="W1252" s="348">
        <v>118.48630458708045</v>
      </c>
      <c r="X1252" s="347">
        <v>59.88</v>
      </c>
      <c r="Y1252" s="357" t="s">
        <v>408</v>
      </c>
      <c r="Z1252" s="365" t="s">
        <v>3017</v>
      </c>
      <c r="AA1252" s="350">
        <v>198</v>
      </c>
      <c r="AB1252" s="349" t="s">
        <v>2685</v>
      </c>
      <c r="AC1252" s="350">
        <v>10</v>
      </c>
      <c r="AD1252" s="349" t="s">
        <v>2685</v>
      </c>
      <c r="AE1252" s="364">
        <v>0</v>
      </c>
      <c r="AF1252" s="366">
        <v>0</v>
      </c>
      <c r="AG1252" s="363">
        <v>0</v>
      </c>
      <c r="AH1252" s="635" t="s">
        <v>408</v>
      </c>
      <c r="AL1252" s="487" t="s">
        <v>15659</v>
      </c>
      <c r="AM1252" s="477" t="s">
        <v>71</v>
      </c>
      <c r="AN1252" s="637">
        <v>100</v>
      </c>
      <c r="AO1252" s="478">
        <v>-1570</v>
      </c>
      <c r="AP1252" s="463">
        <v>-719</v>
      </c>
      <c r="AQ1252" s="479">
        <v>-851</v>
      </c>
      <c r="AR1252" s="476" t="s">
        <v>17389</v>
      </c>
      <c r="BA1252" s="313" t="s">
        <v>5476</v>
      </c>
    </row>
    <row r="1253" spans="2:53" ht="16.5" customHeight="1">
      <c r="B1253" s="367" t="s">
        <v>5281</v>
      </c>
      <c r="C1253" s="351" t="s">
        <v>5282</v>
      </c>
      <c r="D1253" s="353">
        <v>-1570</v>
      </c>
      <c r="E1253" s="352" t="s">
        <v>408</v>
      </c>
      <c r="F1253" s="341">
        <v>79.81</v>
      </c>
      <c r="G1253" s="355" t="s">
        <v>5421</v>
      </c>
      <c r="H1253" s="356" t="s">
        <v>10715</v>
      </c>
      <c r="I1253" s="354" t="s">
        <v>479</v>
      </c>
      <c r="J1253" s="340" t="s">
        <v>480</v>
      </c>
      <c r="K1253" s="339" t="s">
        <v>70</v>
      </c>
      <c r="L1253" s="357">
        <v>39</v>
      </c>
      <c r="M1253" s="358" t="s">
        <v>11318</v>
      </c>
      <c r="N1253" s="359">
        <v>500</v>
      </c>
      <c r="O1253" s="360" t="s">
        <v>454</v>
      </c>
      <c r="P1253" s="343" t="s">
        <v>454</v>
      </c>
      <c r="Q1253" s="342" t="s">
        <v>2688</v>
      </c>
      <c r="R1253" s="344">
        <v>10</v>
      </c>
      <c r="S1253" s="345">
        <v>35</v>
      </c>
      <c r="T1253" s="362">
        <v>25</v>
      </c>
      <c r="U1253" s="361">
        <v>79.81</v>
      </c>
      <c r="V1253" s="346">
        <v>118.62847222222221</v>
      </c>
      <c r="W1253" s="348">
        <v>118.48467432950191</v>
      </c>
      <c r="X1253" s="347">
        <v>59.66</v>
      </c>
      <c r="Y1253" s="357" t="s">
        <v>408</v>
      </c>
      <c r="Z1253" s="365" t="s">
        <v>3017</v>
      </c>
      <c r="AA1253" s="350">
        <v>145.5</v>
      </c>
      <c r="AB1253" s="349" t="s">
        <v>2685</v>
      </c>
      <c r="AC1253" s="350">
        <v>2</v>
      </c>
      <c r="AD1253" s="349" t="s">
        <v>2685</v>
      </c>
      <c r="AE1253" s="364">
        <v>0</v>
      </c>
      <c r="AF1253" s="366">
        <v>7.9809999999999999</v>
      </c>
      <c r="AG1253" s="363">
        <v>0</v>
      </c>
      <c r="AH1253" s="635" t="s">
        <v>10953</v>
      </c>
      <c r="AL1253" s="487" t="s">
        <v>7207</v>
      </c>
      <c r="AM1253" s="477" t="s">
        <v>70</v>
      </c>
      <c r="AN1253" s="637">
        <v>100</v>
      </c>
      <c r="AO1253" s="478">
        <v>-1570</v>
      </c>
      <c r="AP1253" s="463">
        <v>-1570</v>
      </c>
      <c r="AQ1253" s="479">
        <v>0</v>
      </c>
      <c r="AR1253" s="476" t="s">
        <v>17390</v>
      </c>
      <c r="BA1253" s="313" t="s">
        <v>5479</v>
      </c>
    </row>
    <row r="1254" spans="2:53" ht="16.5" customHeight="1">
      <c r="B1254" s="367" t="s">
        <v>5274</v>
      </c>
      <c r="C1254" s="351" t="s">
        <v>5275</v>
      </c>
      <c r="D1254" s="353">
        <v>-1570</v>
      </c>
      <c r="E1254" s="352" t="s">
        <v>5474</v>
      </c>
      <c r="F1254" s="341">
        <v>79.81</v>
      </c>
      <c r="G1254" s="355" t="s">
        <v>5378</v>
      </c>
      <c r="H1254" s="356" t="s">
        <v>11083</v>
      </c>
      <c r="I1254" s="354" t="s">
        <v>478</v>
      </c>
      <c r="J1254" s="340" t="s">
        <v>11319</v>
      </c>
      <c r="K1254" s="339" t="s">
        <v>71</v>
      </c>
      <c r="L1254" s="357">
        <v>36</v>
      </c>
      <c r="M1254" s="358" t="s">
        <v>11320</v>
      </c>
      <c r="N1254" s="359">
        <v>1000</v>
      </c>
      <c r="O1254" s="360" t="s">
        <v>532</v>
      </c>
      <c r="P1254" s="343" t="s">
        <v>533</v>
      </c>
      <c r="Q1254" s="342" t="s">
        <v>2688</v>
      </c>
      <c r="R1254" s="344">
        <v>30</v>
      </c>
      <c r="S1254" s="345">
        <v>30</v>
      </c>
      <c r="T1254" s="362">
        <v>25</v>
      </c>
      <c r="U1254" s="361">
        <v>79.81</v>
      </c>
      <c r="V1254" s="346">
        <v>118.63190452285092</v>
      </c>
      <c r="W1254" s="348">
        <v>118.48656801260741</v>
      </c>
      <c r="X1254" s="347">
        <v>59.88</v>
      </c>
      <c r="Y1254" s="357">
        <v>60.239999999999995</v>
      </c>
      <c r="Z1254" s="365" t="s">
        <v>3017</v>
      </c>
      <c r="AA1254" s="350">
        <v>149.25</v>
      </c>
      <c r="AB1254" s="349" t="s">
        <v>2685</v>
      </c>
      <c r="AC1254" s="350">
        <v>10</v>
      </c>
      <c r="AD1254" s="349" t="s">
        <v>2685</v>
      </c>
      <c r="AE1254" s="364">
        <v>0</v>
      </c>
      <c r="AF1254" s="366">
        <v>6.4539999999999997</v>
      </c>
      <c r="AG1254" s="363">
        <v>0</v>
      </c>
      <c r="AH1254" s="635" t="s">
        <v>11081</v>
      </c>
      <c r="AL1254" s="487" t="s">
        <v>15660</v>
      </c>
      <c r="AM1254" s="477" t="s">
        <v>71</v>
      </c>
      <c r="AN1254" s="637">
        <v>100</v>
      </c>
      <c r="AO1254" s="478">
        <v>-1570</v>
      </c>
      <c r="AP1254" s="463">
        <v>-719</v>
      </c>
      <c r="AQ1254" s="479">
        <v>-851</v>
      </c>
      <c r="AR1254" s="476" t="s">
        <v>17389</v>
      </c>
      <c r="BA1254" s="313" t="s">
        <v>5481</v>
      </c>
    </row>
    <row r="1255" spans="2:53" ht="16.5" customHeight="1">
      <c r="B1255" s="367" t="s">
        <v>11324</v>
      </c>
      <c r="C1255" s="351" t="s">
        <v>11325</v>
      </c>
      <c r="D1255" s="353">
        <v>-1570</v>
      </c>
      <c r="E1255" s="352" t="s">
        <v>11321</v>
      </c>
      <c r="F1255" s="341">
        <v>79.8</v>
      </c>
      <c r="G1255" s="355" t="s">
        <v>11326</v>
      </c>
      <c r="H1255" s="356" t="s">
        <v>18822</v>
      </c>
      <c r="I1255" s="354" t="s">
        <v>478</v>
      </c>
      <c r="J1255" s="340" t="s">
        <v>11328</v>
      </c>
      <c r="K1255" s="339" t="s">
        <v>70</v>
      </c>
      <c r="L1255" s="357">
        <v>11</v>
      </c>
      <c r="M1255" s="358" t="s">
        <v>11329</v>
      </c>
      <c r="N1255" s="359">
        <v>1000</v>
      </c>
      <c r="O1255" s="360" t="s">
        <v>532</v>
      </c>
      <c r="P1255" s="343" t="s">
        <v>533</v>
      </c>
      <c r="Q1255" s="342" t="s">
        <v>2688</v>
      </c>
      <c r="R1255" s="344">
        <v>25</v>
      </c>
      <c r="S1255" s="345">
        <v>35</v>
      </c>
      <c r="T1255" s="362">
        <v>25</v>
      </c>
      <c r="U1255" s="361">
        <v>79.8</v>
      </c>
      <c r="V1255" s="346">
        <v>118.62798050034085</v>
      </c>
      <c r="W1255" s="348">
        <v>118.48440303467082</v>
      </c>
      <c r="X1255" s="347">
        <v>59.65</v>
      </c>
      <c r="Y1255" s="357">
        <v>60.23</v>
      </c>
      <c r="Z1255" s="365" t="s">
        <v>3017</v>
      </c>
      <c r="AA1255" s="350">
        <v>149.25</v>
      </c>
      <c r="AB1255" s="349" t="s">
        <v>2685</v>
      </c>
      <c r="AC1255" s="350">
        <v>10</v>
      </c>
      <c r="AD1255" s="349" t="s">
        <v>2685</v>
      </c>
      <c r="AE1255" s="364">
        <v>0</v>
      </c>
      <c r="AF1255" s="366">
        <v>6.4530000000000003</v>
      </c>
      <c r="AG1255" s="363">
        <v>0</v>
      </c>
      <c r="AH1255" s="635" t="s">
        <v>8123</v>
      </c>
      <c r="AL1255" s="487" t="s">
        <v>15661</v>
      </c>
      <c r="AM1255" s="477" t="s">
        <v>70</v>
      </c>
      <c r="AN1255" s="637">
        <v>100</v>
      </c>
      <c r="AO1255" s="478">
        <v>-1570</v>
      </c>
      <c r="AP1255" s="463">
        <v>-1570</v>
      </c>
      <c r="AQ1255" s="479">
        <v>0</v>
      </c>
      <c r="AR1255" s="476" t="s">
        <v>17391</v>
      </c>
      <c r="BA1255" s="313" t="s">
        <v>5485</v>
      </c>
    </row>
    <row r="1256" spans="2:53" ht="16.5" customHeight="1">
      <c r="B1256" s="367" t="s">
        <v>11324</v>
      </c>
      <c r="C1256" s="351" t="s">
        <v>11325</v>
      </c>
      <c r="D1256" s="353">
        <v>-1570</v>
      </c>
      <c r="E1256" s="352" t="s">
        <v>408</v>
      </c>
      <c r="F1256" s="341">
        <v>79.790000000000006</v>
      </c>
      <c r="G1256" s="355" t="s">
        <v>11330</v>
      </c>
      <c r="H1256" s="356" t="s">
        <v>18822</v>
      </c>
      <c r="I1256" s="354" t="s">
        <v>215</v>
      </c>
      <c r="J1256" s="340" t="s">
        <v>11331</v>
      </c>
      <c r="K1256" s="339" t="s">
        <v>70</v>
      </c>
      <c r="L1256" s="357">
        <v>7</v>
      </c>
      <c r="M1256" s="358" t="s">
        <v>11332</v>
      </c>
      <c r="N1256" s="359">
        <v>1000</v>
      </c>
      <c r="O1256" s="360" t="s">
        <v>530</v>
      </c>
      <c r="P1256" s="343" t="s">
        <v>531</v>
      </c>
      <c r="Q1256" s="342" t="s">
        <v>2688</v>
      </c>
      <c r="R1256" s="344">
        <v>25</v>
      </c>
      <c r="S1256" s="345">
        <v>38</v>
      </c>
      <c r="T1256" s="362">
        <v>25</v>
      </c>
      <c r="U1256" s="361">
        <v>79.790000000000006</v>
      </c>
      <c r="V1256" s="346">
        <v>118.61930933406614</v>
      </c>
      <c r="W1256" s="348">
        <v>118.47961894293304</v>
      </c>
      <c r="X1256" s="347">
        <v>59.66</v>
      </c>
      <c r="Y1256" s="357">
        <v>60.07</v>
      </c>
      <c r="Z1256" s="365" t="s">
        <v>3017</v>
      </c>
      <c r="AA1256" s="350">
        <v>121.25</v>
      </c>
      <c r="AB1256" s="349" t="s">
        <v>2685</v>
      </c>
      <c r="AC1256" s="350">
        <v>10</v>
      </c>
      <c r="AD1256" s="349" t="s">
        <v>2685</v>
      </c>
      <c r="AE1256" s="364">
        <v>0</v>
      </c>
      <c r="AF1256" s="366">
        <v>0</v>
      </c>
      <c r="AG1256" s="363">
        <v>0</v>
      </c>
      <c r="AH1256" s="635" t="s">
        <v>408</v>
      </c>
      <c r="AL1256" s="487" t="s">
        <v>15662</v>
      </c>
      <c r="AM1256" s="477" t="s">
        <v>70</v>
      </c>
      <c r="AN1256" s="637">
        <v>100</v>
      </c>
      <c r="AO1256" s="478">
        <v>-1570</v>
      </c>
      <c r="AP1256" s="463">
        <v>-1570</v>
      </c>
      <c r="AQ1256" s="479">
        <v>0</v>
      </c>
      <c r="AR1256" s="476" t="s">
        <v>17392</v>
      </c>
      <c r="BA1256" s="313" t="s">
        <v>5486</v>
      </c>
    </row>
    <row r="1257" spans="2:53" ht="16.5" customHeight="1">
      <c r="B1257" s="367" t="s">
        <v>5222</v>
      </c>
      <c r="C1257" s="351" t="s">
        <v>5223</v>
      </c>
      <c r="D1257" s="353">
        <v>-1570</v>
      </c>
      <c r="E1257" s="352" t="s">
        <v>408</v>
      </c>
      <c r="F1257" s="341">
        <v>79.77</v>
      </c>
      <c r="G1257" s="355" t="s">
        <v>11286</v>
      </c>
      <c r="H1257" s="356" t="s">
        <v>10727</v>
      </c>
      <c r="I1257" s="354" t="s">
        <v>215</v>
      </c>
      <c r="J1257" s="340" t="s">
        <v>8337</v>
      </c>
      <c r="K1257" s="339" t="s">
        <v>71</v>
      </c>
      <c r="L1257" s="357">
        <v>4</v>
      </c>
      <c r="M1257" s="358" t="s">
        <v>11333</v>
      </c>
      <c r="N1257" s="359">
        <v>1000</v>
      </c>
      <c r="O1257" s="360" t="s">
        <v>530</v>
      </c>
      <c r="P1257" s="343" t="s">
        <v>531</v>
      </c>
      <c r="Q1257" s="342" t="s">
        <v>2688</v>
      </c>
      <c r="R1257" s="344">
        <v>38</v>
      </c>
      <c r="S1257" s="345">
        <v>25</v>
      </c>
      <c r="T1257" s="362">
        <v>25</v>
      </c>
      <c r="U1257" s="361">
        <v>79.77</v>
      </c>
      <c r="V1257" s="346">
        <v>118.60325967578964</v>
      </c>
      <c r="W1257" s="348">
        <v>118.47076395905636</v>
      </c>
      <c r="X1257" s="347">
        <v>59.86</v>
      </c>
      <c r="Y1257" s="357">
        <v>60.37</v>
      </c>
      <c r="Z1257" s="365" t="s">
        <v>3017</v>
      </c>
      <c r="AA1257" s="350">
        <v>121.25</v>
      </c>
      <c r="AB1257" s="349" t="s">
        <v>2685</v>
      </c>
      <c r="AC1257" s="350">
        <v>10</v>
      </c>
      <c r="AD1257" s="349" t="s">
        <v>2685</v>
      </c>
      <c r="AE1257" s="364">
        <v>0</v>
      </c>
      <c r="AF1257" s="366">
        <v>0</v>
      </c>
      <c r="AG1257" s="363">
        <v>0</v>
      </c>
      <c r="AH1257" s="635" t="s">
        <v>8002</v>
      </c>
      <c r="AL1257" s="487" t="s">
        <v>15663</v>
      </c>
      <c r="AM1257" s="477" t="s">
        <v>71</v>
      </c>
      <c r="AN1257" s="637">
        <v>100</v>
      </c>
      <c r="AO1257" s="478">
        <v>-1570</v>
      </c>
      <c r="AP1257" s="463">
        <v>-719</v>
      </c>
      <c r="AQ1257" s="479">
        <v>-851</v>
      </c>
      <c r="AR1257" s="476" t="s">
        <v>17393</v>
      </c>
      <c r="BA1257" s="313" t="s">
        <v>5487</v>
      </c>
    </row>
    <row r="1258" spans="2:53" ht="16.5" customHeight="1">
      <c r="B1258" s="367" t="s">
        <v>5293</v>
      </c>
      <c r="C1258" s="351" t="s">
        <v>5294</v>
      </c>
      <c r="D1258" s="353">
        <v>-1570</v>
      </c>
      <c r="E1258" s="352" t="s">
        <v>5430</v>
      </c>
      <c r="F1258" s="341">
        <v>79.760000000000005</v>
      </c>
      <c r="G1258" s="355" t="s">
        <v>5277</v>
      </c>
      <c r="H1258" s="356" t="s">
        <v>4916</v>
      </c>
      <c r="I1258" s="354" t="s">
        <v>228</v>
      </c>
      <c r="J1258" s="340" t="s">
        <v>11334</v>
      </c>
      <c r="K1258" s="339" t="s">
        <v>70</v>
      </c>
      <c r="L1258" s="357">
        <v>12</v>
      </c>
      <c r="M1258" s="358" t="s">
        <v>11335</v>
      </c>
      <c r="N1258" s="359">
        <v>1000</v>
      </c>
      <c r="O1258" s="360" t="s">
        <v>530</v>
      </c>
      <c r="P1258" s="343" t="s">
        <v>531</v>
      </c>
      <c r="Q1258" s="342" t="s">
        <v>2688</v>
      </c>
      <c r="R1258" s="344">
        <v>30</v>
      </c>
      <c r="S1258" s="345">
        <v>35</v>
      </c>
      <c r="T1258" s="362">
        <v>35</v>
      </c>
      <c r="U1258" s="361">
        <v>79.760000000000005</v>
      </c>
      <c r="V1258" s="346">
        <v>118.59810801943304</v>
      </c>
      <c r="W1258" s="348">
        <v>118.4679216658941</v>
      </c>
      <c r="X1258" s="347">
        <v>59.64</v>
      </c>
      <c r="Y1258" s="357">
        <v>62.18</v>
      </c>
      <c r="Z1258" s="365" t="s">
        <v>2689</v>
      </c>
      <c r="AA1258" s="350">
        <v>100</v>
      </c>
      <c r="AB1258" s="349" t="s">
        <v>2685</v>
      </c>
      <c r="AC1258" s="350">
        <v>10</v>
      </c>
      <c r="AD1258" s="349" t="s">
        <v>2685</v>
      </c>
      <c r="AE1258" s="364">
        <v>0</v>
      </c>
      <c r="AF1258" s="366">
        <v>10.882</v>
      </c>
      <c r="AG1258" s="363">
        <v>0</v>
      </c>
      <c r="AH1258" s="635" t="s">
        <v>7787</v>
      </c>
      <c r="AL1258" s="487" t="s">
        <v>15664</v>
      </c>
      <c r="AM1258" s="477" t="s">
        <v>70</v>
      </c>
      <c r="AN1258" s="637">
        <v>100</v>
      </c>
      <c r="AO1258" s="478">
        <v>-1570</v>
      </c>
      <c r="AP1258" s="463">
        <v>-1570</v>
      </c>
      <c r="AQ1258" s="479">
        <v>0</v>
      </c>
      <c r="AR1258" s="476" t="s">
        <v>17394</v>
      </c>
      <c r="BA1258" s="313" t="s">
        <v>5490</v>
      </c>
    </row>
    <row r="1259" spans="2:53" ht="16.5" customHeight="1">
      <c r="B1259" s="367" t="s">
        <v>5293</v>
      </c>
      <c r="C1259" s="351" t="s">
        <v>5294</v>
      </c>
      <c r="D1259" s="353">
        <v>-1570</v>
      </c>
      <c r="E1259" s="352" t="s">
        <v>408</v>
      </c>
      <c r="F1259" s="341">
        <v>79.75</v>
      </c>
      <c r="G1259" s="355" t="s">
        <v>11336</v>
      </c>
      <c r="H1259" s="356" t="s">
        <v>18823</v>
      </c>
      <c r="I1259" s="354" t="s">
        <v>195</v>
      </c>
      <c r="J1259" s="340" t="s">
        <v>11337</v>
      </c>
      <c r="K1259" s="339" t="s">
        <v>70</v>
      </c>
      <c r="L1259" s="357">
        <v>10</v>
      </c>
      <c r="M1259" s="358" t="s">
        <v>11338</v>
      </c>
      <c r="N1259" s="359">
        <v>100</v>
      </c>
      <c r="O1259" s="360" t="s">
        <v>454</v>
      </c>
      <c r="P1259" s="343" t="s">
        <v>454</v>
      </c>
      <c r="Q1259" s="342" t="s">
        <v>2738</v>
      </c>
      <c r="R1259" s="344">
        <v>25</v>
      </c>
      <c r="S1259" s="345">
        <v>35</v>
      </c>
      <c r="T1259" s="362">
        <v>20</v>
      </c>
      <c r="U1259" s="361">
        <v>79.75</v>
      </c>
      <c r="V1259" s="346">
        <v>118.59375</v>
      </c>
      <c r="W1259" s="348">
        <v>118.4655172413793</v>
      </c>
      <c r="X1259" s="347">
        <v>59.64</v>
      </c>
      <c r="Y1259" s="357" t="s">
        <v>408</v>
      </c>
      <c r="Z1259" s="365" t="s">
        <v>3017</v>
      </c>
      <c r="AA1259" s="350">
        <v>19</v>
      </c>
      <c r="AB1259" s="349" t="s">
        <v>2685</v>
      </c>
      <c r="AC1259" s="350">
        <v>0</v>
      </c>
      <c r="AD1259" s="349" t="s">
        <v>2685</v>
      </c>
      <c r="AE1259" s="364">
        <v>0</v>
      </c>
      <c r="AF1259" s="366">
        <v>0</v>
      </c>
      <c r="AG1259" s="363">
        <v>0</v>
      </c>
      <c r="AH1259" s="635" t="s">
        <v>408</v>
      </c>
      <c r="AL1259" s="487" t="s">
        <v>15665</v>
      </c>
      <c r="AM1259" s="477" t="s">
        <v>70</v>
      </c>
      <c r="AN1259" s="637">
        <v>100</v>
      </c>
      <c r="AO1259" s="478">
        <v>-1570</v>
      </c>
      <c r="AP1259" s="463">
        <v>-1570</v>
      </c>
      <c r="AQ1259" s="479">
        <v>0</v>
      </c>
      <c r="AR1259" s="476" t="s">
        <v>17395</v>
      </c>
      <c r="BA1259" s="313" t="s">
        <v>5494</v>
      </c>
    </row>
    <row r="1260" spans="2:53" ht="16.5" customHeight="1">
      <c r="B1260" s="367" t="s">
        <v>5293</v>
      </c>
      <c r="C1260" s="351" t="s">
        <v>5294</v>
      </c>
      <c r="D1260" s="353">
        <v>-1570</v>
      </c>
      <c r="E1260" s="352" t="s">
        <v>408</v>
      </c>
      <c r="F1260" s="341">
        <v>79.75</v>
      </c>
      <c r="G1260" s="355" t="s">
        <v>5194</v>
      </c>
      <c r="H1260" s="356" t="s">
        <v>18824</v>
      </c>
      <c r="I1260" s="354" t="s">
        <v>425</v>
      </c>
      <c r="J1260" s="340" t="s">
        <v>11339</v>
      </c>
      <c r="K1260" s="339" t="s">
        <v>71</v>
      </c>
      <c r="L1260" s="357">
        <v>8</v>
      </c>
      <c r="M1260" s="358" t="s">
        <v>11340</v>
      </c>
      <c r="N1260" s="359">
        <v>1000</v>
      </c>
      <c r="O1260" s="360" t="s">
        <v>454</v>
      </c>
      <c r="P1260" s="343" t="s">
        <v>454</v>
      </c>
      <c r="Q1260" s="342" t="s">
        <v>2738</v>
      </c>
      <c r="R1260" s="344">
        <v>35</v>
      </c>
      <c r="S1260" s="345">
        <v>25</v>
      </c>
      <c r="T1260" s="362">
        <v>20</v>
      </c>
      <c r="U1260" s="361">
        <v>79.75</v>
      </c>
      <c r="V1260" s="346">
        <v>118.59375</v>
      </c>
      <c r="W1260" s="348">
        <v>118.4655172413793</v>
      </c>
      <c r="X1260" s="347">
        <v>59.86</v>
      </c>
      <c r="Y1260" s="357" t="s">
        <v>408</v>
      </c>
      <c r="Z1260" s="365" t="s">
        <v>3017</v>
      </c>
      <c r="AA1260" s="350">
        <v>196</v>
      </c>
      <c r="AB1260" s="349" t="s">
        <v>2685</v>
      </c>
      <c r="AC1260" s="350">
        <v>10</v>
      </c>
      <c r="AD1260" s="349" t="s">
        <v>2685</v>
      </c>
      <c r="AE1260" s="364">
        <v>0</v>
      </c>
      <c r="AF1260" s="366">
        <v>0</v>
      </c>
      <c r="AG1260" s="363">
        <v>0</v>
      </c>
      <c r="AH1260" s="635" t="s">
        <v>408</v>
      </c>
      <c r="AL1260" s="487" t="s">
        <v>15666</v>
      </c>
      <c r="AM1260" s="477" t="s">
        <v>71</v>
      </c>
      <c r="AN1260" s="637">
        <v>100</v>
      </c>
      <c r="AO1260" s="478">
        <v>-1570</v>
      </c>
      <c r="AP1260" s="463">
        <v>-719</v>
      </c>
      <c r="AQ1260" s="479">
        <v>-851</v>
      </c>
      <c r="AR1260" s="476" t="s">
        <v>17396</v>
      </c>
      <c r="BA1260" s="313" t="s">
        <v>5495</v>
      </c>
    </row>
    <row r="1261" spans="2:53" ht="16.5" customHeight="1">
      <c r="B1261" s="367" t="s">
        <v>5293</v>
      </c>
      <c r="C1261" s="351" t="s">
        <v>5294</v>
      </c>
      <c r="D1261" s="353">
        <v>-1570</v>
      </c>
      <c r="E1261" s="352" t="s">
        <v>11336</v>
      </c>
      <c r="F1261" s="341">
        <v>79.75</v>
      </c>
      <c r="G1261" s="355" t="s">
        <v>5194</v>
      </c>
      <c r="H1261" s="356" t="s">
        <v>18824</v>
      </c>
      <c r="I1261" s="354" t="s">
        <v>425</v>
      </c>
      <c r="J1261" s="340" t="s">
        <v>8216</v>
      </c>
      <c r="K1261" s="339" t="s">
        <v>71</v>
      </c>
      <c r="L1261" s="357">
        <v>16</v>
      </c>
      <c r="M1261" s="358" t="s">
        <v>11340</v>
      </c>
      <c r="N1261" s="359">
        <v>1000</v>
      </c>
      <c r="O1261" s="360" t="s">
        <v>454</v>
      </c>
      <c r="P1261" s="343" t="s">
        <v>454</v>
      </c>
      <c r="Q1261" s="342" t="s">
        <v>2738</v>
      </c>
      <c r="R1261" s="344">
        <v>35</v>
      </c>
      <c r="S1261" s="345">
        <v>25</v>
      </c>
      <c r="T1261" s="362">
        <v>20</v>
      </c>
      <c r="U1261" s="361">
        <v>79.75</v>
      </c>
      <c r="V1261" s="346">
        <v>118.59375</v>
      </c>
      <c r="W1261" s="348">
        <v>118.4655172413793</v>
      </c>
      <c r="X1261" s="347">
        <v>59.86</v>
      </c>
      <c r="Y1261" s="357" t="s">
        <v>408</v>
      </c>
      <c r="Z1261" s="365" t="s">
        <v>3017</v>
      </c>
      <c r="AA1261" s="350">
        <v>196</v>
      </c>
      <c r="AB1261" s="349" t="s">
        <v>2685</v>
      </c>
      <c r="AC1261" s="350">
        <v>10</v>
      </c>
      <c r="AD1261" s="349" t="s">
        <v>2685</v>
      </c>
      <c r="AE1261" s="364">
        <v>0</v>
      </c>
      <c r="AF1261" s="366">
        <v>0</v>
      </c>
      <c r="AG1261" s="363">
        <v>0</v>
      </c>
      <c r="AH1261" s="635" t="s">
        <v>408</v>
      </c>
      <c r="AL1261" s="487" t="s">
        <v>15667</v>
      </c>
      <c r="AM1261" s="477" t="s">
        <v>71</v>
      </c>
      <c r="AN1261" s="637">
        <v>100</v>
      </c>
      <c r="AO1261" s="478">
        <v>-1570</v>
      </c>
      <c r="AP1261" s="463">
        <v>-719</v>
      </c>
      <c r="AQ1261" s="479">
        <v>-851</v>
      </c>
      <c r="AR1261" s="476" t="s">
        <v>17396</v>
      </c>
      <c r="BA1261" s="313" t="s">
        <v>5497</v>
      </c>
    </row>
    <row r="1262" spans="2:53" ht="16.5" customHeight="1">
      <c r="B1262" s="367" t="s">
        <v>5299</v>
      </c>
      <c r="C1262" s="351" t="s">
        <v>5300</v>
      </c>
      <c r="D1262" s="353">
        <v>-1570</v>
      </c>
      <c r="E1262" s="352" t="s">
        <v>11336</v>
      </c>
      <c r="F1262" s="341">
        <v>79.739999999999995</v>
      </c>
      <c r="G1262" s="355" t="s">
        <v>11341</v>
      </c>
      <c r="H1262" s="356" t="s">
        <v>4912</v>
      </c>
      <c r="I1262" s="354" t="s">
        <v>478</v>
      </c>
      <c r="J1262" s="340" t="s">
        <v>11342</v>
      </c>
      <c r="K1262" s="339" t="s">
        <v>70</v>
      </c>
      <c r="L1262" s="357">
        <v>16</v>
      </c>
      <c r="M1262" s="358" t="s">
        <v>11343</v>
      </c>
      <c r="N1262" s="359">
        <v>1000</v>
      </c>
      <c r="O1262" s="360" t="s">
        <v>532</v>
      </c>
      <c r="P1262" s="343" t="s">
        <v>533</v>
      </c>
      <c r="Q1262" s="342" t="s">
        <v>2688</v>
      </c>
      <c r="R1262" s="344">
        <v>25</v>
      </c>
      <c r="S1262" s="345">
        <v>35</v>
      </c>
      <c r="T1262" s="362">
        <v>25</v>
      </c>
      <c r="U1262" s="361">
        <v>79.739999999999995</v>
      </c>
      <c r="V1262" s="346">
        <v>118.58644542935573</v>
      </c>
      <c r="W1262" s="348">
        <v>118.46148713343764</v>
      </c>
      <c r="X1262" s="347">
        <v>59.64</v>
      </c>
      <c r="Y1262" s="357">
        <v>60.21</v>
      </c>
      <c r="Z1262" s="365" t="s">
        <v>3017</v>
      </c>
      <c r="AA1262" s="350">
        <v>149.25</v>
      </c>
      <c r="AB1262" s="349" t="s">
        <v>2685</v>
      </c>
      <c r="AC1262" s="350">
        <v>10</v>
      </c>
      <c r="AD1262" s="349" t="s">
        <v>2685</v>
      </c>
      <c r="AE1262" s="364">
        <v>0</v>
      </c>
      <c r="AF1262" s="366">
        <v>6.4509999999999996</v>
      </c>
      <c r="AG1262" s="363">
        <v>0</v>
      </c>
      <c r="AH1262" s="635" t="s">
        <v>8123</v>
      </c>
      <c r="AL1262" s="487" t="s">
        <v>15668</v>
      </c>
      <c r="AM1262" s="477" t="s">
        <v>70</v>
      </c>
      <c r="AN1262" s="637">
        <v>100</v>
      </c>
      <c r="AO1262" s="478">
        <v>-1570</v>
      </c>
      <c r="AP1262" s="463">
        <v>-1570</v>
      </c>
      <c r="AQ1262" s="479">
        <v>0</v>
      </c>
      <c r="AR1262" s="476" t="s">
        <v>17397</v>
      </c>
      <c r="BA1262" s="313" t="s">
        <v>5500</v>
      </c>
    </row>
    <row r="1263" spans="2:53" ht="16.5" customHeight="1">
      <c r="B1263" s="367" t="s">
        <v>5299</v>
      </c>
      <c r="C1263" s="351" t="s">
        <v>5300</v>
      </c>
      <c r="D1263" s="353">
        <v>-1570</v>
      </c>
      <c r="E1263" s="352" t="s">
        <v>408</v>
      </c>
      <c r="F1263" s="341">
        <v>79.73</v>
      </c>
      <c r="G1263" s="355" t="s">
        <v>11344</v>
      </c>
      <c r="H1263" s="356" t="s">
        <v>4912</v>
      </c>
      <c r="I1263" s="354" t="s">
        <v>478</v>
      </c>
      <c r="J1263" s="340" t="s">
        <v>7258</v>
      </c>
      <c r="K1263" s="339" t="s">
        <v>70</v>
      </c>
      <c r="L1263" s="357">
        <v>25</v>
      </c>
      <c r="M1263" s="358" t="s">
        <v>11345</v>
      </c>
      <c r="N1263" s="359">
        <v>1000</v>
      </c>
      <c r="O1263" s="360" t="s">
        <v>532</v>
      </c>
      <c r="P1263" s="343" t="s">
        <v>533</v>
      </c>
      <c r="Q1263" s="342" t="s">
        <v>2688</v>
      </c>
      <c r="R1263" s="344">
        <v>25</v>
      </c>
      <c r="S1263" s="345">
        <v>35</v>
      </c>
      <c r="T1263" s="362">
        <v>25</v>
      </c>
      <c r="U1263" s="361">
        <v>79.73</v>
      </c>
      <c r="V1263" s="346">
        <v>118.58266951381164</v>
      </c>
      <c r="W1263" s="348">
        <v>118.45940386968918</v>
      </c>
      <c r="X1263" s="347">
        <v>59.63</v>
      </c>
      <c r="Y1263" s="357">
        <v>60.21</v>
      </c>
      <c r="Z1263" s="365" t="s">
        <v>3017</v>
      </c>
      <c r="AA1263" s="350">
        <v>149.25</v>
      </c>
      <c r="AB1263" s="349" t="s">
        <v>2685</v>
      </c>
      <c r="AC1263" s="350">
        <v>10</v>
      </c>
      <c r="AD1263" s="349" t="s">
        <v>2685</v>
      </c>
      <c r="AE1263" s="364">
        <v>0</v>
      </c>
      <c r="AF1263" s="366">
        <v>6.4509999999999996</v>
      </c>
      <c r="AG1263" s="363">
        <v>0</v>
      </c>
      <c r="AH1263" s="635" t="s">
        <v>8123</v>
      </c>
      <c r="AL1263" s="487" t="s">
        <v>15669</v>
      </c>
      <c r="AM1263" s="477" t="s">
        <v>70</v>
      </c>
      <c r="AN1263" s="637">
        <v>100</v>
      </c>
      <c r="AO1263" s="478">
        <v>-1570</v>
      </c>
      <c r="AP1263" s="463">
        <v>-1570</v>
      </c>
      <c r="AQ1263" s="479">
        <v>0</v>
      </c>
      <c r="AR1263" s="476" t="s">
        <v>17398</v>
      </c>
      <c r="BA1263" s="313" t="s">
        <v>5503</v>
      </c>
    </row>
    <row r="1264" spans="2:53" ht="16.5" customHeight="1">
      <c r="B1264" s="367" t="s">
        <v>5299</v>
      </c>
      <c r="C1264" s="351" t="s">
        <v>5300</v>
      </c>
      <c r="D1264" s="353">
        <v>-1570</v>
      </c>
      <c r="E1264" s="352" t="s">
        <v>408</v>
      </c>
      <c r="F1264" s="341">
        <v>79.73</v>
      </c>
      <c r="G1264" s="355" t="s">
        <v>11344</v>
      </c>
      <c r="H1264" s="356" t="s">
        <v>4912</v>
      </c>
      <c r="I1264" s="354" t="s">
        <v>422</v>
      </c>
      <c r="J1264" s="340" t="s">
        <v>9627</v>
      </c>
      <c r="K1264" s="339" t="s">
        <v>70</v>
      </c>
      <c r="L1264" s="357">
        <v>12</v>
      </c>
      <c r="M1264" s="358" t="s">
        <v>11346</v>
      </c>
      <c r="N1264" s="359">
        <v>1000</v>
      </c>
      <c r="O1264" s="360" t="s">
        <v>454</v>
      </c>
      <c r="P1264" s="343" t="s">
        <v>454</v>
      </c>
      <c r="Q1264" s="342" t="s">
        <v>2688</v>
      </c>
      <c r="R1264" s="344">
        <v>20</v>
      </c>
      <c r="S1264" s="345">
        <v>35</v>
      </c>
      <c r="T1264" s="362">
        <v>30</v>
      </c>
      <c r="U1264" s="361">
        <v>79.73</v>
      </c>
      <c r="V1264" s="346">
        <v>118.5800283286119</v>
      </c>
      <c r="W1264" s="348">
        <v>118.45794666406174</v>
      </c>
      <c r="X1264" s="347">
        <v>59.64</v>
      </c>
      <c r="Y1264" s="357" t="s">
        <v>408</v>
      </c>
      <c r="Z1264" s="365" t="s">
        <v>3017</v>
      </c>
      <c r="AA1264" s="350">
        <v>147</v>
      </c>
      <c r="AB1264" s="349" t="s">
        <v>2685</v>
      </c>
      <c r="AC1264" s="350">
        <v>5</v>
      </c>
      <c r="AD1264" s="349" t="s">
        <v>2685</v>
      </c>
      <c r="AE1264" s="364">
        <v>0</v>
      </c>
      <c r="AF1264" s="366">
        <v>25.911999999999999</v>
      </c>
      <c r="AG1264" s="363">
        <v>0</v>
      </c>
      <c r="AH1264" s="635" t="s">
        <v>10941</v>
      </c>
      <c r="AL1264" s="487" t="s">
        <v>15670</v>
      </c>
      <c r="AM1264" s="477" t="s">
        <v>70</v>
      </c>
      <c r="AN1264" s="637">
        <v>100</v>
      </c>
      <c r="AO1264" s="478">
        <v>-1570</v>
      </c>
      <c r="AP1264" s="463">
        <v>-1570</v>
      </c>
      <c r="AQ1264" s="479">
        <v>0</v>
      </c>
      <c r="AR1264" s="476" t="s">
        <v>17398</v>
      </c>
      <c r="BA1264" s="313" t="s">
        <v>5506</v>
      </c>
    </row>
    <row r="1265" spans="2:53" ht="16.5" customHeight="1">
      <c r="B1265" s="367" t="s">
        <v>5242</v>
      </c>
      <c r="C1265" s="351" t="s">
        <v>5243</v>
      </c>
      <c r="D1265" s="353">
        <v>-1570</v>
      </c>
      <c r="E1265" s="352" t="s">
        <v>408</v>
      </c>
      <c r="F1265" s="341">
        <v>79.7</v>
      </c>
      <c r="G1265" s="355" t="s">
        <v>18825</v>
      </c>
      <c r="H1265" s="356" t="s">
        <v>10957</v>
      </c>
      <c r="I1265" s="354" t="s">
        <v>209</v>
      </c>
      <c r="J1265" s="340" t="s">
        <v>11323</v>
      </c>
      <c r="K1265" s="339" t="s">
        <v>71</v>
      </c>
      <c r="L1265" s="357">
        <v>8</v>
      </c>
      <c r="M1265" s="358" t="s">
        <v>4693</v>
      </c>
      <c r="N1265" s="359">
        <v>1000</v>
      </c>
      <c r="O1265" s="360" t="s">
        <v>530</v>
      </c>
      <c r="P1265" s="343" t="s">
        <v>530</v>
      </c>
      <c r="Q1265" s="342" t="s">
        <v>2688</v>
      </c>
      <c r="R1265" s="344">
        <v>30</v>
      </c>
      <c r="S1265" s="345">
        <v>25</v>
      </c>
      <c r="T1265" s="362">
        <v>25</v>
      </c>
      <c r="U1265" s="361">
        <v>79.7</v>
      </c>
      <c r="V1265" s="346">
        <v>118.55941191182806</v>
      </c>
      <c r="W1265" s="348">
        <v>118.44657208928446</v>
      </c>
      <c r="X1265" s="347">
        <v>59.84</v>
      </c>
      <c r="Y1265" s="357" t="s">
        <v>408</v>
      </c>
      <c r="Z1265" s="365" t="s">
        <v>3017</v>
      </c>
      <c r="AA1265" s="350">
        <v>198</v>
      </c>
      <c r="AB1265" s="349" t="s">
        <v>2685</v>
      </c>
      <c r="AC1265" s="350">
        <v>10</v>
      </c>
      <c r="AD1265" s="349" t="s">
        <v>2685</v>
      </c>
      <c r="AE1265" s="364">
        <v>0</v>
      </c>
      <c r="AF1265" s="366">
        <v>0</v>
      </c>
      <c r="AG1265" s="363">
        <v>0</v>
      </c>
      <c r="AH1265" s="635" t="s">
        <v>408</v>
      </c>
      <c r="AL1265" s="487" t="s">
        <v>15671</v>
      </c>
      <c r="AM1265" s="477" t="s">
        <v>71</v>
      </c>
      <c r="AN1265" s="637">
        <v>100</v>
      </c>
      <c r="AO1265" s="478">
        <v>-1570</v>
      </c>
      <c r="AP1265" s="463">
        <v>-719</v>
      </c>
      <c r="AQ1265" s="479">
        <v>-851</v>
      </c>
      <c r="AR1265" s="476" t="s">
        <v>17399</v>
      </c>
      <c r="BA1265" s="313" t="s">
        <v>5509</v>
      </c>
    </row>
    <row r="1266" spans="2:53" ht="16.5" customHeight="1">
      <c r="B1266" s="367" t="s">
        <v>5309</v>
      </c>
      <c r="C1266" s="351" t="s">
        <v>5310</v>
      </c>
      <c r="D1266" s="353">
        <v>-1570</v>
      </c>
      <c r="E1266" s="352" t="s">
        <v>408</v>
      </c>
      <c r="F1266" s="341">
        <v>79.69</v>
      </c>
      <c r="G1266" s="355" t="s">
        <v>5437</v>
      </c>
      <c r="H1266" s="356" t="s">
        <v>10933</v>
      </c>
      <c r="I1266" s="354" t="s">
        <v>239</v>
      </c>
      <c r="J1266" s="340" t="s">
        <v>11347</v>
      </c>
      <c r="K1266" s="339" t="s">
        <v>70</v>
      </c>
      <c r="L1266" s="357">
        <v>120</v>
      </c>
      <c r="M1266" s="358" t="s">
        <v>5409</v>
      </c>
      <c r="N1266" s="359">
        <v>1000</v>
      </c>
      <c r="O1266" s="360" t="s">
        <v>454</v>
      </c>
      <c r="P1266" s="343" t="s">
        <v>454</v>
      </c>
      <c r="Q1266" s="342" t="s">
        <v>2738</v>
      </c>
      <c r="R1266" s="344">
        <v>25</v>
      </c>
      <c r="S1266" s="345">
        <v>35</v>
      </c>
      <c r="T1266" s="362">
        <v>20</v>
      </c>
      <c r="U1266" s="361">
        <v>79.69</v>
      </c>
      <c r="V1266" s="346">
        <v>118.5546875</v>
      </c>
      <c r="W1266" s="348">
        <v>118.44396551724138</v>
      </c>
      <c r="X1266" s="347">
        <v>59.63</v>
      </c>
      <c r="Y1266" s="357" t="s">
        <v>408</v>
      </c>
      <c r="Z1266" s="365" t="s">
        <v>3017</v>
      </c>
      <c r="AA1266" s="350">
        <v>195</v>
      </c>
      <c r="AB1266" s="349" t="s">
        <v>2685</v>
      </c>
      <c r="AC1266" s="350">
        <v>10</v>
      </c>
      <c r="AD1266" s="349" t="s">
        <v>2685</v>
      </c>
      <c r="AE1266" s="364">
        <v>0</v>
      </c>
      <c r="AF1266" s="366">
        <v>0</v>
      </c>
      <c r="AG1266" s="363">
        <v>0</v>
      </c>
      <c r="AH1266" s="635" t="s">
        <v>408</v>
      </c>
      <c r="AL1266" s="487" t="s">
        <v>15672</v>
      </c>
      <c r="AM1266" s="477" t="s">
        <v>70</v>
      </c>
      <c r="AN1266" s="637">
        <v>100</v>
      </c>
      <c r="AO1266" s="478">
        <v>-1570</v>
      </c>
      <c r="AP1266" s="463">
        <v>-1570</v>
      </c>
      <c r="AQ1266" s="479">
        <v>0</v>
      </c>
      <c r="AR1266" s="476" t="s">
        <v>17400</v>
      </c>
      <c r="BA1266" s="313" t="s">
        <v>5511</v>
      </c>
    </row>
    <row r="1267" spans="2:53" ht="16.5" customHeight="1">
      <c r="B1267" s="367" t="s">
        <v>5309</v>
      </c>
      <c r="C1267" s="351" t="s">
        <v>5310</v>
      </c>
      <c r="D1267" s="353">
        <v>-1570</v>
      </c>
      <c r="E1267" s="352" t="s">
        <v>408</v>
      </c>
      <c r="F1267" s="341">
        <v>79.69</v>
      </c>
      <c r="G1267" s="355" t="s">
        <v>5437</v>
      </c>
      <c r="H1267" s="356" t="s">
        <v>10933</v>
      </c>
      <c r="I1267" s="354" t="s">
        <v>239</v>
      </c>
      <c r="J1267" s="340" t="s">
        <v>7261</v>
      </c>
      <c r="K1267" s="339" t="s">
        <v>70</v>
      </c>
      <c r="L1267" s="357">
        <v>81</v>
      </c>
      <c r="M1267" s="358" t="s">
        <v>5409</v>
      </c>
      <c r="N1267" s="359">
        <v>1000</v>
      </c>
      <c r="O1267" s="360" t="s">
        <v>454</v>
      </c>
      <c r="P1267" s="343" t="s">
        <v>454</v>
      </c>
      <c r="Q1267" s="342" t="s">
        <v>2738</v>
      </c>
      <c r="R1267" s="344">
        <v>25</v>
      </c>
      <c r="S1267" s="345">
        <v>35</v>
      </c>
      <c r="T1267" s="362">
        <v>20</v>
      </c>
      <c r="U1267" s="361">
        <v>79.69</v>
      </c>
      <c r="V1267" s="346">
        <v>118.5546875</v>
      </c>
      <c r="W1267" s="348">
        <v>118.44396551724138</v>
      </c>
      <c r="X1267" s="347">
        <v>59.63</v>
      </c>
      <c r="Y1267" s="357" t="s">
        <v>408</v>
      </c>
      <c r="Z1267" s="365" t="s">
        <v>3017</v>
      </c>
      <c r="AA1267" s="350">
        <v>195</v>
      </c>
      <c r="AB1267" s="349" t="s">
        <v>2685</v>
      </c>
      <c r="AC1267" s="350">
        <v>10</v>
      </c>
      <c r="AD1267" s="349" t="s">
        <v>2685</v>
      </c>
      <c r="AE1267" s="364">
        <v>0</v>
      </c>
      <c r="AF1267" s="366">
        <v>0</v>
      </c>
      <c r="AG1267" s="363">
        <v>0</v>
      </c>
      <c r="AH1267" s="635" t="s">
        <v>408</v>
      </c>
      <c r="AL1267" s="487" t="s">
        <v>15673</v>
      </c>
      <c r="AM1267" s="477" t="s">
        <v>70</v>
      </c>
      <c r="AN1267" s="637">
        <v>100</v>
      </c>
      <c r="AO1267" s="478">
        <v>-1570</v>
      </c>
      <c r="AP1267" s="463">
        <v>-1570</v>
      </c>
      <c r="AQ1267" s="479">
        <v>0</v>
      </c>
      <c r="AR1267" s="476" t="s">
        <v>17400</v>
      </c>
      <c r="BA1267" s="313" t="s">
        <v>5512</v>
      </c>
    </row>
    <row r="1268" spans="2:53" ht="16.5" customHeight="1">
      <c r="B1268" s="367" t="s">
        <v>5309</v>
      </c>
      <c r="C1268" s="351" t="s">
        <v>5310</v>
      </c>
      <c r="D1268" s="353">
        <v>-1570</v>
      </c>
      <c r="E1268" s="352" t="s">
        <v>11348</v>
      </c>
      <c r="F1268" s="341">
        <v>79.69</v>
      </c>
      <c r="G1268" s="355" t="s">
        <v>5254</v>
      </c>
      <c r="H1268" s="356" t="s">
        <v>10790</v>
      </c>
      <c r="I1268" s="354" t="s">
        <v>424</v>
      </c>
      <c r="J1268" s="340" t="s">
        <v>416</v>
      </c>
      <c r="K1268" s="339" t="s">
        <v>71</v>
      </c>
      <c r="L1268" s="357">
        <v>85</v>
      </c>
      <c r="M1268" s="358" t="s">
        <v>11350</v>
      </c>
      <c r="N1268" s="359">
        <v>1000</v>
      </c>
      <c r="O1268" s="360" t="s">
        <v>454</v>
      </c>
      <c r="P1268" s="343" t="s">
        <v>454</v>
      </c>
      <c r="Q1268" s="342" t="s">
        <v>2738</v>
      </c>
      <c r="R1268" s="344">
        <v>35</v>
      </c>
      <c r="S1268" s="345">
        <v>25</v>
      </c>
      <c r="T1268" s="362">
        <v>20</v>
      </c>
      <c r="U1268" s="361">
        <v>79.69</v>
      </c>
      <c r="V1268" s="346">
        <v>118.5546875</v>
      </c>
      <c r="W1268" s="348">
        <v>118.44396551724138</v>
      </c>
      <c r="X1268" s="347">
        <v>59.84</v>
      </c>
      <c r="Y1268" s="357" t="s">
        <v>408</v>
      </c>
      <c r="Z1268" s="365" t="s">
        <v>3017</v>
      </c>
      <c r="AA1268" s="350">
        <v>196</v>
      </c>
      <c r="AB1268" s="349" t="s">
        <v>2685</v>
      </c>
      <c r="AC1268" s="350">
        <v>3</v>
      </c>
      <c r="AD1268" s="349" t="s">
        <v>2685</v>
      </c>
      <c r="AE1268" s="364">
        <v>0</v>
      </c>
      <c r="AF1268" s="366">
        <v>0</v>
      </c>
      <c r="AG1268" s="363">
        <v>0</v>
      </c>
      <c r="AH1268" s="635" t="s">
        <v>408</v>
      </c>
      <c r="AL1268" s="487" t="s">
        <v>15674</v>
      </c>
      <c r="AM1268" s="477" t="s">
        <v>71</v>
      </c>
      <c r="AN1268" s="637">
        <v>100</v>
      </c>
      <c r="AO1268" s="478">
        <v>-1570</v>
      </c>
      <c r="AP1268" s="463">
        <v>-719</v>
      </c>
      <c r="AQ1268" s="479">
        <v>-851</v>
      </c>
      <c r="AR1268" s="476" t="s">
        <v>17401</v>
      </c>
      <c r="BA1268" s="313" t="s">
        <v>5513</v>
      </c>
    </row>
    <row r="1269" spans="2:53" ht="16.5" customHeight="1">
      <c r="B1269" s="367" t="s">
        <v>5309</v>
      </c>
      <c r="C1269" s="351" t="s">
        <v>5310</v>
      </c>
      <c r="D1269" s="353">
        <v>-1570</v>
      </c>
      <c r="E1269" s="352" t="s">
        <v>11348</v>
      </c>
      <c r="F1269" s="341">
        <v>79.69</v>
      </c>
      <c r="G1269" s="355" t="s">
        <v>5254</v>
      </c>
      <c r="H1269" s="356" t="s">
        <v>10790</v>
      </c>
      <c r="I1269" s="354" t="s">
        <v>422</v>
      </c>
      <c r="J1269" s="340" t="s">
        <v>11351</v>
      </c>
      <c r="K1269" s="339" t="s">
        <v>71</v>
      </c>
      <c r="L1269" s="357">
        <v>14</v>
      </c>
      <c r="M1269" s="358" t="s">
        <v>11352</v>
      </c>
      <c r="N1269" s="359">
        <v>1000</v>
      </c>
      <c r="O1269" s="360" t="s">
        <v>454</v>
      </c>
      <c r="P1269" s="343" t="s">
        <v>454</v>
      </c>
      <c r="Q1269" s="342" t="s">
        <v>2688</v>
      </c>
      <c r="R1269" s="344">
        <v>35</v>
      </c>
      <c r="S1269" s="345">
        <v>25</v>
      </c>
      <c r="T1269" s="362">
        <v>20</v>
      </c>
      <c r="U1269" s="361">
        <v>79.69</v>
      </c>
      <c r="V1269" s="346">
        <v>118.5546875</v>
      </c>
      <c r="W1269" s="348">
        <v>118.44396551724138</v>
      </c>
      <c r="X1269" s="347">
        <v>59.84</v>
      </c>
      <c r="Y1269" s="357" t="s">
        <v>408</v>
      </c>
      <c r="Z1269" s="365" t="s">
        <v>3017</v>
      </c>
      <c r="AA1269" s="350">
        <v>196</v>
      </c>
      <c r="AB1269" s="349" t="s">
        <v>2685</v>
      </c>
      <c r="AC1269" s="350">
        <v>5</v>
      </c>
      <c r="AD1269" s="349" t="s">
        <v>2685</v>
      </c>
      <c r="AE1269" s="364">
        <v>0</v>
      </c>
      <c r="AF1269" s="366">
        <v>0</v>
      </c>
      <c r="AG1269" s="363">
        <v>0</v>
      </c>
      <c r="AH1269" s="635" t="s">
        <v>408</v>
      </c>
      <c r="AL1269" s="487" t="s">
        <v>15675</v>
      </c>
      <c r="AM1269" s="477" t="s">
        <v>71</v>
      </c>
      <c r="AN1269" s="637">
        <v>100</v>
      </c>
      <c r="AO1269" s="478">
        <v>-1570</v>
      </c>
      <c r="AP1269" s="463">
        <v>-719</v>
      </c>
      <c r="AQ1269" s="479">
        <v>-851</v>
      </c>
      <c r="AR1269" s="476" t="s">
        <v>17401</v>
      </c>
      <c r="BA1269" s="313" t="s">
        <v>5515</v>
      </c>
    </row>
    <row r="1270" spans="2:53" ht="16.5" customHeight="1">
      <c r="B1270" s="367" t="s">
        <v>5321</v>
      </c>
      <c r="C1270" s="351" t="s">
        <v>5322</v>
      </c>
      <c r="D1270" s="353">
        <v>-1570</v>
      </c>
      <c r="E1270" s="352" t="s">
        <v>408</v>
      </c>
      <c r="F1270" s="341">
        <v>79.64</v>
      </c>
      <c r="G1270" s="355" t="s">
        <v>11353</v>
      </c>
      <c r="H1270" s="356" t="s">
        <v>18826</v>
      </c>
      <c r="I1270" s="354" t="s">
        <v>209</v>
      </c>
      <c r="J1270" s="340" t="s">
        <v>8011</v>
      </c>
      <c r="K1270" s="339" t="s">
        <v>70</v>
      </c>
      <c r="L1270" s="357">
        <v>23</v>
      </c>
      <c r="M1270" s="358" t="s">
        <v>4770</v>
      </c>
      <c r="N1270" s="359">
        <v>1000</v>
      </c>
      <c r="O1270" s="360" t="s">
        <v>530</v>
      </c>
      <c r="P1270" s="343" t="s">
        <v>530</v>
      </c>
      <c r="Q1270" s="342" t="s">
        <v>2688</v>
      </c>
      <c r="R1270" s="344">
        <v>20</v>
      </c>
      <c r="S1270" s="345">
        <v>30</v>
      </c>
      <c r="T1270" s="362">
        <v>30</v>
      </c>
      <c r="U1270" s="361">
        <v>79.64</v>
      </c>
      <c r="V1270" s="346">
        <v>118.52799996459669</v>
      </c>
      <c r="W1270" s="348">
        <v>118.42924135977748</v>
      </c>
      <c r="X1270" s="347">
        <v>59.61</v>
      </c>
      <c r="Y1270" s="357" t="s">
        <v>408</v>
      </c>
      <c r="Z1270" s="365" t="s">
        <v>3017</v>
      </c>
      <c r="AA1270" s="350">
        <v>198</v>
      </c>
      <c r="AB1270" s="349" t="s">
        <v>2685</v>
      </c>
      <c r="AC1270" s="350">
        <v>10</v>
      </c>
      <c r="AD1270" s="349" t="s">
        <v>2685</v>
      </c>
      <c r="AE1270" s="364">
        <v>0</v>
      </c>
      <c r="AF1270" s="366">
        <v>0</v>
      </c>
      <c r="AG1270" s="363">
        <v>0</v>
      </c>
      <c r="AH1270" s="635" t="s">
        <v>408</v>
      </c>
      <c r="AL1270" s="487" t="s">
        <v>15676</v>
      </c>
      <c r="AM1270" s="477" t="s">
        <v>70</v>
      </c>
      <c r="AN1270" s="637">
        <v>100</v>
      </c>
      <c r="AO1270" s="478">
        <v>-1570</v>
      </c>
      <c r="AP1270" s="463">
        <v>-1570</v>
      </c>
      <c r="AQ1270" s="479">
        <v>0</v>
      </c>
      <c r="AR1270" s="476" t="s">
        <v>17402</v>
      </c>
      <c r="BA1270" s="313" t="s">
        <v>5520</v>
      </c>
    </row>
    <row r="1271" spans="2:53" ht="16.5" customHeight="1">
      <c r="B1271" s="367" t="s">
        <v>11354</v>
      </c>
      <c r="C1271" s="351" t="s">
        <v>11355</v>
      </c>
      <c r="D1271" s="353">
        <v>-1570</v>
      </c>
      <c r="E1271" s="352" t="s">
        <v>408</v>
      </c>
      <c r="F1271" s="341">
        <v>79.64</v>
      </c>
      <c r="G1271" s="355" t="s">
        <v>11356</v>
      </c>
      <c r="H1271" s="356" t="s">
        <v>18827</v>
      </c>
      <c r="I1271" s="354" t="s">
        <v>478</v>
      </c>
      <c r="J1271" s="340" t="s">
        <v>234</v>
      </c>
      <c r="K1271" s="339" t="s">
        <v>70</v>
      </c>
      <c r="L1271" s="357">
        <v>13</v>
      </c>
      <c r="M1271" s="358" t="s">
        <v>11357</v>
      </c>
      <c r="N1271" s="359">
        <v>1000</v>
      </c>
      <c r="O1271" s="360" t="s">
        <v>532</v>
      </c>
      <c r="P1271" s="343" t="s">
        <v>533</v>
      </c>
      <c r="Q1271" s="342" t="s">
        <v>2688</v>
      </c>
      <c r="R1271" s="344">
        <v>25</v>
      </c>
      <c r="S1271" s="345">
        <v>35</v>
      </c>
      <c r="T1271" s="362">
        <v>25</v>
      </c>
      <c r="U1271" s="361">
        <v>79.64</v>
      </c>
      <c r="V1271" s="346">
        <v>118.52225486510601</v>
      </c>
      <c r="W1271" s="348">
        <v>118.42607164971366</v>
      </c>
      <c r="X1271" s="347">
        <v>59.61</v>
      </c>
      <c r="Y1271" s="357">
        <v>60.18</v>
      </c>
      <c r="Z1271" s="365" t="s">
        <v>3017</v>
      </c>
      <c r="AA1271" s="350">
        <v>149.25</v>
      </c>
      <c r="AB1271" s="349" t="s">
        <v>2685</v>
      </c>
      <c r="AC1271" s="350">
        <v>10</v>
      </c>
      <c r="AD1271" s="349" t="s">
        <v>2685</v>
      </c>
      <c r="AE1271" s="364">
        <v>0</v>
      </c>
      <c r="AF1271" s="366">
        <v>6.4480000000000004</v>
      </c>
      <c r="AG1271" s="363">
        <v>0</v>
      </c>
      <c r="AH1271" s="635" t="s">
        <v>8123</v>
      </c>
      <c r="AL1271" s="487" t="s">
        <v>7212</v>
      </c>
      <c r="AM1271" s="477" t="s">
        <v>70</v>
      </c>
      <c r="AN1271" s="637">
        <v>100</v>
      </c>
      <c r="AO1271" s="478">
        <v>-1570</v>
      </c>
      <c r="AP1271" s="463">
        <v>-1570</v>
      </c>
      <c r="AQ1271" s="479">
        <v>0</v>
      </c>
      <c r="AR1271" s="476" t="s">
        <v>17403</v>
      </c>
      <c r="BA1271" s="313" t="s">
        <v>5521</v>
      </c>
    </row>
    <row r="1272" spans="2:53" ht="16.5" customHeight="1">
      <c r="B1272" s="367" t="s">
        <v>11358</v>
      </c>
      <c r="C1272" s="351" t="s">
        <v>11359</v>
      </c>
      <c r="D1272" s="353">
        <v>-1570</v>
      </c>
      <c r="E1272" s="352" t="s">
        <v>5447</v>
      </c>
      <c r="F1272" s="341">
        <v>79.63</v>
      </c>
      <c r="G1272" s="355" t="s">
        <v>18828</v>
      </c>
      <c r="H1272" s="356" t="s">
        <v>18829</v>
      </c>
      <c r="I1272" s="354" t="s">
        <v>195</v>
      </c>
      <c r="J1272" s="340" t="s">
        <v>7264</v>
      </c>
      <c r="K1272" s="339" t="s">
        <v>71</v>
      </c>
      <c r="L1272" s="357">
        <v>54</v>
      </c>
      <c r="M1272" s="358" t="s">
        <v>11360</v>
      </c>
      <c r="N1272" s="359">
        <v>100</v>
      </c>
      <c r="O1272" s="360" t="s">
        <v>454</v>
      </c>
      <c r="P1272" s="343" t="s">
        <v>454</v>
      </c>
      <c r="Q1272" s="342" t="s">
        <v>2738</v>
      </c>
      <c r="R1272" s="344">
        <v>35</v>
      </c>
      <c r="S1272" s="345">
        <v>25</v>
      </c>
      <c r="T1272" s="362">
        <v>20</v>
      </c>
      <c r="U1272" s="361">
        <v>79.63</v>
      </c>
      <c r="V1272" s="346">
        <v>118.515625</v>
      </c>
      <c r="W1272" s="348">
        <v>118.42241379310344</v>
      </c>
      <c r="X1272" s="347">
        <v>59.82</v>
      </c>
      <c r="Y1272" s="357" t="s">
        <v>408</v>
      </c>
      <c r="Z1272" s="365" t="s">
        <v>3017</v>
      </c>
      <c r="AA1272" s="350">
        <v>19</v>
      </c>
      <c r="AB1272" s="349" t="s">
        <v>2685</v>
      </c>
      <c r="AC1272" s="350">
        <v>0</v>
      </c>
      <c r="AD1272" s="349" t="s">
        <v>2685</v>
      </c>
      <c r="AE1272" s="364">
        <v>0</v>
      </c>
      <c r="AF1272" s="366">
        <v>0</v>
      </c>
      <c r="AG1272" s="363">
        <v>0</v>
      </c>
      <c r="AH1272" s="635" t="s">
        <v>408</v>
      </c>
      <c r="AL1272" s="487" t="s">
        <v>15677</v>
      </c>
      <c r="AM1272" s="477" t="s">
        <v>71</v>
      </c>
      <c r="AN1272" s="637">
        <v>100</v>
      </c>
      <c r="AO1272" s="478">
        <v>-1570</v>
      </c>
      <c r="AP1272" s="463">
        <v>-718</v>
      </c>
      <c r="AQ1272" s="479">
        <v>-852</v>
      </c>
      <c r="AR1272" s="476" t="s">
        <v>17404</v>
      </c>
      <c r="BA1272" s="313" t="s">
        <v>5525</v>
      </c>
    </row>
    <row r="1273" spans="2:53" ht="16.5" customHeight="1">
      <c r="B1273" s="367" t="s">
        <v>5326</v>
      </c>
      <c r="C1273" s="351" t="s">
        <v>5327</v>
      </c>
      <c r="D1273" s="353">
        <v>-1570</v>
      </c>
      <c r="E1273" s="352" t="s">
        <v>408</v>
      </c>
      <c r="F1273" s="341">
        <v>79.62</v>
      </c>
      <c r="G1273" s="355" t="s">
        <v>5225</v>
      </c>
      <c r="H1273" s="356" t="s">
        <v>4934</v>
      </c>
      <c r="I1273" s="354" t="s">
        <v>425</v>
      </c>
      <c r="J1273" s="340" t="s">
        <v>11361</v>
      </c>
      <c r="K1273" s="339" t="s">
        <v>70</v>
      </c>
      <c r="L1273" s="357">
        <v>10</v>
      </c>
      <c r="M1273" s="358" t="s">
        <v>11362</v>
      </c>
      <c r="N1273" s="359">
        <v>1000</v>
      </c>
      <c r="O1273" s="360" t="s">
        <v>454</v>
      </c>
      <c r="P1273" s="343" t="s">
        <v>454</v>
      </c>
      <c r="Q1273" s="342" t="s">
        <v>2738</v>
      </c>
      <c r="R1273" s="344">
        <v>25</v>
      </c>
      <c r="S1273" s="345">
        <v>35</v>
      </c>
      <c r="T1273" s="362">
        <v>20</v>
      </c>
      <c r="U1273" s="361">
        <v>79.62</v>
      </c>
      <c r="V1273" s="346">
        <v>118.50961538461539</v>
      </c>
      <c r="W1273" s="348">
        <v>118.41909814323607</v>
      </c>
      <c r="X1273" s="347">
        <v>59.6</v>
      </c>
      <c r="Y1273" s="357" t="s">
        <v>408</v>
      </c>
      <c r="Z1273" s="365" t="s">
        <v>3017</v>
      </c>
      <c r="AA1273" s="350">
        <v>196</v>
      </c>
      <c r="AB1273" s="349" t="s">
        <v>2685</v>
      </c>
      <c r="AC1273" s="350">
        <v>10</v>
      </c>
      <c r="AD1273" s="349" t="s">
        <v>2685</v>
      </c>
      <c r="AE1273" s="364">
        <v>0</v>
      </c>
      <c r="AF1273" s="366">
        <v>35.829000000000001</v>
      </c>
      <c r="AG1273" s="363">
        <v>0</v>
      </c>
      <c r="AH1273" s="635" t="s">
        <v>10711</v>
      </c>
      <c r="AL1273" s="487" t="s">
        <v>15678</v>
      </c>
      <c r="AM1273" s="477" t="s">
        <v>70</v>
      </c>
      <c r="AN1273" s="637">
        <v>100</v>
      </c>
      <c r="AO1273" s="478">
        <v>-1570</v>
      </c>
      <c r="AP1273" s="463">
        <v>-1570</v>
      </c>
      <c r="AQ1273" s="479">
        <v>0</v>
      </c>
      <c r="AR1273" s="476" t="s">
        <v>17405</v>
      </c>
      <c r="BA1273" s="313" t="s">
        <v>5527</v>
      </c>
    </row>
    <row r="1274" spans="2:53" ht="16.5" customHeight="1">
      <c r="B1274" s="367" t="s">
        <v>11363</v>
      </c>
      <c r="C1274" s="351" t="s">
        <v>11364</v>
      </c>
      <c r="D1274" s="353">
        <v>-1570</v>
      </c>
      <c r="E1274" s="352" t="s">
        <v>408</v>
      </c>
      <c r="F1274" s="341">
        <v>79.59</v>
      </c>
      <c r="G1274" s="355" t="s">
        <v>11365</v>
      </c>
      <c r="H1274" s="356" t="s">
        <v>4942</v>
      </c>
      <c r="I1274" s="354" t="s">
        <v>478</v>
      </c>
      <c r="J1274" s="340" t="s">
        <v>7257</v>
      </c>
      <c r="K1274" s="339" t="s">
        <v>70</v>
      </c>
      <c r="L1274" s="357">
        <v>15</v>
      </c>
      <c r="M1274" s="358" t="s">
        <v>11366</v>
      </c>
      <c r="N1274" s="359">
        <v>1000</v>
      </c>
      <c r="O1274" s="360" t="s">
        <v>532</v>
      </c>
      <c r="P1274" s="343" t="s">
        <v>533</v>
      </c>
      <c r="Q1274" s="342" t="s">
        <v>2688</v>
      </c>
      <c r="R1274" s="344">
        <v>25</v>
      </c>
      <c r="S1274" s="345">
        <v>35</v>
      </c>
      <c r="T1274" s="362">
        <v>25</v>
      </c>
      <c r="U1274" s="361">
        <v>79.59</v>
      </c>
      <c r="V1274" s="346">
        <v>118.49204754075318</v>
      </c>
      <c r="W1274" s="348">
        <v>118.40940553972588</v>
      </c>
      <c r="X1274" s="347">
        <v>59.59</v>
      </c>
      <c r="Y1274" s="357">
        <v>60.16</v>
      </c>
      <c r="Z1274" s="365" t="s">
        <v>3017</v>
      </c>
      <c r="AA1274" s="350">
        <v>149.25</v>
      </c>
      <c r="AB1274" s="349" t="s">
        <v>2685</v>
      </c>
      <c r="AC1274" s="350">
        <v>10</v>
      </c>
      <c r="AD1274" s="349" t="s">
        <v>2685</v>
      </c>
      <c r="AE1274" s="364">
        <v>0</v>
      </c>
      <c r="AF1274" s="366">
        <v>6.4459999999999997</v>
      </c>
      <c r="AG1274" s="363">
        <v>0</v>
      </c>
      <c r="AH1274" s="635" t="s">
        <v>8123</v>
      </c>
      <c r="AL1274" s="487" t="s">
        <v>15679</v>
      </c>
      <c r="AM1274" s="477" t="s">
        <v>70</v>
      </c>
      <c r="AN1274" s="637">
        <v>100</v>
      </c>
      <c r="AO1274" s="478">
        <v>-1570</v>
      </c>
      <c r="AP1274" s="463">
        <v>-1570</v>
      </c>
      <c r="AQ1274" s="479">
        <v>0</v>
      </c>
      <c r="AR1274" s="476" t="s">
        <v>17406</v>
      </c>
      <c r="BA1274" s="313" t="s">
        <v>5529</v>
      </c>
    </row>
    <row r="1275" spans="2:53" ht="16.5" customHeight="1">
      <c r="B1275" s="367" t="s">
        <v>11367</v>
      </c>
      <c r="C1275" s="351" t="s">
        <v>11368</v>
      </c>
      <c r="D1275" s="353">
        <v>-1570</v>
      </c>
      <c r="E1275" s="352" t="s">
        <v>11369</v>
      </c>
      <c r="F1275" s="341">
        <v>79.56</v>
      </c>
      <c r="G1275" s="355" t="s">
        <v>5416</v>
      </c>
      <c r="H1275" s="356" t="s">
        <v>10808</v>
      </c>
      <c r="I1275" s="354" t="s">
        <v>446</v>
      </c>
      <c r="J1275" s="340" t="s">
        <v>11370</v>
      </c>
      <c r="K1275" s="339" t="s">
        <v>71</v>
      </c>
      <c r="L1275" s="357">
        <v>7</v>
      </c>
      <c r="M1275" s="358" t="s">
        <v>6244</v>
      </c>
      <c r="N1275" s="359">
        <v>1000</v>
      </c>
      <c r="O1275" s="360" t="s">
        <v>454</v>
      </c>
      <c r="P1275" s="343" t="s">
        <v>454</v>
      </c>
      <c r="Q1275" s="342" t="s">
        <v>2688</v>
      </c>
      <c r="R1275" s="344">
        <v>25</v>
      </c>
      <c r="S1275" s="345">
        <v>35</v>
      </c>
      <c r="T1275" s="362">
        <v>30</v>
      </c>
      <c r="U1275" s="361">
        <v>79.56</v>
      </c>
      <c r="V1275" s="346">
        <v>118.47222222222223</v>
      </c>
      <c r="W1275" s="348">
        <v>118.39846743295018</v>
      </c>
      <c r="X1275" s="347">
        <v>59.79</v>
      </c>
      <c r="Y1275" s="357" t="s">
        <v>408</v>
      </c>
      <c r="Z1275" s="365" t="s">
        <v>3017</v>
      </c>
      <c r="AA1275" s="350">
        <v>98</v>
      </c>
      <c r="AB1275" s="349" t="s">
        <v>2685</v>
      </c>
      <c r="AC1275" s="350">
        <v>0</v>
      </c>
      <c r="AD1275" s="349" t="s">
        <v>2685</v>
      </c>
      <c r="AE1275" s="364">
        <v>0</v>
      </c>
      <c r="AF1275" s="366">
        <v>0</v>
      </c>
      <c r="AG1275" s="363">
        <v>0</v>
      </c>
      <c r="AH1275" s="635" t="s">
        <v>408</v>
      </c>
      <c r="AL1275" s="487" t="s">
        <v>15680</v>
      </c>
      <c r="AM1275" s="477" t="s">
        <v>71</v>
      </c>
      <c r="AN1275" s="637">
        <v>100</v>
      </c>
      <c r="AO1275" s="478">
        <v>-1570</v>
      </c>
      <c r="AP1275" s="463">
        <v>-718</v>
      </c>
      <c r="AQ1275" s="479">
        <v>-852</v>
      </c>
      <c r="AR1275" s="476" t="s">
        <v>17407</v>
      </c>
      <c r="BA1275" s="313" t="s">
        <v>5530</v>
      </c>
    </row>
    <row r="1276" spans="2:53" ht="16.5" customHeight="1">
      <c r="B1276" s="367" t="s">
        <v>5265</v>
      </c>
      <c r="C1276" s="351" t="s">
        <v>5266</v>
      </c>
      <c r="D1276" s="353">
        <v>-1570</v>
      </c>
      <c r="E1276" s="352" t="s">
        <v>11310</v>
      </c>
      <c r="F1276" s="341">
        <v>79.540000000000006</v>
      </c>
      <c r="G1276" s="355" t="s">
        <v>5421</v>
      </c>
      <c r="H1276" s="356" t="s">
        <v>18755</v>
      </c>
      <c r="I1276" s="354" t="s">
        <v>215</v>
      </c>
      <c r="J1276" s="340" t="s">
        <v>8953</v>
      </c>
      <c r="K1276" s="339" t="s">
        <v>71</v>
      </c>
      <c r="L1276" s="357">
        <v>6</v>
      </c>
      <c r="M1276" s="358" t="s">
        <v>11372</v>
      </c>
      <c r="N1276" s="359">
        <v>1000</v>
      </c>
      <c r="O1276" s="360" t="s">
        <v>530</v>
      </c>
      <c r="P1276" s="343" t="s">
        <v>531</v>
      </c>
      <c r="Q1276" s="342" t="s">
        <v>2688</v>
      </c>
      <c r="R1276" s="344">
        <v>38</v>
      </c>
      <c r="S1276" s="345">
        <v>25</v>
      </c>
      <c r="T1276" s="362">
        <v>25</v>
      </c>
      <c r="U1276" s="361">
        <v>79.540000000000006</v>
      </c>
      <c r="V1276" s="346">
        <v>118.4605719808461</v>
      </c>
      <c r="W1276" s="348">
        <v>118.39203971357026</v>
      </c>
      <c r="X1276" s="347">
        <v>59.79</v>
      </c>
      <c r="Y1276" s="357">
        <v>60.29</v>
      </c>
      <c r="Z1276" s="365" t="s">
        <v>3017</v>
      </c>
      <c r="AA1276" s="350">
        <v>121.25</v>
      </c>
      <c r="AB1276" s="349" t="s">
        <v>2685</v>
      </c>
      <c r="AC1276" s="350">
        <v>10</v>
      </c>
      <c r="AD1276" s="349" t="s">
        <v>2685</v>
      </c>
      <c r="AE1276" s="364">
        <v>0</v>
      </c>
      <c r="AF1276" s="366">
        <v>0</v>
      </c>
      <c r="AG1276" s="363">
        <v>0</v>
      </c>
      <c r="AH1276" s="635" t="s">
        <v>8002</v>
      </c>
      <c r="AL1276" s="487" t="s">
        <v>15681</v>
      </c>
      <c r="AM1276" s="477" t="s">
        <v>71</v>
      </c>
      <c r="AN1276" s="637">
        <v>100</v>
      </c>
      <c r="AO1276" s="478">
        <v>-1570</v>
      </c>
      <c r="AP1276" s="463">
        <v>-718</v>
      </c>
      <c r="AQ1276" s="479">
        <v>-852</v>
      </c>
      <c r="AR1276" s="476" t="s">
        <v>17408</v>
      </c>
      <c r="BA1276" s="313" t="s">
        <v>5531</v>
      </c>
    </row>
    <row r="1277" spans="2:53" ht="16.5" customHeight="1">
      <c r="B1277" s="367" t="s">
        <v>11373</v>
      </c>
      <c r="C1277" s="351" t="s">
        <v>11374</v>
      </c>
      <c r="D1277" s="353">
        <v>-1570</v>
      </c>
      <c r="E1277" s="352" t="s">
        <v>408</v>
      </c>
      <c r="F1277" s="341">
        <v>79.53</v>
      </c>
      <c r="G1277" s="355" t="s">
        <v>11375</v>
      </c>
      <c r="H1277" s="356" t="s">
        <v>18829</v>
      </c>
      <c r="I1277" s="354" t="s">
        <v>215</v>
      </c>
      <c r="J1277" s="340" t="s">
        <v>551</v>
      </c>
      <c r="K1277" s="339" t="s">
        <v>70</v>
      </c>
      <c r="L1277" s="357">
        <v>7</v>
      </c>
      <c r="M1277" s="358" t="s">
        <v>11376</v>
      </c>
      <c r="N1277" s="359">
        <v>1000</v>
      </c>
      <c r="O1277" s="360" t="s">
        <v>530</v>
      </c>
      <c r="P1277" s="343" t="s">
        <v>531</v>
      </c>
      <c r="Q1277" s="342" t="s">
        <v>2688</v>
      </c>
      <c r="R1277" s="344">
        <v>25</v>
      </c>
      <c r="S1277" s="345">
        <v>38</v>
      </c>
      <c r="T1277" s="362">
        <v>25</v>
      </c>
      <c r="U1277" s="361">
        <v>79.53</v>
      </c>
      <c r="V1277" s="346">
        <v>118.45726848035176</v>
      </c>
      <c r="W1277" s="348">
        <v>118.39021709260787</v>
      </c>
      <c r="X1277" s="347">
        <v>59.58</v>
      </c>
      <c r="Y1277" s="357">
        <v>59.97</v>
      </c>
      <c r="Z1277" s="365" t="s">
        <v>3017</v>
      </c>
      <c r="AA1277" s="350">
        <v>121.25</v>
      </c>
      <c r="AB1277" s="349" t="s">
        <v>2685</v>
      </c>
      <c r="AC1277" s="350">
        <v>10</v>
      </c>
      <c r="AD1277" s="349" t="s">
        <v>2685</v>
      </c>
      <c r="AE1277" s="364">
        <v>0</v>
      </c>
      <c r="AF1277" s="366">
        <v>0</v>
      </c>
      <c r="AG1277" s="363">
        <v>0</v>
      </c>
      <c r="AH1277" s="635" t="s">
        <v>408</v>
      </c>
      <c r="AL1277" s="487" t="s">
        <v>15682</v>
      </c>
      <c r="AM1277" s="477" t="s">
        <v>70</v>
      </c>
      <c r="AN1277" s="637">
        <v>100</v>
      </c>
      <c r="AO1277" s="478">
        <v>-1570</v>
      </c>
      <c r="AP1277" s="463">
        <v>-1570</v>
      </c>
      <c r="AQ1277" s="479">
        <v>0</v>
      </c>
      <c r="AR1277" s="476" t="s">
        <v>17409</v>
      </c>
      <c r="BA1277" s="313" t="s">
        <v>5535</v>
      </c>
    </row>
    <row r="1278" spans="2:53" ht="16.5" customHeight="1">
      <c r="B1278" s="367" t="s">
        <v>5343</v>
      </c>
      <c r="C1278" s="351" t="s">
        <v>5344</v>
      </c>
      <c r="D1278" s="353">
        <v>-1570</v>
      </c>
      <c r="E1278" s="352" t="s">
        <v>408</v>
      </c>
      <c r="F1278" s="341">
        <v>79.510000000000005</v>
      </c>
      <c r="G1278" s="355" t="s">
        <v>11377</v>
      </c>
      <c r="H1278" s="356" t="s">
        <v>10771</v>
      </c>
      <c r="I1278" s="354" t="s">
        <v>479</v>
      </c>
      <c r="J1278" s="340" t="s">
        <v>11378</v>
      </c>
      <c r="K1278" s="339" t="s">
        <v>70</v>
      </c>
      <c r="L1278" s="357">
        <v>13</v>
      </c>
      <c r="M1278" s="358" t="s">
        <v>11047</v>
      </c>
      <c r="N1278" s="359">
        <v>500</v>
      </c>
      <c r="O1278" s="360" t="s">
        <v>454</v>
      </c>
      <c r="P1278" s="343" t="s">
        <v>454</v>
      </c>
      <c r="Q1278" s="342" t="s">
        <v>2688</v>
      </c>
      <c r="R1278" s="344">
        <v>20</v>
      </c>
      <c r="S1278" s="345">
        <v>30</v>
      </c>
      <c r="T1278" s="362">
        <v>30</v>
      </c>
      <c r="U1278" s="361">
        <v>79.510000000000005</v>
      </c>
      <c r="V1278" s="346">
        <v>118.44512195121952</v>
      </c>
      <c r="W1278" s="348">
        <v>118.38351555929353</v>
      </c>
      <c r="X1278" s="347">
        <v>59.57</v>
      </c>
      <c r="Y1278" s="357" t="s">
        <v>408</v>
      </c>
      <c r="Z1278" s="365" t="s">
        <v>3017</v>
      </c>
      <c r="AA1278" s="350">
        <v>97</v>
      </c>
      <c r="AB1278" s="349" t="s">
        <v>2685</v>
      </c>
      <c r="AC1278" s="350">
        <v>2</v>
      </c>
      <c r="AD1278" s="349" t="s">
        <v>2685</v>
      </c>
      <c r="AE1278" s="364">
        <v>0</v>
      </c>
      <c r="AF1278" s="366">
        <v>7.9509999999999996</v>
      </c>
      <c r="AG1278" s="363">
        <v>0</v>
      </c>
      <c r="AH1278" s="635" t="s">
        <v>10953</v>
      </c>
      <c r="AL1278" s="487" t="s">
        <v>15683</v>
      </c>
      <c r="AM1278" s="477" t="s">
        <v>70</v>
      </c>
      <c r="AN1278" s="637">
        <v>100</v>
      </c>
      <c r="AO1278" s="478">
        <v>-1570</v>
      </c>
      <c r="AP1278" s="463">
        <v>-1570</v>
      </c>
      <c r="AQ1278" s="479">
        <v>0</v>
      </c>
      <c r="AR1278" s="476" t="s">
        <v>17410</v>
      </c>
      <c r="BA1278" s="313" t="s">
        <v>5537</v>
      </c>
    </row>
    <row r="1279" spans="2:53" ht="16.5" customHeight="1">
      <c r="B1279" s="367" t="s">
        <v>5349</v>
      </c>
      <c r="C1279" s="351" t="s">
        <v>5350</v>
      </c>
      <c r="D1279" s="353">
        <v>-1570</v>
      </c>
      <c r="E1279" s="352" t="s">
        <v>11379</v>
      </c>
      <c r="F1279" s="341">
        <v>79.5</v>
      </c>
      <c r="G1279" s="355" t="s">
        <v>5428</v>
      </c>
      <c r="H1279" s="356" t="s">
        <v>4927</v>
      </c>
      <c r="I1279" s="354" t="s">
        <v>195</v>
      </c>
      <c r="J1279" s="340" t="s">
        <v>11380</v>
      </c>
      <c r="K1279" s="339" t="s">
        <v>71</v>
      </c>
      <c r="L1279" s="357">
        <v>15</v>
      </c>
      <c r="M1279" s="358" t="s">
        <v>11381</v>
      </c>
      <c r="N1279" s="359">
        <v>100</v>
      </c>
      <c r="O1279" s="360" t="s">
        <v>454</v>
      </c>
      <c r="P1279" s="343" t="s">
        <v>454</v>
      </c>
      <c r="Q1279" s="342" t="s">
        <v>2738</v>
      </c>
      <c r="R1279" s="344">
        <v>35</v>
      </c>
      <c r="S1279" s="345">
        <v>25</v>
      </c>
      <c r="T1279" s="362">
        <v>20</v>
      </c>
      <c r="U1279" s="361">
        <v>79.5</v>
      </c>
      <c r="V1279" s="346">
        <v>118.4375</v>
      </c>
      <c r="W1279" s="348">
        <v>118.37931034482759</v>
      </c>
      <c r="X1279" s="347">
        <v>59.78</v>
      </c>
      <c r="Y1279" s="357" t="s">
        <v>408</v>
      </c>
      <c r="Z1279" s="365" t="s">
        <v>3017</v>
      </c>
      <c r="AA1279" s="350">
        <v>19</v>
      </c>
      <c r="AB1279" s="349" t="s">
        <v>2685</v>
      </c>
      <c r="AC1279" s="350">
        <v>0</v>
      </c>
      <c r="AD1279" s="349" t="s">
        <v>2685</v>
      </c>
      <c r="AE1279" s="364">
        <v>0</v>
      </c>
      <c r="AF1279" s="366">
        <v>0</v>
      </c>
      <c r="AG1279" s="363">
        <v>0</v>
      </c>
      <c r="AH1279" s="635" t="s">
        <v>408</v>
      </c>
      <c r="AL1279" s="487" t="s">
        <v>15684</v>
      </c>
      <c r="AM1279" s="477" t="s">
        <v>71</v>
      </c>
      <c r="AN1279" s="637">
        <v>100</v>
      </c>
      <c r="AO1279" s="478">
        <v>-1570</v>
      </c>
      <c r="AP1279" s="463">
        <v>-718</v>
      </c>
      <c r="AQ1279" s="479">
        <v>-852</v>
      </c>
      <c r="AR1279" s="476" t="s">
        <v>17411</v>
      </c>
      <c r="BA1279" s="313" t="s">
        <v>5538</v>
      </c>
    </row>
    <row r="1280" spans="2:53" ht="16.5" customHeight="1">
      <c r="B1280" s="367" t="s">
        <v>5349</v>
      </c>
      <c r="C1280" s="351" t="s">
        <v>5350</v>
      </c>
      <c r="D1280" s="353">
        <v>-1570</v>
      </c>
      <c r="E1280" s="352" t="s">
        <v>11379</v>
      </c>
      <c r="F1280" s="341">
        <v>79.5</v>
      </c>
      <c r="G1280" s="355" t="s">
        <v>5428</v>
      </c>
      <c r="H1280" s="356" t="s">
        <v>4927</v>
      </c>
      <c r="I1280" s="354" t="s">
        <v>425</v>
      </c>
      <c r="J1280" s="340" t="s">
        <v>11382</v>
      </c>
      <c r="K1280" s="339" t="s">
        <v>71</v>
      </c>
      <c r="L1280" s="357">
        <v>10</v>
      </c>
      <c r="M1280" s="358" t="s">
        <v>5133</v>
      </c>
      <c r="N1280" s="359">
        <v>1000</v>
      </c>
      <c r="O1280" s="360" t="s">
        <v>454</v>
      </c>
      <c r="P1280" s="343" t="s">
        <v>454</v>
      </c>
      <c r="Q1280" s="342" t="s">
        <v>2738</v>
      </c>
      <c r="R1280" s="344">
        <v>35</v>
      </c>
      <c r="S1280" s="345">
        <v>25</v>
      </c>
      <c r="T1280" s="362">
        <v>20</v>
      </c>
      <c r="U1280" s="361">
        <v>79.5</v>
      </c>
      <c r="V1280" s="346">
        <v>118.4375</v>
      </c>
      <c r="W1280" s="348">
        <v>118.37931034482759</v>
      </c>
      <c r="X1280" s="347">
        <v>59.78</v>
      </c>
      <c r="Y1280" s="357" t="s">
        <v>408</v>
      </c>
      <c r="Z1280" s="365" t="s">
        <v>3017</v>
      </c>
      <c r="AA1280" s="350">
        <v>196</v>
      </c>
      <c r="AB1280" s="349" t="s">
        <v>2685</v>
      </c>
      <c r="AC1280" s="350">
        <v>10</v>
      </c>
      <c r="AD1280" s="349" t="s">
        <v>2685</v>
      </c>
      <c r="AE1280" s="364">
        <v>0</v>
      </c>
      <c r="AF1280" s="366">
        <v>0</v>
      </c>
      <c r="AG1280" s="363">
        <v>0</v>
      </c>
      <c r="AH1280" s="635" t="s">
        <v>408</v>
      </c>
      <c r="AL1280" s="487" t="s">
        <v>15685</v>
      </c>
      <c r="AM1280" s="477" t="s">
        <v>71</v>
      </c>
      <c r="AN1280" s="637">
        <v>100</v>
      </c>
      <c r="AO1280" s="478">
        <v>-1570</v>
      </c>
      <c r="AP1280" s="463">
        <v>-718</v>
      </c>
      <c r="AQ1280" s="479">
        <v>-852</v>
      </c>
      <c r="AR1280" s="476" t="s">
        <v>17411</v>
      </c>
      <c r="BA1280" s="313" t="s">
        <v>5543</v>
      </c>
    </row>
    <row r="1281" spans="2:53" ht="16.5" customHeight="1">
      <c r="B1281" s="367" t="s">
        <v>5274</v>
      </c>
      <c r="C1281" s="351" t="s">
        <v>5275</v>
      </c>
      <c r="D1281" s="353">
        <v>-1570</v>
      </c>
      <c r="E1281" s="352" t="s">
        <v>11383</v>
      </c>
      <c r="F1281" s="341">
        <v>79.48</v>
      </c>
      <c r="G1281" s="355" t="s">
        <v>18830</v>
      </c>
      <c r="H1281" s="356" t="s">
        <v>10841</v>
      </c>
      <c r="I1281" s="354" t="s">
        <v>215</v>
      </c>
      <c r="J1281" s="340" t="s">
        <v>542</v>
      </c>
      <c r="K1281" s="339" t="s">
        <v>71</v>
      </c>
      <c r="L1281" s="357">
        <v>4</v>
      </c>
      <c r="M1281" s="358" t="s">
        <v>11384</v>
      </c>
      <c r="N1281" s="359">
        <v>1000</v>
      </c>
      <c r="O1281" s="360" t="s">
        <v>530</v>
      </c>
      <c r="P1281" s="343" t="s">
        <v>531</v>
      </c>
      <c r="Q1281" s="342" t="s">
        <v>2688</v>
      </c>
      <c r="R1281" s="344">
        <v>38</v>
      </c>
      <c r="S1281" s="345">
        <v>25</v>
      </c>
      <c r="T1281" s="362">
        <v>25</v>
      </c>
      <c r="U1281" s="361">
        <v>79.48</v>
      </c>
      <c r="V1281" s="346">
        <v>118.42235206255765</v>
      </c>
      <c r="W1281" s="348">
        <v>118.37095286210076</v>
      </c>
      <c r="X1281" s="347">
        <v>59.77</v>
      </c>
      <c r="Y1281" s="357">
        <v>60.269999999999996</v>
      </c>
      <c r="Z1281" s="365" t="s">
        <v>3017</v>
      </c>
      <c r="AA1281" s="350">
        <v>121.25</v>
      </c>
      <c r="AB1281" s="349" t="s">
        <v>2685</v>
      </c>
      <c r="AC1281" s="350">
        <v>10</v>
      </c>
      <c r="AD1281" s="349" t="s">
        <v>2685</v>
      </c>
      <c r="AE1281" s="364">
        <v>0</v>
      </c>
      <c r="AF1281" s="366">
        <v>0</v>
      </c>
      <c r="AG1281" s="363">
        <v>0</v>
      </c>
      <c r="AH1281" s="635" t="s">
        <v>8002</v>
      </c>
      <c r="AL1281" s="487" t="s">
        <v>15686</v>
      </c>
      <c r="AM1281" s="477" t="s">
        <v>71</v>
      </c>
      <c r="AN1281" s="637">
        <v>100</v>
      </c>
      <c r="AO1281" s="478">
        <v>-1570</v>
      </c>
      <c r="AP1281" s="463">
        <v>-717</v>
      </c>
      <c r="AQ1281" s="479">
        <v>-853</v>
      </c>
      <c r="AR1281" s="476" t="s">
        <v>17412</v>
      </c>
      <c r="BA1281" s="313" t="s">
        <v>5545</v>
      </c>
    </row>
    <row r="1282" spans="2:53" ht="16.5" customHeight="1">
      <c r="B1282" s="367" t="s">
        <v>5352</v>
      </c>
      <c r="C1282" s="351" t="s">
        <v>5353</v>
      </c>
      <c r="D1282" s="353">
        <v>-1570</v>
      </c>
      <c r="E1282" s="352" t="s">
        <v>408</v>
      </c>
      <c r="F1282" s="341">
        <v>79.47</v>
      </c>
      <c r="G1282" s="355" t="s">
        <v>5245</v>
      </c>
      <c r="H1282" s="356" t="s">
        <v>18831</v>
      </c>
      <c r="I1282" s="354" t="s">
        <v>215</v>
      </c>
      <c r="J1282" s="340" t="s">
        <v>11386</v>
      </c>
      <c r="K1282" s="339" t="s">
        <v>70</v>
      </c>
      <c r="L1282" s="357">
        <v>9</v>
      </c>
      <c r="M1282" s="358" t="s">
        <v>11387</v>
      </c>
      <c r="N1282" s="359">
        <v>1000</v>
      </c>
      <c r="O1282" s="360" t="s">
        <v>530</v>
      </c>
      <c r="P1282" s="343" t="s">
        <v>531</v>
      </c>
      <c r="Q1282" s="342" t="s">
        <v>2688</v>
      </c>
      <c r="R1282" s="344">
        <v>25</v>
      </c>
      <c r="S1282" s="345">
        <v>38</v>
      </c>
      <c r="T1282" s="362">
        <v>25</v>
      </c>
      <c r="U1282" s="361">
        <v>79.47</v>
      </c>
      <c r="V1282" s="346">
        <v>118.41742236878265</v>
      </c>
      <c r="W1282" s="348">
        <v>118.3682330310525</v>
      </c>
      <c r="X1282" s="347">
        <v>59.56</v>
      </c>
      <c r="Y1282" s="357">
        <v>59.949999999999996</v>
      </c>
      <c r="Z1282" s="365" t="s">
        <v>3017</v>
      </c>
      <c r="AA1282" s="350">
        <v>121.25</v>
      </c>
      <c r="AB1282" s="349" t="s">
        <v>2685</v>
      </c>
      <c r="AC1282" s="350">
        <v>10</v>
      </c>
      <c r="AD1282" s="349" t="s">
        <v>2685</v>
      </c>
      <c r="AE1282" s="364">
        <v>0</v>
      </c>
      <c r="AF1282" s="366">
        <v>0</v>
      </c>
      <c r="AG1282" s="363">
        <v>0</v>
      </c>
      <c r="AH1282" s="635" t="s">
        <v>408</v>
      </c>
      <c r="AL1282" s="487" t="s">
        <v>15687</v>
      </c>
      <c r="AM1282" s="477" t="s">
        <v>70</v>
      </c>
      <c r="AN1282" s="637">
        <v>100</v>
      </c>
      <c r="AO1282" s="478">
        <v>-1570</v>
      </c>
      <c r="AP1282" s="463">
        <v>-1570</v>
      </c>
      <c r="AQ1282" s="479">
        <v>0</v>
      </c>
      <c r="AR1282" s="476" t="s">
        <v>17413</v>
      </c>
      <c r="BA1282" s="313" t="s">
        <v>5546</v>
      </c>
    </row>
    <row r="1283" spans="2:53" ht="16.5" customHeight="1">
      <c r="B1283" s="367" t="s">
        <v>11388</v>
      </c>
      <c r="C1283" s="351" t="s">
        <v>11389</v>
      </c>
      <c r="D1283" s="353">
        <v>-1570</v>
      </c>
      <c r="E1283" s="352" t="s">
        <v>5428</v>
      </c>
      <c r="F1283" s="341">
        <v>79.44</v>
      </c>
      <c r="G1283" s="355" t="s">
        <v>5211</v>
      </c>
      <c r="H1283" s="356" t="s">
        <v>10985</v>
      </c>
      <c r="I1283" s="354" t="s">
        <v>215</v>
      </c>
      <c r="J1283" s="340" t="s">
        <v>8107</v>
      </c>
      <c r="K1283" s="339" t="s">
        <v>71</v>
      </c>
      <c r="L1283" s="357">
        <v>6</v>
      </c>
      <c r="M1283" s="358" t="s">
        <v>11332</v>
      </c>
      <c r="N1283" s="359">
        <v>1000</v>
      </c>
      <c r="O1283" s="360" t="s">
        <v>530</v>
      </c>
      <c r="P1283" s="343" t="s">
        <v>531</v>
      </c>
      <c r="Q1283" s="342" t="s">
        <v>2688</v>
      </c>
      <c r="R1283" s="344">
        <v>38</v>
      </c>
      <c r="S1283" s="345">
        <v>25</v>
      </c>
      <c r="T1283" s="362">
        <v>25</v>
      </c>
      <c r="U1283" s="361">
        <v>79.44</v>
      </c>
      <c r="V1283" s="346">
        <v>118.40196810613716</v>
      </c>
      <c r="W1283" s="348">
        <v>118.35970654131705</v>
      </c>
      <c r="X1283" s="347">
        <v>59.76</v>
      </c>
      <c r="Y1283" s="357">
        <v>60.25</v>
      </c>
      <c r="Z1283" s="365" t="s">
        <v>3017</v>
      </c>
      <c r="AA1283" s="350">
        <v>121.25</v>
      </c>
      <c r="AB1283" s="349" t="s">
        <v>2685</v>
      </c>
      <c r="AC1283" s="350">
        <v>10</v>
      </c>
      <c r="AD1283" s="349" t="s">
        <v>2685</v>
      </c>
      <c r="AE1283" s="364">
        <v>0</v>
      </c>
      <c r="AF1283" s="366">
        <v>0</v>
      </c>
      <c r="AG1283" s="363">
        <v>0</v>
      </c>
      <c r="AH1283" s="635" t="s">
        <v>8002</v>
      </c>
      <c r="AL1283" s="487" t="s">
        <v>15688</v>
      </c>
      <c r="AM1283" s="477" t="s">
        <v>71</v>
      </c>
      <c r="AN1283" s="637">
        <v>100</v>
      </c>
      <c r="AO1283" s="478">
        <v>-1570</v>
      </c>
      <c r="AP1283" s="463">
        <v>-717</v>
      </c>
      <c r="AQ1283" s="479">
        <v>-853</v>
      </c>
      <c r="AR1283" s="476" t="s">
        <v>17414</v>
      </c>
      <c r="BA1283" s="313" t="s">
        <v>5549</v>
      </c>
    </row>
    <row r="1284" spans="2:53" ht="16.5" customHeight="1">
      <c r="B1284" s="367" t="s">
        <v>5366</v>
      </c>
      <c r="C1284" s="351" t="s">
        <v>5367</v>
      </c>
      <c r="D1284" s="353">
        <v>-1570</v>
      </c>
      <c r="E1284" s="352" t="s">
        <v>11390</v>
      </c>
      <c r="F1284" s="341">
        <v>79.44</v>
      </c>
      <c r="G1284" s="355" t="s">
        <v>5211</v>
      </c>
      <c r="H1284" s="356" t="s">
        <v>10985</v>
      </c>
      <c r="I1284" s="354" t="s">
        <v>478</v>
      </c>
      <c r="J1284" s="340" t="s">
        <v>414</v>
      </c>
      <c r="K1284" s="339" t="s">
        <v>71</v>
      </c>
      <c r="L1284" s="357">
        <v>11</v>
      </c>
      <c r="M1284" s="358" t="s">
        <v>11391</v>
      </c>
      <c r="N1284" s="359">
        <v>1000</v>
      </c>
      <c r="O1284" s="360" t="s">
        <v>532</v>
      </c>
      <c r="P1284" s="343" t="s">
        <v>533</v>
      </c>
      <c r="Q1284" s="342" t="s">
        <v>2688</v>
      </c>
      <c r="R1284" s="344">
        <v>30</v>
      </c>
      <c r="S1284" s="345">
        <v>30</v>
      </c>
      <c r="T1284" s="362">
        <v>25</v>
      </c>
      <c r="U1284" s="361">
        <v>79.44</v>
      </c>
      <c r="V1284" s="346">
        <v>118.40156770958457</v>
      </c>
      <c r="W1284" s="348">
        <v>118.35948563287424</v>
      </c>
      <c r="X1284" s="347">
        <v>59.76</v>
      </c>
      <c r="Y1284" s="357">
        <v>60.1</v>
      </c>
      <c r="Z1284" s="365" t="s">
        <v>3017</v>
      </c>
      <c r="AA1284" s="350">
        <v>149.25</v>
      </c>
      <c r="AB1284" s="349" t="s">
        <v>2685</v>
      </c>
      <c r="AC1284" s="350">
        <v>10</v>
      </c>
      <c r="AD1284" s="349" t="s">
        <v>2685</v>
      </c>
      <c r="AE1284" s="364">
        <v>0</v>
      </c>
      <c r="AF1284" s="366">
        <v>6.4390000000000001</v>
      </c>
      <c r="AG1284" s="363">
        <v>0</v>
      </c>
      <c r="AH1284" s="635" t="s">
        <v>11081</v>
      </c>
      <c r="AL1284" s="487" t="s">
        <v>7209</v>
      </c>
      <c r="AM1284" s="477" t="s">
        <v>71</v>
      </c>
      <c r="AN1284" s="637">
        <v>100</v>
      </c>
      <c r="AO1284" s="478">
        <v>-1570</v>
      </c>
      <c r="AP1284" s="463">
        <v>-717</v>
      </c>
      <c r="AQ1284" s="479">
        <v>-853</v>
      </c>
      <c r="AR1284" s="476" t="s">
        <v>17414</v>
      </c>
      <c r="BA1284" s="313" t="s">
        <v>5551</v>
      </c>
    </row>
    <row r="1285" spans="2:53" ht="16.5" customHeight="1">
      <c r="B1285" s="367" t="s">
        <v>5366</v>
      </c>
      <c r="C1285" s="351" t="s">
        <v>5367</v>
      </c>
      <c r="D1285" s="353">
        <v>-1570</v>
      </c>
      <c r="E1285" s="352" t="s">
        <v>11392</v>
      </c>
      <c r="F1285" s="341">
        <v>79.44</v>
      </c>
      <c r="G1285" s="355" t="s">
        <v>11371</v>
      </c>
      <c r="H1285" s="356" t="s">
        <v>4971</v>
      </c>
      <c r="I1285" s="354" t="s">
        <v>422</v>
      </c>
      <c r="J1285" s="340" t="s">
        <v>8974</v>
      </c>
      <c r="K1285" s="339" t="s">
        <v>71</v>
      </c>
      <c r="L1285" s="357">
        <v>9</v>
      </c>
      <c r="M1285" s="358" t="s">
        <v>11350</v>
      </c>
      <c r="N1285" s="359">
        <v>1000</v>
      </c>
      <c r="O1285" s="360" t="s">
        <v>454</v>
      </c>
      <c r="P1285" s="343" t="s">
        <v>454</v>
      </c>
      <c r="Q1285" s="342" t="s">
        <v>2688</v>
      </c>
      <c r="R1285" s="344">
        <v>35</v>
      </c>
      <c r="S1285" s="345">
        <v>25</v>
      </c>
      <c r="T1285" s="362">
        <v>20</v>
      </c>
      <c r="U1285" s="361">
        <v>79.44</v>
      </c>
      <c r="V1285" s="346">
        <v>118.3984375</v>
      </c>
      <c r="W1285" s="348">
        <v>118.35775862068965</v>
      </c>
      <c r="X1285" s="347">
        <v>59.76</v>
      </c>
      <c r="Y1285" s="357" t="s">
        <v>408</v>
      </c>
      <c r="Z1285" s="365" t="s">
        <v>3017</v>
      </c>
      <c r="AA1285" s="350">
        <v>196</v>
      </c>
      <c r="AB1285" s="349" t="s">
        <v>2685</v>
      </c>
      <c r="AC1285" s="350">
        <v>5</v>
      </c>
      <c r="AD1285" s="349" t="s">
        <v>2685</v>
      </c>
      <c r="AE1285" s="364">
        <v>0</v>
      </c>
      <c r="AF1285" s="366">
        <v>0</v>
      </c>
      <c r="AG1285" s="363">
        <v>0</v>
      </c>
      <c r="AH1285" s="635" t="s">
        <v>408</v>
      </c>
      <c r="AL1285" s="487" t="s">
        <v>15689</v>
      </c>
      <c r="AM1285" s="477" t="s">
        <v>71</v>
      </c>
      <c r="AN1285" s="637">
        <v>100</v>
      </c>
      <c r="AO1285" s="478">
        <v>-1570</v>
      </c>
      <c r="AP1285" s="463">
        <v>-717</v>
      </c>
      <c r="AQ1285" s="479">
        <v>-853</v>
      </c>
      <c r="AR1285" s="476" t="s">
        <v>17415</v>
      </c>
      <c r="BA1285" s="313" t="s">
        <v>5552</v>
      </c>
    </row>
    <row r="1286" spans="2:53" ht="16.5" customHeight="1">
      <c r="B1286" s="367" t="s">
        <v>11393</v>
      </c>
      <c r="C1286" s="351" t="s">
        <v>11394</v>
      </c>
      <c r="D1286" s="353">
        <v>-1570</v>
      </c>
      <c r="E1286" s="352" t="s">
        <v>408</v>
      </c>
      <c r="F1286" s="341">
        <v>79.400000000000006</v>
      </c>
      <c r="G1286" s="355" t="s">
        <v>11395</v>
      </c>
      <c r="H1286" s="356" t="s">
        <v>4909</v>
      </c>
      <c r="I1286" s="354" t="s">
        <v>209</v>
      </c>
      <c r="J1286" s="340" t="s">
        <v>8744</v>
      </c>
      <c r="K1286" s="339" t="s">
        <v>70</v>
      </c>
      <c r="L1286" s="357">
        <v>20</v>
      </c>
      <c r="M1286" s="358" t="s">
        <v>4800</v>
      </c>
      <c r="N1286" s="359">
        <v>1000</v>
      </c>
      <c r="O1286" s="360" t="s">
        <v>530</v>
      </c>
      <c r="P1286" s="343" t="s">
        <v>530</v>
      </c>
      <c r="Q1286" s="342" t="s">
        <v>2688</v>
      </c>
      <c r="R1286" s="344">
        <v>20</v>
      </c>
      <c r="S1286" s="345">
        <v>30</v>
      </c>
      <c r="T1286" s="362">
        <v>30</v>
      </c>
      <c r="U1286" s="361">
        <v>79.400000000000006</v>
      </c>
      <c r="V1286" s="346">
        <v>118.37349399608573</v>
      </c>
      <c r="W1286" s="348">
        <v>118.34399668749556</v>
      </c>
      <c r="X1286" s="347">
        <v>59.54</v>
      </c>
      <c r="Y1286" s="357" t="s">
        <v>408</v>
      </c>
      <c r="Z1286" s="365" t="s">
        <v>3017</v>
      </c>
      <c r="AA1286" s="350">
        <v>198</v>
      </c>
      <c r="AB1286" s="349" t="s">
        <v>2685</v>
      </c>
      <c r="AC1286" s="350">
        <v>10</v>
      </c>
      <c r="AD1286" s="349" t="s">
        <v>2685</v>
      </c>
      <c r="AE1286" s="364">
        <v>0</v>
      </c>
      <c r="AF1286" s="366">
        <v>0</v>
      </c>
      <c r="AG1286" s="363">
        <v>0</v>
      </c>
      <c r="AH1286" s="635" t="s">
        <v>408</v>
      </c>
      <c r="AL1286" s="487" t="s">
        <v>15690</v>
      </c>
      <c r="AM1286" s="477" t="s">
        <v>70</v>
      </c>
      <c r="AN1286" s="637">
        <v>100</v>
      </c>
      <c r="AO1286" s="478">
        <v>-1570</v>
      </c>
      <c r="AP1286" s="463">
        <v>-1570</v>
      </c>
      <c r="AQ1286" s="479">
        <v>0</v>
      </c>
      <c r="AR1286" s="476" t="s">
        <v>17416</v>
      </c>
      <c r="BA1286" s="313" t="s">
        <v>5554</v>
      </c>
    </row>
    <row r="1287" spans="2:53" ht="16.5" customHeight="1">
      <c r="B1287" s="367" t="s">
        <v>5369</v>
      </c>
      <c r="C1287" s="351" t="s">
        <v>5370</v>
      </c>
      <c r="D1287" s="353">
        <v>-1570</v>
      </c>
      <c r="E1287" s="352" t="s">
        <v>408</v>
      </c>
      <c r="F1287" s="341">
        <v>79.39</v>
      </c>
      <c r="G1287" s="355" t="s">
        <v>11397</v>
      </c>
      <c r="H1287" s="356" t="s">
        <v>10804</v>
      </c>
      <c r="I1287" s="354" t="s">
        <v>479</v>
      </c>
      <c r="J1287" s="340" t="s">
        <v>11398</v>
      </c>
      <c r="K1287" s="339" t="s">
        <v>70</v>
      </c>
      <c r="L1287" s="357">
        <v>20</v>
      </c>
      <c r="M1287" s="358" t="s">
        <v>5082</v>
      </c>
      <c r="N1287" s="359">
        <v>500</v>
      </c>
      <c r="O1287" s="360" t="s">
        <v>454</v>
      </c>
      <c r="P1287" s="343" t="s">
        <v>454</v>
      </c>
      <c r="Q1287" s="342" t="s">
        <v>2688</v>
      </c>
      <c r="R1287" s="344">
        <v>20</v>
      </c>
      <c r="S1287" s="345">
        <v>30</v>
      </c>
      <c r="T1287" s="362">
        <v>30</v>
      </c>
      <c r="U1287" s="361">
        <v>79.39</v>
      </c>
      <c r="V1287" s="346">
        <v>118.36890243902438</v>
      </c>
      <c r="W1287" s="348">
        <v>118.34146341463413</v>
      </c>
      <c r="X1287" s="347">
        <v>59.53</v>
      </c>
      <c r="Y1287" s="357" t="s">
        <v>408</v>
      </c>
      <c r="Z1287" s="365" t="s">
        <v>3017</v>
      </c>
      <c r="AA1287" s="350">
        <v>97</v>
      </c>
      <c r="AB1287" s="349" t="s">
        <v>2685</v>
      </c>
      <c r="AC1287" s="350">
        <v>2</v>
      </c>
      <c r="AD1287" s="349" t="s">
        <v>2685</v>
      </c>
      <c r="AE1287" s="364">
        <v>0</v>
      </c>
      <c r="AF1287" s="366">
        <v>7.9390000000000001</v>
      </c>
      <c r="AG1287" s="363">
        <v>0</v>
      </c>
      <c r="AH1287" s="635" t="s">
        <v>10953</v>
      </c>
      <c r="AL1287" s="487" t="s">
        <v>15691</v>
      </c>
      <c r="AM1287" s="477" t="s">
        <v>70</v>
      </c>
      <c r="AN1287" s="637">
        <v>100</v>
      </c>
      <c r="AO1287" s="478">
        <v>-1570</v>
      </c>
      <c r="AP1287" s="463">
        <v>-1570</v>
      </c>
      <c r="AQ1287" s="479">
        <v>0</v>
      </c>
      <c r="AR1287" s="476" t="s">
        <v>17417</v>
      </c>
      <c r="BA1287" s="313" t="s">
        <v>5556</v>
      </c>
    </row>
    <row r="1288" spans="2:53" ht="16.5" customHeight="1">
      <c r="B1288" s="367" t="s">
        <v>11399</v>
      </c>
      <c r="C1288" s="351" t="s">
        <v>11400</v>
      </c>
      <c r="D1288" s="353">
        <v>-1570</v>
      </c>
      <c r="E1288" s="352" t="s">
        <v>11401</v>
      </c>
      <c r="F1288" s="341">
        <v>79.38</v>
      </c>
      <c r="G1288" s="355" t="s">
        <v>5445</v>
      </c>
      <c r="H1288" s="356" t="s">
        <v>5001</v>
      </c>
      <c r="I1288" s="354" t="s">
        <v>195</v>
      </c>
      <c r="J1288" s="340" t="s">
        <v>499</v>
      </c>
      <c r="K1288" s="339" t="s">
        <v>71</v>
      </c>
      <c r="L1288" s="357">
        <v>12</v>
      </c>
      <c r="M1288" s="358" t="s">
        <v>11402</v>
      </c>
      <c r="N1288" s="359">
        <v>100</v>
      </c>
      <c r="O1288" s="360" t="s">
        <v>454</v>
      </c>
      <c r="P1288" s="343" t="s">
        <v>454</v>
      </c>
      <c r="Q1288" s="342" t="s">
        <v>2738</v>
      </c>
      <c r="R1288" s="344">
        <v>35</v>
      </c>
      <c r="S1288" s="345">
        <v>25</v>
      </c>
      <c r="T1288" s="362">
        <v>20</v>
      </c>
      <c r="U1288" s="361">
        <v>79.38</v>
      </c>
      <c r="V1288" s="346">
        <v>118.359375</v>
      </c>
      <c r="W1288" s="348">
        <v>118.33620689655172</v>
      </c>
      <c r="X1288" s="347">
        <v>59.74</v>
      </c>
      <c r="Y1288" s="357" t="s">
        <v>408</v>
      </c>
      <c r="Z1288" s="365" t="s">
        <v>3017</v>
      </c>
      <c r="AA1288" s="350">
        <v>19</v>
      </c>
      <c r="AB1288" s="349" t="s">
        <v>2685</v>
      </c>
      <c r="AC1288" s="350">
        <v>0</v>
      </c>
      <c r="AD1288" s="349" t="s">
        <v>2685</v>
      </c>
      <c r="AE1288" s="364">
        <v>0</v>
      </c>
      <c r="AF1288" s="366">
        <v>0</v>
      </c>
      <c r="AG1288" s="363">
        <v>0</v>
      </c>
      <c r="AH1288" s="635" t="s">
        <v>408</v>
      </c>
      <c r="AL1288" s="487" t="s">
        <v>15692</v>
      </c>
      <c r="AM1288" s="477" t="s">
        <v>71</v>
      </c>
      <c r="AN1288" s="637">
        <v>100</v>
      </c>
      <c r="AO1288" s="478">
        <v>-1570</v>
      </c>
      <c r="AP1288" s="463">
        <v>-717</v>
      </c>
      <c r="AQ1288" s="479">
        <v>-853</v>
      </c>
      <c r="AR1288" s="476" t="s">
        <v>17418</v>
      </c>
      <c r="BA1288" s="313" t="s">
        <v>5557</v>
      </c>
    </row>
    <row r="1289" spans="2:53" ht="16.5" customHeight="1">
      <c r="B1289" s="367" t="s">
        <v>11399</v>
      </c>
      <c r="C1289" s="351" t="s">
        <v>11400</v>
      </c>
      <c r="D1289" s="353">
        <v>-1570</v>
      </c>
      <c r="E1289" s="352" t="s">
        <v>408</v>
      </c>
      <c r="F1289" s="341">
        <v>79.38</v>
      </c>
      <c r="G1289" s="355" t="s">
        <v>11401</v>
      </c>
      <c r="H1289" s="356" t="s">
        <v>10849</v>
      </c>
      <c r="I1289" s="354" t="s">
        <v>195</v>
      </c>
      <c r="J1289" s="340" t="s">
        <v>11403</v>
      </c>
      <c r="K1289" s="339" t="s">
        <v>70</v>
      </c>
      <c r="L1289" s="357">
        <v>24</v>
      </c>
      <c r="M1289" s="358" t="s">
        <v>11402</v>
      </c>
      <c r="N1289" s="359">
        <v>100</v>
      </c>
      <c r="O1289" s="360" t="s">
        <v>454</v>
      </c>
      <c r="P1289" s="343" t="s">
        <v>454</v>
      </c>
      <c r="Q1289" s="342" t="s">
        <v>2738</v>
      </c>
      <c r="R1289" s="344">
        <v>25</v>
      </c>
      <c r="S1289" s="345">
        <v>35</v>
      </c>
      <c r="T1289" s="362">
        <v>20</v>
      </c>
      <c r="U1289" s="361">
        <v>79.38</v>
      </c>
      <c r="V1289" s="346">
        <v>118.359375</v>
      </c>
      <c r="W1289" s="348">
        <v>118.33620689655172</v>
      </c>
      <c r="X1289" s="347">
        <v>59.53</v>
      </c>
      <c r="Y1289" s="357" t="s">
        <v>408</v>
      </c>
      <c r="Z1289" s="365" t="s">
        <v>3017</v>
      </c>
      <c r="AA1289" s="350">
        <v>19</v>
      </c>
      <c r="AB1289" s="349" t="s">
        <v>2685</v>
      </c>
      <c r="AC1289" s="350">
        <v>0</v>
      </c>
      <c r="AD1289" s="349" t="s">
        <v>2685</v>
      </c>
      <c r="AE1289" s="364">
        <v>0</v>
      </c>
      <c r="AF1289" s="366">
        <v>0</v>
      </c>
      <c r="AG1289" s="363">
        <v>0</v>
      </c>
      <c r="AH1289" s="635" t="s">
        <v>408</v>
      </c>
      <c r="AL1289" s="487" t="s">
        <v>15693</v>
      </c>
      <c r="AM1289" s="477" t="s">
        <v>70</v>
      </c>
      <c r="AN1289" s="637">
        <v>100</v>
      </c>
      <c r="AO1289" s="478">
        <v>-1570</v>
      </c>
      <c r="AP1289" s="463">
        <v>-1570</v>
      </c>
      <c r="AQ1289" s="479">
        <v>0</v>
      </c>
      <c r="AR1289" s="476" t="s">
        <v>17419</v>
      </c>
      <c r="BA1289" s="313" t="s">
        <v>5559</v>
      </c>
    </row>
    <row r="1290" spans="2:53" ht="16.5" customHeight="1">
      <c r="B1290" s="367" t="s">
        <v>11399</v>
      </c>
      <c r="C1290" s="351" t="s">
        <v>11400</v>
      </c>
      <c r="D1290" s="353">
        <v>-1570</v>
      </c>
      <c r="E1290" s="352" t="s">
        <v>408</v>
      </c>
      <c r="F1290" s="341">
        <v>79.38</v>
      </c>
      <c r="G1290" s="355" t="s">
        <v>11401</v>
      </c>
      <c r="H1290" s="356" t="s">
        <v>10849</v>
      </c>
      <c r="I1290" s="354" t="s">
        <v>195</v>
      </c>
      <c r="J1290" s="340" t="s">
        <v>11306</v>
      </c>
      <c r="K1290" s="339" t="s">
        <v>70</v>
      </c>
      <c r="L1290" s="357">
        <v>17</v>
      </c>
      <c r="M1290" s="358" t="s">
        <v>11402</v>
      </c>
      <c r="N1290" s="359">
        <v>100</v>
      </c>
      <c r="O1290" s="360" t="s">
        <v>454</v>
      </c>
      <c r="P1290" s="343" t="s">
        <v>454</v>
      </c>
      <c r="Q1290" s="342" t="s">
        <v>2738</v>
      </c>
      <c r="R1290" s="344">
        <v>25</v>
      </c>
      <c r="S1290" s="345">
        <v>35</v>
      </c>
      <c r="T1290" s="362">
        <v>20</v>
      </c>
      <c r="U1290" s="361">
        <v>79.38</v>
      </c>
      <c r="V1290" s="346">
        <v>118.359375</v>
      </c>
      <c r="W1290" s="348">
        <v>118.33620689655172</v>
      </c>
      <c r="X1290" s="347">
        <v>59.53</v>
      </c>
      <c r="Y1290" s="357" t="s">
        <v>408</v>
      </c>
      <c r="Z1290" s="365" t="s">
        <v>3017</v>
      </c>
      <c r="AA1290" s="350">
        <v>19</v>
      </c>
      <c r="AB1290" s="349" t="s">
        <v>2685</v>
      </c>
      <c r="AC1290" s="350">
        <v>0</v>
      </c>
      <c r="AD1290" s="349" t="s">
        <v>2685</v>
      </c>
      <c r="AE1290" s="364">
        <v>0</v>
      </c>
      <c r="AF1290" s="366">
        <v>0</v>
      </c>
      <c r="AG1290" s="363">
        <v>0</v>
      </c>
      <c r="AH1290" s="635" t="s">
        <v>408</v>
      </c>
      <c r="AL1290" s="487" t="s">
        <v>15694</v>
      </c>
      <c r="AM1290" s="477" t="s">
        <v>70</v>
      </c>
      <c r="AN1290" s="637">
        <v>100</v>
      </c>
      <c r="AO1290" s="478">
        <v>-1570</v>
      </c>
      <c r="AP1290" s="463">
        <v>-1570</v>
      </c>
      <c r="AQ1290" s="479">
        <v>0</v>
      </c>
      <c r="AR1290" s="476" t="s">
        <v>17419</v>
      </c>
      <c r="BA1290" s="313" t="s">
        <v>5561</v>
      </c>
    </row>
    <row r="1291" spans="2:53" ht="16.5" customHeight="1">
      <c r="B1291" s="367" t="s">
        <v>11406</v>
      </c>
      <c r="C1291" s="351" t="s">
        <v>11407</v>
      </c>
      <c r="D1291" s="353">
        <v>-1570</v>
      </c>
      <c r="E1291" s="352" t="s">
        <v>11375</v>
      </c>
      <c r="F1291" s="341">
        <v>79.34</v>
      </c>
      <c r="G1291" s="355" t="s">
        <v>5480</v>
      </c>
      <c r="H1291" s="356" t="s">
        <v>5001</v>
      </c>
      <c r="I1291" s="354" t="s">
        <v>9336</v>
      </c>
      <c r="J1291" s="340" t="s">
        <v>11409</v>
      </c>
      <c r="K1291" s="339" t="s">
        <v>70</v>
      </c>
      <c r="L1291" s="357">
        <v>16</v>
      </c>
      <c r="M1291" s="358" t="s">
        <v>11410</v>
      </c>
      <c r="N1291" s="359">
        <v>700</v>
      </c>
      <c r="O1291" s="360" t="s">
        <v>532</v>
      </c>
      <c r="P1291" s="343" t="s">
        <v>533</v>
      </c>
      <c r="Q1291" s="342" t="s">
        <v>2688</v>
      </c>
      <c r="R1291" s="344">
        <v>20</v>
      </c>
      <c r="S1291" s="345">
        <v>35</v>
      </c>
      <c r="T1291" s="362">
        <v>30</v>
      </c>
      <c r="U1291" s="361">
        <v>79.34</v>
      </c>
      <c r="V1291" s="346">
        <v>118.33803299078396</v>
      </c>
      <c r="W1291" s="348">
        <v>118.32443199491529</v>
      </c>
      <c r="X1291" s="347">
        <v>59.52</v>
      </c>
      <c r="Y1291" s="357">
        <v>61.72</v>
      </c>
      <c r="Z1291" s="365" t="s">
        <v>3017</v>
      </c>
      <c r="AA1291" s="350">
        <v>104.5</v>
      </c>
      <c r="AB1291" s="349" t="s">
        <v>2685</v>
      </c>
      <c r="AC1291" s="350">
        <v>0</v>
      </c>
      <c r="AD1291" s="349" t="s">
        <v>2685</v>
      </c>
      <c r="AE1291" s="364">
        <v>0</v>
      </c>
      <c r="AF1291" s="366">
        <v>0</v>
      </c>
      <c r="AG1291" s="363">
        <v>0</v>
      </c>
      <c r="AH1291" s="635" t="s">
        <v>408</v>
      </c>
      <c r="AL1291" s="487" t="s">
        <v>15695</v>
      </c>
      <c r="AM1291" s="477" t="s">
        <v>70</v>
      </c>
      <c r="AN1291" s="637">
        <v>100</v>
      </c>
      <c r="AO1291" s="478">
        <v>-1570</v>
      </c>
      <c r="AP1291" s="463">
        <v>-1570</v>
      </c>
      <c r="AQ1291" s="479">
        <v>0</v>
      </c>
      <c r="AR1291" s="476" t="s">
        <v>17420</v>
      </c>
      <c r="BA1291" s="313" t="s">
        <v>5562</v>
      </c>
    </row>
    <row r="1292" spans="2:53" ht="16.5" customHeight="1">
      <c r="B1292" s="367" t="s">
        <v>11406</v>
      </c>
      <c r="C1292" s="351" t="s">
        <v>11407</v>
      </c>
      <c r="D1292" s="353">
        <v>-1570</v>
      </c>
      <c r="E1292" s="352" t="s">
        <v>408</v>
      </c>
      <c r="F1292" s="341">
        <v>79.33</v>
      </c>
      <c r="G1292" s="355" t="s">
        <v>11411</v>
      </c>
      <c r="H1292" s="356" t="s">
        <v>11005</v>
      </c>
      <c r="I1292" s="354" t="s">
        <v>479</v>
      </c>
      <c r="J1292" s="340" t="s">
        <v>11412</v>
      </c>
      <c r="K1292" s="339" t="s">
        <v>70</v>
      </c>
      <c r="L1292" s="357">
        <v>10</v>
      </c>
      <c r="M1292" s="358" t="s">
        <v>11413</v>
      </c>
      <c r="N1292" s="359">
        <v>500</v>
      </c>
      <c r="O1292" s="360" t="s">
        <v>454</v>
      </c>
      <c r="P1292" s="343" t="s">
        <v>454</v>
      </c>
      <c r="Q1292" s="342" t="s">
        <v>2688</v>
      </c>
      <c r="R1292" s="344">
        <v>20</v>
      </c>
      <c r="S1292" s="345">
        <v>30</v>
      </c>
      <c r="T1292" s="362">
        <v>30</v>
      </c>
      <c r="U1292" s="361">
        <v>79.33</v>
      </c>
      <c r="V1292" s="346">
        <v>118.33079268292683</v>
      </c>
      <c r="W1292" s="348">
        <v>118.32043734230446</v>
      </c>
      <c r="X1292" s="347">
        <v>59.52</v>
      </c>
      <c r="Y1292" s="357" t="s">
        <v>408</v>
      </c>
      <c r="Z1292" s="365" t="s">
        <v>3017</v>
      </c>
      <c r="AA1292" s="350">
        <v>97</v>
      </c>
      <c r="AB1292" s="349" t="s">
        <v>2685</v>
      </c>
      <c r="AC1292" s="350">
        <v>2</v>
      </c>
      <c r="AD1292" s="349" t="s">
        <v>2685</v>
      </c>
      <c r="AE1292" s="364">
        <v>0</v>
      </c>
      <c r="AF1292" s="366">
        <v>7.9329999999999998</v>
      </c>
      <c r="AG1292" s="363">
        <v>0</v>
      </c>
      <c r="AH1292" s="635" t="s">
        <v>10953</v>
      </c>
      <c r="AL1292" s="487" t="s">
        <v>15696</v>
      </c>
      <c r="AM1292" s="477" t="s">
        <v>70</v>
      </c>
      <c r="AN1292" s="637">
        <v>100</v>
      </c>
      <c r="AO1292" s="478">
        <v>-1570</v>
      </c>
      <c r="AP1292" s="463">
        <v>-1570</v>
      </c>
      <c r="AQ1292" s="479">
        <v>0</v>
      </c>
      <c r="AR1292" s="476" t="s">
        <v>17421</v>
      </c>
      <c r="BA1292" s="313" t="s">
        <v>5563</v>
      </c>
    </row>
    <row r="1293" spans="2:53" ht="16.5" customHeight="1">
      <c r="B1293" s="367" t="s">
        <v>5382</v>
      </c>
      <c r="C1293" s="351" t="s">
        <v>5383</v>
      </c>
      <c r="D1293" s="353">
        <v>-1570</v>
      </c>
      <c r="E1293" s="352" t="s">
        <v>5469</v>
      </c>
      <c r="F1293" s="341">
        <v>79.319999999999993</v>
      </c>
      <c r="G1293" s="355" t="s">
        <v>11414</v>
      </c>
      <c r="H1293" s="356" t="s">
        <v>10850</v>
      </c>
      <c r="I1293" s="354" t="s">
        <v>215</v>
      </c>
      <c r="J1293" s="340" t="s">
        <v>555</v>
      </c>
      <c r="K1293" s="339" t="s">
        <v>70</v>
      </c>
      <c r="L1293" s="357">
        <v>8</v>
      </c>
      <c r="M1293" s="358" t="s">
        <v>11415</v>
      </c>
      <c r="N1293" s="359">
        <v>1000</v>
      </c>
      <c r="O1293" s="360" t="s">
        <v>530</v>
      </c>
      <c r="P1293" s="343" t="s">
        <v>531</v>
      </c>
      <c r="Q1293" s="342" t="s">
        <v>2688</v>
      </c>
      <c r="R1293" s="344">
        <v>25</v>
      </c>
      <c r="S1293" s="345">
        <v>38</v>
      </c>
      <c r="T1293" s="362">
        <v>25</v>
      </c>
      <c r="U1293" s="361">
        <v>79.319999999999993</v>
      </c>
      <c r="V1293" s="346">
        <v>118.32710451589266</v>
      </c>
      <c r="W1293" s="348">
        <v>118.31840249152698</v>
      </c>
      <c r="X1293" s="347">
        <v>59.52</v>
      </c>
      <c r="Y1293" s="357">
        <v>59.89</v>
      </c>
      <c r="Z1293" s="365" t="s">
        <v>3017</v>
      </c>
      <c r="AA1293" s="350">
        <v>121.25</v>
      </c>
      <c r="AB1293" s="349" t="s">
        <v>2685</v>
      </c>
      <c r="AC1293" s="350">
        <v>10</v>
      </c>
      <c r="AD1293" s="349" t="s">
        <v>2685</v>
      </c>
      <c r="AE1293" s="364">
        <v>0</v>
      </c>
      <c r="AF1293" s="366">
        <v>0</v>
      </c>
      <c r="AG1293" s="363">
        <v>0</v>
      </c>
      <c r="AH1293" s="635" t="s">
        <v>408</v>
      </c>
      <c r="AL1293" s="487" t="s">
        <v>15697</v>
      </c>
      <c r="AM1293" s="477" t="s">
        <v>70</v>
      </c>
      <c r="AN1293" s="637">
        <v>100</v>
      </c>
      <c r="AO1293" s="478">
        <v>-1570</v>
      </c>
      <c r="AP1293" s="463">
        <v>-1570</v>
      </c>
      <c r="AQ1293" s="479">
        <v>0</v>
      </c>
      <c r="AR1293" s="476" t="s">
        <v>17422</v>
      </c>
      <c r="BA1293" s="313" t="s">
        <v>5564</v>
      </c>
    </row>
    <row r="1294" spans="2:53" ht="16.5" customHeight="1">
      <c r="B1294" s="367" t="s">
        <v>11416</v>
      </c>
      <c r="C1294" s="351" t="s">
        <v>11417</v>
      </c>
      <c r="D1294" s="353">
        <v>-1570</v>
      </c>
      <c r="E1294" s="352" t="s">
        <v>408</v>
      </c>
      <c r="F1294" s="341">
        <v>79.31</v>
      </c>
      <c r="G1294" s="355" t="s">
        <v>5312</v>
      </c>
      <c r="H1294" s="356" t="s">
        <v>5014</v>
      </c>
      <c r="I1294" s="354" t="s">
        <v>425</v>
      </c>
      <c r="J1294" s="340" t="s">
        <v>11420</v>
      </c>
      <c r="K1294" s="339" t="s">
        <v>71</v>
      </c>
      <c r="L1294" s="357">
        <v>8</v>
      </c>
      <c r="M1294" s="358" t="s">
        <v>5332</v>
      </c>
      <c r="N1294" s="359">
        <v>1000</v>
      </c>
      <c r="O1294" s="360" t="s">
        <v>454</v>
      </c>
      <c r="P1294" s="343" t="s">
        <v>454</v>
      </c>
      <c r="Q1294" s="342" t="s">
        <v>2738</v>
      </c>
      <c r="R1294" s="344">
        <v>35</v>
      </c>
      <c r="S1294" s="345">
        <v>25</v>
      </c>
      <c r="T1294" s="362">
        <v>20</v>
      </c>
      <c r="U1294" s="361">
        <v>79.31</v>
      </c>
      <c r="V1294" s="346">
        <v>118.3203125</v>
      </c>
      <c r="W1294" s="348">
        <v>118.31465517241379</v>
      </c>
      <c r="X1294" s="347">
        <v>59.72</v>
      </c>
      <c r="Y1294" s="357" t="s">
        <v>408</v>
      </c>
      <c r="Z1294" s="365" t="s">
        <v>3017</v>
      </c>
      <c r="AA1294" s="350">
        <v>196</v>
      </c>
      <c r="AB1294" s="349" t="s">
        <v>2685</v>
      </c>
      <c r="AC1294" s="350">
        <v>10</v>
      </c>
      <c r="AD1294" s="349" t="s">
        <v>2685</v>
      </c>
      <c r="AE1294" s="364">
        <v>0</v>
      </c>
      <c r="AF1294" s="366">
        <v>0</v>
      </c>
      <c r="AG1294" s="363">
        <v>0</v>
      </c>
      <c r="AH1294" s="635" t="s">
        <v>408</v>
      </c>
      <c r="AL1294" s="487" t="s">
        <v>15698</v>
      </c>
      <c r="AM1294" s="477" t="s">
        <v>71</v>
      </c>
      <c r="AN1294" s="637">
        <v>100</v>
      </c>
      <c r="AO1294" s="478">
        <v>-1570</v>
      </c>
      <c r="AP1294" s="463">
        <v>-716</v>
      </c>
      <c r="AQ1294" s="479">
        <v>-854</v>
      </c>
      <c r="AR1294" s="476" t="s">
        <v>17423</v>
      </c>
      <c r="BA1294" s="313" t="s">
        <v>5566</v>
      </c>
    </row>
    <row r="1295" spans="2:53" ht="16.5" customHeight="1">
      <c r="B1295" s="367" t="s">
        <v>11421</v>
      </c>
      <c r="C1295" s="351" t="s">
        <v>11422</v>
      </c>
      <c r="D1295" s="353">
        <v>-1570</v>
      </c>
      <c r="E1295" s="352" t="s">
        <v>408</v>
      </c>
      <c r="F1295" s="341">
        <v>79.3</v>
      </c>
      <c r="G1295" s="355" t="s">
        <v>5160</v>
      </c>
      <c r="H1295" s="356" t="s">
        <v>11021</v>
      </c>
      <c r="I1295" s="354" t="s">
        <v>209</v>
      </c>
      <c r="J1295" s="340" t="s">
        <v>11423</v>
      </c>
      <c r="K1295" s="339" t="s">
        <v>70</v>
      </c>
      <c r="L1295" s="357">
        <v>10</v>
      </c>
      <c r="M1295" s="358" t="s">
        <v>4761</v>
      </c>
      <c r="N1295" s="359">
        <v>1000</v>
      </c>
      <c r="O1295" s="360" t="s">
        <v>530</v>
      </c>
      <c r="P1295" s="343" t="s">
        <v>530</v>
      </c>
      <c r="Q1295" s="342" t="s">
        <v>2688</v>
      </c>
      <c r="R1295" s="344">
        <v>20</v>
      </c>
      <c r="S1295" s="345">
        <v>30</v>
      </c>
      <c r="T1295" s="362">
        <v>30</v>
      </c>
      <c r="U1295" s="361">
        <v>79.3</v>
      </c>
      <c r="V1295" s="346">
        <v>118.31171593605244</v>
      </c>
      <c r="W1295" s="348">
        <v>118.30991224058066</v>
      </c>
      <c r="X1295" s="347">
        <v>59.51</v>
      </c>
      <c r="Y1295" s="357" t="s">
        <v>408</v>
      </c>
      <c r="Z1295" s="365" t="s">
        <v>3017</v>
      </c>
      <c r="AA1295" s="350">
        <v>198</v>
      </c>
      <c r="AB1295" s="349" t="s">
        <v>2685</v>
      </c>
      <c r="AC1295" s="350">
        <v>10</v>
      </c>
      <c r="AD1295" s="349" t="s">
        <v>2685</v>
      </c>
      <c r="AE1295" s="364">
        <v>0</v>
      </c>
      <c r="AF1295" s="366">
        <v>0</v>
      </c>
      <c r="AG1295" s="363">
        <v>0</v>
      </c>
      <c r="AH1295" s="635" t="s">
        <v>408</v>
      </c>
      <c r="AL1295" s="487" t="s">
        <v>15699</v>
      </c>
      <c r="AM1295" s="477" t="s">
        <v>70</v>
      </c>
      <c r="AN1295" s="637">
        <v>100</v>
      </c>
      <c r="AO1295" s="478">
        <v>-1570</v>
      </c>
      <c r="AP1295" s="463">
        <v>-1570</v>
      </c>
      <c r="AQ1295" s="479">
        <v>0</v>
      </c>
      <c r="AR1295" s="476" t="s">
        <v>17424</v>
      </c>
      <c r="BA1295" s="313" t="s">
        <v>5571</v>
      </c>
    </row>
    <row r="1296" spans="2:53" ht="16.5" customHeight="1">
      <c r="B1296" s="367" t="s">
        <v>11424</v>
      </c>
      <c r="C1296" s="351" t="s">
        <v>11425</v>
      </c>
      <c r="D1296" s="353">
        <v>-1570</v>
      </c>
      <c r="E1296" s="352" t="s">
        <v>11418</v>
      </c>
      <c r="F1296" s="341">
        <v>79.3</v>
      </c>
      <c r="G1296" s="355" t="s">
        <v>5463</v>
      </c>
      <c r="H1296" s="356" t="s">
        <v>5014</v>
      </c>
      <c r="I1296" s="354" t="s">
        <v>215</v>
      </c>
      <c r="J1296" s="340" t="s">
        <v>561</v>
      </c>
      <c r="K1296" s="339" t="s">
        <v>71</v>
      </c>
      <c r="L1296" s="357">
        <v>7</v>
      </c>
      <c r="M1296" s="358" t="s">
        <v>11426</v>
      </c>
      <c r="N1296" s="359">
        <v>1000</v>
      </c>
      <c r="O1296" s="360" t="s">
        <v>530</v>
      </c>
      <c r="P1296" s="343" t="s">
        <v>531</v>
      </c>
      <c r="Q1296" s="342" t="s">
        <v>2688</v>
      </c>
      <c r="R1296" s="344">
        <v>38</v>
      </c>
      <c r="S1296" s="345">
        <v>25</v>
      </c>
      <c r="T1296" s="362">
        <v>25</v>
      </c>
      <c r="U1296" s="361">
        <v>79.3</v>
      </c>
      <c r="V1296" s="346">
        <v>118.31533629135002</v>
      </c>
      <c r="W1296" s="348">
        <v>118.31190967798622</v>
      </c>
      <c r="X1296" s="347">
        <v>59.72</v>
      </c>
      <c r="Y1296" s="357">
        <v>60.21</v>
      </c>
      <c r="Z1296" s="365" t="s">
        <v>3017</v>
      </c>
      <c r="AA1296" s="350">
        <v>121.25</v>
      </c>
      <c r="AB1296" s="349" t="s">
        <v>2685</v>
      </c>
      <c r="AC1296" s="350">
        <v>10</v>
      </c>
      <c r="AD1296" s="349" t="s">
        <v>2685</v>
      </c>
      <c r="AE1296" s="364">
        <v>0</v>
      </c>
      <c r="AF1296" s="366">
        <v>0</v>
      </c>
      <c r="AG1296" s="363">
        <v>0</v>
      </c>
      <c r="AH1296" s="635" t="s">
        <v>8002</v>
      </c>
      <c r="AL1296" s="487" t="s">
        <v>15700</v>
      </c>
      <c r="AM1296" s="477" t="s">
        <v>71</v>
      </c>
      <c r="AN1296" s="637">
        <v>100</v>
      </c>
      <c r="AO1296" s="478">
        <v>-1570</v>
      </c>
      <c r="AP1296" s="463">
        <v>-716</v>
      </c>
      <c r="AQ1296" s="479">
        <v>-854</v>
      </c>
      <c r="AR1296" s="476" t="s">
        <v>17425</v>
      </c>
      <c r="BA1296" s="313" t="s">
        <v>5573</v>
      </c>
    </row>
    <row r="1297" spans="2:53" ht="16.5" customHeight="1">
      <c r="B1297" s="367" t="s">
        <v>5389</v>
      </c>
      <c r="C1297" s="351" t="s">
        <v>5390</v>
      </c>
      <c r="D1297" s="353">
        <v>-1570</v>
      </c>
      <c r="E1297" s="352" t="s">
        <v>408</v>
      </c>
      <c r="F1297" s="341">
        <v>79.28</v>
      </c>
      <c r="G1297" s="355" t="s">
        <v>5267</v>
      </c>
      <c r="H1297" s="356" t="s">
        <v>4837</v>
      </c>
      <c r="I1297" s="354" t="s">
        <v>215</v>
      </c>
      <c r="J1297" s="340" t="s">
        <v>8224</v>
      </c>
      <c r="K1297" s="339" t="s">
        <v>70</v>
      </c>
      <c r="L1297" s="357">
        <v>4</v>
      </c>
      <c r="M1297" s="358" t="s">
        <v>11427</v>
      </c>
      <c r="N1297" s="359">
        <v>1000</v>
      </c>
      <c r="O1297" s="360" t="s">
        <v>530</v>
      </c>
      <c r="P1297" s="343" t="s">
        <v>531</v>
      </c>
      <c r="Q1297" s="342" t="s">
        <v>2688</v>
      </c>
      <c r="R1297" s="344">
        <v>25</v>
      </c>
      <c r="S1297" s="345">
        <v>38</v>
      </c>
      <c r="T1297" s="362">
        <v>25</v>
      </c>
      <c r="U1297" s="361">
        <v>79.28</v>
      </c>
      <c r="V1297" s="346">
        <v>118.29788403407531</v>
      </c>
      <c r="W1297" s="348">
        <v>118.30228084638638</v>
      </c>
      <c r="X1297" s="347">
        <v>59.5</v>
      </c>
      <c r="Y1297" s="357">
        <v>59.879999999999995</v>
      </c>
      <c r="Z1297" s="365" t="s">
        <v>3017</v>
      </c>
      <c r="AA1297" s="350">
        <v>121.25</v>
      </c>
      <c r="AB1297" s="349" t="s">
        <v>2685</v>
      </c>
      <c r="AC1297" s="350">
        <v>10</v>
      </c>
      <c r="AD1297" s="349" t="s">
        <v>2685</v>
      </c>
      <c r="AE1297" s="364">
        <v>0</v>
      </c>
      <c r="AF1297" s="366">
        <v>0</v>
      </c>
      <c r="AG1297" s="363">
        <v>0</v>
      </c>
      <c r="AH1297" s="635" t="s">
        <v>408</v>
      </c>
      <c r="AL1297" s="487" t="s">
        <v>15701</v>
      </c>
      <c r="AM1297" s="477" t="s">
        <v>70</v>
      </c>
      <c r="AN1297" s="637">
        <v>100</v>
      </c>
      <c r="AO1297" s="478">
        <v>-1570</v>
      </c>
      <c r="AP1297" s="463">
        <v>-1570</v>
      </c>
      <c r="AQ1297" s="479">
        <v>0</v>
      </c>
      <c r="AR1297" s="476" t="s">
        <v>17426</v>
      </c>
      <c r="BA1297" s="313" t="s">
        <v>5575</v>
      </c>
    </row>
    <row r="1298" spans="2:53" ht="16.5" customHeight="1">
      <c r="B1298" s="367" t="s">
        <v>11428</v>
      </c>
      <c r="C1298" s="351" t="s">
        <v>11429</v>
      </c>
      <c r="D1298" s="353">
        <v>-1570</v>
      </c>
      <c r="E1298" s="352" t="s">
        <v>11353</v>
      </c>
      <c r="F1298" s="341">
        <v>79.28</v>
      </c>
      <c r="G1298" s="355" t="s">
        <v>11652</v>
      </c>
      <c r="H1298" s="356" t="s">
        <v>4999</v>
      </c>
      <c r="I1298" s="354" t="s">
        <v>479</v>
      </c>
      <c r="J1298" s="340" t="s">
        <v>11430</v>
      </c>
      <c r="K1298" s="339" t="s">
        <v>71</v>
      </c>
      <c r="L1298" s="357">
        <v>211</v>
      </c>
      <c r="M1298" s="358" t="s">
        <v>11431</v>
      </c>
      <c r="N1298" s="359">
        <v>500</v>
      </c>
      <c r="O1298" s="360" t="s">
        <v>454</v>
      </c>
      <c r="P1298" s="343" t="s">
        <v>454</v>
      </c>
      <c r="Q1298" s="342" t="s">
        <v>2688</v>
      </c>
      <c r="R1298" s="344">
        <v>30</v>
      </c>
      <c r="S1298" s="345">
        <v>25</v>
      </c>
      <c r="T1298" s="362">
        <v>25</v>
      </c>
      <c r="U1298" s="361">
        <v>79.28</v>
      </c>
      <c r="V1298" s="346">
        <v>118.3015625</v>
      </c>
      <c r="W1298" s="348">
        <v>118.30431034482758</v>
      </c>
      <c r="X1298" s="347">
        <v>59.71</v>
      </c>
      <c r="Y1298" s="357" t="s">
        <v>408</v>
      </c>
      <c r="Z1298" s="365" t="s">
        <v>3017</v>
      </c>
      <c r="AA1298" s="350">
        <v>97</v>
      </c>
      <c r="AB1298" s="349" t="s">
        <v>2685</v>
      </c>
      <c r="AC1298" s="350">
        <v>2</v>
      </c>
      <c r="AD1298" s="349" t="s">
        <v>2685</v>
      </c>
      <c r="AE1298" s="364">
        <v>0</v>
      </c>
      <c r="AF1298" s="366">
        <v>0</v>
      </c>
      <c r="AG1298" s="363">
        <v>0</v>
      </c>
      <c r="AH1298" s="635" t="s">
        <v>408</v>
      </c>
      <c r="AL1298" s="487" t="s">
        <v>15702</v>
      </c>
      <c r="AM1298" s="477" t="s">
        <v>71</v>
      </c>
      <c r="AN1298" s="637">
        <v>100</v>
      </c>
      <c r="AO1298" s="478">
        <v>-1570</v>
      </c>
      <c r="AP1298" s="463">
        <v>-716</v>
      </c>
      <c r="AQ1298" s="479">
        <v>-854</v>
      </c>
      <c r="AR1298" s="476" t="s">
        <v>17427</v>
      </c>
      <c r="BA1298" s="313" t="s">
        <v>5578</v>
      </c>
    </row>
    <row r="1299" spans="2:53" ht="16.5" customHeight="1">
      <c r="B1299" s="367" t="s">
        <v>11373</v>
      </c>
      <c r="C1299" s="351" t="s">
        <v>11374</v>
      </c>
      <c r="D1299" s="353">
        <v>-1570</v>
      </c>
      <c r="E1299" s="352" t="s">
        <v>408</v>
      </c>
      <c r="F1299" s="341">
        <v>79.27</v>
      </c>
      <c r="G1299" s="355" t="s">
        <v>11375</v>
      </c>
      <c r="H1299" s="356" t="s">
        <v>4988</v>
      </c>
      <c r="I1299" s="354" t="s">
        <v>406</v>
      </c>
      <c r="J1299" s="340" t="s">
        <v>439</v>
      </c>
      <c r="K1299" s="339" t="s">
        <v>71</v>
      </c>
      <c r="L1299" s="357">
        <v>7</v>
      </c>
      <c r="M1299" s="358" t="s">
        <v>11404</v>
      </c>
      <c r="N1299" s="359">
        <v>600</v>
      </c>
      <c r="O1299" s="360" t="s">
        <v>530</v>
      </c>
      <c r="P1299" s="343" t="s">
        <v>530</v>
      </c>
      <c r="Q1299" s="342" t="s">
        <v>2688</v>
      </c>
      <c r="R1299" s="344">
        <v>33</v>
      </c>
      <c r="S1299" s="345">
        <v>33</v>
      </c>
      <c r="T1299" s="362">
        <v>33</v>
      </c>
      <c r="U1299" s="361">
        <v>79.27</v>
      </c>
      <c r="V1299" s="346">
        <v>118.29359650062081</v>
      </c>
      <c r="W1299" s="348">
        <v>118.29991531068734</v>
      </c>
      <c r="X1299" s="347">
        <v>59.7</v>
      </c>
      <c r="Y1299" s="357" t="s">
        <v>408</v>
      </c>
      <c r="Z1299" s="365" t="s">
        <v>4408</v>
      </c>
      <c r="AA1299" s="350">
        <v>88</v>
      </c>
      <c r="AB1299" s="349" t="s">
        <v>2685</v>
      </c>
      <c r="AC1299" s="350">
        <v>10</v>
      </c>
      <c r="AD1299" s="349" t="s">
        <v>2685</v>
      </c>
      <c r="AE1299" s="364">
        <v>0</v>
      </c>
      <c r="AF1299" s="366">
        <v>0</v>
      </c>
      <c r="AG1299" s="363">
        <v>0</v>
      </c>
      <c r="AH1299" s="635" t="s">
        <v>11405</v>
      </c>
      <c r="AL1299" s="487" t="s">
        <v>15703</v>
      </c>
      <c r="AM1299" s="477" t="s">
        <v>71</v>
      </c>
      <c r="AN1299" s="637">
        <v>100</v>
      </c>
      <c r="AO1299" s="478">
        <v>-1570</v>
      </c>
      <c r="AP1299" s="463">
        <v>-716</v>
      </c>
      <c r="AQ1299" s="479">
        <v>-854</v>
      </c>
      <c r="AR1299" s="476" t="s">
        <v>17428</v>
      </c>
      <c r="BA1299" s="313" t="s">
        <v>5582</v>
      </c>
    </row>
    <row r="1300" spans="2:53" ht="16.5" customHeight="1">
      <c r="B1300" s="367" t="s">
        <v>11432</v>
      </c>
      <c r="C1300" s="351" t="s">
        <v>11433</v>
      </c>
      <c r="D1300" s="353">
        <v>-1570</v>
      </c>
      <c r="E1300" s="352" t="s">
        <v>5084</v>
      </c>
      <c r="F1300" s="341">
        <v>79.25</v>
      </c>
      <c r="G1300" s="355" t="s">
        <v>11434</v>
      </c>
      <c r="H1300" s="356" t="s">
        <v>18832</v>
      </c>
      <c r="I1300" s="354" t="s">
        <v>195</v>
      </c>
      <c r="J1300" s="340" t="s">
        <v>11435</v>
      </c>
      <c r="K1300" s="339" t="s">
        <v>70</v>
      </c>
      <c r="L1300" s="357">
        <v>14</v>
      </c>
      <c r="M1300" s="358" t="s">
        <v>11436</v>
      </c>
      <c r="N1300" s="359">
        <v>100</v>
      </c>
      <c r="O1300" s="360" t="s">
        <v>454</v>
      </c>
      <c r="P1300" s="343" t="s">
        <v>454</v>
      </c>
      <c r="Q1300" s="342" t="s">
        <v>2738</v>
      </c>
      <c r="R1300" s="344">
        <v>25</v>
      </c>
      <c r="S1300" s="345">
        <v>35</v>
      </c>
      <c r="T1300" s="362">
        <v>20</v>
      </c>
      <c r="U1300" s="361">
        <v>79.25</v>
      </c>
      <c r="V1300" s="346">
        <v>118.28125</v>
      </c>
      <c r="W1300" s="348">
        <v>118.29310344827586</v>
      </c>
      <c r="X1300" s="347">
        <v>59.49</v>
      </c>
      <c r="Y1300" s="357" t="s">
        <v>408</v>
      </c>
      <c r="Z1300" s="365" t="s">
        <v>3017</v>
      </c>
      <c r="AA1300" s="350">
        <v>19</v>
      </c>
      <c r="AB1300" s="349" t="s">
        <v>2685</v>
      </c>
      <c r="AC1300" s="350">
        <v>0</v>
      </c>
      <c r="AD1300" s="349" t="s">
        <v>2685</v>
      </c>
      <c r="AE1300" s="364">
        <v>0</v>
      </c>
      <c r="AF1300" s="366">
        <v>0</v>
      </c>
      <c r="AG1300" s="363">
        <v>0</v>
      </c>
      <c r="AH1300" s="635" t="s">
        <v>408</v>
      </c>
      <c r="AL1300" s="487" t="s">
        <v>15704</v>
      </c>
      <c r="AM1300" s="477" t="s">
        <v>70</v>
      </c>
      <c r="AN1300" s="637">
        <v>100</v>
      </c>
      <c r="AO1300" s="478">
        <v>-1570</v>
      </c>
      <c r="AP1300" s="463">
        <v>-1570</v>
      </c>
      <c r="AQ1300" s="479">
        <v>0</v>
      </c>
      <c r="AR1300" s="476" t="s">
        <v>17429</v>
      </c>
      <c r="BA1300" s="313" t="s">
        <v>5584</v>
      </c>
    </row>
    <row r="1301" spans="2:53" ht="16.5" customHeight="1">
      <c r="B1301" s="367" t="s">
        <v>11432</v>
      </c>
      <c r="C1301" s="351" t="s">
        <v>11433</v>
      </c>
      <c r="D1301" s="353">
        <v>-1570</v>
      </c>
      <c r="E1301" s="352" t="s">
        <v>408</v>
      </c>
      <c r="F1301" s="341">
        <v>79.25</v>
      </c>
      <c r="G1301" s="355" t="s">
        <v>11377</v>
      </c>
      <c r="H1301" s="356" t="s">
        <v>18833</v>
      </c>
      <c r="I1301" s="354" t="s">
        <v>424</v>
      </c>
      <c r="J1301" s="340" t="s">
        <v>11437</v>
      </c>
      <c r="K1301" s="339" t="s">
        <v>71</v>
      </c>
      <c r="L1301" s="357">
        <v>23</v>
      </c>
      <c r="M1301" s="358" t="s">
        <v>5296</v>
      </c>
      <c r="N1301" s="359">
        <v>1000</v>
      </c>
      <c r="O1301" s="360" t="s">
        <v>454</v>
      </c>
      <c r="P1301" s="343" t="s">
        <v>454</v>
      </c>
      <c r="Q1301" s="342" t="s">
        <v>2738</v>
      </c>
      <c r="R1301" s="344">
        <v>35</v>
      </c>
      <c r="S1301" s="345">
        <v>25</v>
      </c>
      <c r="T1301" s="362">
        <v>20</v>
      </c>
      <c r="U1301" s="361">
        <v>79.25</v>
      </c>
      <c r="V1301" s="346">
        <v>118.28125</v>
      </c>
      <c r="W1301" s="348">
        <v>118.29310344827586</v>
      </c>
      <c r="X1301" s="347">
        <v>59.7</v>
      </c>
      <c r="Y1301" s="357" t="s">
        <v>408</v>
      </c>
      <c r="Z1301" s="365" t="s">
        <v>3017</v>
      </c>
      <c r="AA1301" s="350">
        <v>196</v>
      </c>
      <c r="AB1301" s="349" t="s">
        <v>2685</v>
      </c>
      <c r="AC1301" s="350">
        <v>3</v>
      </c>
      <c r="AD1301" s="349" t="s">
        <v>2685</v>
      </c>
      <c r="AE1301" s="364">
        <v>0</v>
      </c>
      <c r="AF1301" s="366">
        <v>0</v>
      </c>
      <c r="AG1301" s="363">
        <v>0</v>
      </c>
      <c r="AH1301" s="635" t="s">
        <v>408</v>
      </c>
      <c r="AL1301" s="487" t="s">
        <v>15705</v>
      </c>
      <c r="AM1301" s="477" t="s">
        <v>71</v>
      </c>
      <c r="AN1301" s="637">
        <v>100</v>
      </c>
      <c r="AO1301" s="478">
        <v>-1570</v>
      </c>
      <c r="AP1301" s="463">
        <v>-716</v>
      </c>
      <c r="AQ1301" s="479">
        <v>-854</v>
      </c>
      <c r="AR1301" s="476" t="s">
        <v>17430</v>
      </c>
      <c r="BA1301" s="313" t="s">
        <v>5586</v>
      </c>
    </row>
    <row r="1302" spans="2:53" ht="16.5" customHeight="1">
      <c r="B1302" s="367" t="s">
        <v>11432</v>
      </c>
      <c r="C1302" s="351" t="s">
        <v>11433</v>
      </c>
      <c r="D1302" s="353">
        <v>-1570</v>
      </c>
      <c r="E1302" s="352" t="s">
        <v>11434</v>
      </c>
      <c r="F1302" s="341">
        <v>79.239999999999995</v>
      </c>
      <c r="G1302" s="355" t="s">
        <v>5140</v>
      </c>
      <c r="H1302" s="356" t="s">
        <v>18834</v>
      </c>
      <c r="I1302" s="354" t="s">
        <v>216</v>
      </c>
      <c r="J1302" s="340" t="s">
        <v>8168</v>
      </c>
      <c r="K1302" s="339" t="s">
        <v>70</v>
      </c>
      <c r="L1302" s="357">
        <v>19</v>
      </c>
      <c r="M1302" s="358" t="s">
        <v>11438</v>
      </c>
      <c r="N1302" s="359">
        <v>300</v>
      </c>
      <c r="O1302" s="360" t="s">
        <v>530</v>
      </c>
      <c r="P1302" s="343" t="s">
        <v>530</v>
      </c>
      <c r="Q1302" s="342" t="s">
        <v>2688</v>
      </c>
      <c r="R1302" s="344">
        <v>25</v>
      </c>
      <c r="S1302" s="345">
        <v>45</v>
      </c>
      <c r="T1302" s="362">
        <v>30</v>
      </c>
      <c r="U1302" s="361">
        <v>79.239999999999995</v>
      </c>
      <c r="V1302" s="346">
        <v>118.27579470390775</v>
      </c>
      <c r="W1302" s="348">
        <v>118.2900936297422</v>
      </c>
      <c r="X1302" s="347">
        <v>59.49</v>
      </c>
      <c r="Y1302" s="357" t="s">
        <v>408</v>
      </c>
      <c r="Z1302" s="365" t="s">
        <v>3017</v>
      </c>
      <c r="AA1302" s="350">
        <v>-2</v>
      </c>
      <c r="AB1302" s="349" t="s">
        <v>2685</v>
      </c>
      <c r="AC1302" s="350">
        <v>0</v>
      </c>
      <c r="AD1302" s="349" t="s">
        <v>2685</v>
      </c>
      <c r="AE1302" s="364">
        <v>0</v>
      </c>
      <c r="AF1302" s="366">
        <v>0</v>
      </c>
      <c r="AG1302" s="363">
        <v>0</v>
      </c>
      <c r="AH1302" s="635" t="s">
        <v>408</v>
      </c>
      <c r="AL1302" s="487" t="s">
        <v>15706</v>
      </c>
      <c r="AM1302" s="477" t="s">
        <v>70</v>
      </c>
      <c r="AN1302" s="637">
        <v>100</v>
      </c>
      <c r="AO1302" s="478">
        <v>-1570</v>
      </c>
      <c r="AP1302" s="463">
        <v>-1570</v>
      </c>
      <c r="AQ1302" s="479">
        <v>0</v>
      </c>
      <c r="AR1302" s="476" t="s">
        <v>17431</v>
      </c>
      <c r="BA1302" s="313" t="s">
        <v>5587</v>
      </c>
    </row>
    <row r="1303" spans="2:53" ht="16.5" customHeight="1">
      <c r="B1303" s="367" t="s">
        <v>18234</v>
      </c>
      <c r="C1303" s="351" t="s">
        <v>18235</v>
      </c>
      <c r="D1303" s="353">
        <v>-1570</v>
      </c>
      <c r="E1303" s="352" t="s">
        <v>408</v>
      </c>
      <c r="F1303" s="341">
        <v>79.239999999999995</v>
      </c>
      <c r="G1303" s="355" t="s">
        <v>18835</v>
      </c>
      <c r="H1303" s="356" t="s">
        <v>4899</v>
      </c>
      <c r="I1303" s="354" t="s">
        <v>209</v>
      </c>
      <c r="J1303" s="340" t="s">
        <v>9285</v>
      </c>
      <c r="K1303" s="339" t="s">
        <v>71</v>
      </c>
      <c r="L1303" s="357">
        <v>9</v>
      </c>
      <c r="M1303" s="358" t="s">
        <v>4800</v>
      </c>
      <c r="N1303" s="359">
        <v>1000</v>
      </c>
      <c r="O1303" s="360" t="s">
        <v>530</v>
      </c>
      <c r="P1303" s="343" t="s">
        <v>530</v>
      </c>
      <c r="Q1303" s="342" t="s">
        <v>2688</v>
      </c>
      <c r="R1303" s="344">
        <v>30</v>
      </c>
      <c r="S1303" s="345">
        <v>25</v>
      </c>
      <c r="T1303" s="362">
        <v>25</v>
      </c>
      <c r="U1303" s="361">
        <v>79.239999999999995</v>
      </c>
      <c r="V1303" s="346">
        <v>118.27282345648159</v>
      </c>
      <c r="W1303" s="348">
        <v>118.28845432081742</v>
      </c>
      <c r="X1303" s="347">
        <v>59.69</v>
      </c>
      <c r="Y1303" s="357" t="s">
        <v>408</v>
      </c>
      <c r="Z1303" s="365" t="s">
        <v>3017</v>
      </c>
      <c r="AA1303" s="350">
        <v>198</v>
      </c>
      <c r="AB1303" s="349" t="s">
        <v>2685</v>
      </c>
      <c r="AC1303" s="350">
        <v>10</v>
      </c>
      <c r="AD1303" s="349" t="s">
        <v>2685</v>
      </c>
      <c r="AE1303" s="364">
        <v>0</v>
      </c>
      <c r="AF1303" s="366">
        <v>0</v>
      </c>
      <c r="AG1303" s="363">
        <v>0</v>
      </c>
      <c r="AH1303" s="635" t="s">
        <v>408</v>
      </c>
      <c r="AL1303" s="487" t="s">
        <v>15707</v>
      </c>
      <c r="AM1303" s="477" t="s">
        <v>71</v>
      </c>
      <c r="AN1303" s="637">
        <v>100</v>
      </c>
      <c r="AO1303" s="478">
        <v>-1570</v>
      </c>
      <c r="AP1303" s="463">
        <v>-716</v>
      </c>
      <c r="AQ1303" s="479">
        <v>-854</v>
      </c>
      <c r="AR1303" s="476" t="s">
        <v>17432</v>
      </c>
      <c r="BA1303" s="313" t="s">
        <v>5588</v>
      </c>
    </row>
    <row r="1304" spans="2:53" ht="16.5" customHeight="1">
      <c r="B1304" s="367" t="s">
        <v>11442</v>
      </c>
      <c r="C1304" s="351" t="s">
        <v>11443</v>
      </c>
      <c r="D1304" s="353">
        <v>-1570</v>
      </c>
      <c r="E1304" s="352" t="s">
        <v>11439</v>
      </c>
      <c r="F1304" s="341">
        <v>79.19</v>
      </c>
      <c r="G1304" s="355" t="s">
        <v>11444</v>
      </c>
      <c r="H1304" s="356" t="s">
        <v>4995</v>
      </c>
      <c r="I1304" s="354" t="s">
        <v>479</v>
      </c>
      <c r="J1304" s="340" t="s">
        <v>11445</v>
      </c>
      <c r="K1304" s="339" t="s">
        <v>70</v>
      </c>
      <c r="L1304" s="357">
        <v>53</v>
      </c>
      <c r="M1304" s="358" t="s">
        <v>11446</v>
      </c>
      <c r="N1304" s="359">
        <v>500</v>
      </c>
      <c r="O1304" s="360" t="s">
        <v>454</v>
      </c>
      <c r="P1304" s="343" t="s">
        <v>454</v>
      </c>
      <c r="Q1304" s="342" t="s">
        <v>2688</v>
      </c>
      <c r="R1304" s="344">
        <v>20</v>
      </c>
      <c r="S1304" s="345">
        <v>30</v>
      </c>
      <c r="T1304" s="362">
        <v>30</v>
      </c>
      <c r="U1304" s="361">
        <v>79.19</v>
      </c>
      <c r="V1304" s="346">
        <v>118.2421875</v>
      </c>
      <c r="W1304" s="348">
        <v>118.27155172413792</v>
      </c>
      <c r="X1304" s="347">
        <v>59.47</v>
      </c>
      <c r="Y1304" s="357" t="s">
        <v>408</v>
      </c>
      <c r="Z1304" s="365" t="s">
        <v>3017</v>
      </c>
      <c r="AA1304" s="350">
        <v>97</v>
      </c>
      <c r="AB1304" s="349" t="s">
        <v>2685</v>
      </c>
      <c r="AC1304" s="350">
        <v>2</v>
      </c>
      <c r="AD1304" s="349" t="s">
        <v>2685</v>
      </c>
      <c r="AE1304" s="364">
        <v>0</v>
      </c>
      <c r="AF1304" s="366">
        <v>0</v>
      </c>
      <c r="AG1304" s="363">
        <v>0</v>
      </c>
      <c r="AH1304" s="635" t="s">
        <v>408</v>
      </c>
      <c r="AL1304" s="487" t="s">
        <v>15708</v>
      </c>
      <c r="AM1304" s="477" t="s">
        <v>70</v>
      </c>
      <c r="AN1304" s="637">
        <v>100</v>
      </c>
      <c r="AO1304" s="478">
        <v>-1570</v>
      </c>
      <c r="AP1304" s="463">
        <v>-1570</v>
      </c>
      <c r="AQ1304" s="479">
        <v>0</v>
      </c>
      <c r="AR1304" s="476" t="s">
        <v>17433</v>
      </c>
      <c r="BA1304" s="313" t="s">
        <v>5589</v>
      </c>
    </row>
    <row r="1305" spans="2:53" ht="16.5" customHeight="1">
      <c r="B1305" s="367" t="s">
        <v>11442</v>
      </c>
      <c r="C1305" s="351" t="s">
        <v>11443</v>
      </c>
      <c r="D1305" s="353">
        <v>-1570</v>
      </c>
      <c r="E1305" s="352" t="s">
        <v>11439</v>
      </c>
      <c r="F1305" s="341">
        <v>79.180000000000007</v>
      </c>
      <c r="G1305" s="355" t="s">
        <v>11392</v>
      </c>
      <c r="H1305" s="356" t="s">
        <v>5011</v>
      </c>
      <c r="I1305" s="354" t="s">
        <v>423</v>
      </c>
      <c r="J1305" s="340" t="s">
        <v>9411</v>
      </c>
      <c r="K1305" s="339" t="s">
        <v>71</v>
      </c>
      <c r="L1305" s="357">
        <v>10</v>
      </c>
      <c r="M1305" s="358" t="s">
        <v>11447</v>
      </c>
      <c r="N1305" s="359">
        <v>1000</v>
      </c>
      <c r="O1305" s="360" t="s">
        <v>530</v>
      </c>
      <c r="P1305" s="343" t="s">
        <v>531</v>
      </c>
      <c r="Q1305" s="342" t="s">
        <v>2688</v>
      </c>
      <c r="R1305" s="344">
        <v>30</v>
      </c>
      <c r="S1305" s="345">
        <v>25</v>
      </c>
      <c r="T1305" s="362">
        <v>25</v>
      </c>
      <c r="U1305" s="361">
        <v>79.180000000000007</v>
      </c>
      <c r="V1305" s="346">
        <v>118.23627208816265</v>
      </c>
      <c r="W1305" s="348">
        <v>118.26828804864145</v>
      </c>
      <c r="X1305" s="347">
        <v>59.67</v>
      </c>
      <c r="Y1305" s="357">
        <v>60.01</v>
      </c>
      <c r="Z1305" s="365" t="s">
        <v>3017</v>
      </c>
      <c r="AA1305" s="350">
        <v>198</v>
      </c>
      <c r="AB1305" s="349" t="s">
        <v>2685</v>
      </c>
      <c r="AC1305" s="350">
        <v>10</v>
      </c>
      <c r="AD1305" s="349" t="s">
        <v>2685</v>
      </c>
      <c r="AE1305" s="364">
        <v>0</v>
      </c>
      <c r="AF1305" s="366">
        <v>0</v>
      </c>
      <c r="AG1305" s="363">
        <v>0</v>
      </c>
      <c r="AH1305" s="635" t="s">
        <v>408</v>
      </c>
      <c r="AL1305" s="487" t="s">
        <v>15709</v>
      </c>
      <c r="AM1305" s="477" t="s">
        <v>71</v>
      </c>
      <c r="AN1305" s="637">
        <v>100</v>
      </c>
      <c r="AO1305" s="478">
        <v>-1570</v>
      </c>
      <c r="AP1305" s="463">
        <v>-715</v>
      </c>
      <c r="AQ1305" s="479">
        <v>-855</v>
      </c>
      <c r="AR1305" s="476" t="s">
        <v>17434</v>
      </c>
      <c r="BA1305" s="313" t="s">
        <v>5590</v>
      </c>
    </row>
    <row r="1306" spans="2:53" ht="16.5" customHeight="1">
      <c r="B1306" s="367" t="s">
        <v>5349</v>
      </c>
      <c r="C1306" s="351" t="s">
        <v>5350</v>
      </c>
      <c r="D1306" s="353">
        <v>-1570</v>
      </c>
      <c r="E1306" s="352" t="s">
        <v>408</v>
      </c>
      <c r="F1306" s="341">
        <v>79.17</v>
      </c>
      <c r="G1306" s="355" t="s">
        <v>18836</v>
      </c>
      <c r="H1306" s="356" t="s">
        <v>10866</v>
      </c>
      <c r="I1306" s="354" t="s">
        <v>215</v>
      </c>
      <c r="J1306" s="340" t="s">
        <v>9709</v>
      </c>
      <c r="K1306" s="339" t="s">
        <v>71</v>
      </c>
      <c r="L1306" s="357">
        <v>6</v>
      </c>
      <c r="M1306" s="358" t="s">
        <v>11449</v>
      </c>
      <c r="N1306" s="359">
        <v>1000</v>
      </c>
      <c r="O1306" s="360" t="s">
        <v>530</v>
      </c>
      <c r="P1306" s="343" t="s">
        <v>531</v>
      </c>
      <c r="Q1306" s="342" t="s">
        <v>2688</v>
      </c>
      <c r="R1306" s="344">
        <v>38</v>
      </c>
      <c r="S1306" s="345">
        <v>25</v>
      </c>
      <c r="T1306" s="362">
        <v>25</v>
      </c>
      <c r="U1306" s="361">
        <v>79.17</v>
      </c>
      <c r="V1306" s="346">
        <v>118.23380046566795</v>
      </c>
      <c r="W1306" s="348">
        <v>118.26692439485127</v>
      </c>
      <c r="X1306" s="347">
        <v>59.67</v>
      </c>
      <c r="Y1306" s="357">
        <v>60.16</v>
      </c>
      <c r="Z1306" s="365" t="s">
        <v>3017</v>
      </c>
      <c r="AA1306" s="350">
        <v>121.25</v>
      </c>
      <c r="AB1306" s="349" t="s">
        <v>2685</v>
      </c>
      <c r="AC1306" s="350">
        <v>10</v>
      </c>
      <c r="AD1306" s="349" t="s">
        <v>2685</v>
      </c>
      <c r="AE1306" s="364">
        <v>0</v>
      </c>
      <c r="AF1306" s="366">
        <v>0</v>
      </c>
      <c r="AG1306" s="363">
        <v>0</v>
      </c>
      <c r="AH1306" s="635" t="s">
        <v>8002</v>
      </c>
      <c r="AL1306" s="487" t="s">
        <v>15710</v>
      </c>
      <c r="AM1306" s="477" t="s">
        <v>71</v>
      </c>
      <c r="AN1306" s="637">
        <v>100</v>
      </c>
      <c r="AO1306" s="478">
        <v>-1570</v>
      </c>
      <c r="AP1306" s="463">
        <v>-715</v>
      </c>
      <c r="AQ1306" s="479">
        <v>-855</v>
      </c>
      <c r="AR1306" s="476" t="s">
        <v>17435</v>
      </c>
      <c r="BA1306" s="313" t="s">
        <v>5591</v>
      </c>
    </row>
    <row r="1307" spans="2:53" ht="16.5" customHeight="1">
      <c r="B1307" s="367" t="s">
        <v>5414</v>
      </c>
      <c r="C1307" s="351" t="s">
        <v>5415</v>
      </c>
      <c r="D1307" s="353">
        <v>-1570</v>
      </c>
      <c r="E1307" s="352" t="s">
        <v>5514</v>
      </c>
      <c r="F1307" s="341">
        <v>79.17</v>
      </c>
      <c r="G1307" s="355" t="s">
        <v>18836</v>
      </c>
      <c r="H1307" s="356" t="s">
        <v>4988</v>
      </c>
      <c r="I1307" s="354" t="s">
        <v>301</v>
      </c>
      <c r="J1307" s="340" t="s">
        <v>11450</v>
      </c>
      <c r="K1307" s="339" t="s">
        <v>70</v>
      </c>
      <c r="L1307" s="357">
        <v>4</v>
      </c>
      <c r="M1307" s="358" t="s">
        <v>5617</v>
      </c>
      <c r="N1307" s="359">
        <v>1000</v>
      </c>
      <c r="O1307" s="360" t="s">
        <v>530</v>
      </c>
      <c r="P1307" s="343" t="s">
        <v>531</v>
      </c>
      <c r="Q1307" s="342" t="s">
        <v>2688</v>
      </c>
      <c r="R1307" s="344">
        <v>30</v>
      </c>
      <c r="S1307" s="345">
        <v>30</v>
      </c>
      <c r="T1307" s="362">
        <v>20</v>
      </c>
      <c r="U1307" s="361">
        <v>79.17</v>
      </c>
      <c r="V1307" s="346">
        <v>118.23195385896065</v>
      </c>
      <c r="W1307" s="348">
        <v>118.26590557735759</v>
      </c>
      <c r="X1307" s="347">
        <v>59.67</v>
      </c>
      <c r="Y1307" s="357">
        <v>60.01</v>
      </c>
      <c r="Z1307" s="365" t="s">
        <v>3017</v>
      </c>
      <c r="AA1307" s="350">
        <v>195</v>
      </c>
      <c r="AB1307" s="349" t="s">
        <v>2685</v>
      </c>
      <c r="AC1307" s="350">
        <v>10</v>
      </c>
      <c r="AD1307" s="349" t="s">
        <v>2685</v>
      </c>
      <c r="AE1307" s="364">
        <v>0</v>
      </c>
      <c r="AF1307" s="366">
        <v>0</v>
      </c>
      <c r="AG1307" s="363">
        <v>0</v>
      </c>
      <c r="AH1307" s="635" t="s">
        <v>408</v>
      </c>
      <c r="AL1307" s="487" t="s">
        <v>15711</v>
      </c>
      <c r="AM1307" s="477" t="s">
        <v>70</v>
      </c>
      <c r="AN1307" s="637">
        <v>100</v>
      </c>
      <c r="AO1307" s="478">
        <v>-1570</v>
      </c>
      <c r="AP1307" s="463">
        <v>-1570</v>
      </c>
      <c r="AQ1307" s="479">
        <v>0</v>
      </c>
      <c r="AR1307" s="476" t="s">
        <v>17436</v>
      </c>
      <c r="BA1307" s="313" t="s">
        <v>5593</v>
      </c>
    </row>
    <row r="1308" spans="2:53" ht="16.5" customHeight="1">
      <c r="B1308" s="367" t="s">
        <v>5419</v>
      </c>
      <c r="C1308" s="351" t="s">
        <v>5420</v>
      </c>
      <c r="D1308" s="353">
        <v>-1570</v>
      </c>
      <c r="E1308" s="352" t="s">
        <v>11448</v>
      </c>
      <c r="F1308" s="341">
        <v>79.150000000000006</v>
      </c>
      <c r="G1308" s="355" t="s">
        <v>11451</v>
      </c>
      <c r="H1308" s="356" t="s">
        <v>10854</v>
      </c>
      <c r="I1308" s="354" t="s">
        <v>209</v>
      </c>
      <c r="J1308" s="340" t="s">
        <v>11452</v>
      </c>
      <c r="K1308" s="339" t="s">
        <v>70</v>
      </c>
      <c r="L1308" s="357">
        <v>16</v>
      </c>
      <c r="M1308" s="358" t="s">
        <v>4832</v>
      </c>
      <c r="N1308" s="359">
        <v>1000</v>
      </c>
      <c r="O1308" s="360" t="s">
        <v>530</v>
      </c>
      <c r="P1308" s="343" t="s">
        <v>530</v>
      </c>
      <c r="Q1308" s="342" t="s">
        <v>2688</v>
      </c>
      <c r="R1308" s="344">
        <v>20</v>
      </c>
      <c r="S1308" s="345">
        <v>30</v>
      </c>
      <c r="T1308" s="362">
        <v>30</v>
      </c>
      <c r="U1308" s="361">
        <v>79.150000000000006</v>
      </c>
      <c r="V1308" s="346">
        <v>118.22180213554971</v>
      </c>
      <c r="W1308" s="348">
        <v>118.26030462651018</v>
      </c>
      <c r="X1308" s="347">
        <v>59.46</v>
      </c>
      <c r="Y1308" s="357" t="s">
        <v>408</v>
      </c>
      <c r="Z1308" s="365" t="s">
        <v>3017</v>
      </c>
      <c r="AA1308" s="350">
        <v>198</v>
      </c>
      <c r="AB1308" s="349" t="s">
        <v>2685</v>
      </c>
      <c r="AC1308" s="350">
        <v>10</v>
      </c>
      <c r="AD1308" s="349" t="s">
        <v>2685</v>
      </c>
      <c r="AE1308" s="364">
        <v>0</v>
      </c>
      <c r="AF1308" s="366">
        <v>0</v>
      </c>
      <c r="AG1308" s="363">
        <v>0</v>
      </c>
      <c r="AH1308" s="635" t="s">
        <v>408</v>
      </c>
      <c r="AL1308" s="487" t="s">
        <v>15712</v>
      </c>
      <c r="AM1308" s="477" t="s">
        <v>70</v>
      </c>
      <c r="AN1308" s="637">
        <v>100</v>
      </c>
      <c r="AO1308" s="478">
        <v>-1570</v>
      </c>
      <c r="AP1308" s="463">
        <v>-1570</v>
      </c>
      <c r="AQ1308" s="479">
        <v>0</v>
      </c>
      <c r="AR1308" s="476" t="s">
        <v>17437</v>
      </c>
      <c r="BA1308" s="313" t="s">
        <v>5595</v>
      </c>
    </row>
    <row r="1309" spans="2:53" ht="16.5" customHeight="1">
      <c r="B1309" s="367" t="s">
        <v>11453</v>
      </c>
      <c r="C1309" s="351" t="s">
        <v>11454</v>
      </c>
      <c r="D1309" s="353">
        <v>-1570</v>
      </c>
      <c r="E1309" s="352" t="s">
        <v>5514</v>
      </c>
      <c r="F1309" s="341">
        <v>79.150000000000006</v>
      </c>
      <c r="G1309" s="355" t="s">
        <v>11455</v>
      </c>
      <c r="H1309" s="356" t="s">
        <v>5008</v>
      </c>
      <c r="I1309" s="354" t="s">
        <v>215</v>
      </c>
      <c r="J1309" s="340" t="s">
        <v>11457</v>
      </c>
      <c r="K1309" s="339" t="s">
        <v>70</v>
      </c>
      <c r="L1309" s="357">
        <v>8</v>
      </c>
      <c r="M1309" s="358" t="s">
        <v>11458</v>
      </c>
      <c r="N1309" s="359">
        <v>1000</v>
      </c>
      <c r="O1309" s="360" t="s">
        <v>530</v>
      </c>
      <c r="P1309" s="343" t="s">
        <v>531</v>
      </c>
      <c r="Q1309" s="342" t="s">
        <v>2688</v>
      </c>
      <c r="R1309" s="344">
        <v>25</v>
      </c>
      <c r="S1309" s="345">
        <v>38</v>
      </c>
      <c r="T1309" s="362">
        <v>25</v>
      </c>
      <c r="U1309" s="361">
        <v>79.150000000000006</v>
      </c>
      <c r="V1309" s="346">
        <v>118.22084821837502</v>
      </c>
      <c r="W1309" s="348">
        <v>118.25977832737932</v>
      </c>
      <c r="X1309" s="347">
        <v>59.46</v>
      </c>
      <c r="Y1309" s="357">
        <v>59.83</v>
      </c>
      <c r="Z1309" s="365" t="s">
        <v>3017</v>
      </c>
      <c r="AA1309" s="350">
        <v>121.25</v>
      </c>
      <c r="AB1309" s="349" t="s">
        <v>2685</v>
      </c>
      <c r="AC1309" s="350">
        <v>10</v>
      </c>
      <c r="AD1309" s="349" t="s">
        <v>2685</v>
      </c>
      <c r="AE1309" s="364">
        <v>0</v>
      </c>
      <c r="AF1309" s="366">
        <v>0</v>
      </c>
      <c r="AG1309" s="363">
        <v>0</v>
      </c>
      <c r="AH1309" s="635" t="s">
        <v>408</v>
      </c>
      <c r="AL1309" s="487" t="s">
        <v>15713</v>
      </c>
      <c r="AM1309" s="477" t="s">
        <v>70</v>
      </c>
      <c r="AN1309" s="637">
        <v>100</v>
      </c>
      <c r="AO1309" s="478">
        <v>-1570</v>
      </c>
      <c r="AP1309" s="463">
        <v>-1570</v>
      </c>
      <c r="AQ1309" s="479">
        <v>0</v>
      </c>
      <c r="AR1309" s="476" t="s">
        <v>17438</v>
      </c>
      <c r="BA1309" s="313" t="s">
        <v>5598</v>
      </c>
    </row>
    <row r="1310" spans="2:53" ht="16.5" customHeight="1">
      <c r="B1310" s="367" t="s">
        <v>5352</v>
      </c>
      <c r="C1310" s="351" t="s">
        <v>5353</v>
      </c>
      <c r="D1310" s="353">
        <v>-1570</v>
      </c>
      <c r="E1310" s="352" t="s">
        <v>408</v>
      </c>
      <c r="F1310" s="341">
        <v>79.13</v>
      </c>
      <c r="G1310" s="355" t="s">
        <v>11401</v>
      </c>
      <c r="H1310" s="356" t="s">
        <v>5013</v>
      </c>
      <c r="I1310" s="354" t="s">
        <v>215</v>
      </c>
      <c r="J1310" s="340" t="s">
        <v>8654</v>
      </c>
      <c r="K1310" s="339" t="s">
        <v>71</v>
      </c>
      <c r="L1310" s="357">
        <v>11</v>
      </c>
      <c r="M1310" s="358" t="s">
        <v>11461</v>
      </c>
      <c r="N1310" s="359">
        <v>1000</v>
      </c>
      <c r="O1310" s="360" t="s">
        <v>530</v>
      </c>
      <c r="P1310" s="343" t="s">
        <v>531</v>
      </c>
      <c r="Q1310" s="342" t="s">
        <v>2688</v>
      </c>
      <c r="R1310" s="344">
        <v>38</v>
      </c>
      <c r="S1310" s="345">
        <v>25</v>
      </c>
      <c r="T1310" s="362">
        <v>25</v>
      </c>
      <c r="U1310" s="361">
        <v>79.13</v>
      </c>
      <c r="V1310" s="346">
        <v>118.20322453103719</v>
      </c>
      <c r="W1310" s="348">
        <v>118.25005491367568</v>
      </c>
      <c r="X1310" s="347">
        <v>59.65</v>
      </c>
      <c r="Y1310" s="357">
        <v>60.15</v>
      </c>
      <c r="Z1310" s="365" t="s">
        <v>3017</v>
      </c>
      <c r="AA1310" s="350">
        <v>121.25</v>
      </c>
      <c r="AB1310" s="349" t="s">
        <v>2685</v>
      </c>
      <c r="AC1310" s="350">
        <v>10</v>
      </c>
      <c r="AD1310" s="349" t="s">
        <v>2685</v>
      </c>
      <c r="AE1310" s="364">
        <v>0</v>
      </c>
      <c r="AF1310" s="366">
        <v>0</v>
      </c>
      <c r="AG1310" s="363">
        <v>0</v>
      </c>
      <c r="AH1310" s="635" t="s">
        <v>8002</v>
      </c>
      <c r="AL1310" s="487" t="s">
        <v>15714</v>
      </c>
      <c r="AM1310" s="477" t="s">
        <v>71</v>
      </c>
      <c r="AN1310" s="637">
        <v>100</v>
      </c>
      <c r="AO1310" s="478">
        <v>-1570</v>
      </c>
      <c r="AP1310" s="463">
        <v>-715</v>
      </c>
      <c r="AQ1310" s="479">
        <v>-855</v>
      </c>
      <c r="AR1310" s="476" t="s">
        <v>17439</v>
      </c>
      <c r="BA1310" s="313" t="s">
        <v>5602</v>
      </c>
    </row>
    <row r="1311" spans="2:53" ht="16.5" customHeight="1">
      <c r="B1311" s="367" t="s">
        <v>5426</v>
      </c>
      <c r="C1311" s="351" t="s">
        <v>5427</v>
      </c>
      <c r="D1311" s="353">
        <v>-1570</v>
      </c>
      <c r="E1311" s="352" t="s">
        <v>408</v>
      </c>
      <c r="F1311" s="341">
        <v>79.13</v>
      </c>
      <c r="G1311" s="355" t="s">
        <v>11401</v>
      </c>
      <c r="H1311" s="356" t="s">
        <v>5013</v>
      </c>
      <c r="I1311" s="354" t="s">
        <v>425</v>
      </c>
      <c r="J1311" s="340" t="s">
        <v>11463</v>
      </c>
      <c r="K1311" s="339" t="s">
        <v>71</v>
      </c>
      <c r="L1311" s="357">
        <v>8</v>
      </c>
      <c r="M1311" s="358" t="s">
        <v>5186</v>
      </c>
      <c r="N1311" s="359">
        <v>1000</v>
      </c>
      <c r="O1311" s="360" t="s">
        <v>454</v>
      </c>
      <c r="P1311" s="343" t="s">
        <v>454</v>
      </c>
      <c r="Q1311" s="342" t="s">
        <v>2738</v>
      </c>
      <c r="R1311" s="344">
        <v>35</v>
      </c>
      <c r="S1311" s="345">
        <v>25</v>
      </c>
      <c r="T1311" s="362">
        <v>20</v>
      </c>
      <c r="U1311" s="361">
        <v>79.13</v>
      </c>
      <c r="V1311" s="346">
        <v>118.203125</v>
      </c>
      <c r="W1311" s="348">
        <v>118.25</v>
      </c>
      <c r="X1311" s="347">
        <v>59.65</v>
      </c>
      <c r="Y1311" s="357" t="s">
        <v>408</v>
      </c>
      <c r="Z1311" s="365" t="s">
        <v>3017</v>
      </c>
      <c r="AA1311" s="350">
        <v>196</v>
      </c>
      <c r="AB1311" s="349" t="s">
        <v>2685</v>
      </c>
      <c r="AC1311" s="350">
        <v>10</v>
      </c>
      <c r="AD1311" s="349" t="s">
        <v>2685</v>
      </c>
      <c r="AE1311" s="364">
        <v>0</v>
      </c>
      <c r="AF1311" s="366">
        <v>0</v>
      </c>
      <c r="AG1311" s="363">
        <v>0</v>
      </c>
      <c r="AH1311" s="635" t="s">
        <v>408</v>
      </c>
      <c r="AL1311" s="487" t="s">
        <v>15715</v>
      </c>
      <c r="AM1311" s="477" t="s">
        <v>71</v>
      </c>
      <c r="AN1311" s="637">
        <v>100</v>
      </c>
      <c r="AO1311" s="478">
        <v>-1570</v>
      </c>
      <c r="AP1311" s="463">
        <v>-715</v>
      </c>
      <c r="AQ1311" s="479">
        <v>-855</v>
      </c>
      <c r="AR1311" s="476" t="s">
        <v>17439</v>
      </c>
      <c r="BA1311" s="313" t="s">
        <v>5606</v>
      </c>
    </row>
    <row r="1312" spans="2:53" ht="16.5" customHeight="1">
      <c r="B1312" s="367" t="s">
        <v>11399</v>
      </c>
      <c r="C1312" s="351" t="s">
        <v>11400</v>
      </c>
      <c r="D1312" s="353">
        <v>-1570</v>
      </c>
      <c r="E1312" s="352" t="s">
        <v>11459</v>
      </c>
      <c r="F1312" s="341">
        <v>79.12</v>
      </c>
      <c r="G1312" s="355" t="s">
        <v>11401</v>
      </c>
      <c r="H1312" s="356" t="s">
        <v>5013</v>
      </c>
      <c r="I1312" s="354" t="s">
        <v>209</v>
      </c>
      <c r="J1312" s="340" t="s">
        <v>8863</v>
      </c>
      <c r="K1312" s="339" t="s">
        <v>71</v>
      </c>
      <c r="L1312" s="357">
        <v>10</v>
      </c>
      <c r="M1312" s="358" t="s">
        <v>11441</v>
      </c>
      <c r="N1312" s="359">
        <v>1000</v>
      </c>
      <c r="O1312" s="360" t="s">
        <v>530</v>
      </c>
      <c r="P1312" s="343" t="s">
        <v>530</v>
      </c>
      <c r="Q1312" s="342" t="s">
        <v>2688</v>
      </c>
      <c r="R1312" s="344">
        <v>30</v>
      </c>
      <c r="S1312" s="345">
        <v>25</v>
      </c>
      <c r="T1312" s="362">
        <v>25</v>
      </c>
      <c r="U1312" s="361">
        <v>79.12</v>
      </c>
      <c r="V1312" s="346">
        <v>118.20206973804393</v>
      </c>
      <c r="W1312" s="348">
        <v>118.249417786507</v>
      </c>
      <c r="X1312" s="347">
        <v>59.65</v>
      </c>
      <c r="Y1312" s="357" t="s">
        <v>408</v>
      </c>
      <c r="Z1312" s="365" t="s">
        <v>3017</v>
      </c>
      <c r="AA1312" s="350">
        <v>198</v>
      </c>
      <c r="AB1312" s="349" t="s">
        <v>2685</v>
      </c>
      <c r="AC1312" s="350">
        <v>10</v>
      </c>
      <c r="AD1312" s="349" t="s">
        <v>2685</v>
      </c>
      <c r="AE1312" s="364">
        <v>0</v>
      </c>
      <c r="AF1312" s="366">
        <v>0</v>
      </c>
      <c r="AG1312" s="363">
        <v>0</v>
      </c>
      <c r="AH1312" s="635" t="s">
        <v>408</v>
      </c>
      <c r="AL1312" s="487" t="s">
        <v>15716</v>
      </c>
      <c r="AM1312" s="477" t="s">
        <v>71</v>
      </c>
      <c r="AN1312" s="637">
        <v>100</v>
      </c>
      <c r="AO1312" s="478">
        <v>-1570</v>
      </c>
      <c r="AP1312" s="463">
        <v>-715</v>
      </c>
      <c r="AQ1312" s="479">
        <v>-855</v>
      </c>
      <c r="AR1312" s="476" t="s">
        <v>17439</v>
      </c>
      <c r="BA1312" s="313" t="s">
        <v>5608</v>
      </c>
    </row>
    <row r="1313" spans="2:53" ht="16.5" customHeight="1">
      <c r="B1313" s="367" t="s">
        <v>5426</v>
      </c>
      <c r="C1313" s="351" t="s">
        <v>5427</v>
      </c>
      <c r="D1313" s="353">
        <v>-1570</v>
      </c>
      <c r="E1313" s="352" t="s">
        <v>5245</v>
      </c>
      <c r="F1313" s="341">
        <v>79.12</v>
      </c>
      <c r="G1313" s="355" t="s">
        <v>11462</v>
      </c>
      <c r="H1313" s="356" t="s">
        <v>18837</v>
      </c>
      <c r="I1313" s="354" t="s">
        <v>215</v>
      </c>
      <c r="J1313" s="340" t="s">
        <v>541</v>
      </c>
      <c r="K1313" s="339" t="s">
        <v>70</v>
      </c>
      <c r="L1313" s="357">
        <v>4</v>
      </c>
      <c r="M1313" s="358" t="s">
        <v>11464</v>
      </c>
      <c r="N1313" s="359">
        <v>1000</v>
      </c>
      <c r="O1313" s="360" t="s">
        <v>530</v>
      </c>
      <c r="P1313" s="343" t="s">
        <v>531</v>
      </c>
      <c r="Q1313" s="342" t="s">
        <v>2688</v>
      </c>
      <c r="R1313" s="344">
        <v>25</v>
      </c>
      <c r="S1313" s="345">
        <v>38</v>
      </c>
      <c r="T1313" s="362">
        <v>25</v>
      </c>
      <c r="U1313" s="361">
        <v>79.12</v>
      </c>
      <c r="V1313" s="346">
        <v>118.20225336630942</v>
      </c>
      <c r="W1313" s="348">
        <v>118.24951909865347</v>
      </c>
      <c r="X1313" s="347">
        <v>59.45</v>
      </c>
      <c r="Y1313" s="357">
        <v>59.82</v>
      </c>
      <c r="Z1313" s="365" t="s">
        <v>3017</v>
      </c>
      <c r="AA1313" s="350">
        <v>121.25</v>
      </c>
      <c r="AB1313" s="349" t="s">
        <v>2685</v>
      </c>
      <c r="AC1313" s="350">
        <v>10</v>
      </c>
      <c r="AD1313" s="349" t="s">
        <v>2685</v>
      </c>
      <c r="AE1313" s="364">
        <v>0</v>
      </c>
      <c r="AF1313" s="366">
        <v>0</v>
      </c>
      <c r="AG1313" s="363">
        <v>0</v>
      </c>
      <c r="AH1313" s="635" t="s">
        <v>408</v>
      </c>
      <c r="AL1313" s="487" t="s">
        <v>15717</v>
      </c>
      <c r="AM1313" s="477" t="s">
        <v>70</v>
      </c>
      <c r="AN1313" s="637">
        <v>100</v>
      </c>
      <c r="AO1313" s="478">
        <v>-1570</v>
      </c>
      <c r="AP1313" s="463">
        <v>-1570</v>
      </c>
      <c r="AQ1313" s="479">
        <v>0</v>
      </c>
      <c r="AR1313" s="476" t="s">
        <v>17440</v>
      </c>
      <c r="BA1313" s="313" t="s">
        <v>5610</v>
      </c>
    </row>
    <row r="1314" spans="2:53" ht="16.5" customHeight="1">
      <c r="B1314" s="367" t="s">
        <v>5376</v>
      </c>
      <c r="C1314" s="351" t="s">
        <v>5377</v>
      </c>
      <c r="D1314" s="353">
        <v>-1570</v>
      </c>
      <c r="E1314" s="352" t="s">
        <v>11462</v>
      </c>
      <c r="F1314" s="341">
        <v>79.11</v>
      </c>
      <c r="G1314" s="355" t="s">
        <v>18838</v>
      </c>
      <c r="H1314" s="356" t="s">
        <v>4917</v>
      </c>
      <c r="I1314" s="354" t="s">
        <v>214</v>
      </c>
      <c r="J1314" s="340" t="s">
        <v>542</v>
      </c>
      <c r="K1314" s="339" t="s">
        <v>71</v>
      </c>
      <c r="L1314" s="357">
        <v>4</v>
      </c>
      <c r="M1314" s="358" t="s">
        <v>11440</v>
      </c>
      <c r="N1314" s="359">
        <v>200</v>
      </c>
      <c r="O1314" s="360" t="s">
        <v>532</v>
      </c>
      <c r="P1314" s="343" t="s">
        <v>532</v>
      </c>
      <c r="Q1314" s="342" t="s">
        <v>2688</v>
      </c>
      <c r="R1314" s="344">
        <v>30</v>
      </c>
      <c r="S1314" s="345">
        <v>20</v>
      </c>
      <c r="T1314" s="362">
        <v>30</v>
      </c>
      <c r="U1314" s="361">
        <v>79.11</v>
      </c>
      <c r="V1314" s="346">
        <v>118.19447674224392</v>
      </c>
      <c r="W1314" s="348">
        <v>118.24522854744492</v>
      </c>
      <c r="X1314" s="347" t="s">
        <v>18839</v>
      </c>
      <c r="Y1314" s="357" t="s">
        <v>408</v>
      </c>
      <c r="Z1314" s="365" t="s">
        <v>4408</v>
      </c>
      <c r="AA1314" s="350">
        <v>36</v>
      </c>
      <c r="AB1314" s="349" t="s">
        <v>2685</v>
      </c>
      <c r="AC1314" s="350">
        <v>0</v>
      </c>
      <c r="AD1314" s="349" t="s">
        <v>2685</v>
      </c>
      <c r="AE1314" s="364">
        <v>0</v>
      </c>
      <c r="AF1314" s="366">
        <v>0</v>
      </c>
      <c r="AG1314" s="363">
        <v>0</v>
      </c>
      <c r="AH1314" s="635" t="s">
        <v>408</v>
      </c>
      <c r="AL1314" s="487" t="s">
        <v>15718</v>
      </c>
      <c r="AM1314" s="477" t="s">
        <v>71</v>
      </c>
      <c r="AN1314" s="637">
        <v>100</v>
      </c>
      <c r="AO1314" s="478">
        <v>-1570</v>
      </c>
      <c r="AP1314" s="463">
        <v>-715</v>
      </c>
      <c r="AQ1314" s="479">
        <v>-855</v>
      </c>
      <c r="AR1314" s="476" t="s">
        <v>17441</v>
      </c>
      <c r="BA1314" s="313" t="s">
        <v>5611</v>
      </c>
    </row>
    <row r="1315" spans="2:53" ht="16.5" customHeight="1">
      <c r="B1315" s="367" t="s">
        <v>5433</v>
      </c>
      <c r="C1315" s="351" t="s">
        <v>5434</v>
      </c>
      <c r="D1315" s="353">
        <v>-1570</v>
      </c>
      <c r="E1315" s="352" t="s">
        <v>408</v>
      </c>
      <c r="F1315" s="341">
        <v>79.09</v>
      </c>
      <c r="G1315" s="355" t="s">
        <v>5524</v>
      </c>
      <c r="H1315" s="356" t="s">
        <v>18840</v>
      </c>
      <c r="I1315" s="354" t="s">
        <v>215</v>
      </c>
      <c r="J1315" s="340" t="s">
        <v>9252</v>
      </c>
      <c r="K1315" s="339" t="s">
        <v>70</v>
      </c>
      <c r="L1315" s="357">
        <v>7</v>
      </c>
      <c r="M1315" s="358" t="s">
        <v>11466</v>
      </c>
      <c r="N1315" s="359">
        <v>1000</v>
      </c>
      <c r="O1315" s="360" t="s">
        <v>530</v>
      </c>
      <c r="P1315" s="343" t="s">
        <v>531</v>
      </c>
      <c r="Q1315" s="342" t="s">
        <v>2688</v>
      </c>
      <c r="R1315" s="344">
        <v>25</v>
      </c>
      <c r="S1315" s="345">
        <v>38</v>
      </c>
      <c r="T1315" s="362">
        <v>25</v>
      </c>
      <c r="U1315" s="361">
        <v>79.09</v>
      </c>
      <c r="V1315" s="346">
        <v>118.18365851424386</v>
      </c>
      <c r="W1315" s="348">
        <v>118.23925986992764</v>
      </c>
      <c r="X1315" s="347">
        <v>59.44</v>
      </c>
      <c r="Y1315" s="357">
        <v>59.809999999999995</v>
      </c>
      <c r="Z1315" s="365" t="s">
        <v>3017</v>
      </c>
      <c r="AA1315" s="350">
        <v>121.25</v>
      </c>
      <c r="AB1315" s="349" t="s">
        <v>2685</v>
      </c>
      <c r="AC1315" s="350">
        <v>10</v>
      </c>
      <c r="AD1315" s="349" t="s">
        <v>2685</v>
      </c>
      <c r="AE1315" s="364">
        <v>0</v>
      </c>
      <c r="AF1315" s="366">
        <v>0</v>
      </c>
      <c r="AG1315" s="363">
        <v>0</v>
      </c>
      <c r="AH1315" s="635" t="s">
        <v>408</v>
      </c>
      <c r="AL1315" s="487" t="s">
        <v>15719</v>
      </c>
      <c r="AM1315" s="477" t="s">
        <v>70</v>
      </c>
      <c r="AN1315" s="637">
        <v>100</v>
      </c>
      <c r="AO1315" s="478">
        <v>-1570</v>
      </c>
      <c r="AP1315" s="463">
        <v>-1570</v>
      </c>
      <c r="AQ1315" s="479">
        <v>0</v>
      </c>
      <c r="AR1315" s="476" t="s">
        <v>17442</v>
      </c>
      <c r="BA1315" s="313" t="s">
        <v>5613</v>
      </c>
    </row>
    <row r="1316" spans="2:53" ht="16.5" customHeight="1">
      <c r="B1316" s="367" t="s">
        <v>11467</v>
      </c>
      <c r="C1316" s="351" t="s">
        <v>11468</v>
      </c>
      <c r="D1316" s="353">
        <v>-1570</v>
      </c>
      <c r="E1316" s="352" t="s">
        <v>11434</v>
      </c>
      <c r="F1316" s="341">
        <v>79.069999999999993</v>
      </c>
      <c r="G1316" s="355" t="s">
        <v>11469</v>
      </c>
      <c r="H1316" s="356" t="s">
        <v>10872</v>
      </c>
      <c r="I1316" s="354" t="s">
        <v>9336</v>
      </c>
      <c r="J1316" s="340" t="s">
        <v>9439</v>
      </c>
      <c r="K1316" s="339" t="s">
        <v>70</v>
      </c>
      <c r="L1316" s="357">
        <v>16</v>
      </c>
      <c r="M1316" s="358" t="s">
        <v>11470</v>
      </c>
      <c r="N1316" s="359">
        <v>700</v>
      </c>
      <c r="O1316" s="360" t="s">
        <v>532</v>
      </c>
      <c r="P1316" s="343" t="s">
        <v>533</v>
      </c>
      <c r="Q1316" s="342" t="s">
        <v>2688</v>
      </c>
      <c r="R1316" s="344">
        <v>20</v>
      </c>
      <c r="S1316" s="345">
        <v>35</v>
      </c>
      <c r="T1316" s="362">
        <v>30</v>
      </c>
      <c r="U1316" s="361">
        <v>79.069999999999993</v>
      </c>
      <c r="V1316" s="346">
        <v>118.16813513180888</v>
      </c>
      <c r="W1316" s="348">
        <v>118.23069524513593</v>
      </c>
      <c r="X1316" s="347">
        <v>59.44</v>
      </c>
      <c r="Y1316" s="357">
        <v>61.559999999999995</v>
      </c>
      <c r="Z1316" s="365" t="s">
        <v>3017</v>
      </c>
      <c r="AA1316" s="350">
        <v>104.5</v>
      </c>
      <c r="AB1316" s="349" t="s">
        <v>2685</v>
      </c>
      <c r="AC1316" s="350">
        <v>0</v>
      </c>
      <c r="AD1316" s="349" t="s">
        <v>2685</v>
      </c>
      <c r="AE1316" s="364">
        <v>0</v>
      </c>
      <c r="AF1316" s="366">
        <v>0</v>
      </c>
      <c r="AG1316" s="363">
        <v>0</v>
      </c>
      <c r="AH1316" s="635" t="s">
        <v>408</v>
      </c>
      <c r="AL1316" s="487" t="s">
        <v>15720</v>
      </c>
      <c r="AM1316" s="477" t="s">
        <v>70</v>
      </c>
      <c r="AN1316" s="637">
        <v>100</v>
      </c>
      <c r="AO1316" s="478">
        <v>-1570</v>
      </c>
      <c r="AP1316" s="463">
        <v>-1570</v>
      </c>
      <c r="AQ1316" s="479">
        <v>0</v>
      </c>
      <c r="AR1316" s="476" t="s">
        <v>17443</v>
      </c>
      <c r="BA1316" s="313" t="s">
        <v>5618</v>
      </c>
    </row>
    <row r="1317" spans="2:53" ht="16.5" customHeight="1">
      <c r="B1317" s="367" t="s">
        <v>5439</v>
      </c>
      <c r="C1317" s="351" t="s">
        <v>5440</v>
      </c>
      <c r="D1317" s="353">
        <v>-1570</v>
      </c>
      <c r="E1317" s="352" t="s">
        <v>11434</v>
      </c>
      <c r="F1317" s="341">
        <v>79.06</v>
      </c>
      <c r="G1317" s="355" t="s">
        <v>11418</v>
      </c>
      <c r="H1317" s="356" t="s">
        <v>5035</v>
      </c>
      <c r="I1317" s="354" t="s">
        <v>422</v>
      </c>
      <c r="J1317" s="340" t="s">
        <v>9657</v>
      </c>
      <c r="K1317" s="339" t="s">
        <v>71</v>
      </c>
      <c r="L1317" s="357">
        <v>18</v>
      </c>
      <c r="M1317" s="358" t="s">
        <v>5284</v>
      </c>
      <c r="N1317" s="359">
        <v>1000</v>
      </c>
      <c r="O1317" s="360" t="s">
        <v>454</v>
      </c>
      <c r="P1317" s="343" t="s">
        <v>454</v>
      </c>
      <c r="Q1317" s="342" t="s">
        <v>2688</v>
      </c>
      <c r="R1317" s="344">
        <v>35</v>
      </c>
      <c r="S1317" s="345">
        <v>25</v>
      </c>
      <c r="T1317" s="362">
        <v>20</v>
      </c>
      <c r="U1317" s="361">
        <v>79.06</v>
      </c>
      <c r="V1317" s="346">
        <v>118.1640625</v>
      </c>
      <c r="W1317" s="348">
        <v>118.22844827586206</v>
      </c>
      <c r="X1317" s="347">
        <v>59.63</v>
      </c>
      <c r="Y1317" s="357" t="s">
        <v>408</v>
      </c>
      <c r="Z1317" s="365" t="s">
        <v>3017</v>
      </c>
      <c r="AA1317" s="350">
        <v>196</v>
      </c>
      <c r="AB1317" s="349" t="s">
        <v>2685</v>
      </c>
      <c r="AC1317" s="350">
        <v>5</v>
      </c>
      <c r="AD1317" s="349" t="s">
        <v>2685</v>
      </c>
      <c r="AE1317" s="364">
        <v>0</v>
      </c>
      <c r="AF1317" s="366">
        <v>0</v>
      </c>
      <c r="AG1317" s="363">
        <v>0</v>
      </c>
      <c r="AH1317" s="635" t="s">
        <v>408</v>
      </c>
      <c r="AL1317" s="487" t="s">
        <v>15721</v>
      </c>
      <c r="AM1317" s="477" t="s">
        <v>71</v>
      </c>
      <c r="AN1317" s="637">
        <v>100</v>
      </c>
      <c r="AO1317" s="478">
        <v>-1570</v>
      </c>
      <c r="AP1317" s="463">
        <v>-715</v>
      </c>
      <c r="AQ1317" s="479">
        <v>-855</v>
      </c>
      <c r="AR1317" s="476" t="s">
        <v>17444</v>
      </c>
      <c r="BA1317" s="313" t="s">
        <v>5619</v>
      </c>
    </row>
    <row r="1318" spans="2:53" ht="16.5" customHeight="1">
      <c r="B1318" s="367" t="s">
        <v>5443</v>
      </c>
      <c r="C1318" s="351" t="s">
        <v>5444</v>
      </c>
      <c r="D1318" s="353">
        <v>-1570</v>
      </c>
      <c r="E1318" s="352" t="s">
        <v>408</v>
      </c>
      <c r="F1318" s="341">
        <v>79.040000000000006</v>
      </c>
      <c r="G1318" s="355" t="s">
        <v>5306</v>
      </c>
      <c r="H1318" s="356" t="s">
        <v>10896</v>
      </c>
      <c r="I1318" s="354" t="s">
        <v>478</v>
      </c>
      <c r="J1318" s="340" t="s">
        <v>11473</v>
      </c>
      <c r="K1318" s="339" t="s">
        <v>70</v>
      </c>
      <c r="L1318" s="357">
        <v>15</v>
      </c>
      <c r="M1318" s="358" t="s">
        <v>11474</v>
      </c>
      <c r="N1318" s="359">
        <v>1000</v>
      </c>
      <c r="O1318" s="360" t="s">
        <v>532</v>
      </c>
      <c r="P1318" s="343" t="s">
        <v>533</v>
      </c>
      <c r="Q1318" s="342" t="s">
        <v>2688</v>
      </c>
      <c r="R1318" s="344">
        <v>25</v>
      </c>
      <c r="S1318" s="345">
        <v>35</v>
      </c>
      <c r="T1318" s="362">
        <v>25</v>
      </c>
      <c r="U1318" s="361">
        <v>79.040000000000006</v>
      </c>
      <c r="V1318" s="346">
        <v>118.15032718401193</v>
      </c>
      <c r="W1318" s="348">
        <v>118.22087017048935</v>
      </c>
      <c r="X1318" s="347">
        <v>59.42</v>
      </c>
      <c r="Y1318" s="357">
        <v>59.96</v>
      </c>
      <c r="Z1318" s="365" t="s">
        <v>3017</v>
      </c>
      <c r="AA1318" s="350">
        <v>149.25</v>
      </c>
      <c r="AB1318" s="349" t="s">
        <v>2685</v>
      </c>
      <c r="AC1318" s="350">
        <v>10</v>
      </c>
      <c r="AD1318" s="349" t="s">
        <v>2685</v>
      </c>
      <c r="AE1318" s="364">
        <v>0</v>
      </c>
      <c r="AF1318" s="366">
        <v>6.4240000000000004</v>
      </c>
      <c r="AG1318" s="363">
        <v>0</v>
      </c>
      <c r="AH1318" s="635" t="s">
        <v>8123</v>
      </c>
      <c r="AL1318" s="487" t="s">
        <v>15722</v>
      </c>
      <c r="AM1318" s="477" t="s">
        <v>70</v>
      </c>
      <c r="AN1318" s="637">
        <v>100</v>
      </c>
      <c r="AO1318" s="478">
        <v>-1570</v>
      </c>
      <c r="AP1318" s="463">
        <v>-1570</v>
      </c>
      <c r="AQ1318" s="479">
        <v>0</v>
      </c>
      <c r="AR1318" s="476" t="s">
        <v>17445</v>
      </c>
      <c r="BA1318" s="313" t="s">
        <v>5620</v>
      </c>
    </row>
    <row r="1319" spans="2:53" ht="16.5" customHeight="1">
      <c r="B1319" s="367" t="s">
        <v>11428</v>
      </c>
      <c r="C1319" s="351" t="s">
        <v>11429</v>
      </c>
      <c r="D1319" s="353">
        <v>-1570</v>
      </c>
      <c r="E1319" s="352" t="s">
        <v>408</v>
      </c>
      <c r="F1319" s="341">
        <v>79.03</v>
      </c>
      <c r="G1319" s="355" t="s">
        <v>5084</v>
      </c>
      <c r="H1319" s="356" t="s">
        <v>11226</v>
      </c>
      <c r="I1319" s="354" t="s">
        <v>214</v>
      </c>
      <c r="J1319" s="340" t="s">
        <v>8190</v>
      </c>
      <c r="K1319" s="339" t="s">
        <v>71</v>
      </c>
      <c r="L1319" s="357">
        <v>5</v>
      </c>
      <c r="M1319" s="358" t="s">
        <v>11460</v>
      </c>
      <c r="N1319" s="359">
        <v>200</v>
      </c>
      <c r="O1319" s="360" t="s">
        <v>532</v>
      </c>
      <c r="P1319" s="343" t="s">
        <v>532</v>
      </c>
      <c r="Q1319" s="342" t="s">
        <v>2688</v>
      </c>
      <c r="R1319" s="344">
        <v>30</v>
      </c>
      <c r="S1319" s="345">
        <v>20</v>
      </c>
      <c r="T1319" s="362">
        <v>30</v>
      </c>
      <c r="U1319" s="361">
        <v>79.03</v>
      </c>
      <c r="V1319" s="346">
        <v>118.14663086486705</v>
      </c>
      <c r="W1319" s="348">
        <v>118.21883082199561</v>
      </c>
      <c r="X1319" s="347" t="s">
        <v>18841</v>
      </c>
      <c r="Y1319" s="357" t="s">
        <v>408</v>
      </c>
      <c r="Z1319" s="365" t="s">
        <v>4408</v>
      </c>
      <c r="AA1319" s="350">
        <v>36</v>
      </c>
      <c r="AB1319" s="349" t="s">
        <v>2685</v>
      </c>
      <c r="AC1319" s="350">
        <v>0</v>
      </c>
      <c r="AD1319" s="349" t="s">
        <v>2685</v>
      </c>
      <c r="AE1319" s="364">
        <v>0</v>
      </c>
      <c r="AF1319" s="366">
        <v>0</v>
      </c>
      <c r="AG1319" s="363">
        <v>0</v>
      </c>
      <c r="AH1319" s="635" t="s">
        <v>408</v>
      </c>
      <c r="AL1319" s="487" t="s">
        <v>15723</v>
      </c>
      <c r="AM1319" s="477" t="s">
        <v>71</v>
      </c>
      <c r="AN1319" s="637">
        <v>100</v>
      </c>
      <c r="AO1319" s="478">
        <v>-1570</v>
      </c>
      <c r="AP1319" s="463">
        <v>-714</v>
      </c>
      <c r="AQ1319" s="479">
        <v>-856</v>
      </c>
      <c r="AR1319" s="476" t="s">
        <v>17446</v>
      </c>
      <c r="BA1319" s="313" t="s">
        <v>5622</v>
      </c>
    </row>
    <row r="1320" spans="2:53" ht="16.5" customHeight="1">
      <c r="B1320" s="367" t="s">
        <v>5454</v>
      </c>
      <c r="C1320" s="351" t="s">
        <v>5455</v>
      </c>
      <c r="D1320" s="353">
        <v>-1570</v>
      </c>
      <c r="E1320" s="352" t="s">
        <v>5528</v>
      </c>
      <c r="F1320" s="341">
        <v>79.02</v>
      </c>
      <c r="G1320" s="355" t="s">
        <v>11475</v>
      </c>
      <c r="H1320" s="356" t="s">
        <v>11235</v>
      </c>
      <c r="I1320" s="354" t="s">
        <v>216</v>
      </c>
      <c r="J1320" s="340" t="s">
        <v>8633</v>
      </c>
      <c r="K1320" s="339" t="s">
        <v>70</v>
      </c>
      <c r="L1320" s="357">
        <v>18</v>
      </c>
      <c r="M1320" s="358" t="s">
        <v>11476</v>
      </c>
      <c r="N1320" s="359">
        <v>300</v>
      </c>
      <c r="O1320" s="360" t="s">
        <v>530</v>
      </c>
      <c r="P1320" s="343" t="s">
        <v>530</v>
      </c>
      <c r="Q1320" s="342" t="s">
        <v>2688</v>
      </c>
      <c r="R1320" s="344">
        <v>25</v>
      </c>
      <c r="S1320" s="345">
        <v>45</v>
      </c>
      <c r="T1320" s="362">
        <v>30</v>
      </c>
      <c r="U1320" s="361">
        <v>79.02</v>
      </c>
      <c r="V1320" s="346">
        <v>118.13601528825247</v>
      </c>
      <c r="W1320" s="348">
        <v>118.21297395213929</v>
      </c>
      <c r="X1320" s="347">
        <v>59.42</v>
      </c>
      <c r="Y1320" s="357" t="s">
        <v>408</v>
      </c>
      <c r="Z1320" s="365" t="s">
        <v>3017</v>
      </c>
      <c r="AA1320" s="350">
        <v>-2</v>
      </c>
      <c r="AB1320" s="349" t="s">
        <v>2685</v>
      </c>
      <c r="AC1320" s="350">
        <v>0</v>
      </c>
      <c r="AD1320" s="349" t="s">
        <v>2685</v>
      </c>
      <c r="AE1320" s="364">
        <v>0</v>
      </c>
      <c r="AF1320" s="366">
        <v>5.3479999999999999</v>
      </c>
      <c r="AG1320" s="363">
        <v>0</v>
      </c>
      <c r="AH1320" s="635" t="s">
        <v>11477</v>
      </c>
      <c r="AL1320" s="487" t="s">
        <v>15724</v>
      </c>
      <c r="AM1320" s="477" t="s">
        <v>70</v>
      </c>
      <c r="AN1320" s="637">
        <v>100</v>
      </c>
      <c r="AO1320" s="478">
        <v>-1570</v>
      </c>
      <c r="AP1320" s="463">
        <v>-1570</v>
      </c>
      <c r="AQ1320" s="479">
        <v>0</v>
      </c>
      <c r="AR1320" s="476" t="s">
        <v>17447</v>
      </c>
      <c r="BA1320" s="313" t="s">
        <v>5624</v>
      </c>
    </row>
    <row r="1321" spans="2:53" ht="16.5" customHeight="1">
      <c r="B1321" s="367" t="s">
        <v>5451</v>
      </c>
      <c r="C1321" s="351" t="s">
        <v>5452</v>
      </c>
      <c r="D1321" s="353">
        <v>-1570</v>
      </c>
      <c r="E1321" s="352" t="s">
        <v>11471</v>
      </c>
      <c r="F1321" s="341">
        <v>79.02</v>
      </c>
      <c r="G1321" s="355" t="s">
        <v>11478</v>
      </c>
      <c r="H1321" s="356" t="s">
        <v>5035</v>
      </c>
      <c r="I1321" s="354" t="s">
        <v>425</v>
      </c>
      <c r="J1321" s="340" t="s">
        <v>11479</v>
      </c>
      <c r="K1321" s="339" t="s">
        <v>70</v>
      </c>
      <c r="L1321" s="357">
        <v>12</v>
      </c>
      <c r="M1321" s="358" t="s">
        <v>11480</v>
      </c>
      <c r="N1321" s="359">
        <v>1000</v>
      </c>
      <c r="O1321" s="360" t="s">
        <v>454</v>
      </c>
      <c r="P1321" s="343" t="s">
        <v>454</v>
      </c>
      <c r="Q1321" s="342" t="s">
        <v>2738</v>
      </c>
      <c r="R1321" s="344">
        <v>25</v>
      </c>
      <c r="S1321" s="345">
        <v>35</v>
      </c>
      <c r="T1321" s="362">
        <v>20</v>
      </c>
      <c r="U1321" s="361">
        <v>79.02</v>
      </c>
      <c r="V1321" s="346">
        <v>118.13979289940829</v>
      </c>
      <c r="W1321" s="348">
        <v>118.21505815139768</v>
      </c>
      <c r="X1321" s="347">
        <v>59.42</v>
      </c>
      <c r="Y1321" s="357" t="s">
        <v>408</v>
      </c>
      <c r="Z1321" s="365" t="s">
        <v>3017</v>
      </c>
      <c r="AA1321" s="350">
        <v>196</v>
      </c>
      <c r="AB1321" s="349" t="s">
        <v>2685</v>
      </c>
      <c r="AC1321" s="350">
        <v>10</v>
      </c>
      <c r="AD1321" s="349" t="s">
        <v>2685</v>
      </c>
      <c r="AE1321" s="364">
        <v>0</v>
      </c>
      <c r="AF1321" s="366">
        <v>35.558999999999997</v>
      </c>
      <c r="AG1321" s="363">
        <v>0</v>
      </c>
      <c r="AH1321" s="635" t="s">
        <v>10711</v>
      </c>
      <c r="AL1321" s="487" t="s">
        <v>15725</v>
      </c>
      <c r="AM1321" s="477" t="s">
        <v>70</v>
      </c>
      <c r="AN1321" s="637">
        <v>100</v>
      </c>
      <c r="AO1321" s="478">
        <v>-1570</v>
      </c>
      <c r="AP1321" s="463">
        <v>-1570</v>
      </c>
      <c r="AQ1321" s="479">
        <v>0</v>
      </c>
      <c r="AR1321" s="476" t="s">
        <v>17448</v>
      </c>
      <c r="BA1321" s="313" t="s">
        <v>5625</v>
      </c>
    </row>
    <row r="1322" spans="2:53" ht="16.5" customHeight="1">
      <c r="B1322" s="367" t="s">
        <v>5393</v>
      </c>
      <c r="C1322" s="351" t="s">
        <v>5394</v>
      </c>
      <c r="D1322" s="353">
        <v>-1570</v>
      </c>
      <c r="E1322" s="352" t="s">
        <v>408</v>
      </c>
      <c r="F1322" s="341">
        <v>79.010000000000005</v>
      </c>
      <c r="G1322" s="355" t="s">
        <v>18842</v>
      </c>
      <c r="H1322" s="356" t="s">
        <v>10883</v>
      </c>
      <c r="I1322" s="354" t="s">
        <v>209</v>
      </c>
      <c r="J1322" s="340" t="s">
        <v>11465</v>
      </c>
      <c r="K1322" s="339" t="s">
        <v>71</v>
      </c>
      <c r="L1322" s="357">
        <v>11</v>
      </c>
      <c r="M1322" s="358" t="s">
        <v>4832</v>
      </c>
      <c r="N1322" s="359">
        <v>1000</v>
      </c>
      <c r="O1322" s="360" t="s">
        <v>530</v>
      </c>
      <c r="P1322" s="343" t="s">
        <v>530</v>
      </c>
      <c r="Q1322" s="342" t="s">
        <v>2688</v>
      </c>
      <c r="R1322" s="344">
        <v>30</v>
      </c>
      <c r="S1322" s="345">
        <v>25</v>
      </c>
      <c r="T1322" s="362">
        <v>25</v>
      </c>
      <c r="U1322" s="361">
        <v>79.010000000000005</v>
      </c>
      <c r="V1322" s="346">
        <v>118.13131601960627</v>
      </c>
      <c r="W1322" s="348">
        <v>118.21038125219657</v>
      </c>
      <c r="X1322" s="347">
        <v>59.61</v>
      </c>
      <c r="Y1322" s="357" t="s">
        <v>408</v>
      </c>
      <c r="Z1322" s="365" t="s">
        <v>3017</v>
      </c>
      <c r="AA1322" s="350">
        <v>198</v>
      </c>
      <c r="AB1322" s="349" t="s">
        <v>2685</v>
      </c>
      <c r="AC1322" s="350">
        <v>10</v>
      </c>
      <c r="AD1322" s="349" t="s">
        <v>2685</v>
      </c>
      <c r="AE1322" s="364">
        <v>0</v>
      </c>
      <c r="AF1322" s="366">
        <v>0</v>
      </c>
      <c r="AG1322" s="363">
        <v>0</v>
      </c>
      <c r="AH1322" s="635" t="s">
        <v>408</v>
      </c>
      <c r="AL1322" s="487" t="s">
        <v>15726</v>
      </c>
      <c r="AM1322" s="477" t="s">
        <v>71</v>
      </c>
      <c r="AN1322" s="637">
        <v>100</v>
      </c>
      <c r="AO1322" s="478">
        <v>-1570</v>
      </c>
      <c r="AP1322" s="463">
        <v>-714</v>
      </c>
      <c r="AQ1322" s="479">
        <v>-856</v>
      </c>
      <c r="AR1322" s="476" t="s">
        <v>17449</v>
      </c>
      <c r="BA1322" s="313" t="s">
        <v>5626</v>
      </c>
    </row>
    <row r="1323" spans="2:53" ht="16.5" customHeight="1">
      <c r="B1323" s="367" t="s">
        <v>5393</v>
      </c>
      <c r="C1323" s="351" t="s">
        <v>5394</v>
      </c>
      <c r="D1323" s="353">
        <v>-1570</v>
      </c>
      <c r="E1323" s="352" t="s">
        <v>408</v>
      </c>
      <c r="F1323" s="341">
        <v>79.010000000000005</v>
      </c>
      <c r="G1323" s="355" t="s">
        <v>18842</v>
      </c>
      <c r="H1323" s="356" t="s">
        <v>10883</v>
      </c>
      <c r="I1323" s="354" t="s">
        <v>209</v>
      </c>
      <c r="J1323" s="340" t="s">
        <v>561</v>
      </c>
      <c r="K1323" s="339" t="s">
        <v>71</v>
      </c>
      <c r="L1323" s="357">
        <v>11</v>
      </c>
      <c r="M1323" s="358" t="s">
        <v>4832</v>
      </c>
      <c r="N1323" s="359">
        <v>1000</v>
      </c>
      <c r="O1323" s="360" t="s">
        <v>530</v>
      </c>
      <c r="P1323" s="343" t="s">
        <v>530</v>
      </c>
      <c r="Q1323" s="342" t="s">
        <v>2688</v>
      </c>
      <c r="R1323" s="344">
        <v>30</v>
      </c>
      <c r="S1323" s="345">
        <v>25</v>
      </c>
      <c r="T1323" s="362">
        <v>25</v>
      </c>
      <c r="U1323" s="361">
        <v>79.010000000000005</v>
      </c>
      <c r="V1323" s="346">
        <v>118.13131601960627</v>
      </c>
      <c r="W1323" s="348">
        <v>118.21038125219657</v>
      </c>
      <c r="X1323" s="347">
        <v>59.61</v>
      </c>
      <c r="Y1323" s="357" t="s">
        <v>408</v>
      </c>
      <c r="Z1323" s="365" t="s">
        <v>3017</v>
      </c>
      <c r="AA1323" s="350">
        <v>198</v>
      </c>
      <c r="AB1323" s="349" t="s">
        <v>2685</v>
      </c>
      <c r="AC1323" s="350">
        <v>10</v>
      </c>
      <c r="AD1323" s="349" t="s">
        <v>2685</v>
      </c>
      <c r="AE1323" s="364">
        <v>0</v>
      </c>
      <c r="AF1323" s="366">
        <v>0</v>
      </c>
      <c r="AG1323" s="363">
        <v>0</v>
      </c>
      <c r="AH1323" s="635" t="s">
        <v>408</v>
      </c>
      <c r="AL1323" s="487" t="s">
        <v>15727</v>
      </c>
      <c r="AM1323" s="477" t="s">
        <v>71</v>
      </c>
      <c r="AN1323" s="637">
        <v>100</v>
      </c>
      <c r="AO1323" s="478">
        <v>-1570</v>
      </c>
      <c r="AP1323" s="463">
        <v>-714</v>
      </c>
      <c r="AQ1323" s="479">
        <v>-856</v>
      </c>
      <c r="AR1323" s="476" t="s">
        <v>17449</v>
      </c>
      <c r="BA1323" s="313" t="s">
        <v>5627</v>
      </c>
    </row>
    <row r="1324" spans="2:53" ht="16.5" customHeight="1">
      <c r="B1324" s="367" t="s">
        <v>11481</v>
      </c>
      <c r="C1324" s="351" t="s">
        <v>11482</v>
      </c>
      <c r="D1324" s="353">
        <v>-1570</v>
      </c>
      <c r="E1324" s="352" t="s">
        <v>408</v>
      </c>
      <c r="F1324" s="341">
        <v>79</v>
      </c>
      <c r="G1324" s="355" t="s">
        <v>5541</v>
      </c>
      <c r="H1324" s="356" t="s">
        <v>5024</v>
      </c>
      <c r="I1324" s="354" t="s">
        <v>9336</v>
      </c>
      <c r="J1324" s="340" t="s">
        <v>11483</v>
      </c>
      <c r="K1324" s="339" t="s">
        <v>70</v>
      </c>
      <c r="L1324" s="357">
        <v>19</v>
      </c>
      <c r="M1324" s="358" t="s">
        <v>11484</v>
      </c>
      <c r="N1324" s="359">
        <v>700</v>
      </c>
      <c r="O1324" s="360" t="s">
        <v>532</v>
      </c>
      <c r="P1324" s="343" t="s">
        <v>533</v>
      </c>
      <c r="Q1324" s="342" t="s">
        <v>2688</v>
      </c>
      <c r="R1324" s="344">
        <v>20</v>
      </c>
      <c r="S1324" s="345">
        <v>35</v>
      </c>
      <c r="T1324" s="362">
        <v>30</v>
      </c>
      <c r="U1324" s="361">
        <v>79</v>
      </c>
      <c r="V1324" s="346">
        <v>118.12566066706511</v>
      </c>
      <c r="W1324" s="348">
        <v>118.2072610576911</v>
      </c>
      <c r="X1324" s="347">
        <v>59.41</v>
      </c>
      <c r="Y1324" s="357">
        <v>61.52</v>
      </c>
      <c r="Z1324" s="365" t="s">
        <v>3017</v>
      </c>
      <c r="AA1324" s="350">
        <v>104.5</v>
      </c>
      <c r="AB1324" s="349" t="s">
        <v>2685</v>
      </c>
      <c r="AC1324" s="350">
        <v>0</v>
      </c>
      <c r="AD1324" s="349" t="s">
        <v>2685</v>
      </c>
      <c r="AE1324" s="364">
        <v>0</v>
      </c>
      <c r="AF1324" s="366">
        <v>0</v>
      </c>
      <c r="AG1324" s="363">
        <v>0</v>
      </c>
      <c r="AH1324" s="635" t="s">
        <v>408</v>
      </c>
      <c r="AL1324" s="487" t="s">
        <v>15728</v>
      </c>
      <c r="AM1324" s="477" t="s">
        <v>70</v>
      </c>
      <c r="AN1324" s="637">
        <v>100</v>
      </c>
      <c r="AO1324" s="478">
        <v>-1570</v>
      </c>
      <c r="AP1324" s="463">
        <v>-1570</v>
      </c>
      <c r="AQ1324" s="479">
        <v>0</v>
      </c>
      <c r="AR1324" s="476" t="s">
        <v>17450</v>
      </c>
      <c r="BA1324" s="313" t="s">
        <v>5628</v>
      </c>
    </row>
    <row r="1325" spans="2:53" ht="16.5" customHeight="1">
      <c r="B1325" s="367" t="s">
        <v>5461</v>
      </c>
      <c r="C1325" s="351" t="s">
        <v>5462</v>
      </c>
      <c r="D1325" s="353">
        <v>-1570</v>
      </c>
      <c r="E1325" s="352" t="s">
        <v>408</v>
      </c>
      <c r="F1325" s="341">
        <v>78.98</v>
      </c>
      <c r="G1325" s="355" t="s">
        <v>5547</v>
      </c>
      <c r="H1325" s="356" t="s">
        <v>18843</v>
      </c>
      <c r="I1325" s="354" t="s">
        <v>425</v>
      </c>
      <c r="J1325" s="340" t="s">
        <v>11485</v>
      </c>
      <c r="K1325" s="339" t="s">
        <v>70</v>
      </c>
      <c r="L1325" s="357">
        <v>21</v>
      </c>
      <c r="M1325" s="358" t="s">
        <v>11486</v>
      </c>
      <c r="N1325" s="359">
        <v>1000</v>
      </c>
      <c r="O1325" s="360" t="s">
        <v>454</v>
      </c>
      <c r="P1325" s="343" t="s">
        <v>454</v>
      </c>
      <c r="Q1325" s="342" t="s">
        <v>2738</v>
      </c>
      <c r="R1325" s="344">
        <v>25</v>
      </c>
      <c r="S1325" s="345">
        <v>35</v>
      </c>
      <c r="T1325" s="362">
        <v>20</v>
      </c>
      <c r="U1325" s="361">
        <v>78.98</v>
      </c>
      <c r="V1325" s="346">
        <v>118.11390532544378</v>
      </c>
      <c r="W1325" s="348">
        <v>118.20077535196899</v>
      </c>
      <c r="X1325" s="347">
        <v>59.41</v>
      </c>
      <c r="Y1325" s="357" t="s">
        <v>408</v>
      </c>
      <c r="Z1325" s="365" t="s">
        <v>3017</v>
      </c>
      <c r="AA1325" s="350">
        <v>196</v>
      </c>
      <c r="AB1325" s="349" t="s">
        <v>2685</v>
      </c>
      <c r="AC1325" s="350">
        <v>10</v>
      </c>
      <c r="AD1325" s="349" t="s">
        <v>2685</v>
      </c>
      <c r="AE1325" s="364">
        <v>0</v>
      </c>
      <c r="AF1325" s="366">
        <v>35.540999999999997</v>
      </c>
      <c r="AG1325" s="363">
        <v>0</v>
      </c>
      <c r="AH1325" s="635" t="s">
        <v>10711</v>
      </c>
      <c r="AL1325" s="487" t="s">
        <v>15729</v>
      </c>
      <c r="AM1325" s="477" t="s">
        <v>70</v>
      </c>
      <c r="AN1325" s="637">
        <v>100</v>
      </c>
      <c r="AO1325" s="478">
        <v>-1570</v>
      </c>
      <c r="AP1325" s="463">
        <v>-1570</v>
      </c>
      <c r="AQ1325" s="479">
        <v>0</v>
      </c>
      <c r="AR1325" s="476" t="s">
        <v>17451</v>
      </c>
      <c r="BA1325" s="313" t="s">
        <v>5629</v>
      </c>
    </row>
    <row r="1326" spans="2:53" ht="16.5" customHeight="1">
      <c r="B1326" s="367" t="s">
        <v>5405</v>
      </c>
      <c r="C1326" s="351" t="s">
        <v>5406</v>
      </c>
      <c r="D1326" s="353">
        <v>-1570</v>
      </c>
      <c r="E1326" s="352" t="s">
        <v>5518</v>
      </c>
      <c r="F1326" s="341">
        <v>78.959999999999994</v>
      </c>
      <c r="G1326" s="355" t="s">
        <v>11705</v>
      </c>
      <c r="H1326" s="356" t="s">
        <v>5032</v>
      </c>
      <c r="I1326" s="354" t="s">
        <v>216</v>
      </c>
      <c r="J1326" s="340" t="s">
        <v>8659</v>
      </c>
      <c r="K1326" s="339" t="s">
        <v>71</v>
      </c>
      <c r="L1326" s="357">
        <v>9</v>
      </c>
      <c r="M1326" s="358" t="s">
        <v>11472</v>
      </c>
      <c r="N1326" s="359">
        <v>300</v>
      </c>
      <c r="O1326" s="360" t="s">
        <v>530</v>
      </c>
      <c r="P1326" s="343" t="s">
        <v>530</v>
      </c>
      <c r="Q1326" s="342" t="s">
        <v>2688</v>
      </c>
      <c r="R1326" s="344">
        <v>45</v>
      </c>
      <c r="S1326" s="345">
        <v>25</v>
      </c>
      <c r="T1326" s="362">
        <v>30</v>
      </c>
      <c r="U1326" s="361">
        <v>78.959999999999994</v>
      </c>
      <c r="V1326" s="346">
        <v>118.10056536546085</v>
      </c>
      <c r="W1326" s="348">
        <v>118.19341537404736</v>
      </c>
      <c r="X1326" s="347">
        <v>59.6</v>
      </c>
      <c r="Y1326" s="357" t="s">
        <v>408</v>
      </c>
      <c r="Z1326" s="365" t="s">
        <v>3017</v>
      </c>
      <c r="AA1326" s="350">
        <v>-2</v>
      </c>
      <c r="AB1326" s="349" t="s">
        <v>2685</v>
      </c>
      <c r="AC1326" s="350">
        <v>0</v>
      </c>
      <c r="AD1326" s="349" t="s">
        <v>2685</v>
      </c>
      <c r="AE1326" s="364">
        <v>0</v>
      </c>
      <c r="AF1326" s="366">
        <v>0</v>
      </c>
      <c r="AG1326" s="363">
        <v>0</v>
      </c>
      <c r="AH1326" s="635" t="s">
        <v>408</v>
      </c>
      <c r="AL1326" s="487" t="s">
        <v>15730</v>
      </c>
      <c r="AM1326" s="477" t="s">
        <v>71</v>
      </c>
      <c r="AN1326" s="637">
        <v>100</v>
      </c>
      <c r="AO1326" s="478">
        <v>-1570</v>
      </c>
      <c r="AP1326" s="463">
        <v>-714</v>
      </c>
      <c r="AQ1326" s="479">
        <v>-856</v>
      </c>
      <c r="AR1326" s="476" t="s">
        <v>17452</v>
      </c>
      <c r="BA1326" s="313" t="s">
        <v>5630</v>
      </c>
    </row>
    <row r="1327" spans="2:53" ht="16.5" customHeight="1">
      <c r="B1327" s="367" t="s">
        <v>11487</v>
      </c>
      <c r="C1327" s="351" t="s">
        <v>11488</v>
      </c>
      <c r="D1327" s="353">
        <v>-1570</v>
      </c>
      <c r="E1327" s="352" t="s">
        <v>408</v>
      </c>
      <c r="F1327" s="341">
        <v>78.94</v>
      </c>
      <c r="G1327" s="355" t="s">
        <v>11489</v>
      </c>
      <c r="H1327" s="356" t="s">
        <v>11087</v>
      </c>
      <c r="I1327" s="354" t="s">
        <v>238</v>
      </c>
      <c r="J1327" s="340" t="s">
        <v>7910</v>
      </c>
      <c r="K1327" s="339" t="s">
        <v>70</v>
      </c>
      <c r="L1327" s="357">
        <v>3</v>
      </c>
      <c r="M1327" s="358" t="s">
        <v>11490</v>
      </c>
      <c r="N1327" s="359">
        <v>1000</v>
      </c>
      <c r="O1327" s="360" t="s">
        <v>532</v>
      </c>
      <c r="P1327" s="343" t="s">
        <v>533</v>
      </c>
      <c r="Q1327" s="342" t="s">
        <v>2688</v>
      </c>
      <c r="R1327" s="344">
        <v>25</v>
      </c>
      <c r="S1327" s="345">
        <v>35</v>
      </c>
      <c r="T1327" s="362">
        <v>30</v>
      </c>
      <c r="U1327" s="361">
        <v>78.94</v>
      </c>
      <c r="V1327" s="346">
        <v>118.08555208013331</v>
      </c>
      <c r="W1327" s="348">
        <v>118.18513218214251</v>
      </c>
      <c r="X1327" s="347">
        <v>59.39</v>
      </c>
      <c r="Y1327" s="357">
        <v>59.919999999999995</v>
      </c>
      <c r="Z1327" s="365" t="s">
        <v>3017</v>
      </c>
      <c r="AA1327" s="350">
        <v>98</v>
      </c>
      <c r="AB1327" s="349" t="s">
        <v>2685</v>
      </c>
      <c r="AC1327" s="350">
        <v>0</v>
      </c>
      <c r="AD1327" s="349" t="s">
        <v>2685</v>
      </c>
      <c r="AE1327" s="364">
        <v>0</v>
      </c>
      <c r="AF1327" s="366">
        <v>16.568000000000001</v>
      </c>
      <c r="AG1327" s="363">
        <v>0</v>
      </c>
      <c r="AH1327" s="635" t="s">
        <v>7882</v>
      </c>
      <c r="AL1327" s="487" t="s">
        <v>15731</v>
      </c>
      <c r="AM1327" s="477" t="s">
        <v>70</v>
      </c>
      <c r="AN1327" s="637">
        <v>100</v>
      </c>
      <c r="AO1327" s="478">
        <v>-1570</v>
      </c>
      <c r="AP1327" s="463">
        <v>-1570</v>
      </c>
      <c r="AQ1327" s="479">
        <v>0</v>
      </c>
      <c r="AR1327" s="476" t="s">
        <v>17453</v>
      </c>
      <c r="BA1327" s="313" t="s">
        <v>5632</v>
      </c>
    </row>
    <row r="1328" spans="2:53" ht="16.5" customHeight="1">
      <c r="B1328" s="367" t="s">
        <v>5423</v>
      </c>
      <c r="C1328" s="351" t="s">
        <v>5424</v>
      </c>
      <c r="D1328" s="353">
        <v>-1570</v>
      </c>
      <c r="E1328" s="352" t="s">
        <v>408</v>
      </c>
      <c r="F1328" s="341">
        <v>78.900000000000006</v>
      </c>
      <c r="G1328" s="355" t="s">
        <v>5518</v>
      </c>
      <c r="H1328" s="356" t="s">
        <v>18844</v>
      </c>
      <c r="I1328" s="354" t="s">
        <v>209</v>
      </c>
      <c r="J1328" s="340" t="s">
        <v>8753</v>
      </c>
      <c r="K1328" s="339" t="s">
        <v>71</v>
      </c>
      <c r="L1328" s="357">
        <v>13</v>
      </c>
      <c r="M1328" s="358" t="s">
        <v>5510</v>
      </c>
      <c r="N1328" s="359">
        <v>1000</v>
      </c>
      <c r="O1328" s="360" t="s">
        <v>530</v>
      </c>
      <c r="P1328" s="343" t="s">
        <v>530</v>
      </c>
      <c r="Q1328" s="342" t="s">
        <v>2688</v>
      </c>
      <c r="R1328" s="344">
        <v>30</v>
      </c>
      <c r="S1328" s="345">
        <v>25</v>
      </c>
      <c r="T1328" s="362">
        <v>25</v>
      </c>
      <c r="U1328" s="361">
        <v>78.900000000000006</v>
      </c>
      <c r="V1328" s="346">
        <v>118.06046842946648</v>
      </c>
      <c r="W1328" s="348">
        <v>118.17129292660219</v>
      </c>
      <c r="X1328" s="347">
        <v>59.57</v>
      </c>
      <c r="Y1328" s="357" t="s">
        <v>408</v>
      </c>
      <c r="Z1328" s="365" t="s">
        <v>3017</v>
      </c>
      <c r="AA1328" s="350">
        <v>198</v>
      </c>
      <c r="AB1328" s="349" t="s">
        <v>2685</v>
      </c>
      <c r="AC1328" s="350">
        <v>10</v>
      </c>
      <c r="AD1328" s="349" t="s">
        <v>2685</v>
      </c>
      <c r="AE1328" s="364">
        <v>0</v>
      </c>
      <c r="AF1328" s="366">
        <v>0</v>
      </c>
      <c r="AG1328" s="363">
        <v>0</v>
      </c>
      <c r="AH1328" s="635" t="s">
        <v>408</v>
      </c>
      <c r="AL1328" s="487" t="s">
        <v>15732</v>
      </c>
      <c r="AM1328" s="477" t="s">
        <v>71</v>
      </c>
      <c r="AN1328" s="637">
        <v>100</v>
      </c>
      <c r="AO1328" s="478">
        <v>-1570</v>
      </c>
      <c r="AP1328" s="463">
        <v>-714</v>
      </c>
      <c r="AQ1328" s="479">
        <v>-856</v>
      </c>
      <c r="AR1328" s="476" t="s">
        <v>17454</v>
      </c>
      <c r="BA1328" s="313" t="s">
        <v>5637</v>
      </c>
    </row>
    <row r="1329" spans="2:53" ht="16.5" customHeight="1">
      <c r="B1329" s="367" t="s">
        <v>5399</v>
      </c>
      <c r="C1329" s="351" t="s">
        <v>5400</v>
      </c>
      <c r="D1329" s="353">
        <v>-1570</v>
      </c>
      <c r="E1329" s="352" t="s">
        <v>11491</v>
      </c>
      <c r="F1329" s="341">
        <v>78.89</v>
      </c>
      <c r="G1329" s="355" t="s">
        <v>11833</v>
      </c>
      <c r="H1329" s="356" t="s">
        <v>11092</v>
      </c>
      <c r="I1329" s="354" t="s">
        <v>215</v>
      </c>
      <c r="J1329" s="340" t="s">
        <v>8883</v>
      </c>
      <c r="K1329" s="339" t="s">
        <v>71</v>
      </c>
      <c r="L1329" s="357">
        <v>5</v>
      </c>
      <c r="M1329" s="358" t="s">
        <v>11492</v>
      </c>
      <c r="N1329" s="359">
        <v>1000</v>
      </c>
      <c r="O1329" s="360" t="s">
        <v>530</v>
      </c>
      <c r="P1329" s="343" t="s">
        <v>531</v>
      </c>
      <c r="Q1329" s="342" t="s">
        <v>2688</v>
      </c>
      <c r="R1329" s="344">
        <v>38</v>
      </c>
      <c r="S1329" s="345">
        <v>25</v>
      </c>
      <c r="T1329" s="362">
        <v>25</v>
      </c>
      <c r="U1329" s="361">
        <v>78.89</v>
      </c>
      <c r="V1329" s="346">
        <v>118.05503218381006</v>
      </c>
      <c r="W1329" s="348">
        <v>118.16829361865382</v>
      </c>
      <c r="X1329" s="347">
        <v>59.57</v>
      </c>
      <c r="Y1329" s="357">
        <v>60.059999999999995</v>
      </c>
      <c r="Z1329" s="365" t="s">
        <v>3017</v>
      </c>
      <c r="AA1329" s="350">
        <v>121.25</v>
      </c>
      <c r="AB1329" s="349" t="s">
        <v>2685</v>
      </c>
      <c r="AC1329" s="350">
        <v>10</v>
      </c>
      <c r="AD1329" s="349" t="s">
        <v>2685</v>
      </c>
      <c r="AE1329" s="364">
        <v>0</v>
      </c>
      <c r="AF1329" s="366">
        <v>0</v>
      </c>
      <c r="AG1329" s="363">
        <v>0</v>
      </c>
      <c r="AH1329" s="635" t="s">
        <v>8002</v>
      </c>
      <c r="AL1329" s="487" t="s">
        <v>15733</v>
      </c>
      <c r="AM1329" s="477" t="s">
        <v>71</v>
      </c>
      <c r="AN1329" s="637">
        <v>100</v>
      </c>
      <c r="AO1329" s="478">
        <v>-1570</v>
      </c>
      <c r="AP1329" s="463">
        <v>-714</v>
      </c>
      <c r="AQ1329" s="479">
        <v>-856</v>
      </c>
      <c r="AR1329" s="476" t="s">
        <v>17455</v>
      </c>
      <c r="BA1329" s="313" t="s">
        <v>5639</v>
      </c>
    </row>
    <row r="1330" spans="2:53" ht="16.5" customHeight="1">
      <c r="B1330" s="367" t="s">
        <v>11493</v>
      </c>
      <c r="C1330" s="351" t="s">
        <v>11494</v>
      </c>
      <c r="D1330" s="353">
        <v>-1570</v>
      </c>
      <c r="E1330" s="352" t="s">
        <v>408</v>
      </c>
      <c r="F1330" s="341">
        <v>78.88</v>
      </c>
      <c r="G1330" s="355" t="s">
        <v>11495</v>
      </c>
      <c r="H1330" s="356" t="s">
        <v>11293</v>
      </c>
      <c r="I1330" s="354" t="s">
        <v>485</v>
      </c>
      <c r="J1330" s="340" t="s">
        <v>9754</v>
      </c>
      <c r="K1330" s="339" t="s">
        <v>70</v>
      </c>
      <c r="L1330" s="357">
        <v>7</v>
      </c>
      <c r="M1330" s="358" t="s">
        <v>11360</v>
      </c>
      <c r="N1330" s="359">
        <v>100</v>
      </c>
      <c r="O1330" s="360" t="s">
        <v>454</v>
      </c>
      <c r="P1330" s="343" t="s">
        <v>454</v>
      </c>
      <c r="Q1330" s="342" t="s">
        <v>2738</v>
      </c>
      <c r="R1330" s="344">
        <v>30</v>
      </c>
      <c r="S1330" s="345">
        <v>35</v>
      </c>
      <c r="T1330" s="362">
        <v>15</v>
      </c>
      <c r="U1330" s="361">
        <v>78.88</v>
      </c>
      <c r="V1330" s="346">
        <v>118.046875</v>
      </c>
      <c r="W1330" s="348">
        <v>118.16379310344827</v>
      </c>
      <c r="X1330" s="347">
        <v>59.37</v>
      </c>
      <c r="Y1330" s="357" t="s">
        <v>408</v>
      </c>
      <c r="Z1330" s="365" t="s">
        <v>3017</v>
      </c>
      <c r="AA1330" s="350">
        <v>19.600000000000001</v>
      </c>
      <c r="AB1330" s="349" t="s">
        <v>2685</v>
      </c>
      <c r="AC1330" s="350">
        <v>0</v>
      </c>
      <c r="AD1330" s="349" t="s">
        <v>2685</v>
      </c>
      <c r="AE1330" s="364">
        <v>0</v>
      </c>
      <c r="AF1330" s="366">
        <v>0</v>
      </c>
      <c r="AG1330" s="363">
        <v>0</v>
      </c>
      <c r="AH1330" s="635" t="s">
        <v>408</v>
      </c>
      <c r="AL1330" s="487" t="s">
        <v>15734</v>
      </c>
      <c r="AM1330" s="477" t="s">
        <v>70</v>
      </c>
      <c r="AN1330" s="637">
        <v>100</v>
      </c>
      <c r="AO1330" s="478">
        <v>-1570</v>
      </c>
      <c r="AP1330" s="463">
        <v>-1570</v>
      </c>
      <c r="AQ1330" s="479">
        <v>0</v>
      </c>
      <c r="AR1330" s="476" t="s">
        <v>17456</v>
      </c>
      <c r="BA1330" s="313" t="s">
        <v>5642</v>
      </c>
    </row>
    <row r="1331" spans="2:53" ht="16.5" customHeight="1">
      <c r="B1331" s="367" t="s">
        <v>11493</v>
      </c>
      <c r="C1331" s="351" t="s">
        <v>11494</v>
      </c>
      <c r="D1331" s="353">
        <v>-1570</v>
      </c>
      <c r="E1331" s="352" t="s">
        <v>408</v>
      </c>
      <c r="F1331" s="341">
        <v>78.88</v>
      </c>
      <c r="G1331" s="355" t="s">
        <v>11495</v>
      </c>
      <c r="H1331" s="356" t="s">
        <v>11293</v>
      </c>
      <c r="I1331" s="354" t="s">
        <v>195</v>
      </c>
      <c r="J1331" s="340" t="s">
        <v>8307</v>
      </c>
      <c r="K1331" s="339" t="s">
        <v>70</v>
      </c>
      <c r="L1331" s="357">
        <v>12</v>
      </c>
      <c r="M1331" s="358" t="s">
        <v>11497</v>
      </c>
      <c r="N1331" s="359">
        <v>100</v>
      </c>
      <c r="O1331" s="360" t="s">
        <v>454</v>
      </c>
      <c r="P1331" s="343" t="s">
        <v>454</v>
      </c>
      <c r="Q1331" s="342" t="s">
        <v>2738</v>
      </c>
      <c r="R1331" s="344">
        <v>25</v>
      </c>
      <c r="S1331" s="345">
        <v>35</v>
      </c>
      <c r="T1331" s="362">
        <v>20</v>
      </c>
      <c r="U1331" s="361">
        <v>78.88</v>
      </c>
      <c r="V1331" s="346">
        <v>118.046875</v>
      </c>
      <c r="W1331" s="348">
        <v>118.16379310344827</v>
      </c>
      <c r="X1331" s="347">
        <v>59.37</v>
      </c>
      <c r="Y1331" s="357" t="s">
        <v>408</v>
      </c>
      <c r="Z1331" s="365" t="s">
        <v>3017</v>
      </c>
      <c r="AA1331" s="350">
        <v>19</v>
      </c>
      <c r="AB1331" s="349" t="s">
        <v>2685</v>
      </c>
      <c r="AC1331" s="350">
        <v>0</v>
      </c>
      <c r="AD1331" s="349" t="s">
        <v>2685</v>
      </c>
      <c r="AE1331" s="364">
        <v>0</v>
      </c>
      <c r="AF1331" s="366">
        <v>0</v>
      </c>
      <c r="AG1331" s="363">
        <v>0</v>
      </c>
      <c r="AH1331" s="635" t="s">
        <v>408</v>
      </c>
      <c r="AL1331" s="487" t="s">
        <v>15735</v>
      </c>
      <c r="AM1331" s="477" t="s">
        <v>70</v>
      </c>
      <c r="AN1331" s="637">
        <v>100</v>
      </c>
      <c r="AO1331" s="478">
        <v>-1570</v>
      </c>
      <c r="AP1331" s="463">
        <v>-1570</v>
      </c>
      <c r="AQ1331" s="479">
        <v>0</v>
      </c>
      <c r="AR1331" s="476" t="s">
        <v>17456</v>
      </c>
      <c r="BA1331" s="313" t="s">
        <v>5643</v>
      </c>
    </row>
    <row r="1332" spans="2:53" ht="16.5" customHeight="1">
      <c r="B1332" s="367" t="s">
        <v>11493</v>
      </c>
      <c r="C1332" s="351" t="s">
        <v>11494</v>
      </c>
      <c r="D1332" s="353">
        <v>-1570</v>
      </c>
      <c r="E1332" s="352" t="s">
        <v>11495</v>
      </c>
      <c r="F1332" s="341">
        <v>78.88</v>
      </c>
      <c r="G1332" s="355" t="s">
        <v>18845</v>
      </c>
      <c r="H1332" s="356" t="s">
        <v>18846</v>
      </c>
      <c r="I1332" s="354" t="s">
        <v>239</v>
      </c>
      <c r="J1332" s="340" t="s">
        <v>7262</v>
      </c>
      <c r="K1332" s="339" t="s">
        <v>71</v>
      </c>
      <c r="L1332" s="357">
        <v>111</v>
      </c>
      <c r="M1332" s="358" t="s">
        <v>5548</v>
      </c>
      <c r="N1332" s="359">
        <v>1000</v>
      </c>
      <c r="O1332" s="360" t="s">
        <v>454</v>
      </c>
      <c r="P1332" s="343" t="s">
        <v>454</v>
      </c>
      <c r="Q1332" s="342" t="s">
        <v>2738</v>
      </c>
      <c r="R1332" s="344">
        <v>35</v>
      </c>
      <c r="S1332" s="345">
        <v>25</v>
      </c>
      <c r="T1332" s="362">
        <v>20</v>
      </c>
      <c r="U1332" s="361">
        <v>78.88</v>
      </c>
      <c r="V1332" s="346">
        <v>118.046875</v>
      </c>
      <c r="W1332" s="348">
        <v>118.16379310344827</v>
      </c>
      <c r="X1332" s="347">
        <v>59.57</v>
      </c>
      <c r="Y1332" s="357" t="s">
        <v>408</v>
      </c>
      <c r="Z1332" s="365" t="s">
        <v>3017</v>
      </c>
      <c r="AA1332" s="350">
        <v>195</v>
      </c>
      <c r="AB1332" s="349" t="s">
        <v>2685</v>
      </c>
      <c r="AC1332" s="350">
        <v>10</v>
      </c>
      <c r="AD1332" s="349" t="s">
        <v>2685</v>
      </c>
      <c r="AE1332" s="364">
        <v>0</v>
      </c>
      <c r="AF1332" s="366">
        <v>0</v>
      </c>
      <c r="AG1332" s="363">
        <v>0</v>
      </c>
      <c r="AH1332" s="635" t="s">
        <v>408</v>
      </c>
      <c r="AL1332" s="487" t="s">
        <v>15736</v>
      </c>
      <c r="AM1332" s="477" t="s">
        <v>71</v>
      </c>
      <c r="AN1332" s="637">
        <v>100</v>
      </c>
      <c r="AO1332" s="478">
        <v>-1570</v>
      </c>
      <c r="AP1332" s="463">
        <v>-714</v>
      </c>
      <c r="AQ1332" s="479">
        <v>-856</v>
      </c>
      <c r="AR1332" s="476" t="s">
        <v>17457</v>
      </c>
      <c r="BA1332" s="313" t="s">
        <v>5644</v>
      </c>
    </row>
    <row r="1333" spans="2:53" ht="16.5" customHeight="1">
      <c r="B1333" s="367" t="s">
        <v>11493</v>
      </c>
      <c r="C1333" s="351" t="s">
        <v>11494</v>
      </c>
      <c r="D1333" s="353">
        <v>-1570</v>
      </c>
      <c r="E1333" s="352" t="s">
        <v>408</v>
      </c>
      <c r="F1333" s="341">
        <v>78.87</v>
      </c>
      <c r="G1333" s="355" t="s">
        <v>11499</v>
      </c>
      <c r="H1333" s="356" t="s">
        <v>18847</v>
      </c>
      <c r="I1333" s="354" t="s">
        <v>479</v>
      </c>
      <c r="J1333" s="340" t="s">
        <v>11501</v>
      </c>
      <c r="K1333" s="339" t="s">
        <v>70</v>
      </c>
      <c r="L1333" s="357">
        <v>13</v>
      </c>
      <c r="M1333" s="358" t="s">
        <v>11502</v>
      </c>
      <c r="N1333" s="359">
        <v>500</v>
      </c>
      <c r="O1333" s="360" t="s">
        <v>454</v>
      </c>
      <c r="P1333" s="343" t="s">
        <v>454</v>
      </c>
      <c r="Q1333" s="342" t="s">
        <v>2688</v>
      </c>
      <c r="R1333" s="344">
        <v>20</v>
      </c>
      <c r="S1333" s="345">
        <v>30</v>
      </c>
      <c r="T1333" s="362">
        <v>30</v>
      </c>
      <c r="U1333" s="361">
        <v>78.87</v>
      </c>
      <c r="V1333" s="346">
        <v>118.04115853658537</v>
      </c>
      <c r="W1333" s="348">
        <v>118.16063919259882</v>
      </c>
      <c r="X1333" s="347">
        <v>59.37</v>
      </c>
      <c r="Y1333" s="357" t="s">
        <v>408</v>
      </c>
      <c r="Z1333" s="365" t="s">
        <v>3017</v>
      </c>
      <c r="AA1333" s="350">
        <v>97</v>
      </c>
      <c r="AB1333" s="349" t="s">
        <v>2685</v>
      </c>
      <c r="AC1333" s="350">
        <v>2</v>
      </c>
      <c r="AD1333" s="349" t="s">
        <v>2685</v>
      </c>
      <c r="AE1333" s="364">
        <v>0</v>
      </c>
      <c r="AF1333" s="366">
        <v>7.8869999999999996</v>
      </c>
      <c r="AG1333" s="363">
        <v>0</v>
      </c>
      <c r="AH1333" s="635" t="s">
        <v>10953</v>
      </c>
      <c r="AL1333" s="487" t="s">
        <v>15737</v>
      </c>
      <c r="AM1333" s="477" t="s">
        <v>70</v>
      </c>
      <c r="AN1333" s="637">
        <v>100</v>
      </c>
      <c r="AO1333" s="478">
        <v>-1570</v>
      </c>
      <c r="AP1333" s="463">
        <v>-1570</v>
      </c>
      <c r="AQ1333" s="479">
        <v>0</v>
      </c>
      <c r="AR1333" s="476" t="s">
        <v>17458</v>
      </c>
      <c r="BA1333" s="313" t="s">
        <v>5645</v>
      </c>
    </row>
    <row r="1334" spans="2:53" ht="16.5" customHeight="1">
      <c r="B1334" s="367" t="s">
        <v>11503</v>
      </c>
      <c r="C1334" s="351" t="s">
        <v>11504</v>
      </c>
      <c r="D1334" s="353">
        <v>-1570</v>
      </c>
      <c r="E1334" s="352" t="s">
        <v>408</v>
      </c>
      <c r="F1334" s="341">
        <v>78.849999999999994</v>
      </c>
      <c r="G1334" s="355" t="s">
        <v>11505</v>
      </c>
      <c r="H1334" s="356" t="s">
        <v>18769</v>
      </c>
      <c r="I1334" s="354" t="s">
        <v>479</v>
      </c>
      <c r="J1334" s="340" t="s">
        <v>482</v>
      </c>
      <c r="K1334" s="339" t="s">
        <v>70</v>
      </c>
      <c r="L1334" s="357">
        <v>12</v>
      </c>
      <c r="M1334" s="358" t="s">
        <v>11506</v>
      </c>
      <c r="N1334" s="359">
        <v>500</v>
      </c>
      <c r="O1334" s="360" t="s">
        <v>454</v>
      </c>
      <c r="P1334" s="343" t="s">
        <v>454</v>
      </c>
      <c r="Q1334" s="342" t="s">
        <v>2688</v>
      </c>
      <c r="R1334" s="344">
        <v>20</v>
      </c>
      <c r="S1334" s="345">
        <v>30</v>
      </c>
      <c r="T1334" s="362">
        <v>30</v>
      </c>
      <c r="U1334" s="361">
        <v>78.849999999999994</v>
      </c>
      <c r="V1334" s="346">
        <v>118.03353658536585</v>
      </c>
      <c r="W1334" s="348">
        <v>118.15643397813288</v>
      </c>
      <c r="X1334" s="347">
        <v>59.37</v>
      </c>
      <c r="Y1334" s="357" t="s">
        <v>408</v>
      </c>
      <c r="Z1334" s="365" t="s">
        <v>3017</v>
      </c>
      <c r="AA1334" s="350">
        <v>97</v>
      </c>
      <c r="AB1334" s="349" t="s">
        <v>2685</v>
      </c>
      <c r="AC1334" s="350">
        <v>2</v>
      </c>
      <c r="AD1334" s="349" t="s">
        <v>2685</v>
      </c>
      <c r="AE1334" s="364">
        <v>0</v>
      </c>
      <c r="AF1334" s="366">
        <v>7.8849999999999998</v>
      </c>
      <c r="AG1334" s="363">
        <v>0</v>
      </c>
      <c r="AH1334" s="635" t="s">
        <v>10953</v>
      </c>
      <c r="AL1334" s="487" t="s">
        <v>7211</v>
      </c>
      <c r="AM1334" s="477" t="s">
        <v>70</v>
      </c>
      <c r="AN1334" s="637">
        <v>100</v>
      </c>
      <c r="AO1334" s="478">
        <v>-1570</v>
      </c>
      <c r="AP1334" s="463">
        <v>-1570</v>
      </c>
      <c r="AQ1334" s="479">
        <v>0</v>
      </c>
      <c r="AR1334" s="476" t="s">
        <v>17459</v>
      </c>
      <c r="BA1334" s="313" t="s">
        <v>5649</v>
      </c>
    </row>
    <row r="1335" spans="2:53" ht="16.5" customHeight="1">
      <c r="B1335" s="367" t="s">
        <v>11507</v>
      </c>
      <c r="C1335" s="351" t="s">
        <v>11508</v>
      </c>
      <c r="D1335" s="353">
        <v>-1570</v>
      </c>
      <c r="E1335" s="352" t="s">
        <v>408</v>
      </c>
      <c r="F1335" s="341">
        <v>78.83</v>
      </c>
      <c r="G1335" s="355" t="s">
        <v>5553</v>
      </c>
      <c r="H1335" s="356" t="s">
        <v>11103</v>
      </c>
      <c r="I1335" s="354" t="s">
        <v>9336</v>
      </c>
      <c r="J1335" s="340" t="s">
        <v>11509</v>
      </c>
      <c r="K1335" s="339" t="s">
        <v>70</v>
      </c>
      <c r="L1335" s="357">
        <v>10</v>
      </c>
      <c r="M1335" s="358" t="s">
        <v>11510</v>
      </c>
      <c r="N1335" s="359">
        <v>700</v>
      </c>
      <c r="O1335" s="360" t="s">
        <v>532</v>
      </c>
      <c r="P1335" s="343" t="s">
        <v>533</v>
      </c>
      <c r="Q1335" s="342" t="s">
        <v>2688</v>
      </c>
      <c r="R1335" s="344">
        <v>20</v>
      </c>
      <c r="S1335" s="345">
        <v>35</v>
      </c>
      <c r="T1335" s="362">
        <v>30</v>
      </c>
      <c r="U1335" s="361">
        <v>78.83</v>
      </c>
      <c r="V1335" s="346">
        <v>118.01667443894755</v>
      </c>
      <c r="W1335" s="348">
        <v>118.14713072493657</v>
      </c>
      <c r="X1335" s="347">
        <v>59.36</v>
      </c>
      <c r="Y1335" s="357">
        <v>61.5</v>
      </c>
      <c r="Z1335" s="365" t="s">
        <v>3017</v>
      </c>
      <c r="AA1335" s="350">
        <v>104.5</v>
      </c>
      <c r="AB1335" s="349" t="s">
        <v>2685</v>
      </c>
      <c r="AC1335" s="350">
        <v>0</v>
      </c>
      <c r="AD1335" s="349" t="s">
        <v>2685</v>
      </c>
      <c r="AE1335" s="364">
        <v>0</v>
      </c>
      <c r="AF1335" s="366">
        <v>0</v>
      </c>
      <c r="AG1335" s="363">
        <v>0</v>
      </c>
      <c r="AH1335" s="635" t="s">
        <v>408</v>
      </c>
      <c r="AL1335" s="487" t="s">
        <v>15738</v>
      </c>
      <c r="AM1335" s="477" t="s">
        <v>70</v>
      </c>
      <c r="AN1335" s="637">
        <v>100</v>
      </c>
      <c r="AO1335" s="478">
        <v>-1570</v>
      </c>
      <c r="AP1335" s="463">
        <v>-1570</v>
      </c>
      <c r="AQ1335" s="479">
        <v>0</v>
      </c>
      <c r="AR1335" s="476" t="s">
        <v>17460</v>
      </c>
      <c r="BA1335" s="313" t="s">
        <v>5651</v>
      </c>
    </row>
    <row r="1336" spans="2:53" ht="16.5" customHeight="1">
      <c r="B1336" s="367" t="s">
        <v>11507</v>
      </c>
      <c r="C1336" s="351" t="s">
        <v>11508</v>
      </c>
      <c r="D1336" s="353">
        <v>-1570</v>
      </c>
      <c r="E1336" s="352" t="s">
        <v>408</v>
      </c>
      <c r="F1336" s="341">
        <v>78.819999999999993</v>
      </c>
      <c r="G1336" s="355" t="s">
        <v>5553</v>
      </c>
      <c r="H1336" s="356" t="s">
        <v>11103</v>
      </c>
      <c r="I1336" s="354" t="s">
        <v>216</v>
      </c>
      <c r="J1336" s="340" t="s">
        <v>11074</v>
      </c>
      <c r="K1336" s="339" t="s">
        <v>70</v>
      </c>
      <c r="L1336" s="357">
        <v>9</v>
      </c>
      <c r="M1336" s="358" t="s">
        <v>11511</v>
      </c>
      <c r="N1336" s="359">
        <v>300</v>
      </c>
      <c r="O1336" s="360" t="s">
        <v>530</v>
      </c>
      <c r="P1336" s="343" t="s">
        <v>530</v>
      </c>
      <c r="Q1336" s="342" t="s">
        <v>2688</v>
      </c>
      <c r="R1336" s="344">
        <v>25</v>
      </c>
      <c r="S1336" s="345">
        <v>45</v>
      </c>
      <c r="T1336" s="362">
        <v>30</v>
      </c>
      <c r="U1336" s="361">
        <v>78.819999999999993</v>
      </c>
      <c r="V1336" s="346">
        <v>118.01537083467315</v>
      </c>
      <c r="W1336" s="348">
        <v>118.14641149499208</v>
      </c>
      <c r="X1336" s="347">
        <v>59.36</v>
      </c>
      <c r="Y1336" s="357" t="s">
        <v>408</v>
      </c>
      <c r="Z1336" s="365" t="s">
        <v>3017</v>
      </c>
      <c r="AA1336" s="350">
        <v>-2</v>
      </c>
      <c r="AB1336" s="349" t="s">
        <v>2685</v>
      </c>
      <c r="AC1336" s="350">
        <v>0</v>
      </c>
      <c r="AD1336" s="349" t="s">
        <v>2685</v>
      </c>
      <c r="AE1336" s="364">
        <v>0</v>
      </c>
      <c r="AF1336" s="366">
        <v>5.3419999999999996</v>
      </c>
      <c r="AG1336" s="363">
        <v>0</v>
      </c>
      <c r="AH1336" s="635" t="s">
        <v>11477</v>
      </c>
      <c r="AL1336" s="487" t="s">
        <v>15739</v>
      </c>
      <c r="AM1336" s="477" t="s">
        <v>70</v>
      </c>
      <c r="AN1336" s="637">
        <v>100</v>
      </c>
      <c r="AO1336" s="478">
        <v>-1570</v>
      </c>
      <c r="AP1336" s="463">
        <v>-1570</v>
      </c>
      <c r="AQ1336" s="479">
        <v>0</v>
      </c>
      <c r="AR1336" s="476" t="s">
        <v>17460</v>
      </c>
      <c r="BA1336" s="313" t="s">
        <v>5652</v>
      </c>
    </row>
    <row r="1337" spans="2:53" ht="16.5" customHeight="1">
      <c r="B1337" s="367" t="s">
        <v>5477</v>
      </c>
      <c r="C1337" s="351" t="s">
        <v>5478</v>
      </c>
      <c r="D1337" s="353">
        <v>-1570</v>
      </c>
      <c r="E1337" s="352" t="s">
        <v>408</v>
      </c>
      <c r="F1337" s="341">
        <v>78.819999999999993</v>
      </c>
      <c r="G1337" s="355" t="s">
        <v>5555</v>
      </c>
      <c r="H1337" s="356" t="s">
        <v>18848</v>
      </c>
      <c r="I1337" s="354" t="s">
        <v>423</v>
      </c>
      <c r="J1337" s="340" t="s">
        <v>11513</v>
      </c>
      <c r="K1337" s="339" t="s">
        <v>70</v>
      </c>
      <c r="L1337" s="357">
        <v>12</v>
      </c>
      <c r="M1337" s="358" t="s">
        <v>11514</v>
      </c>
      <c r="N1337" s="359">
        <v>1000</v>
      </c>
      <c r="O1337" s="360" t="s">
        <v>530</v>
      </c>
      <c r="P1337" s="343" t="s">
        <v>531</v>
      </c>
      <c r="Q1337" s="342" t="s">
        <v>2688</v>
      </c>
      <c r="R1337" s="344">
        <v>20</v>
      </c>
      <c r="S1337" s="345">
        <v>35</v>
      </c>
      <c r="T1337" s="362">
        <v>25</v>
      </c>
      <c r="U1337" s="361">
        <v>78.819999999999993</v>
      </c>
      <c r="V1337" s="346">
        <v>118.00975780624501</v>
      </c>
      <c r="W1337" s="348">
        <v>118.14331465172138</v>
      </c>
      <c r="X1337" s="347">
        <v>59.36</v>
      </c>
      <c r="Y1337" s="357">
        <v>59.879999999999995</v>
      </c>
      <c r="Z1337" s="365" t="s">
        <v>3017</v>
      </c>
      <c r="AA1337" s="350">
        <v>198</v>
      </c>
      <c r="AB1337" s="349" t="s">
        <v>2685</v>
      </c>
      <c r="AC1337" s="350">
        <v>10</v>
      </c>
      <c r="AD1337" s="349" t="s">
        <v>2685</v>
      </c>
      <c r="AE1337" s="364">
        <v>0</v>
      </c>
      <c r="AF1337" s="366">
        <v>0</v>
      </c>
      <c r="AG1337" s="363">
        <v>0</v>
      </c>
      <c r="AH1337" s="635" t="s">
        <v>408</v>
      </c>
      <c r="AL1337" s="487" t="s">
        <v>15740</v>
      </c>
      <c r="AM1337" s="477" t="s">
        <v>70</v>
      </c>
      <c r="AN1337" s="637">
        <v>100</v>
      </c>
      <c r="AO1337" s="478">
        <v>-1570</v>
      </c>
      <c r="AP1337" s="463">
        <v>-1570</v>
      </c>
      <c r="AQ1337" s="479">
        <v>0</v>
      </c>
      <c r="AR1337" s="476" t="s">
        <v>17460</v>
      </c>
      <c r="BA1337" s="313" t="s">
        <v>5653</v>
      </c>
    </row>
    <row r="1338" spans="2:53" ht="16.5" customHeight="1">
      <c r="B1338" s="367" t="s">
        <v>5477</v>
      </c>
      <c r="C1338" s="351" t="s">
        <v>5478</v>
      </c>
      <c r="D1338" s="353">
        <v>-1570</v>
      </c>
      <c r="E1338" s="352" t="s">
        <v>5435</v>
      </c>
      <c r="F1338" s="341">
        <v>78.81</v>
      </c>
      <c r="G1338" s="355" t="s">
        <v>5534</v>
      </c>
      <c r="H1338" s="356" t="s">
        <v>11099</v>
      </c>
      <c r="I1338" s="354" t="s">
        <v>425</v>
      </c>
      <c r="J1338" s="340" t="s">
        <v>11515</v>
      </c>
      <c r="K1338" s="339" t="s">
        <v>71</v>
      </c>
      <c r="L1338" s="357">
        <v>36</v>
      </c>
      <c r="M1338" s="358" t="s">
        <v>11350</v>
      </c>
      <c r="N1338" s="359">
        <v>1000</v>
      </c>
      <c r="O1338" s="360" t="s">
        <v>454</v>
      </c>
      <c r="P1338" s="343" t="s">
        <v>454</v>
      </c>
      <c r="Q1338" s="342" t="s">
        <v>2738</v>
      </c>
      <c r="R1338" s="344">
        <v>35</v>
      </c>
      <c r="S1338" s="345">
        <v>25</v>
      </c>
      <c r="T1338" s="362">
        <v>20</v>
      </c>
      <c r="U1338" s="361">
        <v>78.81</v>
      </c>
      <c r="V1338" s="346">
        <v>118.0078125</v>
      </c>
      <c r="W1338" s="348">
        <v>118.14224137931035</v>
      </c>
      <c r="X1338" s="347">
        <v>59.55</v>
      </c>
      <c r="Y1338" s="357" t="s">
        <v>408</v>
      </c>
      <c r="Z1338" s="365" t="s">
        <v>3017</v>
      </c>
      <c r="AA1338" s="350">
        <v>196</v>
      </c>
      <c r="AB1338" s="349" t="s">
        <v>2685</v>
      </c>
      <c r="AC1338" s="350">
        <v>10</v>
      </c>
      <c r="AD1338" s="349" t="s">
        <v>2685</v>
      </c>
      <c r="AE1338" s="364">
        <v>0</v>
      </c>
      <c r="AF1338" s="366">
        <v>0</v>
      </c>
      <c r="AG1338" s="363">
        <v>0</v>
      </c>
      <c r="AH1338" s="635" t="s">
        <v>408</v>
      </c>
      <c r="AL1338" s="487" t="s">
        <v>15741</v>
      </c>
      <c r="AM1338" s="477" t="s">
        <v>71</v>
      </c>
      <c r="AN1338" s="637">
        <v>100</v>
      </c>
      <c r="AO1338" s="478">
        <v>-1570</v>
      </c>
      <c r="AP1338" s="463">
        <v>-713</v>
      </c>
      <c r="AQ1338" s="479">
        <v>-857</v>
      </c>
      <c r="AR1338" s="476" t="s">
        <v>17461</v>
      </c>
      <c r="BA1338" s="313" t="s">
        <v>5654</v>
      </c>
    </row>
    <row r="1339" spans="2:53" ht="16.5" customHeight="1">
      <c r="B1339" s="367" t="s">
        <v>5491</v>
      </c>
      <c r="C1339" s="351" t="s">
        <v>5492</v>
      </c>
      <c r="D1339" s="353">
        <v>-1570</v>
      </c>
      <c r="E1339" s="352" t="s">
        <v>408</v>
      </c>
      <c r="F1339" s="341">
        <v>78.77</v>
      </c>
      <c r="G1339" s="355" t="s">
        <v>5560</v>
      </c>
      <c r="H1339" s="356" t="s">
        <v>5047</v>
      </c>
      <c r="I1339" s="354" t="s">
        <v>212</v>
      </c>
      <c r="J1339" s="340" t="s">
        <v>8011</v>
      </c>
      <c r="K1339" s="339" t="s">
        <v>70</v>
      </c>
      <c r="L1339" s="357">
        <v>8</v>
      </c>
      <c r="M1339" s="358" t="s">
        <v>11517</v>
      </c>
      <c r="N1339" s="359">
        <v>800</v>
      </c>
      <c r="O1339" s="360" t="s">
        <v>532</v>
      </c>
      <c r="P1339" s="343" t="s">
        <v>532</v>
      </c>
      <c r="Q1339" s="342" t="s">
        <v>2688</v>
      </c>
      <c r="R1339" s="344">
        <v>30</v>
      </c>
      <c r="S1339" s="345">
        <v>40</v>
      </c>
      <c r="T1339" s="362">
        <v>30</v>
      </c>
      <c r="U1339" s="361">
        <v>78.77</v>
      </c>
      <c r="V1339" s="346">
        <v>117.97903126363853</v>
      </c>
      <c r="W1339" s="348">
        <v>118.12636207649022</v>
      </c>
      <c r="X1339" s="347" t="s">
        <v>18849</v>
      </c>
      <c r="Y1339" s="357" t="s">
        <v>408</v>
      </c>
      <c r="Z1339" s="365" t="s">
        <v>3017</v>
      </c>
      <c r="AA1339" s="350">
        <v>190</v>
      </c>
      <c r="AB1339" s="349" t="s">
        <v>2685</v>
      </c>
      <c r="AC1339" s="350">
        <v>10</v>
      </c>
      <c r="AD1339" s="349" t="s">
        <v>2685</v>
      </c>
      <c r="AE1339" s="364">
        <v>0</v>
      </c>
      <c r="AF1339" s="366">
        <v>0</v>
      </c>
      <c r="AG1339" s="363">
        <v>0</v>
      </c>
      <c r="AH1339" s="635" t="s">
        <v>408</v>
      </c>
      <c r="AL1339" s="487" t="s">
        <v>15743</v>
      </c>
      <c r="AM1339" s="477" t="s">
        <v>70</v>
      </c>
      <c r="AN1339" s="637">
        <v>100</v>
      </c>
      <c r="AO1339" s="478">
        <v>-1570</v>
      </c>
      <c r="AP1339" s="463">
        <v>-1570</v>
      </c>
      <c r="AQ1339" s="479">
        <v>0</v>
      </c>
      <c r="AR1339" s="476" t="s">
        <v>17462</v>
      </c>
      <c r="BA1339" s="313" t="s">
        <v>5656</v>
      </c>
    </row>
    <row r="1340" spans="2:53" ht="16.5" customHeight="1">
      <c r="B1340" s="367" t="s">
        <v>11521</v>
      </c>
      <c r="C1340" s="351" t="s">
        <v>11522</v>
      </c>
      <c r="D1340" s="353">
        <v>-1570</v>
      </c>
      <c r="E1340" s="352" t="s">
        <v>11518</v>
      </c>
      <c r="F1340" s="341">
        <v>78.75</v>
      </c>
      <c r="G1340" s="355" t="s">
        <v>18850</v>
      </c>
      <c r="H1340" s="356" t="s">
        <v>18851</v>
      </c>
      <c r="I1340" s="354" t="s">
        <v>195</v>
      </c>
      <c r="J1340" s="340" t="s">
        <v>11524</v>
      </c>
      <c r="K1340" s="339" t="s">
        <v>71</v>
      </c>
      <c r="L1340" s="357">
        <v>17</v>
      </c>
      <c r="M1340" s="358" t="s">
        <v>11525</v>
      </c>
      <c r="N1340" s="359">
        <v>100</v>
      </c>
      <c r="O1340" s="360" t="s">
        <v>454</v>
      </c>
      <c r="P1340" s="343" t="s">
        <v>454</v>
      </c>
      <c r="Q1340" s="342" t="s">
        <v>2738</v>
      </c>
      <c r="R1340" s="344">
        <v>35</v>
      </c>
      <c r="S1340" s="345">
        <v>25</v>
      </c>
      <c r="T1340" s="362">
        <v>20</v>
      </c>
      <c r="U1340" s="361">
        <v>78.75</v>
      </c>
      <c r="V1340" s="346">
        <v>117.96875</v>
      </c>
      <c r="W1340" s="348">
        <v>118.12068965517241</v>
      </c>
      <c r="X1340" s="347">
        <v>59.53</v>
      </c>
      <c r="Y1340" s="357" t="s">
        <v>408</v>
      </c>
      <c r="Z1340" s="365" t="s">
        <v>3017</v>
      </c>
      <c r="AA1340" s="350">
        <v>19</v>
      </c>
      <c r="AB1340" s="349" t="s">
        <v>2685</v>
      </c>
      <c r="AC1340" s="350">
        <v>0</v>
      </c>
      <c r="AD1340" s="349" t="s">
        <v>2685</v>
      </c>
      <c r="AE1340" s="364">
        <v>0</v>
      </c>
      <c r="AF1340" s="366">
        <v>0</v>
      </c>
      <c r="AG1340" s="363">
        <v>0</v>
      </c>
      <c r="AH1340" s="635" t="s">
        <v>408</v>
      </c>
      <c r="AL1340" s="487" t="s">
        <v>15742</v>
      </c>
      <c r="AM1340" s="477" t="s">
        <v>71</v>
      </c>
      <c r="AN1340" s="637">
        <v>100</v>
      </c>
      <c r="AO1340" s="478">
        <v>-1570</v>
      </c>
      <c r="AP1340" s="463">
        <v>-713</v>
      </c>
      <c r="AQ1340" s="479">
        <v>-857</v>
      </c>
      <c r="AR1340" s="476" t="s">
        <v>17463</v>
      </c>
      <c r="BA1340" s="313" t="s">
        <v>5659</v>
      </c>
    </row>
    <row r="1341" spans="2:53" ht="16.5" customHeight="1">
      <c r="B1341" s="367" t="s">
        <v>5498</v>
      </c>
      <c r="C1341" s="351" t="s">
        <v>5499</v>
      </c>
      <c r="D1341" s="353">
        <v>-1570</v>
      </c>
      <c r="E1341" s="352" t="s">
        <v>11518</v>
      </c>
      <c r="F1341" s="341">
        <v>78.739999999999995</v>
      </c>
      <c r="G1341" s="355" t="s">
        <v>5354</v>
      </c>
      <c r="H1341" s="356" t="s">
        <v>5015</v>
      </c>
      <c r="I1341" s="354" t="s">
        <v>73</v>
      </c>
      <c r="J1341" s="340" t="s">
        <v>11526</v>
      </c>
      <c r="K1341" s="339" t="s">
        <v>70</v>
      </c>
      <c r="L1341" s="357" t="s">
        <v>408</v>
      </c>
      <c r="M1341" s="358" t="s">
        <v>7059</v>
      </c>
      <c r="N1341" s="359">
        <v>1000</v>
      </c>
      <c r="O1341" s="360" t="s">
        <v>530</v>
      </c>
      <c r="P1341" s="343" t="s">
        <v>531</v>
      </c>
      <c r="Q1341" s="342" t="s">
        <v>2688</v>
      </c>
      <c r="R1341" s="344">
        <v>22</v>
      </c>
      <c r="S1341" s="345">
        <v>33</v>
      </c>
      <c r="T1341" s="362">
        <v>33</v>
      </c>
      <c r="U1341" s="361">
        <v>78.739999999999995</v>
      </c>
      <c r="V1341" s="346">
        <v>117.96094017564691</v>
      </c>
      <c r="W1341" s="348">
        <v>118.11638078656381</v>
      </c>
      <c r="X1341" s="347">
        <v>59.33</v>
      </c>
      <c r="Y1341" s="357">
        <v>59.85</v>
      </c>
      <c r="Z1341" s="365" t="s">
        <v>2689</v>
      </c>
      <c r="AA1341" s="350">
        <v>111.11</v>
      </c>
      <c r="AB1341" s="349" t="s">
        <v>2685</v>
      </c>
      <c r="AC1341" s="350">
        <v>0</v>
      </c>
      <c r="AD1341" s="349" t="s">
        <v>2685</v>
      </c>
      <c r="AE1341" s="364">
        <v>0</v>
      </c>
      <c r="AF1341" s="366">
        <v>5.9850000000000003</v>
      </c>
      <c r="AG1341" s="363">
        <v>0</v>
      </c>
      <c r="AH1341" s="635" t="s">
        <v>7791</v>
      </c>
      <c r="AL1341" s="487" t="s">
        <v>15744</v>
      </c>
      <c r="AM1341" s="477" t="s">
        <v>70</v>
      </c>
      <c r="AN1341" s="637">
        <v>100</v>
      </c>
      <c r="AO1341" s="478">
        <v>-1570</v>
      </c>
      <c r="AP1341" s="463">
        <v>-1570</v>
      </c>
      <c r="AQ1341" s="479">
        <v>0</v>
      </c>
      <c r="AR1341" s="476" t="s">
        <v>17464</v>
      </c>
      <c r="BA1341" s="313" t="s">
        <v>5664</v>
      </c>
    </row>
    <row r="1342" spans="2:53" ht="16.5" customHeight="1">
      <c r="B1342" s="367" t="s">
        <v>5498</v>
      </c>
      <c r="C1342" s="351" t="s">
        <v>5499</v>
      </c>
      <c r="D1342" s="353">
        <v>-1570</v>
      </c>
      <c r="E1342" s="352" t="s">
        <v>11520</v>
      </c>
      <c r="F1342" s="341">
        <v>78.73</v>
      </c>
      <c r="G1342" s="355" t="s">
        <v>5354</v>
      </c>
      <c r="H1342" s="356" t="s">
        <v>5015</v>
      </c>
      <c r="I1342" s="354" t="s">
        <v>216</v>
      </c>
      <c r="J1342" s="340" t="s">
        <v>11529</v>
      </c>
      <c r="K1342" s="339" t="s">
        <v>70</v>
      </c>
      <c r="L1342" s="357">
        <v>10</v>
      </c>
      <c r="M1342" s="358" t="s">
        <v>11530</v>
      </c>
      <c r="N1342" s="359">
        <v>300</v>
      </c>
      <c r="O1342" s="360" t="s">
        <v>530</v>
      </c>
      <c r="P1342" s="343" t="s">
        <v>530</v>
      </c>
      <c r="Q1342" s="342" t="s">
        <v>2688</v>
      </c>
      <c r="R1342" s="344">
        <v>25</v>
      </c>
      <c r="S1342" s="345">
        <v>45</v>
      </c>
      <c r="T1342" s="362">
        <v>30</v>
      </c>
      <c r="U1342" s="361">
        <v>78.73</v>
      </c>
      <c r="V1342" s="346">
        <v>117.95887072161064</v>
      </c>
      <c r="W1342" s="348">
        <v>118.11523901881965</v>
      </c>
      <c r="X1342" s="347">
        <v>59.33</v>
      </c>
      <c r="Y1342" s="357" t="s">
        <v>408</v>
      </c>
      <c r="Z1342" s="365" t="s">
        <v>3017</v>
      </c>
      <c r="AA1342" s="350">
        <v>-2</v>
      </c>
      <c r="AB1342" s="349" t="s">
        <v>2685</v>
      </c>
      <c r="AC1342" s="350">
        <v>0</v>
      </c>
      <c r="AD1342" s="349" t="s">
        <v>2685</v>
      </c>
      <c r="AE1342" s="364">
        <v>0</v>
      </c>
      <c r="AF1342" s="366">
        <v>0</v>
      </c>
      <c r="AG1342" s="363">
        <v>0</v>
      </c>
      <c r="AH1342" s="635" t="s">
        <v>408</v>
      </c>
      <c r="AL1342" s="487" t="s">
        <v>15745</v>
      </c>
      <c r="AM1342" s="477" t="s">
        <v>70</v>
      </c>
      <c r="AN1342" s="637">
        <v>100</v>
      </c>
      <c r="AO1342" s="478">
        <v>-1570</v>
      </c>
      <c r="AP1342" s="463">
        <v>-1570</v>
      </c>
      <c r="AQ1342" s="479">
        <v>0</v>
      </c>
      <c r="AR1342" s="476" t="s">
        <v>17464</v>
      </c>
      <c r="BA1342" s="313" t="s">
        <v>5667</v>
      </c>
    </row>
    <row r="1343" spans="2:53" ht="16.5" customHeight="1">
      <c r="B1343" s="367" t="s">
        <v>5507</v>
      </c>
      <c r="C1343" s="351" t="s">
        <v>5508</v>
      </c>
      <c r="D1343" s="353">
        <v>-1570</v>
      </c>
      <c r="E1343" s="352" t="s">
        <v>11523</v>
      </c>
      <c r="F1343" s="341">
        <v>78.72</v>
      </c>
      <c r="G1343" s="355" t="s">
        <v>5572</v>
      </c>
      <c r="H1343" s="356" t="s">
        <v>4975</v>
      </c>
      <c r="I1343" s="354" t="s">
        <v>446</v>
      </c>
      <c r="J1343" s="340" t="s">
        <v>9103</v>
      </c>
      <c r="K1343" s="339" t="s">
        <v>70</v>
      </c>
      <c r="L1343" s="357">
        <v>39</v>
      </c>
      <c r="M1343" s="358" t="s">
        <v>11531</v>
      </c>
      <c r="N1343" s="359">
        <v>1000</v>
      </c>
      <c r="O1343" s="360" t="s">
        <v>454</v>
      </c>
      <c r="P1343" s="343" t="s">
        <v>454</v>
      </c>
      <c r="Q1343" s="342" t="s">
        <v>2688</v>
      </c>
      <c r="R1343" s="344">
        <v>25</v>
      </c>
      <c r="S1343" s="345">
        <v>35</v>
      </c>
      <c r="T1343" s="362">
        <v>30</v>
      </c>
      <c r="U1343" s="361">
        <v>78.72</v>
      </c>
      <c r="V1343" s="346">
        <v>117.95138888888889</v>
      </c>
      <c r="W1343" s="348">
        <v>118.11111111111111</v>
      </c>
      <c r="X1343" s="347">
        <v>59.33</v>
      </c>
      <c r="Y1343" s="357" t="s">
        <v>408</v>
      </c>
      <c r="Z1343" s="365" t="s">
        <v>3017</v>
      </c>
      <c r="AA1343" s="350">
        <v>98</v>
      </c>
      <c r="AB1343" s="349" t="s">
        <v>2685</v>
      </c>
      <c r="AC1343" s="350">
        <v>0</v>
      </c>
      <c r="AD1343" s="349" t="s">
        <v>2685</v>
      </c>
      <c r="AE1343" s="364">
        <v>0</v>
      </c>
      <c r="AF1343" s="366">
        <v>0</v>
      </c>
      <c r="AG1343" s="363">
        <v>0</v>
      </c>
      <c r="AH1343" s="635" t="s">
        <v>408</v>
      </c>
      <c r="AL1343" s="487" t="s">
        <v>15746</v>
      </c>
      <c r="AM1343" s="477" t="s">
        <v>70</v>
      </c>
      <c r="AN1343" s="637">
        <v>100</v>
      </c>
      <c r="AO1343" s="478">
        <v>-1570</v>
      </c>
      <c r="AP1343" s="463">
        <v>-1570</v>
      </c>
      <c r="AQ1343" s="479">
        <v>0</v>
      </c>
      <c r="AR1343" s="476" t="s">
        <v>17465</v>
      </c>
      <c r="BA1343" s="313" t="s">
        <v>5671</v>
      </c>
    </row>
    <row r="1344" spans="2:53" ht="16.5" customHeight="1">
      <c r="B1344" s="367" t="s">
        <v>11532</v>
      </c>
      <c r="C1344" s="351" t="s">
        <v>11533</v>
      </c>
      <c r="D1344" s="353">
        <v>-1570</v>
      </c>
      <c r="E1344" s="352" t="s">
        <v>408</v>
      </c>
      <c r="F1344" s="341">
        <v>78.709999999999994</v>
      </c>
      <c r="G1344" s="355" t="s">
        <v>11534</v>
      </c>
      <c r="H1344" s="356" t="s">
        <v>5056</v>
      </c>
      <c r="I1344" s="354" t="s">
        <v>9336</v>
      </c>
      <c r="J1344" s="340" t="s">
        <v>7825</v>
      </c>
      <c r="K1344" s="339" t="s">
        <v>70</v>
      </c>
      <c r="L1344" s="357">
        <v>32</v>
      </c>
      <c r="M1344" s="358" t="s">
        <v>11535</v>
      </c>
      <c r="N1344" s="359">
        <v>700</v>
      </c>
      <c r="O1344" s="360" t="s">
        <v>532</v>
      </c>
      <c r="P1344" s="343" t="s">
        <v>533</v>
      </c>
      <c r="Q1344" s="342" t="s">
        <v>2688</v>
      </c>
      <c r="R1344" s="344">
        <v>20</v>
      </c>
      <c r="S1344" s="345">
        <v>35</v>
      </c>
      <c r="T1344" s="362">
        <v>30</v>
      </c>
      <c r="U1344" s="361">
        <v>78.709999999999994</v>
      </c>
      <c r="V1344" s="346">
        <v>117.94370068705034</v>
      </c>
      <c r="W1344" s="348">
        <v>118.10686934457949</v>
      </c>
      <c r="X1344" s="347">
        <v>59.32</v>
      </c>
      <c r="Y1344" s="357">
        <v>61.48</v>
      </c>
      <c r="Z1344" s="365" t="s">
        <v>3017</v>
      </c>
      <c r="AA1344" s="350">
        <v>104.5</v>
      </c>
      <c r="AB1344" s="349" t="s">
        <v>2685</v>
      </c>
      <c r="AC1344" s="350">
        <v>0</v>
      </c>
      <c r="AD1344" s="349" t="s">
        <v>2685</v>
      </c>
      <c r="AE1344" s="364">
        <v>0</v>
      </c>
      <c r="AF1344" s="366">
        <v>0</v>
      </c>
      <c r="AG1344" s="363">
        <v>0</v>
      </c>
      <c r="AH1344" s="635" t="s">
        <v>408</v>
      </c>
      <c r="AL1344" s="487" t="s">
        <v>15747</v>
      </c>
      <c r="AM1344" s="477" t="s">
        <v>70</v>
      </c>
      <c r="AN1344" s="637">
        <v>100</v>
      </c>
      <c r="AO1344" s="478">
        <v>-1570</v>
      </c>
      <c r="AP1344" s="463">
        <v>-1570</v>
      </c>
      <c r="AQ1344" s="479">
        <v>0</v>
      </c>
      <c r="AR1344" s="476" t="s">
        <v>17466</v>
      </c>
      <c r="BA1344" s="313" t="s">
        <v>5674</v>
      </c>
    </row>
    <row r="1345" spans="2:53" ht="16.5" customHeight="1">
      <c r="B1345" s="367" t="s">
        <v>5471</v>
      </c>
      <c r="C1345" s="351" t="s">
        <v>5472</v>
      </c>
      <c r="D1345" s="353">
        <v>-1570</v>
      </c>
      <c r="E1345" s="352" t="s">
        <v>11527</v>
      </c>
      <c r="F1345" s="341">
        <v>78.67</v>
      </c>
      <c r="G1345" s="355" t="s">
        <v>11518</v>
      </c>
      <c r="H1345" s="356" t="s">
        <v>10925</v>
      </c>
      <c r="I1345" s="354" t="s">
        <v>209</v>
      </c>
      <c r="J1345" s="340" t="s">
        <v>8197</v>
      </c>
      <c r="K1345" s="339" t="s">
        <v>71</v>
      </c>
      <c r="L1345" s="357">
        <v>14</v>
      </c>
      <c r="M1345" s="358" t="s">
        <v>9775</v>
      </c>
      <c r="N1345" s="359">
        <v>1000</v>
      </c>
      <c r="O1345" s="360" t="s">
        <v>530</v>
      </c>
      <c r="P1345" s="343" t="s">
        <v>530</v>
      </c>
      <c r="Q1345" s="342" t="s">
        <v>2688</v>
      </c>
      <c r="R1345" s="344">
        <v>30</v>
      </c>
      <c r="S1345" s="345">
        <v>25</v>
      </c>
      <c r="T1345" s="362">
        <v>25</v>
      </c>
      <c r="U1345" s="361">
        <v>78.67</v>
      </c>
      <c r="V1345" s="346">
        <v>117.91858985416262</v>
      </c>
      <c r="W1345" s="348">
        <v>118.09301509195178</v>
      </c>
      <c r="X1345" s="347">
        <v>59.5</v>
      </c>
      <c r="Y1345" s="357" t="s">
        <v>408</v>
      </c>
      <c r="Z1345" s="365" t="s">
        <v>3017</v>
      </c>
      <c r="AA1345" s="350">
        <v>198</v>
      </c>
      <c r="AB1345" s="349" t="s">
        <v>2685</v>
      </c>
      <c r="AC1345" s="350">
        <v>10</v>
      </c>
      <c r="AD1345" s="349" t="s">
        <v>2685</v>
      </c>
      <c r="AE1345" s="364">
        <v>0</v>
      </c>
      <c r="AF1345" s="366">
        <v>0</v>
      </c>
      <c r="AG1345" s="363">
        <v>0</v>
      </c>
      <c r="AH1345" s="635" t="s">
        <v>408</v>
      </c>
      <c r="AL1345" s="487" t="s">
        <v>15748</v>
      </c>
      <c r="AM1345" s="477" t="s">
        <v>71</v>
      </c>
      <c r="AN1345" s="637">
        <v>100</v>
      </c>
      <c r="AO1345" s="478">
        <v>-1570</v>
      </c>
      <c r="AP1345" s="463">
        <v>-712</v>
      </c>
      <c r="AQ1345" s="479">
        <v>-858</v>
      </c>
      <c r="AR1345" s="476" t="s">
        <v>17467</v>
      </c>
      <c r="BA1345" s="313" t="s">
        <v>5675</v>
      </c>
    </row>
    <row r="1346" spans="2:53" ht="16.5" customHeight="1">
      <c r="B1346" s="367" t="s">
        <v>11537</v>
      </c>
      <c r="C1346" s="351" t="s">
        <v>11538</v>
      </c>
      <c r="D1346" s="353">
        <v>-1570</v>
      </c>
      <c r="E1346" s="352" t="s">
        <v>408</v>
      </c>
      <c r="F1346" s="341">
        <v>78.67</v>
      </c>
      <c r="G1346" s="355" t="s">
        <v>11539</v>
      </c>
      <c r="H1346" s="356" t="s">
        <v>5060</v>
      </c>
      <c r="I1346" s="354" t="s">
        <v>209</v>
      </c>
      <c r="J1346" s="340" t="s">
        <v>7910</v>
      </c>
      <c r="K1346" s="339" t="s">
        <v>70</v>
      </c>
      <c r="L1346" s="357">
        <v>16</v>
      </c>
      <c r="M1346" s="358" t="s">
        <v>4841</v>
      </c>
      <c r="N1346" s="359">
        <v>1000</v>
      </c>
      <c r="O1346" s="360" t="s">
        <v>530</v>
      </c>
      <c r="P1346" s="343" t="s">
        <v>530</v>
      </c>
      <c r="Q1346" s="342" t="s">
        <v>2688</v>
      </c>
      <c r="R1346" s="344">
        <v>20</v>
      </c>
      <c r="S1346" s="345">
        <v>30</v>
      </c>
      <c r="T1346" s="362">
        <v>30</v>
      </c>
      <c r="U1346" s="361">
        <v>78.67</v>
      </c>
      <c r="V1346" s="346">
        <v>117.92118220212069</v>
      </c>
      <c r="W1346" s="348">
        <v>118.09444535289417</v>
      </c>
      <c r="X1346" s="347">
        <v>59.31</v>
      </c>
      <c r="Y1346" s="357" t="s">
        <v>408</v>
      </c>
      <c r="Z1346" s="365" t="s">
        <v>3017</v>
      </c>
      <c r="AA1346" s="350">
        <v>198</v>
      </c>
      <c r="AB1346" s="349" t="s">
        <v>2685</v>
      </c>
      <c r="AC1346" s="350">
        <v>10</v>
      </c>
      <c r="AD1346" s="349" t="s">
        <v>2685</v>
      </c>
      <c r="AE1346" s="364">
        <v>0</v>
      </c>
      <c r="AF1346" s="366">
        <v>0</v>
      </c>
      <c r="AG1346" s="363">
        <v>0</v>
      </c>
      <c r="AH1346" s="635" t="s">
        <v>408</v>
      </c>
      <c r="AL1346" s="487" t="s">
        <v>15749</v>
      </c>
      <c r="AM1346" s="477" t="s">
        <v>70</v>
      </c>
      <c r="AN1346" s="637">
        <v>100</v>
      </c>
      <c r="AO1346" s="478">
        <v>-1570</v>
      </c>
      <c r="AP1346" s="463">
        <v>-1570</v>
      </c>
      <c r="AQ1346" s="479">
        <v>0</v>
      </c>
      <c r="AR1346" s="476" t="s">
        <v>17468</v>
      </c>
      <c r="BA1346" s="313" t="s">
        <v>5677</v>
      </c>
    </row>
    <row r="1347" spans="2:53" ht="16.5" customHeight="1">
      <c r="B1347" s="367" t="s">
        <v>11537</v>
      </c>
      <c r="C1347" s="351" t="s">
        <v>11538</v>
      </c>
      <c r="D1347" s="353">
        <v>-1570</v>
      </c>
      <c r="E1347" s="352" t="s">
        <v>408</v>
      </c>
      <c r="F1347" s="341">
        <v>78.67</v>
      </c>
      <c r="G1347" s="355" t="s">
        <v>11540</v>
      </c>
      <c r="H1347" s="356" t="s">
        <v>18852</v>
      </c>
      <c r="I1347" s="354" t="s">
        <v>215</v>
      </c>
      <c r="J1347" s="340" t="s">
        <v>11541</v>
      </c>
      <c r="K1347" s="339" t="s">
        <v>70</v>
      </c>
      <c r="L1347" s="357">
        <v>14</v>
      </c>
      <c r="M1347" s="358" t="s">
        <v>11542</v>
      </c>
      <c r="N1347" s="359">
        <v>1000</v>
      </c>
      <c r="O1347" s="360" t="s">
        <v>530</v>
      </c>
      <c r="P1347" s="343" t="s">
        <v>531</v>
      </c>
      <c r="Q1347" s="342" t="s">
        <v>2688</v>
      </c>
      <c r="R1347" s="344">
        <v>25</v>
      </c>
      <c r="S1347" s="345">
        <v>38</v>
      </c>
      <c r="T1347" s="362">
        <v>25</v>
      </c>
      <c r="U1347" s="361">
        <v>78.67</v>
      </c>
      <c r="V1347" s="346">
        <v>117.91756548536209</v>
      </c>
      <c r="W1347" s="348">
        <v>118.09244992295839</v>
      </c>
      <c r="X1347" s="347">
        <v>59.31</v>
      </c>
      <c r="Y1347" s="357">
        <v>59.65</v>
      </c>
      <c r="Z1347" s="365" t="s">
        <v>3017</v>
      </c>
      <c r="AA1347" s="350">
        <v>121.25</v>
      </c>
      <c r="AB1347" s="349" t="s">
        <v>2685</v>
      </c>
      <c r="AC1347" s="350">
        <v>10</v>
      </c>
      <c r="AD1347" s="349" t="s">
        <v>2685</v>
      </c>
      <c r="AE1347" s="364">
        <v>0</v>
      </c>
      <c r="AF1347" s="366">
        <v>0</v>
      </c>
      <c r="AG1347" s="363">
        <v>0</v>
      </c>
      <c r="AH1347" s="635" t="s">
        <v>408</v>
      </c>
      <c r="AL1347" s="487" t="s">
        <v>15750</v>
      </c>
      <c r="AM1347" s="477" t="s">
        <v>70</v>
      </c>
      <c r="AN1347" s="637">
        <v>100</v>
      </c>
      <c r="AO1347" s="478">
        <v>-1570</v>
      </c>
      <c r="AP1347" s="463">
        <v>-1570</v>
      </c>
      <c r="AQ1347" s="479">
        <v>0</v>
      </c>
      <c r="AR1347" s="476" t="s">
        <v>17469</v>
      </c>
      <c r="BA1347" s="313" t="s">
        <v>5680</v>
      </c>
    </row>
    <row r="1348" spans="2:53" ht="16.5" customHeight="1">
      <c r="B1348" s="367" t="s">
        <v>11537</v>
      </c>
      <c r="C1348" s="351" t="s">
        <v>11538</v>
      </c>
      <c r="D1348" s="353">
        <v>-1570</v>
      </c>
      <c r="E1348" s="352" t="s">
        <v>408</v>
      </c>
      <c r="F1348" s="341">
        <v>78.67</v>
      </c>
      <c r="G1348" s="355" t="s">
        <v>11518</v>
      </c>
      <c r="H1348" s="356" t="s">
        <v>10925</v>
      </c>
      <c r="I1348" s="354" t="s">
        <v>446</v>
      </c>
      <c r="J1348" s="340" t="s">
        <v>11543</v>
      </c>
      <c r="K1348" s="339" t="s">
        <v>71</v>
      </c>
      <c r="L1348" s="357">
        <v>8</v>
      </c>
      <c r="M1348" s="358" t="s">
        <v>6355</v>
      </c>
      <c r="N1348" s="359">
        <v>1000</v>
      </c>
      <c r="O1348" s="360" t="s">
        <v>454</v>
      </c>
      <c r="P1348" s="343" t="s">
        <v>454</v>
      </c>
      <c r="Q1348" s="342" t="s">
        <v>2688</v>
      </c>
      <c r="R1348" s="344">
        <v>35</v>
      </c>
      <c r="S1348" s="345">
        <v>30</v>
      </c>
      <c r="T1348" s="362">
        <v>25</v>
      </c>
      <c r="U1348" s="361">
        <v>78.67</v>
      </c>
      <c r="V1348" s="346">
        <v>117.91666666666667</v>
      </c>
      <c r="W1348" s="348">
        <v>118.0919540229885</v>
      </c>
      <c r="X1348" s="347">
        <v>59.5</v>
      </c>
      <c r="Y1348" s="357" t="s">
        <v>408</v>
      </c>
      <c r="Z1348" s="365" t="s">
        <v>3017</v>
      </c>
      <c r="AA1348" s="350">
        <v>98</v>
      </c>
      <c r="AB1348" s="349" t="s">
        <v>2685</v>
      </c>
      <c r="AC1348" s="350">
        <v>0</v>
      </c>
      <c r="AD1348" s="349" t="s">
        <v>2685</v>
      </c>
      <c r="AE1348" s="364">
        <v>0</v>
      </c>
      <c r="AF1348" s="366">
        <v>0</v>
      </c>
      <c r="AG1348" s="363">
        <v>0</v>
      </c>
      <c r="AH1348" s="635" t="s">
        <v>408</v>
      </c>
      <c r="AL1348" s="487" t="s">
        <v>15751</v>
      </c>
      <c r="AM1348" s="477" t="s">
        <v>71</v>
      </c>
      <c r="AN1348" s="637">
        <v>100</v>
      </c>
      <c r="AO1348" s="478">
        <v>-1570</v>
      </c>
      <c r="AP1348" s="463">
        <v>-712</v>
      </c>
      <c r="AQ1348" s="479">
        <v>-858</v>
      </c>
      <c r="AR1348" s="476" t="s">
        <v>17467</v>
      </c>
      <c r="BA1348" s="313" t="s">
        <v>5681</v>
      </c>
    </row>
    <row r="1349" spans="2:53" ht="16.5" customHeight="1">
      <c r="B1349" s="367" t="s">
        <v>5471</v>
      </c>
      <c r="C1349" s="351" t="s">
        <v>5472</v>
      </c>
      <c r="D1349" s="353">
        <v>-1570</v>
      </c>
      <c r="E1349" s="352" t="s">
        <v>5338</v>
      </c>
      <c r="F1349" s="341">
        <v>78.66</v>
      </c>
      <c r="G1349" s="355" t="s">
        <v>11518</v>
      </c>
      <c r="H1349" s="356" t="s">
        <v>10925</v>
      </c>
      <c r="I1349" s="354" t="s">
        <v>398</v>
      </c>
      <c r="J1349" s="340" t="s">
        <v>439</v>
      </c>
      <c r="K1349" s="339" t="s">
        <v>71</v>
      </c>
      <c r="L1349" s="357">
        <v>10</v>
      </c>
      <c r="M1349" s="358" t="s">
        <v>11519</v>
      </c>
      <c r="N1349" s="359">
        <v>500</v>
      </c>
      <c r="O1349" s="360" t="s">
        <v>530</v>
      </c>
      <c r="P1349" s="343" t="s">
        <v>530</v>
      </c>
      <c r="Q1349" s="342" t="s">
        <v>2688</v>
      </c>
      <c r="R1349" s="344">
        <v>25</v>
      </c>
      <c r="S1349" s="345">
        <v>25</v>
      </c>
      <c r="T1349" s="362">
        <v>25</v>
      </c>
      <c r="U1349" s="361">
        <v>78.66</v>
      </c>
      <c r="V1349" s="346">
        <v>117.91539770693704</v>
      </c>
      <c r="W1349" s="348">
        <v>118.09125390727561</v>
      </c>
      <c r="X1349" s="347">
        <v>59.5</v>
      </c>
      <c r="Y1349" s="357" t="s">
        <v>408</v>
      </c>
      <c r="Z1349" s="365" t="s">
        <v>4408</v>
      </c>
      <c r="AA1349" s="350">
        <v>112.5</v>
      </c>
      <c r="AB1349" s="349" t="s">
        <v>2685</v>
      </c>
      <c r="AC1349" s="350">
        <v>2</v>
      </c>
      <c r="AD1349" s="349" t="s">
        <v>2685</v>
      </c>
      <c r="AE1349" s="364">
        <v>0</v>
      </c>
      <c r="AF1349" s="366">
        <v>0</v>
      </c>
      <c r="AG1349" s="363">
        <v>0</v>
      </c>
      <c r="AH1349" s="635" t="s">
        <v>408</v>
      </c>
      <c r="AL1349" s="487" t="s">
        <v>7237</v>
      </c>
      <c r="AM1349" s="477" t="s">
        <v>71</v>
      </c>
      <c r="AN1349" s="637">
        <v>100</v>
      </c>
      <c r="AO1349" s="478">
        <v>-1570</v>
      </c>
      <c r="AP1349" s="463">
        <v>-712</v>
      </c>
      <c r="AQ1349" s="479">
        <v>-858</v>
      </c>
      <c r="AR1349" s="476" t="s">
        <v>17467</v>
      </c>
      <c r="BA1349" s="313" t="s">
        <v>5684</v>
      </c>
    </row>
    <row r="1350" spans="2:53" ht="16.5" customHeight="1">
      <c r="B1350" s="367" t="s">
        <v>5471</v>
      </c>
      <c r="C1350" s="351" t="s">
        <v>5472</v>
      </c>
      <c r="D1350" s="353">
        <v>-1570</v>
      </c>
      <c r="E1350" s="352" t="s">
        <v>408</v>
      </c>
      <c r="F1350" s="341">
        <v>78.66</v>
      </c>
      <c r="G1350" s="355" t="s">
        <v>11518</v>
      </c>
      <c r="H1350" s="356" t="s">
        <v>10925</v>
      </c>
      <c r="I1350" s="354" t="s">
        <v>398</v>
      </c>
      <c r="J1350" s="340" t="s">
        <v>436</v>
      </c>
      <c r="K1350" s="339" t="s">
        <v>71</v>
      </c>
      <c r="L1350" s="357">
        <v>170</v>
      </c>
      <c r="M1350" s="358" t="s">
        <v>11519</v>
      </c>
      <c r="N1350" s="359">
        <v>500</v>
      </c>
      <c r="O1350" s="360" t="s">
        <v>530</v>
      </c>
      <c r="P1350" s="343" t="s">
        <v>530</v>
      </c>
      <c r="Q1350" s="342" t="s">
        <v>2688</v>
      </c>
      <c r="R1350" s="344">
        <v>25</v>
      </c>
      <c r="S1350" s="345">
        <v>25</v>
      </c>
      <c r="T1350" s="362">
        <v>25</v>
      </c>
      <c r="U1350" s="361">
        <v>78.66</v>
      </c>
      <c r="V1350" s="346">
        <v>117.91539770693704</v>
      </c>
      <c r="W1350" s="348">
        <v>118.09125390727561</v>
      </c>
      <c r="X1350" s="347">
        <v>59.5</v>
      </c>
      <c r="Y1350" s="357" t="s">
        <v>408</v>
      </c>
      <c r="Z1350" s="365" t="s">
        <v>4408</v>
      </c>
      <c r="AA1350" s="350">
        <v>112.5</v>
      </c>
      <c r="AB1350" s="349" t="s">
        <v>2685</v>
      </c>
      <c r="AC1350" s="350">
        <v>2</v>
      </c>
      <c r="AD1350" s="349" t="s">
        <v>2685</v>
      </c>
      <c r="AE1350" s="364">
        <v>0</v>
      </c>
      <c r="AF1350" s="366">
        <v>0</v>
      </c>
      <c r="AG1350" s="363">
        <v>0</v>
      </c>
      <c r="AH1350" s="635" t="s">
        <v>408</v>
      </c>
      <c r="AL1350" s="487" t="s">
        <v>7233</v>
      </c>
      <c r="AM1350" s="477" t="s">
        <v>71</v>
      </c>
      <c r="AN1350" s="637">
        <v>100</v>
      </c>
      <c r="AO1350" s="478">
        <v>-1570</v>
      </c>
      <c r="AP1350" s="463">
        <v>-712</v>
      </c>
      <c r="AQ1350" s="479">
        <v>-858</v>
      </c>
      <c r="AR1350" s="476" t="s">
        <v>17467</v>
      </c>
      <c r="BA1350" s="313" t="s">
        <v>5686</v>
      </c>
    </row>
    <row r="1351" spans="2:53" ht="16.5" customHeight="1">
      <c r="B1351" s="367" t="s">
        <v>5516</v>
      </c>
      <c r="C1351" s="351" t="s">
        <v>5517</v>
      </c>
      <c r="D1351" s="353">
        <v>-1570</v>
      </c>
      <c r="E1351" s="352" t="s">
        <v>408</v>
      </c>
      <c r="F1351" s="341">
        <v>78.650000000000006</v>
      </c>
      <c r="G1351" s="355" t="s">
        <v>11544</v>
      </c>
      <c r="H1351" s="356" t="s">
        <v>18853</v>
      </c>
      <c r="I1351" s="354" t="s">
        <v>215</v>
      </c>
      <c r="J1351" s="340" t="s">
        <v>11546</v>
      </c>
      <c r="K1351" s="339" t="s">
        <v>70</v>
      </c>
      <c r="L1351" s="357">
        <v>17</v>
      </c>
      <c r="M1351" s="358" t="s">
        <v>11547</v>
      </c>
      <c r="N1351" s="359">
        <v>1000</v>
      </c>
      <c r="O1351" s="360" t="s">
        <v>530</v>
      </c>
      <c r="P1351" s="343" t="s">
        <v>531</v>
      </c>
      <c r="Q1351" s="342" t="s">
        <v>2688</v>
      </c>
      <c r="R1351" s="344">
        <v>25</v>
      </c>
      <c r="S1351" s="345">
        <v>38</v>
      </c>
      <c r="T1351" s="362">
        <v>25</v>
      </c>
      <c r="U1351" s="361">
        <v>78.650000000000006</v>
      </c>
      <c r="V1351" s="346">
        <v>117.90705157255506</v>
      </c>
      <c r="W1351" s="348">
        <v>118.08664914347865</v>
      </c>
      <c r="X1351" s="347">
        <v>59.31</v>
      </c>
      <c r="Y1351" s="357">
        <v>59.64</v>
      </c>
      <c r="Z1351" s="365" t="s">
        <v>3017</v>
      </c>
      <c r="AA1351" s="350">
        <v>121.25</v>
      </c>
      <c r="AB1351" s="349" t="s">
        <v>2685</v>
      </c>
      <c r="AC1351" s="350">
        <v>10</v>
      </c>
      <c r="AD1351" s="349" t="s">
        <v>2685</v>
      </c>
      <c r="AE1351" s="364">
        <v>0</v>
      </c>
      <c r="AF1351" s="366">
        <v>0</v>
      </c>
      <c r="AG1351" s="363">
        <v>0</v>
      </c>
      <c r="AH1351" s="635" t="s">
        <v>408</v>
      </c>
      <c r="AL1351" s="487" t="s">
        <v>15752</v>
      </c>
      <c r="AM1351" s="477" t="s">
        <v>70</v>
      </c>
      <c r="AN1351" s="637">
        <v>100</v>
      </c>
      <c r="AO1351" s="478">
        <v>-1570</v>
      </c>
      <c r="AP1351" s="463">
        <v>-1570</v>
      </c>
      <c r="AQ1351" s="479">
        <v>0</v>
      </c>
      <c r="AR1351" s="476" t="s">
        <v>17470</v>
      </c>
      <c r="BA1351" s="313" t="s">
        <v>5689</v>
      </c>
    </row>
    <row r="1352" spans="2:53" ht="16.5" customHeight="1">
      <c r="B1352" s="367" t="s">
        <v>5516</v>
      </c>
      <c r="C1352" s="351" t="s">
        <v>5517</v>
      </c>
      <c r="D1352" s="353">
        <v>-1570</v>
      </c>
      <c r="E1352" s="352" t="s">
        <v>11540</v>
      </c>
      <c r="F1352" s="341">
        <v>78.650000000000006</v>
      </c>
      <c r="G1352" s="355" t="s">
        <v>11544</v>
      </c>
      <c r="H1352" s="356" t="s">
        <v>18853</v>
      </c>
      <c r="I1352" s="354" t="s">
        <v>9336</v>
      </c>
      <c r="J1352" s="340" t="s">
        <v>7910</v>
      </c>
      <c r="K1352" s="339" t="s">
        <v>70</v>
      </c>
      <c r="L1352" s="357">
        <v>14</v>
      </c>
      <c r="M1352" s="358" t="s">
        <v>11548</v>
      </c>
      <c r="N1352" s="359">
        <v>700</v>
      </c>
      <c r="O1352" s="360" t="s">
        <v>532</v>
      </c>
      <c r="P1352" s="343" t="s">
        <v>533</v>
      </c>
      <c r="Q1352" s="342" t="s">
        <v>2688</v>
      </c>
      <c r="R1352" s="344">
        <v>20</v>
      </c>
      <c r="S1352" s="345">
        <v>35</v>
      </c>
      <c r="T1352" s="362">
        <v>30</v>
      </c>
      <c r="U1352" s="361">
        <v>78.650000000000006</v>
      </c>
      <c r="V1352" s="346">
        <v>117.90721381110171</v>
      </c>
      <c r="W1352" s="348">
        <v>118.08673865440095</v>
      </c>
      <c r="X1352" s="347">
        <v>59.31</v>
      </c>
      <c r="Y1352" s="357">
        <v>61.47</v>
      </c>
      <c r="Z1352" s="365" t="s">
        <v>3017</v>
      </c>
      <c r="AA1352" s="350">
        <v>104.5</v>
      </c>
      <c r="AB1352" s="349" t="s">
        <v>2685</v>
      </c>
      <c r="AC1352" s="350">
        <v>0</v>
      </c>
      <c r="AD1352" s="349" t="s">
        <v>2685</v>
      </c>
      <c r="AE1352" s="364">
        <v>0</v>
      </c>
      <c r="AF1352" s="366">
        <v>0</v>
      </c>
      <c r="AG1352" s="363">
        <v>0</v>
      </c>
      <c r="AH1352" s="635" t="s">
        <v>408</v>
      </c>
      <c r="AL1352" s="487" t="s">
        <v>15753</v>
      </c>
      <c r="AM1352" s="477" t="s">
        <v>70</v>
      </c>
      <c r="AN1352" s="637">
        <v>100</v>
      </c>
      <c r="AO1352" s="478">
        <v>-1570</v>
      </c>
      <c r="AP1352" s="463">
        <v>-1570</v>
      </c>
      <c r="AQ1352" s="479">
        <v>0</v>
      </c>
      <c r="AR1352" s="476" t="s">
        <v>17470</v>
      </c>
      <c r="BA1352" s="313" t="s">
        <v>5691</v>
      </c>
    </row>
    <row r="1353" spans="2:53" ht="16.5" customHeight="1">
      <c r="B1353" s="367" t="s">
        <v>11493</v>
      </c>
      <c r="C1353" s="351" t="s">
        <v>11494</v>
      </c>
      <c r="D1353" s="353">
        <v>-1570</v>
      </c>
      <c r="E1353" s="352" t="s">
        <v>408</v>
      </c>
      <c r="F1353" s="341">
        <v>78.64</v>
      </c>
      <c r="G1353" s="355" t="s">
        <v>11495</v>
      </c>
      <c r="H1353" s="356" t="s">
        <v>18853</v>
      </c>
      <c r="I1353" s="354" t="s">
        <v>214</v>
      </c>
      <c r="J1353" s="340" t="s">
        <v>8216</v>
      </c>
      <c r="K1353" s="339" t="s">
        <v>71</v>
      </c>
      <c r="L1353" s="357">
        <v>6</v>
      </c>
      <c r="M1353" s="358" t="s">
        <v>11528</v>
      </c>
      <c r="N1353" s="359">
        <v>200</v>
      </c>
      <c r="O1353" s="360" t="s">
        <v>532</v>
      </c>
      <c r="P1353" s="343" t="s">
        <v>532</v>
      </c>
      <c r="Q1353" s="342" t="s">
        <v>2688</v>
      </c>
      <c r="R1353" s="344">
        <v>30</v>
      </c>
      <c r="S1353" s="345">
        <v>20</v>
      </c>
      <c r="T1353" s="362">
        <v>30</v>
      </c>
      <c r="U1353" s="361">
        <v>78.64</v>
      </c>
      <c r="V1353" s="346">
        <v>117.89701720947458</v>
      </c>
      <c r="W1353" s="348">
        <v>118.08111294315839</v>
      </c>
      <c r="X1353" s="347" t="s">
        <v>18854</v>
      </c>
      <c r="Y1353" s="357" t="s">
        <v>408</v>
      </c>
      <c r="Z1353" s="365" t="s">
        <v>4408</v>
      </c>
      <c r="AA1353" s="350">
        <v>36</v>
      </c>
      <c r="AB1353" s="349" t="s">
        <v>2685</v>
      </c>
      <c r="AC1353" s="350">
        <v>0</v>
      </c>
      <c r="AD1353" s="349" t="s">
        <v>2685</v>
      </c>
      <c r="AE1353" s="364">
        <v>0</v>
      </c>
      <c r="AF1353" s="366">
        <v>0</v>
      </c>
      <c r="AG1353" s="363">
        <v>0</v>
      </c>
      <c r="AH1353" s="635" t="s">
        <v>408</v>
      </c>
      <c r="AL1353" s="487" t="s">
        <v>15754</v>
      </c>
      <c r="AM1353" s="477" t="s">
        <v>71</v>
      </c>
      <c r="AN1353" s="637">
        <v>100</v>
      </c>
      <c r="AO1353" s="478">
        <v>-1570</v>
      </c>
      <c r="AP1353" s="463">
        <v>-712</v>
      </c>
      <c r="AQ1353" s="479">
        <v>-858</v>
      </c>
      <c r="AR1353" s="476" t="s">
        <v>17471</v>
      </c>
      <c r="BA1353" s="313" t="s">
        <v>5695</v>
      </c>
    </row>
    <row r="1354" spans="2:53" ht="16.5" customHeight="1">
      <c r="B1354" s="367" t="s">
        <v>5522</v>
      </c>
      <c r="C1354" s="351" t="s">
        <v>5523</v>
      </c>
      <c r="D1354" s="353">
        <v>-1570</v>
      </c>
      <c r="E1354" s="352" t="s">
        <v>408</v>
      </c>
      <c r="F1354" s="341">
        <v>78.63</v>
      </c>
      <c r="G1354" s="355" t="s">
        <v>11767</v>
      </c>
      <c r="H1354" s="356" t="s">
        <v>10929</v>
      </c>
      <c r="I1354" s="354" t="s">
        <v>195</v>
      </c>
      <c r="J1354" s="340" t="s">
        <v>7265</v>
      </c>
      <c r="K1354" s="339" t="s">
        <v>71</v>
      </c>
      <c r="L1354" s="357">
        <v>73</v>
      </c>
      <c r="M1354" s="358" t="s">
        <v>11550</v>
      </c>
      <c r="N1354" s="359">
        <v>100</v>
      </c>
      <c r="O1354" s="360" t="s">
        <v>454</v>
      </c>
      <c r="P1354" s="343" t="s">
        <v>454</v>
      </c>
      <c r="Q1354" s="342" t="s">
        <v>2738</v>
      </c>
      <c r="R1354" s="344">
        <v>35</v>
      </c>
      <c r="S1354" s="345">
        <v>25</v>
      </c>
      <c r="T1354" s="362">
        <v>20</v>
      </c>
      <c r="U1354" s="361">
        <v>78.63</v>
      </c>
      <c r="V1354" s="346">
        <v>117.890625</v>
      </c>
      <c r="W1354" s="348">
        <v>118.07758620689656</v>
      </c>
      <c r="X1354" s="347">
        <v>59.49</v>
      </c>
      <c r="Y1354" s="357" t="s">
        <v>408</v>
      </c>
      <c r="Z1354" s="365" t="s">
        <v>3017</v>
      </c>
      <c r="AA1354" s="350">
        <v>19</v>
      </c>
      <c r="AB1354" s="349" t="s">
        <v>2685</v>
      </c>
      <c r="AC1354" s="350">
        <v>0</v>
      </c>
      <c r="AD1354" s="349" t="s">
        <v>2685</v>
      </c>
      <c r="AE1354" s="364">
        <v>0</v>
      </c>
      <c r="AF1354" s="366">
        <v>0</v>
      </c>
      <c r="AG1354" s="363">
        <v>0</v>
      </c>
      <c r="AH1354" s="635" t="s">
        <v>408</v>
      </c>
      <c r="AL1354" s="487" t="s">
        <v>15755</v>
      </c>
      <c r="AM1354" s="477" t="s">
        <v>71</v>
      </c>
      <c r="AN1354" s="637">
        <v>100</v>
      </c>
      <c r="AO1354" s="478">
        <v>-1570</v>
      </c>
      <c r="AP1354" s="463">
        <v>-712</v>
      </c>
      <c r="AQ1354" s="479">
        <v>-858</v>
      </c>
      <c r="AR1354" s="476" t="s">
        <v>17472</v>
      </c>
      <c r="BA1354" s="313" t="s">
        <v>5701</v>
      </c>
    </row>
    <row r="1355" spans="2:53" ht="16.5" customHeight="1">
      <c r="B1355" s="367" t="s">
        <v>18236</v>
      </c>
      <c r="C1355" s="351" t="s">
        <v>18237</v>
      </c>
      <c r="D1355" s="353">
        <v>-1570</v>
      </c>
      <c r="E1355" s="352" t="s">
        <v>5581</v>
      </c>
      <c r="F1355" s="341">
        <v>78.62</v>
      </c>
      <c r="G1355" s="355" t="s">
        <v>11767</v>
      </c>
      <c r="H1355" s="356" t="s">
        <v>10929</v>
      </c>
      <c r="I1355" s="354" t="s">
        <v>216</v>
      </c>
      <c r="J1355" s="340" t="s">
        <v>10466</v>
      </c>
      <c r="K1355" s="339" t="s">
        <v>71</v>
      </c>
      <c r="L1355" s="357">
        <v>10</v>
      </c>
      <c r="M1355" s="358" t="s">
        <v>11536</v>
      </c>
      <c r="N1355" s="359">
        <v>300</v>
      </c>
      <c r="O1355" s="360" t="s">
        <v>530</v>
      </c>
      <c r="P1355" s="343" t="s">
        <v>530</v>
      </c>
      <c r="Q1355" s="342" t="s">
        <v>2688</v>
      </c>
      <c r="R1355" s="344">
        <v>45</v>
      </c>
      <c r="S1355" s="345">
        <v>25</v>
      </c>
      <c r="T1355" s="362">
        <v>30</v>
      </c>
      <c r="U1355" s="361">
        <v>78.62</v>
      </c>
      <c r="V1355" s="346">
        <v>117.88748034114393</v>
      </c>
      <c r="W1355" s="348">
        <v>118.07585122270009</v>
      </c>
      <c r="X1355" s="347">
        <v>59.49</v>
      </c>
      <c r="Y1355" s="357" t="s">
        <v>408</v>
      </c>
      <c r="Z1355" s="365" t="s">
        <v>3017</v>
      </c>
      <c r="AA1355" s="350">
        <v>-2</v>
      </c>
      <c r="AB1355" s="349" t="s">
        <v>2685</v>
      </c>
      <c r="AC1355" s="350">
        <v>0</v>
      </c>
      <c r="AD1355" s="349" t="s">
        <v>2685</v>
      </c>
      <c r="AE1355" s="364">
        <v>0</v>
      </c>
      <c r="AF1355" s="366">
        <v>0</v>
      </c>
      <c r="AG1355" s="363">
        <v>0</v>
      </c>
      <c r="AH1355" s="635" t="s">
        <v>408</v>
      </c>
      <c r="AL1355" s="487" t="s">
        <v>15756</v>
      </c>
      <c r="AM1355" s="477" t="s">
        <v>71</v>
      </c>
      <c r="AN1355" s="637">
        <v>100</v>
      </c>
      <c r="AO1355" s="478">
        <v>-1570</v>
      </c>
      <c r="AP1355" s="463">
        <v>-712</v>
      </c>
      <c r="AQ1355" s="479">
        <v>-858</v>
      </c>
      <c r="AR1355" s="476" t="s">
        <v>17472</v>
      </c>
      <c r="BA1355" s="313" t="s">
        <v>5702</v>
      </c>
    </row>
    <row r="1356" spans="2:53" ht="16.5" customHeight="1">
      <c r="B1356" s="367" t="s">
        <v>5532</v>
      </c>
      <c r="C1356" s="351" t="s">
        <v>5533</v>
      </c>
      <c r="D1356" s="353">
        <v>-1570</v>
      </c>
      <c r="E1356" s="352" t="s">
        <v>5354</v>
      </c>
      <c r="F1356" s="341">
        <v>78.59</v>
      </c>
      <c r="G1356" s="355" t="s">
        <v>5585</v>
      </c>
      <c r="H1356" s="356" t="s">
        <v>11322</v>
      </c>
      <c r="I1356" s="354" t="s">
        <v>479</v>
      </c>
      <c r="J1356" s="340" t="s">
        <v>11552</v>
      </c>
      <c r="K1356" s="339" t="s">
        <v>70</v>
      </c>
      <c r="L1356" s="357">
        <v>14</v>
      </c>
      <c r="M1356" s="358" t="s">
        <v>11553</v>
      </c>
      <c r="N1356" s="359">
        <v>500</v>
      </c>
      <c r="O1356" s="360" t="s">
        <v>454</v>
      </c>
      <c r="P1356" s="343" t="s">
        <v>454</v>
      </c>
      <c r="Q1356" s="342" t="s">
        <v>2688</v>
      </c>
      <c r="R1356" s="344">
        <v>20</v>
      </c>
      <c r="S1356" s="345">
        <v>30</v>
      </c>
      <c r="T1356" s="362">
        <v>30</v>
      </c>
      <c r="U1356" s="361">
        <v>78.59</v>
      </c>
      <c r="V1356" s="346">
        <v>117.86585365853658</v>
      </c>
      <c r="W1356" s="348">
        <v>118.06391925988225</v>
      </c>
      <c r="X1356" s="347">
        <v>59.29</v>
      </c>
      <c r="Y1356" s="357" t="s">
        <v>408</v>
      </c>
      <c r="Z1356" s="365" t="s">
        <v>3017</v>
      </c>
      <c r="AA1356" s="350">
        <v>97</v>
      </c>
      <c r="AB1356" s="349" t="s">
        <v>2685</v>
      </c>
      <c r="AC1356" s="350">
        <v>2</v>
      </c>
      <c r="AD1356" s="349" t="s">
        <v>2685</v>
      </c>
      <c r="AE1356" s="364">
        <v>0</v>
      </c>
      <c r="AF1356" s="366">
        <v>7.859</v>
      </c>
      <c r="AG1356" s="363">
        <v>0</v>
      </c>
      <c r="AH1356" s="635" t="s">
        <v>10953</v>
      </c>
      <c r="AL1356" s="487" t="s">
        <v>15757</v>
      </c>
      <c r="AM1356" s="477" t="s">
        <v>70</v>
      </c>
      <c r="AN1356" s="637">
        <v>100</v>
      </c>
      <c r="AO1356" s="478">
        <v>-1570</v>
      </c>
      <c r="AP1356" s="463">
        <v>-1570</v>
      </c>
      <c r="AQ1356" s="479">
        <v>0</v>
      </c>
      <c r="AR1356" s="476" t="s">
        <v>17473</v>
      </c>
      <c r="BA1356" s="313" t="s">
        <v>5703</v>
      </c>
    </row>
    <row r="1357" spans="2:53" ht="16.5" customHeight="1">
      <c r="B1357" s="367" t="s">
        <v>5501</v>
      </c>
      <c r="C1357" s="351" t="s">
        <v>5502</v>
      </c>
      <c r="D1357" s="353">
        <v>-1570</v>
      </c>
      <c r="E1357" s="352" t="s">
        <v>408</v>
      </c>
      <c r="F1357" s="341">
        <v>78.5</v>
      </c>
      <c r="G1357" s="355" t="s">
        <v>5358</v>
      </c>
      <c r="H1357" s="356" t="s">
        <v>10974</v>
      </c>
      <c r="I1357" s="354" t="s">
        <v>214</v>
      </c>
      <c r="J1357" s="340" t="s">
        <v>489</v>
      </c>
      <c r="K1357" s="339" t="s">
        <v>71</v>
      </c>
      <c r="L1357" s="357">
        <v>34</v>
      </c>
      <c r="M1357" s="358" t="s">
        <v>11551</v>
      </c>
      <c r="N1357" s="359">
        <v>200</v>
      </c>
      <c r="O1357" s="360" t="s">
        <v>532</v>
      </c>
      <c r="P1357" s="343" t="s">
        <v>532</v>
      </c>
      <c r="Q1357" s="342" t="s">
        <v>2688</v>
      </c>
      <c r="R1357" s="344">
        <v>30</v>
      </c>
      <c r="S1357" s="345">
        <v>20</v>
      </c>
      <c r="T1357" s="362">
        <v>30</v>
      </c>
      <c r="U1357" s="361">
        <v>78.5</v>
      </c>
      <c r="V1357" s="346">
        <v>117.80975453258488</v>
      </c>
      <c r="W1357" s="348">
        <v>118.03296801797785</v>
      </c>
      <c r="X1357" s="347" t="s">
        <v>18855</v>
      </c>
      <c r="Y1357" s="357" t="s">
        <v>408</v>
      </c>
      <c r="Z1357" s="365" t="s">
        <v>4408</v>
      </c>
      <c r="AA1357" s="350">
        <v>36</v>
      </c>
      <c r="AB1357" s="349" t="s">
        <v>2685</v>
      </c>
      <c r="AC1357" s="350">
        <v>0</v>
      </c>
      <c r="AD1357" s="349" t="s">
        <v>2685</v>
      </c>
      <c r="AE1357" s="364">
        <v>0</v>
      </c>
      <c r="AF1357" s="366">
        <v>0</v>
      </c>
      <c r="AG1357" s="363">
        <v>0</v>
      </c>
      <c r="AH1357" s="635" t="s">
        <v>408</v>
      </c>
      <c r="AL1357" s="487" t="s">
        <v>15758</v>
      </c>
      <c r="AM1357" s="477" t="s">
        <v>71</v>
      </c>
      <c r="AN1357" s="637">
        <v>100</v>
      </c>
      <c r="AO1357" s="478">
        <v>-1570</v>
      </c>
      <c r="AP1357" s="463">
        <v>-711</v>
      </c>
      <c r="AQ1357" s="479">
        <v>-859</v>
      </c>
      <c r="AR1357" s="476" t="s">
        <v>17474</v>
      </c>
      <c r="BA1357" s="313" t="s">
        <v>5708</v>
      </c>
    </row>
    <row r="1358" spans="2:53" ht="16.5" customHeight="1">
      <c r="B1358" s="367" t="s">
        <v>11556</v>
      </c>
      <c r="C1358" s="351" t="s">
        <v>11557</v>
      </c>
      <c r="D1358" s="353">
        <v>-1570</v>
      </c>
      <c r="E1358" s="352" t="s">
        <v>11539</v>
      </c>
      <c r="F1358" s="341">
        <v>78.5</v>
      </c>
      <c r="G1358" s="355" t="s">
        <v>5354</v>
      </c>
      <c r="H1358" s="356" t="s">
        <v>5124</v>
      </c>
      <c r="I1358" s="354" t="s">
        <v>446</v>
      </c>
      <c r="J1358" s="340" t="s">
        <v>9141</v>
      </c>
      <c r="K1358" s="339" t="s">
        <v>71</v>
      </c>
      <c r="L1358" s="357">
        <v>8</v>
      </c>
      <c r="M1358" s="358" t="s">
        <v>11559</v>
      </c>
      <c r="N1358" s="359">
        <v>1000</v>
      </c>
      <c r="O1358" s="360" t="s">
        <v>454</v>
      </c>
      <c r="P1358" s="343" t="s">
        <v>454</v>
      </c>
      <c r="Q1358" s="342" t="s">
        <v>2688</v>
      </c>
      <c r="R1358" s="344">
        <v>35</v>
      </c>
      <c r="S1358" s="345">
        <v>30</v>
      </c>
      <c r="T1358" s="362">
        <v>25</v>
      </c>
      <c r="U1358" s="361">
        <v>78.5</v>
      </c>
      <c r="V1358" s="346">
        <v>117.8125</v>
      </c>
      <c r="W1358" s="348">
        <v>118.03448275862068</v>
      </c>
      <c r="X1358" s="347">
        <v>59.45</v>
      </c>
      <c r="Y1358" s="357" t="s">
        <v>408</v>
      </c>
      <c r="Z1358" s="365" t="s">
        <v>3017</v>
      </c>
      <c r="AA1358" s="350">
        <v>98</v>
      </c>
      <c r="AB1358" s="349" t="s">
        <v>2685</v>
      </c>
      <c r="AC1358" s="350">
        <v>0</v>
      </c>
      <c r="AD1358" s="349" t="s">
        <v>2685</v>
      </c>
      <c r="AE1358" s="364">
        <v>0</v>
      </c>
      <c r="AF1358" s="366">
        <v>0</v>
      </c>
      <c r="AG1358" s="363">
        <v>0</v>
      </c>
      <c r="AH1358" s="635" t="s">
        <v>408</v>
      </c>
      <c r="AL1358" s="487" t="s">
        <v>15759</v>
      </c>
      <c r="AM1358" s="477" t="s">
        <v>71</v>
      </c>
      <c r="AN1358" s="637">
        <v>100</v>
      </c>
      <c r="AO1358" s="478">
        <v>-1570</v>
      </c>
      <c r="AP1358" s="463">
        <v>-711</v>
      </c>
      <c r="AQ1358" s="479">
        <v>-859</v>
      </c>
      <c r="AR1358" s="476" t="s">
        <v>17475</v>
      </c>
      <c r="BA1358" s="313" t="s">
        <v>5712</v>
      </c>
    </row>
    <row r="1359" spans="2:53" ht="16.5" customHeight="1">
      <c r="B1359" s="367" t="s">
        <v>11560</v>
      </c>
      <c r="C1359" s="351" t="s">
        <v>11561</v>
      </c>
      <c r="D1359" s="353">
        <v>-1570</v>
      </c>
      <c r="E1359" s="352" t="s">
        <v>11539</v>
      </c>
      <c r="F1359" s="341">
        <v>78.48</v>
      </c>
      <c r="G1359" s="355" t="s">
        <v>11562</v>
      </c>
      <c r="H1359" s="356" t="s">
        <v>5091</v>
      </c>
      <c r="I1359" s="354" t="s">
        <v>9336</v>
      </c>
      <c r="J1359" s="340" t="s">
        <v>11563</v>
      </c>
      <c r="K1359" s="339" t="s">
        <v>70</v>
      </c>
      <c r="L1359" s="357">
        <v>16</v>
      </c>
      <c r="M1359" s="358" t="s">
        <v>11564</v>
      </c>
      <c r="N1359" s="359">
        <v>700</v>
      </c>
      <c r="O1359" s="360" t="s">
        <v>532</v>
      </c>
      <c r="P1359" s="343" t="s">
        <v>533</v>
      </c>
      <c r="Q1359" s="342" t="s">
        <v>2688</v>
      </c>
      <c r="R1359" s="344">
        <v>20</v>
      </c>
      <c r="S1359" s="345">
        <v>35</v>
      </c>
      <c r="T1359" s="362">
        <v>30</v>
      </c>
      <c r="U1359" s="361">
        <v>78.48</v>
      </c>
      <c r="V1359" s="346">
        <v>117.79775318325592</v>
      </c>
      <c r="W1359" s="348">
        <v>118.02634658386533</v>
      </c>
      <c r="X1359" s="347">
        <v>59.26</v>
      </c>
      <c r="Y1359" s="357">
        <v>61.44</v>
      </c>
      <c r="Z1359" s="365" t="s">
        <v>3017</v>
      </c>
      <c r="AA1359" s="350">
        <v>104.5</v>
      </c>
      <c r="AB1359" s="349" t="s">
        <v>2685</v>
      </c>
      <c r="AC1359" s="350">
        <v>0</v>
      </c>
      <c r="AD1359" s="349" t="s">
        <v>2685</v>
      </c>
      <c r="AE1359" s="364">
        <v>0</v>
      </c>
      <c r="AF1359" s="366">
        <v>0</v>
      </c>
      <c r="AG1359" s="363">
        <v>0</v>
      </c>
      <c r="AH1359" s="635" t="s">
        <v>408</v>
      </c>
      <c r="AL1359" s="487" t="s">
        <v>15760</v>
      </c>
      <c r="AM1359" s="477" t="s">
        <v>70</v>
      </c>
      <c r="AN1359" s="637">
        <v>100</v>
      </c>
      <c r="AO1359" s="478">
        <v>-1570</v>
      </c>
      <c r="AP1359" s="463">
        <v>-1570</v>
      </c>
      <c r="AQ1359" s="479">
        <v>0</v>
      </c>
      <c r="AR1359" s="476" t="s">
        <v>17476</v>
      </c>
      <c r="BA1359" s="313" t="s">
        <v>5713</v>
      </c>
    </row>
    <row r="1360" spans="2:53" ht="16.5" customHeight="1">
      <c r="B1360" s="367" t="s">
        <v>11565</v>
      </c>
      <c r="C1360" s="351" t="s">
        <v>11566</v>
      </c>
      <c r="D1360" s="353">
        <v>-1570</v>
      </c>
      <c r="E1360" s="352" t="s">
        <v>11558</v>
      </c>
      <c r="F1360" s="341">
        <v>78.47</v>
      </c>
      <c r="G1360" s="355" t="s">
        <v>11567</v>
      </c>
      <c r="H1360" s="356" t="s">
        <v>5095</v>
      </c>
      <c r="I1360" s="354" t="s">
        <v>212</v>
      </c>
      <c r="J1360" s="340" t="s">
        <v>11568</v>
      </c>
      <c r="K1360" s="339" t="s">
        <v>70</v>
      </c>
      <c r="L1360" s="357">
        <v>51</v>
      </c>
      <c r="M1360" s="358" t="s">
        <v>11569</v>
      </c>
      <c r="N1360" s="359">
        <v>800</v>
      </c>
      <c r="O1360" s="360" t="s">
        <v>532</v>
      </c>
      <c r="P1360" s="343" t="s">
        <v>532</v>
      </c>
      <c r="Q1360" s="342" t="s">
        <v>2688</v>
      </c>
      <c r="R1360" s="344">
        <v>30</v>
      </c>
      <c r="S1360" s="345">
        <v>40</v>
      </c>
      <c r="T1360" s="362">
        <v>30</v>
      </c>
      <c r="U1360" s="361">
        <v>78.47</v>
      </c>
      <c r="V1360" s="346">
        <v>117.79185127450701</v>
      </c>
      <c r="W1360" s="348">
        <v>118.0230903583487</v>
      </c>
      <c r="X1360" s="347" t="s">
        <v>18856</v>
      </c>
      <c r="Y1360" s="357" t="s">
        <v>408</v>
      </c>
      <c r="Z1360" s="365" t="s">
        <v>3017</v>
      </c>
      <c r="AA1360" s="350">
        <v>190</v>
      </c>
      <c r="AB1360" s="349" t="s">
        <v>2685</v>
      </c>
      <c r="AC1360" s="350">
        <v>10</v>
      </c>
      <c r="AD1360" s="349" t="s">
        <v>2685</v>
      </c>
      <c r="AE1360" s="364">
        <v>0</v>
      </c>
      <c r="AF1360" s="366">
        <v>0</v>
      </c>
      <c r="AG1360" s="363">
        <v>0</v>
      </c>
      <c r="AH1360" s="635" t="s">
        <v>408</v>
      </c>
      <c r="AL1360" s="487" t="s">
        <v>15761</v>
      </c>
      <c r="AM1360" s="477" t="s">
        <v>70</v>
      </c>
      <c r="AN1360" s="637">
        <v>100</v>
      </c>
      <c r="AO1360" s="478">
        <v>-1570</v>
      </c>
      <c r="AP1360" s="463">
        <v>-1570</v>
      </c>
      <c r="AQ1360" s="479">
        <v>0</v>
      </c>
      <c r="AR1360" s="476" t="s">
        <v>17477</v>
      </c>
      <c r="BA1360" s="313" t="s">
        <v>5715</v>
      </c>
    </row>
    <row r="1361" spans="2:53" ht="16.5" customHeight="1">
      <c r="B1361" s="367" t="s">
        <v>11537</v>
      </c>
      <c r="C1361" s="351" t="s">
        <v>11538</v>
      </c>
      <c r="D1361" s="353">
        <v>-1570</v>
      </c>
      <c r="E1361" s="352" t="s">
        <v>408</v>
      </c>
      <c r="F1361" s="341">
        <v>78.44</v>
      </c>
      <c r="G1361" s="355" t="s">
        <v>11539</v>
      </c>
      <c r="H1361" s="356" t="s">
        <v>5095</v>
      </c>
      <c r="I1361" s="354" t="s">
        <v>209</v>
      </c>
      <c r="J1361" s="340" t="s">
        <v>11554</v>
      </c>
      <c r="K1361" s="339" t="s">
        <v>71</v>
      </c>
      <c r="L1361" s="357">
        <v>8</v>
      </c>
      <c r="M1361" s="358" t="s">
        <v>11555</v>
      </c>
      <c r="N1361" s="359">
        <v>1000</v>
      </c>
      <c r="O1361" s="360" t="s">
        <v>530</v>
      </c>
      <c r="P1361" s="343" t="s">
        <v>530</v>
      </c>
      <c r="Q1361" s="342" t="s">
        <v>2688</v>
      </c>
      <c r="R1361" s="344">
        <v>30</v>
      </c>
      <c r="S1361" s="345">
        <v>25</v>
      </c>
      <c r="T1361" s="362">
        <v>25</v>
      </c>
      <c r="U1361" s="361">
        <v>78.44</v>
      </c>
      <c r="V1361" s="346">
        <v>117.77545159797204</v>
      </c>
      <c r="W1361" s="348">
        <v>118.01404226095009</v>
      </c>
      <c r="X1361" s="347">
        <v>59.43</v>
      </c>
      <c r="Y1361" s="357" t="s">
        <v>408</v>
      </c>
      <c r="Z1361" s="365" t="s">
        <v>3017</v>
      </c>
      <c r="AA1361" s="350">
        <v>198</v>
      </c>
      <c r="AB1361" s="349" t="s">
        <v>2685</v>
      </c>
      <c r="AC1361" s="350">
        <v>10</v>
      </c>
      <c r="AD1361" s="349" t="s">
        <v>2685</v>
      </c>
      <c r="AE1361" s="364">
        <v>0</v>
      </c>
      <c r="AF1361" s="366">
        <v>0</v>
      </c>
      <c r="AG1361" s="363">
        <v>0</v>
      </c>
      <c r="AH1361" s="635" t="s">
        <v>408</v>
      </c>
      <c r="AL1361" s="487" t="s">
        <v>15762</v>
      </c>
      <c r="AM1361" s="477" t="s">
        <v>71</v>
      </c>
      <c r="AN1361" s="637">
        <v>100</v>
      </c>
      <c r="AO1361" s="478">
        <v>-1570</v>
      </c>
      <c r="AP1361" s="463">
        <v>-711</v>
      </c>
      <c r="AQ1361" s="479">
        <v>-859</v>
      </c>
      <c r="AR1361" s="476" t="s">
        <v>17478</v>
      </c>
      <c r="BA1361" s="313" t="s">
        <v>5718</v>
      </c>
    </row>
    <row r="1362" spans="2:53" ht="16.5" customHeight="1">
      <c r="B1362" s="367" t="s">
        <v>11537</v>
      </c>
      <c r="C1362" s="351" t="s">
        <v>11538</v>
      </c>
      <c r="D1362" s="353">
        <v>-1570</v>
      </c>
      <c r="E1362" s="352" t="s">
        <v>408</v>
      </c>
      <c r="F1362" s="341">
        <v>78.44</v>
      </c>
      <c r="G1362" s="355" t="s">
        <v>11539</v>
      </c>
      <c r="H1362" s="356" t="s">
        <v>5095</v>
      </c>
      <c r="I1362" s="354" t="s">
        <v>209</v>
      </c>
      <c r="J1362" s="340" t="s">
        <v>562</v>
      </c>
      <c r="K1362" s="339" t="s">
        <v>71</v>
      </c>
      <c r="L1362" s="357">
        <v>11</v>
      </c>
      <c r="M1362" s="358" t="s">
        <v>11555</v>
      </c>
      <c r="N1362" s="359">
        <v>1000</v>
      </c>
      <c r="O1362" s="360" t="s">
        <v>530</v>
      </c>
      <c r="P1362" s="343" t="s">
        <v>530</v>
      </c>
      <c r="Q1362" s="342" t="s">
        <v>2688</v>
      </c>
      <c r="R1362" s="344">
        <v>30</v>
      </c>
      <c r="S1362" s="345">
        <v>25</v>
      </c>
      <c r="T1362" s="362">
        <v>25</v>
      </c>
      <c r="U1362" s="361">
        <v>78.44</v>
      </c>
      <c r="V1362" s="346">
        <v>117.77545159797204</v>
      </c>
      <c r="W1362" s="348">
        <v>118.01404226095009</v>
      </c>
      <c r="X1362" s="347">
        <v>59.43</v>
      </c>
      <c r="Y1362" s="357" t="s">
        <v>408</v>
      </c>
      <c r="Z1362" s="365" t="s">
        <v>3017</v>
      </c>
      <c r="AA1362" s="350">
        <v>198</v>
      </c>
      <c r="AB1362" s="349" t="s">
        <v>2685</v>
      </c>
      <c r="AC1362" s="350">
        <v>10</v>
      </c>
      <c r="AD1362" s="349" t="s">
        <v>2685</v>
      </c>
      <c r="AE1362" s="364">
        <v>0</v>
      </c>
      <c r="AF1362" s="366">
        <v>0</v>
      </c>
      <c r="AG1362" s="363">
        <v>0</v>
      </c>
      <c r="AH1362" s="635" t="s">
        <v>408</v>
      </c>
      <c r="AL1362" s="487" t="s">
        <v>15763</v>
      </c>
      <c r="AM1362" s="477" t="s">
        <v>71</v>
      </c>
      <c r="AN1362" s="637">
        <v>100</v>
      </c>
      <c r="AO1362" s="478">
        <v>-1570</v>
      </c>
      <c r="AP1362" s="463">
        <v>-711</v>
      </c>
      <c r="AQ1362" s="479">
        <v>-859</v>
      </c>
      <c r="AR1362" s="476" t="s">
        <v>17478</v>
      </c>
      <c r="BA1362" s="313" t="s">
        <v>5719</v>
      </c>
    </row>
    <row r="1363" spans="2:53" ht="16.5" customHeight="1">
      <c r="B1363" s="367" t="s">
        <v>5482</v>
      </c>
      <c r="C1363" s="351" t="s">
        <v>5483</v>
      </c>
      <c r="D1363" s="353">
        <v>-1570</v>
      </c>
      <c r="E1363" s="352" t="s">
        <v>11570</v>
      </c>
      <c r="F1363" s="341">
        <v>78.430000000000007</v>
      </c>
      <c r="G1363" s="355" t="s">
        <v>11540</v>
      </c>
      <c r="H1363" s="356" t="s">
        <v>10962</v>
      </c>
      <c r="I1363" s="354" t="s">
        <v>215</v>
      </c>
      <c r="J1363" s="340" t="s">
        <v>8804</v>
      </c>
      <c r="K1363" s="339" t="s">
        <v>71</v>
      </c>
      <c r="L1363" s="357">
        <v>4</v>
      </c>
      <c r="M1363" s="358" t="s">
        <v>6894</v>
      </c>
      <c r="N1363" s="359">
        <v>1000</v>
      </c>
      <c r="O1363" s="360" t="s">
        <v>530</v>
      </c>
      <c r="P1363" s="343" t="s">
        <v>531</v>
      </c>
      <c r="Q1363" s="342" t="s">
        <v>2688</v>
      </c>
      <c r="R1363" s="344">
        <v>38</v>
      </c>
      <c r="S1363" s="345">
        <v>25</v>
      </c>
      <c r="T1363" s="362">
        <v>25</v>
      </c>
      <c r="U1363" s="361">
        <v>78.430000000000007</v>
      </c>
      <c r="V1363" s="346">
        <v>117.76823394006564</v>
      </c>
      <c r="W1363" s="348">
        <v>118.0100601048638</v>
      </c>
      <c r="X1363" s="347">
        <v>59.43</v>
      </c>
      <c r="Y1363" s="357">
        <v>59.89</v>
      </c>
      <c r="Z1363" s="365" t="s">
        <v>3017</v>
      </c>
      <c r="AA1363" s="350">
        <v>121.25</v>
      </c>
      <c r="AB1363" s="349" t="s">
        <v>2685</v>
      </c>
      <c r="AC1363" s="350">
        <v>10</v>
      </c>
      <c r="AD1363" s="349" t="s">
        <v>2685</v>
      </c>
      <c r="AE1363" s="364">
        <v>0</v>
      </c>
      <c r="AF1363" s="366">
        <v>0</v>
      </c>
      <c r="AG1363" s="363">
        <v>0</v>
      </c>
      <c r="AH1363" s="635" t="s">
        <v>8002</v>
      </c>
      <c r="AL1363" s="487" t="s">
        <v>15764</v>
      </c>
      <c r="AM1363" s="477" t="s">
        <v>71</v>
      </c>
      <c r="AN1363" s="637">
        <v>100</v>
      </c>
      <c r="AO1363" s="478">
        <v>-1570</v>
      </c>
      <c r="AP1363" s="463">
        <v>-711</v>
      </c>
      <c r="AQ1363" s="479">
        <v>-859</v>
      </c>
      <c r="AR1363" s="476" t="s">
        <v>17479</v>
      </c>
      <c r="BA1363" s="313" t="s">
        <v>5720</v>
      </c>
    </row>
    <row r="1364" spans="2:53" ht="16.5" customHeight="1">
      <c r="B1364" s="367" t="s">
        <v>5567</v>
      </c>
      <c r="C1364" s="351" t="s">
        <v>5568</v>
      </c>
      <c r="D1364" s="353">
        <v>-1570</v>
      </c>
      <c r="E1364" s="352" t="s">
        <v>5386</v>
      </c>
      <c r="F1364" s="341">
        <v>78.349999999999994</v>
      </c>
      <c r="G1364" s="355" t="s">
        <v>18857</v>
      </c>
      <c r="H1364" s="356" t="s">
        <v>18858</v>
      </c>
      <c r="I1364" s="354" t="s">
        <v>423</v>
      </c>
      <c r="J1364" s="340" t="s">
        <v>11571</v>
      </c>
      <c r="K1364" s="339" t="s">
        <v>71</v>
      </c>
      <c r="L1364" s="357">
        <v>8</v>
      </c>
      <c r="M1364" s="358" t="s">
        <v>11572</v>
      </c>
      <c r="N1364" s="359">
        <v>1000</v>
      </c>
      <c r="O1364" s="360" t="s">
        <v>530</v>
      </c>
      <c r="P1364" s="343" t="s">
        <v>531</v>
      </c>
      <c r="Q1364" s="342" t="s">
        <v>2688</v>
      </c>
      <c r="R1364" s="344">
        <v>30</v>
      </c>
      <c r="S1364" s="345">
        <v>25</v>
      </c>
      <c r="T1364" s="362">
        <v>25</v>
      </c>
      <c r="U1364" s="361">
        <v>78.349999999999994</v>
      </c>
      <c r="V1364" s="346">
        <v>117.7157794676806</v>
      </c>
      <c r="W1364" s="348">
        <v>117.96958174904942</v>
      </c>
      <c r="X1364" s="347">
        <v>59.4</v>
      </c>
      <c r="Y1364" s="357">
        <v>59.699999999999996</v>
      </c>
      <c r="Z1364" s="365" t="s">
        <v>3017</v>
      </c>
      <c r="AA1364" s="350">
        <v>198</v>
      </c>
      <c r="AB1364" s="349" t="s">
        <v>2685</v>
      </c>
      <c r="AC1364" s="350">
        <v>10</v>
      </c>
      <c r="AD1364" s="349" t="s">
        <v>2685</v>
      </c>
      <c r="AE1364" s="364">
        <v>0</v>
      </c>
      <c r="AF1364" s="366">
        <v>0</v>
      </c>
      <c r="AG1364" s="363">
        <v>0</v>
      </c>
      <c r="AH1364" s="635" t="s">
        <v>408</v>
      </c>
      <c r="AL1364" s="487" t="s">
        <v>15765</v>
      </c>
      <c r="AM1364" s="477" t="s">
        <v>71</v>
      </c>
      <c r="AN1364" s="637">
        <v>100</v>
      </c>
      <c r="AO1364" s="478">
        <v>-1570</v>
      </c>
      <c r="AP1364" s="463">
        <v>-711</v>
      </c>
      <c r="AQ1364" s="479">
        <v>-859</v>
      </c>
      <c r="AR1364" s="476" t="s">
        <v>17480</v>
      </c>
      <c r="BA1364" s="313" t="s">
        <v>5723</v>
      </c>
    </row>
    <row r="1365" spans="2:53" ht="16.5" customHeight="1">
      <c r="B1365" s="367" t="s">
        <v>5539</v>
      </c>
      <c r="C1365" s="351" t="s">
        <v>5540</v>
      </c>
      <c r="D1365" s="353">
        <v>-1570</v>
      </c>
      <c r="E1365" s="352" t="s">
        <v>5605</v>
      </c>
      <c r="F1365" s="341">
        <v>78.33</v>
      </c>
      <c r="G1365" s="355" t="s">
        <v>11931</v>
      </c>
      <c r="H1365" s="356" t="s">
        <v>11221</v>
      </c>
      <c r="I1365" s="354" t="s">
        <v>209</v>
      </c>
      <c r="J1365" s="340" t="s">
        <v>499</v>
      </c>
      <c r="K1365" s="339" t="s">
        <v>71</v>
      </c>
      <c r="L1365" s="357">
        <v>18</v>
      </c>
      <c r="M1365" s="358" t="s">
        <v>4874</v>
      </c>
      <c r="N1365" s="359">
        <v>1000</v>
      </c>
      <c r="O1365" s="360" t="s">
        <v>530</v>
      </c>
      <c r="P1365" s="343" t="s">
        <v>530</v>
      </c>
      <c r="Q1365" s="342" t="s">
        <v>2688</v>
      </c>
      <c r="R1365" s="344">
        <v>30</v>
      </c>
      <c r="S1365" s="345">
        <v>25</v>
      </c>
      <c r="T1365" s="362">
        <v>25</v>
      </c>
      <c r="U1365" s="361">
        <v>78.33</v>
      </c>
      <c r="V1365" s="346">
        <v>117.70884762478073</v>
      </c>
      <c r="W1365" s="348">
        <v>117.9634201109162</v>
      </c>
      <c r="X1365" s="347">
        <v>59.39</v>
      </c>
      <c r="Y1365" s="357" t="s">
        <v>408</v>
      </c>
      <c r="Z1365" s="365" t="s">
        <v>3017</v>
      </c>
      <c r="AA1365" s="350">
        <v>198</v>
      </c>
      <c r="AB1365" s="349" t="s">
        <v>2685</v>
      </c>
      <c r="AC1365" s="350">
        <v>10</v>
      </c>
      <c r="AD1365" s="349" t="s">
        <v>2685</v>
      </c>
      <c r="AE1365" s="364">
        <v>0</v>
      </c>
      <c r="AF1365" s="366">
        <v>0</v>
      </c>
      <c r="AG1365" s="363">
        <v>0</v>
      </c>
      <c r="AH1365" s="635" t="s">
        <v>408</v>
      </c>
      <c r="AL1365" s="487" t="s">
        <v>15766</v>
      </c>
      <c r="AM1365" s="477" t="s">
        <v>71</v>
      </c>
      <c r="AN1365" s="637">
        <v>100</v>
      </c>
      <c r="AO1365" s="478">
        <v>-1570</v>
      </c>
      <c r="AP1365" s="463">
        <v>-710</v>
      </c>
      <c r="AQ1365" s="479">
        <v>-860</v>
      </c>
      <c r="AR1365" s="476" t="s">
        <v>17481</v>
      </c>
      <c r="BA1365" s="313" t="s">
        <v>5727</v>
      </c>
    </row>
    <row r="1366" spans="2:53" ht="16.5" customHeight="1">
      <c r="B1366" s="367" t="s">
        <v>11573</v>
      </c>
      <c r="C1366" s="351" t="s">
        <v>11574</v>
      </c>
      <c r="D1366" s="353">
        <v>-1570</v>
      </c>
      <c r="E1366" s="352" t="s">
        <v>408</v>
      </c>
      <c r="F1366" s="341">
        <v>78.33</v>
      </c>
      <c r="G1366" s="355" t="s">
        <v>5607</v>
      </c>
      <c r="H1366" s="356" t="s">
        <v>5110</v>
      </c>
      <c r="I1366" s="354" t="s">
        <v>215</v>
      </c>
      <c r="J1366" s="340" t="s">
        <v>550</v>
      </c>
      <c r="K1366" s="339" t="s">
        <v>70</v>
      </c>
      <c r="L1366" s="357">
        <v>12</v>
      </c>
      <c r="M1366" s="358" t="s">
        <v>11575</v>
      </c>
      <c r="N1366" s="359">
        <v>1000</v>
      </c>
      <c r="O1366" s="360" t="s">
        <v>530</v>
      </c>
      <c r="P1366" s="343" t="s">
        <v>531</v>
      </c>
      <c r="Q1366" s="342" t="s">
        <v>2688</v>
      </c>
      <c r="R1366" s="344">
        <v>25</v>
      </c>
      <c r="S1366" s="345">
        <v>38</v>
      </c>
      <c r="T1366" s="362">
        <v>25</v>
      </c>
      <c r="U1366" s="361">
        <v>78.33</v>
      </c>
      <c r="V1366" s="346">
        <v>117.70661157024793</v>
      </c>
      <c r="W1366" s="348">
        <v>117.96143250688705</v>
      </c>
      <c r="X1366" s="347">
        <v>59.21</v>
      </c>
      <c r="Y1366" s="357">
        <v>59.519999999999996</v>
      </c>
      <c r="Z1366" s="365" t="s">
        <v>3017</v>
      </c>
      <c r="AA1366" s="350">
        <v>121.25</v>
      </c>
      <c r="AB1366" s="349" t="s">
        <v>2685</v>
      </c>
      <c r="AC1366" s="350">
        <v>10</v>
      </c>
      <c r="AD1366" s="349" t="s">
        <v>2685</v>
      </c>
      <c r="AE1366" s="364">
        <v>0</v>
      </c>
      <c r="AF1366" s="366">
        <v>0</v>
      </c>
      <c r="AG1366" s="363">
        <v>0</v>
      </c>
      <c r="AH1366" s="635" t="s">
        <v>408</v>
      </c>
      <c r="AL1366" s="487" t="s">
        <v>15767</v>
      </c>
      <c r="AM1366" s="477" t="s">
        <v>70</v>
      </c>
      <c r="AN1366" s="637">
        <v>100</v>
      </c>
      <c r="AO1366" s="478">
        <v>-1570</v>
      </c>
      <c r="AP1366" s="463">
        <v>-1570</v>
      </c>
      <c r="AQ1366" s="479">
        <v>0</v>
      </c>
      <c r="AR1366" s="476" t="s">
        <v>17482</v>
      </c>
      <c r="BA1366" s="313" t="s">
        <v>5731</v>
      </c>
    </row>
    <row r="1367" spans="2:53" ht="16.5" customHeight="1">
      <c r="B1367" s="367" t="s">
        <v>5576</v>
      </c>
      <c r="C1367" s="351" t="s">
        <v>5577</v>
      </c>
      <c r="D1367" s="353">
        <v>-1570</v>
      </c>
      <c r="E1367" s="352" t="s">
        <v>5397</v>
      </c>
      <c r="F1367" s="341">
        <v>78.3</v>
      </c>
      <c r="G1367" s="355" t="s">
        <v>11577</v>
      </c>
      <c r="H1367" s="356" t="s">
        <v>18859</v>
      </c>
      <c r="I1367" s="354" t="s">
        <v>478</v>
      </c>
      <c r="J1367" s="340" t="s">
        <v>7260</v>
      </c>
      <c r="K1367" s="339" t="s">
        <v>70</v>
      </c>
      <c r="L1367" s="357">
        <v>11</v>
      </c>
      <c r="M1367" s="358" t="s">
        <v>11579</v>
      </c>
      <c r="N1367" s="359">
        <v>1000</v>
      </c>
      <c r="O1367" s="360" t="s">
        <v>532</v>
      </c>
      <c r="P1367" s="343" t="s">
        <v>533</v>
      </c>
      <c r="Q1367" s="342" t="s">
        <v>2688</v>
      </c>
      <c r="R1367" s="344">
        <v>25</v>
      </c>
      <c r="S1367" s="345">
        <v>35</v>
      </c>
      <c r="T1367" s="362">
        <v>25</v>
      </c>
      <c r="U1367" s="361">
        <v>78.3</v>
      </c>
      <c r="V1367" s="346">
        <v>117.68909748268635</v>
      </c>
      <c r="W1367" s="348">
        <v>117.94586442905454</v>
      </c>
      <c r="X1367" s="347">
        <v>59.2</v>
      </c>
      <c r="Y1367" s="357">
        <v>59.69</v>
      </c>
      <c r="Z1367" s="365" t="s">
        <v>3017</v>
      </c>
      <c r="AA1367" s="350">
        <v>149.25</v>
      </c>
      <c r="AB1367" s="349" t="s">
        <v>2685</v>
      </c>
      <c r="AC1367" s="350">
        <v>10</v>
      </c>
      <c r="AD1367" s="349" t="s">
        <v>2685</v>
      </c>
      <c r="AE1367" s="364">
        <v>0</v>
      </c>
      <c r="AF1367" s="366">
        <v>6.3949999999999996</v>
      </c>
      <c r="AG1367" s="363">
        <v>0</v>
      </c>
      <c r="AH1367" s="635" t="s">
        <v>8123</v>
      </c>
      <c r="AL1367" s="487" t="s">
        <v>15768</v>
      </c>
      <c r="AM1367" s="477" t="s">
        <v>70</v>
      </c>
      <c r="AN1367" s="637">
        <v>100</v>
      </c>
      <c r="AO1367" s="478">
        <v>-1570</v>
      </c>
      <c r="AP1367" s="463">
        <v>-1570</v>
      </c>
      <c r="AQ1367" s="479">
        <v>0</v>
      </c>
      <c r="AR1367" s="476" t="s">
        <v>17483</v>
      </c>
      <c r="BA1367" s="313" t="s">
        <v>5732</v>
      </c>
    </row>
    <row r="1368" spans="2:53" ht="16.5" customHeight="1">
      <c r="B1368" s="367" t="s">
        <v>11580</v>
      </c>
      <c r="C1368" s="351" t="s">
        <v>11581</v>
      </c>
      <c r="D1368" s="353">
        <v>-1570</v>
      </c>
      <c r="E1368" s="352" t="s">
        <v>5397</v>
      </c>
      <c r="F1368" s="341">
        <v>78.3</v>
      </c>
      <c r="G1368" s="355" t="s">
        <v>18860</v>
      </c>
      <c r="H1368" s="356" t="s">
        <v>5080</v>
      </c>
      <c r="I1368" s="354" t="s">
        <v>423</v>
      </c>
      <c r="J1368" s="340" t="s">
        <v>11582</v>
      </c>
      <c r="K1368" s="339" t="s">
        <v>71</v>
      </c>
      <c r="L1368" s="357">
        <v>22</v>
      </c>
      <c r="M1368" s="358" t="s">
        <v>11583</v>
      </c>
      <c r="N1368" s="359">
        <v>1000</v>
      </c>
      <c r="O1368" s="360" t="s">
        <v>530</v>
      </c>
      <c r="P1368" s="343" t="s">
        <v>531</v>
      </c>
      <c r="Q1368" s="342" t="s">
        <v>2688</v>
      </c>
      <c r="R1368" s="344">
        <v>30</v>
      </c>
      <c r="S1368" s="345">
        <v>30</v>
      </c>
      <c r="T1368" s="362">
        <v>20</v>
      </c>
      <c r="U1368" s="361">
        <v>78.3</v>
      </c>
      <c r="V1368" s="346">
        <v>117.68752074344508</v>
      </c>
      <c r="W1368" s="348">
        <v>117.94446288306229</v>
      </c>
      <c r="X1368" s="347">
        <v>59.38</v>
      </c>
      <c r="Y1368" s="357">
        <v>59.69</v>
      </c>
      <c r="Z1368" s="365" t="s">
        <v>3017</v>
      </c>
      <c r="AA1368" s="350">
        <v>198</v>
      </c>
      <c r="AB1368" s="349" t="s">
        <v>2685</v>
      </c>
      <c r="AC1368" s="350">
        <v>10</v>
      </c>
      <c r="AD1368" s="349" t="s">
        <v>2685</v>
      </c>
      <c r="AE1368" s="364">
        <v>0</v>
      </c>
      <c r="AF1368" s="366">
        <v>0</v>
      </c>
      <c r="AG1368" s="363">
        <v>0</v>
      </c>
      <c r="AH1368" s="635" t="s">
        <v>408</v>
      </c>
      <c r="AL1368" s="487" t="s">
        <v>15769</v>
      </c>
      <c r="AM1368" s="477" t="s">
        <v>71</v>
      </c>
      <c r="AN1368" s="637">
        <v>100</v>
      </c>
      <c r="AO1368" s="478">
        <v>-1570</v>
      </c>
      <c r="AP1368" s="463">
        <v>-710</v>
      </c>
      <c r="AQ1368" s="479">
        <v>-860</v>
      </c>
      <c r="AR1368" s="476" t="s">
        <v>17484</v>
      </c>
      <c r="BA1368" s="313" t="s">
        <v>5733</v>
      </c>
    </row>
    <row r="1369" spans="2:53" ht="16.5" customHeight="1">
      <c r="B1369" s="367" t="s">
        <v>11584</v>
      </c>
      <c r="C1369" s="351" t="s">
        <v>11585</v>
      </c>
      <c r="D1369" s="353">
        <v>-1570</v>
      </c>
      <c r="E1369" s="352" t="s">
        <v>408</v>
      </c>
      <c r="F1369" s="341">
        <v>78.290000000000006</v>
      </c>
      <c r="G1369" s="355" t="s">
        <v>11586</v>
      </c>
      <c r="H1369" s="356" t="s">
        <v>11244</v>
      </c>
      <c r="I1369" s="354" t="s">
        <v>212</v>
      </c>
      <c r="J1369" s="340" t="s">
        <v>11074</v>
      </c>
      <c r="K1369" s="339" t="s">
        <v>70</v>
      </c>
      <c r="L1369" s="357">
        <v>11</v>
      </c>
      <c r="M1369" s="358" t="s">
        <v>11587</v>
      </c>
      <c r="N1369" s="359">
        <v>800</v>
      </c>
      <c r="O1369" s="360" t="s">
        <v>532</v>
      </c>
      <c r="P1369" s="343" t="s">
        <v>532</v>
      </c>
      <c r="Q1369" s="342" t="s">
        <v>2688</v>
      </c>
      <c r="R1369" s="344">
        <v>30</v>
      </c>
      <c r="S1369" s="345">
        <v>40</v>
      </c>
      <c r="T1369" s="362">
        <v>30</v>
      </c>
      <c r="U1369" s="361">
        <v>78.290000000000006</v>
      </c>
      <c r="V1369" s="346">
        <v>117.67887742950857</v>
      </c>
      <c r="W1369" s="348">
        <v>117.93677993734094</v>
      </c>
      <c r="X1369" s="347" t="s">
        <v>18861</v>
      </c>
      <c r="Y1369" s="357" t="s">
        <v>408</v>
      </c>
      <c r="Z1369" s="365" t="s">
        <v>3017</v>
      </c>
      <c r="AA1369" s="350">
        <v>190</v>
      </c>
      <c r="AB1369" s="349" t="s">
        <v>2685</v>
      </c>
      <c r="AC1369" s="350">
        <v>10</v>
      </c>
      <c r="AD1369" s="349" t="s">
        <v>2685</v>
      </c>
      <c r="AE1369" s="364">
        <v>0</v>
      </c>
      <c r="AF1369" s="366">
        <v>0</v>
      </c>
      <c r="AG1369" s="363">
        <v>0</v>
      </c>
      <c r="AH1369" s="635" t="s">
        <v>408</v>
      </c>
      <c r="AL1369" s="487" t="s">
        <v>15771</v>
      </c>
      <c r="AM1369" s="477" t="s">
        <v>70</v>
      </c>
      <c r="AN1369" s="637">
        <v>100</v>
      </c>
      <c r="AO1369" s="478">
        <v>-1570</v>
      </c>
      <c r="AP1369" s="463">
        <v>-1570</v>
      </c>
      <c r="AQ1369" s="479">
        <v>0</v>
      </c>
      <c r="AR1369" s="476" t="s">
        <v>17485</v>
      </c>
      <c r="BA1369" s="313" t="s">
        <v>5734</v>
      </c>
    </row>
    <row r="1370" spans="2:53" ht="16.5" customHeight="1">
      <c r="B1370" s="367" t="s">
        <v>11588</v>
      </c>
      <c r="C1370" s="351" t="s">
        <v>11589</v>
      </c>
      <c r="D1370" s="353">
        <v>-1570</v>
      </c>
      <c r="E1370" s="352" t="s">
        <v>5612</v>
      </c>
      <c r="F1370" s="341">
        <v>78.27</v>
      </c>
      <c r="G1370" s="355" t="s">
        <v>11590</v>
      </c>
      <c r="H1370" s="356" t="s">
        <v>5127</v>
      </c>
      <c r="I1370" s="354" t="s">
        <v>9336</v>
      </c>
      <c r="J1370" s="340" t="s">
        <v>420</v>
      </c>
      <c r="K1370" s="339" t="s">
        <v>70</v>
      </c>
      <c r="L1370" s="357">
        <v>33</v>
      </c>
      <c r="M1370" s="358" t="s">
        <v>11591</v>
      </c>
      <c r="N1370" s="359">
        <v>700</v>
      </c>
      <c r="O1370" s="360" t="s">
        <v>532</v>
      </c>
      <c r="P1370" s="343" t="s">
        <v>533</v>
      </c>
      <c r="Q1370" s="342" t="s">
        <v>2688</v>
      </c>
      <c r="R1370" s="344">
        <v>20</v>
      </c>
      <c r="S1370" s="345">
        <v>35</v>
      </c>
      <c r="T1370" s="362">
        <v>30</v>
      </c>
      <c r="U1370" s="361">
        <v>78.27</v>
      </c>
      <c r="V1370" s="346">
        <v>117.66920068503936</v>
      </c>
      <c r="W1370" s="348">
        <v>117.92817838670166</v>
      </c>
      <c r="X1370" s="347">
        <v>59.2</v>
      </c>
      <c r="Y1370" s="357">
        <v>61.41</v>
      </c>
      <c r="Z1370" s="365" t="s">
        <v>3017</v>
      </c>
      <c r="AA1370" s="350">
        <v>104.5</v>
      </c>
      <c r="AB1370" s="349" t="s">
        <v>2685</v>
      </c>
      <c r="AC1370" s="350">
        <v>0</v>
      </c>
      <c r="AD1370" s="349" t="s">
        <v>2685</v>
      </c>
      <c r="AE1370" s="364">
        <v>0</v>
      </c>
      <c r="AF1370" s="366">
        <v>0</v>
      </c>
      <c r="AG1370" s="363">
        <v>0</v>
      </c>
      <c r="AH1370" s="635" t="s">
        <v>408</v>
      </c>
      <c r="AL1370" s="487" t="s">
        <v>15770</v>
      </c>
      <c r="AM1370" s="477" t="s">
        <v>70</v>
      </c>
      <c r="AN1370" s="637">
        <v>100</v>
      </c>
      <c r="AO1370" s="478">
        <v>-1570</v>
      </c>
      <c r="AP1370" s="463">
        <v>-1570</v>
      </c>
      <c r="AQ1370" s="479">
        <v>0</v>
      </c>
      <c r="AR1370" s="476" t="s">
        <v>17486</v>
      </c>
      <c r="BA1370" s="313" t="s">
        <v>5735</v>
      </c>
    </row>
    <row r="1371" spans="2:53" ht="16.5" customHeight="1">
      <c r="B1371" s="367" t="s">
        <v>5579</v>
      </c>
      <c r="C1371" s="351" t="s">
        <v>5580</v>
      </c>
      <c r="D1371" s="353">
        <v>-1570</v>
      </c>
      <c r="E1371" s="352" t="s">
        <v>408</v>
      </c>
      <c r="F1371" s="341">
        <v>78.25</v>
      </c>
      <c r="G1371" s="355" t="s">
        <v>18862</v>
      </c>
      <c r="H1371" s="356" t="s">
        <v>5119</v>
      </c>
      <c r="I1371" s="354" t="s">
        <v>423</v>
      </c>
      <c r="J1371" s="340" t="s">
        <v>11592</v>
      </c>
      <c r="K1371" s="339" t="s">
        <v>71</v>
      </c>
      <c r="L1371" s="357">
        <v>12</v>
      </c>
      <c r="M1371" s="358" t="s">
        <v>11593</v>
      </c>
      <c r="N1371" s="359">
        <v>1000</v>
      </c>
      <c r="O1371" s="360" t="s">
        <v>530</v>
      </c>
      <c r="P1371" s="343" t="s">
        <v>531</v>
      </c>
      <c r="Q1371" s="342" t="s">
        <v>2688</v>
      </c>
      <c r="R1371" s="344">
        <v>30</v>
      </c>
      <c r="S1371" s="345">
        <v>30</v>
      </c>
      <c r="T1371" s="362">
        <v>20</v>
      </c>
      <c r="U1371" s="361">
        <v>78.25</v>
      </c>
      <c r="V1371" s="346">
        <v>117.65765018254234</v>
      </c>
      <c r="W1371" s="348">
        <v>117.91791127337096</v>
      </c>
      <c r="X1371" s="347">
        <v>59.37</v>
      </c>
      <c r="Y1371" s="357">
        <v>59.669999999999995</v>
      </c>
      <c r="Z1371" s="365" t="s">
        <v>3017</v>
      </c>
      <c r="AA1371" s="350">
        <v>198</v>
      </c>
      <c r="AB1371" s="349" t="s">
        <v>2685</v>
      </c>
      <c r="AC1371" s="350">
        <v>10</v>
      </c>
      <c r="AD1371" s="349" t="s">
        <v>2685</v>
      </c>
      <c r="AE1371" s="364">
        <v>0</v>
      </c>
      <c r="AF1371" s="366">
        <v>0</v>
      </c>
      <c r="AG1371" s="363">
        <v>0</v>
      </c>
      <c r="AH1371" s="635" t="s">
        <v>408</v>
      </c>
      <c r="AL1371" s="487" t="s">
        <v>15772</v>
      </c>
      <c r="AM1371" s="477" t="s">
        <v>71</v>
      </c>
      <c r="AN1371" s="637">
        <v>100</v>
      </c>
      <c r="AO1371" s="478">
        <v>-1570</v>
      </c>
      <c r="AP1371" s="463">
        <v>-710</v>
      </c>
      <c r="AQ1371" s="479">
        <v>-860</v>
      </c>
      <c r="AR1371" s="476" t="s">
        <v>17487</v>
      </c>
      <c r="BA1371" s="313" t="s">
        <v>5736</v>
      </c>
    </row>
    <row r="1372" spans="2:53" ht="16.5" customHeight="1">
      <c r="B1372" s="367" t="s">
        <v>18238</v>
      </c>
      <c r="C1372" s="351" t="s">
        <v>18239</v>
      </c>
      <c r="D1372" s="353">
        <v>-1570</v>
      </c>
      <c r="E1372" s="352" t="s">
        <v>408</v>
      </c>
      <c r="F1372" s="341">
        <v>78.23</v>
      </c>
      <c r="G1372" s="355" t="s">
        <v>5640</v>
      </c>
      <c r="H1372" s="356" t="s">
        <v>5123</v>
      </c>
      <c r="I1372" s="354" t="s">
        <v>209</v>
      </c>
      <c r="J1372" s="340" t="s">
        <v>8797</v>
      </c>
      <c r="K1372" s="339" t="s">
        <v>71</v>
      </c>
      <c r="L1372" s="357">
        <v>10</v>
      </c>
      <c r="M1372" s="358" t="s">
        <v>11576</v>
      </c>
      <c r="N1372" s="359">
        <v>1000</v>
      </c>
      <c r="O1372" s="360" t="s">
        <v>530</v>
      </c>
      <c r="P1372" s="343" t="s">
        <v>530</v>
      </c>
      <c r="Q1372" s="342" t="s">
        <v>2688</v>
      </c>
      <c r="R1372" s="344">
        <v>30</v>
      </c>
      <c r="S1372" s="345">
        <v>25</v>
      </c>
      <c r="T1372" s="362">
        <v>25</v>
      </c>
      <c r="U1372" s="361">
        <v>78.23</v>
      </c>
      <c r="V1372" s="346">
        <v>117.64498384878009</v>
      </c>
      <c r="W1372" s="348">
        <v>117.90665231002674</v>
      </c>
      <c r="X1372" s="347">
        <v>59.36</v>
      </c>
      <c r="Y1372" s="357" t="s">
        <v>408</v>
      </c>
      <c r="Z1372" s="365" t="s">
        <v>3017</v>
      </c>
      <c r="AA1372" s="350">
        <v>198</v>
      </c>
      <c r="AB1372" s="349" t="s">
        <v>2685</v>
      </c>
      <c r="AC1372" s="350">
        <v>10</v>
      </c>
      <c r="AD1372" s="349" t="s">
        <v>2685</v>
      </c>
      <c r="AE1372" s="364">
        <v>0</v>
      </c>
      <c r="AF1372" s="366">
        <v>0</v>
      </c>
      <c r="AG1372" s="363">
        <v>0</v>
      </c>
      <c r="AH1372" s="635" t="s">
        <v>408</v>
      </c>
      <c r="AL1372" s="487" t="s">
        <v>15773</v>
      </c>
      <c r="AM1372" s="477" t="s">
        <v>71</v>
      </c>
      <c r="AN1372" s="637">
        <v>100</v>
      </c>
      <c r="AO1372" s="478">
        <v>-1570</v>
      </c>
      <c r="AP1372" s="463">
        <v>-710</v>
      </c>
      <c r="AQ1372" s="479">
        <v>-860</v>
      </c>
      <c r="AR1372" s="476" t="s">
        <v>17488</v>
      </c>
      <c r="BA1372" s="313" t="s">
        <v>5737</v>
      </c>
    </row>
    <row r="1373" spans="2:53" ht="16.5" customHeight="1">
      <c r="B1373" s="367" t="s">
        <v>18238</v>
      </c>
      <c r="C1373" s="351" t="s">
        <v>18239</v>
      </c>
      <c r="D1373" s="353">
        <v>-1570</v>
      </c>
      <c r="E1373" s="352" t="s">
        <v>5621</v>
      </c>
      <c r="F1373" s="341">
        <v>78.23</v>
      </c>
      <c r="G1373" s="355" t="s">
        <v>5640</v>
      </c>
      <c r="H1373" s="356" t="s">
        <v>5123</v>
      </c>
      <c r="I1373" s="354" t="s">
        <v>209</v>
      </c>
      <c r="J1373" s="340" t="s">
        <v>501</v>
      </c>
      <c r="K1373" s="339" t="s">
        <v>71</v>
      </c>
      <c r="L1373" s="357">
        <v>11</v>
      </c>
      <c r="M1373" s="358" t="s">
        <v>11576</v>
      </c>
      <c r="N1373" s="359">
        <v>1000</v>
      </c>
      <c r="O1373" s="360" t="s">
        <v>530</v>
      </c>
      <c r="P1373" s="343" t="s">
        <v>530</v>
      </c>
      <c r="Q1373" s="342" t="s">
        <v>2688</v>
      </c>
      <c r="R1373" s="344">
        <v>30</v>
      </c>
      <c r="S1373" s="345">
        <v>25</v>
      </c>
      <c r="T1373" s="362">
        <v>25</v>
      </c>
      <c r="U1373" s="361">
        <v>78.23</v>
      </c>
      <c r="V1373" s="346">
        <v>117.64498384878009</v>
      </c>
      <c r="W1373" s="348">
        <v>117.90665231002674</v>
      </c>
      <c r="X1373" s="347">
        <v>59.36</v>
      </c>
      <c r="Y1373" s="357" t="s">
        <v>408</v>
      </c>
      <c r="Z1373" s="365" t="s">
        <v>3017</v>
      </c>
      <c r="AA1373" s="350">
        <v>198</v>
      </c>
      <c r="AB1373" s="349" t="s">
        <v>2685</v>
      </c>
      <c r="AC1373" s="350">
        <v>10</v>
      </c>
      <c r="AD1373" s="349" t="s">
        <v>2685</v>
      </c>
      <c r="AE1373" s="364">
        <v>0</v>
      </c>
      <c r="AF1373" s="366">
        <v>0</v>
      </c>
      <c r="AG1373" s="363">
        <v>0</v>
      </c>
      <c r="AH1373" s="635" t="s">
        <v>408</v>
      </c>
      <c r="AL1373" s="487" t="s">
        <v>15774</v>
      </c>
      <c r="AM1373" s="477" t="s">
        <v>71</v>
      </c>
      <c r="AN1373" s="637">
        <v>100</v>
      </c>
      <c r="AO1373" s="478">
        <v>-1570</v>
      </c>
      <c r="AP1373" s="463">
        <v>-710</v>
      </c>
      <c r="AQ1373" s="479">
        <v>-860</v>
      </c>
      <c r="AR1373" s="476" t="s">
        <v>17488</v>
      </c>
      <c r="BA1373" s="313" t="s">
        <v>5739</v>
      </c>
    </row>
    <row r="1374" spans="2:53" ht="16.5" customHeight="1">
      <c r="B1374" s="367" t="s">
        <v>11594</v>
      </c>
      <c r="C1374" s="351" t="s">
        <v>11595</v>
      </c>
      <c r="D1374" s="353">
        <v>-1570</v>
      </c>
      <c r="E1374" s="352" t="s">
        <v>408</v>
      </c>
      <c r="F1374" s="341">
        <v>78.22</v>
      </c>
      <c r="G1374" s="355" t="s">
        <v>5666</v>
      </c>
      <c r="H1374" s="356" t="s">
        <v>18863</v>
      </c>
      <c r="I1374" s="354" t="s">
        <v>424</v>
      </c>
      <c r="J1374" s="340" t="s">
        <v>11596</v>
      </c>
      <c r="K1374" s="339" t="s">
        <v>70</v>
      </c>
      <c r="L1374" s="357">
        <v>69</v>
      </c>
      <c r="M1374" s="358" t="s">
        <v>11597</v>
      </c>
      <c r="N1374" s="359">
        <v>1000</v>
      </c>
      <c r="O1374" s="360" t="s">
        <v>454</v>
      </c>
      <c r="P1374" s="343" t="s">
        <v>454</v>
      </c>
      <c r="Q1374" s="342" t="s">
        <v>2738</v>
      </c>
      <c r="R1374" s="344">
        <v>25</v>
      </c>
      <c r="S1374" s="345">
        <v>35</v>
      </c>
      <c r="T1374" s="362">
        <v>20</v>
      </c>
      <c r="U1374" s="361">
        <v>78.22</v>
      </c>
      <c r="V1374" s="346">
        <v>117.63719512195122</v>
      </c>
      <c r="W1374" s="348">
        <v>117.89972899728997</v>
      </c>
      <c r="X1374" s="347">
        <v>59.18</v>
      </c>
      <c r="Y1374" s="357" t="s">
        <v>408</v>
      </c>
      <c r="Z1374" s="365" t="s">
        <v>3017</v>
      </c>
      <c r="AA1374" s="350">
        <v>196</v>
      </c>
      <c r="AB1374" s="349" t="s">
        <v>2685</v>
      </c>
      <c r="AC1374" s="350">
        <v>3</v>
      </c>
      <c r="AD1374" s="349" t="s">
        <v>2685</v>
      </c>
      <c r="AE1374" s="364">
        <v>0</v>
      </c>
      <c r="AF1374" s="366">
        <v>15.644</v>
      </c>
      <c r="AG1374" s="363">
        <v>0</v>
      </c>
      <c r="AH1374" s="635" t="s">
        <v>10813</v>
      </c>
      <c r="AL1374" s="487" t="s">
        <v>15775</v>
      </c>
      <c r="AM1374" s="477" t="s">
        <v>70</v>
      </c>
      <c r="AN1374" s="637">
        <v>100</v>
      </c>
      <c r="AO1374" s="478">
        <v>-1570</v>
      </c>
      <c r="AP1374" s="463">
        <v>-1570</v>
      </c>
      <c r="AQ1374" s="479">
        <v>0</v>
      </c>
      <c r="AR1374" s="476" t="s">
        <v>17489</v>
      </c>
      <c r="BA1374" s="313" t="s">
        <v>5743</v>
      </c>
    </row>
    <row r="1375" spans="2:53" ht="16.5" customHeight="1">
      <c r="B1375" s="367" t="s">
        <v>11594</v>
      </c>
      <c r="C1375" s="351" t="s">
        <v>11595</v>
      </c>
      <c r="D1375" s="353">
        <v>-1570</v>
      </c>
      <c r="E1375" s="352" t="s">
        <v>408</v>
      </c>
      <c r="F1375" s="341">
        <v>78.22</v>
      </c>
      <c r="G1375" s="355" t="s">
        <v>5666</v>
      </c>
      <c r="H1375" s="356" t="s">
        <v>18863</v>
      </c>
      <c r="I1375" s="354" t="s">
        <v>228</v>
      </c>
      <c r="J1375" s="340" t="s">
        <v>11598</v>
      </c>
      <c r="K1375" s="339" t="s">
        <v>70</v>
      </c>
      <c r="L1375" s="357">
        <v>16</v>
      </c>
      <c r="M1375" s="358" t="s">
        <v>11599</v>
      </c>
      <c r="N1375" s="359">
        <v>1000</v>
      </c>
      <c r="O1375" s="360" t="s">
        <v>530</v>
      </c>
      <c r="P1375" s="343" t="s">
        <v>531</v>
      </c>
      <c r="Q1375" s="342" t="s">
        <v>2688</v>
      </c>
      <c r="R1375" s="344">
        <v>30</v>
      </c>
      <c r="S1375" s="345">
        <v>35</v>
      </c>
      <c r="T1375" s="362">
        <v>35</v>
      </c>
      <c r="U1375" s="361">
        <v>78.22</v>
      </c>
      <c r="V1375" s="346">
        <v>117.63689879440277</v>
      </c>
      <c r="W1375" s="348">
        <v>117.89946559502468</v>
      </c>
      <c r="X1375" s="347">
        <v>59.18</v>
      </c>
      <c r="Y1375" s="357">
        <v>61.62</v>
      </c>
      <c r="Z1375" s="365" t="s">
        <v>2689</v>
      </c>
      <c r="AA1375" s="350">
        <v>100</v>
      </c>
      <c r="AB1375" s="349" t="s">
        <v>2685</v>
      </c>
      <c r="AC1375" s="350">
        <v>10</v>
      </c>
      <c r="AD1375" s="349" t="s">
        <v>2685</v>
      </c>
      <c r="AE1375" s="364">
        <v>0</v>
      </c>
      <c r="AF1375" s="366">
        <v>10.784000000000001</v>
      </c>
      <c r="AG1375" s="363">
        <v>0</v>
      </c>
      <c r="AH1375" s="635" t="s">
        <v>7787</v>
      </c>
      <c r="AL1375" s="487" t="s">
        <v>15776</v>
      </c>
      <c r="AM1375" s="477" t="s">
        <v>70</v>
      </c>
      <c r="AN1375" s="637">
        <v>100</v>
      </c>
      <c r="AO1375" s="478">
        <v>-1570</v>
      </c>
      <c r="AP1375" s="463">
        <v>-1570</v>
      </c>
      <c r="AQ1375" s="479">
        <v>0</v>
      </c>
      <c r="AR1375" s="476" t="s">
        <v>17489</v>
      </c>
      <c r="BA1375" s="313" t="s">
        <v>5744</v>
      </c>
    </row>
    <row r="1376" spans="2:53" ht="16.5" customHeight="1">
      <c r="B1376" s="367" t="s">
        <v>11600</v>
      </c>
      <c r="C1376" s="351" t="s">
        <v>11601</v>
      </c>
      <c r="D1376" s="353">
        <v>-1570</v>
      </c>
      <c r="E1376" s="352" t="s">
        <v>11602</v>
      </c>
      <c r="F1376" s="341">
        <v>78.19</v>
      </c>
      <c r="G1376" s="355" t="s">
        <v>18864</v>
      </c>
      <c r="H1376" s="356" t="s">
        <v>11419</v>
      </c>
      <c r="I1376" s="354" t="s">
        <v>239</v>
      </c>
      <c r="J1376" s="340" t="s">
        <v>9657</v>
      </c>
      <c r="K1376" s="339" t="s">
        <v>71</v>
      </c>
      <c r="L1376" s="357">
        <v>12</v>
      </c>
      <c r="M1376" s="358" t="s">
        <v>5359</v>
      </c>
      <c r="N1376" s="359">
        <v>1000</v>
      </c>
      <c r="O1376" s="360" t="s">
        <v>454</v>
      </c>
      <c r="P1376" s="343" t="s">
        <v>454</v>
      </c>
      <c r="Q1376" s="342" t="s">
        <v>2738</v>
      </c>
      <c r="R1376" s="344">
        <v>35</v>
      </c>
      <c r="S1376" s="345">
        <v>25</v>
      </c>
      <c r="T1376" s="362">
        <v>20</v>
      </c>
      <c r="U1376" s="361">
        <v>78.19</v>
      </c>
      <c r="V1376" s="346">
        <v>117.6171875</v>
      </c>
      <c r="W1376" s="348">
        <v>117.88194444444444</v>
      </c>
      <c r="X1376" s="347">
        <v>59.35</v>
      </c>
      <c r="Y1376" s="357" t="s">
        <v>408</v>
      </c>
      <c r="Z1376" s="365" t="s">
        <v>3017</v>
      </c>
      <c r="AA1376" s="350">
        <v>195</v>
      </c>
      <c r="AB1376" s="349" t="s">
        <v>2685</v>
      </c>
      <c r="AC1376" s="350">
        <v>10</v>
      </c>
      <c r="AD1376" s="349" t="s">
        <v>2685</v>
      </c>
      <c r="AE1376" s="364">
        <v>0</v>
      </c>
      <c r="AF1376" s="366">
        <v>0</v>
      </c>
      <c r="AG1376" s="363">
        <v>0</v>
      </c>
      <c r="AH1376" s="635" t="s">
        <v>408</v>
      </c>
      <c r="AL1376" s="487" t="s">
        <v>15777</v>
      </c>
      <c r="AM1376" s="477" t="s">
        <v>71</v>
      </c>
      <c r="AN1376" s="637">
        <v>100</v>
      </c>
      <c r="AO1376" s="478">
        <v>-1570</v>
      </c>
      <c r="AP1376" s="463">
        <v>-709</v>
      </c>
      <c r="AQ1376" s="479">
        <v>-861</v>
      </c>
      <c r="AR1376" s="476" t="s">
        <v>17490</v>
      </c>
      <c r="BA1376" s="313" t="s">
        <v>5747</v>
      </c>
    </row>
    <row r="1377" spans="2:53" ht="16.5" customHeight="1">
      <c r="B1377" s="367" t="s">
        <v>11604</v>
      </c>
      <c r="C1377" s="351" t="s">
        <v>11605</v>
      </c>
      <c r="D1377" s="353">
        <v>-1570</v>
      </c>
      <c r="E1377" s="352" t="s">
        <v>5658</v>
      </c>
      <c r="F1377" s="341">
        <v>78.14</v>
      </c>
      <c r="G1377" s="355" t="s">
        <v>18865</v>
      </c>
      <c r="H1377" s="356" t="s">
        <v>5147</v>
      </c>
      <c r="I1377" s="354" t="s">
        <v>446</v>
      </c>
      <c r="J1377" s="340" t="s">
        <v>8938</v>
      </c>
      <c r="K1377" s="339" t="s">
        <v>71</v>
      </c>
      <c r="L1377" s="357">
        <v>28</v>
      </c>
      <c r="M1377" s="358" t="s">
        <v>11607</v>
      </c>
      <c r="N1377" s="359">
        <v>1000</v>
      </c>
      <c r="O1377" s="360" t="s">
        <v>454</v>
      </c>
      <c r="P1377" s="343" t="s">
        <v>454</v>
      </c>
      <c r="Q1377" s="342" t="s">
        <v>2688</v>
      </c>
      <c r="R1377" s="344">
        <v>35</v>
      </c>
      <c r="S1377" s="345">
        <v>30</v>
      </c>
      <c r="T1377" s="362">
        <v>25</v>
      </c>
      <c r="U1377" s="361">
        <v>78.14</v>
      </c>
      <c r="V1377" s="346">
        <v>117.58680555555556</v>
      </c>
      <c r="W1377" s="348">
        <v>117.85493827160494</v>
      </c>
      <c r="X1377" s="347">
        <v>59.33</v>
      </c>
      <c r="Y1377" s="357" t="s">
        <v>408</v>
      </c>
      <c r="Z1377" s="365" t="s">
        <v>3017</v>
      </c>
      <c r="AA1377" s="350">
        <v>98</v>
      </c>
      <c r="AB1377" s="349" t="s">
        <v>2685</v>
      </c>
      <c r="AC1377" s="350">
        <v>0</v>
      </c>
      <c r="AD1377" s="349" t="s">
        <v>2685</v>
      </c>
      <c r="AE1377" s="364">
        <v>0</v>
      </c>
      <c r="AF1377" s="366">
        <v>0</v>
      </c>
      <c r="AG1377" s="363">
        <v>0</v>
      </c>
      <c r="AH1377" s="635" t="s">
        <v>408</v>
      </c>
      <c r="AL1377" s="487" t="s">
        <v>15778</v>
      </c>
      <c r="AM1377" s="477" t="s">
        <v>71</v>
      </c>
      <c r="AN1377" s="637">
        <v>100</v>
      </c>
      <c r="AO1377" s="478">
        <v>-1570</v>
      </c>
      <c r="AP1377" s="463">
        <v>-709</v>
      </c>
      <c r="AQ1377" s="479">
        <v>-861</v>
      </c>
      <c r="AR1377" s="476" t="s">
        <v>17491</v>
      </c>
      <c r="BA1377" s="313" t="s">
        <v>5750</v>
      </c>
    </row>
    <row r="1378" spans="2:53" ht="16.5" customHeight="1">
      <c r="B1378" s="367" t="s">
        <v>11608</v>
      </c>
      <c r="C1378" s="351" t="s">
        <v>11609</v>
      </c>
      <c r="D1378" s="353">
        <v>-1570</v>
      </c>
      <c r="E1378" s="352" t="s">
        <v>11606</v>
      </c>
      <c r="F1378" s="341">
        <v>78.13</v>
      </c>
      <c r="G1378" s="355" t="s">
        <v>11610</v>
      </c>
      <c r="H1378" s="356" t="s">
        <v>11038</v>
      </c>
      <c r="I1378" s="354" t="s">
        <v>9336</v>
      </c>
      <c r="J1378" s="340" t="s">
        <v>11611</v>
      </c>
      <c r="K1378" s="339" t="s">
        <v>70</v>
      </c>
      <c r="L1378" s="357">
        <v>19</v>
      </c>
      <c r="M1378" s="358" t="s">
        <v>11612</v>
      </c>
      <c r="N1378" s="359">
        <v>700</v>
      </c>
      <c r="O1378" s="360" t="s">
        <v>532</v>
      </c>
      <c r="P1378" s="343" t="s">
        <v>533</v>
      </c>
      <c r="Q1378" s="342" t="s">
        <v>2688</v>
      </c>
      <c r="R1378" s="344">
        <v>20</v>
      </c>
      <c r="S1378" s="345">
        <v>35</v>
      </c>
      <c r="T1378" s="362">
        <v>30</v>
      </c>
      <c r="U1378" s="361">
        <v>78.13</v>
      </c>
      <c r="V1378" s="346">
        <v>117.5791308755371</v>
      </c>
      <c r="W1378" s="348">
        <v>117.84811633381075</v>
      </c>
      <c r="X1378" s="347">
        <v>59.15</v>
      </c>
      <c r="Y1378" s="357">
        <v>61.39</v>
      </c>
      <c r="Z1378" s="365" t="s">
        <v>3017</v>
      </c>
      <c r="AA1378" s="350">
        <v>104.5</v>
      </c>
      <c r="AB1378" s="349" t="s">
        <v>2685</v>
      </c>
      <c r="AC1378" s="350">
        <v>0</v>
      </c>
      <c r="AD1378" s="349" t="s">
        <v>2685</v>
      </c>
      <c r="AE1378" s="364">
        <v>0</v>
      </c>
      <c r="AF1378" s="366">
        <v>0</v>
      </c>
      <c r="AG1378" s="363">
        <v>0</v>
      </c>
      <c r="AH1378" s="635" t="s">
        <v>408</v>
      </c>
      <c r="AL1378" s="487" t="s">
        <v>15779</v>
      </c>
      <c r="AM1378" s="477" t="s">
        <v>70</v>
      </c>
      <c r="AN1378" s="637">
        <v>100</v>
      </c>
      <c r="AO1378" s="478">
        <v>-1570</v>
      </c>
      <c r="AP1378" s="463">
        <v>-1570</v>
      </c>
      <c r="AQ1378" s="479">
        <v>0</v>
      </c>
      <c r="AR1378" s="476" t="s">
        <v>17492</v>
      </c>
      <c r="BA1378" s="313" t="s">
        <v>5752</v>
      </c>
    </row>
    <row r="1379" spans="2:53" ht="16.5" customHeight="1">
      <c r="B1379" s="367" t="s">
        <v>11608</v>
      </c>
      <c r="C1379" s="351" t="s">
        <v>11609</v>
      </c>
      <c r="D1379" s="353">
        <v>-1570</v>
      </c>
      <c r="E1379" s="352" t="s">
        <v>408</v>
      </c>
      <c r="F1379" s="341">
        <v>78.12</v>
      </c>
      <c r="G1379" s="355" t="s">
        <v>11610</v>
      </c>
      <c r="H1379" s="356" t="s">
        <v>11038</v>
      </c>
      <c r="I1379" s="354" t="s">
        <v>209</v>
      </c>
      <c r="J1379" s="340" t="s">
        <v>11613</v>
      </c>
      <c r="K1379" s="339" t="s">
        <v>70</v>
      </c>
      <c r="L1379" s="357">
        <v>13</v>
      </c>
      <c r="M1379" s="358" t="s">
        <v>11614</v>
      </c>
      <c r="N1379" s="359">
        <v>1000</v>
      </c>
      <c r="O1379" s="360" t="s">
        <v>530</v>
      </c>
      <c r="P1379" s="343" t="s">
        <v>530</v>
      </c>
      <c r="Q1379" s="342" t="s">
        <v>2688</v>
      </c>
      <c r="R1379" s="344">
        <v>20</v>
      </c>
      <c r="S1379" s="345">
        <v>30</v>
      </c>
      <c r="T1379" s="362">
        <v>30</v>
      </c>
      <c r="U1379" s="361">
        <v>78.12</v>
      </c>
      <c r="V1379" s="346">
        <v>117.57671918280839</v>
      </c>
      <c r="W1379" s="348">
        <v>117.84597260694079</v>
      </c>
      <c r="X1379" s="347">
        <v>59.15</v>
      </c>
      <c r="Y1379" s="357" t="s">
        <v>408</v>
      </c>
      <c r="Z1379" s="365" t="s">
        <v>3017</v>
      </c>
      <c r="AA1379" s="350">
        <v>198</v>
      </c>
      <c r="AB1379" s="349" t="s">
        <v>2685</v>
      </c>
      <c r="AC1379" s="350">
        <v>10</v>
      </c>
      <c r="AD1379" s="349" t="s">
        <v>2685</v>
      </c>
      <c r="AE1379" s="364">
        <v>0</v>
      </c>
      <c r="AF1379" s="366">
        <v>0</v>
      </c>
      <c r="AG1379" s="363">
        <v>0</v>
      </c>
      <c r="AH1379" s="635" t="s">
        <v>408</v>
      </c>
      <c r="AL1379" s="487" t="s">
        <v>15780</v>
      </c>
      <c r="AM1379" s="477" t="s">
        <v>70</v>
      </c>
      <c r="AN1379" s="637">
        <v>100</v>
      </c>
      <c r="AO1379" s="478">
        <v>-1570</v>
      </c>
      <c r="AP1379" s="463">
        <v>-1570</v>
      </c>
      <c r="AQ1379" s="479">
        <v>0</v>
      </c>
      <c r="AR1379" s="476" t="s">
        <v>17492</v>
      </c>
      <c r="BA1379" s="313" t="s">
        <v>5756</v>
      </c>
    </row>
    <row r="1380" spans="2:53" ht="16.5" customHeight="1">
      <c r="B1380" s="367" t="s">
        <v>11615</v>
      </c>
      <c r="C1380" s="351" t="s">
        <v>11616</v>
      </c>
      <c r="D1380" s="353">
        <v>-1570</v>
      </c>
      <c r="E1380" s="352" t="s">
        <v>408</v>
      </c>
      <c r="F1380" s="341">
        <v>78.12</v>
      </c>
      <c r="G1380" s="355" t="s">
        <v>11617</v>
      </c>
      <c r="H1380" s="356" t="s">
        <v>5130</v>
      </c>
      <c r="I1380" s="354" t="s">
        <v>215</v>
      </c>
      <c r="J1380" s="340" t="s">
        <v>9339</v>
      </c>
      <c r="K1380" s="339" t="s">
        <v>70</v>
      </c>
      <c r="L1380" s="357">
        <v>12</v>
      </c>
      <c r="M1380" s="358" t="s">
        <v>11618</v>
      </c>
      <c r="N1380" s="359">
        <v>1000</v>
      </c>
      <c r="O1380" s="360" t="s">
        <v>530</v>
      </c>
      <c r="P1380" s="343" t="s">
        <v>531</v>
      </c>
      <c r="Q1380" s="342" t="s">
        <v>2688</v>
      </c>
      <c r="R1380" s="344">
        <v>25</v>
      </c>
      <c r="S1380" s="345">
        <v>38</v>
      </c>
      <c r="T1380" s="362">
        <v>25</v>
      </c>
      <c r="U1380" s="361">
        <v>78.12</v>
      </c>
      <c r="V1380" s="346">
        <v>117.57588279489107</v>
      </c>
      <c r="W1380" s="348">
        <v>117.84522915101428</v>
      </c>
      <c r="X1380" s="347">
        <v>59.15</v>
      </c>
      <c r="Y1380" s="357">
        <v>59.44</v>
      </c>
      <c r="Z1380" s="365" t="s">
        <v>3017</v>
      </c>
      <c r="AA1380" s="350">
        <v>121.25</v>
      </c>
      <c r="AB1380" s="349" t="s">
        <v>2685</v>
      </c>
      <c r="AC1380" s="350">
        <v>10</v>
      </c>
      <c r="AD1380" s="349" t="s">
        <v>2685</v>
      </c>
      <c r="AE1380" s="364">
        <v>0</v>
      </c>
      <c r="AF1380" s="366">
        <v>0</v>
      </c>
      <c r="AG1380" s="363">
        <v>0</v>
      </c>
      <c r="AH1380" s="635" t="s">
        <v>408</v>
      </c>
      <c r="AL1380" s="487" t="s">
        <v>15781</v>
      </c>
      <c r="AM1380" s="477" t="s">
        <v>70</v>
      </c>
      <c r="AN1380" s="637">
        <v>100</v>
      </c>
      <c r="AO1380" s="478">
        <v>-1570</v>
      </c>
      <c r="AP1380" s="463">
        <v>-1570</v>
      </c>
      <c r="AQ1380" s="479">
        <v>0</v>
      </c>
      <c r="AR1380" s="476" t="s">
        <v>17492</v>
      </c>
      <c r="BA1380" s="313" t="s">
        <v>5758</v>
      </c>
    </row>
    <row r="1381" spans="2:53" ht="16.5" customHeight="1">
      <c r="B1381" s="367" t="s">
        <v>11615</v>
      </c>
      <c r="C1381" s="351" t="s">
        <v>11616</v>
      </c>
      <c r="D1381" s="353">
        <v>-1570</v>
      </c>
      <c r="E1381" s="352" t="s">
        <v>408</v>
      </c>
      <c r="F1381" s="341">
        <v>78.11</v>
      </c>
      <c r="G1381" s="355" t="s">
        <v>5612</v>
      </c>
      <c r="H1381" s="356" t="s">
        <v>5174</v>
      </c>
      <c r="I1381" s="354" t="s">
        <v>423</v>
      </c>
      <c r="J1381" s="340" t="s">
        <v>9921</v>
      </c>
      <c r="K1381" s="339" t="s">
        <v>71</v>
      </c>
      <c r="L1381" s="357">
        <v>15</v>
      </c>
      <c r="M1381" s="358" t="s">
        <v>11620</v>
      </c>
      <c r="N1381" s="359">
        <v>1000</v>
      </c>
      <c r="O1381" s="360" t="s">
        <v>530</v>
      </c>
      <c r="P1381" s="343" t="s">
        <v>531</v>
      </c>
      <c r="Q1381" s="342" t="s">
        <v>2688</v>
      </c>
      <c r="R1381" s="344">
        <v>30</v>
      </c>
      <c r="S1381" s="345">
        <v>25</v>
      </c>
      <c r="T1381" s="362">
        <v>25</v>
      </c>
      <c r="U1381" s="361">
        <v>78.11</v>
      </c>
      <c r="V1381" s="346">
        <v>117.56912004345465</v>
      </c>
      <c r="W1381" s="348">
        <v>117.83921781640413</v>
      </c>
      <c r="X1381" s="347">
        <v>59.32</v>
      </c>
      <c r="Y1381" s="357">
        <v>59.62</v>
      </c>
      <c r="Z1381" s="365" t="s">
        <v>3017</v>
      </c>
      <c r="AA1381" s="350">
        <v>198</v>
      </c>
      <c r="AB1381" s="349" t="s">
        <v>2685</v>
      </c>
      <c r="AC1381" s="350">
        <v>10</v>
      </c>
      <c r="AD1381" s="349" t="s">
        <v>2685</v>
      </c>
      <c r="AE1381" s="364">
        <v>0</v>
      </c>
      <c r="AF1381" s="366">
        <v>0</v>
      </c>
      <c r="AG1381" s="363">
        <v>0</v>
      </c>
      <c r="AH1381" s="635" t="s">
        <v>408</v>
      </c>
      <c r="AL1381" s="487" t="s">
        <v>15782</v>
      </c>
      <c r="AM1381" s="477" t="s">
        <v>71</v>
      </c>
      <c r="AN1381" s="637">
        <v>100</v>
      </c>
      <c r="AO1381" s="478">
        <v>-1570</v>
      </c>
      <c r="AP1381" s="463">
        <v>-709</v>
      </c>
      <c r="AQ1381" s="479">
        <v>-861</v>
      </c>
      <c r="AR1381" s="476" t="s">
        <v>17493</v>
      </c>
      <c r="BA1381" s="313" t="s">
        <v>5761</v>
      </c>
    </row>
    <row r="1382" spans="2:53" ht="16.5" customHeight="1">
      <c r="B1382" s="367" t="s">
        <v>11588</v>
      </c>
      <c r="C1382" s="351" t="s">
        <v>11589</v>
      </c>
      <c r="D1382" s="353">
        <v>-1570</v>
      </c>
      <c r="E1382" s="352" t="s">
        <v>11617</v>
      </c>
      <c r="F1382" s="341">
        <v>78.08</v>
      </c>
      <c r="G1382" s="355" t="s">
        <v>11590</v>
      </c>
      <c r="H1382" s="356" t="s">
        <v>5154</v>
      </c>
      <c r="I1382" s="354" t="s">
        <v>212</v>
      </c>
      <c r="J1382" s="340" t="s">
        <v>8190</v>
      </c>
      <c r="K1382" s="339" t="s">
        <v>71</v>
      </c>
      <c r="L1382" s="357">
        <v>7</v>
      </c>
      <c r="M1382" s="358" t="s">
        <v>11480</v>
      </c>
      <c r="N1382" s="359">
        <v>800</v>
      </c>
      <c r="O1382" s="360" t="s">
        <v>532</v>
      </c>
      <c r="P1382" s="343" t="s">
        <v>532</v>
      </c>
      <c r="Q1382" s="342" t="s">
        <v>2688</v>
      </c>
      <c r="R1382" s="344">
        <v>40</v>
      </c>
      <c r="S1382" s="345">
        <v>30</v>
      </c>
      <c r="T1382" s="362">
        <v>30</v>
      </c>
      <c r="U1382" s="361">
        <v>78.08</v>
      </c>
      <c r="V1382" s="346">
        <v>117.5493107751394</v>
      </c>
      <c r="W1382" s="348">
        <v>117.82160957790168</v>
      </c>
      <c r="X1382" s="347" t="s">
        <v>18866</v>
      </c>
      <c r="Y1382" s="357" t="s">
        <v>408</v>
      </c>
      <c r="Z1382" s="365" t="s">
        <v>3017</v>
      </c>
      <c r="AA1382" s="350">
        <v>190</v>
      </c>
      <c r="AB1382" s="349" t="s">
        <v>2685</v>
      </c>
      <c r="AC1382" s="350">
        <v>10</v>
      </c>
      <c r="AD1382" s="349" t="s">
        <v>2685</v>
      </c>
      <c r="AE1382" s="364">
        <v>0</v>
      </c>
      <c r="AF1382" s="366">
        <v>0</v>
      </c>
      <c r="AG1382" s="363">
        <v>0</v>
      </c>
      <c r="AH1382" s="635" t="s">
        <v>408</v>
      </c>
      <c r="AL1382" s="487" t="s">
        <v>15783</v>
      </c>
      <c r="AM1382" s="477" t="s">
        <v>71</v>
      </c>
      <c r="AN1382" s="637">
        <v>100</v>
      </c>
      <c r="AO1382" s="478">
        <v>-1570</v>
      </c>
      <c r="AP1382" s="463">
        <v>-709</v>
      </c>
      <c r="AQ1382" s="479">
        <v>-861</v>
      </c>
      <c r="AR1382" s="476" t="s">
        <v>17494</v>
      </c>
      <c r="BA1382" s="313" t="s">
        <v>5765</v>
      </c>
    </row>
    <row r="1383" spans="2:53" ht="16.5" customHeight="1">
      <c r="B1383" s="367" t="s">
        <v>5599</v>
      </c>
      <c r="C1383" s="351" t="s">
        <v>5600</v>
      </c>
      <c r="D1383" s="353">
        <v>-1570</v>
      </c>
      <c r="E1383" s="352" t="s">
        <v>11621</v>
      </c>
      <c r="F1383" s="341">
        <v>78.05</v>
      </c>
      <c r="G1383" s="355" t="s">
        <v>11624</v>
      </c>
      <c r="H1383" s="356" t="s">
        <v>18784</v>
      </c>
      <c r="I1383" s="354" t="s">
        <v>423</v>
      </c>
      <c r="J1383" s="340" t="s">
        <v>8856</v>
      </c>
      <c r="K1383" s="339" t="s">
        <v>70</v>
      </c>
      <c r="L1383" s="357">
        <v>21</v>
      </c>
      <c r="M1383" s="358" t="s">
        <v>10563</v>
      </c>
      <c r="N1383" s="359">
        <v>1000</v>
      </c>
      <c r="O1383" s="360" t="s">
        <v>530</v>
      </c>
      <c r="P1383" s="343" t="s">
        <v>531</v>
      </c>
      <c r="Q1383" s="342" t="s">
        <v>2688</v>
      </c>
      <c r="R1383" s="344">
        <v>20</v>
      </c>
      <c r="S1383" s="345">
        <v>35</v>
      </c>
      <c r="T1383" s="362">
        <v>25</v>
      </c>
      <c r="U1383" s="361">
        <v>78.05</v>
      </c>
      <c r="V1383" s="346">
        <v>117.53231433459872</v>
      </c>
      <c r="W1383" s="348">
        <v>117.80650163075443</v>
      </c>
      <c r="X1383" s="347">
        <v>59.13</v>
      </c>
      <c r="Y1383" s="357">
        <v>59.589999999999996</v>
      </c>
      <c r="Z1383" s="365" t="s">
        <v>3017</v>
      </c>
      <c r="AA1383" s="350">
        <v>198</v>
      </c>
      <c r="AB1383" s="349" t="s">
        <v>2685</v>
      </c>
      <c r="AC1383" s="350">
        <v>10</v>
      </c>
      <c r="AD1383" s="349" t="s">
        <v>2685</v>
      </c>
      <c r="AE1383" s="364">
        <v>0</v>
      </c>
      <c r="AF1383" s="366">
        <v>13.634</v>
      </c>
      <c r="AG1383" s="363">
        <v>0</v>
      </c>
      <c r="AH1383" s="635" t="s">
        <v>11625</v>
      </c>
      <c r="AL1383" s="487" t="s">
        <v>15784</v>
      </c>
      <c r="AM1383" s="477" t="s">
        <v>70</v>
      </c>
      <c r="AN1383" s="637">
        <v>100</v>
      </c>
      <c r="AO1383" s="478">
        <v>-1570</v>
      </c>
      <c r="AP1383" s="463">
        <v>-1570</v>
      </c>
      <c r="AQ1383" s="479">
        <v>0</v>
      </c>
      <c r="AR1383" s="476" t="s">
        <v>17495</v>
      </c>
      <c r="BA1383" s="313" t="s">
        <v>5766</v>
      </c>
    </row>
    <row r="1384" spans="2:53" ht="16.5" customHeight="1">
      <c r="B1384" s="367" t="s">
        <v>18240</v>
      </c>
      <c r="C1384" s="351" t="s">
        <v>18241</v>
      </c>
      <c r="D1384" s="353">
        <v>-1570</v>
      </c>
      <c r="E1384" s="352" t="s">
        <v>408</v>
      </c>
      <c r="F1384" s="341">
        <v>78.02</v>
      </c>
      <c r="G1384" s="355" t="s">
        <v>11998</v>
      </c>
      <c r="H1384" s="356" t="s">
        <v>18867</v>
      </c>
      <c r="I1384" s="354" t="s">
        <v>216</v>
      </c>
      <c r="J1384" s="340" t="s">
        <v>11622</v>
      </c>
      <c r="K1384" s="339" t="s">
        <v>71</v>
      </c>
      <c r="L1384" s="357">
        <v>2</v>
      </c>
      <c r="M1384" s="358" t="s">
        <v>11623</v>
      </c>
      <c r="N1384" s="359">
        <v>300</v>
      </c>
      <c r="O1384" s="360" t="s">
        <v>530</v>
      </c>
      <c r="P1384" s="343" t="s">
        <v>530</v>
      </c>
      <c r="Q1384" s="342" t="s">
        <v>2688</v>
      </c>
      <c r="R1384" s="344">
        <v>45</v>
      </c>
      <c r="S1384" s="345">
        <v>25</v>
      </c>
      <c r="T1384" s="362">
        <v>30</v>
      </c>
      <c r="U1384" s="361">
        <v>78.02</v>
      </c>
      <c r="V1384" s="346">
        <v>117.50962631368408</v>
      </c>
      <c r="W1384" s="348">
        <v>117.78633450105252</v>
      </c>
      <c r="X1384" s="347">
        <v>59.29</v>
      </c>
      <c r="Y1384" s="357" t="s">
        <v>408</v>
      </c>
      <c r="Z1384" s="365" t="s">
        <v>3017</v>
      </c>
      <c r="AA1384" s="350">
        <v>-2</v>
      </c>
      <c r="AB1384" s="349" t="s">
        <v>2685</v>
      </c>
      <c r="AC1384" s="350">
        <v>0</v>
      </c>
      <c r="AD1384" s="349" t="s">
        <v>2685</v>
      </c>
      <c r="AE1384" s="364">
        <v>0</v>
      </c>
      <c r="AF1384" s="366">
        <v>0</v>
      </c>
      <c r="AG1384" s="363">
        <v>0</v>
      </c>
      <c r="AH1384" s="635" t="s">
        <v>408</v>
      </c>
      <c r="AL1384" s="487" t="s">
        <v>15785</v>
      </c>
      <c r="AM1384" s="477" t="s">
        <v>71</v>
      </c>
      <c r="AN1384" s="637">
        <v>100</v>
      </c>
      <c r="AO1384" s="478">
        <v>-1570</v>
      </c>
      <c r="AP1384" s="463">
        <v>-709</v>
      </c>
      <c r="AQ1384" s="479">
        <v>-861</v>
      </c>
      <c r="AR1384" s="476" t="s">
        <v>17496</v>
      </c>
      <c r="BA1384" s="313" t="s">
        <v>5770</v>
      </c>
    </row>
    <row r="1385" spans="2:53" ht="16.5" customHeight="1">
      <c r="B1385" s="367" t="s">
        <v>5614</v>
      </c>
      <c r="C1385" s="351" t="s">
        <v>5615</v>
      </c>
      <c r="D1385" s="353">
        <v>-1570</v>
      </c>
      <c r="E1385" s="352" t="s">
        <v>408</v>
      </c>
      <c r="F1385" s="341">
        <v>77.989999999999995</v>
      </c>
      <c r="G1385" s="355" t="s">
        <v>11626</v>
      </c>
      <c r="H1385" s="356" t="s">
        <v>11303</v>
      </c>
      <c r="I1385" s="354" t="s">
        <v>209</v>
      </c>
      <c r="J1385" s="340" t="s">
        <v>11627</v>
      </c>
      <c r="K1385" s="339" t="s">
        <v>70</v>
      </c>
      <c r="L1385" s="357">
        <v>18</v>
      </c>
      <c r="M1385" s="358" t="s">
        <v>4910</v>
      </c>
      <c r="N1385" s="359">
        <v>1000</v>
      </c>
      <c r="O1385" s="360" t="s">
        <v>530</v>
      </c>
      <c r="P1385" s="343" t="s">
        <v>530</v>
      </c>
      <c r="Q1385" s="342" t="s">
        <v>2688</v>
      </c>
      <c r="R1385" s="344">
        <v>20</v>
      </c>
      <c r="S1385" s="345">
        <v>30</v>
      </c>
      <c r="T1385" s="362">
        <v>30</v>
      </c>
      <c r="U1385" s="361">
        <v>77.989999999999995</v>
      </c>
      <c r="V1385" s="346">
        <v>117.4964537576143</v>
      </c>
      <c r="W1385" s="348">
        <v>117.77462556232382</v>
      </c>
      <c r="X1385" s="347">
        <v>59.11</v>
      </c>
      <c r="Y1385" s="357" t="s">
        <v>408</v>
      </c>
      <c r="Z1385" s="365" t="s">
        <v>3017</v>
      </c>
      <c r="AA1385" s="350">
        <v>198</v>
      </c>
      <c r="AB1385" s="349" t="s">
        <v>2685</v>
      </c>
      <c r="AC1385" s="350">
        <v>10</v>
      </c>
      <c r="AD1385" s="349" t="s">
        <v>2685</v>
      </c>
      <c r="AE1385" s="364">
        <v>0</v>
      </c>
      <c r="AF1385" s="366">
        <v>0</v>
      </c>
      <c r="AG1385" s="363">
        <v>0</v>
      </c>
      <c r="AH1385" s="635" t="s">
        <v>408</v>
      </c>
      <c r="AL1385" s="487" t="s">
        <v>15786</v>
      </c>
      <c r="AM1385" s="477" t="s">
        <v>70</v>
      </c>
      <c r="AN1385" s="637">
        <v>100</v>
      </c>
      <c r="AO1385" s="478">
        <v>-1570</v>
      </c>
      <c r="AP1385" s="463">
        <v>-1570</v>
      </c>
      <c r="AQ1385" s="479">
        <v>0</v>
      </c>
      <c r="AR1385" s="476" t="s">
        <v>17497</v>
      </c>
      <c r="BA1385" s="313" t="s">
        <v>5773</v>
      </c>
    </row>
    <row r="1386" spans="2:53" ht="16.5" customHeight="1">
      <c r="B1386" s="367" t="s">
        <v>5614</v>
      </c>
      <c r="C1386" s="351" t="s">
        <v>5615</v>
      </c>
      <c r="D1386" s="353">
        <v>-1570</v>
      </c>
      <c r="E1386" s="352" t="s">
        <v>408</v>
      </c>
      <c r="F1386" s="341">
        <v>77.989999999999995</v>
      </c>
      <c r="G1386" s="355" t="s">
        <v>11626</v>
      </c>
      <c r="H1386" s="356" t="s">
        <v>11303</v>
      </c>
      <c r="I1386" s="354" t="s">
        <v>209</v>
      </c>
      <c r="J1386" s="340" t="s">
        <v>8080</v>
      </c>
      <c r="K1386" s="339" t="s">
        <v>70</v>
      </c>
      <c r="L1386" s="357">
        <v>36</v>
      </c>
      <c r="M1386" s="358" t="s">
        <v>4910</v>
      </c>
      <c r="N1386" s="359">
        <v>1000</v>
      </c>
      <c r="O1386" s="360" t="s">
        <v>530</v>
      </c>
      <c r="P1386" s="343" t="s">
        <v>530</v>
      </c>
      <c r="Q1386" s="342" t="s">
        <v>2688</v>
      </c>
      <c r="R1386" s="344">
        <v>20</v>
      </c>
      <c r="S1386" s="345">
        <v>30</v>
      </c>
      <c r="T1386" s="362">
        <v>30</v>
      </c>
      <c r="U1386" s="361">
        <v>77.989999999999995</v>
      </c>
      <c r="V1386" s="346">
        <v>117.4964537576143</v>
      </c>
      <c r="W1386" s="348">
        <v>117.77462556232382</v>
      </c>
      <c r="X1386" s="347">
        <v>59.11</v>
      </c>
      <c r="Y1386" s="357" t="s">
        <v>408</v>
      </c>
      <c r="Z1386" s="365" t="s">
        <v>3017</v>
      </c>
      <c r="AA1386" s="350">
        <v>198</v>
      </c>
      <c r="AB1386" s="349" t="s">
        <v>2685</v>
      </c>
      <c r="AC1386" s="350">
        <v>10</v>
      </c>
      <c r="AD1386" s="349" t="s">
        <v>2685</v>
      </c>
      <c r="AE1386" s="364">
        <v>0</v>
      </c>
      <c r="AF1386" s="366">
        <v>0</v>
      </c>
      <c r="AG1386" s="363">
        <v>0</v>
      </c>
      <c r="AH1386" s="635" t="s">
        <v>408</v>
      </c>
      <c r="AL1386" s="487" t="s">
        <v>15787</v>
      </c>
      <c r="AM1386" s="477" t="s">
        <v>70</v>
      </c>
      <c r="AN1386" s="637">
        <v>100</v>
      </c>
      <c r="AO1386" s="478">
        <v>-1570</v>
      </c>
      <c r="AP1386" s="463">
        <v>-1570</v>
      </c>
      <c r="AQ1386" s="479">
        <v>0</v>
      </c>
      <c r="AR1386" s="476" t="s">
        <v>17497</v>
      </c>
      <c r="BA1386" s="313" t="s">
        <v>5774</v>
      </c>
    </row>
    <row r="1387" spans="2:53" ht="16.5" customHeight="1">
      <c r="B1387" s="367" t="s">
        <v>11628</v>
      </c>
      <c r="C1387" s="351" t="s">
        <v>11629</v>
      </c>
      <c r="D1387" s="353">
        <v>-1570</v>
      </c>
      <c r="E1387" s="352" t="s">
        <v>11630</v>
      </c>
      <c r="F1387" s="341">
        <v>77.94</v>
      </c>
      <c r="G1387" s="355" t="s">
        <v>18868</v>
      </c>
      <c r="H1387" s="356" t="s">
        <v>5162</v>
      </c>
      <c r="I1387" s="354" t="s">
        <v>485</v>
      </c>
      <c r="J1387" s="340" t="s">
        <v>11631</v>
      </c>
      <c r="K1387" s="339" t="s">
        <v>71</v>
      </c>
      <c r="L1387" s="357">
        <v>24</v>
      </c>
      <c r="M1387" s="358" t="s">
        <v>11632</v>
      </c>
      <c r="N1387" s="359">
        <v>100</v>
      </c>
      <c r="O1387" s="360" t="s">
        <v>454</v>
      </c>
      <c r="P1387" s="343" t="s">
        <v>454</v>
      </c>
      <c r="Q1387" s="342" t="s">
        <v>2738</v>
      </c>
      <c r="R1387" s="344">
        <v>33</v>
      </c>
      <c r="S1387" s="345">
        <v>33</v>
      </c>
      <c r="T1387" s="362">
        <v>15</v>
      </c>
      <c r="U1387" s="361">
        <v>77.94</v>
      </c>
      <c r="V1387" s="346">
        <v>117.4609375</v>
      </c>
      <c r="W1387" s="348">
        <v>117.74305555555556</v>
      </c>
      <c r="X1387" s="347">
        <v>59.27</v>
      </c>
      <c r="Y1387" s="357" t="s">
        <v>408</v>
      </c>
      <c r="Z1387" s="365" t="s">
        <v>3017</v>
      </c>
      <c r="AA1387" s="350">
        <v>19.600000000000001</v>
      </c>
      <c r="AB1387" s="349" t="s">
        <v>2685</v>
      </c>
      <c r="AC1387" s="350">
        <v>0</v>
      </c>
      <c r="AD1387" s="349" t="s">
        <v>2685</v>
      </c>
      <c r="AE1387" s="364">
        <v>0</v>
      </c>
      <c r="AF1387" s="366">
        <v>0</v>
      </c>
      <c r="AG1387" s="363">
        <v>0</v>
      </c>
      <c r="AH1387" s="635" t="s">
        <v>408</v>
      </c>
      <c r="AL1387" s="487" t="s">
        <v>15788</v>
      </c>
      <c r="AM1387" s="477" t="s">
        <v>71</v>
      </c>
      <c r="AN1387" s="637">
        <v>100</v>
      </c>
      <c r="AO1387" s="478">
        <v>-1570</v>
      </c>
      <c r="AP1387" s="463">
        <v>-708</v>
      </c>
      <c r="AQ1387" s="479">
        <v>-862</v>
      </c>
      <c r="AR1387" s="476" t="s">
        <v>17498</v>
      </c>
      <c r="BA1387" s="313" t="s">
        <v>5777</v>
      </c>
    </row>
    <row r="1388" spans="2:53" ht="16.5" customHeight="1">
      <c r="B1388" s="367" t="s">
        <v>11633</v>
      </c>
      <c r="C1388" s="351" t="s">
        <v>11634</v>
      </c>
      <c r="D1388" s="353">
        <v>-1570</v>
      </c>
      <c r="E1388" s="352" t="s">
        <v>408</v>
      </c>
      <c r="F1388" s="341">
        <v>77.92</v>
      </c>
      <c r="G1388" s="355" t="s">
        <v>11635</v>
      </c>
      <c r="H1388" s="356" t="s">
        <v>11034</v>
      </c>
      <c r="I1388" s="354" t="s">
        <v>494</v>
      </c>
      <c r="J1388" s="340" t="s">
        <v>11636</v>
      </c>
      <c r="K1388" s="339" t="s">
        <v>70</v>
      </c>
      <c r="L1388" s="357">
        <v>7</v>
      </c>
      <c r="M1388" s="358" t="s">
        <v>4630</v>
      </c>
      <c r="N1388" s="359">
        <v>1000</v>
      </c>
      <c r="O1388" s="360" t="s">
        <v>532</v>
      </c>
      <c r="P1388" s="343" t="s">
        <v>533</v>
      </c>
      <c r="Q1388" s="342" t="s">
        <v>2688</v>
      </c>
      <c r="R1388" s="344">
        <v>20</v>
      </c>
      <c r="S1388" s="345">
        <v>35</v>
      </c>
      <c r="T1388" s="362">
        <v>25</v>
      </c>
      <c r="U1388" s="361">
        <v>77.92</v>
      </c>
      <c r="V1388" s="346">
        <v>117.44705055693032</v>
      </c>
      <c r="W1388" s="348">
        <v>117.73071160616028</v>
      </c>
      <c r="X1388" s="347">
        <v>59.09</v>
      </c>
      <c r="Y1388" s="357">
        <v>59.35</v>
      </c>
      <c r="Z1388" s="365" t="s">
        <v>3017</v>
      </c>
      <c r="AA1388" s="350">
        <v>190</v>
      </c>
      <c r="AB1388" s="349" t="s">
        <v>2685</v>
      </c>
      <c r="AC1388" s="350">
        <v>0</v>
      </c>
      <c r="AD1388" s="349" t="s">
        <v>2685</v>
      </c>
      <c r="AE1388" s="364">
        <v>0</v>
      </c>
      <c r="AF1388" s="366">
        <v>0</v>
      </c>
      <c r="AG1388" s="363">
        <v>0</v>
      </c>
      <c r="AH1388" s="635" t="s">
        <v>408</v>
      </c>
      <c r="AL1388" s="487" t="s">
        <v>15789</v>
      </c>
      <c r="AM1388" s="477" t="s">
        <v>70</v>
      </c>
      <c r="AN1388" s="637">
        <v>100</v>
      </c>
      <c r="AO1388" s="478">
        <v>-1570</v>
      </c>
      <c r="AP1388" s="463">
        <v>-1570</v>
      </c>
      <c r="AQ1388" s="479">
        <v>0</v>
      </c>
      <c r="AR1388" s="476" t="s">
        <v>17499</v>
      </c>
      <c r="BA1388" s="313" t="s">
        <v>5778</v>
      </c>
    </row>
    <row r="1389" spans="2:53" ht="16.5" customHeight="1">
      <c r="B1389" s="367" t="s">
        <v>11633</v>
      </c>
      <c r="C1389" s="351" t="s">
        <v>11634</v>
      </c>
      <c r="D1389" s="353">
        <v>-1570</v>
      </c>
      <c r="E1389" s="352" t="s">
        <v>5657</v>
      </c>
      <c r="F1389" s="341">
        <v>77.92</v>
      </c>
      <c r="G1389" s="355" t="s">
        <v>18869</v>
      </c>
      <c r="H1389" s="356" t="s">
        <v>18870</v>
      </c>
      <c r="I1389" s="354" t="s">
        <v>423</v>
      </c>
      <c r="J1389" s="340" t="s">
        <v>8726</v>
      </c>
      <c r="K1389" s="339" t="s">
        <v>71</v>
      </c>
      <c r="L1389" s="357">
        <v>9</v>
      </c>
      <c r="M1389" s="358" t="s">
        <v>11638</v>
      </c>
      <c r="N1389" s="359">
        <v>1000</v>
      </c>
      <c r="O1389" s="360" t="s">
        <v>530</v>
      </c>
      <c r="P1389" s="343" t="s">
        <v>531</v>
      </c>
      <c r="Q1389" s="342" t="s">
        <v>2688</v>
      </c>
      <c r="R1389" s="344">
        <v>30</v>
      </c>
      <c r="S1389" s="345">
        <v>25</v>
      </c>
      <c r="T1389" s="362">
        <v>25</v>
      </c>
      <c r="U1389" s="361">
        <v>77.92</v>
      </c>
      <c r="V1389" s="346">
        <v>117.44983862291556</v>
      </c>
      <c r="W1389" s="348">
        <v>117.73318988703606</v>
      </c>
      <c r="X1389" s="347">
        <v>59.26</v>
      </c>
      <c r="Y1389" s="357">
        <v>59.54</v>
      </c>
      <c r="Z1389" s="365" t="s">
        <v>3017</v>
      </c>
      <c r="AA1389" s="350">
        <v>198</v>
      </c>
      <c r="AB1389" s="349" t="s">
        <v>2685</v>
      </c>
      <c r="AC1389" s="350">
        <v>10</v>
      </c>
      <c r="AD1389" s="349" t="s">
        <v>2685</v>
      </c>
      <c r="AE1389" s="364">
        <v>0</v>
      </c>
      <c r="AF1389" s="366">
        <v>0</v>
      </c>
      <c r="AG1389" s="363">
        <v>0</v>
      </c>
      <c r="AH1389" s="635" t="s">
        <v>408</v>
      </c>
      <c r="AL1389" s="487" t="s">
        <v>15790</v>
      </c>
      <c r="AM1389" s="477" t="s">
        <v>71</v>
      </c>
      <c r="AN1389" s="637">
        <v>100</v>
      </c>
      <c r="AO1389" s="478">
        <v>-1570</v>
      </c>
      <c r="AP1389" s="463">
        <v>-708</v>
      </c>
      <c r="AQ1389" s="479">
        <v>-862</v>
      </c>
      <c r="AR1389" s="476" t="s">
        <v>17500</v>
      </c>
      <c r="BA1389" s="313" t="s">
        <v>5782</v>
      </c>
    </row>
    <row r="1390" spans="2:53" ht="16.5" customHeight="1">
      <c r="B1390" s="367" t="s">
        <v>5633</v>
      </c>
      <c r="C1390" s="351" t="s">
        <v>5634</v>
      </c>
      <c r="D1390" s="353">
        <v>-1570</v>
      </c>
      <c r="E1390" s="352" t="s">
        <v>5665</v>
      </c>
      <c r="F1390" s="341">
        <v>77.88</v>
      </c>
      <c r="G1390" s="355" t="s">
        <v>18871</v>
      </c>
      <c r="H1390" s="356" t="s">
        <v>11034</v>
      </c>
      <c r="I1390" s="354" t="s">
        <v>195</v>
      </c>
      <c r="J1390" s="340" t="s">
        <v>11639</v>
      </c>
      <c r="K1390" s="339" t="s">
        <v>71</v>
      </c>
      <c r="L1390" s="357">
        <v>13</v>
      </c>
      <c r="M1390" s="358" t="s">
        <v>11640</v>
      </c>
      <c r="N1390" s="359">
        <v>100</v>
      </c>
      <c r="O1390" s="360" t="s">
        <v>454</v>
      </c>
      <c r="P1390" s="343" t="s">
        <v>454</v>
      </c>
      <c r="Q1390" s="342" t="s">
        <v>2738</v>
      </c>
      <c r="R1390" s="344">
        <v>35</v>
      </c>
      <c r="S1390" s="345">
        <v>25</v>
      </c>
      <c r="T1390" s="362">
        <v>20</v>
      </c>
      <c r="U1390" s="361">
        <v>77.88</v>
      </c>
      <c r="V1390" s="346">
        <v>117.421875</v>
      </c>
      <c r="W1390" s="348">
        <v>117.70833333333333</v>
      </c>
      <c r="X1390" s="347">
        <v>59.24</v>
      </c>
      <c r="Y1390" s="357" t="s">
        <v>408</v>
      </c>
      <c r="Z1390" s="365" t="s">
        <v>3017</v>
      </c>
      <c r="AA1390" s="350">
        <v>19</v>
      </c>
      <c r="AB1390" s="349" t="s">
        <v>2685</v>
      </c>
      <c r="AC1390" s="350">
        <v>0</v>
      </c>
      <c r="AD1390" s="349" t="s">
        <v>2685</v>
      </c>
      <c r="AE1390" s="364">
        <v>0</v>
      </c>
      <c r="AF1390" s="366">
        <v>0</v>
      </c>
      <c r="AG1390" s="363">
        <v>0</v>
      </c>
      <c r="AH1390" s="635" t="s">
        <v>408</v>
      </c>
      <c r="AL1390" s="487" t="s">
        <v>15791</v>
      </c>
      <c r="AM1390" s="477" t="s">
        <v>71</v>
      </c>
      <c r="AN1390" s="637">
        <v>100</v>
      </c>
      <c r="AO1390" s="478">
        <v>-1570</v>
      </c>
      <c r="AP1390" s="463">
        <v>-708</v>
      </c>
      <c r="AQ1390" s="479">
        <v>-862</v>
      </c>
      <c r="AR1390" s="476" t="s">
        <v>17501</v>
      </c>
      <c r="BA1390" s="313" t="s">
        <v>5786</v>
      </c>
    </row>
    <row r="1391" spans="2:53" ht="16.5" customHeight="1">
      <c r="B1391" s="367" t="s">
        <v>11641</v>
      </c>
      <c r="C1391" s="351" t="s">
        <v>11642</v>
      </c>
      <c r="D1391" s="353">
        <v>-1570</v>
      </c>
      <c r="E1391" s="352" t="s">
        <v>5683</v>
      </c>
      <c r="F1391" s="341">
        <v>77.849999999999994</v>
      </c>
      <c r="G1391" s="355" t="s">
        <v>5464</v>
      </c>
      <c r="H1391" s="356" t="s">
        <v>18872</v>
      </c>
      <c r="I1391" s="354" t="s">
        <v>215</v>
      </c>
      <c r="J1391" s="340" t="s">
        <v>8753</v>
      </c>
      <c r="K1391" s="339" t="s">
        <v>71</v>
      </c>
      <c r="L1391" s="357">
        <v>5</v>
      </c>
      <c r="M1391" s="358" t="s">
        <v>11643</v>
      </c>
      <c r="N1391" s="359">
        <v>1000</v>
      </c>
      <c r="O1391" s="360" t="s">
        <v>530</v>
      </c>
      <c r="P1391" s="343" t="s">
        <v>531</v>
      </c>
      <c r="Q1391" s="342" t="s">
        <v>2688</v>
      </c>
      <c r="R1391" s="344">
        <v>38</v>
      </c>
      <c r="S1391" s="345">
        <v>25</v>
      </c>
      <c r="T1391" s="362">
        <v>25</v>
      </c>
      <c r="U1391" s="361">
        <v>77.849999999999994</v>
      </c>
      <c r="V1391" s="346">
        <v>117.40430652311591</v>
      </c>
      <c r="W1391" s="348">
        <v>117.69271690943637</v>
      </c>
      <c r="X1391" s="347">
        <v>59.24</v>
      </c>
      <c r="Y1391" s="357">
        <v>59.68</v>
      </c>
      <c r="Z1391" s="365" t="s">
        <v>3017</v>
      </c>
      <c r="AA1391" s="350">
        <v>121.25</v>
      </c>
      <c r="AB1391" s="349" t="s">
        <v>2685</v>
      </c>
      <c r="AC1391" s="350">
        <v>10</v>
      </c>
      <c r="AD1391" s="349" t="s">
        <v>2685</v>
      </c>
      <c r="AE1391" s="364">
        <v>0</v>
      </c>
      <c r="AF1391" s="366">
        <v>0</v>
      </c>
      <c r="AG1391" s="363">
        <v>0</v>
      </c>
      <c r="AH1391" s="635" t="s">
        <v>8002</v>
      </c>
      <c r="AL1391" s="487" t="s">
        <v>15792</v>
      </c>
      <c r="AM1391" s="477" t="s">
        <v>71</v>
      </c>
      <c r="AN1391" s="637">
        <v>100</v>
      </c>
      <c r="AO1391" s="478">
        <v>-1570</v>
      </c>
      <c r="AP1391" s="463">
        <v>-707</v>
      </c>
      <c r="AQ1391" s="479">
        <v>-863</v>
      </c>
      <c r="AR1391" s="476" t="s">
        <v>17502</v>
      </c>
      <c r="BA1391" s="313" t="s">
        <v>5789</v>
      </c>
    </row>
    <row r="1392" spans="2:53" ht="16.5" customHeight="1">
      <c r="B1392" s="367" t="s">
        <v>11644</v>
      </c>
      <c r="C1392" s="351" t="s">
        <v>11645</v>
      </c>
      <c r="D1392" s="353">
        <v>-1570</v>
      </c>
      <c r="E1392" s="352" t="s">
        <v>11646</v>
      </c>
      <c r="F1392" s="341">
        <v>77.83</v>
      </c>
      <c r="G1392" s="355" t="s">
        <v>18873</v>
      </c>
      <c r="H1392" s="356" t="s">
        <v>11327</v>
      </c>
      <c r="I1392" s="354" t="s">
        <v>401</v>
      </c>
      <c r="J1392" s="340" t="s">
        <v>436</v>
      </c>
      <c r="K1392" s="339" t="s">
        <v>71</v>
      </c>
      <c r="L1392" s="357">
        <v>153</v>
      </c>
      <c r="M1392" s="358" t="s">
        <v>11648</v>
      </c>
      <c r="N1392" s="359">
        <v>800</v>
      </c>
      <c r="O1392" s="360" t="s">
        <v>454</v>
      </c>
      <c r="P1392" s="343" t="s">
        <v>454</v>
      </c>
      <c r="Q1392" s="342" t="s">
        <v>2688</v>
      </c>
      <c r="R1392" s="344">
        <v>25</v>
      </c>
      <c r="S1392" s="345">
        <v>25</v>
      </c>
      <c r="T1392" s="362">
        <v>25</v>
      </c>
      <c r="U1392" s="361">
        <v>77.83</v>
      </c>
      <c r="V1392" s="346">
        <v>117.39583333333333</v>
      </c>
      <c r="W1392" s="348">
        <v>117.68518518518519</v>
      </c>
      <c r="X1392" s="347">
        <v>59.23</v>
      </c>
      <c r="Y1392" s="357" t="s">
        <v>408</v>
      </c>
      <c r="Z1392" s="365" t="s">
        <v>4408</v>
      </c>
      <c r="AA1392" s="350">
        <v>176</v>
      </c>
      <c r="AB1392" s="349" t="s">
        <v>2685</v>
      </c>
      <c r="AC1392" s="350">
        <v>0</v>
      </c>
      <c r="AD1392" s="349" t="s">
        <v>2685</v>
      </c>
      <c r="AE1392" s="364">
        <v>0</v>
      </c>
      <c r="AF1392" s="366">
        <v>0</v>
      </c>
      <c r="AG1392" s="363">
        <v>0</v>
      </c>
      <c r="AH1392" s="635" t="s">
        <v>408</v>
      </c>
      <c r="AL1392" s="487" t="s">
        <v>7215</v>
      </c>
      <c r="AM1392" s="477" t="s">
        <v>71</v>
      </c>
      <c r="AN1392" s="637">
        <v>100</v>
      </c>
      <c r="AO1392" s="478">
        <v>-1570</v>
      </c>
      <c r="AP1392" s="463">
        <v>-707</v>
      </c>
      <c r="AQ1392" s="479">
        <v>-863</v>
      </c>
      <c r="AR1392" s="476" t="s">
        <v>17503</v>
      </c>
      <c r="BA1392" s="313" t="s">
        <v>5790</v>
      </c>
    </row>
    <row r="1393" spans="2:53" ht="16.5" customHeight="1">
      <c r="B1393" s="367" t="s">
        <v>11649</v>
      </c>
      <c r="C1393" s="351" t="s">
        <v>11650</v>
      </c>
      <c r="D1393" s="353">
        <v>-1570</v>
      </c>
      <c r="E1393" s="352" t="s">
        <v>408</v>
      </c>
      <c r="F1393" s="341">
        <v>77.83</v>
      </c>
      <c r="G1393" s="355" t="s">
        <v>11651</v>
      </c>
      <c r="H1393" s="356" t="s">
        <v>5071</v>
      </c>
      <c r="I1393" s="354" t="s">
        <v>446</v>
      </c>
      <c r="J1393" s="340" t="s">
        <v>486</v>
      </c>
      <c r="K1393" s="339" t="s">
        <v>70</v>
      </c>
      <c r="L1393" s="357">
        <v>35</v>
      </c>
      <c r="M1393" s="358" t="s">
        <v>11653</v>
      </c>
      <c r="N1393" s="359">
        <v>1000</v>
      </c>
      <c r="O1393" s="360" t="s">
        <v>454</v>
      </c>
      <c r="P1393" s="343" t="s">
        <v>454</v>
      </c>
      <c r="Q1393" s="342" t="s">
        <v>2688</v>
      </c>
      <c r="R1393" s="344">
        <v>25</v>
      </c>
      <c r="S1393" s="345">
        <v>35</v>
      </c>
      <c r="T1393" s="362">
        <v>30</v>
      </c>
      <c r="U1393" s="361">
        <v>77.83</v>
      </c>
      <c r="V1393" s="346">
        <v>117.39583333333333</v>
      </c>
      <c r="W1393" s="348">
        <v>117.68518518518519</v>
      </c>
      <c r="X1393" s="347">
        <v>59.07</v>
      </c>
      <c r="Y1393" s="357" t="s">
        <v>408</v>
      </c>
      <c r="Z1393" s="365" t="s">
        <v>3017</v>
      </c>
      <c r="AA1393" s="350">
        <v>98</v>
      </c>
      <c r="AB1393" s="349" t="s">
        <v>2685</v>
      </c>
      <c r="AC1393" s="350">
        <v>0</v>
      </c>
      <c r="AD1393" s="349" t="s">
        <v>2685</v>
      </c>
      <c r="AE1393" s="364">
        <v>0</v>
      </c>
      <c r="AF1393" s="366">
        <v>0</v>
      </c>
      <c r="AG1393" s="363">
        <v>0</v>
      </c>
      <c r="AH1393" s="635" t="s">
        <v>408</v>
      </c>
      <c r="AL1393" s="487" t="s">
        <v>15793</v>
      </c>
      <c r="AM1393" s="477" t="s">
        <v>70</v>
      </c>
      <c r="AN1393" s="637">
        <v>100</v>
      </c>
      <c r="AO1393" s="478">
        <v>-1570</v>
      </c>
      <c r="AP1393" s="463">
        <v>-1570</v>
      </c>
      <c r="AQ1393" s="479">
        <v>0</v>
      </c>
      <c r="AR1393" s="476" t="s">
        <v>17504</v>
      </c>
      <c r="BA1393" s="313" t="s">
        <v>5793</v>
      </c>
    </row>
    <row r="1394" spans="2:53" ht="16.5" customHeight="1">
      <c r="B1394" s="367" t="s">
        <v>11649</v>
      </c>
      <c r="C1394" s="351" t="s">
        <v>11650</v>
      </c>
      <c r="D1394" s="353">
        <v>-1570</v>
      </c>
      <c r="E1394" s="352" t="s">
        <v>408</v>
      </c>
      <c r="F1394" s="341">
        <v>77.83</v>
      </c>
      <c r="G1394" s="355" t="s">
        <v>11651</v>
      </c>
      <c r="H1394" s="356" t="s">
        <v>5071</v>
      </c>
      <c r="I1394" s="354" t="s">
        <v>9336</v>
      </c>
      <c r="J1394" s="340" t="s">
        <v>9795</v>
      </c>
      <c r="K1394" s="339" t="s">
        <v>70</v>
      </c>
      <c r="L1394" s="357">
        <v>15</v>
      </c>
      <c r="M1394" s="358" t="s">
        <v>11654</v>
      </c>
      <c r="N1394" s="359">
        <v>700</v>
      </c>
      <c r="O1394" s="360" t="s">
        <v>532</v>
      </c>
      <c r="P1394" s="343" t="s">
        <v>533</v>
      </c>
      <c r="Q1394" s="342" t="s">
        <v>2688</v>
      </c>
      <c r="R1394" s="344">
        <v>20</v>
      </c>
      <c r="S1394" s="345">
        <v>35</v>
      </c>
      <c r="T1394" s="362">
        <v>30</v>
      </c>
      <c r="U1394" s="361">
        <v>77.83</v>
      </c>
      <c r="V1394" s="346">
        <v>117.39595688112277</v>
      </c>
      <c r="W1394" s="348">
        <v>117.68529500544247</v>
      </c>
      <c r="X1394" s="347">
        <v>59.07</v>
      </c>
      <c r="Y1394" s="357">
        <v>61.309999999999995</v>
      </c>
      <c r="Z1394" s="365" t="s">
        <v>3017</v>
      </c>
      <c r="AA1394" s="350">
        <v>104.5</v>
      </c>
      <c r="AB1394" s="349" t="s">
        <v>2685</v>
      </c>
      <c r="AC1394" s="350">
        <v>0</v>
      </c>
      <c r="AD1394" s="349" t="s">
        <v>2685</v>
      </c>
      <c r="AE1394" s="364">
        <v>0</v>
      </c>
      <c r="AF1394" s="366">
        <v>0</v>
      </c>
      <c r="AG1394" s="363">
        <v>0</v>
      </c>
      <c r="AH1394" s="635" t="s">
        <v>408</v>
      </c>
      <c r="AL1394" s="487" t="s">
        <v>15794</v>
      </c>
      <c r="AM1394" s="477" t="s">
        <v>70</v>
      </c>
      <c r="AN1394" s="637">
        <v>100</v>
      </c>
      <c r="AO1394" s="478">
        <v>-1570</v>
      </c>
      <c r="AP1394" s="463">
        <v>-1570</v>
      </c>
      <c r="AQ1394" s="479">
        <v>0</v>
      </c>
      <c r="AR1394" s="476" t="s">
        <v>17504</v>
      </c>
      <c r="BA1394" s="313" t="s">
        <v>5794</v>
      </c>
    </row>
    <row r="1395" spans="2:53" ht="16.5" customHeight="1">
      <c r="B1395" s="367" t="s">
        <v>11615</v>
      </c>
      <c r="C1395" s="351" t="s">
        <v>11616</v>
      </c>
      <c r="D1395" s="353">
        <v>-1570</v>
      </c>
      <c r="E1395" s="352" t="s">
        <v>11617</v>
      </c>
      <c r="F1395" s="341">
        <v>77.81</v>
      </c>
      <c r="G1395" s="355" t="s">
        <v>5493</v>
      </c>
      <c r="H1395" s="356" t="s">
        <v>18874</v>
      </c>
      <c r="I1395" s="354" t="s">
        <v>215</v>
      </c>
      <c r="J1395" s="340" t="s">
        <v>8863</v>
      </c>
      <c r="K1395" s="339" t="s">
        <v>71</v>
      </c>
      <c r="L1395" s="357">
        <v>7</v>
      </c>
      <c r="M1395" s="358" t="s">
        <v>11655</v>
      </c>
      <c r="N1395" s="359">
        <v>1000</v>
      </c>
      <c r="O1395" s="360" t="s">
        <v>530</v>
      </c>
      <c r="P1395" s="343" t="s">
        <v>531</v>
      </c>
      <c r="Q1395" s="342" t="s">
        <v>2688</v>
      </c>
      <c r="R1395" s="344">
        <v>38</v>
      </c>
      <c r="S1395" s="345">
        <v>25</v>
      </c>
      <c r="T1395" s="362">
        <v>25</v>
      </c>
      <c r="U1395" s="361">
        <v>77.81</v>
      </c>
      <c r="V1395" s="346">
        <v>117.38150728309057</v>
      </c>
      <c r="W1395" s="348">
        <v>117.67245091830273</v>
      </c>
      <c r="X1395" s="347">
        <v>59.23</v>
      </c>
      <c r="Y1395" s="357">
        <v>59.669999999999995</v>
      </c>
      <c r="Z1395" s="365" t="s">
        <v>3017</v>
      </c>
      <c r="AA1395" s="350">
        <v>121.25</v>
      </c>
      <c r="AB1395" s="349" t="s">
        <v>2685</v>
      </c>
      <c r="AC1395" s="350">
        <v>10</v>
      </c>
      <c r="AD1395" s="349" t="s">
        <v>2685</v>
      </c>
      <c r="AE1395" s="364">
        <v>0</v>
      </c>
      <c r="AF1395" s="366">
        <v>0</v>
      </c>
      <c r="AG1395" s="363">
        <v>0</v>
      </c>
      <c r="AH1395" s="635" t="s">
        <v>8002</v>
      </c>
      <c r="AL1395" s="487" t="s">
        <v>15795</v>
      </c>
      <c r="AM1395" s="477" t="s">
        <v>71</v>
      </c>
      <c r="AN1395" s="637">
        <v>100</v>
      </c>
      <c r="AO1395" s="478">
        <v>-1570</v>
      </c>
      <c r="AP1395" s="463">
        <v>-707</v>
      </c>
      <c r="AQ1395" s="479">
        <v>-863</v>
      </c>
      <c r="AR1395" s="476" t="s">
        <v>17505</v>
      </c>
      <c r="BA1395" s="313" t="s">
        <v>5796</v>
      </c>
    </row>
    <row r="1396" spans="2:53" ht="16.5" customHeight="1">
      <c r="B1396" s="367" t="s">
        <v>5646</v>
      </c>
      <c r="C1396" s="351" t="s">
        <v>5647</v>
      </c>
      <c r="D1396" s="353">
        <v>-1570</v>
      </c>
      <c r="E1396" s="352" t="s">
        <v>408</v>
      </c>
      <c r="F1396" s="341">
        <v>77.760000000000005</v>
      </c>
      <c r="G1396" s="355" t="s">
        <v>11656</v>
      </c>
      <c r="H1396" s="356" t="s">
        <v>11059</v>
      </c>
      <c r="I1396" s="354" t="s">
        <v>215</v>
      </c>
      <c r="J1396" s="340" t="s">
        <v>11657</v>
      </c>
      <c r="K1396" s="339" t="s">
        <v>70</v>
      </c>
      <c r="L1396" s="357">
        <v>8</v>
      </c>
      <c r="M1396" s="358" t="s">
        <v>11658</v>
      </c>
      <c r="N1396" s="359">
        <v>1000</v>
      </c>
      <c r="O1396" s="360" t="s">
        <v>530</v>
      </c>
      <c r="P1396" s="343" t="s">
        <v>531</v>
      </c>
      <c r="Q1396" s="342" t="s">
        <v>2688</v>
      </c>
      <c r="R1396" s="344">
        <v>25</v>
      </c>
      <c r="S1396" s="345">
        <v>38</v>
      </c>
      <c r="T1396" s="362">
        <v>25</v>
      </c>
      <c r="U1396" s="361">
        <v>77.760000000000005</v>
      </c>
      <c r="V1396" s="346">
        <v>117.34784198975859</v>
      </c>
      <c r="W1396" s="348">
        <v>117.64252621311876</v>
      </c>
      <c r="X1396" s="347">
        <v>59.04</v>
      </c>
      <c r="Y1396" s="357">
        <v>59.3</v>
      </c>
      <c r="Z1396" s="365" t="s">
        <v>3017</v>
      </c>
      <c r="AA1396" s="350">
        <v>121.25</v>
      </c>
      <c r="AB1396" s="349" t="s">
        <v>2685</v>
      </c>
      <c r="AC1396" s="350">
        <v>10</v>
      </c>
      <c r="AD1396" s="349" t="s">
        <v>2685</v>
      </c>
      <c r="AE1396" s="364">
        <v>0</v>
      </c>
      <c r="AF1396" s="366">
        <v>0</v>
      </c>
      <c r="AG1396" s="363">
        <v>0</v>
      </c>
      <c r="AH1396" s="635" t="s">
        <v>408</v>
      </c>
      <c r="AL1396" s="487" t="s">
        <v>15796</v>
      </c>
      <c r="AM1396" s="477" t="s">
        <v>70</v>
      </c>
      <c r="AN1396" s="637">
        <v>100</v>
      </c>
      <c r="AO1396" s="478">
        <v>-1570</v>
      </c>
      <c r="AP1396" s="463">
        <v>-1570</v>
      </c>
      <c r="AQ1396" s="479">
        <v>0</v>
      </c>
      <c r="AR1396" s="476" t="s">
        <v>17506</v>
      </c>
      <c r="BA1396" s="313" t="s">
        <v>5797</v>
      </c>
    </row>
    <row r="1397" spans="2:53" ht="16.5" customHeight="1">
      <c r="B1397" s="367" t="s">
        <v>11659</v>
      </c>
      <c r="C1397" s="351" t="s">
        <v>11660</v>
      </c>
      <c r="D1397" s="353">
        <v>-1570</v>
      </c>
      <c r="E1397" s="352" t="s">
        <v>11661</v>
      </c>
      <c r="F1397" s="341">
        <v>77.760000000000005</v>
      </c>
      <c r="G1397" s="355" t="s">
        <v>18875</v>
      </c>
      <c r="H1397" s="356" t="s">
        <v>11498</v>
      </c>
      <c r="I1397" s="354" t="s">
        <v>423</v>
      </c>
      <c r="J1397" s="340" t="s">
        <v>11662</v>
      </c>
      <c r="K1397" s="339" t="s">
        <v>71</v>
      </c>
      <c r="L1397" s="357">
        <v>9</v>
      </c>
      <c r="M1397" s="358" t="s">
        <v>11663</v>
      </c>
      <c r="N1397" s="359">
        <v>1000</v>
      </c>
      <c r="O1397" s="360" t="s">
        <v>530</v>
      </c>
      <c r="P1397" s="343" t="s">
        <v>531</v>
      </c>
      <c r="Q1397" s="342" t="s">
        <v>2688</v>
      </c>
      <c r="R1397" s="344">
        <v>30</v>
      </c>
      <c r="S1397" s="345">
        <v>30</v>
      </c>
      <c r="T1397" s="362">
        <v>20</v>
      </c>
      <c r="U1397" s="361">
        <v>77.760000000000005</v>
      </c>
      <c r="V1397" s="346">
        <v>117.35265064208102</v>
      </c>
      <c r="W1397" s="348">
        <v>117.64680057073868</v>
      </c>
      <c r="X1397" s="347">
        <v>59.21</v>
      </c>
      <c r="Y1397" s="357">
        <v>59.48</v>
      </c>
      <c r="Z1397" s="365" t="s">
        <v>3017</v>
      </c>
      <c r="AA1397" s="350">
        <v>198</v>
      </c>
      <c r="AB1397" s="349" t="s">
        <v>2685</v>
      </c>
      <c r="AC1397" s="350">
        <v>10</v>
      </c>
      <c r="AD1397" s="349" t="s">
        <v>2685</v>
      </c>
      <c r="AE1397" s="364">
        <v>0</v>
      </c>
      <c r="AF1397" s="366">
        <v>0</v>
      </c>
      <c r="AG1397" s="363">
        <v>0</v>
      </c>
      <c r="AH1397" s="635" t="s">
        <v>408</v>
      </c>
      <c r="AL1397" s="487" t="s">
        <v>15797</v>
      </c>
      <c r="AM1397" s="477" t="s">
        <v>71</v>
      </c>
      <c r="AN1397" s="637">
        <v>100</v>
      </c>
      <c r="AO1397" s="478">
        <v>-1570</v>
      </c>
      <c r="AP1397" s="463">
        <v>-707</v>
      </c>
      <c r="AQ1397" s="479">
        <v>-863</v>
      </c>
      <c r="AR1397" s="476" t="s">
        <v>17507</v>
      </c>
      <c r="BA1397" s="313" t="s">
        <v>5798</v>
      </c>
    </row>
    <row r="1398" spans="2:53" ht="16.5" customHeight="1">
      <c r="B1398" s="367" t="s">
        <v>5603</v>
      </c>
      <c r="C1398" s="351" t="s">
        <v>5604</v>
      </c>
      <c r="D1398" s="353">
        <v>-1570</v>
      </c>
      <c r="E1398" s="352" t="s">
        <v>11637</v>
      </c>
      <c r="F1398" s="341">
        <v>77.739999999999995</v>
      </c>
      <c r="G1398" s="355" t="s">
        <v>5657</v>
      </c>
      <c r="H1398" s="356" t="s">
        <v>5193</v>
      </c>
      <c r="I1398" s="354" t="s">
        <v>215</v>
      </c>
      <c r="J1398" s="340" t="s">
        <v>11665</v>
      </c>
      <c r="K1398" s="339" t="s">
        <v>71</v>
      </c>
      <c r="L1398" s="357">
        <v>5</v>
      </c>
      <c r="M1398" s="358" t="s">
        <v>11666</v>
      </c>
      <c r="N1398" s="359">
        <v>1000</v>
      </c>
      <c r="O1398" s="360" t="s">
        <v>530</v>
      </c>
      <c r="P1398" s="343" t="s">
        <v>531</v>
      </c>
      <c r="Q1398" s="342" t="s">
        <v>2688</v>
      </c>
      <c r="R1398" s="344">
        <v>38</v>
      </c>
      <c r="S1398" s="345">
        <v>25</v>
      </c>
      <c r="T1398" s="362">
        <v>25</v>
      </c>
      <c r="U1398" s="361">
        <v>77.739999999999995</v>
      </c>
      <c r="V1398" s="346">
        <v>117.33590880303989</v>
      </c>
      <c r="W1398" s="348">
        <v>117.63191893603546</v>
      </c>
      <c r="X1398" s="347">
        <v>59.2</v>
      </c>
      <c r="Y1398" s="357">
        <v>59.64</v>
      </c>
      <c r="Z1398" s="365" t="s">
        <v>3017</v>
      </c>
      <c r="AA1398" s="350">
        <v>121.25</v>
      </c>
      <c r="AB1398" s="349" t="s">
        <v>2685</v>
      </c>
      <c r="AC1398" s="350">
        <v>10</v>
      </c>
      <c r="AD1398" s="349" t="s">
        <v>2685</v>
      </c>
      <c r="AE1398" s="364">
        <v>0</v>
      </c>
      <c r="AF1398" s="366">
        <v>0</v>
      </c>
      <c r="AG1398" s="363">
        <v>0</v>
      </c>
      <c r="AH1398" s="635" t="s">
        <v>8002</v>
      </c>
      <c r="AL1398" s="487" t="s">
        <v>15798</v>
      </c>
      <c r="AM1398" s="477" t="s">
        <v>71</v>
      </c>
      <c r="AN1398" s="637">
        <v>100</v>
      </c>
      <c r="AO1398" s="478">
        <v>-1570</v>
      </c>
      <c r="AP1398" s="463">
        <v>-707</v>
      </c>
      <c r="AQ1398" s="479">
        <v>-863</v>
      </c>
      <c r="AR1398" s="476" t="s">
        <v>17508</v>
      </c>
      <c r="BA1398" s="313" t="s">
        <v>5799</v>
      </c>
    </row>
    <row r="1399" spans="2:53" ht="16.5" customHeight="1">
      <c r="B1399" s="367" t="s">
        <v>11667</v>
      </c>
      <c r="C1399" s="351" t="s">
        <v>11668</v>
      </c>
      <c r="D1399" s="353">
        <v>-1570</v>
      </c>
      <c r="E1399" s="352" t="s">
        <v>408</v>
      </c>
      <c r="F1399" s="341">
        <v>77.72</v>
      </c>
      <c r="G1399" s="355" t="s">
        <v>5505</v>
      </c>
      <c r="H1399" s="356" t="s">
        <v>18876</v>
      </c>
      <c r="I1399" s="354" t="s">
        <v>425</v>
      </c>
      <c r="J1399" s="340" t="s">
        <v>11669</v>
      </c>
      <c r="K1399" s="339" t="s">
        <v>70</v>
      </c>
      <c r="L1399" s="357">
        <v>8</v>
      </c>
      <c r="M1399" s="358" t="s">
        <v>11202</v>
      </c>
      <c r="N1399" s="359">
        <v>1000</v>
      </c>
      <c r="O1399" s="360" t="s">
        <v>454</v>
      </c>
      <c r="P1399" s="343" t="s">
        <v>454</v>
      </c>
      <c r="Q1399" s="342" t="s">
        <v>2738</v>
      </c>
      <c r="R1399" s="344">
        <v>25</v>
      </c>
      <c r="S1399" s="345">
        <v>35</v>
      </c>
      <c r="T1399" s="362">
        <v>20</v>
      </c>
      <c r="U1399" s="361">
        <v>77.72</v>
      </c>
      <c r="V1399" s="346">
        <v>117.3224852071006</v>
      </c>
      <c r="W1399" s="348">
        <v>117.61998685075609</v>
      </c>
      <c r="X1399" s="347">
        <v>59.03</v>
      </c>
      <c r="Y1399" s="357" t="s">
        <v>408</v>
      </c>
      <c r="Z1399" s="365" t="s">
        <v>3017</v>
      </c>
      <c r="AA1399" s="350">
        <v>196</v>
      </c>
      <c r="AB1399" s="349" t="s">
        <v>2685</v>
      </c>
      <c r="AC1399" s="350">
        <v>10</v>
      </c>
      <c r="AD1399" s="349" t="s">
        <v>2685</v>
      </c>
      <c r="AE1399" s="364">
        <v>0</v>
      </c>
      <c r="AF1399" s="366">
        <v>34.973999999999997</v>
      </c>
      <c r="AG1399" s="363">
        <v>0</v>
      </c>
      <c r="AH1399" s="635" t="s">
        <v>10711</v>
      </c>
      <c r="AL1399" s="487" t="s">
        <v>15799</v>
      </c>
      <c r="AM1399" s="477" t="s">
        <v>70</v>
      </c>
      <c r="AN1399" s="637">
        <v>100</v>
      </c>
      <c r="AO1399" s="478">
        <v>-1570</v>
      </c>
      <c r="AP1399" s="463">
        <v>-1570</v>
      </c>
      <c r="AQ1399" s="479">
        <v>0</v>
      </c>
      <c r="AR1399" s="476" t="s">
        <v>17509</v>
      </c>
      <c r="BA1399" s="313" t="s">
        <v>5800</v>
      </c>
    </row>
    <row r="1400" spans="2:53" ht="16.5" customHeight="1">
      <c r="B1400" s="367" t="s">
        <v>11670</v>
      </c>
      <c r="C1400" s="351" t="s">
        <v>11671</v>
      </c>
      <c r="D1400" s="353">
        <v>-1570</v>
      </c>
      <c r="E1400" s="352" t="s">
        <v>5650</v>
      </c>
      <c r="F1400" s="341">
        <v>77.67</v>
      </c>
      <c r="G1400" s="355" t="s">
        <v>18877</v>
      </c>
      <c r="H1400" s="356" t="s">
        <v>18878</v>
      </c>
      <c r="I1400" s="354" t="s">
        <v>9336</v>
      </c>
      <c r="J1400" s="340" t="s">
        <v>11672</v>
      </c>
      <c r="K1400" s="339" t="s">
        <v>71</v>
      </c>
      <c r="L1400" s="357">
        <v>10</v>
      </c>
      <c r="M1400" s="358" t="s">
        <v>11673</v>
      </c>
      <c r="N1400" s="359">
        <v>700</v>
      </c>
      <c r="O1400" s="360" t="s">
        <v>532</v>
      </c>
      <c r="P1400" s="343" t="s">
        <v>533</v>
      </c>
      <c r="Q1400" s="342" t="s">
        <v>2688</v>
      </c>
      <c r="R1400" s="344">
        <v>30</v>
      </c>
      <c r="S1400" s="345">
        <v>30</v>
      </c>
      <c r="T1400" s="362">
        <v>20</v>
      </c>
      <c r="U1400" s="361">
        <v>77.67</v>
      </c>
      <c r="V1400" s="346">
        <v>117.29536450659147</v>
      </c>
      <c r="W1400" s="348">
        <v>117.59587956141463</v>
      </c>
      <c r="X1400" s="347">
        <v>59.18</v>
      </c>
      <c r="Y1400" s="357">
        <v>61.25</v>
      </c>
      <c r="Z1400" s="365" t="s">
        <v>3017</v>
      </c>
      <c r="AA1400" s="350">
        <v>138</v>
      </c>
      <c r="AB1400" s="349" t="s">
        <v>2685</v>
      </c>
      <c r="AC1400" s="350">
        <v>10</v>
      </c>
      <c r="AD1400" s="349" t="s">
        <v>2685</v>
      </c>
      <c r="AE1400" s="364">
        <v>0</v>
      </c>
      <c r="AF1400" s="366">
        <v>0</v>
      </c>
      <c r="AG1400" s="363">
        <v>0</v>
      </c>
      <c r="AH1400" s="635" t="s">
        <v>408</v>
      </c>
      <c r="AL1400" s="487" t="s">
        <v>15800</v>
      </c>
      <c r="AM1400" s="477" t="s">
        <v>71</v>
      </c>
      <c r="AN1400" s="637">
        <v>100</v>
      </c>
      <c r="AO1400" s="478">
        <v>-1570</v>
      </c>
      <c r="AP1400" s="463">
        <v>-706</v>
      </c>
      <c r="AQ1400" s="479">
        <v>-864</v>
      </c>
      <c r="AR1400" s="476" t="s">
        <v>17510</v>
      </c>
      <c r="BA1400" s="313" t="s">
        <v>5801</v>
      </c>
    </row>
    <row r="1401" spans="2:53" ht="16.5" customHeight="1">
      <c r="B1401" s="367" t="s">
        <v>11674</v>
      </c>
      <c r="C1401" s="351" t="s">
        <v>11675</v>
      </c>
      <c r="D1401" s="353">
        <v>-1570</v>
      </c>
      <c r="E1401" s="352" t="s">
        <v>5704</v>
      </c>
      <c r="F1401" s="341">
        <v>77.650000000000006</v>
      </c>
      <c r="G1401" s="355" t="s">
        <v>5716</v>
      </c>
      <c r="H1401" s="356" t="s">
        <v>18879</v>
      </c>
      <c r="I1401" s="354" t="s">
        <v>215</v>
      </c>
      <c r="J1401" s="340" t="s">
        <v>11676</v>
      </c>
      <c r="K1401" s="339" t="s">
        <v>70</v>
      </c>
      <c r="L1401" s="357">
        <v>10</v>
      </c>
      <c r="M1401" s="358" t="s">
        <v>11677</v>
      </c>
      <c r="N1401" s="359">
        <v>1000</v>
      </c>
      <c r="O1401" s="360" t="s">
        <v>530</v>
      </c>
      <c r="P1401" s="343" t="s">
        <v>531</v>
      </c>
      <c r="Q1401" s="342" t="s">
        <v>2688</v>
      </c>
      <c r="R1401" s="344">
        <v>25</v>
      </c>
      <c r="S1401" s="345">
        <v>38</v>
      </c>
      <c r="T1401" s="362">
        <v>25</v>
      </c>
      <c r="U1401" s="361">
        <v>77.650000000000006</v>
      </c>
      <c r="V1401" s="346">
        <v>117.27980980248719</v>
      </c>
      <c r="W1401" s="348">
        <v>117.5820531577664</v>
      </c>
      <c r="X1401" s="347">
        <v>59.01</v>
      </c>
      <c r="Y1401" s="357">
        <v>59.25</v>
      </c>
      <c r="Z1401" s="365" t="s">
        <v>3017</v>
      </c>
      <c r="AA1401" s="350">
        <v>121.25</v>
      </c>
      <c r="AB1401" s="349" t="s">
        <v>2685</v>
      </c>
      <c r="AC1401" s="350">
        <v>10</v>
      </c>
      <c r="AD1401" s="349" t="s">
        <v>2685</v>
      </c>
      <c r="AE1401" s="364">
        <v>0</v>
      </c>
      <c r="AF1401" s="366">
        <v>0</v>
      </c>
      <c r="AG1401" s="363">
        <v>0</v>
      </c>
      <c r="AH1401" s="635" t="s">
        <v>408</v>
      </c>
      <c r="AL1401" s="487" t="s">
        <v>15801</v>
      </c>
      <c r="AM1401" s="477" t="s">
        <v>70</v>
      </c>
      <c r="AN1401" s="637">
        <v>100</v>
      </c>
      <c r="AO1401" s="478">
        <v>-1570</v>
      </c>
      <c r="AP1401" s="463">
        <v>-1570</v>
      </c>
      <c r="AQ1401" s="479">
        <v>0</v>
      </c>
      <c r="AR1401" s="476" t="s">
        <v>17511</v>
      </c>
      <c r="BA1401" s="313" t="s">
        <v>5804</v>
      </c>
    </row>
    <row r="1402" spans="2:53" ht="16.5" customHeight="1">
      <c r="B1402" s="367" t="s">
        <v>5660</v>
      </c>
      <c r="C1402" s="351" t="s">
        <v>5661</v>
      </c>
      <c r="D1402" s="353">
        <v>-1570</v>
      </c>
      <c r="E1402" s="352" t="s">
        <v>408</v>
      </c>
      <c r="F1402" s="341">
        <v>77.63</v>
      </c>
      <c r="G1402" s="355" t="s">
        <v>5760</v>
      </c>
      <c r="H1402" s="356" t="s">
        <v>18880</v>
      </c>
      <c r="I1402" s="354" t="s">
        <v>485</v>
      </c>
      <c r="J1402" s="340" t="s">
        <v>11678</v>
      </c>
      <c r="K1402" s="339" t="s">
        <v>70</v>
      </c>
      <c r="L1402" s="357">
        <v>10</v>
      </c>
      <c r="M1402" s="358" t="s">
        <v>5738</v>
      </c>
      <c r="N1402" s="359">
        <v>100</v>
      </c>
      <c r="O1402" s="360" t="s">
        <v>454</v>
      </c>
      <c r="P1402" s="343" t="s">
        <v>454</v>
      </c>
      <c r="Q1402" s="342" t="s">
        <v>2738</v>
      </c>
      <c r="R1402" s="344">
        <v>30</v>
      </c>
      <c r="S1402" s="345">
        <v>35</v>
      </c>
      <c r="T1402" s="362">
        <v>15</v>
      </c>
      <c r="U1402" s="361">
        <v>77.63</v>
      </c>
      <c r="V1402" s="346">
        <v>117.265625</v>
      </c>
      <c r="W1402" s="348">
        <v>117.56944444444444</v>
      </c>
      <c r="X1402" s="347">
        <v>59.01</v>
      </c>
      <c r="Y1402" s="357" t="s">
        <v>408</v>
      </c>
      <c r="Z1402" s="365" t="s">
        <v>3017</v>
      </c>
      <c r="AA1402" s="350">
        <v>19.600000000000001</v>
      </c>
      <c r="AB1402" s="349" t="s">
        <v>2685</v>
      </c>
      <c r="AC1402" s="350">
        <v>0</v>
      </c>
      <c r="AD1402" s="349" t="s">
        <v>2685</v>
      </c>
      <c r="AE1402" s="364">
        <v>0</v>
      </c>
      <c r="AF1402" s="366">
        <v>0</v>
      </c>
      <c r="AG1402" s="363">
        <v>0</v>
      </c>
      <c r="AH1402" s="635" t="s">
        <v>408</v>
      </c>
      <c r="AL1402" s="487" t="s">
        <v>15802</v>
      </c>
      <c r="AM1402" s="477" t="s">
        <v>70</v>
      </c>
      <c r="AN1402" s="637">
        <v>100</v>
      </c>
      <c r="AO1402" s="478">
        <v>-1570</v>
      </c>
      <c r="AP1402" s="463">
        <v>-1570</v>
      </c>
      <c r="AQ1402" s="479">
        <v>0</v>
      </c>
      <c r="AR1402" s="476" t="s">
        <v>17512</v>
      </c>
      <c r="BA1402" s="313" t="s">
        <v>5805</v>
      </c>
    </row>
    <row r="1403" spans="2:53" ht="16.5" customHeight="1">
      <c r="B1403" s="367" t="s">
        <v>18242</v>
      </c>
      <c r="C1403" s="351" t="s">
        <v>18243</v>
      </c>
      <c r="D1403" s="353">
        <v>-1570</v>
      </c>
      <c r="E1403" s="352" t="s">
        <v>408</v>
      </c>
      <c r="F1403" s="341">
        <v>77.61</v>
      </c>
      <c r="G1403" s="355" t="s">
        <v>5682</v>
      </c>
      <c r="H1403" s="356" t="s">
        <v>11122</v>
      </c>
      <c r="I1403" s="354" t="s">
        <v>209</v>
      </c>
      <c r="J1403" s="340" t="s">
        <v>8214</v>
      </c>
      <c r="K1403" s="339" t="s">
        <v>71</v>
      </c>
      <c r="L1403" s="357">
        <v>16</v>
      </c>
      <c r="M1403" s="358" t="s">
        <v>5670</v>
      </c>
      <c r="N1403" s="359">
        <v>1000</v>
      </c>
      <c r="O1403" s="360" t="s">
        <v>530</v>
      </c>
      <c r="P1403" s="343" t="s">
        <v>530</v>
      </c>
      <c r="Q1403" s="342" t="s">
        <v>2688</v>
      </c>
      <c r="R1403" s="344">
        <v>30</v>
      </c>
      <c r="S1403" s="345">
        <v>25</v>
      </c>
      <c r="T1403" s="362">
        <v>25</v>
      </c>
      <c r="U1403" s="361">
        <v>77.61</v>
      </c>
      <c r="V1403" s="346">
        <v>117.25804844045361</v>
      </c>
      <c r="W1403" s="348">
        <v>117.56270972484765</v>
      </c>
      <c r="X1403" s="347">
        <v>59.16</v>
      </c>
      <c r="Y1403" s="357" t="s">
        <v>408</v>
      </c>
      <c r="Z1403" s="365" t="s">
        <v>3017</v>
      </c>
      <c r="AA1403" s="350">
        <v>198</v>
      </c>
      <c r="AB1403" s="349" t="s">
        <v>2685</v>
      </c>
      <c r="AC1403" s="350">
        <v>10</v>
      </c>
      <c r="AD1403" s="349" t="s">
        <v>2685</v>
      </c>
      <c r="AE1403" s="364">
        <v>0</v>
      </c>
      <c r="AF1403" s="366">
        <v>0</v>
      </c>
      <c r="AG1403" s="363">
        <v>0</v>
      </c>
      <c r="AH1403" s="635" t="s">
        <v>408</v>
      </c>
      <c r="AL1403" s="487" t="s">
        <v>15803</v>
      </c>
      <c r="AM1403" s="477" t="s">
        <v>71</v>
      </c>
      <c r="AN1403" s="637">
        <v>100</v>
      </c>
      <c r="AO1403" s="478">
        <v>-1570</v>
      </c>
      <c r="AP1403" s="463">
        <v>-706</v>
      </c>
      <c r="AQ1403" s="479">
        <v>-864</v>
      </c>
      <c r="AR1403" s="476" t="s">
        <v>17513</v>
      </c>
      <c r="BA1403" s="313" t="s">
        <v>5807</v>
      </c>
    </row>
    <row r="1404" spans="2:53" ht="16.5" customHeight="1">
      <c r="B1404" s="367" t="s">
        <v>11681</v>
      </c>
      <c r="C1404" s="351" t="s">
        <v>11682</v>
      </c>
      <c r="D1404" s="353">
        <v>-1570</v>
      </c>
      <c r="E1404" s="352" t="s">
        <v>11679</v>
      </c>
      <c r="F1404" s="341">
        <v>77.59</v>
      </c>
      <c r="G1404" s="355" t="s">
        <v>11683</v>
      </c>
      <c r="H1404" s="356" t="s">
        <v>18794</v>
      </c>
      <c r="I1404" s="354" t="s">
        <v>479</v>
      </c>
      <c r="J1404" s="340" t="s">
        <v>11684</v>
      </c>
      <c r="K1404" s="339" t="s">
        <v>70</v>
      </c>
      <c r="L1404" s="357">
        <v>10</v>
      </c>
      <c r="M1404" s="358" t="s">
        <v>11685</v>
      </c>
      <c r="N1404" s="359">
        <v>500</v>
      </c>
      <c r="O1404" s="360" t="s">
        <v>454</v>
      </c>
      <c r="P1404" s="343" t="s">
        <v>454</v>
      </c>
      <c r="Q1404" s="342" t="s">
        <v>2688</v>
      </c>
      <c r="R1404" s="344">
        <v>20</v>
      </c>
      <c r="S1404" s="345">
        <v>30</v>
      </c>
      <c r="T1404" s="362">
        <v>30</v>
      </c>
      <c r="U1404" s="361">
        <v>77.59</v>
      </c>
      <c r="V1404" s="346">
        <v>117.24085365853659</v>
      </c>
      <c r="W1404" s="348">
        <v>117.54742547425475</v>
      </c>
      <c r="X1404" s="347">
        <v>59</v>
      </c>
      <c r="Y1404" s="357" t="s">
        <v>408</v>
      </c>
      <c r="Z1404" s="365" t="s">
        <v>3017</v>
      </c>
      <c r="AA1404" s="350">
        <v>97</v>
      </c>
      <c r="AB1404" s="349" t="s">
        <v>2685</v>
      </c>
      <c r="AC1404" s="350">
        <v>2</v>
      </c>
      <c r="AD1404" s="349" t="s">
        <v>2685</v>
      </c>
      <c r="AE1404" s="364">
        <v>0</v>
      </c>
      <c r="AF1404" s="366">
        <v>7.7590000000000003</v>
      </c>
      <c r="AG1404" s="363">
        <v>0</v>
      </c>
      <c r="AH1404" s="635" t="s">
        <v>10953</v>
      </c>
      <c r="AL1404" s="487" t="s">
        <v>15804</v>
      </c>
      <c r="AM1404" s="477" t="s">
        <v>70</v>
      </c>
      <c r="AN1404" s="637">
        <v>100</v>
      </c>
      <c r="AO1404" s="478">
        <v>-1570</v>
      </c>
      <c r="AP1404" s="463">
        <v>-1570</v>
      </c>
      <c r="AQ1404" s="479">
        <v>0</v>
      </c>
      <c r="AR1404" s="476" t="s">
        <v>17514</v>
      </c>
      <c r="BA1404" s="313" t="s">
        <v>5809</v>
      </c>
    </row>
    <row r="1405" spans="2:53" ht="16.5" customHeight="1">
      <c r="B1405" s="367" t="s">
        <v>5672</v>
      </c>
      <c r="C1405" s="351" t="s">
        <v>5673</v>
      </c>
      <c r="D1405" s="353">
        <v>-1570</v>
      </c>
      <c r="E1405" s="352" t="s">
        <v>408</v>
      </c>
      <c r="F1405" s="341">
        <v>77.569999999999993</v>
      </c>
      <c r="G1405" s="355" t="s">
        <v>11686</v>
      </c>
      <c r="H1405" s="356" t="s">
        <v>5196</v>
      </c>
      <c r="I1405" s="354" t="s">
        <v>209</v>
      </c>
      <c r="J1405" s="340" t="s">
        <v>11687</v>
      </c>
      <c r="K1405" s="339" t="s">
        <v>70</v>
      </c>
      <c r="L1405" s="357">
        <v>16</v>
      </c>
      <c r="M1405" s="358" t="s">
        <v>2803</v>
      </c>
      <c r="N1405" s="359">
        <v>1000</v>
      </c>
      <c r="O1405" s="360" t="s">
        <v>530</v>
      </c>
      <c r="P1405" s="343" t="s">
        <v>530</v>
      </c>
      <c r="Q1405" s="342" t="s">
        <v>2688</v>
      </c>
      <c r="R1405" s="344">
        <v>20</v>
      </c>
      <c r="S1405" s="345">
        <v>30</v>
      </c>
      <c r="T1405" s="362">
        <v>30</v>
      </c>
      <c r="U1405" s="361">
        <v>77.569999999999993</v>
      </c>
      <c r="V1405" s="346">
        <v>117.2289592450004</v>
      </c>
      <c r="W1405" s="348">
        <v>117.53685266222257</v>
      </c>
      <c r="X1405" s="347">
        <v>58.99</v>
      </c>
      <c r="Y1405" s="357" t="s">
        <v>408</v>
      </c>
      <c r="Z1405" s="365" t="s">
        <v>3017</v>
      </c>
      <c r="AA1405" s="350">
        <v>198</v>
      </c>
      <c r="AB1405" s="349" t="s">
        <v>2685</v>
      </c>
      <c r="AC1405" s="350">
        <v>10</v>
      </c>
      <c r="AD1405" s="349" t="s">
        <v>2685</v>
      </c>
      <c r="AE1405" s="364">
        <v>0</v>
      </c>
      <c r="AF1405" s="366">
        <v>0</v>
      </c>
      <c r="AG1405" s="363">
        <v>0</v>
      </c>
      <c r="AH1405" s="635" t="s">
        <v>408</v>
      </c>
      <c r="AL1405" s="487" t="s">
        <v>15805</v>
      </c>
      <c r="AM1405" s="477" t="s">
        <v>70</v>
      </c>
      <c r="AN1405" s="637">
        <v>100</v>
      </c>
      <c r="AO1405" s="478">
        <v>-1570</v>
      </c>
      <c r="AP1405" s="463">
        <v>-1570</v>
      </c>
      <c r="AQ1405" s="479">
        <v>0</v>
      </c>
      <c r="AR1405" s="476" t="s">
        <v>17515</v>
      </c>
      <c r="BA1405" s="313" t="s">
        <v>5813</v>
      </c>
    </row>
    <row r="1406" spans="2:53" ht="16.5" customHeight="1">
      <c r="B1406" s="367" t="s">
        <v>5672</v>
      </c>
      <c r="C1406" s="351" t="s">
        <v>5673</v>
      </c>
      <c r="D1406" s="353">
        <v>-1570</v>
      </c>
      <c r="E1406" s="352" t="s">
        <v>408</v>
      </c>
      <c r="F1406" s="341">
        <v>77.569999999999993</v>
      </c>
      <c r="G1406" s="355" t="s">
        <v>11961</v>
      </c>
      <c r="H1406" s="356" t="s">
        <v>18881</v>
      </c>
      <c r="I1406" s="354" t="s">
        <v>423</v>
      </c>
      <c r="J1406" s="340" t="s">
        <v>11688</v>
      </c>
      <c r="K1406" s="339" t="s">
        <v>71</v>
      </c>
      <c r="L1406" s="357">
        <v>9</v>
      </c>
      <c r="M1406" s="358" t="s">
        <v>11689</v>
      </c>
      <c r="N1406" s="359">
        <v>1000</v>
      </c>
      <c r="O1406" s="360" t="s">
        <v>530</v>
      </c>
      <c r="P1406" s="343" t="s">
        <v>531</v>
      </c>
      <c r="Q1406" s="342" t="s">
        <v>2688</v>
      </c>
      <c r="R1406" s="344">
        <v>30</v>
      </c>
      <c r="S1406" s="345">
        <v>25</v>
      </c>
      <c r="T1406" s="362">
        <v>25</v>
      </c>
      <c r="U1406" s="361">
        <v>77.569999999999993</v>
      </c>
      <c r="V1406" s="346">
        <v>117.22955890263583</v>
      </c>
      <c r="W1406" s="348">
        <v>117.53738569123185</v>
      </c>
      <c r="X1406" s="347">
        <v>59.15</v>
      </c>
      <c r="Y1406" s="357">
        <v>59.41</v>
      </c>
      <c r="Z1406" s="365" t="s">
        <v>3017</v>
      </c>
      <c r="AA1406" s="350">
        <v>198</v>
      </c>
      <c r="AB1406" s="349" t="s">
        <v>2685</v>
      </c>
      <c r="AC1406" s="350">
        <v>10</v>
      </c>
      <c r="AD1406" s="349" t="s">
        <v>2685</v>
      </c>
      <c r="AE1406" s="364">
        <v>0</v>
      </c>
      <c r="AF1406" s="366">
        <v>0</v>
      </c>
      <c r="AG1406" s="363">
        <v>0</v>
      </c>
      <c r="AH1406" s="635" t="s">
        <v>408</v>
      </c>
      <c r="AL1406" s="487" t="s">
        <v>15806</v>
      </c>
      <c r="AM1406" s="477" t="s">
        <v>71</v>
      </c>
      <c r="AN1406" s="637">
        <v>100</v>
      </c>
      <c r="AO1406" s="478">
        <v>-1570</v>
      </c>
      <c r="AP1406" s="463">
        <v>-706</v>
      </c>
      <c r="AQ1406" s="479">
        <v>-864</v>
      </c>
      <c r="AR1406" s="476" t="s">
        <v>17516</v>
      </c>
      <c r="BA1406" s="313" t="s">
        <v>5815</v>
      </c>
    </row>
    <row r="1407" spans="2:53" ht="16.5" customHeight="1">
      <c r="B1407" s="367" t="s">
        <v>5672</v>
      </c>
      <c r="C1407" s="351" t="s">
        <v>5673</v>
      </c>
      <c r="D1407" s="353">
        <v>-1570</v>
      </c>
      <c r="E1407" s="352" t="s">
        <v>11686</v>
      </c>
      <c r="F1407" s="341">
        <v>77.569999999999993</v>
      </c>
      <c r="G1407" s="355" t="s">
        <v>11686</v>
      </c>
      <c r="H1407" s="356" t="s">
        <v>5196</v>
      </c>
      <c r="I1407" s="354" t="s">
        <v>9336</v>
      </c>
      <c r="J1407" s="340" t="s">
        <v>11690</v>
      </c>
      <c r="K1407" s="339" t="s">
        <v>70</v>
      </c>
      <c r="L1407" s="357">
        <v>13</v>
      </c>
      <c r="M1407" s="358" t="s">
        <v>11691</v>
      </c>
      <c r="N1407" s="359">
        <v>700</v>
      </c>
      <c r="O1407" s="360" t="s">
        <v>532</v>
      </c>
      <c r="P1407" s="343" t="s">
        <v>533</v>
      </c>
      <c r="Q1407" s="342" t="s">
        <v>2688</v>
      </c>
      <c r="R1407" s="344">
        <v>20</v>
      </c>
      <c r="S1407" s="345">
        <v>35</v>
      </c>
      <c r="T1407" s="362">
        <v>30</v>
      </c>
      <c r="U1407" s="361">
        <v>77.569999999999993</v>
      </c>
      <c r="V1407" s="346">
        <v>117.22908161243015</v>
      </c>
      <c r="W1407" s="348">
        <v>117.53696143327124</v>
      </c>
      <c r="X1407" s="347">
        <v>58.99</v>
      </c>
      <c r="Y1407" s="357">
        <v>61.22</v>
      </c>
      <c r="Z1407" s="365" t="s">
        <v>3017</v>
      </c>
      <c r="AA1407" s="350">
        <v>104.5</v>
      </c>
      <c r="AB1407" s="349" t="s">
        <v>2685</v>
      </c>
      <c r="AC1407" s="350">
        <v>0</v>
      </c>
      <c r="AD1407" s="349" t="s">
        <v>2685</v>
      </c>
      <c r="AE1407" s="364">
        <v>0</v>
      </c>
      <c r="AF1407" s="366">
        <v>0</v>
      </c>
      <c r="AG1407" s="363">
        <v>0</v>
      </c>
      <c r="AH1407" s="635" t="s">
        <v>408</v>
      </c>
      <c r="AL1407" s="487" t="s">
        <v>15807</v>
      </c>
      <c r="AM1407" s="477" t="s">
        <v>70</v>
      </c>
      <c r="AN1407" s="637">
        <v>100</v>
      </c>
      <c r="AO1407" s="478">
        <v>-1570</v>
      </c>
      <c r="AP1407" s="463">
        <v>-1570</v>
      </c>
      <c r="AQ1407" s="479">
        <v>0</v>
      </c>
      <c r="AR1407" s="476" t="s">
        <v>17515</v>
      </c>
      <c r="BA1407" s="313" t="s">
        <v>5818</v>
      </c>
    </row>
    <row r="1408" spans="2:53" ht="16.5" customHeight="1">
      <c r="B1408" s="367" t="s">
        <v>5678</v>
      </c>
      <c r="C1408" s="351" t="s">
        <v>5679</v>
      </c>
      <c r="D1408" s="353">
        <v>-1570</v>
      </c>
      <c r="E1408" s="352" t="s">
        <v>408</v>
      </c>
      <c r="F1408" s="341">
        <v>77.55</v>
      </c>
      <c r="G1408" s="355" t="s">
        <v>18882</v>
      </c>
      <c r="H1408" s="356" t="s">
        <v>11385</v>
      </c>
      <c r="I1408" s="354" t="s">
        <v>423</v>
      </c>
      <c r="J1408" s="340" t="s">
        <v>11197</v>
      </c>
      <c r="K1408" s="339" t="s">
        <v>71</v>
      </c>
      <c r="L1408" s="357">
        <v>142</v>
      </c>
      <c r="M1408" s="358" t="s">
        <v>11692</v>
      </c>
      <c r="N1408" s="359">
        <v>1000</v>
      </c>
      <c r="O1408" s="360" t="s">
        <v>530</v>
      </c>
      <c r="P1408" s="343" t="s">
        <v>531</v>
      </c>
      <c r="Q1408" s="342" t="s">
        <v>2688</v>
      </c>
      <c r="R1408" s="344">
        <v>30</v>
      </c>
      <c r="S1408" s="345">
        <v>25</v>
      </c>
      <c r="T1408" s="362">
        <v>25</v>
      </c>
      <c r="U1408" s="361">
        <v>77.55</v>
      </c>
      <c r="V1408" s="346">
        <v>117.21987627756859</v>
      </c>
      <c r="W1408" s="348">
        <v>117.52877891339431</v>
      </c>
      <c r="X1408" s="347">
        <v>59.15</v>
      </c>
      <c r="Y1408" s="357">
        <v>59.4</v>
      </c>
      <c r="Z1408" s="365" t="s">
        <v>3017</v>
      </c>
      <c r="AA1408" s="350">
        <v>198</v>
      </c>
      <c r="AB1408" s="349" t="s">
        <v>2685</v>
      </c>
      <c r="AC1408" s="350">
        <v>10</v>
      </c>
      <c r="AD1408" s="349" t="s">
        <v>2685</v>
      </c>
      <c r="AE1408" s="364">
        <v>0</v>
      </c>
      <c r="AF1408" s="366">
        <v>0</v>
      </c>
      <c r="AG1408" s="363">
        <v>0</v>
      </c>
      <c r="AH1408" s="635" t="s">
        <v>408</v>
      </c>
      <c r="AL1408" s="487" t="s">
        <v>15808</v>
      </c>
      <c r="AM1408" s="477" t="s">
        <v>71</v>
      </c>
      <c r="AN1408" s="637">
        <v>100</v>
      </c>
      <c r="AO1408" s="478">
        <v>-1570</v>
      </c>
      <c r="AP1408" s="463">
        <v>-706</v>
      </c>
      <c r="AQ1408" s="479">
        <v>-864</v>
      </c>
      <c r="AR1408" s="476" t="s">
        <v>17517</v>
      </c>
      <c r="BA1408" s="313" t="s">
        <v>5821</v>
      </c>
    </row>
    <row r="1409" spans="2:53" ht="16.5" customHeight="1">
      <c r="B1409" s="367" t="s">
        <v>11667</v>
      </c>
      <c r="C1409" s="351" t="s">
        <v>11668</v>
      </c>
      <c r="D1409" s="353">
        <v>-1570</v>
      </c>
      <c r="E1409" s="352" t="s">
        <v>5690</v>
      </c>
      <c r="F1409" s="341">
        <v>77.53</v>
      </c>
      <c r="G1409" s="355" t="s">
        <v>11679</v>
      </c>
      <c r="H1409" s="356" t="s">
        <v>5053</v>
      </c>
      <c r="I1409" s="354" t="s">
        <v>406</v>
      </c>
      <c r="J1409" s="340" t="s">
        <v>436</v>
      </c>
      <c r="K1409" s="339" t="s">
        <v>71</v>
      </c>
      <c r="L1409" s="357">
        <v>171</v>
      </c>
      <c r="M1409" s="358" t="s">
        <v>11680</v>
      </c>
      <c r="N1409" s="359">
        <v>600</v>
      </c>
      <c r="O1409" s="360" t="s">
        <v>530</v>
      </c>
      <c r="P1409" s="343" t="s">
        <v>530</v>
      </c>
      <c r="Q1409" s="342" t="s">
        <v>2688</v>
      </c>
      <c r="R1409" s="344">
        <v>33</v>
      </c>
      <c r="S1409" s="345">
        <v>33</v>
      </c>
      <c r="T1409" s="362">
        <v>33</v>
      </c>
      <c r="U1409" s="361">
        <v>77.53</v>
      </c>
      <c r="V1409" s="346">
        <v>117.20679557685456</v>
      </c>
      <c r="W1409" s="348">
        <v>117.51715162387072</v>
      </c>
      <c r="X1409" s="347">
        <v>59.14</v>
      </c>
      <c r="Y1409" s="357" t="s">
        <v>408</v>
      </c>
      <c r="Z1409" s="365" t="s">
        <v>4408</v>
      </c>
      <c r="AA1409" s="350">
        <v>88</v>
      </c>
      <c r="AB1409" s="349" t="s">
        <v>2685</v>
      </c>
      <c r="AC1409" s="350">
        <v>10</v>
      </c>
      <c r="AD1409" s="349" t="s">
        <v>2685</v>
      </c>
      <c r="AE1409" s="364">
        <v>0</v>
      </c>
      <c r="AF1409" s="366">
        <v>0</v>
      </c>
      <c r="AG1409" s="363">
        <v>0</v>
      </c>
      <c r="AH1409" s="635" t="s">
        <v>408</v>
      </c>
      <c r="AL1409" s="487" t="s">
        <v>7202</v>
      </c>
      <c r="AM1409" s="477" t="s">
        <v>71</v>
      </c>
      <c r="AN1409" s="637">
        <v>100</v>
      </c>
      <c r="AO1409" s="478">
        <v>-1570</v>
      </c>
      <c r="AP1409" s="463">
        <v>-706</v>
      </c>
      <c r="AQ1409" s="479">
        <v>-864</v>
      </c>
      <c r="AR1409" s="476" t="s">
        <v>17518</v>
      </c>
      <c r="BA1409" s="313" t="s">
        <v>5822</v>
      </c>
    </row>
    <row r="1410" spans="2:53" ht="16.5" customHeight="1">
      <c r="B1410" s="367" t="s">
        <v>5687</v>
      </c>
      <c r="C1410" s="351" t="s">
        <v>5688</v>
      </c>
      <c r="D1410" s="353">
        <v>-1570</v>
      </c>
      <c r="E1410" s="352" t="s">
        <v>408</v>
      </c>
      <c r="F1410" s="341">
        <v>77.53</v>
      </c>
      <c r="G1410" s="355" t="s">
        <v>5544</v>
      </c>
      <c r="H1410" s="356" t="s">
        <v>11131</v>
      </c>
      <c r="I1410" s="354" t="s">
        <v>215</v>
      </c>
      <c r="J1410" s="340" t="s">
        <v>11693</v>
      </c>
      <c r="K1410" s="339" t="s">
        <v>70</v>
      </c>
      <c r="L1410" s="357">
        <v>6</v>
      </c>
      <c r="M1410" s="358" t="s">
        <v>11694</v>
      </c>
      <c r="N1410" s="359">
        <v>1000</v>
      </c>
      <c r="O1410" s="360" t="s">
        <v>530</v>
      </c>
      <c r="P1410" s="343" t="s">
        <v>531</v>
      </c>
      <c r="Q1410" s="342" t="s">
        <v>2688</v>
      </c>
      <c r="R1410" s="344">
        <v>25</v>
      </c>
      <c r="S1410" s="345">
        <v>38</v>
      </c>
      <c r="T1410" s="362">
        <v>25</v>
      </c>
      <c r="U1410" s="361">
        <v>77.53</v>
      </c>
      <c r="V1410" s="346">
        <v>117.20519385515729</v>
      </c>
      <c r="W1410" s="348">
        <v>117.51572787125093</v>
      </c>
      <c r="X1410" s="347">
        <v>58.98</v>
      </c>
      <c r="Y1410" s="357">
        <v>59.199999999999996</v>
      </c>
      <c r="Z1410" s="365" t="s">
        <v>3017</v>
      </c>
      <c r="AA1410" s="350">
        <v>121.25</v>
      </c>
      <c r="AB1410" s="349" t="s">
        <v>2685</v>
      </c>
      <c r="AC1410" s="350">
        <v>10</v>
      </c>
      <c r="AD1410" s="349" t="s">
        <v>2685</v>
      </c>
      <c r="AE1410" s="364">
        <v>0</v>
      </c>
      <c r="AF1410" s="366">
        <v>0</v>
      </c>
      <c r="AG1410" s="363">
        <v>0</v>
      </c>
      <c r="AH1410" s="635" t="s">
        <v>408</v>
      </c>
      <c r="AL1410" s="487" t="s">
        <v>15809</v>
      </c>
      <c r="AM1410" s="477" t="s">
        <v>70</v>
      </c>
      <c r="AN1410" s="637">
        <v>100</v>
      </c>
      <c r="AO1410" s="478">
        <v>-1570</v>
      </c>
      <c r="AP1410" s="463">
        <v>-1570</v>
      </c>
      <c r="AQ1410" s="479">
        <v>0</v>
      </c>
      <c r="AR1410" s="476" t="s">
        <v>17519</v>
      </c>
      <c r="BA1410" s="313" t="s">
        <v>5823</v>
      </c>
    </row>
    <row r="1411" spans="2:53" ht="16.5" customHeight="1">
      <c r="B1411" s="367" t="s">
        <v>11695</v>
      </c>
      <c r="C1411" s="351" t="s">
        <v>11696</v>
      </c>
      <c r="D1411" s="353">
        <v>-1570</v>
      </c>
      <c r="E1411" s="352" t="s">
        <v>408</v>
      </c>
      <c r="F1411" s="341">
        <v>77.52</v>
      </c>
      <c r="G1411" s="355" t="s">
        <v>11697</v>
      </c>
      <c r="H1411" s="356" t="s">
        <v>18883</v>
      </c>
      <c r="I1411" s="354" t="s">
        <v>215</v>
      </c>
      <c r="J1411" s="340" t="s">
        <v>9649</v>
      </c>
      <c r="K1411" s="339" t="s">
        <v>70</v>
      </c>
      <c r="L1411" s="357">
        <v>6</v>
      </c>
      <c r="M1411" s="358" t="s">
        <v>11698</v>
      </c>
      <c r="N1411" s="359">
        <v>1000</v>
      </c>
      <c r="O1411" s="360" t="s">
        <v>530</v>
      </c>
      <c r="P1411" s="343" t="s">
        <v>531</v>
      </c>
      <c r="Q1411" s="342" t="s">
        <v>2688</v>
      </c>
      <c r="R1411" s="344">
        <v>25</v>
      </c>
      <c r="S1411" s="345">
        <v>38</v>
      </c>
      <c r="T1411" s="362">
        <v>25</v>
      </c>
      <c r="U1411" s="361">
        <v>77.52</v>
      </c>
      <c r="V1411" s="346">
        <v>117.20080468178494</v>
      </c>
      <c r="W1411" s="348">
        <v>117.51182638380884</v>
      </c>
      <c r="X1411" s="347">
        <v>58.97</v>
      </c>
      <c r="Y1411" s="357">
        <v>59.199999999999996</v>
      </c>
      <c r="Z1411" s="365" t="s">
        <v>3017</v>
      </c>
      <c r="AA1411" s="350">
        <v>121.25</v>
      </c>
      <c r="AB1411" s="349" t="s">
        <v>2685</v>
      </c>
      <c r="AC1411" s="350">
        <v>10</v>
      </c>
      <c r="AD1411" s="349" t="s">
        <v>2685</v>
      </c>
      <c r="AE1411" s="364">
        <v>0</v>
      </c>
      <c r="AF1411" s="366">
        <v>0</v>
      </c>
      <c r="AG1411" s="363">
        <v>0</v>
      </c>
      <c r="AH1411" s="635" t="s">
        <v>408</v>
      </c>
      <c r="AL1411" s="487" t="s">
        <v>15810</v>
      </c>
      <c r="AM1411" s="477" t="s">
        <v>70</v>
      </c>
      <c r="AN1411" s="637">
        <v>100</v>
      </c>
      <c r="AO1411" s="478">
        <v>-1570</v>
      </c>
      <c r="AP1411" s="463">
        <v>-1570</v>
      </c>
      <c r="AQ1411" s="479">
        <v>0</v>
      </c>
      <c r="AR1411" s="476" t="s">
        <v>17520</v>
      </c>
      <c r="BA1411" s="313" t="s">
        <v>5825</v>
      </c>
    </row>
    <row r="1412" spans="2:53" ht="16.5" customHeight="1">
      <c r="B1412" s="367" t="s">
        <v>5687</v>
      </c>
      <c r="C1412" s="351" t="s">
        <v>5688</v>
      </c>
      <c r="D1412" s="353">
        <v>-1570</v>
      </c>
      <c r="E1412" s="352" t="s">
        <v>408</v>
      </c>
      <c r="F1412" s="341">
        <v>77.52</v>
      </c>
      <c r="G1412" s="355" t="s">
        <v>11699</v>
      </c>
      <c r="H1412" s="356" t="s">
        <v>11102</v>
      </c>
      <c r="I1412" s="354" t="s">
        <v>424</v>
      </c>
      <c r="J1412" s="340" t="s">
        <v>11700</v>
      </c>
      <c r="K1412" s="339" t="s">
        <v>70</v>
      </c>
      <c r="L1412" s="357">
        <v>139</v>
      </c>
      <c r="M1412" s="358" t="s">
        <v>11701</v>
      </c>
      <c r="N1412" s="359">
        <v>1000</v>
      </c>
      <c r="O1412" s="360" t="s">
        <v>454</v>
      </c>
      <c r="P1412" s="343" t="s">
        <v>454</v>
      </c>
      <c r="Q1412" s="342" t="s">
        <v>2738</v>
      </c>
      <c r="R1412" s="344">
        <v>25</v>
      </c>
      <c r="S1412" s="345">
        <v>35</v>
      </c>
      <c r="T1412" s="362">
        <v>20</v>
      </c>
      <c r="U1412" s="361">
        <v>77.52</v>
      </c>
      <c r="V1412" s="346">
        <v>117.20274390243902</v>
      </c>
      <c r="W1412" s="348">
        <v>117.51355013550136</v>
      </c>
      <c r="X1412" s="347">
        <v>58.98</v>
      </c>
      <c r="Y1412" s="357" t="s">
        <v>408</v>
      </c>
      <c r="Z1412" s="365" t="s">
        <v>3017</v>
      </c>
      <c r="AA1412" s="350">
        <v>196</v>
      </c>
      <c r="AB1412" s="349" t="s">
        <v>2685</v>
      </c>
      <c r="AC1412" s="350">
        <v>3</v>
      </c>
      <c r="AD1412" s="349" t="s">
        <v>2685</v>
      </c>
      <c r="AE1412" s="364">
        <v>0</v>
      </c>
      <c r="AF1412" s="366">
        <v>15.504</v>
      </c>
      <c r="AG1412" s="363">
        <v>0</v>
      </c>
      <c r="AH1412" s="635" t="s">
        <v>10813</v>
      </c>
      <c r="AL1412" s="487" t="s">
        <v>15811</v>
      </c>
      <c r="AM1412" s="477" t="s">
        <v>70</v>
      </c>
      <c r="AN1412" s="637">
        <v>100</v>
      </c>
      <c r="AO1412" s="478">
        <v>-1570</v>
      </c>
      <c r="AP1412" s="463">
        <v>-1570</v>
      </c>
      <c r="AQ1412" s="479">
        <v>0</v>
      </c>
      <c r="AR1412" s="476" t="s">
        <v>17521</v>
      </c>
      <c r="BA1412" s="313" t="s">
        <v>5826</v>
      </c>
    </row>
    <row r="1413" spans="2:53" ht="16.5" customHeight="1">
      <c r="B1413" s="367" t="s">
        <v>11702</v>
      </c>
      <c r="C1413" s="351" t="s">
        <v>11703</v>
      </c>
      <c r="D1413" s="353">
        <v>-1570</v>
      </c>
      <c r="E1413" s="352" t="s">
        <v>408</v>
      </c>
      <c r="F1413" s="341">
        <v>77.510000000000005</v>
      </c>
      <c r="G1413" s="355" t="s">
        <v>11704</v>
      </c>
      <c r="H1413" s="356" t="s">
        <v>5217</v>
      </c>
      <c r="I1413" s="354" t="s">
        <v>215</v>
      </c>
      <c r="J1413" s="340" t="s">
        <v>11706</v>
      </c>
      <c r="K1413" s="339" t="s">
        <v>70</v>
      </c>
      <c r="L1413" s="357">
        <v>7</v>
      </c>
      <c r="M1413" s="358" t="s">
        <v>11707</v>
      </c>
      <c r="N1413" s="359">
        <v>1000</v>
      </c>
      <c r="O1413" s="360" t="s">
        <v>530</v>
      </c>
      <c r="P1413" s="343" t="s">
        <v>531</v>
      </c>
      <c r="Q1413" s="342" t="s">
        <v>2688</v>
      </c>
      <c r="R1413" s="344">
        <v>25</v>
      </c>
      <c r="S1413" s="345">
        <v>38</v>
      </c>
      <c r="T1413" s="362">
        <v>25</v>
      </c>
      <c r="U1413" s="361">
        <v>77.510000000000005</v>
      </c>
      <c r="V1413" s="346">
        <v>117.19641550841258</v>
      </c>
      <c r="W1413" s="348">
        <v>117.50792489636673</v>
      </c>
      <c r="X1413" s="347">
        <v>58.97</v>
      </c>
      <c r="Y1413" s="357">
        <v>59.19</v>
      </c>
      <c r="Z1413" s="365" t="s">
        <v>3017</v>
      </c>
      <c r="AA1413" s="350">
        <v>121.25</v>
      </c>
      <c r="AB1413" s="349" t="s">
        <v>2685</v>
      </c>
      <c r="AC1413" s="350">
        <v>10</v>
      </c>
      <c r="AD1413" s="349" t="s">
        <v>2685</v>
      </c>
      <c r="AE1413" s="364">
        <v>0</v>
      </c>
      <c r="AF1413" s="366">
        <v>0</v>
      </c>
      <c r="AG1413" s="363">
        <v>0</v>
      </c>
      <c r="AH1413" s="635" t="s">
        <v>408</v>
      </c>
      <c r="AL1413" s="487" t="s">
        <v>15812</v>
      </c>
      <c r="AM1413" s="477" t="s">
        <v>70</v>
      </c>
      <c r="AN1413" s="637">
        <v>100</v>
      </c>
      <c r="AO1413" s="478">
        <v>-1570</v>
      </c>
      <c r="AP1413" s="463">
        <v>-1570</v>
      </c>
      <c r="AQ1413" s="479">
        <v>0</v>
      </c>
      <c r="AR1413" s="476" t="s">
        <v>17520</v>
      </c>
      <c r="BA1413" s="313" t="s">
        <v>5827</v>
      </c>
    </row>
    <row r="1414" spans="2:53" ht="16.5" customHeight="1">
      <c r="B1414" s="367" t="s">
        <v>5692</v>
      </c>
      <c r="C1414" s="351" t="s">
        <v>5693</v>
      </c>
      <c r="D1414" s="353">
        <v>-1570</v>
      </c>
      <c r="E1414" s="352" t="s">
        <v>5740</v>
      </c>
      <c r="F1414" s="341">
        <v>77.5</v>
      </c>
      <c r="G1414" s="355" t="s">
        <v>18884</v>
      </c>
      <c r="H1414" s="356" t="s">
        <v>11396</v>
      </c>
      <c r="I1414" s="354" t="s">
        <v>485</v>
      </c>
      <c r="J1414" s="340" t="s">
        <v>488</v>
      </c>
      <c r="K1414" s="339" t="s">
        <v>71</v>
      </c>
      <c r="L1414" s="357">
        <v>14</v>
      </c>
      <c r="M1414" s="358" t="s">
        <v>5623</v>
      </c>
      <c r="N1414" s="359">
        <v>100</v>
      </c>
      <c r="O1414" s="360" t="s">
        <v>454</v>
      </c>
      <c r="P1414" s="343" t="s">
        <v>454</v>
      </c>
      <c r="Q1414" s="342" t="s">
        <v>2738</v>
      </c>
      <c r="R1414" s="344">
        <v>35</v>
      </c>
      <c r="S1414" s="345">
        <v>30</v>
      </c>
      <c r="T1414" s="362">
        <v>15</v>
      </c>
      <c r="U1414" s="361">
        <v>77.5</v>
      </c>
      <c r="V1414" s="346">
        <v>117.1875</v>
      </c>
      <c r="W1414" s="348">
        <v>117.5</v>
      </c>
      <c r="X1414" s="347">
        <v>59.13</v>
      </c>
      <c r="Y1414" s="357" t="s">
        <v>408</v>
      </c>
      <c r="Z1414" s="365" t="s">
        <v>3017</v>
      </c>
      <c r="AA1414" s="350">
        <v>19.600000000000001</v>
      </c>
      <c r="AB1414" s="349" t="s">
        <v>2685</v>
      </c>
      <c r="AC1414" s="350">
        <v>0</v>
      </c>
      <c r="AD1414" s="349" t="s">
        <v>2685</v>
      </c>
      <c r="AE1414" s="364">
        <v>0</v>
      </c>
      <c r="AF1414" s="366">
        <v>0</v>
      </c>
      <c r="AG1414" s="363">
        <v>0</v>
      </c>
      <c r="AH1414" s="635" t="s">
        <v>408</v>
      </c>
      <c r="AL1414" s="487" t="s">
        <v>7216</v>
      </c>
      <c r="AM1414" s="477" t="s">
        <v>71</v>
      </c>
      <c r="AN1414" s="637">
        <v>100</v>
      </c>
      <c r="AO1414" s="478">
        <v>-1570</v>
      </c>
      <c r="AP1414" s="463">
        <v>-705</v>
      </c>
      <c r="AQ1414" s="479">
        <v>-865</v>
      </c>
      <c r="AR1414" s="476" t="s">
        <v>17522</v>
      </c>
      <c r="BA1414" s="313" t="s">
        <v>5828</v>
      </c>
    </row>
    <row r="1415" spans="2:53" ht="16.5" customHeight="1">
      <c r="B1415" s="367" t="s">
        <v>11708</v>
      </c>
      <c r="C1415" s="351" t="s">
        <v>11709</v>
      </c>
      <c r="D1415" s="353">
        <v>-1570</v>
      </c>
      <c r="E1415" s="352" t="s">
        <v>408</v>
      </c>
      <c r="F1415" s="341">
        <v>77.489999999999995</v>
      </c>
      <c r="G1415" s="355" t="s">
        <v>11710</v>
      </c>
      <c r="H1415" s="356" t="s">
        <v>11107</v>
      </c>
      <c r="I1415" s="354" t="s">
        <v>214</v>
      </c>
      <c r="J1415" s="340" t="s">
        <v>8418</v>
      </c>
      <c r="K1415" s="339" t="s">
        <v>70</v>
      </c>
      <c r="L1415" s="357">
        <v>8</v>
      </c>
      <c r="M1415" s="358" t="s">
        <v>11711</v>
      </c>
      <c r="N1415" s="359">
        <v>200</v>
      </c>
      <c r="O1415" s="360" t="s">
        <v>532</v>
      </c>
      <c r="P1415" s="343" t="s">
        <v>532</v>
      </c>
      <c r="Q1415" s="342" t="s">
        <v>2688</v>
      </c>
      <c r="R1415" s="344">
        <v>20</v>
      </c>
      <c r="S1415" s="345">
        <v>30</v>
      </c>
      <c r="T1415" s="362">
        <v>30</v>
      </c>
      <c r="U1415" s="361">
        <v>77.489999999999995</v>
      </c>
      <c r="V1415" s="346">
        <v>117.18222109590127</v>
      </c>
      <c r="W1415" s="348">
        <v>117.49530764080113</v>
      </c>
      <c r="X1415" s="347" t="s">
        <v>18885</v>
      </c>
      <c r="Y1415" s="357" t="s">
        <v>408</v>
      </c>
      <c r="Z1415" s="365" t="s">
        <v>4408</v>
      </c>
      <c r="AA1415" s="350">
        <v>36</v>
      </c>
      <c r="AB1415" s="349" t="s">
        <v>2685</v>
      </c>
      <c r="AC1415" s="350">
        <v>0</v>
      </c>
      <c r="AD1415" s="349" t="s">
        <v>2685</v>
      </c>
      <c r="AE1415" s="364">
        <v>0</v>
      </c>
      <c r="AF1415" s="366">
        <v>0</v>
      </c>
      <c r="AG1415" s="363">
        <v>0</v>
      </c>
      <c r="AH1415" s="635" t="s">
        <v>408</v>
      </c>
      <c r="AL1415" s="487" t="s">
        <v>15815</v>
      </c>
      <c r="AM1415" s="477" t="s">
        <v>70</v>
      </c>
      <c r="AN1415" s="637">
        <v>100</v>
      </c>
      <c r="AO1415" s="478">
        <v>-1570</v>
      </c>
      <c r="AP1415" s="463">
        <v>-1570</v>
      </c>
      <c r="AQ1415" s="479">
        <v>0</v>
      </c>
      <c r="AR1415" s="476" t="s">
        <v>17523</v>
      </c>
      <c r="BA1415" s="313" t="s">
        <v>5829</v>
      </c>
    </row>
    <row r="1416" spans="2:53" ht="16.5" customHeight="1">
      <c r="B1416" s="367" t="s">
        <v>11708</v>
      </c>
      <c r="C1416" s="351" t="s">
        <v>11709</v>
      </c>
      <c r="D1416" s="353">
        <v>-1570</v>
      </c>
      <c r="E1416" s="352" t="s">
        <v>408</v>
      </c>
      <c r="F1416" s="341">
        <v>77.489999999999995</v>
      </c>
      <c r="G1416" s="355" t="s">
        <v>11710</v>
      </c>
      <c r="H1416" s="356" t="s">
        <v>11107</v>
      </c>
      <c r="I1416" s="354" t="s">
        <v>216</v>
      </c>
      <c r="J1416" s="340" t="s">
        <v>11712</v>
      </c>
      <c r="K1416" s="339" t="s">
        <v>70</v>
      </c>
      <c r="L1416" s="357">
        <v>14</v>
      </c>
      <c r="M1416" s="358" t="s">
        <v>11713</v>
      </c>
      <c r="N1416" s="359">
        <v>300</v>
      </c>
      <c r="O1416" s="360" t="s">
        <v>530</v>
      </c>
      <c r="P1416" s="343" t="s">
        <v>530</v>
      </c>
      <c r="Q1416" s="342" t="s">
        <v>2688</v>
      </c>
      <c r="R1416" s="344">
        <v>25</v>
      </c>
      <c r="S1416" s="345">
        <v>45</v>
      </c>
      <c r="T1416" s="362">
        <v>30</v>
      </c>
      <c r="U1416" s="361">
        <v>77.489999999999995</v>
      </c>
      <c r="V1416" s="346">
        <v>117.18032189298451</v>
      </c>
      <c r="W1416" s="348">
        <v>117.49361946043066</v>
      </c>
      <c r="X1416" s="347">
        <v>58.97</v>
      </c>
      <c r="Y1416" s="357" t="s">
        <v>408</v>
      </c>
      <c r="Z1416" s="365" t="s">
        <v>3017</v>
      </c>
      <c r="AA1416" s="350">
        <v>-2</v>
      </c>
      <c r="AB1416" s="349" t="s">
        <v>2685</v>
      </c>
      <c r="AC1416" s="350">
        <v>0</v>
      </c>
      <c r="AD1416" s="349" t="s">
        <v>2685</v>
      </c>
      <c r="AE1416" s="364">
        <v>0</v>
      </c>
      <c r="AF1416" s="366">
        <v>0</v>
      </c>
      <c r="AG1416" s="363">
        <v>0</v>
      </c>
      <c r="AH1416" s="635" t="s">
        <v>408</v>
      </c>
      <c r="AL1416" s="487" t="s">
        <v>15813</v>
      </c>
      <c r="AM1416" s="477" t="s">
        <v>70</v>
      </c>
      <c r="AN1416" s="637">
        <v>100</v>
      </c>
      <c r="AO1416" s="478">
        <v>-1570</v>
      </c>
      <c r="AP1416" s="463">
        <v>-1570</v>
      </c>
      <c r="AQ1416" s="479">
        <v>0</v>
      </c>
      <c r="AR1416" s="476" t="s">
        <v>17523</v>
      </c>
      <c r="BA1416" s="313" t="s">
        <v>5831</v>
      </c>
    </row>
    <row r="1417" spans="2:53" ht="16.5" customHeight="1">
      <c r="B1417" s="367" t="s">
        <v>11708</v>
      </c>
      <c r="C1417" s="351" t="s">
        <v>11709</v>
      </c>
      <c r="D1417" s="353">
        <v>-1570</v>
      </c>
      <c r="E1417" s="352" t="s">
        <v>408</v>
      </c>
      <c r="F1417" s="341">
        <v>77.489999999999995</v>
      </c>
      <c r="G1417" s="355" t="s">
        <v>11710</v>
      </c>
      <c r="H1417" s="356" t="s">
        <v>11107</v>
      </c>
      <c r="I1417" s="354" t="s">
        <v>9336</v>
      </c>
      <c r="J1417" s="340" t="s">
        <v>11714</v>
      </c>
      <c r="K1417" s="339" t="s">
        <v>70</v>
      </c>
      <c r="L1417" s="357">
        <v>17</v>
      </c>
      <c r="M1417" s="358" t="s">
        <v>11715</v>
      </c>
      <c r="N1417" s="359">
        <v>700</v>
      </c>
      <c r="O1417" s="360" t="s">
        <v>532</v>
      </c>
      <c r="P1417" s="343" t="s">
        <v>533</v>
      </c>
      <c r="Q1417" s="342" t="s">
        <v>2688</v>
      </c>
      <c r="R1417" s="344">
        <v>20</v>
      </c>
      <c r="S1417" s="345">
        <v>35</v>
      </c>
      <c r="T1417" s="362">
        <v>30</v>
      </c>
      <c r="U1417" s="361">
        <v>77.489999999999995</v>
      </c>
      <c r="V1417" s="346">
        <v>117.18140296423226</v>
      </c>
      <c r="W1417" s="348">
        <v>117.4945804126509</v>
      </c>
      <c r="X1417" s="347">
        <v>58.97</v>
      </c>
      <c r="Y1417" s="357">
        <v>61.19</v>
      </c>
      <c r="Z1417" s="365" t="s">
        <v>3017</v>
      </c>
      <c r="AA1417" s="350">
        <v>104.5</v>
      </c>
      <c r="AB1417" s="349" t="s">
        <v>2685</v>
      </c>
      <c r="AC1417" s="350">
        <v>0</v>
      </c>
      <c r="AD1417" s="349" t="s">
        <v>2685</v>
      </c>
      <c r="AE1417" s="364">
        <v>0</v>
      </c>
      <c r="AF1417" s="366">
        <v>0</v>
      </c>
      <c r="AG1417" s="363">
        <v>0</v>
      </c>
      <c r="AH1417" s="635" t="s">
        <v>408</v>
      </c>
      <c r="AL1417" s="487" t="s">
        <v>15814</v>
      </c>
      <c r="AM1417" s="477" t="s">
        <v>70</v>
      </c>
      <c r="AN1417" s="637">
        <v>100</v>
      </c>
      <c r="AO1417" s="478">
        <v>-1570</v>
      </c>
      <c r="AP1417" s="463">
        <v>-1570</v>
      </c>
      <c r="AQ1417" s="479">
        <v>0</v>
      </c>
      <c r="AR1417" s="476" t="s">
        <v>17523</v>
      </c>
      <c r="BA1417" s="313" t="s">
        <v>5834</v>
      </c>
    </row>
    <row r="1418" spans="2:53" ht="16.5" customHeight="1">
      <c r="B1418" s="367" t="s">
        <v>5709</v>
      </c>
      <c r="C1418" s="351" t="s">
        <v>5710</v>
      </c>
      <c r="D1418" s="353">
        <v>-1570</v>
      </c>
      <c r="E1418" s="352" t="s">
        <v>408</v>
      </c>
      <c r="F1418" s="341">
        <v>77.430000000000007</v>
      </c>
      <c r="G1418" s="355" t="s">
        <v>11716</v>
      </c>
      <c r="H1418" s="356" t="s">
        <v>11114</v>
      </c>
      <c r="I1418" s="354" t="s">
        <v>212</v>
      </c>
      <c r="J1418" s="340" t="s">
        <v>8384</v>
      </c>
      <c r="K1418" s="339" t="s">
        <v>70</v>
      </c>
      <c r="L1418" s="357">
        <v>17</v>
      </c>
      <c r="M1418" s="358" t="s">
        <v>11717</v>
      </c>
      <c r="N1418" s="359">
        <v>800</v>
      </c>
      <c r="O1418" s="360" t="s">
        <v>532</v>
      </c>
      <c r="P1418" s="343" t="s">
        <v>532</v>
      </c>
      <c r="Q1418" s="342" t="s">
        <v>2688</v>
      </c>
      <c r="R1418" s="344">
        <v>30</v>
      </c>
      <c r="S1418" s="345">
        <v>40</v>
      </c>
      <c r="T1418" s="362">
        <v>30</v>
      </c>
      <c r="U1418" s="361">
        <v>77.430000000000007</v>
      </c>
      <c r="V1418" s="346">
        <v>117.14236163646088</v>
      </c>
      <c r="W1418" s="348">
        <v>117.45987701018744</v>
      </c>
      <c r="X1418" s="347" t="s">
        <v>18886</v>
      </c>
      <c r="Y1418" s="357" t="s">
        <v>408</v>
      </c>
      <c r="Z1418" s="365" t="s">
        <v>3017</v>
      </c>
      <c r="AA1418" s="350">
        <v>190</v>
      </c>
      <c r="AB1418" s="349" t="s">
        <v>2685</v>
      </c>
      <c r="AC1418" s="350">
        <v>10</v>
      </c>
      <c r="AD1418" s="349" t="s">
        <v>2685</v>
      </c>
      <c r="AE1418" s="364">
        <v>0</v>
      </c>
      <c r="AF1418" s="366">
        <v>0</v>
      </c>
      <c r="AG1418" s="363">
        <v>0</v>
      </c>
      <c r="AH1418" s="635" t="s">
        <v>408</v>
      </c>
      <c r="AL1418" s="487" t="s">
        <v>15816</v>
      </c>
      <c r="AM1418" s="477" t="s">
        <v>70</v>
      </c>
      <c r="AN1418" s="637">
        <v>100</v>
      </c>
      <c r="AO1418" s="478">
        <v>-1570</v>
      </c>
      <c r="AP1418" s="463">
        <v>-1570</v>
      </c>
      <c r="AQ1418" s="479">
        <v>0</v>
      </c>
      <c r="AR1418" s="476" t="s">
        <v>17524</v>
      </c>
      <c r="BA1418" s="313" t="s">
        <v>5836</v>
      </c>
    </row>
    <row r="1419" spans="2:53" ht="16.5" customHeight="1">
      <c r="B1419" s="367" t="s">
        <v>5721</v>
      </c>
      <c r="C1419" s="351" t="s">
        <v>5722</v>
      </c>
      <c r="D1419" s="353">
        <v>-1570</v>
      </c>
      <c r="E1419" s="352" t="s">
        <v>408</v>
      </c>
      <c r="F1419" s="341">
        <v>77.400000000000006</v>
      </c>
      <c r="G1419" s="355" t="s">
        <v>11718</v>
      </c>
      <c r="H1419" s="356" t="s">
        <v>5232</v>
      </c>
      <c r="I1419" s="354" t="s">
        <v>209</v>
      </c>
      <c r="J1419" s="340" t="s">
        <v>559</v>
      </c>
      <c r="K1419" s="339" t="s">
        <v>70</v>
      </c>
      <c r="L1419" s="357">
        <v>32</v>
      </c>
      <c r="M1419" s="358" t="s">
        <v>5742</v>
      </c>
      <c r="N1419" s="359">
        <v>1000</v>
      </c>
      <c r="O1419" s="360" t="s">
        <v>530</v>
      </c>
      <c r="P1419" s="343" t="s">
        <v>530</v>
      </c>
      <c r="Q1419" s="342" t="s">
        <v>2688</v>
      </c>
      <c r="R1419" s="344">
        <v>20</v>
      </c>
      <c r="S1419" s="345">
        <v>30</v>
      </c>
      <c r="T1419" s="362">
        <v>30</v>
      </c>
      <c r="U1419" s="361">
        <v>77.400000000000006</v>
      </c>
      <c r="V1419" s="346">
        <v>117.12209835493724</v>
      </c>
      <c r="W1419" s="348">
        <v>117.44186520438865</v>
      </c>
      <c r="X1419" s="347">
        <v>58.94</v>
      </c>
      <c r="Y1419" s="357" t="s">
        <v>408</v>
      </c>
      <c r="Z1419" s="365" t="s">
        <v>3017</v>
      </c>
      <c r="AA1419" s="350">
        <v>198</v>
      </c>
      <c r="AB1419" s="349" t="s">
        <v>2685</v>
      </c>
      <c r="AC1419" s="350">
        <v>10</v>
      </c>
      <c r="AD1419" s="349" t="s">
        <v>2685</v>
      </c>
      <c r="AE1419" s="364">
        <v>0</v>
      </c>
      <c r="AF1419" s="366">
        <v>0</v>
      </c>
      <c r="AG1419" s="363">
        <v>0</v>
      </c>
      <c r="AH1419" s="635" t="s">
        <v>408</v>
      </c>
      <c r="AL1419" s="487" t="s">
        <v>15817</v>
      </c>
      <c r="AM1419" s="477" t="s">
        <v>70</v>
      </c>
      <c r="AN1419" s="637">
        <v>100</v>
      </c>
      <c r="AO1419" s="478">
        <v>-1570</v>
      </c>
      <c r="AP1419" s="463">
        <v>-1570</v>
      </c>
      <c r="AQ1419" s="479">
        <v>0</v>
      </c>
      <c r="AR1419" s="476" t="s">
        <v>17525</v>
      </c>
      <c r="BA1419" s="313" t="s">
        <v>5837</v>
      </c>
    </row>
    <row r="1420" spans="2:53" ht="16.5" customHeight="1">
      <c r="B1420" s="367" t="s">
        <v>11719</v>
      </c>
      <c r="C1420" s="351" t="s">
        <v>11720</v>
      </c>
      <c r="D1420" s="353">
        <v>-1570</v>
      </c>
      <c r="E1420" s="352" t="s">
        <v>11721</v>
      </c>
      <c r="F1420" s="341">
        <v>77.400000000000006</v>
      </c>
      <c r="G1420" s="355" t="s">
        <v>18887</v>
      </c>
      <c r="H1420" s="356" t="s">
        <v>5125</v>
      </c>
      <c r="I1420" s="354" t="s">
        <v>9336</v>
      </c>
      <c r="J1420" s="340" t="s">
        <v>11722</v>
      </c>
      <c r="K1420" s="339" t="s">
        <v>71</v>
      </c>
      <c r="L1420" s="357">
        <v>9</v>
      </c>
      <c r="M1420" s="358" t="s">
        <v>11723</v>
      </c>
      <c r="N1420" s="359">
        <v>700</v>
      </c>
      <c r="O1420" s="360" t="s">
        <v>532</v>
      </c>
      <c r="P1420" s="343" t="s">
        <v>533</v>
      </c>
      <c r="Q1420" s="342" t="s">
        <v>2688</v>
      </c>
      <c r="R1420" s="344">
        <v>30</v>
      </c>
      <c r="S1420" s="345">
        <v>35</v>
      </c>
      <c r="T1420" s="362">
        <v>20</v>
      </c>
      <c r="U1420" s="361">
        <v>77.400000000000006</v>
      </c>
      <c r="V1420" s="346">
        <v>117.12711426090917</v>
      </c>
      <c r="W1420" s="348">
        <v>117.44632378747482</v>
      </c>
      <c r="X1420" s="347">
        <v>59.1</v>
      </c>
      <c r="Y1420" s="357">
        <v>61.16</v>
      </c>
      <c r="Z1420" s="365" t="s">
        <v>3017</v>
      </c>
      <c r="AA1420" s="350">
        <v>103.5</v>
      </c>
      <c r="AB1420" s="349" t="s">
        <v>2685</v>
      </c>
      <c r="AC1420" s="350">
        <v>10</v>
      </c>
      <c r="AD1420" s="349" t="s">
        <v>2685</v>
      </c>
      <c r="AE1420" s="364">
        <v>0</v>
      </c>
      <c r="AF1420" s="366">
        <v>0</v>
      </c>
      <c r="AG1420" s="363">
        <v>0</v>
      </c>
      <c r="AH1420" s="635" t="s">
        <v>408</v>
      </c>
      <c r="AL1420" s="487" t="s">
        <v>15818</v>
      </c>
      <c r="AM1420" s="477" t="s">
        <v>71</v>
      </c>
      <c r="AN1420" s="637">
        <v>100</v>
      </c>
      <c r="AO1420" s="478">
        <v>-1570</v>
      </c>
      <c r="AP1420" s="463">
        <v>-705</v>
      </c>
      <c r="AQ1420" s="479">
        <v>-865</v>
      </c>
      <c r="AR1420" s="476" t="s">
        <v>17526</v>
      </c>
      <c r="BA1420" s="313" t="s">
        <v>5838</v>
      </c>
    </row>
    <row r="1421" spans="2:53" ht="16.5" customHeight="1">
      <c r="B1421" s="367" t="s">
        <v>11725</v>
      </c>
      <c r="C1421" s="351" t="s">
        <v>11726</v>
      </c>
      <c r="D1421" s="353">
        <v>-1570</v>
      </c>
      <c r="E1421" s="352" t="s">
        <v>5601</v>
      </c>
      <c r="F1421" s="341">
        <v>77.36</v>
      </c>
      <c r="G1421" s="355" t="s">
        <v>12006</v>
      </c>
      <c r="H1421" s="356" t="s">
        <v>18888</v>
      </c>
      <c r="I1421" s="354" t="s">
        <v>446</v>
      </c>
      <c r="J1421" s="340" t="s">
        <v>8659</v>
      </c>
      <c r="K1421" s="339" t="s">
        <v>71</v>
      </c>
      <c r="L1421" s="357">
        <v>18</v>
      </c>
      <c r="M1421" s="358" t="s">
        <v>11728</v>
      </c>
      <c r="N1421" s="359">
        <v>1000</v>
      </c>
      <c r="O1421" s="360" t="s">
        <v>454</v>
      </c>
      <c r="P1421" s="343" t="s">
        <v>454</v>
      </c>
      <c r="Q1421" s="342" t="s">
        <v>2688</v>
      </c>
      <c r="R1421" s="344">
        <v>35</v>
      </c>
      <c r="S1421" s="345">
        <v>30</v>
      </c>
      <c r="T1421" s="362">
        <v>25</v>
      </c>
      <c r="U1421" s="361">
        <v>77.36</v>
      </c>
      <c r="V1421" s="346">
        <v>117.10069444444444</v>
      </c>
      <c r="W1421" s="348">
        <v>117.42283950617283</v>
      </c>
      <c r="X1421" s="347">
        <v>59.08</v>
      </c>
      <c r="Y1421" s="357" t="s">
        <v>408</v>
      </c>
      <c r="Z1421" s="365" t="s">
        <v>3017</v>
      </c>
      <c r="AA1421" s="350">
        <v>98</v>
      </c>
      <c r="AB1421" s="349" t="s">
        <v>2685</v>
      </c>
      <c r="AC1421" s="350">
        <v>0</v>
      </c>
      <c r="AD1421" s="349" t="s">
        <v>2685</v>
      </c>
      <c r="AE1421" s="364">
        <v>0</v>
      </c>
      <c r="AF1421" s="366">
        <v>0</v>
      </c>
      <c r="AG1421" s="363">
        <v>0</v>
      </c>
      <c r="AH1421" s="635" t="s">
        <v>408</v>
      </c>
      <c r="AL1421" s="487" t="s">
        <v>15819</v>
      </c>
      <c r="AM1421" s="477" t="s">
        <v>71</v>
      </c>
      <c r="AN1421" s="637">
        <v>100</v>
      </c>
      <c r="AO1421" s="478">
        <v>-1570</v>
      </c>
      <c r="AP1421" s="463">
        <v>-704</v>
      </c>
      <c r="AQ1421" s="479">
        <v>-866</v>
      </c>
      <c r="AR1421" s="476" t="s">
        <v>17527</v>
      </c>
      <c r="BA1421" s="313" t="s">
        <v>5842</v>
      </c>
    </row>
    <row r="1422" spans="2:53" ht="16.5" customHeight="1">
      <c r="B1422" s="367" t="s">
        <v>5728</v>
      </c>
      <c r="C1422" s="351" t="s">
        <v>5729</v>
      </c>
      <c r="D1422" s="353">
        <v>-1570</v>
      </c>
      <c r="E1422" s="352" t="s">
        <v>11727</v>
      </c>
      <c r="F1422" s="341">
        <v>77.349999999999994</v>
      </c>
      <c r="G1422" s="355" t="s">
        <v>11729</v>
      </c>
      <c r="H1422" s="356" t="s">
        <v>5238</v>
      </c>
      <c r="I1422" s="354" t="s">
        <v>209</v>
      </c>
      <c r="J1422" s="340" t="s">
        <v>8224</v>
      </c>
      <c r="K1422" s="339" t="s">
        <v>70</v>
      </c>
      <c r="L1422" s="357">
        <v>11</v>
      </c>
      <c r="M1422" s="358" t="s">
        <v>4977</v>
      </c>
      <c r="N1422" s="359">
        <v>1000</v>
      </c>
      <c r="O1422" s="360" t="s">
        <v>530</v>
      </c>
      <c r="P1422" s="343" t="s">
        <v>530</v>
      </c>
      <c r="Q1422" s="342" t="s">
        <v>2688</v>
      </c>
      <c r="R1422" s="344">
        <v>20</v>
      </c>
      <c r="S1422" s="345">
        <v>30</v>
      </c>
      <c r="T1422" s="362">
        <v>30</v>
      </c>
      <c r="U1422" s="361">
        <v>77.349999999999994</v>
      </c>
      <c r="V1422" s="346">
        <v>117.09588270487198</v>
      </c>
      <c r="W1422" s="348">
        <v>117.41856240433064</v>
      </c>
      <c r="X1422" s="347">
        <v>58.93</v>
      </c>
      <c r="Y1422" s="357" t="s">
        <v>408</v>
      </c>
      <c r="Z1422" s="365" t="s">
        <v>3017</v>
      </c>
      <c r="AA1422" s="350">
        <v>198</v>
      </c>
      <c r="AB1422" s="349" t="s">
        <v>2685</v>
      </c>
      <c r="AC1422" s="350">
        <v>10</v>
      </c>
      <c r="AD1422" s="349" t="s">
        <v>2685</v>
      </c>
      <c r="AE1422" s="364">
        <v>0</v>
      </c>
      <c r="AF1422" s="366">
        <v>0</v>
      </c>
      <c r="AG1422" s="363">
        <v>0</v>
      </c>
      <c r="AH1422" s="635" t="s">
        <v>408</v>
      </c>
      <c r="AL1422" s="487" t="s">
        <v>15820</v>
      </c>
      <c r="AM1422" s="477" t="s">
        <v>70</v>
      </c>
      <c r="AN1422" s="637">
        <v>100</v>
      </c>
      <c r="AO1422" s="478">
        <v>-1570</v>
      </c>
      <c r="AP1422" s="463">
        <v>-1570</v>
      </c>
      <c r="AQ1422" s="479">
        <v>0</v>
      </c>
      <c r="AR1422" s="476" t="s">
        <v>17528</v>
      </c>
      <c r="BA1422" s="313" t="s">
        <v>5843</v>
      </c>
    </row>
    <row r="1423" spans="2:53" ht="16.5" customHeight="1">
      <c r="B1423" s="367" t="s">
        <v>5696</v>
      </c>
      <c r="C1423" s="351" t="s">
        <v>5697</v>
      </c>
      <c r="D1423" s="353">
        <v>-1570</v>
      </c>
      <c r="E1423" s="352" t="s">
        <v>408</v>
      </c>
      <c r="F1423" s="341">
        <v>77.319999999999993</v>
      </c>
      <c r="G1423" s="355" t="s">
        <v>5601</v>
      </c>
      <c r="H1423" s="356" t="s">
        <v>5244</v>
      </c>
      <c r="I1423" s="354" t="s">
        <v>209</v>
      </c>
      <c r="J1423" s="340" t="s">
        <v>9657</v>
      </c>
      <c r="K1423" s="339" t="s">
        <v>71</v>
      </c>
      <c r="L1423" s="357">
        <v>12</v>
      </c>
      <c r="M1423" s="358" t="s">
        <v>11724</v>
      </c>
      <c r="N1423" s="359">
        <v>1000</v>
      </c>
      <c r="O1423" s="360" t="s">
        <v>530</v>
      </c>
      <c r="P1423" s="343" t="s">
        <v>530</v>
      </c>
      <c r="Q1423" s="342" t="s">
        <v>2688</v>
      </c>
      <c r="R1423" s="344">
        <v>30</v>
      </c>
      <c r="S1423" s="345">
        <v>25</v>
      </c>
      <c r="T1423" s="362">
        <v>25</v>
      </c>
      <c r="U1423" s="361">
        <v>77.319999999999993</v>
      </c>
      <c r="V1423" s="346">
        <v>117.07703103363532</v>
      </c>
      <c r="W1423" s="348">
        <v>117.4018053632314</v>
      </c>
      <c r="X1423" s="347">
        <v>59.07</v>
      </c>
      <c r="Y1423" s="357" t="s">
        <v>408</v>
      </c>
      <c r="Z1423" s="365" t="s">
        <v>3017</v>
      </c>
      <c r="AA1423" s="350">
        <v>198</v>
      </c>
      <c r="AB1423" s="349" t="s">
        <v>2685</v>
      </c>
      <c r="AC1423" s="350">
        <v>10</v>
      </c>
      <c r="AD1423" s="349" t="s">
        <v>2685</v>
      </c>
      <c r="AE1423" s="364">
        <v>0</v>
      </c>
      <c r="AF1423" s="366">
        <v>0</v>
      </c>
      <c r="AG1423" s="363">
        <v>0</v>
      </c>
      <c r="AH1423" s="635" t="s">
        <v>408</v>
      </c>
      <c r="AL1423" s="487" t="s">
        <v>15821</v>
      </c>
      <c r="AM1423" s="477" t="s">
        <v>71</v>
      </c>
      <c r="AN1423" s="637">
        <v>100</v>
      </c>
      <c r="AO1423" s="478">
        <v>-1570</v>
      </c>
      <c r="AP1423" s="463">
        <v>-705</v>
      </c>
      <c r="AQ1423" s="479">
        <v>-865</v>
      </c>
      <c r="AR1423" s="476" t="s">
        <v>17529</v>
      </c>
      <c r="BA1423" s="313" t="s">
        <v>5844</v>
      </c>
    </row>
    <row r="1424" spans="2:53" ht="16.5" customHeight="1">
      <c r="B1424" s="367" t="s">
        <v>11730</v>
      </c>
      <c r="C1424" s="351" t="s">
        <v>11731</v>
      </c>
      <c r="D1424" s="353">
        <v>-1570</v>
      </c>
      <c r="E1424" s="352" t="s">
        <v>11732</v>
      </c>
      <c r="F1424" s="341">
        <v>77.31</v>
      </c>
      <c r="G1424" s="355" t="s">
        <v>18889</v>
      </c>
      <c r="H1424" s="356" t="s">
        <v>5069</v>
      </c>
      <c r="I1424" s="354" t="s">
        <v>446</v>
      </c>
      <c r="J1424" s="340" t="s">
        <v>489</v>
      </c>
      <c r="K1424" s="339" t="s">
        <v>71</v>
      </c>
      <c r="L1424" s="357">
        <v>28</v>
      </c>
      <c r="M1424" s="358" t="s">
        <v>11733</v>
      </c>
      <c r="N1424" s="359">
        <v>1000</v>
      </c>
      <c r="O1424" s="360" t="s">
        <v>454</v>
      </c>
      <c r="P1424" s="343" t="s">
        <v>454</v>
      </c>
      <c r="Q1424" s="342" t="s">
        <v>2688</v>
      </c>
      <c r="R1424" s="344">
        <v>35</v>
      </c>
      <c r="S1424" s="345">
        <v>30</v>
      </c>
      <c r="T1424" s="362">
        <v>25</v>
      </c>
      <c r="U1424" s="361">
        <v>77.31</v>
      </c>
      <c r="V1424" s="346">
        <v>117.06597222222221</v>
      </c>
      <c r="W1424" s="348">
        <v>117.39197530864197</v>
      </c>
      <c r="X1424" s="347">
        <v>59.07</v>
      </c>
      <c r="Y1424" s="357" t="s">
        <v>408</v>
      </c>
      <c r="Z1424" s="365" t="s">
        <v>3017</v>
      </c>
      <c r="AA1424" s="350">
        <v>98</v>
      </c>
      <c r="AB1424" s="349" t="s">
        <v>2685</v>
      </c>
      <c r="AC1424" s="350">
        <v>0</v>
      </c>
      <c r="AD1424" s="349" t="s">
        <v>2685</v>
      </c>
      <c r="AE1424" s="364">
        <v>0</v>
      </c>
      <c r="AF1424" s="366">
        <v>0</v>
      </c>
      <c r="AG1424" s="363">
        <v>0</v>
      </c>
      <c r="AH1424" s="635" t="s">
        <v>408</v>
      </c>
      <c r="AL1424" s="487" t="s">
        <v>15822</v>
      </c>
      <c r="AM1424" s="477" t="s">
        <v>71</v>
      </c>
      <c r="AN1424" s="637">
        <v>100</v>
      </c>
      <c r="AO1424" s="478">
        <v>-1570</v>
      </c>
      <c r="AP1424" s="463">
        <v>-704</v>
      </c>
      <c r="AQ1424" s="479">
        <v>-866</v>
      </c>
      <c r="AR1424" s="476" t="s">
        <v>17530</v>
      </c>
      <c r="BA1424" s="313" t="s">
        <v>5848</v>
      </c>
    </row>
    <row r="1425" spans="2:53" ht="16.5" customHeight="1">
      <c r="B1425" s="367" t="s">
        <v>11734</v>
      </c>
      <c r="C1425" s="351" t="s">
        <v>11735</v>
      </c>
      <c r="D1425" s="353">
        <v>-1570</v>
      </c>
      <c r="E1425" s="352" t="s">
        <v>408</v>
      </c>
      <c r="F1425" s="341">
        <v>77.28</v>
      </c>
      <c r="G1425" s="355" t="s">
        <v>5759</v>
      </c>
      <c r="H1425" s="356" t="s">
        <v>18890</v>
      </c>
      <c r="I1425" s="354" t="s">
        <v>446</v>
      </c>
      <c r="J1425" s="340" t="s">
        <v>9074</v>
      </c>
      <c r="K1425" s="339" t="s">
        <v>70</v>
      </c>
      <c r="L1425" s="357">
        <v>9</v>
      </c>
      <c r="M1425" s="358" t="s">
        <v>11737</v>
      </c>
      <c r="N1425" s="359">
        <v>1000</v>
      </c>
      <c r="O1425" s="360" t="s">
        <v>454</v>
      </c>
      <c r="P1425" s="343" t="s">
        <v>454</v>
      </c>
      <c r="Q1425" s="342" t="s">
        <v>2688</v>
      </c>
      <c r="R1425" s="344">
        <v>25</v>
      </c>
      <c r="S1425" s="345">
        <v>35</v>
      </c>
      <c r="T1425" s="362">
        <v>30</v>
      </c>
      <c r="U1425" s="361">
        <v>77.28</v>
      </c>
      <c r="V1425" s="346">
        <v>117.04861111111111</v>
      </c>
      <c r="W1425" s="348">
        <v>117.37654320987654</v>
      </c>
      <c r="X1425" s="347">
        <v>58.9</v>
      </c>
      <c r="Y1425" s="357" t="s">
        <v>408</v>
      </c>
      <c r="Z1425" s="365" t="s">
        <v>3017</v>
      </c>
      <c r="AA1425" s="350">
        <v>98</v>
      </c>
      <c r="AB1425" s="349" t="s">
        <v>2685</v>
      </c>
      <c r="AC1425" s="350">
        <v>0</v>
      </c>
      <c r="AD1425" s="349" t="s">
        <v>2685</v>
      </c>
      <c r="AE1425" s="364">
        <v>0</v>
      </c>
      <c r="AF1425" s="366">
        <v>0</v>
      </c>
      <c r="AG1425" s="363">
        <v>0</v>
      </c>
      <c r="AH1425" s="635" t="s">
        <v>408</v>
      </c>
      <c r="AL1425" s="487" t="s">
        <v>15823</v>
      </c>
      <c r="AM1425" s="477" t="s">
        <v>70</v>
      </c>
      <c r="AN1425" s="637">
        <v>100</v>
      </c>
      <c r="AO1425" s="478">
        <v>-1570</v>
      </c>
      <c r="AP1425" s="463">
        <v>-1570</v>
      </c>
      <c r="AQ1425" s="479">
        <v>0</v>
      </c>
      <c r="AR1425" s="476" t="s">
        <v>17531</v>
      </c>
      <c r="BA1425" s="313" t="s">
        <v>5849</v>
      </c>
    </row>
    <row r="1426" spans="2:53" ht="16.5" customHeight="1">
      <c r="B1426" s="367" t="s">
        <v>11734</v>
      </c>
      <c r="C1426" s="351" t="s">
        <v>11735</v>
      </c>
      <c r="D1426" s="353">
        <v>-1570</v>
      </c>
      <c r="E1426" s="352" t="s">
        <v>408</v>
      </c>
      <c r="F1426" s="341">
        <v>77.28</v>
      </c>
      <c r="G1426" s="355" t="s">
        <v>5759</v>
      </c>
      <c r="H1426" s="356" t="s">
        <v>18890</v>
      </c>
      <c r="I1426" s="354" t="s">
        <v>446</v>
      </c>
      <c r="J1426" s="340" t="s">
        <v>7825</v>
      </c>
      <c r="K1426" s="339" t="s">
        <v>70</v>
      </c>
      <c r="L1426" s="357">
        <v>32</v>
      </c>
      <c r="M1426" s="358" t="s">
        <v>11737</v>
      </c>
      <c r="N1426" s="359">
        <v>1000</v>
      </c>
      <c r="O1426" s="360" t="s">
        <v>454</v>
      </c>
      <c r="P1426" s="343" t="s">
        <v>454</v>
      </c>
      <c r="Q1426" s="342" t="s">
        <v>2688</v>
      </c>
      <c r="R1426" s="344">
        <v>25</v>
      </c>
      <c r="S1426" s="345">
        <v>35</v>
      </c>
      <c r="T1426" s="362">
        <v>30</v>
      </c>
      <c r="U1426" s="361">
        <v>77.28</v>
      </c>
      <c r="V1426" s="346">
        <v>117.04861111111111</v>
      </c>
      <c r="W1426" s="348">
        <v>117.37654320987654</v>
      </c>
      <c r="X1426" s="347">
        <v>58.9</v>
      </c>
      <c r="Y1426" s="357" t="s">
        <v>408</v>
      </c>
      <c r="Z1426" s="365" t="s">
        <v>3017</v>
      </c>
      <c r="AA1426" s="350">
        <v>98</v>
      </c>
      <c r="AB1426" s="349" t="s">
        <v>2685</v>
      </c>
      <c r="AC1426" s="350">
        <v>0</v>
      </c>
      <c r="AD1426" s="349" t="s">
        <v>2685</v>
      </c>
      <c r="AE1426" s="364">
        <v>0</v>
      </c>
      <c r="AF1426" s="366">
        <v>0</v>
      </c>
      <c r="AG1426" s="363">
        <v>0</v>
      </c>
      <c r="AH1426" s="635" t="s">
        <v>408</v>
      </c>
      <c r="AL1426" s="487" t="s">
        <v>15824</v>
      </c>
      <c r="AM1426" s="477" t="s">
        <v>70</v>
      </c>
      <c r="AN1426" s="637">
        <v>100</v>
      </c>
      <c r="AO1426" s="478">
        <v>-1570</v>
      </c>
      <c r="AP1426" s="463">
        <v>-1570</v>
      </c>
      <c r="AQ1426" s="479">
        <v>0</v>
      </c>
      <c r="AR1426" s="476" t="s">
        <v>17531</v>
      </c>
      <c r="BA1426" s="313" t="s">
        <v>5851</v>
      </c>
    </row>
    <row r="1427" spans="2:53" ht="16.5" customHeight="1">
      <c r="B1427" s="367" t="s">
        <v>5745</v>
      </c>
      <c r="C1427" s="351" t="s">
        <v>5746</v>
      </c>
      <c r="D1427" s="353">
        <v>-1570</v>
      </c>
      <c r="E1427" s="352" t="s">
        <v>11738</v>
      </c>
      <c r="F1427" s="341">
        <v>77.28</v>
      </c>
      <c r="G1427" s="355" t="s">
        <v>18891</v>
      </c>
      <c r="H1427" s="356" t="s">
        <v>18892</v>
      </c>
      <c r="I1427" s="354" t="s">
        <v>423</v>
      </c>
      <c r="J1427" s="340" t="s">
        <v>11739</v>
      </c>
      <c r="K1427" s="339" t="s">
        <v>71</v>
      </c>
      <c r="L1427" s="357">
        <v>11</v>
      </c>
      <c r="M1427" s="358" t="s">
        <v>11740</v>
      </c>
      <c r="N1427" s="359">
        <v>1000</v>
      </c>
      <c r="O1427" s="360" t="s">
        <v>530</v>
      </c>
      <c r="P1427" s="343" t="s">
        <v>531</v>
      </c>
      <c r="Q1427" s="342" t="s">
        <v>2688</v>
      </c>
      <c r="R1427" s="344">
        <v>30</v>
      </c>
      <c r="S1427" s="345">
        <v>25</v>
      </c>
      <c r="T1427" s="362">
        <v>25</v>
      </c>
      <c r="U1427" s="361">
        <v>77.28</v>
      </c>
      <c r="V1427" s="346">
        <v>117.04800968262506</v>
      </c>
      <c r="W1427" s="348">
        <v>117.37600860677783</v>
      </c>
      <c r="X1427" s="347">
        <v>59.06</v>
      </c>
      <c r="Y1427" s="357">
        <v>59.3</v>
      </c>
      <c r="Z1427" s="365" t="s">
        <v>3017</v>
      </c>
      <c r="AA1427" s="350">
        <v>198</v>
      </c>
      <c r="AB1427" s="349" t="s">
        <v>2685</v>
      </c>
      <c r="AC1427" s="350">
        <v>10</v>
      </c>
      <c r="AD1427" s="349" t="s">
        <v>2685</v>
      </c>
      <c r="AE1427" s="364">
        <v>0</v>
      </c>
      <c r="AF1427" s="366">
        <v>0</v>
      </c>
      <c r="AG1427" s="363">
        <v>0</v>
      </c>
      <c r="AH1427" s="635" t="s">
        <v>408</v>
      </c>
      <c r="AL1427" s="487" t="s">
        <v>15825</v>
      </c>
      <c r="AM1427" s="477" t="s">
        <v>71</v>
      </c>
      <c r="AN1427" s="637">
        <v>100</v>
      </c>
      <c r="AO1427" s="478">
        <v>-1570</v>
      </c>
      <c r="AP1427" s="463">
        <v>-704</v>
      </c>
      <c r="AQ1427" s="479">
        <v>-866</v>
      </c>
      <c r="AR1427" s="476" t="s">
        <v>17532</v>
      </c>
      <c r="BA1427" s="313" t="s">
        <v>5854</v>
      </c>
    </row>
    <row r="1428" spans="2:53" ht="16.5" customHeight="1">
      <c r="B1428" s="367" t="s">
        <v>11741</v>
      </c>
      <c r="C1428" s="351" t="s">
        <v>11742</v>
      </c>
      <c r="D1428" s="353">
        <v>-1570</v>
      </c>
      <c r="E1428" s="352" t="s">
        <v>408</v>
      </c>
      <c r="F1428" s="341">
        <v>77.27</v>
      </c>
      <c r="G1428" s="355" t="s">
        <v>5764</v>
      </c>
      <c r="H1428" s="356" t="s">
        <v>5253</v>
      </c>
      <c r="I1428" s="354" t="s">
        <v>211</v>
      </c>
      <c r="J1428" s="340" t="s">
        <v>8633</v>
      </c>
      <c r="K1428" s="339" t="s">
        <v>70</v>
      </c>
      <c r="L1428" s="357">
        <v>35</v>
      </c>
      <c r="M1428" s="358" t="s">
        <v>11743</v>
      </c>
      <c r="N1428" s="359">
        <v>500</v>
      </c>
      <c r="O1428" s="360" t="s">
        <v>530</v>
      </c>
      <c r="P1428" s="343" t="s">
        <v>531</v>
      </c>
      <c r="Q1428" s="342" t="s">
        <v>2688</v>
      </c>
      <c r="R1428" s="344">
        <v>30</v>
      </c>
      <c r="S1428" s="345">
        <v>40</v>
      </c>
      <c r="T1428" s="362">
        <v>30</v>
      </c>
      <c r="U1428" s="361">
        <v>77.27</v>
      </c>
      <c r="V1428" s="346">
        <v>117.04328602065209</v>
      </c>
      <c r="W1428" s="348">
        <v>117.3718097961352</v>
      </c>
      <c r="X1428" s="347">
        <v>58.9</v>
      </c>
      <c r="Y1428" s="357">
        <v>59.089999999999996</v>
      </c>
      <c r="Z1428" s="365" t="s">
        <v>4408</v>
      </c>
      <c r="AA1428" s="350">
        <v>24</v>
      </c>
      <c r="AB1428" s="349" t="s">
        <v>2685</v>
      </c>
      <c r="AC1428" s="350">
        <v>5</v>
      </c>
      <c r="AD1428" s="349" t="s">
        <v>2685</v>
      </c>
      <c r="AE1428" s="364">
        <v>0</v>
      </c>
      <c r="AF1428" s="366">
        <v>8.8640000000000008</v>
      </c>
      <c r="AG1428" s="363">
        <v>0</v>
      </c>
      <c r="AH1428" s="635" t="s">
        <v>4662</v>
      </c>
      <c r="AL1428" s="487" t="s">
        <v>15826</v>
      </c>
      <c r="AM1428" s="477" t="s">
        <v>70</v>
      </c>
      <c r="AN1428" s="637">
        <v>100</v>
      </c>
      <c r="AO1428" s="478">
        <v>-1570</v>
      </c>
      <c r="AP1428" s="463">
        <v>-1570</v>
      </c>
      <c r="AQ1428" s="479">
        <v>0</v>
      </c>
      <c r="AR1428" s="476" t="s">
        <v>17533</v>
      </c>
      <c r="BA1428" s="313" t="s">
        <v>5857</v>
      </c>
    </row>
    <row r="1429" spans="2:53" ht="16.5" customHeight="1">
      <c r="B1429" s="367" t="s">
        <v>11741</v>
      </c>
      <c r="C1429" s="351" t="s">
        <v>11742</v>
      </c>
      <c r="D1429" s="353">
        <v>-1570</v>
      </c>
      <c r="E1429" s="352" t="s">
        <v>408</v>
      </c>
      <c r="F1429" s="341">
        <v>77.260000000000005</v>
      </c>
      <c r="G1429" s="355" t="s">
        <v>5569</v>
      </c>
      <c r="H1429" s="356" t="s">
        <v>11456</v>
      </c>
      <c r="I1429" s="354" t="s">
        <v>9336</v>
      </c>
      <c r="J1429" s="340" t="s">
        <v>555</v>
      </c>
      <c r="K1429" s="339" t="s">
        <v>70</v>
      </c>
      <c r="L1429" s="357">
        <v>16</v>
      </c>
      <c r="M1429" s="358" t="s">
        <v>11744</v>
      </c>
      <c r="N1429" s="359">
        <v>700</v>
      </c>
      <c r="O1429" s="360" t="s">
        <v>532</v>
      </c>
      <c r="P1429" s="343" t="s">
        <v>533</v>
      </c>
      <c r="Q1429" s="342" t="s">
        <v>2688</v>
      </c>
      <c r="R1429" s="344">
        <v>20</v>
      </c>
      <c r="S1429" s="345">
        <v>35</v>
      </c>
      <c r="T1429" s="362">
        <v>30</v>
      </c>
      <c r="U1429" s="361">
        <v>77.260000000000005</v>
      </c>
      <c r="V1429" s="346">
        <v>117.0383670196386</v>
      </c>
      <c r="W1429" s="348">
        <v>117.36743735078986</v>
      </c>
      <c r="X1429" s="347">
        <v>58.9</v>
      </c>
      <c r="Y1429" s="357">
        <v>61.11</v>
      </c>
      <c r="Z1429" s="365" t="s">
        <v>3017</v>
      </c>
      <c r="AA1429" s="350">
        <v>104.5</v>
      </c>
      <c r="AB1429" s="349" t="s">
        <v>2685</v>
      </c>
      <c r="AC1429" s="350">
        <v>0</v>
      </c>
      <c r="AD1429" s="349" t="s">
        <v>2685</v>
      </c>
      <c r="AE1429" s="364">
        <v>0</v>
      </c>
      <c r="AF1429" s="366">
        <v>0</v>
      </c>
      <c r="AG1429" s="363">
        <v>0</v>
      </c>
      <c r="AH1429" s="635" t="s">
        <v>408</v>
      </c>
      <c r="AL1429" s="487" t="s">
        <v>15827</v>
      </c>
      <c r="AM1429" s="477" t="s">
        <v>70</v>
      </c>
      <c r="AN1429" s="637">
        <v>100</v>
      </c>
      <c r="AO1429" s="478">
        <v>-1570</v>
      </c>
      <c r="AP1429" s="463">
        <v>-1570</v>
      </c>
      <c r="AQ1429" s="479">
        <v>0</v>
      </c>
      <c r="AR1429" s="476" t="s">
        <v>17534</v>
      </c>
      <c r="BA1429" s="313" t="s">
        <v>5859</v>
      </c>
    </row>
    <row r="1430" spans="2:53" ht="16.5" customHeight="1">
      <c r="B1430" s="367" t="s">
        <v>5748</v>
      </c>
      <c r="C1430" s="351" t="s">
        <v>5749</v>
      </c>
      <c r="D1430" s="353">
        <v>-1570</v>
      </c>
      <c r="E1430" s="352" t="s">
        <v>11727</v>
      </c>
      <c r="F1430" s="341">
        <v>77.23</v>
      </c>
      <c r="G1430" s="355" t="s">
        <v>5775</v>
      </c>
      <c r="H1430" s="356" t="s">
        <v>18893</v>
      </c>
      <c r="I1430" s="354" t="s">
        <v>215</v>
      </c>
      <c r="J1430" s="340" t="s">
        <v>11747</v>
      </c>
      <c r="K1430" s="339" t="s">
        <v>70</v>
      </c>
      <c r="L1430" s="357">
        <v>7</v>
      </c>
      <c r="M1430" s="358" t="s">
        <v>11748</v>
      </c>
      <c r="N1430" s="359">
        <v>1000</v>
      </c>
      <c r="O1430" s="360" t="s">
        <v>530</v>
      </c>
      <c r="P1430" s="343" t="s">
        <v>531</v>
      </c>
      <c r="Q1430" s="342" t="s">
        <v>2688</v>
      </c>
      <c r="R1430" s="344">
        <v>25</v>
      </c>
      <c r="S1430" s="345">
        <v>38</v>
      </c>
      <c r="T1430" s="362">
        <v>25</v>
      </c>
      <c r="U1430" s="361">
        <v>77.23</v>
      </c>
      <c r="V1430" s="346">
        <v>117.01865398683249</v>
      </c>
      <c r="W1430" s="348">
        <v>117.34991465496221</v>
      </c>
      <c r="X1430" s="347">
        <v>58.89</v>
      </c>
      <c r="Y1430" s="357">
        <v>59.08</v>
      </c>
      <c r="Z1430" s="365" t="s">
        <v>3017</v>
      </c>
      <c r="AA1430" s="350">
        <v>121.25</v>
      </c>
      <c r="AB1430" s="349" t="s">
        <v>2685</v>
      </c>
      <c r="AC1430" s="350">
        <v>10</v>
      </c>
      <c r="AD1430" s="349" t="s">
        <v>2685</v>
      </c>
      <c r="AE1430" s="364">
        <v>0</v>
      </c>
      <c r="AF1430" s="366">
        <v>0</v>
      </c>
      <c r="AG1430" s="363">
        <v>0</v>
      </c>
      <c r="AH1430" s="635" t="s">
        <v>408</v>
      </c>
      <c r="AL1430" s="487" t="s">
        <v>15828</v>
      </c>
      <c r="AM1430" s="477" t="s">
        <v>70</v>
      </c>
      <c r="AN1430" s="637">
        <v>100</v>
      </c>
      <c r="AO1430" s="478">
        <v>-1570</v>
      </c>
      <c r="AP1430" s="463">
        <v>-1570</v>
      </c>
      <c r="AQ1430" s="479">
        <v>0</v>
      </c>
      <c r="AR1430" s="476" t="s">
        <v>17535</v>
      </c>
      <c r="BA1430" s="313" t="s">
        <v>5860</v>
      </c>
    </row>
    <row r="1431" spans="2:53" ht="16.5" customHeight="1">
      <c r="B1431" s="367" t="s">
        <v>5724</v>
      </c>
      <c r="C1431" s="351" t="s">
        <v>5725</v>
      </c>
      <c r="D1431" s="353">
        <v>-1570</v>
      </c>
      <c r="E1431" s="352" t="s">
        <v>408</v>
      </c>
      <c r="F1431" s="341">
        <v>77.19</v>
      </c>
      <c r="G1431" s="355" t="s">
        <v>11791</v>
      </c>
      <c r="H1431" s="356" t="s">
        <v>5077</v>
      </c>
      <c r="I1431" s="354" t="s">
        <v>216</v>
      </c>
      <c r="J1431" s="340" t="s">
        <v>8534</v>
      </c>
      <c r="K1431" s="339" t="s">
        <v>71</v>
      </c>
      <c r="L1431" s="357">
        <v>5</v>
      </c>
      <c r="M1431" s="358" t="s">
        <v>11745</v>
      </c>
      <c r="N1431" s="359">
        <v>300</v>
      </c>
      <c r="O1431" s="360" t="s">
        <v>530</v>
      </c>
      <c r="P1431" s="343" t="s">
        <v>530</v>
      </c>
      <c r="Q1431" s="342" t="s">
        <v>2688</v>
      </c>
      <c r="R1431" s="344">
        <v>45</v>
      </c>
      <c r="S1431" s="345">
        <v>25</v>
      </c>
      <c r="T1431" s="362">
        <v>30</v>
      </c>
      <c r="U1431" s="361">
        <v>77.19</v>
      </c>
      <c r="V1431" s="346">
        <v>116.99585710241685</v>
      </c>
      <c r="W1431" s="348">
        <v>117.32942059672702</v>
      </c>
      <c r="X1431" s="347">
        <v>59.03</v>
      </c>
      <c r="Y1431" s="357" t="s">
        <v>408</v>
      </c>
      <c r="Z1431" s="365" t="s">
        <v>3017</v>
      </c>
      <c r="AA1431" s="350">
        <v>-2</v>
      </c>
      <c r="AB1431" s="349" t="s">
        <v>2685</v>
      </c>
      <c r="AC1431" s="350">
        <v>0</v>
      </c>
      <c r="AD1431" s="349" t="s">
        <v>2685</v>
      </c>
      <c r="AE1431" s="364">
        <v>0</v>
      </c>
      <c r="AF1431" s="366">
        <v>0</v>
      </c>
      <c r="AG1431" s="363">
        <v>0</v>
      </c>
      <c r="AH1431" s="635" t="s">
        <v>408</v>
      </c>
      <c r="AL1431" s="487" t="s">
        <v>15829</v>
      </c>
      <c r="AM1431" s="477" t="s">
        <v>71</v>
      </c>
      <c r="AN1431" s="637">
        <v>100</v>
      </c>
      <c r="AO1431" s="478">
        <v>-1570</v>
      </c>
      <c r="AP1431" s="463">
        <v>-704</v>
      </c>
      <c r="AQ1431" s="479">
        <v>-866</v>
      </c>
      <c r="AR1431" s="476" t="s">
        <v>17536</v>
      </c>
      <c r="BA1431" s="313" t="s">
        <v>5863</v>
      </c>
    </row>
    <row r="1432" spans="2:53" ht="16.5" customHeight="1">
      <c r="B1432" s="367" t="s">
        <v>11702</v>
      </c>
      <c r="C1432" s="351" t="s">
        <v>11703</v>
      </c>
      <c r="D1432" s="353">
        <v>-1570</v>
      </c>
      <c r="E1432" s="352" t="s">
        <v>11749</v>
      </c>
      <c r="F1432" s="341">
        <v>77.19</v>
      </c>
      <c r="G1432" s="355" t="s">
        <v>11791</v>
      </c>
      <c r="H1432" s="356" t="s">
        <v>5077</v>
      </c>
      <c r="I1432" s="354" t="s">
        <v>215</v>
      </c>
      <c r="J1432" s="340" t="s">
        <v>8618</v>
      </c>
      <c r="K1432" s="339" t="s">
        <v>71</v>
      </c>
      <c r="L1432" s="357">
        <v>5</v>
      </c>
      <c r="M1432" s="358" t="s">
        <v>11751</v>
      </c>
      <c r="N1432" s="359">
        <v>1000</v>
      </c>
      <c r="O1432" s="360" t="s">
        <v>530</v>
      </c>
      <c r="P1432" s="343" t="s">
        <v>531</v>
      </c>
      <c r="Q1432" s="342" t="s">
        <v>2688</v>
      </c>
      <c r="R1432" s="344">
        <v>38</v>
      </c>
      <c r="S1432" s="345">
        <v>25</v>
      </c>
      <c r="T1432" s="362">
        <v>25</v>
      </c>
      <c r="U1432" s="361">
        <v>77.19</v>
      </c>
      <c r="V1432" s="346">
        <v>116.99413023540203</v>
      </c>
      <c r="W1432" s="348">
        <v>117.32778966676857</v>
      </c>
      <c r="X1432" s="347">
        <v>59.03</v>
      </c>
      <c r="Y1432" s="357">
        <v>59.449999999999996</v>
      </c>
      <c r="Z1432" s="365" t="s">
        <v>3017</v>
      </c>
      <c r="AA1432" s="350">
        <v>121.25</v>
      </c>
      <c r="AB1432" s="349" t="s">
        <v>2685</v>
      </c>
      <c r="AC1432" s="350">
        <v>10</v>
      </c>
      <c r="AD1432" s="349" t="s">
        <v>2685</v>
      </c>
      <c r="AE1432" s="364">
        <v>0</v>
      </c>
      <c r="AF1432" s="366">
        <v>0</v>
      </c>
      <c r="AG1432" s="363">
        <v>0</v>
      </c>
      <c r="AH1432" s="635" t="s">
        <v>8002</v>
      </c>
      <c r="AL1432" s="487" t="s">
        <v>15830</v>
      </c>
      <c r="AM1432" s="477" t="s">
        <v>71</v>
      </c>
      <c r="AN1432" s="637">
        <v>100</v>
      </c>
      <c r="AO1432" s="478">
        <v>-1570</v>
      </c>
      <c r="AP1432" s="463">
        <v>-704</v>
      </c>
      <c r="AQ1432" s="479">
        <v>-866</v>
      </c>
      <c r="AR1432" s="476" t="s">
        <v>17536</v>
      </c>
      <c r="BA1432" s="313" t="s">
        <v>5865</v>
      </c>
    </row>
    <row r="1433" spans="2:53" ht="16.5" customHeight="1">
      <c r="B1433" s="367" t="s">
        <v>11754</v>
      </c>
      <c r="C1433" s="351" t="s">
        <v>11755</v>
      </c>
      <c r="D1433" s="353">
        <v>-1570</v>
      </c>
      <c r="E1433" s="352" t="s">
        <v>11704</v>
      </c>
      <c r="F1433" s="341">
        <v>77.180000000000007</v>
      </c>
      <c r="G1433" s="355" t="s">
        <v>11756</v>
      </c>
      <c r="H1433" s="356" t="s">
        <v>5271</v>
      </c>
      <c r="I1433" s="354" t="s">
        <v>215</v>
      </c>
      <c r="J1433" s="340" t="s">
        <v>11757</v>
      </c>
      <c r="K1433" s="339" t="s">
        <v>70</v>
      </c>
      <c r="L1433" s="357">
        <v>23</v>
      </c>
      <c r="M1433" s="358" t="s">
        <v>11758</v>
      </c>
      <c r="N1433" s="359">
        <v>1000</v>
      </c>
      <c r="O1433" s="360" t="s">
        <v>530</v>
      </c>
      <c r="P1433" s="343" t="s">
        <v>531</v>
      </c>
      <c r="Q1433" s="342" t="s">
        <v>2688</v>
      </c>
      <c r="R1433" s="344">
        <v>25</v>
      </c>
      <c r="S1433" s="345">
        <v>38</v>
      </c>
      <c r="T1433" s="362">
        <v>25</v>
      </c>
      <c r="U1433" s="361">
        <v>77.180000000000007</v>
      </c>
      <c r="V1433" s="346">
        <v>116.98845346396082</v>
      </c>
      <c r="W1433" s="348">
        <v>117.32242827151855</v>
      </c>
      <c r="X1433" s="347">
        <v>58.87</v>
      </c>
      <c r="Y1433" s="357">
        <v>59.059999999999995</v>
      </c>
      <c r="Z1433" s="365" t="s">
        <v>3017</v>
      </c>
      <c r="AA1433" s="350">
        <v>121.25</v>
      </c>
      <c r="AB1433" s="349" t="s">
        <v>2685</v>
      </c>
      <c r="AC1433" s="350">
        <v>10</v>
      </c>
      <c r="AD1433" s="349" t="s">
        <v>2685</v>
      </c>
      <c r="AE1433" s="364">
        <v>0</v>
      </c>
      <c r="AF1433" s="366">
        <v>0</v>
      </c>
      <c r="AG1433" s="363">
        <v>0</v>
      </c>
      <c r="AH1433" s="635" t="s">
        <v>408</v>
      </c>
      <c r="AL1433" s="487" t="s">
        <v>15831</v>
      </c>
      <c r="AM1433" s="477" t="s">
        <v>70</v>
      </c>
      <c r="AN1433" s="637">
        <v>100</v>
      </c>
      <c r="AO1433" s="478">
        <v>-1570</v>
      </c>
      <c r="AP1433" s="463">
        <v>-1570</v>
      </c>
      <c r="AQ1433" s="479">
        <v>0</v>
      </c>
      <c r="AR1433" s="476" t="s">
        <v>17537</v>
      </c>
      <c r="BA1433" s="313" t="s">
        <v>5866</v>
      </c>
    </row>
    <row r="1434" spans="2:53" ht="16.5" customHeight="1">
      <c r="B1434" s="367" t="s">
        <v>11759</v>
      </c>
      <c r="C1434" s="351" t="s">
        <v>11760</v>
      </c>
      <c r="D1434" s="353">
        <v>-1570</v>
      </c>
      <c r="E1434" s="352" t="s">
        <v>11752</v>
      </c>
      <c r="F1434" s="341">
        <v>77.17</v>
      </c>
      <c r="G1434" s="355" t="s">
        <v>11761</v>
      </c>
      <c r="H1434" s="356" t="s">
        <v>11166</v>
      </c>
      <c r="I1434" s="354" t="s">
        <v>446</v>
      </c>
      <c r="J1434" s="340" t="s">
        <v>8283</v>
      </c>
      <c r="K1434" s="339" t="s">
        <v>70</v>
      </c>
      <c r="L1434" s="357">
        <v>8</v>
      </c>
      <c r="M1434" s="358" t="s">
        <v>11762</v>
      </c>
      <c r="N1434" s="359">
        <v>1000</v>
      </c>
      <c r="O1434" s="360" t="s">
        <v>454</v>
      </c>
      <c r="P1434" s="343" t="s">
        <v>454</v>
      </c>
      <c r="Q1434" s="342" t="s">
        <v>2688</v>
      </c>
      <c r="R1434" s="344">
        <v>25</v>
      </c>
      <c r="S1434" s="345">
        <v>35</v>
      </c>
      <c r="T1434" s="362">
        <v>30</v>
      </c>
      <c r="U1434" s="361">
        <v>77.17</v>
      </c>
      <c r="V1434" s="346">
        <v>116.98039215686275</v>
      </c>
      <c r="W1434" s="348">
        <v>117.31481481481481</v>
      </c>
      <c r="X1434" s="347">
        <v>58.87</v>
      </c>
      <c r="Y1434" s="357" t="s">
        <v>408</v>
      </c>
      <c r="Z1434" s="365" t="s">
        <v>3017</v>
      </c>
      <c r="AA1434" s="350">
        <v>98</v>
      </c>
      <c r="AB1434" s="349" t="s">
        <v>2685</v>
      </c>
      <c r="AC1434" s="350">
        <v>0</v>
      </c>
      <c r="AD1434" s="349" t="s">
        <v>2685</v>
      </c>
      <c r="AE1434" s="364">
        <v>0</v>
      </c>
      <c r="AF1434" s="366">
        <v>0</v>
      </c>
      <c r="AG1434" s="363">
        <v>0</v>
      </c>
      <c r="AH1434" s="635" t="s">
        <v>408</v>
      </c>
      <c r="AL1434" s="487" t="s">
        <v>15832</v>
      </c>
      <c r="AM1434" s="477" t="s">
        <v>70</v>
      </c>
      <c r="AN1434" s="637">
        <v>100</v>
      </c>
      <c r="AO1434" s="478">
        <v>-1570</v>
      </c>
      <c r="AP1434" s="463">
        <v>-1570</v>
      </c>
      <c r="AQ1434" s="479">
        <v>0</v>
      </c>
      <c r="AR1434" s="476" t="s">
        <v>17538</v>
      </c>
      <c r="BA1434" s="313" t="s">
        <v>5867</v>
      </c>
    </row>
    <row r="1435" spans="2:53" ht="16.5" customHeight="1">
      <c r="B1435" s="367" t="s">
        <v>11765</v>
      </c>
      <c r="C1435" s="351" t="s">
        <v>11766</v>
      </c>
      <c r="D1435" s="353">
        <v>-1570</v>
      </c>
      <c r="E1435" s="352" t="s">
        <v>408</v>
      </c>
      <c r="F1435" s="341">
        <v>77.16</v>
      </c>
      <c r="G1435" s="355" t="s">
        <v>5641</v>
      </c>
      <c r="H1435" s="356" t="s">
        <v>5240</v>
      </c>
      <c r="I1435" s="354" t="s">
        <v>424</v>
      </c>
      <c r="J1435" s="340" t="s">
        <v>11768</v>
      </c>
      <c r="K1435" s="339" t="s">
        <v>70</v>
      </c>
      <c r="L1435" s="357">
        <v>106</v>
      </c>
      <c r="M1435" s="358" t="s">
        <v>11769</v>
      </c>
      <c r="N1435" s="359">
        <v>1000</v>
      </c>
      <c r="O1435" s="360" t="s">
        <v>454</v>
      </c>
      <c r="P1435" s="343" t="s">
        <v>454</v>
      </c>
      <c r="Q1435" s="342" t="s">
        <v>2738</v>
      </c>
      <c r="R1435" s="344">
        <v>25</v>
      </c>
      <c r="S1435" s="345">
        <v>35</v>
      </c>
      <c r="T1435" s="362">
        <v>20</v>
      </c>
      <c r="U1435" s="361">
        <v>77.16</v>
      </c>
      <c r="V1435" s="346">
        <v>116.97560975609757</v>
      </c>
      <c r="W1435" s="348">
        <v>117.31029810298104</v>
      </c>
      <c r="X1435" s="347">
        <v>58.87</v>
      </c>
      <c r="Y1435" s="357" t="s">
        <v>408</v>
      </c>
      <c r="Z1435" s="365" t="s">
        <v>3017</v>
      </c>
      <c r="AA1435" s="350">
        <v>196</v>
      </c>
      <c r="AB1435" s="349" t="s">
        <v>2685</v>
      </c>
      <c r="AC1435" s="350">
        <v>3</v>
      </c>
      <c r="AD1435" s="349" t="s">
        <v>2685</v>
      </c>
      <c r="AE1435" s="364">
        <v>0</v>
      </c>
      <c r="AF1435" s="366">
        <v>15.432</v>
      </c>
      <c r="AG1435" s="363">
        <v>0</v>
      </c>
      <c r="AH1435" s="635" t="s">
        <v>10813</v>
      </c>
      <c r="AL1435" s="487" t="s">
        <v>15833</v>
      </c>
      <c r="AM1435" s="477" t="s">
        <v>70</v>
      </c>
      <c r="AN1435" s="637">
        <v>100</v>
      </c>
      <c r="AO1435" s="478">
        <v>-1570</v>
      </c>
      <c r="AP1435" s="463">
        <v>-1570</v>
      </c>
      <c r="AQ1435" s="479">
        <v>0</v>
      </c>
      <c r="AR1435" s="476" t="s">
        <v>17538</v>
      </c>
      <c r="BA1435" s="313" t="s">
        <v>5870</v>
      </c>
    </row>
    <row r="1436" spans="2:53" ht="16.5" customHeight="1">
      <c r="B1436" s="367" t="s">
        <v>18244</v>
      </c>
      <c r="C1436" s="351" t="s">
        <v>18245</v>
      </c>
      <c r="D1436" s="353">
        <v>-1570</v>
      </c>
      <c r="E1436" s="352" t="s">
        <v>408</v>
      </c>
      <c r="F1436" s="341">
        <v>77.14</v>
      </c>
      <c r="G1436" s="355" t="s">
        <v>18894</v>
      </c>
      <c r="H1436" s="356" t="s">
        <v>18895</v>
      </c>
      <c r="I1436" s="354" t="s">
        <v>214</v>
      </c>
      <c r="J1436" s="340" t="s">
        <v>9774</v>
      </c>
      <c r="K1436" s="339" t="s">
        <v>71</v>
      </c>
      <c r="L1436" s="357">
        <v>13</v>
      </c>
      <c r="M1436" s="358" t="s">
        <v>11750</v>
      </c>
      <c r="N1436" s="359">
        <v>200</v>
      </c>
      <c r="O1436" s="360" t="s">
        <v>532</v>
      </c>
      <c r="P1436" s="343" t="s">
        <v>532</v>
      </c>
      <c r="Q1436" s="342" t="s">
        <v>2688</v>
      </c>
      <c r="R1436" s="344">
        <v>30</v>
      </c>
      <c r="S1436" s="345">
        <v>20</v>
      </c>
      <c r="T1436" s="362">
        <v>30</v>
      </c>
      <c r="U1436" s="361">
        <v>77.14</v>
      </c>
      <c r="V1436" s="346">
        <v>116.96323851781884</v>
      </c>
      <c r="W1436" s="348">
        <v>117.29861415571779</v>
      </c>
      <c r="X1436" s="347" t="s">
        <v>18896</v>
      </c>
      <c r="Y1436" s="357" t="s">
        <v>408</v>
      </c>
      <c r="Z1436" s="365" t="s">
        <v>4408</v>
      </c>
      <c r="AA1436" s="350">
        <v>36</v>
      </c>
      <c r="AB1436" s="349" t="s">
        <v>2685</v>
      </c>
      <c r="AC1436" s="350">
        <v>0</v>
      </c>
      <c r="AD1436" s="349" t="s">
        <v>2685</v>
      </c>
      <c r="AE1436" s="364">
        <v>0</v>
      </c>
      <c r="AF1436" s="366">
        <v>0</v>
      </c>
      <c r="AG1436" s="363">
        <v>0</v>
      </c>
      <c r="AH1436" s="635" t="s">
        <v>408</v>
      </c>
      <c r="AL1436" s="487" t="s">
        <v>15834</v>
      </c>
      <c r="AM1436" s="477" t="s">
        <v>71</v>
      </c>
      <c r="AN1436" s="637">
        <v>100</v>
      </c>
      <c r="AO1436" s="478">
        <v>-1570</v>
      </c>
      <c r="AP1436" s="463">
        <v>-703</v>
      </c>
      <c r="AQ1436" s="479">
        <v>-867</v>
      </c>
      <c r="AR1436" s="476" t="s">
        <v>17539</v>
      </c>
      <c r="BA1436" s="313" t="s">
        <v>5874</v>
      </c>
    </row>
    <row r="1437" spans="2:53" ht="16.5" customHeight="1">
      <c r="B1437" s="367" t="s">
        <v>11772</v>
      </c>
      <c r="C1437" s="351" t="s">
        <v>11773</v>
      </c>
      <c r="D1437" s="353">
        <v>-1570</v>
      </c>
      <c r="E1437" s="352" t="s">
        <v>11763</v>
      </c>
      <c r="F1437" s="341">
        <v>77.14</v>
      </c>
      <c r="G1437" s="355" t="s">
        <v>11774</v>
      </c>
      <c r="H1437" s="356" t="s">
        <v>11176</v>
      </c>
      <c r="I1437" s="354" t="s">
        <v>209</v>
      </c>
      <c r="J1437" s="340" t="s">
        <v>551</v>
      </c>
      <c r="K1437" s="339" t="s">
        <v>70</v>
      </c>
      <c r="L1437" s="357">
        <v>22</v>
      </c>
      <c r="M1437" s="358" t="s">
        <v>11775</v>
      </c>
      <c r="N1437" s="359">
        <v>1000</v>
      </c>
      <c r="O1437" s="360" t="s">
        <v>530</v>
      </c>
      <c r="P1437" s="343" t="s">
        <v>530</v>
      </c>
      <c r="Q1437" s="342" t="s">
        <v>2688</v>
      </c>
      <c r="R1437" s="344">
        <v>20</v>
      </c>
      <c r="S1437" s="345">
        <v>30</v>
      </c>
      <c r="T1437" s="362">
        <v>30</v>
      </c>
      <c r="U1437" s="361">
        <v>77.14</v>
      </c>
      <c r="V1437" s="346">
        <v>116.96635595694929</v>
      </c>
      <c r="W1437" s="348">
        <v>117.30155840378544</v>
      </c>
      <c r="X1437" s="347">
        <v>58.86</v>
      </c>
      <c r="Y1437" s="357" t="s">
        <v>408</v>
      </c>
      <c r="Z1437" s="365" t="s">
        <v>3017</v>
      </c>
      <c r="AA1437" s="350">
        <v>198</v>
      </c>
      <c r="AB1437" s="349" t="s">
        <v>2685</v>
      </c>
      <c r="AC1437" s="350">
        <v>10</v>
      </c>
      <c r="AD1437" s="349" t="s">
        <v>2685</v>
      </c>
      <c r="AE1437" s="364">
        <v>0</v>
      </c>
      <c r="AF1437" s="366">
        <v>0</v>
      </c>
      <c r="AG1437" s="363">
        <v>0</v>
      </c>
      <c r="AH1437" s="635" t="s">
        <v>408</v>
      </c>
      <c r="AL1437" s="487" t="s">
        <v>15835</v>
      </c>
      <c r="AM1437" s="477" t="s">
        <v>70</v>
      </c>
      <c r="AN1437" s="637">
        <v>100</v>
      </c>
      <c r="AO1437" s="478">
        <v>-1570</v>
      </c>
      <c r="AP1437" s="463">
        <v>-1570</v>
      </c>
      <c r="AQ1437" s="479">
        <v>0</v>
      </c>
      <c r="AR1437" s="476" t="s">
        <v>17540</v>
      </c>
      <c r="BA1437" s="313" t="s">
        <v>5876</v>
      </c>
    </row>
    <row r="1438" spans="2:53" ht="16.5" customHeight="1">
      <c r="B1438" s="367" t="s">
        <v>11772</v>
      </c>
      <c r="C1438" s="351" t="s">
        <v>11773</v>
      </c>
      <c r="D1438" s="353">
        <v>-1570</v>
      </c>
      <c r="E1438" s="352" t="s">
        <v>408</v>
      </c>
      <c r="F1438" s="341">
        <v>77.14</v>
      </c>
      <c r="G1438" s="355" t="s">
        <v>11774</v>
      </c>
      <c r="H1438" s="356" t="s">
        <v>11176</v>
      </c>
      <c r="I1438" s="354" t="s">
        <v>209</v>
      </c>
      <c r="J1438" s="340" t="s">
        <v>555</v>
      </c>
      <c r="K1438" s="339" t="s">
        <v>70</v>
      </c>
      <c r="L1438" s="357">
        <v>32</v>
      </c>
      <c r="M1438" s="358" t="s">
        <v>11775</v>
      </c>
      <c r="N1438" s="359">
        <v>1000</v>
      </c>
      <c r="O1438" s="360" t="s">
        <v>530</v>
      </c>
      <c r="P1438" s="343" t="s">
        <v>530</v>
      </c>
      <c r="Q1438" s="342" t="s">
        <v>2688</v>
      </c>
      <c r="R1438" s="344">
        <v>20</v>
      </c>
      <c r="S1438" s="345">
        <v>30</v>
      </c>
      <c r="T1438" s="362">
        <v>30</v>
      </c>
      <c r="U1438" s="361">
        <v>77.14</v>
      </c>
      <c r="V1438" s="346">
        <v>116.96635595694929</v>
      </c>
      <c r="W1438" s="348">
        <v>117.30155840378544</v>
      </c>
      <c r="X1438" s="347">
        <v>58.86</v>
      </c>
      <c r="Y1438" s="357" t="s">
        <v>408</v>
      </c>
      <c r="Z1438" s="365" t="s">
        <v>3017</v>
      </c>
      <c r="AA1438" s="350">
        <v>198</v>
      </c>
      <c r="AB1438" s="349" t="s">
        <v>2685</v>
      </c>
      <c r="AC1438" s="350">
        <v>10</v>
      </c>
      <c r="AD1438" s="349" t="s">
        <v>2685</v>
      </c>
      <c r="AE1438" s="364">
        <v>0</v>
      </c>
      <c r="AF1438" s="366">
        <v>0</v>
      </c>
      <c r="AG1438" s="363">
        <v>0</v>
      </c>
      <c r="AH1438" s="635" t="s">
        <v>408</v>
      </c>
      <c r="AL1438" s="487" t="s">
        <v>15836</v>
      </c>
      <c r="AM1438" s="477" t="s">
        <v>70</v>
      </c>
      <c r="AN1438" s="637">
        <v>100</v>
      </c>
      <c r="AO1438" s="478">
        <v>-1570</v>
      </c>
      <c r="AP1438" s="463">
        <v>-1570</v>
      </c>
      <c r="AQ1438" s="479">
        <v>0</v>
      </c>
      <c r="AR1438" s="476" t="s">
        <v>17540</v>
      </c>
      <c r="BA1438" s="313" t="s">
        <v>5877</v>
      </c>
    </row>
    <row r="1439" spans="2:53" ht="16.5" customHeight="1">
      <c r="B1439" s="367" t="s">
        <v>5753</v>
      </c>
      <c r="C1439" s="351" t="s">
        <v>5754</v>
      </c>
      <c r="D1439" s="353">
        <v>-1570</v>
      </c>
      <c r="E1439" s="352" t="s">
        <v>11770</v>
      </c>
      <c r="F1439" s="341">
        <v>77.13</v>
      </c>
      <c r="G1439" s="355" t="s">
        <v>5795</v>
      </c>
      <c r="H1439" s="356" t="s">
        <v>18895</v>
      </c>
      <c r="I1439" s="354" t="s">
        <v>195</v>
      </c>
      <c r="J1439" s="340" t="s">
        <v>11776</v>
      </c>
      <c r="K1439" s="339" t="s">
        <v>70</v>
      </c>
      <c r="L1439" s="357">
        <v>17</v>
      </c>
      <c r="M1439" s="358" t="s">
        <v>11777</v>
      </c>
      <c r="N1439" s="359">
        <v>100</v>
      </c>
      <c r="O1439" s="360" t="s">
        <v>454</v>
      </c>
      <c r="P1439" s="343" t="s">
        <v>454</v>
      </c>
      <c r="Q1439" s="342" t="s">
        <v>2738</v>
      </c>
      <c r="R1439" s="344">
        <v>25</v>
      </c>
      <c r="S1439" s="345">
        <v>35</v>
      </c>
      <c r="T1439" s="362">
        <v>20</v>
      </c>
      <c r="U1439" s="361">
        <v>77.13</v>
      </c>
      <c r="V1439" s="346">
        <v>116.95588235294117</v>
      </c>
      <c r="W1439" s="348">
        <v>117.29166666666667</v>
      </c>
      <c r="X1439" s="347">
        <v>58.86</v>
      </c>
      <c r="Y1439" s="357" t="s">
        <v>408</v>
      </c>
      <c r="Z1439" s="365" t="s">
        <v>3017</v>
      </c>
      <c r="AA1439" s="350">
        <v>19</v>
      </c>
      <c r="AB1439" s="349" t="s">
        <v>2685</v>
      </c>
      <c r="AC1439" s="350">
        <v>0</v>
      </c>
      <c r="AD1439" s="349" t="s">
        <v>2685</v>
      </c>
      <c r="AE1439" s="364">
        <v>0</v>
      </c>
      <c r="AF1439" s="366">
        <v>0</v>
      </c>
      <c r="AG1439" s="363">
        <v>0</v>
      </c>
      <c r="AH1439" s="635" t="s">
        <v>408</v>
      </c>
      <c r="AL1439" s="487" t="s">
        <v>15837</v>
      </c>
      <c r="AM1439" s="477" t="s">
        <v>70</v>
      </c>
      <c r="AN1439" s="637">
        <v>100</v>
      </c>
      <c r="AO1439" s="478">
        <v>-1570</v>
      </c>
      <c r="AP1439" s="463">
        <v>-1570</v>
      </c>
      <c r="AQ1439" s="479">
        <v>0</v>
      </c>
      <c r="AR1439" s="476" t="s">
        <v>17541</v>
      </c>
      <c r="BA1439" s="313" t="s">
        <v>5879</v>
      </c>
    </row>
    <row r="1440" spans="2:53" ht="16.5" customHeight="1">
      <c r="B1440" s="367" t="s">
        <v>5745</v>
      </c>
      <c r="C1440" s="351" t="s">
        <v>5746</v>
      </c>
      <c r="D1440" s="353">
        <v>-1570</v>
      </c>
      <c r="E1440" s="352" t="s">
        <v>11770</v>
      </c>
      <c r="F1440" s="341">
        <v>77.11</v>
      </c>
      <c r="G1440" s="355" t="s">
        <v>11738</v>
      </c>
      <c r="H1440" s="356" t="s">
        <v>5283</v>
      </c>
      <c r="I1440" s="354" t="s">
        <v>214</v>
      </c>
      <c r="J1440" s="340" t="s">
        <v>8659</v>
      </c>
      <c r="K1440" s="339" t="s">
        <v>71</v>
      </c>
      <c r="L1440" s="357">
        <v>12</v>
      </c>
      <c r="M1440" s="358" t="s">
        <v>11753</v>
      </c>
      <c r="N1440" s="359">
        <v>200</v>
      </c>
      <c r="O1440" s="360" t="s">
        <v>532</v>
      </c>
      <c r="P1440" s="343" t="s">
        <v>532</v>
      </c>
      <c r="Q1440" s="342" t="s">
        <v>2688</v>
      </c>
      <c r="R1440" s="344">
        <v>30</v>
      </c>
      <c r="S1440" s="345">
        <v>20</v>
      </c>
      <c r="T1440" s="362">
        <v>30</v>
      </c>
      <c r="U1440" s="361">
        <v>77.11</v>
      </c>
      <c r="V1440" s="346">
        <v>116.94580493071535</v>
      </c>
      <c r="W1440" s="348">
        <v>117.28214910123117</v>
      </c>
      <c r="X1440" s="347" t="s">
        <v>18896</v>
      </c>
      <c r="Y1440" s="357" t="s">
        <v>408</v>
      </c>
      <c r="Z1440" s="365" t="s">
        <v>4408</v>
      </c>
      <c r="AA1440" s="350">
        <v>36</v>
      </c>
      <c r="AB1440" s="349" t="s">
        <v>2685</v>
      </c>
      <c r="AC1440" s="350">
        <v>0</v>
      </c>
      <c r="AD1440" s="349" t="s">
        <v>2685</v>
      </c>
      <c r="AE1440" s="364">
        <v>0</v>
      </c>
      <c r="AF1440" s="366">
        <v>0</v>
      </c>
      <c r="AG1440" s="363">
        <v>0</v>
      </c>
      <c r="AH1440" s="635" t="s">
        <v>408</v>
      </c>
      <c r="AL1440" s="487" t="s">
        <v>15838</v>
      </c>
      <c r="AM1440" s="477" t="s">
        <v>71</v>
      </c>
      <c r="AN1440" s="637">
        <v>100</v>
      </c>
      <c r="AO1440" s="478">
        <v>-1570</v>
      </c>
      <c r="AP1440" s="463">
        <v>-703</v>
      </c>
      <c r="AQ1440" s="479">
        <v>-867</v>
      </c>
      <c r="AR1440" s="476" t="s">
        <v>17542</v>
      </c>
      <c r="BA1440" s="313" t="s">
        <v>5880</v>
      </c>
    </row>
    <row r="1441" spans="2:53" ht="16.5" customHeight="1">
      <c r="B1441" s="367" t="s">
        <v>11778</v>
      </c>
      <c r="C1441" s="351" t="s">
        <v>11779</v>
      </c>
      <c r="D1441" s="353">
        <v>-1570</v>
      </c>
      <c r="E1441" s="352" t="s">
        <v>408</v>
      </c>
      <c r="F1441" s="341">
        <v>77.11</v>
      </c>
      <c r="G1441" s="355" t="s">
        <v>11780</v>
      </c>
      <c r="H1441" s="356" t="s">
        <v>5276</v>
      </c>
      <c r="I1441" s="354" t="s">
        <v>215</v>
      </c>
      <c r="J1441" s="340" t="s">
        <v>11782</v>
      </c>
      <c r="K1441" s="339" t="s">
        <v>70</v>
      </c>
      <c r="L1441" s="357">
        <v>18</v>
      </c>
      <c r="M1441" s="358" t="s">
        <v>11783</v>
      </c>
      <c r="N1441" s="359">
        <v>1000</v>
      </c>
      <c r="O1441" s="360" t="s">
        <v>530</v>
      </c>
      <c r="P1441" s="343" t="s">
        <v>531</v>
      </c>
      <c r="Q1441" s="342" t="s">
        <v>2688</v>
      </c>
      <c r="R1441" s="344">
        <v>25</v>
      </c>
      <c r="S1441" s="345">
        <v>38</v>
      </c>
      <c r="T1441" s="362">
        <v>25</v>
      </c>
      <c r="U1441" s="361">
        <v>77.11</v>
      </c>
      <c r="V1441" s="346">
        <v>116.94856543037088</v>
      </c>
      <c r="W1441" s="348">
        <v>117.28475623979472</v>
      </c>
      <c r="X1441" s="347">
        <v>58.85</v>
      </c>
      <c r="Y1441" s="357">
        <v>59.03</v>
      </c>
      <c r="Z1441" s="365" t="s">
        <v>3017</v>
      </c>
      <c r="AA1441" s="350">
        <v>121.25</v>
      </c>
      <c r="AB1441" s="349" t="s">
        <v>2685</v>
      </c>
      <c r="AC1441" s="350">
        <v>10</v>
      </c>
      <c r="AD1441" s="349" t="s">
        <v>2685</v>
      </c>
      <c r="AE1441" s="364">
        <v>0</v>
      </c>
      <c r="AF1441" s="366">
        <v>0</v>
      </c>
      <c r="AG1441" s="363">
        <v>0</v>
      </c>
      <c r="AH1441" s="635" t="s">
        <v>408</v>
      </c>
      <c r="AL1441" s="487" t="s">
        <v>15839</v>
      </c>
      <c r="AM1441" s="477" t="s">
        <v>70</v>
      </c>
      <c r="AN1441" s="637">
        <v>100</v>
      </c>
      <c r="AO1441" s="478">
        <v>-1570</v>
      </c>
      <c r="AP1441" s="463">
        <v>-1570</v>
      </c>
      <c r="AQ1441" s="479">
        <v>0</v>
      </c>
      <c r="AR1441" s="476" t="s">
        <v>17543</v>
      </c>
      <c r="BA1441" s="313" t="s">
        <v>5882</v>
      </c>
    </row>
    <row r="1442" spans="2:53" ht="16.5" customHeight="1">
      <c r="B1442" s="367" t="s">
        <v>11784</v>
      </c>
      <c r="C1442" s="351" t="s">
        <v>11785</v>
      </c>
      <c r="D1442" s="353">
        <v>-1570</v>
      </c>
      <c r="E1442" s="352" t="s">
        <v>408</v>
      </c>
      <c r="F1442" s="341">
        <v>77.11</v>
      </c>
      <c r="G1442" s="355" t="s">
        <v>5755</v>
      </c>
      <c r="H1442" s="356" t="s">
        <v>5276</v>
      </c>
      <c r="I1442" s="354" t="s">
        <v>9336</v>
      </c>
      <c r="J1442" s="340" t="s">
        <v>8443</v>
      </c>
      <c r="K1442" s="339" t="s">
        <v>70</v>
      </c>
      <c r="L1442" s="357">
        <v>17</v>
      </c>
      <c r="M1442" s="358" t="s">
        <v>11786</v>
      </c>
      <c r="N1442" s="359">
        <v>700</v>
      </c>
      <c r="O1442" s="360" t="s">
        <v>532</v>
      </c>
      <c r="P1442" s="343" t="s">
        <v>533</v>
      </c>
      <c r="Q1442" s="342" t="s">
        <v>2688</v>
      </c>
      <c r="R1442" s="344">
        <v>20</v>
      </c>
      <c r="S1442" s="345">
        <v>35</v>
      </c>
      <c r="T1442" s="362">
        <v>30</v>
      </c>
      <c r="U1442" s="361">
        <v>77.11</v>
      </c>
      <c r="V1442" s="346">
        <v>116.94559365630445</v>
      </c>
      <c r="W1442" s="348">
        <v>117.28194956428753</v>
      </c>
      <c r="X1442" s="347">
        <v>58.85</v>
      </c>
      <c r="Y1442" s="357">
        <v>61.059999999999995</v>
      </c>
      <c r="Z1442" s="365" t="s">
        <v>3017</v>
      </c>
      <c r="AA1442" s="350">
        <v>104.5</v>
      </c>
      <c r="AB1442" s="349" t="s">
        <v>2685</v>
      </c>
      <c r="AC1442" s="350">
        <v>0</v>
      </c>
      <c r="AD1442" s="349" t="s">
        <v>2685</v>
      </c>
      <c r="AE1442" s="364">
        <v>0</v>
      </c>
      <c r="AF1442" s="366">
        <v>0</v>
      </c>
      <c r="AG1442" s="363">
        <v>0</v>
      </c>
      <c r="AH1442" s="635" t="s">
        <v>408</v>
      </c>
      <c r="AL1442" s="487" t="s">
        <v>15840</v>
      </c>
      <c r="AM1442" s="477" t="s">
        <v>70</v>
      </c>
      <c r="AN1442" s="637">
        <v>100</v>
      </c>
      <c r="AO1442" s="478">
        <v>-1570</v>
      </c>
      <c r="AP1442" s="463">
        <v>-1570</v>
      </c>
      <c r="AQ1442" s="479">
        <v>0</v>
      </c>
      <c r="AR1442" s="476" t="s">
        <v>17543</v>
      </c>
      <c r="BA1442" s="313" t="s">
        <v>5883</v>
      </c>
    </row>
    <row r="1443" spans="2:53" ht="16.5" customHeight="1">
      <c r="B1443" s="367" t="s">
        <v>11784</v>
      </c>
      <c r="C1443" s="351" t="s">
        <v>11785</v>
      </c>
      <c r="D1443" s="353">
        <v>-1570</v>
      </c>
      <c r="E1443" s="352" t="s">
        <v>408</v>
      </c>
      <c r="F1443" s="341">
        <v>77.11</v>
      </c>
      <c r="G1443" s="355" t="s">
        <v>5755</v>
      </c>
      <c r="H1443" s="356" t="s">
        <v>5276</v>
      </c>
      <c r="I1443" s="354" t="s">
        <v>9336</v>
      </c>
      <c r="J1443" s="340" t="s">
        <v>551</v>
      </c>
      <c r="K1443" s="339" t="s">
        <v>70</v>
      </c>
      <c r="L1443" s="357">
        <v>14</v>
      </c>
      <c r="M1443" s="358" t="s">
        <v>11786</v>
      </c>
      <c r="N1443" s="359">
        <v>700</v>
      </c>
      <c r="O1443" s="360" t="s">
        <v>532</v>
      </c>
      <c r="P1443" s="343" t="s">
        <v>533</v>
      </c>
      <c r="Q1443" s="342" t="s">
        <v>2688</v>
      </c>
      <c r="R1443" s="344">
        <v>20</v>
      </c>
      <c r="S1443" s="345">
        <v>35</v>
      </c>
      <c r="T1443" s="362">
        <v>30</v>
      </c>
      <c r="U1443" s="361">
        <v>77.11</v>
      </c>
      <c r="V1443" s="346">
        <v>116.94559365630445</v>
      </c>
      <c r="W1443" s="348">
        <v>117.28194956428753</v>
      </c>
      <c r="X1443" s="347">
        <v>58.85</v>
      </c>
      <c r="Y1443" s="357">
        <v>61.059999999999995</v>
      </c>
      <c r="Z1443" s="365" t="s">
        <v>3017</v>
      </c>
      <c r="AA1443" s="350">
        <v>104.5</v>
      </c>
      <c r="AB1443" s="349" t="s">
        <v>2685</v>
      </c>
      <c r="AC1443" s="350">
        <v>0</v>
      </c>
      <c r="AD1443" s="349" t="s">
        <v>2685</v>
      </c>
      <c r="AE1443" s="364">
        <v>0</v>
      </c>
      <c r="AF1443" s="366">
        <v>0</v>
      </c>
      <c r="AG1443" s="363">
        <v>0</v>
      </c>
      <c r="AH1443" s="635" t="s">
        <v>408</v>
      </c>
      <c r="AL1443" s="487" t="s">
        <v>15841</v>
      </c>
      <c r="AM1443" s="477" t="s">
        <v>70</v>
      </c>
      <c r="AN1443" s="637">
        <v>100</v>
      </c>
      <c r="AO1443" s="478">
        <v>-1570</v>
      </c>
      <c r="AP1443" s="463">
        <v>-1570</v>
      </c>
      <c r="AQ1443" s="479">
        <v>0</v>
      </c>
      <c r="AR1443" s="476" t="s">
        <v>17543</v>
      </c>
      <c r="BA1443" s="313" t="s">
        <v>5885</v>
      </c>
    </row>
    <row r="1444" spans="2:53" ht="16.5" customHeight="1">
      <c r="B1444" s="367" t="s">
        <v>11734</v>
      </c>
      <c r="C1444" s="351" t="s">
        <v>11735</v>
      </c>
      <c r="D1444" s="353">
        <v>-1570</v>
      </c>
      <c r="E1444" s="352" t="s">
        <v>408</v>
      </c>
      <c r="F1444" s="341">
        <v>77.099999999999994</v>
      </c>
      <c r="G1444" s="355" t="s">
        <v>5759</v>
      </c>
      <c r="H1444" s="356" t="s">
        <v>5335</v>
      </c>
      <c r="I1444" s="354" t="s">
        <v>216</v>
      </c>
      <c r="J1444" s="340" t="s">
        <v>9396</v>
      </c>
      <c r="K1444" s="339" t="s">
        <v>71</v>
      </c>
      <c r="L1444" s="357">
        <v>10</v>
      </c>
      <c r="M1444" s="358" t="s">
        <v>11764</v>
      </c>
      <c r="N1444" s="359">
        <v>300</v>
      </c>
      <c r="O1444" s="360" t="s">
        <v>530</v>
      </c>
      <c r="P1444" s="343" t="s">
        <v>530</v>
      </c>
      <c r="Q1444" s="342" t="s">
        <v>2688</v>
      </c>
      <c r="R1444" s="344">
        <v>45</v>
      </c>
      <c r="S1444" s="345">
        <v>25</v>
      </c>
      <c r="T1444" s="362">
        <v>30</v>
      </c>
      <c r="U1444" s="361">
        <v>77.099999999999994</v>
      </c>
      <c r="V1444" s="346">
        <v>116.94260457108523</v>
      </c>
      <c r="W1444" s="348">
        <v>117.27912653935826</v>
      </c>
      <c r="X1444" s="347">
        <v>59</v>
      </c>
      <c r="Y1444" s="357" t="s">
        <v>408</v>
      </c>
      <c r="Z1444" s="365" t="s">
        <v>3017</v>
      </c>
      <c r="AA1444" s="350">
        <v>-2</v>
      </c>
      <c r="AB1444" s="349" t="s">
        <v>2685</v>
      </c>
      <c r="AC1444" s="350">
        <v>0</v>
      </c>
      <c r="AD1444" s="349" t="s">
        <v>2685</v>
      </c>
      <c r="AE1444" s="364">
        <v>0</v>
      </c>
      <c r="AF1444" s="366">
        <v>0</v>
      </c>
      <c r="AG1444" s="363">
        <v>0</v>
      </c>
      <c r="AH1444" s="635" t="s">
        <v>408</v>
      </c>
      <c r="AL1444" s="487" t="s">
        <v>15842</v>
      </c>
      <c r="AM1444" s="477" t="s">
        <v>71</v>
      </c>
      <c r="AN1444" s="637">
        <v>100</v>
      </c>
      <c r="AO1444" s="478">
        <v>-1570</v>
      </c>
      <c r="AP1444" s="463">
        <v>-703</v>
      </c>
      <c r="AQ1444" s="479">
        <v>-867</v>
      </c>
      <c r="AR1444" s="476" t="s">
        <v>17542</v>
      </c>
      <c r="BA1444" s="313" t="s">
        <v>5887</v>
      </c>
    </row>
    <row r="1445" spans="2:53" ht="16.5" customHeight="1">
      <c r="B1445" s="367" t="s">
        <v>18246</v>
      </c>
      <c r="C1445" s="351" t="s">
        <v>18247</v>
      </c>
      <c r="D1445" s="353">
        <v>-1570</v>
      </c>
      <c r="E1445" s="352" t="s">
        <v>408</v>
      </c>
      <c r="F1445" s="341">
        <v>77.08</v>
      </c>
      <c r="G1445" s="355" t="s">
        <v>5769</v>
      </c>
      <c r="H1445" s="356" t="s">
        <v>5286</v>
      </c>
      <c r="I1445" s="354" t="s">
        <v>216</v>
      </c>
      <c r="J1445" s="340" t="s">
        <v>8953</v>
      </c>
      <c r="K1445" s="339" t="s">
        <v>71</v>
      </c>
      <c r="L1445" s="357">
        <v>3</v>
      </c>
      <c r="M1445" s="358" t="s">
        <v>11771</v>
      </c>
      <c r="N1445" s="359">
        <v>300</v>
      </c>
      <c r="O1445" s="360" t="s">
        <v>530</v>
      </c>
      <c r="P1445" s="343" t="s">
        <v>530</v>
      </c>
      <c r="Q1445" s="342" t="s">
        <v>2688</v>
      </c>
      <c r="R1445" s="344">
        <v>45</v>
      </c>
      <c r="S1445" s="345">
        <v>25</v>
      </c>
      <c r="T1445" s="362">
        <v>30</v>
      </c>
      <c r="U1445" s="361">
        <v>77.08</v>
      </c>
      <c r="V1445" s="346">
        <v>116.92929143825231</v>
      </c>
      <c r="W1445" s="348">
        <v>117.26655302501607</v>
      </c>
      <c r="X1445" s="347">
        <v>59</v>
      </c>
      <c r="Y1445" s="357" t="s">
        <v>408</v>
      </c>
      <c r="Z1445" s="365" t="s">
        <v>3017</v>
      </c>
      <c r="AA1445" s="350">
        <v>-2</v>
      </c>
      <c r="AB1445" s="349" t="s">
        <v>2685</v>
      </c>
      <c r="AC1445" s="350">
        <v>0</v>
      </c>
      <c r="AD1445" s="349" t="s">
        <v>2685</v>
      </c>
      <c r="AE1445" s="364">
        <v>0</v>
      </c>
      <c r="AF1445" s="366">
        <v>0</v>
      </c>
      <c r="AG1445" s="363">
        <v>0</v>
      </c>
      <c r="AH1445" s="635" t="s">
        <v>408</v>
      </c>
      <c r="AL1445" s="487" t="s">
        <v>15843</v>
      </c>
      <c r="AM1445" s="477" t="s">
        <v>71</v>
      </c>
      <c r="AN1445" s="637">
        <v>100</v>
      </c>
      <c r="AO1445" s="478">
        <v>-1570</v>
      </c>
      <c r="AP1445" s="463">
        <v>-703</v>
      </c>
      <c r="AQ1445" s="479">
        <v>-867</v>
      </c>
      <c r="AR1445" s="476" t="s">
        <v>17544</v>
      </c>
      <c r="BA1445" s="313" t="s">
        <v>5889</v>
      </c>
    </row>
    <row r="1446" spans="2:53" ht="16.5" customHeight="1">
      <c r="B1446" s="367" t="s">
        <v>18246</v>
      </c>
      <c r="C1446" s="351" t="s">
        <v>18247</v>
      </c>
      <c r="D1446" s="353">
        <v>-1570</v>
      </c>
      <c r="E1446" s="352" t="s">
        <v>408</v>
      </c>
      <c r="F1446" s="341">
        <v>77.08</v>
      </c>
      <c r="G1446" s="355" t="s">
        <v>5769</v>
      </c>
      <c r="H1446" s="356" t="s">
        <v>5286</v>
      </c>
      <c r="I1446" s="354" t="s">
        <v>216</v>
      </c>
      <c r="J1446" s="340" t="s">
        <v>8275</v>
      </c>
      <c r="K1446" s="339" t="s">
        <v>71</v>
      </c>
      <c r="L1446" s="357">
        <v>4</v>
      </c>
      <c r="M1446" s="358" t="s">
        <v>11771</v>
      </c>
      <c r="N1446" s="359">
        <v>300</v>
      </c>
      <c r="O1446" s="360" t="s">
        <v>530</v>
      </c>
      <c r="P1446" s="343" t="s">
        <v>530</v>
      </c>
      <c r="Q1446" s="342" t="s">
        <v>2688</v>
      </c>
      <c r="R1446" s="344">
        <v>45</v>
      </c>
      <c r="S1446" s="345">
        <v>25</v>
      </c>
      <c r="T1446" s="362">
        <v>30</v>
      </c>
      <c r="U1446" s="361">
        <v>77.08</v>
      </c>
      <c r="V1446" s="346">
        <v>116.92929143825231</v>
      </c>
      <c r="W1446" s="348">
        <v>117.26655302501607</v>
      </c>
      <c r="X1446" s="347">
        <v>59</v>
      </c>
      <c r="Y1446" s="357" t="s">
        <v>408</v>
      </c>
      <c r="Z1446" s="365" t="s">
        <v>3017</v>
      </c>
      <c r="AA1446" s="350">
        <v>-2</v>
      </c>
      <c r="AB1446" s="349" t="s">
        <v>2685</v>
      </c>
      <c r="AC1446" s="350">
        <v>0</v>
      </c>
      <c r="AD1446" s="349" t="s">
        <v>2685</v>
      </c>
      <c r="AE1446" s="364">
        <v>0</v>
      </c>
      <c r="AF1446" s="366">
        <v>0</v>
      </c>
      <c r="AG1446" s="363">
        <v>0</v>
      </c>
      <c r="AH1446" s="635" t="s">
        <v>408</v>
      </c>
      <c r="AL1446" s="487" t="s">
        <v>15844</v>
      </c>
      <c r="AM1446" s="477" t="s">
        <v>71</v>
      </c>
      <c r="AN1446" s="637">
        <v>100</v>
      </c>
      <c r="AO1446" s="478">
        <v>-1570</v>
      </c>
      <c r="AP1446" s="463">
        <v>-703</v>
      </c>
      <c r="AQ1446" s="479">
        <v>-867</v>
      </c>
      <c r="AR1446" s="476" t="s">
        <v>17544</v>
      </c>
      <c r="BA1446" s="313" t="s">
        <v>5890</v>
      </c>
    </row>
    <row r="1447" spans="2:53" ht="16.5" customHeight="1">
      <c r="B1447" s="367" t="s">
        <v>5767</v>
      </c>
      <c r="C1447" s="351" t="s">
        <v>5768</v>
      </c>
      <c r="D1447" s="353">
        <v>-1570</v>
      </c>
      <c r="E1447" s="352" t="s">
        <v>408</v>
      </c>
      <c r="F1447" s="341">
        <v>77.06</v>
      </c>
      <c r="G1447" s="355" t="s">
        <v>11787</v>
      </c>
      <c r="H1447" s="356" t="s">
        <v>5258</v>
      </c>
      <c r="I1447" s="354" t="s">
        <v>209</v>
      </c>
      <c r="J1447" s="340" t="s">
        <v>9703</v>
      </c>
      <c r="K1447" s="339" t="s">
        <v>70</v>
      </c>
      <c r="L1447" s="357">
        <v>37</v>
      </c>
      <c r="M1447" s="358" t="s">
        <v>11789</v>
      </c>
      <c r="N1447" s="359">
        <v>1000</v>
      </c>
      <c r="O1447" s="360" t="s">
        <v>530</v>
      </c>
      <c r="P1447" s="343" t="s">
        <v>530</v>
      </c>
      <c r="Q1447" s="342" t="s">
        <v>2688</v>
      </c>
      <c r="R1447" s="344">
        <v>20</v>
      </c>
      <c r="S1447" s="345">
        <v>30</v>
      </c>
      <c r="T1447" s="362">
        <v>30</v>
      </c>
      <c r="U1447" s="361">
        <v>77.06</v>
      </c>
      <c r="V1447" s="346">
        <v>116.91623595181716</v>
      </c>
      <c r="W1447" s="348">
        <v>117.25422284338288</v>
      </c>
      <c r="X1447" s="347">
        <v>58.83</v>
      </c>
      <c r="Y1447" s="357" t="s">
        <v>408</v>
      </c>
      <c r="Z1447" s="365" t="s">
        <v>3017</v>
      </c>
      <c r="AA1447" s="350">
        <v>198</v>
      </c>
      <c r="AB1447" s="349" t="s">
        <v>2685</v>
      </c>
      <c r="AC1447" s="350">
        <v>10</v>
      </c>
      <c r="AD1447" s="349" t="s">
        <v>2685</v>
      </c>
      <c r="AE1447" s="364">
        <v>0</v>
      </c>
      <c r="AF1447" s="366">
        <v>0</v>
      </c>
      <c r="AG1447" s="363">
        <v>0</v>
      </c>
      <c r="AH1447" s="635" t="s">
        <v>408</v>
      </c>
      <c r="AL1447" s="487" t="s">
        <v>15845</v>
      </c>
      <c r="AM1447" s="477" t="s">
        <v>70</v>
      </c>
      <c r="AN1447" s="637">
        <v>100</v>
      </c>
      <c r="AO1447" s="478">
        <v>-1570</v>
      </c>
      <c r="AP1447" s="463">
        <v>-1570</v>
      </c>
      <c r="AQ1447" s="479">
        <v>0</v>
      </c>
      <c r="AR1447" s="476" t="s">
        <v>17545</v>
      </c>
      <c r="BA1447" s="313" t="s">
        <v>5894</v>
      </c>
    </row>
    <row r="1448" spans="2:53" ht="16.5" customHeight="1">
      <c r="B1448" s="367" t="s">
        <v>5762</v>
      </c>
      <c r="C1448" s="351" t="s">
        <v>5763</v>
      </c>
      <c r="D1448" s="353">
        <v>-1570</v>
      </c>
      <c r="E1448" s="352" t="s">
        <v>408</v>
      </c>
      <c r="F1448" s="341">
        <v>77.06</v>
      </c>
      <c r="G1448" s="355" t="s">
        <v>11790</v>
      </c>
      <c r="H1448" s="356" t="s">
        <v>5291</v>
      </c>
      <c r="I1448" s="354" t="s">
        <v>485</v>
      </c>
      <c r="J1448" s="340" t="s">
        <v>486</v>
      </c>
      <c r="K1448" s="339" t="s">
        <v>70</v>
      </c>
      <c r="L1448" s="357">
        <v>32</v>
      </c>
      <c r="M1448" s="358" t="s">
        <v>5700</v>
      </c>
      <c r="N1448" s="359">
        <v>100</v>
      </c>
      <c r="O1448" s="360" t="s">
        <v>454</v>
      </c>
      <c r="P1448" s="343" t="s">
        <v>454</v>
      </c>
      <c r="Q1448" s="342" t="s">
        <v>2738</v>
      </c>
      <c r="R1448" s="344">
        <v>30</v>
      </c>
      <c r="S1448" s="345">
        <v>35</v>
      </c>
      <c r="T1448" s="362">
        <v>15</v>
      </c>
      <c r="U1448" s="361">
        <v>77.06</v>
      </c>
      <c r="V1448" s="346">
        <v>116.91911764705883</v>
      </c>
      <c r="W1448" s="348">
        <v>117.25694444444444</v>
      </c>
      <c r="X1448" s="347">
        <v>58.84</v>
      </c>
      <c r="Y1448" s="357" t="s">
        <v>408</v>
      </c>
      <c r="Z1448" s="365" t="s">
        <v>3017</v>
      </c>
      <c r="AA1448" s="350">
        <v>19.600000000000001</v>
      </c>
      <c r="AB1448" s="349" t="s">
        <v>2685</v>
      </c>
      <c r="AC1448" s="350">
        <v>0</v>
      </c>
      <c r="AD1448" s="349" t="s">
        <v>2685</v>
      </c>
      <c r="AE1448" s="364">
        <v>0</v>
      </c>
      <c r="AF1448" s="366">
        <v>0</v>
      </c>
      <c r="AG1448" s="363">
        <v>0</v>
      </c>
      <c r="AH1448" s="635" t="s">
        <v>408</v>
      </c>
      <c r="AL1448" s="487" t="s">
        <v>7217</v>
      </c>
      <c r="AM1448" s="477" t="s">
        <v>70</v>
      </c>
      <c r="AN1448" s="637">
        <v>100</v>
      </c>
      <c r="AO1448" s="478">
        <v>-1570</v>
      </c>
      <c r="AP1448" s="463">
        <v>-1570</v>
      </c>
      <c r="AQ1448" s="479">
        <v>0</v>
      </c>
      <c r="AR1448" s="476" t="s">
        <v>17545</v>
      </c>
      <c r="BA1448" s="313" t="s">
        <v>5897</v>
      </c>
    </row>
    <row r="1449" spans="2:53" ht="16.5" customHeight="1">
      <c r="B1449" s="367" t="s">
        <v>5724</v>
      </c>
      <c r="C1449" s="351" t="s">
        <v>5725</v>
      </c>
      <c r="D1449" s="353">
        <v>-1570</v>
      </c>
      <c r="E1449" s="352" t="s">
        <v>11791</v>
      </c>
      <c r="F1449" s="341">
        <v>77.03</v>
      </c>
      <c r="G1449" s="355" t="s">
        <v>5781</v>
      </c>
      <c r="H1449" s="356" t="s">
        <v>5295</v>
      </c>
      <c r="I1449" s="354" t="s">
        <v>215</v>
      </c>
      <c r="J1449" s="340" t="s">
        <v>560</v>
      </c>
      <c r="K1449" s="339" t="s">
        <v>71</v>
      </c>
      <c r="L1449" s="357">
        <v>8</v>
      </c>
      <c r="M1449" s="358" t="s">
        <v>11792</v>
      </c>
      <c r="N1449" s="359">
        <v>1000</v>
      </c>
      <c r="O1449" s="360" t="s">
        <v>530</v>
      </c>
      <c r="P1449" s="343" t="s">
        <v>531</v>
      </c>
      <c r="Q1449" s="342" t="s">
        <v>2688</v>
      </c>
      <c r="R1449" s="344">
        <v>38</v>
      </c>
      <c r="S1449" s="345">
        <v>25</v>
      </c>
      <c r="T1449" s="362">
        <v>25</v>
      </c>
      <c r="U1449" s="361">
        <v>77.03</v>
      </c>
      <c r="V1449" s="346">
        <v>116.9016814429838</v>
      </c>
      <c r="W1449" s="348">
        <v>117.24047691837359</v>
      </c>
      <c r="X1449" s="347">
        <v>58.98</v>
      </c>
      <c r="Y1449" s="357">
        <v>59.4</v>
      </c>
      <c r="Z1449" s="365" t="s">
        <v>3017</v>
      </c>
      <c r="AA1449" s="350">
        <v>121.25</v>
      </c>
      <c r="AB1449" s="349" t="s">
        <v>2685</v>
      </c>
      <c r="AC1449" s="350">
        <v>10</v>
      </c>
      <c r="AD1449" s="349" t="s">
        <v>2685</v>
      </c>
      <c r="AE1449" s="364">
        <v>0</v>
      </c>
      <c r="AF1449" s="366">
        <v>0</v>
      </c>
      <c r="AG1449" s="363">
        <v>0</v>
      </c>
      <c r="AH1449" s="635" t="s">
        <v>8002</v>
      </c>
      <c r="AL1449" s="487" t="s">
        <v>15846</v>
      </c>
      <c r="AM1449" s="477" t="s">
        <v>71</v>
      </c>
      <c r="AN1449" s="637">
        <v>100</v>
      </c>
      <c r="AO1449" s="478">
        <v>-1570</v>
      </c>
      <c r="AP1449" s="463">
        <v>-703</v>
      </c>
      <c r="AQ1449" s="479">
        <v>-867</v>
      </c>
      <c r="AR1449" s="476" t="s">
        <v>17546</v>
      </c>
      <c r="BA1449" s="313" t="s">
        <v>5898</v>
      </c>
    </row>
    <row r="1450" spans="2:53" ht="16.5" customHeight="1">
      <c r="B1450" s="367" t="s">
        <v>5779</v>
      </c>
      <c r="C1450" s="351" t="s">
        <v>5780</v>
      </c>
      <c r="D1450" s="353">
        <v>-1570</v>
      </c>
      <c r="E1450" s="352" t="s">
        <v>408</v>
      </c>
      <c r="F1450" s="341">
        <v>77.010000000000005</v>
      </c>
      <c r="G1450" s="355" t="s">
        <v>5771</v>
      </c>
      <c r="H1450" s="356" t="s">
        <v>18897</v>
      </c>
      <c r="I1450" s="354" t="s">
        <v>215</v>
      </c>
      <c r="J1450" s="340" t="s">
        <v>11793</v>
      </c>
      <c r="K1450" s="339" t="s">
        <v>70</v>
      </c>
      <c r="L1450" s="357">
        <v>11</v>
      </c>
      <c r="M1450" s="358" t="s">
        <v>11794</v>
      </c>
      <c r="N1450" s="359">
        <v>1000</v>
      </c>
      <c r="O1450" s="360" t="s">
        <v>530</v>
      </c>
      <c r="P1450" s="343" t="s">
        <v>531</v>
      </c>
      <c r="Q1450" s="342" t="s">
        <v>2688</v>
      </c>
      <c r="R1450" s="344">
        <v>25</v>
      </c>
      <c r="S1450" s="345">
        <v>38</v>
      </c>
      <c r="T1450" s="362">
        <v>25</v>
      </c>
      <c r="U1450" s="361">
        <v>77.010000000000005</v>
      </c>
      <c r="V1450" s="346">
        <v>116.88978306508047</v>
      </c>
      <c r="W1450" s="348">
        <v>117.22923956146488</v>
      </c>
      <c r="X1450" s="347">
        <v>58.82</v>
      </c>
      <c r="Y1450" s="357">
        <v>58.989999999999995</v>
      </c>
      <c r="Z1450" s="365" t="s">
        <v>3017</v>
      </c>
      <c r="AA1450" s="350">
        <v>121.25</v>
      </c>
      <c r="AB1450" s="349" t="s">
        <v>2685</v>
      </c>
      <c r="AC1450" s="350">
        <v>10</v>
      </c>
      <c r="AD1450" s="349" t="s">
        <v>2685</v>
      </c>
      <c r="AE1450" s="364">
        <v>0</v>
      </c>
      <c r="AF1450" s="366">
        <v>0</v>
      </c>
      <c r="AG1450" s="363">
        <v>0</v>
      </c>
      <c r="AH1450" s="635" t="s">
        <v>408</v>
      </c>
      <c r="AL1450" s="487" t="s">
        <v>15847</v>
      </c>
      <c r="AM1450" s="477" t="s">
        <v>70</v>
      </c>
      <c r="AN1450" s="637">
        <v>100</v>
      </c>
      <c r="AO1450" s="478">
        <v>-1570</v>
      </c>
      <c r="AP1450" s="463">
        <v>-1570</v>
      </c>
      <c r="AQ1450" s="479">
        <v>0</v>
      </c>
      <c r="AR1450" s="476" t="s">
        <v>17547</v>
      </c>
      <c r="BA1450" s="313" t="s">
        <v>5900</v>
      </c>
    </row>
    <row r="1451" spans="2:53" ht="16.5" customHeight="1">
      <c r="B1451" s="367" t="s">
        <v>5791</v>
      </c>
      <c r="C1451" s="351" t="s">
        <v>5792</v>
      </c>
      <c r="D1451" s="353">
        <v>-1570</v>
      </c>
      <c r="E1451" s="352" t="s">
        <v>11795</v>
      </c>
      <c r="F1451" s="341">
        <v>77</v>
      </c>
      <c r="G1451" s="355" t="s">
        <v>12064</v>
      </c>
      <c r="H1451" s="356" t="s">
        <v>11496</v>
      </c>
      <c r="I1451" s="354" t="s">
        <v>485</v>
      </c>
      <c r="J1451" s="340" t="s">
        <v>11796</v>
      </c>
      <c r="K1451" s="339" t="s">
        <v>71</v>
      </c>
      <c r="L1451" s="357">
        <v>21</v>
      </c>
      <c r="M1451" s="358" t="s">
        <v>5707</v>
      </c>
      <c r="N1451" s="359">
        <v>100</v>
      </c>
      <c r="O1451" s="360" t="s">
        <v>454</v>
      </c>
      <c r="P1451" s="343" t="s">
        <v>454</v>
      </c>
      <c r="Q1451" s="342" t="s">
        <v>2738</v>
      </c>
      <c r="R1451" s="344">
        <v>35</v>
      </c>
      <c r="S1451" s="345">
        <v>30</v>
      </c>
      <c r="T1451" s="362">
        <v>15</v>
      </c>
      <c r="U1451" s="361">
        <v>77</v>
      </c>
      <c r="V1451" s="346">
        <v>116.88235294117646</v>
      </c>
      <c r="W1451" s="348">
        <v>117.22222222222221</v>
      </c>
      <c r="X1451" s="347">
        <v>58.97</v>
      </c>
      <c r="Y1451" s="357" t="s">
        <v>408</v>
      </c>
      <c r="Z1451" s="365" t="s">
        <v>3017</v>
      </c>
      <c r="AA1451" s="350">
        <v>19.600000000000001</v>
      </c>
      <c r="AB1451" s="349" t="s">
        <v>2685</v>
      </c>
      <c r="AC1451" s="350">
        <v>0</v>
      </c>
      <c r="AD1451" s="349" t="s">
        <v>2685</v>
      </c>
      <c r="AE1451" s="364">
        <v>0</v>
      </c>
      <c r="AF1451" s="366">
        <v>0</v>
      </c>
      <c r="AG1451" s="363">
        <v>0</v>
      </c>
      <c r="AH1451" s="635" t="s">
        <v>408</v>
      </c>
      <c r="AL1451" s="487" t="s">
        <v>15848</v>
      </c>
      <c r="AM1451" s="477" t="s">
        <v>71</v>
      </c>
      <c r="AN1451" s="637">
        <v>100</v>
      </c>
      <c r="AO1451" s="478">
        <v>-1570</v>
      </c>
      <c r="AP1451" s="463">
        <v>-702</v>
      </c>
      <c r="AQ1451" s="479">
        <v>-868</v>
      </c>
      <c r="AR1451" s="476" t="s">
        <v>17548</v>
      </c>
      <c r="BA1451" s="313" t="s">
        <v>5901</v>
      </c>
    </row>
    <row r="1452" spans="2:53" ht="16.5" customHeight="1">
      <c r="B1452" s="367" t="s">
        <v>5787</v>
      </c>
      <c r="C1452" s="351" t="s">
        <v>5788</v>
      </c>
      <c r="D1452" s="353">
        <v>-1570</v>
      </c>
      <c r="E1452" s="352" t="s">
        <v>11797</v>
      </c>
      <c r="F1452" s="341">
        <v>76.989999999999995</v>
      </c>
      <c r="G1452" s="355" t="s">
        <v>11799</v>
      </c>
      <c r="H1452" s="356" t="s">
        <v>5303</v>
      </c>
      <c r="I1452" s="354" t="s">
        <v>215</v>
      </c>
      <c r="J1452" s="340" t="s">
        <v>9611</v>
      </c>
      <c r="K1452" s="339" t="s">
        <v>70</v>
      </c>
      <c r="L1452" s="357">
        <v>14</v>
      </c>
      <c r="M1452" s="358" t="s">
        <v>11800</v>
      </c>
      <c r="N1452" s="359">
        <v>1000</v>
      </c>
      <c r="O1452" s="360" t="s">
        <v>530</v>
      </c>
      <c r="P1452" s="343" t="s">
        <v>531</v>
      </c>
      <c r="Q1452" s="342" t="s">
        <v>2688</v>
      </c>
      <c r="R1452" s="344">
        <v>25</v>
      </c>
      <c r="S1452" s="345">
        <v>38</v>
      </c>
      <c r="T1452" s="362">
        <v>25</v>
      </c>
      <c r="U1452" s="361">
        <v>76.989999999999995</v>
      </c>
      <c r="V1452" s="346">
        <v>116.87911275415897</v>
      </c>
      <c r="W1452" s="348">
        <v>117.21916204559457</v>
      </c>
      <c r="X1452" s="347">
        <v>58.82</v>
      </c>
      <c r="Y1452" s="357">
        <v>58.98</v>
      </c>
      <c r="Z1452" s="365" t="s">
        <v>3017</v>
      </c>
      <c r="AA1452" s="350">
        <v>121.25</v>
      </c>
      <c r="AB1452" s="349" t="s">
        <v>2685</v>
      </c>
      <c r="AC1452" s="350">
        <v>10</v>
      </c>
      <c r="AD1452" s="349" t="s">
        <v>2685</v>
      </c>
      <c r="AE1452" s="364">
        <v>0</v>
      </c>
      <c r="AF1452" s="366">
        <v>0</v>
      </c>
      <c r="AG1452" s="363">
        <v>0</v>
      </c>
      <c r="AH1452" s="635" t="s">
        <v>408</v>
      </c>
      <c r="AL1452" s="487" t="s">
        <v>15849</v>
      </c>
      <c r="AM1452" s="477" t="s">
        <v>70</v>
      </c>
      <c r="AN1452" s="637">
        <v>100</v>
      </c>
      <c r="AO1452" s="478">
        <v>-1570</v>
      </c>
      <c r="AP1452" s="463">
        <v>-1570</v>
      </c>
      <c r="AQ1452" s="479">
        <v>0</v>
      </c>
      <c r="AR1452" s="476" t="s">
        <v>17549</v>
      </c>
      <c r="BA1452" s="313" t="s">
        <v>5903</v>
      </c>
    </row>
    <row r="1453" spans="2:53" ht="16.5" customHeight="1">
      <c r="B1453" s="367" t="s">
        <v>11801</v>
      </c>
      <c r="C1453" s="351" t="s">
        <v>11802</v>
      </c>
      <c r="D1453" s="353">
        <v>-1570</v>
      </c>
      <c r="E1453" s="352" t="s">
        <v>408</v>
      </c>
      <c r="F1453" s="341">
        <v>76.98</v>
      </c>
      <c r="G1453" s="355" t="s">
        <v>11803</v>
      </c>
      <c r="H1453" s="356" t="s">
        <v>11500</v>
      </c>
      <c r="I1453" s="354" t="s">
        <v>423</v>
      </c>
      <c r="J1453" s="340" t="s">
        <v>9611</v>
      </c>
      <c r="K1453" s="339" t="s">
        <v>70</v>
      </c>
      <c r="L1453" s="357">
        <v>8</v>
      </c>
      <c r="M1453" s="358" t="s">
        <v>4948</v>
      </c>
      <c r="N1453" s="359">
        <v>1000</v>
      </c>
      <c r="O1453" s="360" t="s">
        <v>530</v>
      </c>
      <c r="P1453" s="343" t="s">
        <v>531</v>
      </c>
      <c r="Q1453" s="342" t="s">
        <v>2688</v>
      </c>
      <c r="R1453" s="344">
        <v>20</v>
      </c>
      <c r="S1453" s="345">
        <v>35</v>
      </c>
      <c r="T1453" s="362">
        <v>25</v>
      </c>
      <c r="U1453" s="361">
        <v>76.98</v>
      </c>
      <c r="V1453" s="346">
        <v>116.87070293470961</v>
      </c>
      <c r="W1453" s="348">
        <v>117.21121943833685</v>
      </c>
      <c r="X1453" s="347">
        <v>58.81</v>
      </c>
      <c r="Y1453" s="357">
        <v>59.19</v>
      </c>
      <c r="Z1453" s="365" t="s">
        <v>3017</v>
      </c>
      <c r="AA1453" s="350">
        <v>198</v>
      </c>
      <c r="AB1453" s="349" t="s">
        <v>2685</v>
      </c>
      <c r="AC1453" s="350">
        <v>10</v>
      </c>
      <c r="AD1453" s="349" t="s">
        <v>2685</v>
      </c>
      <c r="AE1453" s="364">
        <v>0</v>
      </c>
      <c r="AF1453" s="366">
        <v>13.552</v>
      </c>
      <c r="AG1453" s="363">
        <v>0</v>
      </c>
      <c r="AH1453" s="635" t="s">
        <v>11625</v>
      </c>
      <c r="AL1453" s="487" t="s">
        <v>15850</v>
      </c>
      <c r="AM1453" s="477" t="s">
        <v>70</v>
      </c>
      <c r="AN1453" s="637">
        <v>100</v>
      </c>
      <c r="AO1453" s="478">
        <v>-1570</v>
      </c>
      <c r="AP1453" s="463">
        <v>-1570</v>
      </c>
      <c r="AQ1453" s="479">
        <v>0</v>
      </c>
      <c r="AR1453" s="476" t="s">
        <v>17550</v>
      </c>
      <c r="BA1453" s="313" t="s">
        <v>5904</v>
      </c>
    </row>
    <row r="1454" spans="2:53" ht="16.5" customHeight="1">
      <c r="B1454" s="367" t="s">
        <v>11784</v>
      </c>
      <c r="C1454" s="351" t="s">
        <v>11785</v>
      </c>
      <c r="D1454" s="353">
        <v>-1570</v>
      </c>
      <c r="E1454" s="352" t="s">
        <v>408</v>
      </c>
      <c r="F1454" s="341">
        <v>76.930000000000007</v>
      </c>
      <c r="G1454" s="355" t="s">
        <v>5755</v>
      </c>
      <c r="H1454" s="356" t="s">
        <v>11603</v>
      </c>
      <c r="I1454" s="354" t="s">
        <v>212</v>
      </c>
      <c r="J1454" s="340" t="s">
        <v>8232</v>
      </c>
      <c r="K1454" s="339" t="s">
        <v>71</v>
      </c>
      <c r="L1454" s="357">
        <v>6</v>
      </c>
      <c r="M1454" s="358" t="s">
        <v>11798</v>
      </c>
      <c r="N1454" s="359">
        <v>800</v>
      </c>
      <c r="O1454" s="360" t="s">
        <v>532</v>
      </c>
      <c r="P1454" s="343" t="s">
        <v>532</v>
      </c>
      <c r="Q1454" s="342" t="s">
        <v>2688</v>
      </c>
      <c r="R1454" s="344">
        <v>40</v>
      </c>
      <c r="S1454" s="345">
        <v>30</v>
      </c>
      <c r="T1454" s="362">
        <v>30</v>
      </c>
      <c r="U1454" s="361">
        <v>76.930000000000007</v>
      </c>
      <c r="V1454" s="346">
        <v>116.84214044607261</v>
      </c>
      <c r="W1454" s="348">
        <v>117.18424375462412</v>
      </c>
      <c r="X1454" s="347" t="s">
        <v>18898</v>
      </c>
      <c r="Y1454" s="357" t="s">
        <v>408</v>
      </c>
      <c r="Z1454" s="365" t="s">
        <v>3017</v>
      </c>
      <c r="AA1454" s="350">
        <v>190</v>
      </c>
      <c r="AB1454" s="349" t="s">
        <v>2685</v>
      </c>
      <c r="AC1454" s="350">
        <v>10</v>
      </c>
      <c r="AD1454" s="349" t="s">
        <v>2685</v>
      </c>
      <c r="AE1454" s="364">
        <v>0</v>
      </c>
      <c r="AF1454" s="366">
        <v>0</v>
      </c>
      <c r="AG1454" s="363">
        <v>0</v>
      </c>
      <c r="AH1454" s="635" t="s">
        <v>408</v>
      </c>
      <c r="AL1454" s="487" t="s">
        <v>15851</v>
      </c>
      <c r="AM1454" s="477" t="s">
        <v>71</v>
      </c>
      <c r="AN1454" s="637">
        <v>100</v>
      </c>
      <c r="AO1454" s="478">
        <v>-1570</v>
      </c>
      <c r="AP1454" s="463">
        <v>-702</v>
      </c>
      <c r="AQ1454" s="479">
        <v>-868</v>
      </c>
      <c r="AR1454" s="476" t="s">
        <v>17551</v>
      </c>
      <c r="BA1454" s="313" t="s">
        <v>5908</v>
      </c>
    </row>
    <row r="1455" spans="2:53" ht="16.5" customHeight="1">
      <c r="B1455" s="367" t="s">
        <v>11810</v>
      </c>
      <c r="C1455" s="351" t="s">
        <v>11811</v>
      </c>
      <c r="D1455" s="353">
        <v>-1570</v>
      </c>
      <c r="E1455" s="352" t="s">
        <v>11806</v>
      </c>
      <c r="F1455" s="341">
        <v>76.930000000000007</v>
      </c>
      <c r="G1455" s="355" t="s">
        <v>11812</v>
      </c>
      <c r="H1455" s="356" t="s">
        <v>11203</v>
      </c>
      <c r="I1455" s="354" t="s">
        <v>209</v>
      </c>
      <c r="J1455" s="340" t="s">
        <v>11813</v>
      </c>
      <c r="K1455" s="339" t="s">
        <v>70</v>
      </c>
      <c r="L1455" s="357">
        <v>22</v>
      </c>
      <c r="M1455" s="358" t="s">
        <v>11807</v>
      </c>
      <c r="N1455" s="359">
        <v>1000</v>
      </c>
      <c r="O1455" s="360" t="s">
        <v>530</v>
      </c>
      <c r="P1455" s="343" t="s">
        <v>530</v>
      </c>
      <c r="Q1455" s="342" t="s">
        <v>2688</v>
      </c>
      <c r="R1455" s="344">
        <v>20</v>
      </c>
      <c r="S1455" s="345">
        <v>30</v>
      </c>
      <c r="T1455" s="362">
        <v>30</v>
      </c>
      <c r="U1455" s="361">
        <v>76.930000000000007</v>
      </c>
      <c r="V1455" s="346">
        <v>116.84105594411901</v>
      </c>
      <c r="W1455" s="348">
        <v>117.18321950277905</v>
      </c>
      <c r="X1455" s="347">
        <v>58.79</v>
      </c>
      <c r="Y1455" s="357" t="s">
        <v>408</v>
      </c>
      <c r="Z1455" s="365" t="s">
        <v>3017</v>
      </c>
      <c r="AA1455" s="350">
        <v>198</v>
      </c>
      <c r="AB1455" s="349" t="s">
        <v>2685</v>
      </c>
      <c r="AC1455" s="350">
        <v>10</v>
      </c>
      <c r="AD1455" s="349" t="s">
        <v>2685</v>
      </c>
      <c r="AE1455" s="364">
        <v>0</v>
      </c>
      <c r="AF1455" s="366">
        <v>0</v>
      </c>
      <c r="AG1455" s="363">
        <v>0</v>
      </c>
      <c r="AH1455" s="635" t="s">
        <v>408</v>
      </c>
      <c r="AL1455" s="487" t="s">
        <v>15852</v>
      </c>
      <c r="AM1455" s="477" t="s">
        <v>70</v>
      </c>
      <c r="AN1455" s="637">
        <v>100</v>
      </c>
      <c r="AO1455" s="478">
        <v>-1570</v>
      </c>
      <c r="AP1455" s="463">
        <v>-1570</v>
      </c>
      <c r="AQ1455" s="479">
        <v>0</v>
      </c>
      <c r="AR1455" s="476" t="s">
        <v>17552</v>
      </c>
      <c r="BA1455" s="313" t="s">
        <v>5909</v>
      </c>
    </row>
    <row r="1456" spans="2:53" ht="16.5" customHeight="1">
      <c r="B1456" s="367" t="s">
        <v>5767</v>
      </c>
      <c r="C1456" s="351" t="s">
        <v>5768</v>
      </c>
      <c r="D1456" s="353">
        <v>-1570</v>
      </c>
      <c r="E1456" s="352" t="s">
        <v>11808</v>
      </c>
      <c r="F1456" s="341">
        <v>76.88</v>
      </c>
      <c r="G1456" s="355" t="s">
        <v>11787</v>
      </c>
      <c r="H1456" s="356" t="s">
        <v>11516</v>
      </c>
      <c r="I1456" s="354" t="s">
        <v>209</v>
      </c>
      <c r="J1456" s="340" t="s">
        <v>560</v>
      </c>
      <c r="K1456" s="339" t="s">
        <v>71</v>
      </c>
      <c r="L1456" s="357">
        <v>10</v>
      </c>
      <c r="M1456" s="358" t="s">
        <v>11807</v>
      </c>
      <c r="N1456" s="359">
        <v>1000</v>
      </c>
      <c r="O1456" s="360" t="s">
        <v>530</v>
      </c>
      <c r="P1456" s="343" t="s">
        <v>530</v>
      </c>
      <c r="Q1456" s="342" t="s">
        <v>2688</v>
      </c>
      <c r="R1456" s="344">
        <v>30</v>
      </c>
      <c r="S1456" s="345">
        <v>25</v>
      </c>
      <c r="T1456" s="362">
        <v>25</v>
      </c>
      <c r="U1456" s="361">
        <v>76.88</v>
      </c>
      <c r="V1456" s="346">
        <v>116.81139366568968</v>
      </c>
      <c r="W1456" s="348">
        <v>117.15520512870691</v>
      </c>
      <c r="X1456" s="347">
        <v>58.94</v>
      </c>
      <c r="Y1456" s="357" t="s">
        <v>408</v>
      </c>
      <c r="Z1456" s="365" t="s">
        <v>3017</v>
      </c>
      <c r="AA1456" s="350">
        <v>198</v>
      </c>
      <c r="AB1456" s="349" t="s">
        <v>2685</v>
      </c>
      <c r="AC1456" s="350">
        <v>10</v>
      </c>
      <c r="AD1456" s="349" t="s">
        <v>2685</v>
      </c>
      <c r="AE1456" s="364">
        <v>0</v>
      </c>
      <c r="AF1456" s="366">
        <v>0</v>
      </c>
      <c r="AG1456" s="363">
        <v>0</v>
      </c>
      <c r="AH1456" s="635" t="s">
        <v>408</v>
      </c>
      <c r="AL1456" s="487" t="s">
        <v>15853</v>
      </c>
      <c r="AM1456" s="477" t="s">
        <v>71</v>
      </c>
      <c r="AN1456" s="637">
        <v>100</v>
      </c>
      <c r="AO1456" s="478">
        <v>-1570</v>
      </c>
      <c r="AP1456" s="463">
        <v>-702</v>
      </c>
      <c r="AQ1456" s="479">
        <v>-868</v>
      </c>
      <c r="AR1456" s="476" t="s">
        <v>17553</v>
      </c>
      <c r="BA1456" s="313" t="s">
        <v>5912</v>
      </c>
    </row>
    <row r="1457" spans="2:53" ht="16.5" customHeight="1">
      <c r="B1457" s="367" t="s">
        <v>11815</v>
      </c>
      <c r="C1457" s="351" t="s">
        <v>11816</v>
      </c>
      <c r="D1457" s="353">
        <v>-1570</v>
      </c>
      <c r="E1457" s="352" t="s">
        <v>408</v>
      </c>
      <c r="F1457" s="341">
        <v>76.88</v>
      </c>
      <c r="G1457" s="355" t="s">
        <v>11817</v>
      </c>
      <c r="H1457" s="356" t="s">
        <v>11272</v>
      </c>
      <c r="I1457" s="354" t="s">
        <v>485</v>
      </c>
      <c r="J1457" s="340" t="s">
        <v>7266</v>
      </c>
      <c r="K1457" s="339" t="s">
        <v>70</v>
      </c>
      <c r="L1457" s="357">
        <v>50</v>
      </c>
      <c r="M1457" s="358" t="s">
        <v>11818</v>
      </c>
      <c r="N1457" s="359">
        <v>100</v>
      </c>
      <c r="O1457" s="360" t="s">
        <v>454</v>
      </c>
      <c r="P1457" s="343" t="s">
        <v>454</v>
      </c>
      <c r="Q1457" s="342" t="s">
        <v>2738</v>
      </c>
      <c r="R1457" s="344">
        <v>30</v>
      </c>
      <c r="S1457" s="345">
        <v>35</v>
      </c>
      <c r="T1457" s="362">
        <v>15</v>
      </c>
      <c r="U1457" s="361">
        <v>76.88</v>
      </c>
      <c r="V1457" s="346">
        <v>116.80882352941177</v>
      </c>
      <c r="W1457" s="348">
        <v>117.15277777777779</v>
      </c>
      <c r="X1457" s="347">
        <v>58.78</v>
      </c>
      <c r="Y1457" s="357" t="s">
        <v>408</v>
      </c>
      <c r="Z1457" s="365" t="s">
        <v>3017</v>
      </c>
      <c r="AA1457" s="350">
        <v>19.600000000000001</v>
      </c>
      <c r="AB1457" s="349" t="s">
        <v>2685</v>
      </c>
      <c r="AC1457" s="350">
        <v>0</v>
      </c>
      <c r="AD1457" s="349" t="s">
        <v>2685</v>
      </c>
      <c r="AE1457" s="364">
        <v>0</v>
      </c>
      <c r="AF1457" s="366">
        <v>0</v>
      </c>
      <c r="AG1457" s="363">
        <v>0</v>
      </c>
      <c r="AH1457" s="635" t="s">
        <v>408</v>
      </c>
      <c r="AL1457" s="487" t="s">
        <v>15854</v>
      </c>
      <c r="AM1457" s="477" t="s">
        <v>70</v>
      </c>
      <c r="AN1457" s="637">
        <v>100</v>
      </c>
      <c r="AO1457" s="478">
        <v>-1570</v>
      </c>
      <c r="AP1457" s="463">
        <v>-1570</v>
      </c>
      <c r="AQ1457" s="479">
        <v>0</v>
      </c>
      <c r="AR1457" s="476" t="s">
        <v>17554</v>
      </c>
      <c r="BA1457" s="313" t="s">
        <v>5914</v>
      </c>
    </row>
    <row r="1458" spans="2:53" ht="16.5" customHeight="1">
      <c r="B1458" s="367" t="s">
        <v>11804</v>
      </c>
      <c r="C1458" s="351" t="s">
        <v>11805</v>
      </c>
      <c r="D1458" s="353">
        <v>-1570</v>
      </c>
      <c r="E1458" s="352" t="s">
        <v>5771</v>
      </c>
      <c r="F1458" s="341">
        <v>76.87</v>
      </c>
      <c r="G1458" s="355" t="s">
        <v>11806</v>
      </c>
      <c r="H1458" s="356" t="s">
        <v>11516</v>
      </c>
      <c r="I1458" s="354" t="s">
        <v>212</v>
      </c>
      <c r="J1458" s="340" t="s">
        <v>489</v>
      </c>
      <c r="K1458" s="339" t="s">
        <v>71</v>
      </c>
      <c r="L1458" s="357">
        <v>61</v>
      </c>
      <c r="M1458" s="358" t="s">
        <v>11809</v>
      </c>
      <c r="N1458" s="359">
        <v>800</v>
      </c>
      <c r="O1458" s="360" t="s">
        <v>532</v>
      </c>
      <c r="P1458" s="343" t="s">
        <v>532</v>
      </c>
      <c r="Q1458" s="342" t="s">
        <v>2688</v>
      </c>
      <c r="R1458" s="344">
        <v>40</v>
      </c>
      <c r="S1458" s="345">
        <v>30</v>
      </c>
      <c r="T1458" s="362">
        <v>30</v>
      </c>
      <c r="U1458" s="361">
        <v>76.87</v>
      </c>
      <c r="V1458" s="346">
        <v>116.80706630348853</v>
      </c>
      <c r="W1458" s="348">
        <v>117.15111817551694</v>
      </c>
      <c r="X1458" s="347" t="s">
        <v>18898</v>
      </c>
      <c r="Y1458" s="357" t="s">
        <v>408</v>
      </c>
      <c r="Z1458" s="365" t="s">
        <v>3017</v>
      </c>
      <c r="AA1458" s="350">
        <v>190</v>
      </c>
      <c r="AB1458" s="349" t="s">
        <v>2685</v>
      </c>
      <c r="AC1458" s="350">
        <v>10</v>
      </c>
      <c r="AD1458" s="349" t="s">
        <v>2685</v>
      </c>
      <c r="AE1458" s="364">
        <v>0</v>
      </c>
      <c r="AF1458" s="366">
        <v>0</v>
      </c>
      <c r="AG1458" s="363">
        <v>0</v>
      </c>
      <c r="AH1458" s="635" t="s">
        <v>408</v>
      </c>
      <c r="AL1458" s="487" t="s">
        <v>15855</v>
      </c>
      <c r="AM1458" s="477" t="s">
        <v>71</v>
      </c>
      <c r="AN1458" s="637">
        <v>100</v>
      </c>
      <c r="AO1458" s="478">
        <v>-1570</v>
      </c>
      <c r="AP1458" s="463">
        <v>-702</v>
      </c>
      <c r="AQ1458" s="479">
        <v>-868</v>
      </c>
      <c r="AR1458" s="476" t="s">
        <v>17553</v>
      </c>
      <c r="BA1458" s="313" t="s">
        <v>5917</v>
      </c>
    </row>
    <row r="1459" spans="2:53" ht="16.5" customHeight="1">
      <c r="B1459" s="367" t="s">
        <v>5783</v>
      </c>
      <c r="C1459" s="351" t="s">
        <v>5784</v>
      </c>
      <c r="D1459" s="353">
        <v>-1570</v>
      </c>
      <c r="E1459" s="352" t="s">
        <v>408</v>
      </c>
      <c r="F1459" s="341">
        <v>76.83</v>
      </c>
      <c r="G1459" s="355" t="s">
        <v>18899</v>
      </c>
      <c r="H1459" s="356" t="s">
        <v>11224</v>
      </c>
      <c r="I1459" s="354" t="s">
        <v>214</v>
      </c>
      <c r="J1459" s="340" t="s">
        <v>8214</v>
      </c>
      <c r="K1459" s="339" t="s">
        <v>71</v>
      </c>
      <c r="L1459" s="357">
        <v>6</v>
      </c>
      <c r="M1459" s="358" t="s">
        <v>11814</v>
      </c>
      <c r="N1459" s="359">
        <v>200</v>
      </c>
      <c r="O1459" s="360" t="s">
        <v>532</v>
      </c>
      <c r="P1459" s="343" t="s">
        <v>532</v>
      </c>
      <c r="Q1459" s="342" t="s">
        <v>2688</v>
      </c>
      <c r="R1459" s="344">
        <v>30</v>
      </c>
      <c r="S1459" s="345">
        <v>20</v>
      </c>
      <c r="T1459" s="362">
        <v>30</v>
      </c>
      <c r="U1459" s="361">
        <v>76.83</v>
      </c>
      <c r="V1459" s="346">
        <v>116.78014841086294</v>
      </c>
      <c r="W1459" s="348">
        <v>117.12569572137055</v>
      </c>
      <c r="X1459" s="347" t="s">
        <v>18900</v>
      </c>
      <c r="Y1459" s="357" t="s">
        <v>408</v>
      </c>
      <c r="Z1459" s="365" t="s">
        <v>4408</v>
      </c>
      <c r="AA1459" s="350">
        <v>36</v>
      </c>
      <c r="AB1459" s="349" t="s">
        <v>2685</v>
      </c>
      <c r="AC1459" s="350">
        <v>0</v>
      </c>
      <c r="AD1459" s="349" t="s">
        <v>2685</v>
      </c>
      <c r="AE1459" s="364">
        <v>0</v>
      </c>
      <c r="AF1459" s="366">
        <v>0</v>
      </c>
      <c r="AG1459" s="363">
        <v>0</v>
      </c>
      <c r="AH1459" s="635" t="s">
        <v>408</v>
      </c>
      <c r="AL1459" s="487" t="s">
        <v>15856</v>
      </c>
      <c r="AM1459" s="477" t="s">
        <v>71</v>
      </c>
      <c r="AN1459" s="637">
        <v>100</v>
      </c>
      <c r="AO1459" s="478">
        <v>-1570</v>
      </c>
      <c r="AP1459" s="463">
        <v>-702</v>
      </c>
      <c r="AQ1459" s="479">
        <v>-868</v>
      </c>
      <c r="AR1459" s="476" t="s">
        <v>17555</v>
      </c>
      <c r="BA1459" s="313" t="s">
        <v>5919</v>
      </c>
    </row>
    <row r="1460" spans="2:53" ht="16.5" customHeight="1">
      <c r="B1460" s="367" t="s">
        <v>5810</v>
      </c>
      <c r="C1460" s="351" t="s">
        <v>5811</v>
      </c>
      <c r="D1460" s="353">
        <v>-1570</v>
      </c>
      <c r="E1460" s="352" t="s">
        <v>408</v>
      </c>
      <c r="F1460" s="341">
        <v>76.819999999999993</v>
      </c>
      <c r="G1460" s="355" t="s">
        <v>5597</v>
      </c>
      <c r="H1460" s="356" t="s">
        <v>11224</v>
      </c>
      <c r="I1460" s="354" t="s">
        <v>212</v>
      </c>
      <c r="J1460" s="340" t="s">
        <v>9345</v>
      </c>
      <c r="K1460" s="339" t="s">
        <v>70</v>
      </c>
      <c r="L1460" s="357">
        <v>8</v>
      </c>
      <c r="M1460" s="358" t="s">
        <v>11820</v>
      </c>
      <c r="N1460" s="359">
        <v>800</v>
      </c>
      <c r="O1460" s="360" t="s">
        <v>532</v>
      </c>
      <c r="P1460" s="343" t="s">
        <v>532</v>
      </c>
      <c r="Q1460" s="342" t="s">
        <v>2688</v>
      </c>
      <c r="R1460" s="344">
        <v>30</v>
      </c>
      <c r="S1460" s="345">
        <v>40</v>
      </c>
      <c r="T1460" s="362">
        <v>30</v>
      </c>
      <c r="U1460" s="361">
        <v>76.819999999999993</v>
      </c>
      <c r="V1460" s="346">
        <v>116.77441448154278</v>
      </c>
      <c r="W1460" s="348">
        <v>117.12028034367928</v>
      </c>
      <c r="X1460" s="347" t="s">
        <v>18901</v>
      </c>
      <c r="Y1460" s="357" t="s">
        <v>408</v>
      </c>
      <c r="Z1460" s="365" t="s">
        <v>3017</v>
      </c>
      <c r="AA1460" s="350">
        <v>190</v>
      </c>
      <c r="AB1460" s="349" t="s">
        <v>2685</v>
      </c>
      <c r="AC1460" s="350">
        <v>10</v>
      </c>
      <c r="AD1460" s="349" t="s">
        <v>2685</v>
      </c>
      <c r="AE1460" s="364">
        <v>0</v>
      </c>
      <c r="AF1460" s="366">
        <v>0</v>
      </c>
      <c r="AG1460" s="363">
        <v>0</v>
      </c>
      <c r="AH1460" s="635" t="s">
        <v>408</v>
      </c>
      <c r="AL1460" s="487" t="s">
        <v>15858</v>
      </c>
      <c r="AM1460" s="477" t="s">
        <v>70</v>
      </c>
      <c r="AN1460" s="637">
        <v>100</v>
      </c>
      <c r="AO1460" s="478">
        <v>-1570</v>
      </c>
      <c r="AP1460" s="463">
        <v>-1570</v>
      </c>
      <c r="AQ1460" s="479">
        <v>0</v>
      </c>
      <c r="AR1460" s="476" t="s">
        <v>17556</v>
      </c>
      <c r="BA1460" s="313" t="s">
        <v>5923</v>
      </c>
    </row>
    <row r="1461" spans="2:53" ht="16.5" customHeight="1">
      <c r="B1461" s="367" t="s">
        <v>11821</v>
      </c>
      <c r="C1461" s="351" t="s">
        <v>11822</v>
      </c>
      <c r="D1461" s="353">
        <v>-1570</v>
      </c>
      <c r="E1461" s="352" t="s">
        <v>408</v>
      </c>
      <c r="F1461" s="341">
        <v>76.81</v>
      </c>
      <c r="G1461" s="355" t="s">
        <v>11823</v>
      </c>
      <c r="H1461" s="356" t="s">
        <v>5331</v>
      </c>
      <c r="I1461" s="354" t="s">
        <v>9336</v>
      </c>
      <c r="J1461" s="340" t="s">
        <v>11824</v>
      </c>
      <c r="K1461" s="339" t="s">
        <v>70</v>
      </c>
      <c r="L1461" s="357">
        <v>22</v>
      </c>
      <c r="M1461" s="358" t="s">
        <v>11825</v>
      </c>
      <c r="N1461" s="359">
        <v>700</v>
      </c>
      <c r="O1461" s="360" t="s">
        <v>532</v>
      </c>
      <c r="P1461" s="343" t="s">
        <v>533</v>
      </c>
      <c r="Q1461" s="342" t="s">
        <v>2688</v>
      </c>
      <c r="R1461" s="344">
        <v>20</v>
      </c>
      <c r="S1461" s="345">
        <v>35</v>
      </c>
      <c r="T1461" s="362">
        <v>30</v>
      </c>
      <c r="U1461" s="361">
        <v>76.81</v>
      </c>
      <c r="V1461" s="346">
        <v>116.76851483468585</v>
      </c>
      <c r="W1461" s="348">
        <v>117.11470845498108</v>
      </c>
      <c r="X1461" s="347">
        <v>58.76</v>
      </c>
      <c r="Y1461" s="357">
        <v>60.919999999999995</v>
      </c>
      <c r="Z1461" s="365" t="s">
        <v>3017</v>
      </c>
      <c r="AA1461" s="350">
        <v>104.5</v>
      </c>
      <c r="AB1461" s="349" t="s">
        <v>2685</v>
      </c>
      <c r="AC1461" s="350">
        <v>0</v>
      </c>
      <c r="AD1461" s="349" t="s">
        <v>2685</v>
      </c>
      <c r="AE1461" s="364">
        <v>0</v>
      </c>
      <c r="AF1461" s="366">
        <v>0</v>
      </c>
      <c r="AG1461" s="363">
        <v>0</v>
      </c>
      <c r="AH1461" s="635" t="s">
        <v>408</v>
      </c>
      <c r="AL1461" s="487" t="s">
        <v>15857</v>
      </c>
      <c r="AM1461" s="477" t="s">
        <v>70</v>
      </c>
      <c r="AN1461" s="637">
        <v>100</v>
      </c>
      <c r="AO1461" s="478">
        <v>-1570</v>
      </c>
      <c r="AP1461" s="463">
        <v>-1570</v>
      </c>
      <c r="AQ1461" s="479">
        <v>0</v>
      </c>
      <c r="AR1461" s="476" t="s">
        <v>17556</v>
      </c>
      <c r="BA1461" s="313" t="s">
        <v>5927</v>
      </c>
    </row>
    <row r="1462" spans="2:53" ht="16.5" customHeight="1">
      <c r="B1462" s="367" t="s">
        <v>11778</v>
      </c>
      <c r="C1462" s="351" t="s">
        <v>11779</v>
      </c>
      <c r="D1462" s="353">
        <v>-1570</v>
      </c>
      <c r="E1462" s="352" t="s">
        <v>11780</v>
      </c>
      <c r="F1462" s="341">
        <v>76.760000000000005</v>
      </c>
      <c r="G1462" s="355" t="s">
        <v>5852</v>
      </c>
      <c r="H1462" s="356" t="s">
        <v>18817</v>
      </c>
      <c r="I1462" s="354" t="s">
        <v>215</v>
      </c>
      <c r="J1462" s="340" t="s">
        <v>562</v>
      </c>
      <c r="K1462" s="339" t="s">
        <v>71</v>
      </c>
      <c r="L1462" s="357">
        <v>5</v>
      </c>
      <c r="M1462" s="358" t="s">
        <v>11826</v>
      </c>
      <c r="N1462" s="359">
        <v>1000</v>
      </c>
      <c r="O1462" s="360" t="s">
        <v>530</v>
      </c>
      <c r="P1462" s="343" t="s">
        <v>531</v>
      </c>
      <c r="Q1462" s="342" t="s">
        <v>2688</v>
      </c>
      <c r="R1462" s="344">
        <v>38</v>
      </c>
      <c r="S1462" s="345">
        <v>25</v>
      </c>
      <c r="T1462" s="362">
        <v>25</v>
      </c>
      <c r="U1462" s="361">
        <v>76.760000000000005</v>
      </c>
      <c r="V1462" s="346">
        <v>116.74054458221697</v>
      </c>
      <c r="W1462" s="348">
        <v>117.08829210542713</v>
      </c>
      <c r="X1462" s="347">
        <v>58.9</v>
      </c>
      <c r="Y1462" s="357">
        <v>59.309999999999995</v>
      </c>
      <c r="Z1462" s="365" t="s">
        <v>3017</v>
      </c>
      <c r="AA1462" s="350">
        <v>121.25</v>
      </c>
      <c r="AB1462" s="349" t="s">
        <v>2685</v>
      </c>
      <c r="AC1462" s="350">
        <v>10</v>
      </c>
      <c r="AD1462" s="349" t="s">
        <v>2685</v>
      </c>
      <c r="AE1462" s="364">
        <v>0</v>
      </c>
      <c r="AF1462" s="366">
        <v>0</v>
      </c>
      <c r="AG1462" s="363">
        <v>0</v>
      </c>
      <c r="AH1462" s="635" t="s">
        <v>8002</v>
      </c>
      <c r="AL1462" s="487" t="s">
        <v>15859</v>
      </c>
      <c r="AM1462" s="477" t="s">
        <v>71</v>
      </c>
      <c r="AN1462" s="637">
        <v>100</v>
      </c>
      <c r="AO1462" s="478">
        <v>-1570</v>
      </c>
      <c r="AP1462" s="463">
        <v>-701</v>
      </c>
      <c r="AQ1462" s="479">
        <v>-869</v>
      </c>
      <c r="AR1462" s="476" t="s">
        <v>17557</v>
      </c>
      <c r="BA1462" s="313" t="s">
        <v>5928</v>
      </c>
    </row>
    <row r="1463" spans="2:53" ht="16.5" customHeight="1">
      <c r="B1463" s="367" t="s">
        <v>11827</v>
      </c>
      <c r="C1463" s="351" t="s">
        <v>11828</v>
      </c>
      <c r="D1463" s="353">
        <v>-1570</v>
      </c>
      <c r="E1463" s="352" t="s">
        <v>11829</v>
      </c>
      <c r="F1463" s="341">
        <v>76.75</v>
      </c>
      <c r="G1463" s="355" t="s">
        <v>11812</v>
      </c>
      <c r="H1463" s="356" t="s">
        <v>11232</v>
      </c>
      <c r="I1463" s="354" t="s">
        <v>485</v>
      </c>
      <c r="J1463" s="340" t="s">
        <v>11830</v>
      </c>
      <c r="K1463" s="339" t="s">
        <v>71</v>
      </c>
      <c r="L1463" s="357">
        <v>11</v>
      </c>
      <c r="M1463" s="358" t="s">
        <v>5841</v>
      </c>
      <c r="N1463" s="359">
        <v>100</v>
      </c>
      <c r="O1463" s="360" t="s">
        <v>454</v>
      </c>
      <c r="P1463" s="343" t="s">
        <v>454</v>
      </c>
      <c r="Q1463" s="342" t="s">
        <v>2738</v>
      </c>
      <c r="R1463" s="344">
        <v>35</v>
      </c>
      <c r="S1463" s="345">
        <v>30</v>
      </c>
      <c r="T1463" s="362">
        <v>15</v>
      </c>
      <c r="U1463" s="361">
        <v>76.75</v>
      </c>
      <c r="V1463" s="346">
        <v>116.73529411764706</v>
      </c>
      <c r="W1463" s="348">
        <v>117.08333333333333</v>
      </c>
      <c r="X1463" s="347">
        <v>58.9</v>
      </c>
      <c r="Y1463" s="357" t="s">
        <v>408</v>
      </c>
      <c r="Z1463" s="365" t="s">
        <v>3017</v>
      </c>
      <c r="AA1463" s="350">
        <v>19.600000000000001</v>
      </c>
      <c r="AB1463" s="349" t="s">
        <v>2685</v>
      </c>
      <c r="AC1463" s="350">
        <v>0</v>
      </c>
      <c r="AD1463" s="349" t="s">
        <v>2685</v>
      </c>
      <c r="AE1463" s="364">
        <v>0</v>
      </c>
      <c r="AF1463" s="366">
        <v>0</v>
      </c>
      <c r="AG1463" s="363">
        <v>0</v>
      </c>
      <c r="AH1463" s="635" t="s">
        <v>408</v>
      </c>
      <c r="AL1463" s="487" t="s">
        <v>15860</v>
      </c>
      <c r="AM1463" s="477" t="s">
        <v>71</v>
      </c>
      <c r="AN1463" s="637">
        <v>100</v>
      </c>
      <c r="AO1463" s="478">
        <v>-1570</v>
      </c>
      <c r="AP1463" s="463">
        <v>-701</v>
      </c>
      <c r="AQ1463" s="479">
        <v>-869</v>
      </c>
      <c r="AR1463" s="476" t="s">
        <v>17558</v>
      </c>
      <c r="BA1463" s="313" t="s">
        <v>5930</v>
      </c>
    </row>
    <row r="1464" spans="2:53" ht="16.5" customHeight="1">
      <c r="B1464" s="367" t="s">
        <v>11827</v>
      </c>
      <c r="C1464" s="351" t="s">
        <v>11828</v>
      </c>
      <c r="D1464" s="353">
        <v>-1570</v>
      </c>
      <c r="E1464" s="352" t="s">
        <v>408</v>
      </c>
      <c r="F1464" s="341">
        <v>76.75</v>
      </c>
      <c r="G1464" s="355" t="s">
        <v>11829</v>
      </c>
      <c r="H1464" s="356" t="s">
        <v>11265</v>
      </c>
      <c r="I1464" s="354" t="s">
        <v>423</v>
      </c>
      <c r="J1464" s="340" t="s">
        <v>11831</v>
      </c>
      <c r="K1464" s="339" t="s">
        <v>70</v>
      </c>
      <c r="L1464" s="357">
        <v>8</v>
      </c>
      <c r="M1464" s="358" t="s">
        <v>11832</v>
      </c>
      <c r="N1464" s="359">
        <v>1000</v>
      </c>
      <c r="O1464" s="360" t="s">
        <v>530</v>
      </c>
      <c r="P1464" s="343" t="s">
        <v>531</v>
      </c>
      <c r="Q1464" s="342" t="s">
        <v>2688</v>
      </c>
      <c r="R1464" s="344">
        <v>20</v>
      </c>
      <c r="S1464" s="345">
        <v>35</v>
      </c>
      <c r="T1464" s="362">
        <v>25</v>
      </c>
      <c r="U1464" s="361">
        <v>76.75</v>
      </c>
      <c r="V1464" s="346">
        <v>116.73561939620555</v>
      </c>
      <c r="W1464" s="348">
        <v>117.0836405408608</v>
      </c>
      <c r="X1464" s="347">
        <v>58.74</v>
      </c>
      <c r="Y1464" s="357">
        <v>59.11</v>
      </c>
      <c r="Z1464" s="365" t="s">
        <v>3017</v>
      </c>
      <c r="AA1464" s="350">
        <v>198</v>
      </c>
      <c r="AB1464" s="349" t="s">
        <v>2685</v>
      </c>
      <c r="AC1464" s="350">
        <v>10</v>
      </c>
      <c r="AD1464" s="349" t="s">
        <v>2685</v>
      </c>
      <c r="AE1464" s="364">
        <v>0</v>
      </c>
      <c r="AF1464" s="366">
        <v>13.536</v>
      </c>
      <c r="AG1464" s="363">
        <v>0</v>
      </c>
      <c r="AH1464" s="635" t="s">
        <v>11625</v>
      </c>
      <c r="AL1464" s="487" t="s">
        <v>15861</v>
      </c>
      <c r="AM1464" s="477" t="s">
        <v>70</v>
      </c>
      <c r="AN1464" s="637">
        <v>100</v>
      </c>
      <c r="AO1464" s="478">
        <v>-1570</v>
      </c>
      <c r="AP1464" s="463">
        <v>-1570</v>
      </c>
      <c r="AQ1464" s="479">
        <v>0</v>
      </c>
      <c r="AR1464" s="476" t="s">
        <v>17559</v>
      </c>
      <c r="BA1464" s="313" t="s">
        <v>5932</v>
      </c>
    </row>
    <row r="1465" spans="2:53" ht="16.5" customHeight="1">
      <c r="B1465" s="367" t="s">
        <v>11827</v>
      </c>
      <c r="C1465" s="351" t="s">
        <v>11828</v>
      </c>
      <c r="D1465" s="353">
        <v>-1570</v>
      </c>
      <c r="E1465" s="352" t="s">
        <v>5830</v>
      </c>
      <c r="F1465" s="341">
        <v>76.739999999999995</v>
      </c>
      <c r="G1465" s="355" t="s">
        <v>18902</v>
      </c>
      <c r="H1465" s="356" t="s">
        <v>11232</v>
      </c>
      <c r="I1465" s="354" t="s">
        <v>9336</v>
      </c>
      <c r="J1465" s="340" t="s">
        <v>11834</v>
      </c>
      <c r="K1465" s="339" t="s">
        <v>71</v>
      </c>
      <c r="L1465" s="357">
        <v>22</v>
      </c>
      <c r="M1465" s="358" t="s">
        <v>11835</v>
      </c>
      <c r="N1465" s="359">
        <v>700</v>
      </c>
      <c r="O1465" s="360" t="s">
        <v>532</v>
      </c>
      <c r="P1465" s="343" t="s">
        <v>533</v>
      </c>
      <c r="Q1465" s="342" t="s">
        <v>2688</v>
      </c>
      <c r="R1465" s="344">
        <v>30</v>
      </c>
      <c r="S1465" s="345">
        <v>35</v>
      </c>
      <c r="T1465" s="362">
        <v>20</v>
      </c>
      <c r="U1465" s="361">
        <v>76.739999999999995</v>
      </c>
      <c r="V1465" s="346">
        <v>116.73062389282507</v>
      </c>
      <c r="W1465" s="348">
        <v>117.07892256544589</v>
      </c>
      <c r="X1465" s="347">
        <v>58.9</v>
      </c>
      <c r="Y1465" s="357">
        <v>60.879999999999995</v>
      </c>
      <c r="Z1465" s="365" t="s">
        <v>3017</v>
      </c>
      <c r="AA1465" s="350">
        <v>103.5</v>
      </c>
      <c r="AB1465" s="349" t="s">
        <v>2685</v>
      </c>
      <c r="AC1465" s="350">
        <v>10</v>
      </c>
      <c r="AD1465" s="349" t="s">
        <v>2685</v>
      </c>
      <c r="AE1465" s="364">
        <v>0</v>
      </c>
      <c r="AF1465" s="366">
        <v>0</v>
      </c>
      <c r="AG1465" s="363">
        <v>0</v>
      </c>
      <c r="AH1465" s="635" t="s">
        <v>408</v>
      </c>
      <c r="AL1465" s="487" t="s">
        <v>15862</v>
      </c>
      <c r="AM1465" s="477" t="s">
        <v>71</v>
      </c>
      <c r="AN1465" s="637">
        <v>100</v>
      </c>
      <c r="AO1465" s="478">
        <v>-1570</v>
      </c>
      <c r="AP1465" s="463">
        <v>-701</v>
      </c>
      <c r="AQ1465" s="479">
        <v>-869</v>
      </c>
      <c r="AR1465" s="476" t="s">
        <v>17560</v>
      </c>
      <c r="BA1465" s="313" t="s">
        <v>5933</v>
      </c>
    </row>
    <row r="1466" spans="2:53" ht="16.5" customHeight="1">
      <c r="B1466" s="367" t="s">
        <v>5819</v>
      </c>
      <c r="C1466" s="351" t="s">
        <v>5820</v>
      </c>
      <c r="D1466" s="353">
        <v>-1570</v>
      </c>
      <c r="E1466" s="352" t="s">
        <v>408</v>
      </c>
      <c r="F1466" s="341">
        <v>76.72</v>
      </c>
      <c r="G1466" s="355" t="s">
        <v>11836</v>
      </c>
      <c r="H1466" s="356" t="s">
        <v>11239</v>
      </c>
      <c r="I1466" s="354" t="s">
        <v>209</v>
      </c>
      <c r="J1466" s="340" t="s">
        <v>8307</v>
      </c>
      <c r="K1466" s="339" t="s">
        <v>70</v>
      </c>
      <c r="L1466" s="357">
        <v>12</v>
      </c>
      <c r="M1466" s="358" t="s">
        <v>5093</v>
      </c>
      <c r="N1466" s="359">
        <v>1000</v>
      </c>
      <c r="O1466" s="360" t="s">
        <v>530</v>
      </c>
      <c r="P1466" s="343" t="s">
        <v>530</v>
      </c>
      <c r="Q1466" s="342" t="s">
        <v>2688</v>
      </c>
      <c r="R1466" s="344">
        <v>20</v>
      </c>
      <c r="S1466" s="345">
        <v>30</v>
      </c>
      <c r="T1466" s="362">
        <v>30</v>
      </c>
      <c r="U1466" s="361">
        <v>76.72</v>
      </c>
      <c r="V1466" s="346">
        <v>116.71565135943467</v>
      </c>
      <c r="W1466" s="348">
        <v>117.06478183946608</v>
      </c>
      <c r="X1466" s="347">
        <v>58.73</v>
      </c>
      <c r="Y1466" s="357" t="s">
        <v>408</v>
      </c>
      <c r="Z1466" s="365" t="s">
        <v>3017</v>
      </c>
      <c r="AA1466" s="350">
        <v>198</v>
      </c>
      <c r="AB1466" s="349" t="s">
        <v>2685</v>
      </c>
      <c r="AC1466" s="350">
        <v>10</v>
      </c>
      <c r="AD1466" s="349" t="s">
        <v>2685</v>
      </c>
      <c r="AE1466" s="364">
        <v>0</v>
      </c>
      <c r="AF1466" s="366">
        <v>0</v>
      </c>
      <c r="AG1466" s="363">
        <v>0</v>
      </c>
      <c r="AH1466" s="635" t="s">
        <v>408</v>
      </c>
      <c r="AL1466" s="487" t="s">
        <v>15863</v>
      </c>
      <c r="AM1466" s="477" t="s">
        <v>70</v>
      </c>
      <c r="AN1466" s="637">
        <v>100</v>
      </c>
      <c r="AO1466" s="478">
        <v>-1570</v>
      </c>
      <c r="AP1466" s="463">
        <v>-1570</v>
      </c>
      <c r="AQ1466" s="479">
        <v>0</v>
      </c>
      <c r="AR1466" s="476" t="s">
        <v>17561</v>
      </c>
      <c r="BA1466" s="313" t="s">
        <v>5934</v>
      </c>
    </row>
    <row r="1467" spans="2:53" ht="16.5" customHeight="1">
      <c r="B1467" s="367" t="s">
        <v>5819</v>
      </c>
      <c r="C1467" s="351" t="s">
        <v>5820</v>
      </c>
      <c r="D1467" s="353">
        <v>-1570</v>
      </c>
      <c r="E1467" s="352" t="s">
        <v>408</v>
      </c>
      <c r="F1467" s="341">
        <v>76.72</v>
      </c>
      <c r="G1467" s="355" t="s">
        <v>11836</v>
      </c>
      <c r="H1467" s="356" t="s">
        <v>11239</v>
      </c>
      <c r="I1467" s="354" t="s">
        <v>209</v>
      </c>
      <c r="J1467" s="340" t="s">
        <v>8316</v>
      </c>
      <c r="K1467" s="339" t="s">
        <v>70</v>
      </c>
      <c r="L1467" s="357">
        <v>9</v>
      </c>
      <c r="M1467" s="358" t="s">
        <v>5093</v>
      </c>
      <c r="N1467" s="359">
        <v>1000</v>
      </c>
      <c r="O1467" s="360" t="s">
        <v>530</v>
      </c>
      <c r="P1467" s="343" t="s">
        <v>530</v>
      </c>
      <c r="Q1467" s="342" t="s">
        <v>2688</v>
      </c>
      <c r="R1467" s="344">
        <v>20</v>
      </c>
      <c r="S1467" s="345">
        <v>30</v>
      </c>
      <c r="T1467" s="362">
        <v>30</v>
      </c>
      <c r="U1467" s="361">
        <v>76.72</v>
      </c>
      <c r="V1467" s="346">
        <v>116.71565135943467</v>
      </c>
      <c r="W1467" s="348">
        <v>117.06478183946608</v>
      </c>
      <c r="X1467" s="347">
        <v>58.73</v>
      </c>
      <c r="Y1467" s="357" t="s">
        <v>408</v>
      </c>
      <c r="Z1467" s="365" t="s">
        <v>3017</v>
      </c>
      <c r="AA1467" s="350">
        <v>198</v>
      </c>
      <c r="AB1467" s="349" t="s">
        <v>2685</v>
      </c>
      <c r="AC1467" s="350">
        <v>10</v>
      </c>
      <c r="AD1467" s="349" t="s">
        <v>2685</v>
      </c>
      <c r="AE1467" s="364">
        <v>0</v>
      </c>
      <c r="AF1467" s="366">
        <v>0</v>
      </c>
      <c r="AG1467" s="363">
        <v>0</v>
      </c>
      <c r="AH1467" s="635" t="s">
        <v>408</v>
      </c>
      <c r="AL1467" s="487" t="s">
        <v>15864</v>
      </c>
      <c r="AM1467" s="477" t="s">
        <v>70</v>
      </c>
      <c r="AN1467" s="637">
        <v>100</v>
      </c>
      <c r="AO1467" s="478">
        <v>-1570</v>
      </c>
      <c r="AP1467" s="463">
        <v>-1570</v>
      </c>
      <c r="AQ1467" s="479">
        <v>0</v>
      </c>
      <c r="AR1467" s="476" t="s">
        <v>17561</v>
      </c>
      <c r="BA1467" s="313" t="s">
        <v>5937</v>
      </c>
    </row>
    <row r="1468" spans="2:53" ht="16.5" customHeight="1">
      <c r="B1468" s="367" t="s">
        <v>11838</v>
      </c>
      <c r="C1468" s="351" t="s">
        <v>11839</v>
      </c>
      <c r="D1468" s="353">
        <v>-1570</v>
      </c>
      <c r="E1468" s="352" t="s">
        <v>408</v>
      </c>
      <c r="F1468" s="341">
        <v>76.709999999999994</v>
      </c>
      <c r="G1468" s="355" t="s">
        <v>11840</v>
      </c>
      <c r="H1468" s="356" t="s">
        <v>18903</v>
      </c>
      <c r="I1468" s="354" t="s">
        <v>424</v>
      </c>
      <c r="J1468" s="340" t="s">
        <v>11841</v>
      </c>
      <c r="K1468" s="339" t="s">
        <v>70</v>
      </c>
      <c r="L1468" s="357">
        <v>39</v>
      </c>
      <c r="M1468" s="358" t="s">
        <v>11842</v>
      </c>
      <c r="N1468" s="359">
        <v>1000</v>
      </c>
      <c r="O1468" s="360" t="s">
        <v>454</v>
      </c>
      <c r="P1468" s="343" t="s">
        <v>454</v>
      </c>
      <c r="Q1468" s="342" t="s">
        <v>2738</v>
      </c>
      <c r="R1468" s="344">
        <v>25</v>
      </c>
      <c r="S1468" s="345">
        <v>35</v>
      </c>
      <c r="T1468" s="362">
        <v>20</v>
      </c>
      <c r="U1468" s="361">
        <v>76.709999999999994</v>
      </c>
      <c r="V1468" s="346">
        <v>116.71018651362984</v>
      </c>
      <c r="W1468" s="348">
        <v>117.05962059620596</v>
      </c>
      <c r="X1468" s="347">
        <v>58.73</v>
      </c>
      <c r="Y1468" s="357" t="s">
        <v>408</v>
      </c>
      <c r="Z1468" s="365" t="s">
        <v>3017</v>
      </c>
      <c r="AA1468" s="350">
        <v>196</v>
      </c>
      <c r="AB1468" s="349" t="s">
        <v>2685</v>
      </c>
      <c r="AC1468" s="350">
        <v>3</v>
      </c>
      <c r="AD1468" s="349" t="s">
        <v>2685</v>
      </c>
      <c r="AE1468" s="364">
        <v>0</v>
      </c>
      <c r="AF1468" s="366">
        <v>15.342000000000001</v>
      </c>
      <c r="AG1468" s="363">
        <v>0</v>
      </c>
      <c r="AH1468" s="635" t="s">
        <v>10813</v>
      </c>
      <c r="AL1468" s="487" t="s">
        <v>15865</v>
      </c>
      <c r="AM1468" s="477" t="s">
        <v>70</v>
      </c>
      <c r="AN1468" s="637">
        <v>100</v>
      </c>
      <c r="AO1468" s="478">
        <v>-1570</v>
      </c>
      <c r="AP1468" s="463">
        <v>-1570</v>
      </c>
      <c r="AQ1468" s="479">
        <v>0</v>
      </c>
      <c r="AR1468" s="476" t="s">
        <v>17562</v>
      </c>
      <c r="BA1468" s="313" t="s">
        <v>5939</v>
      </c>
    </row>
    <row r="1469" spans="2:53" ht="16.5" customHeight="1">
      <c r="B1469" s="367" t="s">
        <v>11843</v>
      </c>
      <c r="C1469" s="351" t="s">
        <v>11844</v>
      </c>
      <c r="D1469" s="353">
        <v>-1570</v>
      </c>
      <c r="E1469" s="352" t="s">
        <v>408</v>
      </c>
      <c r="F1469" s="341">
        <v>76.63</v>
      </c>
      <c r="G1469" s="355" t="s">
        <v>5631</v>
      </c>
      <c r="H1469" s="356" t="s">
        <v>11292</v>
      </c>
      <c r="I1469" s="354" t="s">
        <v>485</v>
      </c>
      <c r="J1469" s="340" t="s">
        <v>11846</v>
      </c>
      <c r="K1469" s="339" t="s">
        <v>70</v>
      </c>
      <c r="L1469" s="357">
        <v>80</v>
      </c>
      <c r="M1469" s="358" t="s">
        <v>5864</v>
      </c>
      <c r="N1469" s="359">
        <v>100</v>
      </c>
      <c r="O1469" s="360" t="s">
        <v>454</v>
      </c>
      <c r="P1469" s="343" t="s">
        <v>454</v>
      </c>
      <c r="Q1469" s="342" t="s">
        <v>2738</v>
      </c>
      <c r="R1469" s="344">
        <v>30</v>
      </c>
      <c r="S1469" s="345">
        <v>35</v>
      </c>
      <c r="T1469" s="362">
        <v>15</v>
      </c>
      <c r="U1469" s="361">
        <v>76.63</v>
      </c>
      <c r="V1469" s="346">
        <v>116.66176470588236</v>
      </c>
      <c r="W1469" s="348">
        <v>117.0138888888889</v>
      </c>
      <c r="X1469" s="347">
        <v>58.7</v>
      </c>
      <c r="Y1469" s="357" t="s">
        <v>408</v>
      </c>
      <c r="Z1469" s="365" t="s">
        <v>3017</v>
      </c>
      <c r="AA1469" s="350">
        <v>19.600000000000001</v>
      </c>
      <c r="AB1469" s="349" t="s">
        <v>2685</v>
      </c>
      <c r="AC1469" s="350">
        <v>0</v>
      </c>
      <c r="AD1469" s="349" t="s">
        <v>2685</v>
      </c>
      <c r="AE1469" s="364">
        <v>0</v>
      </c>
      <c r="AF1469" s="366">
        <v>0</v>
      </c>
      <c r="AG1469" s="363">
        <v>0</v>
      </c>
      <c r="AH1469" s="635" t="s">
        <v>408</v>
      </c>
      <c r="AL1469" s="487" t="s">
        <v>15866</v>
      </c>
      <c r="AM1469" s="477" t="s">
        <v>70</v>
      </c>
      <c r="AN1469" s="637">
        <v>100</v>
      </c>
      <c r="AO1469" s="478">
        <v>-1570</v>
      </c>
      <c r="AP1469" s="463">
        <v>-1570</v>
      </c>
      <c r="AQ1469" s="479">
        <v>0</v>
      </c>
      <c r="AR1469" s="476" t="s">
        <v>17563</v>
      </c>
      <c r="BA1469" s="313" t="s">
        <v>5943</v>
      </c>
    </row>
    <row r="1470" spans="2:53" ht="16.5" customHeight="1">
      <c r="B1470" s="367" t="s">
        <v>11847</v>
      </c>
      <c r="C1470" s="351" t="s">
        <v>11848</v>
      </c>
      <c r="D1470" s="353">
        <v>-1570</v>
      </c>
      <c r="E1470" s="352" t="s">
        <v>5636</v>
      </c>
      <c r="F1470" s="341">
        <v>76.61</v>
      </c>
      <c r="G1470" s="355" t="s">
        <v>12146</v>
      </c>
      <c r="H1470" s="356" t="s">
        <v>11292</v>
      </c>
      <c r="I1470" s="354" t="s">
        <v>423</v>
      </c>
      <c r="J1470" s="340" t="s">
        <v>8618</v>
      </c>
      <c r="K1470" s="339" t="s">
        <v>71</v>
      </c>
      <c r="L1470" s="357">
        <v>8</v>
      </c>
      <c r="M1470" s="358" t="s">
        <v>11849</v>
      </c>
      <c r="N1470" s="359">
        <v>1000</v>
      </c>
      <c r="O1470" s="360" t="s">
        <v>530</v>
      </c>
      <c r="P1470" s="343" t="s">
        <v>531</v>
      </c>
      <c r="Q1470" s="342" t="s">
        <v>2688</v>
      </c>
      <c r="R1470" s="344">
        <v>30</v>
      </c>
      <c r="S1470" s="345">
        <v>25</v>
      </c>
      <c r="T1470" s="362">
        <v>25</v>
      </c>
      <c r="U1470" s="361">
        <v>76.61</v>
      </c>
      <c r="V1470" s="346">
        <v>116.65539994613519</v>
      </c>
      <c r="W1470" s="348">
        <v>117.00787772690546</v>
      </c>
      <c r="X1470" s="347">
        <v>58.85</v>
      </c>
      <c r="Y1470" s="357">
        <v>59.059999999999995</v>
      </c>
      <c r="Z1470" s="365" t="s">
        <v>3017</v>
      </c>
      <c r="AA1470" s="350">
        <v>198</v>
      </c>
      <c r="AB1470" s="349" t="s">
        <v>2685</v>
      </c>
      <c r="AC1470" s="350">
        <v>10</v>
      </c>
      <c r="AD1470" s="349" t="s">
        <v>2685</v>
      </c>
      <c r="AE1470" s="364">
        <v>0</v>
      </c>
      <c r="AF1470" s="366">
        <v>0</v>
      </c>
      <c r="AG1470" s="363">
        <v>0</v>
      </c>
      <c r="AH1470" s="635" t="s">
        <v>408</v>
      </c>
      <c r="AL1470" s="487" t="s">
        <v>15867</v>
      </c>
      <c r="AM1470" s="477" t="s">
        <v>71</v>
      </c>
      <c r="AN1470" s="637">
        <v>100</v>
      </c>
      <c r="AO1470" s="478">
        <v>-1570</v>
      </c>
      <c r="AP1470" s="463">
        <v>-700</v>
      </c>
      <c r="AQ1470" s="479">
        <v>-870</v>
      </c>
      <c r="AR1470" s="476" t="s">
        <v>17564</v>
      </c>
      <c r="BA1470" s="313" t="s">
        <v>5947</v>
      </c>
    </row>
    <row r="1471" spans="2:53" ht="16.5" customHeight="1">
      <c r="B1471" s="367" t="s">
        <v>11847</v>
      </c>
      <c r="C1471" s="351" t="s">
        <v>11848</v>
      </c>
      <c r="D1471" s="353">
        <v>-1570</v>
      </c>
      <c r="E1471" s="352" t="s">
        <v>408</v>
      </c>
      <c r="F1471" s="341">
        <v>76.61</v>
      </c>
      <c r="G1471" s="355" t="s">
        <v>11850</v>
      </c>
      <c r="H1471" s="356" t="s">
        <v>11664</v>
      </c>
      <c r="I1471" s="354" t="s">
        <v>423</v>
      </c>
      <c r="J1471" s="340" t="s">
        <v>11851</v>
      </c>
      <c r="K1471" s="339" t="s">
        <v>70</v>
      </c>
      <c r="L1471" s="357">
        <v>22</v>
      </c>
      <c r="M1471" s="358" t="s">
        <v>11852</v>
      </c>
      <c r="N1471" s="359">
        <v>1000</v>
      </c>
      <c r="O1471" s="360" t="s">
        <v>530</v>
      </c>
      <c r="P1471" s="343" t="s">
        <v>531</v>
      </c>
      <c r="Q1471" s="342" t="s">
        <v>2688</v>
      </c>
      <c r="R1471" s="344">
        <v>20</v>
      </c>
      <c r="S1471" s="345">
        <v>35</v>
      </c>
      <c r="T1471" s="362">
        <v>25</v>
      </c>
      <c r="U1471" s="361">
        <v>76.61</v>
      </c>
      <c r="V1471" s="346">
        <v>116.65504325043121</v>
      </c>
      <c r="W1471" s="348">
        <v>117.00754084762947</v>
      </c>
      <c r="X1471" s="347">
        <v>58.7</v>
      </c>
      <c r="Y1471" s="357">
        <v>59.059999999999995</v>
      </c>
      <c r="Z1471" s="365" t="s">
        <v>3017</v>
      </c>
      <c r="AA1471" s="350">
        <v>198</v>
      </c>
      <c r="AB1471" s="349" t="s">
        <v>2685</v>
      </c>
      <c r="AC1471" s="350">
        <v>10</v>
      </c>
      <c r="AD1471" s="349" t="s">
        <v>2685</v>
      </c>
      <c r="AE1471" s="364">
        <v>0</v>
      </c>
      <c r="AF1471" s="366">
        <v>13.525</v>
      </c>
      <c r="AG1471" s="363">
        <v>0</v>
      </c>
      <c r="AH1471" s="635" t="s">
        <v>11625</v>
      </c>
      <c r="AL1471" s="487" t="s">
        <v>15868</v>
      </c>
      <c r="AM1471" s="477" t="s">
        <v>70</v>
      </c>
      <c r="AN1471" s="637">
        <v>100</v>
      </c>
      <c r="AO1471" s="478">
        <v>-1570</v>
      </c>
      <c r="AP1471" s="463">
        <v>-1570</v>
      </c>
      <c r="AQ1471" s="479">
        <v>0</v>
      </c>
      <c r="AR1471" s="476" t="s">
        <v>17565</v>
      </c>
      <c r="BA1471" s="313" t="s">
        <v>5948</v>
      </c>
    </row>
    <row r="1472" spans="2:53" ht="16.5" customHeight="1">
      <c r="B1472" s="367" t="s">
        <v>5832</v>
      </c>
      <c r="C1472" s="351" t="s">
        <v>5833</v>
      </c>
      <c r="D1472" s="353">
        <v>-1570</v>
      </c>
      <c r="E1472" s="352" t="s">
        <v>11853</v>
      </c>
      <c r="F1472" s="341">
        <v>76.510000000000005</v>
      </c>
      <c r="G1472" s="355" t="s">
        <v>5706</v>
      </c>
      <c r="H1472" s="356" t="s">
        <v>5380</v>
      </c>
      <c r="I1472" s="354" t="s">
        <v>9336</v>
      </c>
      <c r="J1472" s="340" t="s">
        <v>11854</v>
      </c>
      <c r="K1472" s="339" t="s">
        <v>71</v>
      </c>
      <c r="L1472" s="357">
        <v>84</v>
      </c>
      <c r="M1472" s="358" t="s">
        <v>11855</v>
      </c>
      <c r="N1472" s="359">
        <v>700</v>
      </c>
      <c r="O1472" s="360" t="s">
        <v>532</v>
      </c>
      <c r="P1472" s="343" t="s">
        <v>533</v>
      </c>
      <c r="Q1472" s="342" t="s">
        <v>2688</v>
      </c>
      <c r="R1472" s="344">
        <v>30</v>
      </c>
      <c r="S1472" s="345">
        <v>30</v>
      </c>
      <c r="T1472" s="362">
        <v>20</v>
      </c>
      <c r="U1472" s="361">
        <v>76.510000000000005</v>
      </c>
      <c r="V1472" s="346">
        <v>116.59361151058462</v>
      </c>
      <c r="W1472" s="348">
        <v>116.96754984571209</v>
      </c>
      <c r="X1472" s="347">
        <v>58.82</v>
      </c>
      <c r="Y1472" s="357">
        <v>60.76</v>
      </c>
      <c r="Z1472" s="365" t="s">
        <v>3017</v>
      </c>
      <c r="AA1472" s="350">
        <v>138</v>
      </c>
      <c r="AB1472" s="349" t="s">
        <v>2685</v>
      </c>
      <c r="AC1472" s="350">
        <v>10</v>
      </c>
      <c r="AD1472" s="349" t="s">
        <v>2685</v>
      </c>
      <c r="AE1472" s="364">
        <v>0</v>
      </c>
      <c r="AF1472" s="366">
        <v>0</v>
      </c>
      <c r="AG1472" s="363">
        <v>0</v>
      </c>
      <c r="AH1472" s="635" t="s">
        <v>408</v>
      </c>
      <c r="AL1472" s="487" t="s">
        <v>15869</v>
      </c>
      <c r="AM1472" s="477" t="s">
        <v>71</v>
      </c>
      <c r="AN1472" s="637">
        <v>100</v>
      </c>
      <c r="AO1472" s="478">
        <v>-1570</v>
      </c>
      <c r="AP1472" s="463">
        <v>-700</v>
      </c>
      <c r="AQ1472" s="479">
        <v>-870</v>
      </c>
      <c r="AR1472" s="476" t="s">
        <v>17566</v>
      </c>
      <c r="BA1472" s="313" t="s">
        <v>5949</v>
      </c>
    </row>
    <row r="1473" spans="2:53" ht="16.5" customHeight="1">
      <c r="B1473" s="367" t="s">
        <v>11856</v>
      </c>
      <c r="C1473" s="351" t="s">
        <v>11857</v>
      </c>
      <c r="D1473" s="353">
        <v>-1570</v>
      </c>
      <c r="E1473" s="352" t="s">
        <v>11858</v>
      </c>
      <c r="F1473" s="341">
        <v>76.5</v>
      </c>
      <c r="G1473" s="355" t="s">
        <v>5835</v>
      </c>
      <c r="H1473" s="356" t="s">
        <v>5380</v>
      </c>
      <c r="I1473" s="354" t="s">
        <v>485</v>
      </c>
      <c r="J1473" s="340" t="s">
        <v>11859</v>
      </c>
      <c r="K1473" s="339" t="s">
        <v>71</v>
      </c>
      <c r="L1473" s="357">
        <v>12</v>
      </c>
      <c r="M1473" s="358" t="s">
        <v>11860</v>
      </c>
      <c r="N1473" s="359">
        <v>100</v>
      </c>
      <c r="O1473" s="360" t="s">
        <v>454</v>
      </c>
      <c r="P1473" s="343" t="s">
        <v>454</v>
      </c>
      <c r="Q1473" s="342" t="s">
        <v>2738</v>
      </c>
      <c r="R1473" s="344">
        <v>35</v>
      </c>
      <c r="S1473" s="345">
        <v>30</v>
      </c>
      <c r="T1473" s="362">
        <v>15</v>
      </c>
      <c r="U1473" s="361">
        <v>76.5</v>
      </c>
      <c r="V1473" s="346">
        <v>116.58823529411765</v>
      </c>
      <c r="W1473" s="348">
        <v>116.96428571428571</v>
      </c>
      <c r="X1473" s="347">
        <v>58.82</v>
      </c>
      <c r="Y1473" s="357" t="s">
        <v>408</v>
      </c>
      <c r="Z1473" s="365" t="s">
        <v>3017</v>
      </c>
      <c r="AA1473" s="350">
        <v>19.600000000000001</v>
      </c>
      <c r="AB1473" s="349" t="s">
        <v>2685</v>
      </c>
      <c r="AC1473" s="350">
        <v>0</v>
      </c>
      <c r="AD1473" s="349" t="s">
        <v>2685</v>
      </c>
      <c r="AE1473" s="364">
        <v>0</v>
      </c>
      <c r="AF1473" s="366">
        <v>0</v>
      </c>
      <c r="AG1473" s="363">
        <v>0</v>
      </c>
      <c r="AH1473" s="635" t="s">
        <v>408</v>
      </c>
      <c r="AL1473" s="487" t="s">
        <v>15870</v>
      </c>
      <c r="AM1473" s="477" t="s">
        <v>71</v>
      </c>
      <c r="AN1473" s="637">
        <v>100</v>
      </c>
      <c r="AO1473" s="478">
        <v>-1570</v>
      </c>
      <c r="AP1473" s="463">
        <v>-700</v>
      </c>
      <c r="AQ1473" s="479">
        <v>-870</v>
      </c>
      <c r="AR1473" s="476" t="s">
        <v>17566</v>
      </c>
      <c r="BA1473" s="313" t="s">
        <v>5952</v>
      </c>
    </row>
    <row r="1474" spans="2:53" ht="16.5" customHeight="1">
      <c r="B1474" s="367" t="s">
        <v>11861</v>
      </c>
      <c r="C1474" s="351" t="s">
        <v>11862</v>
      </c>
      <c r="D1474" s="353">
        <v>-1570</v>
      </c>
      <c r="E1474" s="352" t="s">
        <v>408</v>
      </c>
      <c r="F1474" s="341">
        <v>76.489999999999995</v>
      </c>
      <c r="G1474" s="355" t="s">
        <v>5669</v>
      </c>
      <c r="H1474" s="356" t="s">
        <v>5384</v>
      </c>
      <c r="I1474" s="354" t="s">
        <v>214</v>
      </c>
      <c r="J1474" s="340" t="s">
        <v>8856</v>
      </c>
      <c r="K1474" s="339" t="s">
        <v>70</v>
      </c>
      <c r="L1474" s="357">
        <v>8</v>
      </c>
      <c r="M1474" s="358" t="s">
        <v>11863</v>
      </c>
      <c r="N1474" s="359">
        <v>200</v>
      </c>
      <c r="O1474" s="360" t="s">
        <v>532</v>
      </c>
      <c r="P1474" s="343" t="s">
        <v>532</v>
      </c>
      <c r="Q1474" s="342" t="s">
        <v>2688</v>
      </c>
      <c r="R1474" s="344">
        <v>20</v>
      </c>
      <c r="S1474" s="345">
        <v>30</v>
      </c>
      <c r="T1474" s="362">
        <v>30</v>
      </c>
      <c r="U1474" s="361">
        <v>76.489999999999995</v>
      </c>
      <c r="V1474" s="346">
        <v>116.58421090860598</v>
      </c>
      <c r="W1474" s="348">
        <v>116.96184233736791</v>
      </c>
      <c r="X1474" s="347" t="s">
        <v>18904</v>
      </c>
      <c r="Y1474" s="357" t="s">
        <v>408</v>
      </c>
      <c r="Z1474" s="365" t="s">
        <v>4408</v>
      </c>
      <c r="AA1474" s="350">
        <v>36</v>
      </c>
      <c r="AB1474" s="349" t="s">
        <v>2685</v>
      </c>
      <c r="AC1474" s="350">
        <v>0</v>
      </c>
      <c r="AD1474" s="349" t="s">
        <v>2685</v>
      </c>
      <c r="AE1474" s="364">
        <v>0</v>
      </c>
      <c r="AF1474" s="366">
        <v>0</v>
      </c>
      <c r="AG1474" s="363">
        <v>0</v>
      </c>
      <c r="AH1474" s="635" t="s">
        <v>408</v>
      </c>
      <c r="AL1474" s="487" t="s">
        <v>15874</v>
      </c>
      <c r="AM1474" s="477" t="s">
        <v>70</v>
      </c>
      <c r="AN1474" s="637">
        <v>100</v>
      </c>
      <c r="AO1474" s="478">
        <v>-1570</v>
      </c>
      <c r="AP1474" s="463">
        <v>-1570</v>
      </c>
      <c r="AQ1474" s="479">
        <v>0</v>
      </c>
      <c r="AR1474" s="476" t="s">
        <v>17567</v>
      </c>
      <c r="BA1474" s="313" t="s">
        <v>5953</v>
      </c>
    </row>
    <row r="1475" spans="2:53" ht="16.5" customHeight="1">
      <c r="B1475" s="367" t="s">
        <v>5802</v>
      </c>
      <c r="C1475" s="351" t="s">
        <v>5803</v>
      </c>
      <c r="D1475" s="353">
        <v>-1570</v>
      </c>
      <c r="E1475" s="352" t="s">
        <v>11864</v>
      </c>
      <c r="F1475" s="341">
        <v>76.489999999999995</v>
      </c>
      <c r="G1475" s="355" t="s">
        <v>18905</v>
      </c>
      <c r="H1475" s="356" t="s">
        <v>11281</v>
      </c>
      <c r="I1475" s="354" t="s">
        <v>215</v>
      </c>
      <c r="J1475" s="340" t="s">
        <v>8797</v>
      </c>
      <c r="K1475" s="339" t="s">
        <v>71</v>
      </c>
      <c r="L1475" s="357">
        <v>3</v>
      </c>
      <c r="M1475" s="358" t="s">
        <v>11865</v>
      </c>
      <c r="N1475" s="359">
        <v>1000</v>
      </c>
      <c r="O1475" s="360" t="s">
        <v>530</v>
      </c>
      <c r="P1475" s="343" t="s">
        <v>531</v>
      </c>
      <c r="Q1475" s="342" t="s">
        <v>2688</v>
      </c>
      <c r="R1475" s="344">
        <v>38</v>
      </c>
      <c r="S1475" s="345">
        <v>25</v>
      </c>
      <c r="T1475" s="362">
        <v>25</v>
      </c>
      <c r="U1475" s="361">
        <v>76.489999999999995</v>
      </c>
      <c r="V1475" s="346">
        <v>116.5843213590515</v>
      </c>
      <c r="W1475" s="348">
        <v>116.96190939656698</v>
      </c>
      <c r="X1475" s="347">
        <v>58.82</v>
      </c>
      <c r="Y1475" s="357">
        <v>59.22</v>
      </c>
      <c r="Z1475" s="365" t="s">
        <v>3017</v>
      </c>
      <c r="AA1475" s="350">
        <v>121.25</v>
      </c>
      <c r="AB1475" s="349" t="s">
        <v>2685</v>
      </c>
      <c r="AC1475" s="350">
        <v>10</v>
      </c>
      <c r="AD1475" s="349" t="s">
        <v>2685</v>
      </c>
      <c r="AE1475" s="364">
        <v>0</v>
      </c>
      <c r="AF1475" s="366">
        <v>0</v>
      </c>
      <c r="AG1475" s="363">
        <v>0</v>
      </c>
      <c r="AH1475" s="635" t="s">
        <v>8002</v>
      </c>
      <c r="AL1475" s="487" t="s">
        <v>15871</v>
      </c>
      <c r="AM1475" s="477" t="s">
        <v>71</v>
      </c>
      <c r="AN1475" s="637">
        <v>100</v>
      </c>
      <c r="AO1475" s="478">
        <v>-1570</v>
      </c>
      <c r="AP1475" s="463">
        <v>-700</v>
      </c>
      <c r="AQ1475" s="479">
        <v>-870</v>
      </c>
      <c r="AR1475" s="476" t="s">
        <v>17568</v>
      </c>
      <c r="BA1475" s="313" t="s">
        <v>5956</v>
      </c>
    </row>
    <row r="1476" spans="2:53" ht="16.5" customHeight="1">
      <c r="B1476" s="367" t="s">
        <v>11866</v>
      </c>
      <c r="C1476" s="351" t="s">
        <v>11867</v>
      </c>
      <c r="D1476" s="353">
        <v>-1570</v>
      </c>
      <c r="E1476" s="352" t="s">
        <v>408</v>
      </c>
      <c r="F1476" s="341">
        <v>76.48</v>
      </c>
      <c r="G1476" s="355" t="s">
        <v>11868</v>
      </c>
      <c r="H1476" s="356" t="s">
        <v>18906</v>
      </c>
      <c r="I1476" s="354" t="s">
        <v>216</v>
      </c>
      <c r="J1476" s="340" t="s">
        <v>10979</v>
      </c>
      <c r="K1476" s="339" t="s">
        <v>70</v>
      </c>
      <c r="L1476" s="357">
        <v>3</v>
      </c>
      <c r="M1476" s="358" t="s">
        <v>11869</v>
      </c>
      <c r="N1476" s="359">
        <v>300</v>
      </c>
      <c r="O1476" s="360" t="s">
        <v>530</v>
      </c>
      <c r="P1476" s="343" t="s">
        <v>530</v>
      </c>
      <c r="Q1476" s="342" t="s">
        <v>2688</v>
      </c>
      <c r="R1476" s="344">
        <v>25</v>
      </c>
      <c r="S1476" s="345">
        <v>45</v>
      </c>
      <c r="T1476" s="362">
        <v>30</v>
      </c>
      <c r="U1476" s="361">
        <v>76.48</v>
      </c>
      <c r="V1476" s="346">
        <v>116.57839840773212</v>
      </c>
      <c r="W1476" s="348">
        <v>116.95831331898022</v>
      </c>
      <c r="X1476" s="347">
        <v>58.66</v>
      </c>
      <c r="Y1476" s="357" t="s">
        <v>408</v>
      </c>
      <c r="Z1476" s="365" t="s">
        <v>3017</v>
      </c>
      <c r="AA1476" s="350">
        <v>-2</v>
      </c>
      <c r="AB1476" s="349" t="s">
        <v>2685</v>
      </c>
      <c r="AC1476" s="350">
        <v>0</v>
      </c>
      <c r="AD1476" s="349" t="s">
        <v>2685</v>
      </c>
      <c r="AE1476" s="364">
        <v>0</v>
      </c>
      <c r="AF1476" s="366">
        <v>0</v>
      </c>
      <c r="AG1476" s="363">
        <v>0</v>
      </c>
      <c r="AH1476" s="635" t="s">
        <v>408</v>
      </c>
      <c r="AL1476" s="487" t="s">
        <v>15872</v>
      </c>
      <c r="AM1476" s="477" t="s">
        <v>70</v>
      </c>
      <c r="AN1476" s="637">
        <v>100</v>
      </c>
      <c r="AO1476" s="478">
        <v>-1570</v>
      </c>
      <c r="AP1476" s="463">
        <v>-1570</v>
      </c>
      <c r="AQ1476" s="479">
        <v>0</v>
      </c>
      <c r="AR1476" s="476" t="s">
        <v>17569</v>
      </c>
      <c r="BA1476" s="313" t="s">
        <v>5959</v>
      </c>
    </row>
    <row r="1477" spans="2:53" ht="16.5" customHeight="1">
      <c r="B1477" s="367" t="s">
        <v>11866</v>
      </c>
      <c r="C1477" s="351" t="s">
        <v>11867</v>
      </c>
      <c r="D1477" s="353">
        <v>-1570</v>
      </c>
      <c r="E1477" s="352" t="s">
        <v>408</v>
      </c>
      <c r="F1477" s="341">
        <v>76.48</v>
      </c>
      <c r="G1477" s="355" t="s">
        <v>11868</v>
      </c>
      <c r="H1477" s="356" t="s">
        <v>18906</v>
      </c>
      <c r="I1477" s="354" t="s">
        <v>209</v>
      </c>
      <c r="J1477" s="340" t="s">
        <v>541</v>
      </c>
      <c r="K1477" s="339" t="s">
        <v>70</v>
      </c>
      <c r="L1477" s="357">
        <v>12</v>
      </c>
      <c r="M1477" s="358" t="s">
        <v>10153</v>
      </c>
      <c r="N1477" s="359">
        <v>1000</v>
      </c>
      <c r="O1477" s="360" t="s">
        <v>530</v>
      </c>
      <c r="P1477" s="343" t="s">
        <v>530</v>
      </c>
      <c r="Q1477" s="342" t="s">
        <v>2688</v>
      </c>
      <c r="R1477" s="344">
        <v>20</v>
      </c>
      <c r="S1477" s="345">
        <v>30</v>
      </c>
      <c r="T1477" s="362">
        <v>30</v>
      </c>
      <c r="U1477" s="361">
        <v>76.48</v>
      </c>
      <c r="V1477" s="346">
        <v>116.57740593134757</v>
      </c>
      <c r="W1477" s="348">
        <v>116.95771074403244</v>
      </c>
      <c r="X1477" s="347">
        <v>58.66</v>
      </c>
      <c r="Y1477" s="357" t="s">
        <v>408</v>
      </c>
      <c r="Z1477" s="365" t="s">
        <v>3017</v>
      </c>
      <c r="AA1477" s="350">
        <v>198</v>
      </c>
      <c r="AB1477" s="349" t="s">
        <v>2685</v>
      </c>
      <c r="AC1477" s="350">
        <v>10</v>
      </c>
      <c r="AD1477" s="349" t="s">
        <v>2685</v>
      </c>
      <c r="AE1477" s="364">
        <v>0</v>
      </c>
      <c r="AF1477" s="366">
        <v>0</v>
      </c>
      <c r="AG1477" s="363">
        <v>0</v>
      </c>
      <c r="AH1477" s="635" t="s">
        <v>408</v>
      </c>
      <c r="AL1477" s="487" t="s">
        <v>15873</v>
      </c>
      <c r="AM1477" s="477" t="s">
        <v>70</v>
      </c>
      <c r="AN1477" s="637">
        <v>100</v>
      </c>
      <c r="AO1477" s="478">
        <v>-1570</v>
      </c>
      <c r="AP1477" s="463">
        <v>-1570</v>
      </c>
      <c r="AQ1477" s="479">
        <v>0</v>
      </c>
      <c r="AR1477" s="476" t="s">
        <v>17569</v>
      </c>
      <c r="BA1477" s="313" t="s">
        <v>5962</v>
      </c>
    </row>
    <row r="1478" spans="2:53" ht="16.5" customHeight="1">
      <c r="B1478" s="367" t="s">
        <v>11870</v>
      </c>
      <c r="C1478" s="351" t="s">
        <v>11871</v>
      </c>
      <c r="D1478" s="353">
        <v>-1570</v>
      </c>
      <c r="E1478" s="352" t="s">
        <v>408</v>
      </c>
      <c r="F1478" s="341">
        <v>76.44</v>
      </c>
      <c r="G1478" s="355" t="s">
        <v>11872</v>
      </c>
      <c r="H1478" s="356" t="s">
        <v>5448</v>
      </c>
      <c r="I1478" s="354" t="s">
        <v>485</v>
      </c>
      <c r="J1478" s="340" t="s">
        <v>551</v>
      </c>
      <c r="K1478" s="339" t="s">
        <v>70</v>
      </c>
      <c r="L1478" s="357">
        <v>5</v>
      </c>
      <c r="M1478" s="358" t="s">
        <v>11873</v>
      </c>
      <c r="N1478" s="359">
        <v>100</v>
      </c>
      <c r="O1478" s="360" t="s">
        <v>454</v>
      </c>
      <c r="P1478" s="343" t="s">
        <v>454</v>
      </c>
      <c r="Q1478" s="342" t="s">
        <v>2738</v>
      </c>
      <c r="R1478" s="344">
        <v>30</v>
      </c>
      <c r="S1478" s="345">
        <v>35</v>
      </c>
      <c r="T1478" s="362">
        <v>15</v>
      </c>
      <c r="U1478" s="361">
        <v>76.44</v>
      </c>
      <c r="V1478" s="346">
        <v>116.55147058823529</v>
      </c>
      <c r="W1478" s="348">
        <v>116.94196428571428</v>
      </c>
      <c r="X1478" s="347">
        <v>58.65</v>
      </c>
      <c r="Y1478" s="357" t="s">
        <v>408</v>
      </c>
      <c r="Z1478" s="365" t="s">
        <v>3017</v>
      </c>
      <c r="AA1478" s="350">
        <v>19.600000000000001</v>
      </c>
      <c r="AB1478" s="349" t="s">
        <v>2685</v>
      </c>
      <c r="AC1478" s="350">
        <v>0</v>
      </c>
      <c r="AD1478" s="349" t="s">
        <v>2685</v>
      </c>
      <c r="AE1478" s="364">
        <v>0</v>
      </c>
      <c r="AF1478" s="366">
        <v>0</v>
      </c>
      <c r="AG1478" s="363">
        <v>0</v>
      </c>
      <c r="AH1478" s="635" t="s">
        <v>408</v>
      </c>
      <c r="AL1478" s="487" t="s">
        <v>15875</v>
      </c>
      <c r="AM1478" s="477" t="s">
        <v>70</v>
      </c>
      <c r="AN1478" s="637">
        <v>100</v>
      </c>
      <c r="AO1478" s="478">
        <v>-1570</v>
      </c>
      <c r="AP1478" s="463">
        <v>-1570</v>
      </c>
      <c r="AQ1478" s="479">
        <v>0</v>
      </c>
      <c r="AR1478" s="476" t="s">
        <v>17570</v>
      </c>
      <c r="BA1478" s="313" t="s">
        <v>5963</v>
      </c>
    </row>
    <row r="1479" spans="2:53" ht="16.5" customHeight="1">
      <c r="B1479" s="367" t="s">
        <v>5845</v>
      </c>
      <c r="C1479" s="351" t="s">
        <v>5846</v>
      </c>
      <c r="D1479" s="353">
        <v>-1570</v>
      </c>
      <c r="E1479" s="352" t="s">
        <v>408</v>
      </c>
      <c r="F1479" s="341">
        <v>76.44</v>
      </c>
      <c r="G1479" s="355" t="s">
        <v>5868</v>
      </c>
      <c r="H1479" s="356" t="s">
        <v>11578</v>
      </c>
      <c r="I1479" s="354" t="s">
        <v>446</v>
      </c>
      <c r="J1479" s="340" t="s">
        <v>9611</v>
      </c>
      <c r="K1479" s="339" t="s">
        <v>70</v>
      </c>
      <c r="L1479" s="357">
        <v>21</v>
      </c>
      <c r="M1479" s="358" t="s">
        <v>11874</v>
      </c>
      <c r="N1479" s="359">
        <v>1000</v>
      </c>
      <c r="O1479" s="360" t="s">
        <v>454</v>
      </c>
      <c r="P1479" s="343" t="s">
        <v>454</v>
      </c>
      <c r="Q1479" s="342" t="s">
        <v>2688</v>
      </c>
      <c r="R1479" s="344">
        <v>25</v>
      </c>
      <c r="S1479" s="345">
        <v>35</v>
      </c>
      <c r="T1479" s="362">
        <v>30</v>
      </c>
      <c r="U1479" s="361">
        <v>76.44</v>
      </c>
      <c r="V1479" s="346">
        <v>116.55555555555556</v>
      </c>
      <c r="W1479" s="348">
        <v>116.94444444444444</v>
      </c>
      <c r="X1479" s="347">
        <v>58.65</v>
      </c>
      <c r="Y1479" s="357" t="s">
        <v>408</v>
      </c>
      <c r="Z1479" s="365" t="s">
        <v>3017</v>
      </c>
      <c r="AA1479" s="350">
        <v>98</v>
      </c>
      <c r="AB1479" s="349" t="s">
        <v>2685</v>
      </c>
      <c r="AC1479" s="350">
        <v>0</v>
      </c>
      <c r="AD1479" s="349" t="s">
        <v>2685</v>
      </c>
      <c r="AE1479" s="364">
        <v>0</v>
      </c>
      <c r="AF1479" s="366">
        <v>0</v>
      </c>
      <c r="AG1479" s="363">
        <v>0</v>
      </c>
      <c r="AH1479" s="635" t="s">
        <v>408</v>
      </c>
      <c r="AL1479" s="487" t="s">
        <v>15876</v>
      </c>
      <c r="AM1479" s="477" t="s">
        <v>70</v>
      </c>
      <c r="AN1479" s="637">
        <v>100</v>
      </c>
      <c r="AO1479" s="478">
        <v>-1570</v>
      </c>
      <c r="AP1479" s="463">
        <v>-1570</v>
      </c>
      <c r="AQ1479" s="479">
        <v>0</v>
      </c>
      <c r="AR1479" s="476" t="s">
        <v>17571</v>
      </c>
      <c r="BA1479" s="313" t="s">
        <v>5964</v>
      </c>
    </row>
    <row r="1480" spans="2:53" ht="16.5" customHeight="1">
      <c r="B1480" s="367" t="s">
        <v>11875</v>
      </c>
      <c r="C1480" s="351" t="s">
        <v>11876</v>
      </c>
      <c r="D1480" s="353">
        <v>-1570</v>
      </c>
      <c r="E1480" s="352" t="s">
        <v>408</v>
      </c>
      <c r="F1480" s="341">
        <v>76.430000000000007</v>
      </c>
      <c r="G1480" s="355" t="s">
        <v>11877</v>
      </c>
      <c r="H1480" s="356" t="s">
        <v>5448</v>
      </c>
      <c r="I1480" s="354" t="s">
        <v>209</v>
      </c>
      <c r="J1480" s="340" t="s">
        <v>550</v>
      </c>
      <c r="K1480" s="339" t="s">
        <v>70</v>
      </c>
      <c r="L1480" s="357">
        <v>33</v>
      </c>
      <c r="M1480" s="358" t="s">
        <v>5899</v>
      </c>
      <c r="N1480" s="359">
        <v>1000</v>
      </c>
      <c r="O1480" s="360" t="s">
        <v>530</v>
      </c>
      <c r="P1480" s="343" t="s">
        <v>530</v>
      </c>
      <c r="Q1480" s="342" t="s">
        <v>2688</v>
      </c>
      <c r="R1480" s="344">
        <v>20</v>
      </c>
      <c r="S1480" s="345">
        <v>30</v>
      </c>
      <c r="T1480" s="362">
        <v>30</v>
      </c>
      <c r="U1480" s="361">
        <v>76.430000000000007</v>
      </c>
      <c r="V1480" s="346">
        <v>116.54762040022678</v>
      </c>
      <c r="W1480" s="348">
        <v>116.93962667156626</v>
      </c>
      <c r="X1480" s="347">
        <v>58.65</v>
      </c>
      <c r="Y1480" s="357" t="s">
        <v>408</v>
      </c>
      <c r="Z1480" s="365" t="s">
        <v>3017</v>
      </c>
      <c r="AA1480" s="350">
        <v>198</v>
      </c>
      <c r="AB1480" s="349" t="s">
        <v>2685</v>
      </c>
      <c r="AC1480" s="350">
        <v>10</v>
      </c>
      <c r="AD1480" s="349" t="s">
        <v>2685</v>
      </c>
      <c r="AE1480" s="364">
        <v>0</v>
      </c>
      <c r="AF1480" s="366">
        <v>0</v>
      </c>
      <c r="AG1480" s="363">
        <v>0</v>
      </c>
      <c r="AH1480" s="635" t="s">
        <v>408</v>
      </c>
      <c r="AL1480" s="487" t="s">
        <v>15877</v>
      </c>
      <c r="AM1480" s="477" t="s">
        <v>70</v>
      </c>
      <c r="AN1480" s="637">
        <v>100</v>
      </c>
      <c r="AO1480" s="478">
        <v>-1570</v>
      </c>
      <c r="AP1480" s="463">
        <v>-1570</v>
      </c>
      <c r="AQ1480" s="479">
        <v>0</v>
      </c>
      <c r="AR1480" s="476" t="s">
        <v>17570</v>
      </c>
      <c r="BA1480" s="313" t="s">
        <v>5966</v>
      </c>
    </row>
    <row r="1481" spans="2:53" ht="16.5" customHeight="1">
      <c r="B1481" s="367" t="s">
        <v>11881</v>
      </c>
      <c r="C1481" s="351" t="s">
        <v>11882</v>
      </c>
      <c r="D1481" s="353">
        <v>-1570</v>
      </c>
      <c r="E1481" s="352" t="s">
        <v>11878</v>
      </c>
      <c r="F1481" s="341">
        <v>76.38</v>
      </c>
      <c r="G1481" s="355" t="s">
        <v>11883</v>
      </c>
      <c r="H1481" s="356" t="s">
        <v>5396</v>
      </c>
      <c r="I1481" s="354" t="s">
        <v>209</v>
      </c>
      <c r="J1481" s="340" t="s">
        <v>11884</v>
      </c>
      <c r="K1481" s="339" t="s">
        <v>70</v>
      </c>
      <c r="L1481" s="357">
        <v>17</v>
      </c>
      <c r="M1481" s="358" t="s">
        <v>11885</v>
      </c>
      <c r="N1481" s="359">
        <v>1000</v>
      </c>
      <c r="O1481" s="360" t="s">
        <v>530</v>
      </c>
      <c r="P1481" s="343" t="s">
        <v>530</v>
      </c>
      <c r="Q1481" s="342" t="s">
        <v>2688</v>
      </c>
      <c r="R1481" s="344">
        <v>20</v>
      </c>
      <c r="S1481" s="345">
        <v>30</v>
      </c>
      <c r="T1481" s="362">
        <v>30</v>
      </c>
      <c r="U1481" s="361">
        <v>76.38</v>
      </c>
      <c r="V1481" s="346">
        <v>116.517834869106</v>
      </c>
      <c r="W1481" s="348">
        <v>116.92154259910006</v>
      </c>
      <c r="X1481" s="347">
        <v>58.63</v>
      </c>
      <c r="Y1481" s="357" t="s">
        <v>408</v>
      </c>
      <c r="Z1481" s="365" t="s">
        <v>3017</v>
      </c>
      <c r="AA1481" s="350">
        <v>198</v>
      </c>
      <c r="AB1481" s="349" t="s">
        <v>2685</v>
      </c>
      <c r="AC1481" s="350">
        <v>10</v>
      </c>
      <c r="AD1481" s="349" t="s">
        <v>2685</v>
      </c>
      <c r="AE1481" s="364">
        <v>0</v>
      </c>
      <c r="AF1481" s="366">
        <v>0</v>
      </c>
      <c r="AG1481" s="363">
        <v>0</v>
      </c>
      <c r="AH1481" s="635" t="s">
        <v>408</v>
      </c>
      <c r="AL1481" s="487" t="s">
        <v>15878</v>
      </c>
      <c r="AM1481" s="477" t="s">
        <v>70</v>
      </c>
      <c r="AN1481" s="637">
        <v>100</v>
      </c>
      <c r="AO1481" s="478">
        <v>-1570</v>
      </c>
      <c r="AP1481" s="463">
        <v>-1570</v>
      </c>
      <c r="AQ1481" s="479">
        <v>0</v>
      </c>
      <c r="AR1481" s="476" t="s">
        <v>17572</v>
      </c>
      <c r="BA1481" s="313" t="s">
        <v>5967</v>
      </c>
    </row>
    <row r="1482" spans="2:53" ht="16.5" customHeight="1">
      <c r="B1482" s="367" t="s">
        <v>11886</v>
      </c>
      <c r="C1482" s="351" t="s">
        <v>11887</v>
      </c>
      <c r="D1482" s="353">
        <v>-1570</v>
      </c>
      <c r="E1482" s="352" t="s">
        <v>408</v>
      </c>
      <c r="F1482" s="341">
        <v>76.36</v>
      </c>
      <c r="G1482" s="355" t="s">
        <v>11888</v>
      </c>
      <c r="H1482" s="356" t="s">
        <v>11305</v>
      </c>
      <c r="I1482" s="354" t="s">
        <v>423</v>
      </c>
      <c r="J1482" s="340" t="s">
        <v>8418</v>
      </c>
      <c r="K1482" s="339" t="s">
        <v>70</v>
      </c>
      <c r="L1482" s="357">
        <v>11</v>
      </c>
      <c r="M1482" s="358" t="s">
        <v>11889</v>
      </c>
      <c r="N1482" s="359">
        <v>1000</v>
      </c>
      <c r="O1482" s="360" t="s">
        <v>530</v>
      </c>
      <c r="P1482" s="343" t="s">
        <v>531</v>
      </c>
      <c r="Q1482" s="342" t="s">
        <v>2688</v>
      </c>
      <c r="R1482" s="344">
        <v>20</v>
      </c>
      <c r="S1482" s="345">
        <v>35</v>
      </c>
      <c r="T1482" s="362">
        <v>25</v>
      </c>
      <c r="U1482" s="361">
        <v>76.36</v>
      </c>
      <c r="V1482" s="346">
        <v>116.50687017616723</v>
      </c>
      <c r="W1482" s="348">
        <v>116.91488546410153</v>
      </c>
      <c r="X1482" s="347">
        <v>58.63</v>
      </c>
      <c r="Y1482" s="357">
        <v>58.98</v>
      </c>
      <c r="Z1482" s="365" t="s">
        <v>3017</v>
      </c>
      <c r="AA1482" s="350">
        <v>198</v>
      </c>
      <c r="AB1482" s="349" t="s">
        <v>2685</v>
      </c>
      <c r="AC1482" s="350">
        <v>10</v>
      </c>
      <c r="AD1482" s="349" t="s">
        <v>2685</v>
      </c>
      <c r="AE1482" s="364">
        <v>0</v>
      </c>
      <c r="AF1482" s="366">
        <v>13.510999999999999</v>
      </c>
      <c r="AG1482" s="363">
        <v>0</v>
      </c>
      <c r="AH1482" s="635" t="s">
        <v>11625</v>
      </c>
      <c r="AL1482" s="487" t="s">
        <v>15879</v>
      </c>
      <c r="AM1482" s="477" t="s">
        <v>70</v>
      </c>
      <c r="AN1482" s="637">
        <v>100</v>
      </c>
      <c r="AO1482" s="478">
        <v>-1570</v>
      </c>
      <c r="AP1482" s="463">
        <v>-1570</v>
      </c>
      <c r="AQ1482" s="479">
        <v>0</v>
      </c>
      <c r="AR1482" s="476" t="s">
        <v>17573</v>
      </c>
      <c r="BA1482" s="313" t="s">
        <v>5971</v>
      </c>
    </row>
    <row r="1483" spans="2:53" ht="16.5" customHeight="1">
      <c r="B1483" s="367" t="s">
        <v>11890</v>
      </c>
      <c r="C1483" s="351" t="s">
        <v>11891</v>
      </c>
      <c r="D1483" s="353">
        <v>-1570</v>
      </c>
      <c r="E1483" s="352" t="s">
        <v>408</v>
      </c>
      <c r="F1483" s="341">
        <v>76.34</v>
      </c>
      <c r="G1483" s="355" t="s">
        <v>11892</v>
      </c>
      <c r="H1483" s="356" t="s">
        <v>5401</v>
      </c>
      <c r="I1483" s="354" t="s">
        <v>216</v>
      </c>
      <c r="J1483" s="340" t="s">
        <v>11894</v>
      </c>
      <c r="K1483" s="339" t="s">
        <v>70</v>
      </c>
      <c r="L1483" s="357">
        <v>6</v>
      </c>
      <c r="M1483" s="358" t="s">
        <v>11895</v>
      </c>
      <c r="N1483" s="359">
        <v>300</v>
      </c>
      <c r="O1483" s="360" t="s">
        <v>530</v>
      </c>
      <c r="P1483" s="343" t="s">
        <v>530</v>
      </c>
      <c r="Q1483" s="342" t="s">
        <v>2688</v>
      </c>
      <c r="R1483" s="344">
        <v>25</v>
      </c>
      <c r="S1483" s="345">
        <v>45</v>
      </c>
      <c r="T1483" s="362">
        <v>30</v>
      </c>
      <c r="U1483" s="361">
        <v>76.34</v>
      </c>
      <c r="V1483" s="346">
        <v>116.4963510020993</v>
      </c>
      <c r="W1483" s="348">
        <v>116.90849882270314</v>
      </c>
      <c r="X1483" s="347">
        <v>58.62</v>
      </c>
      <c r="Y1483" s="357" t="s">
        <v>408</v>
      </c>
      <c r="Z1483" s="365" t="s">
        <v>3017</v>
      </c>
      <c r="AA1483" s="350">
        <v>-2</v>
      </c>
      <c r="AB1483" s="349" t="s">
        <v>2685</v>
      </c>
      <c r="AC1483" s="350">
        <v>0</v>
      </c>
      <c r="AD1483" s="349" t="s">
        <v>2685</v>
      </c>
      <c r="AE1483" s="364">
        <v>0</v>
      </c>
      <c r="AF1483" s="366">
        <v>0</v>
      </c>
      <c r="AG1483" s="363">
        <v>0</v>
      </c>
      <c r="AH1483" s="635" t="s">
        <v>408</v>
      </c>
      <c r="AL1483" s="487" t="s">
        <v>15880</v>
      </c>
      <c r="AM1483" s="477" t="s">
        <v>70</v>
      </c>
      <c r="AN1483" s="637">
        <v>100</v>
      </c>
      <c r="AO1483" s="478">
        <v>-1570</v>
      </c>
      <c r="AP1483" s="463">
        <v>-1570</v>
      </c>
      <c r="AQ1483" s="479">
        <v>0</v>
      </c>
      <c r="AR1483" s="476" t="s">
        <v>17574</v>
      </c>
      <c r="BA1483" s="313" t="s">
        <v>5972</v>
      </c>
    </row>
    <row r="1484" spans="2:53" ht="16.5" customHeight="1">
      <c r="B1484" s="367" t="s">
        <v>5832</v>
      </c>
      <c r="C1484" s="351" t="s">
        <v>5833</v>
      </c>
      <c r="D1484" s="353">
        <v>-1570</v>
      </c>
      <c r="E1484" s="352" t="s">
        <v>408</v>
      </c>
      <c r="F1484" s="341">
        <v>76.319999999999993</v>
      </c>
      <c r="G1484" s="355" t="s">
        <v>12192</v>
      </c>
      <c r="H1484" s="356" t="s">
        <v>5407</v>
      </c>
      <c r="I1484" s="354" t="s">
        <v>214</v>
      </c>
      <c r="J1484" s="340" t="s">
        <v>11879</v>
      </c>
      <c r="K1484" s="339" t="s">
        <v>71</v>
      </c>
      <c r="L1484" s="357">
        <v>14</v>
      </c>
      <c r="M1484" s="358" t="s">
        <v>11880</v>
      </c>
      <c r="N1484" s="359">
        <v>200</v>
      </c>
      <c r="O1484" s="360" t="s">
        <v>532</v>
      </c>
      <c r="P1484" s="343" t="s">
        <v>532</v>
      </c>
      <c r="Q1484" s="342" t="s">
        <v>2688</v>
      </c>
      <c r="R1484" s="344">
        <v>30</v>
      </c>
      <c r="S1484" s="345">
        <v>20</v>
      </c>
      <c r="T1484" s="362">
        <v>30</v>
      </c>
      <c r="U1484" s="361">
        <v>76.319999999999993</v>
      </c>
      <c r="V1484" s="346">
        <v>116.48507895541903</v>
      </c>
      <c r="W1484" s="348">
        <v>116.90165508007583</v>
      </c>
      <c r="X1484" s="347" t="s">
        <v>18907</v>
      </c>
      <c r="Y1484" s="357" t="s">
        <v>408</v>
      </c>
      <c r="Z1484" s="365" t="s">
        <v>4408</v>
      </c>
      <c r="AA1484" s="350">
        <v>36</v>
      </c>
      <c r="AB1484" s="349" t="s">
        <v>2685</v>
      </c>
      <c r="AC1484" s="350">
        <v>0</v>
      </c>
      <c r="AD1484" s="349" t="s">
        <v>2685</v>
      </c>
      <c r="AE1484" s="364">
        <v>0</v>
      </c>
      <c r="AF1484" s="366">
        <v>0</v>
      </c>
      <c r="AG1484" s="363">
        <v>0</v>
      </c>
      <c r="AH1484" s="635" t="s">
        <v>408</v>
      </c>
      <c r="AL1484" s="487" t="s">
        <v>15881</v>
      </c>
      <c r="AM1484" s="477" t="s">
        <v>71</v>
      </c>
      <c r="AN1484" s="637">
        <v>100</v>
      </c>
      <c r="AO1484" s="478">
        <v>-1570</v>
      </c>
      <c r="AP1484" s="463">
        <v>-699</v>
      </c>
      <c r="AQ1484" s="479">
        <v>-871</v>
      </c>
      <c r="AR1484" s="476" t="s">
        <v>17575</v>
      </c>
      <c r="BA1484" s="313" t="s">
        <v>5976</v>
      </c>
    </row>
    <row r="1485" spans="2:53" ht="16.5" customHeight="1">
      <c r="B1485" s="367" t="s">
        <v>11898</v>
      </c>
      <c r="C1485" s="351" t="s">
        <v>11899</v>
      </c>
      <c r="D1485" s="353">
        <v>-1570</v>
      </c>
      <c r="E1485" s="352" t="s">
        <v>5868</v>
      </c>
      <c r="F1485" s="341">
        <v>76.31</v>
      </c>
      <c r="G1485" s="355" t="s">
        <v>11900</v>
      </c>
      <c r="H1485" s="356" t="s">
        <v>11310</v>
      </c>
      <c r="I1485" s="354" t="s">
        <v>485</v>
      </c>
      <c r="J1485" s="340" t="s">
        <v>11901</v>
      </c>
      <c r="K1485" s="339" t="s">
        <v>70</v>
      </c>
      <c r="L1485" s="357">
        <v>27</v>
      </c>
      <c r="M1485" s="358" t="s">
        <v>11902</v>
      </c>
      <c r="N1485" s="359">
        <v>100</v>
      </c>
      <c r="O1485" s="360" t="s">
        <v>454</v>
      </c>
      <c r="P1485" s="343" t="s">
        <v>454</v>
      </c>
      <c r="Q1485" s="342" t="s">
        <v>2738</v>
      </c>
      <c r="R1485" s="344">
        <v>30</v>
      </c>
      <c r="S1485" s="345">
        <v>35</v>
      </c>
      <c r="T1485" s="362">
        <v>15</v>
      </c>
      <c r="U1485" s="361">
        <v>76.31</v>
      </c>
      <c r="V1485" s="346">
        <v>116.47794117647059</v>
      </c>
      <c r="W1485" s="348">
        <v>116.89732142857143</v>
      </c>
      <c r="X1485" s="347">
        <v>58.61</v>
      </c>
      <c r="Y1485" s="357" t="s">
        <v>408</v>
      </c>
      <c r="Z1485" s="365" t="s">
        <v>3017</v>
      </c>
      <c r="AA1485" s="350">
        <v>19.600000000000001</v>
      </c>
      <c r="AB1485" s="349" t="s">
        <v>2685</v>
      </c>
      <c r="AC1485" s="350">
        <v>0</v>
      </c>
      <c r="AD1485" s="349" t="s">
        <v>2685</v>
      </c>
      <c r="AE1485" s="364">
        <v>0</v>
      </c>
      <c r="AF1485" s="366">
        <v>0</v>
      </c>
      <c r="AG1485" s="363">
        <v>0</v>
      </c>
      <c r="AH1485" s="635" t="s">
        <v>408</v>
      </c>
      <c r="AL1485" s="487" t="s">
        <v>15882</v>
      </c>
      <c r="AM1485" s="477" t="s">
        <v>70</v>
      </c>
      <c r="AN1485" s="637">
        <v>100</v>
      </c>
      <c r="AO1485" s="478">
        <v>-1570</v>
      </c>
      <c r="AP1485" s="463">
        <v>-1570</v>
      </c>
      <c r="AQ1485" s="479">
        <v>0</v>
      </c>
      <c r="AR1485" s="476" t="s">
        <v>17576</v>
      </c>
      <c r="BA1485" s="313" t="s">
        <v>5977</v>
      </c>
    </row>
    <row r="1486" spans="2:53" ht="16.5" customHeight="1">
      <c r="B1486" s="367" t="s">
        <v>5816</v>
      </c>
      <c r="C1486" s="351" t="s">
        <v>5817</v>
      </c>
      <c r="D1486" s="353">
        <v>-1570</v>
      </c>
      <c r="E1486" s="352" t="s">
        <v>5868</v>
      </c>
      <c r="F1486" s="341">
        <v>76.3</v>
      </c>
      <c r="G1486" s="355" t="s">
        <v>11858</v>
      </c>
      <c r="H1486" s="356" t="s">
        <v>11349</v>
      </c>
      <c r="I1486" s="354" t="s">
        <v>215</v>
      </c>
      <c r="J1486" s="340" t="s">
        <v>8232</v>
      </c>
      <c r="K1486" s="339" t="s">
        <v>71</v>
      </c>
      <c r="L1486" s="357">
        <v>4</v>
      </c>
      <c r="M1486" s="358" t="s">
        <v>11904</v>
      </c>
      <c r="N1486" s="359">
        <v>1000</v>
      </c>
      <c r="O1486" s="360" t="s">
        <v>530</v>
      </c>
      <c r="P1486" s="343" t="s">
        <v>531</v>
      </c>
      <c r="Q1486" s="342" t="s">
        <v>2688</v>
      </c>
      <c r="R1486" s="344">
        <v>38</v>
      </c>
      <c r="S1486" s="345">
        <v>25</v>
      </c>
      <c r="T1486" s="362">
        <v>25</v>
      </c>
      <c r="U1486" s="361">
        <v>76.3</v>
      </c>
      <c r="V1486" s="346">
        <v>116.47035922845515</v>
      </c>
      <c r="W1486" s="348">
        <v>116.89271810299063</v>
      </c>
      <c r="X1486" s="347">
        <v>58.76</v>
      </c>
      <c r="Y1486" s="357">
        <v>59.15</v>
      </c>
      <c r="Z1486" s="365" t="s">
        <v>3017</v>
      </c>
      <c r="AA1486" s="350">
        <v>121.25</v>
      </c>
      <c r="AB1486" s="349" t="s">
        <v>2685</v>
      </c>
      <c r="AC1486" s="350">
        <v>10</v>
      </c>
      <c r="AD1486" s="349" t="s">
        <v>2685</v>
      </c>
      <c r="AE1486" s="364">
        <v>0</v>
      </c>
      <c r="AF1486" s="366">
        <v>0</v>
      </c>
      <c r="AG1486" s="363">
        <v>0</v>
      </c>
      <c r="AH1486" s="635" t="s">
        <v>8002</v>
      </c>
      <c r="AL1486" s="487" t="s">
        <v>15883</v>
      </c>
      <c r="AM1486" s="477" t="s">
        <v>71</v>
      </c>
      <c r="AN1486" s="637">
        <v>100</v>
      </c>
      <c r="AO1486" s="478">
        <v>-1570</v>
      </c>
      <c r="AP1486" s="463">
        <v>-699</v>
      </c>
      <c r="AQ1486" s="479">
        <v>-871</v>
      </c>
      <c r="AR1486" s="476" t="s">
        <v>17577</v>
      </c>
      <c r="BA1486" s="313" t="s">
        <v>5978</v>
      </c>
    </row>
    <row r="1487" spans="2:53" ht="16.5" customHeight="1">
      <c r="B1487" s="367" t="s">
        <v>11905</v>
      </c>
      <c r="C1487" s="351" t="s">
        <v>11906</v>
      </c>
      <c r="D1487" s="353">
        <v>-1570</v>
      </c>
      <c r="E1487" s="352" t="s">
        <v>408</v>
      </c>
      <c r="F1487" s="341">
        <v>76.28</v>
      </c>
      <c r="G1487" s="355" t="s">
        <v>5663</v>
      </c>
      <c r="H1487" s="356" t="s">
        <v>18908</v>
      </c>
      <c r="I1487" s="354" t="s">
        <v>214</v>
      </c>
      <c r="J1487" s="340" t="s">
        <v>10426</v>
      </c>
      <c r="K1487" s="339" t="s">
        <v>70</v>
      </c>
      <c r="L1487" s="357">
        <v>9</v>
      </c>
      <c r="M1487" s="358" t="s">
        <v>11907</v>
      </c>
      <c r="N1487" s="359">
        <v>200</v>
      </c>
      <c r="O1487" s="360" t="s">
        <v>532</v>
      </c>
      <c r="P1487" s="343" t="s">
        <v>532</v>
      </c>
      <c r="Q1487" s="342" t="s">
        <v>2688</v>
      </c>
      <c r="R1487" s="344">
        <v>20</v>
      </c>
      <c r="S1487" s="345">
        <v>30</v>
      </c>
      <c r="T1487" s="362">
        <v>30</v>
      </c>
      <c r="U1487" s="361">
        <v>76.28</v>
      </c>
      <c r="V1487" s="346">
        <v>116.45958068500101</v>
      </c>
      <c r="W1487" s="348">
        <v>116.88617398732204</v>
      </c>
      <c r="X1487" s="347" t="s">
        <v>18909</v>
      </c>
      <c r="Y1487" s="357" t="s">
        <v>408</v>
      </c>
      <c r="Z1487" s="365" t="s">
        <v>4408</v>
      </c>
      <c r="AA1487" s="350">
        <v>36</v>
      </c>
      <c r="AB1487" s="349" t="s">
        <v>2685</v>
      </c>
      <c r="AC1487" s="350">
        <v>0</v>
      </c>
      <c r="AD1487" s="349" t="s">
        <v>2685</v>
      </c>
      <c r="AE1487" s="364">
        <v>0</v>
      </c>
      <c r="AF1487" s="366">
        <v>0</v>
      </c>
      <c r="AG1487" s="363">
        <v>0</v>
      </c>
      <c r="AH1487" s="635" t="s">
        <v>408</v>
      </c>
      <c r="AL1487" s="487" t="s">
        <v>15891</v>
      </c>
      <c r="AM1487" s="477" t="s">
        <v>70</v>
      </c>
      <c r="AN1487" s="637">
        <v>100</v>
      </c>
      <c r="AO1487" s="478">
        <v>-1570</v>
      </c>
      <c r="AP1487" s="463">
        <v>-1570</v>
      </c>
      <c r="AQ1487" s="479">
        <v>0</v>
      </c>
      <c r="AR1487" s="476" t="s">
        <v>17578</v>
      </c>
      <c r="BA1487" s="313" t="s">
        <v>5981</v>
      </c>
    </row>
    <row r="1488" spans="2:53" ht="16.5" customHeight="1">
      <c r="B1488" s="367" t="s">
        <v>11908</v>
      </c>
      <c r="C1488" s="351" t="s">
        <v>11909</v>
      </c>
      <c r="D1488" s="353">
        <v>-1570</v>
      </c>
      <c r="E1488" s="352" t="s">
        <v>11903</v>
      </c>
      <c r="F1488" s="341">
        <v>76.28</v>
      </c>
      <c r="G1488" s="355" t="s">
        <v>5711</v>
      </c>
      <c r="H1488" s="356" t="s">
        <v>5416</v>
      </c>
      <c r="I1488" s="354" t="s">
        <v>446</v>
      </c>
      <c r="J1488" s="340" t="s">
        <v>8757</v>
      </c>
      <c r="K1488" s="339" t="s">
        <v>70</v>
      </c>
      <c r="L1488" s="357">
        <v>36</v>
      </c>
      <c r="M1488" s="358" t="s">
        <v>6783</v>
      </c>
      <c r="N1488" s="359">
        <v>1000</v>
      </c>
      <c r="O1488" s="360" t="s">
        <v>454</v>
      </c>
      <c r="P1488" s="343" t="s">
        <v>454</v>
      </c>
      <c r="Q1488" s="342" t="s">
        <v>2688</v>
      </c>
      <c r="R1488" s="344">
        <v>25</v>
      </c>
      <c r="S1488" s="345">
        <v>35</v>
      </c>
      <c r="T1488" s="362">
        <v>30</v>
      </c>
      <c r="U1488" s="361">
        <v>76.28</v>
      </c>
      <c r="V1488" s="346">
        <v>116.45751633986927</v>
      </c>
      <c r="W1488" s="348">
        <v>116.88492063492063</v>
      </c>
      <c r="X1488" s="347">
        <v>58.6</v>
      </c>
      <c r="Y1488" s="357" t="s">
        <v>408</v>
      </c>
      <c r="Z1488" s="365" t="s">
        <v>3017</v>
      </c>
      <c r="AA1488" s="350">
        <v>98</v>
      </c>
      <c r="AB1488" s="349" t="s">
        <v>2685</v>
      </c>
      <c r="AC1488" s="350">
        <v>0</v>
      </c>
      <c r="AD1488" s="349" t="s">
        <v>2685</v>
      </c>
      <c r="AE1488" s="364">
        <v>0</v>
      </c>
      <c r="AF1488" s="366">
        <v>0</v>
      </c>
      <c r="AG1488" s="363">
        <v>0</v>
      </c>
      <c r="AH1488" s="635" t="s">
        <v>408</v>
      </c>
      <c r="AL1488" s="487" t="s">
        <v>15884</v>
      </c>
      <c r="AM1488" s="477" t="s">
        <v>70</v>
      </c>
      <c r="AN1488" s="637">
        <v>100</v>
      </c>
      <c r="AO1488" s="478">
        <v>-1570</v>
      </c>
      <c r="AP1488" s="463">
        <v>-1570</v>
      </c>
      <c r="AQ1488" s="479">
        <v>0</v>
      </c>
      <c r="AR1488" s="476" t="s">
        <v>17579</v>
      </c>
      <c r="BA1488" s="313" t="s">
        <v>5982</v>
      </c>
    </row>
    <row r="1489" spans="2:53" ht="16.5" customHeight="1">
      <c r="B1489" s="367" t="s">
        <v>5871</v>
      </c>
      <c r="C1489" s="351" t="s">
        <v>5872</v>
      </c>
      <c r="D1489" s="353">
        <v>-1570</v>
      </c>
      <c r="E1489" s="352" t="s">
        <v>408</v>
      </c>
      <c r="F1489" s="341">
        <v>76.27</v>
      </c>
      <c r="G1489" s="355" t="s">
        <v>11910</v>
      </c>
      <c r="H1489" s="356" t="s">
        <v>5416</v>
      </c>
      <c r="I1489" s="354" t="s">
        <v>425</v>
      </c>
      <c r="J1489" s="340" t="s">
        <v>11911</v>
      </c>
      <c r="K1489" s="339" t="s">
        <v>70</v>
      </c>
      <c r="L1489" s="357">
        <v>9</v>
      </c>
      <c r="M1489" s="358" t="s">
        <v>11912</v>
      </c>
      <c r="N1489" s="359">
        <v>1000</v>
      </c>
      <c r="O1489" s="360" t="s">
        <v>454</v>
      </c>
      <c r="P1489" s="343" t="s">
        <v>454</v>
      </c>
      <c r="Q1489" s="342" t="s">
        <v>2738</v>
      </c>
      <c r="R1489" s="344">
        <v>25</v>
      </c>
      <c r="S1489" s="345">
        <v>35</v>
      </c>
      <c r="T1489" s="362">
        <v>20</v>
      </c>
      <c r="U1489" s="361">
        <v>76.27</v>
      </c>
      <c r="V1489" s="346">
        <v>116.45422902888966</v>
      </c>
      <c r="W1489" s="348">
        <v>116.88292476754015</v>
      </c>
      <c r="X1489" s="347">
        <v>58.6</v>
      </c>
      <c r="Y1489" s="357" t="s">
        <v>408</v>
      </c>
      <c r="Z1489" s="365" t="s">
        <v>3017</v>
      </c>
      <c r="AA1489" s="350">
        <v>196</v>
      </c>
      <c r="AB1489" s="349" t="s">
        <v>2685</v>
      </c>
      <c r="AC1489" s="350">
        <v>10</v>
      </c>
      <c r="AD1489" s="349" t="s">
        <v>2685</v>
      </c>
      <c r="AE1489" s="364">
        <v>0</v>
      </c>
      <c r="AF1489" s="366">
        <v>34.322000000000003</v>
      </c>
      <c r="AG1489" s="363">
        <v>0</v>
      </c>
      <c r="AH1489" s="635" t="s">
        <v>10711</v>
      </c>
      <c r="AL1489" s="487" t="s">
        <v>15885</v>
      </c>
      <c r="AM1489" s="477" t="s">
        <v>70</v>
      </c>
      <c r="AN1489" s="637">
        <v>100</v>
      </c>
      <c r="AO1489" s="478">
        <v>-1570</v>
      </c>
      <c r="AP1489" s="463">
        <v>-1570</v>
      </c>
      <c r="AQ1489" s="479">
        <v>0</v>
      </c>
      <c r="AR1489" s="476" t="s">
        <v>17579</v>
      </c>
      <c r="BA1489" s="313" t="s">
        <v>5985</v>
      </c>
    </row>
    <row r="1490" spans="2:53" ht="16.5" customHeight="1">
      <c r="B1490" s="367" t="s">
        <v>5839</v>
      </c>
      <c r="C1490" s="351" t="s">
        <v>5840</v>
      </c>
      <c r="D1490" s="353">
        <v>-1570</v>
      </c>
      <c r="E1490" s="352" t="s">
        <v>408</v>
      </c>
      <c r="F1490" s="341">
        <v>76.25</v>
      </c>
      <c r="G1490" s="355" t="s">
        <v>18910</v>
      </c>
      <c r="H1490" s="356" t="s">
        <v>11326</v>
      </c>
      <c r="I1490" s="354" t="s">
        <v>216</v>
      </c>
      <c r="J1490" s="340" t="s">
        <v>8618</v>
      </c>
      <c r="K1490" s="339" t="s">
        <v>71</v>
      </c>
      <c r="L1490" s="357">
        <v>8</v>
      </c>
      <c r="M1490" s="358" t="s">
        <v>11897</v>
      </c>
      <c r="N1490" s="359">
        <v>300</v>
      </c>
      <c r="O1490" s="360" t="s">
        <v>530</v>
      </c>
      <c r="P1490" s="343" t="s">
        <v>530</v>
      </c>
      <c r="Q1490" s="342" t="s">
        <v>2688</v>
      </c>
      <c r="R1490" s="344">
        <v>45</v>
      </c>
      <c r="S1490" s="345">
        <v>25</v>
      </c>
      <c r="T1490" s="362">
        <v>30</v>
      </c>
      <c r="U1490" s="361">
        <v>76.25</v>
      </c>
      <c r="V1490" s="346">
        <v>116.44392586478614</v>
      </c>
      <c r="W1490" s="348">
        <v>116.87666927504873</v>
      </c>
      <c r="X1490" s="347">
        <v>58.75</v>
      </c>
      <c r="Y1490" s="357" t="s">
        <v>408</v>
      </c>
      <c r="Z1490" s="365" t="s">
        <v>3017</v>
      </c>
      <c r="AA1490" s="350">
        <v>-2</v>
      </c>
      <c r="AB1490" s="349" t="s">
        <v>2685</v>
      </c>
      <c r="AC1490" s="350">
        <v>0</v>
      </c>
      <c r="AD1490" s="349" t="s">
        <v>2685</v>
      </c>
      <c r="AE1490" s="364">
        <v>0</v>
      </c>
      <c r="AF1490" s="366">
        <v>0</v>
      </c>
      <c r="AG1490" s="363">
        <v>0</v>
      </c>
      <c r="AH1490" s="635" t="s">
        <v>408</v>
      </c>
      <c r="AL1490" s="487" t="s">
        <v>15886</v>
      </c>
      <c r="AM1490" s="477" t="s">
        <v>71</v>
      </c>
      <c r="AN1490" s="637">
        <v>100</v>
      </c>
      <c r="AO1490" s="478">
        <v>-1570</v>
      </c>
      <c r="AP1490" s="463">
        <v>-698</v>
      </c>
      <c r="AQ1490" s="479">
        <v>-872</v>
      </c>
      <c r="AR1490" s="476" t="s">
        <v>17580</v>
      </c>
      <c r="BA1490" s="313" t="s">
        <v>5988</v>
      </c>
    </row>
    <row r="1491" spans="2:53" ht="16.5" customHeight="1">
      <c r="B1491" s="367" t="s">
        <v>11915</v>
      </c>
      <c r="C1491" s="351" t="s">
        <v>11916</v>
      </c>
      <c r="D1491" s="353">
        <v>-1570</v>
      </c>
      <c r="E1491" s="352" t="s">
        <v>408</v>
      </c>
      <c r="F1491" s="341">
        <v>76.25</v>
      </c>
      <c r="G1491" s="355" t="s">
        <v>5717</v>
      </c>
      <c r="H1491" s="356" t="s">
        <v>11326</v>
      </c>
      <c r="I1491" s="354" t="s">
        <v>485</v>
      </c>
      <c r="J1491" s="340" t="s">
        <v>11917</v>
      </c>
      <c r="K1491" s="339" t="s">
        <v>70</v>
      </c>
      <c r="L1491" s="357">
        <v>15</v>
      </c>
      <c r="M1491" s="358" t="s">
        <v>11918</v>
      </c>
      <c r="N1491" s="359">
        <v>100</v>
      </c>
      <c r="O1491" s="360" t="s">
        <v>454</v>
      </c>
      <c r="P1491" s="343" t="s">
        <v>454</v>
      </c>
      <c r="Q1491" s="342" t="s">
        <v>2738</v>
      </c>
      <c r="R1491" s="344">
        <v>30</v>
      </c>
      <c r="S1491" s="345">
        <v>35</v>
      </c>
      <c r="T1491" s="362">
        <v>15</v>
      </c>
      <c r="U1491" s="361">
        <v>76.25</v>
      </c>
      <c r="V1491" s="346">
        <v>116.44117647058823</v>
      </c>
      <c r="W1491" s="348">
        <v>116.875</v>
      </c>
      <c r="X1491" s="347">
        <v>58.6</v>
      </c>
      <c r="Y1491" s="357" t="s">
        <v>408</v>
      </c>
      <c r="Z1491" s="365" t="s">
        <v>3017</v>
      </c>
      <c r="AA1491" s="350">
        <v>19.600000000000001</v>
      </c>
      <c r="AB1491" s="349" t="s">
        <v>2685</v>
      </c>
      <c r="AC1491" s="350">
        <v>0</v>
      </c>
      <c r="AD1491" s="349" t="s">
        <v>2685</v>
      </c>
      <c r="AE1491" s="364">
        <v>0</v>
      </c>
      <c r="AF1491" s="366">
        <v>0</v>
      </c>
      <c r="AG1491" s="363">
        <v>0</v>
      </c>
      <c r="AH1491" s="635" t="s">
        <v>408</v>
      </c>
      <c r="AL1491" s="487" t="s">
        <v>15887</v>
      </c>
      <c r="AM1491" s="477" t="s">
        <v>70</v>
      </c>
      <c r="AN1491" s="637">
        <v>100</v>
      </c>
      <c r="AO1491" s="478">
        <v>-1570</v>
      </c>
      <c r="AP1491" s="463">
        <v>-1570</v>
      </c>
      <c r="AQ1491" s="479">
        <v>0</v>
      </c>
      <c r="AR1491" s="476" t="s">
        <v>17581</v>
      </c>
      <c r="BA1491" s="313" t="s">
        <v>5989</v>
      </c>
    </row>
    <row r="1492" spans="2:53" ht="16.5" customHeight="1">
      <c r="B1492" s="367" t="s">
        <v>11915</v>
      </c>
      <c r="C1492" s="351" t="s">
        <v>11916</v>
      </c>
      <c r="D1492" s="353">
        <v>-1570</v>
      </c>
      <c r="E1492" s="352" t="s">
        <v>5878</v>
      </c>
      <c r="F1492" s="341">
        <v>76.25</v>
      </c>
      <c r="G1492" s="355" t="s">
        <v>5717</v>
      </c>
      <c r="H1492" s="356" t="s">
        <v>11326</v>
      </c>
      <c r="I1492" s="354" t="s">
        <v>485</v>
      </c>
      <c r="J1492" s="340" t="s">
        <v>11919</v>
      </c>
      <c r="K1492" s="339" t="s">
        <v>70</v>
      </c>
      <c r="L1492" s="357">
        <v>20</v>
      </c>
      <c r="M1492" s="358" t="s">
        <v>11918</v>
      </c>
      <c r="N1492" s="359">
        <v>100</v>
      </c>
      <c r="O1492" s="360" t="s">
        <v>454</v>
      </c>
      <c r="P1492" s="343" t="s">
        <v>454</v>
      </c>
      <c r="Q1492" s="342" t="s">
        <v>2738</v>
      </c>
      <c r="R1492" s="344">
        <v>30</v>
      </c>
      <c r="S1492" s="345">
        <v>35</v>
      </c>
      <c r="T1492" s="362">
        <v>15</v>
      </c>
      <c r="U1492" s="361">
        <v>76.25</v>
      </c>
      <c r="V1492" s="346">
        <v>116.44117647058823</v>
      </c>
      <c r="W1492" s="348">
        <v>116.875</v>
      </c>
      <c r="X1492" s="347">
        <v>58.6</v>
      </c>
      <c r="Y1492" s="357" t="s">
        <v>408</v>
      </c>
      <c r="Z1492" s="365" t="s">
        <v>3017</v>
      </c>
      <c r="AA1492" s="350">
        <v>19.600000000000001</v>
      </c>
      <c r="AB1492" s="349" t="s">
        <v>2685</v>
      </c>
      <c r="AC1492" s="350">
        <v>0</v>
      </c>
      <c r="AD1492" s="349" t="s">
        <v>2685</v>
      </c>
      <c r="AE1492" s="364">
        <v>0</v>
      </c>
      <c r="AF1492" s="366">
        <v>0</v>
      </c>
      <c r="AG1492" s="363">
        <v>0</v>
      </c>
      <c r="AH1492" s="635" t="s">
        <v>408</v>
      </c>
      <c r="AL1492" s="487" t="s">
        <v>15888</v>
      </c>
      <c r="AM1492" s="477" t="s">
        <v>70</v>
      </c>
      <c r="AN1492" s="637">
        <v>100</v>
      </c>
      <c r="AO1492" s="478">
        <v>-1570</v>
      </c>
      <c r="AP1492" s="463">
        <v>-1570</v>
      </c>
      <c r="AQ1492" s="479">
        <v>0</v>
      </c>
      <c r="AR1492" s="476" t="s">
        <v>17581</v>
      </c>
      <c r="BA1492" s="313" t="s">
        <v>5993</v>
      </c>
    </row>
    <row r="1493" spans="2:53" ht="16.5" customHeight="1">
      <c r="B1493" s="367" t="s">
        <v>11915</v>
      </c>
      <c r="C1493" s="351" t="s">
        <v>11916</v>
      </c>
      <c r="D1493" s="353">
        <v>-1570</v>
      </c>
      <c r="E1493" s="352" t="s">
        <v>11883</v>
      </c>
      <c r="F1493" s="341">
        <v>76.25</v>
      </c>
      <c r="G1493" s="355" t="s">
        <v>12212</v>
      </c>
      <c r="H1493" s="356" t="s">
        <v>11330</v>
      </c>
      <c r="I1493" s="354" t="s">
        <v>446</v>
      </c>
      <c r="J1493" s="340" t="s">
        <v>8534</v>
      </c>
      <c r="K1493" s="339" t="s">
        <v>71</v>
      </c>
      <c r="L1493" s="357">
        <v>7</v>
      </c>
      <c r="M1493" s="358" t="s">
        <v>11920</v>
      </c>
      <c r="N1493" s="359">
        <v>1000</v>
      </c>
      <c r="O1493" s="360" t="s">
        <v>454</v>
      </c>
      <c r="P1493" s="343" t="s">
        <v>454</v>
      </c>
      <c r="Q1493" s="342" t="s">
        <v>2688</v>
      </c>
      <c r="R1493" s="344">
        <v>35</v>
      </c>
      <c r="S1493" s="345">
        <v>30</v>
      </c>
      <c r="T1493" s="362">
        <v>25</v>
      </c>
      <c r="U1493" s="361">
        <v>76.25</v>
      </c>
      <c r="V1493" s="346">
        <v>116.44117647058823</v>
      </c>
      <c r="W1493" s="348">
        <v>116.875</v>
      </c>
      <c r="X1493" s="347">
        <v>58.75</v>
      </c>
      <c r="Y1493" s="357" t="s">
        <v>408</v>
      </c>
      <c r="Z1493" s="365" t="s">
        <v>3017</v>
      </c>
      <c r="AA1493" s="350">
        <v>98</v>
      </c>
      <c r="AB1493" s="349" t="s">
        <v>2685</v>
      </c>
      <c r="AC1493" s="350">
        <v>0</v>
      </c>
      <c r="AD1493" s="349" t="s">
        <v>2685</v>
      </c>
      <c r="AE1493" s="364">
        <v>0</v>
      </c>
      <c r="AF1493" s="366">
        <v>0</v>
      </c>
      <c r="AG1493" s="363">
        <v>0</v>
      </c>
      <c r="AH1493" s="635" t="s">
        <v>408</v>
      </c>
      <c r="AL1493" s="487" t="s">
        <v>15889</v>
      </c>
      <c r="AM1493" s="477" t="s">
        <v>71</v>
      </c>
      <c r="AN1493" s="637">
        <v>100</v>
      </c>
      <c r="AO1493" s="478">
        <v>-1570</v>
      </c>
      <c r="AP1493" s="463">
        <v>-698</v>
      </c>
      <c r="AQ1493" s="479">
        <v>-872</v>
      </c>
      <c r="AR1493" s="476" t="s">
        <v>17582</v>
      </c>
      <c r="BA1493" s="313" t="s">
        <v>5995</v>
      </c>
    </row>
    <row r="1494" spans="2:53" ht="16.5" customHeight="1">
      <c r="B1494" s="367" t="s">
        <v>5845</v>
      </c>
      <c r="C1494" s="351" t="s">
        <v>5846</v>
      </c>
      <c r="D1494" s="353">
        <v>-1570</v>
      </c>
      <c r="E1494" s="352" t="s">
        <v>408</v>
      </c>
      <c r="F1494" s="341">
        <v>76.239999999999995</v>
      </c>
      <c r="G1494" s="355" t="s">
        <v>5868</v>
      </c>
      <c r="H1494" s="356" t="s">
        <v>18911</v>
      </c>
      <c r="I1494" s="354" t="s">
        <v>214</v>
      </c>
      <c r="J1494" s="340" t="s">
        <v>8863</v>
      </c>
      <c r="K1494" s="339" t="s">
        <v>71</v>
      </c>
      <c r="L1494" s="357">
        <v>6</v>
      </c>
      <c r="M1494" s="358" t="s">
        <v>11896</v>
      </c>
      <c r="N1494" s="359">
        <v>200</v>
      </c>
      <c r="O1494" s="360" t="s">
        <v>532</v>
      </c>
      <c r="P1494" s="343" t="s">
        <v>532</v>
      </c>
      <c r="Q1494" s="342" t="s">
        <v>2688</v>
      </c>
      <c r="R1494" s="344">
        <v>30</v>
      </c>
      <c r="S1494" s="345">
        <v>20</v>
      </c>
      <c r="T1494" s="362">
        <v>30</v>
      </c>
      <c r="U1494" s="361">
        <v>76.239999999999995</v>
      </c>
      <c r="V1494" s="346">
        <v>116.43714396275237</v>
      </c>
      <c r="W1494" s="348">
        <v>116.87255169167108</v>
      </c>
      <c r="X1494" s="347" t="s">
        <v>18912</v>
      </c>
      <c r="Y1494" s="357" t="s">
        <v>408</v>
      </c>
      <c r="Z1494" s="365" t="s">
        <v>4408</v>
      </c>
      <c r="AA1494" s="350">
        <v>36</v>
      </c>
      <c r="AB1494" s="349" t="s">
        <v>2685</v>
      </c>
      <c r="AC1494" s="350">
        <v>0</v>
      </c>
      <c r="AD1494" s="349" t="s">
        <v>2685</v>
      </c>
      <c r="AE1494" s="364">
        <v>0</v>
      </c>
      <c r="AF1494" s="366">
        <v>0</v>
      </c>
      <c r="AG1494" s="363">
        <v>0</v>
      </c>
      <c r="AH1494" s="635" t="s">
        <v>408</v>
      </c>
      <c r="AL1494" s="487" t="s">
        <v>15890</v>
      </c>
      <c r="AM1494" s="477" t="s">
        <v>71</v>
      </c>
      <c r="AN1494" s="637">
        <v>100</v>
      </c>
      <c r="AO1494" s="478">
        <v>-1570</v>
      </c>
      <c r="AP1494" s="463">
        <v>-698</v>
      </c>
      <c r="AQ1494" s="479">
        <v>-872</v>
      </c>
      <c r="AR1494" s="476" t="s">
        <v>17583</v>
      </c>
      <c r="BA1494" s="313" t="s">
        <v>5997</v>
      </c>
    </row>
    <row r="1495" spans="2:53" ht="16.5" customHeight="1">
      <c r="B1495" s="367" t="s">
        <v>11921</v>
      </c>
      <c r="C1495" s="351" t="s">
        <v>11922</v>
      </c>
      <c r="D1495" s="353">
        <v>-1570</v>
      </c>
      <c r="E1495" s="352" t="s">
        <v>408</v>
      </c>
      <c r="F1495" s="341">
        <v>76.23</v>
      </c>
      <c r="G1495" s="355" t="s">
        <v>11877</v>
      </c>
      <c r="H1495" s="356" t="s">
        <v>5428</v>
      </c>
      <c r="I1495" s="354" t="s">
        <v>9336</v>
      </c>
      <c r="J1495" s="340" t="s">
        <v>11924</v>
      </c>
      <c r="K1495" s="339" t="s">
        <v>71</v>
      </c>
      <c r="L1495" s="357">
        <v>13</v>
      </c>
      <c r="M1495" s="358" t="s">
        <v>11925</v>
      </c>
      <c r="N1495" s="359">
        <v>700</v>
      </c>
      <c r="O1495" s="360" t="s">
        <v>532</v>
      </c>
      <c r="P1495" s="343" t="s">
        <v>533</v>
      </c>
      <c r="Q1495" s="342" t="s">
        <v>2688</v>
      </c>
      <c r="R1495" s="344">
        <v>30</v>
      </c>
      <c r="S1495" s="345">
        <v>30</v>
      </c>
      <c r="T1495" s="362">
        <v>20</v>
      </c>
      <c r="U1495" s="361">
        <v>76.23</v>
      </c>
      <c r="V1495" s="346">
        <v>116.4304985948245</v>
      </c>
      <c r="W1495" s="348">
        <v>116.86851700400059</v>
      </c>
      <c r="X1495" s="347">
        <v>58.74</v>
      </c>
      <c r="Y1495" s="357">
        <v>60.6</v>
      </c>
      <c r="Z1495" s="365" t="s">
        <v>3017</v>
      </c>
      <c r="AA1495" s="350">
        <v>138</v>
      </c>
      <c r="AB1495" s="349" t="s">
        <v>2685</v>
      </c>
      <c r="AC1495" s="350">
        <v>10</v>
      </c>
      <c r="AD1495" s="349" t="s">
        <v>2685</v>
      </c>
      <c r="AE1495" s="364">
        <v>0</v>
      </c>
      <c r="AF1495" s="366">
        <v>0</v>
      </c>
      <c r="AG1495" s="363">
        <v>0</v>
      </c>
      <c r="AH1495" s="635" t="s">
        <v>408</v>
      </c>
      <c r="AL1495" s="487" t="s">
        <v>15892</v>
      </c>
      <c r="AM1495" s="477" t="s">
        <v>71</v>
      </c>
      <c r="AN1495" s="637">
        <v>100</v>
      </c>
      <c r="AO1495" s="478">
        <v>-1570</v>
      </c>
      <c r="AP1495" s="463">
        <v>-698</v>
      </c>
      <c r="AQ1495" s="479">
        <v>-872</v>
      </c>
      <c r="AR1495" s="476" t="s">
        <v>17584</v>
      </c>
      <c r="BA1495" s="313" t="s">
        <v>6000</v>
      </c>
    </row>
    <row r="1496" spans="2:53" ht="16.5" customHeight="1">
      <c r="B1496" s="367" t="s">
        <v>5855</v>
      </c>
      <c r="C1496" s="351" t="s">
        <v>5856</v>
      </c>
      <c r="D1496" s="353">
        <v>-1570</v>
      </c>
      <c r="E1496" s="352" t="s">
        <v>5717</v>
      </c>
      <c r="F1496" s="341">
        <v>76.2</v>
      </c>
      <c r="G1496" s="355" t="s">
        <v>18913</v>
      </c>
      <c r="H1496" s="356" t="s">
        <v>11341</v>
      </c>
      <c r="I1496" s="354" t="s">
        <v>216</v>
      </c>
      <c r="J1496" s="340" t="s">
        <v>8863</v>
      </c>
      <c r="K1496" s="339" t="s">
        <v>71</v>
      </c>
      <c r="L1496" s="357">
        <v>3</v>
      </c>
      <c r="M1496" s="358" t="s">
        <v>11913</v>
      </c>
      <c r="N1496" s="359">
        <v>300</v>
      </c>
      <c r="O1496" s="360" t="s">
        <v>530</v>
      </c>
      <c r="P1496" s="343" t="s">
        <v>530</v>
      </c>
      <c r="Q1496" s="342" t="s">
        <v>2688</v>
      </c>
      <c r="R1496" s="344">
        <v>45</v>
      </c>
      <c r="S1496" s="345">
        <v>25</v>
      </c>
      <c r="T1496" s="362">
        <v>30</v>
      </c>
      <c r="U1496" s="361">
        <v>76.2</v>
      </c>
      <c r="V1496" s="346">
        <v>116.41467650641434</v>
      </c>
      <c r="W1496" s="348">
        <v>116.85891073603727</v>
      </c>
      <c r="X1496" s="347">
        <v>58.73</v>
      </c>
      <c r="Y1496" s="357" t="s">
        <v>408</v>
      </c>
      <c r="Z1496" s="365" t="s">
        <v>3017</v>
      </c>
      <c r="AA1496" s="350">
        <v>-2</v>
      </c>
      <c r="AB1496" s="349" t="s">
        <v>2685</v>
      </c>
      <c r="AC1496" s="350">
        <v>0</v>
      </c>
      <c r="AD1496" s="349" t="s">
        <v>2685</v>
      </c>
      <c r="AE1496" s="364">
        <v>0</v>
      </c>
      <c r="AF1496" s="366">
        <v>0</v>
      </c>
      <c r="AG1496" s="363">
        <v>0</v>
      </c>
      <c r="AH1496" s="635" t="s">
        <v>408</v>
      </c>
      <c r="AL1496" s="487" t="s">
        <v>15893</v>
      </c>
      <c r="AM1496" s="477" t="s">
        <v>71</v>
      </c>
      <c r="AN1496" s="637">
        <v>100</v>
      </c>
      <c r="AO1496" s="478">
        <v>-1570</v>
      </c>
      <c r="AP1496" s="463">
        <v>-698</v>
      </c>
      <c r="AQ1496" s="479">
        <v>-872</v>
      </c>
      <c r="AR1496" s="476" t="s">
        <v>17585</v>
      </c>
      <c r="BA1496" s="313" t="s">
        <v>6001</v>
      </c>
    </row>
    <row r="1497" spans="2:53" ht="16.5" customHeight="1">
      <c r="B1497" s="367" t="s">
        <v>11881</v>
      </c>
      <c r="C1497" s="351" t="s">
        <v>11882</v>
      </c>
      <c r="D1497" s="353">
        <v>-1570</v>
      </c>
      <c r="E1497" s="352" t="s">
        <v>11923</v>
      </c>
      <c r="F1497" s="341">
        <v>76.180000000000007</v>
      </c>
      <c r="G1497" s="355" t="s">
        <v>11883</v>
      </c>
      <c r="H1497" s="356" t="s">
        <v>5211</v>
      </c>
      <c r="I1497" s="354" t="s">
        <v>214</v>
      </c>
      <c r="J1497" s="340" t="s">
        <v>11191</v>
      </c>
      <c r="K1497" s="339" t="s">
        <v>71</v>
      </c>
      <c r="L1497" s="357">
        <v>17</v>
      </c>
      <c r="M1497" s="358" t="s">
        <v>11914</v>
      </c>
      <c r="N1497" s="359">
        <v>200</v>
      </c>
      <c r="O1497" s="360" t="s">
        <v>532</v>
      </c>
      <c r="P1497" s="343" t="s">
        <v>532</v>
      </c>
      <c r="Q1497" s="342" t="s">
        <v>2688</v>
      </c>
      <c r="R1497" s="344">
        <v>30</v>
      </c>
      <c r="S1497" s="345">
        <v>20</v>
      </c>
      <c r="T1497" s="362">
        <v>30</v>
      </c>
      <c r="U1497" s="361">
        <v>76.180000000000007</v>
      </c>
      <c r="V1497" s="346">
        <v>116.39879596861894</v>
      </c>
      <c r="W1497" s="348">
        <v>116.84926898094722</v>
      </c>
      <c r="X1497" s="347" t="s">
        <v>18912</v>
      </c>
      <c r="Y1497" s="357" t="s">
        <v>408</v>
      </c>
      <c r="Z1497" s="365" t="s">
        <v>4408</v>
      </c>
      <c r="AA1497" s="350">
        <v>36</v>
      </c>
      <c r="AB1497" s="349" t="s">
        <v>2685</v>
      </c>
      <c r="AC1497" s="350">
        <v>0</v>
      </c>
      <c r="AD1497" s="349" t="s">
        <v>2685</v>
      </c>
      <c r="AE1497" s="364">
        <v>0</v>
      </c>
      <c r="AF1497" s="366">
        <v>0</v>
      </c>
      <c r="AG1497" s="363">
        <v>0</v>
      </c>
      <c r="AH1497" s="635" t="s">
        <v>408</v>
      </c>
      <c r="AL1497" s="487" t="s">
        <v>15894</v>
      </c>
      <c r="AM1497" s="477" t="s">
        <v>71</v>
      </c>
      <c r="AN1497" s="637">
        <v>100</v>
      </c>
      <c r="AO1497" s="478">
        <v>-1570</v>
      </c>
      <c r="AP1497" s="463">
        <v>-698</v>
      </c>
      <c r="AQ1497" s="479">
        <v>-872</v>
      </c>
      <c r="AR1497" s="476" t="s">
        <v>17586</v>
      </c>
      <c r="BA1497" s="313" t="s">
        <v>6003</v>
      </c>
    </row>
    <row r="1498" spans="2:53" ht="16.5" customHeight="1">
      <c r="B1498" s="367" t="s">
        <v>11926</v>
      </c>
      <c r="C1498" s="351" t="s">
        <v>11927</v>
      </c>
      <c r="D1498" s="353">
        <v>-1570</v>
      </c>
      <c r="E1498" s="352" t="s">
        <v>408</v>
      </c>
      <c r="F1498" s="341">
        <v>76.16</v>
      </c>
      <c r="G1498" s="355" t="s">
        <v>11928</v>
      </c>
      <c r="H1498" s="356" t="s">
        <v>5211</v>
      </c>
      <c r="I1498" s="354" t="s">
        <v>216</v>
      </c>
      <c r="J1498" s="340" t="s">
        <v>8410</v>
      </c>
      <c r="K1498" s="339" t="s">
        <v>70</v>
      </c>
      <c r="L1498" s="357">
        <v>6</v>
      </c>
      <c r="M1498" s="358" t="s">
        <v>11929</v>
      </c>
      <c r="N1498" s="359">
        <v>300</v>
      </c>
      <c r="O1498" s="360" t="s">
        <v>530</v>
      </c>
      <c r="P1498" s="343" t="s">
        <v>530</v>
      </c>
      <c r="Q1498" s="342" t="s">
        <v>2688</v>
      </c>
      <c r="R1498" s="344">
        <v>25</v>
      </c>
      <c r="S1498" s="345">
        <v>45</v>
      </c>
      <c r="T1498" s="362">
        <v>30</v>
      </c>
      <c r="U1498" s="361">
        <v>76.16</v>
      </c>
      <c r="V1498" s="346">
        <v>116.38968937477657</v>
      </c>
      <c r="W1498" s="348">
        <v>116.84373997754292</v>
      </c>
      <c r="X1498" s="347">
        <v>58.57</v>
      </c>
      <c r="Y1498" s="357" t="s">
        <v>408</v>
      </c>
      <c r="Z1498" s="365" t="s">
        <v>3017</v>
      </c>
      <c r="AA1498" s="350">
        <v>-2</v>
      </c>
      <c r="AB1498" s="349" t="s">
        <v>2685</v>
      </c>
      <c r="AC1498" s="350">
        <v>0</v>
      </c>
      <c r="AD1498" s="349" t="s">
        <v>2685</v>
      </c>
      <c r="AE1498" s="364">
        <v>0</v>
      </c>
      <c r="AF1498" s="366">
        <v>0</v>
      </c>
      <c r="AG1498" s="363">
        <v>0</v>
      </c>
      <c r="AH1498" s="635" t="s">
        <v>408</v>
      </c>
      <c r="AL1498" s="487" t="s">
        <v>15895</v>
      </c>
      <c r="AM1498" s="477" t="s">
        <v>70</v>
      </c>
      <c r="AN1498" s="637">
        <v>100</v>
      </c>
      <c r="AO1498" s="478">
        <v>-1570</v>
      </c>
      <c r="AP1498" s="463">
        <v>-1570</v>
      </c>
      <c r="AQ1498" s="479">
        <v>0</v>
      </c>
      <c r="AR1498" s="476" t="s">
        <v>17587</v>
      </c>
      <c r="BA1498" s="313" t="s">
        <v>6004</v>
      </c>
    </row>
    <row r="1499" spans="2:53" ht="16.5" customHeight="1">
      <c r="B1499" s="367" t="s">
        <v>5895</v>
      </c>
      <c r="C1499" s="351" t="s">
        <v>5896</v>
      </c>
      <c r="D1499" s="353">
        <v>-1570</v>
      </c>
      <c r="E1499" s="352" t="s">
        <v>11930</v>
      </c>
      <c r="F1499" s="341">
        <v>76.14</v>
      </c>
      <c r="G1499" s="355" t="s">
        <v>18914</v>
      </c>
      <c r="H1499" s="356" t="s">
        <v>5484</v>
      </c>
      <c r="I1499" s="354" t="s">
        <v>213</v>
      </c>
      <c r="J1499" s="340" t="s">
        <v>8337</v>
      </c>
      <c r="K1499" s="339" t="s">
        <v>71</v>
      </c>
      <c r="L1499" s="357">
        <v>3</v>
      </c>
      <c r="M1499" s="358" t="s">
        <v>11932</v>
      </c>
      <c r="N1499" s="359">
        <v>1000</v>
      </c>
      <c r="O1499" s="360" t="s">
        <v>454</v>
      </c>
      <c r="P1499" s="343" t="s">
        <v>454</v>
      </c>
      <c r="Q1499" s="342" t="s">
        <v>2688</v>
      </c>
      <c r="R1499" s="344">
        <v>30</v>
      </c>
      <c r="S1499" s="345">
        <v>20</v>
      </c>
      <c r="T1499" s="362">
        <v>30</v>
      </c>
      <c r="U1499" s="361">
        <v>76.14</v>
      </c>
      <c r="V1499" s="346">
        <v>116.375</v>
      </c>
      <c r="W1499" s="348">
        <v>116.83482142857143</v>
      </c>
      <c r="X1499" s="347">
        <v>58.71</v>
      </c>
      <c r="Y1499" s="357" t="s">
        <v>408</v>
      </c>
      <c r="Z1499" s="365" t="s">
        <v>4408</v>
      </c>
      <c r="AA1499" s="350">
        <v>180</v>
      </c>
      <c r="AB1499" s="349" t="s">
        <v>2685</v>
      </c>
      <c r="AC1499" s="350">
        <v>10</v>
      </c>
      <c r="AD1499" s="349" t="s">
        <v>2685</v>
      </c>
      <c r="AE1499" s="364">
        <v>0</v>
      </c>
      <c r="AF1499" s="366">
        <v>0</v>
      </c>
      <c r="AG1499" s="363">
        <v>0</v>
      </c>
      <c r="AH1499" s="635" t="s">
        <v>408</v>
      </c>
      <c r="AL1499" s="487" t="s">
        <v>15896</v>
      </c>
      <c r="AM1499" s="477" t="s">
        <v>71</v>
      </c>
      <c r="AN1499" s="637">
        <v>100</v>
      </c>
      <c r="AO1499" s="478">
        <v>-1570</v>
      </c>
      <c r="AP1499" s="463">
        <v>-698</v>
      </c>
      <c r="AQ1499" s="479">
        <v>-872</v>
      </c>
      <c r="AR1499" s="476" t="s">
        <v>17588</v>
      </c>
      <c r="BA1499" s="313" t="s">
        <v>6005</v>
      </c>
    </row>
    <row r="1500" spans="2:53" ht="16.5" customHeight="1">
      <c r="B1500" s="367" t="s">
        <v>5891</v>
      </c>
      <c r="C1500" s="351" t="s">
        <v>5892</v>
      </c>
      <c r="D1500" s="353">
        <v>-1570</v>
      </c>
      <c r="E1500" s="352" t="s">
        <v>11933</v>
      </c>
      <c r="F1500" s="341">
        <v>76.14</v>
      </c>
      <c r="G1500" s="355" t="s">
        <v>18914</v>
      </c>
      <c r="H1500" s="356" t="s">
        <v>5484</v>
      </c>
      <c r="I1500" s="354" t="s">
        <v>423</v>
      </c>
      <c r="J1500" s="340" t="s">
        <v>7365</v>
      </c>
      <c r="K1500" s="339" t="s">
        <v>71</v>
      </c>
      <c r="L1500" s="357">
        <v>6</v>
      </c>
      <c r="M1500" s="358" t="s">
        <v>11934</v>
      </c>
      <c r="N1500" s="359">
        <v>1000</v>
      </c>
      <c r="O1500" s="360" t="s">
        <v>530</v>
      </c>
      <c r="P1500" s="343" t="s">
        <v>531</v>
      </c>
      <c r="Q1500" s="342" t="s">
        <v>2688</v>
      </c>
      <c r="R1500" s="344">
        <v>30</v>
      </c>
      <c r="S1500" s="345">
        <v>25</v>
      </c>
      <c r="T1500" s="362">
        <v>25</v>
      </c>
      <c r="U1500" s="361">
        <v>76.14</v>
      </c>
      <c r="V1500" s="346">
        <v>116.37556648346352</v>
      </c>
      <c r="W1500" s="348">
        <v>116.83516536495999</v>
      </c>
      <c r="X1500" s="347">
        <v>58.71</v>
      </c>
      <c r="Y1500" s="357">
        <v>58.9</v>
      </c>
      <c r="Z1500" s="365" t="s">
        <v>3017</v>
      </c>
      <c r="AA1500" s="350">
        <v>198</v>
      </c>
      <c r="AB1500" s="349" t="s">
        <v>2685</v>
      </c>
      <c r="AC1500" s="350">
        <v>10</v>
      </c>
      <c r="AD1500" s="349" t="s">
        <v>2685</v>
      </c>
      <c r="AE1500" s="364">
        <v>0</v>
      </c>
      <c r="AF1500" s="366">
        <v>0</v>
      </c>
      <c r="AG1500" s="363">
        <v>0</v>
      </c>
      <c r="AH1500" s="635" t="s">
        <v>408</v>
      </c>
      <c r="AL1500" s="487" t="s">
        <v>15897</v>
      </c>
      <c r="AM1500" s="477" t="s">
        <v>71</v>
      </c>
      <c r="AN1500" s="637">
        <v>100</v>
      </c>
      <c r="AO1500" s="478">
        <v>-1570</v>
      </c>
      <c r="AP1500" s="463">
        <v>-698</v>
      </c>
      <c r="AQ1500" s="479">
        <v>-872</v>
      </c>
      <c r="AR1500" s="476" t="s">
        <v>17588</v>
      </c>
      <c r="BA1500" s="313" t="s">
        <v>6009</v>
      </c>
    </row>
    <row r="1501" spans="2:53" ht="16.5" customHeight="1">
      <c r="B1501" s="367" t="s">
        <v>11937</v>
      </c>
      <c r="C1501" s="351" t="s">
        <v>11938</v>
      </c>
      <c r="D1501" s="353">
        <v>-1570</v>
      </c>
      <c r="E1501" s="352" t="s">
        <v>5888</v>
      </c>
      <c r="F1501" s="341">
        <v>76.13</v>
      </c>
      <c r="G1501" s="355" t="s">
        <v>5970</v>
      </c>
      <c r="H1501" s="356" t="s">
        <v>18915</v>
      </c>
      <c r="I1501" s="354" t="s">
        <v>485</v>
      </c>
      <c r="J1501" s="340" t="s">
        <v>487</v>
      </c>
      <c r="K1501" s="339" t="s">
        <v>70</v>
      </c>
      <c r="L1501" s="357">
        <v>15</v>
      </c>
      <c r="M1501" s="358" t="s">
        <v>11939</v>
      </c>
      <c r="N1501" s="359">
        <v>100</v>
      </c>
      <c r="O1501" s="360" t="s">
        <v>454</v>
      </c>
      <c r="P1501" s="343" t="s">
        <v>454</v>
      </c>
      <c r="Q1501" s="342" t="s">
        <v>2738</v>
      </c>
      <c r="R1501" s="344">
        <v>30</v>
      </c>
      <c r="S1501" s="345">
        <v>35</v>
      </c>
      <c r="T1501" s="362">
        <v>15</v>
      </c>
      <c r="U1501" s="361">
        <v>76.13</v>
      </c>
      <c r="V1501" s="346">
        <v>116.36764705882354</v>
      </c>
      <c r="W1501" s="348">
        <v>116.83035714285714</v>
      </c>
      <c r="X1501" s="347">
        <v>58.56</v>
      </c>
      <c r="Y1501" s="357" t="s">
        <v>408</v>
      </c>
      <c r="Z1501" s="365" t="s">
        <v>3017</v>
      </c>
      <c r="AA1501" s="350">
        <v>19.600000000000001</v>
      </c>
      <c r="AB1501" s="349" t="s">
        <v>2685</v>
      </c>
      <c r="AC1501" s="350">
        <v>0</v>
      </c>
      <c r="AD1501" s="349" t="s">
        <v>2685</v>
      </c>
      <c r="AE1501" s="364">
        <v>0</v>
      </c>
      <c r="AF1501" s="366">
        <v>0</v>
      </c>
      <c r="AG1501" s="363">
        <v>0</v>
      </c>
      <c r="AH1501" s="635" t="s">
        <v>408</v>
      </c>
      <c r="AL1501" s="487" t="s">
        <v>7235</v>
      </c>
      <c r="AM1501" s="477" t="s">
        <v>70</v>
      </c>
      <c r="AN1501" s="637">
        <v>100</v>
      </c>
      <c r="AO1501" s="478">
        <v>-1570</v>
      </c>
      <c r="AP1501" s="463">
        <v>-1570</v>
      </c>
      <c r="AQ1501" s="479">
        <v>0</v>
      </c>
      <c r="AR1501" s="476" t="s">
        <v>17589</v>
      </c>
      <c r="BA1501" s="313" t="s">
        <v>6010</v>
      </c>
    </row>
    <row r="1502" spans="2:53" ht="16.5" customHeight="1">
      <c r="B1502" s="367" t="s">
        <v>11940</v>
      </c>
      <c r="C1502" s="351" t="s">
        <v>11941</v>
      </c>
      <c r="D1502" s="353">
        <v>-1570</v>
      </c>
      <c r="E1502" s="352" t="s">
        <v>408</v>
      </c>
      <c r="F1502" s="341">
        <v>76.11</v>
      </c>
      <c r="G1502" s="355" t="s">
        <v>5902</v>
      </c>
      <c r="H1502" s="356" t="s">
        <v>5484</v>
      </c>
      <c r="I1502" s="354" t="s">
        <v>212</v>
      </c>
      <c r="J1502" s="340" t="s">
        <v>8168</v>
      </c>
      <c r="K1502" s="339" t="s">
        <v>70</v>
      </c>
      <c r="L1502" s="357">
        <v>26</v>
      </c>
      <c r="M1502" s="358" t="s">
        <v>11942</v>
      </c>
      <c r="N1502" s="359">
        <v>800</v>
      </c>
      <c r="O1502" s="360" t="s">
        <v>532</v>
      </c>
      <c r="P1502" s="343" t="s">
        <v>532</v>
      </c>
      <c r="Q1502" s="342" t="s">
        <v>2688</v>
      </c>
      <c r="R1502" s="344">
        <v>30</v>
      </c>
      <c r="S1502" s="345">
        <v>40</v>
      </c>
      <c r="T1502" s="362">
        <v>30</v>
      </c>
      <c r="U1502" s="361">
        <v>76.11</v>
      </c>
      <c r="V1502" s="346">
        <v>116.36003962893044</v>
      </c>
      <c r="W1502" s="348">
        <v>116.82573834613633</v>
      </c>
      <c r="X1502" s="347" t="s">
        <v>18916</v>
      </c>
      <c r="Y1502" s="357" t="s">
        <v>408</v>
      </c>
      <c r="Z1502" s="365" t="s">
        <v>3017</v>
      </c>
      <c r="AA1502" s="350">
        <v>190</v>
      </c>
      <c r="AB1502" s="349" t="s">
        <v>2685</v>
      </c>
      <c r="AC1502" s="350">
        <v>10</v>
      </c>
      <c r="AD1502" s="349" t="s">
        <v>2685</v>
      </c>
      <c r="AE1502" s="364">
        <v>0</v>
      </c>
      <c r="AF1502" s="366">
        <v>0</v>
      </c>
      <c r="AG1502" s="363">
        <v>0</v>
      </c>
      <c r="AH1502" s="635" t="s">
        <v>408</v>
      </c>
      <c r="AL1502" s="487" t="s">
        <v>15900</v>
      </c>
      <c r="AM1502" s="477" t="s">
        <v>70</v>
      </c>
      <c r="AN1502" s="637">
        <v>100</v>
      </c>
      <c r="AO1502" s="478">
        <v>-1570</v>
      </c>
      <c r="AP1502" s="463">
        <v>-1570</v>
      </c>
      <c r="AQ1502" s="479">
        <v>0</v>
      </c>
      <c r="AR1502" s="476" t="s">
        <v>17590</v>
      </c>
      <c r="BA1502" s="313" t="s">
        <v>6011</v>
      </c>
    </row>
    <row r="1503" spans="2:53" ht="16.5" customHeight="1">
      <c r="B1503" s="367" t="s">
        <v>11940</v>
      </c>
      <c r="C1503" s="351" t="s">
        <v>11941</v>
      </c>
      <c r="D1503" s="353">
        <v>-1570</v>
      </c>
      <c r="E1503" s="352" t="s">
        <v>408</v>
      </c>
      <c r="F1503" s="341">
        <v>76.11</v>
      </c>
      <c r="G1503" s="355" t="s">
        <v>5902</v>
      </c>
      <c r="H1503" s="356" t="s">
        <v>5484</v>
      </c>
      <c r="I1503" s="354" t="s">
        <v>446</v>
      </c>
      <c r="J1503" s="340" t="s">
        <v>11943</v>
      </c>
      <c r="K1503" s="339" t="s">
        <v>70</v>
      </c>
      <c r="L1503" s="357">
        <v>7</v>
      </c>
      <c r="M1503" s="358" t="s">
        <v>5931</v>
      </c>
      <c r="N1503" s="359">
        <v>1000</v>
      </c>
      <c r="O1503" s="360" t="s">
        <v>454</v>
      </c>
      <c r="P1503" s="343" t="s">
        <v>454</v>
      </c>
      <c r="Q1503" s="342" t="s">
        <v>2688</v>
      </c>
      <c r="R1503" s="344">
        <v>25</v>
      </c>
      <c r="S1503" s="345">
        <v>35</v>
      </c>
      <c r="T1503" s="362">
        <v>30</v>
      </c>
      <c r="U1503" s="361">
        <v>76.11</v>
      </c>
      <c r="V1503" s="346">
        <v>116.35947712418302</v>
      </c>
      <c r="W1503" s="348">
        <v>116.82539682539682</v>
      </c>
      <c r="X1503" s="347">
        <v>58.56</v>
      </c>
      <c r="Y1503" s="357" t="s">
        <v>408</v>
      </c>
      <c r="Z1503" s="365" t="s">
        <v>3017</v>
      </c>
      <c r="AA1503" s="350">
        <v>98</v>
      </c>
      <c r="AB1503" s="349" t="s">
        <v>2685</v>
      </c>
      <c r="AC1503" s="350">
        <v>0</v>
      </c>
      <c r="AD1503" s="349" t="s">
        <v>2685</v>
      </c>
      <c r="AE1503" s="364">
        <v>0</v>
      </c>
      <c r="AF1503" s="366">
        <v>0</v>
      </c>
      <c r="AG1503" s="363">
        <v>0</v>
      </c>
      <c r="AH1503" s="635" t="s">
        <v>408</v>
      </c>
      <c r="AL1503" s="487" t="s">
        <v>15898</v>
      </c>
      <c r="AM1503" s="477" t="s">
        <v>70</v>
      </c>
      <c r="AN1503" s="637">
        <v>100</v>
      </c>
      <c r="AO1503" s="478">
        <v>-1570</v>
      </c>
      <c r="AP1503" s="463">
        <v>-1570</v>
      </c>
      <c r="AQ1503" s="479">
        <v>0</v>
      </c>
      <c r="AR1503" s="476" t="s">
        <v>17590</v>
      </c>
      <c r="BA1503" s="313" t="s">
        <v>6014</v>
      </c>
    </row>
    <row r="1504" spans="2:53" ht="16.5" customHeight="1">
      <c r="B1504" s="367" t="s">
        <v>11908</v>
      </c>
      <c r="C1504" s="351" t="s">
        <v>11909</v>
      </c>
      <c r="D1504" s="353">
        <v>-1570</v>
      </c>
      <c r="E1504" s="352" t="s">
        <v>408</v>
      </c>
      <c r="F1504" s="341">
        <v>76.08</v>
      </c>
      <c r="G1504" s="355" t="s">
        <v>5711</v>
      </c>
      <c r="H1504" s="356" t="s">
        <v>5225</v>
      </c>
      <c r="I1504" s="354" t="s">
        <v>216</v>
      </c>
      <c r="J1504" s="340" t="s">
        <v>11935</v>
      </c>
      <c r="K1504" s="339" t="s">
        <v>71</v>
      </c>
      <c r="L1504" s="357">
        <v>5</v>
      </c>
      <c r="M1504" s="358" t="s">
        <v>11936</v>
      </c>
      <c r="N1504" s="359">
        <v>300</v>
      </c>
      <c r="O1504" s="360" t="s">
        <v>530</v>
      </c>
      <c r="P1504" s="343" t="s">
        <v>530</v>
      </c>
      <c r="Q1504" s="342" t="s">
        <v>2688</v>
      </c>
      <c r="R1504" s="344">
        <v>45</v>
      </c>
      <c r="S1504" s="345">
        <v>25</v>
      </c>
      <c r="T1504" s="362">
        <v>30</v>
      </c>
      <c r="U1504" s="361">
        <v>76.08</v>
      </c>
      <c r="V1504" s="346">
        <v>116.34155311048485</v>
      </c>
      <c r="W1504" s="348">
        <v>116.81451438850866</v>
      </c>
      <c r="X1504" s="347">
        <v>58.7</v>
      </c>
      <c r="Y1504" s="357" t="s">
        <v>408</v>
      </c>
      <c r="Z1504" s="365" t="s">
        <v>3017</v>
      </c>
      <c r="AA1504" s="350">
        <v>-2</v>
      </c>
      <c r="AB1504" s="349" t="s">
        <v>2685</v>
      </c>
      <c r="AC1504" s="350">
        <v>0</v>
      </c>
      <c r="AD1504" s="349" t="s">
        <v>2685</v>
      </c>
      <c r="AE1504" s="364">
        <v>0</v>
      </c>
      <c r="AF1504" s="366">
        <v>0</v>
      </c>
      <c r="AG1504" s="363">
        <v>0</v>
      </c>
      <c r="AH1504" s="635" t="s">
        <v>408</v>
      </c>
      <c r="AL1504" s="487" t="s">
        <v>15899</v>
      </c>
      <c r="AM1504" s="477" t="s">
        <v>71</v>
      </c>
      <c r="AN1504" s="637">
        <v>100</v>
      </c>
      <c r="AO1504" s="478">
        <v>-1570</v>
      </c>
      <c r="AP1504" s="463">
        <v>-697</v>
      </c>
      <c r="AQ1504" s="479">
        <v>-873</v>
      </c>
      <c r="AR1504" s="476" t="s">
        <v>17591</v>
      </c>
      <c r="BA1504" s="313" t="s">
        <v>6017</v>
      </c>
    </row>
    <row r="1505" spans="2:53" ht="16.5" customHeight="1">
      <c r="B1505" s="367" t="s">
        <v>11944</v>
      </c>
      <c r="C1505" s="351" t="s">
        <v>11945</v>
      </c>
      <c r="D1505" s="353">
        <v>-1570</v>
      </c>
      <c r="E1505" s="352" t="s">
        <v>5694</v>
      </c>
      <c r="F1505" s="341">
        <v>76.06</v>
      </c>
      <c r="G1505" s="355" t="s">
        <v>5893</v>
      </c>
      <c r="H1505" s="356" t="s">
        <v>5457</v>
      </c>
      <c r="I1505" s="354" t="s">
        <v>485</v>
      </c>
      <c r="J1505" s="340" t="s">
        <v>7268</v>
      </c>
      <c r="K1505" s="339" t="s">
        <v>71</v>
      </c>
      <c r="L1505" s="357">
        <v>35</v>
      </c>
      <c r="M1505" s="358" t="s">
        <v>11946</v>
      </c>
      <c r="N1505" s="359">
        <v>100</v>
      </c>
      <c r="O1505" s="360" t="s">
        <v>454</v>
      </c>
      <c r="P1505" s="343" t="s">
        <v>454</v>
      </c>
      <c r="Q1505" s="342" t="s">
        <v>2738</v>
      </c>
      <c r="R1505" s="344">
        <v>35</v>
      </c>
      <c r="S1505" s="345">
        <v>30</v>
      </c>
      <c r="T1505" s="362">
        <v>15</v>
      </c>
      <c r="U1505" s="361">
        <v>76.06</v>
      </c>
      <c r="V1505" s="346">
        <v>116.33088235294119</v>
      </c>
      <c r="W1505" s="348">
        <v>116.80803571428572</v>
      </c>
      <c r="X1505" s="347">
        <v>58.69</v>
      </c>
      <c r="Y1505" s="357" t="s">
        <v>408</v>
      </c>
      <c r="Z1505" s="365" t="s">
        <v>3017</v>
      </c>
      <c r="AA1505" s="350">
        <v>19.600000000000001</v>
      </c>
      <c r="AB1505" s="349" t="s">
        <v>2685</v>
      </c>
      <c r="AC1505" s="350">
        <v>0</v>
      </c>
      <c r="AD1505" s="349" t="s">
        <v>2685</v>
      </c>
      <c r="AE1505" s="364">
        <v>0</v>
      </c>
      <c r="AF1505" s="366">
        <v>0</v>
      </c>
      <c r="AG1505" s="363">
        <v>0</v>
      </c>
      <c r="AH1505" s="635" t="s">
        <v>408</v>
      </c>
      <c r="AL1505" s="487" t="s">
        <v>15901</v>
      </c>
      <c r="AM1505" s="477" t="s">
        <v>71</v>
      </c>
      <c r="AN1505" s="637">
        <v>100</v>
      </c>
      <c r="AO1505" s="478">
        <v>-1570</v>
      </c>
      <c r="AP1505" s="463">
        <v>-697</v>
      </c>
      <c r="AQ1505" s="479">
        <v>-873</v>
      </c>
      <c r="AR1505" s="476" t="s">
        <v>17592</v>
      </c>
      <c r="BA1505" s="313" t="s">
        <v>6018</v>
      </c>
    </row>
    <row r="1506" spans="2:53" ht="16.5" customHeight="1">
      <c r="B1506" s="367" t="s">
        <v>11947</v>
      </c>
      <c r="C1506" s="351" t="s">
        <v>11948</v>
      </c>
      <c r="D1506" s="353">
        <v>-1570</v>
      </c>
      <c r="E1506" s="352" t="s">
        <v>408</v>
      </c>
      <c r="F1506" s="341">
        <v>76.06</v>
      </c>
      <c r="G1506" s="355" t="s">
        <v>11949</v>
      </c>
      <c r="H1506" s="356" t="s">
        <v>5225</v>
      </c>
      <c r="I1506" s="354" t="s">
        <v>485</v>
      </c>
      <c r="J1506" s="340" t="s">
        <v>566</v>
      </c>
      <c r="K1506" s="339" t="s">
        <v>70</v>
      </c>
      <c r="L1506" s="357">
        <v>11</v>
      </c>
      <c r="M1506" s="358" t="s">
        <v>11946</v>
      </c>
      <c r="N1506" s="359">
        <v>100</v>
      </c>
      <c r="O1506" s="360" t="s">
        <v>454</v>
      </c>
      <c r="P1506" s="343" t="s">
        <v>454</v>
      </c>
      <c r="Q1506" s="342" t="s">
        <v>2738</v>
      </c>
      <c r="R1506" s="344">
        <v>30</v>
      </c>
      <c r="S1506" s="345">
        <v>35</v>
      </c>
      <c r="T1506" s="362">
        <v>15</v>
      </c>
      <c r="U1506" s="361">
        <v>76.06</v>
      </c>
      <c r="V1506" s="346">
        <v>116.33088235294119</v>
      </c>
      <c r="W1506" s="348">
        <v>116.80803571428572</v>
      </c>
      <c r="X1506" s="347">
        <v>58.54</v>
      </c>
      <c r="Y1506" s="357" t="s">
        <v>408</v>
      </c>
      <c r="Z1506" s="365" t="s">
        <v>3017</v>
      </c>
      <c r="AA1506" s="350">
        <v>19.600000000000001</v>
      </c>
      <c r="AB1506" s="349" t="s">
        <v>2685</v>
      </c>
      <c r="AC1506" s="350">
        <v>0</v>
      </c>
      <c r="AD1506" s="349" t="s">
        <v>2685</v>
      </c>
      <c r="AE1506" s="364">
        <v>0</v>
      </c>
      <c r="AF1506" s="366">
        <v>0</v>
      </c>
      <c r="AG1506" s="363">
        <v>0</v>
      </c>
      <c r="AH1506" s="635" t="s">
        <v>408</v>
      </c>
      <c r="AL1506" s="487" t="s">
        <v>15902</v>
      </c>
      <c r="AM1506" s="477" t="s">
        <v>70</v>
      </c>
      <c r="AN1506" s="637">
        <v>100</v>
      </c>
      <c r="AO1506" s="478">
        <v>-1570</v>
      </c>
      <c r="AP1506" s="463">
        <v>-1570</v>
      </c>
      <c r="AQ1506" s="479">
        <v>0</v>
      </c>
      <c r="AR1506" s="476" t="s">
        <v>17593</v>
      </c>
      <c r="BA1506" s="313" t="s">
        <v>6019</v>
      </c>
    </row>
    <row r="1507" spans="2:53" ht="16.5" customHeight="1">
      <c r="B1507" s="367" t="s">
        <v>11947</v>
      </c>
      <c r="C1507" s="351" t="s">
        <v>11948</v>
      </c>
      <c r="D1507" s="353">
        <v>-1570</v>
      </c>
      <c r="E1507" s="352" t="s">
        <v>11950</v>
      </c>
      <c r="F1507" s="341">
        <v>76.06</v>
      </c>
      <c r="G1507" s="355" t="s">
        <v>5717</v>
      </c>
      <c r="H1507" s="356" t="s">
        <v>11365</v>
      </c>
      <c r="I1507" s="354" t="s">
        <v>446</v>
      </c>
      <c r="J1507" s="340" t="s">
        <v>8190</v>
      </c>
      <c r="K1507" s="339" t="s">
        <v>71</v>
      </c>
      <c r="L1507" s="357">
        <v>6</v>
      </c>
      <c r="M1507" s="358" t="s">
        <v>5938</v>
      </c>
      <c r="N1507" s="359">
        <v>1000</v>
      </c>
      <c r="O1507" s="360" t="s">
        <v>454</v>
      </c>
      <c r="P1507" s="343" t="s">
        <v>454</v>
      </c>
      <c r="Q1507" s="342" t="s">
        <v>2688</v>
      </c>
      <c r="R1507" s="344">
        <v>35</v>
      </c>
      <c r="S1507" s="345">
        <v>30</v>
      </c>
      <c r="T1507" s="362">
        <v>25</v>
      </c>
      <c r="U1507" s="361">
        <v>76.06</v>
      </c>
      <c r="V1507" s="346">
        <v>116.32679738562092</v>
      </c>
      <c r="W1507" s="348">
        <v>116.80555555555556</v>
      </c>
      <c r="X1507" s="347">
        <v>58.69</v>
      </c>
      <c r="Y1507" s="357" t="s">
        <v>408</v>
      </c>
      <c r="Z1507" s="365" t="s">
        <v>3017</v>
      </c>
      <c r="AA1507" s="350">
        <v>98</v>
      </c>
      <c r="AB1507" s="349" t="s">
        <v>2685</v>
      </c>
      <c r="AC1507" s="350">
        <v>0</v>
      </c>
      <c r="AD1507" s="349" t="s">
        <v>2685</v>
      </c>
      <c r="AE1507" s="364">
        <v>0</v>
      </c>
      <c r="AF1507" s="366">
        <v>0</v>
      </c>
      <c r="AG1507" s="363">
        <v>0</v>
      </c>
      <c r="AH1507" s="635" t="s">
        <v>408</v>
      </c>
      <c r="AL1507" s="487" t="s">
        <v>15903</v>
      </c>
      <c r="AM1507" s="477" t="s">
        <v>71</v>
      </c>
      <c r="AN1507" s="637">
        <v>100</v>
      </c>
      <c r="AO1507" s="478">
        <v>-1570</v>
      </c>
      <c r="AP1507" s="463">
        <v>-697</v>
      </c>
      <c r="AQ1507" s="479">
        <v>-873</v>
      </c>
      <c r="AR1507" s="476" t="s">
        <v>17594</v>
      </c>
      <c r="BA1507" s="313" t="s">
        <v>6020</v>
      </c>
    </row>
    <row r="1508" spans="2:53" ht="16.5" customHeight="1">
      <c r="B1508" s="367" t="s">
        <v>11951</v>
      </c>
      <c r="C1508" s="351" t="s">
        <v>11952</v>
      </c>
      <c r="D1508" s="353">
        <v>-1570</v>
      </c>
      <c r="E1508" s="352" t="s">
        <v>408</v>
      </c>
      <c r="F1508" s="341">
        <v>76.02</v>
      </c>
      <c r="G1508" s="355" t="s">
        <v>5922</v>
      </c>
      <c r="H1508" s="356" t="s">
        <v>5463</v>
      </c>
      <c r="I1508" s="354" t="s">
        <v>216</v>
      </c>
      <c r="J1508" s="340" t="s">
        <v>8056</v>
      </c>
      <c r="K1508" s="339" t="s">
        <v>70</v>
      </c>
      <c r="L1508" s="357">
        <v>8</v>
      </c>
      <c r="M1508" s="358" t="s">
        <v>11953</v>
      </c>
      <c r="N1508" s="359">
        <v>300</v>
      </c>
      <c r="O1508" s="360" t="s">
        <v>530</v>
      </c>
      <c r="P1508" s="343" t="s">
        <v>530</v>
      </c>
      <c r="Q1508" s="342" t="s">
        <v>2688</v>
      </c>
      <c r="R1508" s="344">
        <v>25</v>
      </c>
      <c r="S1508" s="345">
        <v>45</v>
      </c>
      <c r="T1508" s="362">
        <v>30</v>
      </c>
      <c r="U1508" s="361">
        <v>76.02</v>
      </c>
      <c r="V1508" s="346">
        <v>116.30764196914372</v>
      </c>
      <c r="W1508" s="348">
        <v>116.79392548126583</v>
      </c>
      <c r="X1508" s="347">
        <v>58.53</v>
      </c>
      <c r="Y1508" s="357" t="s">
        <v>408</v>
      </c>
      <c r="Z1508" s="365" t="s">
        <v>3017</v>
      </c>
      <c r="AA1508" s="350">
        <v>-2</v>
      </c>
      <c r="AB1508" s="349" t="s">
        <v>2685</v>
      </c>
      <c r="AC1508" s="350">
        <v>0</v>
      </c>
      <c r="AD1508" s="349" t="s">
        <v>2685</v>
      </c>
      <c r="AE1508" s="364">
        <v>0</v>
      </c>
      <c r="AF1508" s="366">
        <v>0</v>
      </c>
      <c r="AG1508" s="363">
        <v>0</v>
      </c>
      <c r="AH1508" s="635" t="s">
        <v>408</v>
      </c>
      <c r="AL1508" s="487" t="s">
        <v>15904</v>
      </c>
      <c r="AM1508" s="477" t="s">
        <v>70</v>
      </c>
      <c r="AN1508" s="637">
        <v>100</v>
      </c>
      <c r="AO1508" s="478">
        <v>-1570</v>
      </c>
      <c r="AP1508" s="463">
        <v>-1570</v>
      </c>
      <c r="AQ1508" s="479">
        <v>0</v>
      </c>
      <c r="AR1508" s="476" t="s">
        <v>17595</v>
      </c>
      <c r="BA1508" s="313" t="s">
        <v>6024</v>
      </c>
    </row>
    <row r="1509" spans="2:53" ht="16.5" customHeight="1">
      <c r="B1509" s="367" t="s">
        <v>11951</v>
      </c>
      <c r="C1509" s="351" t="s">
        <v>11952</v>
      </c>
      <c r="D1509" s="353">
        <v>-1570</v>
      </c>
      <c r="E1509" s="352" t="s">
        <v>408</v>
      </c>
      <c r="F1509" s="341">
        <v>76.02</v>
      </c>
      <c r="G1509" s="355" t="s">
        <v>5922</v>
      </c>
      <c r="H1509" s="356" t="s">
        <v>5463</v>
      </c>
      <c r="I1509" s="354" t="s">
        <v>215</v>
      </c>
      <c r="J1509" s="340" t="s">
        <v>11954</v>
      </c>
      <c r="K1509" s="339" t="s">
        <v>70</v>
      </c>
      <c r="L1509" s="357">
        <v>5</v>
      </c>
      <c r="M1509" s="358" t="s">
        <v>11955</v>
      </c>
      <c r="N1509" s="359">
        <v>1000</v>
      </c>
      <c r="O1509" s="360" t="s">
        <v>530</v>
      </c>
      <c r="P1509" s="343" t="s">
        <v>531</v>
      </c>
      <c r="Q1509" s="342" t="s">
        <v>2688</v>
      </c>
      <c r="R1509" s="344">
        <v>25</v>
      </c>
      <c r="S1509" s="345">
        <v>38</v>
      </c>
      <c r="T1509" s="362">
        <v>25</v>
      </c>
      <c r="U1509" s="361">
        <v>76.02</v>
      </c>
      <c r="V1509" s="346">
        <v>116.30808569454042</v>
      </c>
      <c r="W1509" s="348">
        <v>116.79419488597097</v>
      </c>
      <c r="X1509" s="347">
        <v>58.53</v>
      </c>
      <c r="Y1509" s="357">
        <v>58.64</v>
      </c>
      <c r="Z1509" s="365" t="s">
        <v>3017</v>
      </c>
      <c r="AA1509" s="350">
        <v>121.25</v>
      </c>
      <c r="AB1509" s="349" t="s">
        <v>2685</v>
      </c>
      <c r="AC1509" s="350">
        <v>10</v>
      </c>
      <c r="AD1509" s="349" t="s">
        <v>2685</v>
      </c>
      <c r="AE1509" s="364">
        <v>0</v>
      </c>
      <c r="AF1509" s="366">
        <v>0</v>
      </c>
      <c r="AG1509" s="363">
        <v>0</v>
      </c>
      <c r="AH1509" s="635" t="s">
        <v>408</v>
      </c>
      <c r="AL1509" s="487" t="s">
        <v>15905</v>
      </c>
      <c r="AM1509" s="477" t="s">
        <v>70</v>
      </c>
      <c r="AN1509" s="637">
        <v>100</v>
      </c>
      <c r="AO1509" s="478">
        <v>-1570</v>
      </c>
      <c r="AP1509" s="463">
        <v>-1570</v>
      </c>
      <c r="AQ1509" s="479">
        <v>0</v>
      </c>
      <c r="AR1509" s="476" t="s">
        <v>17595</v>
      </c>
      <c r="BA1509" s="313" t="s">
        <v>6027</v>
      </c>
    </row>
    <row r="1510" spans="2:53" ht="16.5" customHeight="1">
      <c r="B1510" s="367" t="s">
        <v>5905</v>
      </c>
      <c r="C1510" s="351" t="s">
        <v>5906</v>
      </c>
      <c r="D1510" s="353">
        <v>-1570</v>
      </c>
      <c r="E1510" s="352" t="s">
        <v>408</v>
      </c>
      <c r="F1510" s="341">
        <v>76</v>
      </c>
      <c r="G1510" s="355" t="s">
        <v>5884</v>
      </c>
      <c r="H1510" s="356" t="s">
        <v>5466</v>
      </c>
      <c r="I1510" s="354" t="s">
        <v>423</v>
      </c>
      <c r="J1510" s="340" t="s">
        <v>11956</v>
      </c>
      <c r="K1510" s="339" t="s">
        <v>70</v>
      </c>
      <c r="L1510" s="357">
        <v>9</v>
      </c>
      <c r="M1510" s="358" t="s">
        <v>11957</v>
      </c>
      <c r="N1510" s="359">
        <v>1000</v>
      </c>
      <c r="O1510" s="360" t="s">
        <v>530</v>
      </c>
      <c r="P1510" s="343" t="s">
        <v>531</v>
      </c>
      <c r="Q1510" s="342" t="s">
        <v>2688</v>
      </c>
      <c r="R1510" s="344">
        <v>20</v>
      </c>
      <c r="S1510" s="345">
        <v>35</v>
      </c>
      <c r="T1510" s="362">
        <v>25</v>
      </c>
      <c r="U1510" s="361">
        <v>76</v>
      </c>
      <c r="V1510" s="346">
        <v>116.29643858373998</v>
      </c>
      <c r="W1510" s="348">
        <v>116.78712342584214</v>
      </c>
      <c r="X1510" s="347">
        <v>58.53</v>
      </c>
      <c r="Y1510" s="357">
        <v>58.85</v>
      </c>
      <c r="Z1510" s="365" t="s">
        <v>3017</v>
      </c>
      <c r="AA1510" s="350">
        <v>198</v>
      </c>
      <c r="AB1510" s="349" t="s">
        <v>2685</v>
      </c>
      <c r="AC1510" s="350">
        <v>10</v>
      </c>
      <c r="AD1510" s="349" t="s">
        <v>2685</v>
      </c>
      <c r="AE1510" s="364">
        <v>0</v>
      </c>
      <c r="AF1510" s="366">
        <v>13.488</v>
      </c>
      <c r="AG1510" s="363">
        <v>0</v>
      </c>
      <c r="AH1510" s="635" t="s">
        <v>11625</v>
      </c>
      <c r="AL1510" s="487" t="s">
        <v>15906</v>
      </c>
      <c r="AM1510" s="477" t="s">
        <v>70</v>
      </c>
      <c r="AN1510" s="637">
        <v>100</v>
      </c>
      <c r="AO1510" s="478">
        <v>-1570</v>
      </c>
      <c r="AP1510" s="463">
        <v>-1570</v>
      </c>
      <c r="AQ1510" s="479">
        <v>0</v>
      </c>
      <c r="AR1510" s="476" t="s">
        <v>17596</v>
      </c>
      <c r="BA1510" s="313" t="s">
        <v>6028</v>
      </c>
    </row>
    <row r="1511" spans="2:53" ht="16.5" customHeight="1">
      <c r="B1511" s="367" t="s">
        <v>5910</v>
      </c>
      <c r="C1511" s="351" t="s">
        <v>5911</v>
      </c>
      <c r="D1511" s="353">
        <v>-1570</v>
      </c>
      <c r="E1511" s="352" t="s">
        <v>408</v>
      </c>
      <c r="F1511" s="341">
        <v>75.989999999999995</v>
      </c>
      <c r="G1511" s="355" t="s">
        <v>5929</v>
      </c>
      <c r="H1511" s="356" t="s">
        <v>18917</v>
      </c>
      <c r="I1511" s="354" t="s">
        <v>9336</v>
      </c>
      <c r="J1511" s="340" t="s">
        <v>11958</v>
      </c>
      <c r="K1511" s="339" t="s">
        <v>70</v>
      </c>
      <c r="L1511" s="357">
        <v>17</v>
      </c>
      <c r="M1511" s="358" t="s">
        <v>11959</v>
      </c>
      <c r="N1511" s="359">
        <v>700</v>
      </c>
      <c r="O1511" s="360" t="s">
        <v>532</v>
      </c>
      <c r="P1511" s="343" t="s">
        <v>533</v>
      </c>
      <c r="Q1511" s="342" t="s">
        <v>2688</v>
      </c>
      <c r="R1511" s="344">
        <v>20</v>
      </c>
      <c r="S1511" s="345">
        <v>35</v>
      </c>
      <c r="T1511" s="362">
        <v>30</v>
      </c>
      <c r="U1511" s="361">
        <v>75.989999999999995</v>
      </c>
      <c r="V1511" s="346">
        <v>116.28685788869548</v>
      </c>
      <c r="W1511" s="348">
        <v>116.7813065752794</v>
      </c>
      <c r="X1511" s="347">
        <v>58.52</v>
      </c>
      <c r="Y1511" s="357">
        <v>60.47</v>
      </c>
      <c r="Z1511" s="365" t="s">
        <v>3017</v>
      </c>
      <c r="AA1511" s="350">
        <v>104.5</v>
      </c>
      <c r="AB1511" s="349" t="s">
        <v>2685</v>
      </c>
      <c r="AC1511" s="350">
        <v>0</v>
      </c>
      <c r="AD1511" s="349" t="s">
        <v>2685</v>
      </c>
      <c r="AE1511" s="364">
        <v>0</v>
      </c>
      <c r="AF1511" s="366">
        <v>0</v>
      </c>
      <c r="AG1511" s="363">
        <v>0</v>
      </c>
      <c r="AH1511" s="635" t="s">
        <v>408</v>
      </c>
      <c r="AL1511" s="487" t="s">
        <v>15907</v>
      </c>
      <c r="AM1511" s="477" t="s">
        <v>70</v>
      </c>
      <c r="AN1511" s="637">
        <v>100</v>
      </c>
      <c r="AO1511" s="478">
        <v>-1570</v>
      </c>
      <c r="AP1511" s="463">
        <v>-1570</v>
      </c>
      <c r="AQ1511" s="479">
        <v>0</v>
      </c>
      <c r="AR1511" s="476" t="s">
        <v>17597</v>
      </c>
      <c r="BA1511" s="313" t="s">
        <v>6030</v>
      </c>
    </row>
    <row r="1512" spans="2:53" ht="16.5" customHeight="1">
      <c r="B1512" s="367" t="s">
        <v>5915</v>
      </c>
      <c r="C1512" s="351" t="s">
        <v>5916</v>
      </c>
      <c r="D1512" s="353">
        <v>-1570</v>
      </c>
      <c r="E1512" s="352" t="s">
        <v>408</v>
      </c>
      <c r="F1512" s="341">
        <v>75.98</v>
      </c>
      <c r="G1512" s="355" t="s">
        <v>11960</v>
      </c>
      <c r="H1512" s="356" t="s">
        <v>11377</v>
      </c>
      <c r="I1512" s="354" t="s">
        <v>209</v>
      </c>
      <c r="J1512" s="340" t="s">
        <v>8305</v>
      </c>
      <c r="K1512" s="339" t="s">
        <v>70</v>
      </c>
      <c r="L1512" s="357">
        <v>11</v>
      </c>
      <c r="M1512" s="358" t="s">
        <v>11962</v>
      </c>
      <c r="N1512" s="359">
        <v>1000</v>
      </c>
      <c r="O1512" s="360" t="s">
        <v>530</v>
      </c>
      <c r="P1512" s="343" t="s">
        <v>530</v>
      </c>
      <c r="Q1512" s="342" t="s">
        <v>2688</v>
      </c>
      <c r="R1512" s="344">
        <v>20</v>
      </c>
      <c r="S1512" s="345">
        <v>30</v>
      </c>
      <c r="T1512" s="362">
        <v>30</v>
      </c>
      <c r="U1512" s="361">
        <v>75.98</v>
      </c>
      <c r="V1512" s="346">
        <v>116.27958671292448</v>
      </c>
      <c r="W1512" s="348">
        <v>116.77689193284701</v>
      </c>
      <c r="X1512" s="347">
        <v>58.52</v>
      </c>
      <c r="Y1512" s="357" t="s">
        <v>408</v>
      </c>
      <c r="Z1512" s="365" t="s">
        <v>3017</v>
      </c>
      <c r="AA1512" s="350">
        <v>198</v>
      </c>
      <c r="AB1512" s="349" t="s">
        <v>2685</v>
      </c>
      <c r="AC1512" s="350">
        <v>10</v>
      </c>
      <c r="AD1512" s="349" t="s">
        <v>2685</v>
      </c>
      <c r="AE1512" s="364">
        <v>0</v>
      </c>
      <c r="AF1512" s="366">
        <v>0</v>
      </c>
      <c r="AG1512" s="363">
        <v>0</v>
      </c>
      <c r="AH1512" s="635" t="s">
        <v>408</v>
      </c>
      <c r="AL1512" s="487" t="s">
        <v>15908</v>
      </c>
      <c r="AM1512" s="477" t="s">
        <v>70</v>
      </c>
      <c r="AN1512" s="637">
        <v>100</v>
      </c>
      <c r="AO1512" s="478">
        <v>-1570</v>
      </c>
      <c r="AP1512" s="463">
        <v>-1570</v>
      </c>
      <c r="AQ1512" s="479">
        <v>0</v>
      </c>
      <c r="AR1512" s="476" t="s">
        <v>17598</v>
      </c>
      <c r="BA1512" s="313" t="s">
        <v>6033</v>
      </c>
    </row>
    <row r="1513" spans="2:53" ht="16.5" customHeight="1">
      <c r="B1513" s="367" t="s">
        <v>5915</v>
      </c>
      <c r="C1513" s="351" t="s">
        <v>5916</v>
      </c>
      <c r="D1513" s="353">
        <v>-1570</v>
      </c>
      <c r="E1513" s="352" t="s">
        <v>11960</v>
      </c>
      <c r="F1513" s="341">
        <v>75.97</v>
      </c>
      <c r="G1513" s="355" t="s">
        <v>11928</v>
      </c>
      <c r="H1513" s="356" t="s">
        <v>11448</v>
      </c>
      <c r="I1513" s="354" t="s">
        <v>446</v>
      </c>
      <c r="J1513" s="340" t="s">
        <v>8726</v>
      </c>
      <c r="K1513" s="339" t="s">
        <v>71</v>
      </c>
      <c r="L1513" s="357">
        <v>8</v>
      </c>
      <c r="M1513" s="358" t="s">
        <v>11963</v>
      </c>
      <c r="N1513" s="359">
        <v>1000</v>
      </c>
      <c r="O1513" s="360" t="s">
        <v>454</v>
      </c>
      <c r="P1513" s="343" t="s">
        <v>454</v>
      </c>
      <c r="Q1513" s="342" t="s">
        <v>2688</v>
      </c>
      <c r="R1513" s="344">
        <v>35</v>
      </c>
      <c r="S1513" s="345">
        <v>30</v>
      </c>
      <c r="T1513" s="362">
        <v>25</v>
      </c>
      <c r="U1513" s="361">
        <v>75.97</v>
      </c>
      <c r="V1513" s="346">
        <v>116.27777777777779</v>
      </c>
      <c r="W1513" s="348">
        <v>116.77579365079366</v>
      </c>
      <c r="X1513" s="347">
        <v>58.66</v>
      </c>
      <c r="Y1513" s="357" t="s">
        <v>408</v>
      </c>
      <c r="Z1513" s="365" t="s">
        <v>3017</v>
      </c>
      <c r="AA1513" s="350">
        <v>98</v>
      </c>
      <c r="AB1513" s="349" t="s">
        <v>2685</v>
      </c>
      <c r="AC1513" s="350">
        <v>0</v>
      </c>
      <c r="AD1513" s="349" t="s">
        <v>2685</v>
      </c>
      <c r="AE1513" s="364">
        <v>0</v>
      </c>
      <c r="AF1513" s="366">
        <v>0</v>
      </c>
      <c r="AG1513" s="363">
        <v>0</v>
      </c>
      <c r="AH1513" s="635" t="s">
        <v>408</v>
      </c>
      <c r="AL1513" s="487" t="s">
        <v>15909</v>
      </c>
      <c r="AM1513" s="477" t="s">
        <v>71</v>
      </c>
      <c r="AN1513" s="637">
        <v>100</v>
      </c>
      <c r="AO1513" s="478">
        <v>-1570</v>
      </c>
      <c r="AP1513" s="463">
        <v>-697</v>
      </c>
      <c r="AQ1513" s="479">
        <v>-873</v>
      </c>
      <c r="AR1513" s="476" t="s">
        <v>17599</v>
      </c>
      <c r="BA1513" s="313" t="s">
        <v>6034</v>
      </c>
    </row>
    <row r="1514" spans="2:53" ht="16.5" customHeight="1">
      <c r="B1514" s="367" t="s">
        <v>11964</v>
      </c>
      <c r="C1514" s="351" t="s">
        <v>11965</v>
      </c>
      <c r="D1514" s="353">
        <v>-1570</v>
      </c>
      <c r="E1514" s="352" t="s">
        <v>408</v>
      </c>
      <c r="F1514" s="341">
        <v>75.930000000000007</v>
      </c>
      <c r="G1514" s="355" t="s">
        <v>11966</v>
      </c>
      <c r="H1514" s="356" t="s">
        <v>5245</v>
      </c>
      <c r="I1514" s="354" t="s">
        <v>237</v>
      </c>
      <c r="J1514" s="340" t="s">
        <v>8168</v>
      </c>
      <c r="K1514" s="339" t="s">
        <v>70</v>
      </c>
      <c r="L1514" s="357">
        <v>15</v>
      </c>
      <c r="M1514" s="358" t="s">
        <v>11967</v>
      </c>
      <c r="N1514" s="359">
        <v>1000</v>
      </c>
      <c r="O1514" s="360" t="s">
        <v>530</v>
      </c>
      <c r="P1514" s="343" t="s">
        <v>530</v>
      </c>
      <c r="Q1514" s="342" t="s">
        <v>2688</v>
      </c>
      <c r="R1514" s="344">
        <v>20</v>
      </c>
      <c r="S1514" s="345">
        <v>30</v>
      </c>
      <c r="T1514" s="362">
        <v>30</v>
      </c>
      <c r="U1514" s="361">
        <v>75.930000000000007</v>
      </c>
      <c r="V1514" s="346">
        <v>116.25583901171392</v>
      </c>
      <c r="W1514" s="348">
        <v>116.76247368568346</v>
      </c>
      <c r="X1514" s="347">
        <v>58.51</v>
      </c>
      <c r="Y1514" s="357" t="s">
        <v>408</v>
      </c>
      <c r="Z1514" s="365" t="s">
        <v>3017</v>
      </c>
      <c r="AA1514" s="350">
        <v>196</v>
      </c>
      <c r="AB1514" s="349" t="s">
        <v>2685</v>
      </c>
      <c r="AC1514" s="350">
        <v>0</v>
      </c>
      <c r="AD1514" s="349" t="s">
        <v>2685</v>
      </c>
      <c r="AE1514" s="364">
        <v>0</v>
      </c>
      <c r="AF1514" s="366">
        <v>10.52</v>
      </c>
      <c r="AG1514" s="363">
        <v>0</v>
      </c>
      <c r="AH1514" s="635" t="s">
        <v>9931</v>
      </c>
      <c r="AL1514" s="487" t="s">
        <v>15910</v>
      </c>
      <c r="AM1514" s="477" t="s">
        <v>70</v>
      </c>
      <c r="AN1514" s="637">
        <v>100</v>
      </c>
      <c r="AO1514" s="478">
        <v>-1570</v>
      </c>
      <c r="AP1514" s="463">
        <v>-1570</v>
      </c>
      <c r="AQ1514" s="479">
        <v>0</v>
      </c>
      <c r="AR1514" s="476" t="s">
        <v>17600</v>
      </c>
      <c r="BA1514" s="313" t="s">
        <v>6035</v>
      </c>
    </row>
    <row r="1515" spans="2:53" ht="16.5" customHeight="1">
      <c r="B1515" s="367" t="s">
        <v>5924</v>
      </c>
      <c r="C1515" s="351" t="s">
        <v>5925</v>
      </c>
      <c r="D1515" s="353">
        <v>-1570</v>
      </c>
      <c r="E1515" s="352" t="s">
        <v>5918</v>
      </c>
      <c r="F1515" s="341">
        <v>75.92</v>
      </c>
      <c r="G1515" s="355" t="s">
        <v>5907</v>
      </c>
      <c r="H1515" s="356" t="s">
        <v>11390</v>
      </c>
      <c r="I1515" s="354" t="s">
        <v>446</v>
      </c>
      <c r="J1515" s="340" t="s">
        <v>9305</v>
      </c>
      <c r="K1515" s="339" t="s">
        <v>71</v>
      </c>
      <c r="L1515" s="357">
        <v>8</v>
      </c>
      <c r="M1515" s="358" t="s">
        <v>11969</v>
      </c>
      <c r="N1515" s="359">
        <v>1000</v>
      </c>
      <c r="O1515" s="360" t="s">
        <v>454</v>
      </c>
      <c r="P1515" s="343" t="s">
        <v>454</v>
      </c>
      <c r="Q1515" s="342" t="s">
        <v>2688</v>
      </c>
      <c r="R1515" s="344">
        <v>35</v>
      </c>
      <c r="S1515" s="345">
        <v>30</v>
      </c>
      <c r="T1515" s="362">
        <v>25</v>
      </c>
      <c r="U1515" s="361">
        <v>75.92</v>
      </c>
      <c r="V1515" s="346">
        <v>116.24509803921569</v>
      </c>
      <c r="W1515" s="348">
        <v>116.75595238095238</v>
      </c>
      <c r="X1515" s="347">
        <v>58.64</v>
      </c>
      <c r="Y1515" s="357" t="s">
        <v>408</v>
      </c>
      <c r="Z1515" s="365" t="s">
        <v>3017</v>
      </c>
      <c r="AA1515" s="350">
        <v>98</v>
      </c>
      <c r="AB1515" s="349" t="s">
        <v>2685</v>
      </c>
      <c r="AC1515" s="350">
        <v>0</v>
      </c>
      <c r="AD1515" s="349" t="s">
        <v>2685</v>
      </c>
      <c r="AE1515" s="364">
        <v>0</v>
      </c>
      <c r="AF1515" s="366">
        <v>0</v>
      </c>
      <c r="AG1515" s="363">
        <v>0</v>
      </c>
      <c r="AH1515" s="635" t="s">
        <v>408</v>
      </c>
      <c r="AL1515" s="487" t="s">
        <v>15911</v>
      </c>
      <c r="AM1515" s="477" t="s">
        <v>71</v>
      </c>
      <c r="AN1515" s="637">
        <v>100</v>
      </c>
      <c r="AO1515" s="478">
        <v>-1570</v>
      </c>
      <c r="AP1515" s="463">
        <v>-697</v>
      </c>
      <c r="AQ1515" s="479">
        <v>-873</v>
      </c>
      <c r="AR1515" s="476" t="s">
        <v>17601</v>
      </c>
      <c r="BA1515" s="313" t="s">
        <v>6038</v>
      </c>
    </row>
    <row r="1516" spans="2:53" ht="16.5" customHeight="1">
      <c r="B1516" s="367" t="s">
        <v>5924</v>
      </c>
      <c r="C1516" s="351" t="s">
        <v>5925</v>
      </c>
      <c r="D1516" s="353">
        <v>-1570</v>
      </c>
      <c r="E1516" s="352" t="s">
        <v>11968</v>
      </c>
      <c r="F1516" s="341">
        <v>75.92</v>
      </c>
      <c r="G1516" s="355" t="s">
        <v>5907</v>
      </c>
      <c r="H1516" s="356" t="s">
        <v>11390</v>
      </c>
      <c r="I1516" s="354" t="s">
        <v>446</v>
      </c>
      <c r="J1516" s="340" t="s">
        <v>10747</v>
      </c>
      <c r="K1516" s="339" t="s">
        <v>71</v>
      </c>
      <c r="L1516" s="357">
        <v>32</v>
      </c>
      <c r="M1516" s="358" t="s">
        <v>11969</v>
      </c>
      <c r="N1516" s="359">
        <v>1000</v>
      </c>
      <c r="O1516" s="360" t="s">
        <v>454</v>
      </c>
      <c r="P1516" s="343" t="s">
        <v>454</v>
      </c>
      <c r="Q1516" s="342" t="s">
        <v>2688</v>
      </c>
      <c r="R1516" s="344">
        <v>35</v>
      </c>
      <c r="S1516" s="345">
        <v>30</v>
      </c>
      <c r="T1516" s="362">
        <v>25</v>
      </c>
      <c r="U1516" s="361">
        <v>75.92</v>
      </c>
      <c r="V1516" s="346">
        <v>116.24509803921569</v>
      </c>
      <c r="W1516" s="348">
        <v>116.75595238095238</v>
      </c>
      <c r="X1516" s="347">
        <v>58.64</v>
      </c>
      <c r="Y1516" s="357" t="s">
        <v>408</v>
      </c>
      <c r="Z1516" s="365" t="s">
        <v>3017</v>
      </c>
      <c r="AA1516" s="350">
        <v>98</v>
      </c>
      <c r="AB1516" s="349" t="s">
        <v>2685</v>
      </c>
      <c r="AC1516" s="350">
        <v>0</v>
      </c>
      <c r="AD1516" s="349" t="s">
        <v>2685</v>
      </c>
      <c r="AE1516" s="364">
        <v>0</v>
      </c>
      <c r="AF1516" s="366">
        <v>0</v>
      </c>
      <c r="AG1516" s="363">
        <v>0</v>
      </c>
      <c r="AH1516" s="635" t="s">
        <v>408</v>
      </c>
      <c r="AL1516" s="487" t="s">
        <v>15912</v>
      </c>
      <c r="AM1516" s="477" t="s">
        <v>71</v>
      </c>
      <c r="AN1516" s="637">
        <v>100</v>
      </c>
      <c r="AO1516" s="478">
        <v>-1570</v>
      </c>
      <c r="AP1516" s="463">
        <v>-697</v>
      </c>
      <c r="AQ1516" s="479">
        <v>-873</v>
      </c>
      <c r="AR1516" s="476" t="s">
        <v>17601</v>
      </c>
      <c r="BA1516" s="313" t="s">
        <v>6041</v>
      </c>
    </row>
    <row r="1517" spans="2:53" ht="16.5" customHeight="1">
      <c r="B1517" s="367" t="s">
        <v>11971</v>
      </c>
      <c r="C1517" s="351" t="s">
        <v>11972</v>
      </c>
      <c r="D1517" s="353">
        <v>-1570</v>
      </c>
      <c r="E1517" s="352" t="s">
        <v>11968</v>
      </c>
      <c r="F1517" s="341">
        <v>75.88</v>
      </c>
      <c r="G1517" s="355" t="s">
        <v>5694</v>
      </c>
      <c r="H1517" s="356" t="s">
        <v>18918</v>
      </c>
      <c r="I1517" s="354" t="s">
        <v>485</v>
      </c>
      <c r="J1517" s="340" t="s">
        <v>9835</v>
      </c>
      <c r="K1517" s="339" t="s">
        <v>71</v>
      </c>
      <c r="L1517" s="357">
        <v>15</v>
      </c>
      <c r="M1517" s="358" t="s">
        <v>11973</v>
      </c>
      <c r="N1517" s="359">
        <v>100</v>
      </c>
      <c r="O1517" s="360" t="s">
        <v>454</v>
      </c>
      <c r="P1517" s="343" t="s">
        <v>454</v>
      </c>
      <c r="Q1517" s="342" t="s">
        <v>2738</v>
      </c>
      <c r="R1517" s="344">
        <v>35</v>
      </c>
      <c r="S1517" s="345">
        <v>30</v>
      </c>
      <c r="T1517" s="362">
        <v>15</v>
      </c>
      <c r="U1517" s="361">
        <v>75.88</v>
      </c>
      <c r="V1517" s="346">
        <v>116.22058823529412</v>
      </c>
      <c r="W1517" s="348">
        <v>116.74107142857143</v>
      </c>
      <c r="X1517" s="347">
        <v>58.63</v>
      </c>
      <c r="Y1517" s="357" t="s">
        <v>408</v>
      </c>
      <c r="Z1517" s="365" t="s">
        <v>3017</v>
      </c>
      <c r="AA1517" s="350">
        <v>19.600000000000001</v>
      </c>
      <c r="AB1517" s="349" t="s">
        <v>2685</v>
      </c>
      <c r="AC1517" s="350">
        <v>0</v>
      </c>
      <c r="AD1517" s="349" t="s">
        <v>2685</v>
      </c>
      <c r="AE1517" s="364">
        <v>0</v>
      </c>
      <c r="AF1517" s="366">
        <v>0</v>
      </c>
      <c r="AG1517" s="363">
        <v>0</v>
      </c>
      <c r="AH1517" s="635" t="s">
        <v>408</v>
      </c>
      <c r="AL1517" s="487" t="s">
        <v>15913</v>
      </c>
      <c r="AM1517" s="477" t="s">
        <v>71</v>
      </c>
      <c r="AN1517" s="637">
        <v>100</v>
      </c>
      <c r="AO1517" s="478">
        <v>-1570</v>
      </c>
      <c r="AP1517" s="463">
        <v>-696</v>
      </c>
      <c r="AQ1517" s="479">
        <v>-874</v>
      </c>
      <c r="AR1517" s="476" t="s">
        <v>17602</v>
      </c>
      <c r="BA1517" s="313" t="s">
        <v>6042</v>
      </c>
    </row>
    <row r="1518" spans="2:53" ht="16.5" customHeight="1">
      <c r="B1518" s="367" t="s">
        <v>11947</v>
      </c>
      <c r="C1518" s="351" t="s">
        <v>11948</v>
      </c>
      <c r="D1518" s="353">
        <v>-1570</v>
      </c>
      <c r="E1518" s="352" t="s">
        <v>5884</v>
      </c>
      <c r="F1518" s="341">
        <v>75.87</v>
      </c>
      <c r="G1518" s="355" t="s">
        <v>11949</v>
      </c>
      <c r="H1518" s="356" t="s">
        <v>18918</v>
      </c>
      <c r="I1518" s="354" t="s">
        <v>216</v>
      </c>
      <c r="J1518" s="340" t="s">
        <v>8772</v>
      </c>
      <c r="K1518" s="339" t="s">
        <v>71</v>
      </c>
      <c r="L1518" s="357">
        <v>7</v>
      </c>
      <c r="M1518" s="358" t="s">
        <v>5881</v>
      </c>
      <c r="N1518" s="359">
        <v>300</v>
      </c>
      <c r="O1518" s="360" t="s">
        <v>530</v>
      </c>
      <c r="P1518" s="343" t="s">
        <v>530</v>
      </c>
      <c r="Q1518" s="342" t="s">
        <v>2688</v>
      </c>
      <c r="R1518" s="344">
        <v>45</v>
      </c>
      <c r="S1518" s="345">
        <v>25</v>
      </c>
      <c r="T1518" s="362">
        <v>30</v>
      </c>
      <c r="U1518" s="361">
        <v>75.87</v>
      </c>
      <c r="V1518" s="346">
        <v>116.21737049751317</v>
      </c>
      <c r="W1518" s="348">
        <v>116.73911780206157</v>
      </c>
      <c r="X1518" s="347">
        <v>58.63</v>
      </c>
      <c r="Y1518" s="357" t="s">
        <v>408</v>
      </c>
      <c r="Z1518" s="365" t="s">
        <v>3017</v>
      </c>
      <c r="AA1518" s="350">
        <v>-2</v>
      </c>
      <c r="AB1518" s="349" t="s">
        <v>2685</v>
      </c>
      <c r="AC1518" s="350">
        <v>0</v>
      </c>
      <c r="AD1518" s="349" t="s">
        <v>2685</v>
      </c>
      <c r="AE1518" s="364">
        <v>0</v>
      </c>
      <c r="AF1518" s="366">
        <v>0</v>
      </c>
      <c r="AG1518" s="363">
        <v>0</v>
      </c>
      <c r="AH1518" s="635" t="s">
        <v>408</v>
      </c>
      <c r="AL1518" s="487" t="s">
        <v>15914</v>
      </c>
      <c r="AM1518" s="477" t="s">
        <v>71</v>
      </c>
      <c r="AN1518" s="637">
        <v>100</v>
      </c>
      <c r="AO1518" s="478">
        <v>-1570</v>
      </c>
      <c r="AP1518" s="463">
        <v>-696</v>
      </c>
      <c r="AQ1518" s="479">
        <v>-874</v>
      </c>
      <c r="AR1518" s="476" t="s">
        <v>17603</v>
      </c>
      <c r="BA1518" s="313" t="s">
        <v>6043</v>
      </c>
    </row>
    <row r="1519" spans="2:53" ht="16.5" customHeight="1">
      <c r="B1519" s="367" t="s">
        <v>11974</v>
      </c>
      <c r="C1519" s="351" t="s">
        <v>11975</v>
      </c>
      <c r="D1519" s="353">
        <v>-1570</v>
      </c>
      <c r="E1519" s="352" t="s">
        <v>5730</v>
      </c>
      <c r="F1519" s="341">
        <v>75.86</v>
      </c>
      <c r="G1519" s="355" t="s">
        <v>11976</v>
      </c>
      <c r="H1519" s="356" t="s">
        <v>11397</v>
      </c>
      <c r="I1519" s="354" t="s">
        <v>212</v>
      </c>
      <c r="J1519" s="340" t="s">
        <v>7910</v>
      </c>
      <c r="K1519" s="339" t="s">
        <v>70</v>
      </c>
      <c r="L1519" s="357">
        <v>5</v>
      </c>
      <c r="M1519" s="358" t="s">
        <v>11977</v>
      </c>
      <c r="N1519" s="359">
        <v>800</v>
      </c>
      <c r="O1519" s="360" t="s">
        <v>532</v>
      </c>
      <c r="P1519" s="343" t="s">
        <v>532</v>
      </c>
      <c r="Q1519" s="342" t="s">
        <v>2688</v>
      </c>
      <c r="R1519" s="344">
        <v>30</v>
      </c>
      <c r="S1519" s="345">
        <v>40</v>
      </c>
      <c r="T1519" s="362">
        <v>30</v>
      </c>
      <c r="U1519" s="361">
        <v>75.86</v>
      </c>
      <c r="V1519" s="346">
        <v>116.2144056825136</v>
      </c>
      <c r="W1519" s="348">
        <v>116.73731773581183</v>
      </c>
      <c r="X1519" s="347" t="s">
        <v>18919</v>
      </c>
      <c r="Y1519" s="357" t="s">
        <v>408</v>
      </c>
      <c r="Z1519" s="365" t="s">
        <v>3017</v>
      </c>
      <c r="AA1519" s="350">
        <v>190</v>
      </c>
      <c r="AB1519" s="349" t="s">
        <v>2685</v>
      </c>
      <c r="AC1519" s="350">
        <v>10</v>
      </c>
      <c r="AD1519" s="349" t="s">
        <v>2685</v>
      </c>
      <c r="AE1519" s="364">
        <v>0</v>
      </c>
      <c r="AF1519" s="366">
        <v>0</v>
      </c>
      <c r="AG1519" s="363">
        <v>0</v>
      </c>
      <c r="AH1519" s="635" t="s">
        <v>408</v>
      </c>
      <c r="AL1519" s="487" t="s">
        <v>15916</v>
      </c>
      <c r="AM1519" s="477" t="s">
        <v>70</v>
      </c>
      <c r="AN1519" s="637">
        <v>100</v>
      </c>
      <c r="AO1519" s="478">
        <v>-1570</v>
      </c>
      <c r="AP1519" s="463">
        <v>-1570</v>
      </c>
      <c r="AQ1519" s="479">
        <v>0</v>
      </c>
      <c r="AR1519" s="476" t="s">
        <v>17604</v>
      </c>
      <c r="BA1519" s="313" t="s">
        <v>6045</v>
      </c>
    </row>
    <row r="1520" spans="2:53" ht="16.5" customHeight="1">
      <c r="B1520" s="367" t="s">
        <v>11974</v>
      </c>
      <c r="C1520" s="351" t="s">
        <v>11975</v>
      </c>
      <c r="D1520" s="353">
        <v>-1570</v>
      </c>
      <c r="E1520" s="352" t="s">
        <v>408</v>
      </c>
      <c r="F1520" s="341">
        <v>75.86</v>
      </c>
      <c r="G1520" s="355" t="s">
        <v>5918</v>
      </c>
      <c r="H1520" s="356" t="s">
        <v>11401</v>
      </c>
      <c r="I1520" s="354" t="s">
        <v>446</v>
      </c>
      <c r="J1520" s="340" t="s">
        <v>8527</v>
      </c>
      <c r="K1520" s="339" t="s">
        <v>71</v>
      </c>
      <c r="L1520" s="357">
        <v>5</v>
      </c>
      <c r="M1520" s="358" t="s">
        <v>11978</v>
      </c>
      <c r="N1520" s="359">
        <v>1000</v>
      </c>
      <c r="O1520" s="360" t="s">
        <v>454</v>
      </c>
      <c r="P1520" s="343" t="s">
        <v>454</v>
      </c>
      <c r="Q1520" s="342" t="s">
        <v>2688</v>
      </c>
      <c r="R1520" s="344">
        <v>35</v>
      </c>
      <c r="S1520" s="345">
        <v>30</v>
      </c>
      <c r="T1520" s="362">
        <v>25</v>
      </c>
      <c r="U1520" s="361">
        <v>75.86</v>
      </c>
      <c r="V1520" s="346">
        <v>116.2124183006536</v>
      </c>
      <c r="W1520" s="348">
        <v>116.73611111111111</v>
      </c>
      <c r="X1520" s="347">
        <v>58.63</v>
      </c>
      <c r="Y1520" s="357" t="s">
        <v>408</v>
      </c>
      <c r="Z1520" s="365" t="s">
        <v>3017</v>
      </c>
      <c r="AA1520" s="350">
        <v>98</v>
      </c>
      <c r="AB1520" s="349" t="s">
        <v>2685</v>
      </c>
      <c r="AC1520" s="350">
        <v>0</v>
      </c>
      <c r="AD1520" s="349" t="s">
        <v>2685</v>
      </c>
      <c r="AE1520" s="364">
        <v>0</v>
      </c>
      <c r="AF1520" s="366">
        <v>0</v>
      </c>
      <c r="AG1520" s="363">
        <v>0</v>
      </c>
      <c r="AH1520" s="635" t="s">
        <v>408</v>
      </c>
      <c r="AL1520" s="487" t="s">
        <v>15915</v>
      </c>
      <c r="AM1520" s="477" t="s">
        <v>71</v>
      </c>
      <c r="AN1520" s="637">
        <v>100</v>
      </c>
      <c r="AO1520" s="478">
        <v>-1570</v>
      </c>
      <c r="AP1520" s="463">
        <v>-696</v>
      </c>
      <c r="AQ1520" s="479">
        <v>-874</v>
      </c>
      <c r="AR1520" s="476" t="s">
        <v>17605</v>
      </c>
      <c r="BA1520" s="313" t="s">
        <v>6048</v>
      </c>
    </row>
    <row r="1521" spans="2:53" ht="16.5" customHeight="1">
      <c r="B1521" s="367" t="s">
        <v>11979</v>
      </c>
      <c r="C1521" s="351" t="s">
        <v>11980</v>
      </c>
      <c r="D1521" s="353">
        <v>-1570</v>
      </c>
      <c r="E1521" s="352" t="s">
        <v>11976</v>
      </c>
      <c r="F1521" s="341">
        <v>75.83</v>
      </c>
      <c r="G1521" s="355" t="s">
        <v>5942</v>
      </c>
      <c r="H1521" s="356" t="s">
        <v>18920</v>
      </c>
      <c r="I1521" s="354" t="s">
        <v>301</v>
      </c>
      <c r="J1521" s="340" t="s">
        <v>11981</v>
      </c>
      <c r="K1521" s="339" t="s">
        <v>70</v>
      </c>
      <c r="L1521" s="357">
        <v>4</v>
      </c>
      <c r="M1521" s="358" t="s">
        <v>11982</v>
      </c>
      <c r="N1521" s="359">
        <v>1000</v>
      </c>
      <c r="O1521" s="360" t="s">
        <v>530</v>
      </c>
      <c r="P1521" s="343" t="s">
        <v>531</v>
      </c>
      <c r="Q1521" s="342" t="s">
        <v>2688</v>
      </c>
      <c r="R1521" s="344">
        <v>20</v>
      </c>
      <c r="S1521" s="345">
        <v>35</v>
      </c>
      <c r="T1521" s="362">
        <v>25</v>
      </c>
      <c r="U1521" s="361">
        <v>75.83</v>
      </c>
      <c r="V1521" s="346">
        <v>116.19509168619881</v>
      </c>
      <c r="W1521" s="348">
        <v>116.72559138090642</v>
      </c>
      <c r="X1521" s="347">
        <v>58.47</v>
      </c>
      <c r="Y1521" s="357">
        <v>58.8</v>
      </c>
      <c r="Z1521" s="365" t="s">
        <v>3017</v>
      </c>
      <c r="AA1521" s="350">
        <v>198</v>
      </c>
      <c r="AB1521" s="349" t="s">
        <v>2685</v>
      </c>
      <c r="AC1521" s="350">
        <v>10</v>
      </c>
      <c r="AD1521" s="349" t="s">
        <v>2685</v>
      </c>
      <c r="AE1521" s="364">
        <v>0</v>
      </c>
      <c r="AF1521" s="366">
        <v>10.538</v>
      </c>
      <c r="AG1521" s="363">
        <v>0</v>
      </c>
      <c r="AH1521" s="635" t="s">
        <v>10496</v>
      </c>
      <c r="AL1521" s="487" t="s">
        <v>15917</v>
      </c>
      <c r="AM1521" s="477" t="s">
        <v>70</v>
      </c>
      <c r="AN1521" s="637">
        <v>100</v>
      </c>
      <c r="AO1521" s="478">
        <v>-1570</v>
      </c>
      <c r="AP1521" s="463">
        <v>-1570</v>
      </c>
      <c r="AQ1521" s="479">
        <v>0</v>
      </c>
      <c r="AR1521" s="476" t="s">
        <v>17606</v>
      </c>
      <c r="BA1521" s="313" t="s">
        <v>6051</v>
      </c>
    </row>
    <row r="1522" spans="2:53" ht="16.5" customHeight="1">
      <c r="B1522" s="367" t="s">
        <v>5905</v>
      </c>
      <c r="C1522" s="351" t="s">
        <v>5906</v>
      </c>
      <c r="D1522" s="353">
        <v>-1570</v>
      </c>
      <c r="E1522" s="352" t="s">
        <v>408</v>
      </c>
      <c r="F1522" s="341">
        <v>75.819999999999993</v>
      </c>
      <c r="G1522" s="355" t="s">
        <v>5884</v>
      </c>
      <c r="H1522" s="356" t="s">
        <v>5480</v>
      </c>
      <c r="I1522" s="354" t="s">
        <v>214</v>
      </c>
      <c r="J1522" s="340" t="s">
        <v>8654</v>
      </c>
      <c r="K1522" s="339" t="s">
        <v>71</v>
      </c>
      <c r="L1522" s="357">
        <v>6</v>
      </c>
      <c r="M1522" s="358" t="s">
        <v>11970</v>
      </c>
      <c r="N1522" s="359">
        <v>200</v>
      </c>
      <c r="O1522" s="360" t="s">
        <v>532</v>
      </c>
      <c r="P1522" s="343" t="s">
        <v>532</v>
      </c>
      <c r="Q1522" s="342" t="s">
        <v>2688</v>
      </c>
      <c r="R1522" s="344">
        <v>30</v>
      </c>
      <c r="S1522" s="345">
        <v>20</v>
      </c>
      <c r="T1522" s="362">
        <v>30</v>
      </c>
      <c r="U1522" s="361">
        <v>75.819999999999993</v>
      </c>
      <c r="V1522" s="346">
        <v>116.18809896752161</v>
      </c>
      <c r="W1522" s="348">
        <v>116.72134580170956</v>
      </c>
      <c r="X1522" s="347" t="s">
        <v>18921</v>
      </c>
      <c r="Y1522" s="357" t="s">
        <v>408</v>
      </c>
      <c r="Z1522" s="365" t="s">
        <v>4408</v>
      </c>
      <c r="AA1522" s="350">
        <v>36</v>
      </c>
      <c r="AB1522" s="349" t="s">
        <v>2685</v>
      </c>
      <c r="AC1522" s="350">
        <v>0</v>
      </c>
      <c r="AD1522" s="349" t="s">
        <v>2685</v>
      </c>
      <c r="AE1522" s="364">
        <v>0</v>
      </c>
      <c r="AF1522" s="366">
        <v>0</v>
      </c>
      <c r="AG1522" s="363">
        <v>0</v>
      </c>
      <c r="AH1522" s="635" t="s">
        <v>408</v>
      </c>
      <c r="AL1522" s="487" t="s">
        <v>15918</v>
      </c>
      <c r="AM1522" s="477" t="s">
        <v>71</v>
      </c>
      <c r="AN1522" s="637">
        <v>100</v>
      </c>
      <c r="AO1522" s="478">
        <v>-1570</v>
      </c>
      <c r="AP1522" s="463">
        <v>-696</v>
      </c>
      <c r="AQ1522" s="479">
        <v>-874</v>
      </c>
      <c r="AR1522" s="476" t="s">
        <v>17607</v>
      </c>
      <c r="BA1522" s="313" t="s">
        <v>6053</v>
      </c>
    </row>
    <row r="1523" spans="2:53" ht="16.5" customHeight="1">
      <c r="B1523" s="367" t="s">
        <v>11984</v>
      </c>
      <c r="C1523" s="351" t="s">
        <v>11985</v>
      </c>
      <c r="D1523" s="353">
        <v>-1570</v>
      </c>
      <c r="E1523" s="352" t="s">
        <v>5996</v>
      </c>
      <c r="F1523" s="341">
        <v>75.819999999999993</v>
      </c>
      <c r="G1523" s="355" t="s">
        <v>11986</v>
      </c>
      <c r="H1523" s="356" t="s">
        <v>5480</v>
      </c>
      <c r="I1523" s="354" t="s">
        <v>423</v>
      </c>
      <c r="J1523" s="340" t="s">
        <v>11987</v>
      </c>
      <c r="K1523" s="339" t="s">
        <v>70</v>
      </c>
      <c r="L1523" s="357">
        <v>7</v>
      </c>
      <c r="M1523" s="358" t="s">
        <v>11988</v>
      </c>
      <c r="N1523" s="359">
        <v>1000</v>
      </c>
      <c r="O1523" s="360" t="s">
        <v>530</v>
      </c>
      <c r="P1523" s="343" t="s">
        <v>531</v>
      </c>
      <c r="Q1523" s="342" t="s">
        <v>2688</v>
      </c>
      <c r="R1523" s="344">
        <v>20</v>
      </c>
      <c r="S1523" s="345">
        <v>35</v>
      </c>
      <c r="T1523" s="362">
        <v>25</v>
      </c>
      <c r="U1523" s="361">
        <v>75.819999999999993</v>
      </c>
      <c r="V1523" s="346">
        <v>116.18700854700853</v>
      </c>
      <c r="W1523" s="348">
        <v>116.72068376068376</v>
      </c>
      <c r="X1523" s="347">
        <v>58.47</v>
      </c>
      <c r="Y1523" s="357">
        <v>58.79</v>
      </c>
      <c r="Z1523" s="365" t="s">
        <v>3017</v>
      </c>
      <c r="AA1523" s="350">
        <v>198</v>
      </c>
      <c r="AB1523" s="349" t="s">
        <v>2685</v>
      </c>
      <c r="AC1523" s="350">
        <v>10</v>
      </c>
      <c r="AD1523" s="349" t="s">
        <v>2685</v>
      </c>
      <c r="AE1523" s="364">
        <v>0</v>
      </c>
      <c r="AF1523" s="366">
        <v>13.477</v>
      </c>
      <c r="AG1523" s="363">
        <v>0</v>
      </c>
      <c r="AH1523" s="635" t="s">
        <v>11625</v>
      </c>
      <c r="AL1523" s="487" t="s">
        <v>15919</v>
      </c>
      <c r="AM1523" s="477" t="s">
        <v>70</v>
      </c>
      <c r="AN1523" s="637">
        <v>100</v>
      </c>
      <c r="AO1523" s="478">
        <v>-1570</v>
      </c>
      <c r="AP1523" s="463">
        <v>-1570</v>
      </c>
      <c r="AQ1523" s="479">
        <v>0</v>
      </c>
      <c r="AR1523" s="476" t="s">
        <v>17608</v>
      </c>
      <c r="BA1523" s="313" t="s">
        <v>6057</v>
      </c>
    </row>
    <row r="1524" spans="2:53" ht="16.5" customHeight="1">
      <c r="B1524" s="367" t="s">
        <v>11984</v>
      </c>
      <c r="C1524" s="351" t="s">
        <v>11985</v>
      </c>
      <c r="D1524" s="353">
        <v>-1570</v>
      </c>
      <c r="E1524" s="352" t="s">
        <v>408</v>
      </c>
      <c r="F1524" s="341">
        <v>75.81</v>
      </c>
      <c r="G1524" s="355" t="s">
        <v>5886</v>
      </c>
      <c r="H1524" s="356" t="s">
        <v>11411</v>
      </c>
      <c r="I1524" s="354" t="s">
        <v>485</v>
      </c>
      <c r="J1524" s="340" t="s">
        <v>11989</v>
      </c>
      <c r="K1524" s="339" t="s">
        <v>71</v>
      </c>
      <c r="L1524" s="357">
        <v>24</v>
      </c>
      <c r="M1524" s="358" t="s">
        <v>11990</v>
      </c>
      <c r="N1524" s="359">
        <v>100</v>
      </c>
      <c r="O1524" s="360" t="s">
        <v>454</v>
      </c>
      <c r="P1524" s="343" t="s">
        <v>454</v>
      </c>
      <c r="Q1524" s="342" t="s">
        <v>2738</v>
      </c>
      <c r="R1524" s="344">
        <v>35</v>
      </c>
      <c r="S1524" s="345">
        <v>30</v>
      </c>
      <c r="T1524" s="362">
        <v>15</v>
      </c>
      <c r="U1524" s="361">
        <v>75.81</v>
      </c>
      <c r="V1524" s="346">
        <v>116.18382352941177</v>
      </c>
      <c r="W1524" s="348">
        <v>116.71875000000001</v>
      </c>
      <c r="X1524" s="347">
        <v>58.61</v>
      </c>
      <c r="Y1524" s="357" t="s">
        <v>408</v>
      </c>
      <c r="Z1524" s="365" t="s">
        <v>3017</v>
      </c>
      <c r="AA1524" s="350">
        <v>19.600000000000001</v>
      </c>
      <c r="AB1524" s="349" t="s">
        <v>2685</v>
      </c>
      <c r="AC1524" s="350">
        <v>0</v>
      </c>
      <c r="AD1524" s="349" t="s">
        <v>2685</v>
      </c>
      <c r="AE1524" s="364">
        <v>0</v>
      </c>
      <c r="AF1524" s="366">
        <v>0</v>
      </c>
      <c r="AG1524" s="363">
        <v>0</v>
      </c>
      <c r="AH1524" s="635" t="s">
        <v>408</v>
      </c>
      <c r="AL1524" s="487" t="s">
        <v>15920</v>
      </c>
      <c r="AM1524" s="477" t="s">
        <v>71</v>
      </c>
      <c r="AN1524" s="637">
        <v>100</v>
      </c>
      <c r="AO1524" s="478">
        <v>-1570</v>
      </c>
      <c r="AP1524" s="463">
        <v>-696</v>
      </c>
      <c r="AQ1524" s="479">
        <v>-874</v>
      </c>
      <c r="AR1524" s="476" t="s">
        <v>17609</v>
      </c>
      <c r="BA1524" s="313" t="s">
        <v>6058</v>
      </c>
    </row>
    <row r="1525" spans="2:53" ht="16.5" customHeight="1">
      <c r="B1525" s="367" t="s">
        <v>5935</v>
      </c>
      <c r="C1525" s="351" t="s">
        <v>5936</v>
      </c>
      <c r="D1525" s="353">
        <v>-1570</v>
      </c>
      <c r="E1525" s="352" t="s">
        <v>11986</v>
      </c>
      <c r="F1525" s="341">
        <v>75.81</v>
      </c>
      <c r="G1525" s="355" t="s">
        <v>18922</v>
      </c>
      <c r="H1525" s="356" t="s">
        <v>11414</v>
      </c>
      <c r="I1525" s="354" t="s">
        <v>446</v>
      </c>
      <c r="J1525" s="340" t="s">
        <v>10979</v>
      </c>
      <c r="K1525" s="339" t="s">
        <v>71</v>
      </c>
      <c r="L1525" s="357">
        <v>10</v>
      </c>
      <c r="M1525" s="358" t="s">
        <v>11992</v>
      </c>
      <c r="N1525" s="359">
        <v>1000</v>
      </c>
      <c r="O1525" s="360" t="s">
        <v>454</v>
      </c>
      <c r="P1525" s="343" t="s">
        <v>454</v>
      </c>
      <c r="Q1525" s="342" t="s">
        <v>2688</v>
      </c>
      <c r="R1525" s="344">
        <v>35</v>
      </c>
      <c r="S1525" s="345">
        <v>30</v>
      </c>
      <c r="T1525" s="362">
        <v>25</v>
      </c>
      <c r="U1525" s="361">
        <v>75.81</v>
      </c>
      <c r="V1525" s="346">
        <v>116.1797385620915</v>
      </c>
      <c r="W1525" s="348">
        <v>116.71626984126985</v>
      </c>
      <c r="X1525" s="347">
        <v>58.61</v>
      </c>
      <c r="Y1525" s="357" t="s">
        <v>408</v>
      </c>
      <c r="Z1525" s="365" t="s">
        <v>3017</v>
      </c>
      <c r="AA1525" s="350">
        <v>98</v>
      </c>
      <c r="AB1525" s="349" t="s">
        <v>2685</v>
      </c>
      <c r="AC1525" s="350">
        <v>0</v>
      </c>
      <c r="AD1525" s="349" t="s">
        <v>2685</v>
      </c>
      <c r="AE1525" s="364">
        <v>0</v>
      </c>
      <c r="AF1525" s="366">
        <v>0</v>
      </c>
      <c r="AG1525" s="363">
        <v>0</v>
      </c>
      <c r="AH1525" s="635" t="s">
        <v>408</v>
      </c>
      <c r="AL1525" s="487" t="s">
        <v>15921</v>
      </c>
      <c r="AM1525" s="477" t="s">
        <v>71</v>
      </c>
      <c r="AN1525" s="637">
        <v>100</v>
      </c>
      <c r="AO1525" s="478">
        <v>-1570</v>
      </c>
      <c r="AP1525" s="463">
        <v>-696</v>
      </c>
      <c r="AQ1525" s="479">
        <v>-874</v>
      </c>
      <c r="AR1525" s="476" t="s">
        <v>17610</v>
      </c>
      <c r="BA1525" s="313" t="s">
        <v>6059</v>
      </c>
    </row>
    <row r="1526" spans="2:53" ht="16.5" customHeight="1">
      <c r="B1526" s="367" t="s">
        <v>5940</v>
      </c>
      <c r="C1526" s="351" t="s">
        <v>5941</v>
      </c>
      <c r="D1526" s="353">
        <v>-1570</v>
      </c>
      <c r="E1526" s="352" t="s">
        <v>5946</v>
      </c>
      <c r="F1526" s="341">
        <v>75.77</v>
      </c>
      <c r="G1526" s="355" t="s">
        <v>18923</v>
      </c>
      <c r="H1526" s="356" t="s">
        <v>11459</v>
      </c>
      <c r="I1526" s="354" t="s">
        <v>399</v>
      </c>
      <c r="J1526" s="340" t="s">
        <v>436</v>
      </c>
      <c r="K1526" s="339" t="s">
        <v>71</v>
      </c>
      <c r="L1526" s="357">
        <v>105</v>
      </c>
      <c r="M1526" s="358" t="s">
        <v>11999</v>
      </c>
      <c r="N1526" s="359">
        <v>1000</v>
      </c>
      <c r="O1526" s="360" t="s">
        <v>454</v>
      </c>
      <c r="P1526" s="343" t="s">
        <v>454</v>
      </c>
      <c r="Q1526" s="342" t="s">
        <v>2688</v>
      </c>
      <c r="R1526" s="344">
        <v>25</v>
      </c>
      <c r="S1526" s="345">
        <v>25</v>
      </c>
      <c r="T1526" s="362">
        <v>25</v>
      </c>
      <c r="U1526" s="361">
        <v>75.77</v>
      </c>
      <c r="V1526" s="346">
        <v>116.15686274509804</v>
      </c>
      <c r="W1526" s="348">
        <v>116.70238095238096</v>
      </c>
      <c r="X1526" s="347">
        <v>58.6</v>
      </c>
      <c r="Y1526" s="357" t="s">
        <v>408</v>
      </c>
      <c r="Z1526" s="365" t="s">
        <v>4408</v>
      </c>
      <c r="AA1526" s="350">
        <v>230</v>
      </c>
      <c r="AB1526" s="349" t="s">
        <v>2685</v>
      </c>
      <c r="AC1526" s="350">
        <v>2</v>
      </c>
      <c r="AD1526" s="349" t="s">
        <v>2685</v>
      </c>
      <c r="AE1526" s="364">
        <v>0</v>
      </c>
      <c r="AF1526" s="366">
        <v>0</v>
      </c>
      <c r="AG1526" s="363">
        <v>0</v>
      </c>
      <c r="AH1526" s="635" t="s">
        <v>408</v>
      </c>
      <c r="AL1526" s="487" t="s">
        <v>7232</v>
      </c>
      <c r="AM1526" s="477" t="s">
        <v>71</v>
      </c>
      <c r="AN1526" s="637">
        <v>100</v>
      </c>
      <c r="AO1526" s="478">
        <v>-1570</v>
      </c>
      <c r="AP1526" s="463">
        <v>-696</v>
      </c>
      <c r="AQ1526" s="479">
        <v>-874</v>
      </c>
      <c r="AR1526" s="476" t="s">
        <v>17611</v>
      </c>
      <c r="BA1526" s="313" t="s">
        <v>6061</v>
      </c>
    </row>
    <row r="1527" spans="2:53" ht="16.5" customHeight="1">
      <c r="B1527" s="367" t="s">
        <v>12000</v>
      </c>
      <c r="C1527" s="351" t="s">
        <v>12001</v>
      </c>
      <c r="D1527" s="353">
        <v>-1570</v>
      </c>
      <c r="E1527" s="352" t="s">
        <v>11995</v>
      </c>
      <c r="F1527" s="341">
        <v>75.760000000000005</v>
      </c>
      <c r="G1527" s="355" t="s">
        <v>12002</v>
      </c>
      <c r="H1527" s="356" t="s">
        <v>5084</v>
      </c>
      <c r="I1527" s="354" t="s">
        <v>215</v>
      </c>
      <c r="J1527" s="340" t="s">
        <v>12003</v>
      </c>
      <c r="K1527" s="339" t="s">
        <v>70</v>
      </c>
      <c r="L1527" s="357">
        <v>42</v>
      </c>
      <c r="M1527" s="358" t="s">
        <v>12004</v>
      </c>
      <c r="N1527" s="359">
        <v>1000</v>
      </c>
      <c r="O1527" s="360" t="s">
        <v>530</v>
      </c>
      <c r="P1527" s="343" t="s">
        <v>531</v>
      </c>
      <c r="Q1527" s="342" t="s">
        <v>2688</v>
      </c>
      <c r="R1527" s="344">
        <v>25</v>
      </c>
      <c r="S1527" s="345">
        <v>38</v>
      </c>
      <c r="T1527" s="362">
        <v>25</v>
      </c>
      <c r="U1527" s="361">
        <v>75.760000000000005</v>
      </c>
      <c r="V1527" s="346">
        <v>116.15471404487097</v>
      </c>
      <c r="W1527" s="348">
        <v>116.70107638438596</v>
      </c>
      <c r="X1527" s="347">
        <v>58.46</v>
      </c>
      <c r="Y1527" s="357">
        <v>58.54</v>
      </c>
      <c r="Z1527" s="365" t="s">
        <v>3017</v>
      </c>
      <c r="AA1527" s="350">
        <v>121.25</v>
      </c>
      <c r="AB1527" s="349" t="s">
        <v>2685</v>
      </c>
      <c r="AC1527" s="350">
        <v>10</v>
      </c>
      <c r="AD1527" s="349" t="s">
        <v>2685</v>
      </c>
      <c r="AE1527" s="364">
        <v>0</v>
      </c>
      <c r="AF1527" s="366">
        <v>0</v>
      </c>
      <c r="AG1527" s="363">
        <v>0</v>
      </c>
      <c r="AH1527" s="635" t="s">
        <v>408</v>
      </c>
      <c r="AL1527" s="487" t="s">
        <v>15922</v>
      </c>
      <c r="AM1527" s="477" t="s">
        <v>70</v>
      </c>
      <c r="AN1527" s="637">
        <v>100</v>
      </c>
      <c r="AO1527" s="478">
        <v>-1570</v>
      </c>
      <c r="AP1527" s="463">
        <v>-1570</v>
      </c>
      <c r="AQ1527" s="479">
        <v>0</v>
      </c>
      <c r="AR1527" s="476" t="s">
        <v>17612</v>
      </c>
      <c r="BA1527" s="313" t="s">
        <v>6062</v>
      </c>
    </row>
    <row r="1528" spans="2:53" ht="16.5" customHeight="1">
      <c r="B1528" s="367" t="s">
        <v>5920</v>
      </c>
      <c r="C1528" s="351" t="s">
        <v>5921</v>
      </c>
      <c r="D1528" s="353">
        <v>-1570</v>
      </c>
      <c r="E1528" s="352" t="s">
        <v>5757</v>
      </c>
      <c r="F1528" s="341">
        <v>75.75</v>
      </c>
      <c r="G1528" s="355" t="s">
        <v>5996</v>
      </c>
      <c r="H1528" s="356" t="s">
        <v>5267</v>
      </c>
      <c r="I1528" s="354" t="s">
        <v>214</v>
      </c>
      <c r="J1528" s="340" t="s">
        <v>8534</v>
      </c>
      <c r="K1528" s="339" t="s">
        <v>71</v>
      </c>
      <c r="L1528" s="357">
        <v>7</v>
      </c>
      <c r="M1528" s="358" t="s">
        <v>11983</v>
      </c>
      <c r="N1528" s="359">
        <v>200</v>
      </c>
      <c r="O1528" s="360" t="s">
        <v>532</v>
      </c>
      <c r="P1528" s="343" t="s">
        <v>532</v>
      </c>
      <c r="Q1528" s="342" t="s">
        <v>2688</v>
      </c>
      <c r="R1528" s="344">
        <v>30</v>
      </c>
      <c r="S1528" s="345">
        <v>20</v>
      </c>
      <c r="T1528" s="362">
        <v>30</v>
      </c>
      <c r="U1528" s="361">
        <v>75.75</v>
      </c>
      <c r="V1528" s="346">
        <v>116.14981454237456</v>
      </c>
      <c r="W1528" s="348">
        <v>116.6981016864417</v>
      </c>
      <c r="X1528" s="347" t="s">
        <v>18924</v>
      </c>
      <c r="Y1528" s="357" t="s">
        <v>408</v>
      </c>
      <c r="Z1528" s="365" t="s">
        <v>4408</v>
      </c>
      <c r="AA1528" s="350">
        <v>36</v>
      </c>
      <c r="AB1528" s="349" t="s">
        <v>2685</v>
      </c>
      <c r="AC1528" s="350">
        <v>0</v>
      </c>
      <c r="AD1528" s="349" t="s">
        <v>2685</v>
      </c>
      <c r="AE1528" s="364">
        <v>0</v>
      </c>
      <c r="AF1528" s="366">
        <v>0</v>
      </c>
      <c r="AG1528" s="363">
        <v>0</v>
      </c>
      <c r="AH1528" s="635" t="s">
        <v>408</v>
      </c>
      <c r="AL1528" s="487" t="s">
        <v>15923</v>
      </c>
      <c r="AM1528" s="477" t="s">
        <v>71</v>
      </c>
      <c r="AN1528" s="637">
        <v>100</v>
      </c>
      <c r="AO1528" s="478">
        <v>-1570</v>
      </c>
      <c r="AP1528" s="463">
        <v>-696</v>
      </c>
      <c r="AQ1528" s="479">
        <v>-874</v>
      </c>
      <c r="AR1528" s="476" t="s">
        <v>17613</v>
      </c>
      <c r="BA1528" s="313" t="s">
        <v>6063</v>
      </c>
    </row>
    <row r="1529" spans="2:53" ht="16.5" customHeight="1">
      <c r="B1529" s="367" t="s">
        <v>5944</v>
      </c>
      <c r="C1529" s="351" t="s">
        <v>5945</v>
      </c>
      <c r="D1529" s="353">
        <v>-1570</v>
      </c>
      <c r="E1529" s="352" t="s">
        <v>408</v>
      </c>
      <c r="F1529" s="341">
        <v>75.75</v>
      </c>
      <c r="G1529" s="355" t="s">
        <v>12005</v>
      </c>
      <c r="H1529" s="356" t="s">
        <v>5496</v>
      </c>
      <c r="I1529" s="354" t="s">
        <v>485</v>
      </c>
      <c r="J1529" s="340" t="s">
        <v>9439</v>
      </c>
      <c r="K1529" s="339" t="s">
        <v>70</v>
      </c>
      <c r="L1529" s="357">
        <v>21</v>
      </c>
      <c r="M1529" s="358" t="s">
        <v>12007</v>
      </c>
      <c r="N1529" s="359">
        <v>100</v>
      </c>
      <c r="O1529" s="360" t="s">
        <v>454</v>
      </c>
      <c r="P1529" s="343" t="s">
        <v>454</v>
      </c>
      <c r="Q1529" s="342" t="s">
        <v>2738</v>
      </c>
      <c r="R1529" s="344">
        <v>30</v>
      </c>
      <c r="S1529" s="345">
        <v>35</v>
      </c>
      <c r="T1529" s="362">
        <v>15</v>
      </c>
      <c r="U1529" s="361">
        <v>75.75</v>
      </c>
      <c r="V1529" s="346">
        <v>116.14705882352942</v>
      </c>
      <c r="W1529" s="348">
        <v>116.69642857142858</v>
      </c>
      <c r="X1529" s="347">
        <v>58.45</v>
      </c>
      <c r="Y1529" s="357" t="s">
        <v>408</v>
      </c>
      <c r="Z1529" s="365" t="s">
        <v>3017</v>
      </c>
      <c r="AA1529" s="350">
        <v>19.600000000000001</v>
      </c>
      <c r="AB1529" s="349" t="s">
        <v>2685</v>
      </c>
      <c r="AC1529" s="350">
        <v>0</v>
      </c>
      <c r="AD1529" s="349" t="s">
        <v>2685</v>
      </c>
      <c r="AE1529" s="364">
        <v>0</v>
      </c>
      <c r="AF1529" s="366">
        <v>0</v>
      </c>
      <c r="AG1529" s="363">
        <v>0</v>
      </c>
      <c r="AH1529" s="635" t="s">
        <v>408</v>
      </c>
      <c r="AL1529" s="487" t="s">
        <v>15924</v>
      </c>
      <c r="AM1529" s="477" t="s">
        <v>70</v>
      </c>
      <c r="AN1529" s="637">
        <v>100</v>
      </c>
      <c r="AO1529" s="478">
        <v>-1570</v>
      </c>
      <c r="AP1529" s="463">
        <v>-1570</v>
      </c>
      <c r="AQ1529" s="479">
        <v>0</v>
      </c>
      <c r="AR1529" s="476" t="s">
        <v>17614</v>
      </c>
      <c r="BA1529" s="313" t="s">
        <v>6064</v>
      </c>
    </row>
    <row r="1530" spans="2:53" ht="16.5" customHeight="1">
      <c r="B1530" s="367" t="s">
        <v>5944</v>
      </c>
      <c r="C1530" s="351" t="s">
        <v>5945</v>
      </c>
      <c r="D1530" s="353">
        <v>-1570</v>
      </c>
      <c r="E1530" s="352" t="s">
        <v>408</v>
      </c>
      <c r="F1530" s="341">
        <v>75.75</v>
      </c>
      <c r="G1530" s="355" t="s">
        <v>12005</v>
      </c>
      <c r="H1530" s="356" t="s">
        <v>5496</v>
      </c>
      <c r="I1530" s="354" t="s">
        <v>423</v>
      </c>
      <c r="J1530" s="340" t="s">
        <v>9090</v>
      </c>
      <c r="K1530" s="339" t="s">
        <v>70</v>
      </c>
      <c r="L1530" s="357">
        <v>13</v>
      </c>
      <c r="M1530" s="358" t="s">
        <v>12008</v>
      </c>
      <c r="N1530" s="359">
        <v>1000</v>
      </c>
      <c r="O1530" s="360" t="s">
        <v>530</v>
      </c>
      <c r="P1530" s="343" t="s">
        <v>531</v>
      </c>
      <c r="Q1530" s="342" t="s">
        <v>2688</v>
      </c>
      <c r="R1530" s="344">
        <v>20</v>
      </c>
      <c r="S1530" s="345">
        <v>35</v>
      </c>
      <c r="T1530" s="362">
        <v>25</v>
      </c>
      <c r="U1530" s="361">
        <v>75.75</v>
      </c>
      <c r="V1530" s="346">
        <v>116.1459829059829</v>
      </c>
      <c r="W1530" s="348">
        <v>116.69577533577534</v>
      </c>
      <c r="X1530" s="347">
        <v>58.45</v>
      </c>
      <c r="Y1530" s="357">
        <v>58.769999999999996</v>
      </c>
      <c r="Z1530" s="365" t="s">
        <v>3017</v>
      </c>
      <c r="AA1530" s="350">
        <v>198</v>
      </c>
      <c r="AB1530" s="349" t="s">
        <v>2685</v>
      </c>
      <c r="AC1530" s="350">
        <v>10</v>
      </c>
      <c r="AD1530" s="349" t="s">
        <v>2685</v>
      </c>
      <c r="AE1530" s="364">
        <v>0</v>
      </c>
      <c r="AF1530" s="366">
        <v>13.473000000000001</v>
      </c>
      <c r="AG1530" s="363">
        <v>0</v>
      </c>
      <c r="AH1530" s="635" t="s">
        <v>11625</v>
      </c>
      <c r="AL1530" s="487" t="s">
        <v>15925</v>
      </c>
      <c r="AM1530" s="477" t="s">
        <v>70</v>
      </c>
      <c r="AN1530" s="637">
        <v>100</v>
      </c>
      <c r="AO1530" s="478">
        <v>-1570</v>
      </c>
      <c r="AP1530" s="463">
        <v>-1570</v>
      </c>
      <c r="AQ1530" s="479">
        <v>0</v>
      </c>
      <c r="AR1530" s="476" t="s">
        <v>17614</v>
      </c>
      <c r="BA1530" s="313" t="s">
        <v>6068</v>
      </c>
    </row>
    <row r="1531" spans="2:53" ht="16.5" customHeight="1">
      <c r="B1531" s="367" t="s">
        <v>11993</v>
      </c>
      <c r="C1531" s="351" t="s">
        <v>11994</v>
      </c>
      <c r="D1531" s="353">
        <v>-1570</v>
      </c>
      <c r="E1531" s="352" t="s">
        <v>408</v>
      </c>
      <c r="F1531" s="341">
        <v>75.72</v>
      </c>
      <c r="G1531" s="355" t="s">
        <v>11995</v>
      </c>
      <c r="H1531" s="356" t="s">
        <v>5140</v>
      </c>
      <c r="I1531" s="354" t="s">
        <v>214</v>
      </c>
      <c r="J1531" s="340" t="s">
        <v>8217</v>
      </c>
      <c r="K1531" s="339" t="s">
        <v>71</v>
      </c>
      <c r="L1531" s="357">
        <v>8</v>
      </c>
      <c r="M1531" s="358" t="s">
        <v>11996</v>
      </c>
      <c r="N1531" s="359">
        <v>200</v>
      </c>
      <c r="O1531" s="360" t="s">
        <v>532</v>
      </c>
      <c r="P1531" s="343" t="s">
        <v>532</v>
      </c>
      <c r="Q1531" s="342" t="s">
        <v>2688</v>
      </c>
      <c r="R1531" s="344">
        <v>30</v>
      </c>
      <c r="S1531" s="345">
        <v>20</v>
      </c>
      <c r="T1531" s="362">
        <v>30</v>
      </c>
      <c r="U1531" s="361">
        <v>75.72</v>
      </c>
      <c r="V1531" s="346">
        <v>116.13066911083233</v>
      </c>
      <c r="W1531" s="348">
        <v>116.68647767443392</v>
      </c>
      <c r="X1531" s="347" t="s">
        <v>18924</v>
      </c>
      <c r="Y1531" s="357" t="s">
        <v>408</v>
      </c>
      <c r="Z1531" s="365" t="s">
        <v>4408</v>
      </c>
      <c r="AA1531" s="350">
        <v>36</v>
      </c>
      <c r="AB1531" s="349" t="s">
        <v>2685</v>
      </c>
      <c r="AC1531" s="350">
        <v>0</v>
      </c>
      <c r="AD1531" s="349" t="s">
        <v>2685</v>
      </c>
      <c r="AE1531" s="364">
        <v>0</v>
      </c>
      <c r="AF1531" s="366">
        <v>0</v>
      </c>
      <c r="AG1531" s="363">
        <v>0</v>
      </c>
      <c r="AH1531" s="635" t="s">
        <v>408</v>
      </c>
      <c r="AL1531" s="487" t="s">
        <v>15926</v>
      </c>
      <c r="AM1531" s="477" t="s">
        <v>71</v>
      </c>
      <c r="AN1531" s="637">
        <v>100</v>
      </c>
      <c r="AO1531" s="478">
        <v>-1570</v>
      </c>
      <c r="AP1531" s="463">
        <v>-695</v>
      </c>
      <c r="AQ1531" s="479">
        <v>-875</v>
      </c>
      <c r="AR1531" s="476" t="s">
        <v>17615</v>
      </c>
      <c r="BA1531" s="313" t="s">
        <v>6071</v>
      </c>
    </row>
    <row r="1532" spans="2:53" ht="16.5" customHeight="1">
      <c r="B1532" s="367" t="s">
        <v>5950</v>
      </c>
      <c r="C1532" s="351" t="s">
        <v>5951</v>
      </c>
      <c r="D1532" s="353">
        <v>-1570</v>
      </c>
      <c r="E1532" s="352" t="s">
        <v>408</v>
      </c>
      <c r="F1532" s="341">
        <v>75.72</v>
      </c>
      <c r="G1532" s="355" t="s">
        <v>12009</v>
      </c>
      <c r="H1532" s="356" t="s">
        <v>5504</v>
      </c>
      <c r="I1532" s="354" t="s">
        <v>209</v>
      </c>
      <c r="J1532" s="340" t="s">
        <v>12010</v>
      </c>
      <c r="K1532" s="339" t="s">
        <v>70</v>
      </c>
      <c r="L1532" s="357">
        <v>35</v>
      </c>
      <c r="M1532" s="358" t="s">
        <v>5926</v>
      </c>
      <c r="N1532" s="359">
        <v>1000</v>
      </c>
      <c r="O1532" s="360" t="s">
        <v>530</v>
      </c>
      <c r="P1532" s="343" t="s">
        <v>530</v>
      </c>
      <c r="Q1532" s="342" t="s">
        <v>2688</v>
      </c>
      <c r="R1532" s="344">
        <v>20</v>
      </c>
      <c r="S1532" s="345">
        <v>30</v>
      </c>
      <c r="T1532" s="362">
        <v>30</v>
      </c>
      <c r="U1532" s="361">
        <v>75.72</v>
      </c>
      <c r="V1532" s="346">
        <v>116.13099753013265</v>
      </c>
      <c r="W1532" s="348">
        <v>116.68667707186624</v>
      </c>
      <c r="X1532" s="347">
        <v>58.45</v>
      </c>
      <c r="Y1532" s="357" t="s">
        <v>408</v>
      </c>
      <c r="Z1532" s="365" t="s">
        <v>3017</v>
      </c>
      <c r="AA1532" s="350">
        <v>198</v>
      </c>
      <c r="AB1532" s="349" t="s">
        <v>2685</v>
      </c>
      <c r="AC1532" s="350">
        <v>10</v>
      </c>
      <c r="AD1532" s="349" t="s">
        <v>2685</v>
      </c>
      <c r="AE1532" s="364">
        <v>0</v>
      </c>
      <c r="AF1532" s="366">
        <v>0</v>
      </c>
      <c r="AG1532" s="363">
        <v>0</v>
      </c>
      <c r="AH1532" s="635" t="s">
        <v>408</v>
      </c>
      <c r="AL1532" s="487" t="s">
        <v>15927</v>
      </c>
      <c r="AM1532" s="477" t="s">
        <v>70</v>
      </c>
      <c r="AN1532" s="637">
        <v>100</v>
      </c>
      <c r="AO1532" s="478">
        <v>-1570</v>
      </c>
      <c r="AP1532" s="463">
        <v>-1570</v>
      </c>
      <c r="AQ1532" s="479">
        <v>0</v>
      </c>
      <c r="AR1532" s="476" t="s">
        <v>17616</v>
      </c>
      <c r="BA1532" s="313" t="s">
        <v>6072</v>
      </c>
    </row>
    <row r="1533" spans="2:53" ht="16.5" customHeight="1">
      <c r="B1533" s="367" t="s">
        <v>5960</v>
      </c>
      <c r="C1533" s="351" t="s">
        <v>5961</v>
      </c>
      <c r="D1533" s="353">
        <v>-1570</v>
      </c>
      <c r="E1533" s="352" t="s">
        <v>12011</v>
      </c>
      <c r="F1533" s="341">
        <v>75.69</v>
      </c>
      <c r="G1533" s="355" t="s">
        <v>5730</v>
      </c>
      <c r="H1533" s="356" t="s">
        <v>18925</v>
      </c>
      <c r="I1533" s="354" t="s">
        <v>485</v>
      </c>
      <c r="J1533" s="340" t="s">
        <v>491</v>
      </c>
      <c r="K1533" s="339" t="s">
        <v>71</v>
      </c>
      <c r="L1533" s="357">
        <v>34</v>
      </c>
      <c r="M1533" s="358" t="s">
        <v>12012</v>
      </c>
      <c r="N1533" s="359">
        <v>100</v>
      </c>
      <c r="O1533" s="360" t="s">
        <v>454</v>
      </c>
      <c r="P1533" s="343" t="s">
        <v>454</v>
      </c>
      <c r="Q1533" s="342" t="s">
        <v>2738</v>
      </c>
      <c r="R1533" s="344">
        <v>35</v>
      </c>
      <c r="S1533" s="345">
        <v>30</v>
      </c>
      <c r="T1533" s="362">
        <v>15</v>
      </c>
      <c r="U1533" s="361">
        <v>75.69</v>
      </c>
      <c r="V1533" s="346">
        <v>116.11029411764707</v>
      </c>
      <c r="W1533" s="348">
        <v>116.67410714285714</v>
      </c>
      <c r="X1533" s="347">
        <v>58.58</v>
      </c>
      <c r="Y1533" s="357" t="s">
        <v>408</v>
      </c>
      <c r="Z1533" s="365" t="s">
        <v>3017</v>
      </c>
      <c r="AA1533" s="350">
        <v>19.600000000000001</v>
      </c>
      <c r="AB1533" s="349" t="s">
        <v>2685</v>
      </c>
      <c r="AC1533" s="350">
        <v>0</v>
      </c>
      <c r="AD1533" s="349" t="s">
        <v>2685</v>
      </c>
      <c r="AE1533" s="364">
        <v>0</v>
      </c>
      <c r="AF1533" s="366">
        <v>0</v>
      </c>
      <c r="AG1533" s="363">
        <v>0</v>
      </c>
      <c r="AH1533" s="635" t="s">
        <v>408</v>
      </c>
      <c r="AL1533" s="487" t="s">
        <v>7219</v>
      </c>
      <c r="AM1533" s="477" t="s">
        <v>71</v>
      </c>
      <c r="AN1533" s="637">
        <v>100</v>
      </c>
      <c r="AO1533" s="478">
        <v>-1570</v>
      </c>
      <c r="AP1533" s="463">
        <v>-695</v>
      </c>
      <c r="AQ1533" s="479">
        <v>-875</v>
      </c>
      <c r="AR1533" s="476" t="s">
        <v>17617</v>
      </c>
      <c r="BA1533" s="313" t="s">
        <v>6075</v>
      </c>
    </row>
    <row r="1534" spans="2:53" ht="16.5" customHeight="1">
      <c r="B1534" s="367" t="s">
        <v>12013</v>
      </c>
      <c r="C1534" s="351" t="s">
        <v>12014</v>
      </c>
      <c r="D1534" s="353">
        <v>-1570</v>
      </c>
      <c r="E1534" s="352" t="s">
        <v>12015</v>
      </c>
      <c r="F1534" s="341">
        <v>75.67</v>
      </c>
      <c r="G1534" s="355" t="s">
        <v>12289</v>
      </c>
      <c r="H1534" s="356" t="s">
        <v>18926</v>
      </c>
      <c r="I1534" s="354" t="s">
        <v>446</v>
      </c>
      <c r="J1534" s="340" t="s">
        <v>12016</v>
      </c>
      <c r="K1534" s="339" t="s">
        <v>71</v>
      </c>
      <c r="L1534" s="357">
        <v>7</v>
      </c>
      <c r="M1534" s="358" t="s">
        <v>6016</v>
      </c>
      <c r="N1534" s="359">
        <v>1000</v>
      </c>
      <c r="O1534" s="360" t="s">
        <v>454</v>
      </c>
      <c r="P1534" s="343" t="s">
        <v>454</v>
      </c>
      <c r="Q1534" s="342" t="s">
        <v>2688</v>
      </c>
      <c r="R1534" s="344">
        <v>35</v>
      </c>
      <c r="S1534" s="345">
        <v>30</v>
      </c>
      <c r="T1534" s="362">
        <v>25</v>
      </c>
      <c r="U1534" s="361">
        <v>75.67</v>
      </c>
      <c r="V1534" s="346">
        <v>116.09803921568628</v>
      </c>
      <c r="W1534" s="348">
        <v>116.66666666666667</v>
      </c>
      <c r="X1534" s="347">
        <v>58.57</v>
      </c>
      <c r="Y1534" s="357" t="s">
        <v>408</v>
      </c>
      <c r="Z1534" s="365" t="s">
        <v>3017</v>
      </c>
      <c r="AA1534" s="350">
        <v>98</v>
      </c>
      <c r="AB1534" s="349" t="s">
        <v>2685</v>
      </c>
      <c r="AC1534" s="350">
        <v>0</v>
      </c>
      <c r="AD1534" s="349" t="s">
        <v>2685</v>
      </c>
      <c r="AE1534" s="364">
        <v>0</v>
      </c>
      <c r="AF1534" s="366">
        <v>0</v>
      </c>
      <c r="AG1534" s="363">
        <v>0</v>
      </c>
      <c r="AH1534" s="635" t="s">
        <v>408</v>
      </c>
      <c r="AL1534" s="487" t="s">
        <v>15928</v>
      </c>
      <c r="AM1534" s="477" t="s">
        <v>71</v>
      </c>
      <c r="AN1534" s="637">
        <v>100</v>
      </c>
      <c r="AO1534" s="478">
        <v>-1570</v>
      </c>
      <c r="AP1534" s="463">
        <v>-695</v>
      </c>
      <c r="AQ1534" s="479">
        <v>-875</v>
      </c>
      <c r="AR1534" s="476" t="s">
        <v>17618</v>
      </c>
      <c r="BA1534" s="313" t="s">
        <v>6076</v>
      </c>
    </row>
    <row r="1535" spans="2:53" ht="16.5" customHeight="1">
      <c r="B1535" s="367" t="s">
        <v>5968</v>
      </c>
      <c r="C1535" s="351" t="s">
        <v>5969</v>
      </c>
      <c r="D1535" s="353">
        <v>-1570</v>
      </c>
      <c r="E1535" s="352" t="s">
        <v>408</v>
      </c>
      <c r="F1535" s="341">
        <v>75.650000000000006</v>
      </c>
      <c r="G1535" s="355" t="s">
        <v>5975</v>
      </c>
      <c r="H1535" s="356" t="s">
        <v>11451</v>
      </c>
      <c r="I1535" s="354" t="s">
        <v>215</v>
      </c>
      <c r="J1535" s="340" t="s">
        <v>12017</v>
      </c>
      <c r="K1535" s="339" t="s">
        <v>70</v>
      </c>
      <c r="L1535" s="357">
        <v>9</v>
      </c>
      <c r="M1535" s="358" t="s">
        <v>12018</v>
      </c>
      <c r="N1535" s="359">
        <v>1000</v>
      </c>
      <c r="O1535" s="360" t="s">
        <v>530</v>
      </c>
      <c r="P1535" s="343" t="s">
        <v>531</v>
      </c>
      <c r="Q1535" s="342" t="s">
        <v>2688</v>
      </c>
      <c r="R1535" s="344">
        <v>25</v>
      </c>
      <c r="S1535" s="345">
        <v>38</v>
      </c>
      <c r="T1535" s="362">
        <v>25</v>
      </c>
      <c r="U1535" s="361">
        <v>75.650000000000006</v>
      </c>
      <c r="V1535" s="346">
        <v>116.08693208835862</v>
      </c>
      <c r="W1535" s="348">
        <v>116.6599230536463</v>
      </c>
      <c r="X1535" s="347">
        <v>58.43</v>
      </c>
      <c r="Y1535" s="357">
        <v>58.489999999999995</v>
      </c>
      <c r="Z1535" s="365" t="s">
        <v>3017</v>
      </c>
      <c r="AA1535" s="350">
        <v>121.25</v>
      </c>
      <c r="AB1535" s="349" t="s">
        <v>2685</v>
      </c>
      <c r="AC1535" s="350">
        <v>10</v>
      </c>
      <c r="AD1535" s="349" t="s">
        <v>2685</v>
      </c>
      <c r="AE1535" s="364">
        <v>0</v>
      </c>
      <c r="AF1535" s="366">
        <v>0</v>
      </c>
      <c r="AG1535" s="363">
        <v>0</v>
      </c>
      <c r="AH1535" s="635" t="s">
        <v>408</v>
      </c>
      <c r="AL1535" s="487" t="s">
        <v>15929</v>
      </c>
      <c r="AM1535" s="477" t="s">
        <v>70</v>
      </c>
      <c r="AN1535" s="637">
        <v>100</v>
      </c>
      <c r="AO1535" s="478">
        <v>-1570</v>
      </c>
      <c r="AP1535" s="463">
        <v>-1570</v>
      </c>
      <c r="AQ1535" s="479">
        <v>0</v>
      </c>
      <c r="AR1535" s="476" t="s">
        <v>17619</v>
      </c>
      <c r="BA1535" s="313" t="s">
        <v>6080</v>
      </c>
    </row>
    <row r="1536" spans="2:53" ht="16.5" customHeight="1">
      <c r="B1536" s="367" t="s">
        <v>12019</v>
      </c>
      <c r="C1536" s="351" t="s">
        <v>12020</v>
      </c>
      <c r="D1536" s="353">
        <v>-1570</v>
      </c>
      <c r="E1536" s="352" t="s">
        <v>5741</v>
      </c>
      <c r="F1536" s="341">
        <v>75.650000000000006</v>
      </c>
      <c r="G1536" s="355" t="s">
        <v>5942</v>
      </c>
      <c r="H1536" s="356" t="s">
        <v>18927</v>
      </c>
      <c r="I1536" s="354" t="s">
        <v>9336</v>
      </c>
      <c r="J1536" s="340" t="s">
        <v>12022</v>
      </c>
      <c r="K1536" s="339" t="s">
        <v>71</v>
      </c>
      <c r="L1536" s="357">
        <v>16</v>
      </c>
      <c r="M1536" s="358" t="s">
        <v>12023</v>
      </c>
      <c r="N1536" s="359">
        <v>700</v>
      </c>
      <c r="O1536" s="360" t="s">
        <v>532</v>
      </c>
      <c r="P1536" s="343" t="s">
        <v>533</v>
      </c>
      <c r="Q1536" s="342" t="s">
        <v>2688</v>
      </c>
      <c r="R1536" s="344">
        <v>30</v>
      </c>
      <c r="S1536" s="345">
        <v>30</v>
      </c>
      <c r="T1536" s="362">
        <v>20</v>
      </c>
      <c r="U1536" s="361">
        <v>75.650000000000006</v>
      </c>
      <c r="V1536" s="346">
        <v>116.08736158237105</v>
      </c>
      <c r="W1536" s="348">
        <v>116.66018381786813</v>
      </c>
      <c r="X1536" s="347">
        <v>58.56</v>
      </c>
      <c r="Y1536" s="357">
        <v>60.47</v>
      </c>
      <c r="Z1536" s="365" t="s">
        <v>3017</v>
      </c>
      <c r="AA1536" s="350">
        <v>138</v>
      </c>
      <c r="AB1536" s="349" t="s">
        <v>2685</v>
      </c>
      <c r="AC1536" s="350">
        <v>10</v>
      </c>
      <c r="AD1536" s="349" t="s">
        <v>2685</v>
      </c>
      <c r="AE1536" s="364">
        <v>0</v>
      </c>
      <c r="AF1536" s="366">
        <v>0</v>
      </c>
      <c r="AG1536" s="363">
        <v>0</v>
      </c>
      <c r="AH1536" s="635" t="s">
        <v>408</v>
      </c>
      <c r="AL1536" s="487" t="s">
        <v>15930</v>
      </c>
      <c r="AM1536" s="477" t="s">
        <v>71</v>
      </c>
      <c r="AN1536" s="637">
        <v>100</v>
      </c>
      <c r="AO1536" s="478">
        <v>-1570</v>
      </c>
      <c r="AP1536" s="463">
        <v>-695</v>
      </c>
      <c r="AQ1536" s="479">
        <v>-875</v>
      </c>
      <c r="AR1536" s="476" t="s">
        <v>17620</v>
      </c>
      <c r="BA1536" s="313" t="s">
        <v>6082</v>
      </c>
    </row>
    <row r="1537" spans="2:53" ht="16.5" customHeight="1">
      <c r="B1537" s="367" t="s">
        <v>12024</v>
      </c>
      <c r="C1537" s="351" t="s">
        <v>12025</v>
      </c>
      <c r="D1537" s="353">
        <v>-1570</v>
      </c>
      <c r="E1537" s="352" t="s">
        <v>408</v>
      </c>
      <c r="F1537" s="341">
        <v>75.569999999999993</v>
      </c>
      <c r="G1537" s="355" t="s">
        <v>12026</v>
      </c>
      <c r="H1537" s="356" t="s">
        <v>5526</v>
      </c>
      <c r="I1537" s="354" t="s">
        <v>8000</v>
      </c>
      <c r="J1537" s="340" t="s">
        <v>12027</v>
      </c>
      <c r="K1537" s="339" t="s">
        <v>70</v>
      </c>
      <c r="L1537" s="357">
        <v>40</v>
      </c>
      <c r="M1537" s="358" t="s">
        <v>11257</v>
      </c>
      <c r="N1537" s="359">
        <v>1000</v>
      </c>
      <c r="O1537" s="360" t="s">
        <v>532</v>
      </c>
      <c r="P1537" s="343" t="s">
        <v>532</v>
      </c>
      <c r="Q1537" s="342" t="s">
        <v>2688</v>
      </c>
      <c r="R1537" s="344">
        <v>25</v>
      </c>
      <c r="S1537" s="345">
        <v>30</v>
      </c>
      <c r="T1537" s="362">
        <v>25</v>
      </c>
      <c r="U1537" s="361">
        <v>75.569999999999993</v>
      </c>
      <c r="V1537" s="346">
        <v>116.04097300491705</v>
      </c>
      <c r="W1537" s="348">
        <v>116.63201932441392</v>
      </c>
      <c r="X1537" s="347" t="s">
        <v>18928</v>
      </c>
      <c r="Y1537" s="357" t="s">
        <v>408</v>
      </c>
      <c r="Z1537" s="365" t="s">
        <v>4408</v>
      </c>
      <c r="AA1537" s="350">
        <v>192</v>
      </c>
      <c r="AB1537" s="349" t="s">
        <v>2685</v>
      </c>
      <c r="AC1537" s="350">
        <v>0</v>
      </c>
      <c r="AD1537" s="349" t="s">
        <v>2685</v>
      </c>
      <c r="AE1537" s="364">
        <v>0</v>
      </c>
      <c r="AF1537" s="366">
        <v>0</v>
      </c>
      <c r="AG1537" s="363">
        <v>0</v>
      </c>
      <c r="AH1537" s="635" t="s">
        <v>408</v>
      </c>
      <c r="AL1537" s="487" t="s">
        <v>15932</v>
      </c>
      <c r="AM1537" s="477" t="s">
        <v>70</v>
      </c>
      <c r="AN1537" s="637">
        <v>100</v>
      </c>
      <c r="AO1537" s="478">
        <v>-1570</v>
      </c>
      <c r="AP1537" s="463">
        <v>-1570</v>
      </c>
      <c r="AQ1537" s="479">
        <v>0</v>
      </c>
      <c r="AR1537" s="476" t="s">
        <v>17621</v>
      </c>
      <c r="BA1537" s="313" t="s">
        <v>6084</v>
      </c>
    </row>
    <row r="1538" spans="2:53" ht="16.5" customHeight="1">
      <c r="B1538" s="367" t="s">
        <v>5986</v>
      </c>
      <c r="C1538" s="351" t="s">
        <v>5987</v>
      </c>
      <c r="D1538" s="353">
        <v>-1570</v>
      </c>
      <c r="E1538" s="352" t="s">
        <v>12028</v>
      </c>
      <c r="F1538" s="341">
        <v>75.56</v>
      </c>
      <c r="G1538" s="355" t="s">
        <v>5957</v>
      </c>
      <c r="H1538" s="356" t="s">
        <v>5528</v>
      </c>
      <c r="I1538" s="354" t="s">
        <v>485</v>
      </c>
      <c r="J1538" s="340" t="s">
        <v>489</v>
      </c>
      <c r="K1538" s="339" t="s">
        <v>71</v>
      </c>
      <c r="L1538" s="357">
        <v>79</v>
      </c>
      <c r="M1538" s="358" t="s">
        <v>12029</v>
      </c>
      <c r="N1538" s="359">
        <v>100</v>
      </c>
      <c r="O1538" s="360" t="s">
        <v>454</v>
      </c>
      <c r="P1538" s="343" t="s">
        <v>454</v>
      </c>
      <c r="Q1538" s="342" t="s">
        <v>2738</v>
      </c>
      <c r="R1538" s="344">
        <v>35</v>
      </c>
      <c r="S1538" s="345">
        <v>30</v>
      </c>
      <c r="T1538" s="362">
        <v>15</v>
      </c>
      <c r="U1538" s="361">
        <v>75.56</v>
      </c>
      <c r="V1538" s="346">
        <v>116.03676470588236</v>
      </c>
      <c r="W1538" s="348">
        <v>116.62946428571429</v>
      </c>
      <c r="X1538" s="347">
        <v>58.54</v>
      </c>
      <c r="Y1538" s="357" t="s">
        <v>408</v>
      </c>
      <c r="Z1538" s="365" t="s">
        <v>3017</v>
      </c>
      <c r="AA1538" s="350">
        <v>19.600000000000001</v>
      </c>
      <c r="AB1538" s="349" t="s">
        <v>2685</v>
      </c>
      <c r="AC1538" s="350">
        <v>0</v>
      </c>
      <c r="AD1538" s="349" t="s">
        <v>2685</v>
      </c>
      <c r="AE1538" s="364">
        <v>0</v>
      </c>
      <c r="AF1538" s="366">
        <v>0</v>
      </c>
      <c r="AG1538" s="363">
        <v>0</v>
      </c>
      <c r="AH1538" s="635" t="s">
        <v>408</v>
      </c>
      <c r="AL1538" s="487" t="s">
        <v>7220</v>
      </c>
      <c r="AM1538" s="477" t="s">
        <v>71</v>
      </c>
      <c r="AN1538" s="637">
        <v>100</v>
      </c>
      <c r="AO1538" s="478">
        <v>-1570</v>
      </c>
      <c r="AP1538" s="463">
        <v>-694</v>
      </c>
      <c r="AQ1538" s="479">
        <v>-876</v>
      </c>
      <c r="AR1538" s="476" t="s">
        <v>17622</v>
      </c>
      <c r="BA1538" s="313" t="s">
        <v>6085</v>
      </c>
    </row>
    <row r="1539" spans="2:53" ht="16.5" customHeight="1">
      <c r="B1539" s="367" t="s">
        <v>5986</v>
      </c>
      <c r="C1539" s="351" t="s">
        <v>5987</v>
      </c>
      <c r="D1539" s="353">
        <v>-1570</v>
      </c>
      <c r="E1539" s="352" t="s">
        <v>408</v>
      </c>
      <c r="F1539" s="341">
        <v>75.56</v>
      </c>
      <c r="G1539" s="355" t="s">
        <v>12028</v>
      </c>
      <c r="H1539" s="356" t="s">
        <v>11469</v>
      </c>
      <c r="I1539" s="354" t="s">
        <v>485</v>
      </c>
      <c r="J1539" s="340" t="s">
        <v>548</v>
      </c>
      <c r="K1539" s="339" t="s">
        <v>70</v>
      </c>
      <c r="L1539" s="357">
        <v>14</v>
      </c>
      <c r="M1539" s="358" t="s">
        <v>12029</v>
      </c>
      <c r="N1539" s="359">
        <v>100</v>
      </c>
      <c r="O1539" s="360" t="s">
        <v>454</v>
      </c>
      <c r="P1539" s="343" t="s">
        <v>454</v>
      </c>
      <c r="Q1539" s="342" t="s">
        <v>2738</v>
      </c>
      <c r="R1539" s="344">
        <v>30</v>
      </c>
      <c r="S1539" s="345">
        <v>35</v>
      </c>
      <c r="T1539" s="362">
        <v>15</v>
      </c>
      <c r="U1539" s="361">
        <v>75.56</v>
      </c>
      <c r="V1539" s="346">
        <v>116.03676470588236</v>
      </c>
      <c r="W1539" s="348">
        <v>116.62946428571429</v>
      </c>
      <c r="X1539" s="347">
        <v>58.4</v>
      </c>
      <c r="Y1539" s="357" t="s">
        <v>408</v>
      </c>
      <c r="Z1539" s="365" t="s">
        <v>3017</v>
      </c>
      <c r="AA1539" s="350">
        <v>19.600000000000001</v>
      </c>
      <c r="AB1539" s="349" t="s">
        <v>2685</v>
      </c>
      <c r="AC1539" s="350">
        <v>0</v>
      </c>
      <c r="AD1539" s="349" t="s">
        <v>2685</v>
      </c>
      <c r="AE1539" s="364">
        <v>0</v>
      </c>
      <c r="AF1539" s="366">
        <v>0</v>
      </c>
      <c r="AG1539" s="363">
        <v>0</v>
      </c>
      <c r="AH1539" s="635" t="s">
        <v>408</v>
      </c>
      <c r="AL1539" s="487" t="s">
        <v>7222</v>
      </c>
      <c r="AM1539" s="477" t="s">
        <v>70</v>
      </c>
      <c r="AN1539" s="637">
        <v>100</v>
      </c>
      <c r="AO1539" s="478">
        <v>-1570</v>
      </c>
      <c r="AP1539" s="463">
        <v>-1570</v>
      </c>
      <c r="AQ1539" s="479">
        <v>0</v>
      </c>
      <c r="AR1539" s="476" t="s">
        <v>17623</v>
      </c>
      <c r="BA1539" s="313" t="s">
        <v>6087</v>
      </c>
    </row>
    <row r="1540" spans="2:53" ht="16.5" customHeight="1">
      <c r="B1540" s="367" t="s">
        <v>12030</v>
      </c>
      <c r="C1540" s="351" t="s">
        <v>12031</v>
      </c>
      <c r="D1540" s="353">
        <v>-1570</v>
      </c>
      <c r="E1540" s="352" t="s">
        <v>408</v>
      </c>
      <c r="F1540" s="341">
        <v>75.56</v>
      </c>
      <c r="G1540" s="355" t="s">
        <v>5751</v>
      </c>
      <c r="H1540" s="356" t="s">
        <v>5534</v>
      </c>
      <c r="I1540" s="354" t="s">
        <v>446</v>
      </c>
      <c r="J1540" s="340" t="s">
        <v>12032</v>
      </c>
      <c r="K1540" s="339" t="s">
        <v>70</v>
      </c>
      <c r="L1540" s="357">
        <v>10</v>
      </c>
      <c r="M1540" s="358" t="s">
        <v>12033</v>
      </c>
      <c r="N1540" s="359">
        <v>1000</v>
      </c>
      <c r="O1540" s="360" t="s">
        <v>454</v>
      </c>
      <c r="P1540" s="343" t="s">
        <v>454</v>
      </c>
      <c r="Q1540" s="342" t="s">
        <v>2688</v>
      </c>
      <c r="R1540" s="344">
        <v>25</v>
      </c>
      <c r="S1540" s="345">
        <v>35</v>
      </c>
      <c r="T1540" s="362">
        <v>30</v>
      </c>
      <c r="U1540" s="361">
        <v>75.56</v>
      </c>
      <c r="V1540" s="346">
        <v>116.03267973856209</v>
      </c>
      <c r="W1540" s="348">
        <v>116.62698412698413</v>
      </c>
      <c r="X1540" s="347">
        <v>58.4</v>
      </c>
      <c r="Y1540" s="357" t="s">
        <v>408</v>
      </c>
      <c r="Z1540" s="365" t="s">
        <v>3017</v>
      </c>
      <c r="AA1540" s="350">
        <v>98</v>
      </c>
      <c r="AB1540" s="349" t="s">
        <v>2685</v>
      </c>
      <c r="AC1540" s="350">
        <v>0</v>
      </c>
      <c r="AD1540" s="349" t="s">
        <v>2685</v>
      </c>
      <c r="AE1540" s="364">
        <v>0</v>
      </c>
      <c r="AF1540" s="366">
        <v>0</v>
      </c>
      <c r="AG1540" s="363">
        <v>0</v>
      </c>
      <c r="AH1540" s="635" t="s">
        <v>408</v>
      </c>
      <c r="AL1540" s="487" t="s">
        <v>15931</v>
      </c>
      <c r="AM1540" s="477" t="s">
        <v>70</v>
      </c>
      <c r="AN1540" s="637">
        <v>100</v>
      </c>
      <c r="AO1540" s="478">
        <v>-1570</v>
      </c>
      <c r="AP1540" s="463">
        <v>-1570</v>
      </c>
      <c r="AQ1540" s="479">
        <v>0</v>
      </c>
      <c r="AR1540" s="476" t="s">
        <v>17624</v>
      </c>
      <c r="BA1540" s="313" t="s">
        <v>6088</v>
      </c>
    </row>
    <row r="1541" spans="2:53" ht="16.5" customHeight="1">
      <c r="B1541" s="367" t="s">
        <v>5954</v>
      </c>
      <c r="C1541" s="351" t="s">
        <v>5955</v>
      </c>
      <c r="D1541" s="353">
        <v>-1570</v>
      </c>
      <c r="E1541" s="352" t="s">
        <v>5965</v>
      </c>
      <c r="F1541" s="341">
        <v>75.540000000000006</v>
      </c>
      <c r="G1541" s="355" t="s">
        <v>12009</v>
      </c>
      <c r="H1541" s="356" t="s">
        <v>18929</v>
      </c>
      <c r="I1541" s="354" t="s">
        <v>9336</v>
      </c>
      <c r="J1541" s="340" t="s">
        <v>12035</v>
      </c>
      <c r="K1541" s="339" t="s">
        <v>71</v>
      </c>
      <c r="L1541" s="357">
        <v>16</v>
      </c>
      <c r="M1541" s="358" t="s">
        <v>12036</v>
      </c>
      <c r="N1541" s="359">
        <v>700</v>
      </c>
      <c r="O1541" s="360" t="s">
        <v>532</v>
      </c>
      <c r="P1541" s="343" t="s">
        <v>533</v>
      </c>
      <c r="Q1541" s="342" t="s">
        <v>2688</v>
      </c>
      <c r="R1541" s="344">
        <v>30</v>
      </c>
      <c r="S1541" s="345">
        <v>35</v>
      </c>
      <c r="T1541" s="362">
        <v>20</v>
      </c>
      <c r="U1541" s="361">
        <v>75.540000000000006</v>
      </c>
      <c r="V1541" s="346">
        <v>116.02487474107254</v>
      </c>
      <c r="W1541" s="348">
        <v>116.62224537850832</v>
      </c>
      <c r="X1541" s="347">
        <v>58.53</v>
      </c>
      <c r="Y1541" s="357">
        <v>60.47</v>
      </c>
      <c r="Z1541" s="365" t="s">
        <v>3017</v>
      </c>
      <c r="AA1541" s="350">
        <v>103.5</v>
      </c>
      <c r="AB1541" s="349" t="s">
        <v>2685</v>
      </c>
      <c r="AC1541" s="350">
        <v>10</v>
      </c>
      <c r="AD1541" s="349" t="s">
        <v>2685</v>
      </c>
      <c r="AE1541" s="364">
        <v>0</v>
      </c>
      <c r="AF1541" s="366">
        <v>0</v>
      </c>
      <c r="AG1541" s="363">
        <v>0</v>
      </c>
      <c r="AH1541" s="635" t="s">
        <v>408</v>
      </c>
      <c r="AL1541" s="487" t="s">
        <v>15933</v>
      </c>
      <c r="AM1541" s="477" t="s">
        <v>71</v>
      </c>
      <c r="AN1541" s="637">
        <v>100</v>
      </c>
      <c r="AO1541" s="478">
        <v>-1570</v>
      </c>
      <c r="AP1541" s="463">
        <v>-694</v>
      </c>
      <c r="AQ1541" s="479">
        <v>-876</v>
      </c>
      <c r="AR1541" s="476" t="s">
        <v>17625</v>
      </c>
      <c r="BA1541" s="313" t="s">
        <v>6090</v>
      </c>
    </row>
    <row r="1542" spans="2:53" ht="16.5" customHeight="1">
      <c r="B1542" s="367" t="s">
        <v>5990</v>
      </c>
      <c r="C1542" s="351" t="s">
        <v>5991</v>
      </c>
      <c r="D1542" s="353">
        <v>-1570</v>
      </c>
      <c r="E1542" s="352" t="s">
        <v>6039</v>
      </c>
      <c r="F1542" s="341">
        <v>75.52</v>
      </c>
      <c r="G1542" s="355" t="s">
        <v>5994</v>
      </c>
      <c r="H1542" s="356" t="s">
        <v>11478</v>
      </c>
      <c r="I1542" s="354" t="s">
        <v>301</v>
      </c>
      <c r="J1542" s="340" t="s">
        <v>12038</v>
      </c>
      <c r="K1542" s="339" t="s">
        <v>70</v>
      </c>
      <c r="L1542" s="357">
        <v>4</v>
      </c>
      <c r="M1542" s="358" t="s">
        <v>12039</v>
      </c>
      <c r="N1542" s="359">
        <v>1000</v>
      </c>
      <c r="O1542" s="360" t="s">
        <v>530</v>
      </c>
      <c r="P1542" s="343" t="s">
        <v>531</v>
      </c>
      <c r="Q1542" s="342" t="s">
        <v>2688</v>
      </c>
      <c r="R1542" s="344">
        <v>20</v>
      </c>
      <c r="S1542" s="345">
        <v>35</v>
      </c>
      <c r="T1542" s="362">
        <v>25</v>
      </c>
      <c r="U1542" s="361">
        <v>75.52</v>
      </c>
      <c r="V1542" s="346">
        <v>116.01309802840204</v>
      </c>
      <c r="W1542" s="348">
        <v>116.61509523152982</v>
      </c>
      <c r="X1542" s="347">
        <v>58.39</v>
      </c>
      <c r="Y1542" s="357">
        <v>58.69</v>
      </c>
      <c r="Z1542" s="365" t="s">
        <v>3017</v>
      </c>
      <c r="AA1542" s="350">
        <v>198</v>
      </c>
      <c r="AB1542" s="349" t="s">
        <v>2685</v>
      </c>
      <c r="AC1542" s="350">
        <v>10</v>
      </c>
      <c r="AD1542" s="349" t="s">
        <v>2685</v>
      </c>
      <c r="AE1542" s="364">
        <v>0</v>
      </c>
      <c r="AF1542" s="366">
        <v>10.523999999999999</v>
      </c>
      <c r="AG1542" s="363">
        <v>0</v>
      </c>
      <c r="AH1542" s="635" t="s">
        <v>10496</v>
      </c>
      <c r="AL1542" s="487" t="s">
        <v>15934</v>
      </c>
      <c r="AM1542" s="477" t="s">
        <v>70</v>
      </c>
      <c r="AN1542" s="637">
        <v>100</v>
      </c>
      <c r="AO1542" s="478">
        <v>-1570</v>
      </c>
      <c r="AP1542" s="463">
        <v>-1570</v>
      </c>
      <c r="AQ1542" s="479">
        <v>0</v>
      </c>
      <c r="AR1542" s="476" t="s">
        <v>17626</v>
      </c>
      <c r="BA1542" s="313" t="s">
        <v>6091</v>
      </c>
    </row>
    <row r="1543" spans="2:53" ht="16.5" customHeight="1">
      <c r="B1543" s="367" t="s">
        <v>12040</v>
      </c>
      <c r="C1543" s="351" t="s">
        <v>12041</v>
      </c>
      <c r="D1543" s="353">
        <v>-1570</v>
      </c>
      <c r="E1543" s="352" t="s">
        <v>408</v>
      </c>
      <c r="F1543" s="341">
        <v>75.5</v>
      </c>
      <c r="G1543" s="355" t="s">
        <v>18930</v>
      </c>
      <c r="H1543" s="356" t="s">
        <v>5541</v>
      </c>
      <c r="I1543" s="354" t="s">
        <v>485</v>
      </c>
      <c r="J1543" s="340" t="s">
        <v>12044</v>
      </c>
      <c r="K1543" s="339" t="s">
        <v>71</v>
      </c>
      <c r="L1543" s="357">
        <v>48</v>
      </c>
      <c r="M1543" s="358" t="s">
        <v>6040</v>
      </c>
      <c r="N1543" s="359">
        <v>100</v>
      </c>
      <c r="O1543" s="360" t="s">
        <v>454</v>
      </c>
      <c r="P1543" s="343" t="s">
        <v>454</v>
      </c>
      <c r="Q1543" s="342" t="s">
        <v>2738</v>
      </c>
      <c r="R1543" s="344">
        <v>35</v>
      </c>
      <c r="S1543" s="345">
        <v>30</v>
      </c>
      <c r="T1543" s="362">
        <v>15</v>
      </c>
      <c r="U1543" s="361">
        <v>75.5</v>
      </c>
      <c r="V1543" s="346">
        <v>116</v>
      </c>
      <c r="W1543" s="348">
        <v>116.60714285714286</v>
      </c>
      <c r="X1543" s="347">
        <v>58.52</v>
      </c>
      <c r="Y1543" s="357" t="s">
        <v>408</v>
      </c>
      <c r="Z1543" s="365" t="s">
        <v>3017</v>
      </c>
      <c r="AA1543" s="350">
        <v>19.600000000000001</v>
      </c>
      <c r="AB1543" s="349" t="s">
        <v>2685</v>
      </c>
      <c r="AC1543" s="350">
        <v>0</v>
      </c>
      <c r="AD1543" s="349" t="s">
        <v>2685</v>
      </c>
      <c r="AE1543" s="364">
        <v>0</v>
      </c>
      <c r="AF1543" s="366">
        <v>0</v>
      </c>
      <c r="AG1543" s="363">
        <v>0</v>
      </c>
      <c r="AH1543" s="635" t="s">
        <v>408</v>
      </c>
      <c r="AL1543" s="487" t="s">
        <v>15935</v>
      </c>
      <c r="AM1543" s="477" t="s">
        <v>71</v>
      </c>
      <c r="AN1543" s="637">
        <v>100</v>
      </c>
      <c r="AO1543" s="478">
        <v>-1570</v>
      </c>
      <c r="AP1543" s="463">
        <v>-694</v>
      </c>
      <c r="AQ1543" s="479">
        <v>-876</v>
      </c>
      <c r="AR1543" s="476" t="s">
        <v>17627</v>
      </c>
      <c r="BA1543" s="313" t="s">
        <v>6094</v>
      </c>
    </row>
    <row r="1544" spans="2:53" ht="16.5" customHeight="1">
      <c r="B1544" s="367" t="s">
        <v>12045</v>
      </c>
      <c r="C1544" s="351" t="s">
        <v>12046</v>
      </c>
      <c r="D1544" s="353">
        <v>-1570</v>
      </c>
      <c r="E1544" s="352" t="s">
        <v>12042</v>
      </c>
      <c r="F1544" s="341">
        <v>75.5</v>
      </c>
      <c r="G1544" s="355" t="s">
        <v>12047</v>
      </c>
      <c r="H1544" s="356" t="s">
        <v>5541</v>
      </c>
      <c r="I1544" s="354" t="s">
        <v>485</v>
      </c>
      <c r="J1544" s="340" t="s">
        <v>555</v>
      </c>
      <c r="K1544" s="339" t="s">
        <v>70</v>
      </c>
      <c r="L1544" s="357">
        <v>9</v>
      </c>
      <c r="M1544" s="358" t="s">
        <v>6040</v>
      </c>
      <c r="N1544" s="359">
        <v>100</v>
      </c>
      <c r="O1544" s="360" t="s">
        <v>454</v>
      </c>
      <c r="P1544" s="343" t="s">
        <v>454</v>
      </c>
      <c r="Q1544" s="342" t="s">
        <v>2738</v>
      </c>
      <c r="R1544" s="344">
        <v>30</v>
      </c>
      <c r="S1544" s="345">
        <v>35</v>
      </c>
      <c r="T1544" s="362">
        <v>15</v>
      </c>
      <c r="U1544" s="361">
        <v>75.5</v>
      </c>
      <c r="V1544" s="346">
        <v>116</v>
      </c>
      <c r="W1544" s="348">
        <v>116.60714285714286</v>
      </c>
      <c r="X1544" s="347">
        <v>58.38</v>
      </c>
      <c r="Y1544" s="357" t="s">
        <v>408</v>
      </c>
      <c r="Z1544" s="365" t="s">
        <v>3017</v>
      </c>
      <c r="AA1544" s="350">
        <v>19.600000000000001</v>
      </c>
      <c r="AB1544" s="349" t="s">
        <v>2685</v>
      </c>
      <c r="AC1544" s="350">
        <v>0</v>
      </c>
      <c r="AD1544" s="349" t="s">
        <v>2685</v>
      </c>
      <c r="AE1544" s="364">
        <v>0</v>
      </c>
      <c r="AF1544" s="366">
        <v>0</v>
      </c>
      <c r="AG1544" s="363">
        <v>0</v>
      </c>
      <c r="AH1544" s="635" t="s">
        <v>408</v>
      </c>
      <c r="AL1544" s="487" t="s">
        <v>15936</v>
      </c>
      <c r="AM1544" s="477" t="s">
        <v>70</v>
      </c>
      <c r="AN1544" s="637">
        <v>100</v>
      </c>
      <c r="AO1544" s="478">
        <v>-1570</v>
      </c>
      <c r="AP1544" s="463">
        <v>-1570</v>
      </c>
      <c r="AQ1544" s="479">
        <v>0</v>
      </c>
      <c r="AR1544" s="476" t="s">
        <v>17628</v>
      </c>
      <c r="BA1544" s="313" t="s">
        <v>6095</v>
      </c>
    </row>
    <row r="1545" spans="2:53" ht="16.5" customHeight="1">
      <c r="B1545" s="367" t="s">
        <v>12048</v>
      </c>
      <c r="C1545" s="351" t="s">
        <v>12049</v>
      </c>
      <c r="D1545" s="353">
        <v>-1570</v>
      </c>
      <c r="E1545" s="352" t="s">
        <v>408</v>
      </c>
      <c r="F1545" s="341">
        <v>75.5</v>
      </c>
      <c r="G1545" s="355" t="s">
        <v>18930</v>
      </c>
      <c r="H1545" s="356" t="s">
        <v>5541</v>
      </c>
      <c r="I1545" s="354" t="s">
        <v>446</v>
      </c>
      <c r="J1545" s="340" t="s">
        <v>499</v>
      </c>
      <c r="K1545" s="339" t="s">
        <v>71</v>
      </c>
      <c r="L1545" s="357">
        <v>7</v>
      </c>
      <c r="M1545" s="358" t="s">
        <v>6044</v>
      </c>
      <c r="N1545" s="359">
        <v>1000</v>
      </c>
      <c r="O1545" s="360" t="s">
        <v>454</v>
      </c>
      <c r="P1545" s="343" t="s">
        <v>454</v>
      </c>
      <c r="Q1545" s="342" t="s">
        <v>2688</v>
      </c>
      <c r="R1545" s="344">
        <v>35</v>
      </c>
      <c r="S1545" s="345">
        <v>30</v>
      </c>
      <c r="T1545" s="362">
        <v>25</v>
      </c>
      <c r="U1545" s="361">
        <v>75.5</v>
      </c>
      <c r="V1545" s="346">
        <v>116</v>
      </c>
      <c r="W1545" s="348">
        <v>116.60714285714286</v>
      </c>
      <c r="X1545" s="347">
        <v>58.52</v>
      </c>
      <c r="Y1545" s="357" t="s">
        <v>408</v>
      </c>
      <c r="Z1545" s="365" t="s">
        <v>3017</v>
      </c>
      <c r="AA1545" s="350">
        <v>98</v>
      </c>
      <c r="AB1545" s="349" t="s">
        <v>2685</v>
      </c>
      <c r="AC1545" s="350">
        <v>0</v>
      </c>
      <c r="AD1545" s="349" t="s">
        <v>2685</v>
      </c>
      <c r="AE1545" s="364">
        <v>0</v>
      </c>
      <c r="AF1545" s="366">
        <v>0</v>
      </c>
      <c r="AG1545" s="363">
        <v>0</v>
      </c>
      <c r="AH1545" s="635" t="s">
        <v>408</v>
      </c>
      <c r="AL1545" s="487" t="s">
        <v>15937</v>
      </c>
      <c r="AM1545" s="477" t="s">
        <v>71</v>
      </c>
      <c r="AN1545" s="637">
        <v>100</v>
      </c>
      <c r="AO1545" s="478">
        <v>-1570</v>
      </c>
      <c r="AP1545" s="463">
        <v>-694</v>
      </c>
      <c r="AQ1545" s="479">
        <v>-876</v>
      </c>
      <c r="AR1545" s="476" t="s">
        <v>17627</v>
      </c>
      <c r="BA1545" s="313" t="s">
        <v>6099</v>
      </c>
    </row>
    <row r="1546" spans="2:53" ht="16.5" customHeight="1">
      <c r="B1546" s="367" t="s">
        <v>12013</v>
      </c>
      <c r="C1546" s="351" t="s">
        <v>12014</v>
      </c>
      <c r="D1546" s="353">
        <v>-1570</v>
      </c>
      <c r="E1546" s="352" t="s">
        <v>12047</v>
      </c>
      <c r="F1546" s="341">
        <v>75.48</v>
      </c>
      <c r="G1546" s="355" t="s">
        <v>12034</v>
      </c>
      <c r="H1546" s="356" t="s">
        <v>5547</v>
      </c>
      <c r="I1546" s="354" t="s">
        <v>8000</v>
      </c>
      <c r="J1546" s="340" t="s">
        <v>11323</v>
      </c>
      <c r="K1546" s="339" t="s">
        <v>71</v>
      </c>
      <c r="L1546" s="357">
        <v>6</v>
      </c>
      <c r="M1546" s="358" t="s">
        <v>12037</v>
      </c>
      <c r="N1546" s="359">
        <v>1000</v>
      </c>
      <c r="O1546" s="360" t="s">
        <v>532</v>
      </c>
      <c r="P1546" s="343" t="s">
        <v>532</v>
      </c>
      <c r="Q1546" s="342" t="s">
        <v>2688</v>
      </c>
      <c r="R1546" s="344">
        <v>30</v>
      </c>
      <c r="S1546" s="345">
        <v>25</v>
      </c>
      <c r="T1546" s="362">
        <v>25</v>
      </c>
      <c r="U1546" s="361">
        <v>75.48</v>
      </c>
      <c r="V1546" s="346">
        <v>115.99074095723495</v>
      </c>
      <c r="W1546" s="348">
        <v>116.60152129546408</v>
      </c>
      <c r="X1546" s="347" t="s">
        <v>18931</v>
      </c>
      <c r="Y1546" s="357" t="s">
        <v>408</v>
      </c>
      <c r="Z1546" s="365" t="s">
        <v>4408</v>
      </c>
      <c r="AA1546" s="350">
        <v>192</v>
      </c>
      <c r="AB1546" s="349" t="s">
        <v>2685</v>
      </c>
      <c r="AC1546" s="350">
        <v>0</v>
      </c>
      <c r="AD1546" s="349" t="s">
        <v>2685</v>
      </c>
      <c r="AE1546" s="364">
        <v>0</v>
      </c>
      <c r="AF1546" s="366">
        <v>0</v>
      </c>
      <c r="AG1546" s="363">
        <v>0</v>
      </c>
      <c r="AH1546" s="635" t="s">
        <v>408</v>
      </c>
      <c r="AL1546" s="487" t="s">
        <v>15938</v>
      </c>
      <c r="AM1546" s="477" t="s">
        <v>71</v>
      </c>
      <c r="AN1546" s="637">
        <v>100</v>
      </c>
      <c r="AO1546" s="478">
        <v>-1570</v>
      </c>
      <c r="AP1546" s="463">
        <v>-694</v>
      </c>
      <c r="AQ1546" s="479">
        <v>-876</v>
      </c>
      <c r="AR1546" s="476" t="s">
        <v>17629</v>
      </c>
      <c r="BA1546" s="313" t="s">
        <v>6100</v>
      </c>
    </row>
    <row r="1547" spans="2:53" ht="16.5" customHeight="1">
      <c r="B1547" s="367" t="s">
        <v>12053</v>
      </c>
      <c r="C1547" s="351" t="s">
        <v>12054</v>
      </c>
      <c r="D1547" s="353">
        <v>-1570</v>
      </c>
      <c r="E1547" s="352" t="s">
        <v>12050</v>
      </c>
      <c r="F1547" s="341">
        <v>75.47</v>
      </c>
      <c r="G1547" s="355" t="s">
        <v>12055</v>
      </c>
      <c r="H1547" s="356" t="s">
        <v>11736</v>
      </c>
      <c r="I1547" s="354" t="s">
        <v>209</v>
      </c>
      <c r="J1547" s="340" t="s">
        <v>12056</v>
      </c>
      <c r="K1547" s="339" t="s">
        <v>70</v>
      </c>
      <c r="L1547" s="357">
        <v>12</v>
      </c>
      <c r="M1547" s="358" t="s">
        <v>12057</v>
      </c>
      <c r="N1547" s="359">
        <v>1000</v>
      </c>
      <c r="O1547" s="360" t="s">
        <v>530</v>
      </c>
      <c r="P1547" s="343" t="s">
        <v>530</v>
      </c>
      <c r="Q1547" s="342" t="s">
        <v>2688</v>
      </c>
      <c r="R1547" s="344">
        <v>20</v>
      </c>
      <c r="S1547" s="345">
        <v>30</v>
      </c>
      <c r="T1547" s="362">
        <v>30</v>
      </c>
      <c r="U1547" s="361">
        <v>75.47</v>
      </c>
      <c r="V1547" s="346">
        <v>115.98233907941385</v>
      </c>
      <c r="W1547" s="348">
        <v>116.59642015535842</v>
      </c>
      <c r="X1547" s="347">
        <v>58.38</v>
      </c>
      <c r="Y1547" s="357" t="s">
        <v>408</v>
      </c>
      <c r="Z1547" s="365" t="s">
        <v>3017</v>
      </c>
      <c r="AA1547" s="350">
        <v>198</v>
      </c>
      <c r="AB1547" s="349" t="s">
        <v>2685</v>
      </c>
      <c r="AC1547" s="350">
        <v>10</v>
      </c>
      <c r="AD1547" s="349" t="s">
        <v>2685</v>
      </c>
      <c r="AE1547" s="364">
        <v>0</v>
      </c>
      <c r="AF1547" s="366">
        <v>0</v>
      </c>
      <c r="AG1547" s="363">
        <v>0</v>
      </c>
      <c r="AH1547" s="635" t="s">
        <v>408</v>
      </c>
      <c r="AL1547" s="487" t="s">
        <v>15939</v>
      </c>
      <c r="AM1547" s="477" t="s">
        <v>70</v>
      </c>
      <c r="AN1547" s="637">
        <v>100</v>
      </c>
      <c r="AO1547" s="478">
        <v>-1570</v>
      </c>
      <c r="AP1547" s="463">
        <v>-1570</v>
      </c>
      <c r="AQ1547" s="479">
        <v>0</v>
      </c>
      <c r="AR1547" s="476" t="s">
        <v>17630</v>
      </c>
      <c r="BA1547" s="313" t="s">
        <v>6102</v>
      </c>
    </row>
    <row r="1548" spans="2:53" ht="16.5" customHeight="1">
      <c r="B1548" s="367" t="s">
        <v>5973</v>
      </c>
      <c r="C1548" s="351" t="s">
        <v>5974</v>
      </c>
      <c r="D1548" s="353">
        <v>-1570</v>
      </c>
      <c r="E1548" s="352" t="s">
        <v>5983</v>
      </c>
      <c r="F1548" s="341">
        <v>75.45</v>
      </c>
      <c r="G1548" s="355" t="s">
        <v>12043</v>
      </c>
      <c r="H1548" s="356" t="s">
        <v>11746</v>
      </c>
      <c r="I1548" s="354" t="s">
        <v>216</v>
      </c>
      <c r="J1548" s="340" t="s">
        <v>8883</v>
      </c>
      <c r="K1548" s="339" t="s">
        <v>71</v>
      </c>
      <c r="L1548" s="357">
        <v>7</v>
      </c>
      <c r="M1548" s="358" t="s">
        <v>12052</v>
      </c>
      <c r="N1548" s="359">
        <v>300</v>
      </c>
      <c r="O1548" s="360" t="s">
        <v>530</v>
      </c>
      <c r="P1548" s="343" t="s">
        <v>530</v>
      </c>
      <c r="Q1548" s="342" t="s">
        <v>2688</v>
      </c>
      <c r="R1548" s="344">
        <v>45</v>
      </c>
      <c r="S1548" s="345">
        <v>25</v>
      </c>
      <c r="T1548" s="362">
        <v>30</v>
      </c>
      <c r="U1548" s="361">
        <v>75.45</v>
      </c>
      <c r="V1548" s="346">
        <v>115.9690054039835</v>
      </c>
      <c r="W1548" s="348">
        <v>116.58832470956142</v>
      </c>
      <c r="X1548" s="347">
        <v>58.5</v>
      </c>
      <c r="Y1548" s="357" t="s">
        <v>408</v>
      </c>
      <c r="Z1548" s="365" t="s">
        <v>3017</v>
      </c>
      <c r="AA1548" s="350">
        <v>-2</v>
      </c>
      <c r="AB1548" s="349" t="s">
        <v>2685</v>
      </c>
      <c r="AC1548" s="350">
        <v>0</v>
      </c>
      <c r="AD1548" s="349" t="s">
        <v>2685</v>
      </c>
      <c r="AE1548" s="364">
        <v>0</v>
      </c>
      <c r="AF1548" s="366">
        <v>0</v>
      </c>
      <c r="AG1548" s="363">
        <v>0</v>
      </c>
      <c r="AH1548" s="635" t="s">
        <v>408</v>
      </c>
      <c r="AL1548" s="487" t="s">
        <v>15940</v>
      </c>
      <c r="AM1548" s="477" t="s">
        <v>71</v>
      </c>
      <c r="AN1548" s="637">
        <v>100</v>
      </c>
      <c r="AO1548" s="478">
        <v>-1570</v>
      </c>
      <c r="AP1548" s="463">
        <v>-694</v>
      </c>
      <c r="AQ1548" s="479">
        <v>-876</v>
      </c>
      <c r="AR1548" s="476" t="s">
        <v>17631</v>
      </c>
      <c r="BA1548" s="313" t="s">
        <v>6104</v>
      </c>
    </row>
    <row r="1549" spans="2:53" ht="16.5" customHeight="1">
      <c r="B1549" s="367" t="s">
        <v>5998</v>
      </c>
      <c r="C1549" s="351" t="s">
        <v>5999</v>
      </c>
      <c r="D1549" s="353">
        <v>-1570</v>
      </c>
      <c r="E1549" s="352" t="s">
        <v>408</v>
      </c>
      <c r="F1549" s="341">
        <v>75.44</v>
      </c>
      <c r="G1549" s="355" t="s">
        <v>6002</v>
      </c>
      <c r="H1549" s="356" t="s">
        <v>5408</v>
      </c>
      <c r="I1549" s="354" t="s">
        <v>446</v>
      </c>
      <c r="J1549" s="340" t="s">
        <v>11479</v>
      </c>
      <c r="K1549" s="339" t="s">
        <v>70</v>
      </c>
      <c r="L1549" s="357">
        <v>9</v>
      </c>
      <c r="M1549" s="358" t="s">
        <v>12058</v>
      </c>
      <c r="N1549" s="359">
        <v>1000</v>
      </c>
      <c r="O1549" s="360" t="s">
        <v>454</v>
      </c>
      <c r="P1549" s="343" t="s">
        <v>454</v>
      </c>
      <c r="Q1549" s="342" t="s">
        <v>2688</v>
      </c>
      <c r="R1549" s="344">
        <v>25</v>
      </c>
      <c r="S1549" s="345">
        <v>35</v>
      </c>
      <c r="T1549" s="362">
        <v>30</v>
      </c>
      <c r="U1549" s="361">
        <v>75.44</v>
      </c>
      <c r="V1549" s="346">
        <v>115.96732026143791</v>
      </c>
      <c r="W1549" s="348">
        <v>116.58730158730158</v>
      </c>
      <c r="X1549" s="347">
        <v>58.37</v>
      </c>
      <c r="Y1549" s="357" t="s">
        <v>408</v>
      </c>
      <c r="Z1549" s="365" t="s">
        <v>3017</v>
      </c>
      <c r="AA1549" s="350">
        <v>98</v>
      </c>
      <c r="AB1549" s="349" t="s">
        <v>2685</v>
      </c>
      <c r="AC1549" s="350">
        <v>0</v>
      </c>
      <c r="AD1549" s="349" t="s">
        <v>2685</v>
      </c>
      <c r="AE1549" s="364">
        <v>0</v>
      </c>
      <c r="AF1549" s="366">
        <v>0</v>
      </c>
      <c r="AG1549" s="363">
        <v>0</v>
      </c>
      <c r="AH1549" s="635" t="s">
        <v>408</v>
      </c>
      <c r="AL1549" s="487" t="s">
        <v>15941</v>
      </c>
      <c r="AM1549" s="477" t="s">
        <v>70</v>
      </c>
      <c r="AN1549" s="637">
        <v>100</v>
      </c>
      <c r="AO1549" s="478">
        <v>-1570</v>
      </c>
      <c r="AP1549" s="463">
        <v>-1570</v>
      </c>
      <c r="AQ1549" s="479">
        <v>0</v>
      </c>
      <c r="AR1549" s="476" t="s">
        <v>17632</v>
      </c>
      <c r="BA1549" s="313" t="s">
        <v>6108</v>
      </c>
    </row>
    <row r="1550" spans="2:53" ht="16.5" customHeight="1">
      <c r="B1550" s="367" t="s">
        <v>5979</v>
      </c>
      <c r="C1550" s="351" t="s">
        <v>5980</v>
      </c>
      <c r="D1550" s="353">
        <v>-1570</v>
      </c>
      <c r="E1550" s="352" t="s">
        <v>408</v>
      </c>
      <c r="F1550" s="341">
        <v>75.430000000000007</v>
      </c>
      <c r="G1550" s="355" t="s">
        <v>12050</v>
      </c>
      <c r="H1550" s="356" t="s">
        <v>5550</v>
      </c>
      <c r="I1550" s="354" t="s">
        <v>214</v>
      </c>
      <c r="J1550" s="340" t="s">
        <v>8726</v>
      </c>
      <c r="K1550" s="339" t="s">
        <v>71</v>
      </c>
      <c r="L1550" s="357">
        <v>5</v>
      </c>
      <c r="M1550" s="358" t="s">
        <v>12051</v>
      </c>
      <c r="N1550" s="359">
        <v>200</v>
      </c>
      <c r="O1550" s="360" t="s">
        <v>532</v>
      </c>
      <c r="P1550" s="343" t="s">
        <v>532</v>
      </c>
      <c r="Q1550" s="342" t="s">
        <v>2688</v>
      </c>
      <c r="R1550" s="344">
        <v>30</v>
      </c>
      <c r="S1550" s="345">
        <v>20</v>
      </c>
      <c r="T1550" s="362">
        <v>30</v>
      </c>
      <c r="U1550" s="361">
        <v>75.430000000000007</v>
      </c>
      <c r="V1550" s="346">
        <v>115.95825404046643</v>
      </c>
      <c r="W1550" s="348">
        <v>116.58179709599747</v>
      </c>
      <c r="X1550" s="347" t="s">
        <v>18932</v>
      </c>
      <c r="Y1550" s="357" t="s">
        <v>408</v>
      </c>
      <c r="Z1550" s="365" t="s">
        <v>4408</v>
      </c>
      <c r="AA1550" s="350">
        <v>36</v>
      </c>
      <c r="AB1550" s="349" t="s">
        <v>2685</v>
      </c>
      <c r="AC1550" s="350">
        <v>0</v>
      </c>
      <c r="AD1550" s="349" t="s">
        <v>2685</v>
      </c>
      <c r="AE1550" s="364">
        <v>0</v>
      </c>
      <c r="AF1550" s="366">
        <v>0</v>
      </c>
      <c r="AG1550" s="363">
        <v>0</v>
      </c>
      <c r="AH1550" s="635" t="s">
        <v>408</v>
      </c>
      <c r="AL1550" s="487" t="s">
        <v>15942</v>
      </c>
      <c r="AM1550" s="477" t="s">
        <v>71</v>
      </c>
      <c r="AN1550" s="637">
        <v>100</v>
      </c>
      <c r="AO1550" s="478">
        <v>-1570</v>
      </c>
      <c r="AP1550" s="463">
        <v>-694</v>
      </c>
      <c r="AQ1550" s="479">
        <v>-876</v>
      </c>
      <c r="AR1550" s="476" t="s">
        <v>17633</v>
      </c>
      <c r="BA1550" s="313" t="s">
        <v>6113</v>
      </c>
    </row>
    <row r="1551" spans="2:53" ht="16.5" customHeight="1">
      <c r="B1551" s="367" t="s">
        <v>6006</v>
      </c>
      <c r="C1551" s="351" t="s">
        <v>6007</v>
      </c>
      <c r="D1551" s="353">
        <v>-1570</v>
      </c>
      <c r="E1551" s="352" t="s">
        <v>408</v>
      </c>
      <c r="F1551" s="341">
        <v>75.430000000000007</v>
      </c>
      <c r="G1551" s="355" t="s">
        <v>12059</v>
      </c>
      <c r="H1551" s="356" t="s">
        <v>11746</v>
      </c>
      <c r="I1551" s="354" t="s">
        <v>423</v>
      </c>
      <c r="J1551" s="340" t="s">
        <v>12060</v>
      </c>
      <c r="K1551" s="339" t="s">
        <v>70</v>
      </c>
      <c r="L1551" s="357">
        <v>26</v>
      </c>
      <c r="M1551" s="358" t="s">
        <v>12061</v>
      </c>
      <c r="N1551" s="359">
        <v>1000</v>
      </c>
      <c r="O1551" s="360" t="s">
        <v>530</v>
      </c>
      <c r="P1551" s="343" t="s">
        <v>531</v>
      </c>
      <c r="Q1551" s="342" t="s">
        <v>2688</v>
      </c>
      <c r="R1551" s="344">
        <v>20</v>
      </c>
      <c r="S1551" s="345">
        <v>35</v>
      </c>
      <c r="T1551" s="362">
        <v>25</v>
      </c>
      <c r="U1551" s="361">
        <v>75.430000000000007</v>
      </c>
      <c r="V1551" s="346">
        <v>115.95726495726494</v>
      </c>
      <c r="W1551" s="348">
        <v>116.58119658119656</v>
      </c>
      <c r="X1551" s="347">
        <v>58.36</v>
      </c>
      <c r="Y1551" s="357">
        <v>58.66</v>
      </c>
      <c r="Z1551" s="365" t="s">
        <v>3017</v>
      </c>
      <c r="AA1551" s="350">
        <v>198</v>
      </c>
      <c r="AB1551" s="349" t="s">
        <v>2685</v>
      </c>
      <c r="AC1551" s="350">
        <v>10</v>
      </c>
      <c r="AD1551" s="349" t="s">
        <v>2685</v>
      </c>
      <c r="AE1551" s="364">
        <v>0</v>
      </c>
      <c r="AF1551" s="366">
        <v>13.452999999999999</v>
      </c>
      <c r="AG1551" s="363">
        <v>0</v>
      </c>
      <c r="AH1551" s="635" t="s">
        <v>11625</v>
      </c>
      <c r="AL1551" s="487" t="s">
        <v>15943</v>
      </c>
      <c r="AM1551" s="477" t="s">
        <v>70</v>
      </c>
      <c r="AN1551" s="637">
        <v>100</v>
      </c>
      <c r="AO1551" s="478">
        <v>-1570</v>
      </c>
      <c r="AP1551" s="463">
        <v>-1570</v>
      </c>
      <c r="AQ1551" s="479">
        <v>0</v>
      </c>
      <c r="AR1551" s="476" t="s">
        <v>17634</v>
      </c>
      <c r="BA1551" s="313" t="s">
        <v>6115</v>
      </c>
    </row>
    <row r="1552" spans="2:53" ht="16.5" customHeight="1">
      <c r="B1552" s="367" t="s">
        <v>6021</v>
      </c>
      <c r="C1552" s="351" t="s">
        <v>6022</v>
      </c>
      <c r="D1552" s="353">
        <v>-1570</v>
      </c>
      <c r="E1552" s="352" t="s">
        <v>5992</v>
      </c>
      <c r="F1552" s="341">
        <v>75.38</v>
      </c>
      <c r="G1552" s="355" t="s">
        <v>12063</v>
      </c>
      <c r="H1552" s="356" t="s">
        <v>11495</v>
      </c>
      <c r="I1552" s="354" t="s">
        <v>485</v>
      </c>
      <c r="J1552" s="340" t="s">
        <v>12065</v>
      </c>
      <c r="K1552" s="339" t="s">
        <v>70</v>
      </c>
      <c r="L1552" s="357">
        <v>30</v>
      </c>
      <c r="M1552" s="358" t="s">
        <v>12066</v>
      </c>
      <c r="N1552" s="359">
        <v>100</v>
      </c>
      <c r="O1552" s="360" t="s">
        <v>454</v>
      </c>
      <c r="P1552" s="343" t="s">
        <v>454</v>
      </c>
      <c r="Q1552" s="342" t="s">
        <v>2738</v>
      </c>
      <c r="R1552" s="344">
        <v>30</v>
      </c>
      <c r="S1552" s="345">
        <v>35</v>
      </c>
      <c r="T1552" s="362">
        <v>15</v>
      </c>
      <c r="U1552" s="361">
        <v>75.38</v>
      </c>
      <c r="V1552" s="346">
        <v>115.92647058823529</v>
      </c>
      <c r="W1552" s="348">
        <v>116.5625</v>
      </c>
      <c r="X1552" s="347">
        <v>58.35</v>
      </c>
      <c r="Y1552" s="357" t="s">
        <v>408</v>
      </c>
      <c r="Z1552" s="365" t="s">
        <v>3017</v>
      </c>
      <c r="AA1552" s="350">
        <v>19.600000000000001</v>
      </c>
      <c r="AB1552" s="349" t="s">
        <v>2685</v>
      </c>
      <c r="AC1552" s="350">
        <v>0</v>
      </c>
      <c r="AD1552" s="349" t="s">
        <v>2685</v>
      </c>
      <c r="AE1552" s="364">
        <v>0</v>
      </c>
      <c r="AF1552" s="366">
        <v>0</v>
      </c>
      <c r="AG1552" s="363">
        <v>0</v>
      </c>
      <c r="AH1552" s="635" t="s">
        <v>408</v>
      </c>
      <c r="AL1552" s="487" t="s">
        <v>15944</v>
      </c>
      <c r="AM1552" s="477" t="s">
        <v>70</v>
      </c>
      <c r="AN1552" s="637">
        <v>100</v>
      </c>
      <c r="AO1552" s="478">
        <v>-1570</v>
      </c>
      <c r="AP1552" s="463">
        <v>-1570</v>
      </c>
      <c r="AQ1552" s="479">
        <v>0</v>
      </c>
      <c r="AR1552" s="476" t="s">
        <v>17635</v>
      </c>
      <c r="BA1552" s="313" t="s">
        <v>6119</v>
      </c>
    </row>
    <row r="1553" spans="2:53" ht="16.5" customHeight="1">
      <c r="B1553" s="367" t="s">
        <v>6006</v>
      </c>
      <c r="C1553" s="351" t="s">
        <v>6007</v>
      </c>
      <c r="D1553" s="353">
        <v>-1570</v>
      </c>
      <c r="E1553" s="352" t="s">
        <v>408</v>
      </c>
      <c r="F1553" s="341">
        <v>75.38</v>
      </c>
      <c r="G1553" s="355" t="s">
        <v>18933</v>
      </c>
      <c r="H1553" s="356" t="s">
        <v>11499</v>
      </c>
      <c r="I1553" s="354" t="s">
        <v>9336</v>
      </c>
      <c r="J1553" s="340" t="s">
        <v>12067</v>
      </c>
      <c r="K1553" s="339" t="s">
        <v>71</v>
      </c>
      <c r="L1553" s="357">
        <v>10</v>
      </c>
      <c r="M1553" s="358" t="s">
        <v>12068</v>
      </c>
      <c r="N1553" s="359">
        <v>700</v>
      </c>
      <c r="O1553" s="360" t="s">
        <v>532</v>
      </c>
      <c r="P1553" s="343" t="s">
        <v>533</v>
      </c>
      <c r="Q1553" s="342" t="s">
        <v>2688</v>
      </c>
      <c r="R1553" s="344">
        <v>30</v>
      </c>
      <c r="S1553" s="345">
        <v>30</v>
      </c>
      <c r="T1553" s="362">
        <v>20</v>
      </c>
      <c r="U1553" s="361">
        <v>75.38</v>
      </c>
      <c r="V1553" s="346">
        <v>115.92668711289198</v>
      </c>
      <c r="W1553" s="348">
        <v>116.56263146139871</v>
      </c>
      <c r="X1553" s="347">
        <v>58.48</v>
      </c>
      <c r="Y1553" s="357">
        <v>60.46</v>
      </c>
      <c r="Z1553" s="365" t="s">
        <v>3017</v>
      </c>
      <c r="AA1553" s="350">
        <v>138</v>
      </c>
      <c r="AB1553" s="349" t="s">
        <v>2685</v>
      </c>
      <c r="AC1553" s="350">
        <v>10</v>
      </c>
      <c r="AD1553" s="349" t="s">
        <v>2685</v>
      </c>
      <c r="AE1553" s="364">
        <v>0</v>
      </c>
      <c r="AF1553" s="366">
        <v>0</v>
      </c>
      <c r="AG1553" s="363">
        <v>0</v>
      </c>
      <c r="AH1553" s="635" t="s">
        <v>408</v>
      </c>
      <c r="AL1553" s="487" t="s">
        <v>15945</v>
      </c>
      <c r="AM1553" s="477" t="s">
        <v>71</v>
      </c>
      <c r="AN1553" s="637">
        <v>100</v>
      </c>
      <c r="AO1553" s="478">
        <v>-1570</v>
      </c>
      <c r="AP1553" s="463">
        <v>-694</v>
      </c>
      <c r="AQ1553" s="479">
        <v>-876</v>
      </c>
      <c r="AR1553" s="476" t="s">
        <v>17636</v>
      </c>
      <c r="BA1553" s="313" t="s">
        <v>6122</v>
      </c>
    </row>
    <row r="1554" spans="2:53" ht="16.5" customHeight="1">
      <c r="B1554" s="367" t="s">
        <v>12030</v>
      </c>
      <c r="C1554" s="351" t="s">
        <v>12031</v>
      </c>
      <c r="D1554" s="353">
        <v>-1570</v>
      </c>
      <c r="E1554" s="352" t="s">
        <v>12059</v>
      </c>
      <c r="F1554" s="341">
        <v>75.37</v>
      </c>
      <c r="G1554" s="355" t="s">
        <v>18933</v>
      </c>
      <c r="H1554" s="356" t="s">
        <v>11499</v>
      </c>
      <c r="I1554" s="354" t="s">
        <v>216</v>
      </c>
      <c r="J1554" s="340" t="s">
        <v>7365</v>
      </c>
      <c r="K1554" s="339" t="s">
        <v>71</v>
      </c>
      <c r="L1554" s="357">
        <v>3</v>
      </c>
      <c r="M1554" s="358" t="s">
        <v>12062</v>
      </c>
      <c r="N1554" s="359">
        <v>300</v>
      </c>
      <c r="O1554" s="360" t="s">
        <v>530</v>
      </c>
      <c r="P1554" s="343" t="s">
        <v>530</v>
      </c>
      <c r="Q1554" s="342" t="s">
        <v>2688</v>
      </c>
      <c r="R1554" s="344">
        <v>45</v>
      </c>
      <c r="S1554" s="345">
        <v>25</v>
      </c>
      <c r="T1554" s="362">
        <v>30</v>
      </c>
      <c r="U1554" s="361">
        <v>75.37</v>
      </c>
      <c r="V1554" s="346">
        <v>115.92509384538907</v>
      </c>
      <c r="W1554" s="348">
        <v>116.56166412041479</v>
      </c>
      <c r="X1554" s="347">
        <v>58.48</v>
      </c>
      <c r="Y1554" s="357" t="s">
        <v>408</v>
      </c>
      <c r="Z1554" s="365" t="s">
        <v>3017</v>
      </c>
      <c r="AA1554" s="350">
        <v>-2</v>
      </c>
      <c r="AB1554" s="349" t="s">
        <v>2685</v>
      </c>
      <c r="AC1554" s="350">
        <v>0</v>
      </c>
      <c r="AD1554" s="349" t="s">
        <v>2685</v>
      </c>
      <c r="AE1554" s="364">
        <v>0</v>
      </c>
      <c r="AF1554" s="366">
        <v>0</v>
      </c>
      <c r="AG1554" s="363">
        <v>0</v>
      </c>
      <c r="AH1554" s="635" t="s">
        <v>408</v>
      </c>
      <c r="AL1554" s="487" t="s">
        <v>15946</v>
      </c>
      <c r="AM1554" s="477" t="s">
        <v>71</v>
      </c>
      <c r="AN1554" s="637">
        <v>100</v>
      </c>
      <c r="AO1554" s="478">
        <v>-1570</v>
      </c>
      <c r="AP1554" s="463">
        <v>-694</v>
      </c>
      <c r="AQ1554" s="479">
        <v>-876</v>
      </c>
      <c r="AR1554" s="476" t="s">
        <v>17636</v>
      </c>
      <c r="BA1554" s="313" t="s">
        <v>6123</v>
      </c>
    </row>
    <row r="1555" spans="2:53" ht="16.5" customHeight="1">
      <c r="B1555" s="367" t="s">
        <v>6021</v>
      </c>
      <c r="C1555" s="351" t="s">
        <v>6022</v>
      </c>
      <c r="D1555" s="353">
        <v>-1570</v>
      </c>
      <c r="E1555" s="352" t="s">
        <v>408</v>
      </c>
      <c r="F1555" s="341">
        <v>75.37</v>
      </c>
      <c r="G1555" s="355" t="s">
        <v>12069</v>
      </c>
      <c r="H1555" s="356" t="s">
        <v>11499</v>
      </c>
      <c r="I1555" s="354" t="s">
        <v>212</v>
      </c>
      <c r="J1555" s="340" t="s">
        <v>435</v>
      </c>
      <c r="K1555" s="339" t="s">
        <v>70</v>
      </c>
      <c r="L1555" s="357">
        <v>47</v>
      </c>
      <c r="M1555" s="358" t="s">
        <v>12070</v>
      </c>
      <c r="N1555" s="359">
        <v>800</v>
      </c>
      <c r="O1555" s="360" t="s">
        <v>532</v>
      </c>
      <c r="P1555" s="343" t="s">
        <v>532</v>
      </c>
      <c r="Q1555" s="342" t="s">
        <v>2688</v>
      </c>
      <c r="R1555" s="344">
        <v>30</v>
      </c>
      <c r="S1555" s="345">
        <v>40</v>
      </c>
      <c r="T1555" s="362">
        <v>30</v>
      </c>
      <c r="U1555" s="361">
        <v>75.37</v>
      </c>
      <c r="V1555" s="346">
        <v>115.92326421456592</v>
      </c>
      <c r="W1555" s="348">
        <v>116.5605532731293</v>
      </c>
      <c r="X1555" s="347" t="s">
        <v>18934</v>
      </c>
      <c r="Y1555" s="357" t="s">
        <v>408</v>
      </c>
      <c r="Z1555" s="365" t="s">
        <v>3017</v>
      </c>
      <c r="AA1555" s="350">
        <v>190</v>
      </c>
      <c r="AB1555" s="349" t="s">
        <v>2685</v>
      </c>
      <c r="AC1555" s="350">
        <v>10</v>
      </c>
      <c r="AD1555" s="349" t="s">
        <v>2685</v>
      </c>
      <c r="AE1555" s="364">
        <v>0</v>
      </c>
      <c r="AF1555" s="366">
        <v>0</v>
      </c>
      <c r="AG1555" s="363">
        <v>0</v>
      </c>
      <c r="AH1555" s="635" t="s">
        <v>408</v>
      </c>
      <c r="AL1555" s="487" t="s">
        <v>7236</v>
      </c>
      <c r="AM1555" s="477" t="s">
        <v>70</v>
      </c>
      <c r="AN1555" s="637">
        <v>100</v>
      </c>
      <c r="AO1555" s="478">
        <v>-1570</v>
      </c>
      <c r="AP1555" s="463">
        <v>-1570</v>
      </c>
      <c r="AQ1555" s="479">
        <v>0</v>
      </c>
      <c r="AR1555" s="476" t="s">
        <v>17637</v>
      </c>
      <c r="BA1555" s="313" t="s">
        <v>6126</v>
      </c>
    </row>
    <row r="1556" spans="2:53" ht="16.5" customHeight="1">
      <c r="B1556" s="367" t="s">
        <v>12071</v>
      </c>
      <c r="C1556" s="351" t="s">
        <v>12072</v>
      </c>
      <c r="D1556" s="353">
        <v>-1570</v>
      </c>
      <c r="E1556" s="352" t="s">
        <v>6023</v>
      </c>
      <c r="F1556" s="341">
        <v>75.36</v>
      </c>
      <c r="G1556" s="355" t="s">
        <v>5992</v>
      </c>
      <c r="H1556" s="356" t="s">
        <v>11505</v>
      </c>
      <c r="I1556" s="354" t="s">
        <v>446</v>
      </c>
      <c r="J1556" s="340" t="s">
        <v>8654</v>
      </c>
      <c r="K1556" s="339" t="s">
        <v>71</v>
      </c>
      <c r="L1556" s="357">
        <v>12</v>
      </c>
      <c r="M1556" s="358" t="s">
        <v>12074</v>
      </c>
      <c r="N1556" s="359">
        <v>1000</v>
      </c>
      <c r="O1556" s="360" t="s">
        <v>454</v>
      </c>
      <c r="P1556" s="343" t="s">
        <v>454</v>
      </c>
      <c r="Q1556" s="342" t="s">
        <v>2688</v>
      </c>
      <c r="R1556" s="344">
        <v>35</v>
      </c>
      <c r="S1556" s="345">
        <v>30</v>
      </c>
      <c r="T1556" s="362">
        <v>25</v>
      </c>
      <c r="U1556" s="361">
        <v>75.36</v>
      </c>
      <c r="V1556" s="346">
        <v>115.91830065359477</v>
      </c>
      <c r="W1556" s="348">
        <v>116.55753968253968</v>
      </c>
      <c r="X1556" s="347">
        <v>58.48</v>
      </c>
      <c r="Y1556" s="357" t="s">
        <v>408</v>
      </c>
      <c r="Z1556" s="365" t="s">
        <v>3017</v>
      </c>
      <c r="AA1556" s="350">
        <v>98</v>
      </c>
      <c r="AB1556" s="349" t="s">
        <v>2685</v>
      </c>
      <c r="AC1556" s="350">
        <v>0</v>
      </c>
      <c r="AD1556" s="349" t="s">
        <v>2685</v>
      </c>
      <c r="AE1556" s="364">
        <v>0</v>
      </c>
      <c r="AF1556" s="366">
        <v>0</v>
      </c>
      <c r="AG1556" s="363">
        <v>0</v>
      </c>
      <c r="AH1556" s="635" t="s">
        <v>408</v>
      </c>
      <c r="AL1556" s="487" t="s">
        <v>15947</v>
      </c>
      <c r="AM1556" s="477" t="s">
        <v>71</v>
      </c>
      <c r="AN1556" s="637">
        <v>100</v>
      </c>
      <c r="AO1556" s="478">
        <v>-1570</v>
      </c>
      <c r="AP1556" s="463">
        <v>-694</v>
      </c>
      <c r="AQ1556" s="479">
        <v>-876</v>
      </c>
      <c r="AR1556" s="476" t="s">
        <v>17638</v>
      </c>
      <c r="BA1556" s="313" t="s">
        <v>6127</v>
      </c>
    </row>
    <row r="1557" spans="2:53" ht="16.5" customHeight="1">
      <c r="B1557" s="367" t="s">
        <v>12071</v>
      </c>
      <c r="C1557" s="351" t="s">
        <v>12072</v>
      </c>
      <c r="D1557" s="353">
        <v>-1570</v>
      </c>
      <c r="E1557" s="352" t="s">
        <v>6023</v>
      </c>
      <c r="F1557" s="341">
        <v>75.36</v>
      </c>
      <c r="G1557" s="355" t="s">
        <v>5992</v>
      </c>
      <c r="H1557" s="356" t="s">
        <v>11505</v>
      </c>
      <c r="I1557" s="354" t="s">
        <v>446</v>
      </c>
      <c r="J1557" s="340" t="s">
        <v>8618</v>
      </c>
      <c r="K1557" s="339" t="s">
        <v>71</v>
      </c>
      <c r="L1557" s="357">
        <v>7</v>
      </c>
      <c r="M1557" s="358" t="s">
        <v>12074</v>
      </c>
      <c r="N1557" s="359">
        <v>1000</v>
      </c>
      <c r="O1557" s="360" t="s">
        <v>454</v>
      </c>
      <c r="P1557" s="343" t="s">
        <v>454</v>
      </c>
      <c r="Q1557" s="342" t="s">
        <v>2688</v>
      </c>
      <c r="R1557" s="344">
        <v>35</v>
      </c>
      <c r="S1557" s="345">
        <v>30</v>
      </c>
      <c r="T1557" s="362">
        <v>25</v>
      </c>
      <c r="U1557" s="361">
        <v>75.36</v>
      </c>
      <c r="V1557" s="346">
        <v>115.91830065359477</v>
      </c>
      <c r="W1557" s="348">
        <v>116.55753968253968</v>
      </c>
      <c r="X1557" s="347">
        <v>58.48</v>
      </c>
      <c r="Y1557" s="357" t="s">
        <v>408</v>
      </c>
      <c r="Z1557" s="365" t="s">
        <v>3017</v>
      </c>
      <c r="AA1557" s="350">
        <v>98</v>
      </c>
      <c r="AB1557" s="349" t="s">
        <v>2685</v>
      </c>
      <c r="AC1557" s="350">
        <v>0</v>
      </c>
      <c r="AD1557" s="349" t="s">
        <v>2685</v>
      </c>
      <c r="AE1557" s="364">
        <v>0</v>
      </c>
      <c r="AF1557" s="366">
        <v>0</v>
      </c>
      <c r="AG1557" s="363">
        <v>0</v>
      </c>
      <c r="AH1557" s="635" t="s">
        <v>408</v>
      </c>
      <c r="AL1557" s="487" t="s">
        <v>15948</v>
      </c>
      <c r="AM1557" s="477" t="s">
        <v>71</v>
      </c>
      <c r="AN1557" s="637">
        <v>100</v>
      </c>
      <c r="AO1557" s="478">
        <v>-1570</v>
      </c>
      <c r="AP1557" s="463">
        <v>-694</v>
      </c>
      <c r="AQ1557" s="479">
        <v>-876</v>
      </c>
      <c r="AR1557" s="476" t="s">
        <v>17638</v>
      </c>
      <c r="BA1557" s="313" t="s">
        <v>6128</v>
      </c>
    </row>
    <row r="1558" spans="2:53" ht="16.5" customHeight="1">
      <c r="B1558" s="367" t="s">
        <v>12071</v>
      </c>
      <c r="C1558" s="351" t="s">
        <v>12072</v>
      </c>
      <c r="D1558" s="353">
        <v>-1570</v>
      </c>
      <c r="E1558" s="352" t="s">
        <v>6023</v>
      </c>
      <c r="F1558" s="341">
        <v>75.36</v>
      </c>
      <c r="G1558" s="355" t="s">
        <v>5992</v>
      </c>
      <c r="H1558" s="356" t="s">
        <v>11505</v>
      </c>
      <c r="I1558" s="354" t="s">
        <v>446</v>
      </c>
      <c r="J1558" s="340" t="s">
        <v>8216</v>
      </c>
      <c r="K1558" s="339" t="s">
        <v>71</v>
      </c>
      <c r="L1558" s="357">
        <v>6</v>
      </c>
      <c r="M1558" s="358" t="s">
        <v>12074</v>
      </c>
      <c r="N1558" s="359">
        <v>1000</v>
      </c>
      <c r="O1558" s="360" t="s">
        <v>454</v>
      </c>
      <c r="P1558" s="343" t="s">
        <v>454</v>
      </c>
      <c r="Q1558" s="342" t="s">
        <v>2688</v>
      </c>
      <c r="R1558" s="344">
        <v>35</v>
      </c>
      <c r="S1558" s="345">
        <v>30</v>
      </c>
      <c r="T1558" s="362">
        <v>25</v>
      </c>
      <c r="U1558" s="361">
        <v>75.36</v>
      </c>
      <c r="V1558" s="346">
        <v>115.91830065359477</v>
      </c>
      <c r="W1558" s="348">
        <v>116.55753968253968</v>
      </c>
      <c r="X1558" s="347">
        <v>58.48</v>
      </c>
      <c r="Y1558" s="357" t="s">
        <v>408</v>
      </c>
      <c r="Z1558" s="365" t="s">
        <v>3017</v>
      </c>
      <c r="AA1558" s="350">
        <v>98</v>
      </c>
      <c r="AB1558" s="349" t="s">
        <v>2685</v>
      </c>
      <c r="AC1558" s="350">
        <v>0</v>
      </c>
      <c r="AD1558" s="349" t="s">
        <v>2685</v>
      </c>
      <c r="AE1558" s="364">
        <v>0</v>
      </c>
      <c r="AF1558" s="366">
        <v>0</v>
      </c>
      <c r="AG1558" s="363">
        <v>0</v>
      </c>
      <c r="AH1558" s="635" t="s">
        <v>408</v>
      </c>
      <c r="AL1558" s="487" t="s">
        <v>15949</v>
      </c>
      <c r="AM1558" s="477" t="s">
        <v>71</v>
      </c>
      <c r="AN1558" s="637">
        <v>100</v>
      </c>
      <c r="AO1558" s="478">
        <v>-1570</v>
      </c>
      <c r="AP1558" s="463">
        <v>-694</v>
      </c>
      <c r="AQ1558" s="479">
        <v>-876</v>
      </c>
      <c r="AR1558" s="476" t="s">
        <v>17638</v>
      </c>
      <c r="BA1558" s="313" t="s">
        <v>6129</v>
      </c>
    </row>
    <row r="1559" spans="2:53" ht="16.5" customHeight="1">
      <c r="B1559" s="367" t="s">
        <v>12075</v>
      </c>
      <c r="C1559" s="351" t="s">
        <v>12076</v>
      </c>
      <c r="D1559" s="353">
        <v>-1570</v>
      </c>
      <c r="E1559" s="352" t="s">
        <v>408</v>
      </c>
      <c r="F1559" s="341">
        <v>75.33</v>
      </c>
      <c r="G1559" s="355" t="s">
        <v>12077</v>
      </c>
      <c r="H1559" s="356" t="s">
        <v>5555</v>
      </c>
      <c r="I1559" s="354" t="s">
        <v>446</v>
      </c>
      <c r="J1559" s="340" t="s">
        <v>550</v>
      </c>
      <c r="K1559" s="339" t="s">
        <v>70</v>
      </c>
      <c r="L1559" s="357">
        <v>12</v>
      </c>
      <c r="M1559" s="358" t="s">
        <v>12078</v>
      </c>
      <c r="N1559" s="359">
        <v>1000</v>
      </c>
      <c r="O1559" s="360" t="s">
        <v>454</v>
      </c>
      <c r="P1559" s="343" t="s">
        <v>454</v>
      </c>
      <c r="Q1559" s="342" t="s">
        <v>2688</v>
      </c>
      <c r="R1559" s="344">
        <v>25</v>
      </c>
      <c r="S1559" s="345">
        <v>35</v>
      </c>
      <c r="T1559" s="362">
        <v>30</v>
      </c>
      <c r="U1559" s="361">
        <v>75.33</v>
      </c>
      <c r="V1559" s="346">
        <v>115.90196078431372</v>
      </c>
      <c r="W1559" s="348">
        <v>116.54761904761905</v>
      </c>
      <c r="X1559" s="347">
        <v>58.34</v>
      </c>
      <c r="Y1559" s="357" t="s">
        <v>408</v>
      </c>
      <c r="Z1559" s="365" t="s">
        <v>3017</v>
      </c>
      <c r="AA1559" s="350">
        <v>98</v>
      </c>
      <c r="AB1559" s="349" t="s">
        <v>2685</v>
      </c>
      <c r="AC1559" s="350">
        <v>0</v>
      </c>
      <c r="AD1559" s="349" t="s">
        <v>2685</v>
      </c>
      <c r="AE1559" s="364">
        <v>0</v>
      </c>
      <c r="AF1559" s="366">
        <v>0</v>
      </c>
      <c r="AG1559" s="363">
        <v>0</v>
      </c>
      <c r="AH1559" s="635" t="s">
        <v>408</v>
      </c>
      <c r="AL1559" s="487" t="s">
        <v>15950</v>
      </c>
      <c r="AM1559" s="477" t="s">
        <v>70</v>
      </c>
      <c r="AN1559" s="637">
        <v>100</v>
      </c>
      <c r="AO1559" s="478">
        <v>-1570</v>
      </c>
      <c r="AP1559" s="463">
        <v>-1570</v>
      </c>
      <c r="AQ1559" s="479">
        <v>0</v>
      </c>
      <c r="AR1559" s="476" t="s">
        <v>17639</v>
      </c>
      <c r="BA1559" s="313" t="s">
        <v>6130</v>
      </c>
    </row>
    <row r="1560" spans="2:53" ht="16.5" customHeight="1">
      <c r="B1560" s="367" t="s">
        <v>12079</v>
      </c>
      <c r="C1560" s="351" t="s">
        <v>12080</v>
      </c>
      <c r="D1560" s="353">
        <v>-1570</v>
      </c>
      <c r="E1560" s="352" t="s">
        <v>12081</v>
      </c>
      <c r="F1560" s="341">
        <v>75.31</v>
      </c>
      <c r="G1560" s="355" t="s">
        <v>18935</v>
      </c>
      <c r="H1560" s="356" t="s">
        <v>11781</v>
      </c>
      <c r="I1560" s="354" t="s">
        <v>485</v>
      </c>
      <c r="J1560" s="340" t="s">
        <v>7267</v>
      </c>
      <c r="K1560" s="339" t="s">
        <v>71</v>
      </c>
      <c r="L1560" s="357">
        <v>31</v>
      </c>
      <c r="M1560" s="358" t="s">
        <v>12082</v>
      </c>
      <c r="N1560" s="359">
        <v>100</v>
      </c>
      <c r="O1560" s="360" t="s">
        <v>454</v>
      </c>
      <c r="P1560" s="343" t="s">
        <v>454</v>
      </c>
      <c r="Q1560" s="342" t="s">
        <v>2738</v>
      </c>
      <c r="R1560" s="344">
        <v>35</v>
      </c>
      <c r="S1560" s="345">
        <v>30</v>
      </c>
      <c r="T1560" s="362">
        <v>15</v>
      </c>
      <c r="U1560" s="361">
        <v>75.31</v>
      </c>
      <c r="V1560" s="346">
        <v>115.88970588235293</v>
      </c>
      <c r="W1560" s="348">
        <v>116.54017857142857</v>
      </c>
      <c r="X1560" s="347">
        <v>58.46</v>
      </c>
      <c r="Y1560" s="357" t="s">
        <v>408</v>
      </c>
      <c r="Z1560" s="365" t="s">
        <v>3017</v>
      </c>
      <c r="AA1560" s="350">
        <v>19.600000000000001</v>
      </c>
      <c r="AB1560" s="349" t="s">
        <v>2685</v>
      </c>
      <c r="AC1560" s="350">
        <v>0</v>
      </c>
      <c r="AD1560" s="349" t="s">
        <v>2685</v>
      </c>
      <c r="AE1560" s="364">
        <v>0</v>
      </c>
      <c r="AF1560" s="366">
        <v>0</v>
      </c>
      <c r="AG1560" s="363">
        <v>0</v>
      </c>
      <c r="AH1560" s="635" t="s">
        <v>408</v>
      </c>
      <c r="AL1560" s="487" t="s">
        <v>15951</v>
      </c>
      <c r="AM1560" s="477" t="s">
        <v>71</v>
      </c>
      <c r="AN1560" s="637">
        <v>100</v>
      </c>
      <c r="AO1560" s="478">
        <v>-1570</v>
      </c>
      <c r="AP1560" s="463">
        <v>-693</v>
      </c>
      <c r="AQ1560" s="479">
        <v>-877</v>
      </c>
      <c r="AR1560" s="476" t="s">
        <v>17640</v>
      </c>
      <c r="BA1560" s="313" t="s">
        <v>6133</v>
      </c>
    </row>
    <row r="1561" spans="2:53" ht="16.5" customHeight="1">
      <c r="B1561" s="367" t="s">
        <v>6031</v>
      </c>
      <c r="C1561" s="351" t="s">
        <v>6032</v>
      </c>
      <c r="D1561" s="353">
        <v>-1570</v>
      </c>
      <c r="E1561" s="352" t="s">
        <v>5785</v>
      </c>
      <c r="F1561" s="341">
        <v>75.31</v>
      </c>
      <c r="G1561" s="355" t="s">
        <v>12073</v>
      </c>
      <c r="H1561" s="356" t="s">
        <v>5558</v>
      </c>
      <c r="I1561" s="354" t="s">
        <v>446</v>
      </c>
      <c r="J1561" s="340" t="s">
        <v>8953</v>
      </c>
      <c r="K1561" s="339" t="s">
        <v>71</v>
      </c>
      <c r="L1561" s="357">
        <v>8</v>
      </c>
      <c r="M1561" s="358" t="s">
        <v>12083</v>
      </c>
      <c r="N1561" s="359">
        <v>1000</v>
      </c>
      <c r="O1561" s="360" t="s">
        <v>454</v>
      </c>
      <c r="P1561" s="343" t="s">
        <v>454</v>
      </c>
      <c r="Q1561" s="342" t="s">
        <v>2688</v>
      </c>
      <c r="R1561" s="344">
        <v>35</v>
      </c>
      <c r="S1561" s="345">
        <v>30</v>
      </c>
      <c r="T1561" s="362">
        <v>25</v>
      </c>
      <c r="U1561" s="361">
        <v>75.31</v>
      </c>
      <c r="V1561" s="346">
        <v>115.88562091503267</v>
      </c>
      <c r="W1561" s="348">
        <v>116.53769841269842</v>
      </c>
      <c r="X1561" s="347">
        <v>58.46</v>
      </c>
      <c r="Y1561" s="357" t="s">
        <v>408</v>
      </c>
      <c r="Z1561" s="365" t="s">
        <v>3017</v>
      </c>
      <c r="AA1561" s="350">
        <v>98</v>
      </c>
      <c r="AB1561" s="349" t="s">
        <v>2685</v>
      </c>
      <c r="AC1561" s="350">
        <v>0</v>
      </c>
      <c r="AD1561" s="349" t="s">
        <v>2685</v>
      </c>
      <c r="AE1561" s="364">
        <v>0</v>
      </c>
      <c r="AF1561" s="366">
        <v>0</v>
      </c>
      <c r="AG1561" s="363">
        <v>0</v>
      </c>
      <c r="AH1561" s="635" t="s">
        <v>408</v>
      </c>
      <c r="AL1561" s="487" t="s">
        <v>15952</v>
      </c>
      <c r="AM1561" s="477" t="s">
        <v>71</v>
      </c>
      <c r="AN1561" s="637">
        <v>100</v>
      </c>
      <c r="AO1561" s="478">
        <v>-1570</v>
      </c>
      <c r="AP1561" s="463">
        <v>-693</v>
      </c>
      <c r="AQ1561" s="479">
        <v>-877</v>
      </c>
      <c r="AR1561" s="476" t="s">
        <v>17641</v>
      </c>
      <c r="BA1561" s="313" t="s">
        <v>6137</v>
      </c>
    </row>
    <row r="1562" spans="2:53" ht="16.5" customHeight="1">
      <c r="B1562" s="367" t="s">
        <v>12084</v>
      </c>
      <c r="C1562" s="351" t="s">
        <v>12085</v>
      </c>
      <c r="D1562" s="353">
        <v>-1570</v>
      </c>
      <c r="E1562" s="352" t="s">
        <v>408</v>
      </c>
      <c r="F1562" s="341">
        <v>75.290000000000006</v>
      </c>
      <c r="G1562" s="355" t="s">
        <v>5850</v>
      </c>
      <c r="H1562" s="356" t="s">
        <v>11549</v>
      </c>
      <c r="I1562" s="354" t="s">
        <v>423</v>
      </c>
      <c r="J1562" s="340" t="s">
        <v>8148</v>
      </c>
      <c r="K1562" s="339" t="s">
        <v>70</v>
      </c>
      <c r="L1562" s="357">
        <v>12</v>
      </c>
      <c r="M1562" s="358" t="s">
        <v>12086</v>
      </c>
      <c r="N1562" s="359">
        <v>1000</v>
      </c>
      <c r="O1562" s="360" t="s">
        <v>530</v>
      </c>
      <c r="P1562" s="343" t="s">
        <v>531</v>
      </c>
      <c r="Q1562" s="342" t="s">
        <v>2688</v>
      </c>
      <c r="R1562" s="344">
        <v>20</v>
      </c>
      <c r="S1562" s="345">
        <v>35</v>
      </c>
      <c r="T1562" s="362">
        <v>25</v>
      </c>
      <c r="U1562" s="361">
        <v>75.290000000000006</v>
      </c>
      <c r="V1562" s="346">
        <v>115.87521367521369</v>
      </c>
      <c r="W1562" s="348">
        <v>116.53137973137974</v>
      </c>
      <c r="X1562" s="347">
        <v>58.32</v>
      </c>
      <c r="Y1562" s="357">
        <v>58.61</v>
      </c>
      <c r="Z1562" s="365" t="s">
        <v>3017</v>
      </c>
      <c r="AA1562" s="350">
        <v>198</v>
      </c>
      <c r="AB1562" s="349" t="s">
        <v>2685</v>
      </c>
      <c r="AC1562" s="350">
        <v>10</v>
      </c>
      <c r="AD1562" s="349" t="s">
        <v>2685</v>
      </c>
      <c r="AE1562" s="364">
        <v>0</v>
      </c>
      <c r="AF1562" s="366">
        <v>13.444000000000001</v>
      </c>
      <c r="AG1562" s="363">
        <v>0</v>
      </c>
      <c r="AH1562" s="635" t="s">
        <v>11625</v>
      </c>
      <c r="AL1562" s="487" t="s">
        <v>15953</v>
      </c>
      <c r="AM1562" s="477" t="s">
        <v>70</v>
      </c>
      <c r="AN1562" s="637">
        <v>100</v>
      </c>
      <c r="AO1562" s="478">
        <v>-1570</v>
      </c>
      <c r="AP1562" s="463">
        <v>-1570</v>
      </c>
      <c r="AQ1562" s="479">
        <v>0</v>
      </c>
      <c r="AR1562" s="476" t="s">
        <v>17642</v>
      </c>
      <c r="BA1562" s="313" t="s">
        <v>6141</v>
      </c>
    </row>
    <row r="1563" spans="2:53" ht="16.5" customHeight="1">
      <c r="B1563" s="367" t="s">
        <v>6036</v>
      </c>
      <c r="C1563" s="351" t="s">
        <v>6037</v>
      </c>
      <c r="D1563" s="353">
        <v>-1570</v>
      </c>
      <c r="E1563" s="352" t="s">
        <v>408</v>
      </c>
      <c r="F1563" s="341">
        <v>75.27</v>
      </c>
      <c r="G1563" s="355" t="s">
        <v>12087</v>
      </c>
      <c r="H1563" s="356" t="s">
        <v>11788</v>
      </c>
      <c r="I1563" s="354" t="s">
        <v>213</v>
      </c>
      <c r="J1563" s="340" t="s">
        <v>8283</v>
      </c>
      <c r="K1563" s="339" t="s">
        <v>70</v>
      </c>
      <c r="L1563" s="357">
        <v>7</v>
      </c>
      <c r="M1563" s="358" t="s">
        <v>12088</v>
      </c>
      <c r="N1563" s="359">
        <v>1000</v>
      </c>
      <c r="O1563" s="360" t="s">
        <v>454</v>
      </c>
      <c r="P1563" s="343" t="s">
        <v>454</v>
      </c>
      <c r="Q1563" s="342" t="s">
        <v>2688</v>
      </c>
      <c r="R1563" s="344">
        <v>20</v>
      </c>
      <c r="S1563" s="345">
        <v>30</v>
      </c>
      <c r="T1563" s="362">
        <v>30</v>
      </c>
      <c r="U1563" s="361">
        <v>75.27</v>
      </c>
      <c r="V1563" s="346">
        <v>115.8632175761871</v>
      </c>
      <c r="W1563" s="348">
        <v>116.52409638554218</v>
      </c>
      <c r="X1563" s="347">
        <v>58.32</v>
      </c>
      <c r="Y1563" s="357" t="s">
        <v>408</v>
      </c>
      <c r="Z1563" s="365" t="s">
        <v>4408</v>
      </c>
      <c r="AA1563" s="350">
        <v>180</v>
      </c>
      <c r="AB1563" s="349" t="s">
        <v>2685</v>
      </c>
      <c r="AC1563" s="350">
        <v>10</v>
      </c>
      <c r="AD1563" s="349" t="s">
        <v>2685</v>
      </c>
      <c r="AE1563" s="364">
        <v>0</v>
      </c>
      <c r="AF1563" s="366">
        <v>22.581</v>
      </c>
      <c r="AG1563" s="363">
        <v>0</v>
      </c>
      <c r="AH1563" s="635" t="s">
        <v>11477</v>
      </c>
      <c r="AL1563" s="487" t="s">
        <v>15954</v>
      </c>
      <c r="AM1563" s="477" t="s">
        <v>70</v>
      </c>
      <c r="AN1563" s="637">
        <v>100</v>
      </c>
      <c r="AO1563" s="478">
        <v>-1570</v>
      </c>
      <c r="AP1563" s="463">
        <v>-1570</v>
      </c>
      <c r="AQ1563" s="479">
        <v>0</v>
      </c>
      <c r="AR1563" s="476" t="s">
        <v>17643</v>
      </c>
      <c r="BA1563" s="313" t="s">
        <v>6142</v>
      </c>
    </row>
    <row r="1564" spans="2:53" ht="16.5" customHeight="1">
      <c r="B1564" s="367" t="s">
        <v>18248</v>
      </c>
      <c r="C1564" s="351" t="s">
        <v>18249</v>
      </c>
      <c r="D1564" s="353">
        <v>-1570</v>
      </c>
      <c r="E1564" s="352" t="s">
        <v>6015</v>
      </c>
      <c r="F1564" s="341">
        <v>75.23</v>
      </c>
      <c r="G1564" s="355" t="s">
        <v>18936</v>
      </c>
      <c r="H1564" s="356" t="s">
        <v>11534</v>
      </c>
      <c r="I1564" s="354" t="s">
        <v>212</v>
      </c>
      <c r="J1564" s="340" t="s">
        <v>9141</v>
      </c>
      <c r="K1564" s="339" t="s">
        <v>71</v>
      </c>
      <c r="L1564" s="357">
        <v>11</v>
      </c>
      <c r="M1564" s="358" t="s">
        <v>12089</v>
      </c>
      <c r="N1564" s="359">
        <v>800</v>
      </c>
      <c r="O1564" s="360" t="s">
        <v>532</v>
      </c>
      <c r="P1564" s="343" t="s">
        <v>532</v>
      </c>
      <c r="Q1564" s="342" t="s">
        <v>2688</v>
      </c>
      <c r="R1564" s="344">
        <v>40</v>
      </c>
      <c r="S1564" s="345">
        <v>30</v>
      </c>
      <c r="T1564" s="362">
        <v>30</v>
      </c>
      <c r="U1564" s="361">
        <v>75.23</v>
      </c>
      <c r="V1564" s="346">
        <v>115.84102667889739</v>
      </c>
      <c r="W1564" s="348">
        <v>116.51062334075912</v>
      </c>
      <c r="X1564" s="347" t="s">
        <v>18937</v>
      </c>
      <c r="Y1564" s="357" t="s">
        <v>408</v>
      </c>
      <c r="Z1564" s="365" t="s">
        <v>3017</v>
      </c>
      <c r="AA1564" s="350">
        <v>190</v>
      </c>
      <c r="AB1564" s="349" t="s">
        <v>2685</v>
      </c>
      <c r="AC1564" s="350">
        <v>10</v>
      </c>
      <c r="AD1564" s="349" t="s">
        <v>2685</v>
      </c>
      <c r="AE1564" s="364">
        <v>0</v>
      </c>
      <c r="AF1564" s="366">
        <v>0</v>
      </c>
      <c r="AG1564" s="363">
        <v>0</v>
      </c>
      <c r="AH1564" s="635" t="s">
        <v>408</v>
      </c>
      <c r="AL1564" s="487" t="s">
        <v>15955</v>
      </c>
      <c r="AM1564" s="477" t="s">
        <v>71</v>
      </c>
      <c r="AN1564" s="637">
        <v>100</v>
      </c>
      <c r="AO1564" s="478">
        <v>-1570</v>
      </c>
      <c r="AP1564" s="463">
        <v>-693</v>
      </c>
      <c r="AQ1564" s="479">
        <v>-877</v>
      </c>
      <c r="AR1564" s="476" t="s">
        <v>17644</v>
      </c>
      <c r="BA1564" s="313" t="s">
        <v>6143</v>
      </c>
    </row>
    <row r="1565" spans="2:53" ht="16.5" customHeight="1">
      <c r="B1565" s="367" t="s">
        <v>12091</v>
      </c>
      <c r="C1565" s="351" t="s">
        <v>12092</v>
      </c>
      <c r="D1565" s="353">
        <v>-1570</v>
      </c>
      <c r="E1565" s="352" t="s">
        <v>12077</v>
      </c>
      <c r="F1565" s="341">
        <v>75.22</v>
      </c>
      <c r="G1565" s="355" t="s">
        <v>6015</v>
      </c>
      <c r="H1565" s="356" t="s">
        <v>5574</v>
      </c>
      <c r="I1565" s="354" t="s">
        <v>446</v>
      </c>
      <c r="J1565" s="340" t="s">
        <v>11311</v>
      </c>
      <c r="K1565" s="339" t="s">
        <v>71</v>
      </c>
      <c r="L1565" s="357">
        <v>9</v>
      </c>
      <c r="M1565" s="358" t="s">
        <v>6089</v>
      </c>
      <c r="N1565" s="359">
        <v>1000</v>
      </c>
      <c r="O1565" s="360" t="s">
        <v>454</v>
      </c>
      <c r="P1565" s="343" t="s">
        <v>454</v>
      </c>
      <c r="Q1565" s="342" t="s">
        <v>2688</v>
      </c>
      <c r="R1565" s="344">
        <v>35</v>
      </c>
      <c r="S1565" s="345">
        <v>30</v>
      </c>
      <c r="T1565" s="362">
        <v>25</v>
      </c>
      <c r="U1565" s="361">
        <v>75.22</v>
      </c>
      <c r="V1565" s="346">
        <v>115.83660130718954</v>
      </c>
      <c r="W1565" s="348">
        <v>116.50793650793651</v>
      </c>
      <c r="X1565" s="347">
        <v>58.43</v>
      </c>
      <c r="Y1565" s="357" t="s">
        <v>408</v>
      </c>
      <c r="Z1565" s="365" t="s">
        <v>3017</v>
      </c>
      <c r="AA1565" s="350">
        <v>98</v>
      </c>
      <c r="AB1565" s="349" t="s">
        <v>2685</v>
      </c>
      <c r="AC1565" s="350">
        <v>0</v>
      </c>
      <c r="AD1565" s="349" t="s">
        <v>2685</v>
      </c>
      <c r="AE1565" s="364">
        <v>0</v>
      </c>
      <c r="AF1565" s="366">
        <v>0</v>
      </c>
      <c r="AG1565" s="363">
        <v>0</v>
      </c>
      <c r="AH1565" s="635" t="s">
        <v>408</v>
      </c>
      <c r="AL1565" s="487" t="s">
        <v>15956</v>
      </c>
      <c r="AM1565" s="477" t="s">
        <v>71</v>
      </c>
      <c r="AN1565" s="637">
        <v>100</v>
      </c>
      <c r="AO1565" s="478">
        <v>-1570</v>
      </c>
      <c r="AP1565" s="463">
        <v>-693</v>
      </c>
      <c r="AQ1565" s="479">
        <v>-877</v>
      </c>
      <c r="AR1565" s="476" t="s">
        <v>17645</v>
      </c>
      <c r="BA1565" s="313" t="s">
        <v>6146</v>
      </c>
    </row>
    <row r="1566" spans="2:53" ht="16.5" customHeight="1">
      <c r="B1566" s="367" t="s">
        <v>6046</v>
      </c>
      <c r="C1566" s="351" t="s">
        <v>6047</v>
      </c>
      <c r="D1566" s="353">
        <v>-1570</v>
      </c>
      <c r="E1566" s="352" t="s">
        <v>12093</v>
      </c>
      <c r="F1566" s="341">
        <v>75.22</v>
      </c>
      <c r="G1566" s="355" t="s">
        <v>12093</v>
      </c>
      <c r="H1566" s="356" t="s">
        <v>5572</v>
      </c>
      <c r="I1566" s="354" t="s">
        <v>446</v>
      </c>
      <c r="J1566" s="340" t="s">
        <v>12094</v>
      </c>
      <c r="K1566" s="339" t="s">
        <v>70</v>
      </c>
      <c r="L1566" s="357">
        <v>8</v>
      </c>
      <c r="M1566" s="358" t="s">
        <v>6089</v>
      </c>
      <c r="N1566" s="359">
        <v>1000</v>
      </c>
      <c r="O1566" s="360" t="s">
        <v>454</v>
      </c>
      <c r="P1566" s="343" t="s">
        <v>454</v>
      </c>
      <c r="Q1566" s="342" t="s">
        <v>2688</v>
      </c>
      <c r="R1566" s="344">
        <v>25</v>
      </c>
      <c r="S1566" s="345">
        <v>35</v>
      </c>
      <c r="T1566" s="362">
        <v>30</v>
      </c>
      <c r="U1566" s="361">
        <v>75.22</v>
      </c>
      <c r="V1566" s="346">
        <v>115.83660130718954</v>
      </c>
      <c r="W1566" s="348">
        <v>116.50793650793651</v>
      </c>
      <c r="X1566" s="347">
        <v>58.3</v>
      </c>
      <c r="Y1566" s="357" t="s">
        <v>408</v>
      </c>
      <c r="Z1566" s="365" t="s">
        <v>3017</v>
      </c>
      <c r="AA1566" s="350">
        <v>98</v>
      </c>
      <c r="AB1566" s="349" t="s">
        <v>2685</v>
      </c>
      <c r="AC1566" s="350">
        <v>0</v>
      </c>
      <c r="AD1566" s="349" t="s">
        <v>2685</v>
      </c>
      <c r="AE1566" s="364">
        <v>0</v>
      </c>
      <c r="AF1566" s="366">
        <v>0</v>
      </c>
      <c r="AG1566" s="363">
        <v>0</v>
      </c>
      <c r="AH1566" s="635" t="s">
        <v>408</v>
      </c>
      <c r="AL1566" s="487" t="s">
        <v>15957</v>
      </c>
      <c r="AM1566" s="477" t="s">
        <v>70</v>
      </c>
      <c r="AN1566" s="637">
        <v>100</v>
      </c>
      <c r="AO1566" s="478">
        <v>-1570</v>
      </c>
      <c r="AP1566" s="463">
        <v>-1570</v>
      </c>
      <c r="AQ1566" s="479">
        <v>0</v>
      </c>
      <c r="AR1566" s="476" t="s">
        <v>17646</v>
      </c>
      <c r="BA1566" s="313" t="s">
        <v>6151</v>
      </c>
    </row>
    <row r="1567" spans="2:53" ht="16.5" customHeight="1">
      <c r="B1567" s="367" t="s">
        <v>12095</v>
      </c>
      <c r="C1567" s="351" t="s">
        <v>12096</v>
      </c>
      <c r="D1567" s="353">
        <v>-1570</v>
      </c>
      <c r="E1567" s="352" t="s">
        <v>408</v>
      </c>
      <c r="F1567" s="341">
        <v>75.22</v>
      </c>
      <c r="G1567" s="355" t="s">
        <v>6015</v>
      </c>
      <c r="H1567" s="356" t="s">
        <v>5574</v>
      </c>
      <c r="I1567" s="354" t="s">
        <v>9336</v>
      </c>
      <c r="J1567" s="340" t="s">
        <v>12097</v>
      </c>
      <c r="K1567" s="339" t="s">
        <v>71</v>
      </c>
      <c r="L1567" s="357">
        <v>44</v>
      </c>
      <c r="M1567" s="358" t="s">
        <v>11612</v>
      </c>
      <c r="N1567" s="359">
        <v>700</v>
      </c>
      <c r="O1567" s="360" t="s">
        <v>532</v>
      </c>
      <c r="P1567" s="343" t="s">
        <v>533</v>
      </c>
      <c r="Q1567" s="342" t="s">
        <v>2688</v>
      </c>
      <c r="R1567" s="344">
        <v>30</v>
      </c>
      <c r="S1567" s="345">
        <v>35</v>
      </c>
      <c r="T1567" s="362">
        <v>20</v>
      </c>
      <c r="U1567" s="361">
        <v>75.22</v>
      </c>
      <c r="V1567" s="346">
        <v>115.83557339921201</v>
      </c>
      <c r="W1567" s="348">
        <v>116.50731242095014</v>
      </c>
      <c r="X1567" s="347">
        <v>58.43</v>
      </c>
      <c r="Y1567" s="357">
        <v>60.46</v>
      </c>
      <c r="Z1567" s="365" t="s">
        <v>3017</v>
      </c>
      <c r="AA1567" s="350">
        <v>103.5</v>
      </c>
      <c r="AB1567" s="349" t="s">
        <v>2685</v>
      </c>
      <c r="AC1567" s="350">
        <v>10</v>
      </c>
      <c r="AD1567" s="349" t="s">
        <v>2685</v>
      </c>
      <c r="AE1567" s="364">
        <v>0</v>
      </c>
      <c r="AF1567" s="366">
        <v>0</v>
      </c>
      <c r="AG1567" s="363">
        <v>0</v>
      </c>
      <c r="AH1567" s="635" t="s">
        <v>408</v>
      </c>
      <c r="AL1567" s="487" t="s">
        <v>15958</v>
      </c>
      <c r="AM1567" s="477" t="s">
        <v>71</v>
      </c>
      <c r="AN1567" s="637">
        <v>100</v>
      </c>
      <c r="AO1567" s="478">
        <v>-1570</v>
      </c>
      <c r="AP1567" s="463">
        <v>-693</v>
      </c>
      <c r="AQ1567" s="479">
        <v>-877</v>
      </c>
      <c r="AR1567" s="476" t="s">
        <v>17645</v>
      </c>
      <c r="BA1567" s="313" t="s">
        <v>6153</v>
      </c>
    </row>
    <row r="1568" spans="2:53" ht="16.5" customHeight="1">
      <c r="B1568" s="367" t="s">
        <v>12098</v>
      </c>
      <c r="C1568" s="351" t="s">
        <v>12099</v>
      </c>
      <c r="D1568" s="353">
        <v>-1570</v>
      </c>
      <c r="E1568" s="352" t="s">
        <v>5806</v>
      </c>
      <c r="F1568" s="341">
        <v>75.19</v>
      </c>
      <c r="G1568" s="355" t="s">
        <v>12069</v>
      </c>
      <c r="H1568" s="356" t="s">
        <v>11539</v>
      </c>
      <c r="I1568" s="354" t="s">
        <v>446</v>
      </c>
      <c r="J1568" s="340" t="s">
        <v>9921</v>
      </c>
      <c r="K1568" s="339" t="s">
        <v>71</v>
      </c>
      <c r="L1568" s="357">
        <v>15</v>
      </c>
      <c r="M1568" s="358" t="s">
        <v>12101</v>
      </c>
      <c r="N1568" s="359">
        <v>1000</v>
      </c>
      <c r="O1568" s="360" t="s">
        <v>454</v>
      </c>
      <c r="P1568" s="343" t="s">
        <v>454</v>
      </c>
      <c r="Q1568" s="342" t="s">
        <v>2688</v>
      </c>
      <c r="R1568" s="344">
        <v>35</v>
      </c>
      <c r="S1568" s="345">
        <v>30</v>
      </c>
      <c r="T1568" s="362">
        <v>25</v>
      </c>
      <c r="U1568" s="361">
        <v>75.19</v>
      </c>
      <c r="V1568" s="346">
        <v>115.8202614379085</v>
      </c>
      <c r="W1568" s="348">
        <v>116.49801587301587</v>
      </c>
      <c r="X1568" s="347">
        <v>58.43</v>
      </c>
      <c r="Y1568" s="357" t="s">
        <v>408</v>
      </c>
      <c r="Z1568" s="365" t="s">
        <v>3017</v>
      </c>
      <c r="AA1568" s="350">
        <v>98</v>
      </c>
      <c r="AB1568" s="349" t="s">
        <v>2685</v>
      </c>
      <c r="AC1568" s="350">
        <v>0</v>
      </c>
      <c r="AD1568" s="349" t="s">
        <v>2685</v>
      </c>
      <c r="AE1568" s="364">
        <v>0</v>
      </c>
      <c r="AF1568" s="366">
        <v>0</v>
      </c>
      <c r="AG1568" s="363">
        <v>0</v>
      </c>
      <c r="AH1568" s="635" t="s">
        <v>408</v>
      </c>
      <c r="AL1568" s="487" t="s">
        <v>15959</v>
      </c>
      <c r="AM1568" s="477" t="s">
        <v>71</v>
      </c>
      <c r="AN1568" s="637">
        <v>100</v>
      </c>
      <c r="AO1568" s="478">
        <v>-1570</v>
      </c>
      <c r="AP1568" s="463">
        <v>-692</v>
      </c>
      <c r="AQ1568" s="479">
        <v>-878</v>
      </c>
      <c r="AR1568" s="476" t="s">
        <v>17647</v>
      </c>
      <c r="BA1568" s="313" t="s">
        <v>6155</v>
      </c>
    </row>
    <row r="1569" spans="2:53" ht="16.5" customHeight="1">
      <c r="B1569" s="367" t="s">
        <v>6025</v>
      </c>
      <c r="C1569" s="351" t="s">
        <v>6026</v>
      </c>
      <c r="D1569" s="353">
        <v>-1570</v>
      </c>
      <c r="E1569" s="352" t="s">
        <v>12100</v>
      </c>
      <c r="F1569" s="341">
        <v>75.17</v>
      </c>
      <c r="G1569" s="355" t="s">
        <v>5776</v>
      </c>
      <c r="H1569" s="356" t="s">
        <v>11544</v>
      </c>
      <c r="I1569" s="354" t="s">
        <v>212</v>
      </c>
      <c r="J1569" s="340" t="s">
        <v>542</v>
      </c>
      <c r="K1569" s="339" t="s">
        <v>71</v>
      </c>
      <c r="L1569" s="357">
        <v>5</v>
      </c>
      <c r="M1569" s="358" t="s">
        <v>12090</v>
      </c>
      <c r="N1569" s="359">
        <v>800</v>
      </c>
      <c r="O1569" s="360" t="s">
        <v>532</v>
      </c>
      <c r="P1569" s="343" t="s">
        <v>532</v>
      </c>
      <c r="Q1569" s="342" t="s">
        <v>2688</v>
      </c>
      <c r="R1569" s="344">
        <v>40</v>
      </c>
      <c r="S1569" s="345">
        <v>30</v>
      </c>
      <c r="T1569" s="362">
        <v>30</v>
      </c>
      <c r="U1569" s="361">
        <v>75.17</v>
      </c>
      <c r="V1569" s="346">
        <v>115.80744575424221</v>
      </c>
      <c r="W1569" s="348">
        <v>116.49023492221849</v>
      </c>
      <c r="X1569" s="347" t="s">
        <v>18937</v>
      </c>
      <c r="Y1569" s="357" t="s">
        <v>408</v>
      </c>
      <c r="Z1569" s="365" t="s">
        <v>3017</v>
      </c>
      <c r="AA1569" s="350">
        <v>190</v>
      </c>
      <c r="AB1569" s="349" t="s">
        <v>2685</v>
      </c>
      <c r="AC1569" s="350">
        <v>10</v>
      </c>
      <c r="AD1569" s="349" t="s">
        <v>2685</v>
      </c>
      <c r="AE1569" s="364">
        <v>0</v>
      </c>
      <c r="AF1569" s="366">
        <v>0</v>
      </c>
      <c r="AG1569" s="363">
        <v>0</v>
      </c>
      <c r="AH1569" s="635" t="s">
        <v>408</v>
      </c>
      <c r="AL1569" s="487" t="s">
        <v>15960</v>
      </c>
      <c r="AM1569" s="477" t="s">
        <v>71</v>
      </c>
      <c r="AN1569" s="637">
        <v>100</v>
      </c>
      <c r="AO1569" s="478">
        <v>-1570</v>
      </c>
      <c r="AP1569" s="463">
        <v>-692</v>
      </c>
      <c r="AQ1569" s="479">
        <v>-878</v>
      </c>
      <c r="AR1569" s="476" t="s">
        <v>17648</v>
      </c>
      <c r="BA1569" s="313" t="s">
        <v>6158</v>
      </c>
    </row>
    <row r="1570" spans="2:53" ht="16.5" customHeight="1">
      <c r="B1570" s="367" t="s">
        <v>6054</v>
      </c>
      <c r="C1570" s="351" t="s">
        <v>6055</v>
      </c>
      <c r="D1570" s="353">
        <v>-1570</v>
      </c>
      <c r="E1570" s="352" t="s">
        <v>408</v>
      </c>
      <c r="F1570" s="341">
        <v>75.17</v>
      </c>
      <c r="G1570" s="355" t="s">
        <v>12102</v>
      </c>
      <c r="H1570" s="356" t="s">
        <v>11539</v>
      </c>
      <c r="I1570" s="354" t="s">
        <v>446</v>
      </c>
      <c r="J1570" s="340" t="s">
        <v>12103</v>
      </c>
      <c r="K1570" s="339" t="s">
        <v>70</v>
      </c>
      <c r="L1570" s="357">
        <v>8</v>
      </c>
      <c r="M1570" s="358" t="s">
        <v>12104</v>
      </c>
      <c r="N1570" s="359">
        <v>1000</v>
      </c>
      <c r="O1570" s="360" t="s">
        <v>454</v>
      </c>
      <c r="P1570" s="343" t="s">
        <v>454</v>
      </c>
      <c r="Q1570" s="342" t="s">
        <v>2688</v>
      </c>
      <c r="R1570" s="344">
        <v>25</v>
      </c>
      <c r="S1570" s="345">
        <v>35</v>
      </c>
      <c r="T1570" s="362">
        <v>30</v>
      </c>
      <c r="U1570" s="361">
        <v>75.17</v>
      </c>
      <c r="V1570" s="346">
        <v>115.80392156862746</v>
      </c>
      <c r="W1570" s="348">
        <v>116.48809523809524</v>
      </c>
      <c r="X1570" s="347">
        <v>58.29</v>
      </c>
      <c r="Y1570" s="357" t="s">
        <v>408</v>
      </c>
      <c r="Z1570" s="365" t="s">
        <v>3017</v>
      </c>
      <c r="AA1570" s="350">
        <v>98</v>
      </c>
      <c r="AB1570" s="349" t="s">
        <v>2685</v>
      </c>
      <c r="AC1570" s="350">
        <v>0</v>
      </c>
      <c r="AD1570" s="349" t="s">
        <v>2685</v>
      </c>
      <c r="AE1570" s="364">
        <v>0</v>
      </c>
      <c r="AF1570" s="366">
        <v>0</v>
      </c>
      <c r="AG1570" s="363">
        <v>0</v>
      </c>
      <c r="AH1570" s="635" t="s">
        <v>408</v>
      </c>
      <c r="AL1570" s="487" t="s">
        <v>15961</v>
      </c>
      <c r="AM1570" s="477" t="s">
        <v>70</v>
      </c>
      <c r="AN1570" s="637">
        <v>100</v>
      </c>
      <c r="AO1570" s="478">
        <v>-1570</v>
      </c>
      <c r="AP1570" s="463">
        <v>-1570</v>
      </c>
      <c r="AQ1570" s="479">
        <v>0</v>
      </c>
      <c r="AR1570" s="476" t="s">
        <v>17649</v>
      </c>
      <c r="BA1570" s="313" t="s">
        <v>6160</v>
      </c>
    </row>
    <row r="1571" spans="2:53" ht="16.5" customHeight="1">
      <c r="B1571" s="367" t="s">
        <v>6054</v>
      </c>
      <c r="C1571" s="351" t="s">
        <v>6055</v>
      </c>
      <c r="D1571" s="353">
        <v>-1570</v>
      </c>
      <c r="E1571" s="352" t="s">
        <v>408</v>
      </c>
      <c r="F1571" s="341">
        <v>75.17</v>
      </c>
      <c r="G1571" s="355" t="s">
        <v>12102</v>
      </c>
      <c r="H1571" s="356" t="s">
        <v>11539</v>
      </c>
      <c r="I1571" s="354" t="s">
        <v>446</v>
      </c>
      <c r="J1571" s="340" t="s">
        <v>12105</v>
      </c>
      <c r="K1571" s="339" t="s">
        <v>70</v>
      </c>
      <c r="L1571" s="357">
        <v>10</v>
      </c>
      <c r="M1571" s="358" t="s">
        <v>12104</v>
      </c>
      <c r="N1571" s="359">
        <v>1000</v>
      </c>
      <c r="O1571" s="360" t="s">
        <v>454</v>
      </c>
      <c r="P1571" s="343" t="s">
        <v>454</v>
      </c>
      <c r="Q1571" s="342" t="s">
        <v>2688</v>
      </c>
      <c r="R1571" s="344">
        <v>25</v>
      </c>
      <c r="S1571" s="345">
        <v>35</v>
      </c>
      <c r="T1571" s="362">
        <v>30</v>
      </c>
      <c r="U1571" s="361">
        <v>75.17</v>
      </c>
      <c r="V1571" s="346">
        <v>115.80392156862746</v>
      </c>
      <c r="W1571" s="348">
        <v>116.48809523809524</v>
      </c>
      <c r="X1571" s="347">
        <v>58.29</v>
      </c>
      <c r="Y1571" s="357" t="s">
        <v>408</v>
      </c>
      <c r="Z1571" s="365" t="s">
        <v>3017</v>
      </c>
      <c r="AA1571" s="350">
        <v>98</v>
      </c>
      <c r="AB1571" s="349" t="s">
        <v>2685</v>
      </c>
      <c r="AC1571" s="350">
        <v>0</v>
      </c>
      <c r="AD1571" s="349" t="s">
        <v>2685</v>
      </c>
      <c r="AE1571" s="364">
        <v>0</v>
      </c>
      <c r="AF1571" s="366">
        <v>0</v>
      </c>
      <c r="AG1571" s="363">
        <v>0</v>
      </c>
      <c r="AH1571" s="635" t="s">
        <v>408</v>
      </c>
      <c r="AL1571" s="487" t="s">
        <v>15962</v>
      </c>
      <c r="AM1571" s="477" t="s">
        <v>70</v>
      </c>
      <c r="AN1571" s="637">
        <v>100</v>
      </c>
      <c r="AO1571" s="478">
        <v>-1570</v>
      </c>
      <c r="AP1571" s="463">
        <v>-1570</v>
      </c>
      <c r="AQ1571" s="479">
        <v>0</v>
      </c>
      <c r="AR1571" s="476" t="s">
        <v>17649</v>
      </c>
      <c r="BA1571" s="313" t="s">
        <v>6161</v>
      </c>
    </row>
    <row r="1572" spans="2:53" ht="16.5" customHeight="1">
      <c r="B1572" s="367" t="s">
        <v>6054</v>
      </c>
      <c r="C1572" s="351" t="s">
        <v>6055</v>
      </c>
      <c r="D1572" s="353">
        <v>-1570</v>
      </c>
      <c r="E1572" s="352" t="s">
        <v>408</v>
      </c>
      <c r="F1572" s="341">
        <v>75.17</v>
      </c>
      <c r="G1572" s="355" t="s">
        <v>12102</v>
      </c>
      <c r="H1572" s="356" t="s">
        <v>11539</v>
      </c>
      <c r="I1572" s="354" t="s">
        <v>301</v>
      </c>
      <c r="J1572" s="340" t="s">
        <v>545</v>
      </c>
      <c r="K1572" s="339" t="s">
        <v>70</v>
      </c>
      <c r="L1572" s="357">
        <v>12</v>
      </c>
      <c r="M1572" s="358" t="s">
        <v>12106</v>
      </c>
      <c r="N1572" s="359">
        <v>1000</v>
      </c>
      <c r="O1572" s="360" t="s">
        <v>530</v>
      </c>
      <c r="P1572" s="343" t="s">
        <v>531</v>
      </c>
      <c r="Q1572" s="342" t="s">
        <v>2688</v>
      </c>
      <c r="R1572" s="344">
        <v>20</v>
      </c>
      <c r="S1572" s="345">
        <v>35</v>
      </c>
      <c r="T1572" s="362">
        <v>25</v>
      </c>
      <c r="U1572" s="361">
        <v>75.17</v>
      </c>
      <c r="V1572" s="346">
        <v>115.80352957396939</v>
      </c>
      <c r="W1572" s="348">
        <v>116.48785724133856</v>
      </c>
      <c r="X1572" s="347">
        <v>58.29</v>
      </c>
      <c r="Y1572" s="357">
        <v>58.559999999999995</v>
      </c>
      <c r="Z1572" s="365" t="s">
        <v>3017</v>
      </c>
      <c r="AA1572" s="350">
        <v>198</v>
      </c>
      <c r="AB1572" s="349" t="s">
        <v>2685</v>
      </c>
      <c r="AC1572" s="350">
        <v>10</v>
      </c>
      <c r="AD1572" s="349" t="s">
        <v>2685</v>
      </c>
      <c r="AE1572" s="364">
        <v>0</v>
      </c>
      <c r="AF1572" s="366">
        <v>10.507999999999999</v>
      </c>
      <c r="AG1572" s="363">
        <v>0</v>
      </c>
      <c r="AH1572" s="635" t="s">
        <v>10496</v>
      </c>
      <c r="AL1572" s="487" t="s">
        <v>7214</v>
      </c>
      <c r="AM1572" s="477" t="s">
        <v>70</v>
      </c>
      <c r="AN1572" s="637">
        <v>100</v>
      </c>
      <c r="AO1572" s="478">
        <v>-1570</v>
      </c>
      <c r="AP1572" s="463">
        <v>-1570</v>
      </c>
      <c r="AQ1572" s="479">
        <v>0</v>
      </c>
      <c r="AR1572" s="476" t="s">
        <v>17649</v>
      </c>
      <c r="BA1572" s="313" t="s">
        <v>6165</v>
      </c>
    </row>
    <row r="1573" spans="2:53" ht="16.5" customHeight="1">
      <c r="B1573" s="367" t="s">
        <v>12110</v>
      </c>
      <c r="C1573" s="351" t="s">
        <v>12111</v>
      </c>
      <c r="D1573" s="353">
        <v>-1570</v>
      </c>
      <c r="E1573" s="352" t="s">
        <v>5853</v>
      </c>
      <c r="F1573" s="341">
        <v>75.11</v>
      </c>
      <c r="G1573" s="355" t="s">
        <v>12112</v>
      </c>
      <c r="H1573" s="356" t="s">
        <v>5583</v>
      </c>
      <c r="I1573" s="354" t="s">
        <v>423</v>
      </c>
      <c r="J1573" s="340" t="s">
        <v>11596</v>
      </c>
      <c r="K1573" s="339" t="s">
        <v>70</v>
      </c>
      <c r="L1573" s="357">
        <v>266</v>
      </c>
      <c r="M1573" s="358" t="s">
        <v>12113</v>
      </c>
      <c r="N1573" s="359">
        <v>1000</v>
      </c>
      <c r="O1573" s="360" t="s">
        <v>530</v>
      </c>
      <c r="P1573" s="343" t="s">
        <v>531</v>
      </c>
      <c r="Q1573" s="342" t="s">
        <v>2688</v>
      </c>
      <c r="R1573" s="344">
        <v>20</v>
      </c>
      <c r="S1573" s="345">
        <v>35</v>
      </c>
      <c r="T1573" s="362">
        <v>25</v>
      </c>
      <c r="U1573" s="361">
        <v>75.11</v>
      </c>
      <c r="V1573" s="346">
        <v>115.76854700854703</v>
      </c>
      <c r="W1573" s="348">
        <v>116.46661782661785</v>
      </c>
      <c r="X1573" s="347">
        <v>58.27</v>
      </c>
      <c r="Y1573" s="357">
        <v>58.54</v>
      </c>
      <c r="Z1573" s="365" t="s">
        <v>3017</v>
      </c>
      <c r="AA1573" s="350">
        <v>198</v>
      </c>
      <c r="AB1573" s="349" t="s">
        <v>2685</v>
      </c>
      <c r="AC1573" s="350">
        <v>10</v>
      </c>
      <c r="AD1573" s="349" t="s">
        <v>2685</v>
      </c>
      <c r="AE1573" s="364">
        <v>0</v>
      </c>
      <c r="AF1573" s="366">
        <v>13.432</v>
      </c>
      <c r="AG1573" s="363">
        <v>0</v>
      </c>
      <c r="AH1573" s="635" t="s">
        <v>11625</v>
      </c>
      <c r="AL1573" s="487" t="s">
        <v>15963</v>
      </c>
      <c r="AM1573" s="477" t="s">
        <v>70</v>
      </c>
      <c r="AN1573" s="637">
        <v>100</v>
      </c>
      <c r="AO1573" s="478">
        <v>-1570</v>
      </c>
      <c r="AP1573" s="463">
        <v>-1570</v>
      </c>
      <c r="AQ1573" s="479">
        <v>0</v>
      </c>
      <c r="AR1573" s="476" t="s">
        <v>17650</v>
      </c>
      <c r="BA1573" s="313" t="s">
        <v>6167</v>
      </c>
    </row>
    <row r="1574" spans="2:53" ht="16.5" customHeight="1">
      <c r="B1574" s="367" t="s">
        <v>12107</v>
      </c>
      <c r="C1574" s="351" t="s">
        <v>12108</v>
      </c>
      <c r="D1574" s="353">
        <v>-1570</v>
      </c>
      <c r="E1574" s="352" t="s">
        <v>408</v>
      </c>
      <c r="F1574" s="341">
        <v>75.099999999999994</v>
      </c>
      <c r="G1574" s="355" t="s">
        <v>12087</v>
      </c>
      <c r="H1574" s="356" t="s">
        <v>5417</v>
      </c>
      <c r="I1574" s="354" t="s">
        <v>9336</v>
      </c>
      <c r="J1574" s="340" t="s">
        <v>8883</v>
      </c>
      <c r="K1574" s="339" t="s">
        <v>71</v>
      </c>
      <c r="L1574" s="357">
        <v>12</v>
      </c>
      <c r="M1574" s="358" t="s">
        <v>12114</v>
      </c>
      <c r="N1574" s="359">
        <v>700</v>
      </c>
      <c r="O1574" s="360" t="s">
        <v>532</v>
      </c>
      <c r="P1574" s="343" t="s">
        <v>533</v>
      </c>
      <c r="Q1574" s="342" t="s">
        <v>2688</v>
      </c>
      <c r="R1574" s="344">
        <v>30</v>
      </c>
      <c r="S1574" s="345">
        <v>30</v>
      </c>
      <c r="T1574" s="362">
        <v>20</v>
      </c>
      <c r="U1574" s="361">
        <v>75.099999999999994</v>
      </c>
      <c r="V1574" s="346">
        <v>115.76601264341289</v>
      </c>
      <c r="W1574" s="348">
        <v>116.46507910492926</v>
      </c>
      <c r="X1574" s="347">
        <v>58.39</v>
      </c>
      <c r="Y1574" s="357">
        <v>60.46</v>
      </c>
      <c r="Z1574" s="365" t="s">
        <v>3017</v>
      </c>
      <c r="AA1574" s="350">
        <v>138</v>
      </c>
      <c r="AB1574" s="349" t="s">
        <v>2685</v>
      </c>
      <c r="AC1574" s="350">
        <v>10</v>
      </c>
      <c r="AD1574" s="349" t="s">
        <v>2685</v>
      </c>
      <c r="AE1574" s="364">
        <v>0</v>
      </c>
      <c r="AF1574" s="366">
        <v>0</v>
      </c>
      <c r="AG1574" s="363">
        <v>0</v>
      </c>
      <c r="AH1574" s="635" t="s">
        <v>408</v>
      </c>
      <c r="AL1574" s="487" t="s">
        <v>15964</v>
      </c>
      <c r="AM1574" s="477" t="s">
        <v>71</v>
      </c>
      <c r="AN1574" s="637">
        <v>100</v>
      </c>
      <c r="AO1574" s="478">
        <v>-1570</v>
      </c>
      <c r="AP1574" s="463">
        <v>-692</v>
      </c>
      <c r="AQ1574" s="479">
        <v>-878</v>
      </c>
      <c r="AR1574" s="476" t="s">
        <v>17651</v>
      </c>
      <c r="BA1574" s="313" t="s">
        <v>6168</v>
      </c>
    </row>
    <row r="1575" spans="2:53" ht="16.5" customHeight="1">
      <c r="B1575" s="367" t="s">
        <v>12107</v>
      </c>
      <c r="C1575" s="351" t="s">
        <v>12108</v>
      </c>
      <c r="D1575" s="353">
        <v>-1570</v>
      </c>
      <c r="E1575" s="352" t="s">
        <v>5853</v>
      </c>
      <c r="F1575" s="341">
        <v>75.09</v>
      </c>
      <c r="G1575" s="355" t="s">
        <v>18938</v>
      </c>
      <c r="H1575" s="356" t="s">
        <v>18857</v>
      </c>
      <c r="I1575" s="354" t="s">
        <v>214</v>
      </c>
      <c r="J1575" s="340" t="s">
        <v>8269</v>
      </c>
      <c r="K1575" s="339" t="s">
        <v>71</v>
      </c>
      <c r="L1575" s="357">
        <v>4</v>
      </c>
      <c r="M1575" s="358" t="s">
        <v>12109</v>
      </c>
      <c r="N1575" s="359">
        <v>200</v>
      </c>
      <c r="O1575" s="360" t="s">
        <v>532</v>
      </c>
      <c r="P1575" s="343" t="s">
        <v>532</v>
      </c>
      <c r="Q1575" s="342" t="s">
        <v>2688</v>
      </c>
      <c r="R1575" s="344">
        <v>30</v>
      </c>
      <c r="S1575" s="345">
        <v>20</v>
      </c>
      <c r="T1575" s="362">
        <v>30</v>
      </c>
      <c r="U1575" s="361">
        <v>75.09</v>
      </c>
      <c r="V1575" s="346">
        <v>115.75675831939851</v>
      </c>
      <c r="W1575" s="348">
        <v>116.45946040820624</v>
      </c>
      <c r="X1575" s="347" t="s">
        <v>18939</v>
      </c>
      <c r="Y1575" s="357" t="s">
        <v>408</v>
      </c>
      <c r="Z1575" s="365" t="s">
        <v>4408</v>
      </c>
      <c r="AA1575" s="350">
        <v>36</v>
      </c>
      <c r="AB1575" s="349" t="s">
        <v>2685</v>
      </c>
      <c r="AC1575" s="350">
        <v>0</v>
      </c>
      <c r="AD1575" s="349" t="s">
        <v>2685</v>
      </c>
      <c r="AE1575" s="364">
        <v>0</v>
      </c>
      <c r="AF1575" s="366">
        <v>0</v>
      </c>
      <c r="AG1575" s="363">
        <v>0</v>
      </c>
      <c r="AH1575" s="635" t="s">
        <v>408</v>
      </c>
      <c r="AL1575" s="487" t="s">
        <v>15965</v>
      </c>
      <c r="AM1575" s="477" t="s">
        <v>71</v>
      </c>
      <c r="AN1575" s="637">
        <v>100</v>
      </c>
      <c r="AO1575" s="478">
        <v>-1570</v>
      </c>
      <c r="AP1575" s="463">
        <v>-692</v>
      </c>
      <c r="AQ1575" s="479">
        <v>-878</v>
      </c>
      <c r="AR1575" s="476" t="s">
        <v>17652</v>
      </c>
      <c r="BA1575" s="313" t="s">
        <v>6172</v>
      </c>
    </row>
    <row r="1576" spans="2:53" ht="16.5" customHeight="1">
      <c r="B1576" s="367" t="s">
        <v>12115</v>
      </c>
      <c r="C1576" s="351" t="s">
        <v>12116</v>
      </c>
      <c r="D1576" s="353">
        <v>-1570</v>
      </c>
      <c r="E1576" s="352" t="s">
        <v>408</v>
      </c>
      <c r="F1576" s="341">
        <v>75.08</v>
      </c>
      <c r="G1576" s="355" t="s">
        <v>5812</v>
      </c>
      <c r="H1576" s="356" t="s">
        <v>18857</v>
      </c>
      <c r="I1576" s="354" t="s">
        <v>216</v>
      </c>
      <c r="J1576" s="340" t="s">
        <v>12117</v>
      </c>
      <c r="K1576" s="339" t="s">
        <v>70</v>
      </c>
      <c r="L1576" s="357">
        <v>7</v>
      </c>
      <c r="M1576" s="358" t="s">
        <v>12118</v>
      </c>
      <c r="N1576" s="359">
        <v>300</v>
      </c>
      <c r="O1576" s="360" t="s">
        <v>530</v>
      </c>
      <c r="P1576" s="343" t="s">
        <v>530</v>
      </c>
      <c r="Q1576" s="342" t="s">
        <v>2688</v>
      </c>
      <c r="R1576" s="344">
        <v>25</v>
      </c>
      <c r="S1576" s="345">
        <v>45</v>
      </c>
      <c r="T1576" s="362">
        <v>30</v>
      </c>
      <c r="U1576" s="361">
        <v>75.08</v>
      </c>
      <c r="V1576" s="346">
        <v>115.7505400168446</v>
      </c>
      <c r="W1576" s="348">
        <v>116.45568501022709</v>
      </c>
      <c r="X1576" s="347">
        <v>58.26</v>
      </c>
      <c r="Y1576" s="357" t="s">
        <v>408</v>
      </c>
      <c r="Z1576" s="365" t="s">
        <v>3017</v>
      </c>
      <c r="AA1576" s="350">
        <v>-2</v>
      </c>
      <c r="AB1576" s="349" t="s">
        <v>2685</v>
      </c>
      <c r="AC1576" s="350">
        <v>0</v>
      </c>
      <c r="AD1576" s="349" t="s">
        <v>2685</v>
      </c>
      <c r="AE1576" s="364">
        <v>0</v>
      </c>
      <c r="AF1576" s="366">
        <v>0</v>
      </c>
      <c r="AG1576" s="363">
        <v>0</v>
      </c>
      <c r="AH1576" s="635" t="s">
        <v>408</v>
      </c>
      <c r="AL1576" s="487" t="s">
        <v>15966</v>
      </c>
      <c r="AM1576" s="477" t="s">
        <v>70</v>
      </c>
      <c r="AN1576" s="637">
        <v>100</v>
      </c>
      <c r="AO1576" s="478">
        <v>-1570</v>
      </c>
      <c r="AP1576" s="463">
        <v>-1570</v>
      </c>
      <c r="AQ1576" s="479">
        <v>0</v>
      </c>
      <c r="AR1576" s="476" t="s">
        <v>17653</v>
      </c>
      <c r="BA1576" s="313" t="s">
        <v>6174</v>
      </c>
    </row>
    <row r="1577" spans="2:53" ht="16.5" customHeight="1">
      <c r="B1577" s="367" t="s">
        <v>12115</v>
      </c>
      <c r="C1577" s="351" t="s">
        <v>12116</v>
      </c>
      <c r="D1577" s="353">
        <v>-1570</v>
      </c>
      <c r="E1577" s="352" t="s">
        <v>408</v>
      </c>
      <c r="F1577" s="341">
        <v>75.08</v>
      </c>
      <c r="G1577" s="355" t="s">
        <v>5812</v>
      </c>
      <c r="H1577" s="356" t="s">
        <v>18857</v>
      </c>
      <c r="I1577" s="354" t="s">
        <v>301</v>
      </c>
      <c r="J1577" s="340" t="s">
        <v>546</v>
      </c>
      <c r="K1577" s="339" t="s">
        <v>70</v>
      </c>
      <c r="L1577" s="357">
        <v>20</v>
      </c>
      <c r="M1577" s="358" t="s">
        <v>12119</v>
      </c>
      <c r="N1577" s="359">
        <v>1000</v>
      </c>
      <c r="O1577" s="360" t="s">
        <v>530</v>
      </c>
      <c r="P1577" s="343" t="s">
        <v>531</v>
      </c>
      <c r="Q1577" s="342" t="s">
        <v>2688</v>
      </c>
      <c r="R1577" s="344">
        <v>20</v>
      </c>
      <c r="S1577" s="345">
        <v>35</v>
      </c>
      <c r="T1577" s="362">
        <v>25</v>
      </c>
      <c r="U1577" s="361">
        <v>75.08</v>
      </c>
      <c r="V1577" s="346">
        <v>115.75113746036124</v>
      </c>
      <c r="W1577" s="348">
        <v>116.45604774379076</v>
      </c>
      <c r="X1577" s="347">
        <v>58.26</v>
      </c>
      <c r="Y1577" s="357">
        <v>58.53</v>
      </c>
      <c r="Z1577" s="365" t="s">
        <v>3017</v>
      </c>
      <c r="AA1577" s="350">
        <v>198</v>
      </c>
      <c r="AB1577" s="349" t="s">
        <v>2685</v>
      </c>
      <c r="AC1577" s="350">
        <v>10</v>
      </c>
      <c r="AD1577" s="349" t="s">
        <v>2685</v>
      </c>
      <c r="AE1577" s="364">
        <v>0</v>
      </c>
      <c r="AF1577" s="366">
        <v>10.504</v>
      </c>
      <c r="AG1577" s="363">
        <v>0</v>
      </c>
      <c r="AH1577" s="635" t="s">
        <v>10496</v>
      </c>
      <c r="AL1577" s="487" t="s">
        <v>7218</v>
      </c>
      <c r="AM1577" s="477" t="s">
        <v>70</v>
      </c>
      <c r="AN1577" s="637">
        <v>100</v>
      </c>
      <c r="AO1577" s="478">
        <v>-1570</v>
      </c>
      <c r="AP1577" s="463">
        <v>-1570</v>
      </c>
      <c r="AQ1577" s="479">
        <v>0</v>
      </c>
      <c r="AR1577" s="476" t="s">
        <v>17653</v>
      </c>
      <c r="BA1577" s="313" t="s">
        <v>6175</v>
      </c>
    </row>
    <row r="1578" spans="2:53" ht="16.5" customHeight="1">
      <c r="B1578" s="367" t="s">
        <v>12115</v>
      </c>
      <c r="C1578" s="351" t="s">
        <v>12116</v>
      </c>
      <c r="D1578" s="353">
        <v>-1570</v>
      </c>
      <c r="E1578" s="352" t="s">
        <v>408</v>
      </c>
      <c r="F1578" s="341">
        <v>75.069999999999993</v>
      </c>
      <c r="G1578" s="355" t="s">
        <v>5812</v>
      </c>
      <c r="H1578" s="356" t="s">
        <v>18857</v>
      </c>
      <c r="I1578" s="354" t="s">
        <v>423</v>
      </c>
      <c r="J1578" s="340" t="s">
        <v>12120</v>
      </c>
      <c r="K1578" s="339" t="s">
        <v>70</v>
      </c>
      <c r="L1578" s="357">
        <v>11</v>
      </c>
      <c r="M1578" s="358" t="s">
        <v>12121</v>
      </c>
      <c r="N1578" s="359">
        <v>1000</v>
      </c>
      <c r="O1578" s="360" t="s">
        <v>530</v>
      </c>
      <c r="P1578" s="343" t="s">
        <v>531</v>
      </c>
      <c r="Q1578" s="342" t="s">
        <v>2688</v>
      </c>
      <c r="R1578" s="344">
        <v>20</v>
      </c>
      <c r="S1578" s="345">
        <v>35</v>
      </c>
      <c r="T1578" s="362">
        <v>25</v>
      </c>
      <c r="U1578" s="361">
        <v>75.069999999999993</v>
      </c>
      <c r="V1578" s="346">
        <v>115.74940170940171</v>
      </c>
      <c r="W1578" s="348">
        <v>116.4549938949939</v>
      </c>
      <c r="X1578" s="347">
        <v>58.26</v>
      </c>
      <c r="Y1578" s="357">
        <v>58.53</v>
      </c>
      <c r="Z1578" s="365" t="s">
        <v>3017</v>
      </c>
      <c r="AA1578" s="350">
        <v>198</v>
      </c>
      <c r="AB1578" s="349" t="s">
        <v>2685</v>
      </c>
      <c r="AC1578" s="350">
        <v>10</v>
      </c>
      <c r="AD1578" s="349" t="s">
        <v>2685</v>
      </c>
      <c r="AE1578" s="364">
        <v>0</v>
      </c>
      <c r="AF1578" s="366">
        <v>13.43</v>
      </c>
      <c r="AG1578" s="363">
        <v>0</v>
      </c>
      <c r="AH1578" s="635" t="s">
        <v>11625</v>
      </c>
      <c r="AL1578" s="487" t="s">
        <v>15967</v>
      </c>
      <c r="AM1578" s="477" t="s">
        <v>70</v>
      </c>
      <c r="AN1578" s="637">
        <v>100</v>
      </c>
      <c r="AO1578" s="478">
        <v>-1570</v>
      </c>
      <c r="AP1578" s="463">
        <v>-1570</v>
      </c>
      <c r="AQ1578" s="479">
        <v>0</v>
      </c>
      <c r="AR1578" s="476" t="s">
        <v>17653</v>
      </c>
      <c r="BA1578" s="313" t="s">
        <v>6178</v>
      </c>
    </row>
    <row r="1579" spans="2:53" ht="16.5" customHeight="1">
      <c r="B1579" s="367" t="s">
        <v>12122</v>
      </c>
      <c r="C1579" s="351" t="s">
        <v>12123</v>
      </c>
      <c r="D1579" s="353">
        <v>-1570</v>
      </c>
      <c r="E1579" s="352" t="s">
        <v>408</v>
      </c>
      <c r="F1579" s="341">
        <v>75.06</v>
      </c>
      <c r="G1579" s="355" t="s">
        <v>12124</v>
      </c>
      <c r="H1579" s="356" t="s">
        <v>11931</v>
      </c>
      <c r="I1579" s="354" t="s">
        <v>214</v>
      </c>
      <c r="J1579" s="340" t="s">
        <v>12125</v>
      </c>
      <c r="K1579" s="339" t="s">
        <v>70</v>
      </c>
      <c r="L1579" s="357">
        <v>45</v>
      </c>
      <c r="M1579" s="358" t="s">
        <v>12126</v>
      </c>
      <c r="N1579" s="359">
        <v>200</v>
      </c>
      <c r="O1579" s="360" t="s">
        <v>532</v>
      </c>
      <c r="P1579" s="343" t="s">
        <v>532</v>
      </c>
      <c r="Q1579" s="342" t="s">
        <v>2688</v>
      </c>
      <c r="R1579" s="344">
        <v>20</v>
      </c>
      <c r="S1579" s="345">
        <v>30</v>
      </c>
      <c r="T1579" s="362">
        <v>30</v>
      </c>
      <c r="U1579" s="361">
        <v>75.06</v>
      </c>
      <c r="V1579" s="346">
        <v>115.74392817585984</v>
      </c>
      <c r="W1579" s="348">
        <v>116.45167067820063</v>
      </c>
      <c r="X1579" s="347" t="s">
        <v>18940</v>
      </c>
      <c r="Y1579" s="357" t="s">
        <v>408</v>
      </c>
      <c r="Z1579" s="365" t="s">
        <v>4408</v>
      </c>
      <c r="AA1579" s="350">
        <v>36</v>
      </c>
      <c r="AB1579" s="349" t="s">
        <v>2685</v>
      </c>
      <c r="AC1579" s="350">
        <v>0</v>
      </c>
      <c r="AD1579" s="349" t="s">
        <v>2685</v>
      </c>
      <c r="AE1579" s="364">
        <v>0</v>
      </c>
      <c r="AF1579" s="366">
        <v>0</v>
      </c>
      <c r="AG1579" s="363">
        <v>0</v>
      </c>
      <c r="AH1579" s="635" t="s">
        <v>408</v>
      </c>
      <c r="AL1579" s="487" t="s">
        <v>15968</v>
      </c>
      <c r="AM1579" s="477" t="s">
        <v>70</v>
      </c>
      <c r="AN1579" s="637">
        <v>100</v>
      </c>
      <c r="AO1579" s="478">
        <v>-1570</v>
      </c>
      <c r="AP1579" s="463">
        <v>-1570</v>
      </c>
      <c r="AQ1579" s="479">
        <v>0</v>
      </c>
      <c r="AR1579" s="476" t="s">
        <v>17654</v>
      </c>
      <c r="BA1579" s="313" t="s">
        <v>6183</v>
      </c>
    </row>
    <row r="1580" spans="2:53" ht="16.5" customHeight="1">
      <c r="B1580" s="367" t="s">
        <v>12127</v>
      </c>
      <c r="C1580" s="351" t="s">
        <v>12128</v>
      </c>
      <c r="D1580" s="353">
        <v>-1570</v>
      </c>
      <c r="E1580" s="352" t="s">
        <v>408</v>
      </c>
      <c r="F1580" s="341">
        <v>75.040000000000006</v>
      </c>
      <c r="G1580" s="355" t="s">
        <v>12129</v>
      </c>
      <c r="H1580" s="356" t="s">
        <v>5648</v>
      </c>
      <c r="I1580" s="354" t="s">
        <v>496</v>
      </c>
      <c r="J1580" s="340" t="s">
        <v>540</v>
      </c>
      <c r="K1580" s="339" t="s">
        <v>71</v>
      </c>
      <c r="L1580" s="357">
        <v>9</v>
      </c>
      <c r="M1580" s="358" t="s">
        <v>12130</v>
      </c>
      <c r="N1580" s="359">
        <v>1000</v>
      </c>
      <c r="O1580" s="360" t="s">
        <v>530</v>
      </c>
      <c r="P1580" s="343" t="s">
        <v>531</v>
      </c>
      <c r="Q1580" s="342" t="s">
        <v>2738</v>
      </c>
      <c r="R1580" s="344">
        <v>29</v>
      </c>
      <c r="S1580" s="345">
        <v>29</v>
      </c>
      <c r="T1580" s="362">
        <v>29</v>
      </c>
      <c r="U1580" s="361">
        <v>75.040000000000006</v>
      </c>
      <c r="V1580" s="346">
        <v>115.72895812053117</v>
      </c>
      <c r="W1580" s="348">
        <v>116.44258171603678</v>
      </c>
      <c r="X1580" s="347">
        <v>58.25</v>
      </c>
      <c r="Y1580" s="357">
        <v>58.519999999999996</v>
      </c>
      <c r="Z1580" s="365" t="s">
        <v>3017</v>
      </c>
      <c r="AA1580" s="350">
        <v>135.71</v>
      </c>
      <c r="AB1580" s="349" t="s">
        <v>2685</v>
      </c>
      <c r="AC1580" s="350">
        <v>10</v>
      </c>
      <c r="AD1580" s="349" t="s">
        <v>2685</v>
      </c>
      <c r="AE1580" s="364">
        <v>0</v>
      </c>
      <c r="AF1580" s="366">
        <v>0</v>
      </c>
      <c r="AG1580" s="363">
        <v>0</v>
      </c>
      <c r="AH1580" s="635" t="s">
        <v>408</v>
      </c>
      <c r="AL1580" s="487" t="s">
        <v>7223</v>
      </c>
      <c r="AM1580" s="477" t="s">
        <v>71</v>
      </c>
      <c r="AN1580" s="637">
        <v>100</v>
      </c>
      <c r="AO1580" s="478">
        <v>-1570</v>
      </c>
      <c r="AP1580" s="463">
        <v>-691</v>
      </c>
      <c r="AQ1580" s="479">
        <v>-879</v>
      </c>
      <c r="AR1580" s="476" t="s">
        <v>17655</v>
      </c>
      <c r="BA1580" s="313" t="s">
        <v>6186</v>
      </c>
    </row>
    <row r="1581" spans="2:53" ht="16.5" customHeight="1">
      <c r="B1581" s="367" t="s">
        <v>6049</v>
      </c>
      <c r="C1581" s="351" t="s">
        <v>6050</v>
      </c>
      <c r="D1581" s="353">
        <v>-1570</v>
      </c>
      <c r="E1581" s="352" t="s">
        <v>12131</v>
      </c>
      <c r="F1581" s="341">
        <v>75.03</v>
      </c>
      <c r="G1581" s="355" t="s">
        <v>12100</v>
      </c>
      <c r="H1581" s="356" t="s">
        <v>18941</v>
      </c>
      <c r="I1581" s="354" t="s">
        <v>9336</v>
      </c>
      <c r="J1581" s="340" t="s">
        <v>12133</v>
      </c>
      <c r="K1581" s="339" t="s">
        <v>71</v>
      </c>
      <c r="L1581" s="357">
        <v>13</v>
      </c>
      <c r="M1581" s="358" t="s">
        <v>12134</v>
      </c>
      <c r="N1581" s="359">
        <v>700</v>
      </c>
      <c r="O1581" s="360" t="s">
        <v>532</v>
      </c>
      <c r="P1581" s="343" t="s">
        <v>533</v>
      </c>
      <c r="Q1581" s="342" t="s">
        <v>2688</v>
      </c>
      <c r="R1581" s="344">
        <v>30</v>
      </c>
      <c r="S1581" s="345">
        <v>30</v>
      </c>
      <c r="T1581" s="362">
        <v>20</v>
      </c>
      <c r="U1581" s="361">
        <v>75.03</v>
      </c>
      <c r="V1581" s="346">
        <v>115.72584402604311</v>
      </c>
      <c r="W1581" s="348">
        <v>116.44069101581189</v>
      </c>
      <c r="X1581" s="347">
        <v>58.37</v>
      </c>
      <c r="Y1581" s="357">
        <v>60.46</v>
      </c>
      <c r="Z1581" s="365" t="s">
        <v>3017</v>
      </c>
      <c r="AA1581" s="350">
        <v>138</v>
      </c>
      <c r="AB1581" s="349" t="s">
        <v>2685</v>
      </c>
      <c r="AC1581" s="350">
        <v>10</v>
      </c>
      <c r="AD1581" s="349" t="s">
        <v>2685</v>
      </c>
      <c r="AE1581" s="364">
        <v>0</v>
      </c>
      <c r="AF1581" s="366">
        <v>0</v>
      </c>
      <c r="AG1581" s="363">
        <v>0</v>
      </c>
      <c r="AH1581" s="635" t="s">
        <v>408</v>
      </c>
      <c r="AL1581" s="487" t="s">
        <v>15969</v>
      </c>
      <c r="AM1581" s="477" t="s">
        <v>71</v>
      </c>
      <c r="AN1581" s="637">
        <v>100</v>
      </c>
      <c r="AO1581" s="478">
        <v>-1570</v>
      </c>
      <c r="AP1581" s="463">
        <v>-692</v>
      </c>
      <c r="AQ1581" s="479">
        <v>-878</v>
      </c>
      <c r="AR1581" s="476" t="s">
        <v>17656</v>
      </c>
      <c r="BA1581" s="313" t="s">
        <v>6187</v>
      </c>
    </row>
    <row r="1582" spans="2:53" ht="16.5" customHeight="1">
      <c r="B1582" s="367" t="s">
        <v>6073</v>
      </c>
      <c r="C1582" s="351" t="s">
        <v>6074</v>
      </c>
      <c r="D1582" s="353">
        <v>-1570</v>
      </c>
      <c r="E1582" s="352" t="s">
        <v>408</v>
      </c>
      <c r="F1582" s="341">
        <v>75.010000000000005</v>
      </c>
      <c r="G1582" s="355" t="s">
        <v>12135</v>
      </c>
      <c r="H1582" s="356" t="s">
        <v>11558</v>
      </c>
      <c r="I1582" s="354" t="s">
        <v>212</v>
      </c>
      <c r="J1582" s="340" t="s">
        <v>418</v>
      </c>
      <c r="K1582" s="339" t="s">
        <v>70</v>
      </c>
      <c r="L1582" s="357">
        <v>8</v>
      </c>
      <c r="M1582" s="358" t="s">
        <v>12136</v>
      </c>
      <c r="N1582" s="359">
        <v>800</v>
      </c>
      <c r="O1582" s="360" t="s">
        <v>532</v>
      </c>
      <c r="P1582" s="343" t="s">
        <v>532</v>
      </c>
      <c r="Q1582" s="342" t="s">
        <v>2688</v>
      </c>
      <c r="R1582" s="344">
        <v>30</v>
      </c>
      <c r="S1582" s="345">
        <v>40</v>
      </c>
      <c r="T1582" s="362">
        <v>30</v>
      </c>
      <c r="U1582" s="361">
        <v>75.010000000000005</v>
      </c>
      <c r="V1582" s="346">
        <v>115.71326155537204</v>
      </c>
      <c r="W1582" s="348">
        <v>116.43305165861874</v>
      </c>
      <c r="X1582" s="347" t="s">
        <v>18942</v>
      </c>
      <c r="Y1582" s="357" t="s">
        <v>408</v>
      </c>
      <c r="Z1582" s="365" t="s">
        <v>3017</v>
      </c>
      <c r="AA1582" s="350">
        <v>190</v>
      </c>
      <c r="AB1582" s="349" t="s">
        <v>2685</v>
      </c>
      <c r="AC1582" s="350">
        <v>10</v>
      </c>
      <c r="AD1582" s="349" t="s">
        <v>2685</v>
      </c>
      <c r="AE1582" s="364">
        <v>0</v>
      </c>
      <c r="AF1582" s="366">
        <v>0</v>
      </c>
      <c r="AG1582" s="363">
        <v>0</v>
      </c>
      <c r="AH1582" s="635" t="s">
        <v>408</v>
      </c>
      <c r="AL1582" s="487" t="s">
        <v>15970</v>
      </c>
      <c r="AM1582" s="477" t="s">
        <v>70</v>
      </c>
      <c r="AN1582" s="637">
        <v>100</v>
      </c>
      <c r="AO1582" s="478">
        <v>-1570</v>
      </c>
      <c r="AP1582" s="463">
        <v>-1570</v>
      </c>
      <c r="AQ1582" s="479">
        <v>0</v>
      </c>
      <c r="AR1582" s="476" t="s">
        <v>17657</v>
      </c>
      <c r="BA1582" s="313" t="s">
        <v>6188</v>
      </c>
    </row>
    <row r="1583" spans="2:53" ht="16.5" customHeight="1">
      <c r="B1583" s="367" t="s">
        <v>6077</v>
      </c>
      <c r="C1583" s="351" t="s">
        <v>6078</v>
      </c>
      <c r="D1583" s="353">
        <v>-1570</v>
      </c>
      <c r="E1583" s="352" t="s">
        <v>408</v>
      </c>
      <c r="F1583" s="341">
        <v>74.989999999999995</v>
      </c>
      <c r="G1583" s="355" t="s">
        <v>12137</v>
      </c>
      <c r="H1583" s="356" t="s">
        <v>11819</v>
      </c>
      <c r="I1583" s="354" t="s">
        <v>214</v>
      </c>
      <c r="J1583" s="340" t="s">
        <v>9544</v>
      </c>
      <c r="K1583" s="339" t="s">
        <v>70</v>
      </c>
      <c r="L1583" s="357">
        <v>9</v>
      </c>
      <c r="M1583" s="358" t="s">
        <v>12138</v>
      </c>
      <c r="N1583" s="359">
        <v>200</v>
      </c>
      <c r="O1583" s="360" t="s">
        <v>532</v>
      </c>
      <c r="P1583" s="343" t="s">
        <v>532</v>
      </c>
      <c r="Q1583" s="342" t="s">
        <v>2688</v>
      </c>
      <c r="R1583" s="344">
        <v>20</v>
      </c>
      <c r="S1583" s="345">
        <v>30</v>
      </c>
      <c r="T1583" s="362">
        <v>30</v>
      </c>
      <c r="U1583" s="361">
        <v>74.989999999999995</v>
      </c>
      <c r="V1583" s="346">
        <v>115.70225201068276</v>
      </c>
      <c r="W1583" s="348">
        <v>116.42636729220024</v>
      </c>
      <c r="X1583" s="347" t="s">
        <v>18942</v>
      </c>
      <c r="Y1583" s="357" t="s">
        <v>408</v>
      </c>
      <c r="Z1583" s="365" t="s">
        <v>4408</v>
      </c>
      <c r="AA1583" s="350">
        <v>36</v>
      </c>
      <c r="AB1583" s="349" t="s">
        <v>2685</v>
      </c>
      <c r="AC1583" s="350">
        <v>0</v>
      </c>
      <c r="AD1583" s="349" t="s">
        <v>2685</v>
      </c>
      <c r="AE1583" s="364">
        <v>0</v>
      </c>
      <c r="AF1583" s="366">
        <v>0</v>
      </c>
      <c r="AG1583" s="363">
        <v>0</v>
      </c>
      <c r="AH1583" s="635" t="s">
        <v>408</v>
      </c>
      <c r="AL1583" s="487" t="s">
        <v>15971</v>
      </c>
      <c r="AM1583" s="477" t="s">
        <v>70</v>
      </c>
      <c r="AN1583" s="637">
        <v>100</v>
      </c>
      <c r="AO1583" s="478">
        <v>-1570</v>
      </c>
      <c r="AP1583" s="463">
        <v>-1570</v>
      </c>
      <c r="AQ1583" s="479">
        <v>0</v>
      </c>
      <c r="AR1583" s="476" t="s">
        <v>17658</v>
      </c>
      <c r="BA1583" s="313" t="s">
        <v>6192</v>
      </c>
    </row>
    <row r="1584" spans="2:53" ht="16.5" customHeight="1">
      <c r="B1584" s="367" t="s">
        <v>6092</v>
      </c>
      <c r="C1584" s="351" t="s">
        <v>6093</v>
      </c>
      <c r="D1584" s="353">
        <v>-1570</v>
      </c>
      <c r="E1584" s="352" t="s">
        <v>12139</v>
      </c>
      <c r="F1584" s="341">
        <v>74.95</v>
      </c>
      <c r="G1584" s="355" t="s">
        <v>12142</v>
      </c>
      <c r="H1584" s="356" t="s">
        <v>5397</v>
      </c>
      <c r="I1584" s="354" t="s">
        <v>216</v>
      </c>
      <c r="J1584" s="340" t="s">
        <v>12143</v>
      </c>
      <c r="K1584" s="339" t="s">
        <v>70</v>
      </c>
      <c r="L1584" s="357">
        <v>7</v>
      </c>
      <c r="M1584" s="358" t="s">
        <v>12144</v>
      </c>
      <c r="N1584" s="359">
        <v>300</v>
      </c>
      <c r="O1584" s="360" t="s">
        <v>530</v>
      </c>
      <c r="P1584" s="343" t="s">
        <v>530</v>
      </c>
      <c r="Q1584" s="342" t="s">
        <v>2688</v>
      </c>
      <c r="R1584" s="344">
        <v>25</v>
      </c>
      <c r="S1584" s="345">
        <v>45</v>
      </c>
      <c r="T1584" s="362">
        <v>30</v>
      </c>
      <c r="U1584" s="361">
        <v>74.95</v>
      </c>
      <c r="V1584" s="346">
        <v>115.67650250713197</v>
      </c>
      <c r="W1584" s="348">
        <v>116.4107336650444</v>
      </c>
      <c r="X1584" s="347">
        <v>58.23</v>
      </c>
      <c r="Y1584" s="357" t="s">
        <v>408</v>
      </c>
      <c r="Z1584" s="365" t="s">
        <v>3017</v>
      </c>
      <c r="AA1584" s="350">
        <v>-2</v>
      </c>
      <c r="AB1584" s="349" t="s">
        <v>2685</v>
      </c>
      <c r="AC1584" s="350">
        <v>0</v>
      </c>
      <c r="AD1584" s="349" t="s">
        <v>2685</v>
      </c>
      <c r="AE1584" s="364">
        <v>0</v>
      </c>
      <c r="AF1584" s="366">
        <v>0</v>
      </c>
      <c r="AG1584" s="363">
        <v>0</v>
      </c>
      <c r="AH1584" s="635" t="s">
        <v>408</v>
      </c>
      <c r="AL1584" s="487" t="s">
        <v>15972</v>
      </c>
      <c r="AM1584" s="477" t="s">
        <v>70</v>
      </c>
      <c r="AN1584" s="637">
        <v>100</v>
      </c>
      <c r="AO1584" s="478">
        <v>-1570</v>
      </c>
      <c r="AP1584" s="463">
        <v>-1570</v>
      </c>
      <c r="AQ1584" s="479">
        <v>0</v>
      </c>
      <c r="AR1584" s="476" t="s">
        <v>17659</v>
      </c>
      <c r="BA1584" s="313" t="s">
        <v>6193</v>
      </c>
    </row>
    <row r="1585" spans="2:53" ht="16.5" customHeight="1">
      <c r="B1585" s="367" t="s">
        <v>6096</v>
      </c>
      <c r="C1585" s="351" t="s">
        <v>6097</v>
      </c>
      <c r="D1585" s="353">
        <v>-1570</v>
      </c>
      <c r="E1585" s="352" t="s">
        <v>5812</v>
      </c>
      <c r="F1585" s="341">
        <v>74.95</v>
      </c>
      <c r="G1585" s="355" t="s">
        <v>12145</v>
      </c>
      <c r="H1585" s="356" t="s">
        <v>18943</v>
      </c>
      <c r="I1585" s="354" t="s">
        <v>423</v>
      </c>
      <c r="J1585" s="340" t="s">
        <v>10547</v>
      </c>
      <c r="K1585" s="339" t="s">
        <v>70</v>
      </c>
      <c r="L1585" s="357">
        <v>7</v>
      </c>
      <c r="M1585" s="358" t="s">
        <v>12147</v>
      </c>
      <c r="N1585" s="359">
        <v>1000</v>
      </c>
      <c r="O1585" s="360" t="s">
        <v>530</v>
      </c>
      <c r="P1585" s="343" t="s">
        <v>531</v>
      </c>
      <c r="Q1585" s="342" t="s">
        <v>2688</v>
      </c>
      <c r="R1585" s="344">
        <v>20</v>
      </c>
      <c r="S1585" s="345">
        <v>35</v>
      </c>
      <c r="T1585" s="362">
        <v>25</v>
      </c>
      <c r="U1585" s="361">
        <v>74.95</v>
      </c>
      <c r="V1585" s="346">
        <v>115.67440292416339</v>
      </c>
      <c r="W1585" s="348">
        <v>116.40945891824205</v>
      </c>
      <c r="X1585" s="347">
        <v>58.22</v>
      </c>
      <c r="Y1585" s="357">
        <v>58.489999999999995</v>
      </c>
      <c r="Z1585" s="365" t="s">
        <v>3017</v>
      </c>
      <c r="AA1585" s="350">
        <v>198</v>
      </c>
      <c r="AB1585" s="349" t="s">
        <v>2685</v>
      </c>
      <c r="AC1585" s="350">
        <v>10</v>
      </c>
      <c r="AD1585" s="349" t="s">
        <v>2685</v>
      </c>
      <c r="AE1585" s="364">
        <v>0</v>
      </c>
      <c r="AF1585" s="366">
        <v>13.423</v>
      </c>
      <c r="AG1585" s="363">
        <v>0</v>
      </c>
      <c r="AH1585" s="635" t="s">
        <v>11625</v>
      </c>
      <c r="AL1585" s="487" t="s">
        <v>15973</v>
      </c>
      <c r="AM1585" s="477" t="s">
        <v>70</v>
      </c>
      <c r="AN1585" s="637">
        <v>100</v>
      </c>
      <c r="AO1585" s="478">
        <v>-1570</v>
      </c>
      <c r="AP1585" s="463">
        <v>-1570</v>
      </c>
      <c r="AQ1585" s="479">
        <v>0</v>
      </c>
      <c r="AR1585" s="476" t="s">
        <v>17660</v>
      </c>
      <c r="BA1585" s="313" t="s">
        <v>6196</v>
      </c>
    </row>
    <row r="1586" spans="2:53" ht="16.5" customHeight="1">
      <c r="B1586" s="367" t="s">
        <v>12148</v>
      </c>
      <c r="C1586" s="351" t="s">
        <v>12149</v>
      </c>
      <c r="D1586" s="353">
        <v>-1570</v>
      </c>
      <c r="E1586" s="352" t="s">
        <v>408</v>
      </c>
      <c r="F1586" s="341">
        <v>74.94</v>
      </c>
      <c r="G1586" s="355" t="s">
        <v>6069</v>
      </c>
      <c r="H1586" s="356" t="s">
        <v>5616</v>
      </c>
      <c r="I1586" s="354" t="s">
        <v>496</v>
      </c>
      <c r="J1586" s="340" t="s">
        <v>11776</v>
      </c>
      <c r="K1586" s="339" t="s">
        <v>71</v>
      </c>
      <c r="L1586" s="357">
        <v>7</v>
      </c>
      <c r="M1586" s="358" t="s">
        <v>12150</v>
      </c>
      <c r="N1586" s="359">
        <v>1000</v>
      </c>
      <c r="O1586" s="360" t="s">
        <v>530</v>
      </c>
      <c r="P1586" s="343" t="s">
        <v>531</v>
      </c>
      <c r="Q1586" s="342" t="s">
        <v>2738</v>
      </c>
      <c r="R1586" s="344">
        <v>29</v>
      </c>
      <c r="S1586" s="345">
        <v>29</v>
      </c>
      <c r="T1586" s="362">
        <v>29</v>
      </c>
      <c r="U1586" s="361">
        <v>74.94</v>
      </c>
      <c r="V1586" s="346">
        <v>115.67009434962367</v>
      </c>
      <c r="W1586" s="348">
        <v>116.40684299798581</v>
      </c>
      <c r="X1586" s="347">
        <v>58.22</v>
      </c>
      <c r="Y1586" s="357">
        <v>58.489999999999995</v>
      </c>
      <c r="Z1586" s="365" t="s">
        <v>3017</v>
      </c>
      <c r="AA1586" s="350">
        <v>135.71</v>
      </c>
      <c r="AB1586" s="349" t="s">
        <v>2685</v>
      </c>
      <c r="AC1586" s="350">
        <v>10</v>
      </c>
      <c r="AD1586" s="349" t="s">
        <v>2685</v>
      </c>
      <c r="AE1586" s="364">
        <v>0</v>
      </c>
      <c r="AF1586" s="366">
        <v>0</v>
      </c>
      <c r="AG1586" s="363">
        <v>0</v>
      </c>
      <c r="AH1586" s="635" t="s">
        <v>408</v>
      </c>
      <c r="AL1586" s="487" t="s">
        <v>15974</v>
      </c>
      <c r="AM1586" s="477" t="s">
        <v>71</v>
      </c>
      <c r="AN1586" s="637">
        <v>100</v>
      </c>
      <c r="AO1586" s="478">
        <v>-1570</v>
      </c>
      <c r="AP1586" s="463">
        <v>-690</v>
      </c>
      <c r="AQ1586" s="479">
        <v>-880</v>
      </c>
      <c r="AR1586" s="476" t="s">
        <v>17661</v>
      </c>
      <c r="BA1586" s="313" t="s">
        <v>6197</v>
      </c>
    </row>
    <row r="1587" spans="2:53" ht="16.5" customHeight="1">
      <c r="B1587" s="367" t="s">
        <v>6065</v>
      </c>
      <c r="C1587" s="351" t="s">
        <v>6066</v>
      </c>
      <c r="D1587" s="353">
        <v>-1570</v>
      </c>
      <c r="E1587" s="352" t="s">
        <v>408</v>
      </c>
      <c r="F1587" s="341">
        <v>74.930000000000007</v>
      </c>
      <c r="G1587" s="355" t="s">
        <v>5808</v>
      </c>
      <c r="H1587" s="356" t="s">
        <v>18943</v>
      </c>
      <c r="I1587" s="354" t="s">
        <v>212</v>
      </c>
      <c r="J1587" s="340" t="s">
        <v>491</v>
      </c>
      <c r="K1587" s="339" t="s">
        <v>71</v>
      </c>
      <c r="L1587" s="357">
        <v>19</v>
      </c>
      <c r="M1587" s="358" t="s">
        <v>12140</v>
      </c>
      <c r="N1587" s="359">
        <v>800</v>
      </c>
      <c r="O1587" s="360" t="s">
        <v>532</v>
      </c>
      <c r="P1587" s="343" t="s">
        <v>532</v>
      </c>
      <c r="Q1587" s="342" t="s">
        <v>2688</v>
      </c>
      <c r="R1587" s="344">
        <v>40</v>
      </c>
      <c r="S1587" s="345">
        <v>30</v>
      </c>
      <c r="T1587" s="362">
        <v>30</v>
      </c>
      <c r="U1587" s="361">
        <v>74.930000000000007</v>
      </c>
      <c r="V1587" s="346">
        <v>115.66633955075609</v>
      </c>
      <c r="W1587" s="348">
        <v>116.40456329867334</v>
      </c>
      <c r="X1587" s="347" t="s">
        <v>18944</v>
      </c>
      <c r="Y1587" s="357" t="s">
        <v>408</v>
      </c>
      <c r="Z1587" s="365" t="s">
        <v>3017</v>
      </c>
      <c r="AA1587" s="350">
        <v>190</v>
      </c>
      <c r="AB1587" s="349" t="s">
        <v>2685</v>
      </c>
      <c r="AC1587" s="350">
        <v>10</v>
      </c>
      <c r="AD1587" s="349" t="s">
        <v>2685</v>
      </c>
      <c r="AE1587" s="364">
        <v>0</v>
      </c>
      <c r="AF1587" s="366">
        <v>0</v>
      </c>
      <c r="AG1587" s="363">
        <v>0</v>
      </c>
      <c r="AH1587" s="635" t="s">
        <v>408</v>
      </c>
      <c r="AL1587" s="487" t="s">
        <v>15975</v>
      </c>
      <c r="AM1587" s="477" t="s">
        <v>71</v>
      </c>
      <c r="AN1587" s="637">
        <v>100</v>
      </c>
      <c r="AO1587" s="478">
        <v>-1570</v>
      </c>
      <c r="AP1587" s="463">
        <v>-691</v>
      </c>
      <c r="AQ1587" s="479">
        <v>-879</v>
      </c>
      <c r="AR1587" s="476" t="s">
        <v>17662</v>
      </c>
      <c r="BA1587" s="313" t="s">
        <v>6198</v>
      </c>
    </row>
    <row r="1588" spans="2:53" ht="16.5" customHeight="1">
      <c r="B1588" s="367" t="s">
        <v>18250</v>
      </c>
      <c r="C1588" s="351" t="s">
        <v>18251</v>
      </c>
      <c r="D1588" s="353">
        <v>-1570</v>
      </c>
      <c r="E1588" s="352" t="s">
        <v>408</v>
      </c>
      <c r="F1588" s="341">
        <v>74.92</v>
      </c>
      <c r="G1588" s="355" t="s">
        <v>12395</v>
      </c>
      <c r="H1588" s="356" t="s">
        <v>11837</v>
      </c>
      <c r="I1588" s="354" t="s">
        <v>212</v>
      </c>
      <c r="J1588" s="340" t="s">
        <v>8726</v>
      </c>
      <c r="K1588" s="339" t="s">
        <v>71</v>
      </c>
      <c r="L1588" s="357">
        <v>16</v>
      </c>
      <c r="M1588" s="358" t="s">
        <v>12141</v>
      </c>
      <c r="N1588" s="359">
        <v>800</v>
      </c>
      <c r="O1588" s="360" t="s">
        <v>532</v>
      </c>
      <c r="P1588" s="343" t="s">
        <v>532</v>
      </c>
      <c r="Q1588" s="342" t="s">
        <v>2688</v>
      </c>
      <c r="R1588" s="344">
        <v>40</v>
      </c>
      <c r="S1588" s="345">
        <v>30</v>
      </c>
      <c r="T1588" s="362">
        <v>30</v>
      </c>
      <c r="U1588" s="361">
        <v>74.92</v>
      </c>
      <c r="V1588" s="346">
        <v>115.6590644879177</v>
      </c>
      <c r="W1588" s="348">
        <v>116.40014629623575</v>
      </c>
      <c r="X1588" s="347" t="s">
        <v>18944</v>
      </c>
      <c r="Y1588" s="357" t="s">
        <v>408</v>
      </c>
      <c r="Z1588" s="365" t="s">
        <v>3017</v>
      </c>
      <c r="AA1588" s="350">
        <v>190</v>
      </c>
      <c r="AB1588" s="349" t="s">
        <v>2685</v>
      </c>
      <c r="AC1588" s="350">
        <v>10</v>
      </c>
      <c r="AD1588" s="349" t="s">
        <v>2685</v>
      </c>
      <c r="AE1588" s="364">
        <v>0</v>
      </c>
      <c r="AF1588" s="366">
        <v>0</v>
      </c>
      <c r="AG1588" s="363">
        <v>0</v>
      </c>
      <c r="AH1588" s="635" t="s">
        <v>408</v>
      </c>
      <c r="AL1588" s="487" t="s">
        <v>15976</v>
      </c>
      <c r="AM1588" s="477" t="s">
        <v>71</v>
      </c>
      <c r="AN1588" s="637">
        <v>100</v>
      </c>
      <c r="AO1588" s="478">
        <v>-1570</v>
      </c>
      <c r="AP1588" s="463">
        <v>-691</v>
      </c>
      <c r="AQ1588" s="479">
        <v>-879</v>
      </c>
      <c r="AR1588" s="476" t="s">
        <v>17663</v>
      </c>
      <c r="BA1588" s="313" t="s">
        <v>6200</v>
      </c>
    </row>
    <row r="1589" spans="2:53" ht="16.5" customHeight="1">
      <c r="B1589" s="367" t="s">
        <v>12151</v>
      </c>
      <c r="C1589" s="351" t="s">
        <v>12152</v>
      </c>
      <c r="D1589" s="353">
        <v>-1570</v>
      </c>
      <c r="E1589" s="352" t="s">
        <v>408</v>
      </c>
      <c r="F1589" s="341">
        <v>74.900000000000006</v>
      </c>
      <c r="G1589" s="355" t="s">
        <v>12153</v>
      </c>
      <c r="H1589" s="356" t="s">
        <v>18945</v>
      </c>
      <c r="I1589" s="354" t="s">
        <v>216</v>
      </c>
      <c r="J1589" s="340" t="s">
        <v>12154</v>
      </c>
      <c r="K1589" s="339" t="s">
        <v>70</v>
      </c>
      <c r="L1589" s="357">
        <v>14</v>
      </c>
      <c r="M1589" s="358" t="s">
        <v>12155</v>
      </c>
      <c r="N1589" s="359">
        <v>300</v>
      </c>
      <c r="O1589" s="360" t="s">
        <v>530</v>
      </c>
      <c r="P1589" s="343" t="s">
        <v>530</v>
      </c>
      <c r="Q1589" s="342" t="s">
        <v>2688</v>
      </c>
      <c r="R1589" s="344">
        <v>25</v>
      </c>
      <c r="S1589" s="345">
        <v>45</v>
      </c>
      <c r="T1589" s="362">
        <v>30</v>
      </c>
      <c r="U1589" s="361">
        <v>74.900000000000006</v>
      </c>
      <c r="V1589" s="346">
        <v>115.64418637375927</v>
      </c>
      <c r="W1589" s="348">
        <v>116.3911131554967</v>
      </c>
      <c r="X1589" s="347">
        <v>58.21</v>
      </c>
      <c r="Y1589" s="357" t="s">
        <v>408</v>
      </c>
      <c r="Z1589" s="365" t="s">
        <v>3017</v>
      </c>
      <c r="AA1589" s="350">
        <v>-2</v>
      </c>
      <c r="AB1589" s="349" t="s">
        <v>2685</v>
      </c>
      <c r="AC1589" s="350">
        <v>0</v>
      </c>
      <c r="AD1589" s="349" t="s">
        <v>2685</v>
      </c>
      <c r="AE1589" s="364">
        <v>0</v>
      </c>
      <c r="AF1589" s="366">
        <v>5.2389999999999999</v>
      </c>
      <c r="AG1589" s="363">
        <v>0</v>
      </c>
      <c r="AH1589" s="635" t="s">
        <v>11477</v>
      </c>
      <c r="AL1589" s="487" t="s">
        <v>15977</v>
      </c>
      <c r="AM1589" s="477" t="s">
        <v>70</v>
      </c>
      <c r="AN1589" s="637">
        <v>100</v>
      </c>
      <c r="AO1589" s="478">
        <v>-1570</v>
      </c>
      <c r="AP1589" s="463">
        <v>-1570</v>
      </c>
      <c r="AQ1589" s="479">
        <v>0</v>
      </c>
      <c r="AR1589" s="476" t="s">
        <v>17664</v>
      </c>
      <c r="BA1589" s="313" t="s">
        <v>6201</v>
      </c>
    </row>
    <row r="1590" spans="2:53" ht="16.5" customHeight="1">
      <c r="B1590" s="367" t="s">
        <v>6105</v>
      </c>
      <c r="C1590" s="351" t="s">
        <v>6106</v>
      </c>
      <c r="D1590" s="353">
        <v>-1570</v>
      </c>
      <c r="E1590" s="352" t="s">
        <v>6052</v>
      </c>
      <c r="F1590" s="341">
        <v>74.88</v>
      </c>
      <c r="G1590" s="355" t="s">
        <v>12129</v>
      </c>
      <c r="H1590" s="356" t="s">
        <v>5648</v>
      </c>
      <c r="I1590" s="354" t="s">
        <v>485</v>
      </c>
      <c r="J1590" s="340" t="s">
        <v>490</v>
      </c>
      <c r="K1590" s="339" t="s">
        <v>71</v>
      </c>
      <c r="L1590" s="357">
        <v>29</v>
      </c>
      <c r="M1590" s="358" t="s">
        <v>6150</v>
      </c>
      <c r="N1590" s="359">
        <v>100</v>
      </c>
      <c r="O1590" s="360" t="s">
        <v>454</v>
      </c>
      <c r="P1590" s="343" t="s">
        <v>454</v>
      </c>
      <c r="Q1590" s="342" t="s">
        <v>2738</v>
      </c>
      <c r="R1590" s="344">
        <v>35</v>
      </c>
      <c r="S1590" s="345">
        <v>30</v>
      </c>
      <c r="T1590" s="362">
        <v>15</v>
      </c>
      <c r="U1590" s="361">
        <v>74.88</v>
      </c>
      <c r="V1590" s="346">
        <v>115.63235294117646</v>
      </c>
      <c r="W1590" s="348">
        <v>116.38392857142857</v>
      </c>
      <c r="X1590" s="347">
        <v>58.33</v>
      </c>
      <c r="Y1590" s="357" t="s">
        <v>408</v>
      </c>
      <c r="Z1590" s="365" t="s">
        <v>3017</v>
      </c>
      <c r="AA1590" s="350">
        <v>19.600000000000001</v>
      </c>
      <c r="AB1590" s="349" t="s">
        <v>2685</v>
      </c>
      <c r="AC1590" s="350">
        <v>0</v>
      </c>
      <c r="AD1590" s="349" t="s">
        <v>2685</v>
      </c>
      <c r="AE1590" s="364">
        <v>0</v>
      </c>
      <c r="AF1590" s="366">
        <v>0</v>
      </c>
      <c r="AG1590" s="363">
        <v>0</v>
      </c>
      <c r="AH1590" s="635" t="s">
        <v>408</v>
      </c>
      <c r="AL1590" s="487" t="s">
        <v>7221</v>
      </c>
      <c r="AM1590" s="477" t="s">
        <v>71</v>
      </c>
      <c r="AN1590" s="637">
        <v>100</v>
      </c>
      <c r="AO1590" s="478">
        <v>-1570</v>
      </c>
      <c r="AP1590" s="463">
        <v>-691</v>
      </c>
      <c r="AQ1590" s="479">
        <v>-879</v>
      </c>
      <c r="AR1590" s="476" t="s">
        <v>17655</v>
      </c>
      <c r="BA1590" s="313" t="s">
        <v>6205</v>
      </c>
    </row>
    <row r="1591" spans="2:53" ht="16.5" customHeight="1">
      <c r="B1591" s="367" t="s">
        <v>6109</v>
      </c>
      <c r="C1591" s="351" t="s">
        <v>6110</v>
      </c>
      <c r="D1591" s="353">
        <v>-1570</v>
      </c>
      <c r="E1591" s="352" t="s">
        <v>12156</v>
      </c>
      <c r="F1591" s="341">
        <v>74.86</v>
      </c>
      <c r="G1591" s="355" t="s">
        <v>18946</v>
      </c>
      <c r="H1591" s="356" t="s">
        <v>18945</v>
      </c>
      <c r="I1591" s="354" t="s">
        <v>446</v>
      </c>
      <c r="J1591" s="340" t="s">
        <v>560</v>
      </c>
      <c r="K1591" s="339" t="s">
        <v>71</v>
      </c>
      <c r="L1591" s="357">
        <v>6</v>
      </c>
      <c r="M1591" s="358" t="s">
        <v>12158</v>
      </c>
      <c r="N1591" s="359">
        <v>1000</v>
      </c>
      <c r="O1591" s="360" t="s">
        <v>454</v>
      </c>
      <c r="P1591" s="343" t="s">
        <v>454</v>
      </c>
      <c r="Q1591" s="342" t="s">
        <v>2688</v>
      </c>
      <c r="R1591" s="344">
        <v>35</v>
      </c>
      <c r="S1591" s="345">
        <v>30</v>
      </c>
      <c r="T1591" s="362">
        <v>25</v>
      </c>
      <c r="U1591" s="361">
        <v>74.86</v>
      </c>
      <c r="V1591" s="346">
        <v>115.62418300653594</v>
      </c>
      <c r="W1591" s="348">
        <v>116.37896825396825</v>
      </c>
      <c r="X1591" s="347">
        <v>58.32</v>
      </c>
      <c r="Y1591" s="357" t="s">
        <v>408</v>
      </c>
      <c r="Z1591" s="365" t="s">
        <v>3017</v>
      </c>
      <c r="AA1591" s="350">
        <v>98</v>
      </c>
      <c r="AB1591" s="349" t="s">
        <v>2685</v>
      </c>
      <c r="AC1591" s="350">
        <v>0</v>
      </c>
      <c r="AD1591" s="349" t="s">
        <v>2685</v>
      </c>
      <c r="AE1591" s="364">
        <v>0</v>
      </c>
      <c r="AF1591" s="366">
        <v>0</v>
      </c>
      <c r="AG1591" s="363">
        <v>0</v>
      </c>
      <c r="AH1591" s="635" t="s">
        <v>408</v>
      </c>
      <c r="AL1591" s="487" t="s">
        <v>15978</v>
      </c>
      <c r="AM1591" s="477" t="s">
        <v>71</v>
      </c>
      <c r="AN1591" s="637">
        <v>100</v>
      </c>
      <c r="AO1591" s="478">
        <v>-1570</v>
      </c>
      <c r="AP1591" s="463">
        <v>-691</v>
      </c>
      <c r="AQ1591" s="479">
        <v>-879</v>
      </c>
      <c r="AR1591" s="476" t="s">
        <v>17665</v>
      </c>
      <c r="BA1591" s="313" t="s">
        <v>6209</v>
      </c>
    </row>
    <row r="1592" spans="2:53" ht="16.5" customHeight="1">
      <c r="B1592" s="367" t="s">
        <v>6109</v>
      </c>
      <c r="C1592" s="351" t="s">
        <v>6110</v>
      </c>
      <c r="D1592" s="353">
        <v>-1570</v>
      </c>
      <c r="E1592" s="352" t="s">
        <v>408</v>
      </c>
      <c r="F1592" s="341">
        <v>74.86</v>
      </c>
      <c r="G1592" s="355" t="s">
        <v>12159</v>
      </c>
      <c r="H1592" s="356" t="s">
        <v>18947</v>
      </c>
      <c r="I1592" s="354" t="s">
        <v>423</v>
      </c>
      <c r="J1592" s="340" t="s">
        <v>8744</v>
      </c>
      <c r="K1592" s="339" t="s">
        <v>70</v>
      </c>
      <c r="L1592" s="357">
        <v>6</v>
      </c>
      <c r="M1592" s="358" t="s">
        <v>12160</v>
      </c>
      <c r="N1592" s="359">
        <v>1000</v>
      </c>
      <c r="O1592" s="360" t="s">
        <v>530</v>
      </c>
      <c r="P1592" s="343" t="s">
        <v>531</v>
      </c>
      <c r="Q1592" s="342" t="s">
        <v>2688</v>
      </c>
      <c r="R1592" s="344">
        <v>20</v>
      </c>
      <c r="S1592" s="345">
        <v>35</v>
      </c>
      <c r="T1592" s="362">
        <v>25</v>
      </c>
      <c r="U1592" s="361">
        <v>74.86</v>
      </c>
      <c r="V1592" s="346">
        <v>115.62614003335818</v>
      </c>
      <c r="W1592" s="348">
        <v>116.38015644882461</v>
      </c>
      <c r="X1592" s="347">
        <v>58.21</v>
      </c>
      <c r="Y1592" s="357">
        <v>58.46</v>
      </c>
      <c r="Z1592" s="365" t="s">
        <v>3017</v>
      </c>
      <c r="AA1592" s="350">
        <v>198</v>
      </c>
      <c r="AB1592" s="349" t="s">
        <v>2685</v>
      </c>
      <c r="AC1592" s="350">
        <v>10</v>
      </c>
      <c r="AD1592" s="349" t="s">
        <v>2685</v>
      </c>
      <c r="AE1592" s="364">
        <v>0</v>
      </c>
      <c r="AF1592" s="366">
        <v>13.417</v>
      </c>
      <c r="AG1592" s="363">
        <v>0</v>
      </c>
      <c r="AH1592" s="635" t="s">
        <v>11625</v>
      </c>
      <c r="AL1592" s="487" t="s">
        <v>15979</v>
      </c>
      <c r="AM1592" s="477" t="s">
        <v>70</v>
      </c>
      <c r="AN1592" s="637">
        <v>100</v>
      </c>
      <c r="AO1592" s="478">
        <v>-1570</v>
      </c>
      <c r="AP1592" s="463">
        <v>-1570</v>
      </c>
      <c r="AQ1592" s="479">
        <v>0</v>
      </c>
      <c r="AR1592" s="476" t="s">
        <v>17666</v>
      </c>
      <c r="BA1592" s="313" t="s">
        <v>6212</v>
      </c>
    </row>
    <row r="1593" spans="2:53" ht="16.5" customHeight="1">
      <c r="B1593" s="367" t="s">
        <v>12161</v>
      </c>
      <c r="C1593" s="351" t="s">
        <v>12162</v>
      </c>
      <c r="D1593" s="353">
        <v>-1570</v>
      </c>
      <c r="E1593" s="352" t="s">
        <v>408</v>
      </c>
      <c r="F1593" s="341">
        <v>74.849999999999994</v>
      </c>
      <c r="G1593" s="355" t="s">
        <v>5824</v>
      </c>
      <c r="H1593" s="356" t="s">
        <v>5609</v>
      </c>
      <c r="I1593" s="354" t="s">
        <v>197</v>
      </c>
      <c r="J1593" s="340" t="s">
        <v>8633</v>
      </c>
      <c r="K1593" s="339" t="s">
        <v>70</v>
      </c>
      <c r="L1593" s="357">
        <v>28</v>
      </c>
      <c r="M1593" s="358" t="s">
        <v>12163</v>
      </c>
      <c r="N1593" s="359">
        <v>500</v>
      </c>
      <c r="O1593" s="360" t="s">
        <v>454</v>
      </c>
      <c r="P1593" s="343" t="s">
        <v>454</v>
      </c>
      <c r="Q1593" s="342" t="s">
        <v>2688</v>
      </c>
      <c r="R1593" s="344">
        <v>20</v>
      </c>
      <c r="S1593" s="345">
        <v>30</v>
      </c>
      <c r="T1593" s="362">
        <v>30</v>
      </c>
      <c r="U1593" s="361">
        <v>74.849999999999994</v>
      </c>
      <c r="V1593" s="346">
        <v>115.61696306429549</v>
      </c>
      <c r="W1593" s="348">
        <v>116.37458471760797</v>
      </c>
      <c r="X1593" s="347">
        <v>58.2</v>
      </c>
      <c r="Y1593" s="357" t="s">
        <v>408</v>
      </c>
      <c r="Z1593" s="365" t="s">
        <v>4408</v>
      </c>
      <c r="AA1593" s="350">
        <v>94</v>
      </c>
      <c r="AB1593" s="349" t="s">
        <v>2685</v>
      </c>
      <c r="AC1593" s="350">
        <v>1.5</v>
      </c>
      <c r="AD1593" s="349" t="s">
        <v>2685</v>
      </c>
      <c r="AE1593" s="364">
        <v>0</v>
      </c>
      <c r="AF1593" s="366">
        <v>22.454999999999998</v>
      </c>
      <c r="AG1593" s="363">
        <v>0</v>
      </c>
      <c r="AH1593" s="635" t="s">
        <v>12164</v>
      </c>
      <c r="AL1593" s="487" t="s">
        <v>15980</v>
      </c>
      <c r="AM1593" s="477" t="s">
        <v>70</v>
      </c>
      <c r="AN1593" s="637">
        <v>100</v>
      </c>
      <c r="AO1593" s="478">
        <v>-1570</v>
      </c>
      <c r="AP1593" s="463">
        <v>-1570</v>
      </c>
      <c r="AQ1593" s="479">
        <v>0</v>
      </c>
      <c r="AR1593" s="476" t="s">
        <v>17667</v>
      </c>
      <c r="BA1593" s="313" t="s">
        <v>6213</v>
      </c>
    </row>
    <row r="1594" spans="2:53" ht="16.5" customHeight="1">
      <c r="B1594" s="367" t="s">
        <v>12165</v>
      </c>
      <c r="C1594" s="351" t="s">
        <v>12166</v>
      </c>
      <c r="D1594" s="353">
        <v>-1570</v>
      </c>
      <c r="E1594" s="352" t="s">
        <v>408</v>
      </c>
      <c r="F1594" s="341">
        <v>74.819999999999993</v>
      </c>
      <c r="G1594" s="355" t="s">
        <v>6098</v>
      </c>
      <c r="H1594" s="356" t="s">
        <v>18948</v>
      </c>
      <c r="I1594" s="354" t="s">
        <v>423</v>
      </c>
      <c r="J1594" s="340" t="s">
        <v>551</v>
      </c>
      <c r="K1594" s="339" t="s">
        <v>70</v>
      </c>
      <c r="L1594" s="357">
        <v>7</v>
      </c>
      <c r="M1594" s="358" t="s">
        <v>12167</v>
      </c>
      <c r="N1594" s="359">
        <v>1000</v>
      </c>
      <c r="O1594" s="360" t="s">
        <v>530</v>
      </c>
      <c r="P1594" s="343" t="s">
        <v>531</v>
      </c>
      <c r="Q1594" s="342" t="s">
        <v>2688</v>
      </c>
      <c r="R1594" s="344">
        <v>20</v>
      </c>
      <c r="S1594" s="345">
        <v>35</v>
      </c>
      <c r="T1594" s="362">
        <v>25</v>
      </c>
      <c r="U1594" s="361">
        <v>74.819999999999993</v>
      </c>
      <c r="V1594" s="346">
        <v>115.60058909116718</v>
      </c>
      <c r="W1594" s="348">
        <v>116.36464337678008</v>
      </c>
      <c r="X1594" s="347">
        <v>58.19</v>
      </c>
      <c r="Y1594" s="357">
        <v>58.449999999999996</v>
      </c>
      <c r="Z1594" s="365" t="s">
        <v>3017</v>
      </c>
      <c r="AA1594" s="350">
        <v>198</v>
      </c>
      <c r="AB1594" s="349" t="s">
        <v>2685</v>
      </c>
      <c r="AC1594" s="350">
        <v>10</v>
      </c>
      <c r="AD1594" s="349" t="s">
        <v>2685</v>
      </c>
      <c r="AE1594" s="364">
        <v>0</v>
      </c>
      <c r="AF1594" s="366">
        <v>13.414999999999999</v>
      </c>
      <c r="AG1594" s="363">
        <v>0</v>
      </c>
      <c r="AH1594" s="635" t="s">
        <v>11625</v>
      </c>
      <c r="AL1594" s="487" t="s">
        <v>15981</v>
      </c>
      <c r="AM1594" s="477" t="s">
        <v>70</v>
      </c>
      <c r="AN1594" s="637">
        <v>100</v>
      </c>
      <c r="AO1594" s="478">
        <v>-1570</v>
      </c>
      <c r="AP1594" s="463">
        <v>-1570</v>
      </c>
      <c r="AQ1594" s="479">
        <v>0</v>
      </c>
      <c r="AR1594" s="476" t="s">
        <v>17668</v>
      </c>
      <c r="BA1594" s="313" t="s">
        <v>6215</v>
      </c>
    </row>
    <row r="1595" spans="2:53" ht="16.5" customHeight="1">
      <c r="B1595" s="367" t="s">
        <v>12165</v>
      </c>
      <c r="C1595" s="351" t="s">
        <v>12166</v>
      </c>
      <c r="D1595" s="353">
        <v>-1570</v>
      </c>
      <c r="E1595" s="352" t="s">
        <v>6098</v>
      </c>
      <c r="F1595" s="341">
        <v>74.819999999999993</v>
      </c>
      <c r="G1595" s="355" t="s">
        <v>12157</v>
      </c>
      <c r="H1595" s="356" t="s">
        <v>5609</v>
      </c>
      <c r="I1595" s="354" t="s">
        <v>9336</v>
      </c>
      <c r="J1595" s="340" t="s">
        <v>12168</v>
      </c>
      <c r="K1595" s="339" t="s">
        <v>71</v>
      </c>
      <c r="L1595" s="357">
        <v>20</v>
      </c>
      <c r="M1595" s="358" t="s">
        <v>12169</v>
      </c>
      <c r="N1595" s="359">
        <v>700</v>
      </c>
      <c r="O1595" s="360" t="s">
        <v>532</v>
      </c>
      <c r="P1595" s="343" t="s">
        <v>533</v>
      </c>
      <c r="Q1595" s="342" t="s">
        <v>2688</v>
      </c>
      <c r="R1595" s="344">
        <v>30</v>
      </c>
      <c r="S1595" s="345">
        <v>30</v>
      </c>
      <c r="T1595" s="362">
        <v>20</v>
      </c>
      <c r="U1595" s="361">
        <v>74.819999999999993</v>
      </c>
      <c r="V1595" s="346">
        <v>115.59813791966883</v>
      </c>
      <c r="W1595" s="348">
        <v>116.36315516551322</v>
      </c>
      <c r="X1595" s="347">
        <v>58.31</v>
      </c>
      <c r="Y1595" s="357">
        <v>60.309999999999995</v>
      </c>
      <c r="Z1595" s="365" t="s">
        <v>3017</v>
      </c>
      <c r="AA1595" s="350">
        <v>138</v>
      </c>
      <c r="AB1595" s="349" t="s">
        <v>2685</v>
      </c>
      <c r="AC1595" s="350">
        <v>10</v>
      </c>
      <c r="AD1595" s="349" t="s">
        <v>2685</v>
      </c>
      <c r="AE1595" s="364">
        <v>0</v>
      </c>
      <c r="AF1595" s="366">
        <v>0</v>
      </c>
      <c r="AG1595" s="363">
        <v>0</v>
      </c>
      <c r="AH1595" s="635" t="s">
        <v>408</v>
      </c>
      <c r="AL1595" s="487" t="s">
        <v>15982</v>
      </c>
      <c r="AM1595" s="477" t="s">
        <v>71</v>
      </c>
      <c r="AN1595" s="637">
        <v>100</v>
      </c>
      <c r="AO1595" s="478">
        <v>-1570</v>
      </c>
      <c r="AP1595" s="463">
        <v>-691</v>
      </c>
      <c r="AQ1595" s="479">
        <v>-879</v>
      </c>
      <c r="AR1595" s="476" t="s">
        <v>17669</v>
      </c>
      <c r="BA1595" s="313" t="s">
        <v>6218</v>
      </c>
    </row>
    <row r="1596" spans="2:53" ht="16.5" customHeight="1">
      <c r="B1596" s="367" t="s">
        <v>6116</v>
      </c>
      <c r="C1596" s="351" t="s">
        <v>6117</v>
      </c>
      <c r="D1596" s="353">
        <v>-1570</v>
      </c>
      <c r="E1596" s="352" t="s">
        <v>12170</v>
      </c>
      <c r="F1596" s="341">
        <v>74.81</v>
      </c>
      <c r="G1596" s="355" t="s">
        <v>18949</v>
      </c>
      <c r="H1596" s="356" t="s">
        <v>11845</v>
      </c>
      <c r="I1596" s="354" t="s">
        <v>446</v>
      </c>
      <c r="J1596" s="340" t="s">
        <v>12171</v>
      </c>
      <c r="K1596" s="339" t="s">
        <v>71</v>
      </c>
      <c r="L1596" s="357">
        <v>12</v>
      </c>
      <c r="M1596" s="358" t="s">
        <v>12172</v>
      </c>
      <c r="N1596" s="359">
        <v>1000</v>
      </c>
      <c r="O1596" s="360" t="s">
        <v>454</v>
      </c>
      <c r="P1596" s="343" t="s">
        <v>454</v>
      </c>
      <c r="Q1596" s="342" t="s">
        <v>2688</v>
      </c>
      <c r="R1596" s="344">
        <v>35</v>
      </c>
      <c r="S1596" s="345">
        <v>30</v>
      </c>
      <c r="T1596" s="362">
        <v>25</v>
      </c>
      <c r="U1596" s="361">
        <v>74.81</v>
      </c>
      <c r="V1596" s="346">
        <v>115.59150326797386</v>
      </c>
      <c r="W1596" s="348">
        <v>116.35912698412699</v>
      </c>
      <c r="X1596" s="347">
        <v>58.31</v>
      </c>
      <c r="Y1596" s="357" t="s">
        <v>408</v>
      </c>
      <c r="Z1596" s="365" t="s">
        <v>3017</v>
      </c>
      <c r="AA1596" s="350">
        <v>98</v>
      </c>
      <c r="AB1596" s="349" t="s">
        <v>2685</v>
      </c>
      <c r="AC1596" s="350">
        <v>0</v>
      </c>
      <c r="AD1596" s="349" t="s">
        <v>2685</v>
      </c>
      <c r="AE1596" s="364">
        <v>0</v>
      </c>
      <c r="AF1596" s="366">
        <v>0</v>
      </c>
      <c r="AG1596" s="363">
        <v>0</v>
      </c>
      <c r="AH1596" s="635" t="s">
        <v>408</v>
      </c>
      <c r="AL1596" s="487" t="s">
        <v>15983</v>
      </c>
      <c r="AM1596" s="477" t="s">
        <v>71</v>
      </c>
      <c r="AN1596" s="637">
        <v>100</v>
      </c>
      <c r="AO1596" s="478">
        <v>-1570</v>
      </c>
      <c r="AP1596" s="463">
        <v>-691</v>
      </c>
      <c r="AQ1596" s="479">
        <v>-879</v>
      </c>
      <c r="AR1596" s="476" t="s">
        <v>17670</v>
      </c>
      <c r="BA1596" s="313" t="s">
        <v>6220</v>
      </c>
    </row>
    <row r="1597" spans="2:53" ht="16.5" customHeight="1">
      <c r="B1597" s="367" t="s">
        <v>6124</v>
      </c>
      <c r="C1597" s="351" t="s">
        <v>6125</v>
      </c>
      <c r="D1597" s="353">
        <v>-1570</v>
      </c>
      <c r="E1597" s="352" t="s">
        <v>6081</v>
      </c>
      <c r="F1597" s="341">
        <v>74.75</v>
      </c>
      <c r="G1597" s="355" t="s">
        <v>12174</v>
      </c>
      <c r="H1597" s="356" t="s">
        <v>5621</v>
      </c>
      <c r="I1597" s="354" t="s">
        <v>214</v>
      </c>
      <c r="J1597" s="340" t="s">
        <v>8835</v>
      </c>
      <c r="K1597" s="339" t="s">
        <v>70</v>
      </c>
      <c r="L1597" s="357">
        <v>7</v>
      </c>
      <c r="M1597" s="358" t="s">
        <v>12175</v>
      </c>
      <c r="N1597" s="359">
        <v>200</v>
      </c>
      <c r="O1597" s="360" t="s">
        <v>532</v>
      </c>
      <c r="P1597" s="343" t="s">
        <v>532</v>
      </c>
      <c r="Q1597" s="342" t="s">
        <v>2688</v>
      </c>
      <c r="R1597" s="344">
        <v>20</v>
      </c>
      <c r="S1597" s="345">
        <v>30</v>
      </c>
      <c r="T1597" s="362">
        <v>30</v>
      </c>
      <c r="U1597" s="361">
        <v>74.75</v>
      </c>
      <c r="V1597" s="346">
        <v>115.55957533407424</v>
      </c>
      <c r="W1597" s="348">
        <v>116.3397421671165</v>
      </c>
      <c r="X1597" s="347" t="s">
        <v>18950</v>
      </c>
      <c r="Y1597" s="357" t="s">
        <v>408</v>
      </c>
      <c r="Z1597" s="365" t="s">
        <v>4408</v>
      </c>
      <c r="AA1597" s="350">
        <v>36</v>
      </c>
      <c r="AB1597" s="349" t="s">
        <v>2685</v>
      </c>
      <c r="AC1597" s="350">
        <v>0</v>
      </c>
      <c r="AD1597" s="349" t="s">
        <v>2685</v>
      </c>
      <c r="AE1597" s="364">
        <v>0</v>
      </c>
      <c r="AF1597" s="366">
        <v>0</v>
      </c>
      <c r="AG1597" s="363">
        <v>0</v>
      </c>
      <c r="AH1597" s="635" t="s">
        <v>408</v>
      </c>
      <c r="AL1597" s="487" t="s">
        <v>15987</v>
      </c>
      <c r="AM1597" s="477" t="s">
        <v>70</v>
      </c>
      <c r="AN1597" s="637">
        <v>100</v>
      </c>
      <c r="AO1597" s="478">
        <v>-1570</v>
      </c>
      <c r="AP1597" s="463">
        <v>-1570</v>
      </c>
      <c r="AQ1597" s="479">
        <v>0</v>
      </c>
      <c r="AR1597" s="476" t="s">
        <v>17671</v>
      </c>
      <c r="BA1597" s="313" t="s">
        <v>6222</v>
      </c>
    </row>
    <row r="1598" spans="2:53" ht="16.5" customHeight="1">
      <c r="B1598" s="367" t="s">
        <v>12151</v>
      </c>
      <c r="C1598" s="351" t="s">
        <v>12152</v>
      </c>
      <c r="D1598" s="353">
        <v>-1570</v>
      </c>
      <c r="E1598" s="352" t="s">
        <v>408</v>
      </c>
      <c r="F1598" s="341">
        <v>74.73</v>
      </c>
      <c r="G1598" s="355" t="s">
        <v>12153</v>
      </c>
      <c r="H1598" s="356" t="s">
        <v>11991</v>
      </c>
      <c r="I1598" s="354" t="s">
        <v>216</v>
      </c>
      <c r="J1598" s="340" t="s">
        <v>8654</v>
      </c>
      <c r="K1598" s="339" t="s">
        <v>71</v>
      </c>
      <c r="L1598" s="357">
        <v>16</v>
      </c>
      <c r="M1598" s="358" t="s">
        <v>12173</v>
      </c>
      <c r="N1598" s="359">
        <v>300</v>
      </c>
      <c r="O1598" s="360" t="s">
        <v>530</v>
      </c>
      <c r="P1598" s="343" t="s">
        <v>530</v>
      </c>
      <c r="Q1598" s="342" t="s">
        <v>2688</v>
      </c>
      <c r="R1598" s="344">
        <v>45</v>
      </c>
      <c r="S1598" s="345">
        <v>25</v>
      </c>
      <c r="T1598" s="362">
        <v>30</v>
      </c>
      <c r="U1598" s="361">
        <v>74.73</v>
      </c>
      <c r="V1598" s="346">
        <v>115.54924844192178</v>
      </c>
      <c r="W1598" s="348">
        <v>116.33347226830965</v>
      </c>
      <c r="X1598" s="347">
        <v>58.29</v>
      </c>
      <c r="Y1598" s="357" t="s">
        <v>408</v>
      </c>
      <c r="Z1598" s="365" t="s">
        <v>3017</v>
      </c>
      <c r="AA1598" s="350">
        <v>-2</v>
      </c>
      <c r="AB1598" s="349" t="s">
        <v>2685</v>
      </c>
      <c r="AC1598" s="350">
        <v>0</v>
      </c>
      <c r="AD1598" s="349" t="s">
        <v>2685</v>
      </c>
      <c r="AE1598" s="364">
        <v>0</v>
      </c>
      <c r="AF1598" s="366">
        <v>0</v>
      </c>
      <c r="AG1598" s="363">
        <v>0</v>
      </c>
      <c r="AH1598" s="635" t="s">
        <v>408</v>
      </c>
      <c r="AL1598" s="487" t="s">
        <v>15984</v>
      </c>
      <c r="AM1598" s="477" t="s">
        <v>71</v>
      </c>
      <c r="AN1598" s="637">
        <v>100</v>
      </c>
      <c r="AO1598" s="478">
        <v>-1570</v>
      </c>
      <c r="AP1598" s="463">
        <v>-690</v>
      </c>
      <c r="AQ1598" s="479">
        <v>-880</v>
      </c>
      <c r="AR1598" s="476" t="s">
        <v>17672</v>
      </c>
      <c r="BA1598" s="313" t="s">
        <v>6223</v>
      </c>
    </row>
    <row r="1599" spans="2:53" ht="16.5" customHeight="1">
      <c r="B1599" s="367" t="s">
        <v>6134</v>
      </c>
      <c r="C1599" s="351" t="s">
        <v>6135</v>
      </c>
      <c r="D1599" s="353">
        <v>-1570</v>
      </c>
      <c r="E1599" s="352" t="s">
        <v>408</v>
      </c>
      <c r="F1599" s="341">
        <v>74.72</v>
      </c>
      <c r="G1599" s="355" t="s">
        <v>6067</v>
      </c>
      <c r="H1599" s="356" t="s">
        <v>11619</v>
      </c>
      <c r="I1599" s="354" t="s">
        <v>446</v>
      </c>
      <c r="J1599" s="340" t="s">
        <v>10636</v>
      </c>
      <c r="K1599" s="339" t="s">
        <v>70</v>
      </c>
      <c r="L1599" s="357">
        <v>10</v>
      </c>
      <c r="M1599" s="358" t="s">
        <v>6166</v>
      </c>
      <c r="N1599" s="359">
        <v>1000</v>
      </c>
      <c r="O1599" s="360" t="s">
        <v>454</v>
      </c>
      <c r="P1599" s="343" t="s">
        <v>454</v>
      </c>
      <c r="Q1599" s="342" t="s">
        <v>2688</v>
      </c>
      <c r="R1599" s="344">
        <v>25</v>
      </c>
      <c r="S1599" s="345">
        <v>35</v>
      </c>
      <c r="T1599" s="362">
        <v>30</v>
      </c>
      <c r="U1599" s="361">
        <v>74.72</v>
      </c>
      <c r="V1599" s="346">
        <v>115.54248366013073</v>
      </c>
      <c r="W1599" s="348">
        <v>116.32936507936508</v>
      </c>
      <c r="X1599" s="347">
        <v>58.17</v>
      </c>
      <c r="Y1599" s="357" t="s">
        <v>408</v>
      </c>
      <c r="Z1599" s="365" t="s">
        <v>3017</v>
      </c>
      <c r="AA1599" s="350">
        <v>98</v>
      </c>
      <c r="AB1599" s="349" t="s">
        <v>2685</v>
      </c>
      <c r="AC1599" s="350">
        <v>0</v>
      </c>
      <c r="AD1599" s="349" t="s">
        <v>2685</v>
      </c>
      <c r="AE1599" s="364">
        <v>0</v>
      </c>
      <c r="AF1599" s="366">
        <v>0</v>
      </c>
      <c r="AG1599" s="363">
        <v>0</v>
      </c>
      <c r="AH1599" s="635" t="s">
        <v>408</v>
      </c>
      <c r="AL1599" s="487" t="s">
        <v>15985</v>
      </c>
      <c r="AM1599" s="477" t="s">
        <v>70</v>
      </c>
      <c r="AN1599" s="637">
        <v>100</v>
      </c>
      <c r="AO1599" s="478">
        <v>-1570</v>
      </c>
      <c r="AP1599" s="463">
        <v>-1570</v>
      </c>
      <c r="AQ1599" s="479">
        <v>0</v>
      </c>
      <c r="AR1599" s="476" t="s">
        <v>17673</v>
      </c>
      <c r="BA1599" s="313" t="s">
        <v>6225</v>
      </c>
    </row>
    <row r="1600" spans="2:53" ht="16.5" customHeight="1">
      <c r="B1600" s="367" t="s">
        <v>6138</v>
      </c>
      <c r="C1600" s="351" t="s">
        <v>6139</v>
      </c>
      <c r="D1600" s="353">
        <v>-1570</v>
      </c>
      <c r="E1600" s="352" t="s">
        <v>6107</v>
      </c>
      <c r="F1600" s="341">
        <v>74.72</v>
      </c>
      <c r="G1600" s="355" t="s">
        <v>6052</v>
      </c>
      <c r="H1600" s="356" t="s">
        <v>5666</v>
      </c>
      <c r="I1600" s="354" t="s">
        <v>9336</v>
      </c>
      <c r="J1600" s="340" t="s">
        <v>12177</v>
      </c>
      <c r="K1600" s="339" t="s">
        <v>71</v>
      </c>
      <c r="L1600" s="357">
        <v>10</v>
      </c>
      <c r="M1600" s="358" t="s">
        <v>12178</v>
      </c>
      <c r="N1600" s="359">
        <v>700</v>
      </c>
      <c r="O1600" s="360" t="s">
        <v>532</v>
      </c>
      <c r="P1600" s="343" t="s">
        <v>533</v>
      </c>
      <c r="Q1600" s="342" t="s">
        <v>2688</v>
      </c>
      <c r="R1600" s="344">
        <v>30</v>
      </c>
      <c r="S1600" s="345">
        <v>30</v>
      </c>
      <c r="T1600" s="362">
        <v>20</v>
      </c>
      <c r="U1600" s="361">
        <v>74.72</v>
      </c>
      <c r="V1600" s="346">
        <v>115.53940083342674</v>
      </c>
      <c r="W1600" s="348">
        <v>116.32749336315194</v>
      </c>
      <c r="X1600" s="347">
        <v>58.28</v>
      </c>
      <c r="Y1600" s="357">
        <v>60.23</v>
      </c>
      <c r="Z1600" s="365" t="s">
        <v>3017</v>
      </c>
      <c r="AA1600" s="350">
        <v>138</v>
      </c>
      <c r="AB1600" s="349" t="s">
        <v>2685</v>
      </c>
      <c r="AC1600" s="350">
        <v>10</v>
      </c>
      <c r="AD1600" s="349" t="s">
        <v>2685</v>
      </c>
      <c r="AE1600" s="364">
        <v>0</v>
      </c>
      <c r="AF1600" s="366">
        <v>0</v>
      </c>
      <c r="AG1600" s="363">
        <v>0</v>
      </c>
      <c r="AH1600" s="635" t="s">
        <v>408</v>
      </c>
      <c r="AL1600" s="487" t="s">
        <v>15986</v>
      </c>
      <c r="AM1600" s="477" t="s">
        <v>71</v>
      </c>
      <c r="AN1600" s="637">
        <v>100</v>
      </c>
      <c r="AO1600" s="478">
        <v>-1570</v>
      </c>
      <c r="AP1600" s="463">
        <v>-690</v>
      </c>
      <c r="AQ1600" s="479">
        <v>-880</v>
      </c>
      <c r="AR1600" s="476" t="s">
        <v>17674</v>
      </c>
      <c r="BA1600" s="313" t="s">
        <v>6226</v>
      </c>
    </row>
    <row r="1601" spans="2:53" ht="16.5" customHeight="1">
      <c r="B1601" s="367" t="s">
        <v>12179</v>
      </c>
      <c r="C1601" s="351" t="s">
        <v>12180</v>
      </c>
      <c r="D1601" s="353">
        <v>-1570</v>
      </c>
      <c r="E1601" s="352" t="s">
        <v>408</v>
      </c>
      <c r="F1601" s="341">
        <v>74.69</v>
      </c>
      <c r="G1601" s="355" t="s">
        <v>12181</v>
      </c>
      <c r="H1601" s="356" t="s">
        <v>11621</v>
      </c>
      <c r="I1601" s="354" t="s">
        <v>209</v>
      </c>
      <c r="J1601" s="340" t="s">
        <v>10547</v>
      </c>
      <c r="K1601" s="339" t="s">
        <v>70</v>
      </c>
      <c r="L1601" s="357">
        <v>18</v>
      </c>
      <c r="M1601" s="358" t="s">
        <v>6121</v>
      </c>
      <c r="N1601" s="359">
        <v>1000</v>
      </c>
      <c r="O1601" s="360" t="s">
        <v>530</v>
      </c>
      <c r="P1601" s="343" t="s">
        <v>530</v>
      </c>
      <c r="Q1601" s="342" t="s">
        <v>2688</v>
      </c>
      <c r="R1601" s="344">
        <v>20</v>
      </c>
      <c r="S1601" s="345">
        <v>30</v>
      </c>
      <c r="T1601" s="362">
        <v>30</v>
      </c>
      <c r="U1601" s="361">
        <v>74.69</v>
      </c>
      <c r="V1601" s="346">
        <v>115.52531054150943</v>
      </c>
      <c r="W1601" s="348">
        <v>116.31893854305929</v>
      </c>
      <c r="X1601" s="347">
        <v>58.16</v>
      </c>
      <c r="Y1601" s="357" t="s">
        <v>408</v>
      </c>
      <c r="Z1601" s="365" t="s">
        <v>3017</v>
      </c>
      <c r="AA1601" s="350">
        <v>198</v>
      </c>
      <c r="AB1601" s="349" t="s">
        <v>2685</v>
      </c>
      <c r="AC1601" s="350">
        <v>10</v>
      </c>
      <c r="AD1601" s="349" t="s">
        <v>2685</v>
      </c>
      <c r="AE1601" s="364">
        <v>0</v>
      </c>
      <c r="AF1601" s="366">
        <v>0</v>
      </c>
      <c r="AG1601" s="363">
        <v>0</v>
      </c>
      <c r="AH1601" s="635" t="s">
        <v>408</v>
      </c>
      <c r="AL1601" s="487" t="s">
        <v>15988</v>
      </c>
      <c r="AM1601" s="477" t="s">
        <v>70</v>
      </c>
      <c r="AN1601" s="637">
        <v>100</v>
      </c>
      <c r="AO1601" s="478">
        <v>-1570</v>
      </c>
      <c r="AP1601" s="463">
        <v>-1570</v>
      </c>
      <c r="AQ1601" s="479">
        <v>0</v>
      </c>
      <c r="AR1601" s="476" t="s">
        <v>17675</v>
      </c>
      <c r="BA1601" s="313" t="s">
        <v>6227</v>
      </c>
    </row>
    <row r="1602" spans="2:53" ht="16.5" customHeight="1">
      <c r="B1602" s="367" t="s">
        <v>12182</v>
      </c>
      <c r="C1602" s="351" t="s">
        <v>12183</v>
      </c>
      <c r="D1602" s="353">
        <v>-1570</v>
      </c>
      <c r="E1602" s="352" t="s">
        <v>6111</v>
      </c>
      <c r="F1602" s="341">
        <v>74.69</v>
      </c>
      <c r="G1602" s="355" t="s">
        <v>6086</v>
      </c>
      <c r="H1602" s="356" t="s">
        <v>18951</v>
      </c>
      <c r="I1602" s="354" t="s">
        <v>446</v>
      </c>
      <c r="J1602" s="340" t="s">
        <v>561</v>
      </c>
      <c r="K1602" s="339" t="s">
        <v>71</v>
      </c>
      <c r="L1602" s="357">
        <v>7</v>
      </c>
      <c r="M1602" s="358" t="s">
        <v>12184</v>
      </c>
      <c r="N1602" s="359">
        <v>1000</v>
      </c>
      <c r="O1602" s="360" t="s">
        <v>454</v>
      </c>
      <c r="P1602" s="343" t="s">
        <v>454</v>
      </c>
      <c r="Q1602" s="342" t="s">
        <v>2688</v>
      </c>
      <c r="R1602" s="344">
        <v>35</v>
      </c>
      <c r="S1602" s="345">
        <v>30</v>
      </c>
      <c r="T1602" s="362">
        <v>25</v>
      </c>
      <c r="U1602" s="361">
        <v>74.69</v>
      </c>
      <c r="V1602" s="346">
        <v>115.52614379084967</v>
      </c>
      <c r="W1602" s="348">
        <v>116.31944444444444</v>
      </c>
      <c r="X1602" s="347">
        <v>58.28</v>
      </c>
      <c r="Y1602" s="357" t="s">
        <v>408</v>
      </c>
      <c r="Z1602" s="365" t="s">
        <v>3017</v>
      </c>
      <c r="AA1602" s="350">
        <v>98</v>
      </c>
      <c r="AB1602" s="349" t="s">
        <v>2685</v>
      </c>
      <c r="AC1602" s="350">
        <v>0</v>
      </c>
      <c r="AD1602" s="349" t="s">
        <v>2685</v>
      </c>
      <c r="AE1602" s="364">
        <v>0</v>
      </c>
      <c r="AF1602" s="366">
        <v>0</v>
      </c>
      <c r="AG1602" s="363">
        <v>0</v>
      </c>
      <c r="AH1602" s="635" t="s">
        <v>408</v>
      </c>
      <c r="AL1602" s="487" t="s">
        <v>15989</v>
      </c>
      <c r="AM1602" s="477" t="s">
        <v>71</v>
      </c>
      <c r="AN1602" s="637">
        <v>100</v>
      </c>
      <c r="AO1602" s="478">
        <v>-1570</v>
      </c>
      <c r="AP1602" s="463">
        <v>-690</v>
      </c>
      <c r="AQ1602" s="479">
        <v>-880</v>
      </c>
      <c r="AR1602" s="476" t="s">
        <v>17676</v>
      </c>
      <c r="BA1602" s="313" t="s">
        <v>6228</v>
      </c>
    </row>
    <row r="1603" spans="2:53" ht="16.5" customHeight="1">
      <c r="B1603" s="367" t="s">
        <v>12185</v>
      </c>
      <c r="C1603" s="351" t="s">
        <v>12186</v>
      </c>
      <c r="D1603" s="353">
        <v>-1570</v>
      </c>
      <c r="E1603" s="352" t="s">
        <v>6114</v>
      </c>
      <c r="F1603" s="341">
        <v>74.650000000000006</v>
      </c>
      <c r="G1603" s="355" t="s">
        <v>12170</v>
      </c>
      <c r="H1603" s="356" t="s">
        <v>5596</v>
      </c>
      <c r="I1603" s="354" t="s">
        <v>9336</v>
      </c>
      <c r="J1603" s="340" t="s">
        <v>12187</v>
      </c>
      <c r="K1603" s="339" t="s">
        <v>71</v>
      </c>
      <c r="L1603" s="357">
        <v>9</v>
      </c>
      <c r="M1603" s="358" t="s">
        <v>12188</v>
      </c>
      <c r="N1603" s="359">
        <v>700</v>
      </c>
      <c r="O1603" s="360" t="s">
        <v>532</v>
      </c>
      <c r="P1603" s="343" t="s">
        <v>533</v>
      </c>
      <c r="Q1603" s="342" t="s">
        <v>2688</v>
      </c>
      <c r="R1603" s="344">
        <v>30</v>
      </c>
      <c r="S1603" s="345">
        <v>30</v>
      </c>
      <c r="T1603" s="362">
        <v>20</v>
      </c>
      <c r="U1603" s="361">
        <v>74.650000000000006</v>
      </c>
      <c r="V1603" s="346">
        <v>115.50024277593199</v>
      </c>
      <c r="W1603" s="348">
        <v>116.30371882824443</v>
      </c>
      <c r="X1603" s="347">
        <v>58.26</v>
      </c>
      <c r="Y1603" s="357">
        <v>60.18</v>
      </c>
      <c r="Z1603" s="365" t="s">
        <v>3017</v>
      </c>
      <c r="AA1603" s="350">
        <v>138</v>
      </c>
      <c r="AB1603" s="349" t="s">
        <v>2685</v>
      </c>
      <c r="AC1603" s="350">
        <v>10</v>
      </c>
      <c r="AD1603" s="349" t="s">
        <v>2685</v>
      </c>
      <c r="AE1603" s="364">
        <v>0</v>
      </c>
      <c r="AF1603" s="366">
        <v>0</v>
      </c>
      <c r="AG1603" s="363">
        <v>0</v>
      </c>
      <c r="AH1603" s="635" t="s">
        <v>408</v>
      </c>
      <c r="AL1603" s="487" t="s">
        <v>15990</v>
      </c>
      <c r="AM1603" s="477" t="s">
        <v>71</v>
      </c>
      <c r="AN1603" s="637">
        <v>100</v>
      </c>
      <c r="AO1603" s="478">
        <v>-1570</v>
      </c>
      <c r="AP1603" s="463">
        <v>-690</v>
      </c>
      <c r="AQ1603" s="479">
        <v>-880</v>
      </c>
      <c r="AR1603" s="476" t="s">
        <v>17677</v>
      </c>
      <c r="BA1603" s="313" t="s">
        <v>6231</v>
      </c>
    </row>
    <row r="1604" spans="2:53" ht="16.5" customHeight="1">
      <c r="B1604" s="367" t="s">
        <v>12189</v>
      </c>
      <c r="C1604" s="351" t="s">
        <v>12190</v>
      </c>
      <c r="D1604" s="353">
        <v>-1570</v>
      </c>
      <c r="E1604" s="352" t="s">
        <v>408</v>
      </c>
      <c r="F1604" s="341">
        <v>74.64</v>
      </c>
      <c r="G1604" s="355" t="s">
        <v>12191</v>
      </c>
      <c r="H1604" s="356" t="s">
        <v>5635</v>
      </c>
      <c r="I1604" s="354" t="s">
        <v>216</v>
      </c>
      <c r="J1604" s="340" t="s">
        <v>7251</v>
      </c>
      <c r="K1604" s="339" t="s">
        <v>70</v>
      </c>
      <c r="L1604" s="357">
        <v>105</v>
      </c>
      <c r="M1604" s="358" t="s">
        <v>12193</v>
      </c>
      <c r="N1604" s="359">
        <v>300</v>
      </c>
      <c r="O1604" s="360" t="s">
        <v>530</v>
      </c>
      <c r="P1604" s="343" t="s">
        <v>530</v>
      </c>
      <c r="Q1604" s="342" t="s">
        <v>2688</v>
      </c>
      <c r="R1604" s="344">
        <v>25</v>
      </c>
      <c r="S1604" s="345">
        <v>45</v>
      </c>
      <c r="T1604" s="362">
        <v>30</v>
      </c>
      <c r="U1604" s="361">
        <v>74.64</v>
      </c>
      <c r="V1604" s="346">
        <v>115.49351016892268</v>
      </c>
      <c r="W1604" s="348">
        <v>116.29963117398877</v>
      </c>
      <c r="X1604" s="347">
        <v>58.15</v>
      </c>
      <c r="Y1604" s="357" t="s">
        <v>408</v>
      </c>
      <c r="Z1604" s="365" t="s">
        <v>3017</v>
      </c>
      <c r="AA1604" s="350">
        <v>-2</v>
      </c>
      <c r="AB1604" s="349" t="s">
        <v>2685</v>
      </c>
      <c r="AC1604" s="350">
        <v>0</v>
      </c>
      <c r="AD1604" s="349" t="s">
        <v>2685</v>
      </c>
      <c r="AE1604" s="364">
        <v>0</v>
      </c>
      <c r="AF1604" s="366">
        <v>0</v>
      </c>
      <c r="AG1604" s="363">
        <v>0</v>
      </c>
      <c r="AH1604" s="635" t="s">
        <v>408</v>
      </c>
      <c r="AL1604" s="487" t="s">
        <v>15991</v>
      </c>
      <c r="AM1604" s="477" t="s">
        <v>70</v>
      </c>
      <c r="AN1604" s="637">
        <v>100</v>
      </c>
      <c r="AO1604" s="478">
        <v>-1570</v>
      </c>
      <c r="AP1604" s="463">
        <v>-1570</v>
      </c>
      <c r="AQ1604" s="479">
        <v>0</v>
      </c>
      <c r="AR1604" s="476" t="s">
        <v>17678</v>
      </c>
      <c r="BA1604" s="313" t="s">
        <v>6233</v>
      </c>
    </row>
    <row r="1605" spans="2:53" ht="16.5" customHeight="1">
      <c r="B1605" s="367" t="s">
        <v>6144</v>
      </c>
      <c r="C1605" s="351" t="s">
        <v>6145</v>
      </c>
      <c r="D1605" s="353">
        <v>-1570</v>
      </c>
      <c r="E1605" s="352" t="s">
        <v>408</v>
      </c>
      <c r="F1605" s="341">
        <v>74.62</v>
      </c>
      <c r="G1605" s="355" t="s">
        <v>6118</v>
      </c>
      <c r="H1605" s="356" t="s">
        <v>11606</v>
      </c>
      <c r="I1605" s="354" t="s">
        <v>214</v>
      </c>
      <c r="J1605" s="340" t="s">
        <v>12195</v>
      </c>
      <c r="K1605" s="339" t="s">
        <v>70</v>
      </c>
      <c r="L1605" s="357">
        <v>7</v>
      </c>
      <c r="M1605" s="358" t="s">
        <v>12196</v>
      </c>
      <c r="N1605" s="359">
        <v>200</v>
      </c>
      <c r="O1605" s="360" t="s">
        <v>532</v>
      </c>
      <c r="P1605" s="343" t="s">
        <v>532</v>
      </c>
      <c r="Q1605" s="342" t="s">
        <v>2688</v>
      </c>
      <c r="R1605" s="344">
        <v>20</v>
      </c>
      <c r="S1605" s="345">
        <v>30</v>
      </c>
      <c r="T1605" s="362">
        <v>30</v>
      </c>
      <c r="U1605" s="361">
        <v>74.62</v>
      </c>
      <c r="V1605" s="346">
        <v>115.48045371664732</v>
      </c>
      <c r="W1605" s="348">
        <v>116.29170404225016</v>
      </c>
      <c r="X1605" s="347" t="s">
        <v>18952</v>
      </c>
      <c r="Y1605" s="357" t="s">
        <v>408</v>
      </c>
      <c r="Z1605" s="365" t="s">
        <v>4408</v>
      </c>
      <c r="AA1605" s="350">
        <v>36</v>
      </c>
      <c r="AB1605" s="349" t="s">
        <v>2685</v>
      </c>
      <c r="AC1605" s="350">
        <v>0</v>
      </c>
      <c r="AD1605" s="349" t="s">
        <v>2685</v>
      </c>
      <c r="AE1605" s="364">
        <v>0</v>
      </c>
      <c r="AF1605" s="366">
        <v>0</v>
      </c>
      <c r="AG1605" s="363">
        <v>0</v>
      </c>
      <c r="AH1605" s="635" t="s">
        <v>408</v>
      </c>
      <c r="AL1605" s="487" t="s">
        <v>15994</v>
      </c>
      <c r="AM1605" s="477" t="s">
        <v>70</v>
      </c>
      <c r="AN1605" s="637">
        <v>100</v>
      </c>
      <c r="AO1605" s="478">
        <v>-1570</v>
      </c>
      <c r="AP1605" s="463">
        <v>-1570</v>
      </c>
      <c r="AQ1605" s="479">
        <v>0</v>
      </c>
      <c r="AR1605" s="476" t="s">
        <v>17679</v>
      </c>
      <c r="BA1605" s="313" t="s">
        <v>6235</v>
      </c>
    </row>
    <row r="1606" spans="2:53" ht="16.5" customHeight="1">
      <c r="B1606" s="367" t="s">
        <v>12197</v>
      </c>
      <c r="C1606" s="351" t="s">
        <v>12198</v>
      </c>
      <c r="D1606" s="353">
        <v>-1570</v>
      </c>
      <c r="E1606" s="352" t="s">
        <v>408</v>
      </c>
      <c r="F1606" s="341">
        <v>74.62</v>
      </c>
      <c r="G1606" s="355" t="s">
        <v>12199</v>
      </c>
      <c r="H1606" s="356" t="s">
        <v>5638</v>
      </c>
      <c r="I1606" s="354" t="s">
        <v>301</v>
      </c>
      <c r="J1606" s="340" t="s">
        <v>12200</v>
      </c>
      <c r="K1606" s="339" t="s">
        <v>70</v>
      </c>
      <c r="L1606" s="357">
        <v>2</v>
      </c>
      <c r="M1606" s="358" t="s">
        <v>4067</v>
      </c>
      <c r="N1606" s="359">
        <v>1000</v>
      </c>
      <c r="O1606" s="360" t="s">
        <v>530</v>
      </c>
      <c r="P1606" s="343" t="s">
        <v>531</v>
      </c>
      <c r="Q1606" s="342" t="s">
        <v>2688</v>
      </c>
      <c r="R1606" s="344">
        <v>20</v>
      </c>
      <c r="S1606" s="345">
        <v>35</v>
      </c>
      <c r="T1606" s="362">
        <v>25</v>
      </c>
      <c r="U1606" s="361">
        <v>74.62</v>
      </c>
      <c r="V1606" s="346">
        <v>115.48389565615453</v>
      </c>
      <c r="W1606" s="348">
        <v>116.29379379123668</v>
      </c>
      <c r="X1606" s="347">
        <v>58.15</v>
      </c>
      <c r="Y1606" s="357">
        <v>58.379999999999995</v>
      </c>
      <c r="Z1606" s="365" t="s">
        <v>3017</v>
      </c>
      <c r="AA1606" s="350">
        <v>198</v>
      </c>
      <c r="AB1606" s="349" t="s">
        <v>2685</v>
      </c>
      <c r="AC1606" s="350">
        <v>10</v>
      </c>
      <c r="AD1606" s="349" t="s">
        <v>2685</v>
      </c>
      <c r="AE1606" s="364">
        <v>0</v>
      </c>
      <c r="AF1606" s="366">
        <v>10.484</v>
      </c>
      <c r="AG1606" s="363">
        <v>0</v>
      </c>
      <c r="AH1606" s="635" t="s">
        <v>10496</v>
      </c>
      <c r="AL1606" s="487" t="s">
        <v>15992</v>
      </c>
      <c r="AM1606" s="477" t="s">
        <v>70</v>
      </c>
      <c r="AN1606" s="637">
        <v>100</v>
      </c>
      <c r="AO1606" s="478">
        <v>-1570</v>
      </c>
      <c r="AP1606" s="463">
        <v>-1570</v>
      </c>
      <c r="AQ1606" s="479">
        <v>0</v>
      </c>
      <c r="AR1606" s="476" t="s">
        <v>17680</v>
      </c>
      <c r="BA1606" s="313" t="s">
        <v>6237</v>
      </c>
    </row>
    <row r="1607" spans="2:53" ht="16.5" customHeight="1">
      <c r="B1607" s="367" t="s">
        <v>6147</v>
      </c>
      <c r="C1607" s="351" t="s">
        <v>6148</v>
      </c>
      <c r="D1607" s="353">
        <v>-1570</v>
      </c>
      <c r="E1607" s="352" t="s">
        <v>408</v>
      </c>
      <c r="F1607" s="341">
        <v>74.61</v>
      </c>
      <c r="G1607" s="355" t="s">
        <v>12201</v>
      </c>
      <c r="H1607" s="356" t="s">
        <v>18868</v>
      </c>
      <c r="I1607" s="354" t="s">
        <v>446</v>
      </c>
      <c r="J1607" s="340" t="s">
        <v>9795</v>
      </c>
      <c r="K1607" s="339" t="s">
        <v>70</v>
      </c>
      <c r="L1607" s="357">
        <v>20</v>
      </c>
      <c r="M1607" s="358" t="s">
        <v>6185</v>
      </c>
      <c r="N1607" s="359">
        <v>1000</v>
      </c>
      <c r="O1607" s="360" t="s">
        <v>454</v>
      </c>
      <c r="P1607" s="343" t="s">
        <v>454</v>
      </c>
      <c r="Q1607" s="342" t="s">
        <v>2688</v>
      </c>
      <c r="R1607" s="344">
        <v>25</v>
      </c>
      <c r="S1607" s="345">
        <v>35</v>
      </c>
      <c r="T1607" s="362">
        <v>30</v>
      </c>
      <c r="U1607" s="361">
        <v>74.61</v>
      </c>
      <c r="V1607" s="346">
        <v>115.47712418300654</v>
      </c>
      <c r="W1607" s="348">
        <v>116.28968253968254</v>
      </c>
      <c r="X1607" s="347">
        <v>58.15</v>
      </c>
      <c r="Y1607" s="357" t="s">
        <v>408</v>
      </c>
      <c r="Z1607" s="365" t="s">
        <v>3017</v>
      </c>
      <c r="AA1607" s="350">
        <v>98</v>
      </c>
      <c r="AB1607" s="349" t="s">
        <v>2685</v>
      </c>
      <c r="AC1607" s="350">
        <v>0</v>
      </c>
      <c r="AD1607" s="349" t="s">
        <v>2685</v>
      </c>
      <c r="AE1607" s="364">
        <v>0</v>
      </c>
      <c r="AF1607" s="366">
        <v>0</v>
      </c>
      <c r="AG1607" s="363">
        <v>0</v>
      </c>
      <c r="AH1607" s="635" t="s">
        <v>408</v>
      </c>
      <c r="AL1607" s="487" t="s">
        <v>15993</v>
      </c>
      <c r="AM1607" s="477" t="s">
        <v>70</v>
      </c>
      <c r="AN1607" s="637">
        <v>100</v>
      </c>
      <c r="AO1607" s="478">
        <v>-1570</v>
      </c>
      <c r="AP1607" s="463">
        <v>-1570</v>
      </c>
      <c r="AQ1607" s="479">
        <v>0</v>
      </c>
      <c r="AR1607" s="476" t="s">
        <v>17681</v>
      </c>
      <c r="BA1607" s="313" t="s">
        <v>6238</v>
      </c>
    </row>
    <row r="1608" spans="2:53" ht="16.5" customHeight="1">
      <c r="B1608" s="367" t="s">
        <v>12202</v>
      </c>
      <c r="C1608" s="351" t="s">
        <v>12203</v>
      </c>
      <c r="D1608" s="353">
        <v>-1570</v>
      </c>
      <c r="E1608" s="352" t="s">
        <v>408</v>
      </c>
      <c r="F1608" s="341">
        <v>74.58</v>
      </c>
      <c r="G1608" s="355" t="s">
        <v>6120</v>
      </c>
      <c r="H1608" s="356" t="s">
        <v>11893</v>
      </c>
      <c r="I1608" s="354" t="s">
        <v>215</v>
      </c>
      <c r="J1608" s="340" t="s">
        <v>10547</v>
      </c>
      <c r="K1608" s="339" t="s">
        <v>70</v>
      </c>
      <c r="L1608" s="357">
        <v>7</v>
      </c>
      <c r="M1608" s="358" t="s">
        <v>12204</v>
      </c>
      <c r="N1608" s="359">
        <v>1000</v>
      </c>
      <c r="O1608" s="360" t="s">
        <v>530</v>
      </c>
      <c r="P1608" s="343" t="s">
        <v>531</v>
      </c>
      <c r="Q1608" s="342" t="s">
        <v>2688</v>
      </c>
      <c r="R1608" s="344">
        <v>25</v>
      </c>
      <c r="S1608" s="345">
        <v>38</v>
      </c>
      <c r="T1608" s="362">
        <v>25</v>
      </c>
      <c r="U1608" s="361">
        <v>74.58</v>
      </c>
      <c r="V1608" s="346">
        <v>115.45619551236243</v>
      </c>
      <c r="W1608" s="348">
        <v>116.27697584679149</v>
      </c>
      <c r="X1608" s="347">
        <v>58.14</v>
      </c>
      <c r="Y1608" s="357">
        <v>58.089999999999996</v>
      </c>
      <c r="Z1608" s="365" t="s">
        <v>3017</v>
      </c>
      <c r="AA1608" s="350">
        <v>121.25</v>
      </c>
      <c r="AB1608" s="349" t="s">
        <v>2685</v>
      </c>
      <c r="AC1608" s="350">
        <v>10</v>
      </c>
      <c r="AD1608" s="349" t="s">
        <v>2685</v>
      </c>
      <c r="AE1608" s="364">
        <v>0</v>
      </c>
      <c r="AF1608" s="366">
        <v>0</v>
      </c>
      <c r="AG1608" s="363">
        <v>0</v>
      </c>
      <c r="AH1608" s="635" t="s">
        <v>408</v>
      </c>
      <c r="AL1608" s="487" t="s">
        <v>15995</v>
      </c>
      <c r="AM1608" s="477" t="s">
        <v>70</v>
      </c>
      <c r="AN1608" s="637">
        <v>100</v>
      </c>
      <c r="AO1608" s="478">
        <v>-1570</v>
      </c>
      <c r="AP1608" s="463">
        <v>-1570</v>
      </c>
      <c r="AQ1608" s="479">
        <v>0</v>
      </c>
      <c r="AR1608" s="476" t="s">
        <v>17682</v>
      </c>
      <c r="BA1608" s="313" t="s">
        <v>6240</v>
      </c>
    </row>
    <row r="1609" spans="2:53" ht="16.5" customHeight="1">
      <c r="B1609" s="367" t="s">
        <v>6156</v>
      </c>
      <c r="C1609" s="351" t="s">
        <v>6157</v>
      </c>
      <c r="D1609" s="353">
        <v>-1570</v>
      </c>
      <c r="E1609" s="352" t="s">
        <v>12205</v>
      </c>
      <c r="F1609" s="341">
        <v>74.58</v>
      </c>
      <c r="G1609" s="355" t="s">
        <v>6101</v>
      </c>
      <c r="H1609" s="356" t="s">
        <v>12021</v>
      </c>
      <c r="I1609" s="354" t="s">
        <v>9336</v>
      </c>
      <c r="J1609" s="340" t="s">
        <v>12207</v>
      </c>
      <c r="K1609" s="339" t="s">
        <v>71</v>
      </c>
      <c r="L1609" s="357">
        <v>7</v>
      </c>
      <c r="M1609" s="358" t="s">
        <v>12208</v>
      </c>
      <c r="N1609" s="359">
        <v>700</v>
      </c>
      <c r="O1609" s="360" t="s">
        <v>532</v>
      </c>
      <c r="P1609" s="343" t="s">
        <v>533</v>
      </c>
      <c r="Q1609" s="342" t="s">
        <v>2688</v>
      </c>
      <c r="R1609" s="344">
        <v>30</v>
      </c>
      <c r="S1609" s="345">
        <v>30</v>
      </c>
      <c r="T1609" s="362">
        <v>20</v>
      </c>
      <c r="U1609" s="361">
        <v>74.58</v>
      </c>
      <c r="V1609" s="346">
        <v>115.46108471843728</v>
      </c>
      <c r="W1609" s="348">
        <v>116.27994429333692</v>
      </c>
      <c r="X1609" s="347">
        <v>58.24</v>
      </c>
      <c r="Y1609" s="357">
        <v>60.12</v>
      </c>
      <c r="Z1609" s="365" t="s">
        <v>3017</v>
      </c>
      <c r="AA1609" s="350">
        <v>138</v>
      </c>
      <c r="AB1609" s="349" t="s">
        <v>2685</v>
      </c>
      <c r="AC1609" s="350">
        <v>10</v>
      </c>
      <c r="AD1609" s="349" t="s">
        <v>2685</v>
      </c>
      <c r="AE1609" s="364">
        <v>0</v>
      </c>
      <c r="AF1609" s="366">
        <v>0</v>
      </c>
      <c r="AG1609" s="363">
        <v>0</v>
      </c>
      <c r="AH1609" s="635" t="s">
        <v>408</v>
      </c>
      <c r="AL1609" s="487" t="s">
        <v>15996</v>
      </c>
      <c r="AM1609" s="477" t="s">
        <v>71</v>
      </c>
      <c r="AN1609" s="637">
        <v>100</v>
      </c>
      <c r="AO1609" s="478">
        <v>-1570</v>
      </c>
      <c r="AP1609" s="463">
        <v>-689</v>
      </c>
      <c r="AQ1609" s="479">
        <v>-881</v>
      </c>
      <c r="AR1609" s="476" t="s">
        <v>17683</v>
      </c>
      <c r="BA1609" s="313" t="s">
        <v>6245</v>
      </c>
    </row>
    <row r="1610" spans="2:53" ht="16.5" customHeight="1">
      <c r="B1610" s="367" t="s">
        <v>12209</v>
      </c>
      <c r="C1610" s="351" t="s">
        <v>12210</v>
      </c>
      <c r="D1610" s="353">
        <v>-1570</v>
      </c>
      <c r="E1610" s="352" t="s">
        <v>408</v>
      </c>
      <c r="F1610" s="341">
        <v>74.56</v>
      </c>
      <c r="G1610" s="355" t="s">
        <v>12211</v>
      </c>
      <c r="H1610" s="356" t="s">
        <v>5699</v>
      </c>
      <c r="I1610" s="354" t="s">
        <v>423</v>
      </c>
      <c r="J1610" s="340" t="s">
        <v>555</v>
      </c>
      <c r="K1610" s="339" t="s">
        <v>70</v>
      </c>
      <c r="L1610" s="357">
        <v>11</v>
      </c>
      <c r="M1610" s="358" t="s">
        <v>12213</v>
      </c>
      <c r="N1610" s="359">
        <v>1000</v>
      </c>
      <c r="O1610" s="360" t="s">
        <v>530</v>
      </c>
      <c r="P1610" s="343" t="s">
        <v>531</v>
      </c>
      <c r="Q1610" s="342" t="s">
        <v>2688</v>
      </c>
      <c r="R1610" s="344">
        <v>20</v>
      </c>
      <c r="S1610" s="345">
        <v>35</v>
      </c>
      <c r="T1610" s="362">
        <v>25</v>
      </c>
      <c r="U1610" s="361">
        <v>74.56</v>
      </c>
      <c r="V1610" s="346">
        <v>115.44444444444444</v>
      </c>
      <c r="W1610" s="348">
        <v>116.26984126984128</v>
      </c>
      <c r="X1610" s="347">
        <v>58.13</v>
      </c>
      <c r="Y1610" s="357">
        <v>58.36</v>
      </c>
      <c r="Z1610" s="365" t="s">
        <v>3017</v>
      </c>
      <c r="AA1610" s="350">
        <v>198</v>
      </c>
      <c r="AB1610" s="349" t="s">
        <v>2685</v>
      </c>
      <c r="AC1610" s="350">
        <v>10</v>
      </c>
      <c r="AD1610" s="349" t="s">
        <v>2685</v>
      </c>
      <c r="AE1610" s="364">
        <v>0</v>
      </c>
      <c r="AF1610" s="366">
        <v>13.398999999999999</v>
      </c>
      <c r="AG1610" s="363">
        <v>0</v>
      </c>
      <c r="AH1610" s="635" t="s">
        <v>11625</v>
      </c>
      <c r="AL1610" s="487" t="s">
        <v>15997</v>
      </c>
      <c r="AM1610" s="477" t="s">
        <v>70</v>
      </c>
      <c r="AN1610" s="637">
        <v>100</v>
      </c>
      <c r="AO1610" s="478">
        <v>-1570</v>
      </c>
      <c r="AP1610" s="463">
        <v>-1570</v>
      </c>
      <c r="AQ1610" s="479">
        <v>0</v>
      </c>
      <c r="AR1610" s="476" t="s">
        <v>17684</v>
      </c>
      <c r="BA1610" s="313" t="s">
        <v>6249</v>
      </c>
    </row>
    <row r="1611" spans="2:53" ht="16.5" customHeight="1">
      <c r="B1611" s="367" t="s">
        <v>6162</v>
      </c>
      <c r="C1611" s="351" t="s">
        <v>6163</v>
      </c>
      <c r="D1611" s="353">
        <v>-1570</v>
      </c>
      <c r="E1611" s="352" t="s">
        <v>12201</v>
      </c>
      <c r="F1611" s="341">
        <v>74.5</v>
      </c>
      <c r="G1611" s="355" t="s">
        <v>6136</v>
      </c>
      <c r="H1611" s="356" t="s">
        <v>5662</v>
      </c>
      <c r="I1611" s="354" t="s">
        <v>497</v>
      </c>
      <c r="J1611" s="340" t="s">
        <v>11337</v>
      </c>
      <c r="K1611" s="339" t="s">
        <v>71</v>
      </c>
      <c r="L1611" s="357">
        <v>3</v>
      </c>
      <c r="M1611" s="358" t="s">
        <v>12215</v>
      </c>
      <c r="N1611" s="359">
        <v>200</v>
      </c>
      <c r="O1611" s="360" t="s">
        <v>454</v>
      </c>
      <c r="P1611" s="343" t="s">
        <v>454</v>
      </c>
      <c r="Q1611" s="342" t="s">
        <v>2738</v>
      </c>
      <c r="R1611" s="344">
        <v>50</v>
      </c>
      <c r="S1611" s="345">
        <v>0</v>
      </c>
      <c r="T1611" s="362">
        <v>0</v>
      </c>
      <c r="U1611" s="361">
        <v>74.5</v>
      </c>
      <c r="V1611" s="346">
        <v>115.41176470588235</v>
      </c>
      <c r="W1611" s="348">
        <v>116.25</v>
      </c>
      <c r="X1611" s="347">
        <v>58.12</v>
      </c>
      <c r="Y1611" s="357" t="s">
        <v>408</v>
      </c>
      <c r="Z1611" s="365" t="s">
        <v>4408</v>
      </c>
      <c r="AA1611" s="350">
        <v>94</v>
      </c>
      <c r="AB1611" s="349" t="s">
        <v>2685</v>
      </c>
      <c r="AC1611" s="350">
        <v>1.5</v>
      </c>
      <c r="AD1611" s="349" t="s">
        <v>2685</v>
      </c>
      <c r="AE1611" s="364">
        <v>0</v>
      </c>
      <c r="AF1611" s="366">
        <v>0</v>
      </c>
      <c r="AG1611" s="363">
        <v>0</v>
      </c>
      <c r="AH1611" s="635" t="s">
        <v>10127</v>
      </c>
      <c r="AL1611" s="487" t="s">
        <v>15998</v>
      </c>
      <c r="AM1611" s="477" t="s">
        <v>71</v>
      </c>
      <c r="AN1611" s="637">
        <v>100</v>
      </c>
      <c r="AO1611" s="478">
        <v>-1570</v>
      </c>
      <c r="AP1611" s="463">
        <v>-688</v>
      </c>
      <c r="AQ1611" s="479">
        <v>-882</v>
      </c>
      <c r="AR1611" s="476" t="s">
        <v>17685</v>
      </c>
      <c r="BA1611" s="313" t="s">
        <v>6253</v>
      </c>
    </row>
    <row r="1612" spans="2:53" ht="16.5" customHeight="1">
      <c r="B1612" s="367" t="s">
        <v>6169</v>
      </c>
      <c r="C1612" s="351" t="s">
        <v>6170</v>
      </c>
      <c r="D1612" s="353">
        <v>-1570</v>
      </c>
      <c r="E1612" s="352" t="s">
        <v>408</v>
      </c>
      <c r="F1612" s="341">
        <v>74.5</v>
      </c>
      <c r="G1612" s="355" t="s">
        <v>18953</v>
      </c>
      <c r="H1612" s="356" t="s">
        <v>5705</v>
      </c>
      <c r="I1612" s="354" t="s">
        <v>485</v>
      </c>
      <c r="J1612" s="340" t="s">
        <v>492</v>
      </c>
      <c r="K1612" s="339" t="s">
        <v>71</v>
      </c>
      <c r="L1612" s="357">
        <v>21</v>
      </c>
      <c r="M1612" s="358" t="s">
        <v>6208</v>
      </c>
      <c r="N1612" s="359">
        <v>100</v>
      </c>
      <c r="O1612" s="360" t="s">
        <v>454</v>
      </c>
      <c r="P1612" s="343" t="s">
        <v>454</v>
      </c>
      <c r="Q1612" s="342" t="s">
        <v>2738</v>
      </c>
      <c r="R1612" s="344">
        <v>35</v>
      </c>
      <c r="S1612" s="345">
        <v>30</v>
      </c>
      <c r="T1612" s="362">
        <v>15</v>
      </c>
      <c r="U1612" s="361">
        <v>74.5</v>
      </c>
      <c r="V1612" s="346">
        <v>115.41176470588235</v>
      </c>
      <c r="W1612" s="348">
        <v>116.25</v>
      </c>
      <c r="X1612" s="347">
        <v>58.22</v>
      </c>
      <c r="Y1612" s="357" t="s">
        <v>408</v>
      </c>
      <c r="Z1612" s="365" t="s">
        <v>3017</v>
      </c>
      <c r="AA1612" s="350">
        <v>19.600000000000001</v>
      </c>
      <c r="AB1612" s="349" t="s">
        <v>2685</v>
      </c>
      <c r="AC1612" s="350">
        <v>0</v>
      </c>
      <c r="AD1612" s="349" t="s">
        <v>2685</v>
      </c>
      <c r="AE1612" s="364">
        <v>0</v>
      </c>
      <c r="AF1612" s="366">
        <v>0</v>
      </c>
      <c r="AG1612" s="363">
        <v>0</v>
      </c>
      <c r="AH1612" s="635" t="s">
        <v>408</v>
      </c>
      <c r="AL1612" s="487" t="s">
        <v>7226</v>
      </c>
      <c r="AM1612" s="477" t="s">
        <v>71</v>
      </c>
      <c r="AN1612" s="637">
        <v>100</v>
      </c>
      <c r="AO1612" s="478">
        <v>-1570</v>
      </c>
      <c r="AP1612" s="463">
        <v>-689</v>
      </c>
      <c r="AQ1612" s="479">
        <v>-881</v>
      </c>
      <c r="AR1612" s="476" t="s">
        <v>17686</v>
      </c>
      <c r="BA1612" s="313" t="s">
        <v>6254</v>
      </c>
    </row>
    <row r="1613" spans="2:53" ht="16.5" customHeight="1">
      <c r="B1613" s="367" t="s">
        <v>12217</v>
      </c>
      <c r="C1613" s="351" t="s">
        <v>12218</v>
      </c>
      <c r="D1613" s="353">
        <v>-1570</v>
      </c>
      <c r="E1613" s="352" t="s">
        <v>12216</v>
      </c>
      <c r="F1613" s="341">
        <v>74.48</v>
      </c>
      <c r="G1613" s="355" t="s">
        <v>6184</v>
      </c>
      <c r="H1613" s="356" t="s">
        <v>5705</v>
      </c>
      <c r="I1613" s="354" t="s">
        <v>215</v>
      </c>
      <c r="J1613" s="340" t="s">
        <v>12219</v>
      </c>
      <c r="K1613" s="339" t="s">
        <v>70</v>
      </c>
      <c r="L1613" s="357">
        <v>5</v>
      </c>
      <c r="M1613" s="358" t="s">
        <v>12220</v>
      </c>
      <c r="N1613" s="359">
        <v>1000</v>
      </c>
      <c r="O1613" s="360" t="s">
        <v>530</v>
      </c>
      <c r="P1613" s="343" t="s">
        <v>531</v>
      </c>
      <c r="Q1613" s="342" t="s">
        <v>2688</v>
      </c>
      <c r="R1613" s="344">
        <v>25</v>
      </c>
      <c r="S1613" s="345">
        <v>38</v>
      </c>
      <c r="T1613" s="362">
        <v>25</v>
      </c>
      <c r="U1613" s="361">
        <v>74.48</v>
      </c>
      <c r="V1613" s="346">
        <v>115.39750369205852</v>
      </c>
      <c r="W1613" s="348">
        <v>116.24134152732124</v>
      </c>
      <c r="X1613" s="347">
        <v>58.12</v>
      </c>
      <c r="Y1613" s="357">
        <v>58.059999999999995</v>
      </c>
      <c r="Z1613" s="365" t="s">
        <v>3017</v>
      </c>
      <c r="AA1613" s="350">
        <v>121.25</v>
      </c>
      <c r="AB1613" s="349" t="s">
        <v>2685</v>
      </c>
      <c r="AC1613" s="350">
        <v>10</v>
      </c>
      <c r="AD1613" s="349" t="s">
        <v>2685</v>
      </c>
      <c r="AE1613" s="364">
        <v>0</v>
      </c>
      <c r="AF1613" s="366">
        <v>0</v>
      </c>
      <c r="AG1613" s="363">
        <v>0</v>
      </c>
      <c r="AH1613" s="635" t="s">
        <v>408</v>
      </c>
      <c r="AL1613" s="487" t="s">
        <v>15999</v>
      </c>
      <c r="AM1613" s="477" t="s">
        <v>70</v>
      </c>
      <c r="AN1613" s="637">
        <v>100</v>
      </c>
      <c r="AO1613" s="478">
        <v>-1570</v>
      </c>
      <c r="AP1613" s="463">
        <v>-1570</v>
      </c>
      <c r="AQ1613" s="479">
        <v>0</v>
      </c>
      <c r="AR1613" s="476" t="s">
        <v>17687</v>
      </c>
      <c r="BA1613" s="313" t="s">
        <v>6257</v>
      </c>
    </row>
    <row r="1614" spans="2:53" ht="16.5" customHeight="1">
      <c r="B1614" s="367" t="s">
        <v>12217</v>
      </c>
      <c r="C1614" s="351" t="s">
        <v>12218</v>
      </c>
      <c r="D1614" s="353">
        <v>-1570</v>
      </c>
      <c r="E1614" s="352" t="s">
        <v>408</v>
      </c>
      <c r="F1614" s="341">
        <v>74.48</v>
      </c>
      <c r="G1614" s="355" t="s">
        <v>6140</v>
      </c>
      <c r="H1614" s="356" t="s">
        <v>5705</v>
      </c>
      <c r="I1614" s="354" t="s">
        <v>215</v>
      </c>
      <c r="J1614" s="340" t="s">
        <v>11304</v>
      </c>
      <c r="K1614" s="339" t="s">
        <v>70</v>
      </c>
      <c r="L1614" s="357">
        <v>7</v>
      </c>
      <c r="M1614" s="358" t="s">
        <v>12221</v>
      </c>
      <c r="N1614" s="359">
        <v>1000</v>
      </c>
      <c r="O1614" s="360" t="s">
        <v>530</v>
      </c>
      <c r="P1614" s="343" t="s">
        <v>531</v>
      </c>
      <c r="Q1614" s="342" t="s">
        <v>2688</v>
      </c>
      <c r="R1614" s="344">
        <v>25</v>
      </c>
      <c r="S1614" s="345">
        <v>38</v>
      </c>
      <c r="T1614" s="362">
        <v>25</v>
      </c>
      <c r="U1614" s="361">
        <v>74.48</v>
      </c>
      <c r="V1614" s="346">
        <v>115.40283931208614</v>
      </c>
      <c r="W1614" s="348">
        <v>116.24458101090944</v>
      </c>
      <c r="X1614" s="347">
        <v>58.12</v>
      </c>
      <c r="Y1614" s="357">
        <v>58.059999999999995</v>
      </c>
      <c r="Z1614" s="365" t="s">
        <v>3017</v>
      </c>
      <c r="AA1614" s="350">
        <v>121.25</v>
      </c>
      <c r="AB1614" s="349" t="s">
        <v>2685</v>
      </c>
      <c r="AC1614" s="350">
        <v>10</v>
      </c>
      <c r="AD1614" s="349" t="s">
        <v>2685</v>
      </c>
      <c r="AE1614" s="364">
        <v>0</v>
      </c>
      <c r="AF1614" s="366">
        <v>0</v>
      </c>
      <c r="AG1614" s="363">
        <v>0</v>
      </c>
      <c r="AH1614" s="635" t="s">
        <v>408</v>
      </c>
      <c r="AL1614" s="487" t="s">
        <v>16000</v>
      </c>
      <c r="AM1614" s="477" t="s">
        <v>70</v>
      </c>
      <c r="AN1614" s="637">
        <v>100</v>
      </c>
      <c r="AO1614" s="478">
        <v>-1570</v>
      </c>
      <c r="AP1614" s="463">
        <v>-1570</v>
      </c>
      <c r="AQ1614" s="479">
        <v>0</v>
      </c>
      <c r="AR1614" s="476" t="s">
        <v>17688</v>
      </c>
      <c r="BA1614" s="313" t="s">
        <v>6258</v>
      </c>
    </row>
    <row r="1615" spans="2:53" ht="16.5" customHeight="1">
      <c r="B1615" s="367" t="s">
        <v>6147</v>
      </c>
      <c r="C1615" s="351" t="s">
        <v>6148</v>
      </c>
      <c r="D1615" s="353">
        <v>-1570</v>
      </c>
      <c r="E1615" s="352" t="s">
        <v>408</v>
      </c>
      <c r="F1615" s="341">
        <v>74.47</v>
      </c>
      <c r="G1615" s="355" t="s">
        <v>12201</v>
      </c>
      <c r="H1615" s="356" t="s">
        <v>18954</v>
      </c>
      <c r="I1615" s="354" t="s">
        <v>214</v>
      </c>
      <c r="J1615" s="340" t="s">
        <v>8753</v>
      </c>
      <c r="K1615" s="339" t="s">
        <v>71</v>
      </c>
      <c r="L1615" s="357">
        <v>7</v>
      </c>
      <c r="M1615" s="358" t="s">
        <v>12214</v>
      </c>
      <c r="N1615" s="359">
        <v>200</v>
      </c>
      <c r="O1615" s="360" t="s">
        <v>532</v>
      </c>
      <c r="P1615" s="343" t="s">
        <v>532</v>
      </c>
      <c r="Q1615" s="342" t="s">
        <v>2688</v>
      </c>
      <c r="R1615" s="344">
        <v>30</v>
      </c>
      <c r="S1615" s="345">
        <v>20</v>
      </c>
      <c r="T1615" s="362">
        <v>30</v>
      </c>
      <c r="U1615" s="361">
        <v>74.47</v>
      </c>
      <c r="V1615" s="346">
        <v>115.39368075008159</v>
      </c>
      <c r="W1615" s="348">
        <v>116.23902045540667</v>
      </c>
      <c r="X1615" s="347" t="s">
        <v>18955</v>
      </c>
      <c r="Y1615" s="357" t="s">
        <v>408</v>
      </c>
      <c r="Z1615" s="365" t="s">
        <v>4408</v>
      </c>
      <c r="AA1615" s="350">
        <v>36</v>
      </c>
      <c r="AB1615" s="349" t="s">
        <v>2685</v>
      </c>
      <c r="AC1615" s="350">
        <v>0</v>
      </c>
      <c r="AD1615" s="349" t="s">
        <v>2685</v>
      </c>
      <c r="AE1615" s="364">
        <v>0</v>
      </c>
      <c r="AF1615" s="366">
        <v>0</v>
      </c>
      <c r="AG1615" s="363">
        <v>0</v>
      </c>
      <c r="AH1615" s="635" t="s">
        <v>408</v>
      </c>
      <c r="AL1615" s="487" t="s">
        <v>16001</v>
      </c>
      <c r="AM1615" s="477" t="s">
        <v>71</v>
      </c>
      <c r="AN1615" s="637">
        <v>100</v>
      </c>
      <c r="AO1615" s="478">
        <v>-1570</v>
      </c>
      <c r="AP1615" s="463">
        <v>-689</v>
      </c>
      <c r="AQ1615" s="479">
        <v>-881</v>
      </c>
      <c r="AR1615" s="476" t="s">
        <v>17689</v>
      </c>
      <c r="BA1615" s="313" t="s">
        <v>6259</v>
      </c>
    </row>
    <row r="1616" spans="2:53" ht="16.5" customHeight="1">
      <c r="B1616" s="367" t="s">
        <v>12222</v>
      </c>
      <c r="C1616" s="351" t="s">
        <v>12223</v>
      </c>
      <c r="D1616" s="353">
        <v>-1570</v>
      </c>
      <c r="E1616" s="352" t="s">
        <v>12224</v>
      </c>
      <c r="F1616" s="341">
        <v>74.44</v>
      </c>
      <c r="G1616" s="355" t="s">
        <v>6120</v>
      </c>
      <c r="H1616" s="356" t="s">
        <v>18875</v>
      </c>
      <c r="I1616" s="354" t="s">
        <v>197</v>
      </c>
      <c r="J1616" s="340" t="s">
        <v>9141</v>
      </c>
      <c r="K1616" s="339" t="s">
        <v>71</v>
      </c>
      <c r="L1616" s="357">
        <v>5</v>
      </c>
      <c r="M1616" s="358" t="s">
        <v>12226</v>
      </c>
      <c r="N1616" s="359">
        <v>500</v>
      </c>
      <c r="O1616" s="360" t="s">
        <v>454</v>
      </c>
      <c r="P1616" s="343" t="s">
        <v>454</v>
      </c>
      <c r="Q1616" s="342" t="s">
        <v>2688</v>
      </c>
      <c r="R1616" s="344">
        <v>30</v>
      </c>
      <c r="S1616" s="345">
        <v>20</v>
      </c>
      <c r="T1616" s="362">
        <v>20</v>
      </c>
      <c r="U1616" s="361">
        <v>74.44</v>
      </c>
      <c r="V1616" s="346">
        <v>115.37550362610797</v>
      </c>
      <c r="W1616" s="348">
        <v>116.22798434442271</v>
      </c>
      <c r="X1616" s="347">
        <v>58.2</v>
      </c>
      <c r="Y1616" s="357" t="s">
        <v>408</v>
      </c>
      <c r="Z1616" s="365" t="s">
        <v>4408</v>
      </c>
      <c r="AA1616" s="350">
        <v>141</v>
      </c>
      <c r="AB1616" s="349" t="s">
        <v>2685</v>
      </c>
      <c r="AC1616" s="350">
        <v>1.5</v>
      </c>
      <c r="AD1616" s="349" t="s">
        <v>2685</v>
      </c>
      <c r="AE1616" s="364">
        <v>0</v>
      </c>
      <c r="AF1616" s="366">
        <v>11.166</v>
      </c>
      <c r="AG1616" s="363">
        <v>0</v>
      </c>
      <c r="AH1616" s="635" t="s">
        <v>6360</v>
      </c>
      <c r="AL1616" s="487" t="s">
        <v>16002</v>
      </c>
      <c r="AM1616" s="477" t="s">
        <v>71</v>
      </c>
      <c r="AN1616" s="637">
        <v>100</v>
      </c>
      <c r="AO1616" s="478">
        <v>-1570</v>
      </c>
      <c r="AP1616" s="463">
        <v>-688</v>
      </c>
      <c r="AQ1616" s="479">
        <v>-882</v>
      </c>
      <c r="AR1616" s="476" t="s">
        <v>17690</v>
      </c>
      <c r="BA1616" s="313" t="s">
        <v>6261</v>
      </c>
    </row>
    <row r="1617" spans="2:53" ht="16.5" customHeight="1">
      <c r="B1617" s="367" t="s">
        <v>12222</v>
      </c>
      <c r="C1617" s="351" t="s">
        <v>12223</v>
      </c>
      <c r="D1617" s="353">
        <v>-1570</v>
      </c>
      <c r="E1617" s="352" t="s">
        <v>12227</v>
      </c>
      <c r="F1617" s="341">
        <v>74.44</v>
      </c>
      <c r="G1617" s="355" t="s">
        <v>12205</v>
      </c>
      <c r="H1617" s="356" t="s">
        <v>11647</v>
      </c>
      <c r="I1617" s="354" t="s">
        <v>446</v>
      </c>
      <c r="J1617" s="340" t="s">
        <v>12228</v>
      </c>
      <c r="K1617" s="339" t="s">
        <v>71</v>
      </c>
      <c r="L1617" s="357">
        <v>6</v>
      </c>
      <c r="M1617" s="358" t="s">
        <v>6217</v>
      </c>
      <c r="N1617" s="359">
        <v>1000</v>
      </c>
      <c r="O1617" s="360" t="s">
        <v>454</v>
      </c>
      <c r="P1617" s="343" t="s">
        <v>454</v>
      </c>
      <c r="Q1617" s="342" t="s">
        <v>2688</v>
      </c>
      <c r="R1617" s="344">
        <v>35</v>
      </c>
      <c r="S1617" s="345">
        <v>30</v>
      </c>
      <c r="T1617" s="362">
        <v>25</v>
      </c>
      <c r="U1617" s="361">
        <v>74.44</v>
      </c>
      <c r="V1617" s="346">
        <v>115.37908496732027</v>
      </c>
      <c r="W1617" s="348">
        <v>116.23015873015873</v>
      </c>
      <c r="X1617" s="347">
        <v>58.21</v>
      </c>
      <c r="Y1617" s="357" t="s">
        <v>408</v>
      </c>
      <c r="Z1617" s="365" t="s">
        <v>3017</v>
      </c>
      <c r="AA1617" s="350">
        <v>98</v>
      </c>
      <c r="AB1617" s="349" t="s">
        <v>2685</v>
      </c>
      <c r="AC1617" s="350">
        <v>0</v>
      </c>
      <c r="AD1617" s="349" t="s">
        <v>2685</v>
      </c>
      <c r="AE1617" s="364">
        <v>0</v>
      </c>
      <c r="AF1617" s="366">
        <v>0</v>
      </c>
      <c r="AG1617" s="363">
        <v>0</v>
      </c>
      <c r="AH1617" s="635" t="s">
        <v>408</v>
      </c>
      <c r="AL1617" s="487" t="s">
        <v>16003</v>
      </c>
      <c r="AM1617" s="477" t="s">
        <v>71</v>
      </c>
      <c r="AN1617" s="637">
        <v>100</v>
      </c>
      <c r="AO1617" s="478">
        <v>-1570</v>
      </c>
      <c r="AP1617" s="463">
        <v>-688</v>
      </c>
      <c r="AQ1617" s="479">
        <v>-882</v>
      </c>
      <c r="AR1617" s="476" t="s">
        <v>17691</v>
      </c>
      <c r="BA1617" s="313" t="s">
        <v>6262</v>
      </c>
    </row>
    <row r="1618" spans="2:53" ht="16.5" customHeight="1">
      <c r="B1618" s="367" t="s">
        <v>12229</v>
      </c>
      <c r="C1618" s="351" t="s">
        <v>12230</v>
      </c>
      <c r="D1618" s="353">
        <v>-1570</v>
      </c>
      <c r="E1618" s="352" t="s">
        <v>408</v>
      </c>
      <c r="F1618" s="341">
        <v>74.44</v>
      </c>
      <c r="G1618" s="355" t="s">
        <v>12227</v>
      </c>
      <c r="H1618" s="356" t="s">
        <v>18954</v>
      </c>
      <c r="I1618" s="354" t="s">
        <v>446</v>
      </c>
      <c r="J1618" s="340" t="s">
        <v>12231</v>
      </c>
      <c r="K1618" s="339" t="s">
        <v>70</v>
      </c>
      <c r="L1618" s="357">
        <v>10</v>
      </c>
      <c r="M1618" s="358" t="s">
        <v>6217</v>
      </c>
      <c r="N1618" s="359">
        <v>1000</v>
      </c>
      <c r="O1618" s="360" t="s">
        <v>454</v>
      </c>
      <c r="P1618" s="343" t="s">
        <v>454</v>
      </c>
      <c r="Q1618" s="342" t="s">
        <v>2688</v>
      </c>
      <c r="R1618" s="344">
        <v>25</v>
      </c>
      <c r="S1618" s="345">
        <v>35</v>
      </c>
      <c r="T1618" s="362">
        <v>30</v>
      </c>
      <c r="U1618" s="361">
        <v>74.44</v>
      </c>
      <c r="V1618" s="346">
        <v>115.37908496732027</v>
      </c>
      <c r="W1618" s="348">
        <v>116.23015873015873</v>
      </c>
      <c r="X1618" s="347">
        <v>58.11</v>
      </c>
      <c r="Y1618" s="357" t="s">
        <v>408</v>
      </c>
      <c r="Z1618" s="365" t="s">
        <v>3017</v>
      </c>
      <c r="AA1618" s="350">
        <v>98</v>
      </c>
      <c r="AB1618" s="349" t="s">
        <v>2685</v>
      </c>
      <c r="AC1618" s="350">
        <v>0</v>
      </c>
      <c r="AD1618" s="349" t="s">
        <v>2685</v>
      </c>
      <c r="AE1618" s="364">
        <v>0</v>
      </c>
      <c r="AF1618" s="366">
        <v>0</v>
      </c>
      <c r="AG1618" s="363">
        <v>0</v>
      </c>
      <c r="AH1618" s="635" t="s">
        <v>408</v>
      </c>
      <c r="AL1618" s="487" t="s">
        <v>16004</v>
      </c>
      <c r="AM1618" s="477" t="s">
        <v>70</v>
      </c>
      <c r="AN1618" s="637">
        <v>100</v>
      </c>
      <c r="AO1618" s="478">
        <v>-1570</v>
      </c>
      <c r="AP1618" s="463">
        <v>-1570</v>
      </c>
      <c r="AQ1618" s="479">
        <v>0</v>
      </c>
      <c r="AR1618" s="476" t="s">
        <v>17692</v>
      </c>
      <c r="BA1618" s="313" t="s">
        <v>6263</v>
      </c>
    </row>
    <row r="1619" spans="2:53" ht="16.5" customHeight="1">
      <c r="B1619" s="367" t="s">
        <v>12229</v>
      </c>
      <c r="C1619" s="351" t="s">
        <v>12230</v>
      </c>
      <c r="D1619" s="353">
        <v>-1570</v>
      </c>
      <c r="E1619" s="352" t="s">
        <v>408</v>
      </c>
      <c r="F1619" s="341">
        <v>74.44</v>
      </c>
      <c r="G1619" s="355" t="s">
        <v>12227</v>
      </c>
      <c r="H1619" s="356" t="s">
        <v>18954</v>
      </c>
      <c r="I1619" s="354" t="s">
        <v>446</v>
      </c>
      <c r="J1619" s="340" t="s">
        <v>11884</v>
      </c>
      <c r="K1619" s="339" t="s">
        <v>70</v>
      </c>
      <c r="L1619" s="357">
        <v>7</v>
      </c>
      <c r="M1619" s="358" t="s">
        <v>6217</v>
      </c>
      <c r="N1619" s="359">
        <v>1000</v>
      </c>
      <c r="O1619" s="360" t="s">
        <v>454</v>
      </c>
      <c r="P1619" s="343" t="s">
        <v>454</v>
      </c>
      <c r="Q1619" s="342" t="s">
        <v>2688</v>
      </c>
      <c r="R1619" s="344">
        <v>25</v>
      </c>
      <c r="S1619" s="345">
        <v>35</v>
      </c>
      <c r="T1619" s="362">
        <v>30</v>
      </c>
      <c r="U1619" s="361">
        <v>74.44</v>
      </c>
      <c r="V1619" s="346">
        <v>115.37908496732027</v>
      </c>
      <c r="W1619" s="348">
        <v>116.23015873015873</v>
      </c>
      <c r="X1619" s="347">
        <v>58.11</v>
      </c>
      <c r="Y1619" s="357" t="s">
        <v>408</v>
      </c>
      <c r="Z1619" s="365" t="s">
        <v>3017</v>
      </c>
      <c r="AA1619" s="350">
        <v>98</v>
      </c>
      <c r="AB1619" s="349" t="s">
        <v>2685</v>
      </c>
      <c r="AC1619" s="350">
        <v>0</v>
      </c>
      <c r="AD1619" s="349" t="s">
        <v>2685</v>
      </c>
      <c r="AE1619" s="364">
        <v>0</v>
      </c>
      <c r="AF1619" s="366">
        <v>0</v>
      </c>
      <c r="AG1619" s="363">
        <v>0</v>
      </c>
      <c r="AH1619" s="635" t="s">
        <v>408</v>
      </c>
      <c r="AL1619" s="487" t="s">
        <v>16005</v>
      </c>
      <c r="AM1619" s="477" t="s">
        <v>70</v>
      </c>
      <c r="AN1619" s="637">
        <v>100</v>
      </c>
      <c r="AO1619" s="478">
        <v>-1570</v>
      </c>
      <c r="AP1619" s="463">
        <v>-1570</v>
      </c>
      <c r="AQ1619" s="479">
        <v>0</v>
      </c>
      <c r="AR1619" s="476" t="s">
        <v>17692</v>
      </c>
      <c r="BA1619" s="313" t="s">
        <v>6264</v>
      </c>
    </row>
    <row r="1620" spans="2:53" ht="16.5" customHeight="1">
      <c r="B1620" s="367" t="s">
        <v>12232</v>
      </c>
      <c r="C1620" s="351" t="s">
        <v>12233</v>
      </c>
      <c r="D1620" s="353">
        <v>-1570</v>
      </c>
      <c r="E1620" s="352" t="s">
        <v>408</v>
      </c>
      <c r="F1620" s="341">
        <v>74.39</v>
      </c>
      <c r="G1620" s="355" t="s">
        <v>5861</v>
      </c>
      <c r="H1620" s="356" t="s">
        <v>11635</v>
      </c>
      <c r="I1620" s="354" t="s">
        <v>214</v>
      </c>
      <c r="J1620" s="340" t="s">
        <v>9074</v>
      </c>
      <c r="K1620" s="339" t="s">
        <v>70</v>
      </c>
      <c r="L1620" s="357">
        <v>7</v>
      </c>
      <c r="M1620" s="358" t="s">
        <v>12234</v>
      </c>
      <c r="N1620" s="359">
        <v>200</v>
      </c>
      <c r="O1620" s="360" t="s">
        <v>532</v>
      </c>
      <c r="P1620" s="343" t="s">
        <v>532</v>
      </c>
      <c r="Q1620" s="342" t="s">
        <v>2688</v>
      </c>
      <c r="R1620" s="344">
        <v>20</v>
      </c>
      <c r="S1620" s="345">
        <v>30</v>
      </c>
      <c r="T1620" s="362">
        <v>30</v>
      </c>
      <c r="U1620" s="361">
        <v>74.39</v>
      </c>
      <c r="V1620" s="346">
        <v>115.34486185329973</v>
      </c>
      <c r="W1620" s="348">
        <v>116.20938041093198</v>
      </c>
      <c r="X1620" s="347" t="s">
        <v>18956</v>
      </c>
      <c r="Y1620" s="357" t="s">
        <v>408</v>
      </c>
      <c r="Z1620" s="365" t="s">
        <v>4408</v>
      </c>
      <c r="AA1620" s="350">
        <v>36</v>
      </c>
      <c r="AB1620" s="349" t="s">
        <v>2685</v>
      </c>
      <c r="AC1620" s="350">
        <v>0</v>
      </c>
      <c r="AD1620" s="349" t="s">
        <v>2685</v>
      </c>
      <c r="AE1620" s="364">
        <v>0</v>
      </c>
      <c r="AF1620" s="366">
        <v>0</v>
      </c>
      <c r="AG1620" s="363">
        <v>0</v>
      </c>
      <c r="AH1620" s="635" t="s">
        <v>408</v>
      </c>
      <c r="AL1620" s="487" t="s">
        <v>16008</v>
      </c>
      <c r="AM1620" s="477" t="s">
        <v>70</v>
      </c>
      <c r="AN1620" s="637">
        <v>100</v>
      </c>
      <c r="AO1620" s="478">
        <v>-1570</v>
      </c>
      <c r="AP1620" s="463">
        <v>-1570</v>
      </c>
      <c r="AQ1620" s="479">
        <v>0</v>
      </c>
      <c r="AR1620" s="476" t="s">
        <v>17693</v>
      </c>
      <c r="BA1620" s="313" t="s">
        <v>6267</v>
      </c>
    </row>
    <row r="1621" spans="2:53" ht="16.5" customHeight="1">
      <c r="B1621" s="367" t="s">
        <v>6176</v>
      </c>
      <c r="C1621" s="351" t="s">
        <v>6177</v>
      </c>
      <c r="D1621" s="353">
        <v>-1570</v>
      </c>
      <c r="E1621" s="352" t="s">
        <v>408</v>
      </c>
      <c r="F1621" s="341">
        <v>74.39</v>
      </c>
      <c r="G1621" s="355" t="s">
        <v>12235</v>
      </c>
      <c r="H1621" s="356" t="s">
        <v>5655</v>
      </c>
      <c r="I1621" s="354" t="s">
        <v>446</v>
      </c>
      <c r="J1621" s="340" t="s">
        <v>12236</v>
      </c>
      <c r="K1621" s="339" t="s">
        <v>70</v>
      </c>
      <c r="L1621" s="357">
        <v>15</v>
      </c>
      <c r="M1621" s="358" t="s">
        <v>12237</v>
      </c>
      <c r="N1621" s="359">
        <v>1000</v>
      </c>
      <c r="O1621" s="360" t="s">
        <v>454</v>
      </c>
      <c r="P1621" s="343" t="s">
        <v>454</v>
      </c>
      <c r="Q1621" s="342" t="s">
        <v>2688</v>
      </c>
      <c r="R1621" s="344">
        <v>25</v>
      </c>
      <c r="S1621" s="345">
        <v>35</v>
      </c>
      <c r="T1621" s="362">
        <v>30</v>
      </c>
      <c r="U1621" s="361">
        <v>74.39</v>
      </c>
      <c r="V1621" s="346">
        <v>115.34640522875817</v>
      </c>
      <c r="W1621" s="348">
        <v>116.21031746031747</v>
      </c>
      <c r="X1621" s="347">
        <v>58.1</v>
      </c>
      <c r="Y1621" s="357" t="s">
        <v>408</v>
      </c>
      <c r="Z1621" s="365" t="s">
        <v>3017</v>
      </c>
      <c r="AA1621" s="350">
        <v>98</v>
      </c>
      <c r="AB1621" s="349" t="s">
        <v>2685</v>
      </c>
      <c r="AC1621" s="350">
        <v>0</v>
      </c>
      <c r="AD1621" s="349" t="s">
        <v>2685</v>
      </c>
      <c r="AE1621" s="364">
        <v>0</v>
      </c>
      <c r="AF1621" s="366">
        <v>0</v>
      </c>
      <c r="AG1621" s="363">
        <v>0</v>
      </c>
      <c r="AH1621" s="635" t="s">
        <v>408</v>
      </c>
      <c r="AL1621" s="487" t="s">
        <v>16006</v>
      </c>
      <c r="AM1621" s="477" t="s">
        <v>70</v>
      </c>
      <c r="AN1621" s="637">
        <v>100</v>
      </c>
      <c r="AO1621" s="478">
        <v>-1570</v>
      </c>
      <c r="AP1621" s="463">
        <v>-1570</v>
      </c>
      <c r="AQ1621" s="479">
        <v>0</v>
      </c>
      <c r="AR1621" s="476" t="s">
        <v>17694</v>
      </c>
      <c r="BA1621" s="313" t="s">
        <v>6268</v>
      </c>
    </row>
    <row r="1622" spans="2:53" ht="16.5" customHeight="1">
      <c r="B1622" s="367" t="s">
        <v>6179</v>
      </c>
      <c r="C1622" s="351" t="s">
        <v>6180</v>
      </c>
      <c r="D1622" s="353">
        <v>-1570</v>
      </c>
      <c r="E1622" s="352" t="s">
        <v>5869</v>
      </c>
      <c r="F1622" s="341">
        <v>74.38</v>
      </c>
      <c r="G1622" s="355" t="s">
        <v>5847</v>
      </c>
      <c r="H1622" s="356" t="s">
        <v>5662</v>
      </c>
      <c r="I1622" s="354" t="s">
        <v>485</v>
      </c>
      <c r="J1622" s="340" t="s">
        <v>8654</v>
      </c>
      <c r="K1622" s="339" t="s">
        <v>71</v>
      </c>
      <c r="L1622" s="357">
        <v>21</v>
      </c>
      <c r="M1622" s="358" t="s">
        <v>12238</v>
      </c>
      <c r="N1622" s="359">
        <v>100</v>
      </c>
      <c r="O1622" s="360" t="s">
        <v>454</v>
      </c>
      <c r="P1622" s="343" t="s">
        <v>454</v>
      </c>
      <c r="Q1622" s="342" t="s">
        <v>2738</v>
      </c>
      <c r="R1622" s="344">
        <v>35</v>
      </c>
      <c r="S1622" s="345">
        <v>30</v>
      </c>
      <c r="T1622" s="362">
        <v>15</v>
      </c>
      <c r="U1622" s="361">
        <v>74.38</v>
      </c>
      <c r="V1622" s="346">
        <v>115.33823529411765</v>
      </c>
      <c r="W1622" s="348">
        <v>116.20535714285715</v>
      </c>
      <c r="X1622" s="347">
        <v>58.18</v>
      </c>
      <c r="Y1622" s="357" t="s">
        <v>408</v>
      </c>
      <c r="Z1622" s="365" t="s">
        <v>3017</v>
      </c>
      <c r="AA1622" s="350">
        <v>19.600000000000001</v>
      </c>
      <c r="AB1622" s="349" t="s">
        <v>2685</v>
      </c>
      <c r="AC1622" s="350">
        <v>0</v>
      </c>
      <c r="AD1622" s="349" t="s">
        <v>2685</v>
      </c>
      <c r="AE1622" s="364">
        <v>0</v>
      </c>
      <c r="AF1622" s="366">
        <v>0</v>
      </c>
      <c r="AG1622" s="363">
        <v>0</v>
      </c>
      <c r="AH1622" s="635" t="s">
        <v>408</v>
      </c>
      <c r="AL1622" s="487" t="s">
        <v>16007</v>
      </c>
      <c r="AM1622" s="477" t="s">
        <v>71</v>
      </c>
      <c r="AN1622" s="637">
        <v>100</v>
      </c>
      <c r="AO1622" s="478">
        <v>-1570</v>
      </c>
      <c r="AP1622" s="463">
        <v>-688</v>
      </c>
      <c r="AQ1622" s="479">
        <v>-882</v>
      </c>
      <c r="AR1622" s="476" t="s">
        <v>17695</v>
      </c>
      <c r="BA1622" s="313" t="s">
        <v>6269</v>
      </c>
    </row>
    <row r="1623" spans="2:53" ht="16.5" customHeight="1">
      <c r="B1623" s="367" t="s">
        <v>6189</v>
      </c>
      <c r="C1623" s="351" t="s">
        <v>6190</v>
      </c>
      <c r="D1623" s="353">
        <v>-1570</v>
      </c>
      <c r="E1623" s="352" t="s">
        <v>12239</v>
      </c>
      <c r="F1623" s="341">
        <v>74.349999999999994</v>
      </c>
      <c r="G1623" s="355" t="s">
        <v>6184</v>
      </c>
      <c r="H1623" s="356" t="s">
        <v>5668</v>
      </c>
      <c r="I1623" s="354" t="s">
        <v>9336</v>
      </c>
      <c r="J1623" s="340" t="s">
        <v>12242</v>
      </c>
      <c r="K1623" s="339" t="s">
        <v>71</v>
      </c>
      <c r="L1623" s="357">
        <v>15</v>
      </c>
      <c r="M1623" s="358" t="s">
        <v>12243</v>
      </c>
      <c r="N1623" s="359">
        <v>700</v>
      </c>
      <c r="O1623" s="360" t="s">
        <v>532</v>
      </c>
      <c r="P1623" s="343" t="s">
        <v>533</v>
      </c>
      <c r="Q1623" s="342" t="s">
        <v>2688</v>
      </c>
      <c r="R1623" s="344">
        <v>30</v>
      </c>
      <c r="S1623" s="345">
        <v>30</v>
      </c>
      <c r="T1623" s="362">
        <v>20</v>
      </c>
      <c r="U1623" s="361">
        <v>74.349999999999994</v>
      </c>
      <c r="V1623" s="346">
        <v>115.3240315172057</v>
      </c>
      <c r="W1623" s="348">
        <v>116.1967334211606</v>
      </c>
      <c r="X1623" s="347">
        <v>58.17</v>
      </c>
      <c r="Y1623" s="357">
        <v>59.94</v>
      </c>
      <c r="Z1623" s="365" t="s">
        <v>3017</v>
      </c>
      <c r="AA1623" s="350">
        <v>138</v>
      </c>
      <c r="AB1623" s="349" t="s">
        <v>2685</v>
      </c>
      <c r="AC1623" s="350">
        <v>10</v>
      </c>
      <c r="AD1623" s="349" t="s">
        <v>2685</v>
      </c>
      <c r="AE1623" s="364">
        <v>0</v>
      </c>
      <c r="AF1623" s="366">
        <v>0</v>
      </c>
      <c r="AG1623" s="363">
        <v>0</v>
      </c>
      <c r="AH1623" s="635" t="s">
        <v>408</v>
      </c>
      <c r="AL1623" s="487" t="s">
        <v>16009</v>
      </c>
      <c r="AM1623" s="477" t="s">
        <v>71</v>
      </c>
      <c r="AN1623" s="637">
        <v>100</v>
      </c>
      <c r="AO1623" s="478">
        <v>-1570</v>
      </c>
      <c r="AP1623" s="463">
        <v>-688</v>
      </c>
      <c r="AQ1623" s="479">
        <v>-882</v>
      </c>
      <c r="AR1623" s="476" t="s">
        <v>17696</v>
      </c>
      <c r="BA1623" s="313" t="s">
        <v>6270</v>
      </c>
    </row>
    <row r="1624" spans="2:53" ht="16.5" customHeight="1">
      <c r="B1624" s="367" t="s">
        <v>12229</v>
      </c>
      <c r="C1624" s="351" t="s">
        <v>12230</v>
      </c>
      <c r="D1624" s="353">
        <v>-1570</v>
      </c>
      <c r="E1624" s="352" t="s">
        <v>5873</v>
      </c>
      <c r="F1624" s="341">
        <v>74.319999999999993</v>
      </c>
      <c r="G1624" s="355" t="s">
        <v>12227</v>
      </c>
      <c r="H1624" s="356" t="s">
        <v>18957</v>
      </c>
      <c r="I1624" s="354" t="s">
        <v>214</v>
      </c>
      <c r="J1624" s="340" t="s">
        <v>12240</v>
      </c>
      <c r="K1624" s="339" t="s">
        <v>71</v>
      </c>
      <c r="L1624" s="357">
        <v>6</v>
      </c>
      <c r="M1624" s="358" t="s">
        <v>12241</v>
      </c>
      <c r="N1624" s="359">
        <v>200</v>
      </c>
      <c r="O1624" s="360" t="s">
        <v>532</v>
      </c>
      <c r="P1624" s="343" t="s">
        <v>532</v>
      </c>
      <c r="Q1624" s="342" t="s">
        <v>2688</v>
      </c>
      <c r="R1624" s="344">
        <v>30</v>
      </c>
      <c r="S1624" s="345">
        <v>20</v>
      </c>
      <c r="T1624" s="362">
        <v>30</v>
      </c>
      <c r="U1624" s="361">
        <v>74.319999999999993</v>
      </c>
      <c r="V1624" s="346">
        <v>115.30877421146701</v>
      </c>
      <c r="W1624" s="348">
        <v>116.18747005696211</v>
      </c>
      <c r="X1624" s="347" t="s">
        <v>18958</v>
      </c>
      <c r="Y1624" s="357" t="s">
        <v>408</v>
      </c>
      <c r="Z1624" s="365" t="s">
        <v>4408</v>
      </c>
      <c r="AA1624" s="350">
        <v>36</v>
      </c>
      <c r="AB1624" s="349" t="s">
        <v>2685</v>
      </c>
      <c r="AC1624" s="350">
        <v>0</v>
      </c>
      <c r="AD1624" s="349" t="s">
        <v>2685</v>
      </c>
      <c r="AE1624" s="364">
        <v>0</v>
      </c>
      <c r="AF1624" s="366">
        <v>0</v>
      </c>
      <c r="AG1624" s="363">
        <v>0</v>
      </c>
      <c r="AH1624" s="635" t="s">
        <v>408</v>
      </c>
      <c r="AL1624" s="487" t="s">
        <v>16010</v>
      </c>
      <c r="AM1624" s="477" t="s">
        <v>71</v>
      </c>
      <c r="AN1624" s="637">
        <v>100</v>
      </c>
      <c r="AO1624" s="478">
        <v>-1570</v>
      </c>
      <c r="AP1624" s="463">
        <v>-688</v>
      </c>
      <c r="AQ1624" s="479">
        <v>-882</v>
      </c>
      <c r="AR1624" s="476" t="s">
        <v>17697</v>
      </c>
      <c r="BA1624" s="313" t="s">
        <v>6273</v>
      </c>
    </row>
    <row r="1625" spans="2:53" ht="16.5" customHeight="1">
      <c r="B1625" s="367" t="s">
        <v>12244</v>
      </c>
      <c r="C1625" s="351" t="s">
        <v>12245</v>
      </c>
      <c r="D1625" s="353">
        <v>-1570</v>
      </c>
      <c r="E1625" s="352" t="s">
        <v>12246</v>
      </c>
      <c r="F1625" s="341">
        <v>74.31</v>
      </c>
      <c r="G1625" s="355" t="s">
        <v>18959</v>
      </c>
      <c r="H1625" s="356" t="s">
        <v>18960</v>
      </c>
      <c r="I1625" s="354" t="s">
        <v>485</v>
      </c>
      <c r="J1625" s="340" t="s">
        <v>9396</v>
      </c>
      <c r="K1625" s="339" t="s">
        <v>71</v>
      </c>
      <c r="L1625" s="357">
        <v>27</v>
      </c>
      <c r="M1625" s="358" t="s">
        <v>12248</v>
      </c>
      <c r="N1625" s="359">
        <v>100</v>
      </c>
      <c r="O1625" s="360" t="s">
        <v>454</v>
      </c>
      <c r="P1625" s="343" t="s">
        <v>454</v>
      </c>
      <c r="Q1625" s="342" t="s">
        <v>2738</v>
      </c>
      <c r="R1625" s="344">
        <v>35</v>
      </c>
      <c r="S1625" s="345">
        <v>30</v>
      </c>
      <c r="T1625" s="362">
        <v>15</v>
      </c>
      <c r="U1625" s="361">
        <v>74.31</v>
      </c>
      <c r="V1625" s="346">
        <v>115.30147058823529</v>
      </c>
      <c r="W1625" s="348">
        <v>116.18303571428572</v>
      </c>
      <c r="X1625" s="347">
        <v>58.16</v>
      </c>
      <c r="Y1625" s="357" t="s">
        <v>408</v>
      </c>
      <c r="Z1625" s="365" t="s">
        <v>3017</v>
      </c>
      <c r="AA1625" s="350">
        <v>19.600000000000001</v>
      </c>
      <c r="AB1625" s="349" t="s">
        <v>2685</v>
      </c>
      <c r="AC1625" s="350">
        <v>0</v>
      </c>
      <c r="AD1625" s="349" t="s">
        <v>2685</v>
      </c>
      <c r="AE1625" s="364">
        <v>0</v>
      </c>
      <c r="AF1625" s="366">
        <v>0</v>
      </c>
      <c r="AG1625" s="363">
        <v>0</v>
      </c>
      <c r="AH1625" s="635" t="s">
        <v>408</v>
      </c>
      <c r="AL1625" s="487" t="s">
        <v>16011</v>
      </c>
      <c r="AM1625" s="477" t="s">
        <v>71</v>
      </c>
      <c r="AN1625" s="637">
        <v>100</v>
      </c>
      <c r="AO1625" s="478">
        <v>-1570</v>
      </c>
      <c r="AP1625" s="463">
        <v>-688</v>
      </c>
      <c r="AQ1625" s="479">
        <v>-882</v>
      </c>
      <c r="AR1625" s="476" t="s">
        <v>17698</v>
      </c>
      <c r="BA1625" s="313" t="s">
        <v>6275</v>
      </c>
    </row>
    <row r="1626" spans="2:53" ht="16.5" customHeight="1">
      <c r="B1626" s="367" t="s">
        <v>6194</v>
      </c>
      <c r="C1626" s="351" t="s">
        <v>6195</v>
      </c>
      <c r="D1626" s="353">
        <v>-1570</v>
      </c>
      <c r="E1626" s="352" t="s">
        <v>408</v>
      </c>
      <c r="F1626" s="341">
        <v>74.28</v>
      </c>
      <c r="G1626" s="355" t="s">
        <v>12249</v>
      </c>
      <c r="H1626" s="356" t="s">
        <v>5505</v>
      </c>
      <c r="I1626" s="354" t="s">
        <v>213</v>
      </c>
      <c r="J1626" s="340" t="s">
        <v>12250</v>
      </c>
      <c r="K1626" s="339" t="s">
        <v>71</v>
      </c>
      <c r="L1626" s="357">
        <v>56</v>
      </c>
      <c r="M1626" s="358" t="s">
        <v>12251</v>
      </c>
      <c r="N1626" s="359">
        <v>1000</v>
      </c>
      <c r="O1626" s="360" t="s">
        <v>454</v>
      </c>
      <c r="P1626" s="343" t="s">
        <v>454</v>
      </c>
      <c r="Q1626" s="342" t="s">
        <v>2688</v>
      </c>
      <c r="R1626" s="344">
        <v>30</v>
      </c>
      <c r="S1626" s="345">
        <v>20</v>
      </c>
      <c r="T1626" s="362">
        <v>30</v>
      </c>
      <c r="U1626" s="361">
        <v>74.28</v>
      </c>
      <c r="V1626" s="346">
        <v>115.2830659536542</v>
      </c>
      <c r="W1626" s="348">
        <v>116.17186147186148</v>
      </c>
      <c r="X1626" s="347">
        <v>58.07</v>
      </c>
      <c r="Y1626" s="357" t="s">
        <v>408</v>
      </c>
      <c r="Z1626" s="365" t="s">
        <v>4408</v>
      </c>
      <c r="AA1626" s="350">
        <v>180</v>
      </c>
      <c r="AB1626" s="349" t="s">
        <v>2685</v>
      </c>
      <c r="AC1626" s="350">
        <v>10</v>
      </c>
      <c r="AD1626" s="349" t="s">
        <v>2685</v>
      </c>
      <c r="AE1626" s="364">
        <v>0</v>
      </c>
      <c r="AF1626" s="366">
        <v>18.57</v>
      </c>
      <c r="AG1626" s="363">
        <v>0</v>
      </c>
      <c r="AH1626" s="635" t="s">
        <v>12252</v>
      </c>
      <c r="AL1626" s="487" t="s">
        <v>16012</v>
      </c>
      <c r="AM1626" s="477" t="s">
        <v>71</v>
      </c>
      <c r="AN1626" s="637">
        <v>100</v>
      </c>
      <c r="AO1626" s="478">
        <v>-1570</v>
      </c>
      <c r="AP1626" s="463">
        <v>-687</v>
      </c>
      <c r="AQ1626" s="479">
        <v>-883</v>
      </c>
      <c r="AR1626" s="476" t="s">
        <v>17699</v>
      </c>
      <c r="BA1626" s="313" t="s">
        <v>6276</v>
      </c>
    </row>
    <row r="1627" spans="2:53" ht="16.5" customHeight="1">
      <c r="B1627" s="367" t="s">
        <v>6189</v>
      </c>
      <c r="C1627" s="351" t="s">
        <v>6190</v>
      </c>
      <c r="D1627" s="353">
        <v>-1570</v>
      </c>
      <c r="E1627" s="352" t="s">
        <v>12253</v>
      </c>
      <c r="F1627" s="341">
        <v>74.25</v>
      </c>
      <c r="G1627" s="355" t="s">
        <v>18961</v>
      </c>
      <c r="H1627" s="356" t="s">
        <v>5488</v>
      </c>
      <c r="I1627" s="354" t="s">
        <v>214</v>
      </c>
      <c r="J1627" s="340" t="s">
        <v>8618</v>
      </c>
      <c r="K1627" s="339" t="s">
        <v>71</v>
      </c>
      <c r="L1627" s="357">
        <v>7</v>
      </c>
      <c r="M1627" s="358" t="s">
        <v>12254</v>
      </c>
      <c r="N1627" s="359">
        <v>200</v>
      </c>
      <c r="O1627" s="360" t="s">
        <v>532</v>
      </c>
      <c r="P1627" s="343" t="s">
        <v>532</v>
      </c>
      <c r="Q1627" s="342" t="s">
        <v>2688</v>
      </c>
      <c r="R1627" s="344">
        <v>30</v>
      </c>
      <c r="S1627" s="345">
        <v>20</v>
      </c>
      <c r="T1627" s="362">
        <v>30</v>
      </c>
      <c r="U1627" s="361">
        <v>74.25</v>
      </c>
      <c r="V1627" s="346">
        <v>115.26361072178423</v>
      </c>
      <c r="W1627" s="348">
        <v>116.16004936679758</v>
      </c>
      <c r="X1627" s="347" t="s">
        <v>18962</v>
      </c>
      <c r="Y1627" s="357" t="s">
        <v>408</v>
      </c>
      <c r="Z1627" s="365" t="s">
        <v>4408</v>
      </c>
      <c r="AA1627" s="350">
        <v>36</v>
      </c>
      <c r="AB1627" s="349" t="s">
        <v>2685</v>
      </c>
      <c r="AC1627" s="350">
        <v>0</v>
      </c>
      <c r="AD1627" s="349" t="s">
        <v>2685</v>
      </c>
      <c r="AE1627" s="364">
        <v>0</v>
      </c>
      <c r="AF1627" s="366">
        <v>0</v>
      </c>
      <c r="AG1627" s="363">
        <v>0</v>
      </c>
      <c r="AH1627" s="635" t="s">
        <v>408</v>
      </c>
      <c r="AL1627" s="487" t="s">
        <v>16013</v>
      </c>
      <c r="AM1627" s="477" t="s">
        <v>71</v>
      </c>
      <c r="AN1627" s="637">
        <v>100</v>
      </c>
      <c r="AO1627" s="478">
        <v>-1570</v>
      </c>
      <c r="AP1627" s="463">
        <v>-687</v>
      </c>
      <c r="AQ1627" s="479">
        <v>-883</v>
      </c>
      <c r="AR1627" s="476" t="s">
        <v>17700</v>
      </c>
      <c r="BA1627" s="313" t="s">
        <v>6277</v>
      </c>
    </row>
    <row r="1628" spans="2:53" ht="16.5" customHeight="1">
      <c r="B1628" s="367" t="s">
        <v>6206</v>
      </c>
      <c r="C1628" s="351" t="s">
        <v>6207</v>
      </c>
      <c r="D1628" s="353">
        <v>-1570</v>
      </c>
      <c r="E1628" s="352" t="s">
        <v>6152</v>
      </c>
      <c r="F1628" s="341">
        <v>74.25</v>
      </c>
      <c r="G1628" s="355" t="s">
        <v>12253</v>
      </c>
      <c r="H1628" s="356" t="s">
        <v>5685</v>
      </c>
      <c r="I1628" s="354" t="s">
        <v>485</v>
      </c>
      <c r="J1628" s="340" t="s">
        <v>8953</v>
      </c>
      <c r="K1628" s="339" t="s">
        <v>71</v>
      </c>
      <c r="L1628" s="357">
        <v>5</v>
      </c>
      <c r="M1628" s="358" t="s">
        <v>12255</v>
      </c>
      <c r="N1628" s="359">
        <v>100</v>
      </c>
      <c r="O1628" s="360" t="s">
        <v>454</v>
      </c>
      <c r="P1628" s="343" t="s">
        <v>454</v>
      </c>
      <c r="Q1628" s="342" t="s">
        <v>2738</v>
      </c>
      <c r="R1628" s="344">
        <v>35</v>
      </c>
      <c r="S1628" s="345">
        <v>30</v>
      </c>
      <c r="T1628" s="362">
        <v>15</v>
      </c>
      <c r="U1628" s="361">
        <v>74.25</v>
      </c>
      <c r="V1628" s="346">
        <v>115.26470588235294</v>
      </c>
      <c r="W1628" s="348">
        <v>116.16071428571429</v>
      </c>
      <c r="X1628" s="347">
        <v>58.14</v>
      </c>
      <c r="Y1628" s="357" t="s">
        <v>408</v>
      </c>
      <c r="Z1628" s="365" t="s">
        <v>3017</v>
      </c>
      <c r="AA1628" s="350">
        <v>19.600000000000001</v>
      </c>
      <c r="AB1628" s="349" t="s">
        <v>2685</v>
      </c>
      <c r="AC1628" s="350">
        <v>0</v>
      </c>
      <c r="AD1628" s="349" t="s">
        <v>2685</v>
      </c>
      <c r="AE1628" s="364">
        <v>0</v>
      </c>
      <c r="AF1628" s="366">
        <v>0</v>
      </c>
      <c r="AG1628" s="363">
        <v>0</v>
      </c>
      <c r="AH1628" s="635" t="s">
        <v>408</v>
      </c>
      <c r="AL1628" s="487" t="s">
        <v>16014</v>
      </c>
      <c r="AM1628" s="477" t="s">
        <v>71</v>
      </c>
      <c r="AN1628" s="637">
        <v>100</v>
      </c>
      <c r="AO1628" s="478">
        <v>-1570</v>
      </c>
      <c r="AP1628" s="463">
        <v>-687</v>
      </c>
      <c r="AQ1628" s="479">
        <v>-883</v>
      </c>
      <c r="AR1628" s="476" t="s">
        <v>17701</v>
      </c>
      <c r="BA1628" s="313" t="s">
        <v>6278</v>
      </c>
    </row>
    <row r="1629" spans="2:53" ht="16.5" customHeight="1">
      <c r="B1629" s="367" t="s">
        <v>6202</v>
      </c>
      <c r="C1629" s="351" t="s">
        <v>6203</v>
      </c>
      <c r="D1629" s="353">
        <v>-1570</v>
      </c>
      <c r="E1629" s="352" t="s">
        <v>6216</v>
      </c>
      <c r="F1629" s="341">
        <v>74.25</v>
      </c>
      <c r="G1629" s="355" t="s">
        <v>12256</v>
      </c>
      <c r="H1629" s="356" t="s">
        <v>5682</v>
      </c>
      <c r="I1629" s="354" t="s">
        <v>228</v>
      </c>
      <c r="J1629" s="340" t="s">
        <v>12257</v>
      </c>
      <c r="K1629" s="339" t="s">
        <v>70</v>
      </c>
      <c r="L1629" s="357">
        <v>35</v>
      </c>
      <c r="M1629" s="358" t="s">
        <v>4157</v>
      </c>
      <c r="N1629" s="359">
        <v>1000</v>
      </c>
      <c r="O1629" s="360" t="s">
        <v>530</v>
      </c>
      <c r="P1629" s="343" t="s">
        <v>531</v>
      </c>
      <c r="Q1629" s="342" t="s">
        <v>2688</v>
      </c>
      <c r="R1629" s="344">
        <v>30</v>
      </c>
      <c r="S1629" s="345">
        <v>35</v>
      </c>
      <c r="T1629" s="362">
        <v>35</v>
      </c>
      <c r="U1629" s="361">
        <v>74.25</v>
      </c>
      <c r="V1629" s="346">
        <v>115.2675976061556</v>
      </c>
      <c r="W1629" s="348">
        <v>116.16246997516591</v>
      </c>
      <c r="X1629" s="347">
        <v>58.06</v>
      </c>
      <c r="Y1629" s="357">
        <v>60.22</v>
      </c>
      <c r="Z1629" s="365" t="s">
        <v>2689</v>
      </c>
      <c r="AA1629" s="350">
        <v>100</v>
      </c>
      <c r="AB1629" s="349" t="s">
        <v>2685</v>
      </c>
      <c r="AC1629" s="350">
        <v>10</v>
      </c>
      <c r="AD1629" s="349" t="s">
        <v>2685</v>
      </c>
      <c r="AE1629" s="364">
        <v>0</v>
      </c>
      <c r="AF1629" s="366">
        <v>10.539</v>
      </c>
      <c r="AG1629" s="363">
        <v>0</v>
      </c>
      <c r="AH1629" s="635" t="s">
        <v>7787</v>
      </c>
      <c r="AL1629" s="487" t="s">
        <v>16015</v>
      </c>
      <c r="AM1629" s="477" t="s">
        <v>70</v>
      </c>
      <c r="AN1629" s="637">
        <v>100</v>
      </c>
      <c r="AO1629" s="478">
        <v>-1570</v>
      </c>
      <c r="AP1629" s="463">
        <v>-1570</v>
      </c>
      <c r="AQ1629" s="479">
        <v>0</v>
      </c>
      <c r="AR1629" s="476" t="s">
        <v>17702</v>
      </c>
      <c r="BA1629" s="313" t="s">
        <v>6279</v>
      </c>
    </row>
    <row r="1630" spans="2:53" ht="16.5" customHeight="1">
      <c r="B1630" s="367" t="s">
        <v>18252</v>
      </c>
      <c r="C1630" s="351" t="s">
        <v>18253</v>
      </c>
      <c r="D1630" s="353">
        <v>-1570</v>
      </c>
      <c r="E1630" s="352" t="s">
        <v>408</v>
      </c>
      <c r="F1630" s="341">
        <v>74.22</v>
      </c>
      <c r="G1630" s="355" t="s">
        <v>6149</v>
      </c>
      <c r="H1630" s="356" t="s">
        <v>11661</v>
      </c>
      <c r="I1630" s="354" t="s">
        <v>216</v>
      </c>
      <c r="J1630" s="340" t="s">
        <v>563</v>
      </c>
      <c r="K1630" s="339" t="s">
        <v>71</v>
      </c>
      <c r="L1630" s="357">
        <v>4</v>
      </c>
      <c r="M1630" s="358" t="s">
        <v>6204</v>
      </c>
      <c r="N1630" s="359">
        <v>300</v>
      </c>
      <c r="O1630" s="360" t="s">
        <v>530</v>
      </c>
      <c r="P1630" s="343" t="s">
        <v>530</v>
      </c>
      <c r="Q1630" s="342" t="s">
        <v>2688</v>
      </c>
      <c r="R1630" s="344">
        <v>45</v>
      </c>
      <c r="S1630" s="345">
        <v>25</v>
      </c>
      <c r="T1630" s="362">
        <v>30</v>
      </c>
      <c r="U1630" s="361">
        <v>74.22</v>
      </c>
      <c r="V1630" s="346">
        <v>115.24954879583473</v>
      </c>
      <c r="W1630" s="348">
        <v>116.15151176889967</v>
      </c>
      <c r="X1630" s="347">
        <v>58.13</v>
      </c>
      <c r="Y1630" s="357" t="s">
        <v>408</v>
      </c>
      <c r="Z1630" s="365" t="s">
        <v>3017</v>
      </c>
      <c r="AA1630" s="350">
        <v>-2</v>
      </c>
      <c r="AB1630" s="349" t="s">
        <v>2685</v>
      </c>
      <c r="AC1630" s="350">
        <v>0</v>
      </c>
      <c r="AD1630" s="349" t="s">
        <v>2685</v>
      </c>
      <c r="AE1630" s="364">
        <v>0</v>
      </c>
      <c r="AF1630" s="366">
        <v>0</v>
      </c>
      <c r="AG1630" s="363">
        <v>0</v>
      </c>
      <c r="AH1630" s="635" t="s">
        <v>408</v>
      </c>
      <c r="AL1630" s="487" t="s">
        <v>7227</v>
      </c>
      <c r="AM1630" s="477" t="s">
        <v>71</v>
      </c>
      <c r="AN1630" s="637">
        <v>100</v>
      </c>
      <c r="AO1630" s="478">
        <v>-1570</v>
      </c>
      <c r="AP1630" s="463">
        <v>-687</v>
      </c>
      <c r="AQ1630" s="479">
        <v>-883</v>
      </c>
      <c r="AR1630" s="476" t="s">
        <v>17703</v>
      </c>
      <c r="BA1630" s="313" t="s">
        <v>6282</v>
      </c>
    </row>
    <row r="1631" spans="2:53" ht="16.5" customHeight="1">
      <c r="B1631" s="367" t="s">
        <v>6131</v>
      </c>
      <c r="C1631" s="351" t="s">
        <v>6132</v>
      </c>
      <c r="D1631" s="353">
        <v>-1570</v>
      </c>
      <c r="E1631" s="352" t="s">
        <v>12258</v>
      </c>
      <c r="F1631" s="341">
        <v>74.2</v>
      </c>
      <c r="G1631" s="355" t="s">
        <v>6211</v>
      </c>
      <c r="H1631" s="356" t="s">
        <v>5698</v>
      </c>
      <c r="I1631" s="354" t="s">
        <v>211</v>
      </c>
      <c r="J1631" s="340" t="s">
        <v>8190</v>
      </c>
      <c r="K1631" s="339" t="s">
        <v>71</v>
      </c>
      <c r="L1631" s="357">
        <v>7</v>
      </c>
      <c r="M1631" s="358" t="s">
        <v>12259</v>
      </c>
      <c r="N1631" s="359">
        <v>500</v>
      </c>
      <c r="O1631" s="360" t="s">
        <v>530</v>
      </c>
      <c r="P1631" s="343" t="s">
        <v>531</v>
      </c>
      <c r="Q1631" s="342" t="s">
        <v>2688</v>
      </c>
      <c r="R1631" s="344">
        <v>40</v>
      </c>
      <c r="S1631" s="345">
        <v>30</v>
      </c>
      <c r="T1631" s="362">
        <v>30</v>
      </c>
      <c r="U1631" s="361">
        <v>74.2</v>
      </c>
      <c r="V1631" s="346">
        <v>115.23709302509448</v>
      </c>
      <c r="W1631" s="348">
        <v>116.14394933666452</v>
      </c>
      <c r="X1631" s="347">
        <v>58.12</v>
      </c>
      <c r="Y1631" s="357">
        <v>58.489999999999995</v>
      </c>
      <c r="Z1631" s="365" t="s">
        <v>4408</v>
      </c>
      <c r="AA1631" s="350">
        <v>24</v>
      </c>
      <c r="AB1631" s="349" t="s">
        <v>2685</v>
      </c>
      <c r="AC1631" s="350">
        <v>5</v>
      </c>
      <c r="AD1631" s="349" t="s">
        <v>2685</v>
      </c>
      <c r="AE1631" s="364">
        <v>0</v>
      </c>
      <c r="AF1631" s="366">
        <v>0</v>
      </c>
      <c r="AG1631" s="363">
        <v>0</v>
      </c>
      <c r="AH1631" s="635" t="s">
        <v>408</v>
      </c>
      <c r="AL1631" s="487" t="s">
        <v>16016</v>
      </c>
      <c r="AM1631" s="477" t="s">
        <v>71</v>
      </c>
      <c r="AN1631" s="637">
        <v>100</v>
      </c>
      <c r="AO1631" s="478">
        <v>-1570</v>
      </c>
      <c r="AP1631" s="463">
        <v>-687</v>
      </c>
      <c r="AQ1631" s="479">
        <v>-883</v>
      </c>
      <c r="AR1631" s="476" t="s">
        <v>17704</v>
      </c>
      <c r="BA1631" s="313" t="s">
        <v>6283</v>
      </c>
    </row>
    <row r="1632" spans="2:53" ht="16.5" customHeight="1">
      <c r="B1632" s="367" t="s">
        <v>12260</v>
      </c>
      <c r="C1632" s="351" t="s">
        <v>12261</v>
      </c>
      <c r="D1632" s="353">
        <v>-1570</v>
      </c>
      <c r="E1632" s="352" t="s">
        <v>12262</v>
      </c>
      <c r="F1632" s="341">
        <v>74.08</v>
      </c>
      <c r="G1632" s="355" t="s">
        <v>12262</v>
      </c>
      <c r="H1632" s="356" t="s">
        <v>5519</v>
      </c>
      <c r="I1632" s="354" t="s">
        <v>212</v>
      </c>
      <c r="J1632" s="340" t="s">
        <v>7356</v>
      </c>
      <c r="K1632" s="339" t="s">
        <v>71</v>
      </c>
      <c r="L1632" s="357">
        <v>18</v>
      </c>
      <c r="M1632" s="358" t="s">
        <v>12263</v>
      </c>
      <c r="N1632" s="359">
        <v>800</v>
      </c>
      <c r="O1632" s="360" t="s">
        <v>532</v>
      </c>
      <c r="P1632" s="343" t="s">
        <v>532</v>
      </c>
      <c r="Q1632" s="342" t="s">
        <v>2688</v>
      </c>
      <c r="R1632" s="344">
        <v>40</v>
      </c>
      <c r="S1632" s="345">
        <v>30</v>
      </c>
      <c r="T1632" s="362">
        <v>30</v>
      </c>
      <c r="U1632" s="361">
        <v>74.08</v>
      </c>
      <c r="V1632" s="346">
        <v>115.16375298707548</v>
      </c>
      <c r="W1632" s="348">
        <v>116.09942145643869</v>
      </c>
      <c r="X1632" s="347" t="s">
        <v>18963</v>
      </c>
      <c r="Y1632" s="357" t="s">
        <v>408</v>
      </c>
      <c r="Z1632" s="365" t="s">
        <v>3017</v>
      </c>
      <c r="AA1632" s="350">
        <v>190</v>
      </c>
      <c r="AB1632" s="349" t="s">
        <v>2685</v>
      </c>
      <c r="AC1632" s="350">
        <v>10</v>
      </c>
      <c r="AD1632" s="349" t="s">
        <v>2685</v>
      </c>
      <c r="AE1632" s="364">
        <v>0</v>
      </c>
      <c r="AF1632" s="366">
        <v>0</v>
      </c>
      <c r="AG1632" s="363">
        <v>0</v>
      </c>
      <c r="AH1632" s="635" t="s">
        <v>408</v>
      </c>
      <c r="AL1632" s="487" t="s">
        <v>16017</v>
      </c>
      <c r="AM1632" s="477" t="s">
        <v>71</v>
      </c>
      <c r="AN1632" s="637">
        <v>100</v>
      </c>
      <c r="AO1632" s="478">
        <v>-1570</v>
      </c>
      <c r="AP1632" s="463">
        <v>-686</v>
      </c>
      <c r="AQ1632" s="479">
        <v>-884</v>
      </c>
      <c r="AR1632" s="476" t="s">
        <v>17705</v>
      </c>
      <c r="BA1632" s="313" t="s">
        <v>6286</v>
      </c>
    </row>
    <row r="1633" spans="2:53" ht="16.5" customHeight="1">
      <c r="B1633" s="367" t="s">
        <v>12264</v>
      </c>
      <c r="C1633" s="351" t="s">
        <v>12265</v>
      </c>
      <c r="D1633" s="353">
        <v>-1570</v>
      </c>
      <c r="E1633" s="352" t="s">
        <v>12266</v>
      </c>
      <c r="F1633" s="341">
        <v>74.06</v>
      </c>
      <c r="G1633" s="355" t="s">
        <v>18964</v>
      </c>
      <c r="H1633" s="356" t="s">
        <v>18965</v>
      </c>
      <c r="I1633" s="354" t="s">
        <v>485</v>
      </c>
      <c r="J1633" s="340" t="s">
        <v>8618</v>
      </c>
      <c r="K1633" s="339" t="s">
        <v>71</v>
      </c>
      <c r="L1633" s="357">
        <v>16</v>
      </c>
      <c r="M1633" s="358" t="s">
        <v>12267</v>
      </c>
      <c r="N1633" s="359">
        <v>100</v>
      </c>
      <c r="O1633" s="360" t="s">
        <v>454</v>
      </c>
      <c r="P1633" s="343" t="s">
        <v>454</v>
      </c>
      <c r="Q1633" s="342" t="s">
        <v>2738</v>
      </c>
      <c r="R1633" s="344">
        <v>35</v>
      </c>
      <c r="S1633" s="345">
        <v>30</v>
      </c>
      <c r="T1633" s="362">
        <v>15</v>
      </c>
      <c r="U1633" s="361">
        <v>74.06</v>
      </c>
      <c r="V1633" s="346">
        <v>115.15441176470588</v>
      </c>
      <c r="W1633" s="348">
        <v>116.09375</v>
      </c>
      <c r="X1633" s="347">
        <v>58.08</v>
      </c>
      <c r="Y1633" s="357" t="s">
        <v>408</v>
      </c>
      <c r="Z1633" s="365" t="s">
        <v>3017</v>
      </c>
      <c r="AA1633" s="350">
        <v>19.600000000000001</v>
      </c>
      <c r="AB1633" s="349" t="s">
        <v>2685</v>
      </c>
      <c r="AC1633" s="350">
        <v>0</v>
      </c>
      <c r="AD1633" s="349" t="s">
        <v>2685</v>
      </c>
      <c r="AE1633" s="364">
        <v>0</v>
      </c>
      <c r="AF1633" s="366">
        <v>0</v>
      </c>
      <c r="AG1633" s="363">
        <v>0</v>
      </c>
      <c r="AH1633" s="635" t="s">
        <v>408</v>
      </c>
      <c r="AL1633" s="487" t="s">
        <v>16018</v>
      </c>
      <c r="AM1633" s="477" t="s">
        <v>71</v>
      </c>
      <c r="AN1633" s="637">
        <v>100</v>
      </c>
      <c r="AO1633" s="478">
        <v>-1570</v>
      </c>
      <c r="AP1633" s="463">
        <v>-686</v>
      </c>
      <c r="AQ1633" s="479">
        <v>-884</v>
      </c>
      <c r="AR1633" s="476" t="s">
        <v>17706</v>
      </c>
      <c r="BA1633" s="313" t="s">
        <v>6287</v>
      </c>
    </row>
    <row r="1634" spans="2:53" ht="16.5" customHeight="1">
      <c r="B1634" s="367" t="s">
        <v>12268</v>
      </c>
      <c r="C1634" s="351" t="s">
        <v>12269</v>
      </c>
      <c r="D1634" s="353">
        <v>-1570</v>
      </c>
      <c r="E1634" s="352" t="s">
        <v>408</v>
      </c>
      <c r="F1634" s="341">
        <v>74.06</v>
      </c>
      <c r="G1634" s="355" t="s">
        <v>12270</v>
      </c>
      <c r="H1634" s="356" t="s">
        <v>5726</v>
      </c>
      <c r="I1634" s="354" t="s">
        <v>446</v>
      </c>
      <c r="J1634" s="340" t="s">
        <v>9439</v>
      </c>
      <c r="K1634" s="339" t="s">
        <v>70</v>
      </c>
      <c r="L1634" s="357">
        <v>18</v>
      </c>
      <c r="M1634" s="358" t="s">
        <v>12271</v>
      </c>
      <c r="N1634" s="359">
        <v>1000</v>
      </c>
      <c r="O1634" s="360" t="s">
        <v>454</v>
      </c>
      <c r="P1634" s="343" t="s">
        <v>454</v>
      </c>
      <c r="Q1634" s="342" t="s">
        <v>2688</v>
      </c>
      <c r="R1634" s="344">
        <v>25</v>
      </c>
      <c r="S1634" s="345">
        <v>35</v>
      </c>
      <c r="T1634" s="362">
        <v>30</v>
      </c>
      <c r="U1634" s="361">
        <v>74.06</v>
      </c>
      <c r="V1634" s="346">
        <v>115.15032679738562</v>
      </c>
      <c r="W1634" s="348">
        <v>116.09126984126985</v>
      </c>
      <c r="X1634" s="347">
        <v>58.02</v>
      </c>
      <c r="Y1634" s="357" t="s">
        <v>408</v>
      </c>
      <c r="Z1634" s="365" t="s">
        <v>3017</v>
      </c>
      <c r="AA1634" s="350">
        <v>98</v>
      </c>
      <c r="AB1634" s="349" t="s">
        <v>2685</v>
      </c>
      <c r="AC1634" s="350">
        <v>0</v>
      </c>
      <c r="AD1634" s="349" t="s">
        <v>2685</v>
      </c>
      <c r="AE1634" s="364">
        <v>0</v>
      </c>
      <c r="AF1634" s="366">
        <v>0</v>
      </c>
      <c r="AG1634" s="363">
        <v>0</v>
      </c>
      <c r="AH1634" s="635" t="s">
        <v>408</v>
      </c>
      <c r="AL1634" s="487" t="s">
        <v>16019</v>
      </c>
      <c r="AM1634" s="477" t="s">
        <v>70</v>
      </c>
      <c r="AN1634" s="637">
        <v>100</v>
      </c>
      <c r="AO1634" s="478">
        <v>-1570</v>
      </c>
      <c r="AP1634" s="463">
        <v>-1570</v>
      </c>
      <c r="AQ1634" s="479">
        <v>0</v>
      </c>
      <c r="AR1634" s="476" t="s">
        <v>17707</v>
      </c>
      <c r="BA1634" s="313" t="s">
        <v>6288</v>
      </c>
    </row>
    <row r="1635" spans="2:53" ht="16.5" customHeight="1">
      <c r="B1635" s="367" t="s">
        <v>12268</v>
      </c>
      <c r="C1635" s="351" t="s">
        <v>12269</v>
      </c>
      <c r="D1635" s="353">
        <v>-1570</v>
      </c>
      <c r="E1635" s="352" t="s">
        <v>408</v>
      </c>
      <c r="F1635" s="341">
        <v>74.06</v>
      </c>
      <c r="G1635" s="355" t="s">
        <v>12270</v>
      </c>
      <c r="H1635" s="356" t="s">
        <v>5726</v>
      </c>
      <c r="I1635" s="354" t="s">
        <v>446</v>
      </c>
      <c r="J1635" s="340" t="s">
        <v>8640</v>
      </c>
      <c r="K1635" s="339" t="s">
        <v>70</v>
      </c>
      <c r="L1635" s="357">
        <v>9</v>
      </c>
      <c r="M1635" s="358" t="s">
        <v>12271</v>
      </c>
      <c r="N1635" s="359">
        <v>1000</v>
      </c>
      <c r="O1635" s="360" t="s">
        <v>454</v>
      </c>
      <c r="P1635" s="343" t="s">
        <v>454</v>
      </c>
      <c r="Q1635" s="342" t="s">
        <v>2688</v>
      </c>
      <c r="R1635" s="344">
        <v>25</v>
      </c>
      <c r="S1635" s="345">
        <v>35</v>
      </c>
      <c r="T1635" s="362">
        <v>30</v>
      </c>
      <c r="U1635" s="361">
        <v>74.06</v>
      </c>
      <c r="V1635" s="346">
        <v>115.15032679738562</v>
      </c>
      <c r="W1635" s="348">
        <v>116.09126984126985</v>
      </c>
      <c r="X1635" s="347">
        <v>58.02</v>
      </c>
      <c r="Y1635" s="357" t="s">
        <v>408</v>
      </c>
      <c r="Z1635" s="365" t="s">
        <v>3017</v>
      </c>
      <c r="AA1635" s="350">
        <v>98</v>
      </c>
      <c r="AB1635" s="349" t="s">
        <v>2685</v>
      </c>
      <c r="AC1635" s="350">
        <v>0</v>
      </c>
      <c r="AD1635" s="349" t="s">
        <v>2685</v>
      </c>
      <c r="AE1635" s="364">
        <v>0</v>
      </c>
      <c r="AF1635" s="366">
        <v>0</v>
      </c>
      <c r="AG1635" s="363">
        <v>0</v>
      </c>
      <c r="AH1635" s="635" t="s">
        <v>408</v>
      </c>
      <c r="AL1635" s="487" t="s">
        <v>16020</v>
      </c>
      <c r="AM1635" s="477" t="s">
        <v>70</v>
      </c>
      <c r="AN1635" s="637">
        <v>100</v>
      </c>
      <c r="AO1635" s="478">
        <v>-1570</v>
      </c>
      <c r="AP1635" s="463">
        <v>-1570</v>
      </c>
      <c r="AQ1635" s="479">
        <v>0</v>
      </c>
      <c r="AR1635" s="476" t="s">
        <v>17707</v>
      </c>
      <c r="BA1635" s="313" t="s">
        <v>6289</v>
      </c>
    </row>
    <row r="1636" spans="2:53" ht="16.5" customHeight="1">
      <c r="B1636" s="367" t="s">
        <v>12268</v>
      </c>
      <c r="C1636" s="351" t="s">
        <v>12269</v>
      </c>
      <c r="D1636" s="353">
        <v>-1570</v>
      </c>
      <c r="E1636" s="352" t="s">
        <v>6171</v>
      </c>
      <c r="F1636" s="341">
        <v>74.05</v>
      </c>
      <c r="G1636" s="355" t="s">
        <v>18966</v>
      </c>
      <c r="H1636" s="356" t="s">
        <v>5726</v>
      </c>
      <c r="I1636" s="354" t="s">
        <v>9336</v>
      </c>
      <c r="J1636" s="340" t="s">
        <v>12275</v>
      </c>
      <c r="K1636" s="339" t="s">
        <v>71</v>
      </c>
      <c r="L1636" s="357">
        <v>9</v>
      </c>
      <c r="M1636" s="358" t="s">
        <v>12276</v>
      </c>
      <c r="N1636" s="359">
        <v>700</v>
      </c>
      <c r="O1636" s="360" t="s">
        <v>532</v>
      </c>
      <c r="P1636" s="343" t="s">
        <v>533</v>
      </c>
      <c r="Q1636" s="342" t="s">
        <v>2688</v>
      </c>
      <c r="R1636" s="344">
        <v>30</v>
      </c>
      <c r="S1636" s="345">
        <v>30</v>
      </c>
      <c r="T1636" s="362">
        <v>20</v>
      </c>
      <c r="U1636" s="361">
        <v>74.05</v>
      </c>
      <c r="V1636" s="346">
        <v>115.1478202584794</v>
      </c>
      <c r="W1636" s="348">
        <v>116.08974801407678</v>
      </c>
      <c r="X1636" s="347">
        <v>58.08</v>
      </c>
      <c r="Y1636" s="357">
        <v>59.699999999999996</v>
      </c>
      <c r="Z1636" s="365" t="s">
        <v>3017</v>
      </c>
      <c r="AA1636" s="350">
        <v>138</v>
      </c>
      <c r="AB1636" s="349" t="s">
        <v>2685</v>
      </c>
      <c r="AC1636" s="350">
        <v>10</v>
      </c>
      <c r="AD1636" s="349" t="s">
        <v>2685</v>
      </c>
      <c r="AE1636" s="364">
        <v>0</v>
      </c>
      <c r="AF1636" s="366">
        <v>0</v>
      </c>
      <c r="AG1636" s="363">
        <v>0</v>
      </c>
      <c r="AH1636" s="635" t="s">
        <v>408</v>
      </c>
      <c r="AL1636" s="487" t="s">
        <v>16021</v>
      </c>
      <c r="AM1636" s="477" t="s">
        <v>71</v>
      </c>
      <c r="AN1636" s="637">
        <v>100</v>
      </c>
      <c r="AO1636" s="478">
        <v>-1570</v>
      </c>
      <c r="AP1636" s="463">
        <v>-686</v>
      </c>
      <c r="AQ1636" s="479">
        <v>-884</v>
      </c>
      <c r="AR1636" s="476" t="s">
        <v>17708</v>
      </c>
      <c r="BA1636" s="313" t="s">
        <v>6290</v>
      </c>
    </row>
    <row r="1637" spans="2:53" ht="16.5" customHeight="1">
      <c r="B1637" s="367" t="s">
        <v>6229</v>
      </c>
      <c r="C1637" s="351" t="s">
        <v>6230</v>
      </c>
      <c r="D1637" s="353">
        <v>-1570</v>
      </c>
      <c r="E1637" s="352" t="s">
        <v>12273</v>
      </c>
      <c r="F1637" s="341">
        <v>74.040000000000006</v>
      </c>
      <c r="G1637" s="355" t="s">
        <v>12274</v>
      </c>
      <c r="H1637" s="356" t="s">
        <v>5536</v>
      </c>
      <c r="I1637" s="354" t="s">
        <v>216</v>
      </c>
      <c r="J1637" s="340" t="s">
        <v>8820</v>
      </c>
      <c r="K1637" s="339" t="s">
        <v>71</v>
      </c>
      <c r="L1637" s="357">
        <v>3</v>
      </c>
      <c r="M1637" s="358" t="s">
        <v>12272</v>
      </c>
      <c r="N1637" s="359">
        <v>300</v>
      </c>
      <c r="O1637" s="360" t="s">
        <v>530</v>
      </c>
      <c r="P1637" s="343" t="s">
        <v>530</v>
      </c>
      <c r="Q1637" s="342" t="s">
        <v>2688</v>
      </c>
      <c r="R1637" s="344">
        <v>45</v>
      </c>
      <c r="S1637" s="345">
        <v>25</v>
      </c>
      <c r="T1637" s="362">
        <v>30</v>
      </c>
      <c r="U1637" s="361">
        <v>74.040000000000006</v>
      </c>
      <c r="V1637" s="346">
        <v>115.13831839323848</v>
      </c>
      <c r="W1637" s="348">
        <v>116.08397902446622</v>
      </c>
      <c r="X1637" s="347">
        <v>58.07</v>
      </c>
      <c r="Y1637" s="357" t="s">
        <v>408</v>
      </c>
      <c r="Z1637" s="365" t="s">
        <v>3017</v>
      </c>
      <c r="AA1637" s="350">
        <v>-2</v>
      </c>
      <c r="AB1637" s="349" t="s">
        <v>2685</v>
      </c>
      <c r="AC1637" s="350">
        <v>0</v>
      </c>
      <c r="AD1637" s="349" t="s">
        <v>2685</v>
      </c>
      <c r="AE1637" s="364">
        <v>0</v>
      </c>
      <c r="AF1637" s="366">
        <v>0</v>
      </c>
      <c r="AG1637" s="363">
        <v>0</v>
      </c>
      <c r="AH1637" s="635" t="s">
        <v>408</v>
      </c>
      <c r="AL1637" s="487" t="s">
        <v>16022</v>
      </c>
      <c r="AM1637" s="477" t="s">
        <v>71</v>
      </c>
      <c r="AN1637" s="637">
        <v>100</v>
      </c>
      <c r="AO1637" s="478">
        <v>-1570</v>
      </c>
      <c r="AP1637" s="463">
        <v>-686</v>
      </c>
      <c r="AQ1637" s="479">
        <v>-884</v>
      </c>
      <c r="AR1637" s="476" t="s">
        <v>17709</v>
      </c>
      <c r="BA1637" s="313" t="s">
        <v>6291</v>
      </c>
    </row>
    <row r="1638" spans="2:53" ht="16.5" customHeight="1">
      <c r="B1638" s="367" t="s">
        <v>6241</v>
      </c>
      <c r="C1638" s="351" t="s">
        <v>6242</v>
      </c>
      <c r="D1638" s="353">
        <v>-1570</v>
      </c>
      <c r="E1638" s="352" t="s">
        <v>408</v>
      </c>
      <c r="F1638" s="341">
        <v>74.040000000000006</v>
      </c>
      <c r="G1638" s="355" t="s">
        <v>6173</v>
      </c>
      <c r="H1638" s="356" t="s">
        <v>5536</v>
      </c>
      <c r="I1638" s="354" t="s">
        <v>215</v>
      </c>
      <c r="J1638" s="340" t="s">
        <v>12277</v>
      </c>
      <c r="K1638" s="339" t="s">
        <v>70</v>
      </c>
      <c r="L1638" s="357">
        <v>12</v>
      </c>
      <c r="M1638" s="358" t="s">
        <v>12278</v>
      </c>
      <c r="N1638" s="359">
        <v>1000</v>
      </c>
      <c r="O1638" s="360" t="s">
        <v>530</v>
      </c>
      <c r="P1638" s="343" t="s">
        <v>531</v>
      </c>
      <c r="Q1638" s="342" t="s">
        <v>2688</v>
      </c>
      <c r="R1638" s="344">
        <v>25</v>
      </c>
      <c r="S1638" s="345">
        <v>38</v>
      </c>
      <c r="T1638" s="362">
        <v>25</v>
      </c>
      <c r="U1638" s="361">
        <v>74.040000000000006</v>
      </c>
      <c r="V1638" s="346">
        <v>115.14139393073224</v>
      </c>
      <c r="W1638" s="348">
        <v>116.08584631508742</v>
      </c>
      <c r="X1638" s="347">
        <v>58.02</v>
      </c>
      <c r="Y1638" s="357">
        <v>57.919999999999995</v>
      </c>
      <c r="Z1638" s="365" t="s">
        <v>3017</v>
      </c>
      <c r="AA1638" s="350">
        <v>121.25</v>
      </c>
      <c r="AB1638" s="349" t="s">
        <v>2685</v>
      </c>
      <c r="AC1638" s="350">
        <v>10</v>
      </c>
      <c r="AD1638" s="349" t="s">
        <v>2685</v>
      </c>
      <c r="AE1638" s="364">
        <v>0</v>
      </c>
      <c r="AF1638" s="366">
        <v>0</v>
      </c>
      <c r="AG1638" s="363">
        <v>0</v>
      </c>
      <c r="AH1638" s="635" t="s">
        <v>408</v>
      </c>
      <c r="AL1638" s="487" t="s">
        <v>16023</v>
      </c>
      <c r="AM1638" s="477" t="s">
        <v>70</v>
      </c>
      <c r="AN1638" s="637">
        <v>100</v>
      </c>
      <c r="AO1638" s="478">
        <v>-1570</v>
      </c>
      <c r="AP1638" s="463">
        <v>-1570</v>
      </c>
      <c r="AQ1638" s="479">
        <v>0</v>
      </c>
      <c r="AR1638" s="476" t="s">
        <v>17710</v>
      </c>
      <c r="BA1638" s="313" t="s">
        <v>6292</v>
      </c>
    </row>
    <row r="1639" spans="2:53" ht="16.5" customHeight="1">
      <c r="B1639" s="367" t="s">
        <v>6246</v>
      </c>
      <c r="C1639" s="351" t="s">
        <v>6247</v>
      </c>
      <c r="D1639" s="353">
        <v>-1570</v>
      </c>
      <c r="E1639" s="352" t="s">
        <v>12279</v>
      </c>
      <c r="F1639" s="341">
        <v>74.02</v>
      </c>
      <c r="G1639" s="355" t="s">
        <v>6236</v>
      </c>
      <c r="H1639" s="356" t="s">
        <v>5690</v>
      </c>
      <c r="I1639" s="354" t="s">
        <v>9336</v>
      </c>
      <c r="J1639" s="340" t="s">
        <v>12281</v>
      </c>
      <c r="K1639" s="339" t="s">
        <v>71</v>
      </c>
      <c r="L1639" s="357">
        <v>5</v>
      </c>
      <c r="M1639" s="358" t="s">
        <v>12282</v>
      </c>
      <c r="N1639" s="359">
        <v>700</v>
      </c>
      <c r="O1639" s="360" t="s">
        <v>532</v>
      </c>
      <c r="P1639" s="343" t="s">
        <v>533</v>
      </c>
      <c r="Q1639" s="342" t="s">
        <v>2688</v>
      </c>
      <c r="R1639" s="344">
        <v>30</v>
      </c>
      <c r="S1639" s="345">
        <v>30</v>
      </c>
      <c r="T1639" s="362">
        <v>20</v>
      </c>
      <c r="U1639" s="361">
        <v>74.02</v>
      </c>
      <c r="V1639" s="346">
        <v>115.12824122973203</v>
      </c>
      <c r="W1639" s="348">
        <v>116.07786074662302</v>
      </c>
      <c r="X1639" s="347">
        <v>58.06</v>
      </c>
      <c r="Y1639" s="357">
        <v>59.68</v>
      </c>
      <c r="Z1639" s="365" t="s">
        <v>3017</v>
      </c>
      <c r="AA1639" s="350">
        <v>138</v>
      </c>
      <c r="AB1639" s="349" t="s">
        <v>2685</v>
      </c>
      <c r="AC1639" s="350">
        <v>10</v>
      </c>
      <c r="AD1639" s="349" t="s">
        <v>2685</v>
      </c>
      <c r="AE1639" s="364">
        <v>0</v>
      </c>
      <c r="AF1639" s="366">
        <v>0</v>
      </c>
      <c r="AG1639" s="363">
        <v>0</v>
      </c>
      <c r="AH1639" s="635" t="s">
        <v>408</v>
      </c>
      <c r="AL1639" s="487" t="s">
        <v>16024</v>
      </c>
      <c r="AM1639" s="477" t="s">
        <v>71</v>
      </c>
      <c r="AN1639" s="637">
        <v>100</v>
      </c>
      <c r="AO1639" s="478">
        <v>-1570</v>
      </c>
      <c r="AP1639" s="463">
        <v>-686</v>
      </c>
      <c r="AQ1639" s="479">
        <v>-884</v>
      </c>
      <c r="AR1639" s="476" t="s">
        <v>17711</v>
      </c>
      <c r="BA1639" s="313" t="s">
        <v>6294</v>
      </c>
    </row>
    <row r="1640" spans="2:53" ht="16.5" customHeight="1">
      <c r="B1640" s="367" t="s">
        <v>6250</v>
      </c>
      <c r="C1640" s="351" t="s">
        <v>6251</v>
      </c>
      <c r="D1640" s="353">
        <v>-1570</v>
      </c>
      <c r="E1640" s="352" t="s">
        <v>12283</v>
      </c>
      <c r="F1640" s="341">
        <v>74.010000000000005</v>
      </c>
      <c r="G1640" s="355" t="s">
        <v>12280</v>
      </c>
      <c r="H1640" s="356" t="s">
        <v>5542</v>
      </c>
      <c r="I1640" s="354" t="s">
        <v>301</v>
      </c>
      <c r="J1640" s="340" t="s">
        <v>12284</v>
      </c>
      <c r="K1640" s="339" t="s">
        <v>71</v>
      </c>
      <c r="L1640" s="357">
        <v>12</v>
      </c>
      <c r="M1640" s="358" t="s">
        <v>12285</v>
      </c>
      <c r="N1640" s="359">
        <v>1000</v>
      </c>
      <c r="O1640" s="360" t="s">
        <v>530</v>
      </c>
      <c r="P1640" s="343" t="s">
        <v>531</v>
      </c>
      <c r="Q1640" s="342" t="s">
        <v>2688</v>
      </c>
      <c r="R1640" s="344">
        <v>30</v>
      </c>
      <c r="S1640" s="345">
        <v>30</v>
      </c>
      <c r="T1640" s="362">
        <v>20</v>
      </c>
      <c r="U1640" s="361">
        <v>74.010000000000005</v>
      </c>
      <c r="V1640" s="346">
        <v>115.12233065207627</v>
      </c>
      <c r="W1640" s="348">
        <v>116.07427218161773</v>
      </c>
      <c r="X1640" s="347">
        <v>58.06</v>
      </c>
      <c r="Y1640" s="357">
        <v>58.19</v>
      </c>
      <c r="Z1640" s="365" t="s">
        <v>3017</v>
      </c>
      <c r="AA1640" s="350">
        <v>195</v>
      </c>
      <c r="AB1640" s="349" t="s">
        <v>2685</v>
      </c>
      <c r="AC1640" s="350">
        <v>10</v>
      </c>
      <c r="AD1640" s="349" t="s">
        <v>2685</v>
      </c>
      <c r="AE1640" s="364">
        <v>0</v>
      </c>
      <c r="AF1640" s="366">
        <v>0</v>
      </c>
      <c r="AG1640" s="363">
        <v>0</v>
      </c>
      <c r="AH1640" s="635" t="s">
        <v>408</v>
      </c>
      <c r="AL1640" s="487" t="s">
        <v>16025</v>
      </c>
      <c r="AM1640" s="477" t="s">
        <v>71</v>
      </c>
      <c r="AN1640" s="637">
        <v>100</v>
      </c>
      <c r="AO1640" s="478">
        <v>-1570</v>
      </c>
      <c r="AP1640" s="463">
        <v>-686</v>
      </c>
      <c r="AQ1640" s="479">
        <v>-884</v>
      </c>
      <c r="AR1640" s="476" t="s">
        <v>17712</v>
      </c>
      <c r="BA1640" s="313" t="s">
        <v>6295</v>
      </c>
    </row>
    <row r="1641" spans="2:53" ht="16.5" customHeight="1">
      <c r="B1641" s="367" t="s">
        <v>12286</v>
      </c>
      <c r="C1641" s="351" t="s">
        <v>12287</v>
      </c>
      <c r="D1641" s="353">
        <v>-1570</v>
      </c>
      <c r="E1641" s="352" t="s">
        <v>408</v>
      </c>
      <c r="F1641" s="341">
        <v>74</v>
      </c>
      <c r="G1641" s="355" t="s">
        <v>12288</v>
      </c>
      <c r="H1641" s="356" t="s">
        <v>12006</v>
      </c>
      <c r="I1641" s="354" t="s">
        <v>446</v>
      </c>
      <c r="J1641" s="340" t="s">
        <v>447</v>
      </c>
      <c r="K1641" s="339" t="s">
        <v>70</v>
      </c>
      <c r="L1641" s="357">
        <v>22</v>
      </c>
      <c r="M1641" s="358" t="s">
        <v>12290</v>
      </c>
      <c r="N1641" s="359">
        <v>1000</v>
      </c>
      <c r="O1641" s="360" t="s">
        <v>454</v>
      </c>
      <c r="P1641" s="343" t="s">
        <v>454</v>
      </c>
      <c r="Q1641" s="342" t="s">
        <v>2688</v>
      </c>
      <c r="R1641" s="344">
        <v>25</v>
      </c>
      <c r="S1641" s="345">
        <v>35</v>
      </c>
      <c r="T1641" s="362">
        <v>30</v>
      </c>
      <c r="U1641" s="361">
        <v>74</v>
      </c>
      <c r="V1641" s="346">
        <v>115.11764705882354</v>
      </c>
      <c r="W1641" s="348">
        <v>116.07142857142857</v>
      </c>
      <c r="X1641" s="347">
        <v>58.01</v>
      </c>
      <c r="Y1641" s="357" t="s">
        <v>408</v>
      </c>
      <c r="Z1641" s="365" t="s">
        <v>3017</v>
      </c>
      <c r="AA1641" s="350">
        <v>98</v>
      </c>
      <c r="AB1641" s="349" t="s">
        <v>2685</v>
      </c>
      <c r="AC1641" s="350">
        <v>0</v>
      </c>
      <c r="AD1641" s="349" t="s">
        <v>2685</v>
      </c>
      <c r="AE1641" s="364">
        <v>0</v>
      </c>
      <c r="AF1641" s="366">
        <v>0</v>
      </c>
      <c r="AG1641" s="363">
        <v>0</v>
      </c>
      <c r="AH1641" s="635" t="s">
        <v>408</v>
      </c>
      <c r="AL1641" s="487" t="s">
        <v>7224</v>
      </c>
      <c r="AM1641" s="477" t="s">
        <v>70</v>
      </c>
      <c r="AN1641" s="637">
        <v>100</v>
      </c>
      <c r="AO1641" s="478">
        <v>-1570</v>
      </c>
      <c r="AP1641" s="463">
        <v>-1570</v>
      </c>
      <c r="AQ1641" s="479">
        <v>0</v>
      </c>
      <c r="AR1641" s="476" t="s">
        <v>17713</v>
      </c>
      <c r="BA1641" s="313" t="s">
        <v>6297</v>
      </c>
    </row>
    <row r="1642" spans="2:53" ht="16.5" customHeight="1">
      <c r="B1642" s="367" t="s">
        <v>12291</v>
      </c>
      <c r="C1642" s="351" t="s">
        <v>12292</v>
      </c>
      <c r="D1642" s="353">
        <v>-1570</v>
      </c>
      <c r="E1642" s="352" t="s">
        <v>408</v>
      </c>
      <c r="F1642" s="341">
        <v>73.930000000000007</v>
      </c>
      <c r="G1642" s="355" t="s">
        <v>12293</v>
      </c>
      <c r="H1642" s="356" t="s">
        <v>18967</v>
      </c>
      <c r="I1642" s="354" t="s">
        <v>228</v>
      </c>
      <c r="J1642" s="340" t="s">
        <v>12294</v>
      </c>
      <c r="K1642" s="339" t="s">
        <v>70</v>
      </c>
      <c r="L1642" s="357">
        <v>26</v>
      </c>
      <c r="M1642" s="358" t="s">
        <v>12295</v>
      </c>
      <c r="N1642" s="359">
        <v>1000</v>
      </c>
      <c r="O1642" s="360" t="s">
        <v>530</v>
      </c>
      <c r="P1642" s="343" t="s">
        <v>531</v>
      </c>
      <c r="Q1642" s="342" t="s">
        <v>2688</v>
      </c>
      <c r="R1642" s="344">
        <v>30</v>
      </c>
      <c r="S1642" s="345">
        <v>35</v>
      </c>
      <c r="T1642" s="362">
        <v>35</v>
      </c>
      <c r="U1642" s="361">
        <v>73.930000000000007</v>
      </c>
      <c r="V1642" s="346">
        <v>115.07549802643456</v>
      </c>
      <c r="W1642" s="348">
        <v>116.04583808747812</v>
      </c>
      <c r="X1642" s="347">
        <v>57.99</v>
      </c>
      <c r="Y1642" s="357">
        <v>60.12</v>
      </c>
      <c r="Z1642" s="365" t="s">
        <v>2689</v>
      </c>
      <c r="AA1642" s="350">
        <v>100</v>
      </c>
      <c r="AB1642" s="349" t="s">
        <v>2685</v>
      </c>
      <c r="AC1642" s="350">
        <v>10</v>
      </c>
      <c r="AD1642" s="349" t="s">
        <v>2685</v>
      </c>
      <c r="AE1642" s="364">
        <v>0</v>
      </c>
      <c r="AF1642" s="366">
        <v>10.521000000000001</v>
      </c>
      <c r="AG1642" s="363">
        <v>0</v>
      </c>
      <c r="AH1642" s="635" t="s">
        <v>7787</v>
      </c>
      <c r="AL1642" s="487" t="s">
        <v>16026</v>
      </c>
      <c r="AM1642" s="477" t="s">
        <v>70</v>
      </c>
      <c r="AN1642" s="637">
        <v>100</v>
      </c>
      <c r="AO1642" s="478">
        <v>-1570</v>
      </c>
      <c r="AP1642" s="463">
        <v>-1570</v>
      </c>
      <c r="AQ1642" s="479">
        <v>0</v>
      </c>
      <c r="AR1642" s="476" t="s">
        <v>17714</v>
      </c>
      <c r="BA1642" s="313" t="s">
        <v>6299</v>
      </c>
    </row>
    <row r="1643" spans="2:53" ht="16.5" customHeight="1">
      <c r="B1643" s="367" t="s">
        <v>12296</v>
      </c>
      <c r="C1643" s="351" t="s">
        <v>12297</v>
      </c>
      <c r="D1643" s="353">
        <v>-1570</v>
      </c>
      <c r="E1643" s="352" t="s">
        <v>12298</v>
      </c>
      <c r="F1643" s="341">
        <v>73.92</v>
      </c>
      <c r="G1643" s="355" t="s">
        <v>18968</v>
      </c>
      <c r="H1643" s="356" t="s">
        <v>18969</v>
      </c>
      <c r="I1643" s="354" t="s">
        <v>446</v>
      </c>
      <c r="J1643" s="340" t="s">
        <v>501</v>
      </c>
      <c r="K1643" s="339" t="s">
        <v>71</v>
      </c>
      <c r="L1643" s="357">
        <v>9</v>
      </c>
      <c r="M1643" s="358" t="s">
        <v>12299</v>
      </c>
      <c r="N1643" s="359">
        <v>1000</v>
      </c>
      <c r="O1643" s="360" t="s">
        <v>454</v>
      </c>
      <c r="P1643" s="343" t="s">
        <v>454</v>
      </c>
      <c r="Q1643" s="342" t="s">
        <v>2688</v>
      </c>
      <c r="R1643" s="344">
        <v>35</v>
      </c>
      <c r="S1643" s="345">
        <v>30</v>
      </c>
      <c r="T1643" s="362">
        <v>25</v>
      </c>
      <c r="U1643" s="361">
        <v>73.92</v>
      </c>
      <c r="V1643" s="346">
        <v>115.0686274509804</v>
      </c>
      <c r="W1643" s="348">
        <v>116.04166666666667</v>
      </c>
      <c r="X1643" s="347">
        <v>58.02</v>
      </c>
      <c r="Y1643" s="357" t="s">
        <v>408</v>
      </c>
      <c r="Z1643" s="365" t="s">
        <v>3017</v>
      </c>
      <c r="AA1643" s="350">
        <v>98</v>
      </c>
      <c r="AB1643" s="349" t="s">
        <v>2685</v>
      </c>
      <c r="AC1643" s="350">
        <v>0</v>
      </c>
      <c r="AD1643" s="349" t="s">
        <v>2685</v>
      </c>
      <c r="AE1643" s="364">
        <v>0</v>
      </c>
      <c r="AF1643" s="366">
        <v>0</v>
      </c>
      <c r="AG1643" s="363">
        <v>0</v>
      </c>
      <c r="AH1643" s="635" t="s">
        <v>408</v>
      </c>
      <c r="AL1643" s="487" t="s">
        <v>16027</v>
      </c>
      <c r="AM1643" s="477" t="s">
        <v>71</v>
      </c>
      <c r="AN1643" s="637">
        <v>100</v>
      </c>
      <c r="AO1643" s="478">
        <v>-1570</v>
      </c>
      <c r="AP1643" s="463">
        <v>-686</v>
      </c>
      <c r="AQ1643" s="479">
        <v>-884</v>
      </c>
      <c r="AR1643" s="476" t="s">
        <v>17715</v>
      </c>
      <c r="BA1643" s="313" t="s">
        <v>6301</v>
      </c>
    </row>
    <row r="1644" spans="2:53" ht="16.5" customHeight="1">
      <c r="B1644" s="367" t="s">
        <v>12300</v>
      </c>
      <c r="C1644" s="351" t="s">
        <v>12301</v>
      </c>
      <c r="D1644" s="353">
        <v>-1570</v>
      </c>
      <c r="E1644" s="352" t="s">
        <v>12302</v>
      </c>
      <c r="F1644" s="341">
        <v>73.91</v>
      </c>
      <c r="G1644" s="355" t="s">
        <v>12302</v>
      </c>
      <c r="H1644" s="356" t="s">
        <v>5714</v>
      </c>
      <c r="I1644" s="354" t="s">
        <v>216</v>
      </c>
      <c r="J1644" s="340" t="s">
        <v>12303</v>
      </c>
      <c r="K1644" s="339" t="s">
        <v>71</v>
      </c>
      <c r="L1644" s="357">
        <v>148</v>
      </c>
      <c r="M1644" s="358" t="s">
        <v>6256</v>
      </c>
      <c r="N1644" s="359">
        <v>300</v>
      </c>
      <c r="O1644" s="360" t="s">
        <v>530</v>
      </c>
      <c r="P1644" s="343" t="s">
        <v>530</v>
      </c>
      <c r="Q1644" s="342" t="s">
        <v>2688</v>
      </c>
      <c r="R1644" s="344">
        <v>45</v>
      </c>
      <c r="S1644" s="345">
        <v>25</v>
      </c>
      <c r="T1644" s="362">
        <v>30</v>
      </c>
      <c r="U1644" s="361">
        <v>73.91</v>
      </c>
      <c r="V1644" s="346">
        <v>115.06206055276304</v>
      </c>
      <c r="W1644" s="348">
        <v>116.03767962132042</v>
      </c>
      <c r="X1644" s="347">
        <v>58.02</v>
      </c>
      <c r="Y1644" s="357" t="s">
        <v>408</v>
      </c>
      <c r="Z1644" s="365" t="s">
        <v>3017</v>
      </c>
      <c r="AA1644" s="350">
        <v>-2</v>
      </c>
      <c r="AB1644" s="349" t="s">
        <v>2685</v>
      </c>
      <c r="AC1644" s="350">
        <v>0</v>
      </c>
      <c r="AD1644" s="349" t="s">
        <v>2685</v>
      </c>
      <c r="AE1644" s="364">
        <v>0</v>
      </c>
      <c r="AF1644" s="366">
        <v>0</v>
      </c>
      <c r="AG1644" s="363">
        <v>0</v>
      </c>
      <c r="AH1644" s="635" t="s">
        <v>408</v>
      </c>
      <c r="AL1644" s="487" t="s">
        <v>16028</v>
      </c>
      <c r="AM1644" s="477" t="s">
        <v>71</v>
      </c>
      <c r="AN1644" s="637">
        <v>100</v>
      </c>
      <c r="AO1644" s="478">
        <v>-1570</v>
      </c>
      <c r="AP1644" s="463">
        <v>-686</v>
      </c>
      <c r="AQ1644" s="479">
        <v>-884</v>
      </c>
      <c r="AR1644" s="476" t="s">
        <v>17716</v>
      </c>
      <c r="BA1644" s="313" t="s">
        <v>6304</v>
      </c>
    </row>
    <row r="1645" spans="2:53" ht="16.5" customHeight="1">
      <c r="B1645" s="367" t="s">
        <v>6265</v>
      </c>
      <c r="C1645" s="351" t="s">
        <v>6266</v>
      </c>
      <c r="D1645" s="353">
        <v>-1570</v>
      </c>
      <c r="E1645" s="352" t="s">
        <v>408</v>
      </c>
      <c r="F1645" s="341">
        <v>73.91</v>
      </c>
      <c r="G1645" s="355" t="s">
        <v>12304</v>
      </c>
      <c r="H1645" s="356" t="s">
        <v>5714</v>
      </c>
      <c r="I1645" s="354" t="s">
        <v>216</v>
      </c>
      <c r="J1645" s="340" t="s">
        <v>8415</v>
      </c>
      <c r="K1645" s="339" t="s">
        <v>70</v>
      </c>
      <c r="L1645" s="357">
        <v>7</v>
      </c>
      <c r="M1645" s="358" t="s">
        <v>12305</v>
      </c>
      <c r="N1645" s="359">
        <v>300</v>
      </c>
      <c r="O1645" s="360" t="s">
        <v>530</v>
      </c>
      <c r="P1645" s="343" t="s">
        <v>530</v>
      </c>
      <c r="Q1645" s="342" t="s">
        <v>2688</v>
      </c>
      <c r="R1645" s="344">
        <v>25</v>
      </c>
      <c r="S1645" s="345">
        <v>45</v>
      </c>
      <c r="T1645" s="362">
        <v>30</v>
      </c>
      <c r="U1645" s="361">
        <v>73.91</v>
      </c>
      <c r="V1645" s="346">
        <v>115.06319938443399</v>
      </c>
      <c r="W1645" s="348">
        <v>116.03837105483493</v>
      </c>
      <c r="X1645" s="347">
        <v>57.98</v>
      </c>
      <c r="Y1645" s="357" t="s">
        <v>408</v>
      </c>
      <c r="Z1645" s="365" t="s">
        <v>3017</v>
      </c>
      <c r="AA1645" s="350">
        <v>-2</v>
      </c>
      <c r="AB1645" s="349" t="s">
        <v>2685</v>
      </c>
      <c r="AC1645" s="350">
        <v>0</v>
      </c>
      <c r="AD1645" s="349" t="s">
        <v>2685</v>
      </c>
      <c r="AE1645" s="364">
        <v>0</v>
      </c>
      <c r="AF1645" s="366">
        <v>0</v>
      </c>
      <c r="AG1645" s="363">
        <v>0</v>
      </c>
      <c r="AH1645" s="635" t="s">
        <v>408</v>
      </c>
      <c r="AL1645" s="487" t="s">
        <v>16029</v>
      </c>
      <c r="AM1645" s="477" t="s">
        <v>70</v>
      </c>
      <c r="AN1645" s="637">
        <v>100</v>
      </c>
      <c r="AO1645" s="478">
        <v>-1570</v>
      </c>
      <c r="AP1645" s="463">
        <v>-1570</v>
      </c>
      <c r="AQ1645" s="479">
        <v>0</v>
      </c>
      <c r="AR1645" s="476" t="s">
        <v>17717</v>
      </c>
      <c r="BA1645" s="313" t="s">
        <v>6308</v>
      </c>
    </row>
    <row r="1646" spans="2:53" ht="16.5" customHeight="1">
      <c r="B1646" s="367" t="s">
        <v>12306</v>
      </c>
      <c r="C1646" s="351" t="s">
        <v>12307</v>
      </c>
      <c r="D1646" s="353">
        <v>-1570</v>
      </c>
      <c r="E1646" s="352" t="s">
        <v>408</v>
      </c>
      <c r="F1646" s="341">
        <v>73.89</v>
      </c>
      <c r="G1646" s="355" t="s">
        <v>12308</v>
      </c>
      <c r="H1646" s="356" t="s">
        <v>11716</v>
      </c>
      <c r="I1646" s="354" t="s">
        <v>8000</v>
      </c>
      <c r="J1646" s="340" t="s">
        <v>11074</v>
      </c>
      <c r="K1646" s="339" t="s">
        <v>70</v>
      </c>
      <c r="L1646" s="357">
        <v>11</v>
      </c>
      <c r="M1646" s="358" t="s">
        <v>12309</v>
      </c>
      <c r="N1646" s="359">
        <v>1000</v>
      </c>
      <c r="O1646" s="360" t="s">
        <v>532</v>
      </c>
      <c r="P1646" s="343" t="s">
        <v>532</v>
      </c>
      <c r="Q1646" s="342" t="s">
        <v>2688</v>
      </c>
      <c r="R1646" s="344">
        <v>25</v>
      </c>
      <c r="S1646" s="345">
        <v>30</v>
      </c>
      <c r="T1646" s="362">
        <v>25</v>
      </c>
      <c r="U1646" s="361">
        <v>73.89</v>
      </c>
      <c r="V1646" s="346">
        <v>115.05046959884504</v>
      </c>
      <c r="W1646" s="348">
        <v>116.03064225644164</v>
      </c>
      <c r="X1646" s="347" t="s">
        <v>18970</v>
      </c>
      <c r="Y1646" s="357" t="s">
        <v>408</v>
      </c>
      <c r="Z1646" s="365" t="s">
        <v>4408</v>
      </c>
      <c r="AA1646" s="350">
        <v>192</v>
      </c>
      <c r="AB1646" s="349" t="s">
        <v>2685</v>
      </c>
      <c r="AC1646" s="350">
        <v>0</v>
      </c>
      <c r="AD1646" s="349" t="s">
        <v>2685</v>
      </c>
      <c r="AE1646" s="364">
        <v>0</v>
      </c>
      <c r="AF1646" s="366">
        <v>0</v>
      </c>
      <c r="AG1646" s="363">
        <v>0</v>
      </c>
      <c r="AH1646" s="635" t="s">
        <v>408</v>
      </c>
      <c r="AL1646" s="487" t="s">
        <v>16030</v>
      </c>
      <c r="AM1646" s="477" t="s">
        <v>70</v>
      </c>
      <c r="AN1646" s="637">
        <v>100</v>
      </c>
      <c r="AO1646" s="478">
        <v>-1570</v>
      </c>
      <c r="AP1646" s="463">
        <v>-1570</v>
      </c>
      <c r="AQ1646" s="479">
        <v>0</v>
      </c>
      <c r="AR1646" s="476" t="s">
        <v>17718</v>
      </c>
      <c r="BA1646" s="313" t="s">
        <v>6310</v>
      </c>
    </row>
    <row r="1647" spans="2:53" ht="16.5" customHeight="1">
      <c r="B1647" s="367" t="s">
        <v>12310</v>
      </c>
      <c r="C1647" s="351" t="s">
        <v>12311</v>
      </c>
      <c r="D1647" s="353">
        <v>-1570</v>
      </c>
      <c r="E1647" s="352" t="s">
        <v>12312</v>
      </c>
      <c r="F1647" s="341">
        <v>73.88</v>
      </c>
      <c r="G1647" s="355" t="s">
        <v>12293</v>
      </c>
      <c r="H1647" s="356" t="s">
        <v>18971</v>
      </c>
      <c r="I1647" s="354" t="s">
        <v>485</v>
      </c>
      <c r="J1647" s="340" t="s">
        <v>493</v>
      </c>
      <c r="K1647" s="339" t="s">
        <v>71</v>
      </c>
      <c r="L1647" s="357">
        <v>12</v>
      </c>
      <c r="M1647" s="358" t="s">
        <v>12314</v>
      </c>
      <c r="N1647" s="359">
        <v>100</v>
      </c>
      <c r="O1647" s="360" t="s">
        <v>454</v>
      </c>
      <c r="P1647" s="343" t="s">
        <v>454</v>
      </c>
      <c r="Q1647" s="342" t="s">
        <v>2738</v>
      </c>
      <c r="R1647" s="344">
        <v>35</v>
      </c>
      <c r="S1647" s="345">
        <v>30</v>
      </c>
      <c r="T1647" s="362">
        <v>15</v>
      </c>
      <c r="U1647" s="361">
        <v>73.88</v>
      </c>
      <c r="V1647" s="346">
        <v>115.04411764705883</v>
      </c>
      <c r="W1647" s="348">
        <v>116.02678571428572</v>
      </c>
      <c r="X1647" s="347">
        <v>58.01</v>
      </c>
      <c r="Y1647" s="357" t="s">
        <v>408</v>
      </c>
      <c r="Z1647" s="365" t="s">
        <v>3017</v>
      </c>
      <c r="AA1647" s="350">
        <v>19.600000000000001</v>
      </c>
      <c r="AB1647" s="349" t="s">
        <v>2685</v>
      </c>
      <c r="AC1647" s="350">
        <v>0</v>
      </c>
      <c r="AD1647" s="349" t="s">
        <v>2685</v>
      </c>
      <c r="AE1647" s="364">
        <v>0</v>
      </c>
      <c r="AF1647" s="366">
        <v>0</v>
      </c>
      <c r="AG1647" s="363">
        <v>0</v>
      </c>
      <c r="AH1647" s="635" t="s">
        <v>408</v>
      </c>
      <c r="AL1647" s="487" t="s">
        <v>7225</v>
      </c>
      <c r="AM1647" s="477" t="s">
        <v>71</v>
      </c>
      <c r="AN1647" s="637">
        <v>100</v>
      </c>
      <c r="AO1647" s="478">
        <v>-1570</v>
      </c>
      <c r="AP1647" s="463">
        <v>-685</v>
      </c>
      <c r="AQ1647" s="479">
        <v>-885</v>
      </c>
      <c r="AR1647" s="476" t="s">
        <v>17719</v>
      </c>
      <c r="BA1647" s="313" t="s">
        <v>6311</v>
      </c>
    </row>
    <row r="1648" spans="2:53" ht="16.5" customHeight="1">
      <c r="B1648" s="367" t="s">
        <v>6271</v>
      </c>
      <c r="C1648" s="351" t="s">
        <v>6272</v>
      </c>
      <c r="D1648" s="353">
        <v>-1570</v>
      </c>
      <c r="E1648" s="352" t="s">
        <v>408</v>
      </c>
      <c r="F1648" s="341">
        <v>73.83</v>
      </c>
      <c r="G1648" s="355" t="s">
        <v>12315</v>
      </c>
      <c r="H1648" s="356" t="s">
        <v>11791</v>
      </c>
      <c r="I1648" s="354" t="s">
        <v>446</v>
      </c>
      <c r="J1648" s="340" t="s">
        <v>12316</v>
      </c>
      <c r="K1648" s="339" t="s">
        <v>70</v>
      </c>
      <c r="L1648" s="357">
        <v>8</v>
      </c>
      <c r="M1648" s="358" t="s">
        <v>9276</v>
      </c>
      <c r="N1648" s="359">
        <v>1000</v>
      </c>
      <c r="O1648" s="360" t="s">
        <v>454</v>
      </c>
      <c r="P1648" s="343" t="s">
        <v>454</v>
      </c>
      <c r="Q1648" s="342" t="s">
        <v>2688</v>
      </c>
      <c r="R1648" s="344">
        <v>25</v>
      </c>
      <c r="S1648" s="345">
        <v>35</v>
      </c>
      <c r="T1648" s="362">
        <v>30</v>
      </c>
      <c r="U1648" s="361">
        <v>73.83</v>
      </c>
      <c r="V1648" s="346">
        <v>115.01960784313725</v>
      </c>
      <c r="W1648" s="348">
        <v>116.01190476190476</v>
      </c>
      <c r="X1648" s="347">
        <v>57.96</v>
      </c>
      <c r="Y1648" s="357" t="s">
        <v>408</v>
      </c>
      <c r="Z1648" s="365" t="s">
        <v>3017</v>
      </c>
      <c r="AA1648" s="350">
        <v>98</v>
      </c>
      <c r="AB1648" s="349" t="s">
        <v>2685</v>
      </c>
      <c r="AC1648" s="350">
        <v>0</v>
      </c>
      <c r="AD1648" s="349" t="s">
        <v>2685</v>
      </c>
      <c r="AE1648" s="364">
        <v>0</v>
      </c>
      <c r="AF1648" s="366">
        <v>0</v>
      </c>
      <c r="AG1648" s="363">
        <v>0</v>
      </c>
      <c r="AH1648" s="635" t="s">
        <v>408</v>
      </c>
      <c r="AL1648" s="487" t="s">
        <v>16031</v>
      </c>
      <c r="AM1648" s="477" t="s">
        <v>70</v>
      </c>
      <c r="AN1648" s="637">
        <v>100</v>
      </c>
      <c r="AO1648" s="478">
        <v>-1570</v>
      </c>
      <c r="AP1648" s="463">
        <v>-1570</v>
      </c>
      <c r="AQ1648" s="479">
        <v>0</v>
      </c>
      <c r="AR1648" s="476" t="s">
        <v>17720</v>
      </c>
      <c r="BA1648" s="313" t="s">
        <v>6312</v>
      </c>
    </row>
    <row r="1649" spans="2:53" ht="16.5" customHeight="1">
      <c r="B1649" s="367" t="s">
        <v>6280</v>
      </c>
      <c r="C1649" s="351" t="s">
        <v>6281</v>
      </c>
      <c r="D1649" s="353">
        <v>-1570</v>
      </c>
      <c r="E1649" s="352" t="s">
        <v>12317</v>
      </c>
      <c r="F1649" s="341">
        <v>73.77</v>
      </c>
      <c r="G1649" s="355" t="s">
        <v>12318</v>
      </c>
      <c r="H1649" s="356" t="s">
        <v>11732</v>
      </c>
      <c r="I1649" s="354" t="s">
        <v>197</v>
      </c>
      <c r="J1649" s="340" t="s">
        <v>8337</v>
      </c>
      <c r="K1649" s="339" t="s">
        <v>70</v>
      </c>
      <c r="L1649" s="357">
        <v>5</v>
      </c>
      <c r="M1649" s="358" t="s">
        <v>12319</v>
      </c>
      <c r="N1649" s="359">
        <v>500</v>
      </c>
      <c r="O1649" s="360" t="s">
        <v>454</v>
      </c>
      <c r="P1649" s="343" t="s">
        <v>454</v>
      </c>
      <c r="Q1649" s="342" t="s">
        <v>2688</v>
      </c>
      <c r="R1649" s="344">
        <v>30</v>
      </c>
      <c r="S1649" s="345">
        <v>20</v>
      </c>
      <c r="T1649" s="362">
        <v>20</v>
      </c>
      <c r="U1649" s="361">
        <v>73.77</v>
      </c>
      <c r="V1649" s="346">
        <v>114.98066075745366</v>
      </c>
      <c r="W1649" s="348">
        <v>115.9893946089262</v>
      </c>
      <c r="X1649" s="347">
        <v>57.97</v>
      </c>
      <c r="Y1649" s="357" t="s">
        <v>408</v>
      </c>
      <c r="Z1649" s="365" t="s">
        <v>4408</v>
      </c>
      <c r="AA1649" s="350">
        <v>141</v>
      </c>
      <c r="AB1649" s="349" t="s">
        <v>2685</v>
      </c>
      <c r="AC1649" s="350">
        <v>1.5</v>
      </c>
      <c r="AD1649" s="349" t="s">
        <v>2685</v>
      </c>
      <c r="AE1649" s="364">
        <v>0</v>
      </c>
      <c r="AF1649" s="366">
        <v>11.066000000000001</v>
      </c>
      <c r="AG1649" s="363">
        <v>0</v>
      </c>
      <c r="AH1649" s="635" t="s">
        <v>6360</v>
      </c>
      <c r="AL1649" s="487" t="s">
        <v>16032</v>
      </c>
      <c r="AM1649" s="477" t="s">
        <v>70</v>
      </c>
      <c r="AN1649" s="637">
        <v>100</v>
      </c>
      <c r="AO1649" s="478">
        <v>-1570</v>
      </c>
      <c r="AP1649" s="463">
        <v>-1570</v>
      </c>
      <c r="AQ1649" s="479">
        <v>0</v>
      </c>
      <c r="AR1649" s="476" t="s">
        <v>17721</v>
      </c>
      <c r="BA1649" s="313" t="s">
        <v>6313</v>
      </c>
    </row>
    <row r="1650" spans="2:53" ht="16.5" customHeight="1">
      <c r="B1650" s="367" t="s">
        <v>12320</v>
      </c>
      <c r="C1650" s="351" t="s">
        <v>12321</v>
      </c>
      <c r="D1650" s="353">
        <v>-1570</v>
      </c>
      <c r="E1650" s="352" t="s">
        <v>6214</v>
      </c>
      <c r="F1650" s="341">
        <v>73.73</v>
      </c>
      <c r="G1650" s="355" t="s">
        <v>6214</v>
      </c>
      <c r="H1650" s="356" t="s">
        <v>11763</v>
      </c>
      <c r="I1650" s="354" t="s">
        <v>214</v>
      </c>
      <c r="J1650" s="340" t="s">
        <v>12322</v>
      </c>
      <c r="K1650" s="339" t="s">
        <v>71</v>
      </c>
      <c r="L1650" s="357">
        <v>7</v>
      </c>
      <c r="M1650" s="358" t="s">
        <v>12323</v>
      </c>
      <c r="N1650" s="359">
        <v>200</v>
      </c>
      <c r="O1650" s="360" t="s">
        <v>532</v>
      </c>
      <c r="P1650" s="343" t="s">
        <v>532</v>
      </c>
      <c r="Q1650" s="342" t="s">
        <v>2688</v>
      </c>
      <c r="R1650" s="344">
        <v>30</v>
      </c>
      <c r="S1650" s="345">
        <v>20</v>
      </c>
      <c r="T1650" s="362">
        <v>30</v>
      </c>
      <c r="U1650" s="361">
        <v>73.73</v>
      </c>
      <c r="V1650" s="346">
        <v>114.95722427715381</v>
      </c>
      <c r="W1650" s="348">
        <v>115.97654234553596</v>
      </c>
      <c r="X1650" s="347" t="s">
        <v>18972</v>
      </c>
      <c r="Y1650" s="357" t="s">
        <v>408</v>
      </c>
      <c r="Z1650" s="365" t="s">
        <v>4408</v>
      </c>
      <c r="AA1650" s="350">
        <v>36</v>
      </c>
      <c r="AB1650" s="349" t="s">
        <v>2685</v>
      </c>
      <c r="AC1650" s="350">
        <v>0</v>
      </c>
      <c r="AD1650" s="349" t="s">
        <v>2685</v>
      </c>
      <c r="AE1650" s="364">
        <v>0</v>
      </c>
      <c r="AF1650" s="366">
        <v>0</v>
      </c>
      <c r="AG1650" s="363">
        <v>0</v>
      </c>
      <c r="AH1650" s="635" t="s">
        <v>408</v>
      </c>
      <c r="AL1650" s="487" t="s">
        <v>16033</v>
      </c>
      <c r="AM1650" s="477" t="s">
        <v>71</v>
      </c>
      <c r="AN1650" s="637">
        <v>100</v>
      </c>
      <c r="AO1650" s="478">
        <v>-1570</v>
      </c>
      <c r="AP1650" s="463">
        <v>-685</v>
      </c>
      <c r="AQ1650" s="479">
        <v>-885</v>
      </c>
      <c r="AR1650" s="476" t="s">
        <v>17722</v>
      </c>
      <c r="BA1650" s="313" t="s">
        <v>6314</v>
      </c>
    </row>
    <row r="1651" spans="2:53" ht="16.5" customHeight="1">
      <c r="B1651" s="367" t="s">
        <v>12320</v>
      </c>
      <c r="C1651" s="351" t="s">
        <v>12321</v>
      </c>
      <c r="D1651" s="353">
        <v>-1570</v>
      </c>
      <c r="E1651" s="352" t="s">
        <v>6214</v>
      </c>
      <c r="F1651" s="341">
        <v>73.73</v>
      </c>
      <c r="G1651" s="355" t="s">
        <v>6214</v>
      </c>
      <c r="H1651" s="356" t="s">
        <v>11763</v>
      </c>
      <c r="I1651" s="354" t="s">
        <v>216</v>
      </c>
      <c r="J1651" s="340" t="s">
        <v>8804</v>
      </c>
      <c r="K1651" s="339" t="s">
        <v>71</v>
      </c>
      <c r="L1651" s="357">
        <v>3</v>
      </c>
      <c r="M1651" s="358" t="s">
        <v>12324</v>
      </c>
      <c r="N1651" s="359">
        <v>300</v>
      </c>
      <c r="O1651" s="360" t="s">
        <v>530</v>
      </c>
      <c r="P1651" s="343" t="s">
        <v>530</v>
      </c>
      <c r="Q1651" s="342" t="s">
        <v>2688</v>
      </c>
      <c r="R1651" s="344">
        <v>45</v>
      </c>
      <c r="S1651" s="345">
        <v>25</v>
      </c>
      <c r="T1651" s="362">
        <v>30</v>
      </c>
      <c r="U1651" s="361">
        <v>73.73</v>
      </c>
      <c r="V1651" s="346">
        <v>114.95742881482106</v>
      </c>
      <c r="W1651" s="348">
        <v>115.97665451135349</v>
      </c>
      <c r="X1651" s="347">
        <v>57.96</v>
      </c>
      <c r="Y1651" s="357" t="s">
        <v>408</v>
      </c>
      <c r="Z1651" s="365" t="s">
        <v>3017</v>
      </c>
      <c r="AA1651" s="350">
        <v>-2</v>
      </c>
      <c r="AB1651" s="349" t="s">
        <v>2685</v>
      </c>
      <c r="AC1651" s="350">
        <v>0</v>
      </c>
      <c r="AD1651" s="349" t="s">
        <v>2685</v>
      </c>
      <c r="AE1651" s="364">
        <v>0</v>
      </c>
      <c r="AF1651" s="366">
        <v>0</v>
      </c>
      <c r="AG1651" s="363">
        <v>0</v>
      </c>
      <c r="AH1651" s="635" t="s">
        <v>408</v>
      </c>
      <c r="AL1651" s="487" t="s">
        <v>16034</v>
      </c>
      <c r="AM1651" s="477" t="s">
        <v>71</v>
      </c>
      <c r="AN1651" s="637">
        <v>100</v>
      </c>
      <c r="AO1651" s="478">
        <v>-1570</v>
      </c>
      <c r="AP1651" s="463">
        <v>-685</v>
      </c>
      <c r="AQ1651" s="479">
        <v>-885</v>
      </c>
      <c r="AR1651" s="476" t="s">
        <v>17722</v>
      </c>
      <c r="BA1651" s="313" t="s">
        <v>6316</v>
      </c>
    </row>
    <row r="1652" spans="2:53" ht="16.5" customHeight="1">
      <c r="B1652" s="367" t="s">
        <v>6284</v>
      </c>
      <c r="C1652" s="351" t="s">
        <v>6285</v>
      </c>
      <c r="D1652" s="353">
        <v>-1570</v>
      </c>
      <c r="E1652" s="352" t="s">
        <v>408</v>
      </c>
      <c r="F1652" s="341">
        <v>73.73</v>
      </c>
      <c r="G1652" s="355" t="s">
        <v>12325</v>
      </c>
      <c r="H1652" s="356" t="s">
        <v>11763</v>
      </c>
      <c r="I1652" s="354" t="s">
        <v>216</v>
      </c>
      <c r="J1652" s="340" t="s">
        <v>12326</v>
      </c>
      <c r="K1652" s="339" t="s">
        <v>70</v>
      </c>
      <c r="L1652" s="357">
        <v>14</v>
      </c>
      <c r="M1652" s="358" t="s">
        <v>12327</v>
      </c>
      <c r="N1652" s="359">
        <v>300</v>
      </c>
      <c r="O1652" s="360" t="s">
        <v>530</v>
      </c>
      <c r="P1652" s="343" t="s">
        <v>530</v>
      </c>
      <c r="Q1652" s="342" t="s">
        <v>2688</v>
      </c>
      <c r="R1652" s="344">
        <v>25</v>
      </c>
      <c r="S1652" s="345">
        <v>45</v>
      </c>
      <c r="T1652" s="362">
        <v>30</v>
      </c>
      <c r="U1652" s="361">
        <v>73.73</v>
      </c>
      <c r="V1652" s="346">
        <v>114.95623640741279</v>
      </c>
      <c r="W1652" s="348">
        <v>115.97600061051669</v>
      </c>
      <c r="X1652" s="347">
        <v>57.94</v>
      </c>
      <c r="Y1652" s="357" t="s">
        <v>408</v>
      </c>
      <c r="Z1652" s="365" t="s">
        <v>3017</v>
      </c>
      <c r="AA1652" s="350">
        <v>-2</v>
      </c>
      <c r="AB1652" s="349" t="s">
        <v>2685</v>
      </c>
      <c r="AC1652" s="350">
        <v>0</v>
      </c>
      <c r="AD1652" s="349" t="s">
        <v>2685</v>
      </c>
      <c r="AE1652" s="364">
        <v>0</v>
      </c>
      <c r="AF1652" s="366">
        <v>0</v>
      </c>
      <c r="AG1652" s="363">
        <v>0</v>
      </c>
      <c r="AH1652" s="635" t="s">
        <v>408</v>
      </c>
      <c r="AL1652" s="487" t="s">
        <v>16035</v>
      </c>
      <c r="AM1652" s="477" t="s">
        <v>70</v>
      </c>
      <c r="AN1652" s="637">
        <v>100</v>
      </c>
      <c r="AO1652" s="478">
        <v>-1570</v>
      </c>
      <c r="AP1652" s="463">
        <v>-1570</v>
      </c>
      <c r="AQ1652" s="479">
        <v>0</v>
      </c>
      <c r="AR1652" s="476" t="s">
        <v>17723</v>
      </c>
      <c r="BA1652" s="313" t="s">
        <v>6317</v>
      </c>
    </row>
    <row r="1653" spans="2:53" ht="16.5" customHeight="1">
      <c r="B1653" s="367" t="s">
        <v>12328</v>
      </c>
      <c r="C1653" s="351" t="s">
        <v>12329</v>
      </c>
      <c r="D1653" s="353">
        <v>-1570</v>
      </c>
      <c r="E1653" s="352" t="s">
        <v>408</v>
      </c>
      <c r="F1653" s="341">
        <v>73.67</v>
      </c>
      <c r="G1653" s="355" t="s">
        <v>12330</v>
      </c>
      <c r="H1653" s="356" t="s">
        <v>18973</v>
      </c>
      <c r="I1653" s="354" t="s">
        <v>301</v>
      </c>
      <c r="J1653" s="340" t="s">
        <v>12331</v>
      </c>
      <c r="K1653" s="339" t="s">
        <v>70</v>
      </c>
      <c r="L1653" s="357">
        <v>12</v>
      </c>
      <c r="M1653" s="358" t="s">
        <v>12332</v>
      </c>
      <c r="N1653" s="359">
        <v>1000</v>
      </c>
      <c r="O1653" s="360" t="s">
        <v>530</v>
      </c>
      <c r="P1653" s="343" t="s">
        <v>531</v>
      </c>
      <c r="Q1653" s="342" t="s">
        <v>2688</v>
      </c>
      <c r="R1653" s="344">
        <v>20</v>
      </c>
      <c r="S1653" s="345">
        <v>35</v>
      </c>
      <c r="T1653" s="362">
        <v>25</v>
      </c>
      <c r="U1653" s="361">
        <v>73.67</v>
      </c>
      <c r="V1653" s="346">
        <v>114.92514241099903</v>
      </c>
      <c r="W1653" s="348">
        <v>115.95894906409625</v>
      </c>
      <c r="X1653" s="347">
        <v>57.93</v>
      </c>
      <c r="Y1653" s="357">
        <v>58.05</v>
      </c>
      <c r="Z1653" s="365" t="s">
        <v>3017</v>
      </c>
      <c r="AA1653" s="350">
        <v>198</v>
      </c>
      <c r="AB1653" s="349" t="s">
        <v>2685</v>
      </c>
      <c r="AC1653" s="350">
        <v>10</v>
      </c>
      <c r="AD1653" s="349" t="s">
        <v>2685</v>
      </c>
      <c r="AE1653" s="364">
        <v>0</v>
      </c>
      <c r="AF1653" s="366">
        <v>17.402999999999999</v>
      </c>
      <c r="AG1653" s="363">
        <v>0</v>
      </c>
      <c r="AH1653" s="635" t="s">
        <v>10787</v>
      </c>
      <c r="AL1653" s="487" t="s">
        <v>16036</v>
      </c>
      <c r="AM1653" s="477" t="s">
        <v>70</v>
      </c>
      <c r="AN1653" s="637">
        <v>100</v>
      </c>
      <c r="AO1653" s="478">
        <v>-1570</v>
      </c>
      <c r="AP1653" s="463">
        <v>-1570</v>
      </c>
      <c r="AQ1653" s="479">
        <v>0</v>
      </c>
      <c r="AR1653" s="476" t="s">
        <v>17724</v>
      </c>
      <c r="BA1653" s="313" t="s">
        <v>6319</v>
      </c>
    </row>
    <row r="1654" spans="2:53" ht="16.5" customHeight="1">
      <c r="B1654" s="367" t="s">
        <v>6302</v>
      </c>
      <c r="C1654" s="351" t="s">
        <v>6303</v>
      </c>
      <c r="D1654" s="353">
        <v>-1570</v>
      </c>
      <c r="E1654" s="352" t="s">
        <v>408</v>
      </c>
      <c r="F1654" s="341">
        <v>73.59</v>
      </c>
      <c r="G1654" s="355" t="s">
        <v>6232</v>
      </c>
      <c r="H1654" s="356" t="s">
        <v>18974</v>
      </c>
      <c r="I1654" s="354" t="s">
        <v>216</v>
      </c>
      <c r="J1654" s="340" t="s">
        <v>550</v>
      </c>
      <c r="K1654" s="339" t="s">
        <v>70</v>
      </c>
      <c r="L1654" s="357">
        <v>9</v>
      </c>
      <c r="M1654" s="358" t="s">
        <v>6159</v>
      </c>
      <c r="N1654" s="359">
        <v>300</v>
      </c>
      <c r="O1654" s="360" t="s">
        <v>530</v>
      </c>
      <c r="P1654" s="343" t="s">
        <v>530</v>
      </c>
      <c r="Q1654" s="342" t="s">
        <v>2688</v>
      </c>
      <c r="R1654" s="344">
        <v>25</v>
      </c>
      <c r="S1654" s="345">
        <v>45</v>
      </c>
      <c r="T1654" s="362">
        <v>30</v>
      </c>
      <c r="U1654" s="361">
        <v>73.59</v>
      </c>
      <c r="V1654" s="346">
        <v>114.8742130737234</v>
      </c>
      <c r="W1654" s="348">
        <v>115.93102007268703</v>
      </c>
      <c r="X1654" s="347">
        <v>57.91</v>
      </c>
      <c r="Y1654" s="357" t="s">
        <v>408</v>
      </c>
      <c r="Z1654" s="365" t="s">
        <v>3017</v>
      </c>
      <c r="AA1654" s="350">
        <v>-2</v>
      </c>
      <c r="AB1654" s="349" t="s">
        <v>2685</v>
      </c>
      <c r="AC1654" s="350">
        <v>0</v>
      </c>
      <c r="AD1654" s="349" t="s">
        <v>2685</v>
      </c>
      <c r="AE1654" s="364">
        <v>0</v>
      </c>
      <c r="AF1654" s="366">
        <v>0</v>
      </c>
      <c r="AG1654" s="363">
        <v>0</v>
      </c>
      <c r="AH1654" s="635" t="s">
        <v>408</v>
      </c>
      <c r="AL1654" s="487" t="s">
        <v>16037</v>
      </c>
      <c r="AM1654" s="477" t="s">
        <v>70</v>
      </c>
      <c r="AN1654" s="637">
        <v>100</v>
      </c>
      <c r="AO1654" s="478">
        <v>-1570</v>
      </c>
      <c r="AP1654" s="463">
        <v>-1570</v>
      </c>
      <c r="AQ1654" s="479">
        <v>0</v>
      </c>
      <c r="AR1654" s="476" t="s">
        <v>17725</v>
      </c>
      <c r="BA1654" s="313" t="s">
        <v>6321</v>
      </c>
    </row>
    <row r="1655" spans="2:53" ht="16.5" customHeight="1">
      <c r="B1655" s="367" t="s">
        <v>6302</v>
      </c>
      <c r="C1655" s="351" t="s">
        <v>6303</v>
      </c>
      <c r="D1655" s="353">
        <v>-1570</v>
      </c>
      <c r="E1655" s="352" t="s">
        <v>408</v>
      </c>
      <c r="F1655" s="341">
        <v>73.59</v>
      </c>
      <c r="G1655" s="355" t="s">
        <v>6232</v>
      </c>
      <c r="H1655" s="356" t="s">
        <v>18974</v>
      </c>
      <c r="I1655" s="354" t="s">
        <v>197</v>
      </c>
      <c r="J1655" s="340" t="s">
        <v>8856</v>
      </c>
      <c r="K1655" s="339" t="s">
        <v>70</v>
      </c>
      <c r="L1655" s="357">
        <v>8</v>
      </c>
      <c r="M1655" s="358" t="s">
        <v>2996</v>
      </c>
      <c r="N1655" s="359">
        <v>500</v>
      </c>
      <c r="O1655" s="360" t="s">
        <v>454</v>
      </c>
      <c r="P1655" s="343" t="s">
        <v>454</v>
      </c>
      <c r="Q1655" s="342" t="s">
        <v>2688</v>
      </c>
      <c r="R1655" s="344">
        <v>20</v>
      </c>
      <c r="S1655" s="345">
        <v>30</v>
      </c>
      <c r="T1655" s="362">
        <v>30</v>
      </c>
      <c r="U1655" s="361">
        <v>73.59</v>
      </c>
      <c r="V1655" s="346">
        <v>114.87668320340184</v>
      </c>
      <c r="W1655" s="348">
        <v>115.93237465993005</v>
      </c>
      <c r="X1655" s="347">
        <v>57.91</v>
      </c>
      <c r="Y1655" s="357" t="s">
        <v>408</v>
      </c>
      <c r="Z1655" s="365" t="s">
        <v>4408</v>
      </c>
      <c r="AA1655" s="350">
        <v>94</v>
      </c>
      <c r="AB1655" s="349" t="s">
        <v>2685</v>
      </c>
      <c r="AC1655" s="350">
        <v>1.5</v>
      </c>
      <c r="AD1655" s="349" t="s">
        <v>2685</v>
      </c>
      <c r="AE1655" s="364">
        <v>0</v>
      </c>
      <c r="AF1655" s="366">
        <v>11.039</v>
      </c>
      <c r="AG1655" s="363">
        <v>0</v>
      </c>
      <c r="AH1655" s="635" t="s">
        <v>6224</v>
      </c>
      <c r="AL1655" s="487" t="s">
        <v>16038</v>
      </c>
      <c r="AM1655" s="477" t="s">
        <v>70</v>
      </c>
      <c r="AN1655" s="637">
        <v>100</v>
      </c>
      <c r="AO1655" s="478">
        <v>-1570</v>
      </c>
      <c r="AP1655" s="463">
        <v>-1570</v>
      </c>
      <c r="AQ1655" s="479">
        <v>0</v>
      </c>
      <c r="AR1655" s="476" t="s">
        <v>17725</v>
      </c>
      <c r="BA1655" s="313" t="s">
        <v>6322</v>
      </c>
    </row>
    <row r="1656" spans="2:53" ht="16.5" customHeight="1">
      <c r="B1656" s="367" t="s">
        <v>6305</v>
      </c>
      <c r="C1656" s="351" t="s">
        <v>6306</v>
      </c>
      <c r="D1656" s="353">
        <v>-1570</v>
      </c>
      <c r="E1656" s="352" t="s">
        <v>6234</v>
      </c>
      <c r="F1656" s="341">
        <v>73.56</v>
      </c>
      <c r="G1656" s="355" t="s">
        <v>6234</v>
      </c>
      <c r="H1656" s="356" t="s">
        <v>5795</v>
      </c>
      <c r="I1656" s="354" t="s">
        <v>212</v>
      </c>
      <c r="J1656" s="340" t="s">
        <v>8953</v>
      </c>
      <c r="K1656" s="339" t="s">
        <v>71</v>
      </c>
      <c r="L1656" s="357">
        <v>6</v>
      </c>
      <c r="M1656" s="358" t="s">
        <v>12333</v>
      </c>
      <c r="N1656" s="359">
        <v>800</v>
      </c>
      <c r="O1656" s="360" t="s">
        <v>532</v>
      </c>
      <c r="P1656" s="343" t="s">
        <v>532</v>
      </c>
      <c r="Q1656" s="342" t="s">
        <v>2688</v>
      </c>
      <c r="R1656" s="344">
        <v>40</v>
      </c>
      <c r="S1656" s="345">
        <v>30</v>
      </c>
      <c r="T1656" s="362">
        <v>30</v>
      </c>
      <c r="U1656" s="361">
        <v>73.56</v>
      </c>
      <c r="V1656" s="346">
        <v>114.86111830133353</v>
      </c>
      <c r="W1656" s="348">
        <v>115.92383906847323</v>
      </c>
      <c r="X1656" s="347" t="s">
        <v>18975</v>
      </c>
      <c r="Y1656" s="357" t="s">
        <v>408</v>
      </c>
      <c r="Z1656" s="365" t="s">
        <v>3017</v>
      </c>
      <c r="AA1656" s="350">
        <v>190</v>
      </c>
      <c r="AB1656" s="349" t="s">
        <v>2685</v>
      </c>
      <c r="AC1656" s="350">
        <v>10</v>
      </c>
      <c r="AD1656" s="349" t="s">
        <v>2685</v>
      </c>
      <c r="AE1656" s="364">
        <v>0</v>
      </c>
      <c r="AF1656" s="366">
        <v>0</v>
      </c>
      <c r="AG1656" s="363">
        <v>0</v>
      </c>
      <c r="AH1656" s="635" t="s">
        <v>408</v>
      </c>
      <c r="AL1656" s="487" t="s">
        <v>16039</v>
      </c>
      <c r="AM1656" s="477" t="s">
        <v>71</v>
      </c>
      <c r="AN1656" s="637">
        <v>100</v>
      </c>
      <c r="AO1656" s="478">
        <v>-1570</v>
      </c>
      <c r="AP1656" s="463">
        <v>-684</v>
      </c>
      <c r="AQ1656" s="479">
        <v>-886</v>
      </c>
      <c r="AR1656" s="476" t="s">
        <v>17726</v>
      </c>
      <c r="BA1656" s="313" t="s">
        <v>6326</v>
      </c>
    </row>
    <row r="1657" spans="2:53" ht="16.5" customHeight="1">
      <c r="B1657" s="367" t="s">
        <v>6305</v>
      </c>
      <c r="C1657" s="351" t="s">
        <v>6306</v>
      </c>
      <c r="D1657" s="353">
        <v>-1570</v>
      </c>
      <c r="E1657" s="352" t="s">
        <v>12334</v>
      </c>
      <c r="F1657" s="341">
        <v>73.56</v>
      </c>
      <c r="G1657" s="355" t="s">
        <v>12521</v>
      </c>
      <c r="H1657" s="356" t="s">
        <v>11780</v>
      </c>
      <c r="I1657" s="354" t="s">
        <v>446</v>
      </c>
      <c r="J1657" s="340" t="s">
        <v>8337</v>
      </c>
      <c r="K1657" s="339" t="s">
        <v>71</v>
      </c>
      <c r="L1657" s="357">
        <v>3</v>
      </c>
      <c r="M1657" s="358" t="s">
        <v>9387</v>
      </c>
      <c r="N1657" s="359">
        <v>1000</v>
      </c>
      <c r="O1657" s="360" t="s">
        <v>454</v>
      </c>
      <c r="P1657" s="343" t="s">
        <v>454</v>
      </c>
      <c r="Q1657" s="342" t="s">
        <v>2688</v>
      </c>
      <c r="R1657" s="344">
        <v>35</v>
      </c>
      <c r="S1657" s="345">
        <v>30</v>
      </c>
      <c r="T1657" s="362">
        <v>25</v>
      </c>
      <c r="U1657" s="361">
        <v>73.56</v>
      </c>
      <c r="V1657" s="346">
        <v>114.85620915032679</v>
      </c>
      <c r="W1657" s="348">
        <v>115.92114695340501</v>
      </c>
      <c r="X1657" s="347">
        <v>57.9</v>
      </c>
      <c r="Y1657" s="357" t="s">
        <v>408</v>
      </c>
      <c r="Z1657" s="365" t="s">
        <v>3017</v>
      </c>
      <c r="AA1657" s="350">
        <v>98</v>
      </c>
      <c r="AB1657" s="349" t="s">
        <v>2685</v>
      </c>
      <c r="AC1657" s="350">
        <v>0</v>
      </c>
      <c r="AD1657" s="349" t="s">
        <v>2685</v>
      </c>
      <c r="AE1657" s="364">
        <v>0</v>
      </c>
      <c r="AF1657" s="366">
        <v>0</v>
      </c>
      <c r="AG1657" s="363">
        <v>0</v>
      </c>
      <c r="AH1657" s="635" t="s">
        <v>408</v>
      </c>
      <c r="AL1657" s="487" t="s">
        <v>16040</v>
      </c>
      <c r="AM1657" s="477" t="s">
        <v>71</v>
      </c>
      <c r="AN1657" s="637">
        <v>100</v>
      </c>
      <c r="AO1657" s="478">
        <v>-1570</v>
      </c>
      <c r="AP1657" s="463">
        <v>-684</v>
      </c>
      <c r="AQ1657" s="479">
        <v>-886</v>
      </c>
      <c r="AR1657" s="476" t="s">
        <v>17727</v>
      </c>
      <c r="BA1657" s="313" t="s">
        <v>6327</v>
      </c>
    </row>
    <row r="1658" spans="2:53" ht="16.5" customHeight="1">
      <c r="B1658" s="367" t="s">
        <v>12335</v>
      </c>
      <c r="C1658" s="351" t="s">
        <v>12336</v>
      </c>
      <c r="D1658" s="353">
        <v>-1570</v>
      </c>
      <c r="E1658" s="352" t="s">
        <v>6239</v>
      </c>
      <c r="F1658" s="341">
        <v>73.55</v>
      </c>
      <c r="G1658" s="355" t="s">
        <v>6239</v>
      </c>
      <c r="H1658" s="356" t="s">
        <v>5755</v>
      </c>
      <c r="I1658" s="354" t="s">
        <v>216</v>
      </c>
      <c r="J1658" s="340" t="s">
        <v>12337</v>
      </c>
      <c r="K1658" s="339" t="s">
        <v>71</v>
      </c>
      <c r="L1658" s="357">
        <v>3</v>
      </c>
      <c r="M1658" s="358" t="s">
        <v>12338</v>
      </c>
      <c r="N1658" s="359">
        <v>300</v>
      </c>
      <c r="O1658" s="360" t="s">
        <v>530</v>
      </c>
      <c r="P1658" s="343" t="s">
        <v>530</v>
      </c>
      <c r="Q1658" s="342" t="s">
        <v>2688</v>
      </c>
      <c r="R1658" s="344">
        <v>45</v>
      </c>
      <c r="S1658" s="345">
        <v>25</v>
      </c>
      <c r="T1658" s="362">
        <v>30</v>
      </c>
      <c r="U1658" s="361">
        <v>73.55</v>
      </c>
      <c r="V1658" s="346">
        <v>114.85175520523305</v>
      </c>
      <c r="W1658" s="348">
        <v>115.91870446738587</v>
      </c>
      <c r="X1658" s="347">
        <v>57.89</v>
      </c>
      <c r="Y1658" s="357" t="s">
        <v>408</v>
      </c>
      <c r="Z1658" s="365" t="s">
        <v>3017</v>
      </c>
      <c r="AA1658" s="350">
        <v>-2</v>
      </c>
      <c r="AB1658" s="349" t="s">
        <v>2685</v>
      </c>
      <c r="AC1658" s="350">
        <v>0</v>
      </c>
      <c r="AD1658" s="349" t="s">
        <v>2685</v>
      </c>
      <c r="AE1658" s="364">
        <v>0</v>
      </c>
      <c r="AF1658" s="366">
        <v>0</v>
      </c>
      <c r="AG1658" s="363">
        <v>0</v>
      </c>
      <c r="AH1658" s="635" t="s">
        <v>408</v>
      </c>
      <c r="AL1658" s="487" t="s">
        <v>16041</v>
      </c>
      <c r="AM1658" s="477" t="s">
        <v>71</v>
      </c>
      <c r="AN1658" s="637">
        <v>100</v>
      </c>
      <c r="AO1658" s="478">
        <v>-1570</v>
      </c>
      <c r="AP1658" s="463">
        <v>-684</v>
      </c>
      <c r="AQ1658" s="479">
        <v>-886</v>
      </c>
      <c r="AR1658" s="476" t="s">
        <v>17728</v>
      </c>
      <c r="BA1658" s="313" t="s">
        <v>6329</v>
      </c>
    </row>
    <row r="1659" spans="2:53" ht="16.5" customHeight="1">
      <c r="B1659" s="367" t="s">
        <v>12339</v>
      </c>
      <c r="C1659" s="351" t="s">
        <v>12340</v>
      </c>
      <c r="D1659" s="353">
        <v>-1570</v>
      </c>
      <c r="E1659" s="352" t="s">
        <v>408</v>
      </c>
      <c r="F1659" s="341">
        <v>73.52</v>
      </c>
      <c r="G1659" s="355" t="s">
        <v>6008</v>
      </c>
      <c r="H1659" s="356" t="s">
        <v>11787</v>
      </c>
      <c r="I1659" s="354" t="s">
        <v>215</v>
      </c>
      <c r="J1659" s="340" t="s">
        <v>8197</v>
      </c>
      <c r="K1659" s="339" t="s">
        <v>70</v>
      </c>
      <c r="L1659" s="357">
        <v>5</v>
      </c>
      <c r="M1659" s="358" t="s">
        <v>12341</v>
      </c>
      <c r="N1659" s="359">
        <v>1000</v>
      </c>
      <c r="O1659" s="360" t="s">
        <v>530</v>
      </c>
      <c r="P1659" s="343" t="s">
        <v>531</v>
      </c>
      <c r="Q1659" s="342" t="s">
        <v>2688</v>
      </c>
      <c r="R1659" s="344">
        <v>25</v>
      </c>
      <c r="S1659" s="345">
        <v>38</v>
      </c>
      <c r="T1659" s="362">
        <v>25</v>
      </c>
      <c r="U1659" s="361">
        <v>73.52</v>
      </c>
      <c r="V1659" s="346">
        <v>114.83456863326417</v>
      </c>
      <c r="W1659" s="348">
        <v>115.90927957308035</v>
      </c>
      <c r="X1659" s="347">
        <v>57.89</v>
      </c>
      <c r="Y1659" s="357">
        <v>57.73</v>
      </c>
      <c r="Z1659" s="365" t="s">
        <v>3017</v>
      </c>
      <c r="AA1659" s="350">
        <v>121.25</v>
      </c>
      <c r="AB1659" s="349" t="s">
        <v>2685</v>
      </c>
      <c r="AC1659" s="350">
        <v>10</v>
      </c>
      <c r="AD1659" s="349" t="s">
        <v>2685</v>
      </c>
      <c r="AE1659" s="364">
        <v>0</v>
      </c>
      <c r="AF1659" s="366">
        <v>0</v>
      </c>
      <c r="AG1659" s="363">
        <v>0</v>
      </c>
      <c r="AH1659" s="635" t="s">
        <v>408</v>
      </c>
      <c r="AL1659" s="487" t="s">
        <v>16042</v>
      </c>
      <c r="AM1659" s="477" t="s">
        <v>70</v>
      </c>
      <c r="AN1659" s="637">
        <v>100</v>
      </c>
      <c r="AO1659" s="478">
        <v>-1570</v>
      </c>
      <c r="AP1659" s="463">
        <v>-1570</v>
      </c>
      <c r="AQ1659" s="479">
        <v>0</v>
      </c>
      <c r="AR1659" s="476" t="s">
        <v>17729</v>
      </c>
      <c r="BA1659" s="313" t="s">
        <v>6331</v>
      </c>
    </row>
    <row r="1660" spans="2:53" ht="16.5" customHeight="1">
      <c r="B1660" s="367" t="s">
        <v>18254</v>
      </c>
      <c r="C1660" s="351" t="s">
        <v>18255</v>
      </c>
      <c r="D1660" s="353">
        <v>-1570</v>
      </c>
      <c r="E1660" s="352" t="s">
        <v>5984</v>
      </c>
      <c r="F1660" s="341">
        <v>73.510000000000005</v>
      </c>
      <c r="G1660" s="355" t="s">
        <v>12487</v>
      </c>
      <c r="H1660" s="356" t="s">
        <v>12206</v>
      </c>
      <c r="I1660" s="354" t="s">
        <v>214</v>
      </c>
      <c r="J1660" s="340" t="s">
        <v>12342</v>
      </c>
      <c r="K1660" s="339" t="s">
        <v>71</v>
      </c>
      <c r="L1660" s="357">
        <v>5</v>
      </c>
      <c r="M1660" s="358" t="s">
        <v>12343</v>
      </c>
      <c r="N1660" s="359">
        <v>200</v>
      </c>
      <c r="O1660" s="360" t="s">
        <v>532</v>
      </c>
      <c r="P1660" s="343" t="s">
        <v>532</v>
      </c>
      <c r="Q1660" s="342" t="s">
        <v>2688</v>
      </c>
      <c r="R1660" s="344">
        <v>30</v>
      </c>
      <c r="S1660" s="345">
        <v>20</v>
      </c>
      <c r="T1660" s="362">
        <v>30</v>
      </c>
      <c r="U1660" s="361">
        <v>73.510000000000005</v>
      </c>
      <c r="V1660" s="346">
        <v>114.8294820792522</v>
      </c>
      <c r="W1660" s="348">
        <v>115.90649017249315</v>
      </c>
      <c r="X1660" s="347" t="s">
        <v>18976</v>
      </c>
      <c r="Y1660" s="357" t="s">
        <v>408</v>
      </c>
      <c r="Z1660" s="365" t="s">
        <v>4408</v>
      </c>
      <c r="AA1660" s="350">
        <v>36</v>
      </c>
      <c r="AB1660" s="349" t="s">
        <v>2685</v>
      </c>
      <c r="AC1660" s="350">
        <v>0</v>
      </c>
      <c r="AD1660" s="349" t="s">
        <v>2685</v>
      </c>
      <c r="AE1660" s="364">
        <v>0</v>
      </c>
      <c r="AF1660" s="366">
        <v>0</v>
      </c>
      <c r="AG1660" s="363">
        <v>0</v>
      </c>
      <c r="AH1660" s="635" t="s">
        <v>408</v>
      </c>
      <c r="AL1660" s="487" t="s">
        <v>16043</v>
      </c>
      <c r="AM1660" s="477" t="s">
        <v>71</v>
      </c>
      <c r="AN1660" s="637">
        <v>100</v>
      </c>
      <c r="AO1660" s="478">
        <v>-1570</v>
      </c>
      <c r="AP1660" s="463">
        <v>-684</v>
      </c>
      <c r="AQ1660" s="479">
        <v>-886</v>
      </c>
      <c r="AR1660" s="476" t="s">
        <v>17730</v>
      </c>
      <c r="BA1660" s="313" t="s">
        <v>6333</v>
      </c>
    </row>
    <row r="1661" spans="2:53" ht="16.5" customHeight="1">
      <c r="B1661" s="367" t="s">
        <v>12344</v>
      </c>
      <c r="C1661" s="351" t="s">
        <v>12345</v>
      </c>
      <c r="D1661" s="353">
        <v>-1570</v>
      </c>
      <c r="E1661" s="352" t="s">
        <v>12346</v>
      </c>
      <c r="F1661" s="341">
        <v>73.430000000000007</v>
      </c>
      <c r="G1661" s="355" t="s">
        <v>6255</v>
      </c>
      <c r="H1661" s="356" t="s">
        <v>18977</v>
      </c>
      <c r="I1661" s="354" t="s">
        <v>212</v>
      </c>
      <c r="J1661" s="340" t="s">
        <v>8305</v>
      </c>
      <c r="K1661" s="339" t="s">
        <v>70</v>
      </c>
      <c r="L1661" s="357">
        <v>3</v>
      </c>
      <c r="M1661" s="358" t="s">
        <v>12347</v>
      </c>
      <c r="N1661" s="359">
        <v>800</v>
      </c>
      <c r="O1661" s="360" t="s">
        <v>532</v>
      </c>
      <c r="P1661" s="343" t="s">
        <v>532</v>
      </c>
      <c r="Q1661" s="342" t="s">
        <v>2688</v>
      </c>
      <c r="R1661" s="344">
        <v>30</v>
      </c>
      <c r="S1661" s="345">
        <v>40</v>
      </c>
      <c r="T1661" s="362">
        <v>30</v>
      </c>
      <c r="U1661" s="361">
        <v>73.430000000000007</v>
      </c>
      <c r="V1661" s="346">
        <v>114.78033252575101</v>
      </c>
      <c r="W1661" s="348">
        <v>115.87953719154088</v>
      </c>
      <c r="X1661" s="347" t="s">
        <v>18978</v>
      </c>
      <c r="Y1661" s="357" t="s">
        <v>408</v>
      </c>
      <c r="Z1661" s="365" t="s">
        <v>3017</v>
      </c>
      <c r="AA1661" s="350">
        <v>190</v>
      </c>
      <c r="AB1661" s="349" t="s">
        <v>2685</v>
      </c>
      <c r="AC1661" s="350">
        <v>10</v>
      </c>
      <c r="AD1661" s="349" t="s">
        <v>2685</v>
      </c>
      <c r="AE1661" s="364">
        <v>0</v>
      </c>
      <c r="AF1661" s="366">
        <v>0</v>
      </c>
      <c r="AG1661" s="363">
        <v>0</v>
      </c>
      <c r="AH1661" s="635" t="s">
        <v>408</v>
      </c>
      <c r="AL1661" s="487" t="s">
        <v>16045</v>
      </c>
      <c r="AM1661" s="477" t="s">
        <v>70</v>
      </c>
      <c r="AN1661" s="637">
        <v>100</v>
      </c>
      <c r="AO1661" s="478">
        <v>-1570</v>
      </c>
      <c r="AP1661" s="463">
        <v>-1570</v>
      </c>
      <c r="AQ1661" s="479">
        <v>0</v>
      </c>
      <c r="AR1661" s="476" t="s">
        <v>17731</v>
      </c>
      <c r="BA1661" s="313" t="s">
        <v>6336</v>
      </c>
    </row>
    <row r="1662" spans="2:53" ht="16.5" customHeight="1">
      <c r="B1662" s="367" t="s">
        <v>12348</v>
      </c>
      <c r="C1662" s="351" t="s">
        <v>12349</v>
      </c>
      <c r="D1662" s="353">
        <v>-1570</v>
      </c>
      <c r="E1662" s="352" t="s">
        <v>408</v>
      </c>
      <c r="F1662" s="341">
        <v>73.41</v>
      </c>
      <c r="G1662" s="355" t="s">
        <v>18979</v>
      </c>
      <c r="H1662" s="356" t="s">
        <v>18899</v>
      </c>
      <c r="I1662" s="354" t="s">
        <v>228</v>
      </c>
      <c r="J1662" s="340" t="s">
        <v>12351</v>
      </c>
      <c r="K1662" s="339" t="s">
        <v>71</v>
      </c>
      <c r="L1662" s="357">
        <v>55</v>
      </c>
      <c r="M1662" s="358" t="s">
        <v>12352</v>
      </c>
      <c r="N1662" s="359">
        <v>1000</v>
      </c>
      <c r="O1662" s="360" t="s">
        <v>530</v>
      </c>
      <c r="P1662" s="343" t="s">
        <v>531</v>
      </c>
      <c r="Q1662" s="342" t="s">
        <v>2688</v>
      </c>
      <c r="R1662" s="344">
        <v>35</v>
      </c>
      <c r="S1662" s="345">
        <v>30</v>
      </c>
      <c r="T1662" s="362">
        <v>35</v>
      </c>
      <c r="U1662" s="361">
        <v>73.41</v>
      </c>
      <c r="V1662" s="346">
        <v>114.77344421634848</v>
      </c>
      <c r="W1662" s="348">
        <v>115.87575973154594</v>
      </c>
      <c r="X1662" s="347">
        <v>57.85</v>
      </c>
      <c r="Y1662" s="357">
        <v>59.9</v>
      </c>
      <c r="Z1662" s="365" t="s">
        <v>2689</v>
      </c>
      <c r="AA1662" s="350">
        <v>100</v>
      </c>
      <c r="AB1662" s="349" t="s">
        <v>2685</v>
      </c>
      <c r="AC1662" s="350">
        <v>10</v>
      </c>
      <c r="AD1662" s="349" t="s">
        <v>2685</v>
      </c>
      <c r="AE1662" s="364">
        <v>0</v>
      </c>
      <c r="AF1662" s="366">
        <v>10.483000000000001</v>
      </c>
      <c r="AG1662" s="363">
        <v>0</v>
      </c>
      <c r="AH1662" s="635" t="s">
        <v>5862</v>
      </c>
      <c r="AL1662" s="487" t="s">
        <v>16044</v>
      </c>
      <c r="AM1662" s="477" t="s">
        <v>71</v>
      </c>
      <c r="AN1662" s="637">
        <v>100</v>
      </c>
      <c r="AO1662" s="478">
        <v>-1570</v>
      </c>
      <c r="AP1662" s="463">
        <v>-683</v>
      </c>
      <c r="AQ1662" s="479">
        <v>-887</v>
      </c>
      <c r="AR1662" s="476" t="s">
        <v>17732</v>
      </c>
      <c r="BA1662" s="313" t="s">
        <v>6338</v>
      </c>
    </row>
    <row r="1663" spans="2:53" ht="16.5" customHeight="1">
      <c r="B1663" s="367" t="s">
        <v>6323</v>
      </c>
      <c r="C1663" s="351" t="s">
        <v>6324</v>
      </c>
      <c r="D1663" s="353">
        <v>-1570</v>
      </c>
      <c r="E1663" s="352" t="s">
        <v>12350</v>
      </c>
      <c r="F1663" s="341">
        <v>73.38</v>
      </c>
      <c r="G1663" s="355" t="s">
        <v>18980</v>
      </c>
      <c r="H1663" s="356" t="s">
        <v>12225</v>
      </c>
      <c r="I1663" s="354" t="s">
        <v>485</v>
      </c>
      <c r="J1663" s="340" t="s">
        <v>8863</v>
      </c>
      <c r="K1663" s="339" t="s">
        <v>71</v>
      </c>
      <c r="L1663" s="357">
        <v>10</v>
      </c>
      <c r="M1663" s="358" t="s">
        <v>12353</v>
      </c>
      <c r="N1663" s="359">
        <v>100</v>
      </c>
      <c r="O1663" s="360" t="s">
        <v>454</v>
      </c>
      <c r="P1663" s="343" t="s">
        <v>454</v>
      </c>
      <c r="Q1663" s="342" t="s">
        <v>2738</v>
      </c>
      <c r="R1663" s="344">
        <v>35</v>
      </c>
      <c r="S1663" s="345">
        <v>30</v>
      </c>
      <c r="T1663" s="362">
        <v>15</v>
      </c>
      <c r="U1663" s="361">
        <v>73.38</v>
      </c>
      <c r="V1663" s="346">
        <v>114.75</v>
      </c>
      <c r="W1663" s="348">
        <v>115.86290322580645</v>
      </c>
      <c r="X1663" s="347">
        <v>57.83</v>
      </c>
      <c r="Y1663" s="357" t="s">
        <v>408</v>
      </c>
      <c r="Z1663" s="365" t="s">
        <v>3017</v>
      </c>
      <c r="AA1663" s="350">
        <v>19.600000000000001</v>
      </c>
      <c r="AB1663" s="349" t="s">
        <v>2685</v>
      </c>
      <c r="AC1663" s="350">
        <v>0</v>
      </c>
      <c r="AD1663" s="349" t="s">
        <v>2685</v>
      </c>
      <c r="AE1663" s="364">
        <v>0</v>
      </c>
      <c r="AF1663" s="366">
        <v>0</v>
      </c>
      <c r="AG1663" s="363">
        <v>0</v>
      </c>
      <c r="AH1663" s="635" t="s">
        <v>408</v>
      </c>
      <c r="AL1663" s="487" t="s">
        <v>16046</v>
      </c>
      <c r="AM1663" s="477" t="s">
        <v>71</v>
      </c>
      <c r="AN1663" s="637">
        <v>100</v>
      </c>
      <c r="AO1663" s="478">
        <v>-1570</v>
      </c>
      <c r="AP1663" s="463">
        <v>-683</v>
      </c>
      <c r="AQ1663" s="479">
        <v>-887</v>
      </c>
      <c r="AR1663" s="476" t="s">
        <v>17733</v>
      </c>
      <c r="BA1663" s="313" t="s">
        <v>6339</v>
      </c>
    </row>
    <row r="1664" spans="2:53" ht="16.5" customHeight="1">
      <c r="B1664" s="367" t="s">
        <v>12354</v>
      </c>
      <c r="C1664" s="351" t="s">
        <v>12355</v>
      </c>
      <c r="D1664" s="353">
        <v>-1570</v>
      </c>
      <c r="E1664" s="352" t="s">
        <v>6260</v>
      </c>
      <c r="F1664" s="341">
        <v>73.34</v>
      </c>
      <c r="G1664" s="355" t="s">
        <v>12356</v>
      </c>
      <c r="H1664" s="356" t="s">
        <v>11864</v>
      </c>
      <c r="I1664" s="354" t="s">
        <v>216</v>
      </c>
      <c r="J1664" s="340" t="s">
        <v>8283</v>
      </c>
      <c r="K1664" s="339" t="s">
        <v>70</v>
      </c>
      <c r="L1664" s="357">
        <v>8</v>
      </c>
      <c r="M1664" s="358" t="s">
        <v>12358</v>
      </c>
      <c r="N1664" s="359">
        <v>300</v>
      </c>
      <c r="O1664" s="360" t="s">
        <v>530</v>
      </c>
      <c r="P1664" s="343" t="s">
        <v>530</v>
      </c>
      <c r="Q1664" s="342" t="s">
        <v>2688</v>
      </c>
      <c r="R1664" s="344">
        <v>25</v>
      </c>
      <c r="S1664" s="345">
        <v>45</v>
      </c>
      <c r="T1664" s="362">
        <v>30</v>
      </c>
      <c r="U1664" s="361">
        <v>73.34</v>
      </c>
      <c r="V1664" s="346">
        <v>114.72839381383116</v>
      </c>
      <c r="W1664" s="348">
        <v>115.85105467210097</v>
      </c>
      <c r="X1664" s="347">
        <v>57.86</v>
      </c>
      <c r="Y1664" s="357" t="s">
        <v>408</v>
      </c>
      <c r="Z1664" s="365" t="s">
        <v>3017</v>
      </c>
      <c r="AA1664" s="350">
        <v>-2</v>
      </c>
      <c r="AB1664" s="349" t="s">
        <v>2685</v>
      </c>
      <c r="AC1664" s="350">
        <v>0</v>
      </c>
      <c r="AD1664" s="349" t="s">
        <v>2685</v>
      </c>
      <c r="AE1664" s="364">
        <v>0</v>
      </c>
      <c r="AF1664" s="366">
        <v>0</v>
      </c>
      <c r="AG1664" s="363">
        <v>0</v>
      </c>
      <c r="AH1664" s="635" t="s">
        <v>408</v>
      </c>
      <c r="AL1664" s="487" t="s">
        <v>16047</v>
      </c>
      <c r="AM1664" s="477" t="s">
        <v>70</v>
      </c>
      <c r="AN1664" s="637">
        <v>100</v>
      </c>
      <c r="AO1664" s="478">
        <v>-1570</v>
      </c>
      <c r="AP1664" s="463">
        <v>-1570</v>
      </c>
      <c r="AQ1664" s="479">
        <v>0</v>
      </c>
      <c r="AR1664" s="476" t="s">
        <v>17734</v>
      </c>
      <c r="BA1664" s="313" t="s">
        <v>6340</v>
      </c>
    </row>
    <row r="1665" spans="2:53" ht="16.5" customHeight="1">
      <c r="B1665" s="367" t="s">
        <v>12359</v>
      </c>
      <c r="C1665" s="351" t="s">
        <v>12360</v>
      </c>
      <c r="D1665" s="353">
        <v>-1570</v>
      </c>
      <c r="E1665" s="352" t="s">
        <v>408</v>
      </c>
      <c r="F1665" s="341">
        <v>73.28</v>
      </c>
      <c r="G1665" s="355" t="s">
        <v>12361</v>
      </c>
      <c r="H1665" s="356" t="s">
        <v>18981</v>
      </c>
      <c r="I1665" s="354" t="s">
        <v>216</v>
      </c>
      <c r="J1665" s="340" t="s">
        <v>9339</v>
      </c>
      <c r="K1665" s="339" t="s">
        <v>70</v>
      </c>
      <c r="L1665" s="357">
        <v>11</v>
      </c>
      <c r="M1665" s="358" t="s">
        <v>12324</v>
      </c>
      <c r="N1665" s="359">
        <v>300</v>
      </c>
      <c r="O1665" s="360" t="s">
        <v>530</v>
      </c>
      <c r="P1665" s="343" t="s">
        <v>530</v>
      </c>
      <c r="Q1665" s="342" t="s">
        <v>2688</v>
      </c>
      <c r="R1665" s="344">
        <v>25</v>
      </c>
      <c r="S1665" s="345">
        <v>45</v>
      </c>
      <c r="T1665" s="362">
        <v>30</v>
      </c>
      <c r="U1665" s="361">
        <v>73.28</v>
      </c>
      <c r="V1665" s="346">
        <v>114.69193899885811</v>
      </c>
      <c r="W1665" s="348">
        <v>115.83106332195446</v>
      </c>
      <c r="X1665" s="347">
        <v>57.84</v>
      </c>
      <c r="Y1665" s="357" t="s">
        <v>408</v>
      </c>
      <c r="Z1665" s="365" t="s">
        <v>3017</v>
      </c>
      <c r="AA1665" s="350">
        <v>-2</v>
      </c>
      <c r="AB1665" s="349" t="s">
        <v>2685</v>
      </c>
      <c r="AC1665" s="350">
        <v>0</v>
      </c>
      <c r="AD1665" s="349" t="s">
        <v>2685</v>
      </c>
      <c r="AE1665" s="364">
        <v>0</v>
      </c>
      <c r="AF1665" s="366">
        <v>0</v>
      </c>
      <c r="AG1665" s="363">
        <v>0</v>
      </c>
      <c r="AH1665" s="635" t="s">
        <v>408</v>
      </c>
      <c r="AL1665" s="487" t="s">
        <v>16048</v>
      </c>
      <c r="AM1665" s="477" t="s">
        <v>70</v>
      </c>
      <c r="AN1665" s="637">
        <v>100</v>
      </c>
      <c r="AO1665" s="478">
        <v>-1570</v>
      </c>
      <c r="AP1665" s="463">
        <v>-1570</v>
      </c>
      <c r="AQ1665" s="479">
        <v>0</v>
      </c>
      <c r="AR1665" s="476" t="s">
        <v>17735</v>
      </c>
      <c r="BA1665" s="313" t="s">
        <v>6343</v>
      </c>
    </row>
    <row r="1666" spans="2:53" ht="16.5" customHeight="1">
      <c r="B1666" s="367" t="s">
        <v>12367</v>
      </c>
      <c r="C1666" s="351" t="s">
        <v>12368</v>
      </c>
      <c r="D1666" s="353">
        <v>-1570</v>
      </c>
      <c r="E1666" s="352" t="s">
        <v>408</v>
      </c>
      <c r="F1666" s="341">
        <v>73.25</v>
      </c>
      <c r="G1666" s="355" t="s">
        <v>6318</v>
      </c>
      <c r="H1666" s="356" t="s">
        <v>5592</v>
      </c>
      <c r="I1666" s="354" t="s">
        <v>216</v>
      </c>
      <c r="J1666" s="340" t="s">
        <v>499</v>
      </c>
      <c r="K1666" s="339" t="s">
        <v>71</v>
      </c>
      <c r="L1666" s="357">
        <v>3</v>
      </c>
      <c r="M1666" s="358" t="s">
        <v>12369</v>
      </c>
      <c r="N1666" s="359">
        <v>300</v>
      </c>
      <c r="O1666" s="360" t="s">
        <v>530</v>
      </c>
      <c r="P1666" s="343" t="s">
        <v>530</v>
      </c>
      <c r="Q1666" s="342" t="s">
        <v>2688</v>
      </c>
      <c r="R1666" s="344">
        <v>45</v>
      </c>
      <c r="S1666" s="345">
        <v>25</v>
      </c>
      <c r="T1666" s="362">
        <v>30</v>
      </c>
      <c r="U1666" s="361">
        <v>73.25</v>
      </c>
      <c r="V1666" s="346">
        <v>114.67541489956464</v>
      </c>
      <c r="W1666" s="348">
        <v>115.8220017191161</v>
      </c>
      <c r="X1666" s="347">
        <v>57.79</v>
      </c>
      <c r="Y1666" s="357" t="s">
        <v>408</v>
      </c>
      <c r="Z1666" s="365" t="s">
        <v>3017</v>
      </c>
      <c r="AA1666" s="350">
        <v>-2</v>
      </c>
      <c r="AB1666" s="349" t="s">
        <v>2685</v>
      </c>
      <c r="AC1666" s="350">
        <v>0</v>
      </c>
      <c r="AD1666" s="349" t="s">
        <v>2685</v>
      </c>
      <c r="AE1666" s="364">
        <v>0</v>
      </c>
      <c r="AF1666" s="366">
        <v>0</v>
      </c>
      <c r="AG1666" s="363">
        <v>0</v>
      </c>
      <c r="AH1666" s="635" t="s">
        <v>408</v>
      </c>
      <c r="AL1666" s="487" t="s">
        <v>16049</v>
      </c>
      <c r="AM1666" s="477" t="s">
        <v>71</v>
      </c>
      <c r="AN1666" s="637">
        <v>100</v>
      </c>
      <c r="AO1666" s="478">
        <v>-1570</v>
      </c>
      <c r="AP1666" s="463">
        <v>-682</v>
      </c>
      <c r="AQ1666" s="479">
        <v>-888</v>
      </c>
      <c r="AR1666" s="476" t="s">
        <v>17736</v>
      </c>
      <c r="BA1666" s="313" t="s">
        <v>6344</v>
      </c>
    </row>
    <row r="1667" spans="2:53" ht="16.5" customHeight="1">
      <c r="B1667" s="367" t="s">
        <v>6334</v>
      </c>
      <c r="C1667" s="351" t="s">
        <v>6335</v>
      </c>
      <c r="D1667" s="353">
        <v>-1570</v>
      </c>
      <c r="E1667" s="352" t="s">
        <v>12363</v>
      </c>
      <c r="F1667" s="341">
        <v>73.239999999999995</v>
      </c>
      <c r="G1667" s="355" t="s">
        <v>6056</v>
      </c>
      <c r="H1667" s="356" t="s">
        <v>12247</v>
      </c>
      <c r="I1667" s="354" t="s">
        <v>397</v>
      </c>
      <c r="J1667" s="340" t="s">
        <v>12364</v>
      </c>
      <c r="K1667" s="339" t="s">
        <v>71</v>
      </c>
      <c r="L1667" s="357">
        <v>7</v>
      </c>
      <c r="M1667" s="358" t="s">
        <v>12365</v>
      </c>
      <c r="N1667" s="359">
        <v>1000</v>
      </c>
      <c r="O1667" s="360" t="s">
        <v>454</v>
      </c>
      <c r="P1667" s="343" t="s">
        <v>454</v>
      </c>
      <c r="Q1667" s="342" t="s">
        <v>2688</v>
      </c>
      <c r="R1667" s="344">
        <v>25</v>
      </c>
      <c r="S1667" s="345">
        <v>25</v>
      </c>
      <c r="T1667" s="362">
        <v>25</v>
      </c>
      <c r="U1667" s="361">
        <v>73.239999999999995</v>
      </c>
      <c r="V1667" s="346">
        <v>114.6705882352941</v>
      </c>
      <c r="W1667" s="348">
        <v>115.81935483870969</v>
      </c>
      <c r="X1667" s="347">
        <v>57.79</v>
      </c>
      <c r="Y1667" s="357" t="s">
        <v>408</v>
      </c>
      <c r="Z1667" s="365" t="s">
        <v>4408</v>
      </c>
      <c r="AA1667" s="350">
        <v>225</v>
      </c>
      <c r="AB1667" s="349" t="s">
        <v>2685</v>
      </c>
      <c r="AC1667" s="350">
        <v>0</v>
      </c>
      <c r="AD1667" s="349" t="s">
        <v>2685</v>
      </c>
      <c r="AE1667" s="364">
        <v>0</v>
      </c>
      <c r="AF1667" s="366">
        <v>0</v>
      </c>
      <c r="AG1667" s="363">
        <v>0</v>
      </c>
      <c r="AH1667" s="635" t="s">
        <v>10293</v>
      </c>
      <c r="AL1667" s="487" t="s">
        <v>16050</v>
      </c>
      <c r="AM1667" s="477" t="s">
        <v>71</v>
      </c>
      <c r="AN1667" s="637">
        <v>100</v>
      </c>
      <c r="AO1667" s="478">
        <v>-1570</v>
      </c>
      <c r="AP1667" s="463">
        <v>-682</v>
      </c>
      <c r="AQ1667" s="479">
        <v>-888</v>
      </c>
      <c r="AR1667" s="476" t="s">
        <v>17737</v>
      </c>
      <c r="BA1667" s="313" t="s">
        <v>6345</v>
      </c>
    </row>
    <row r="1668" spans="2:53" ht="16.5" customHeight="1">
      <c r="B1668" s="367" t="s">
        <v>6334</v>
      </c>
      <c r="C1668" s="351" t="s">
        <v>6335</v>
      </c>
      <c r="D1668" s="353">
        <v>-1570</v>
      </c>
      <c r="E1668" s="352" t="s">
        <v>12363</v>
      </c>
      <c r="F1668" s="341">
        <v>73.239999999999995</v>
      </c>
      <c r="G1668" s="355" t="s">
        <v>6056</v>
      </c>
      <c r="H1668" s="356" t="s">
        <v>12247</v>
      </c>
      <c r="I1668" s="354" t="s">
        <v>9336</v>
      </c>
      <c r="J1668" s="340" t="s">
        <v>12366</v>
      </c>
      <c r="K1668" s="339" t="s">
        <v>71</v>
      </c>
      <c r="L1668" s="357">
        <v>10</v>
      </c>
      <c r="M1668" s="358" t="s">
        <v>11612</v>
      </c>
      <c r="N1668" s="359">
        <v>700</v>
      </c>
      <c r="O1668" s="360" t="s">
        <v>532</v>
      </c>
      <c r="P1668" s="343" t="s">
        <v>533</v>
      </c>
      <c r="Q1668" s="342" t="s">
        <v>2688</v>
      </c>
      <c r="R1668" s="344">
        <v>30</v>
      </c>
      <c r="S1668" s="345">
        <v>30</v>
      </c>
      <c r="T1668" s="362">
        <v>20</v>
      </c>
      <c r="U1668" s="361">
        <v>73.239999999999995</v>
      </c>
      <c r="V1668" s="346">
        <v>114.66962705447456</v>
      </c>
      <c r="W1668" s="348">
        <v>115.81882773955057</v>
      </c>
      <c r="X1668" s="347">
        <v>57.79</v>
      </c>
      <c r="Y1668" s="357">
        <v>59.169999999999995</v>
      </c>
      <c r="Z1668" s="365" t="s">
        <v>3017</v>
      </c>
      <c r="AA1668" s="350">
        <v>138</v>
      </c>
      <c r="AB1668" s="349" t="s">
        <v>2685</v>
      </c>
      <c r="AC1668" s="350">
        <v>10</v>
      </c>
      <c r="AD1668" s="349" t="s">
        <v>2685</v>
      </c>
      <c r="AE1668" s="364">
        <v>0</v>
      </c>
      <c r="AF1668" s="366">
        <v>0</v>
      </c>
      <c r="AG1668" s="363">
        <v>0</v>
      </c>
      <c r="AH1668" s="635" t="s">
        <v>408</v>
      </c>
      <c r="AL1668" s="487" t="s">
        <v>16051</v>
      </c>
      <c r="AM1668" s="477" t="s">
        <v>71</v>
      </c>
      <c r="AN1668" s="637">
        <v>100</v>
      </c>
      <c r="AO1668" s="478">
        <v>-1570</v>
      </c>
      <c r="AP1668" s="463">
        <v>-682</v>
      </c>
      <c r="AQ1668" s="479">
        <v>-888</v>
      </c>
      <c r="AR1668" s="476" t="s">
        <v>17737</v>
      </c>
      <c r="BA1668" s="313" t="s">
        <v>6346</v>
      </c>
    </row>
    <row r="1669" spans="2:53" ht="16.5" customHeight="1">
      <c r="B1669" s="367" t="s">
        <v>6341</v>
      </c>
      <c r="C1669" s="351" t="s">
        <v>6342</v>
      </c>
      <c r="D1669" s="353">
        <v>-1570</v>
      </c>
      <c r="E1669" s="352" t="s">
        <v>6318</v>
      </c>
      <c r="F1669" s="341">
        <v>73.209999999999994</v>
      </c>
      <c r="G1669" s="355" t="s">
        <v>12530</v>
      </c>
      <c r="H1669" s="356" t="s">
        <v>18982</v>
      </c>
      <c r="I1669" s="354" t="s">
        <v>400</v>
      </c>
      <c r="J1669" s="340" t="s">
        <v>439</v>
      </c>
      <c r="K1669" s="339" t="s">
        <v>71</v>
      </c>
      <c r="L1669" s="357">
        <v>12</v>
      </c>
      <c r="M1669" s="358" t="s">
        <v>4876</v>
      </c>
      <c r="N1669" s="359">
        <v>1000</v>
      </c>
      <c r="O1669" s="360" t="s">
        <v>532</v>
      </c>
      <c r="P1669" s="343" t="s">
        <v>532</v>
      </c>
      <c r="Q1669" s="342" t="s">
        <v>2688</v>
      </c>
      <c r="R1669" s="344">
        <v>30</v>
      </c>
      <c r="S1669" s="345">
        <v>30</v>
      </c>
      <c r="T1669" s="362">
        <v>20</v>
      </c>
      <c r="U1669" s="361">
        <v>73.209999999999994</v>
      </c>
      <c r="V1669" s="346">
        <v>114.65123480931513</v>
      </c>
      <c r="W1669" s="348">
        <v>115.80874166962444</v>
      </c>
      <c r="X1669" s="347" t="s">
        <v>18983</v>
      </c>
      <c r="Y1669" s="357" t="s">
        <v>408</v>
      </c>
      <c r="Z1669" s="365" t="s">
        <v>4408</v>
      </c>
      <c r="AA1669" s="350">
        <v>190</v>
      </c>
      <c r="AB1669" s="349" t="s">
        <v>2685</v>
      </c>
      <c r="AC1669" s="350">
        <v>0</v>
      </c>
      <c r="AD1669" s="349" t="s">
        <v>2685</v>
      </c>
      <c r="AE1669" s="364">
        <v>0</v>
      </c>
      <c r="AF1669" s="366">
        <v>0</v>
      </c>
      <c r="AG1669" s="363">
        <v>0</v>
      </c>
      <c r="AH1669" s="635" t="s">
        <v>11405</v>
      </c>
      <c r="AL1669" s="487" t="s">
        <v>7199</v>
      </c>
      <c r="AM1669" s="477" t="s">
        <v>71</v>
      </c>
      <c r="AN1669" s="637">
        <v>100</v>
      </c>
      <c r="AO1669" s="478">
        <v>-1570</v>
      </c>
      <c r="AP1669" s="463">
        <v>-682</v>
      </c>
      <c r="AQ1669" s="479">
        <v>-888</v>
      </c>
      <c r="AR1669" s="476" t="s">
        <v>17738</v>
      </c>
      <c r="BA1669" s="313" t="s">
        <v>6347</v>
      </c>
    </row>
    <row r="1670" spans="2:53" ht="16.5" customHeight="1">
      <c r="B1670" s="367" t="s">
        <v>12370</v>
      </c>
      <c r="C1670" s="351" t="s">
        <v>12371</v>
      </c>
      <c r="D1670" s="353">
        <v>-1570</v>
      </c>
      <c r="E1670" s="352" t="s">
        <v>408</v>
      </c>
      <c r="F1670" s="341">
        <v>73.17</v>
      </c>
      <c r="G1670" s="355" t="s">
        <v>6274</v>
      </c>
      <c r="H1670" s="356" t="s">
        <v>5830</v>
      </c>
      <c r="I1670" s="354" t="s">
        <v>446</v>
      </c>
      <c r="J1670" s="340" t="s">
        <v>555</v>
      </c>
      <c r="K1670" s="339" t="s">
        <v>70</v>
      </c>
      <c r="L1670" s="357">
        <v>12</v>
      </c>
      <c r="M1670" s="358" t="s">
        <v>12372</v>
      </c>
      <c r="N1670" s="359">
        <v>1000</v>
      </c>
      <c r="O1670" s="360" t="s">
        <v>454</v>
      </c>
      <c r="P1670" s="343" t="s">
        <v>454</v>
      </c>
      <c r="Q1670" s="342" t="s">
        <v>2688</v>
      </c>
      <c r="R1670" s="344">
        <v>25</v>
      </c>
      <c r="S1670" s="345">
        <v>35</v>
      </c>
      <c r="T1670" s="362">
        <v>30</v>
      </c>
      <c r="U1670" s="361">
        <v>73.17</v>
      </c>
      <c r="V1670" s="346">
        <v>114.62745098039215</v>
      </c>
      <c r="W1670" s="348">
        <v>115.79569892473118</v>
      </c>
      <c r="X1670" s="347">
        <v>57.81</v>
      </c>
      <c r="Y1670" s="357" t="s">
        <v>408</v>
      </c>
      <c r="Z1670" s="365" t="s">
        <v>3017</v>
      </c>
      <c r="AA1670" s="350">
        <v>98</v>
      </c>
      <c r="AB1670" s="349" t="s">
        <v>2685</v>
      </c>
      <c r="AC1670" s="350">
        <v>0</v>
      </c>
      <c r="AD1670" s="349" t="s">
        <v>2685</v>
      </c>
      <c r="AE1670" s="364">
        <v>0</v>
      </c>
      <c r="AF1670" s="366">
        <v>0</v>
      </c>
      <c r="AG1670" s="363">
        <v>0</v>
      </c>
      <c r="AH1670" s="635" t="s">
        <v>408</v>
      </c>
      <c r="AL1670" s="487" t="s">
        <v>16052</v>
      </c>
      <c r="AM1670" s="477" t="s">
        <v>70</v>
      </c>
      <c r="AN1670" s="637">
        <v>100</v>
      </c>
      <c r="AO1670" s="478">
        <v>-1570</v>
      </c>
      <c r="AP1670" s="463">
        <v>-1570</v>
      </c>
      <c r="AQ1670" s="479">
        <v>0</v>
      </c>
      <c r="AR1670" s="476" t="s">
        <v>17739</v>
      </c>
      <c r="BA1670" s="313" t="s">
        <v>6350</v>
      </c>
    </row>
    <row r="1671" spans="2:53" ht="16.5" customHeight="1">
      <c r="B1671" s="367" t="s">
        <v>12373</v>
      </c>
      <c r="C1671" s="351" t="s">
        <v>12374</v>
      </c>
      <c r="D1671" s="353">
        <v>-1570</v>
      </c>
      <c r="E1671" s="352" t="s">
        <v>12375</v>
      </c>
      <c r="F1671" s="341">
        <v>73.16</v>
      </c>
      <c r="G1671" s="355" t="s">
        <v>12375</v>
      </c>
      <c r="H1671" s="356" t="s">
        <v>5875</v>
      </c>
      <c r="I1671" s="354" t="s">
        <v>212</v>
      </c>
      <c r="J1671" s="340" t="s">
        <v>8337</v>
      </c>
      <c r="K1671" s="339" t="s">
        <v>71</v>
      </c>
      <c r="L1671" s="357">
        <v>3</v>
      </c>
      <c r="M1671" s="358" t="s">
        <v>12376</v>
      </c>
      <c r="N1671" s="359">
        <v>800</v>
      </c>
      <c r="O1671" s="360" t="s">
        <v>532</v>
      </c>
      <c r="P1671" s="343" t="s">
        <v>532</v>
      </c>
      <c r="Q1671" s="342" t="s">
        <v>2688</v>
      </c>
      <c r="R1671" s="344">
        <v>40</v>
      </c>
      <c r="S1671" s="345">
        <v>30</v>
      </c>
      <c r="T1671" s="362">
        <v>30</v>
      </c>
      <c r="U1671" s="361">
        <v>73.16</v>
      </c>
      <c r="V1671" s="346">
        <v>114.62436625910844</v>
      </c>
      <c r="W1671" s="348">
        <v>115.79400730338206</v>
      </c>
      <c r="X1671" s="347" t="s">
        <v>18983</v>
      </c>
      <c r="Y1671" s="357" t="s">
        <v>408</v>
      </c>
      <c r="Z1671" s="365" t="s">
        <v>3017</v>
      </c>
      <c r="AA1671" s="350">
        <v>190</v>
      </c>
      <c r="AB1671" s="349" t="s">
        <v>2685</v>
      </c>
      <c r="AC1671" s="350">
        <v>10</v>
      </c>
      <c r="AD1671" s="349" t="s">
        <v>2685</v>
      </c>
      <c r="AE1671" s="364">
        <v>0</v>
      </c>
      <c r="AF1671" s="366">
        <v>0</v>
      </c>
      <c r="AG1671" s="363">
        <v>0</v>
      </c>
      <c r="AH1671" s="635" t="s">
        <v>408</v>
      </c>
      <c r="AL1671" s="487" t="s">
        <v>16053</v>
      </c>
      <c r="AM1671" s="477" t="s">
        <v>71</v>
      </c>
      <c r="AN1671" s="637">
        <v>100</v>
      </c>
      <c r="AO1671" s="478">
        <v>-1570</v>
      </c>
      <c r="AP1671" s="463">
        <v>-682</v>
      </c>
      <c r="AQ1671" s="479">
        <v>-888</v>
      </c>
      <c r="AR1671" s="476" t="s">
        <v>17740</v>
      </c>
      <c r="BA1671" s="313" t="s">
        <v>6351</v>
      </c>
    </row>
    <row r="1672" spans="2:53" ht="16.5" customHeight="1">
      <c r="B1672" s="367" t="s">
        <v>18256</v>
      </c>
      <c r="C1672" s="351" t="s">
        <v>18257</v>
      </c>
      <c r="D1672" s="353">
        <v>-1570</v>
      </c>
      <c r="E1672" s="352" t="s">
        <v>12377</v>
      </c>
      <c r="F1672" s="341">
        <v>73.09</v>
      </c>
      <c r="G1672" s="355" t="s">
        <v>18984</v>
      </c>
      <c r="H1672" s="356" t="s">
        <v>11840</v>
      </c>
      <c r="I1672" s="354" t="s">
        <v>216</v>
      </c>
      <c r="J1672" s="340" t="s">
        <v>8217</v>
      </c>
      <c r="K1672" s="339" t="s">
        <v>71</v>
      </c>
      <c r="L1672" s="357">
        <v>4</v>
      </c>
      <c r="M1672" s="358" t="s">
        <v>12378</v>
      </c>
      <c r="N1672" s="359">
        <v>300</v>
      </c>
      <c r="O1672" s="360" t="s">
        <v>530</v>
      </c>
      <c r="P1672" s="343" t="s">
        <v>530</v>
      </c>
      <c r="Q1672" s="342" t="s">
        <v>2688</v>
      </c>
      <c r="R1672" s="344">
        <v>45</v>
      </c>
      <c r="S1672" s="345">
        <v>25</v>
      </c>
      <c r="T1672" s="362">
        <v>30</v>
      </c>
      <c r="U1672" s="361">
        <v>73.09</v>
      </c>
      <c r="V1672" s="346">
        <v>114.58376639916912</v>
      </c>
      <c r="W1672" s="348">
        <v>115.7717428640605</v>
      </c>
      <c r="X1672" s="347">
        <v>57.73</v>
      </c>
      <c r="Y1672" s="357" t="s">
        <v>408</v>
      </c>
      <c r="Z1672" s="365" t="s">
        <v>3017</v>
      </c>
      <c r="AA1672" s="350">
        <v>-2</v>
      </c>
      <c r="AB1672" s="349" t="s">
        <v>2685</v>
      </c>
      <c r="AC1672" s="350">
        <v>0</v>
      </c>
      <c r="AD1672" s="349" t="s">
        <v>2685</v>
      </c>
      <c r="AE1672" s="364">
        <v>0</v>
      </c>
      <c r="AF1672" s="366">
        <v>0</v>
      </c>
      <c r="AG1672" s="363">
        <v>0</v>
      </c>
      <c r="AH1672" s="635" t="s">
        <v>408</v>
      </c>
      <c r="AL1672" s="487" t="s">
        <v>16054</v>
      </c>
      <c r="AM1672" s="477" t="s">
        <v>71</v>
      </c>
      <c r="AN1672" s="637">
        <v>100</v>
      </c>
      <c r="AO1672" s="478">
        <v>-1570</v>
      </c>
      <c r="AP1672" s="463">
        <v>-681</v>
      </c>
      <c r="AQ1672" s="479">
        <v>-889</v>
      </c>
      <c r="AR1672" s="476" t="s">
        <v>17741</v>
      </c>
      <c r="BA1672" s="313" t="s">
        <v>6352</v>
      </c>
    </row>
    <row r="1673" spans="2:53" ht="16.5" customHeight="1">
      <c r="B1673" s="367" t="s">
        <v>12379</v>
      </c>
      <c r="C1673" s="351" t="s">
        <v>12380</v>
      </c>
      <c r="D1673" s="353">
        <v>-1570</v>
      </c>
      <c r="E1673" s="352" t="s">
        <v>408</v>
      </c>
      <c r="F1673" s="341">
        <v>73.02</v>
      </c>
      <c r="G1673" s="355" t="s">
        <v>12381</v>
      </c>
      <c r="H1673" s="356" t="s">
        <v>12176</v>
      </c>
      <c r="I1673" s="354" t="s">
        <v>209</v>
      </c>
      <c r="J1673" s="340" t="s">
        <v>12382</v>
      </c>
      <c r="K1673" s="339" t="s">
        <v>70</v>
      </c>
      <c r="L1673" s="357">
        <v>11</v>
      </c>
      <c r="M1673" s="358" t="s">
        <v>5565</v>
      </c>
      <c r="N1673" s="359">
        <v>1000</v>
      </c>
      <c r="O1673" s="360" t="s">
        <v>530</v>
      </c>
      <c r="P1673" s="343" t="s">
        <v>530</v>
      </c>
      <c r="Q1673" s="342" t="s">
        <v>2688</v>
      </c>
      <c r="R1673" s="344">
        <v>20</v>
      </c>
      <c r="S1673" s="345">
        <v>30</v>
      </c>
      <c r="T1673" s="362">
        <v>30</v>
      </c>
      <c r="U1673" s="361">
        <v>73.02</v>
      </c>
      <c r="V1673" s="346">
        <v>114.5403415866943</v>
      </c>
      <c r="W1673" s="348">
        <v>115.74792925721945</v>
      </c>
      <c r="X1673" s="347">
        <v>57.78</v>
      </c>
      <c r="Y1673" s="357" t="s">
        <v>408</v>
      </c>
      <c r="Z1673" s="365" t="s">
        <v>3017</v>
      </c>
      <c r="AA1673" s="350">
        <v>198</v>
      </c>
      <c r="AB1673" s="349" t="s">
        <v>2685</v>
      </c>
      <c r="AC1673" s="350">
        <v>10</v>
      </c>
      <c r="AD1673" s="349" t="s">
        <v>2685</v>
      </c>
      <c r="AE1673" s="364">
        <v>0</v>
      </c>
      <c r="AF1673" s="366">
        <v>0</v>
      </c>
      <c r="AG1673" s="363">
        <v>0</v>
      </c>
      <c r="AH1673" s="635" t="s">
        <v>408</v>
      </c>
      <c r="AL1673" s="487" t="s">
        <v>16055</v>
      </c>
      <c r="AM1673" s="477" t="s">
        <v>70</v>
      </c>
      <c r="AN1673" s="637">
        <v>100</v>
      </c>
      <c r="AO1673" s="478">
        <v>-1570</v>
      </c>
      <c r="AP1673" s="463">
        <v>-1570</v>
      </c>
      <c r="AQ1673" s="479">
        <v>0</v>
      </c>
      <c r="AR1673" s="476" t="s">
        <v>17742</v>
      </c>
      <c r="BA1673" s="313" t="s">
        <v>6356</v>
      </c>
    </row>
    <row r="1674" spans="2:53" ht="16.5" customHeight="1">
      <c r="B1674" s="367" t="s">
        <v>6348</v>
      </c>
      <c r="C1674" s="351" t="s">
        <v>6349</v>
      </c>
      <c r="D1674" s="353">
        <v>-1570</v>
      </c>
      <c r="E1674" s="352" t="s">
        <v>408</v>
      </c>
      <c r="F1674" s="341">
        <v>73.02</v>
      </c>
      <c r="G1674" s="355" t="s">
        <v>12383</v>
      </c>
      <c r="H1674" s="356" t="s">
        <v>18985</v>
      </c>
      <c r="I1674" s="354" t="s">
        <v>228</v>
      </c>
      <c r="J1674" s="340" t="s">
        <v>12384</v>
      </c>
      <c r="K1674" s="339" t="s">
        <v>70</v>
      </c>
      <c r="L1674" s="357">
        <v>22</v>
      </c>
      <c r="M1674" s="358" t="s">
        <v>12385</v>
      </c>
      <c r="N1674" s="359">
        <v>1000</v>
      </c>
      <c r="O1674" s="360" t="s">
        <v>530</v>
      </c>
      <c r="P1674" s="343" t="s">
        <v>531</v>
      </c>
      <c r="Q1674" s="342" t="s">
        <v>2688</v>
      </c>
      <c r="R1674" s="344">
        <v>30</v>
      </c>
      <c r="S1674" s="345">
        <v>35</v>
      </c>
      <c r="T1674" s="362">
        <v>35</v>
      </c>
      <c r="U1674" s="361">
        <v>73.02</v>
      </c>
      <c r="V1674" s="346">
        <v>114.53931890394651</v>
      </c>
      <c r="W1674" s="348">
        <v>115.74736843119646</v>
      </c>
      <c r="X1674" s="347">
        <v>57.78</v>
      </c>
      <c r="Y1674" s="357">
        <v>59.739999999999995</v>
      </c>
      <c r="Z1674" s="365" t="s">
        <v>2689</v>
      </c>
      <c r="AA1674" s="350">
        <v>100</v>
      </c>
      <c r="AB1674" s="349" t="s">
        <v>2685</v>
      </c>
      <c r="AC1674" s="350">
        <v>10</v>
      </c>
      <c r="AD1674" s="349" t="s">
        <v>2685</v>
      </c>
      <c r="AE1674" s="364">
        <v>0</v>
      </c>
      <c r="AF1674" s="366">
        <v>10.455</v>
      </c>
      <c r="AG1674" s="363">
        <v>0</v>
      </c>
      <c r="AH1674" s="635" t="s">
        <v>7787</v>
      </c>
      <c r="AL1674" s="487" t="s">
        <v>16056</v>
      </c>
      <c r="AM1674" s="477" t="s">
        <v>70</v>
      </c>
      <c r="AN1674" s="637">
        <v>100</v>
      </c>
      <c r="AO1674" s="478">
        <v>-1570</v>
      </c>
      <c r="AP1674" s="463">
        <v>-1570</v>
      </c>
      <c r="AQ1674" s="479">
        <v>0</v>
      </c>
      <c r="AR1674" s="476" t="s">
        <v>17743</v>
      </c>
      <c r="BA1674" s="313" t="s">
        <v>6357</v>
      </c>
    </row>
    <row r="1675" spans="2:53" ht="16.5" customHeight="1">
      <c r="B1675" s="367" t="s">
        <v>12386</v>
      </c>
      <c r="C1675" s="351" t="s">
        <v>12387</v>
      </c>
      <c r="D1675" s="353">
        <v>-1570</v>
      </c>
      <c r="E1675" s="352" t="s">
        <v>6255</v>
      </c>
      <c r="F1675" s="341">
        <v>73</v>
      </c>
      <c r="G1675" s="355" t="s">
        <v>18986</v>
      </c>
      <c r="H1675" s="356" t="s">
        <v>5636</v>
      </c>
      <c r="I1675" s="354" t="s">
        <v>211</v>
      </c>
      <c r="J1675" s="340" t="s">
        <v>7364</v>
      </c>
      <c r="K1675" s="339" t="s">
        <v>71</v>
      </c>
      <c r="L1675" s="357">
        <v>11</v>
      </c>
      <c r="M1675" s="358" t="s">
        <v>12389</v>
      </c>
      <c r="N1675" s="359">
        <v>500</v>
      </c>
      <c r="O1675" s="360" t="s">
        <v>530</v>
      </c>
      <c r="P1675" s="343" t="s">
        <v>531</v>
      </c>
      <c r="Q1675" s="342" t="s">
        <v>2688</v>
      </c>
      <c r="R1675" s="344">
        <v>40</v>
      </c>
      <c r="S1675" s="345">
        <v>30</v>
      </c>
      <c r="T1675" s="362">
        <v>30</v>
      </c>
      <c r="U1675" s="361">
        <v>73</v>
      </c>
      <c r="V1675" s="346">
        <v>114.53044734233109</v>
      </c>
      <c r="W1675" s="348">
        <v>115.74250338127833</v>
      </c>
      <c r="X1675" s="347">
        <v>57.7</v>
      </c>
      <c r="Y1675" s="357">
        <v>57.989999999999995</v>
      </c>
      <c r="Z1675" s="365" t="s">
        <v>4408</v>
      </c>
      <c r="AA1675" s="350">
        <v>24</v>
      </c>
      <c r="AB1675" s="349" t="s">
        <v>2685</v>
      </c>
      <c r="AC1675" s="350">
        <v>5</v>
      </c>
      <c r="AD1675" s="349" t="s">
        <v>2685</v>
      </c>
      <c r="AE1675" s="364">
        <v>0</v>
      </c>
      <c r="AF1675" s="366">
        <v>0</v>
      </c>
      <c r="AG1675" s="363">
        <v>0</v>
      </c>
      <c r="AH1675" s="635" t="s">
        <v>408</v>
      </c>
      <c r="AL1675" s="487" t="s">
        <v>16057</v>
      </c>
      <c r="AM1675" s="477" t="s">
        <v>71</v>
      </c>
      <c r="AN1675" s="637">
        <v>100</v>
      </c>
      <c r="AO1675" s="478">
        <v>-1570</v>
      </c>
      <c r="AP1675" s="463">
        <v>-681</v>
      </c>
      <c r="AQ1675" s="479">
        <v>-889</v>
      </c>
      <c r="AR1675" s="476" t="s">
        <v>17744</v>
      </c>
      <c r="BA1675" s="313" t="s">
        <v>6358</v>
      </c>
    </row>
    <row r="1676" spans="2:53" ht="16.5" customHeight="1">
      <c r="B1676" s="367" t="s">
        <v>12390</v>
      </c>
      <c r="C1676" s="351" t="s">
        <v>12391</v>
      </c>
      <c r="D1676" s="353">
        <v>-1570</v>
      </c>
      <c r="E1676" s="352" t="s">
        <v>12392</v>
      </c>
      <c r="F1676" s="341">
        <v>72.95</v>
      </c>
      <c r="G1676" s="355" t="s">
        <v>12392</v>
      </c>
      <c r="H1676" s="356" t="s">
        <v>5858</v>
      </c>
      <c r="I1676" s="354" t="s">
        <v>406</v>
      </c>
      <c r="J1676" s="340" t="s">
        <v>443</v>
      </c>
      <c r="K1676" s="339" t="s">
        <v>71</v>
      </c>
      <c r="L1676" s="357">
        <v>33</v>
      </c>
      <c r="M1676" s="358" t="s">
        <v>12393</v>
      </c>
      <c r="N1676" s="359">
        <v>600</v>
      </c>
      <c r="O1676" s="360" t="s">
        <v>530</v>
      </c>
      <c r="P1676" s="343" t="s">
        <v>530</v>
      </c>
      <c r="Q1676" s="342" t="s">
        <v>2688</v>
      </c>
      <c r="R1676" s="344">
        <v>33</v>
      </c>
      <c r="S1676" s="345">
        <v>33</v>
      </c>
      <c r="T1676" s="362">
        <v>33</v>
      </c>
      <c r="U1676" s="361">
        <v>72.95</v>
      </c>
      <c r="V1676" s="346">
        <v>114.50134618583191</v>
      </c>
      <c r="W1676" s="348">
        <v>115.72654468255297</v>
      </c>
      <c r="X1676" s="347">
        <v>57.69</v>
      </c>
      <c r="Y1676" s="357" t="s">
        <v>408</v>
      </c>
      <c r="Z1676" s="365" t="s">
        <v>4408</v>
      </c>
      <c r="AA1676" s="350">
        <v>88</v>
      </c>
      <c r="AB1676" s="349" t="s">
        <v>2685</v>
      </c>
      <c r="AC1676" s="350">
        <v>10</v>
      </c>
      <c r="AD1676" s="349" t="s">
        <v>2685</v>
      </c>
      <c r="AE1676" s="364">
        <v>0</v>
      </c>
      <c r="AF1676" s="366">
        <v>0</v>
      </c>
      <c r="AG1676" s="363">
        <v>0</v>
      </c>
      <c r="AH1676" s="635" t="s">
        <v>11405</v>
      </c>
      <c r="AL1676" s="487" t="s">
        <v>7234</v>
      </c>
      <c r="AM1676" s="477" t="s">
        <v>71</v>
      </c>
      <c r="AN1676" s="637">
        <v>100</v>
      </c>
      <c r="AO1676" s="478">
        <v>-1570</v>
      </c>
      <c r="AP1676" s="463">
        <v>-681</v>
      </c>
      <c r="AQ1676" s="479">
        <v>-889</v>
      </c>
      <c r="AR1676" s="476" t="s">
        <v>17745</v>
      </c>
      <c r="BA1676" s="313" t="s">
        <v>6359</v>
      </c>
    </row>
    <row r="1677" spans="2:53" ht="16.5" customHeight="1">
      <c r="B1677" s="367" t="s">
        <v>6364</v>
      </c>
      <c r="C1677" s="351" t="s">
        <v>6365</v>
      </c>
      <c r="D1677" s="353">
        <v>-1570</v>
      </c>
      <c r="E1677" s="352" t="s">
        <v>12394</v>
      </c>
      <c r="F1677" s="341">
        <v>72.86</v>
      </c>
      <c r="G1677" s="355" t="s">
        <v>18987</v>
      </c>
      <c r="H1677" s="356" t="s">
        <v>12194</v>
      </c>
      <c r="I1677" s="354" t="s">
        <v>216</v>
      </c>
      <c r="J1677" s="340" t="s">
        <v>11554</v>
      </c>
      <c r="K1677" s="339" t="s">
        <v>71</v>
      </c>
      <c r="L1677" s="357">
        <v>4</v>
      </c>
      <c r="M1677" s="358" t="s">
        <v>12396</v>
      </c>
      <c r="N1677" s="359">
        <v>300</v>
      </c>
      <c r="O1677" s="360" t="s">
        <v>530</v>
      </c>
      <c r="P1677" s="343" t="s">
        <v>530</v>
      </c>
      <c r="Q1677" s="342" t="s">
        <v>2688</v>
      </c>
      <c r="R1677" s="344">
        <v>45</v>
      </c>
      <c r="S1677" s="345">
        <v>25</v>
      </c>
      <c r="T1677" s="362">
        <v>30</v>
      </c>
      <c r="U1677" s="361">
        <v>72.86</v>
      </c>
      <c r="V1677" s="346">
        <v>114.44956368778935</v>
      </c>
      <c r="W1677" s="348">
        <v>115.69814782878771</v>
      </c>
      <c r="X1677" s="347">
        <v>57.66</v>
      </c>
      <c r="Y1677" s="357" t="s">
        <v>408</v>
      </c>
      <c r="Z1677" s="365" t="s">
        <v>3017</v>
      </c>
      <c r="AA1677" s="350">
        <v>-2</v>
      </c>
      <c r="AB1677" s="349" t="s">
        <v>2685</v>
      </c>
      <c r="AC1677" s="350">
        <v>0</v>
      </c>
      <c r="AD1677" s="349" t="s">
        <v>2685</v>
      </c>
      <c r="AE1677" s="364">
        <v>0</v>
      </c>
      <c r="AF1677" s="366">
        <v>0</v>
      </c>
      <c r="AG1677" s="363">
        <v>0</v>
      </c>
      <c r="AH1677" s="635" t="s">
        <v>408</v>
      </c>
      <c r="AL1677" s="487" t="s">
        <v>16058</v>
      </c>
      <c r="AM1677" s="477" t="s">
        <v>71</v>
      </c>
      <c r="AN1677" s="637">
        <v>100</v>
      </c>
      <c r="AO1677" s="478">
        <v>-1570</v>
      </c>
      <c r="AP1677" s="463">
        <v>-680</v>
      </c>
      <c r="AQ1677" s="479">
        <v>-890</v>
      </c>
      <c r="AR1677" s="476" t="s">
        <v>17746</v>
      </c>
      <c r="BA1677" s="313" t="s">
        <v>6361</v>
      </c>
    </row>
    <row r="1678" spans="2:53" ht="16.5" customHeight="1">
      <c r="B1678" s="367" t="s">
        <v>12397</v>
      </c>
      <c r="C1678" s="351" t="s">
        <v>12398</v>
      </c>
      <c r="D1678" s="353">
        <v>-1570</v>
      </c>
      <c r="E1678" s="352" t="s">
        <v>408</v>
      </c>
      <c r="F1678" s="341">
        <v>72.819999999999993</v>
      </c>
      <c r="G1678" s="355" t="s">
        <v>12399</v>
      </c>
      <c r="H1678" s="356" t="s">
        <v>18988</v>
      </c>
      <c r="I1678" s="354" t="s">
        <v>423</v>
      </c>
      <c r="J1678" s="340" t="s">
        <v>12400</v>
      </c>
      <c r="K1678" s="339" t="s">
        <v>70</v>
      </c>
      <c r="L1678" s="357">
        <v>8</v>
      </c>
      <c r="M1678" s="358" t="s">
        <v>12401</v>
      </c>
      <c r="N1678" s="359">
        <v>1000</v>
      </c>
      <c r="O1678" s="360" t="s">
        <v>530</v>
      </c>
      <c r="P1678" s="343" t="s">
        <v>531</v>
      </c>
      <c r="Q1678" s="342" t="s">
        <v>2688</v>
      </c>
      <c r="R1678" s="344">
        <v>20</v>
      </c>
      <c r="S1678" s="345">
        <v>35</v>
      </c>
      <c r="T1678" s="362">
        <v>25</v>
      </c>
      <c r="U1678" s="361">
        <v>72.819999999999993</v>
      </c>
      <c r="V1678" s="346">
        <v>114.42613326678966</v>
      </c>
      <c r="W1678" s="348">
        <v>115.68529888823949</v>
      </c>
      <c r="X1678" s="347">
        <v>57.73</v>
      </c>
      <c r="Y1678" s="357">
        <v>57.71</v>
      </c>
      <c r="Z1678" s="365" t="s">
        <v>3017</v>
      </c>
      <c r="AA1678" s="350">
        <v>198</v>
      </c>
      <c r="AB1678" s="349" t="s">
        <v>2685</v>
      </c>
      <c r="AC1678" s="350">
        <v>10</v>
      </c>
      <c r="AD1678" s="349" t="s">
        <v>2685</v>
      </c>
      <c r="AE1678" s="364">
        <v>0</v>
      </c>
      <c r="AF1678" s="366">
        <v>13.287000000000001</v>
      </c>
      <c r="AG1678" s="363">
        <v>0</v>
      </c>
      <c r="AH1678" s="635" t="s">
        <v>11625</v>
      </c>
      <c r="AL1678" s="487" t="s">
        <v>16059</v>
      </c>
      <c r="AM1678" s="477" t="s">
        <v>70</v>
      </c>
      <c r="AN1678" s="637">
        <v>100</v>
      </c>
      <c r="AO1678" s="478">
        <v>-1570</v>
      </c>
      <c r="AP1678" s="463">
        <v>-1570</v>
      </c>
      <c r="AQ1678" s="479">
        <v>0</v>
      </c>
      <c r="AR1678" s="476" t="s">
        <v>17747</v>
      </c>
      <c r="BA1678" s="313" t="s">
        <v>6362</v>
      </c>
    </row>
    <row r="1679" spans="2:53" ht="16.5" customHeight="1">
      <c r="B1679" s="367" t="s">
        <v>12402</v>
      </c>
      <c r="C1679" s="351" t="s">
        <v>12403</v>
      </c>
      <c r="D1679" s="353">
        <v>-1570</v>
      </c>
      <c r="E1679" s="352" t="s">
        <v>6309</v>
      </c>
      <c r="F1679" s="341">
        <v>72.819999999999993</v>
      </c>
      <c r="G1679" s="355" t="s">
        <v>18989</v>
      </c>
      <c r="H1679" s="356" t="s">
        <v>18990</v>
      </c>
      <c r="I1679" s="354" t="s">
        <v>301</v>
      </c>
      <c r="J1679" s="340" t="s">
        <v>12404</v>
      </c>
      <c r="K1679" s="339" t="s">
        <v>71</v>
      </c>
      <c r="L1679" s="357">
        <v>12</v>
      </c>
      <c r="M1679" s="358" t="s">
        <v>12405</v>
      </c>
      <c r="N1679" s="359">
        <v>1000</v>
      </c>
      <c r="O1679" s="360" t="s">
        <v>530</v>
      </c>
      <c r="P1679" s="343" t="s">
        <v>531</v>
      </c>
      <c r="Q1679" s="342" t="s">
        <v>2688</v>
      </c>
      <c r="R1679" s="344">
        <v>30</v>
      </c>
      <c r="S1679" s="345">
        <v>30</v>
      </c>
      <c r="T1679" s="362">
        <v>20</v>
      </c>
      <c r="U1679" s="361">
        <v>72.819999999999993</v>
      </c>
      <c r="V1679" s="346">
        <v>114.42510620069254</v>
      </c>
      <c r="W1679" s="348">
        <v>115.6847356584443</v>
      </c>
      <c r="X1679" s="347">
        <v>57.64</v>
      </c>
      <c r="Y1679" s="357">
        <v>57.71</v>
      </c>
      <c r="Z1679" s="365" t="s">
        <v>3017</v>
      </c>
      <c r="AA1679" s="350">
        <v>195</v>
      </c>
      <c r="AB1679" s="349" t="s">
        <v>2685</v>
      </c>
      <c r="AC1679" s="350">
        <v>10</v>
      </c>
      <c r="AD1679" s="349" t="s">
        <v>2685</v>
      </c>
      <c r="AE1679" s="364">
        <v>0</v>
      </c>
      <c r="AF1679" s="366">
        <v>0</v>
      </c>
      <c r="AG1679" s="363">
        <v>0</v>
      </c>
      <c r="AH1679" s="635" t="s">
        <v>408</v>
      </c>
      <c r="AL1679" s="487" t="s">
        <v>16060</v>
      </c>
      <c r="AM1679" s="477" t="s">
        <v>71</v>
      </c>
      <c r="AN1679" s="637">
        <v>100</v>
      </c>
      <c r="AO1679" s="478">
        <v>-1570</v>
      </c>
      <c r="AP1679" s="463">
        <v>-680</v>
      </c>
      <c r="AQ1679" s="479">
        <v>-890</v>
      </c>
      <c r="AR1679" s="476" t="s">
        <v>17748</v>
      </c>
      <c r="BA1679" s="313" t="s">
        <v>6363</v>
      </c>
    </row>
    <row r="1680" spans="2:53" ht="16.5" customHeight="1">
      <c r="B1680" s="367" t="s">
        <v>6374</v>
      </c>
      <c r="C1680" s="351" t="s">
        <v>6375</v>
      </c>
      <c r="D1680" s="353">
        <v>-1570</v>
      </c>
      <c r="E1680" s="352" t="s">
        <v>6182</v>
      </c>
      <c r="F1680" s="341">
        <v>72.78</v>
      </c>
      <c r="G1680" s="355" t="s">
        <v>6182</v>
      </c>
      <c r="H1680" s="356" t="s">
        <v>11883</v>
      </c>
      <c r="I1680" s="354" t="s">
        <v>212</v>
      </c>
      <c r="J1680" s="340" t="s">
        <v>8534</v>
      </c>
      <c r="K1680" s="339" t="s">
        <v>71</v>
      </c>
      <c r="L1680" s="357">
        <v>8</v>
      </c>
      <c r="M1680" s="358" t="s">
        <v>12406</v>
      </c>
      <c r="N1680" s="359">
        <v>800</v>
      </c>
      <c r="O1680" s="360" t="s">
        <v>532</v>
      </c>
      <c r="P1680" s="343" t="s">
        <v>532</v>
      </c>
      <c r="Q1680" s="342" t="s">
        <v>2688</v>
      </c>
      <c r="R1680" s="344">
        <v>40</v>
      </c>
      <c r="S1680" s="345">
        <v>30</v>
      </c>
      <c r="T1680" s="362">
        <v>30</v>
      </c>
      <c r="U1680" s="361">
        <v>72.78</v>
      </c>
      <c r="V1680" s="346">
        <v>114.39812250774642</v>
      </c>
      <c r="W1680" s="348">
        <v>115.66993814940932</v>
      </c>
      <c r="X1680" s="347" t="s">
        <v>18991</v>
      </c>
      <c r="Y1680" s="357" t="s">
        <v>408</v>
      </c>
      <c r="Z1680" s="365" t="s">
        <v>3017</v>
      </c>
      <c r="AA1680" s="350">
        <v>190</v>
      </c>
      <c r="AB1680" s="349" t="s">
        <v>2685</v>
      </c>
      <c r="AC1680" s="350">
        <v>10</v>
      </c>
      <c r="AD1680" s="349" t="s">
        <v>2685</v>
      </c>
      <c r="AE1680" s="364">
        <v>0</v>
      </c>
      <c r="AF1680" s="366">
        <v>0</v>
      </c>
      <c r="AG1680" s="363">
        <v>0</v>
      </c>
      <c r="AH1680" s="635" t="s">
        <v>408</v>
      </c>
      <c r="AL1680" s="487" t="s">
        <v>16061</v>
      </c>
      <c r="AM1680" s="477" t="s">
        <v>71</v>
      </c>
      <c r="AN1680" s="637">
        <v>100</v>
      </c>
      <c r="AO1680" s="478">
        <v>-1570</v>
      </c>
      <c r="AP1680" s="463">
        <v>-680</v>
      </c>
      <c r="AQ1680" s="479">
        <v>-890</v>
      </c>
      <c r="AR1680" s="476" t="s">
        <v>17749</v>
      </c>
      <c r="BA1680" s="313" t="s">
        <v>6367</v>
      </c>
    </row>
    <row r="1681" spans="2:53" ht="16.5" customHeight="1">
      <c r="B1681" s="367" t="s">
        <v>6374</v>
      </c>
      <c r="C1681" s="351" t="s">
        <v>6375</v>
      </c>
      <c r="D1681" s="353">
        <v>-1570</v>
      </c>
      <c r="E1681" s="352" t="s">
        <v>6182</v>
      </c>
      <c r="F1681" s="341">
        <v>72.78</v>
      </c>
      <c r="G1681" s="355" t="s">
        <v>6182</v>
      </c>
      <c r="H1681" s="356" t="s">
        <v>11883</v>
      </c>
      <c r="I1681" s="354" t="s">
        <v>209</v>
      </c>
      <c r="J1681" s="340" t="s">
        <v>8877</v>
      </c>
      <c r="K1681" s="339" t="s">
        <v>71</v>
      </c>
      <c r="L1681" s="357">
        <v>18</v>
      </c>
      <c r="M1681" s="358" t="s">
        <v>12407</v>
      </c>
      <c r="N1681" s="359">
        <v>1000</v>
      </c>
      <c r="O1681" s="360" t="s">
        <v>530</v>
      </c>
      <c r="P1681" s="343" t="s">
        <v>530</v>
      </c>
      <c r="Q1681" s="342" t="s">
        <v>2688</v>
      </c>
      <c r="R1681" s="344">
        <v>30</v>
      </c>
      <c r="S1681" s="345">
        <v>25</v>
      </c>
      <c r="T1681" s="362">
        <v>25</v>
      </c>
      <c r="U1681" s="361">
        <v>72.78</v>
      </c>
      <c r="V1681" s="346">
        <v>114.39909935234236</v>
      </c>
      <c r="W1681" s="348">
        <v>115.6704738383813</v>
      </c>
      <c r="X1681" s="347">
        <v>57.63</v>
      </c>
      <c r="Y1681" s="357" t="s">
        <v>408</v>
      </c>
      <c r="Z1681" s="365" t="s">
        <v>3017</v>
      </c>
      <c r="AA1681" s="350">
        <v>198</v>
      </c>
      <c r="AB1681" s="349" t="s">
        <v>2685</v>
      </c>
      <c r="AC1681" s="350">
        <v>10</v>
      </c>
      <c r="AD1681" s="349" t="s">
        <v>2685</v>
      </c>
      <c r="AE1681" s="364">
        <v>0</v>
      </c>
      <c r="AF1681" s="366">
        <v>0</v>
      </c>
      <c r="AG1681" s="363">
        <v>0</v>
      </c>
      <c r="AH1681" s="635" t="s">
        <v>408</v>
      </c>
      <c r="AL1681" s="487" t="s">
        <v>16062</v>
      </c>
      <c r="AM1681" s="477" t="s">
        <v>71</v>
      </c>
      <c r="AN1681" s="637">
        <v>100</v>
      </c>
      <c r="AO1681" s="478">
        <v>-1570</v>
      </c>
      <c r="AP1681" s="463">
        <v>-680</v>
      </c>
      <c r="AQ1681" s="479">
        <v>-890</v>
      </c>
      <c r="AR1681" s="476" t="s">
        <v>17749</v>
      </c>
      <c r="BA1681" s="313" t="s">
        <v>6368</v>
      </c>
    </row>
    <row r="1682" spans="2:53" ht="16.5" customHeight="1">
      <c r="B1682" s="367" t="s">
        <v>18258</v>
      </c>
      <c r="C1682" s="351" t="s">
        <v>18259</v>
      </c>
      <c r="D1682" s="353">
        <v>-1570</v>
      </c>
      <c r="E1682" s="352" t="s">
        <v>12408</v>
      </c>
      <c r="F1682" s="341">
        <v>72.72</v>
      </c>
      <c r="G1682" s="355" t="s">
        <v>18992</v>
      </c>
      <c r="H1682" s="356" t="s">
        <v>11900</v>
      </c>
      <c r="I1682" s="354" t="s">
        <v>214</v>
      </c>
      <c r="J1682" s="340" t="s">
        <v>12409</v>
      </c>
      <c r="K1682" s="339" t="s">
        <v>71</v>
      </c>
      <c r="L1682" s="357">
        <v>6</v>
      </c>
      <c r="M1682" s="358" t="s">
        <v>12410</v>
      </c>
      <c r="N1682" s="359">
        <v>200</v>
      </c>
      <c r="O1682" s="360" t="s">
        <v>532</v>
      </c>
      <c r="P1682" s="343" t="s">
        <v>532</v>
      </c>
      <c r="Q1682" s="342" t="s">
        <v>2688</v>
      </c>
      <c r="R1682" s="344">
        <v>30</v>
      </c>
      <c r="S1682" s="345">
        <v>20</v>
      </c>
      <c r="T1682" s="362">
        <v>30</v>
      </c>
      <c r="U1682" s="361">
        <v>72.72</v>
      </c>
      <c r="V1682" s="346">
        <v>114.36296121622316</v>
      </c>
      <c r="W1682" s="348">
        <v>115.65065615083205</v>
      </c>
      <c r="X1682" s="347" t="s">
        <v>18993</v>
      </c>
      <c r="Y1682" s="357" t="s">
        <v>408</v>
      </c>
      <c r="Z1682" s="365" t="s">
        <v>4408</v>
      </c>
      <c r="AA1682" s="350">
        <v>36</v>
      </c>
      <c r="AB1682" s="349" t="s">
        <v>2685</v>
      </c>
      <c r="AC1682" s="350">
        <v>0</v>
      </c>
      <c r="AD1682" s="349" t="s">
        <v>2685</v>
      </c>
      <c r="AE1682" s="364">
        <v>0</v>
      </c>
      <c r="AF1682" s="366">
        <v>0</v>
      </c>
      <c r="AG1682" s="363">
        <v>0</v>
      </c>
      <c r="AH1682" s="635" t="s">
        <v>408</v>
      </c>
      <c r="AL1682" s="487" t="s">
        <v>16063</v>
      </c>
      <c r="AM1682" s="477" t="s">
        <v>71</v>
      </c>
      <c r="AN1682" s="637">
        <v>100</v>
      </c>
      <c r="AO1682" s="478">
        <v>-1570</v>
      </c>
      <c r="AP1682" s="463">
        <v>-679</v>
      </c>
      <c r="AQ1682" s="479">
        <v>-891</v>
      </c>
      <c r="AR1682" s="476" t="s">
        <v>17750</v>
      </c>
      <c r="BA1682" s="313" t="s">
        <v>6370</v>
      </c>
    </row>
    <row r="1683" spans="2:53" ht="16.5" customHeight="1">
      <c r="B1683" s="367" t="s">
        <v>12414</v>
      </c>
      <c r="C1683" s="351" t="s">
        <v>12415</v>
      </c>
      <c r="D1683" s="353">
        <v>-1570</v>
      </c>
      <c r="E1683" s="352" t="s">
        <v>6320</v>
      </c>
      <c r="F1683" s="341">
        <v>72.650000000000006</v>
      </c>
      <c r="G1683" s="355" t="s">
        <v>12416</v>
      </c>
      <c r="H1683" s="356" t="s">
        <v>18994</v>
      </c>
      <c r="I1683" s="354" t="s">
        <v>214</v>
      </c>
      <c r="J1683" s="340" t="s">
        <v>8883</v>
      </c>
      <c r="K1683" s="339" t="s">
        <v>71</v>
      </c>
      <c r="L1683" s="357">
        <v>8</v>
      </c>
      <c r="M1683" s="358" t="s">
        <v>12417</v>
      </c>
      <c r="N1683" s="359">
        <v>200</v>
      </c>
      <c r="O1683" s="360" t="s">
        <v>532</v>
      </c>
      <c r="P1683" s="343" t="s">
        <v>532</v>
      </c>
      <c r="Q1683" s="342" t="s">
        <v>2688</v>
      </c>
      <c r="R1683" s="344">
        <v>30</v>
      </c>
      <c r="S1683" s="345">
        <v>20</v>
      </c>
      <c r="T1683" s="362">
        <v>30</v>
      </c>
      <c r="U1683" s="361">
        <v>72.650000000000006</v>
      </c>
      <c r="V1683" s="346">
        <v>114.32625036864047</v>
      </c>
      <c r="W1683" s="348">
        <v>115.63052439570606</v>
      </c>
      <c r="X1683" s="347" t="s">
        <v>18995</v>
      </c>
      <c r="Y1683" s="357" t="s">
        <v>408</v>
      </c>
      <c r="Z1683" s="365" t="s">
        <v>4408</v>
      </c>
      <c r="AA1683" s="350">
        <v>36</v>
      </c>
      <c r="AB1683" s="349" t="s">
        <v>2685</v>
      </c>
      <c r="AC1683" s="350">
        <v>0</v>
      </c>
      <c r="AD1683" s="349" t="s">
        <v>2685</v>
      </c>
      <c r="AE1683" s="364">
        <v>0</v>
      </c>
      <c r="AF1683" s="366">
        <v>0</v>
      </c>
      <c r="AG1683" s="363">
        <v>0</v>
      </c>
      <c r="AH1683" s="635" t="s">
        <v>408</v>
      </c>
      <c r="AL1683" s="487" t="s">
        <v>16064</v>
      </c>
      <c r="AM1683" s="477" t="s">
        <v>71</v>
      </c>
      <c r="AN1683" s="637">
        <v>100</v>
      </c>
      <c r="AO1683" s="478">
        <v>-1570</v>
      </c>
      <c r="AP1683" s="463">
        <v>-679</v>
      </c>
      <c r="AQ1683" s="479">
        <v>-891</v>
      </c>
      <c r="AR1683" s="476" t="s">
        <v>17751</v>
      </c>
      <c r="BA1683" s="313" t="s">
        <v>6373</v>
      </c>
    </row>
    <row r="1684" spans="2:53" ht="16.5" customHeight="1">
      <c r="B1684" s="367" t="s">
        <v>6387</v>
      </c>
      <c r="C1684" s="351" t="s">
        <v>6388</v>
      </c>
      <c r="D1684" s="353">
        <v>-1570</v>
      </c>
      <c r="E1684" s="352" t="s">
        <v>12416</v>
      </c>
      <c r="F1684" s="341">
        <v>72.650000000000006</v>
      </c>
      <c r="G1684" s="355" t="s">
        <v>18996</v>
      </c>
      <c r="H1684" s="356" t="s">
        <v>18997</v>
      </c>
      <c r="I1684" s="354" t="s">
        <v>212</v>
      </c>
      <c r="J1684" s="340" t="s">
        <v>8107</v>
      </c>
      <c r="K1684" s="339" t="s">
        <v>71</v>
      </c>
      <c r="L1684" s="357">
        <v>7</v>
      </c>
      <c r="M1684" s="358" t="s">
        <v>12418</v>
      </c>
      <c r="N1684" s="359">
        <v>800</v>
      </c>
      <c r="O1684" s="360" t="s">
        <v>532</v>
      </c>
      <c r="P1684" s="343" t="s">
        <v>532</v>
      </c>
      <c r="Q1684" s="342" t="s">
        <v>2688</v>
      </c>
      <c r="R1684" s="344">
        <v>40</v>
      </c>
      <c r="S1684" s="345">
        <v>30</v>
      </c>
      <c r="T1684" s="362">
        <v>30</v>
      </c>
      <c r="U1684" s="361">
        <v>72.650000000000006</v>
      </c>
      <c r="V1684" s="346">
        <v>114.32246438336804</v>
      </c>
      <c r="W1684" s="348">
        <v>115.62844821023408</v>
      </c>
      <c r="X1684" s="347" t="s">
        <v>18995</v>
      </c>
      <c r="Y1684" s="357" t="s">
        <v>408</v>
      </c>
      <c r="Z1684" s="365" t="s">
        <v>3017</v>
      </c>
      <c r="AA1684" s="350">
        <v>190</v>
      </c>
      <c r="AB1684" s="349" t="s">
        <v>2685</v>
      </c>
      <c r="AC1684" s="350">
        <v>10</v>
      </c>
      <c r="AD1684" s="349" t="s">
        <v>2685</v>
      </c>
      <c r="AE1684" s="364">
        <v>0</v>
      </c>
      <c r="AF1684" s="366">
        <v>0</v>
      </c>
      <c r="AG1684" s="363">
        <v>0</v>
      </c>
      <c r="AH1684" s="635" t="s">
        <v>408</v>
      </c>
      <c r="AL1684" s="487" t="s">
        <v>16065</v>
      </c>
      <c r="AM1684" s="477" t="s">
        <v>71</v>
      </c>
      <c r="AN1684" s="637">
        <v>100</v>
      </c>
      <c r="AO1684" s="478">
        <v>-1570</v>
      </c>
      <c r="AP1684" s="463">
        <v>-679</v>
      </c>
      <c r="AQ1684" s="479">
        <v>-891</v>
      </c>
      <c r="AR1684" s="476" t="s">
        <v>17752</v>
      </c>
      <c r="BA1684" s="313" t="s">
        <v>6376</v>
      </c>
    </row>
    <row r="1685" spans="2:53" ht="16.5" customHeight="1">
      <c r="B1685" s="367" t="s">
        <v>12411</v>
      </c>
      <c r="C1685" s="351" t="s">
        <v>12412</v>
      </c>
      <c r="D1685" s="353">
        <v>-1570</v>
      </c>
      <c r="E1685" s="352" t="s">
        <v>12416</v>
      </c>
      <c r="F1685" s="341">
        <v>72.63</v>
      </c>
      <c r="G1685" s="355" t="s">
        <v>18998</v>
      </c>
      <c r="H1685" s="356" t="s">
        <v>5676</v>
      </c>
      <c r="I1685" s="354" t="s">
        <v>485</v>
      </c>
      <c r="J1685" s="340" t="s">
        <v>501</v>
      </c>
      <c r="K1685" s="339" t="s">
        <v>71</v>
      </c>
      <c r="L1685" s="357">
        <v>10</v>
      </c>
      <c r="M1685" s="358" t="s">
        <v>12413</v>
      </c>
      <c r="N1685" s="359">
        <v>100</v>
      </c>
      <c r="O1685" s="360" t="s">
        <v>454</v>
      </c>
      <c r="P1685" s="343" t="s">
        <v>454</v>
      </c>
      <c r="Q1685" s="342" t="s">
        <v>2738</v>
      </c>
      <c r="R1685" s="344">
        <v>35</v>
      </c>
      <c r="S1685" s="345">
        <v>30</v>
      </c>
      <c r="T1685" s="362">
        <v>15</v>
      </c>
      <c r="U1685" s="361">
        <v>72.63</v>
      </c>
      <c r="V1685" s="346">
        <v>114.30882352941175</v>
      </c>
      <c r="W1685" s="348">
        <v>115.62096774193549</v>
      </c>
      <c r="X1685" s="347">
        <v>57.57</v>
      </c>
      <c r="Y1685" s="357" t="s">
        <v>408</v>
      </c>
      <c r="Z1685" s="365" t="s">
        <v>3017</v>
      </c>
      <c r="AA1685" s="350">
        <v>19.600000000000001</v>
      </c>
      <c r="AB1685" s="349" t="s">
        <v>2685</v>
      </c>
      <c r="AC1685" s="350">
        <v>0</v>
      </c>
      <c r="AD1685" s="349" t="s">
        <v>2685</v>
      </c>
      <c r="AE1685" s="364">
        <v>0</v>
      </c>
      <c r="AF1685" s="366">
        <v>0</v>
      </c>
      <c r="AG1685" s="363">
        <v>0</v>
      </c>
      <c r="AH1685" s="635" t="s">
        <v>408</v>
      </c>
      <c r="AL1685" s="487" t="s">
        <v>16066</v>
      </c>
      <c r="AM1685" s="477" t="s">
        <v>71</v>
      </c>
      <c r="AN1685" s="637">
        <v>100</v>
      </c>
      <c r="AO1685" s="478">
        <v>-1570</v>
      </c>
      <c r="AP1685" s="463">
        <v>-679</v>
      </c>
      <c r="AQ1685" s="479">
        <v>-891</v>
      </c>
      <c r="AR1685" s="476" t="s">
        <v>17753</v>
      </c>
      <c r="BA1685" s="313" t="s">
        <v>6377</v>
      </c>
    </row>
    <row r="1686" spans="2:53" ht="16.5" customHeight="1">
      <c r="B1686" s="367" t="s">
        <v>12419</v>
      </c>
      <c r="C1686" s="351" t="s">
        <v>12420</v>
      </c>
      <c r="D1686" s="353">
        <v>-1570</v>
      </c>
      <c r="E1686" s="352" t="s">
        <v>408</v>
      </c>
      <c r="F1686" s="341">
        <v>72.59</v>
      </c>
      <c r="G1686" s="355" t="s">
        <v>6353</v>
      </c>
      <c r="H1686" s="356" t="s">
        <v>12313</v>
      </c>
      <c r="I1686" s="354" t="s">
        <v>496</v>
      </c>
      <c r="J1686" s="340" t="s">
        <v>12421</v>
      </c>
      <c r="K1686" s="339" t="s">
        <v>71</v>
      </c>
      <c r="L1686" s="357">
        <v>10</v>
      </c>
      <c r="M1686" s="358" t="s">
        <v>12422</v>
      </c>
      <c r="N1686" s="359">
        <v>1000</v>
      </c>
      <c r="O1686" s="360" t="s">
        <v>530</v>
      </c>
      <c r="P1686" s="343" t="s">
        <v>531</v>
      </c>
      <c r="Q1686" s="342" t="s">
        <v>2738</v>
      </c>
      <c r="R1686" s="344">
        <v>29</v>
      </c>
      <c r="S1686" s="345">
        <v>29</v>
      </c>
      <c r="T1686" s="362">
        <v>29</v>
      </c>
      <c r="U1686" s="361">
        <v>72.59</v>
      </c>
      <c r="V1686" s="346">
        <v>114.28530868123381</v>
      </c>
      <c r="W1686" s="348">
        <v>115.60807250261209</v>
      </c>
      <c r="X1686" s="347">
        <v>57.68</v>
      </c>
      <c r="Y1686" s="357">
        <v>57.62</v>
      </c>
      <c r="Z1686" s="365" t="s">
        <v>3017</v>
      </c>
      <c r="AA1686" s="350">
        <v>135.71</v>
      </c>
      <c r="AB1686" s="349" t="s">
        <v>2685</v>
      </c>
      <c r="AC1686" s="350">
        <v>10</v>
      </c>
      <c r="AD1686" s="349" t="s">
        <v>2685</v>
      </c>
      <c r="AE1686" s="364">
        <v>0</v>
      </c>
      <c r="AF1686" s="366">
        <v>0</v>
      </c>
      <c r="AG1686" s="363">
        <v>0</v>
      </c>
      <c r="AH1686" s="635" t="s">
        <v>408</v>
      </c>
      <c r="AL1686" s="487" t="s">
        <v>16067</v>
      </c>
      <c r="AM1686" s="477" t="s">
        <v>71</v>
      </c>
      <c r="AN1686" s="637">
        <v>100</v>
      </c>
      <c r="AO1686" s="478">
        <v>-1570</v>
      </c>
      <c r="AP1686" s="463">
        <v>-680</v>
      </c>
      <c r="AQ1686" s="479">
        <v>-890</v>
      </c>
      <c r="AR1686" s="476" t="s">
        <v>17754</v>
      </c>
      <c r="BA1686" s="313" t="s">
        <v>6378</v>
      </c>
    </row>
    <row r="1687" spans="2:53" ht="16.5" customHeight="1">
      <c r="B1687" s="367" t="s">
        <v>6380</v>
      </c>
      <c r="C1687" s="351" t="s">
        <v>6381</v>
      </c>
      <c r="D1687" s="353">
        <v>-1570</v>
      </c>
      <c r="E1687" s="352" t="s">
        <v>408</v>
      </c>
      <c r="F1687" s="341">
        <v>72.59</v>
      </c>
      <c r="G1687" s="355" t="s">
        <v>12423</v>
      </c>
      <c r="H1687" s="356" t="s">
        <v>18999</v>
      </c>
      <c r="I1687" s="354" t="s">
        <v>423</v>
      </c>
      <c r="J1687" s="340" t="s">
        <v>12424</v>
      </c>
      <c r="K1687" s="339" t="s">
        <v>70</v>
      </c>
      <c r="L1687" s="357">
        <v>4</v>
      </c>
      <c r="M1687" s="358" t="s">
        <v>12425</v>
      </c>
      <c r="N1687" s="359">
        <v>1000</v>
      </c>
      <c r="O1687" s="360" t="s">
        <v>530</v>
      </c>
      <c r="P1687" s="343" t="s">
        <v>531</v>
      </c>
      <c r="Q1687" s="342" t="s">
        <v>2688</v>
      </c>
      <c r="R1687" s="344">
        <v>20</v>
      </c>
      <c r="S1687" s="345">
        <v>35</v>
      </c>
      <c r="T1687" s="362">
        <v>25</v>
      </c>
      <c r="U1687" s="361">
        <v>72.59</v>
      </c>
      <c r="V1687" s="346">
        <v>114.29041924687472</v>
      </c>
      <c r="W1687" s="348">
        <v>115.61087507086678</v>
      </c>
      <c r="X1687" s="347">
        <v>57.68</v>
      </c>
      <c r="Y1687" s="357">
        <v>57.62</v>
      </c>
      <c r="Z1687" s="365" t="s">
        <v>3017</v>
      </c>
      <c r="AA1687" s="350">
        <v>198</v>
      </c>
      <c r="AB1687" s="349" t="s">
        <v>2685</v>
      </c>
      <c r="AC1687" s="350">
        <v>10</v>
      </c>
      <c r="AD1687" s="349" t="s">
        <v>2685</v>
      </c>
      <c r="AE1687" s="364">
        <v>0</v>
      </c>
      <c r="AF1687" s="366">
        <v>13.272</v>
      </c>
      <c r="AG1687" s="363">
        <v>0</v>
      </c>
      <c r="AH1687" s="635" t="s">
        <v>11625</v>
      </c>
      <c r="AL1687" s="487" t="s">
        <v>16068</v>
      </c>
      <c r="AM1687" s="477" t="s">
        <v>70</v>
      </c>
      <c r="AN1687" s="637">
        <v>100</v>
      </c>
      <c r="AO1687" s="478">
        <v>-1570</v>
      </c>
      <c r="AP1687" s="463">
        <v>-1570</v>
      </c>
      <c r="AQ1687" s="479">
        <v>0</v>
      </c>
      <c r="AR1687" s="476" t="s">
        <v>17755</v>
      </c>
      <c r="BA1687" s="313" t="s">
        <v>6379</v>
      </c>
    </row>
    <row r="1688" spans="2:53" ht="16.5" customHeight="1">
      <c r="B1688" s="367" t="s">
        <v>12426</v>
      </c>
      <c r="C1688" s="351" t="s">
        <v>12427</v>
      </c>
      <c r="D1688" s="353">
        <v>-1570</v>
      </c>
      <c r="E1688" s="352" t="s">
        <v>408</v>
      </c>
      <c r="F1688" s="341">
        <v>72.569999999999993</v>
      </c>
      <c r="G1688" s="355" t="s">
        <v>6328</v>
      </c>
      <c r="H1688" s="356" t="s">
        <v>19000</v>
      </c>
      <c r="I1688" s="354" t="s">
        <v>423</v>
      </c>
      <c r="J1688" s="340" t="s">
        <v>12428</v>
      </c>
      <c r="K1688" s="339" t="s">
        <v>70</v>
      </c>
      <c r="L1688" s="357">
        <v>3</v>
      </c>
      <c r="M1688" s="358" t="s">
        <v>12429</v>
      </c>
      <c r="N1688" s="359">
        <v>1000</v>
      </c>
      <c r="O1688" s="360" t="s">
        <v>530</v>
      </c>
      <c r="P1688" s="343" t="s">
        <v>531</v>
      </c>
      <c r="Q1688" s="342" t="s">
        <v>2688</v>
      </c>
      <c r="R1688" s="344">
        <v>20</v>
      </c>
      <c r="S1688" s="345">
        <v>35</v>
      </c>
      <c r="T1688" s="362">
        <v>25</v>
      </c>
      <c r="U1688" s="361">
        <v>72.569999999999993</v>
      </c>
      <c r="V1688" s="346">
        <v>114.27684784488325</v>
      </c>
      <c r="W1688" s="348">
        <v>115.60343268912952</v>
      </c>
      <c r="X1688" s="347">
        <v>57.68</v>
      </c>
      <c r="Y1688" s="357">
        <v>57.61</v>
      </c>
      <c r="Z1688" s="365" t="s">
        <v>3017</v>
      </c>
      <c r="AA1688" s="350">
        <v>198</v>
      </c>
      <c r="AB1688" s="349" t="s">
        <v>2685</v>
      </c>
      <c r="AC1688" s="350">
        <v>10</v>
      </c>
      <c r="AD1688" s="349" t="s">
        <v>2685</v>
      </c>
      <c r="AE1688" s="364">
        <v>0</v>
      </c>
      <c r="AF1688" s="366">
        <v>13.27</v>
      </c>
      <c r="AG1688" s="363">
        <v>0</v>
      </c>
      <c r="AH1688" s="635" t="s">
        <v>11625</v>
      </c>
      <c r="AL1688" s="487" t="s">
        <v>16069</v>
      </c>
      <c r="AM1688" s="477" t="s">
        <v>70</v>
      </c>
      <c r="AN1688" s="637">
        <v>100</v>
      </c>
      <c r="AO1688" s="478">
        <v>-1570</v>
      </c>
      <c r="AP1688" s="463">
        <v>-1570</v>
      </c>
      <c r="AQ1688" s="479">
        <v>0</v>
      </c>
      <c r="AR1688" s="476" t="s">
        <v>17756</v>
      </c>
      <c r="BA1688" s="313" t="s">
        <v>6383</v>
      </c>
    </row>
    <row r="1689" spans="2:53" ht="16.5" customHeight="1">
      <c r="B1689" s="367" t="s">
        <v>18260</v>
      </c>
      <c r="C1689" s="351" t="s">
        <v>18261</v>
      </c>
      <c r="D1689" s="353">
        <v>-1570</v>
      </c>
      <c r="E1689" s="352" t="s">
        <v>408</v>
      </c>
      <c r="F1689" s="341">
        <v>72.48</v>
      </c>
      <c r="G1689" s="355" t="s">
        <v>19001</v>
      </c>
      <c r="H1689" s="356" t="s">
        <v>5913</v>
      </c>
      <c r="I1689" s="354" t="s">
        <v>214</v>
      </c>
      <c r="J1689" s="340" t="s">
        <v>12442</v>
      </c>
      <c r="K1689" s="339" t="s">
        <v>71</v>
      </c>
      <c r="L1689" s="357">
        <v>6</v>
      </c>
      <c r="M1689" s="358" t="s">
        <v>12443</v>
      </c>
      <c r="N1689" s="359">
        <v>200</v>
      </c>
      <c r="O1689" s="360" t="s">
        <v>532</v>
      </c>
      <c r="P1689" s="343" t="s">
        <v>532</v>
      </c>
      <c r="Q1689" s="342" t="s">
        <v>2688</v>
      </c>
      <c r="R1689" s="344">
        <v>30</v>
      </c>
      <c r="S1689" s="345">
        <v>20</v>
      </c>
      <c r="T1689" s="362">
        <v>30</v>
      </c>
      <c r="U1689" s="361">
        <v>72.48</v>
      </c>
      <c r="V1689" s="346">
        <v>114.22529295271536</v>
      </c>
      <c r="W1689" s="348">
        <v>115.57516065148907</v>
      </c>
      <c r="X1689" s="347" t="s">
        <v>19002</v>
      </c>
      <c r="Y1689" s="357" t="s">
        <v>408</v>
      </c>
      <c r="Z1689" s="365" t="s">
        <v>4408</v>
      </c>
      <c r="AA1689" s="350">
        <v>36</v>
      </c>
      <c r="AB1689" s="349" t="s">
        <v>2685</v>
      </c>
      <c r="AC1689" s="350">
        <v>0</v>
      </c>
      <c r="AD1689" s="349" t="s">
        <v>2685</v>
      </c>
      <c r="AE1689" s="364">
        <v>0</v>
      </c>
      <c r="AF1689" s="366">
        <v>0</v>
      </c>
      <c r="AG1689" s="363">
        <v>0</v>
      </c>
      <c r="AH1689" s="635" t="s">
        <v>408</v>
      </c>
      <c r="AL1689" s="487" t="s">
        <v>16070</v>
      </c>
      <c r="AM1689" s="477" t="s">
        <v>71</v>
      </c>
      <c r="AN1689" s="637">
        <v>100</v>
      </c>
      <c r="AO1689" s="478">
        <v>-1570</v>
      </c>
      <c r="AP1689" s="463">
        <v>-678</v>
      </c>
      <c r="AQ1689" s="479">
        <v>-892</v>
      </c>
      <c r="AR1689" s="476" t="s">
        <v>17757</v>
      </c>
      <c r="BA1689" s="313" t="s">
        <v>6384</v>
      </c>
    </row>
    <row r="1690" spans="2:53" ht="16.5" customHeight="1">
      <c r="B1690" s="367" t="s">
        <v>12414</v>
      </c>
      <c r="C1690" s="351" t="s">
        <v>12415</v>
      </c>
      <c r="D1690" s="353">
        <v>-1570</v>
      </c>
      <c r="E1690" s="352" t="s">
        <v>12434</v>
      </c>
      <c r="F1690" s="341">
        <v>72.48</v>
      </c>
      <c r="G1690" s="355" t="s">
        <v>12416</v>
      </c>
      <c r="H1690" s="356" t="s">
        <v>19003</v>
      </c>
      <c r="I1690" s="354" t="s">
        <v>214</v>
      </c>
      <c r="J1690" s="340" t="s">
        <v>12430</v>
      </c>
      <c r="K1690" s="339" t="s">
        <v>70</v>
      </c>
      <c r="L1690" s="357">
        <v>17</v>
      </c>
      <c r="M1690" s="358" t="s">
        <v>12431</v>
      </c>
      <c r="N1690" s="359">
        <v>200</v>
      </c>
      <c r="O1690" s="360" t="s">
        <v>532</v>
      </c>
      <c r="P1690" s="343" t="s">
        <v>532</v>
      </c>
      <c r="Q1690" s="342" t="s">
        <v>2688</v>
      </c>
      <c r="R1690" s="344">
        <v>20</v>
      </c>
      <c r="S1690" s="345">
        <v>30</v>
      </c>
      <c r="T1690" s="362">
        <v>30</v>
      </c>
      <c r="U1690" s="361">
        <v>72.48</v>
      </c>
      <c r="V1690" s="346">
        <v>114.22520549792235</v>
      </c>
      <c r="W1690" s="348">
        <v>115.57511269240902</v>
      </c>
      <c r="X1690" s="347" t="s">
        <v>19004</v>
      </c>
      <c r="Y1690" s="357" t="s">
        <v>408</v>
      </c>
      <c r="Z1690" s="365" t="s">
        <v>4408</v>
      </c>
      <c r="AA1690" s="350">
        <v>36</v>
      </c>
      <c r="AB1690" s="349" t="s">
        <v>2685</v>
      </c>
      <c r="AC1690" s="350">
        <v>0</v>
      </c>
      <c r="AD1690" s="349" t="s">
        <v>2685</v>
      </c>
      <c r="AE1690" s="364">
        <v>0</v>
      </c>
      <c r="AF1690" s="366">
        <v>0</v>
      </c>
      <c r="AG1690" s="363">
        <v>0</v>
      </c>
      <c r="AH1690" s="635" t="s">
        <v>408</v>
      </c>
      <c r="AL1690" s="487" t="s">
        <v>16073</v>
      </c>
      <c r="AM1690" s="477" t="s">
        <v>70</v>
      </c>
      <c r="AN1690" s="637">
        <v>100</v>
      </c>
      <c r="AO1690" s="478">
        <v>-1570</v>
      </c>
      <c r="AP1690" s="463">
        <v>-1570</v>
      </c>
      <c r="AQ1690" s="479">
        <v>0</v>
      </c>
      <c r="AR1690" s="476" t="s">
        <v>17758</v>
      </c>
      <c r="BA1690" s="313" t="s">
        <v>6386</v>
      </c>
    </row>
    <row r="1691" spans="2:53" ht="16.5" customHeight="1">
      <c r="B1691" s="367" t="s">
        <v>12448</v>
      </c>
      <c r="C1691" s="351" t="s">
        <v>12449</v>
      </c>
      <c r="D1691" s="353">
        <v>-1570</v>
      </c>
      <c r="E1691" s="352" t="s">
        <v>408</v>
      </c>
      <c r="F1691" s="341">
        <v>72.45</v>
      </c>
      <c r="G1691" s="355" t="s">
        <v>12450</v>
      </c>
      <c r="H1691" s="356" t="s">
        <v>19005</v>
      </c>
      <c r="I1691" s="354" t="s">
        <v>212</v>
      </c>
      <c r="J1691" s="340" t="s">
        <v>8214</v>
      </c>
      <c r="K1691" s="339" t="s">
        <v>71</v>
      </c>
      <c r="L1691" s="357">
        <v>7</v>
      </c>
      <c r="M1691" s="358" t="s">
        <v>12451</v>
      </c>
      <c r="N1691" s="359">
        <v>800</v>
      </c>
      <c r="O1691" s="360" t="s">
        <v>532</v>
      </c>
      <c r="P1691" s="343" t="s">
        <v>532</v>
      </c>
      <c r="Q1691" s="342" t="s">
        <v>2688</v>
      </c>
      <c r="R1691" s="344">
        <v>40</v>
      </c>
      <c r="S1691" s="345">
        <v>30</v>
      </c>
      <c r="T1691" s="362">
        <v>30</v>
      </c>
      <c r="U1691" s="361">
        <v>72.45</v>
      </c>
      <c r="V1691" s="346">
        <v>114.20372961813635</v>
      </c>
      <c r="W1691" s="348">
        <v>115.56333559704252</v>
      </c>
      <c r="X1691" s="347" t="s">
        <v>19006</v>
      </c>
      <c r="Y1691" s="357" t="s">
        <v>408</v>
      </c>
      <c r="Z1691" s="365" t="s">
        <v>3017</v>
      </c>
      <c r="AA1691" s="350">
        <v>190</v>
      </c>
      <c r="AB1691" s="349" t="s">
        <v>2685</v>
      </c>
      <c r="AC1691" s="350">
        <v>10</v>
      </c>
      <c r="AD1691" s="349" t="s">
        <v>2685</v>
      </c>
      <c r="AE1691" s="364">
        <v>0</v>
      </c>
      <c r="AF1691" s="366">
        <v>0</v>
      </c>
      <c r="AG1691" s="363">
        <v>0</v>
      </c>
      <c r="AH1691" s="635" t="s">
        <v>408</v>
      </c>
      <c r="AL1691" s="487" t="s">
        <v>16071</v>
      </c>
      <c r="AM1691" s="477" t="s">
        <v>71</v>
      </c>
      <c r="AN1691" s="637">
        <v>100</v>
      </c>
      <c r="AO1691" s="478">
        <v>-1570</v>
      </c>
      <c r="AP1691" s="463">
        <v>-678</v>
      </c>
      <c r="AQ1691" s="479">
        <v>-892</v>
      </c>
      <c r="AR1691" s="476" t="s">
        <v>17759</v>
      </c>
      <c r="BA1691" s="313" t="s">
        <v>6389</v>
      </c>
    </row>
    <row r="1692" spans="2:53" ht="16.5" customHeight="1">
      <c r="B1692" s="367" t="s">
        <v>12432</v>
      </c>
      <c r="C1692" s="351" t="s">
        <v>12433</v>
      </c>
      <c r="D1692" s="353">
        <v>-1570</v>
      </c>
      <c r="E1692" s="352" t="s">
        <v>12441</v>
      </c>
      <c r="F1692" s="341">
        <v>72.45</v>
      </c>
      <c r="G1692" s="355" t="s">
        <v>12450</v>
      </c>
      <c r="H1692" s="356" t="s">
        <v>19005</v>
      </c>
      <c r="I1692" s="354" t="s">
        <v>9336</v>
      </c>
      <c r="J1692" s="340" t="s">
        <v>12436</v>
      </c>
      <c r="K1692" s="339" t="s">
        <v>71</v>
      </c>
      <c r="L1692" s="357">
        <v>11</v>
      </c>
      <c r="M1692" s="358" t="s">
        <v>12437</v>
      </c>
      <c r="N1692" s="359">
        <v>700</v>
      </c>
      <c r="O1692" s="360" t="s">
        <v>532</v>
      </c>
      <c r="P1692" s="343" t="s">
        <v>533</v>
      </c>
      <c r="Q1692" s="342" t="s">
        <v>2688</v>
      </c>
      <c r="R1692" s="344">
        <v>30</v>
      </c>
      <c r="S1692" s="345">
        <v>30</v>
      </c>
      <c r="T1692" s="362">
        <v>20</v>
      </c>
      <c r="U1692" s="361">
        <v>72.45</v>
      </c>
      <c r="V1692" s="346">
        <v>114.20661726663171</v>
      </c>
      <c r="W1692" s="348">
        <v>115.56491914621739</v>
      </c>
      <c r="X1692" s="347">
        <v>57.51</v>
      </c>
      <c r="Y1692" s="357">
        <v>58.96</v>
      </c>
      <c r="Z1692" s="365" t="s">
        <v>3017</v>
      </c>
      <c r="AA1692" s="350">
        <v>138</v>
      </c>
      <c r="AB1692" s="349" t="s">
        <v>2685</v>
      </c>
      <c r="AC1692" s="350">
        <v>10</v>
      </c>
      <c r="AD1692" s="349" t="s">
        <v>2685</v>
      </c>
      <c r="AE1692" s="364">
        <v>0</v>
      </c>
      <c r="AF1692" s="366">
        <v>0</v>
      </c>
      <c r="AG1692" s="363">
        <v>0</v>
      </c>
      <c r="AH1692" s="635" t="s">
        <v>408</v>
      </c>
      <c r="AL1692" s="487" t="s">
        <v>16072</v>
      </c>
      <c r="AM1692" s="477" t="s">
        <v>71</v>
      </c>
      <c r="AN1692" s="637">
        <v>100</v>
      </c>
      <c r="AO1692" s="478">
        <v>-1570</v>
      </c>
      <c r="AP1692" s="463">
        <v>-678</v>
      </c>
      <c r="AQ1692" s="479">
        <v>-892</v>
      </c>
      <c r="AR1692" s="476" t="s">
        <v>17759</v>
      </c>
      <c r="BA1692" s="313" t="s">
        <v>6392</v>
      </c>
    </row>
    <row r="1693" spans="2:53" ht="16.5" customHeight="1">
      <c r="B1693" s="367" t="s">
        <v>6393</v>
      </c>
      <c r="C1693" s="351" t="s">
        <v>6394</v>
      </c>
      <c r="D1693" s="353">
        <v>-1570</v>
      </c>
      <c r="E1693" s="352" t="s">
        <v>408</v>
      </c>
      <c r="F1693" s="341">
        <v>72.44</v>
      </c>
      <c r="G1693" s="355" t="s">
        <v>12438</v>
      </c>
      <c r="H1693" s="356" t="s">
        <v>18922</v>
      </c>
      <c r="I1693" s="354" t="s">
        <v>212</v>
      </c>
      <c r="J1693" s="340" t="s">
        <v>12439</v>
      </c>
      <c r="K1693" s="339" t="s">
        <v>70</v>
      </c>
      <c r="L1693" s="357">
        <v>7</v>
      </c>
      <c r="M1693" s="358" t="s">
        <v>12440</v>
      </c>
      <c r="N1693" s="359">
        <v>800</v>
      </c>
      <c r="O1693" s="360" t="s">
        <v>532</v>
      </c>
      <c r="P1693" s="343" t="s">
        <v>532</v>
      </c>
      <c r="Q1693" s="342" t="s">
        <v>2688</v>
      </c>
      <c r="R1693" s="344">
        <v>30</v>
      </c>
      <c r="S1693" s="345">
        <v>40</v>
      </c>
      <c r="T1693" s="362">
        <v>30</v>
      </c>
      <c r="U1693" s="361">
        <v>72.44</v>
      </c>
      <c r="V1693" s="346">
        <v>114.20055226094712</v>
      </c>
      <c r="W1693" s="348">
        <v>115.5615931753581</v>
      </c>
      <c r="X1693" s="347" t="s">
        <v>19007</v>
      </c>
      <c r="Y1693" s="357" t="s">
        <v>408</v>
      </c>
      <c r="Z1693" s="365" t="s">
        <v>3017</v>
      </c>
      <c r="AA1693" s="350">
        <v>190</v>
      </c>
      <c r="AB1693" s="349" t="s">
        <v>2685</v>
      </c>
      <c r="AC1693" s="350">
        <v>10</v>
      </c>
      <c r="AD1693" s="349" t="s">
        <v>2685</v>
      </c>
      <c r="AE1693" s="364">
        <v>0</v>
      </c>
      <c r="AF1693" s="366">
        <v>0</v>
      </c>
      <c r="AG1693" s="363">
        <v>0</v>
      </c>
      <c r="AH1693" s="635" t="s">
        <v>408</v>
      </c>
      <c r="AL1693" s="487" t="s">
        <v>16075</v>
      </c>
      <c r="AM1693" s="477" t="s">
        <v>70</v>
      </c>
      <c r="AN1693" s="637">
        <v>100</v>
      </c>
      <c r="AO1693" s="478">
        <v>-1570</v>
      </c>
      <c r="AP1693" s="463">
        <v>-1570</v>
      </c>
      <c r="AQ1693" s="479">
        <v>0</v>
      </c>
      <c r="AR1693" s="476" t="s">
        <v>17760</v>
      </c>
      <c r="BA1693" s="313" t="s">
        <v>6396</v>
      </c>
    </row>
    <row r="1694" spans="2:53" ht="16.5" customHeight="1">
      <c r="B1694" s="367" t="s">
        <v>12444</v>
      </c>
      <c r="C1694" s="351" t="s">
        <v>12445</v>
      </c>
      <c r="D1694" s="353">
        <v>-1570</v>
      </c>
      <c r="E1694" s="352" t="s">
        <v>12450</v>
      </c>
      <c r="F1694" s="341">
        <v>72.42</v>
      </c>
      <c r="G1694" s="355" t="s">
        <v>12446</v>
      </c>
      <c r="H1694" s="356" t="s">
        <v>19008</v>
      </c>
      <c r="I1694" s="354" t="s">
        <v>216</v>
      </c>
      <c r="J1694" s="340" t="s">
        <v>551</v>
      </c>
      <c r="K1694" s="339" t="s">
        <v>70</v>
      </c>
      <c r="L1694" s="357">
        <v>10</v>
      </c>
      <c r="M1694" s="358" t="s">
        <v>12447</v>
      </c>
      <c r="N1694" s="359">
        <v>300</v>
      </c>
      <c r="O1694" s="360" t="s">
        <v>530</v>
      </c>
      <c r="P1694" s="343" t="s">
        <v>530</v>
      </c>
      <c r="Q1694" s="342" t="s">
        <v>2688</v>
      </c>
      <c r="R1694" s="344">
        <v>25</v>
      </c>
      <c r="S1694" s="345">
        <v>45</v>
      </c>
      <c r="T1694" s="362">
        <v>30</v>
      </c>
      <c r="U1694" s="361">
        <v>72.42</v>
      </c>
      <c r="V1694" s="346">
        <v>114.18886168224383</v>
      </c>
      <c r="W1694" s="348">
        <v>115.55518221284339</v>
      </c>
      <c r="X1694" s="347">
        <v>57.64</v>
      </c>
      <c r="Y1694" s="357" t="s">
        <v>408</v>
      </c>
      <c r="Z1694" s="365" t="s">
        <v>3017</v>
      </c>
      <c r="AA1694" s="350">
        <v>-2</v>
      </c>
      <c r="AB1694" s="349" t="s">
        <v>2685</v>
      </c>
      <c r="AC1694" s="350">
        <v>0</v>
      </c>
      <c r="AD1694" s="349" t="s">
        <v>2685</v>
      </c>
      <c r="AE1694" s="364">
        <v>0</v>
      </c>
      <c r="AF1694" s="366">
        <v>0</v>
      </c>
      <c r="AG1694" s="363">
        <v>0</v>
      </c>
      <c r="AH1694" s="635" t="s">
        <v>408</v>
      </c>
      <c r="AL1694" s="487" t="s">
        <v>16074</v>
      </c>
      <c r="AM1694" s="477" t="s">
        <v>70</v>
      </c>
      <c r="AN1694" s="637">
        <v>100</v>
      </c>
      <c r="AO1694" s="478">
        <v>-1570</v>
      </c>
      <c r="AP1694" s="463">
        <v>-1570</v>
      </c>
      <c r="AQ1694" s="479">
        <v>0</v>
      </c>
      <c r="AR1694" s="476" t="s">
        <v>17761</v>
      </c>
      <c r="BA1694" s="313" t="s">
        <v>6397</v>
      </c>
    </row>
    <row r="1695" spans="2:53" ht="16.5" customHeight="1">
      <c r="B1695" s="367" t="s">
        <v>6399</v>
      </c>
      <c r="C1695" s="351" t="s">
        <v>6400</v>
      </c>
      <c r="D1695" s="353">
        <v>-1570</v>
      </c>
      <c r="E1695" s="352" t="s">
        <v>12452</v>
      </c>
      <c r="F1695" s="341">
        <v>72.38</v>
      </c>
      <c r="G1695" s="355" t="s">
        <v>19009</v>
      </c>
      <c r="H1695" s="356" t="s">
        <v>19010</v>
      </c>
      <c r="I1695" s="354" t="s">
        <v>197</v>
      </c>
      <c r="J1695" s="340" t="s">
        <v>12454</v>
      </c>
      <c r="K1695" s="339" t="s">
        <v>71</v>
      </c>
      <c r="L1695" s="357">
        <v>9</v>
      </c>
      <c r="M1695" s="358" t="s">
        <v>12455</v>
      </c>
      <c r="N1695" s="359">
        <v>500</v>
      </c>
      <c r="O1695" s="360" t="s">
        <v>454</v>
      </c>
      <c r="P1695" s="343" t="s">
        <v>454</v>
      </c>
      <c r="Q1695" s="342" t="s">
        <v>2688</v>
      </c>
      <c r="R1695" s="344">
        <v>30</v>
      </c>
      <c r="S1695" s="345">
        <v>20</v>
      </c>
      <c r="T1695" s="362">
        <v>20</v>
      </c>
      <c r="U1695" s="361">
        <v>72.38</v>
      </c>
      <c r="V1695" s="346">
        <v>114.16680096696213</v>
      </c>
      <c r="W1695" s="348">
        <v>115.54308440123729</v>
      </c>
      <c r="X1695" s="347">
        <v>57.49</v>
      </c>
      <c r="Y1695" s="357" t="s">
        <v>408</v>
      </c>
      <c r="Z1695" s="365" t="s">
        <v>4408</v>
      </c>
      <c r="AA1695" s="350">
        <v>141</v>
      </c>
      <c r="AB1695" s="349" t="s">
        <v>2685</v>
      </c>
      <c r="AC1695" s="350">
        <v>1.5</v>
      </c>
      <c r="AD1695" s="349" t="s">
        <v>2685</v>
      </c>
      <c r="AE1695" s="364">
        <v>0</v>
      </c>
      <c r="AF1695" s="366">
        <v>10.856999999999999</v>
      </c>
      <c r="AG1695" s="363">
        <v>0</v>
      </c>
      <c r="AH1695" s="635" t="s">
        <v>6360</v>
      </c>
      <c r="AL1695" s="487" t="s">
        <v>16076</v>
      </c>
      <c r="AM1695" s="477" t="s">
        <v>71</v>
      </c>
      <c r="AN1695" s="637">
        <v>100</v>
      </c>
      <c r="AO1695" s="478">
        <v>-1570</v>
      </c>
      <c r="AP1695" s="463">
        <v>-678</v>
      </c>
      <c r="AQ1695" s="479">
        <v>-892</v>
      </c>
      <c r="AR1695" s="476" t="s">
        <v>17762</v>
      </c>
      <c r="BA1695" s="313" t="s">
        <v>6398</v>
      </c>
    </row>
    <row r="1696" spans="2:53" ht="16.5" customHeight="1">
      <c r="B1696" s="367" t="s">
        <v>18262</v>
      </c>
      <c r="C1696" s="351" t="s">
        <v>18263</v>
      </c>
      <c r="D1696" s="353">
        <v>-1570</v>
      </c>
      <c r="E1696" s="352" t="s">
        <v>12456</v>
      </c>
      <c r="F1696" s="341">
        <v>72.36</v>
      </c>
      <c r="G1696" s="355" t="s">
        <v>6243</v>
      </c>
      <c r="H1696" s="356" t="s">
        <v>19011</v>
      </c>
      <c r="I1696" s="354" t="s">
        <v>212</v>
      </c>
      <c r="J1696" s="340" t="s">
        <v>8217</v>
      </c>
      <c r="K1696" s="339" t="s">
        <v>71</v>
      </c>
      <c r="L1696" s="357">
        <v>5</v>
      </c>
      <c r="M1696" s="358" t="s">
        <v>12459</v>
      </c>
      <c r="N1696" s="359">
        <v>800</v>
      </c>
      <c r="O1696" s="360" t="s">
        <v>532</v>
      </c>
      <c r="P1696" s="343" t="s">
        <v>532</v>
      </c>
      <c r="Q1696" s="342" t="s">
        <v>2688</v>
      </c>
      <c r="R1696" s="344">
        <v>40</v>
      </c>
      <c r="S1696" s="345">
        <v>30</v>
      </c>
      <c r="T1696" s="362">
        <v>30</v>
      </c>
      <c r="U1696" s="361">
        <v>72.36</v>
      </c>
      <c r="V1696" s="346">
        <v>114.1545508077989</v>
      </c>
      <c r="W1696" s="348">
        <v>115.53636657201875</v>
      </c>
      <c r="X1696" s="347" t="s">
        <v>19006</v>
      </c>
      <c r="Y1696" s="357" t="s">
        <v>408</v>
      </c>
      <c r="Z1696" s="365" t="s">
        <v>3017</v>
      </c>
      <c r="AA1696" s="350">
        <v>190</v>
      </c>
      <c r="AB1696" s="349" t="s">
        <v>2685</v>
      </c>
      <c r="AC1696" s="350">
        <v>10</v>
      </c>
      <c r="AD1696" s="349" t="s">
        <v>2685</v>
      </c>
      <c r="AE1696" s="364">
        <v>0</v>
      </c>
      <c r="AF1696" s="366">
        <v>0</v>
      </c>
      <c r="AG1696" s="363">
        <v>0</v>
      </c>
      <c r="AH1696" s="635" t="s">
        <v>408</v>
      </c>
      <c r="AL1696" s="487" t="s">
        <v>16077</v>
      </c>
      <c r="AM1696" s="477" t="s">
        <v>71</v>
      </c>
      <c r="AN1696" s="637">
        <v>100</v>
      </c>
      <c r="AO1696" s="478">
        <v>-1570</v>
      </c>
      <c r="AP1696" s="463">
        <v>-678</v>
      </c>
      <c r="AQ1696" s="479">
        <v>-892</v>
      </c>
      <c r="AR1696" s="476" t="s">
        <v>17763</v>
      </c>
      <c r="BA1696" s="313" t="s">
        <v>6402</v>
      </c>
    </row>
    <row r="1697" spans="2:53" ht="16.5" customHeight="1">
      <c r="B1697" s="367" t="s">
        <v>6406</v>
      </c>
      <c r="C1697" s="351" t="s">
        <v>6407</v>
      </c>
      <c r="D1697" s="353">
        <v>-1570</v>
      </c>
      <c r="E1697" s="352" t="s">
        <v>12458</v>
      </c>
      <c r="F1697" s="341">
        <v>72.36</v>
      </c>
      <c r="G1697" s="355" t="s">
        <v>19012</v>
      </c>
      <c r="H1697" s="356" t="s">
        <v>11997</v>
      </c>
      <c r="I1697" s="354" t="s">
        <v>197</v>
      </c>
      <c r="J1697" s="340" t="s">
        <v>11323</v>
      </c>
      <c r="K1697" s="339" t="s">
        <v>70</v>
      </c>
      <c r="L1697" s="357">
        <v>4</v>
      </c>
      <c r="M1697" s="358" t="s">
        <v>12457</v>
      </c>
      <c r="N1697" s="359">
        <v>500</v>
      </c>
      <c r="O1697" s="360" t="s">
        <v>454</v>
      </c>
      <c r="P1697" s="343" t="s">
        <v>454</v>
      </c>
      <c r="Q1697" s="342" t="s">
        <v>2688</v>
      </c>
      <c r="R1697" s="344">
        <v>30</v>
      </c>
      <c r="S1697" s="345">
        <v>20</v>
      </c>
      <c r="T1697" s="362">
        <v>20</v>
      </c>
      <c r="U1697" s="361">
        <v>72.36</v>
      </c>
      <c r="V1697" s="346">
        <v>114.15068493150685</v>
      </c>
      <c r="W1697" s="348">
        <v>115.53424657534246</v>
      </c>
      <c r="X1697" s="347">
        <v>57.48</v>
      </c>
      <c r="Y1697" s="357" t="s">
        <v>408</v>
      </c>
      <c r="Z1697" s="365" t="s">
        <v>4408</v>
      </c>
      <c r="AA1697" s="350">
        <v>141</v>
      </c>
      <c r="AB1697" s="349" t="s">
        <v>2685</v>
      </c>
      <c r="AC1697" s="350">
        <v>1.5</v>
      </c>
      <c r="AD1697" s="349" t="s">
        <v>2685</v>
      </c>
      <c r="AE1697" s="364">
        <v>0</v>
      </c>
      <c r="AF1697" s="366">
        <v>10.853999999999999</v>
      </c>
      <c r="AG1697" s="363">
        <v>0</v>
      </c>
      <c r="AH1697" s="635" t="s">
        <v>6360</v>
      </c>
      <c r="AL1697" s="487" t="s">
        <v>16078</v>
      </c>
      <c r="AM1697" s="477" t="s">
        <v>70</v>
      </c>
      <c r="AN1697" s="637">
        <v>100</v>
      </c>
      <c r="AO1697" s="478">
        <v>-1570</v>
      </c>
      <c r="AP1697" s="463">
        <v>-1570</v>
      </c>
      <c r="AQ1697" s="479">
        <v>0</v>
      </c>
      <c r="AR1697" s="476" t="s">
        <v>17764</v>
      </c>
      <c r="BA1697" s="313" t="s">
        <v>6403</v>
      </c>
    </row>
    <row r="1698" spans="2:53" ht="16.5" customHeight="1">
      <c r="B1698" s="367" t="s">
        <v>6432</v>
      </c>
      <c r="C1698" s="351" t="s">
        <v>6433</v>
      </c>
      <c r="D1698" s="353">
        <v>-1570</v>
      </c>
      <c r="E1698" s="352" t="s">
        <v>12460</v>
      </c>
      <c r="F1698" s="341">
        <v>72.33</v>
      </c>
      <c r="G1698" s="355" t="s">
        <v>12481</v>
      </c>
      <c r="H1698" s="356" t="s">
        <v>11997</v>
      </c>
      <c r="I1698" s="354" t="s">
        <v>216</v>
      </c>
      <c r="J1698" s="340" t="s">
        <v>8753</v>
      </c>
      <c r="K1698" s="339" t="s">
        <v>71</v>
      </c>
      <c r="L1698" s="357">
        <v>6</v>
      </c>
      <c r="M1698" s="358" t="s">
        <v>12461</v>
      </c>
      <c r="N1698" s="359">
        <v>300</v>
      </c>
      <c r="O1698" s="360" t="s">
        <v>530</v>
      </c>
      <c r="P1698" s="343" t="s">
        <v>530</v>
      </c>
      <c r="Q1698" s="342" t="s">
        <v>2688</v>
      </c>
      <c r="R1698" s="344">
        <v>45</v>
      </c>
      <c r="S1698" s="345">
        <v>25</v>
      </c>
      <c r="T1698" s="362">
        <v>30</v>
      </c>
      <c r="U1698" s="361">
        <v>72.33</v>
      </c>
      <c r="V1698" s="346">
        <v>114.13816743226805</v>
      </c>
      <c r="W1698" s="348">
        <v>115.52738214027603</v>
      </c>
      <c r="X1698" s="347">
        <v>57.47</v>
      </c>
      <c r="Y1698" s="357" t="s">
        <v>408</v>
      </c>
      <c r="Z1698" s="365" t="s">
        <v>3017</v>
      </c>
      <c r="AA1698" s="350">
        <v>-2</v>
      </c>
      <c r="AB1698" s="349" t="s">
        <v>2685</v>
      </c>
      <c r="AC1698" s="350">
        <v>0</v>
      </c>
      <c r="AD1698" s="349" t="s">
        <v>2685</v>
      </c>
      <c r="AE1698" s="364">
        <v>0</v>
      </c>
      <c r="AF1698" s="366">
        <v>0</v>
      </c>
      <c r="AG1698" s="363">
        <v>0</v>
      </c>
      <c r="AH1698" s="635" t="s">
        <v>408</v>
      </c>
      <c r="AL1698" s="487" t="s">
        <v>16079</v>
      </c>
      <c r="AM1698" s="477" t="s">
        <v>71</v>
      </c>
      <c r="AN1698" s="637">
        <v>100</v>
      </c>
      <c r="AO1698" s="478">
        <v>-1570</v>
      </c>
      <c r="AP1698" s="463">
        <v>-677</v>
      </c>
      <c r="AQ1698" s="479">
        <v>-893</v>
      </c>
      <c r="AR1698" s="476" t="s">
        <v>17765</v>
      </c>
      <c r="BA1698" s="313" t="s">
        <v>6405</v>
      </c>
    </row>
    <row r="1699" spans="2:53" ht="16.5" customHeight="1">
      <c r="B1699" s="367" t="s">
        <v>18264</v>
      </c>
      <c r="C1699" s="351" t="s">
        <v>18265</v>
      </c>
      <c r="D1699" s="353">
        <v>-1570</v>
      </c>
      <c r="E1699" s="352" t="s">
        <v>408</v>
      </c>
      <c r="F1699" s="341">
        <v>72.3</v>
      </c>
      <c r="G1699" s="355" t="s">
        <v>19013</v>
      </c>
      <c r="H1699" s="356" t="s">
        <v>6013</v>
      </c>
      <c r="I1699" s="354" t="s">
        <v>212</v>
      </c>
      <c r="J1699" s="340" t="s">
        <v>8216</v>
      </c>
      <c r="K1699" s="339" t="s">
        <v>71</v>
      </c>
      <c r="L1699" s="357">
        <v>12</v>
      </c>
      <c r="M1699" s="358" t="s">
        <v>12467</v>
      </c>
      <c r="N1699" s="359">
        <v>800</v>
      </c>
      <c r="O1699" s="360" t="s">
        <v>532</v>
      </c>
      <c r="P1699" s="343" t="s">
        <v>532</v>
      </c>
      <c r="Q1699" s="342" t="s">
        <v>2688</v>
      </c>
      <c r="R1699" s="344">
        <v>40</v>
      </c>
      <c r="S1699" s="345">
        <v>30</v>
      </c>
      <c r="T1699" s="362">
        <v>30</v>
      </c>
      <c r="U1699" s="361">
        <v>72.3</v>
      </c>
      <c r="V1699" s="346">
        <v>114.11909631662537</v>
      </c>
      <c r="W1699" s="348">
        <v>115.51692378653649</v>
      </c>
      <c r="X1699" s="347" t="s">
        <v>19014</v>
      </c>
      <c r="Y1699" s="357" t="s">
        <v>408</v>
      </c>
      <c r="Z1699" s="365" t="s">
        <v>3017</v>
      </c>
      <c r="AA1699" s="350">
        <v>190</v>
      </c>
      <c r="AB1699" s="349" t="s">
        <v>2685</v>
      </c>
      <c r="AC1699" s="350">
        <v>10</v>
      </c>
      <c r="AD1699" s="349" t="s">
        <v>2685</v>
      </c>
      <c r="AE1699" s="364">
        <v>0</v>
      </c>
      <c r="AF1699" s="366">
        <v>0</v>
      </c>
      <c r="AG1699" s="363">
        <v>0</v>
      </c>
      <c r="AH1699" s="635" t="s">
        <v>408</v>
      </c>
      <c r="AL1699" s="487" t="s">
        <v>16080</v>
      </c>
      <c r="AM1699" s="477" t="s">
        <v>71</v>
      </c>
      <c r="AN1699" s="637">
        <v>100</v>
      </c>
      <c r="AO1699" s="478">
        <v>-1570</v>
      </c>
      <c r="AP1699" s="463">
        <v>-677</v>
      </c>
      <c r="AQ1699" s="479">
        <v>-893</v>
      </c>
      <c r="AR1699" s="476" t="s">
        <v>17766</v>
      </c>
      <c r="BA1699" s="313" t="s">
        <v>6409</v>
      </c>
    </row>
    <row r="1700" spans="2:53" ht="16.5" customHeight="1">
      <c r="B1700" s="367" t="s">
        <v>6415</v>
      </c>
      <c r="C1700" s="351" t="s">
        <v>6416</v>
      </c>
      <c r="D1700" s="353">
        <v>-1570</v>
      </c>
      <c r="E1700" s="352" t="s">
        <v>408</v>
      </c>
      <c r="F1700" s="341">
        <v>72.28</v>
      </c>
      <c r="G1700" s="355" t="s">
        <v>12441</v>
      </c>
      <c r="H1700" s="356" t="s">
        <v>5946</v>
      </c>
      <c r="I1700" s="354" t="s">
        <v>446</v>
      </c>
      <c r="J1700" s="340" t="s">
        <v>551</v>
      </c>
      <c r="K1700" s="339" t="s">
        <v>70</v>
      </c>
      <c r="L1700" s="357">
        <v>9</v>
      </c>
      <c r="M1700" s="358" t="s">
        <v>12462</v>
      </c>
      <c r="N1700" s="359">
        <v>1000</v>
      </c>
      <c r="O1700" s="360" t="s">
        <v>454</v>
      </c>
      <c r="P1700" s="343" t="s">
        <v>454</v>
      </c>
      <c r="Q1700" s="342" t="s">
        <v>2688</v>
      </c>
      <c r="R1700" s="344">
        <v>25</v>
      </c>
      <c r="S1700" s="345">
        <v>35</v>
      </c>
      <c r="T1700" s="362">
        <v>30</v>
      </c>
      <c r="U1700" s="361">
        <v>72.28</v>
      </c>
      <c r="V1700" s="346">
        <v>114.10457516339869</v>
      </c>
      <c r="W1700" s="348">
        <v>115.5089605734767</v>
      </c>
      <c r="X1700" s="347">
        <v>57.61</v>
      </c>
      <c r="Y1700" s="357" t="s">
        <v>408</v>
      </c>
      <c r="Z1700" s="365" t="s">
        <v>3017</v>
      </c>
      <c r="AA1700" s="350">
        <v>98</v>
      </c>
      <c r="AB1700" s="349" t="s">
        <v>2685</v>
      </c>
      <c r="AC1700" s="350">
        <v>0</v>
      </c>
      <c r="AD1700" s="349" t="s">
        <v>2685</v>
      </c>
      <c r="AE1700" s="364">
        <v>0</v>
      </c>
      <c r="AF1700" s="366">
        <v>0</v>
      </c>
      <c r="AG1700" s="363">
        <v>0</v>
      </c>
      <c r="AH1700" s="635" t="s">
        <v>408</v>
      </c>
      <c r="AL1700" s="487" t="s">
        <v>16081</v>
      </c>
      <c r="AM1700" s="477" t="s">
        <v>70</v>
      </c>
      <c r="AN1700" s="637">
        <v>100</v>
      </c>
      <c r="AO1700" s="478">
        <v>-1570</v>
      </c>
      <c r="AP1700" s="463">
        <v>-1570</v>
      </c>
      <c r="AQ1700" s="479">
        <v>0</v>
      </c>
      <c r="AR1700" s="476" t="s">
        <v>17767</v>
      </c>
      <c r="BA1700" s="313" t="s">
        <v>6410</v>
      </c>
    </row>
    <row r="1701" spans="2:53" ht="16.5" customHeight="1">
      <c r="B1701" s="367" t="s">
        <v>6447</v>
      </c>
      <c r="C1701" s="351" t="s">
        <v>6448</v>
      </c>
      <c r="D1701" s="353">
        <v>-1570</v>
      </c>
      <c r="E1701" s="352" t="s">
        <v>12466</v>
      </c>
      <c r="F1701" s="341">
        <v>72.27</v>
      </c>
      <c r="G1701" s="355" t="s">
        <v>19015</v>
      </c>
      <c r="H1701" s="356" t="s">
        <v>19016</v>
      </c>
      <c r="I1701" s="354" t="s">
        <v>216</v>
      </c>
      <c r="J1701" s="340" t="s">
        <v>9511</v>
      </c>
      <c r="K1701" s="339" t="s">
        <v>71</v>
      </c>
      <c r="L1701" s="357">
        <v>3</v>
      </c>
      <c r="M1701" s="358" t="s">
        <v>6385</v>
      </c>
      <c r="N1701" s="359">
        <v>300</v>
      </c>
      <c r="O1701" s="360" t="s">
        <v>530</v>
      </c>
      <c r="P1701" s="343" t="s">
        <v>530</v>
      </c>
      <c r="Q1701" s="342" t="s">
        <v>2688</v>
      </c>
      <c r="R1701" s="344">
        <v>45</v>
      </c>
      <c r="S1701" s="345">
        <v>25</v>
      </c>
      <c r="T1701" s="362">
        <v>30</v>
      </c>
      <c r="U1701" s="361">
        <v>72.27</v>
      </c>
      <c r="V1701" s="346">
        <v>114.10276704768151</v>
      </c>
      <c r="W1701" s="348">
        <v>115.50796902614793</v>
      </c>
      <c r="X1701" s="347">
        <v>57.45</v>
      </c>
      <c r="Y1701" s="357" t="s">
        <v>408</v>
      </c>
      <c r="Z1701" s="365" t="s">
        <v>3017</v>
      </c>
      <c r="AA1701" s="350">
        <v>-2</v>
      </c>
      <c r="AB1701" s="349" t="s">
        <v>2685</v>
      </c>
      <c r="AC1701" s="350">
        <v>0</v>
      </c>
      <c r="AD1701" s="349" t="s">
        <v>2685</v>
      </c>
      <c r="AE1701" s="364">
        <v>0</v>
      </c>
      <c r="AF1701" s="366">
        <v>0</v>
      </c>
      <c r="AG1701" s="363">
        <v>0</v>
      </c>
      <c r="AH1701" s="635" t="s">
        <v>408</v>
      </c>
      <c r="AL1701" s="487" t="s">
        <v>16082</v>
      </c>
      <c r="AM1701" s="477" t="s">
        <v>71</v>
      </c>
      <c r="AN1701" s="637">
        <v>100</v>
      </c>
      <c r="AO1701" s="478">
        <v>-1570</v>
      </c>
      <c r="AP1701" s="463">
        <v>-677</v>
      </c>
      <c r="AQ1701" s="479">
        <v>-893</v>
      </c>
      <c r="AR1701" s="476" t="s">
        <v>17768</v>
      </c>
      <c r="BA1701" s="313" t="s">
        <v>6411</v>
      </c>
    </row>
    <row r="1702" spans="2:53" ht="16.5" customHeight="1">
      <c r="B1702" s="367" t="s">
        <v>12463</v>
      </c>
      <c r="C1702" s="351" t="s">
        <v>12464</v>
      </c>
      <c r="D1702" s="353">
        <v>-1570</v>
      </c>
      <c r="E1702" s="352" t="s">
        <v>408</v>
      </c>
      <c r="F1702" s="341">
        <v>72.260000000000005</v>
      </c>
      <c r="G1702" s="355" t="s">
        <v>12465</v>
      </c>
      <c r="H1702" s="356" t="s">
        <v>19017</v>
      </c>
      <c r="I1702" s="354" t="s">
        <v>214</v>
      </c>
      <c r="J1702" s="340" t="s">
        <v>8197</v>
      </c>
      <c r="K1702" s="339" t="s">
        <v>70</v>
      </c>
      <c r="L1702" s="357">
        <v>5</v>
      </c>
      <c r="M1702" s="358" t="s">
        <v>12323</v>
      </c>
      <c r="N1702" s="359">
        <v>200</v>
      </c>
      <c r="O1702" s="360" t="s">
        <v>532</v>
      </c>
      <c r="P1702" s="343" t="s">
        <v>532</v>
      </c>
      <c r="Q1702" s="342" t="s">
        <v>2688</v>
      </c>
      <c r="R1702" s="344">
        <v>20</v>
      </c>
      <c r="S1702" s="345">
        <v>30</v>
      </c>
      <c r="T1702" s="362">
        <v>30</v>
      </c>
      <c r="U1702" s="361">
        <v>72.260000000000005</v>
      </c>
      <c r="V1702" s="346">
        <v>114.09627310547089</v>
      </c>
      <c r="W1702" s="348">
        <v>115.50440783203243</v>
      </c>
      <c r="X1702" s="347" t="s">
        <v>19018</v>
      </c>
      <c r="Y1702" s="357" t="s">
        <v>408</v>
      </c>
      <c r="Z1702" s="365" t="s">
        <v>4408</v>
      </c>
      <c r="AA1702" s="350">
        <v>36</v>
      </c>
      <c r="AB1702" s="349" t="s">
        <v>2685</v>
      </c>
      <c r="AC1702" s="350">
        <v>0</v>
      </c>
      <c r="AD1702" s="349" t="s">
        <v>2685</v>
      </c>
      <c r="AE1702" s="364">
        <v>0</v>
      </c>
      <c r="AF1702" s="366">
        <v>0</v>
      </c>
      <c r="AG1702" s="363">
        <v>0</v>
      </c>
      <c r="AH1702" s="635" t="s">
        <v>408</v>
      </c>
      <c r="AL1702" s="487" t="s">
        <v>16085</v>
      </c>
      <c r="AM1702" s="477" t="s">
        <v>70</v>
      </c>
      <c r="AN1702" s="637">
        <v>100</v>
      </c>
      <c r="AO1702" s="478">
        <v>-1570</v>
      </c>
      <c r="AP1702" s="463">
        <v>-1570</v>
      </c>
      <c r="AQ1702" s="479">
        <v>0</v>
      </c>
      <c r="AR1702" s="476" t="s">
        <v>17769</v>
      </c>
      <c r="BA1702" s="313" t="s">
        <v>6413</v>
      </c>
    </row>
    <row r="1703" spans="2:53" ht="16.5" customHeight="1">
      <c r="B1703" s="367" t="s">
        <v>12448</v>
      </c>
      <c r="C1703" s="351" t="s">
        <v>12449</v>
      </c>
      <c r="D1703" s="353">
        <v>-1570</v>
      </c>
      <c r="E1703" s="352" t="s">
        <v>408</v>
      </c>
      <c r="F1703" s="341">
        <v>72.239999999999995</v>
      </c>
      <c r="G1703" s="355" t="s">
        <v>12450</v>
      </c>
      <c r="H1703" s="356" t="s">
        <v>5757</v>
      </c>
      <c r="I1703" s="354" t="s">
        <v>214</v>
      </c>
      <c r="J1703" s="340" t="s">
        <v>12468</v>
      </c>
      <c r="K1703" s="339" t="s">
        <v>70</v>
      </c>
      <c r="L1703" s="357">
        <v>8</v>
      </c>
      <c r="M1703" s="358" t="s">
        <v>12469</v>
      </c>
      <c r="N1703" s="359">
        <v>200</v>
      </c>
      <c r="O1703" s="360" t="s">
        <v>532</v>
      </c>
      <c r="P1703" s="343" t="s">
        <v>532</v>
      </c>
      <c r="Q1703" s="342" t="s">
        <v>2688</v>
      </c>
      <c r="R1703" s="344">
        <v>20</v>
      </c>
      <c r="S1703" s="345">
        <v>30</v>
      </c>
      <c r="T1703" s="362">
        <v>30</v>
      </c>
      <c r="U1703" s="361">
        <v>72.239999999999995</v>
      </c>
      <c r="V1703" s="346">
        <v>114.08455197888441</v>
      </c>
      <c r="W1703" s="348">
        <v>115.49798011745274</v>
      </c>
      <c r="X1703" s="347" t="s">
        <v>19019</v>
      </c>
      <c r="Y1703" s="357" t="s">
        <v>408</v>
      </c>
      <c r="Z1703" s="365" t="s">
        <v>4408</v>
      </c>
      <c r="AA1703" s="350">
        <v>36</v>
      </c>
      <c r="AB1703" s="349" t="s">
        <v>2685</v>
      </c>
      <c r="AC1703" s="350">
        <v>0</v>
      </c>
      <c r="AD1703" s="349" t="s">
        <v>2685</v>
      </c>
      <c r="AE1703" s="364">
        <v>0</v>
      </c>
      <c r="AF1703" s="366">
        <v>0</v>
      </c>
      <c r="AG1703" s="363">
        <v>0</v>
      </c>
      <c r="AH1703" s="635" t="s">
        <v>408</v>
      </c>
      <c r="AL1703" s="487" t="s">
        <v>16086</v>
      </c>
      <c r="AM1703" s="477" t="s">
        <v>70</v>
      </c>
      <c r="AN1703" s="637">
        <v>100</v>
      </c>
      <c r="AO1703" s="478">
        <v>-1570</v>
      </c>
      <c r="AP1703" s="463">
        <v>-1570</v>
      </c>
      <c r="AQ1703" s="479">
        <v>0</v>
      </c>
      <c r="AR1703" s="476" t="s">
        <v>17770</v>
      </c>
      <c r="BA1703" s="313" t="s">
        <v>6414</v>
      </c>
    </row>
    <row r="1704" spans="2:53" ht="16.5" customHeight="1">
      <c r="B1704" s="367" t="s">
        <v>12448</v>
      </c>
      <c r="C1704" s="351" t="s">
        <v>12449</v>
      </c>
      <c r="D1704" s="353">
        <v>-1570</v>
      </c>
      <c r="E1704" s="352" t="s">
        <v>408</v>
      </c>
      <c r="F1704" s="341">
        <v>72.239999999999995</v>
      </c>
      <c r="G1704" s="355" t="s">
        <v>12450</v>
      </c>
      <c r="H1704" s="356" t="s">
        <v>5757</v>
      </c>
      <c r="I1704" s="354" t="s">
        <v>228</v>
      </c>
      <c r="J1704" s="340" t="s">
        <v>12470</v>
      </c>
      <c r="K1704" s="339" t="s">
        <v>70</v>
      </c>
      <c r="L1704" s="357">
        <v>20</v>
      </c>
      <c r="M1704" s="358" t="s">
        <v>12471</v>
      </c>
      <c r="N1704" s="359">
        <v>1000</v>
      </c>
      <c r="O1704" s="360" t="s">
        <v>530</v>
      </c>
      <c r="P1704" s="343" t="s">
        <v>531</v>
      </c>
      <c r="Q1704" s="342" t="s">
        <v>2688</v>
      </c>
      <c r="R1704" s="344">
        <v>30</v>
      </c>
      <c r="S1704" s="345">
        <v>35</v>
      </c>
      <c r="T1704" s="362">
        <v>35</v>
      </c>
      <c r="U1704" s="361">
        <v>72.239999999999995</v>
      </c>
      <c r="V1704" s="346">
        <v>114.08456774325299</v>
      </c>
      <c r="W1704" s="348">
        <v>115.49798876242906</v>
      </c>
      <c r="X1704" s="347">
        <v>57.6</v>
      </c>
      <c r="Y1704" s="357">
        <v>59.449999999999996</v>
      </c>
      <c r="Z1704" s="365" t="s">
        <v>2689</v>
      </c>
      <c r="AA1704" s="350">
        <v>100</v>
      </c>
      <c r="AB1704" s="349" t="s">
        <v>2685</v>
      </c>
      <c r="AC1704" s="350">
        <v>10</v>
      </c>
      <c r="AD1704" s="349" t="s">
        <v>2685</v>
      </c>
      <c r="AE1704" s="364">
        <v>0</v>
      </c>
      <c r="AF1704" s="366">
        <v>10.404</v>
      </c>
      <c r="AG1704" s="363">
        <v>0</v>
      </c>
      <c r="AH1704" s="635" t="s">
        <v>7787</v>
      </c>
      <c r="AL1704" s="487" t="s">
        <v>16083</v>
      </c>
      <c r="AM1704" s="477" t="s">
        <v>70</v>
      </c>
      <c r="AN1704" s="637">
        <v>100</v>
      </c>
      <c r="AO1704" s="478">
        <v>-1570</v>
      </c>
      <c r="AP1704" s="463">
        <v>-1570</v>
      </c>
      <c r="AQ1704" s="479">
        <v>0</v>
      </c>
      <c r="AR1704" s="476" t="s">
        <v>17770</v>
      </c>
      <c r="BA1704" s="313" t="s">
        <v>6417</v>
      </c>
    </row>
    <row r="1705" spans="2:53" ht="16.5" customHeight="1">
      <c r="B1705" s="367" t="s">
        <v>12472</v>
      </c>
      <c r="C1705" s="351" t="s">
        <v>12473</v>
      </c>
      <c r="D1705" s="353">
        <v>-1570</v>
      </c>
      <c r="E1705" s="352" t="s">
        <v>12476</v>
      </c>
      <c r="F1705" s="341">
        <v>72.23</v>
      </c>
      <c r="G1705" s="355" t="s">
        <v>12453</v>
      </c>
      <c r="H1705" s="356" t="s">
        <v>12002</v>
      </c>
      <c r="I1705" s="354" t="s">
        <v>216</v>
      </c>
      <c r="J1705" s="340" t="s">
        <v>12474</v>
      </c>
      <c r="K1705" s="339" t="s">
        <v>70</v>
      </c>
      <c r="L1705" s="357">
        <v>5</v>
      </c>
      <c r="M1705" s="358" t="s">
        <v>12475</v>
      </c>
      <c r="N1705" s="359">
        <v>300</v>
      </c>
      <c r="O1705" s="360" t="s">
        <v>530</v>
      </c>
      <c r="P1705" s="343" t="s">
        <v>530</v>
      </c>
      <c r="Q1705" s="342" t="s">
        <v>2688</v>
      </c>
      <c r="R1705" s="344">
        <v>25</v>
      </c>
      <c r="S1705" s="345">
        <v>45</v>
      </c>
      <c r="T1705" s="362">
        <v>30</v>
      </c>
      <c r="U1705" s="361">
        <v>72.23</v>
      </c>
      <c r="V1705" s="346">
        <v>114.07884540774175</v>
      </c>
      <c r="W1705" s="348">
        <v>115.49485070747129</v>
      </c>
      <c r="X1705" s="347">
        <v>57.6</v>
      </c>
      <c r="Y1705" s="357" t="s">
        <v>408</v>
      </c>
      <c r="Z1705" s="365" t="s">
        <v>3017</v>
      </c>
      <c r="AA1705" s="350">
        <v>-2</v>
      </c>
      <c r="AB1705" s="349" t="s">
        <v>2685</v>
      </c>
      <c r="AC1705" s="350">
        <v>0</v>
      </c>
      <c r="AD1705" s="349" t="s">
        <v>2685</v>
      </c>
      <c r="AE1705" s="364">
        <v>0</v>
      </c>
      <c r="AF1705" s="366">
        <v>0</v>
      </c>
      <c r="AG1705" s="363">
        <v>0</v>
      </c>
      <c r="AH1705" s="635" t="s">
        <v>408</v>
      </c>
      <c r="AL1705" s="487" t="s">
        <v>16084</v>
      </c>
      <c r="AM1705" s="477" t="s">
        <v>70</v>
      </c>
      <c r="AN1705" s="637">
        <v>100</v>
      </c>
      <c r="AO1705" s="478">
        <v>-1570</v>
      </c>
      <c r="AP1705" s="463">
        <v>-1570</v>
      </c>
      <c r="AQ1705" s="479">
        <v>0</v>
      </c>
      <c r="AR1705" s="476" t="s">
        <v>17771</v>
      </c>
      <c r="BA1705" s="313" t="s">
        <v>6420</v>
      </c>
    </row>
    <row r="1706" spans="2:53" ht="16.5" customHeight="1">
      <c r="B1706" s="367" t="s">
        <v>12477</v>
      </c>
      <c r="C1706" s="351" t="s">
        <v>12478</v>
      </c>
      <c r="D1706" s="353">
        <v>-1570</v>
      </c>
      <c r="E1706" s="352" t="s">
        <v>408</v>
      </c>
      <c r="F1706" s="341">
        <v>72.150000000000006</v>
      </c>
      <c r="G1706" s="355" t="s">
        <v>12479</v>
      </c>
      <c r="H1706" s="356" t="s">
        <v>12034</v>
      </c>
      <c r="I1706" s="354" t="s">
        <v>8000</v>
      </c>
      <c r="J1706" s="340" t="s">
        <v>8633</v>
      </c>
      <c r="K1706" s="339" t="s">
        <v>70</v>
      </c>
      <c r="L1706" s="357">
        <v>15</v>
      </c>
      <c r="M1706" s="358" t="s">
        <v>12480</v>
      </c>
      <c r="N1706" s="359">
        <v>1000</v>
      </c>
      <c r="O1706" s="360" t="s">
        <v>532</v>
      </c>
      <c r="P1706" s="343" t="s">
        <v>532</v>
      </c>
      <c r="Q1706" s="342" t="s">
        <v>2688</v>
      </c>
      <c r="R1706" s="344">
        <v>25</v>
      </c>
      <c r="S1706" s="345">
        <v>30</v>
      </c>
      <c r="T1706" s="362">
        <v>25</v>
      </c>
      <c r="U1706" s="361">
        <v>72.150000000000006</v>
      </c>
      <c r="V1706" s="346">
        <v>114.03005193224634</v>
      </c>
      <c r="W1706" s="348">
        <v>115.46809299510284</v>
      </c>
      <c r="X1706" s="347" t="s">
        <v>19020</v>
      </c>
      <c r="Y1706" s="357" t="s">
        <v>408</v>
      </c>
      <c r="Z1706" s="365" t="s">
        <v>4408</v>
      </c>
      <c r="AA1706" s="350">
        <v>192</v>
      </c>
      <c r="AB1706" s="349" t="s">
        <v>2685</v>
      </c>
      <c r="AC1706" s="350">
        <v>0</v>
      </c>
      <c r="AD1706" s="349" t="s">
        <v>2685</v>
      </c>
      <c r="AE1706" s="364">
        <v>0</v>
      </c>
      <c r="AF1706" s="366">
        <v>0</v>
      </c>
      <c r="AG1706" s="363">
        <v>0</v>
      </c>
      <c r="AH1706" s="635" t="s">
        <v>408</v>
      </c>
      <c r="AL1706" s="487" t="s">
        <v>16087</v>
      </c>
      <c r="AM1706" s="477" t="s">
        <v>70</v>
      </c>
      <c r="AN1706" s="637">
        <v>100</v>
      </c>
      <c r="AO1706" s="478">
        <v>-1570</v>
      </c>
      <c r="AP1706" s="463">
        <v>-1570</v>
      </c>
      <c r="AQ1706" s="479">
        <v>0</v>
      </c>
      <c r="AR1706" s="476" t="s">
        <v>17772</v>
      </c>
      <c r="BA1706" s="313" t="s">
        <v>6421</v>
      </c>
    </row>
    <row r="1707" spans="2:53" ht="16.5" customHeight="1">
      <c r="B1707" s="367" t="s">
        <v>6432</v>
      </c>
      <c r="C1707" s="351" t="s">
        <v>6433</v>
      </c>
      <c r="D1707" s="353">
        <v>-1570</v>
      </c>
      <c r="E1707" s="352" t="s">
        <v>408</v>
      </c>
      <c r="F1707" s="341">
        <v>72.11</v>
      </c>
      <c r="G1707" s="355" t="s">
        <v>12481</v>
      </c>
      <c r="H1707" s="356" t="s">
        <v>12050</v>
      </c>
      <c r="I1707" s="354" t="s">
        <v>212</v>
      </c>
      <c r="J1707" s="340" t="s">
        <v>12482</v>
      </c>
      <c r="K1707" s="339" t="s">
        <v>70</v>
      </c>
      <c r="L1707" s="357">
        <v>14</v>
      </c>
      <c r="M1707" s="358" t="s">
        <v>12483</v>
      </c>
      <c r="N1707" s="359">
        <v>800</v>
      </c>
      <c r="O1707" s="360" t="s">
        <v>532</v>
      </c>
      <c r="P1707" s="343" t="s">
        <v>532</v>
      </c>
      <c r="Q1707" s="342" t="s">
        <v>2688</v>
      </c>
      <c r="R1707" s="344">
        <v>30</v>
      </c>
      <c r="S1707" s="345">
        <v>40</v>
      </c>
      <c r="T1707" s="362">
        <v>30</v>
      </c>
      <c r="U1707" s="361">
        <v>72.11</v>
      </c>
      <c r="V1707" s="346">
        <v>114.00591894671706</v>
      </c>
      <c r="W1707" s="348">
        <v>115.45485877723193</v>
      </c>
      <c r="X1707" s="347" t="s">
        <v>19020</v>
      </c>
      <c r="Y1707" s="357" t="s">
        <v>408</v>
      </c>
      <c r="Z1707" s="365" t="s">
        <v>3017</v>
      </c>
      <c r="AA1707" s="350">
        <v>190</v>
      </c>
      <c r="AB1707" s="349" t="s">
        <v>2685</v>
      </c>
      <c r="AC1707" s="350">
        <v>10</v>
      </c>
      <c r="AD1707" s="349" t="s">
        <v>2685</v>
      </c>
      <c r="AE1707" s="364">
        <v>0</v>
      </c>
      <c r="AF1707" s="366">
        <v>0</v>
      </c>
      <c r="AG1707" s="363">
        <v>0</v>
      </c>
      <c r="AH1707" s="635" t="s">
        <v>408</v>
      </c>
      <c r="AL1707" s="487" t="s">
        <v>16088</v>
      </c>
      <c r="AM1707" s="477" t="s">
        <v>70</v>
      </c>
      <c r="AN1707" s="637">
        <v>100</v>
      </c>
      <c r="AO1707" s="478">
        <v>-1570</v>
      </c>
      <c r="AP1707" s="463">
        <v>-1570</v>
      </c>
      <c r="AQ1707" s="479">
        <v>0</v>
      </c>
      <c r="AR1707" s="476" t="s">
        <v>17773</v>
      </c>
      <c r="BA1707" s="313" t="s">
        <v>6422</v>
      </c>
    </row>
    <row r="1708" spans="2:53" ht="16.5" customHeight="1">
      <c r="B1708" s="367" t="s">
        <v>12525</v>
      </c>
      <c r="C1708" s="351" t="s">
        <v>12526</v>
      </c>
      <c r="D1708" s="353">
        <v>-1570</v>
      </c>
      <c r="E1708" s="352" t="s">
        <v>408</v>
      </c>
      <c r="F1708" s="341">
        <v>72.010000000000005</v>
      </c>
      <c r="G1708" s="355" t="s">
        <v>12503</v>
      </c>
      <c r="H1708" s="356" t="s">
        <v>5994</v>
      </c>
      <c r="I1708" s="354" t="s">
        <v>216</v>
      </c>
      <c r="J1708" s="340" t="s">
        <v>562</v>
      </c>
      <c r="K1708" s="339" t="s">
        <v>71</v>
      </c>
      <c r="L1708" s="357">
        <v>4</v>
      </c>
      <c r="M1708" s="358" t="s">
        <v>12502</v>
      </c>
      <c r="N1708" s="359">
        <v>300</v>
      </c>
      <c r="O1708" s="360" t="s">
        <v>530</v>
      </c>
      <c r="P1708" s="343" t="s">
        <v>530</v>
      </c>
      <c r="Q1708" s="342" t="s">
        <v>2688</v>
      </c>
      <c r="R1708" s="344">
        <v>45</v>
      </c>
      <c r="S1708" s="345">
        <v>25</v>
      </c>
      <c r="T1708" s="362">
        <v>30</v>
      </c>
      <c r="U1708" s="361">
        <v>72.010000000000005</v>
      </c>
      <c r="V1708" s="346">
        <v>113.94696720683883</v>
      </c>
      <c r="W1708" s="348">
        <v>115.42253040375033</v>
      </c>
      <c r="X1708" s="347">
        <v>57.36</v>
      </c>
      <c r="Y1708" s="357" t="s">
        <v>408</v>
      </c>
      <c r="Z1708" s="365" t="s">
        <v>3017</v>
      </c>
      <c r="AA1708" s="350">
        <v>-2</v>
      </c>
      <c r="AB1708" s="349" t="s">
        <v>2685</v>
      </c>
      <c r="AC1708" s="350">
        <v>0</v>
      </c>
      <c r="AD1708" s="349" t="s">
        <v>2685</v>
      </c>
      <c r="AE1708" s="364">
        <v>0</v>
      </c>
      <c r="AF1708" s="366">
        <v>0</v>
      </c>
      <c r="AG1708" s="363">
        <v>0</v>
      </c>
      <c r="AH1708" s="635" t="s">
        <v>408</v>
      </c>
      <c r="AL1708" s="487" t="s">
        <v>16089</v>
      </c>
      <c r="AM1708" s="477" t="s">
        <v>71</v>
      </c>
      <c r="AN1708" s="637">
        <v>100</v>
      </c>
      <c r="AO1708" s="478">
        <v>-1570</v>
      </c>
      <c r="AP1708" s="463">
        <v>-675</v>
      </c>
      <c r="AQ1708" s="479">
        <v>-895</v>
      </c>
      <c r="AR1708" s="476" t="s">
        <v>17774</v>
      </c>
      <c r="BA1708" s="313" t="s">
        <v>6425</v>
      </c>
    </row>
    <row r="1709" spans="2:53" ht="16.5" customHeight="1">
      <c r="B1709" s="367" t="s">
        <v>12484</v>
      </c>
      <c r="C1709" s="351" t="s">
        <v>12485</v>
      </c>
      <c r="D1709" s="353">
        <v>-1570</v>
      </c>
      <c r="E1709" s="352" t="s">
        <v>408</v>
      </c>
      <c r="F1709" s="341">
        <v>71.98</v>
      </c>
      <c r="G1709" s="355" t="s">
        <v>12486</v>
      </c>
      <c r="H1709" s="356" t="s">
        <v>19021</v>
      </c>
      <c r="I1709" s="354" t="s">
        <v>212</v>
      </c>
      <c r="J1709" s="340" t="s">
        <v>8669</v>
      </c>
      <c r="K1709" s="339" t="s">
        <v>70</v>
      </c>
      <c r="L1709" s="357">
        <v>6</v>
      </c>
      <c r="M1709" s="358" t="s">
        <v>12488</v>
      </c>
      <c r="N1709" s="359">
        <v>800</v>
      </c>
      <c r="O1709" s="360" t="s">
        <v>532</v>
      </c>
      <c r="P1709" s="343" t="s">
        <v>532</v>
      </c>
      <c r="Q1709" s="342" t="s">
        <v>2688</v>
      </c>
      <c r="R1709" s="344">
        <v>30</v>
      </c>
      <c r="S1709" s="345">
        <v>40</v>
      </c>
      <c r="T1709" s="362">
        <v>30</v>
      </c>
      <c r="U1709" s="361">
        <v>71.98</v>
      </c>
      <c r="V1709" s="346">
        <v>113.92959216530606</v>
      </c>
      <c r="W1709" s="348">
        <v>115.41300215516785</v>
      </c>
      <c r="X1709" s="347" t="s">
        <v>19022</v>
      </c>
      <c r="Y1709" s="357" t="s">
        <v>408</v>
      </c>
      <c r="Z1709" s="365" t="s">
        <v>3017</v>
      </c>
      <c r="AA1709" s="350">
        <v>190</v>
      </c>
      <c r="AB1709" s="349" t="s">
        <v>2685</v>
      </c>
      <c r="AC1709" s="350">
        <v>10</v>
      </c>
      <c r="AD1709" s="349" t="s">
        <v>2685</v>
      </c>
      <c r="AE1709" s="364">
        <v>0</v>
      </c>
      <c r="AF1709" s="366">
        <v>0</v>
      </c>
      <c r="AG1709" s="363">
        <v>0</v>
      </c>
      <c r="AH1709" s="635" t="s">
        <v>408</v>
      </c>
      <c r="AL1709" s="487" t="s">
        <v>16090</v>
      </c>
      <c r="AM1709" s="477" t="s">
        <v>70</v>
      </c>
      <c r="AN1709" s="637">
        <v>100</v>
      </c>
      <c r="AO1709" s="478">
        <v>-1570</v>
      </c>
      <c r="AP1709" s="463">
        <v>-1570</v>
      </c>
      <c r="AQ1709" s="479">
        <v>0</v>
      </c>
      <c r="AR1709" s="476" t="s">
        <v>17775</v>
      </c>
      <c r="BA1709" s="313" t="s">
        <v>6427</v>
      </c>
    </row>
    <row r="1710" spans="2:53" ht="16.5" customHeight="1">
      <c r="B1710" s="367" t="s">
        <v>12489</v>
      </c>
      <c r="C1710" s="351" t="s">
        <v>12490</v>
      </c>
      <c r="D1710" s="353">
        <v>-1570</v>
      </c>
      <c r="E1710" s="352" t="s">
        <v>408</v>
      </c>
      <c r="F1710" s="341">
        <v>71.959999999999994</v>
      </c>
      <c r="G1710" s="355" t="s">
        <v>12491</v>
      </c>
      <c r="H1710" s="356" t="s">
        <v>12059</v>
      </c>
      <c r="I1710" s="354" t="s">
        <v>214</v>
      </c>
      <c r="J1710" s="340" t="s">
        <v>12492</v>
      </c>
      <c r="K1710" s="339" t="s">
        <v>70</v>
      </c>
      <c r="L1710" s="357">
        <v>12</v>
      </c>
      <c r="M1710" s="358" t="s">
        <v>12493</v>
      </c>
      <c r="N1710" s="359">
        <v>200</v>
      </c>
      <c r="O1710" s="360" t="s">
        <v>532</v>
      </c>
      <c r="P1710" s="343" t="s">
        <v>532</v>
      </c>
      <c r="Q1710" s="342" t="s">
        <v>2688</v>
      </c>
      <c r="R1710" s="344">
        <v>20</v>
      </c>
      <c r="S1710" s="345">
        <v>30</v>
      </c>
      <c r="T1710" s="362">
        <v>30</v>
      </c>
      <c r="U1710" s="361">
        <v>71.959999999999994</v>
      </c>
      <c r="V1710" s="346">
        <v>113.92028437312365</v>
      </c>
      <c r="W1710" s="348">
        <v>115.40789788203556</v>
      </c>
      <c r="X1710" s="347" t="s">
        <v>19022</v>
      </c>
      <c r="Y1710" s="357" t="s">
        <v>408</v>
      </c>
      <c r="Z1710" s="365" t="s">
        <v>4408</v>
      </c>
      <c r="AA1710" s="350">
        <v>36</v>
      </c>
      <c r="AB1710" s="349" t="s">
        <v>2685</v>
      </c>
      <c r="AC1710" s="350">
        <v>0</v>
      </c>
      <c r="AD1710" s="349" t="s">
        <v>2685</v>
      </c>
      <c r="AE1710" s="364">
        <v>0</v>
      </c>
      <c r="AF1710" s="366">
        <v>0</v>
      </c>
      <c r="AG1710" s="363">
        <v>0</v>
      </c>
      <c r="AH1710" s="635" t="s">
        <v>408</v>
      </c>
      <c r="AL1710" s="487" t="s">
        <v>16092</v>
      </c>
      <c r="AM1710" s="477" t="s">
        <v>70</v>
      </c>
      <c r="AN1710" s="637">
        <v>100</v>
      </c>
      <c r="AO1710" s="478">
        <v>-1570</v>
      </c>
      <c r="AP1710" s="463">
        <v>-1570</v>
      </c>
      <c r="AQ1710" s="479">
        <v>0</v>
      </c>
      <c r="AR1710" s="476" t="s">
        <v>17776</v>
      </c>
      <c r="BA1710" s="313" t="s">
        <v>6429</v>
      </c>
    </row>
    <row r="1711" spans="2:53" ht="16.5" customHeight="1">
      <c r="B1711" s="367" t="s">
        <v>12494</v>
      </c>
      <c r="C1711" s="351" t="s">
        <v>12495</v>
      </c>
      <c r="D1711" s="353">
        <v>-1570</v>
      </c>
      <c r="E1711" s="352" t="s">
        <v>12501</v>
      </c>
      <c r="F1711" s="341">
        <v>71.94</v>
      </c>
      <c r="G1711" s="355" t="s">
        <v>12496</v>
      </c>
      <c r="H1711" s="356" t="s">
        <v>18936</v>
      </c>
      <c r="I1711" s="354" t="s">
        <v>214</v>
      </c>
      <c r="J1711" s="340" t="s">
        <v>12497</v>
      </c>
      <c r="K1711" s="339" t="s">
        <v>70</v>
      </c>
      <c r="L1711" s="357">
        <v>22</v>
      </c>
      <c r="M1711" s="358" t="s">
        <v>12498</v>
      </c>
      <c r="N1711" s="359">
        <v>200</v>
      </c>
      <c r="O1711" s="360" t="s">
        <v>532</v>
      </c>
      <c r="P1711" s="343" t="s">
        <v>532</v>
      </c>
      <c r="Q1711" s="342" t="s">
        <v>2688</v>
      </c>
      <c r="R1711" s="344">
        <v>20</v>
      </c>
      <c r="S1711" s="345">
        <v>30</v>
      </c>
      <c r="T1711" s="362">
        <v>30</v>
      </c>
      <c r="U1711" s="361">
        <v>71.94</v>
      </c>
      <c r="V1711" s="346">
        <v>113.90854869047905</v>
      </c>
      <c r="W1711" s="348">
        <v>115.40146218510142</v>
      </c>
      <c r="X1711" s="347" t="s">
        <v>19023</v>
      </c>
      <c r="Y1711" s="357" t="s">
        <v>408</v>
      </c>
      <c r="Z1711" s="365" t="s">
        <v>4408</v>
      </c>
      <c r="AA1711" s="350">
        <v>36</v>
      </c>
      <c r="AB1711" s="349" t="s">
        <v>2685</v>
      </c>
      <c r="AC1711" s="350">
        <v>0</v>
      </c>
      <c r="AD1711" s="349" t="s">
        <v>2685</v>
      </c>
      <c r="AE1711" s="364">
        <v>0</v>
      </c>
      <c r="AF1711" s="366">
        <v>0</v>
      </c>
      <c r="AG1711" s="363">
        <v>0</v>
      </c>
      <c r="AH1711" s="635" t="s">
        <v>408</v>
      </c>
      <c r="AL1711" s="487" t="s">
        <v>16093</v>
      </c>
      <c r="AM1711" s="477" t="s">
        <v>70</v>
      </c>
      <c r="AN1711" s="637">
        <v>100</v>
      </c>
      <c r="AO1711" s="478">
        <v>-1570</v>
      </c>
      <c r="AP1711" s="463">
        <v>-1570</v>
      </c>
      <c r="AQ1711" s="479">
        <v>0</v>
      </c>
      <c r="AR1711" s="476" t="s">
        <v>17777</v>
      </c>
      <c r="BA1711" s="313" t="s">
        <v>6431</v>
      </c>
    </row>
    <row r="1712" spans="2:53" ht="16.5" customHeight="1">
      <c r="B1712" s="367" t="s">
        <v>12472</v>
      </c>
      <c r="C1712" s="351" t="s">
        <v>12473</v>
      </c>
      <c r="D1712" s="353">
        <v>-1570</v>
      </c>
      <c r="E1712" s="352" t="s">
        <v>12450</v>
      </c>
      <c r="F1712" s="341">
        <v>71.94</v>
      </c>
      <c r="G1712" s="355" t="s">
        <v>19024</v>
      </c>
      <c r="H1712" s="356" t="s">
        <v>6002</v>
      </c>
      <c r="I1712" s="354" t="s">
        <v>215</v>
      </c>
      <c r="J1712" s="340" t="s">
        <v>11323</v>
      </c>
      <c r="K1712" s="339" t="s">
        <v>71</v>
      </c>
      <c r="L1712" s="357">
        <v>4</v>
      </c>
      <c r="M1712" s="358" t="s">
        <v>12504</v>
      </c>
      <c r="N1712" s="359">
        <v>1000</v>
      </c>
      <c r="O1712" s="360" t="s">
        <v>530</v>
      </c>
      <c r="P1712" s="343" t="s">
        <v>531</v>
      </c>
      <c r="Q1712" s="342" t="s">
        <v>2688</v>
      </c>
      <c r="R1712" s="344">
        <v>38</v>
      </c>
      <c r="S1712" s="345">
        <v>25</v>
      </c>
      <c r="T1712" s="362">
        <v>25</v>
      </c>
      <c r="U1712" s="361">
        <v>71.94</v>
      </c>
      <c r="V1712" s="346">
        <v>113.90315768502838</v>
      </c>
      <c r="W1712" s="348">
        <v>115.39850582727362</v>
      </c>
      <c r="X1712" s="347">
        <v>57.33</v>
      </c>
      <c r="Y1712" s="357">
        <v>57.5</v>
      </c>
      <c r="Z1712" s="365" t="s">
        <v>3017</v>
      </c>
      <c r="AA1712" s="350">
        <v>121.25</v>
      </c>
      <c r="AB1712" s="349" t="s">
        <v>2685</v>
      </c>
      <c r="AC1712" s="350">
        <v>10</v>
      </c>
      <c r="AD1712" s="349" t="s">
        <v>2685</v>
      </c>
      <c r="AE1712" s="364">
        <v>0</v>
      </c>
      <c r="AF1712" s="366">
        <v>0</v>
      </c>
      <c r="AG1712" s="363">
        <v>0</v>
      </c>
      <c r="AH1712" s="635" t="s">
        <v>8002</v>
      </c>
      <c r="AL1712" s="487" t="s">
        <v>16091</v>
      </c>
      <c r="AM1712" s="477" t="s">
        <v>71</v>
      </c>
      <c r="AN1712" s="637">
        <v>100</v>
      </c>
      <c r="AO1712" s="478">
        <v>-1570</v>
      </c>
      <c r="AP1712" s="463">
        <v>-675</v>
      </c>
      <c r="AQ1712" s="479">
        <v>-895</v>
      </c>
      <c r="AR1712" s="476" t="s">
        <v>17778</v>
      </c>
      <c r="BA1712" s="313" t="s">
        <v>6435</v>
      </c>
    </row>
    <row r="1713" spans="2:53" ht="16.5" customHeight="1">
      <c r="B1713" s="367" t="s">
        <v>12505</v>
      </c>
      <c r="C1713" s="351" t="s">
        <v>12506</v>
      </c>
      <c r="D1713" s="353">
        <v>-1570</v>
      </c>
      <c r="E1713" s="352" t="s">
        <v>12507</v>
      </c>
      <c r="F1713" s="341">
        <v>71.900000000000006</v>
      </c>
      <c r="G1713" s="355" t="s">
        <v>6252</v>
      </c>
      <c r="H1713" s="356" t="s">
        <v>6012</v>
      </c>
      <c r="I1713" s="354" t="s">
        <v>423</v>
      </c>
      <c r="J1713" s="340" t="s">
        <v>12509</v>
      </c>
      <c r="K1713" s="339" t="s">
        <v>71</v>
      </c>
      <c r="L1713" s="357">
        <v>4</v>
      </c>
      <c r="M1713" s="358" t="s">
        <v>12510</v>
      </c>
      <c r="N1713" s="359">
        <v>1000</v>
      </c>
      <c r="O1713" s="360" t="s">
        <v>530</v>
      </c>
      <c r="P1713" s="343" t="s">
        <v>531</v>
      </c>
      <c r="Q1713" s="342" t="s">
        <v>2688</v>
      </c>
      <c r="R1713" s="344">
        <v>30</v>
      </c>
      <c r="S1713" s="345">
        <v>25</v>
      </c>
      <c r="T1713" s="362">
        <v>25</v>
      </c>
      <c r="U1713" s="361">
        <v>71.900000000000006</v>
      </c>
      <c r="V1713" s="346">
        <v>113.88167591665908</v>
      </c>
      <c r="W1713" s="348">
        <v>115.38672550268402</v>
      </c>
      <c r="X1713" s="347">
        <v>57.32</v>
      </c>
      <c r="Y1713" s="357">
        <v>57.36</v>
      </c>
      <c r="Z1713" s="365" t="s">
        <v>3017</v>
      </c>
      <c r="AA1713" s="350">
        <v>198</v>
      </c>
      <c r="AB1713" s="349" t="s">
        <v>2685</v>
      </c>
      <c r="AC1713" s="350">
        <v>10</v>
      </c>
      <c r="AD1713" s="349" t="s">
        <v>2685</v>
      </c>
      <c r="AE1713" s="364">
        <v>0</v>
      </c>
      <c r="AF1713" s="366">
        <v>0</v>
      </c>
      <c r="AG1713" s="363">
        <v>0</v>
      </c>
      <c r="AH1713" s="635" t="s">
        <v>408</v>
      </c>
      <c r="AL1713" s="487" t="s">
        <v>16094</v>
      </c>
      <c r="AM1713" s="477" t="s">
        <v>71</v>
      </c>
      <c r="AN1713" s="637">
        <v>100</v>
      </c>
      <c r="AO1713" s="478">
        <v>-1570</v>
      </c>
      <c r="AP1713" s="463">
        <v>-674</v>
      </c>
      <c r="AQ1713" s="479">
        <v>-896</v>
      </c>
      <c r="AR1713" s="476" t="s">
        <v>17779</v>
      </c>
      <c r="BA1713" s="313" t="s">
        <v>6436</v>
      </c>
    </row>
    <row r="1714" spans="2:53" ht="16.5" customHeight="1">
      <c r="B1714" s="367" t="s">
        <v>18266</v>
      </c>
      <c r="C1714" s="351" t="s">
        <v>18267</v>
      </c>
      <c r="D1714" s="353">
        <v>-1570</v>
      </c>
      <c r="E1714" s="352" t="s">
        <v>12511</v>
      </c>
      <c r="F1714" s="341">
        <v>71.88</v>
      </c>
      <c r="G1714" s="355" t="s">
        <v>19025</v>
      </c>
      <c r="H1714" s="356" t="s">
        <v>6015</v>
      </c>
      <c r="I1714" s="354" t="s">
        <v>216</v>
      </c>
      <c r="J1714" s="340" t="s">
        <v>8190</v>
      </c>
      <c r="K1714" s="339" t="s">
        <v>71</v>
      </c>
      <c r="L1714" s="357">
        <v>13</v>
      </c>
      <c r="M1714" s="358" t="s">
        <v>12512</v>
      </c>
      <c r="N1714" s="359">
        <v>300</v>
      </c>
      <c r="O1714" s="360" t="s">
        <v>530</v>
      </c>
      <c r="P1714" s="343" t="s">
        <v>530</v>
      </c>
      <c r="Q1714" s="342" t="s">
        <v>2688</v>
      </c>
      <c r="R1714" s="344">
        <v>45</v>
      </c>
      <c r="S1714" s="345">
        <v>25</v>
      </c>
      <c r="T1714" s="362">
        <v>30</v>
      </c>
      <c r="U1714" s="361">
        <v>71.88</v>
      </c>
      <c r="V1714" s="346">
        <v>113.86905979038011</v>
      </c>
      <c r="W1714" s="348">
        <v>115.37980698182136</v>
      </c>
      <c r="X1714" s="347">
        <v>57.31</v>
      </c>
      <c r="Y1714" s="357" t="s">
        <v>408</v>
      </c>
      <c r="Z1714" s="365" t="s">
        <v>3017</v>
      </c>
      <c r="AA1714" s="350">
        <v>-2</v>
      </c>
      <c r="AB1714" s="349" t="s">
        <v>2685</v>
      </c>
      <c r="AC1714" s="350">
        <v>0</v>
      </c>
      <c r="AD1714" s="349" t="s">
        <v>2685</v>
      </c>
      <c r="AE1714" s="364">
        <v>0</v>
      </c>
      <c r="AF1714" s="366">
        <v>0</v>
      </c>
      <c r="AG1714" s="363">
        <v>0</v>
      </c>
      <c r="AH1714" s="635" t="s">
        <v>408</v>
      </c>
      <c r="AL1714" s="487" t="s">
        <v>16095</v>
      </c>
      <c r="AM1714" s="477" t="s">
        <v>71</v>
      </c>
      <c r="AN1714" s="637">
        <v>100</v>
      </c>
      <c r="AO1714" s="478">
        <v>-1570</v>
      </c>
      <c r="AP1714" s="463">
        <v>-674</v>
      </c>
      <c r="AQ1714" s="479">
        <v>-896</v>
      </c>
      <c r="AR1714" s="476" t="s">
        <v>17780</v>
      </c>
      <c r="BA1714" s="313" t="s">
        <v>6439</v>
      </c>
    </row>
    <row r="1715" spans="2:53" ht="16.5" customHeight="1">
      <c r="B1715" s="367" t="s">
        <v>18268</v>
      </c>
      <c r="C1715" s="351" t="s">
        <v>18269</v>
      </c>
      <c r="D1715" s="353">
        <v>-1570</v>
      </c>
      <c r="E1715" s="352" t="s">
        <v>408</v>
      </c>
      <c r="F1715" s="341">
        <v>71.84</v>
      </c>
      <c r="G1715" s="355" t="s">
        <v>6430</v>
      </c>
      <c r="H1715" s="356" t="s">
        <v>12069</v>
      </c>
      <c r="I1715" s="354" t="s">
        <v>8000</v>
      </c>
      <c r="J1715" s="340" t="s">
        <v>8190</v>
      </c>
      <c r="K1715" s="339" t="s">
        <v>71</v>
      </c>
      <c r="L1715" s="357">
        <v>11</v>
      </c>
      <c r="M1715" s="358" t="s">
        <v>12518</v>
      </c>
      <c r="N1715" s="359">
        <v>1000</v>
      </c>
      <c r="O1715" s="360" t="s">
        <v>532</v>
      </c>
      <c r="P1715" s="343" t="s">
        <v>532</v>
      </c>
      <c r="Q1715" s="342" t="s">
        <v>2688</v>
      </c>
      <c r="R1715" s="344">
        <v>30</v>
      </c>
      <c r="S1715" s="345">
        <v>25</v>
      </c>
      <c r="T1715" s="362">
        <v>25</v>
      </c>
      <c r="U1715" s="361">
        <v>71.84</v>
      </c>
      <c r="V1715" s="346">
        <v>113.84952448655085</v>
      </c>
      <c r="W1715" s="348">
        <v>115.36909407326982</v>
      </c>
      <c r="X1715" s="347" t="s">
        <v>19026</v>
      </c>
      <c r="Y1715" s="357" t="s">
        <v>408</v>
      </c>
      <c r="Z1715" s="365" t="s">
        <v>4408</v>
      </c>
      <c r="AA1715" s="350">
        <v>192</v>
      </c>
      <c r="AB1715" s="349" t="s">
        <v>2685</v>
      </c>
      <c r="AC1715" s="350">
        <v>0</v>
      </c>
      <c r="AD1715" s="349" t="s">
        <v>2685</v>
      </c>
      <c r="AE1715" s="364">
        <v>0</v>
      </c>
      <c r="AF1715" s="366">
        <v>0</v>
      </c>
      <c r="AG1715" s="363">
        <v>0</v>
      </c>
      <c r="AH1715" s="635" t="s">
        <v>408</v>
      </c>
      <c r="AL1715" s="487" t="s">
        <v>16096</v>
      </c>
      <c r="AM1715" s="477" t="s">
        <v>71</v>
      </c>
      <c r="AN1715" s="637">
        <v>100</v>
      </c>
      <c r="AO1715" s="478">
        <v>-1570</v>
      </c>
      <c r="AP1715" s="463">
        <v>-674</v>
      </c>
      <c r="AQ1715" s="479">
        <v>-896</v>
      </c>
      <c r="AR1715" s="476" t="s">
        <v>17781</v>
      </c>
      <c r="BA1715" s="313" t="s">
        <v>6441</v>
      </c>
    </row>
    <row r="1716" spans="2:53" ht="16.5" customHeight="1">
      <c r="B1716" s="367" t="s">
        <v>6463</v>
      </c>
      <c r="C1716" s="351" t="s">
        <v>6464</v>
      </c>
      <c r="D1716" s="353">
        <v>-1570</v>
      </c>
      <c r="E1716" s="352" t="s">
        <v>12516</v>
      </c>
      <c r="F1716" s="341">
        <v>71.78</v>
      </c>
      <c r="G1716" s="355" t="s">
        <v>12513</v>
      </c>
      <c r="H1716" s="356" t="s">
        <v>19027</v>
      </c>
      <c r="I1716" s="354" t="s">
        <v>214</v>
      </c>
      <c r="J1716" s="340" t="s">
        <v>12514</v>
      </c>
      <c r="K1716" s="339" t="s">
        <v>70</v>
      </c>
      <c r="L1716" s="357">
        <v>17</v>
      </c>
      <c r="M1716" s="358" t="s">
        <v>12515</v>
      </c>
      <c r="N1716" s="359">
        <v>200</v>
      </c>
      <c r="O1716" s="360" t="s">
        <v>532</v>
      </c>
      <c r="P1716" s="343" t="s">
        <v>532</v>
      </c>
      <c r="Q1716" s="342" t="s">
        <v>2688</v>
      </c>
      <c r="R1716" s="344">
        <v>20</v>
      </c>
      <c r="S1716" s="345">
        <v>30</v>
      </c>
      <c r="T1716" s="362">
        <v>30</v>
      </c>
      <c r="U1716" s="361">
        <v>71.78</v>
      </c>
      <c r="V1716" s="346">
        <v>113.81466322932221</v>
      </c>
      <c r="W1716" s="348">
        <v>115.34997660962831</v>
      </c>
      <c r="X1716" s="347" t="s">
        <v>19028</v>
      </c>
      <c r="Y1716" s="357" t="s">
        <v>408</v>
      </c>
      <c r="Z1716" s="365" t="s">
        <v>4408</v>
      </c>
      <c r="AA1716" s="350">
        <v>36</v>
      </c>
      <c r="AB1716" s="349" t="s">
        <v>2685</v>
      </c>
      <c r="AC1716" s="350">
        <v>0</v>
      </c>
      <c r="AD1716" s="349" t="s">
        <v>2685</v>
      </c>
      <c r="AE1716" s="364">
        <v>0</v>
      </c>
      <c r="AF1716" s="366">
        <v>0</v>
      </c>
      <c r="AG1716" s="363">
        <v>0</v>
      </c>
      <c r="AH1716" s="635" t="s">
        <v>408</v>
      </c>
      <c r="AL1716" s="487" t="s">
        <v>16098</v>
      </c>
      <c r="AM1716" s="477" t="s">
        <v>70</v>
      </c>
      <c r="AN1716" s="637">
        <v>100</v>
      </c>
      <c r="AO1716" s="478">
        <v>-1570</v>
      </c>
      <c r="AP1716" s="463">
        <v>-1570</v>
      </c>
      <c r="AQ1716" s="479">
        <v>0</v>
      </c>
      <c r="AR1716" s="476" t="s">
        <v>17782</v>
      </c>
      <c r="BA1716" s="313" t="s">
        <v>6442</v>
      </c>
    </row>
    <row r="1717" spans="2:53" ht="16.5" customHeight="1">
      <c r="B1717" s="367" t="s">
        <v>6467</v>
      </c>
      <c r="C1717" s="351" t="s">
        <v>6468</v>
      </c>
      <c r="D1717" s="353">
        <v>-1570</v>
      </c>
      <c r="E1717" s="352" t="s">
        <v>12519</v>
      </c>
      <c r="F1717" s="341">
        <v>71.77</v>
      </c>
      <c r="G1717" s="355" t="s">
        <v>19029</v>
      </c>
      <c r="H1717" s="356" t="s">
        <v>6029</v>
      </c>
      <c r="I1717" s="354" t="s">
        <v>9336</v>
      </c>
      <c r="J1717" s="340" t="s">
        <v>8863</v>
      </c>
      <c r="K1717" s="339" t="s">
        <v>71</v>
      </c>
      <c r="L1717" s="357">
        <v>12</v>
      </c>
      <c r="M1717" s="358" t="s">
        <v>12522</v>
      </c>
      <c r="N1717" s="359">
        <v>700</v>
      </c>
      <c r="O1717" s="360" t="s">
        <v>532</v>
      </c>
      <c r="P1717" s="343" t="s">
        <v>533</v>
      </c>
      <c r="Q1717" s="342" t="s">
        <v>2688</v>
      </c>
      <c r="R1717" s="344">
        <v>30</v>
      </c>
      <c r="S1717" s="345">
        <v>30</v>
      </c>
      <c r="T1717" s="362">
        <v>20</v>
      </c>
      <c r="U1717" s="361">
        <v>71.77</v>
      </c>
      <c r="V1717" s="346">
        <v>113.80840403299082</v>
      </c>
      <c r="W1717" s="348">
        <v>115.34654414712401</v>
      </c>
      <c r="X1717" s="347">
        <v>57.28</v>
      </c>
      <c r="Y1717" s="357">
        <v>58.82</v>
      </c>
      <c r="Z1717" s="365" t="s">
        <v>3017</v>
      </c>
      <c r="AA1717" s="350">
        <v>138</v>
      </c>
      <c r="AB1717" s="349" t="s">
        <v>2685</v>
      </c>
      <c r="AC1717" s="350">
        <v>10</v>
      </c>
      <c r="AD1717" s="349" t="s">
        <v>2685</v>
      </c>
      <c r="AE1717" s="364">
        <v>0</v>
      </c>
      <c r="AF1717" s="366">
        <v>0</v>
      </c>
      <c r="AG1717" s="363">
        <v>0</v>
      </c>
      <c r="AH1717" s="635" t="s">
        <v>408</v>
      </c>
      <c r="AL1717" s="487" t="s">
        <v>16097</v>
      </c>
      <c r="AM1717" s="477" t="s">
        <v>71</v>
      </c>
      <c r="AN1717" s="637">
        <v>100</v>
      </c>
      <c r="AO1717" s="478">
        <v>-1570</v>
      </c>
      <c r="AP1717" s="463">
        <v>-673</v>
      </c>
      <c r="AQ1717" s="479">
        <v>-897</v>
      </c>
      <c r="AR1717" s="476" t="s">
        <v>17783</v>
      </c>
      <c r="BA1717" s="313" t="s">
        <v>6444</v>
      </c>
    </row>
    <row r="1718" spans="2:53" ht="16.5" customHeight="1">
      <c r="B1718" s="367" t="s">
        <v>12499</v>
      </c>
      <c r="C1718" s="351" t="s">
        <v>12500</v>
      </c>
      <c r="D1718" s="353">
        <v>-1570</v>
      </c>
      <c r="E1718" s="352" t="s">
        <v>408</v>
      </c>
      <c r="F1718" s="341">
        <v>71.73</v>
      </c>
      <c r="G1718" s="355" t="s">
        <v>12501</v>
      </c>
      <c r="H1718" s="356" t="s">
        <v>6112</v>
      </c>
      <c r="I1718" s="354" t="s">
        <v>216</v>
      </c>
      <c r="J1718" s="340" t="s">
        <v>12523</v>
      </c>
      <c r="K1718" s="339" t="s">
        <v>70</v>
      </c>
      <c r="L1718" s="357">
        <v>9</v>
      </c>
      <c r="M1718" s="358" t="s">
        <v>12524</v>
      </c>
      <c r="N1718" s="359">
        <v>300</v>
      </c>
      <c r="O1718" s="360" t="s">
        <v>530</v>
      </c>
      <c r="P1718" s="343" t="s">
        <v>530</v>
      </c>
      <c r="Q1718" s="342" t="s">
        <v>2688</v>
      </c>
      <c r="R1718" s="344">
        <v>25</v>
      </c>
      <c r="S1718" s="345">
        <v>45</v>
      </c>
      <c r="T1718" s="362">
        <v>30</v>
      </c>
      <c r="U1718" s="361">
        <v>71.73</v>
      </c>
      <c r="V1718" s="346">
        <v>113.7851909872751</v>
      </c>
      <c r="W1718" s="348">
        <v>115.33381441237667</v>
      </c>
      <c r="X1718" s="347">
        <v>57.49</v>
      </c>
      <c r="Y1718" s="357" t="s">
        <v>408</v>
      </c>
      <c r="Z1718" s="365" t="s">
        <v>3017</v>
      </c>
      <c r="AA1718" s="350">
        <v>-2</v>
      </c>
      <c r="AB1718" s="349" t="s">
        <v>2685</v>
      </c>
      <c r="AC1718" s="350">
        <v>0</v>
      </c>
      <c r="AD1718" s="349" t="s">
        <v>2685</v>
      </c>
      <c r="AE1718" s="364">
        <v>0</v>
      </c>
      <c r="AF1718" s="366">
        <v>0</v>
      </c>
      <c r="AG1718" s="363">
        <v>0</v>
      </c>
      <c r="AH1718" s="635" t="s">
        <v>408</v>
      </c>
      <c r="AL1718" s="487" t="s">
        <v>16099</v>
      </c>
      <c r="AM1718" s="477" t="s">
        <v>70</v>
      </c>
      <c r="AN1718" s="637">
        <v>100</v>
      </c>
      <c r="AO1718" s="478">
        <v>-1570</v>
      </c>
      <c r="AP1718" s="463">
        <v>-1570</v>
      </c>
      <c r="AQ1718" s="479">
        <v>0</v>
      </c>
      <c r="AR1718" s="476" t="s">
        <v>17784</v>
      </c>
      <c r="BA1718" s="313" t="s">
        <v>6445</v>
      </c>
    </row>
    <row r="1719" spans="2:53" ht="16.5" customHeight="1">
      <c r="B1719" s="367" t="s">
        <v>12525</v>
      </c>
      <c r="C1719" s="351" t="s">
        <v>12526</v>
      </c>
      <c r="D1719" s="353">
        <v>-1570</v>
      </c>
      <c r="E1719" s="352" t="s">
        <v>408</v>
      </c>
      <c r="F1719" s="341">
        <v>71.73</v>
      </c>
      <c r="G1719" s="355" t="s">
        <v>12503</v>
      </c>
      <c r="H1719" s="356" t="s">
        <v>12102</v>
      </c>
      <c r="I1719" s="354" t="s">
        <v>215</v>
      </c>
      <c r="J1719" s="340" t="s">
        <v>8742</v>
      </c>
      <c r="K1719" s="339" t="s">
        <v>70</v>
      </c>
      <c r="L1719" s="357">
        <v>10</v>
      </c>
      <c r="M1719" s="358" t="s">
        <v>12527</v>
      </c>
      <c r="N1719" s="359">
        <v>1000</v>
      </c>
      <c r="O1719" s="360" t="s">
        <v>530</v>
      </c>
      <c r="P1719" s="343" t="s">
        <v>531</v>
      </c>
      <c r="Q1719" s="342" t="s">
        <v>2688</v>
      </c>
      <c r="R1719" s="344">
        <v>25</v>
      </c>
      <c r="S1719" s="345">
        <v>38</v>
      </c>
      <c r="T1719" s="362">
        <v>25</v>
      </c>
      <c r="U1719" s="361">
        <v>71.73</v>
      </c>
      <c r="V1719" s="346">
        <v>113.78087887349824</v>
      </c>
      <c r="W1719" s="348">
        <v>115.33144970482162</v>
      </c>
      <c r="X1719" s="347">
        <v>57.49</v>
      </c>
      <c r="Y1719" s="357">
        <v>57.18</v>
      </c>
      <c r="Z1719" s="365" t="s">
        <v>3017</v>
      </c>
      <c r="AA1719" s="350">
        <v>121.25</v>
      </c>
      <c r="AB1719" s="349" t="s">
        <v>2685</v>
      </c>
      <c r="AC1719" s="350">
        <v>10</v>
      </c>
      <c r="AD1719" s="349" t="s">
        <v>2685</v>
      </c>
      <c r="AE1719" s="364">
        <v>0</v>
      </c>
      <c r="AF1719" s="366">
        <v>0</v>
      </c>
      <c r="AG1719" s="363">
        <v>0</v>
      </c>
      <c r="AH1719" s="635" t="s">
        <v>408</v>
      </c>
      <c r="AL1719" s="487" t="s">
        <v>16100</v>
      </c>
      <c r="AM1719" s="477" t="s">
        <v>70</v>
      </c>
      <c r="AN1719" s="637">
        <v>100</v>
      </c>
      <c r="AO1719" s="478">
        <v>-1570</v>
      </c>
      <c r="AP1719" s="463">
        <v>-1570</v>
      </c>
      <c r="AQ1719" s="479">
        <v>0</v>
      </c>
      <c r="AR1719" s="476" t="s">
        <v>17785</v>
      </c>
      <c r="BA1719" s="313" t="s">
        <v>6446</v>
      </c>
    </row>
    <row r="1720" spans="2:53" ht="16.5" customHeight="1">
      <c r="B1720" s="367" t="s">
        <v>12528</v>
      </c>
      <c r="C1720" s="351" t="s">
        <v>12529</v>
      </c>
      <c r="D1720" s="353">
        <v>-1570</v>
      </c>
      <c r="E1720" s="352" t="s">
        <v>408</v>
      </c>
      <c r="F1720" s="341">
        <v>71.709999999999994</v>
      </c>
      <c r="G1720" s="355" t="s">
        <v>6419</v>
      </c>
      <c r="H1720" s="356" t="s">
        <v>12132</v>
      </c>
      <c r="I1720" s="354" t="s">
        <v>214</v>
      </c>
      <c r="J1720" s="340" t="s">
        <v>8316</v>
      </c>
      <c r="K1720" s="339" t="s">
        <v>70</v>
      </c>
      <c r="L1720" s="357">
        <v>6</v>
      </c>
      <c r="M1720" s="358" t="s">
        <v>12531</v>
      </c>
      <c r="N1720" s="359">
        <v>200</v>
      </c>
      <c r="O1720" s="360" t="s">
        <v>532</v>
      </c>
      <c r="P1720" s="343" t="s">
        <v>532</v>
      </c>
      <c r="Q1720" s="342" t="s">
        <v>2688</v>
      </c>
      <c r="R1720" s="344">
        <v>20</v>
      </c>
      <c r="S1720" s="345">
        <v>30</v>
      </c>
      <c r="T1720" s="362">
        <v>30</v>
      </c>
      <c r="U1720" s="361">
        <v>71.709999999999994</v>
      </c>
      <c r="V1720" s="346">
        <v>113.76772049874388</v>
      </c>
      <c r="W1720" s="348">
        <v>115.32423382189181</v>
      </c>
      <c r="X1720" s="347" t="s">
        <v>19030</v>
      </c>
      <c r="Y1720" s="357" t="s">
        <v>408</v>
      </c>
      <c r="Z1720" s="365" t="s">
        <v>4408</v>
      </c>
      <c r="AA1720" s="350">
        <v>36</v>
      </c>
      <c r="AB1720" s="349" t="s">
        <v>2685</v>
      </c>
      <c r="AC1720" s="350">
        <v>0</v>
      </c>
      <c r="AD1720" s="349" t="s">
        <v>2685</v>
      </c>
      <c r="AE1720" s="364">
        <v>0</v>
      </c>
      <c r="AF1720" s="366">
        <v>0</v>
      </c>
      <c r="AG1720" s="363">
        <v>0</v>
      </c>
      <c r="AH1720" s="635" t="s">
        <v>408</v>
      </c>
      <c r="AL1720" s="487" t="s">
        <v>16103</v>
      </c>
      <c r="AM1720" s="477" t="s">
        <v>70</v>
      </c>
      <c r="AN1720" s="637">
        <v>100</v>
      </c>
      <c r="AO1720" s="478">
        <v>-1570</v>
      </c>
      <c r="AP1720" s="463">
        <v>-1570</v>
      </c>
      <c r="AQ1720" s="479">
        <v>0</v>
      </c>
      <c r="AR1720" s="476" t="s">
        <v>17786</v>
      </c>
      <c r="BA1720" s="313" t="s">
        <v>6449</v>
      </c>
    </row>
    <row r="1721" spans="2:53" ht="16.5" customHeight="1">
      <c r="B1721" s="367" t="s">
        <v>6504</v>
      </c>
      <c r="C1721" s="351" t="s">
        <v>6505</v>
      </c>
      <c r="D1721" s="353">
        <v>-1570</v>
      </c>
      <c r="E1721" s="352" t="s">
        <v>408</v>
      </c>
      <c r="F1721" s="341">
        <v>71.709999999999994</v>
      </c>
      <c r="G1721" s="355" t="s">
        <v>6395</v>
      </c>
      <c r="H1721" s="356" t="s">
        <v>12093</v>
      </c>
      <c r="I1721" s="354" t="s">
        <v>216</v>
      </c>
      <c r="J1721" s="340" t="s">
        <v>560</v>
      </c>
      <c r="K1721" s="339" t="s">
        <v>71</v>
      </c>
      <c r="L1721" s="357">
        <v>8</v>
      </c>
      <c r="M1721" s="358" t="s">
        <v>12546</v>
      </c>
      <c r="N1721" s="359">
        <v>300</v>
      </c>
      <c r="O1721" s="360" t="s">
        <v>530</v>
      </c>
      <c r="P1721" s="343" t="s">
        <v>530</v>
      </c>
      <c r="Q1721" s="342" t="s">
        <v>2688</v>
      </c>
      <c r="R1721" s="344">
        <v>45</v>
      </c>
      <c r="S1721" s="345">
        <v>25</v>
      </c>
      <c r="T1721" s="362">
        <v>30</v>
      </c>
      <c r="U1721" s="361">
        <v>71.709999999999994</v>
      </c>
      <c r="V1721" s="346">
        <v>113.76990489670536</v>
      </c>
      <c r="W1721" s="348">
        <v>115.3254317175481</v>
      </c>
      <c r="X1721" s="347">
        <v>57.25</v>
      </c>
      <c r="Y1721" s="357" t="s">
        <v>408</v>
      </c>
      <c r="Z1721" s="365" t="s">
        <v>3017</v>
      </c>
      <c r="AA1721" s="350">
        <v>-2</v>
      </c>
      <c r="AB1721" s="349" t="s">
        <v>2685</v>
      </c>
      <c r="AC1721" s="350">
        <v>0</v>
      </c>
      <c r="AD1721" s="349" t="s">
        <v>2685</v>
      </c>
      <c r="AE1721" s="364">
        <v>0</v>
      </c>
      <c r="AF1721" s="366">
        <v>0</v>
      </c>
      <c r="AG1721" s="363">
        <v>0</v>
      </c>
      <c r="AH1721" s="635" t="s">
        <v>408</v>
      </c>
      <c r="AL1721" s="487" t="s">
        <v>16101</v>
      </c>
      <c r="AM1721" s="477" t="s">
        <v>71</v>
      </c>
      <c r="AN1721" s="637">
        <v>100</v>
      </c>
      <c r="AO1721" s="478">
        <v>-1570</v>
      </c>
      <c r="AP1721" s="463">
        <v>-673</v>
      </c>
      <c r="AQ1721" s="479">
        <v>-897</v>
      </c>
      <c r="AR1721" s="476" t="s">
        <v>17787</v>
      </c>
      <c r="BA1721" s="313" t="s">
        <v>6450</v>
      </c>
    </row>
    <row r="1722" spans="2:53" ht="16.5" customHeight="1">
      <c r="B1722" s="367" t="s">
        <v>12532</v>
      </c>
      <c r="C1722" s="351" t="s">
        <v>12533</v>
      </c>
      <c r="D1722" s="353">
        <v>-1570</v>
      </c>
      <c r="E1722" s="352" t="s">
        <v>408</v>
      </c>
      <c r="F1722" s="341">
        <v>71.67</v>
      </c>
      <c r="G1722" s="355" t="s">
        <v>12534</v>
      </c>
      <c r="H1722" s="356" t="s">
        <v>6060</v>
      </c>
      <c r="I1722" s="354" t="s">
        <v>214</v>
      </c>
      <c r="J1722" s="340" t="s">
        <v>8168</v>
      </c>
      <c r="K1722" s="339" t="s">
        <v>70</v>
      </c>
      <c r="L1722" s="357">
        <v>17</v>
      </c>
      <c r="M1722" s="358" t="s">
        <v>12536</v>
      </c>
      <c r="N1722" s="359">
        <v>200</v>
      </c>
      <c r="O1722" s="360" t="s">
        <v>532</v>
      </c>
      <c r="P1722" s="343" t="s">
        <v>532</v>
      </c>
      <c r="Q1722" s="342" t="s">
        <v>2688</v>
      </c>
      <c r="R1722" s="344">
        <v>20</v>
      </c>
      <c r="S1722" s="345">
        <v>30</v>
      </c>
      <c r="T1722" s="362">
        <v>30</v>
      </c>
      <c r="U1722" s="361">
        <v>71.67</v>
      </c>
      <c r="V1722" s="346">
        <v>113.7442491334547</v>
      </c>
      <c r="W1722" s="348">
        <v>115.31136242802354</v>
      </c>
      <c r="X1722" s="347" t="s">
        <v>19030</v>
      </c>
      <c r="Y1722" s="357" t="s">
        <v>408</v>
      </c>
      <c r="Z1722" s="365" t="s">
        <v>4408</v>
      </c>
      <c r="AA1722" s="350">
        <v>36</v>
      </c>
      <c r="AB1722" s="349" t="s">
        <v>2685</v>
      </c>
      <c r="AC1722" s="350">
        <v>0</v>
      </c>
      <c r="AD1722" s="349" t="s">
        <v>2685</v>
      </c>
      <c r="AE1722" s="364">
        <v>0</v>
      </c>
      <c r="AF1722" s="366">
        <v>0</v>
      </c>
      <c r="AG1722" s="363">
        <v>0</v>
      </c>
      <c r="AH1722" s="635" t="s">
        <v>408</v>
      </c>
      <c r="AL1722" s="487" t="s">
        <v>16105</v>
      </c>
      <c r="AM1722" s="477" t="s">
        <v>70</v>
      </c>
      <c r="AN1722" s="637">
        <v>100</v>
      </c>
      <c r="AO1722" s="478">
        <v>-1570</v>
      </c>
      <c r="AP1722" s="463">
        <v>-1570</v>
      </c>
      <c r="AQ1722" s="479">
        <v>0</v>
      </c>
      <c r="AR1722" s="476" t="s">
        <v>17788</v>
      </c>
      <c r="BA1722" s="313" t="s">
        <v>6451</v>
      </c>
    </row>
    <row r="1723" spans="2:53" ht="16.5" customHeight="1">
      <c r="B1723" s="367" t="s">
        <v>12537</v>
      </c>
      <c r="C1723" s="351" t="s">
        <v>12538</v>
      </c>
      <c r="D1723" s="353">
        <v>-1570</v>
      </c>
      <c r="E1723" s="352" t="s">
        <v>408</v>
      </c>
      <c r="F1723" s="341">
        <v>71.67</v>
      </c>
      <c r="G1723" s="355" t="s">
        <v>12539</v>
      </c>
      <c r="H1723" s="356" t="s">
        <v>12357</v>
      </c>
      <c r="I1723" s="354" t="s">
        <v>197</v>
      </c>
      <c r="J1723" s="340" t="s">
        <v>9754</v>
      </c>
      <c r="K1723" s="339" t="s">
        <v>70</v>
      </c>
      <c r="L1723" s="357">
        <v>7</v>
      </c>
      <c r="M1723" s="358" t="s">
        <v>12540</v>
      </c>
      <c r="N1723" s="359">
        <v>500</v>
      </c>
      <c r="O1723" s="360" t="s">
        <v>454</v>
      </c>
      <c r="P1723" s="343" t="s">
        <v>454</v>
      </c>
      <c r="Q1723" s="342" t="s">
        <v>2688</v>
      </c>
      <c r="R1723" s="344">
        <v>20</v>
      </c>
      <c r="S1723" s="345">
        <v>30</v>
      </c>
      <c r="T1723" s="362">
        <v>30</v>
      </c>
      <c r="U1723" s="361">
        <v>71.67</v>
      </c>
      <c r="V1723" s="346">
        <v>113.74982282069455</v>
      </c>
      <c r="W1723" s="348">
        <v>115.31441896618733</v>
      </c>
      <c r="X1723" s="347">
        <v>57.48</v>
      </c>
      <c r="Y1723" s="357" t="s">
        <v>408</v>
      </c>
      <c r="Z1723" s="365" t="s">
        <v>4408</v>
      </c>
      <c r="AA1723" s="350">
        <v>94</v>
      </c>
      <c r="AB1723" s="349" t="s">
        <v>2685</v>
      </c>
      <c r="AC1723" s="350">
        <v>1.5</v>
      </c>
      <c r="AD1723" s="349" t="s">
        <v>2685</v>
      </c>
      <c r="AE1723" s="364">
        <v>0</v>
      </c>
      <c r="AF1723" s="366">
        <v>10.750999999999999</v>
      </c>
      <c r="AG1723" s="363">
        <v>0</v>
      </c>
      <c r="AH1723" s="635" t="s">
        <v>6224</v>
      </c>
      <c r="AL1723" s="487" t="s">
        <v>16102</v>
      </c>
      <c r="AM1723" s="477" t="s">
        <v>70</v>
      </c>
      <c r="AN1723" s="637">
        <v>100</v>
      </c>
      <c r="AO1723" s="478">
        <v>-1570</v>
      </c>
      <c r="AP1723" s="463">
        <v>-1570</v>
      </c>
      <c r="AQ1723" s="479">
        <v>0</v>
      </c>
      <c r="AR1723" s="476" t="s">
        <v>17789</v>
      </c>
      <c r="BA1723" s="313" t="s">
        <v>6452</v>
      </c>
    </row>
    <row r="1724" spans="2:53" ht="16.5" customHeight="1">
      <c r="B1724" s="367" t="s">
        <v>12541</v>
      </c>
      <c r="C1724" s="351" t="s">
        <v>12542</v>
      </c>
      <c r="D1724" s="353">
        <v>-1570</v>
      </c>
      <c r="E1724" s="352" t="s">
        <v>12545</v>
      </c>
      <c r="F1724" s="341">
        <v>71.66</v>
      </c>
      <c r="G1724" s="355" t="s">
        <v>12543</v>
      </c>
      <c r="H1724" s="356" t="s">
        <v>5808</v>
      </c>
      <c r="I1724" s="354" t="s">
        <v>212</v>
      </c>
      <c r="J1724" s="340" t="s">
        <v>9339</v>
      </c>
      <c r="K1724" s="339" t="s">
        <v>70</v>
      </c>
      <c r="L1724" s="357">
        <v>7</v>
      </c>
      <c r="M1724" s="358" t="s">
        <v>12544</v>
      </c>
      <c r="N1724" s="359">
        <v>800</v>
      </c>
      <c r="O1724" s="360" t="s">
        <v>532</v>
      </c>
      <c r="P1724" s="343" t="s">
        <v>532</v>
      </c>
      <c r="Q1724" s="342" t="s">
        <v>2688</v>
      </c>
      <c r="R1724" s="344">
        <v>30</v>
      </c>
      <c r="S1724" s="345">
        <v>40</v>
      </c>
      <c r="T1724" s="362">
        <v>30</v>
      </c>
      <c r="U1724" s="361">
        <v>71.66</v>
      </c>
      <c r="V1724" s="346">
        <v>113.74342928381581</v>
      </c>
      <c r="W1724" s="348">
        <v>115.31091283306029</v>
      </c>
      <c r="X1724" s="347" t="s">
        <v>19030</v>
      </c>
      <c r="Y1724" s="357" t="s">
        <v>408</v>
      </c>
      <c r="Z1724" s="365" t="s">
        <v>3017</v>
      </c>
      <c r="AA1724" s="350">
        <v>190</v>
      </c>
      <c r="AB1724" s="349" t="s">
        <v>2685</v>
      </c>
      <c r="AC1724" s="350">
        <v>10</v>
      </c>
      <c r="AD1724" s="349" t="s">
        <v>2685</v>
      </c>
      <c r="AE1724" s="364">
        <v>0</v>
      </c>
      <c r="AF1724" s="366">
        <v>0</v>
      </c>
      <c r="AG1724" s="363">
        <v>0</v>
      </c>
      <c r="AH1724" s="635" t="s">
        <v>408</v>
      </c>
      <c r="AL1724" s="487" t="s">
        <v>16104</v>
      </c>
      <c r="AM1724" s="477" t="s">
        <v>70</v>
      </c>
      <c r="AN1724" s="637">
        <v>100</v>
      </c>
      <c r="AO1724" s="478">
        <v>-1570</v>
      </c>
      <c r="AP1724" s="463">
        <v>-1570</v>
      </c>
      <c r="AQ1724" s="479">
        <v>0</v>
      </c>
      <c r="AR1724" s="476" t="s">
        <v>17790</v>
      </c>
      <c r="BA1724" s="313" t="s">
        <v>6453</v>
      </c>
    </row>
    <row r="1725" spans="2:53" ht="16.5" customHeight="1">
      <c r="B1725" s="367" t="s">
        <v>12547</v>
      </c>
      <c r="C1725" s="351" t="s">
        <v>12548</v>
      </c>
      <c r="D1725" s="353">
        <v>-1570</v>
      </c>
      <c r="E1725" s="352" t="s">
        <v>408</v>
      </c>
      <c r="F1725" s="341">
        <v>71.62</v>
      </c>
      <c r="G1725" s="355" t="s">
        <v>12549</v>
      </c>
      <c r="H1725" s="356" t="s">
        <v>12362</v>
      </c>
      <c r="I1725" s="354" t="s">
        <v>212</v>
      </c>
      <c r="J1725" s="340" t="s">
        <v>555</v>
      </c>
      <c r="K1725" s="339" t="s">
        <v>70</v>
      </c>
      <c r="L1725" s="357">
        <v>9</v>
      </c>
      <c r="M1725" s="358" t="s">
        <v>12550</v>
      </c>
      <c r="N1725" s="359">
        <v>800</v>
      </c>
      <c r="O1725" s="360" t="s">
        <v>532</v>
      </c>
      <c r="P1725" s="343" t="s">
        <v>532</v>
      </c>
      <c r="Q1725" s="342" t="s">
        <v>2688</v>
      </c>
      <c r="R1725" s="344">
        <v>30</v>
      </c>
      <c r="S1725" s="345">
        <v>40</v>
      </c>
      <c r="T1725" s="362">
        <v>30</v>
      </c>
      <c r="U1725" s="361">
        <v>71.62</v>
      </c>
      <c r="V1725" s="346">
        <v>113.71620296239783</v>
      </c>
      <c r="W1725" s="348">
        <v>115.29598226970204</v>
      </c>
      <c r="X1725" s="347" t="s">
        <v>19031</v>
      </c>
      <c r="Y1725" s="357" t="s">
        <v>408</v>
      </c>
      <c r="Z1725" s="365" t="s">
        <v>3017</v>
      </c>
      <c r="AA1725" s="350">
        <v>190</v>
      </c>
      <c r="AB1725" s="349" t="s">
        <v>2685</v>
      </c>
      <c r="AC1725" s="350">
        <v>10</v>
      </c>
      <c r="AD1725" s="349" t="s">
        <v>2685</v>
      </c>
      <c r="AE1725" s="364">
        <v>0</v>
      </c>
      <c r="AF1725" s="366">
        <v>0</v>
      </c>
      <c r="AG1725" s="363">
        <v>0</v>
      </c>
      <c r="AH1725" s="635" t="s">
        <v>408</v>
      </c>
      <c r="AL1725" s="487" t="s">
        <v>16106</v>
      </c>
      <c r="AM1725" s="477" t="s">
        <v>70</v>
      </c>
      <c r="AN1725" s="637">
        <v>100</v>
      </c>
      <c r="AO1725" s="478">
        <v>-1570</v>
      </c>
      <c r="AP1725" s="463">
        <v>-1570</v>
      </c>
      <c r="AQ1725" s="479">
        <v>0</v>
      </c>
      <c r="AR1725" s="476" t="s">
        <v>17791</v>
      </c>
      <c r="BA1725" s="313" t="s">
        <v>6454</v>
      </c>
    </row>
    <row r="1726" spans="2:53" ht="16.5" customHeight="1">
      <c r="B1726" s="367" t="s">
        <v>12551</v>
      </c>
      <c r="C1726" s="351" t="s">
        <v>12552</v>
      </c>
      <c r="D1726" s="353">
        <v>-1570</v>
      </c>
      <c r="E1726" s="352" t="s">
        <v>408</v>
      </c>
      <c r="F1726" s="341">
        <v>71.540000000000006</v>
      </c>
      <c r="G1726" s="355" t="s">
        <v>12520</v>
      </c>
      <c r="H1726" s="356" t="s">
        <v>5814</v>
      </c>
      <c r="I1726" s="354" t="s">
        <v>197</v>
      </c>
      <c r="J1726" s="340" t="s">
        <v>11127</v>
      </c>
      <c r="K1726" s="339" t="s">
        <v>70</v>
      </c>
      <c r="L1726" s="357">
        <v>3</v>
      </c>
      <c r="M1726" s="358" t="s">
        <v>12553</v>
      </c>
      <c r="N1726" s="359">
        <v>500</v>
      </c>
      <c r="O1726" s="360" t="s">
        <v>454</v>
      </c>
      <c r="P1726" s="343" t="s">
        <v>454</v>
      </c>
      <c r="Q1726" s="342" t="s">
        <v>2688</v>
      </c>
      <c r="R1726" s="344">
        <v>20</v>
      </c>
      <c r="S1726" s="345">
        <v>30</v>
      </c>
      <c r="T1726" s="362">
        <v>30</v>
      </c>
      <c r="U1726" s="361">
        <v>71.540000000000006</v>
      </c>
      <c r="V1726" s="346">
        <v>113.6718639262934</v>
      </c>
      <c r="W1726" s="348">
        <v>115.27166731441896</v>
      </c>
      <c r="X1726" s="347">
        <v>57.45</v>
      </c>
      <c r="Y1726" s="357" t="s">
        <v>408</v>
      </c>
      <c r="Z1726" s="365" t="s">
        <v>4408</v>
      </c>
      <c r="AA1726" s="350">
        <v>94</v>
      </c>
      <c r="AB1726" s="349" t="s">
        <v>2685</v>
      </c>
      <c r="AC1726" s="350">
        <v>1.5</v>
      </c>
      <c r="AD1726" s="349" t="s">
        <v>2685</v>
      </c>
      <c r="AE1726" s="364">
        <v>0</v>
      </c>
      <c r="AF1726" s="366">
        <v>10.731</v>
      </c>
      <c r="AG1726" s="363">
        <v>0</v>
      </c>
      <c r="AH1726" s="635" t="s">
        <v>6224</v>
      </c>
      <c r="AL1726" s="487" t="s">
        <v>16107</v>
      </c>
      <c r="AM1726" s="477" t="s">
        <v>70</v>
      </c>
      <c r="AN1726" s="637">
        <v>100</v>
      </c>
      <c r="AO1726" s="478">
        <v>-1570</v>
      </c>
      <c r="AP1726" s="463">
        <v>-1570</v>
      </c>
      <c r="AQ1726" s="479">
        <v>0</v>
      </c>
      <c r="AR1726" s="476" t="s">
        <v>17792</v>
      </c>
      <c r="BA1726" s="313" t="s">
        <v>6455</v>
      </c>
    </row>
    <row r="1727" spans="2:53" ht="16.5" customHeight="1">
      <c r="B1727" s="367" t="s">
        <v>12554</v>
      </c>
      <c r="C1727" s="351" t="s">
        <v>12555</v>
      </c>
      <c r="D1727" s="353">
        <v>-1570</v>
      </c>
      <c r="E1727" s="352" t="s">
        <v>6434</v>
      </c>
      <c r="F1727" s="341">
        <v>71.52</v>
      </c>
      <c r="G1727" s="355" t="s">
        <v>19032</v>
      </c>
      <c r="H1727" s="356" t="s">
        <v>18949</v>
      </c>
      <c r="I1727" s="354" t="s">
        <v>197</v>
      </c>
      <c r="J1727" s="340" t="s">
        <v>8190</v>
      </c>
      <c r="K1727" s="339" t="s">
        <v>70</v>
      </c>
      <c r="L1727" s="357">
        <v>11</v>
      </c>
      <c r="M1727" s="358" t="s">
        <v>12557</v>
      </c>
      <c r="N1727" s="359">
        <v>500</v>
      </c>
      <c r="O1727" s="360" t="s">
        <v>454</v>
      </c>
      <c r="P1727" s="343" t="s">
        <v>454</v>
      </c>
      <c r="Q1727" s="342" t="s">
        <v>2688</v>
      </c>
      <c r="R1727" s="344">
        <v>30</v>
      </c>
      <c r="S1727" s="345">
        <v>20</v>
      </c>
      <c r="T1727" s="362">
        <v>20</v>
      </c>
      <c r="U1727" s="361">
        <v>71.52</v>
      </c>
      <c r="V1727" s="346">
        <v>113.65914585012086</v>
      </c>
      <c r="W1727" s="348">
        <v>115.26469288555015</v>
      </c>
      <c r="X1727" s="347">
        <v>57.19</v>
      </c>
      <c r="Y1727" s="357" t="s">
        <v>408</v>
      </c>
      <c r="Z1727" s="365" t="s">
        <v>4408</v>
      </c>
      <c r="AA1727" s="350">
        <v>141</v>
      </c>
      <c r="AB1727" s="349" t="s">
        <v>2685</v>
      </c>
      <c r="AC1727" s="350">
        <v>1.5</v>
      </c>
      <c r="AD1727" s="349" t="s">
        <v>2685</v>
      </c>
      <c r="AE1727" s="364">
        <v>0</v>
      </c>
      <c r="AF1727" s="366">
        <v>10.728</v>
      </c>
      <c r="AG1727" s="363">
        <v>0</v>
      </c>
      <c r="AH1727" s="635" t="s">
        <v>6360</v>
      </c>
      <c r="AL1727" s="487" t="s">
        <v>16108</v>
      </c>
      <c r="AM1727" s="477" t="s">
        <v>70</v>
      </c>
      <c r="AN1727" s="637">
        <v>100</v>
      </c>
      <c r="AO1727" s="478">
        <v>-1570</v>
      </c>
      <c r="AP1727" s="463">
        <v>-1570</v>
      </c>
      <c r="AQ1727" s="479">
        <v>0</v>
      </c>
      <c r="AR1727" s="476" t="s">
        <v>17793</v>
      </c>
      <c r="BA1727" s="313" t="s">
        <v>6457</v>
      </c>
    </row>
    <row r="1728" spans="2:53" ht="16.5" customHeight="1">
      <c r="B1728" s="367" t="s">
        <v>12558</v>
      </c>
      <c r="C1728" s="351" t="s">
        <v>12559</v>
      </c>
      <c r="D1728" s="353">
        <v>-1570</v>
      </c>
      <c r="E1728" s="352" t="s">
        <v>408</v>
      </c>
      <c r="F1728" s="341">
        <v>71.459999999999994</v>
      </c>
      <c r="G1728" s="355" t="s">
        <v>12560</v>
      </c>
      <c r="H1728" s="356" t="s">
        <v>19033</v>
      </c>
      <c r="I1728" s="354" t="s">
        <v>212</v>
      </c>
      <c r="J1728" s="340" t="s">
        <v>7353</v>
      </c>
      <c r="K1728" s="339" t="s">
        <v>70</v>
      </c>
      <c r="L1728" s="357">
        <v>31</v>
      </c>
      <c r="M1728" s="358" t="s">
        <v>12561</v>
      </c>
      <c r="N1728" s="359">
        <v>800</v>
      </c>
      <c r="O1728" s="360" t="s">
        <v>532</v>
      </c>
      <c r="P1728" s="343" t="s">
        <v>532</v>
      </c>
      <c r="Q1728" s="342" t="s">
        <v>2688</v>
      </c>
      <c r="R1728" s="344">
        <v>30</v>
      </c>
      <c r="S1728" s="345">
        <v>40</v>
      </c>
      <c r="T1728" s="362">
        <v>30</v>
      </c>
      <c r="U1728" s="361">
        <v>71.459999999999994</v>
      </c>
      <c r="V1728" s="346">
        <v>113.62475044686576</v>
      </c>
      <c r="W1728" s="348">
        <v>115.24583089021671</v>
      </c>
      <c r="X1728" s="347" t="s">
        <v>19034</v>
      </c>
      <c r="Y1728" s="357" t="s">
        <v>408</v>
      </c>
      <c r="Z1728" s="365" t="s">
        <v>3017</v>
      </c>
      <c r="AA1728" s="350">
        <v>190</v>
      </c>
      <c r="AB1728" s="349" t="s">
        <v>2685</v>
      </c>
      <c r="AC1728" s="350">
        <v>10</v>
      </c>
      <c r="AD1728" s="349" t="s">
        <v>2685</v>
      </c>
      <c r="AE1728" s="364">
        <v>0</v>
      </c>
      <c r="AF1728" s="366">
        <v>0</v>
      </c>
      <c r="AG1728" s="363">
        <v>0</v>
      </c>
      <c r="AH1728" s="635" t="s">
        <v>408</v>
      </c>
      <c r="AL1728" s="487" t="s">
        <v>16111</v>
      </c>
      <c r="AM1728" s="477" t="s">
        <v>70</v>
      </c>
      <c r="AN1728" s="637">
        <v>100</v>
      </c>
      <c r="AO1728" s="478">
        <v>-1570</v>
      </c>
      <c r="AP1728" s="463">
        <v>-1570</v>
      </c>
      <c r="AQ1728" s="479">
        <v>0</v>
      </c>
      <c r="AR1728" s="476" t="s">
        <v>17794</v>
      </c>
      <c r="BA1728" s="313" t="s">
        <v>6458</v>
      </c>
    </row>
    <row r="1729" spans="2:53" ht="16.5" customHeight="1">
      <c r="B1729" s="367" t="s">
        <v>6528</v>
      </c>
      <c r="C1729" s="351" t="s">
        <v>6529</v>
      </c>
      <c r="D1729" s="353">
        <v>-1570</v>
      </c>
      <c r="E1729" s="352" t="s">
        <v>408</v>
      </c>
      <c r="F1729" s="341">
        <v>71.45</v>
      </c>
      <c r="G1729" s="355" t="s">
        <v>19035</v>
      </c>
      <c r="H1729" s="356" t="s">
        <v>19036</v>
      </c>
      <c r="I1729" s="354" t="s">
        <v>212</v>
      </c>
      <c r="J1729" s="340" t="s">
        <v>8654</v>
      </c>
      <c r="K1729" s="339" t="s">
        <v>71</v>
      </c>
      <c r="L1729" s="357">
        <v>13</v>
      </c>
      <c r="M1729" s="358" t="s">
        <v>12571</v>
      </c>
      <c r="N1729" s="359">
        <v>800</v>
      </c>
      <c r="O1729" s="360" t="s">
        <v>532</v>
      </c>
      <c r="P1729" s="343" t="s">
        <v>532</v>
      </c>
      <c r="Q1729" s="342" t="s">
        <v>2688</v>
      </c>
      <c r="R1729" s="344">
        <v>40</v>
      </c>
      <c r="S1729" s="345">
        <v>30</v>
      </c>
      <c r="T1729" s="362">
        <v>30</v>
      </c>
      <c r="U1729" s="361">
        <v>71.45</v>
      </c>
      <c r="V1729" s="346">
        <v>113.61926275314735</v>
      </c>
      <c r="W1729" s="348">
        <v>115.24282150979047</v>
      </c>
      <c r="X1729" s="347" t="s">
        <v>19037</v>
      </c>
      <c r="Y1729" s="357" t="s">
        <v>408</v>
      </c>
      <c r="Z1729" s="365" t="s">
        <v>3017</v>
      </c>
      <c r="AA1729" s="350">
        <v>190</v>
      </c>
      <c r="AB1729" s="349" t="s">
        <v>2685</v>
      </c>
      <c r="AC1729" s="350">
        <v>10</v>
      </c>
      <c r="AD1729" s="349" t="s">
        <v>2685</v>
      </c>
      <c r="AE1729" s="364">
        <v>0</v>
      </c>
      <c r="AF1729" s="366">
        <v>0</v>
      </c>
      <c r="AG1729" s="363">
        <v>0</v>
      </c>
      <c r="AH1729" s="635" t="s">
        <v>408</v>
      </c>
      <c r="AL1729" s="487" t="s">
        <v>16109</v>
      </c>
      <c r="AM1729" s="477" t="s">
        <v>71</v>
      </c>
      <c r="AN1729" s="637">
        <v>100</v>
      </c>
      <c r="AO1729" s="478">
        <v>-1570</v>
      </c>
      <c r="AP1729" s="463">
        <v>-672</v>
      </c>
      <c r="AQ1729" s="479">
        <v>-898</v>
      </c>
      <c r="AR1729" s="476" t="s">
        <v>17795</v>
      </c>
      <c r="BA1729" s="313" t="s">
        <v>6459</v>
      </c>
    </row>
    <row r="1730" spans="2:53" ht="16.5" customHeight="1">
      <c r="B1730" s="367" t="s">
        <v>6493</v>
      </c>
      <c r="C1730" s="351" t="s">
        <v>6494</v>
      </c>
      <c r="D1730" s="353">
        <v>-1570</v>
      </c>
      <c r="E1730" s="352" t="s">
        <v>12565</v>
      </c>
      <c r="F1730" s="341">
        <v>71.44</v>
      </c>
      <c r="G1730" s="355" t="s">
        <v>12562</v>
      </c>
      <c r="H1730" s="356" t="s">
        <v>12159</v>
      </c>
      <c r="I1730" s="354" t="s">
        <v>301</v>
      </c>
      <c r="J1730" s="340" t="s">
        <v>12563</v>
      </c>
      <c r="K1730" s="339" t="s">
        <v>70</v>
      </c>
      <c r="L1730" s="357">
        <v>2</v>
      </c>
      <c r="M1730" s="358" t="s">
        <v>12564</v>
      </c>
      <c r="N1730" s="359">
        <v>1000</v>
      </c>
      <c r="O1730" s="360" t="s">
        <v>530</v>
      </c>
      <c r="P1730" s="343" t="s">
        <v>531</v>
      </c>
      <c r="Q1730" s="342" t="s">
        <v>2688</v>
      </c>
      <c r="R1730" s="344">
        <v>20</v>
      </c>
      <c r="S1730" s="345">
        <v>35</v>
      </c>
      <c r="T1730" s="362">
        <v>25</v>
      </c>
      <c r="U1730" s="361">
        <v>71.44</v>
      </c>
      <c r="V1730" s="346">
        <v>113.60959642057995</v>
      </c>
      <c r="W1730" s="348">
        <v>115.23752061773739</v>
      </c>
      <c r="X1730" s="347">
        <v>57.42</v>
      </c>
      <c r="Y1730" s="357">
        <v>57.22</v>
      </c>
      <c r="Z1730" s="365" t="s">
        <v>3017</v>
      </c>
      <c r="AA1730" s="350">
        <v>198</v>
      </c>
      <c r="AB1730" s="349" t="s">
        <v>2685</v>
      </c>
      <c r="AC1730" s="350">
        <v>10</v>
      </c>
      <c r="AD1730" s="349" t="s">
        <v>2685</v>
      </c>
      <c r="AE1730" s="364">
        <v>0</v>
      </c>
      <c r="AF1730" s="366">
        <v>10.340999999999999</v>
      </c>
      <c r="AG1730" s="363">
        <v>0</v>
      </c>
      <c r="AH1730" s="635" t="s">
        <v>10496</v>
      </c>
      <c r="AL1730" s="487" t="s">
        <v>16110</v>
      </c>
      <c r="AM1730" s="477" t="s">
        <v>70</v>
      </c>
      <c r="AN1730" s="637">
        <v>100</v>
      </c>
      <c r="AO1730" s="478">
        <v>-1570</v>
      </c>
      <c r="AP1730" s="463">
        <v>-1570</v>
      </c>
      <c r="AQ1730" s="479">
        <v>0</v>
      </c>
      <c r="AR1730" s="476" t="s">
        <v>17796</v>
      </c>
      <c r="BA1730" s="313" t="s">
        <v>6460</v>
      </c>
    </row>
    <row r="1731" spans="2:53" ht="16.5" customHeight="1">
      <c r="B1731" s="367" t="s">
        <v>6498</v>
      </c>
      <c r="C1731" s="351" t="s">
        <v>6499</v>
      </c>
      <c r="D1731" s="353">
        <v>-1570</v>
      </c>
      <c r="E1731" s="352" t="s">
        <v>12567</v>
      </c>
      <c r="F1731" s="341">
        <v>71.41</v>
      </c>
      <c r="G1731" s="355" t="s">
        <v>19038</v>
      </c>
      <c r="H1731" s="356" t="s">
        <v>6079</v>
      </c>
      <c r="I1731" s="354" t="s">
        <v>9336</v>
      </c>
      <c r="J1731" s="340" t="s">
        <v>12566</v>
      </c>
      <c r="K1731" s="339" t="s">
        <v>71</v>
      </c>
      <c r="L1731" s="357">
        <v>21</v>
      </c>
      <c r="M1731" s="358" t="s">
        <v>11825</v>
      </c>
      <c r="N1731" s="359">
        <v>700</v>
      </c>
      <c r="O1731" s="360" t="s">
        <v>532</v>
      </c>
      <c r="P1731" s="343" t="s">
        <v>533</v>
      </c>
      <c r="Q1731" s="342" t="s">
        <v>2688</v>
      </c>
      <c r="R1731" s="344">
        <v>30</v>
      </c>
      <c r="S1731" s="345">
        <v>30</v>
      </c>
      <c r="T1731" s="362">
        <v>20</v>
      </c>
      <c r="U1731" s="361">
        <v>71.41</v>
      </c>
      <c r="V1731" s="346">
        <v>113.59179980320131</v>
      </c>
      <c r="W1731" s="348">
        <v>115.22776118240071</v>
      </c>
      <c r="X1731" s="347">
        <v>57.16</v>
      </c>
      <c r="Y1731" s="357">
        <v>58.68</v>
      </c>
      <c r="Z1731" s="365" t="s">
        <v>3017</v>
      </c>
      <c r="AA1731" s="350">
        <v>138</v>
      </c>
      <c r="AB1731" s="349" t="s">
        <v>2685</v>
      </c>
      <c r="AC1731" s="350">
        <v>10</v>
      </c>
      <c r="AD1731" s="349" t="s">
        <v>2685</v>
      </c>
      <c r="AE1731" s="364">
        <v>0</v>
      </c>
      <c r="AF1731" s="366">
        <v>0</v>
      </c>
      <c r="AG1731" s="363">
        <v>0</v>
      </c>
      <c r="AH1731" s="635" t="s">
        <v>408</v>
      </c>
      <c r="AL1731" s="487" t="s">
        <v>16112</v>
      </c>
      <c r="AM1731" s="477" t="s">
        <v>71</v>
      </c>
      <c r="AN1731" s="637">
        <v>100</v>
      </c>
      <c r="AO1731" s="478">
        <v>-1570</v>
      </c>
      <c r="AP1731" s="463">
        <v>-671</v>
      </c>
      <c r="AQ1731" s="479">
        <v>-899</v>
      </c>
      <c r="AR1731" s="476" t="s">
        <v>17797</v>
      </c>
      <c r="BA1731" s="313" t="s">
        <v>6462</v>
      </c>
    </row>
    <row r="1732" spans="2:53" ht="16.5" customHeight="1">
      <c r="B1732" s="367" t="s">
        <v>6504</v>
      </c>
      <c r="C1732" s="351" t="s">
        <v>6505</v>
      </c>
      <c r="D1732" s="353">
        <v>-1570</v>
      </c>
      <c r="E1732" s="352" t="s">
        <v>12570</v>
      </c>
      <c r="F1732" s="341">
        <v>71.37</v>
      </c>
      <c r="G1732" s="355" t="s">
        <v>12756</v>
      </c>
      <c r="H1732" s="356" t="s">
        <v>6086</v>
      </c>
      <c r="I1732" s="354" t="s">
        <v>404</v>
      </c>
      <c r="J1732" s="340" t="s">
        <v>436</v>
      </c>
      <c r="K1732" s="339" t="s">
        <v>71</v>
      </c>
      <c r="L1732" s="357">
        <v>248</v>
      </c>
      <c r="M1732" s="358" t="s">
        <v>12568</v>
      </c>
      <c r="N1732" s="359">
        <v>800</v>
      </c>
      <c r="O1732" s="360" t="s">
        <v>454</v>
      </c>
      <c r="P1732" s="343" t="s">
        <v>454</v>
      </c>
      <c r="Q1732" s="342" t="s">
        <v>2688</v>
      </c>
      <c r="R1732" s="344">
        <v>25</v>
      </c>
      <c r="S1732" s="345">
        <v>25</v>
      </c>
      <c r="T1732" s="362">
        <v>25</v>
      </c>
      <c r="U1732" s="361">
        <v>71.37</v>
      </c>
      <c r="V1732" s="346">
        <v>113.57319607843137</v>
      </c>
      <c r="W1732" s="348">
        <v>115.21755913978494</v>
      </c>
      <c r="X1732" s="347">
        <v>57.15</v>
      </c>
      <c r="Y1732" s="357" t="s">
        <v>408</v>
      </c>
      <c r="Z1732" s="365" t="s">
        <v>4408</v>
      </c>
      <c r="AA1732" s="350">
        <v>180</v>
      </c>
      <c r="AB1732" s="349" t="s">
        <v>2685</v>
      </c>
      <c r="AC1732" s="350">
        <v>0</v>
      </c>
      <c r="AD1732" s="349" t="s">
        <v>2685</v>
      </c>
      <c r="AE1732" s="364">
        <v>0</v>
      </c>
      <c r="AF1732" s="366">
        <v>0</v>
      </c>
      <c r="AG1732" s="363">
        <v>0</v>
      </c>
      <c r="AH1732" s="635" t="s">
        <v>12569</v>
      </c>
      <c r="AL1732" s="487" t="s">
        <v>7229</v>
      </c>
      <c r="AM1732" s="477" t="s">
        <v>71</v>
      </c>
      <c r="AN1732" s="637">
        <v>100</v>
      </c>
      <c r="AO1732" s="478">
        <v>-1570</v>
      </c>
      <c r="AP1732" s="463">
        <v>-671</v>
      </c>
      <c r="AQ1732" s="479">
        <v>-899</v>
      </c>
      <c r="AR1732" s="476" t="s">
        <v>17798</v>
      </c>
      <c r="BA1732" s="313" t="s">
        <v>6465</v>
      </c>
    </row>
    <row r="1733" spans="2:53" ht="16.5" customHeight="1">
      <c r="B1733" s="367" t="s">
        <v>12572</v>
      </c>
      <c r="C1733" s="351" t="s">
        <v>12573</v>
      </c>
      <c r="D1733" s="353">
        <v>-1570</v>
      </c>
      <c r="E1733" s="352" t="s">
        <v>408</v>
      </c>
      <c r="F1733" s="341">
        <v>71.3</v>
      </c>
      <c r="G1733" s="355" t="s">
        <v>6325</v>
      </c>
      <c r="H1733" s="356" t="s">
        <v>19039</v>
      </c>
      <c r="I1733" s="354" t="s">
        <v>209</v>
      </c>
      <c r="J1733" s="340" t="s">
        <v>9622</v>
      </c>
      <c r="K1733" s="339" t="s">
        <v>70</v>
      </c>
      <c r="L1733" s="357">
        <v>10</v>
      </c>
      <c r="M1733" s="358" t="s">
        <v>4006</v>
      </c>
      <c r="N1733" s="359">
        <v>1000</v>
      </c>
      <c r="O1733" s="360" t="s">
        <v>530</v>
      </c>
      <c r="P1733" s="343" t="s">
        <v>530</v>
      </c>
      <c r="Q1733" s="342" t="s">
        <v>2688</v>
      </c>
      <c r="R1733" s="344">
        <v>20</v>
      </c>
      <c r="S1733" s="345">
        <v>30</v>
      </c>
      <c r="T1733" s="362">
        <v>30</v>
      </c>
      <c r="U1733" s="361">
        <v>71.3</v>
      </c>
      <c r="V1733" s="346">
        <v>113.53161287310418</v>
      </c>
      <c r="W1733" s="348">
        <v>115.194755446541</v>
      </c>
      <c r="X1733" s="347">
        <v>57.39</v>
      </c>
      <c r="Y1733" s="357" t="s">
        <v>408</v>
      </c>
      <c r="Z1733" s="365" t="s">
        <v>3017</v>
      </c>
      <c r="AA1733" s="350">
        <v>198</v>
      </c>
      <c r="AB1733" s="349" t="s">
        <v>2685</v>
      </c>
      <c r="AC1733" s="350">
        <v>10</v>
      </c>
      <c r="AD1733" s="349" t="s">
        <v>2685</v>
      </c>
      <c r="AE1733" s="364">
        <v>0</v>
      </c>
      <c r="AF1733" s="366">
        <v>0</v>
      </c>
      <c r="AG1733" s="363">
        <v>0</v>
      </c>
      <c r="AH1733" s="635" t="s">
        <v>408</v>
      </c>
      <c r="AL1733" s="487" t="s">
        <v>16113</v>
      </c>
      <c r="AM1733" s="477" t="s">
        <v>70</v>
      </c>
      <c r="AN1733" s="637">
        <v>100</v>
      </c>
      <c r="AO1733" s="478">
        <v>-1570</v>
      </c>
      <c r="AP1733" s="463">
        <v>-1570</v>
      </c>
      <c r="AQ1733" s="479">
        <v>0</v>
      </c>
      <c r="AR1733" s="476" t="s">
        <v>17799</v>
      </c>
      <c r="BA1733" s="313" t="s">
        <v>6466</v>
      </c>
    </row>
    <row r="1734" spans="2:53" ht="16.5" customHeight="1">
      <c r="B1734" s="367" t="s">
        <v>6520</v>
      </c>
      <c r="C1734" s="351" t="s">
        <v>6521</v>
      </c>
      <c r="D1734" s="353">
        <v>-1570</v>
      </c>
      <c r="E1734" s="352" t="s">
        <v>12574</v>
      </c>
      <c r="F1734" s="341">
        <v>71.209999999999994</v>
      </c>
      <c r="G1734" s="355" t="s">
        <v>19040</v>
      </c>
      <c r="H1734" s="356" t="s">
        <v>18953</v>
      </c>
      <c r="I1734" s="354" t="s">
        <v>228</v>
      </c>
      <c r="J1734" s="340" t="s">
        <v>12576</v>
      </c>
      <c r="K1734" s="339" t="s">
        <v>71</v>
      </c>
      <c r="L1734" s="357">
        <v>23</v>
      </c>
      <c r="M1734" s="358" t="s">
        <v>4512</v>
      </c>
      <c r="N1734" s="359">
        <v>1000</v>
      </c>
      <c r="O1734" s="360" t="s">
        <v>530</v>
      </c>
      <c r="P1734" s="343" t="s">
        <v>531</v>
      </c>
      <c r="Q1734" s="342" t="s">
        <v>2688</v>
      </c>
      <c r="R1734" s="344">
        <v>35</v>
      </c>
      <c r="S1734" s="345">
        <v>30</v>
      </c>
      <c r="T1734" s="362">
        <v>35</v>
      </c>
      <c r="U1734" s="361">
        <v>71.209999999999994</v>
      </c>
      <c r="V1734" s="346">
        <v>113.4736691145964</v>
      </c>
      <c r="W1734" s="348">
        <v>115.16297983703674</v>
      </c>
      <c r="X1734" s="347">
        <v>57.1</v>
      </c>
      <c r="Y1734" s="357">
        <v>59.1</v>
      </c>
      <c r="Z1734" s="365" t="s">
        <v>2689</v>
      </c>
      <c r="AA1734" s="350">
        <v>100</v>
      </c>
      <c r="AB1734" s="349" t="s">
        <v>2685</v>
      </c>
      <c r="AC1734" s="350">
        <v>10</v>
      </c>
      <c r="AD1734" s="349" t="s">
        <v>2685</v>
      </c>
      <c r="AE1734" s="364">
        <v>0</v>
      </c>
      <c r="AF1734" s="366">
        <v>10.343</v>
      </c>
      <c r="AG1734" s="363">
        <v>0</v>
      </c>
      <c r="AH1734" s="635" t="s">
        <v>5862</v>
      </c>
      <c r="AL1734" s="487" t="s">
        <v>16114</v>
      </c>
      <c r="AM1734" s="477" t="s">
        <v>71</v>
      </c>
      <c r="AN1734" s="637">
        <v>100</v>
      </c>
      <c r="AO1734" s="478">
        <v>-1570</v>
      </c>
      <c r="AP1734" s="463">
        <v>-670</v>
      </c>
      <c r="AQ1734" s="479">
        <v>-900</v>
      </c>
      <c r="AR1734" s="476" t="s">
        <v>17800</v>
      </c>
      <c r="BA1734" s="313" t="s">
        <v>6469</v>
      </c>
    </row>
    <row r="1735" spans="2:53" ht="16.5" customHeight="1">
      <c r="B1735" s="367" t="s">
        <v>12577</v>
      </c>
      <c r="C1735" s="351" t="s">
        <v>12578</v>
      </c>
      <c r="D1735" s="353">
        <v>-1570</v>
      </c>
      <c r="E1735" s="352" t="s">
        <v>408</v>
      </c>
      <c r="F1735" s="341">
        <v>71.2</v>
      </c>
      <c r="G1735" s="355" t="s">
        <v>12579</v>
      </c>
      <c r="H1735" s="356" t="s">
        <v>12201</v>
      </c>
      <c r="I1735" s="354" t="s">
        <v>228</v>
      </c>
      <c r="J1735" s="340" t="s">
        <v>9261</v>
      </c>
      <c r="K1735" s="339" t="s">
        <v>70</v>
      </c>
      <c r="L1735" s="357">
        <v>23</v>
      </c>
      <c r="M1735" s="358" t="s">
        <v>12580</v>
      </c>
      <c r="N1735" s="359">
        <v>1000</v>
      </c>
      <c r="O1735" s="360" t="s">
        <v>530</v>
      </c>
      <c r="P1735" s="343" t="s">
        <v>531</v>
      </c>
      <c r="Q1735" s="342" t="s">
        <v>2688</v>
      </c>
      <c r="R1735" s="344">
        <v>30</v>
      </c>
      <c r="S1735" s="345">
        <v>35</v>
      </c>
      <c r="T1735" s="362">
        <v>35</v>
      </c>
      <c r="U1735" s="361">
        <v>71.2</v>
      </c>
      <c r="V1735" s="346">
        <v>113.4686616478037</v>
      </c>
      <c r="W1735" s="348">
        <v>115.16023380686009</v>
      </c>
      <c r="X1735" s="347">
        <v>57.37</v>
      </c>
      <c r="Y1735" s="357">
        <v>59.1</v>
      </c>
      <c r="Z1735" s="365" t="s">
        <v>2689</v>
      </c>
      <c r="AA1735" s="350">
        <v>100</v>
      </c>
      <c r="AB1735" s="349" t="s">
        <v>2685</v>
      </c>
      <c r="AC1735" s="350">
        <v>10</v>
      </c>
      <c r="AD1735" s="349" t="s">
        <v>2685</v>
      </c>
      <c r="AE1735" s="364">
        <v>0</v>
      </c>
      <c r="AF1735" s="366">
        <v>10.343</v>
      </c>
      <c r="AG1735" s="363">
        <v>0</v>
      </c>
      <c r="AH1735" s="635" t="s">
        <v>7787</v>
      </c>
      <c r="AL1735" s="487" t="s">
        <v>16115</v>
      </c>
      <c r="AM1735" s="477" t="s">
        <v>70</v>
      </c>
      <c r="AN1735" s="637">
        <v>100</v>
      </c>
      <c r="AO1735" s="478">
        <v>-1570</v>
      </c>
      <c r="AP1735" s="463">
        <v>-1570</v>
      </c>
      <c r="AQ1735" s="479">
        <v>0</v>
      </c>
      <c r="AR1735" s="476" t="s">
        <v>17801</v>
      </c>
      <c r="BA1735" s="313" t="s">
        <v>6471</v>
      </c>
    </row>
    <row r="1736" spans="2:53" ht="16.5" customHeight="1">
      <c r="B1736" s="367" t="s">
        <v>12581</v>
      </c>
      <c r="C1736" s="351" t="s">
        <v>12582</v>
      </c>
      <c r="D1736" s="353">
        <v>-1570</v>
      </c>
      <c r="E1736" s="352" t="s">
        <v>12583</v>
      </c>
      <c r="F1736" s="341">
        <v>71.11</v>
      </c>
      <c r="G1736" s="355" t="s">
        <v>12640</v>
      </c>
      <c r="H1736" s="356" t="s">
        <v>6136</v>
      </c>
      <c r="I1736" s="354" t="s">
        <v>197</v>
      </c>
      <c r="J1736" s="340" t="s">
        <v>8232</v>
      </c>
      <c r="K1736" s="339" t="s">
        <v>70</v>
      </c>
      <c r="L1736" s="357">
        <v>5</v>
      </c>
      <c r="M1736" s="358" t="s">
        <v>12584</v>
      </c>
      <c r="N1736" s="359">
        <v>500</v>
      </c>
      <c r="O1736" s="360" t="s">
        <v>454</v>
      </c>
      <c r="P1736" s="343" t="s">
        <v>454</v>
      </c>
      <c r="Q1736" s="342" t="s">
        <v>2688</v>
      </c>
      <c r="R1736" s="344">
        <v>30</v>
      </c>
      <c r="S1736" s="345">
        <v>20</v>
      </c>
      <c r="T1736" s="362">
        <v>20</v>
      </c>
      <c r="U1736" s="361">
        <v>71.11</v>
      </c>
      <c r="V1736" s="346">
        <v>113.4174053182917</v>
      </c>
      <c r="W1736" s="348">
        <v>115.1321254971277</v>
      </c>
      <c r="X1736" s="347">
        <v>57.08</v>
      </c>
      <c r="Y1736" s="357" t="s">
        <v>408</v>
      </c>
      <c r="Z1736" s="365" t="s">
        <v>4408</v>
      </c>
      <c r="AA1736" s="350">
        <v>141</v>
      </c>
      <c r="AB1736" s="349" t="s">
        <v>2685</v>
      </c>
      <c r="AC1736" s="350">
        <v>1.5</v>
      </c>
      <c r="AD1736" s="349" t="s">
        <v>2685</v>
      </c>
      <c r="AE1736" s="364">
        <v>0</v>
      </c>
      <c r="AF1736" s="366">
        <v>10.667</v>
      </c>
      <c r="AG1736" s="363">
        <v>0</v>
      </c>
      <c r="AH1736" s="635" t="s">
        <v>6360</v>
      </c>
      <c r="AL1736" s="487" t="s">
        <v>16116</v>
      </c>
      <c r="AM1736" s="477" t="s">
        <v>70</v>
      </c>
      <c r="AN1736" s="637">
        <v>100</v>
      </c>
      <c r="AO1736" s="478">
        <v>-1570</v>
      </c>
      <c r="AP1736" s="463">
        <v>-1570</v>
      </c>
      <c r="AQ1736" s="479">
        <v>0</v>
      </c>
      <c r="AR1736" s="476" t="s">
        <v>17802</v>
      </c>
      <c r="BA1736" s="313" t="s">
        <v>6472</v>
      </c>
    </row>
    <row r="1737" spans="2:53" ht="16.5" customHeight="1">
      <c r="B1737" s="367" t="s">
        <v>12585</v>
      </c>
      <c r="C1737" s="351" t="s">
        <v>12586</v>
      </c>
      <c r="D1737" s="353">
        <v>-1570</v>
      </c>
      <c r="E1737" s="352" t="s">
        <v>408</v>
      </c>
      <c r="F1737" s="341">
        <v>71.09</v>
      </c>
      <c r="G1737" s="355" t="s">
        <v>6470</v>
      </c>
      <c r="H1737" s="356" t="s">
        <v>12216</v>
      </c>
      <c r="I1737" s="354" t="s">
        <v>214</v>
      </c>
      <c r="J1737" s="340" t="s">
        <v>8307</v>
      </c>
      <c r="K1737" s="339" t="s">
        <v>70</v>
      </c>
      <c r="L1737" s="357">
        <v>6</v>
      </c>
      <c r="M1737" s="358" t="s">
        <v>12587</v>
      </c>
      <c r="N1737" s="359">
        <v>200</v>
      </c>
      <c r="O1737" s="360" t="s">
        <v>532</v>
      </c>
      <c r="P1737" s="343" t="s">
        <v>532</v>
      </c>
      <c r="Q1737" s="342" t="s">
        <v>2688</v>
      </c>
      <c r="R1737" s="344">
        <v>20</v>
      </c>
      <c r="S1737" s="345">
        <v>30</v>
      </c>
      <c r="T1737" s="362">
        <v>30</v>
      </c>
      <c r="U1737" s="361">
        <v>71.09</v>
      </c>
      <c r="V1737" s="346">
        <v>113.40397090192874</v>
      </c>
      <c r="W1737" s="348">
        <v>115.12475823654157</v>
      </c>
      <c r="X1737" s="347" t="s">
        <v>19041</v>
      </c>
      <c r="Y1737" s="357" t="s">
        <v>408</v>
      </c>
      <c r="Z1737" s="365" t="s">
        <v>4408</v>
      </c>
      <c r="AA1737" s="350">
        <v>36</v>
      </c>
      <c r="AB1737" s="349" t="s">
        <v>2685</v>
      </c>
      <c r="AC1737" s="350">
        <v>0</v>
      </c>
      <c r="AD1737" s="349" t="s">
        <v>2685</v>
      </c>
      <c r="AE1737" s="364">
        <v>0</v>
      </c>
      <c r="AF1737" s="366">
        <v>0</v>
      </c>
      <c r="AG1737" s="363">
        <v>0</v>
      </c>
      <c r="AH1737" s="635" t="s">
        <v>408</v>
      </c>
      <c r="AL1737" s="487" t="s">
        <v>16117</v>
      </c>
      <c r="AM1737" s="477" t="s">
        <v>70</v>
      </c>
      <c r="AN1737" s="637">
        <v>100</v>
      </c>
      <c r="AO1737" s="478">
        <v>-1570</v>
      </c>
      <c r="AP1737" s="463">
        <v>-1570</v>
      </c>
      <c r="AQ1737" s="479">
        <v>0</v>
      </c>
      <c r="AR1737" s="476" t="s">
        <v>17803</v>
      </c>
      <c r="BA1737" s="313" t="s">
        <v>6473</v>
      </c>
    </row>
    <row r="1738" spans="2:53" ht="16.5" customHeight="1">
      <c r="B1738" s="367" t="s">
        <v>12588</v>
      </c>
      <c r="C1738" s="351" t="s">
        <v>12589</v>
      </c>
      <c r="D1738" s="353">
        <v>-1570</v>
      </c>
      <c r="E1738" s="352" t="s">
        <v>408</v>
      </c>
      <c r="F1738" s="341">
        <v>70.989999999999995</v>
      </c>
      <c r="G1738" s="355" t="s">
        <v>12590</v>
      </c>
      <c r="H1738" s="356" t="s">
        <v>19042</v>
      </c>
      <c r="I1738" s="354" t="s">
        <v>216</v>
      </c>
      <c r="J1738" s="340" t="s">
        <v>8307</v>
      </c>
      <c r="K1738" s="339" t="s">
        <v>70</v>
      </c>
      <c r="L1738" s="357">
        <v>4</v>
      </c>
      <c r="M1738" s="358" t="s">
        <v>6424</v>
      </c>
      <c r="N1738" s="359">
        <v>300</v>
      </c>
      <c r="O1738" s="360" t="s">
        <v>530</v>
      </c>
      <c r="P1738" s="343" t="s">
        <v>530</v>
      </c>
      <c r="Q1738" s="342" t="s">
        <v>2688</v>
      </c>
      <c r="R1738" s="344">
        <v>25</v>
      </c>
      <c r="S1738" s="345">
        <v>45</v>
      </c>
      <c r="T1738" s="362">
        <v>30</v>
      </c>
      <c r="U1738" s="361">
        <v>70.989999999999995</v>
      </c>
      <c r="V1738" s="346">
        <v>113.34507477587717</v>
      </c>
      <c r="W1738" s="348">
        <v>115.09246036096489</v>
      </c>
      <c r="X1738" s="347">
        <v>57.32</v>
      </c>
      <c r="Y1738" s="357" t="s">
        <v>408</v>
      </c>
      <c r="Z1738" s="365" t="s">
        <v>3017</v>
      </c>
      <c r="AA1738" s="350">
        <v>-2</v>
      </c>
      <c r="AB1738" s="349" t="s">
        <v>2685</v>
      </c>
      <c r="AC1738" s="350">
        <v>0</v>
      </c>
      <c r="AD1738" s="349" t="s">
        <v>2685</v>
      </c>
      <c r="AE1738" s="364">
        <v>0</v>
      </c>
      <c r="AF1738" s="366">
        <v>0</v>
      </c>
      <c r="AG1738" s="363">
        <v>0</v>
      </c>
      <c r="AH1738" s="635" t="s">
        <v>408</v>
      </c>
      <c r="AL1738" s="487" t="s">
        <v>16119</v>
      </c>
      <c r="AM1738" s="477" t="s">
        <v>70</v>
      </c>
      <c r="AN1738" s="637">
        <v>100</v>
      </c>
      <c r="AO1738" s="478">
        <v>-1570</v>
      </c>
      <c r="AP1738" s="463">
        <v>-1570</v>
      </c>
      <c r="AQ1738" s="479">
        <v>0</v>
      </c>
      <c r="AR1738" s="476" t="s">
        <v>17804</v>
      </c>
      <c r="BA1738" s="313" t="s">
        <v>6474</v>
      </c>
    </row>
    <row r="1739" spans="2:53" ht="16.5" customHeight="1">
      <c r="B1739" s="367" t="s">
        <v>18270</v>
      </c>
      <c r="C1739" s="351" t="s">
        <v>18271</v>
      </c>
      <c r="D1739" s="353">
        <v>-1570</v>
      </c>
      <c r="E1739" s="352" t="s">
        <v>408</v>
      </c>
      <c r="F1739" s="341">
        <v>70.989999999999995</v>
      </c>
      <c r="G1739" s="355" t="s">
        <v>6461</v>
      </c>
      <c r="H1739" s="356" t="s">
        <v>5869</v>
      </c>
      <c r="I1739" s="354" t="s">
        <v>212</v>
      </c>
      <c r="J1739" s="340" t="s">
        <v>8618</v>
      </c>
      <c r="K1739" s="339" t="s">
        <v>71</v>
      </c>
      <c r="L1739" s="357">
        <v>15</v>
      </c>
      <c r="M1739" s="358" t="s">
        <v>12615</v>
      </c>
      <c r="N1739" s="359">
        <v>800</v>
      </c>
      <c r="O1739" s="360" t="s">
        <v>532</v>
      </c>
      <c r="P1739" s="343" t="s">
        <v>532</v>
      </c>
      <c r="Q1739" s="342" t="s">
        <v>2688</v>
      </c>
      <c r="R1739" s="344">
        <v>40</v>
      </c>
      <c r="S1739" s="345">
        <v>30</v>
      </c>
      <c r="T1739" s="362">
        <v>30</v>
      </c>
      <c r="U1739" s="361">
        <v>70.989999999999995</v>
      </c>
      <c r="V1739" s="346">
        <v>113.34866147648599</v>
      </c>
      <c r="W1739" s="348">
        <v>115.09442726129876</v>
      </c>
      <c r="X1739" s="347" t="s">
        <v>19043</v>
      </c>
      <c r="Y1739" s="357" t="s">
        <v>408</v>
      </c>
      <c r="Z1739" s="365" t="s">
        <v>3017</v>
      </c>
      <c r="AA1739" s="350">
        <v>190</v>
      </c>
      <c r="AB1739" s="349" t="s">
        <v>2685</v>
      </c>
      <c r="AC1739" s="350">
        <v>10</v>
      </c>
      <c r="AD1739" s="349" t="s">
        <v>2685</v>
      </c>
      <c r="AE1739" s="364">
        <v>0</v>
      </c>
      <c r="AF1739" s="366">
        <v>0</v>
      </c>
      <c r="AG1739" s="363">
        <v>0</v>
      </c>
      <c r="AH1739" s="635" t="s">
        <v>408</v>
      </c>
      <c r="AL1739" s="487" t="s">
        <v>16120</v>
      </c>
      <c r="AM1739" s="477" t="s">
        <v>71</v>
      </c>
      <c r="AN1739" s="637">
        <v>100</v>
      </c>
      <c r="AO1739" s="478">
        <v>-1570</v>
      </c>
      <c r="AP1739" s="463">
        <v>-669</v>
      </c>
      <c r="AQ1739" s="479">
        <v>-901</v>
      </c>
      <c r="AR1739" s="476" t="s">
        <v>17805</v>
      </c>
      <c r="BA1739" s="313" t="s">
        <v>6475</v>
      </c>
    </row>
    <row r="1740" spans="2:53" ht="16.5" customHeight="1">
      <c r="B1740" s="367" t="s">
        <v>12588</v>
      </c>
      <c r="C1740" s="351" t="s">
        <v>12589</v>
      </c>
      <c r="D1740" s="353">
        <v>-1570</v>
      </c>
      <c r="E1740" s="352" t="s">
        <v>408</v>
      </c>
      <c r="F1740" s="341">
        <v>70.989999999999995</v>
      </c>
      <c r="G1740" s="355" t="s">
        <v>12590</v>
      </c>
      <c r="H1740" s="356" t="s">
        <v>5824</v>
      </c>
      <c r="I1740" s="354" t="s">
        <v>197</v>
      </c>
      <c r="J1740" s="340" t="s">
        <v>8742</v>
      </c>
      <c r="K1740" s="339" t="s">
        <v>71</v>
      </c>
      <c r="L1740" s="357">
        <v>4</v>
      </c>
      <c r="M1740" s="358" t="s">
        <v>6567</v>
      </c>
      <c r="N1740" s="359">
        <v>500</v>
      </c>
      <c r="O1740" s="360" t="s">
        <v>454</v>
      </c>
      <c r="P1740" s="343" t="s">
        <v>454</v>
      </c>
      <c r="Q1740" s="342" t="s">
        <v>2688</v>
      </c>
      <c r="R1740" s="344">
        <v>20</v>
      </c>
      <c r="S1740" s="345">
        <v>30</v>
      </c>
      <c r="T1740" s="362">
        <v>30</v>
      </c>
      <c r="U1740" s="361">
        <v>70.989999999999995</v>
      </c>
      <c r="V1740" s="346">
        <v>113.34610123119016</v>
      </c>
      <c r="W1740" s="348">
        <v>115.09302325581395</v>
      </c>
      <c r="X1740" s="347">
        <v>57.32</v>
      </c>
      <c r="Y1740" s="357" t="s">
        <v>408</v>
      </c>
      <c r="Z1740" s="365" t="s">
        <v>4408</v>
      </c>
      <c r="AA1740" s="350">
        <v>94</v>
      </c>
      <c r="AB1740" s="349" t="s">
        <v>2685</v>
      </c>
      <c r="AC1740" s="350">
        <v>1.5</v>
      </c>
      <c r="AD1740" s="349" t="s">
        <v>2685</v>
      </c>
      <c r="AE1740" s="364">
        <v>0</v>
      </c>
      <c r="AF1740" s="366">
        <v>21.297000000000001</v>
      </c>
      <c r="AG1740" s="363">
        <v>0</v>
      </c>
      <c r="AH1740" s="635" t="s">
        <v>12164</v>
      </c>
      <c r="AL1740" s="487" t="s">
        <v>16121</v>
      </c>
      <c r="AM1740" s="477" t="s">
        <v>71</v>
      </c>
      <c r="AN1740" s="637">
        <v>100</v>
      </c>
      <c r="AO1740" s="478">
        <v>-1570</v>
      </c>
      <c r="AP1740" s="463">
        <v>-671</v>
      </c>
      <c r="AQ1740" s="479">
        <v>-899</v>
      </c>
      <c r="AR1740" s="476" t="s">
        <v>17806</v>
      </c>
      <c r="BA1740" s="313" t="s">
        <v>6476</v>
      </c>
    </row>
    <row r="1741" spans="2:53" ht="16.5" customHeight="1">
      <c r="B1741" s="367" t="s">
        <v>6560</v>
      </c>
      <c r="C1741" s="351" t="s">
        <v>6561</v>
      </c>
      <c r="D1741" s="353">
        <v>-1570</v>
      </c>
      <c r="E1741" s="352" t="s">
        <v>408</v>
      </c>
      <c r="F1741" s="341">
        <v>70.98</v>
      </c>
      <c r="G1741" s="355" t="s">
        <v>19044</v>
      </c>
      <c r="H1741" s="356" t="s">
        <v>12253</v>
      </c>
      <c r="I1741" s="354" t="s">
        <v>214</v>
      </c>
      <c r="J1741" s="340" t="s">
        <v>12617</v>
      </c>
      <c r="K1741" s="339" t="s">
        <v>71</v>
      </c>
      <c r="L1741" s="357">
        <v>7</v>
      </c>
      <c r="M1741" s="358" t="s">
        <v>12618</v>
      </c>
      <c r="N1741" s="359">
        <v>200</v>
      </c>
      <c r="O1741" s="360" t="s">
        <v>532</v>
      </c>
      <c r="P1741" s="343" t="s">
        <v>532</v>
      </c>
      <c r="Q1741" s="342" t="s">
        <v>2688</v>
      </c>
      <c r="R1741" s="344">
        <v>30</v>
      </c>
      <c r="S1741" s="345">
        <v>20</v>
      </c>
      <c r="T1741" s="362">
        <v>30</v>
      </c>
      <c r="U1741" s="361">
        <v>70.98</v>
      </c>
      <c r="V1741" s="346">
        <v>113.34266299658422</v>
      </c>
      <c r="W1741" s="348">
        <v>115.09113777232038</v>
      </c>
      <c r="X1741" s="347" t="s">
        <v>19043</v>
      </c>
      <c r="Y1741" s="357" t="s">
        <v>408</v>
      </c>
      <c r="Z1741" s="365" t="s">
        <v>4408</v>
      </c>
      <c r="AA1741" s="350">
        <v>36</v>
      </c>
      <c r="AB1741" s="349" t="s">
        <v>2685</v>
      </c>
      <c r="AC1741" s="350">
        <v>0</v>
      </c>
      <c r="AD1741" s="349" t="s">
        <v>2685</v>
      </c>
      <c r="AE1741" s="364">
        <v>0</v>
      </c>
      <c r="AF1741" s="366">
        <v>0</v>
      </c>
      <c r="AG1741" s="363">
        <v>0</v>
      </c>
      <c r="AH1741" s="635" t="s">
        <v>408</v>
      </c>
      <c r="AL1741" s="487" t="s">
        <v>16122</v>
      </c>
      <c r="AM1741" s="477" t="s">
        <v>71</v>
      </c>
      <c r="AN1741" s="637">
        <v>100</v>
      </c>
      <c r="AO1741" s="478">
        <v>-1570</v>
      </c>
      <c r="AP1741" s="463">
        <v>-669</v>
      </c>
      <c r="AQ1741" s="479">
        <v>-901</v>
      </c>
      <c r="AR1741" s="476" t="s">
        <v>17807</v>
      </c>
      <c r="BA1741" s="313" t="s">
        <v>6477</v>
      </c>
    </row>
    <row r="1742" spans="2:53" ht="16.5" customHeight="1">
      <c r="B1742" s="367" t="s">
        <v>12591</v>
      </c>
      <c r="C1742" s="351" t="s">
        <v>12592</v>
      </c>
      <c r="D1742" s="353">
        <v>-1570</v>
      </c>
      <c r="E1742" s="352" t="s">
        <v>408</v>
      </c>
      <c r="F1742" s="341">
        <v>70.95</v>
      </c>
      <c r="G1742" s="355" t="s">
        <v>12593</v>
      </c>
      <c r="H1742" s="356" t="s">
        <v>6154</v>
      </c>
      <c r="I1742" s="354" t="s">
        <v>8000</v>
      </c>
      <c r="J1742" s="340" t="s">
        <v>8283</v>
      </c>
      <c r="K1742" s="339" t="s">
        <v>70</v>
      </c>
      <c r="L1742" s="357">
        <v>10</v>
      </c>
      <c r="M1742" s="358" t="s">
        <v>12595</v>
      </c>
      <c r="N1742" s="359">
        <v>1000</v>
      </c>
      <c r="O1742" s="360" t="s">
        <v>532</v>
      </c>
      <c r="P1742" s="343" t="s">
        <v>532</v>
      </c>
      <c r="Q1742" s="342" t="s">
        <v>2688</v>
      </c>
      <c r="R1742" s="344">
        <v>25</v>
      </c>
      <c r="S1742" s="345">
        <v>30</v>
      </c>
      <c r="T1742" s="362">
        <v>25</v>
      </c>
      <c r="U1742" s="361">
        <v>70.95</v>
      </c>
      <c r="V1742" s="346">
        <v>113.32185451553225</v>
      </c>
      <c r="W1742" s="348">
        <v>115.079726669808</v>
      </c>
      <c r="X1742" s="347" t="s">
        <v>19045</v>
      </c>
      <c r="Y1742" s="357" t="s">
        <v>408</v>
      </c>
      <c r="Z1742" s="365" t="s">
        <v>4408</v>
      </c>
      <c r="AA1742" s="350">
        <v>192</v>
      </c>
      <c r="AB1742" s="349" t="s">
        <v>2685</v>
      </c>
      <c r="AC1742" s="350">
        <v>0</v>
      </c>
      <c r="AD1742" s="349" t="s">
        <v>2685</v>
      </c>
      <c r="AE1742" s="364">
        <v>0</v>
      </c>
      <c r="AF1742" s="366">
        <v>0</v>
      </c>
      <c r="AG1742" s="363">
        <v>0</v>
      </c>
      <c r="AH1742" s="635" t="s">
        <v>408</v>
      </c>
      <c r="AL1742" s="487" t="s">
        <v>16125</v>
      </c>
      <c r="AM1742" s="477" t="s">
        <v>70</v>
      </c>
      <c r="AN1742" s="637">
        <v>100</v>
      </c>
      <c r="AO1742" s="478">
        <v>-1570</v>
      </c>
      <c r="AP1742" s="463">
        <v>-1570</v>
      </c>
      <c r="AQ1742" s="479">
        <v>0</v>
      </c>
      <c r="AR1742" s="476" t="s">
        <v>17808</v>
      </c>
      <c r="BA1742" s="313" t="s">
        <v>6479</v>
      </c>
    </row>
    <row r="1743" spans="2:53" ht="16.5" customHeight="1">
      <c r="B1743" s="367" t="s">
        <v>12596</v>
      </c>
      <c r="C1743" s="351" t="s">
        <v>12597</v>
      </c>
      <c r="D1743" s="353">
        <v>-1570</v>
      </c>
      <c r="E1743" s="352" t="s">
        <v>12604</v>
      </c>
      <c r="F1743" s="341">
        <v>70.94</v>
      </c>
      <c r="G1743" s="355" t="s">
        <v>6437</v>
      </c>
      <c r="H1743" s="356" t="s">
        <v>19046</v>
      </c>
      <c r="I1743" s="354" t="s">
        <v>197</v>
      </c>
      <c r="J1743" s="340" t="s">
        <v>12598</v>
      </c>
      <c r="K1743" s="339" t="s">
        <v>70</v>
      </c>
      <c r="L1743" s="357">
        <v>7</v>
      </c>
      <c r="M1743" s="358" t="s">
        <v>12599</v>
      </c>
      <c r="N1743" s="359">
        <v>500</v>
      </c>
      <c r="O1743" s="360" t="s">
        <v>454</v>
      </c>
      <c r="P1743" s="343" t="s">
        <v>454</v>
      </c>
      <c r="Q1743" s="342" t="s">
        <v>2688</v>
      </c>
      <c r="R1743" s="344">
        <v>20</v>
      </c>
      <c r="S1743" s="345">
        <v>30</v>
      </c>
      <c r="T1743" s="362">
        <v>30</v>
      </c>
      <c r="U1743" s="361">
        <v>70.94</v>
      </c>
      <c r="V1743" s="346">
        <v>113.31750531537917</v>
      </c>
      <c r="W1743" s="348">
        <v>115.07734162456276</v>
      </c>
      <c r="X1743" s="347">
        <v>57.31</v>
      </c>
      <c r="Y1743" s="357" t="s">
        <v>408</v>
      </c>
      <c r="Z1743" s="365" t="s">
        <v>4408</v>
      </c>
      <c r="AA1743" s="350">
        <v>94</v>
      </c>
      <c r="AB1743" s="349" t="s">
        <v>2685</v>
      </c>
      <c r="AC1743" s="350">
        <v>1.5</v>
      </c>
      <c r="AD1743" s="349" t="s">
        <v>2685</v>
      </c>
      <c r="AE1743" s="364">
        <v>0</v>
      </c>
      <c r="AF1743" s="366">
        <v>10.641</v>
      </c>
      <c r="AG1743" s="363">
        <v>0</v>
      </c>
      <c r="AH1743" s="635" t="s">
        <v>6224</v>
      </c>
      <c r="AL1743" s="487" t="s">
        <v>16123</v>
      </c>
      <c r="AM1743" s="477" t="s">
        <v>70</v>
      </c>
      <c r="AN1743" s="637">
        <v>100</v>
      </c>
      <c r="AO1743" s="478">
        <v>-1570</v>
      </c>
      <c r="AP1743" s="463">
        <v>-1570</v>
      </c>
      <c r="AQ1743" s="479">
        <v>0</v>
      </c>
      <c r="AR1743" s="476" t="s">
        <v>17809</v>
      </c>
      <c r="BA1743" s="313" t="s">
        <v>6480</v>
      </c>
    </row>
    <row r="1744" spans="2:53" ht="16.5" customHeight="1">
      <c r="B1744" s="367" t="s">
        <v>6544</v>
      </c>
      <c r="C1744" s="351" t="s">
        <v>6545</v>
      </c>
      <c r="D1744" s="353">
        <v>-1570</v>
      </c>
      <c r="E1744" s="352" t="s">
        <v>408</v>
      </c>
      <c r="F1744" s="341">
        <v>70.930000000000007</v>
      </c>
      <c r="G1744" s="355" t="s">
        <v>12600</v>
      </c>
      <c r="H1744" s="356" t="s">
        <v>19047</v>
      </c>
      <c r="I1744" s="354" t="s">
        <v>214</v>
      </c>
      <c r="J1744" s="340" t="s">
        <v>555</v>
      </c>
      <c r="K1744" s="339" t="s">
        <v>70</v>
      </c>
      <c r="L1744" s="357">
        <v>12</v>
      </c>
      <c r="M1744" s="358" t="s">
        <v>12601</v>
      </c>
      <c r="N1744" s="359">
        <v>200</v>
      </c>
      <c r="O1744" s="360" t="s">
        <v>532</v>
      </c>
      <c r="P1744" s="343" t="s">
        <v>532</v>
      </c>
      <c r="Q1744" s="342" t="s">
        <v>2688</v>
      </c>
      <c r="R1744" s="344">
        <v>20</v>
      </c>
      <c r="S1744" s="345">
        <v>30</v>
      </c>
      <c r="T1744" s="362">
        <v>30</v>
      </c>
      <c r="U1744" s="361">
        <v>70.930000000000007</v>
      </c>
      <c r="V1744" s="346">
        <v>113.31076192448326</v>
      </c>
      <c r="W1744" s="348">
        <v>115.07364363600693</v>
      </c>
      <c r="X1744" s="347" t="s">
        <v>19045</v>
      </c>
      <c r="Y1744" s="357" t="s">
        <v>408</v>
      </c>
      <c r="Z1744" s="365" t="s">
        <v>4408</v>
      </c>
      <c r="AA1744" s="350">
        <v>36</v>
      </c>
      <c r="AB1744" s="349" t="s">
        <v>2685</v>
      </c>
      <c r="AC1744" s="350">
        <v>0</v>
      </c>
      <c r="AD1744" s="349" t="s">
        <v>2685</v>
      </c>
      <c r="AE1744" s="364">
        <v>0</v>
      </c>
      <c r="AF1744" s="366">
        <v>0</v>
      </c>
      <c r="AG1744" s="363">
        <v>0</v>
      </c>
      <c r="AH1744" s="635" t="s">
        <v>408</v>
      </c>
      <c r="AL1744" s="487" t="s">
        <v>16127</v>
      </c>
      <c r="AM1744" s="477" t="s">
        <v>70</v>
      </c>
      <c r="AN1744" s="637">
        <v>100</v>
      </c>
      <c r="AO1744" s="478">
        <v>-1570</v>
      </c>
      <c r="AP1744" s="463">
        <v>-1570</v>
      </c>
      <c r="AQ1744" s="479">
        <v>0</v>
      </c>
      <c r="AR1744" s="476" t="s">
        <v>17810</v>
      </c>
      <c r="BA1744" s="313" t="s">
        <v>6481</v>
      </c>
    </row>
    <row r="1745" spans="2:53" ht="16.5" customHeight="1">
      <c r="B1745" s="367" t="s">
        <v>12606</v>
      </c>
      <c r="C1745" s="351" t="s">
        <v>12607</v>
      </c>
      <c r="D1745" s="353">
        <v>-1570</v>
      </c>
      <c r="E1745" s="352" t="s">
        <v>408</v>
      </c>
      <c r="F1745" s="341">
        <v>70.92</v>
      </c>
      <c r="G1745" s="355" t="s">
        <v>12575</v>
      </c>
      <c r="H1745" s="356" t="s">
        <v>12256</v>
      </c>
      <c r="I1745" s="354" t="s">
        <v>216</v>
      </c>
      <c r="J1745" s="340" t="s">
        <v>12608</v>
      </c>
      <c r="K1745" s="339" t="s">
        <v>70</v>
      </c>
      <c r="L1745" s="357">
        <v>20</v>
      </c>
      <c r="M1745" s="358" t="s">
        <v>6372</v>
      </c>
      <c r="N1745" s="359">
        <v>300</v>
      </c>
      <c r="O1745" s="360" t="s">
        <v>530</v>
      </c>
      <c r="P1745" s="343" t="s">
        <v>530</v>
      </c>
      <c r="Q1745" s="342" t="s">
        <v>2688</v>
      </c>
      <c r="R1745" s="344">
        <v>25</v>
      </c>
      <c r="S1745" s="345">
        <v>45</v>
      </c>
      <c r="T1745" s="362">
        <v>30</v>
      </c>
      <c r="U1745" s="361">
        <v>70.92</v>
      </c>
      <c r="V1745" s="346">
        <v>113.30858208262488</v>
      </c>
      <c r="W1745" s="348">
        <v>115.0724482388588</v>
      </c>
      <c r="X1745" s="347">
        <v>57.3</v>
      </c>
      <c r="Y1745" s="357" t="s">
        <v>408</v>
      </c>
      <c r="Z1745" s="365" t="s">
        <v>3017</v>
      </c>
      <c r="AA1745" s="350">
        <v>-2</v>
      </c>
      <c r="AB1745" s="349" t="s">
        <v>2685</v>
      </c>
      <c r="AC1745" s="350">
        <v>0</v>
      </c>
      <c r="AD1745" s="349" t="s">
        <v>2685</v>
      </c>
      <c r="AE1745" s="364">
        <v>0</v>
      </c>
      <c r="AF1745" s="366">
        <v>0</v>
      </c>
      <c r="AG1745" s="363">
        <v>0</v>
      </c>
      <c r="AH1745" s="635" t="s">
        <v>408</v>
      </c>
      <c r="AL1745" s="487" t="s">
        <v>16124</v>
      </c>
      <c r="AM1745" s="477" t="s">
        <v>70</v>
      </c>
      <c r="AN1745" s="637">
        <v>100</v>
      </c>
      <c r="AO1745" s="478">
        <v>-1570</v>
      </c>
      <c r="AP1745" s="463">
        <v>-1570</v>
      </c>
      <c r="AQ1745" s="479">
        <v>0</v>
      </c>
      <c r="AR1745" s="476" t="s">
        <v>17811</v>
      </c>
      <c r="BA1745" s="313" t="s">
        <v>6482</v>
      </c>
    </row>
    <row r="1746" spans="2:53" ht="16.5" customHeight="1">
      <c r="B1746" s="367" t="s">
        <v>12609</v>
      </c>
      <c r="C1746" s="351" t="s">
        <v>12610</v>
      </c>
      <c r="D1746" s="353">
        <v>-1570</v>
      </c>
      <c r="E1746" s="352" t="s">
        <v>12614</v>
      </c>
      <c r="F1746" s="341">
        <v>70.900000000000006</v>
      </c>
      <c r="G1746" s="355" t="s">
        <v>12611</v>
      </c>
      <c r="H1746" s="356" t="s">
        <v>6221</v>
      </c>
      <c r="I1746" s="354" t="s">
        <v>213</v>
      </c>
      <c r="J1746" s="340" t="s">
        <v>8633</v>
      </c>
      <c r="K1746" s="339" t="s">
        <v>70</v>
      </c>
      <c r="L1746" s="357">
        <v>26</v>
      </c>
      <c r="M1746" s="358" t="s">
        <v>12612</v>
      </c>
      <c r="N1746" s="359">
        <v>1000</v>
      </c>
      <c r="O1746" s="360" t="s">
        <v>454</v>
      </c>
      <c r="P1746" s="343" t="s">
        <v>454</v>
      </c>
      <c r="Q1746" s="342" t="s">
        <v>2688</v>
      </c>
      <c r="R1746" s="344">
        <v>20</v>
      </c>
      <c r="S1746" s="345">
        <v>30</v>
      </c>
      <c r="T1746" s="362">
        <v>30</v>
      </c>
      <c r="U1746" s="361">
        <v>70.900000000000006</v>
      </c>
      <c r="V1746" s="346">
        <v>113.29138166894666</v>
      </c>
      <c r="W1746" s="348">
        <v>115.06301575393849</v>
      </c>
      <c r="X1746" s="347">
        <v>57.3</v>
      </c>
      <c r="Y1746" s="357" t="s">
        <v>408</v>
      </c>
      <c r="Z1746" s="365" t="s">
        <v>4408</v>
      </c>
      <c r="AA1746" s="350">
        <v>180</v>
      </c>
      <c r="AB1746" s="349" t="s">
        <v>2685</v>
      </c>
      <c r="AC1746" s="350">
        <v>10</v>
      </c>
      <c r="AD1746" s="349" t="s">
        <v>2685</v>
      </c>
      <c r="AE1746" s="364">
        <v>0</v>
      </c>
      <c r="AF1746" s="366">
        <v>42.54</v>
      </c>
      <c r="AG1746" s="363">
        <v>0</v>
      </c>
      <c r="AH1746" s="635" t="s">
        <v>12613</v>
      </c>
      <c r="AL1746" s="487" t="s">
        <v>16126</v>
      </c>
      <c r="AM1746" s="477" t="s">
        <v>70</v>
      </c>
      <c r="AN1746" s="637">
        <v>100</v>
      </c>
      <c r="AO1746" s="478">
        <v>-1570</v>
      </c>
      <c r="AP1746" s="463">
        <v>-1570</v>
      </c>
      <c r="AQ1746" s="479">
        <v>0</v>
      </c>
      <c r="AR1746" s="476" t="s">
        <v>17812</v>
      </c>
      <c r="BA1746" s="313" t="s">
        <v>6484</v>
      </c>
    </row>
    <row r="1747" spans="2:53" ht="16.5" customHeight="1">
      <c r="B1747" s="367" t="s">
        <v>12619</v>
      </c>
      <c r="C1747" s="351" t="s">
        <v>12620</v>
      </c>
      <c r="D1747" s="353">
        <v>-1570</v>
      </c>
      <c r="E1747" s="352" t="s">
        <v>12616</v>
      </c>
      <c r="F1747" s="341">
        <v>70.77</v>
      </c>
      <c r="G1747" s="355" t="s">
        <v>12621</v>
      </c>
      <c r="H1747" s="356" t="s">
        <v>12273</v>
      </c>
      <c r="I1747" s="354" t="s">
        <v>214</v>
      </c>
      <c r="J1747" s="340" t="s">
        <v>11747</v>
      </c>
      <c r="K1747" s="339" t="s">
        <v>70</v>
      </c>
      <c r="L1747" s="357">
        <v>7</v>
      </c>
      <c r="M1747" s="358" t="s">
        <v>12623</v>
      </c>
      <c r="N1747" s="359">
        <v>200</v>
      </c>
      <c r="O1747" s="360" t="s">
        <v>532</v>
      </c>
      <c r="P1747" s="343" t="s">
        <v>532</v>
      </c>
      <c r="Q1747" s="342" t="s">
        <v>2688</v>
      </c>
      <c r="R1747" s="344">
        <v>20</v>
      </c>
      <c r="S1747" s="345">
        <v>30</v>
      </c>
      <c r="T1747" s="362">
        <v>30</v>
      </c>
      <c r="U1747" s="361">
        <v>70.77</v>
      </c>
      <c r="V1747" s="346">
        <v>113.21755294703763</v>
      </c>
      <c r="W1747" s="348">
        <v>115.02252903547225</v>
      </c>
      <c r="X1747" s="347" t="s">
        <v>19048</v>
      </c>
      <c r="Y1747" s="357" t="s">
        <v>408</v>
      </c>
      <c r="Z1747" s="365" t="s">
        <v>4408</v>
      </c>
      <c r="AA1747" s="350">
        <v>36</v>
      </c>
      <c r="AB1747" s="349" t="s">
        <v>2685</v>
      </c>
      <c r="AC1747" s="350">
        <v>0</v>
      </c>
      <c r="AD1747" s="349" t="s">
        <v>2685</v>
      </c>
      <c r="AE1747" s="364">
        <v>0</v>
      </c>
      <c r="AF1747" s="366">
        <v>0</v>
      </c>
      <c r="AG1747" s="363">
        <v>0</v>
      </c>
      <c r="AH1747" s="635" t="s">
        <v>408</v>
      </c>
      <c r="AL1747" s="487" t="s">
        <v>16130</v>
      </c>
      <c r="AM1747" s="477" t="s">
        <v>70</v>
      </c>
      <c r="AN1747" s="637">
        <v>100</v>
      </c>
      <c r="AO1747" s="478">
        <v>-1570</v>
      </c>
      <c r="AP1747" s="463">
        <v>-1570</v>
      </c>
      <c r="AQ1747" s="479">
        <v>0</v>
      </c>
      <c r="AR1747" s="476" t="s">
        <v>17813</v>
      </c>
      <c r="BA1747" s="313" t="s">
        <v>6485</v>
      </c>
    </row>
    <row r="1748" spans="2:53" ht="16.5" customHeight="1">
      <c r="B1748" s="367" t="s">
        <v>12619</v>
      </c>
      <c r="C1748" s="351" t="s">
        <v>12620</v>
      </c>
      <c r="D1748" s="353">
        <v>-1570</v>
      </c>
      <c r="E1748" s="352" t="s">
        <v>408</v>
      </c>
      <c r="F1748" s="341">
        <v>70.77</v>
      </c>
      <c r="G1748" s="355" t="s">
        <v>12621</v>
      </c>
      <c r="H1748" s="356" t="s">
        <v>12273</v>
      </c>
      <c r="I1748" s="354" t="s">
        <v>214</v>
      </c>
      <c r="J1748" s="340" t="s">
        <v>12624</v>
      </c>
      <c r="K1748" s="339" t="s">
        <v>70</v>
      </c>
      <c r="L1748" s="357">
        <v>8</v>
      </c>
      <c r="M1748" s="358" t="s">
        <v>12623</v>
      </c>
      <c r="N1748" s="359">
        <v>200</v>
      </c>
      <c r="O1748" s="360" t="s">
        <v>532</v>
      </c>
      <c r="P1748" s="343" t="s">
        <v>532</v>
      </c>
      <c r="Q1748" s="342" t="s">
        <v>2688</v>
      </c>
      <c r="R1748" s="344">
        <v>20</v>
      </c>
      <c r="S1748" s="345">
        <v>30</v>
      </c>
      <c r="T1748" s="362">
        <v>30</v>
      </c>
      <c r="U1748" s="361">
        <v>70.77</v>
      </c>
      <c r="V1748" s="346">
        <v>113.21755294703763</v>
      </c>
      <c r="W1748" s="348">
        <v>115.02252903547225</v>
      </c>
      <c r="X1748" s="347" t="s">
        <v>19048</v>
      </c>
      <c r="Y1748" s="357" t="s">
        <v>408</v>
      </c>
      <c r="Z1748" s="365" t="s">
        <v>4408</v>
      </c>
      <c r="AA1748" s="350">
        <v>36</v>
      </c>
      <c r="AB1748" s="349" t="s">
        <v>2685</v>
      </c>
      <c r="AC1748" s="350">
        <v>0</v>
      </c>
      <c r="AD1748" s="349" t="s">
        <v>2685</v>
      </c>
      <c r="AE1748" s="364">
        <v>0</v>
      </c>
      <c r="AF1748" s="366">
        <v>0</v>
      </c>
      <c r="AG1748" s="363">
        <v>0</v>
      </c>
      <c r="AH1748" s="635" t="s">
        <v>408</v>
      </c>
      <c r="AL1748" s="487" t="s">
        <v>16131</v>
      </c>
      <c r="AM1748" s="477" t="s">
        <v>70</v>
      </c>
      <c r="AN1748" s="637">
        <v>100</v>
      </c>
      <c r="AO1748" s="478">
        <v>-1570</v>
      </c>
      <c r="AP1748" s="463">
        <v>-1570</v>
      </c>
      <c r="AQ1748" s="479">
        <v>0</v>
      </c>
      <c r="AR1748" s="476" t="s">
        <v>17813</v>
      </c>
      <c r="BA1748" s="313" t="s">
        <v>6487</v>
      </c>
    </row>
    <row r="1749" spans="2:53" ht="16.5" customHeight="1">
      <c r="B1749" s="367" t="s">
        <v>12625</v>
      </c>
      <c r="C1749" s="351" t="s">
        <v>12626</v>
      </c>
      <c r="D1749" s="353">
        <v>-1570</v>
      </c>
      <c r="E1749" s="352" t="s">
        <v>408</v>
      </c>
      <c r="F1749" s="341">
        <v>70.75</v>
      </c>
      <c r="G1749" s="355" t="s">
        <v>12627</v>
      </c>
      <c r="H1749" s="356" t="s">
        <v>19049</v>
      </c>
      <c r="I1749" s="354" t="s">
        <v>216</v>
      </c>
      <c r="J1749" s="340" t="s">
        <v>11813</v>
      </c>
      <c r="K1749" s="339" t="s">
        <v>70</v>
      </c>
      <c r="L1749" s="357">
        <v>9</v>
      </c>
      <c r="M1749" s="358" t="s">
        <v>12628</v>
      </c>
      <c r="N1749" s="359">
        <v>300</v>
      </c>
      <c r="O1749" s="360" t="s">
        <v>530</v>
      </c>
      <c r="P1749" s="343" t="s">
        <v>530</v>
      </c>
      <c r="Q1749" s="342" t="s">
        <v>2688</v>
      </c>
      <c r="R1749" s="344">
        <v>25</v>
      </c>
      <c r="S1749" s="345">
        <v>45</v>
      </c>
      <c r="T1749" s="362">
        <v>30</v>
      </c>
      <c r="U1749" s="361">
        <v>70.75</v>
      </c>
      <c r="V1749" s="346">
        <v>113.20822717618104</v>
      </c>
      <c r="W1749" s="348">
        <v>115.01741490306702</v>
      </c>
      <c r="X1749" s="347">
        <v>57.27</v>
      </c>
      <c r="Y1749" s="357" t="s">
        <v>408</v>
      </c>
      <c r="Z1749" s="365" t="s">
        <v>3017</v>
      </c>
      <c r="AA1749" s="350">
        <v>-2</v>
      </c>
      <c r="AB1749" s="349" t="s">
        <v>2685</v>
      </c>
      <c r="AC1749" s="350">
        <v>0</v>
      </c>
      <c r="AD1749" s="349" t="s">
        <v>2685</v>
      </c>
      <c r="AE1749" s="364">
        <v>0</v>
      </c>
      <c r="AF1749" s="366">
        <v>0</v>
      </c>
      <c r="AG1749" s="363">
        <v>0</v>
      </c>
      <c r="AH1749" s="635" t="s">
        <v>408</v>
      </c>
      <c r="AL1749" s="487" t="s">
        <v>16128</v>
      </c>
      <c r="AM1749" s="477" t="s">
        <v>70</v>
      </c>
      <c r="AN1749" s="637">
        <v>100</v>
      </c>
      <c r="AO1749" s="478">
        <v>-1570</v>
      </c>
      <c r="AP1749" s="463">
        <v>-1570</v>
      </c>
      <c r="AQ1749" s="479">
        <v>0</v>
      </c>
      <c r="AR1749" s="476" t="s">
        <v>17814</v>
      </c>
      <c r="BA1749" s="313" t="s">
        <v>6491</v>
      </c>
    </row>
    <row r="1750" spans="2:53" ht="16.5" customHeight="1">
      <c r="B1750" s="367" t="s">
        <v>12629</v>
      </c>
      <c r="C1750" s="351" t="s">
        <v>12630</v>
      </c>
      <c r="D1750" s="353">
        <v>-1570</v>
      </c>
      <c r="E1750" s="352" t="s">
        <v>408</v>
      </c>
      <c r="F1750" s="341">
        <v>70.739999999999995</v>
      </c>
      <c r="G1750" s="355" t="s">
        <v>12679</v>
      </c>
      <c r="H1750" s="356" t="s">
        <v>12270</v>
      </c>
      <c r="I1750" s="354" t="s">
        <v>197</v>
      </c>
      <c r="J1750" s="340" t="s">
        <v>12632</v>
      </c>
      <c r="K1750" s="339" t="s">
        <v>71</v>
      </c>
      <c r="L1750" s="357">
        <v>55</v>
      </c>
      <c r="M1750" s="358" t="s">
        <v>12633</v>
      </c>
      <c r="N1750" s="359">
        <v>500</v>
      </c>
      <c r="O1750" s="360" t="s">
        <v>454</v>
      </c>
      <c r="P1750" s="343" t="s">
        <v>454</v>
      </c>
      <c r="Q1750" s="342" t="s">
        <v>2688</v>
      </c>
      <c r="R1750" s="344">
        <v>30</v>
      </c>
      <c r="S1750" s="345">
        <v>20</v>
      </c>
      <c r="T1750" s="362">
        <v>20</v>
      </c>
      <c r="U1750" s="361">
        <v>70.739999999999995</v>
      </c>
      <c r="V1750" s="346">
        <v>113.19983883964544</v>
      </c>
      <c r="W1750" s="348">
        <v>115.0128148475475</v>
      </c>
      <c r="X1750" s="347">
        <v>56.97</v>
      </c>
      <c r="Y1750" s="357" t="s">
        <v>408</v>
      </c>
      <c r="Z1750" s="365" t="s">
        <v>4408</v>
      </c>
      <c r="AA1750" s="350">
        <v>141</v>
      </c>
      <c r="AB1750" s="349" t="s">
        <v>2685</v>
      </c>
      <c r="AC1750" s="350">
        <v>1.5</v>
      </c>
      <c r="AD1750" s="349" t="s">
        <v>2685</v>
      </c>
      <c r="AE1750" s="364">
        <v>0</v>
      </c>
      <c r="AF1750" s="366">
        <v>10.611000000000001</v>
      </c>
      <c r="AG1750" s="363">
        <v>0</v>
      </c>
      <c r="AH1750" s="635" t="s">
        <v>6360</v>
      </c>
      <c r="AL1750" s="487" t="s">
        <v>16129</v>
      </c>
      <c r="AM1750" s="477" t="s">
        <v>71</v>
      </c>
      <c r="AN1750" s="637">
        <v>100</v>
      </c>
      <c r="AO1750" s="478">
        <v>-1570</v>
      </c>
      <c r="AP1750" s="463">
        <v>-671</v>
      </c>
      <c r="AQ1750" s="479">
        <v>-899</v>
      </c>
      <c r="AR1750" s="476" t="s">
        <v>17815</v>
      </c>
      <c r="BA1750" s="313" t="s">
        <v>6492</v>
      </c>
    </row>
    <row r="1751" spans="2:53" ht="16.5" customHeight="1">
      <c r="B1751" s="367" t="s">
        <v>18272</v>
      </c>
      <c r="C1751" s="351" t="s">
        <v>18273</v>
      </c>
      <c r="D1751" s="353">
        <v>-1570</v>
      </c>
      <c r="E1751" s="352" t="s">
        <v>6298</v>
      </c>
      <c r="F1751" s="341">
        <v>70.73</v>
      </c>
      <c r="G1751" s="355" t="s">
        <v>19050</v>
      </c>
      <c r="H1751" s="356" t="s">
        <v>6173</v>
      </c>
      <c r="I1751" s="354" t="s">
        <v>400</v>
      </c>
      <c r="J1751" s="340" t="s">
        <v>437</v>
      </c>
      <c r="K1751" s="339" t="s">
        <v>71</v>
      </c>
      <c r="L1751" s="357">
        <v>10</v>
      </c>
      <c r="M1751" s="358" t="s">
        <v>12605</v>
      </c>
      <c r="N1751" s="359">
        <v>1000</v>
      </c>
      <c r="O1751" s="360" t="s">
        <v>532</v>
      </c>
      <c r="P1751" s="343" t="s">
        <v>532</v>
      </c>
      <c r="Q1751" s="342" t="s">
        <v>2688</v>
      </c>
      <c r="R1751" s="344">
        <v>30</v>
      </c>
      <c r="S1751" s="345">
        <v>30</v>
      </c>
      <c r="T1751" s="362">
        <v>20</v>
      </c>
      <c r="U1751" s="361">
        <v>70.73</v>
      </c>
      <c r="V1751" s="346">
        <v>113.19490468428916</v>
      </c>
      <c r="W1751" s="348">
        <v>115.01010902041664</v>
      </c>
      <c r="X1751" s="347" t="s">
        <v>19051</v>
      </c>
      <c r="Y1751" s="357" t="s">
        <v>408</v>
      </c>
      <c r="Z1751" s="365" t="s">
        <v>4408</v>
      </c>
      <c r="AA1751" s="350">
        <v>190</v>
      </c>
      <c r="AB1751" s="349" t="s">
        <v>2685</v>
      </c>
      <c r="AC1751" s="350">
        <v>0</v>
      </c>
      <c r="AD1751" s="349" t="s">
        <v>2685</v>
      </c>
      <c r="AE1751" s="364">
        <v>0</v>
      </c>
      <c r="AF1751" s="366">
        <v>0</v>
      </c>
      <c r="AG1751" s="363">
        <v>0</v>
      </c>
      <c r="AH1751" s="635" t="s">
        <v>408</v>
      </c>
      <c r="AL1751" s="487" t="s">
        <v>16118</v>
      </c>
      <c r="AM1751" s="477" t="s">
        <v>71</v>
      </c>
      <c r="AN1751" s="637">
        <v>100</v>
      </c>
      <c r="AO1751" s="478">
        <v>-1570</v>
      </c>
      <c r="AP1751" s="463">
        <v>-671</v>
      </c>
      <c r="AQ1751" s="479">
        <v>-899</v>
      </c>
      <c r="AR1751" s="476" t="s">
        <v>17816</v>
      </c>
      <c r="BA1751" s="313" t="s">
        <v>6496</v>
      </c>
    </row>
    <row r="1752" spans="2:53" ht="16.5" customHeight="1">
      <c r="B1752" s="367" t="s">
        <v>12634</v>
      </c>
      <c r="C1752" s="351" t="s">
        <v>12635</v>
      </c>
      <c r="D1752" s="353">
        <v>-1570</v>
      </c>
      <c r="E1752" s="352" t="s">
        <v>408</v>
      </c>
      <c r="F1752" s="341">
        <v>70.72</v>
      </c>
      <c r="G1752" s="355" t="s">
        <v>12636</v>
      </c>
      <c r="H1752" s="356" t="s">
        <v>19052</v>
      </c>
      <c r="I1752" s="354" t="s">
        <v>216</v>
      </c>
      <c r="J1752" s="340" t="s">
        <v>8026</v>
      </c>
      <c r="K1752" s="339" t="s">
        <v>70</v>
      </c>
      <c r="L1752" s="357">
        <v>75</v>
      </c>
      <c r="M1752" s="358" t="s">
        <v>12637</v>
      </c>
      <c r="N1752" s="359">
        <v>300</v>
      </c>
      <c r="O1752" s="360" t="s">
        <v>530</v>
      </c>
      <c r="P1752" s="343" t="s">
        <v>530</v>
      </c>
      <c r="Q1752" s="342" t="s">
        <v>2688</v>
      </c>
      <c r="R1752" s="344">
        <v>25</v>
      </c>
      <c r="S1752" s="345">
        <v>45</v>
      </c>
      <c r="T1752" s="362">
        <v>30</v>
      </c>
      <c r="U1752" s="361">
        <v>70.72</v>
      </c>
      <c r="V1752" s="346">
        <v>113.18998082955491</v>
      </c>
      <c r="W1752" s="348">
        <v>115.00740884201399</v>
      </c>
      <c r="X1752" s="347">
        <v>57.26</v>
      </c>
      <c r="Y1752" s="357" t="s">
        <v>408</v>
      </c>
      <c r="Z1752" s="365" t="s">
        <v>3017</v>
      </c>
      <c r="AA1752" s="350">
        <v>-2</v>
      </c>
      <c r="AB1752" s="349" t="s">
        <v>2685</v>
      </c>
      <c r="AC1752" s="350">
        <v>0</v>
      </c>
      <c r="AD1752" s="349" t="s">
        <v>2685</v>
      </c>
      <c r="AE1752" s="364">
        <v>0</v>
      </c>
      <c r="AF1752" s="366">
        <v>0</v>
      </c>
      <c r="AG1752" s="363">
        <v>0</v>
      </c>
      <c r="AH1752" s="635" t="s">
        <v>408</v>
      </c>
      <c r="AL1752" s="487" t="s">
        <v>16132</v>
      </c>
      <c r="AM1752" s="477" t="s">
        <v>70</v>
      </c>
      <c r="AN1752" s="637">
        <v>100</v>
      </c>
      <c r="AO1752" s="478">
        <v>-1570</v>
      </c>
      <c r="AP1752" s="463">
        <v>-1570</v>
      </c>
      <c r="AQ1752" s="479">
        <v>0</v>
      </c>
      <c r="AR1752" s="476" t="s">
        <v>17817</v>
      </c>
      <c r="BA1752" s="313" t="s">
        <v>6497</v>
      </c>
    </row>
    <row r="1753" spans="2:53" ht="16.5" customHeight="1">
      <c r="B1753" s="367" t="s">
        <v>12638</v>
      </c>
      <c r="C1753" s="351" t="s">
        <v>12639</v>
      </c>
      <c r="D1753" s="353">
        <v>-1570</v>
      </c>
      <c r="E1753" s="352" t="s">
        <v>408</v>
      </c>
      <c r="F1753" s="341">
        <v>70.709999999999994</v>
      </c>
      <c r="G1753" s="355" t="s">
        <v>12640</v>
      </c>
      <c r="H1753" s="356" t="s">
        <v>6181</v>
      </c>
      <c r="I1753" s="354" t="s">
        <v>214</v>
      </c>
      <c r="J1753" s="340" t="s">
        <v>8744</v>
      </c>
      <c r="K1753" s="339" t="s">
        <v>70</v>
      </c>
      <c r="L1753" s="357">
        <v>8</v>
      </c>
      <c r="M1753" s="358" t="s">
        <v>12641</v>
      </c>
      <c r="N1753" s="359">
        <v>200</v>
      </c>
      <c r="O1753" s="360" t="s">
        <v>532</v>
      </c>
      <c r="P1753" s="343" t="s">
        <v>532</v>
      </c>
      <c r="Q1753" s="342" t="s">
        <v>2688</v>
      </c>
      <c r="R1753" s="344">
        <v>20</v>
      </c>
      <c r="S1753" s="345">
        <v>30</v>
      </c>
      <c r="T1753" s="362">
        <v>30</v>
      </c>
      <c r="U1753" s="361">
        <v>70.709999999999994</v>
      </c>
      <c r="V1753" s="346">
        <v>113.18259958049558</v>
      </c>
      <c r="W1753" s="348">
        <v>115.00336106027177</v>
      </c>
      <c r="X1753" s="347" t="s">
        <v>19053</v>
      </c>
      <c r="Y1753" s="357" t="s">
        <v>408</v>
      </c>
      <c r="Z1753" s="365" t="s">
        <v>4408</v>
      </c>
      <c r="AA1753" s="350">
        <v>36</v>
      </c>
      <c r="AB1753" s="349" t="s">
        <v>2685</v>
      </c>
      <c r="AC1753" s="350">
        <v>0</v>
      </c>
      <c r="AD1753" s="349" t="s">
        <v>2685</v>
      </c>
      <c r="AE1753" s="364">
        <v>0</v>
      </c>
      <c r="AF1753" s="366">
        <v>0</v>
      </c>
      <c r="AG1753" s="363">
        <v>0</v>
      </c>
      <c r="AH1753" s="635" t="s">
        <v>408</v>
      </c>
      <c r="AL1753" s="487" t="s">
        <v>16133</v>
      </c>
      <c r="AM1753" s="477" t="s">
        <v>70</v>
      </c>
      <c r="AN1753" s="637">
        <v>100</v>
      </c>
      <c r="AO1753" s="478">
        <v>-1570</v>
      </c>
      <c r="AP1753" s="463">
        <v>-1570</v>
      </c>
      <c r="AQ1753" s="479">
        <v>0</v>
      </c>
      <c r="AR1753" s="476" t="s">
        <v>17818</v>
      </c>
      <c r="BA1753" s="313" t="s">
        <v>6500</v>
      </c>
    </row>
    <row r="1754" spans="2:53" ht="16.5" customHeight="1">
      <c r="B1754" s="367" t="s">
        <v>12642</v>
      </c>
      <c r="C1754" s="351" t="s">
        <v>12643</v>
      </c>
      <c r="D1754" s="353">
        <v>-1570</v>
      </c>
      <c r="E1754" s="352" t="s">
        <v>408</v>
      </c>
      <c r="F1754" s="341">
        <v>70.67</v>
      </c>
      <c r="G1754" s="355" t="s">
        <v>6307</v>
      </c>
      <c r="H1754" s="356" t="s">
        <v>12293</v>
      </c>
      <c r="I1754" s="354" t="s">
        <v>212</v>
      </c>
      <c r="J1754" s="340" t="s">
        <v>551</v>
      </c>
      <c r="K1754" s="339" t="s">
        <v>70</v>
      </c>
      <c r="L1754" s="357">
        <v>15</v>
      </c>
      <c r="M1754" s="358" t="s">
        <v>12644</v>
      </c>
      <c r="N1754" s="359">
        <v>800</v>
      </c>
      <c r="O1754" s="360" t="s">
        <v>532</v>
      </c>
      <c r="P1754" s="343" t="s">
        <v>532</v>
      </c>
      <c r="Q1754" s="342" t="s">
        <v>2688</v>
      </c>
      <c r="R1754" s="344">
        <v>30</v>
      </c>
      <c r="S1754" s="345">
        <v>40</v>
      </c>
      <c r="T1754" s="362">
        <v>30</v>
      </c>
      <c r="U1754" s="361">
        <v>70.67</v>
      </c>
      <c r="V1754" s="346">
        <v>113.16154855640248</v>
      </c>
      <c r="W1754" s="348">
        <v>114.98731627294211</v>
      </c>
      <c r="X1754" s="347" t="s">
        <v>19053</v>
      </c>
      <c r="Y1754" s="357" t="s">
        <v>408</v>
      </c>
      <c r="Z1754" s="365" t="s">
        <v>3017</v>
      </c>
      <c r="AA1754" s="350">
        <v>190</v>
      </c>
      <c r="AB1754" s="349" t="s">
        <v>2685</v>
      </c>
      <c r="AC1754" s="350">
        <v>10</v>
      </c>
      <c r="AD1754" s="349" t="s">
        <v>2685</v>
      </c>
      <c r="AE1754" s="364">
        <v>0</v>
      </c>
      <c r="AF1754" s="366">
        <v>0</v>
      </c>
      <c r="AG1754" s="363">
        <v>0</v>
      </c>
      <c r="AH1754" s="635" t="s">
        <v>408</v>
      </c>
      <c r="AL1754" s="487" t="s">
        <v>16134</v>
      </c>
      <c r="AM1754" s="477" t="s">
        <v>70</v>
      </c>
      <c r="AN1754" s="637">
        <v>100</v>
      </c>
      <c r="AO1754" s="478">
        <v>-1570</v>
      </c>
      <c r="AP1754" s="463">
        <v>-1570</v>
      </c>
      <c r="AQ1754" s="479">
        <v>0</v>
      </c>
      <c r="AR1754" s="476" t="s">
        <v>17819</v>
      </c>
      <c r="BA1754" s="313" t="s">
        <v>6502</v>
      </c>
    </row>
    <row r="1755" spans="2:53" ht="16.5" customHeight="1">
      <c r="B1755" s="367" t="s">
        <v>12602</v>
      </c>
      <c r="C1755" s="351" t="s">
        <v>12603</v>
      </c>
      <c r="D1755" s="353">
        <v>-1570</v>
      </c>
      <c r="E1755" s="352" t="s">
        <v>408</v>
      </c>
      <c r="F1755" s="341">
        <v>70.62</v>
      </c>
      <c r="G1755" s="355" t="s">
        <v>12604</v>
      </c>
      <c r="H1755" s="356" t="s">
        <v>12312</v>
      </c>
      <c r="I1755" s="354" t="s">
        <v>214</v>
      </c>
      <c r="J1755" s="340" t="s">
        <v>12645</v>
      </c>
      <c r="K1755" s="339" t="s">
        <v>70</v>
      </c>
      <c r="L1755" s="357">
        <v>9</v>
      </c>
      <c r="M1755" s="358" t="s">
        <v>12646</v>
      </c>
      <c r="N1755" s="359">
        <v>200</v>
      </c>
      <c r="O1755" s="360" t="s">
        <v>532</v>
      </c>
      <c r="P1755" s="343" t="s">
        <v>532</v>
      </c>
      <c r="Q1755" s="342" t="s">
        <v>2688</v>
      </c>
      <c r="R1755" s="344">
        <v>20</v>
      </c>
      <c r="S1755" s="345">
        <v>30</v>
      </c>
      <c r="T1755" s="362">
        <v>30</v>
      </c>
      <c r="U1755" s="361">
        <v>70.62</v>
      </c>
      <c r="V1755" s="346">
        <v>113.13116694788003</v>
      </c>
      <c r="W1755" s="348">
        <v>114.96149190569803</v>
      </c>
      <c r="X1755" s="347" t="s">
        <v>19054</v>
      </c>
      <c r="Y1755" s="357" t="s">
        <v>408</v>
      </c>
      <c r="Z1755" s="365" t="s">
        <v>4408</v>
      </c>
      <c r="AA1755" s="350">
        <v>36</v>
      </c>
      <c r="AB1755" s="349" t="s">
        <v>2685</v>
      </c>
      <c r="AC1755" s="350">
        <v>0</v>
      </c>
      <c r="AD1755" s="349" t="s">
        <v>2685</v>
      </c>
      <c r="AE1755" s="364">
        <v>0</v>
      </c>
      <c r="AF1755" s="366">
        <v>0</v>
      </c>
      <c r="AG1755" s="363">
        <v>0</v>
      </c>
      <c r="AH1755" s="635" t="s">
        <v>408</v>
      </c>
      <c r="AL1755" s="487" t="s">
        <v>16136</v>
      </c>
      <c r="AM1755" s="477" t="s">
        <v>70</v>
      </c>
      <c r="AN1755" s="637">
        <v>100</v>
      </c>
      <c r="AO1755" s="478">
        <v>-1570</v>
      </c>
      <c r="AP1755" s="463">
        <v>-1570</v>
      </c>
      <c r="AQ1755" s="479">
        <v>0</v>
      </c>
      <c r="AR1755" s="476" t="s">
        <v>17820</v>
      </c>
      <c r="BA1755" s="313" t="s">
        <v>6503</v>
      </c>
    </row>
    <row r="1756" spans="2:53" ht="16.5" customHeight="1">
      <c r="B1756" s="367" t="s">
        <v>12647</v>
      </c>
      <c r="C1756" s="351" t="s">
        <v>12648</v>
      </c>
      <c r="D1756" s="353">
        <v>-1570</v>
      </c>
      <c r="E1756" s="352" t="s">
        <v>12649</v>
      </c>
      <c r="F1756" s="341">
        <v>70.62</v>
      </c>
      <c r="G1756" s="355" t="s">
        <v>6488</v>
      </c>
      <c r="H1756" s="356" t="s">
        <v>19055</v>
      </c>
      <c r="I1756" s="354" t="s">
        <v>211</v>
      </c>
      <c r="J1756" s="340" t="s">
        <v>12650</v>
      </c>
      <c r="K1756" s="339" t="s">
        <v>71</v>
      </c>
      <c r="L1756" s="357">
        <v>34</v>
      </c>
      <c r="M1756" s="358" t="s">
        <v>12651</v>
      </c>
      <c r="N1756" s="359">
        <v>500</v>
      </c>
      <c r="O1756" s="360" t="s">
        <v>530</v>
      </c>
      <c r="P1756" s="343" t="s">
        <v>531</v>
      </c>
      <c r="Q1756" s="342" t="s">
        <v>2688</v>
      </c>
      <c r="R1756" s="344">
        <v>40</v>
      </c>
      <c r="S1756" s="345">
        <v>30</v>
      </c>
      <c r="T1756" s="362">
        <v>30</v>
      </c>
      <c r="U1756" s="361">
        <v>70.62</v>
      </c>
      <c r="V1756" s="346">
        <v>113.12765957446807</v>
      </c>
      <c r="W1756" s="348">
        <v>114.95851063829787</v>
      </c>
      <c r="X1756" s="347">
        <v>56.93</v>
      </c>
      <c r="Y1756" s="357">
        <v>57.04</v>
      </c>
      <c r="Z1756" s="365" t="s">
        <v>4408</v>
      </c>
      <c r="AA1756" s="350">
        <v>24</v>
      </c>
      <c r="AB1756" s="349" t="s">
        <v>2685</v>
      </c>
      <c r="AC1756" s="350">
        <v>5</v>
      </c>
      <c r="AD1756" s="349" t="s">
        <v>2685</v>
      </c>
      <c r="AE1756" s="364">
        <v>0</v>
      </c>
      <c r="AF1756" s="366">
        <v>0</v>
      </c>
      <c r="AG1756" s="363">
        <v>0</v>
      </c>
      <c r="AH1756" s="635" t="s">
        <v>408</v>
      </c>
      <c r="AL1756" s="487" t="s">
        <v>16135</v>
      </c>
      <c r="AM1756" s="477" t="s">
        <v>71</v>
      </c>
      <c r="AN1756" s="637">
        <v>100</v>
      </c>
      <c r="AO1756" s="478">
        <v>-1570</v>
      </c>
      <c r="AP1756" s="463">
        <v>-675</v>
      </c>
      <c r="AQ1756" s="479">
        <v>-895</v>
      </c>
      <c r="AR1756" s="476" t="s">
        <v>17821</v>
      </c>
      <c r="BA1756" s="313" t="s">
        <v>6507</v>
      </c>
    </row>
    <row r="1757" spans="2:53" ht="16.5" customHeight="1">
      <c r="B1757" s="367" t="s">
        <v>12652</v>
      </c>
      <c r="C1757" s="351" t="s">
        <v>12653</v>
      </c>
      <c r="D1757" s="353">
        <v>-1570</v>
      </c>
      <c r="E1757" s="352" t="s">
        <v>6315</v>
      </c>
      <c r="F1757" s="341">
        <v>70.540000000000006</v>
      </c>
      <c r="G1757" s="355" t="s">
        <v>19056</v>
      </c>
      <c r="H1757" s="356" t="s">
        <v>6199</v>
      </c>
      <c r="I1757" s="354" t="s">
        <v>423</v>
      </c>
      <c r="J1757" s="340" t="s">
        <v>12654</v>
      </c>
      <c r="K1757" s="339" t="s">
        <v>71</v>
      </c>
      <c r="L1757" s="357">
        <v>6</v>
      </c>
      <c r="M1757" s="358" t="s">
        <v>12655</v>
      </c>
      <c r="N1757" s="359">
        <v>1000</v>
      </c>
      <c r="O1757" s="360" t="s">
        <v>530</v>
      </c>
      <c r="P1757" s="343" t="s">
        <v>531</v>
      </c>
      <c r="Q1757" s="342" t="s">
        <v>2688</v>
      </c>
      <c r="R1757" s="344">
        <v>30</v>
      </c>
      <c r="S1757" s="345">
        <v>25</v>
      </c>
      <c r="T1757" s="362">
        <v>25</v>
      </c>
      <c r="U1757" s="361">
        <v>70.540000000000006</v>
      </c>
      <c r="V1757" s="346">
        <v>113.08221797323138</v>
      </c>
      <c r="W1757" s="348">
        <v>114.91988527724666</v>
      </c>
      <c r="X1757" s="347">
        <v>56.91</v>
      </c>
      <c r="Y1757" s="357">
        <v>56.93</v>
      </c>
      <c r="Z1757" s="365" t="s">
        <v>3017</v>
      </c>
      <c r="AA1757" s="350">
        <v>198</v>
      </c>
      <c r="AB1757" s="349" t="s">
        <v>2685</v>
      </c>
      <c r="AC1757" s="350">
        <v>10</v>
      </c>
      <c r="AD1757" s="349" t="s">
        <v>2685</v>
      </c>
      <c r="AE1757" s="364">
        <v>0</v>
      </c>
      <c r="AF1757" s="366">
        <v>0</v>
      </c>
      <c r="AG1757" s="363">
        <v>0</v>
      </c>
      <c r="AH1757" s="635" t="s">
        <v>408</v>
      </c>
      <c r="AL1757" s="487" t="s">
        <v>16137</v>
      </c>
      <c r="AM1757" s="477" t="s">
        <v>71</v>
      </c>
      <c r="AN1757" s="637">
        <v>100</v>
      </c>
      <c r="AO1757" s="478">
        <v>-1570</v>
      </c>
      <c r="AP1757" s="463">
        <v>-677</v>
      </c>
      <c r="AQ1757" s="479">
        <v>-893</v>
      </c>
      <c r="AR1757" s="476" t="s">
        <v>17822</v>
      </c>
      <c r="BA1757" s="313" t="s">
        <v>6508</v>
      </c>
    </row>
    <row r="1758" spans="2:53" ht="16.5" customHeight="1">
      <c r="B1758" s="367" t="s">
        <v>12656</v>
      </c>
      <c r="C1758" s="351" t="s">
        <v>12657</v>
      </c>
      <c r="D1758" s="353">
        <v>-1570</v>
      </c>
      <c r="E1758" s="352" t="s">
        <v>12658</v>
      </c>
      <c r="F1758" s="341">
        <v>70.510000000000005</v>
      </c>
      <c r="G1758" s="355" t="s">
        <v>6501</v>
      </c>
      <c r="H1758" s="356" t="s">
        <v>6210</v>
      </c>
      <c r="I1758" s="354" t="s">
        <v>211</v>
      </c>
      <c r="J1758" s="340" t="s">
        <v>8772</v>
      </c>
      <c r="K1758" s="339" t="s">
        <v>71</v>
      </c>
      <c r="L1758" s="357">
        <v>4</v>
      </c>
      <c r="M1758" s="358" t="s">
        <v>12659</v>
      </c>
      <c r="N1758" s="359">
        <v>500</v>
      </c>
      <c r="O1758" s="360" t="s">
        <v>530</v>
      </c>
      <c r="P1758" s="343" t="s">
        <v>531</v>
      </c>
      <c r="Q1758" s="342" t="s">
        <v>2688</v>
      </c>
      <c r="R1758" s="344">
        <v>40</v>
      </c>
      <c r="S1758" s="345">
        <v>30</v>
      </c>
      <c r="T1758" s="362">
        <v>30</v>
      </c>
      <c r="U1758" s="361">
        <v>70.510000000000005</v>
      </c>
      <c r="V1758" s="346">
        <v>113.0639691101248</v>
      </c>
      <c r="W1758" s="348">
        <v>114.90437374360609</v>
      </c>
      <c r="X1758" s="347">
        <v>56.9</v>
      </c>
      <c r="Y1758" s="357">
        <v>57</v>
      </c>
      <c r="Z1758" s="365" t="s">
        <v>4408</v>
      </c>
      <c r="AA1758" s="350">
        <v>24</v>
      </c>
      <c r="AB1758" s="349" t="s">
        <v>2685</v>
      </c>
      <c r="AC1758" s="350">
        <v>5</v>
      </c>
      <c r="AD1758" s="349" t="s">
        <v>2685</v>
      </c>
      <c r="AE1758" s="364">
        <v>0</v>
      </c>
      <c r="AF1758" s="366">
        <v>0</v>
      </c>
      <c r="AG1758" s="363">
        <v>0</v>
      </c>
      <c r="AH1758" s="635" t="s">
        <v>408</v>
      </c>
      <c r="AL1758" s="487" t="s">
        <v>16138</v>
      </c>
      <c r="AM1758" s="477" t="s">
        <v>71</v>
      </c>
      <c r="AN1758" s="637">
        <v>100</v>
      </c>
      <c r="AO1758" s="478">
        <v>-1570</v>
      </c>
      <c r="AP1758" s="463">
        <v>-677</v>
      </c>
      <c r="AQ1758" s="479">
        <v>-893</v>
      </c>
      <c r="AR1758" s="476" t="s">
        <v>17823</v>
      </c>
      <c r="BA1758" s="313" t="s">
        <v>6509</v>
      </c>
    </row>
    <row r="1759" spans="2:53" ht="16.5" customHeight="1">
      <c r="B1759" s="367" t="s">
        <v>12669</v>
      </c>
      <c r="C1759" s="351" t="s">
        <v>12670</v>
      </c>
      <c r="D1759" s="353">
        <v>-1570</v>
      </c>
      <c r="E1759" s="352" t="s">
        <v>408</v>
      </c>
      <c r="F1759" s="341">
        <v>70.510000000000005</v>
      </c>
      <c r="G1759" s="355" t="s">
        <v>6501</v>
      </c>
      <c r="H1759" s="356" t="s">
        <v>6210</v>
      </c>
      <c r="I1759" s="354" t="s">
        <v>212</v>
      </c>
      <c r="J1759" s="340" t="s">
        <v>8883</v>
      </c>
      <c r="K1759" s="339" t="s">
        <v>71</v>
      </c>
      <c r="L1759" s="357">
        <v>7</v>
      </c>
      <c r="M1759" s="358" t="s">
        <v>12665</v>
      </c>
      <c r="N1759" s="359">
        <v>800</v>
      </c>
      <c r="O1759" s="360" t="s">
        <v>532</v>
      </c>
      <c r="P1759" s="343" t="s">
        <v>532</v>
      </c>
      <c r="Q1759" s="342" t="s">
        <v>2688</v>
      </c>
      <c r="R1759" s="344">
        <v>40</v>
      </c>
      <c r="S1759" s="345">
        <v>30</v>
      </c>
      <c r="T1759" s="362">
        <v>30</v>
      </c>
      <c r="U1759" s="361">
        <v>70.510000000000005</v>
      </c>
      <c r="V1759" s="346">
        <v>113.06664254355852</v>
      </c>
      <c r="W1759" s="348">
        <v>114.90664616202474</v>
      </c>
      <c r="X1759" s="347" t="s">
        <v>19057</v>
      </c>
      <c r="Y1759" s="357" t="s">
        <v>408</v>
      </c>
      <c r="Z1759" s="365" t="s">
        <v>3017</v>
      </c>
      <c r="AA1759" s="350">
        <v>190</v>
      </c>
      <c r="AB1759" s="349" t="s">
        <v>2685</v>
      </c>
      <c r="AC1759" s="350">
        <v>10</v>
      </c>
      <c r="AD1759" s="349" t="s">
        <v>2685</v>
      </c>
      <c r="AE1759" s="364">
        <v>0</v>
      </c>
      <c r="AF1759" s="366">
        <v>0</v>
      </c>
      <c r="AG1759" s="363">
        <v>0</v>
      </c>
      <c r="AH1759" s="635" t="s">
        <v>408</v>
      </c>
      <c r="AL1759" s="487" t="s">
        <v>16139</v>
      </c>
      <c r="AM1759" s="477" t="s">
        <v>71</v>
      </c>
      <c r="AN1759" s="637">
        <v>100</v>
      </c>
      <c r="AO1759" s="478">
        <v>-1570</v>
      </c>
      <c r="AP1759" s="463">
        <v>-677</v>
      </c>
      <c r="AQ1759" s="479">
        <v>-893</v>
      </c>
      <c r="AR1759" s="476" t="s">
        <v>17823</v>
      </c>
      <c r="BA1759" s="313" t="s">
        <v>6510</v>
      </c>
    </row>
    <row r="1760" spans="2:53" ht="16.5" customHeight="1">
      <c r="B1760" s="367" t="s">
        <v>6594</v>
      </c>
      <c r="C1760" s="351" t="s">
        <v>6595</v>
      </c>
      <c r="D1760" s="353">
        <v>-1570</v>
      </c>
      <c r="E1760" s="352" t="s">
        <v>12664</v>
      </c>
      <c r="F1760" s="341">
        <v>70.5</v>
      </c>
      <c r="G1760" s="355" t="s">
        <v>12714</v>
      </c>
      <c r="H1760" s="356" t="s">
        <v>19058</v>
      </c>
      <c r="I1760" s="354" t="s">
        <v>216</v>
      </c>
      <c r="J1760" s="340" t="s">
        <v>8216</v>
      </c>
      <c r="K1760" s="339" t="s">
        <v>71</v>
      </c>
      <c r="L1760" s="357">
        <v>6</v>
      </c>
      <c r="M1760" s="358" t="s">
        <v>12671</v>
      </c>
      <c r="N1760" s="359">
        <v>300</v>
      </c>
      <c r="O1760" s="360" t="s">
        <v>530</v>
      </c>
      <c r="P1760" s="343" t="s">
        <v>530</v>
      </c>
      <c r="Q1760" s="342" t="s">
        <v>2688</v>
      </c>
      <c r="R1760" s="344">
        <v>45</v>
      </c>
      <c r="S1760" s="345">
        <v>25</v>
      </c>
      <c r="T1760" s="362">
        <v>30</v>
      </c>
      <c r="U1760" s="361">
        <v>70.5</v>
      </c>
      <c r="V1760" s="346">
        <v>113.05944242295992</v>
      </c>
      <c r="W1760" s="348">
        <v>114.90052605951593</v>
      </c>
      <c r="X1760" s="347">
        <v>56.9</v>
      </c>
      <c r="Y1760" s="357" t="s">
        <v>408</v>
      </c>
      <c r="Z1760" s="365" t="s">
        <v>3017</v>
      </c>
      <c r="AA1760" s="350">
        <v>-2</v>
      </c>
      <c r="AB1760" s="349" t="s">
        <v>2685</v>
      </c>
      <c r="AC1760" s="350">
        <v>0</v>
      </c>
      <c r="AD1760" s="349" t="s">
        <v>2685</v>
      </c>
      <c r="AE1760" s="364">
        <v>0</v>
      </c>
      <c r="AF1760" s="366">
        <v>0</v>
      </c>
      <c r="AG1760" s="363">
        <v>0</v>
      </c>
      <c r="AH1760" s="635" t="s">
        <v>408</v>
      </c>
      <c r="AL1760" s="487" t="s">
        <v>16140</v>
      </c>
      <c r="AM1760" s="477" t="s">
        <v>71</v>
      </c>
      <c r="AN1760" s="637">
        <v>100</v>
      </c>
      <c r="AO1760" s="478">
        <v>-1570</v>
      </c>
      <c r="AP1760" s="463">
        <v>-677</v>
      </c>
      <c r="AQ1760" s="479">
        <v>-893</v>
      </c>
      <c r="AR1760" s="476" t="s">
        <v>17824</v>
      </c>
      <c r="BA1760" s="313" t="s">
        <v>6511</v>
      </c>
    </row>
    <row r="1761" spans="2:53" ht="16.5" customHeight="1">
      <c r="B1761" s="367" t="s">
        <v>12660</v>
      </c>
      <c r="C1761" s="351" t="s">
        <v>12661</v>
      </c>
      <c r="D1761" s="353">
        <v>-1570</v>
      </c>
      <c r="E1761" s="352" t="s">
        <v>12666</v>
      </c>
      <c r="F1761" s="341">
        <v>70.459999999999994</v>
      </c>
      <c r="G1761" s="355" t="s">
        <v>12631</v>
      </c>
      <c r="H1761" s="356" t="s">
        <v>12517</v>
      </c>
      <c r="I1761" s="354" t="s">
        <v>197</v>
      </c>
      <c r="J1761" s="340" t="s">
        <v>12662</v>
      </c>
      <c r="K1761" s="339" t="s">
        <v>70</v>
      </c>
      <c r="L1761" s="357">
        <v>10</v>
      </c>
      <c r="M1761" s="358" t="s">
        <v>12663</v>
      </c>
      <c r="N1761" s="359">
        <v>500</v>
      </c>
      <c r="O1761" s="360" t="s">
        <v>454</v>
      </c>
      <c r="P1761" s="343" t="s">
        <v>454</v>
      </c>
      <c r="Q1761" s="342" t="s">
        <v>2688</v>
      </c>
      <c r="R1761" s="344">
        <v>20</v>
      </c>
      <c r="S1761" s="345">
        <v>30</v>
      </c>
      <c r="T1761" s="362">
        <v>30</v>
      </c>
      <c r="U1761" s="361">
        <v>70.459999999999994</v>
      </c>
      <c r="V1761" s="346">
        <v>113.03401842664776</v>
      </c>
      <c r="W1761" s="348">
        <v>114.8789156626506</v>
      </c>
      <c r="X1761" s="347">
        <v>57.2</v>
      </c>
      <c r="Y1761" s="357" t="s">
        <v>408</v>
      </c>
      <c r="Z1761" s="365" t="s">
        <v>4408</v>
      </c>
      <c r="AA1761" s="350">
        <v>94</v>
      </c>
      <c r="AB1761" s="349" t="s">
        <v>2685</v>
      </c>
      <c r="AC1761" s="350">
        <v>1.5</v>
      </c>
      <c r="AD1761" s="349" t="s">
        <v>2685</v>
      </c>
      <c r="AE1761" s="364">
        <v>0</v>
      </c>
      <c r="AF1761" s="366">
        <v>10.569000000000001</v>
      </c>
      <c r="AG1761" s="363">
        <v>0</v>
      </c>
      <c r="AH1761" s="635" t="s">
        <v>6224</v>
      </c>
      <c r="AL1761" s="487" t="s">
        <v>16141</v>
      </c>
      <c r="AM1761" s="477" t="s">
        <v>70</v>
      </c>
      <c r="AN1761" s="637">
        <v>100</v>
      </c>
      <c r="AO1761" s="478">
        <v>-1570</v>
      </c>
      <c r="AP1761" s="463">
        <v>-1570</v>
      </c>
      <c r="AQ1761" s="479">
        <v>0</v>
      </c>
      <c r="AR1761" s="476" t="s">
        <v>17825</v>
      </c>
      <c r="BA1761" s="313" t="s">
        <v>6512</v>
      </c>
    </row>
    <row r="1762" spans="2:53" ht="16.5" customHeight="1">
      <c r="B1762" s="367" t="s">
        <v>6578</v>
      </c>
      <c r="C1762" s="351" t="s">
        <v>6579</v>
      </c>
      <c r="D1762" s="353">
        <v>-1570</v>
      </c>
      <c r="E1762" s="352" t="s">
        <v>6501</v>
      </c>
      <c r="F1762" s="341">
        <v>70.42</v>
      </c>
      <c r="G1762" s="355" t="s">
        <v>12722</v>
      </c>
      <c r="H1762" s="356" t="s">
        <v>19059</v>
      </c>
      <c r="I1762" s="354" t="s">
        <v>9336</v>
      </c>
      <c r="J1762" s="340" t="s">
        <v>12667</v>
      </c>
      <c r="K1762" s="339" t="s">
        <v>71</v>
      </c>
      <c r="L1762" s="357">
        <v>7</v>
      </c>
      <c r="M1762" s="358" t="s">
        <v>12668</v>
      </c>
      <c r="N1762" s="359">
        <v>700</v>
      </c>
      <c r="O1762" s="360" t="s">
        <v>532</v>
      </c>
      <c r="P1762" s="343" t="s">
        <v>533</v>
      </c>
      <c r="Q1762" s="342" t="s">
        <v>2688</v>
      </c>
      <c r="R1762" s="344">
        <v>30</v>
      </c>
      <c r="S1762" s="345">
        <v>30</v>
      </c>
      <c r="T1762" s="362">
        <v>20</v>
      </c>
      <c r="U1762" s="361">
        <v>70.42</v>
      </c>
      <c r="V1762" s="346">
        <v>113.0116890619388</v>
      </c>
      <c r="W1762" s="348">
        <v>114.85993570264797</v>
      </c>
      <c r="X1762" s="347">
        <v>56.87</v>
      </c>
      <c r="Y1762" s="357">
        <v>58.089999999999996</v>
      </c>
      <c r="Z1762" s="365" t="s">
        <v>3017</v>
      </c>
      <c r="AA1762" s="350">
        <v>138</v>
      </c>
      <c r="AB1762" s="349" t="s">
        <v>2685</v>
      </c>
      <c r="AC1762" s="350">
        <v>10</v>
      </c>
      <c r="AD1762" s="349" t="s">
        <v>2685</v>
      </c>
      <c r="AE1762" s="364">
        <v>0</v>
      </c>
      <c r="AF1762" s="366">
        <v>0</v>
      </c>
      <c r="AG1762" s="363">
        <v>0</v>
      </c>
      <c r="AH1762" s="635" t="s">
        <v>408</v>
      </c>
      <c r="AL1762" s="487" t="s">
        <v>16142</v>
      </c>
      <c r="AM1762" s="477" t="s">
        <v>71</v>
      </c>
      <c r="AN1762" s="637">
        <v>100</v>
      </c>
      <c r="AO1762" s="478">
        <v>-1570</v>
      </c>
      <c r="AP1762" s="463">
        <v>-677</v>
      </c>
      <c r="AQ1762" s="479">
        <v>-893</v>
      </c>
      <c r="AR1762" s="476" t="s">
        <v>17826</v>
      </c>
      <c r="BA1762" s="313" t="s">
        <v>6514</v>
      </c>
    </row>
    <row r="1763" spans="2:53" ht="16.5" customHeight="1">
      <c r="B1763" s="367" t="s">
        <v>12672</v>
      </c>
      <c r="C1763" s="351" t="s">
        <v>12673</v>
      </c>
      <c r="D1763" s="353">
        <v>-1570</v>
      </c>
      <c r="E1763" s="352" t="s">
        <v>408</v>
      </c>
      <c r="F1763" s="341">
        <v>70.400000000000006</v>
      </c>
      <c r="G1763" s="355" t="s">
        <v>12674</v>
      </c>
      <c r="H1763" s="356" t="s">
        <v>19060</v>
      </c>
      <c r="I1763" s="354" t="s">
        <v>214</v>
      </c>
      <c r="J1763" s="340" t="s">
        <v>12675</v>
      </c>
      <c r="K1763" s="339" t="s">
        <v>70</v>
      </c>
      <c r="L1763" s="357">
        <v>7</v>
      </c>
      <c r="M1763" s="358" t="s">
        <v>12676</v>
      </c>
      <c r="N1763" s="359">
        <v>200</v>
      </c>
      <c r="O1763" s="360" t="s">
        <v>532</v>
      </c>
      <c r="P1763" s="343" t="s">
        <v>532</v>
      </c>
      <c r="Q1763" s="342" t="s">
        <v>2688</v>
      </c>
      <c r="R1763" s="344">
        <v>20</v>
      </c>
      <c r="S1763" s="345">
        <v>30</v>
      </c>
      <c r="T1763" s="362">
        <v>30</v>
      </c>
      <c r="U1763" s="361">
        <v>70.400000000000006</v>
      </c>
      <c r="V1763" s="346">
        <v>112.99954694733012</v>
      </c>
      <c r="W1763" s="348">
        <v>114.84959225259711</v>
      </c>
      <c r="X1763" s="347" t="s">
        <v>19061</v>
      </c>
      <c r="Y1763" s="357" t="s">
        <v>408</v>
      </c>
      <c r="Z1763" s="365" t="s">
        <v>4408</v>
      </c>
      <c r="AA1763" s="350">
        <v>36</v>
      </c>
      <c r="AB1763" s="349" t="s">
        <v>2685</v>
      </c>
      <c r="AC1763" s="350">
        <v>0</v>
      </c>
      <c r="AD1763" s="349" t="s">
        <v>2685</v>
      </c>
      <c r="AE1763" s="364">
        <v>0</v>
      </c>
      <c r="AF1763" s="366">
        <v>0</v>
      </c>
      <c r="AG1763" s="363">
        <v>0</v>
      </c>
      <c r="AH1763" s="635" t="s">
        <v>408</v>
      </c>
      <c r="AL1763" s="487" t="s">
        <v>16143</v>
      </c>
      <c r="AM1763" s="477" t="s">
        <v>70</v>
      </c>
      <c r="AN1763" s="637">
        <v>100</v>
      </c>
      <c r="AO1763" s="478">
        <v>-1570</v>
      </c>
      <c r="AP1763" s="463">
        <v>-1570</v>
      </c>
      <c r="AQ1763" s="479">
        <v>0</v>
      </c>
      <c r="AR1763" s="476" t="s">
        <v>17827</v>
      </c>
      <c r="BA1763" s="313" t="s">
        <v>6516</v>
      </c>
    </row>
    <row r="1764" spans="2:53" ht="16.5" customHeight="1">
      <c r="B1764" s="367" t="s">
        <v>12677</v>
      </c>
      <c r="C1764" s="351" t="s">
        <v>12678</v>
      </c>
      <c r="D1764" s="353">
        <v>-1570</v>
      </c>
      <c r="E1764" s="352" t="s">
        <v>408</v>
      </c>
      <c r="F1764" s="341">
        <v>70.349999999999994</v>
      </c>
      <c r="G1764" s="355" t="s">
        <v>12679</v>
      </c>
      <c r="H1764" s="356" t="s">
        <v>6008</v>
      </c>
      <c r="I1764" s="354" t="s">
        <v>216</v>
      </c>
      <c r="J1764" s="340" t="s">
        <v>10547</v>
      </c>
      <c r="K1764" s="339" t="s">
        <v>70</v>
      </c>
      <c r="L1764" s="357">
        <v>7</v>
      </c>
      <c r="M1764" s="358" t="s">
        <v>12680</v>
      </c>
      <c r="N1764" s="359">
        <v>300</v>
      </c>
      <c r="O1764" s="360" t="s">
        <v>530</v>
      </c>
      <c r="P1764" s="343" t="s">
        <v>530</v>
      </c>
      <c r="Q1764" s="342" t="s">
        <v>2688</v>
      </c>
      <c r="R1764" s="344">
        <v>25</v>
      </c>
      <c r="S1764" s="345">
        <v>45</v>
      </c>
      <c r="T1764" s="362">
        <v>30</v>
      </c>
      <c r="U1764" s="361">
        <v>70.349999999999994</v>
      </c>
      <c r="V1764" s="346">
        <v>112.97354369177097</v>
      </c>
      <c r="W1764" s="348">
        <v>114.82618932259386</v>
      </c>
      <c r="X1764" s="347">
        <v>57.18</v>
      </c>
      <c r="Y1764" s="357" t="s">
        <v>408</v>
      </c>
      <c r="Z1764" s="365" t="s">
        <v>3017</v>
      </c>
      <c r="AA1764" s="350">
        <v>-2</v>
      </c>
      <c r="AB1764" s="349" t="s">
        <v>2685</v>
      </c>
      <c r="AC1764" s="350">
        <v>0</v>
      </c>
      <c r="AD1764" s="349" t="s">
        <v>2685</v>
      </c>
      <c r="AE1764" s="364">
        <v>0</v>
      </c>
      <c r="AF1764" s="366">
        <v>0</v>
      </c>
      <c r="AG1764" s="363">
        <v>0</v>
      </c>
      <c r="AH1764" s="635" t="s">
        <v>408</v>
      </c>
      <c r="AL1764" s="487" t="s">
        <v>16144</v>
      </c>
      <c r="AM1764" s="477" t="s">
        <v>70</v>
      </c>
      <c r="AN1764" s="637">
        <v>100</v>
      </c>
      <c r="AO1764" s="478">
        <v>-1570</v>
      </c>
      <c r="AP1764" s="463">
        <v>-1570</v>
      </c>
      <c r="AQ1764" s="479">
        <v>0</v>
      </c>
      <c r="AR1764" s="476" t="s">
        <v>17828</v>
      </c>
      <c r="BA1764" s="313" t="s">
        <v>6517</v>
      </c>
    </row>
    <row r="1765" spans="2:53" ht="16.5" customHeight="1">
      <c r="B1765" s="367" t="s">
        <v>18274</v>
      </c>
      <c r="C1765" s="351" t="s">
        <v>18275</v>
      </c>
      <c r="D1765" s="353">
        <v>-1570</v>
      </c>
      <c r="E1765" s="352" t="s">
        <v>408</v>
      </c>
      <c r="F1765" s="341">
        <v>70.349999999999994</v>
      </c>
      <c r="G1765" s="355" t="s">
        <v>19062</v>
      </c>
      <c r="H1765" s="356" t="s">
        <v>19060</v>
      </c>
      <c r="I1765" s="354" t="s">
        <v>8000</v>
      </c>
      <c r="J1765" s="340" t="s">
        <v>8337</v>
      </c>
      <c r="K1765" s="339" t="s">
        <v>71</v>
      </c>
      <c r="L1765" s="357">
        <v>5</v>
      </c>
      <c r="M1765" s="358" t="s">
        <v>12701</v>
      </c>
      <c r="N1765" s="359">
        <v>1000</v>
      </c>
      <c r="O1765" s="360" t="s">
        <v>532</v>
      </c>
      <c r="P1765" s="343" t="s">
        <v>532</v>
      </c>
      <c r="Q1765" s="342" t="s">
        <v>2688</v>
      </c>
      <c r="R1765" s="344">
        <v>30</v>
      </c>
      <c r="S1765" s="345">
        <v>25</v>
      </c>
      <c r="T1765" s="362">
        <v>25</v>
      </c>
      <c r="U1765" s="361">
        <v>70.349999999999994</v>
      </c>
      <c r="V1765" s="346">
        <v>112.9705187328464</v>
      </c>
      <c r="W1765" s="348">
        <v>114.82346685956175</v>
      </c>
      <c r="X1765" s="347" t="s">
        <v>19063</v>
      </c>
      <c r="Y1765" s="357" t="s">
        <v>408</v>
      </c>
      <c r="Z1765" s="365" t="s">
        <v>4408</v>
      </c>
      <c r="AA1765" s="350">
        <v>192</v>
      </c>
      <c r="AB1765" s="349" t="s">
        <v>2685</v>
      </c>
      <c r="AC1765" s="350">
        <v>0</v>
      </c>
      <c r="AD1765" s="349" t="s">
        <v>2685</v>
      </c>
      <c r="AE1765" s="364">
        <v>0</v>
      </c>
      <c r="AF1765" s="366">
        <v>0</v>
      </c>
      <c r="AG1765" s="363">
        <v>0</v>
      </c>
      <c r="AH1765" s="635" t="s">
        <v>408</v>
      </c>
      <c r="AL1765" s="487" t="s">
        <v>16145</v>
      </c>
      <c r="AM1765" s="477" t="s">
        <v>71</v>
      </c>
      <c r="AN1765" s="637">
        <v>100</v>
      </c>
      <c r="AO1765" s="478">
        <v>-1570</v>
      </c>
      <c r="AP1765" s="463">
        <v>-676</v>
      </c>
      <c r="AQ1765" s="479">
        <v>-894</v>
      </c>
      <c r="AR1765" s="476" t="s">
        <v>17829</v>
      </c>
      <c r="BA1765" s="313" t="s">
        <v>6518</v>
      </c>
    </row>
    <row r="1766" spans="2:53" ht="16.5" customHeight="1">
      <c r="B1766" s="367" t="s">
        <v>12681</v>
      </c>
      <c r="C1766" s="351" t="s">
        <v>12682</v>
      </c>
      <c r="D1766" s="353">
        <v>-1570</v>
      </c>
      <c r="E1766" s="352" t="s">
        <v>408</v>
      </c>
      <c r="F1766" s="341">
        <v>70.33</v>
      </c>
      <c r="G1766" s="355" t="s">
        <v>12683</v>
      </c>
      <c r="H1766" s="356" t="s">
        <v>6083</v>
      </c>
      <c r="I1766" s="354" t="s">
        <v>197</v>
      </c>
      <c r="J1766" s="340" t="s">
        <v>12684</v>
      </c>
      <c r="K1766" s="339" t="s">
        <v>70</v>
      </c>
      <c r="L1766" s="357">
        <v>22</v>
      </c>
      <c r="M1766" s="358" t="s">
        <v>12685</v>
      </c>
      <c r="N1766" s="359">
        <v>500</v>
      </c>
      <c r="O1766" s="360" t="s">
        <v>454</v>
      </c>
      <c r="P1766" s="343" t="s">
        <v>454</v>
      </c>
      <c r="Q1766" s="342" t="s">
        <v>2688</v>
      </c>
      <c r="R1766" s="344">
        <v>20</v>
      </c>
      <c r="S1766" s="345">
        <v>30</v>
      </c>
      <c r="T1766" s="362">
        <v>30</v>
      </c>
      <c r="U1766" s="361">
        <v>70.33</v>
      </c>
      <c r="V1766" s="346">
        <v>112.95850066934405</v>
      </c>
      <c r="W1766" s="348">
        <v>114.81265060240963</v>
      </c>
      <c r="X1766" s="347">
        <v>57.17</v>
      </c>
      <c r="Y1766" s="357" t="s">
        <v>408</v>
      </c>
      <c r="Z1766" s="365" t="s">
        <v>4408</v>
      </c>
      <c r="AA1766" s="350">
        <v>94</v>
      </c>
      <c r="AB1766" s="349" t="s">
        <v>2685</v>
      </c>
      <c r="AC1766" s="350">
        <v>1.5</v>
      </c>
      <c r="AD1766" s="349" t="s">
        <v>2685</v>
      </c>
      <c r="AE1766" s="364">
        <v>0</v>
      </c>
      <c r="AF1766" s="366">
        <v>10.55</v>
      </c>
      <c r="AG1766" s="363">
        <v>0</v>
      </c>
      <c r="AH1766" s="635" t="s">
        <v>6224</v>
      </c>
      <c r="AL1766" s="487" t="s">
        <v>16146</v>
      </c>
      <c r="AM1766" s="477" t="s">
        <v>70</v>
      </c>
      <c r="AN1766" s="637">
        <v>100</v>
      </c>
      <c r="AO1766" s="478">
        <v>-1570</v>
      </c>
      <c r="AP1766" s="463">
        <v>-1570</v>
      </c>
      <c r="AQ1766" s="479">
        <v>0</v>
      </c>
      <c r="AR1766" s="476" t="s">
        <v>17830</v>
      </c>
      <c r="BA1766" s="313" t="s">
        <v>6519</v>
      </c>
    </row>
    <row r="1767" spans="2:53" ht="16.5" customHeight="1">
      <c r="B1767" s="367" t="s">
        <v>12686</v>
      </c>
      <c r="C1767" s="351" t="s">
        <v>12687</v>
      </c>
      <c r="D1767" s="353">
        <v>-1570</v>
      </c>
      <c r="E1767" s="352" t="s">
        <v>12693</v>
      </c>
      <c r="F1767" s="341">
        <v>70.319999999999993</v>
      </c>
      <c r="G1767" s="355" t="s">
        <v>12688</v>
      </c>
      <c r="H1767" s="356" t="s">
        <v>19064</v>
      </c>
      <c r="I1767" s="354" t="s">
        <v>212</v>
      </c>
      <c r="J1767" s="340" t="s">
        <v>12689</v>
      </c>
      <c r="K1767" s="339" t="s">
        <v>70</v>
      </c>
      <c r="L1767" s="357">
        <v>4</v>
      </c>
      <c r="M1767" s="358" t="s">
        <v>12690</v>
      </c>
      <c r="N1767" s="359">
        <v>800</v>
      </c>
      <c r="O1767" s="360" t="s">
        <v>532</v>
      </c>
      <c r="P1767" s="343" t="s">
        <v>532</v>
      </c>
      <c r="Q1767" s="342" t="s">
        <v>2688</v>
      </c>
      <c r="R1767" s="344">
        <v>30</v>
      </c>
      <c r="S1767" s="345">
        <v>40</v>
      </c>
      <c r="T1767" s="362">
        <v>30</v>
      </c>
      <c r="U1767" s="361">
        <v>70.319999999999993</v>
      </c>
      <c r="V1767" s="346">
        <v>112.95458850301529</v>
      </c>
      <c r="W1767" s="348">
        <v>114.80912965271375</v>
      </c>
      <c r="X1767" s="347" t="s">
        <v>19065</v>
      </c>
      <c r="Y1767" s="357" t="s">
        <v>408</v>
      </c>
      <c r="Z1767" s="365" t="s">
        <v>3017</v>
      </c>
      <c r="AA1767" s="350">
        <v>190</v>
      </c>
      <c r="AB1767" s="349" t="s">
        <v>2685</v>
      </c>
      <c r="AC1767" s="350">
        <v>10</v>
      </c>
      <c r="AD1767" s="349" t="s">
        <v>2685</v>
      </c>
      <c r="AE1767" s="364">
        <v>0</v>
      </c>
      <c r="AF1767" s="366">
        <v>0</v>
      </c>
      <c r="AG1767" s="363">
        <v>0</v>
      </c>
      <c r="AH1767" s="635" t="s">
        <v>408</v>
      </c>
      <c r="AL1767" s="487" t="s">
        <v>16147</v>
      </c>
      <c r="AM1767" s="477" t="s">
        <v>70</v>
      </c>
      <c r="AN1767" s="637">
        <v>100</v>
      </c>
      <c r="AO1767" s="478">
        <v>-1570</v>
      </c>
      <c r="AP1767" s="463">
        <v>-1570</v>
      </c>
      <c r="AQ1767" s="479">
        <v>0</v>
      </c>
      <c r="AR1767" s="476" t="s">
        <v>17831</v>
      </c>
      <c r="BA1767" s="313" t="s">
        <v>6523</v>
      </c>
    </row>
    <row r="1768" spans="2:53" ht="16.5" customHeight="1">
      <c r="B1768" s="367" t="s">
        <v>12691</v>
      </c>
      <c r="C1768" s="351" t="s">
        <v>12692</v>
      </c>
      <c r="D1768" s="353">
        <v>-1570</v>
      </c>
      <c r="E1768" s="352" t="s">
        <v>408</v>
      </c>
      <c r="F1768" s="341">
        <v>70.28</v>
      </c>
      <c r="G1768" s="355" t="s">
        <v>12752</v>
      </c>
      <c r="H1768" s="356" t="s">
        <v>6083</v>
      </c>
      <c r="I1768" s="354" t="s">
        <v>211</v>
      </c>
      <c r="J1768" s="340" t="s">
        <v>8216</v>
      </c>
      <c r="K1768" s="339" t="s">
        <v>71</v>
      </c>
      <c r="L1768" s="357">
        <v>7</v>
      </c>
      <c r="M1768" s="358" t="s">
        <v>12694</v>
      </c>
      <c r="N1768" s="359">
        <v>500</v>
      </c>
      <c r="O1768" s="360" t="s">
        <v>530</v>
      </c>
      <c r="P1768" s="343" t="s">
        <v>531</v>
      </c>
      <c r="Q1768" s="342" t="s">
        <v>2688</v>
      </c>
      <c r="R1768" s="344">
        <v>40</v>
      </c>
      <c r="S1768" s="345">
        <v>30</v>
      </c>
      <c r="T1768" s="362">
        <v>30</v>
      </c>
      <c r="U1768" s="361">
        <v>70.28</v>
      </c>
      <c r="V1768" s="346">
        <v>112.93106762523549</v>
      </c>
      <c r="W1768" s="348">
        <v>114.78796086271194</v>
      </c>
      <c r="X1768" s="347">
        <v>56.83</v>
      </c>
      <c r="Y1768" s="357">
        <v>56.93</v>
      </c>
      <c r="Z1768" s="365" t="s">
        <v>4408</v>
      </c>
      <c r="AA1768" s="350">
        <v>24</v>
      </c>
      <c r="AB1768" s="349" t="s">
        <v>2685</v>
      </c>
      <c r="AC1768" s="350">
        <v>5</v>
      </c>
      <c r="AD1768" s="349" t="s">
        <v>2685</v>
      </c>
      <c r="AE1768" s="364">
        <v>0</v>
      </c>
      <c r="AF1768" s="366">
        <v>0</v>
      </c>
      <c r="AG1768" s="363">
        <v>0</v>
      </c>
      <c r="AH1768" s="635" t="s">
        <v>408</v>
      </c>
      <c r="AL1768" s="487" t="s">
        <v>16148</v>
      </c>
      <c r="AM1768" s="477" t="s">
        <v>71</v>
      </c>
      <c r="AN1768" s="637">
        <v>100</v>
      </c>
      <c r="AO1768" s="478">
        <v>-1570</v>
      </c>
      <c r="AP1768" s="463">
        <v>-676</v>
      </c>
      <c r="AQ1768" s="479">
        <v>-894</v>
      </c>
      <c r="AR1768" s="476" t="s">
        <v>17832</v>
      </c>
      <c r="BA1768" s="313" t="s">
        <v>6524</v>
      </c>
    </row>
    <row r="1769" spans="2:53" ht="16.5" customHeight="1">
      <c r="B1769" s="367" t="s">
        <v>12695</v>
      </c>
      <c r="C1769" s="351" t="s">
        <v>12696</v>
      </c>
      <c r="D1769" s="353">
        <v>-1570</v>
      </c>
      <c r="E1769" s="352" t="s">
        <v>12700</v>
      </c>
      <c r="F1769" s="341">
        <v>70.27</v>
      </c>
      <c r="G1769" s="355" t="s">
        <v>12697</v>
      </c>
      <c r="H1769" s="356" t="s">
        <v>12350</v>
      </c>
      <c r="I1769" s="354" t="s">
        <v>216</v>
      </c>
      <c r="J1769" s="340" t="s">
        <v>12698</v>
      </c>
      <c r="K1769" s="339" t="s">
        <v>70</v>
      </c>
      <c r="L1769" s="357">
        <v>7</v>
      </c>
      <c r="M1769" s="358" t="s">
        <v>12699</v>
      </c>
      <c r="N1769" s="359">
        <v>300</v>
      </c>
      <c r="O1769" s="360" t="s">
        <v>530</v>
      </c>
      <c r="P1769" s="343" t="s">
        <v>530</v>
      </c>
      <c r="Q1769" s="342" t="s">
        <v>2688</v>
      </c>
      <c r="R1769" s="344">
        <v>25</v>
      </c>
      <c r="S1769" s="345">
        <v>45</v>
      </c>
      <c r="T1769" s="362">
        <v>30</v>
      </c>
      <c r="U1769" s="361">
        <v>70.27</v>
      </c>
      <c r="V1769" s="346">
        <v>112.92924400475232</v>
      </c>
      <c r="W1769" s="348">
        <v>114.7863196042771</v>
      </c>
      <c r="X1769" s="347">
        <v>57.16</v>
      </c>
      <c r="Y1769" s="357" t="s">
        <v>408</v>
      </c>
      <c r="Z1769" s="365" t="s">
        <v>3017</v>
      </c>
      <c r="AA1769" s="350">
        <v>-2</v>
      </c>
      <c r="AB1769" s="349" t="s">
        <v>2685</v>
      </c>
      <c r="AC1769" s="350">
        <v>0</v>
      </c>
      <c r="AD1769" s="349" t="s">
        <v>2685</v>
      </c>
      <c r="AE1769" s="364">
        <v>0</v>
      </c>
      <c r="AF1769" s="366">
        <v>0</v>
      </c>
      <c r="AG1769" s="363">
        <v>0</v>
      </c>
      <c r="AH1769" s="635" t="s">
        <v>408</v>
      </c>
      <c r="AL1769" s="487" t="s">
        <v>16149</v>
      </c>
      <c r="AM1769" s="477" t="s">
        <v>70</v>
      </c>
      <c r="AN1769" s="637">
        <v>100</v>
      </c>
      <c r="AO1769" s="478">
        <v>-1570</v>
      </c>
      <c r="AP1769" s="463">
        <v>-1570</v>
      </c>
      <c r="AQ1769" s="479">
        <v>0</v>
      </c>
      <c r="AR1769" s="476" t="s">
        <v>17833</v>
      </c>
      <c r="BA1769" s="313" t="s">
        <v>6525</v>
      </c>
    </row>
    <row r="1770" spans="2:53" ht="16.5" customHeight="1">
      <c r="B1770" s="367" t="s">
        <v>18276</v>
      </c>
      <c r="C1770" s="351" t="s">
        <v>18277</v>
      </c>
      <c r="D1770" s="353">
        <v>-1570</v>
      </c>
      <c r="E1770" s="352" t="s">
        <v>408</v>
      </c>
      <c r="F1770" s="341">
        <v>70.260000000000005</v>
      </c>
      <c r="G1770" s="355" t="s">
        <v>19066</v>
      </c>
      <c r="H1770" s="356" t="s">
        <v>6248</v>
      </c>
      <c r="I1770" s="354" t="s">
        <v>212</v>
      </c>
      <c r="J1770" s="340" t="s">
        <v>12710</v>
      </c>
      <c r="K1770" s="339" t="s">
        <v>71</v>
      </c>
      <c r="L1770" s="357">
        <v>5</v>
      </c>
      <c r="M1770" s="358" t="s">
        <v>12711</v>
      </c>
      <c r="N1770" s="359">
        <v>800</v>
      </c>
      <c r="O1770" s="360" t="s">
        <v>532</v>
      </c>
      <c r="P1770" s="343" t="s">
        <v>532</v>
      </c>
      <c r="Q1770" s="342" t="s">
        <v>2688</v>
      </c>
      <c r="R1770" s="344">
        <v>40</v>
      </c>
      <c r="S1770" s="345">
        <v>30</v>
      </c>
      <c r="T1770" s="362">
        <v>30</v>
      </c>
      <c r="U1770" s="361">
        <v>70.260000000000005</v>
      </c>
      <c r="V1770" s="346">
        <v>112.92068251834277</v>
      </c>
      <c r="W1770" s="348">
        <v>114.7786142665085</v>
      </c>
      <c r="X1770" s="347" t="s">
        <v>19063</v>
      </c>
      <c r="Y1770" s="357" t="s">
        <v>408</v>
      </c>
      <c r="Z1770" s="365" t="s">
        <v>3017</v>
      </c>
      <c r="AA1770" s="350">
        <v>190</v>
      </c>
      <c r="AB1770" s="349" t="s">
        <v>2685</v>
      </c>
      <c r="AC1770" s="350">
        <v>10</v>
      </c>
      <c r="AD1770" s="349" t="s">
        <v>2685</v>
      </c>
      <c r="AE1770" s="364">
        <v>0</v>
      </c>
      <c r="AF1770" s="366">
        <v>0</v>
      </c>
      <c r="AG1770" s="363">
        <v>0</v>
      </c>
      <c r="AH1770" s="635" t="s">
        <v>408</v>
      </c>
      <c r="AL1770" s="487" t="s">
        <v>16150</v>
      </c>
      <c r="AM1770" s="477" t="s">
        <v>71</v>
      </c>
      <c r="AN1770" s="637">
        <v>100</v>
      </c>
      <c r="AO1770" s="478">
        <v>-1570</v>
      </c>
      <c r="AP1770" s="463">
        <v>-675</v>
      </c>
      <c r="AQ1770" s="479">
        <v>-895</v>
      </c>
      <c r="AR1770" s="476" t="s">
        <v>17834</v>
      </c>
      <c r="BA1770" s="313" t="s">
        <v>6526</v>
      </c>
    </row>
    <row r="1771" spans="2:53" ht="16.5" customHeight="1">
      <c r="B1771" s="367" t="s">
        <v>12702</v>
      </c>
      <c r="C1771" s="351" t="s">
        <v>12703</v>
      </c>
      <c r="D1771" s="353">
        <v>-1570</v>
      </c>
      <c r="E1771" s="352" t="s">
        <v>408</v>
      </c>
      <c r="F1771" s="341">
        <v>70.239999999999995</v>
      </c>
      <c r="G1771" s="355" t="s">
        <v>6535</v>
      </c>
      <c r="H1771" s="356" t="s">
        <v>6260</v>
      </c>
      <c r="I1771" s="354" t="s">
        <v>214</v>
      </c>
      <c r="J1771" s="340" t="s">
        <v>9090</v>
      </c>
      <c r="K1771" s="339" t="s">
        <v>70</v>
      </c>
      <c r="L1771" s="357">
        <v>10</v>
      </c>
      <c r="M1771" s="358" t="s">
        <v>12704</v>
      </c>
      <c r="N1771" s="359">
        <v>200</v>
      </c>
      <c r="O1771" s="360" t="s">
        <v>532</v>
      </c>
      <c r="P1771" s="343" t="s">
        <v>532</v>
      </c>
      <c r="Q1771" s="342" t="s">
        <v>2688</v>
      </c>
      <c r="R1771" s="344">
        <v>20</v>
      </c>
      <c r="S1771" s="345">
        <v>30</v>
      </c>
      <c r="T1771" s="362">
        <v>30</v>
      </c>
      <c r="U1771" s="361">
        <v>70.239999999999995</v>
      </c>
      <c r="V1771" s="346">
        <v>112.91208485437571</v>
      </c>
      <c r="W1771" s="348">
        <v>114.77087636893815</v>
      </c>
      <c r="X1771" s="347" t="s">
        <v>19067</v>
      </c>
      <c r="Y1771" s="357" t="s">
        <v>408</v>
      </c>
      <c r="Z1771" s="365" t="s">
        <v>4408</v>
      </c>
      <c r="AA1771" s="350">
        <v>36</v>
      </c>
      <c r="AB1771" s="349" t="s">
        <v>2685</v>
      </c>
      <c r="AC1771" s="350">
        <v>0</v>
      </c>
      <c r="AD1771" s="349" t="s">
        <v>2685</v>
      </c>
      <c r="AE1771" s="364">
        <v>0</v>
      </c>
      <c r="AF1771" s="366">
        <v>0</v>
      </c>
      <c r="AG1771" s="363">
        <v>0</v>
      </c>
      <c r="AH1771" s="635" t="s">
        <v>408</v>
      </c>
      <c r="AL1771" s="487" t="s">
        <v>16152</v>
      </c>
      <c r="AM1771" s="477" t="s">
        <v>70</v>
      </c>
      <c r="AN1771" s="637">
        <v>100</v>
      </c>
      <c r="AO1771" s="478">
        <v>-1570</v>
      </c>
      <c r="AP1771" s="463">
        <v>-1570</v>
      </c>
      <c r="AQ1771" s="479">
        <v>0</v>
      </c>
      <c r="AR1771" s="476" t="s">
        <v>17835</v>
      </c>
      <c r="BA1771" s="313" t="s">
        <v>6527</v>
      </c>
    </row>
    <row r="1772" spans="2:53" ht="16.5" customHeight="1">
      <c r="B1772" s="367" t="s">
        <v>12705</v>
      </c>
      <c r="C1772" s="351" t="s">
        <v>12706</v>
      </c>
      <c r="D1772" s="353">
        <v>-1570</v>
      </c>
      <c r="E1772" s="352" t="s">
        <v>12709</v>
      </c>
      <c r="F1772" s="341">
        <v>70.23</v>
      </c>
      <c r="G1772" s="355" t="s">
        <v>12707</v>
      </c>
      <c r="H1772" s="356" t="s">
        <v>19068</v>
      </c>
      <c r="I1772" s="354" t="s">
        <v>301</v>
      </c>
      <c r="J1772" s="340" t="s">
        <v>12708</v>
      </c>
      <c r="K1772" s="339" t="s">
        <v>70</v>
      </c>
      <c r="L1772" s="357">
        <v>5</v>
      </c>
      <c r="M1772" s="358" t="s">
        <v>7062</v>
      </c>
      <c r="N1772" s="359">
        <v>1000</v>
      </c>
      <c r="O1772" s="360" t="s">
        <v>530</v>
      </c>
      <c r="P1772" s="343" t="s">
        <v>531</v>
      </c>
      <c r="Q1772" s="342" t="s">
        <v>2688</v>
      </c>
      <c r="R1772" s="344">
        <v>20</v>
      </c>
      <c r="S1772" s="345">
        <v>35</v>
      </c>
      <c r="T1772" s="362">
        <v>25</v>
      </c>
      <c r="U1772" s="361">
        <v>70.23</v>
      </c>
      <c r="V1772" s="346">
        <v>112.90793335687927</v>
      </c>
      <c r="W1772" s="348">
        <v>114.76714002119135</v>
      </c>
      <c r="X1772" s="347">
        <v>57.15</v>
      </c>
      <c r="Y1772" s="357">
        <v>56.83</v>
      </c>
      <c r="Z1772" s="365" t="s">
        <v>3017</v>
      </c>
      <c r="AA1772" s="350">
        <v>198</v>
      </c>
      <c r="AB1772" s="349" t="s">
        <v>2685</v>
      </c>
      <c r="AC1772" s="350">
        <v>10</v>
      </c>
      <c r="AD1772" s="349" t="s">
        <v>2685</v>
      </c>
      <c r="AE1772" s="364">
        <v>0</v>
      </c>
      <c r="AF1772" s="366">
        <v>10.288</v>
      </c>
      <c r="AG1772" s="363">
        <v>0</v>
      </c>
      <c r="AH1772" s="635" t="s">
        <v>10496</v>
      </c>
      <c r="AL1772" s="487" t="s">
        <v>16151</v>
      </c>
      <c r="AM1772" s="477" t="s">
        <v>70</v>
      </c>
      <c r="AN1772" s="637">
        <v>100</v>
      </c>
      <c r="AO1772" s="478">
        <v>-1570</v>
      </c>
      <c r="AP1772" s="463">
        <v>-1570</v>
      </c>
      <c r="AQ1772" s="479">
        <v>0</v>
      </c>
      <c r="AR1772" s="476" t="s">
        <v>17836</v>
      </c>
      <c r="BA1772" s="313" t="s">
        <v>6531</v>
      </c>
    </row>
    <row r="1773" spans="2:53" ht="16.5" customHeight="1">
      <c r="B1773" s="367" t="s">
        <v>12669</v>
      </c>
      <c r="C1773" s="351" t="s">
        <v>12670</v>
      </c>
      <c r="D1773" s="353">
        <v>-1570</v>
      </c>
      <c r="E1773" s="352" t="s">
        <v>408</v>
      </c>
      <c r="F1773" s="341">
        <v>70.099999999999994</v>
      </c>
      <c r="G1773" s="355" t="s">
        <v>6501</v>
      </c>
      <c r="H1773" s="356" t="s">
        <v>6318</v>
      </c>
      <c r="I1773" s="354" t="s">
        <v>212</v>
      </c>
      <c r="J1773" s="340" t="s">
        <v>12712</v>
      </c>
      <c r="K1773" s="339" t="s">
        <v>70</v>
      </c>
      <c r="L1773" s="357">
        <v>10</v>
      </c>
      <c r="M1773" s="358" t="s">
        <v>12713</v>
      </c>
      <c r="N1773" s="359">
        <v>800</v>
      </c>
      <c r="O1773" s="360" t="s">
        <v>532</v>
      </c>
      <c r="P1773" s="343" t="s">
        <v>532</v>
      </c>
      <c r="Q1773" s="342" t="s">
        <v>2688</v>
      </c>
      <c r="R1773" s="344">
        <v>30</v>
      </c>
      <c r="S1773" s="345">
        <v>40</v>
      </c>
      <c r="T1773" s="362">
        <v>30</v>
      </c>
      <c r="U1773" s="361">
        <v>70.099999999999994</v>
      </c>
      <c r="V1773" s="346">
        <v>112.83453227845756</v>
      </c>
      <c r="W1773" s="348">
        <v>114.70107905061181</v>
      </c>
      <c r="X1773" s="347" t="s">
        <v>19069</v>
      </c>
      <c r="Y1773" s="357" t="s">
        <v>408</v>
      </c>
      <c r="Z1773" s="365" t="s">
        <v>3017</v>
      </c>
      <c r="AA1773" s="350">
        <v>190</v>
      </c>
      <c r="AB1773" s="349" t="s">
        <v>2685</v>
      </c>
      <c r="AC1773" s="350">
        <v>10</v>
      </c>
      <c r="AD1773" s="349" t="s">
        <v>2685</v>
      </c>
      <c r="AE1773" s="364">
        <v>0</v>
      </c>
      <c r="AF1773" s="366">
        <v>0</v>
      </c>
      <c r="AG1773" s="363">
        <v>0</v>
      </c>
      <c r="AH1773" s="635" t="s">
        <v>408</v>
      </c>
      <c r="AL1773" s="487" t="s">
        <v>16155</v>
      </c>
      <c r="AM1773" s="477" t="s">
        <v>70</v>
      </c>
      <c r="AN1773" s="637">
        <v>100</v>
      </c>
      <c r="AO1773" s="478">
        <v>-1570</v>
      </c>
      <c r="AP1773" s="463">
        <v>-1570</v>
      </c>
      <c r="AQ1773" s="479">
        <v>0</v>
      </c>
      <c r="AR1773" s="476" t="s">
        <v>17837</v>
      </c>
      <c r="BA1773" s="313" t="s">
        <v>6533</v>
      </c>
    </row>
    <row r="1774" spans="2:53" ht="16.5" customHeight="1">
      <c r="B1774" s="367" t="s">
        <v>6594</v>
      </c>
      <c r="C1774" s="351" t="s">
        <v>6595</v>
      </c>
      <c r="D1774" s="353">
        <v>-1570</v>
      </c>
      <c r="E1774" s="352" t="s">
        <v>408</v>
      </c>
      <c r="F1774" s="341">
        <v>70.09</v>
      </c>
      <c r="G1774" s="355" t="s">
        <v>12714</v>
      </c>
      <c r="H1774" s="356" t="s">
        <v>6056</v>
      </c>
      <c r="I1774" s="354" t="s">
        <v>496</v>
      </c>
      <c r="J1774" s="340" t="s">
        <v>12715</v>
      </c>
      <c r="K1774" s="339" t="s">
        <v>70</v>
      </c>
      <c r="L1774" s="357">
        <v>19</v>
      </c>
      <c r="M1774" s="358" t="s">
        <v>12716</v>
      </c>
      <c r="N1774" s="359">
        <v>1000</v>
      </c>
      <c r="O1774" s="360" t="s">
        <v>530</v>
      </c>
      <c r="P1774" s="343" t="s">
        <v>531</v>
      </c>
      <c r="Q1774" s="342" t="s">
        <v>2738</v>
      </c>
      <c r="R1774" s="344">
        <v>25</v>
      </c>
      <c r="S1774" s="345">
        <v>38</v>
      </c>
      <c r="T1774" s="362">
        <v>25</v>
      </c>
      <c r="U1774" s="361">
        <v>70.09</v>
      </c>
      <c r="V1774" s="346">
        <v>112.82667047401483</v>
      </c>
      <c r="W1774" s="348">
        <v>114.69400342661336</v>
      </c>
      <c r="X1774" s="347">
        <v>57.11</v>
      </c>
      <c r="Y1774" s="357">
        <v>56.78</v>
      </c>
      <c r="Z1774" s="365" t="s">
        <v>3017</v>
      </c>
      <c r="AA1774" s="350">
        <v>118.75</v>
      </c>
      <c r="AB1774" s="349" t="s">
        <v>2685</v>
      </c>
      <c r="AC1774" s="350">
        <v>10</v>
      </c>
      <c r="AD1774" s="349" t="s">
        <v>2685</v>
      </c>
      <c r="AE1774" s="364">
        <v>0</v>
      </c>
      <c r="AF1774" s="366">
        <v>0</v>
      </c>
      <c r="AG1774" s="363">
        <v>0</v>
      </c>
      <c r="AH1774" s="635" t="s">
        <v>408</v>
      </c>
      <c r="AL1774" s="487" t="s">
        <v>16153</v>
      </c>
      <c r="AM1774" s="477" t="s">
        <v>70</v>
      </c>
      <c r="AN1774" s="637">
        <v>100</v>
      </c>
      <c r="AO1774" s="478">
        <v>-1570</v>
      </c>
      <c r="AP1774" s="463">
        <v>-1570</v>
      </c>
      <c r="AQ1774" s="479">
        <v>0</v>
      </c>
      <c r="AR1774" s="476" t="s">
        <v>17838</v>
      </c>
      <c r="BA1774" s="313" t="s">
        <v>6534</v>
      </c>
    </row>
    <row r="1775" spans="2:53" ht="16.5" customHeight="1">
      <c r="B1775" s="367" t="s">
        <v>12764</v>
      </c>
      <c r="C1775" s="351" t="s">
        <v>12765</v>
      </c>
      <c r="D1775" s="353">
        <v>-1570</v>
      </c>
      <c r="E1775" s="352" t="s">
        <v>12717</v>
      </c>
      <c r="F1775" s="341">
        <v>70.08</v>
      </c>
      <c r="G1775" s="355" t="s">
        <v>12885</v>
      </c>
      <c r="H1775" s="356" t="s">
        <v>19070</v>
      </c>
      <c r="I1775" s="354" t="s">
        <v>212</v>
      </c>
      <c r="J1775" s="340" t="s">
        <v>8804</v>
      </c>
      <c r="K1775" s="339" t="s">
        <v>71</v>
      </c>
      <c r="L1775" s="357">
        <v>13</v>
      </c>
      <c r="M1775" s="358" t="s">
        <v>12727</v>
      </c>
      <c r="N1775" s="359">
        <v>800</v>
      </c>
      <c r="O1775" s="360" t="s">
        <v>532</v>
      </c>
      <c r="P1775" s="343" t="s">
        <v>532</v>
      </c>
      <c r="Q1775" s="342" t="s">
        <v>2688</v>
      </c>
      <c r="R1775" s="344">
        <v>40</v>
      </c>
      <c r="S1775" s="345">
        <v>30</v>
      </c>
      <c r="T1775" s="362">
        <v>30</v>
      </c>
      <c r="U1775" s="361">
        <v>70.08</v>
      </c>
      <c r="V1775" s="346">
        <v>112.82284721553931</v>
      </c>
      <c r="W1775" s="348">
        <v>114.6905624939854</v>
      </c>
      <c r="X1775" s="347" t="s">
        <v>19071</v>
      </c>
      <c r="Y1775" s="357" t="s">
        <v>408</v>
      </c>
      <c r="Z1775" s="365" t="s">
        <v>3017</v>
      </c>
      <c r="AA1775" s="350">
        <v>190</v>
      </c>
      <c r="AB1775" s="349" t="s">
        <v>2685</v>
      </c>
      <c r="AC1775" s="350">
        <v>10</v>
      </c>
      <c r="AD1775" s="349" t="s">
        <v>2685</v>
      </c>
      <c r="AE1775" s="364">
        <v>0</v>
      </c>
      <c r="AF1775" s="366">
        <v>0</v>
      </c>
      <c r="AG1775" s="363">
        <v>0</v>
      </c>
      <c r="AH1775" s="635" t="s">
        <v>408</v>
      </c>
      <c r="AL1775" s="487" t="s">
        <v>16154</v>
      </c>
      <c r="AM1775" s="477" t="s">
        <v>71</v>
      </c>
      <c r="AN1775" s="637">
        <v>100</v>
      </c>
      <c r="AO1775" s="478">
        <v>-1570</v>
      </c>
      <c r="AP1775" s="463">
        <v>-674</v>
      </c>
      <c r="AQ1775" s="479">
        <v>-896</v>
      </c>
      <c r="AR1775" s="476" t="s">
        <v>17839</v>
      </c>
      <c r="BA1775" s="313" t="s">
        <v>6536</v>
      </c>
    </row>
    <row r="1776" spans="2:53" ht="16.5" customHeight="1">
      <c r="B1776" s="367" t="s">
        <v>6601</v>
      </c>
      <c r="C1776" s="351" t="s">
        <v>6602</v>
      </c>
      <c r="D1776" s="353">
        <v>-1570</v>
      </c>
      <c r="E1776" s="352" t="s">
        <v>12722</v>
      </c>
      <c r="F1776" s="341">
        <v>70.069999999999993</v>
      </c>
      <c r="G1776" s="355" t="s">
        <v>6438</v>
      </c>
      <c r="H1776" s="356" t="s">
        <v>12363</v>
      </c>
      <c r="I1776" s="354" t="s">
        <v>9336</v>
      </c>
      <c r="J1776" s="340" t="s">
        <v>12718</v>
      </c>
      <c r="K1776" s="339" t="s">
        <v>71</v>
      </c>
      <c r="L1776" s="357">
        <v>9</v>
      </c>
      <c r="M1776" s="358" t="s">
        <v>12719</v>
      </c>
      <c r="N1776" s="359">
        <v>700</v>
      </c>
      <c r="O1776" s="360" t="s">
        <v>532</v>
      </c>
      <c r="P1776" s="343" t="s">
        <v>533</v>
      </c>
      <c r="Q1776" s="342" t="s">
        <v>2688</v>
      </c>
      <c r="R1776" s="344">
        <v>30</v>
      </c>
      <c r="S1776" s="345">
        <v>35</v>
      </c>
      <c r="T1776" s="362">
        <v>20</v>
      </c>
      <c r="U1776" s="361">
        <v>70.069999999999993</v>
      </c>
      <c r="V1776" s="346">
        <v>112.81607230769424</v>
      </c>
      <c r="W1776" s="348">
        <v>114.68446507692482</v>
      </c>
      <c r="X1776" s="347">
        <v>56.77</v>
      </c>
      <c r="Y1776" s="357">
        <v>57.839999999999996</v>
      </c>
      <c r="Z1776" s="365" t="s">
        <v>3017</v>
      </c>
      <c r="AA1776" s="350">
        <v>103.5</v>
      </c>
      <c r="AB1776" s="349" t="s">
        <v>2685</v>
      </c>
      <c r="AC1776" s="350">
        <v>10</v>
      </c>
      <c r="AD1776" s="349" t="s">
        <v>2685</v>
      </c>
      <c r="AE1776" s="364">
        <v>0</v>
      </c>
      <c r="AF1776" s="366">
        <v>0</v>
      </c>
      <c r="AG1776" s="363">
        <v>0</v>
      </c>
      <c r="AH1776" s="635" t="s">
        <v>408</v>
      </c>
      <c r="AL1776" s="487" t="s">
        <v>16156</v>
      </c>
      <c r="AM1776" s="477" t="s">
        <v>71</v>
      </c>
      <c r="AN1776" s="637">
        <v>100</v>
      </c>
      <c r="AO1776" s="478">
        <v>-1570</v>
      </c>
      <c r="AP1776" s="463">
        <v>-674</v>
      </c>
      <c r="AQ1776" s="479">
        <v>-896</v>
      </c>
      <c r="AR1776" s="476" t="s">
        <v>17840</v>
      </c>
      <c r="BA1776" s="313" t="s">
        <v>6537</v>
      </c>
    </row>
    <row r="1777" spans="2:53" ht="16.5" customHeight="1">
      <c r="B1777" s="367" t="s">
        <v>12720</v>
      </c>
      <c r="C1777" s="351" t="s">
        <v>12721</v>
      </c>
      <c r="D1777" s="353">
        <v>-1570</v>
      </c>
      <c r="E1777" s="352" t="s">
        <v>12726</v>
      </c>
      <c r="F1777" s="341">
        <v>70</v>
      </c>
      <c r="G1777" s="355" t="s">
        <v>6369</v>
      </c>
      <c r="H1777" s="356" t="s">
        <v>19072</v>
      </c>
      <c r="I1777" s="354" t="s">
        <v>197</v>
      </c>
      <c r="J1777" s="340" t="s">
        <v>8772</v>
      </c>
      <c r="K1777" s="339" t="s">
        <v>70</v>
      </c>
      <c r="L1777" s="357">
        <v>5</v>
      </c>
      <c r="M1777" s="358" t="s">
        <v>8052</v>
      </c>
      <c r="N1777" s="359">
        <v>500</v>
      </c>
      <c r="O1777" s="360" t="s">
        <v>454</v>
      </c>
      <c r="P1777" s="343" t="s">
        <v>454</v>
      </c>
      <c r="Q1777" s="342" t="s">
        <v>2688</v>
      </c>
      <c r="R1777" s="344">
        <v>30</v>
      </c>
      <c r="S1777" s="345">
        <v>20</v>
      </c>
      <c r="T1777" s="362">
        <v>20</v>
      </c>
      <c r="U1777" s="361">
        <v>70</v>
      </c>
      <c r="V1777" s="346">
        <v>112.77777777777777</v>
      </c>
      <c r="W1777" s="348">
        <v>114.65</v>
      </c>
      <c r="X1777" s="347">
        <v>56.75</v>
      </c>
      <c r="Y1777" s="357" t="s">
        <v>408</v>
      </c>
      <c r="Z1777" s="365" t="s">
        <v>4408</v>
      </c>
      <c r="AA1777" s="350">
        <v>141</v>
      </c>
      <c r="AB1777" s="349" t="s">
        <v>2685</v>
      </c>
      <c r="AC1777" s="350">
        <v>1.5</v>
      </c>
      <c r="AD1777" s="349" t="s">
        <v>2685</v>
      </c>
      <c r="AE1777" s="364">
        <v>0</v>
      </c>
      <c r="AF1777" s="366">
        <v>10.5</v>
      </c>
      <c r="AG1777" s="363">
        <v>0</v>
      </c>
      <c r="AH1777" s="635" t="s">
        <v>6360</v>
      </c>
      <c r="AL1777" s="487" t="s">
        <v>16157</v>
      </c>
      <c r="AM1777" s="477" t="s">
        <v>70</v>
      </c>
      <c r="AN1777" s="637">
        <v>100</v>
      </c>
      <c r="AO1777" s="478">
        <v>-1570</v>
      </c>
      <c r="AP1777" s="463">
        <v>-1570</v>
      </c>
      <c r="AQ1777" s="479">
        <v>0</v>
      </c>
      <c r="AR1777" s="476" t="s">
        <v>17841</v>
      </c>
      <c r="BA1777" s="313" t="s">
        <v>6538</v>
      </c>
    </row>
    <row r="1778" spans="2:53" ht="16.5" customHeight="1">
      <c r="B1778" s="367" t="s">
        <v>12728</v>
      </c>
      <c r="C1778" s="351" t="s">
        <v>12729</v>
      </c>
      <c r="D1778" s="353">
        <v>-1570</v>
      </c>
      <c r="E1778" s="352" t="s">
        <v>408</v>
      </c>
      <c r="F1778" s="341">
        <v>69.92</v>
      </c>
      <c r="G1778" s="355" t="s">
        <v>6522</v>
      </c>
      <c r="H1778" s="356" t="s">
        <v>6293</v>
      </c>
      <c r="I1778" s="354" t="s">
        <v>494</v>
      </c>
      <c r="J1778" s="340" t="s">
        <v>12731</v>
      </c>
      <c r="K1778" s="339" t="s">
        <v>70</v>
      </c>
      <c r="L1778" s="357">
        <v>16</v>
      </c>
      <c r="M1778" s="358" t="s">
        <v>12732</v>
      </c>
      <c r="N1778" s="359">
        <v>1000</v>
      </c>
      <c r="O1778" s="360" t="s">
        <v>532</v>
      </c>
      <c r="P1778" s="343" t="s">
        <v>533</v>
      </c>
      <c r="Q1778" s="342" t="s">
        <v>2688</v>
      </c>
      <c r="R1778" s="344">
        <v>20</v>
      </c>
      <c r="S1778" s="345">
        <v>35</v>
      </c>
      <c r="T1778" s="362">
        <v>25</v>
      </c>
      <c r="U1778" s="361">
        <v>69.92</v>
      </c>
      <c r="V1778" s="346">
        <v>112.73121575149135</v>
      </c>
      <c r="W1778" s="348">
        <v>114.60809417634221</v>
      </c>
      <c r="X1778" s="347">
        <v>57.08</v>
      </c>
      <c r="Y1778" s="357">
        <v>56.629999999999995</v>
      </c>
      <c r="Z1778" s="365" t="s">
        <v>3017</v>
      </c>
      <c r="AA1778" s="350">
        <v>190</v>
      </c>
      <c r="AB1778" s="349" t="s">
        <v>2685</v>
      </c>
      <c r="AC1778" s="350">
        <v>0</v>
      </c>
      <c r="AD1778" s="349" t="s">
        <v>2685</v>
      </c>
      <c r="AE1778" s="364">
        <v>0</v>
      </c>
      <c r="AF1778" s="366">
        <v>0</v>
      </c>
      <c r="AG1778" s="363">
        <v>0</v>
      </c>
      <c r="AH1778" s="635" t="s">
        <v>408</v>
      </c>
      <c r="AL1778" s="487" t="s">
        <v>16158</v>
      </c>
      <c r="AM1778" s="477" t="s">
        <v>70</v>
      </c>
      <c r="AN1778" s="637">
        <v>100</v>
      </c>
      <c r="AO1778" s="478">
        <v>-1570</v>
      </c>
      <c r="AP1778" s="463">
        <v>-1570</v>
      </c>
      <c r="AQ1778" s="479">
        <v>0</v>
      </c>
      <c r="AR1778" s="476" t="s">
        <v>17842</v>
      </c>
      <c r="BA1778" s="313" t="s">
        <v>6539</v>
      </c>
    </row>
    <row r="1779" spans="2:53" ht="16.5" customHeight="1">
      <c r="B1779" s="367" t="s">
        <v>6613</v>
      </c>
      <c r="C1779" s="351" t="s">
        <v>6614</v>
      </c>
      <c r="D1779" s="353">
        <v>-1570</v>
      </c>
      <c r="E1779" s="352" t="s">
        <v>408</v>
      </c>
      <c r="F1779" s="341">
        <v>69.91</v>
      </c>
      <c r="G1779" s="355" t="s">
        <v>12733</v>
      </c>
      <c r="H1779" s="356" t="s">
        <v>12388</v>
      </c>
      <c r="I1779" s="354" t="s">
        <v>214</v>
      </c>
      <c r="J1779" s="340" t="s">
        <v>10636</v>
      </c>
      <c r="K1779" s="339" t="s">
        <v>70</v>
      </c>
      <c r="L1779" s="357">
        <v>7</v>
      </c>
      <c r="M1779" s="358" t="s">
        <v>12734</v>
      </c>
      <c r="N1779" s="359">
        <v>200</v>
      </c>
      <c r="O1779" s="360" t="s">
        <v>532</v>
      </c>
      <c r="P1779" s="343" t="s">
        <v>532</v>
      </c>
      <c r="Q1779" s="342" t="s">
        <v>2688</v>
      </c>
      <c r="R1779" s="344">
        <v>20</v>
      </c>
      <c r="S1779" s="345">
        <v>30</v>
      </c>
      <c r="T1779" s="362">
        <v>30</v>
      </c>
      <c r="U1779" s="361">
        <v>69.91</v>
      </c>
      <c r="V1779" s="346">
        <v>112.72744265813863</v>
      </c>
      <c r="W1779" s="348">
        <v>114.60469839232475</v>
      </c>
      <c r="X1779" s="347" t="s">
        <v>19073</v>
      </c>
      <c r="Y1779" s="357" t="s">
        <v>408</v>
      </c>
      <c r="Z1779" s="365" t="s">
        <v>4408</v>
      </c>
      <c r="AA1779" s="350">
        <v>36</v>
      </c>
      <c r="AB1779" s="349" t="s">
        <v>2685</v>
      </c>
      <c r="AC1779" s="350">
        <v>0</v>
      </c>
      <c r="AD1779" s="349" t="s">
        <v>2685</v>
      </c>
      <c r="AE1779" s="364">
        <v>0</v>
      </c>
      <c r="AF1779" s="366">
        <v>0</v>
      </c>
      <c r="AG1779" s="363">
        <v>0</v>
      </c>
      <c r="AH1779" s="635" t="s">
        <v>408</v>
      </c>
      <c r="AL1779" s="487" t="s">
        <v>16160</v>
      </c>
      <c r="AM1779" s="477" t="s">
        <v>70</v>
      </c>
      <c r="AN1779" s="637">
        <v>100</v>
      </c>
      <c r="AO1779" s="478">
        <v>-1570</v>
      </c>
      <c r="AP1779" s="463">
        <v>-1570</v>
      </c>
      <c r="AQ1779" s="479">
        <v>0</v>
      </c>
      <c r="AR1779" s="476" t="s">
        <v>17843</v>
      </c>
      <c r="BA1779" s="313" t="s">
        <v>6541</v>
      </c>
    </row>
    <row r="1780" spans="2:53" ht="16.5" customHeight="1">
      <c r="B1780" s="367" t="s">
        <v>12735</v>
      </c>
      <c r="C1780" s="351" t="s">
        <v>12736</v>
      </c>
      <c r="D1780" s="353">
        <v>-1570</v>
      </c>
      <c r="E1780" s="352" t="s">
        <v>408</v>
      </c>
      <c r="F1780" s="341">
        <v>69.900000000000006</v>
      </c>
      <c r="G1780" s="355" t="s">
        <v>12737</v>
      </c>
      <c r="H1780" s="356" t="s">
        <v>6296</v>
      </c>
      <c r="I1780" s="354" t="s">
        <v>8000</v>
      </c>
      <c r="J1780" s="340" t="s">
        <v>8316</v>
      </c>
      <c r="K1780" s="339" t="s">
        <v>70</v>
      </c>
      <c r="L1780" s="357">
        <v>5</v>
      </c>
      <c r="M1780" s="358" t="s">
        <v>12738</v>
      </c>
      <c r="N1780" s="359">
        <v>1000</v>
      </c>
      <c r="O1780" s="360" t="s">
        <v>532</v>
      </c>
      <c r="P1780" s="343" t="s">
        <v>532</v>
      </c>
      <c r="Q1780" s="342" t="s">
        <v>2688</v>
      </c>
      <c r="R1780" s="344">
        <v>25</v>
      </c>
      <c r="S1780" s="345">
        <v>30</v>
      </c>
      <c r="T1780" s="362">
        <v>25</v>
      </c>
      <c r="U1780" s="361">
        <v>69.900000000000006</v>
      </c>
      <c r="V1780" s="346">
        <v>112.72373416417483</v>
      </c>
      <c r="W1780" s="348">
        <v>114.60136074775734</v>
      </c>
      <c r="X1780" s="347" t="s">
        <v>19073</v>
      </c>
      <c r="Y1780" s="357" t="s">
        <v>408</v>
      </c>
      <c r="Z1780" s="365" t="s">
        <v>4408</v>
      </c>
      <c r="AA1780" s="350">
        <v>192</v>
      </c>
      <c r="AB1780" s="349" t="s">
        <v>2685</v>
      </c>
      <c r="AC1780" s="350">
        <v>0</v>
      </c>
      <c r="AD1780" s="349" t="s">
        <v>2685</v>
      </c>
      <c r="AE1780" s="364">
        <v>0</v>
      </c>
      <c r="AF1780" s="366">
        <v>0</v>
      </c>
      <c r="AG1780" s="363">
        <v>0</v>
      </c>
      <c r="AH1780" s="635" t="s">
        <v>408</v>
      </c>
      <c r="AL1780" s="487" t="s">
        <v>16161</v>
      </c>
      <c r="AM1780" s="477" t="s">
        <v>70</v>
      </c>
      <c r="AN1780" s="637">
        <v>100</v>
      </c>
      <c r="AO1780" s="478">
        <v>-1570</v>
      </c>
      <c r="AP1780" s="463">
        <v>-1570</v>
      </c>
      <c r="AQ1780" s="479">
        <v>0</v>
      </c>
      <c r="AR1780" s="476" t="s">
        <v>17844</v>
      </c>
      <c r="BA1780" s="313" t="s">
        <v>6542</v>
      </c>
    </row>
    <row r="1781" spans="2:53" ht="16.5" customHeight="1">
      <c r="B1781" s="367" t="s">
        <v>12739</v>
      </c>
      <c r="C1781" s="351" t="s">
        <v>12740</v>
      </c>
      <c r="D1781" s="353">
        <v>-1570</v>
      </c>
      <c r="E1781" s="352" t="s">
        <v>408</v>
      </c>
      <c r="F1781" s="341">
        <v>69.89</v>
      </c>
      <c r="G1781" s="355" t="s">
        <v>12741</v>
      </c>
      <c r="H1781" s="356" t="s">
        <v>6300</v>
      </c>
      <c r="I1781" s="354" t="s">
        <v>197</v>
      </c>
      <c r="J1781" s="340" t="s">
        <v>12195</v>
      </c>
      <c r="K1781" s="339" t="s">
        <v>70</v>
      </c>
      <c r="L1781" s="357">
        <v>4</v>
      </c>
      <c r="M1781" s="358" t="s">
        <v>12743</v>
      </c>
      <c r="N1781" s="359">
        <v>500</v>
      </c>
      <c r="O1781" s="360" t="s">
        <v>454</v>
      </c>
      <c r="P1781" s="343" t="s">
        <v>454</v>
      </c>
      <c r="Q1781" s="342" t="s">
        <v>2688</v>
      </c>
      <c r="R1781" s="344">
        <v>20</v>
      </c>
      <c r="S1781" s="345">
        <v>30</v>
      </c>
      <c r="T1781" s="362">
        <v>30</v>
      </c>
      <c r="U1781" s="361">
        <v>69.89</v>
      </c>
      <c r="V1781" s="346">
        <v>112.71705426356588</v>
      </c>
      <c r="W1781" s="348">
        <v>114.59534883720929</v>
      </c>
      <c r="X1781" s="347">
        <v>57.07</v>
      </c>
      <c r="Y1781" s="357" t="s">
        <v>408</v>
      </c>
      <c r="Z1781" s="365" t="s">
        <v>4408</v>
      </c>
      <c r="AA1781" s="350">
        <v>94</v>
      </c>
      <c r="AB1781" s="349" t="s">
        <v>2685</v>
      </c>
      <c r="AC1781" s="350">
        <v>1.5</v>
      </c>
      <c r="AD1781" s="349" t="s">
        <v>2685</v>
      </c>
      <c r="AE1781" s="364">
        <v>0</v>
      </c>
      <c r="AF1781" s="366">
        <v>20.966999999999999</v>
      </c>
      <c r="AG1781" s="363">
        <v>0</v>
      </c>
      <c r="AH1781" s="635" t="s">
        <v>12164</v>
      </c>
      <c r="AL1781" s="487" t="s">
        <v>16159</v>
      </c>
      <c r="AM1781" s="477" t="s">
        <v>70</v>
      </c>
      <c r="AN1781" s="637">
        <v>100</v>
      </c>
      <c r="AO1781" s="478">
        <v>-1570</v>
      </c>
      <c r="AP1781" s="463">
        <v>-1570</v>
      </c>
      <c r="AQ1781" s="479">
        <v>0</v>
      </c>
      <c r="AR1781" s="476" t="s">
        <v>17845</v>
      </c>
      <c r="BA1781" s="313" t="s">
        <v>6543</v>
      </c>
    </row>
    <row r="1782" spans="2:53" ht="16.5" customHeight="1">
      <c r="B1782" s="367" t="s">
        <v>12744</v>
      </c>
      <c r="C1782" s="351" t="s">
        <v>12745</v>
      </c>
      <c r="D1782" s="353">
        <v>-1570</v>
      </c>
      <c r="E1782" s="352" t="s">
        <v>408</v>
      </c>
      <c r="F1782" s="341">
        <v>69.86</v>
      </c>
      <c r="G1782" s="355" t="s">
        <v>12746</v>
      </c>
      <c r="H1782" s="356" t="s">
        <v>19074</v>
      </c>
      <c r="I1782" s="354" t="s">
        <v>215</v>
      </c>
      <c r="J1782" s="340" t="s">
        <v>12748</v>
      </c>
      <c r="K1782" s="339" t="s">
        <v>70</v>
      </c>
      <c r="L1782" s="357">
        <v>6</v>
      </c>
      <c r="M1782" s="358" t="s">
        <v>12749</v>
      </c>
      <c r="N1782" s="359">
        <v>1000</v>
      </c>
      <c r="O1782" s="360" t="s">
        <v>530</v>
      </c>
      <c r="P1782" s="343" t="s">
        <v>531</v>
      </c>
      <c r="Q1782" s="342" t="s">
        <v>2688</v>
      </c>
      <c r="R1782" s="344">
        <v>25</v>
      </c>
      <c r="S1782" s="345">
        <v>38</v>
      </c>
      <c r="T1782" s="362">
        <v>25</v>
      </c>
      <c r="U1782" s="361">
        <v>69.86</v>
      </c>
      <c r="V1782" s="346">
        <v>112.69921656407386</v>
      </c>
      <c r="W1782" s="348">
        <v>114.57929490766648</v>
      </c>
      <c r="X1782" s="347">
        <v>57.06</v>
      </c>
      <c r="Y1782" s="357">
        <v>56.62</v>
      </c>
      <c r="Z1782" s="365" t="s">
        <v>3017</v>
      </c>
      <c r="AA1782" s="350">
        <v>121.25</v>
      </c>
      <c r="AB1782" s="349" t="s">
        <v>2685</v>
      </c>
      <c r="AC1782" s="350">
        <v>10</v>
      </c>
      <c r="AD1782" s="349" t="s">
        <v>2685</v>
      </c>
      <c r="AE1782" s="364">
        <v>0</v>
      </c>
      <c r="AF1782" s="366">
        <v>0</v>
      </c>
      <c r="AG1782" s="363">
        <v>0</v>
      </c>
      <c r="AH1782" s="635" t="s">
        <v>408</v>
      </c>
      <c r="AL1782" s="487" t="s">
        <v>16162</v>
      </c>
      <c r="AM1782" s="477" t="s">
        <v>70</v>
      </c>
      <c r="AN1782" s="637">
        <v>100</v>
      </c>
      <c r="AO1782" s="478">
        <v>-1570</v>
      </c>
      <c r="AP1782" s="463">
        <v>-1570</v>
      </c>
      <c r="AQ1782" s="479">
        <v>0</v>
      </c>
      <c r="AR1782" s="476" t="s">
        <v>17846</v>
      </c>
      <c r="BA1782" s="313" t="s">
        <v>6546</v>
      </c>
    </row>
    <row r="1783" spans="2:53" ht="16.5" customHeight="1">
      <c r="B1783" s="367" t="s">
        <v>12750</v>
      </c>
      <c r="C1783" s="351" t="s">
        <v>12751</v>
      </c>
      <c r="D1783" s="353">
        <v>-1570</v>
      </c>
      <c r="E1783" s="352" t="s">
        <v>408</v>
      </c>
      <c r="F1783" s="341">
        <v>69.849999999999994</v>
      </c>
      <c r="G1783" s="355" t="s">
        <v>12752</v>
      </c>
      <c r="H1783" s="356" t="s">
        <v>6083</v>
      </c>
      <c r="I1783" s="354" t="s">
        <v>496</v>
      </c>
      <c r="J1783" s="340" t="s">
        <v>12753</v>
      </c>
      <c r="K1783" s="339" t="s">
        <v>71</v>
      </c>
      <c r="L1783" s="357">
        <v>163</v>
      </c>
      <c r="M1783" s="358" t="s">
        <v>12754</v>
      </c>
      <c r="N1783" s="359">
        <v>1000</v>
      </c>
      <c r="O1783" s="360" t="s">
        <v>530</v>
      </c>
      <c r="P1783" s="343" t="s">
        <v>531</v>
      </c>
      <c r="Q1783" s="342" t="s">
        <v>2738</v>
      </c>
      <c r="R1783" s="344">
        <v>29</v>
      </c>
      <c r="S1783" s="345">
        <v>29</v>
      </c>
      <c r="T1783" s="362">
        <v>29</v>
      </c>
      <c r="U1783" s="361">
        <v>69.849999999999994</v>
      </c>
      <c r="V1783" s="346">
        <v>112.69174135723431</v>
      </c>
      <c r="W1783" s="348">
        <v>114.57256722151087</v>
      </c>
      <c r="X1783" s="347">
        <v>57.06</v>
      </c>
      <c r="Y1783" s="357">
        <v>56.699999999999996</v>
      </c>
      <c r="Z1783" s="365" t="s">
        <v>3017</v>
      </c>
      <c r="AA1783" s="350">
        <v>135.71</v>
      </c>
      <c r="AB1783" s="349" t="s">
        <v>2685</v>
      </c>
      <c r="AC1783" s="350">
        <v>10</v>
      </c>
      <c r="AD1783" s="349" t="s">
        <v>2685</v>
      </c>
      <c r="AE1783" s="364">
        <v>0</v>
      </c>
      <c r="AF1783" s="366">
        <v>0</v>
      </c>
      <c r="AG1783" s="363">
        <v>0</v>
      </c>
      <c r="AH1783" s="635" t="s">
        <v>408</v>
      </c>
      <c r="AL1783" s="487" t="s">
        <v>16163</v>
      </c>
      <c r="AM1783" s="477" t="s">
        <v>71</v>
      </c>
      <c r="AN1783" s="637">
        <v>100</v>
      </c>
      <c r="AO1783" s="478">
        <v>-1570</v>
      </c>
      <c r="AP1783" s="463">
        <v>-676</v>
      </c>
      <c r="AQ1783" s="479">
        <v>-894</v>
      </c>
      <c r="AR1783" s="476" t="s">
        <v>17832</v>
      </c>
      <c r="BA1783" s="313" t="s">
        <v>6547</v>
      </c>
    </row>
    <row r="1784" spans="2:53" ht="16.5" customHeight="1">
      <c r="B1784" s="367" t="s">
        <v>6629</v>
      </c>
      <c r="C1784" s="351" t="s">
        <v>6630</v>
      </c>
      <c r="D1784" s="353">
        <v>-1570</v>
      </c>
      <c r="E1784" s="352" t="s">
        <v>12755</v>
      </c>
      <c r="F1784" s="341">
        <v>69.73</v>
      </c>
      <c r="G1784" s="355" t="s">
        <v>6590</v>
      </c>
      <c r="H1784" s="356" t="s">
        <v>12399</v>
      </c>
      <c r="I1784" s="354" t="s">
        <v>213</v>
      </c>
      <c r="J1784" s="340" t="s">
        <v>8216</v>
      </c>
      <c r="K1784" s="339" t="s">
        <v>71</v>
      </c>
      <c r="L1784" s="357">
        <v>6</v>
      </c>
      <c r="M1784" s="358" t="s">
        <v>12757</v>
      </c>
      <c r="N1784" s="359">
        <v>1000</v>
      </c>
      <c r="O1784" s="360" t="s">
        <v>454</v>
      </c>
      <c r="P1784" s="343" t="s">
        <v>454</v>
      </c>
      <c r="Q1784" s="342" t="s">
        <v>2688</v>
      </c>
      <c r="R1784" s="344">
        <v>30</v>
      </c>
      <c r="S1784" s="345">
        <v>20</v>
      </c>
      <c r="T1784" s="362">
        <v>30</v>
      </c>
      <c r="U1784" s="361">
        <v>69.73</v>
      </c>
      <c r="V1784" s="346">
        <v>112.625</v>
      </c>
      <c r="W1784" s="348">
        <v>114.51249999999999</v>
      </c>
      <c r="X1784" s="347">
        <v>56.67</v>
      </c>
      <c r="Y1784" s="357" t="s">
        <v>408</v>
      </c>
      <c r="Z1784" s="365" t="s">
        <v>4408</v>
      </c>
      <c r="AA1784" s="350">
        <v>180</v>
      </c>
      <c r="AB1784" s="349" t="s">
        <v>2685</v>
      </c>
      <c r="AC1784" s="350">
        <v>10</v>
      </c>
      <c r="AD1784" s="349" t="s">
        <v>2685</v>
      </c>
      <c r="AE1784" s="364">
        <v>0</v>
      </c>
      <c r="AF1784" s="366">
        <v>0</v>
      </c>
      <c r="AG1784" s="363">
        <v>0</v>
      </c>
      <c r="AH1784" s="635" t="s">
        <v>408</v>
      </c>
      <c r="AL1784" s="487" t="s">
        <v>16164</v>
      </c>
      <c r="AM1784" s="477" t="s">
        <v>71</v>
      </c>
      <c r="AN1784" s="637">
        <v>100</v>
      </c>
      <c r="AO1784" s="478">
        <v>-1570</v>
      </c>
      <c r="AP1784" s="463">
        <v>-671</v>
      </c>
      <c r="AQ1784" s="479">
        <v>-899</v>
      </c>
      <c r="AR1784" s="476" t="s">
        <v>17847</v>
      </c>
      <c r="BA1784" s="313" t="s">
        <v>6548</v>
      </c>
    </row>
    <row r="1785" spans="2:53" ht="16.5" customHeight="1">
      <c r="B1785" s="367" t="s">
        <v>12758</v>
      </c>
      <c r="C1785" s="351" t="s">
        <v>12759</v>
      </c>
      <c r="D1785" s="353">
        <v>-1570</v>
      </c>
      <c r="E1785" s="352" t="s">
        <v>408</v>
      </c>
      <c r="F1785" s="341">
        <v>69.72</v>
      </c>
      <c r="G1785" s="355" t="s">
        <v>6566</v>
      </c>
      <c r="H1785" s="356" t="s">
        <v>18989</v>
      </c>
      <c r="I1785" s="354" t="s">
        <v>214</v>
      </c>
      <c r="J1785" s="340" t="s">
        <v>12760</v>
      </c>
      <c r="K1785" s="339" t="s">
        <v>70</v>
      </c>
      <c r="L1785" s="357">
        <v>7</v>
      </c>
      <c r="M1785" s="358" t="s">
        <v>12761</v>
      </c>
      <c r="N1785" s="359">
        <v>200</v>
      </c>
      <c r="O1785" s="360" t="s">
        <v>532</v>
      </c>
      <c r="P1785" s="343" t="s">
        <v>532</v>
      </c>
      <c r="Q1785" s="342" t="s">
        <v>2688</v>
      </c>
      <c r="R1785" s="344">
        <v>20</v>
      </c>
      <c r="S1785" s="345">
        <v>30</v>
      </c>
      <c r="T1785" s="362">
        <v>30</v>
      </c>
      <c r="U1785" s="361">
        <v>69.72</v>
      </c>
      <c r="V1785" s="346">
        <v>112.62054454452769</v>
      </c>
      <c r="W1785" s="348">
        <v>114.50849009007491</v>
      </c>
      <c r="X1785" s="347" t="s">
        <v>19075</v>
      </c>
      <c r="Y1785" s="357" t="s">
        <v>408</v>
      </c>
      <c r="Z1785" s="365" t="s">
        <v>4408</v>
      </c>
      <c r="AA1785" s="350">
        <v>36</v>
      </c>
      <c r="AB1785" s="349" t="s">
        <v>2685</v>
      </c>
      <c r="AC1785" s="350">
        <v>0</v>
      </c>
      <c r="AD1785" s="349" t="s">
        <v>2685</v>
      </c>
      <c r="AE1785" s="364">
        <v>0</v>
      </c>
      <c r="AF1785" s="366">
        <v>0</v>
      </c>
      <c r="AG1785" s="363">
        <v>0</v>
      </c>
      <c r="AH1785" s="635" t="s">
        <v>408</v>
      </c>
      <c r="AL1785" s="487" t="s">
        <v>16165</v>
      </c>
      <c r="AM1785" s="477" t="s">
        <v>70</v>
      </c>
      <c r="AN1785" s="637">
        <v>100</v>
      </c>
      <c r="AO1785" s="478">
        <v>-1570</v>
      </c>
      <c r="AP1785" s="463">
        <v>-1570</v>
      </c>
      <c r="AQ1785" s="479">
        <v>0</v>
      </c>
      <c r="AR1785" s="476" t="s">
        <v>17848</v>
      </c>
      <c r="BA1785" s="313" t="s">
        <v>6549</v>
      </c>
    </row>
    <row r="1786" spans="2:53" ht="16.5" customHeight="1">
      <c r="B1786" s="367" t="s">
        <v>12724</v>
      </c>
      <c r="C1786" s="351" t="s">
        <v>12725</v>
      </c>
      <c r="D1786" s="353">
        <v>-1570</v>
      </c>
      <c r="E1786" s="352" t="s">
        <v>12726</v>
      </c>
      <c r="F1786" s="341">
        <v>69.64</v>
      </c>
      <c r="G1786" s="355" t="s">
        <v>19076</v>
      </c>
      <c r="H1786" s="356" t="s">
        <v>6070</v>
      </c>
      <c r="I1786" s="354" t="s">
        <v>197</v>
      </c>
      <c r="J1786" s="340" t="s">
        <v>12762</v>
      </c>
      <c r="K1786" s="339" t="s">
        <v>71</v>
      </c>
      <c r="L1786" s="357">
        <v>13</v>
      </c>
      <c r="M1786" s="358" t="s">
        <v>12763</v>
      </c>
      <c r="N1786" s="359">
        <v>500</v>
      </c>
      <c r="O1786" s="360" t="s">
        <v>454</v>
      </c>
      <c r="P1786" s="343" t="s">
        <v>454</v>
      </c>
      <c r="Q1786" s="342" t="s">
        <v>2688</v>
      </c>
      <c r="R1786" s="344">
        <v>30</v>
      </c>
      <c r="S1786" s="345">
        <v>20</v>
      </c>
      <c r="T1786" s="362">
        <v>20</v>
      </c>
      <c r="U1786" s="361">
        <v>69.64</v>
      </c>
      <c r="V1786" s="346">
        <v>112.57990867579909</v>
      </c>
      <c r="W1786" s="348">
        <v>114.47191780821917</v>
      </c>
      <c r="X1786" s="347">
        <v>56.64</v>
      </c>
      <c r="Y1786" s="357" t="s">
        <v>408</v>
      </c>
      <c r="Z1786" s="365" t="s">
        <v>4408</v>
      </c>
      <c r="AA1786" s="350">
        <v>141</v>
      </c>
      <c r="AB1786" s="349" t="s">
        <v>2685</v>
      </c>
      <c r="AC1786" s="350">
        <v>1.5</v>
      </c>
      <c r="AD1786" s="349" t="s">
        <v>2685</v>
      </c>
      <c r="AE1786" s="364">
        <v>0</v>
      </c>
      <c r="AF1786" s="366">
        <v>10.446</v>
      </c>
      <c r="AG1786" s="363">
        <v>0</v>
      </c>
      <c r="AH1786" s="635" t="s">
        <v>6360</v>
      </c>
      <c r="AL1786" s="487" t="s">
        <v>16166</v>
      </c>
      <c r="AM1786" s="477" t="s">
        <v>71</v>
      </c>
      <c r="AN1786" s="637">
        <v>100</v>
      </c>
      <c r="AO1786" s="478">
        <v>-1570</v>
      </c>
      <c r="AP1786" s="463">
        <v>-671</v>
      </c>
      <c r="AQ1786" s="479">
        <v>-899</v>
      </c>
      <c r="AR1786" s="476" t="s">
        <v>17849</v>
      </c>
      <c r="BA1786" s="313" t="s">
        <v>6550</v>
      </c>
    </row>
    <row r="1787" spans="2:53" ht="16.5" customHeight="1">
      <c r="B1787" s="367" t="s">
        <v>12764</v>
      </c>
      <c r="C1787" s="351" t="s">
        <v>12765</v>
      </c>
      <c r="D1787" s="353">
        <v>-1570</v>
      </c>
      <c r="E1787" s="352" t="s">
        <v>12766</v>
      </c>
      <c r="F1787" s="341">
        <v>69.63</v>
      </c>
      <c r="G1787" s="355" t="s">
        <v>6571</v>
      </c>
      <c r="H1787" s="356" t="s">
        <v>19077</v>
      </c>
      <c r="I1787" s="354" t="s">
        <v>403</v>
      </c>
      <c r="J1787" s="340" t="s">
        <v>436</v>
      </c>
      <c r="K1787" s="339" t="s">
        <v>71</v>
      </c>
      <c r="L1787" s="357">
        <v>174</v>
      </c>
      <c r="M1787" s="358" t="s">
        <v>6884</v>
      </c>
      <c r="N1787" s="359">
        <v>900</v>
      </c>
      <c r="O1787" s="360" t="s">
        <v>454</v>
      </c>
      <c r="P1787" s="343" t="s">
        <v>454</v>
      </c>
      <c r="Q1787" s="342" t="s">
        <v>2688</v>
      </c>
      <c r="R1787" s="344">
        <v>25</v>
      </c>
      <c r="S1787" s="345">
        <v>25</v>
      </c>
      <c r="T1787" s="362">
        <v>25</v>
      </c>
      <c r="U1787" s="361">
        <v>69.63</v>
      </c>
      <c r="V1787" s="346">
        <v>112.57201646090536</v>
      </c>
      <c r="W1787" s="348">
        <v>114.46481481481482</v>
      </c>
      <c r="X1787" s="347">
        <v>56.64</v>
      </c>
      <c r="Y1787" s="357" t="s">
        <v>408</v>
      </c>
      <c r="Z1787" s="365" t="s">
        <v>4408</v>
      </c>
      <c r="AA1787" s="350">
        <v>180</v>
      </c>
      <c r="AB1787" s="349" t="s">
        <v>2685</v>
      </c>
      <c r="AC1787" s="350">
        <v>0</v>
      </c>
      <c r="AD1787" s="349" t="s">
        <v>2685</v>
      </c>
      <c r="AE1787" s="364">
        <v>0</v>
      </c>
      <c r="AF1787" s="366">
        <v>0</v>
      </c>
      <c r="AG1787" s="363">
        <v>0</v>
      </c>
      <c r="AH1787" s="635" t="s">
        <v>12768</v>
      </c>
      <c r="AL1787" s="487" t="s">
        <v>7238</v>
      </c>
      <c r="AM1787" s="477" t="s">
        <v>71</v>
      </c>
      <c r="AN1787" s="637">
        <v>100</v>
      </c>
      <c r="AO1787" s="478">
        <v>-1570</v>
      </c>
      <c r="AP1787" s="463">
        <v>-671</v>
      </c>
      <c r="AQ1787" s="479">
        <v>-899</v>
      </c>
      <c r="AR1787" s="476" t="s">
        <v>17850</v>
      </c>
      <c r="BA1787" s="313" t="s">
        <v>6552</v>
      </c>
    </row>
    <row r="1788" spans="2:53" ht="16.5" customHeight="1">
      <c r="B1788" s="367" t="s">
        <v>12769</v>
      </c>
      <c r="C1788" s="351" t="s">
        <v>12770</v>
      </c>
      <c r="D1788" s="353">
        <v>-1570</v>
      </c>
      <c r="E1788" s="352" t="s">
        <v>12771</v>
      </c>
      <c r="F1788" s="341">
        <v>69.599999999999994</v>
      </c>
      <c r="G1788" s="355" t="s">
        <v>19078</v>
      </c>
      <c r="H1788" s="356" t="s">
        <v>19079</v>
      </c>
      <c r="I1788" s="354" t="s">
        <v>197</v>
      </c>
      <c r="J1788" s="340" t="s">
        <v>542</v>
      </c>
      <c r="K1788" s="339" t="s">
        <v>71</v>
      </c>
      <c r="L1788" s="357">
        <v>3</v>
      </c>
      <c r="M1788" s="358" t="s">
        <v>6660</v>
      </c>
      <c r="N1788" s="359">
        <v>500</v>
      </c>
      <c r="O1788" s="360" t="s">
        <v>454</v>
      </c>
      <c r="P1788" s="343" t="s">
        <v>454</v>
      </c>
      <c r="Q1788" s="342" t="s">
        <v>2688</v>
      </c>
      <c r="R1788" s="344">
        <v>30</v>
      </c>
      <c r="S1788" s="345">
        <v>20</v>
      </c>
      <c r="T1788" s="362">
        <v>20</v>
      </c>
      <c r="U1788" s="361">
        <v>69.599999999999994</v>
      </c>
      <c r="V1788" s="346">
        <v>112.55707762557078</v>
      </c>
      <c r="W1788" s="348">
        <v>114.45136986301371</v>
      </c>
      <c r="X1788" s="347">
        <v>56.63</v>
      </c>
      <c r="Y1788" s="357" t="s">
        <v>408</v>
      </c>
      <c r="Z1788" s="365" t="s">
        <v>4408</v>
      </c>
      <c r="AA1788" s="350">
        <v>141</v>
      </c>
      <c r="AB1788" s="349" t="s">
        <v>2685</v>
      </c>
      <c r="AC1788" s="350">
        <v>1.5</v>
      </c>
      <c r="AD1788" s="349" t="s">
        <v>2685</v>
      </c>
      <c r="AE1788" s="364">
        <v>0</v>
      </c>
      <c r="AF1788" s="366">
        <v>10.44</v>
      </c>
      <c r="AG1788" s="363">
        <v>0</v>
      </c>
      <c r="AH1788" s="635" t="s">
        <v>6360</v>
      </c>
      <c r="AL1788" s="487" t="s">
        <v>16167</v>
      </c>
      <c r="AM1788" s="477" t="s">
        <v>71</v>
      </c>
      <c r="AN1788" s="637">
        <v>100</v>
      </c>
      <c r="AO1788" s="478">
        <v>-1570</v>
      </c>
      <c r="AP1788" s="463">
        <v>-671</v>
      </c>
      <c r="AQ1788" s="479">
        <v>-899</v>
      </c>
      <c r="AR1788" s="476" t="s">
        <v>17851</v>
      </c>
      <c r="BA1788" s="313" t="s">
        <v>6553</v>
      </c>
    </row>
    <row r="1789" spans="2:53" ht="16.5" customHeight="1">
      <c r="B1789" s="367" t="s">
        <v>6645</v>
      </c>
      <c r="C1789" s="351" t="s">
        <v>6646</v>
      </c>
      <c r="D1789" s="353">
        <v>-1570</v>
      </c>
      <c r="E1789" s="352" t="s">
        <v>408</v>
      </c>
      <c r="F1789" s="341">
        <v>69.58</v>
      </c>
      <c r="G1789" s="355" t="s">
        <v>12772</v>
      </c>
      <c r="H1789" s="356" t="s">
        <v>6330</v>
      </c>
      <c r="I1789" s="354" t="s">
        <v>197</v>
      </c>
      <c r="J1789" s="340" t="s">
        <v>9544</v>
      </c>
      <c r="K1789" s="339" t="s">
        <v>70</v>
      </c>
      <c r="L1789" s="357">
        <v>7</v>
      </c>
      <c r="M1789" s="358" t="s">
        <v>12773</v>
      </c>
      <c r="N1789" s="359">
        <v>500</v>
      </c>
      <c r="O1789" s="360" t="s">
        <v>454</v>
      </c>
      <c r="P1789" s="343" t="s">
        <v>454</v>
      </c>
      <c r="Q1789" s="342" t="s">
        <v>2688</v>
      </c>
      <c r="R1789" s="344">
        <v>20</v>
      </c>
      <c r="S1789" s="345">
        <v>30</v>
      </c>
      <c r="T1789" s="362">
        <v>30</v>
      </c>
      <c r="U1789" s="361">
        <v>69.58</v>
      </c>
      <c r="V1789" s="346">
        <v>112.5452196382429</v>
      </c>
      <c r="W1789" s="348">
        <v>114.44069767441862</v>
      </c>
      <c r="X1789" s="347">
        <v>57</v>
      </c>
      <c r="Y1789" s="357" t="s">
        <v>408</v>
      </c>
      <c r="Z1789" s="365" t="s">
        <v>4408</v>
      </c>
      <c r="AA1789" s="350">
        <v>94</v>
      </c>
      <c r="AB1789" s="349" t="s">
        <v>2685</v>
      </c>
      <c r="AC1789" s="350">
        <v>1.5</v>
      </c>
      <c r="AD1789" s="349" t="s">
        <v>2685</v>
      </c>
      <c r="AE1789" s="364">
        <v>0</v>
      </c>
      <c r="AF1789" s="366">
        <v>20.873999999999999</v>
      </c>
      <c r="AG1789" s="363">
        <v>0</v>
      </c>
      <c r="AH1789" s="635" t="s">
        <v>12164</v>
      </c>
      <c r="AL1789" s="487" t="s">
        <v>16168</v>
      </c>
      <c r="AM1789" s="477" t="s">
        <v>70</v>
      </c>
      <c r="AN1789" s="637">
        <v>100</v>
      </c>
      <c r="AO1789" s="478">
        <v>-1570</v>
      </c>
      <c r="AP1789" s="463">
        <v>-1570</v>
      </c>
      <c r="AQ1789" s="479">
        <v>0</v>
      </c>
      <c r="AR1789" s="476" t="s">
        <v>17852</v>
      </c>
      <c r="BA1789" s="313" t="s">
        <v>6555</v>
      </c>
    </row>
    <row r="1790" spans="2:53" ht="16.5" customHeight="1">
      <c r="B1790" s="367" t="s">
        <v>6650</v>
      </c>
      <c r="C1790" s="351" t="s">
        <v>6651</v>
      </c>
      <c r="D1790" s="353">
        <v>-1570</v>
      </c>
      <c r="E1790" s="352" t="s">
        <v>408</v>
      </c>
      <c r="F1790" s="341">
        <v>69.55</v>
      </c>
      <c r="G1790" s="355" t="s">
        <v>12774</v>
      </c>
      <c r="H1790" s="356" t="s">
        <v>19080</v>
      </c>
      <c r="I1790" s="354" t="s">
        <v>216</v>
      </c>
      <c r="J1790" s="340" t="s">
        <v>554</v>
      </c>
      <c r="K1790" s="339" t="s">
        <v>70</v>
      </c>
      <c r="L1790" s="357">
        <v>4</v>
      </c>
      <c r="M1790" s="358" t="s">
        <v>12775</v>
      </c>
      <c r="N1790" s="359">
        <v>300</v>
      </c>
      <c r="O1790" s="360" t="s">
        <v>530</v>
      </c>
      <c r="P1790" s="343" t="s">
        <v>530</v>
      </c>
      <c r="Q1790" s="342" t="s">
        <v>2688</v>
      </c>
      <c r="R1790" s="344">
        <v>25</v>
      </c>
      <c r="S1790" s="345">
        <v>45</v>
      </c>
      <c r="T1790" s="362">
        <v>30</v>
      </c>
      <c r="U1790" s="361">
        <v>69.55</v>
      </c>
      <c r="V1790" s="346">
        <v>112.53054682158454</v>
      </c>
      <c r="W1790" s="348">
        <v>114.42749213942609</v>
      </c>
      <c r="X1790" s="347">
        <v>56.99</v>
      </c>
      <c r="Y1790" s="357" t="s">
        <v>408</v>
      </c>
      <c r="Z1790" s="365" t="s">
        <v>3017</v>
      </c>
      <c r="AA1790" s="350">
        <v>-2</v>
      </c>
      <c r="AB1790" s="349" t="s">
        <v>2685</v>
      </c>
      <c r="AC1790" s="350">
        <v>0</v>
      </c>
      <c r="AD1790" s="349" t="s">
        <v>2685</v>
      </c>
      <c r="AE1790" s="364">
        <v>0</v>
      </c>
      <c r="AF1790" s="366">
        <v>0</v>
      </c>
      <c r="AG1790" s="363">
        <v>0</v>
      </c>
      <c r="AH1790" s="635" t="s">
        <v>408</v>
      </c>
      <c r="AL1790" s="487" t="s">
        <v>16169</v>
      </c>
      <c r="AM1790" s="477" t="s">
        <v>70</v>
      </c>
      <c r="AN1790" s="637">
        <v>100</v>
      </c>
      <c r="AO1790" s="478">
        <v>-1570</v>
      </c>
      <c r="AP1790" s="463">
        <v>-1570</v>
      </c>
      <c r="AQ1790" s="479">
        <v>0</v>
      </c>
      <c r="AR1790" s="476" t="s">
        <v>17853</v>
      </c>
      <c r="BA1790" s="313" t="s">
        <v>6556</v>
      </c>
    </row>
    <row r="1791" spans="2:53" ht="16.5" customHeight="1">
      <c r="B1791" s="367" t="s">
        <v>6696</v>
      </c>
      <c r="C1791" s="351" t="s">
        <v>6697</v>
      </c>
      <c r="D1791" s="353">
        <v>-1570</v>
      </c>
      <c r="E1791" s="352" t="s">
        <v>408</v>
      </c>
      <c r="F1791" s="341">
        <v>69.53</v>
      </c>
      <c r="G1791" s="355" t="s">
        <v>12788</v>
      </c>
      <c r="H1791" s="356" t="s">
        <v>19081</v>
      </c>
      <c r="I1791" s="354" t="s">
        <v>8000</v>
      </c>
      <c r="J1791" s="340" t="s">
        <v>8232</v>
      </c>
      <c r="K1791" s="339" t="s">
        <v>71</v>
      </c>
      <c r="L1791" s="357">
        <v>8</v>
      </c>
      <c r="M1791" s="358" t="s">
        <v>12784</v>
      </c>
      <c r="N1791" s="359">
        <v>1000</v>
      </c>
      <c r="O1791" s="360" t="s">
        <v>532</v>
      </c>
      <c r="P1791" s="343" t="s">
        <v>532</v>
      </c>
      <c r="Q1791" s="342" t="s">
        <v>2688</v>
      </c>
      <c r="R1791" s="344">
        <v>30</v>
      </c>
      <c r="S1791" s="345">
        <v>25</v>
      </c>
      <c r="T1791" s="362">
        <v>25</v>
      </c>
      <c r="U1791" s="361">
        <v>69.53</v>
      </c>
      <c r="V1791" s="346">
        <v>112.51635163645895</v>
      </c>
      <c r="W1791" s="348">
        <v>114.41471647281305</v>
      </c>
      <c r="X1791" s="347" t="s">
        <v>19082</v>
      </c>
      <c r="Y1791" s="357" t="s">
        <v>408</v>
      </c>
      <c r="Z1791" s="365" t="s">
        <v>4408</v>
      </c>
      <c r="AA1791" s="350">
        <v>192</v>
      </c>
      <c r="AB1791" s="349" t="s">
        <v>2685</v>
      </c>
      <c r="AC1791" s="350">
        <v>0</v>
      </c>
      <c r="AD1791" s="349" t="s">
        <v>2685</v>
      </c>
      <c r="AE1791" s="364">
        <v>0</v>
      </c>
      <c r="AF1791" s="366">
        <v>0</v>
      </c>
      <c r="AG1791" s="363">
        <v>0</v>
      </c>
      <c r="AH1791" s="635" t="s">
        <v>408</v>
      </c>
      <c r="AL1791" s="487" t="s">
        <v>16170</v>
      </c>
      <c r="AM1791" s="477" t="s">
        <v>71</v>
      </c>
      <c r="AN1791" s="637">
        <v>100</v>
      </c>
      <c r="AO1791" s="478">
        <v>-1570</v>
      </c>
      <c r="AP1791" s="463">
        <v>-670</v>
      </c>
      <c r="AQ1791" s="479">
        <v>-900</v>
      </c>
      <c r="AR1791" s="476" t="s">
        <v>17854</v>
      </c>
      <c r="BA1791" s="313" t="s">
        <v>6558</v>
      </c>
    </row>
    <row r="1792" spans="2:53" ht="16.5" customHeight="1">
      <c r="B1792" s="367" t="s">
        <v>12776</v>
      </c>
      <c r="C1792" s="351" t="s">
        <v>12777</v>
      </c>
      <c r="D1792" s="353">
        <v>-1570</v>
      </c>
      <c r="E1792" s="352" t="s">
        <v>408</v>
      </c>
      <c r="F1792" s="341">
        <v>69.5</v>
      </c>
      <c r="G1792" s="355" t="s">
        <v>6551</v>
      </c>
      <c r="H1792" s="356" t="s">
        <v>12535</v>
      </c>
      <c r="I1792" s="354" t="s">
        <v>497</v>
      </c>
      <c r="J1792" s="340" t="s">
        <v>501</v>
      </c>
      <c r="K1792" s="339" t="s">
        <v>71</v>
      </c>
      <c r="L1792" s="357">
        <v>2</v>
      </c>
      <c r="M1792" s="358" t="s">
        <v>12778</v>
      </c>
      <c r="N1792" s="359">
        <v>200</v>
      </c>
      <c r="O1792" s="360" t="s">
        <v>454</v>
      </c>
      <c r="P1792" s="343" t="s">
        <v>454</v>
      </c>
      <c r="Q1792" s="342" t="s">
        <v>2738</v>
      </c>
      <c r="R1792" s="344">
        <v>50</v>
      </c>
      <c r="S1792" s="345">
        <v>0</v>
      </c>
      <c r="T1792" s="362">
        <v>0</v>
      </c>
      <c r="U1792" s="361">
        <v>69.5</v>
      </c>
      <c r="V1792" s="346">
        <v>112.5</v>
      </c>
      <c r="W1792" s="348">
        <v>114.4</v>
      </c>
      <c r="X1792" s="347">
        <v>56.98</v>
      </c>
      <c r="Y1792" s="357" t="s">
        <v>408</v>
      </c>
      <c r="Z1792" s="365" t="s">
        <v>4408</v>
      </c>
      <c r="AA1792" s="350">
        <v>94</v>
      </c>
      <c r="AB1792" s="349" t="s">
        <v>2685</v>
      </c>
      <c r="AC1792" s="350">
        <v>1.5</v>
      </c>
      <c r="AD1792" s="349" t="s">
        <v>2685</v>
      </c>
      <c r="AE1792" s="364">
        <v>0</v>
      </c>
      <c r="AF1792" s="366">
        <v>0</v>
      </c>
      <c r="AG1792" s="363">
        <v>0</v>
      </c>
      <c r="AH1792" s="635" t="s">
        <v>10127</v>
      </c>
      <c r="AL1792" s="487" t="s">
        <v>16171</v>
      </c>
      <c r="AM1792" s="477" t="s">
        <v>71</v>
      </c>
      <c r="AN1792" s="637">
        <v>100</v>
      </c>
      <c r="AO1792" s="478">
        <v>-1570</v>
      </c>
      <c r="AP1792" s="463">
        <v>-673</v>
      </c>
      <c r="AQ1792" s="479">
        <v>-897</v>
      </c>
      <c r="AR1792" s="476" t="s">
        <v>17855</v>
      </c>
      <c r="BA1792" s="313" t="s">
        <v>6559</v>
      </c>
    </row>
    <row r="1793" spans="2:53" ht="16.5" customHeight="1">
      <c r="B1793" s="367" t="s">
        <v>12776</v>
      </c>
      <c r="C1793" s="351" t="s">
        <v>12777</v>
      </c>
      <c r="D1793" s="353">
        <v>-1570</v>
      </c>
      <c r="E1793" s="352" t="s">
        <v>408</v>
      </c>
      <c r="F1793" s="341">
        <v>69.5</v>
      </c>
      <c r="G1793" s="355" t="s">
        <v>6551</v>
      </c>
      <c r="H1793" s="356" t="s">
        <v>6337</v>
      </c>
      <c r="I1793" s="354" t="s">
        <v>197</v>
      </c>
      <c r="J1793" s="340" t="s">
        <v>8283</v>
      </c>
      <c r="K1793" s="339" t="s">
        <v>70</v>
      </c>
      <c r="L1793" s="357">
        <v>7</v>
      </c>
      <c r="M1793" s="358" t="s">
        <v>12779</v>
      </c>
      <c r="N1793" s="359">
        <v>500</v>
      </c>
      <c r="O1793" s="360" t="s">
        <v>454</v>
      </c>
      <c r="P1793" s="343" t="s">
        <v>454</v>
      </c>
      <c r="Q1793" s="342" t="s">
        <v>2688</v>
      </c>
      <c r="R1793" s="344">
        <v>20</v>
      </c>
      <c r="S1793" s="345">
        <v>30</v>
      </c>
      <c r="T1793" s="362">
        <v>30</v>
      </c>
      <c r="U1793" s="361">
        <v>69.5</v>
      </c>
      <c r="V1793" s="346">
        <v>112.5</v>
      </c>
      <c r="W1793" s="348">
        <v>114.4</v>
      </c>
      <c r="X1793" s="347">
        <v>56.98</v>
      </c>
      <c r="Y1793" s="357" t="s">
        <v>408</v>
      </c>
      <c r="Z1793" s="365" t="s">
        <v>4408</v>
      </c>
      <c r="AA1793" s="350">
        <v>94</v>
      </c>
      <c r="AB1793" s="349" t="s">
        <v>2685</v>
      </c>
      <c r="AC1793" s="350">
        <v>1.5</v>
      </c>
      <c r="AD1793" s="349" t="s">
        <v>2685</v>
      </c>
      <c r="AE1793" s="364">
        <v>0</v>
      </c>
      <c r="AF1793" s="366">
        <v>0</v>
      </c>
      <c r="AG1793" s="363">
        <v>0</v>
      </c>
      <c r="AH1793" s="635" t="s">
        <v>408</v>
      </c>
      <c r="AL1793" s="487" t="s">
        <v>16172</v>
      </c>
      <c r="AM1793" s="477" t="s">
        <v>70</v>
      </c>
      <c r="AN1793" s="637">
        <v>100</v>
      </c>
      <c r="AO1793" s="478">
        <v>-1570</v>
      </c>
      <c r="AP1793" s="463">
        <v>-1570</v>
      </c>
      <c r="AQ1793" s="479">
        <v>0</v>
      </c>
      <c r="AR1793" s="476" t="s">
        <v>17856</v>
      </c>
      <c r="BA1793" s="313" t="s">
        <v>6563</v>
      </c>
    </row>
    <row r="1794" spans="2:53" ht="16.5" customHeight="1">
      <c r="B1794" s="367" t="s">
        <v>6653</v>
      </c>
      <c r="C1794" s="351" t="s">
        <v>6654</v>
      </c>
      <c r="D1794" s="353">
        <v>-1570</v>
      </c>
      <c r="E1794" s="352" t="s">
        <v>12783</v>
      </c>
      <c r="F1794" s="341">
        <v>69.489999999999995</v>
      </c>
      <c r="G1794" s="355" t="s">
        <v>12780</v>
      </c>
      <c r="H1794" s="356" t="s">
        <v>19083</v>
      </c>
      <c r="I1794" s="354" t="s">
        <v>216</v>
      </c>
      <c r="J1794" s="340" t="s">
        <v>12781</v>
      </c>
      <c r="K1794" s="339" t="s">
        <v>70</v>
      </c>
      <c r="L1794" s="357">
        <v>33</v>
      </c>
      <c r="M1794" s="358" t="s">
        <v>12782</v>
      </c>
      <c r="N1794" s="359">
        <v>300</v>
      </c>
      <c r="O1794" s="360" t="s">
        <v>530</v>
      </c>
      <c r="P1794" s="343" t="s">
        <v>530</v>
      </c>
      <c r="Q1794" s="342" t="s">
        <v>2688</v>
      </c>
      <c r="R1794" s="344">
        <v>25</v>
      </c>
      <c r="S1794" s="345">
        <v>45</v>
      </c>
      <c r="T1794" s="362">
        <v>30</v>
      </c>
      <c r="U1794" s="361">
        <v>69.489999999999995</v>
      </c>
      <c r="V1794" s="346">
        <v>112.49515684898599</v>
      </c>
      <c r="W1794" s="348">
        <v>114.39564116408739</v>
      </c>
      <c r="X1794" s="347">
        <v>56.97</v>
      </c>
      <c r="Y1794" s="357" t="s">
        <v>408</v>
      </c>
      <c r="Z1794" s="365" t="s">
        <v>3017</v>
      </c>
      <c r="AA1794" s="350">
        <v>-2</v>
      </c>
      <c r="AB1794" s="349" t="s">
        <v>2685</v>
      </c>
      <c r="AC1794" s="350">
        <v>0</v>
      </c>
      <c r="AD1794" s="349" t="s">
        <v>2685</v>
      </c>
      <c r="AE1794" s="364">
        <v>0</v>
      </c>
      <c r="AF1794" s="366">
        <v>5.1280000000000001</v>
      </c>
      <c r="AG1794" s="363">
        <v>0</v>
      </c>
      <c r="AH1794" s="635" t="s">
        <v>11477</v>
      </c>
      <c r="AL1794" s="487" t="s">
        <v>16173</v>
      </c>
      <c r="AM1794" s="477" t="s">
        <v>70</v>
      </c>
      <c r="AN1794" s="637">
        <v>100</v>
      </c>
      <c r="AO1794" s="478">
        <v>-1570</v>
      </c>
      <c r="AP1794" s="463">
        <v>-1570</v>
      </c>
      <c r="AQ1794" s="479">
        <v>0</v>
      </c>
      <c r="AR1794" s="476" t="s">
        <v>17857</v>
      </c>
      <c r="BA1794" s="313" t="s">
        <v>6564</v>
      </c>
    </row>
    <row r="1795" spans="2:53" ht="16.5" customHeight="1">
      <c r="B1795" s="367" t="s">
        <v>12785</v>
      </c>
      <c r="C1795" s="351" t="s">
        <v>12786</v>
      </c>
      <c r="D1795" s="353">
        <v>-1570</v>
      </c>
      <c r="E1795" s="352" t="s">
        <v>12787</v>
      </c>
      <c r="F1795" s="341">
        <v>69.41</v>
      </c>
      <c r="G1795" s="355" t="s">
        <v>6583</v>
      </c>
      <c r="H1795" s="356" t="s">
        <v>19083</v>
      </c>
      <c r="I1795" s="354" t="s">
        <v>197</v>
      </c>
      <c r="J1795" s="340" t="s">
        <v>12789</v>
      </c>
      <c r="K1795" s="339" t="s">
        <v>71</v>
      </c>
      <c r="L1795" s="357">
        <v>21</v>
      </c>
      <c r="M1795" s="358" t="s">
        <v>12790</v>
      </c>
      <c r="N1795" s="359">
        <v>500</v>
      </c>
      <c r="O1795" s="360" t="s">
        <v>454</v>
      </c>
      <c r="P1795" s="343" t="s">
        <v>454</v>
      </c>
      <c r="Q1795" s="342" t="s">
        <v>2688</v>
      </c>
      <c r="R1795" s="344">
        <v>30</v>
      </c>
      <c r="S1795" s="345">
        <v>20</v>
      </c>
      <c r="T1795" s="362">
        <v>20</v>
      </c>
      <c r="U1795" s="361">
        <v>69.41</v>
      </c>
      <c r="V1795" s="346">
        <v>112.45053272450532</v>
      </c>
      <c r="W1795" s="348">
        <v>114.35547945205479</v>
      </c>
      <c r="X1795" s="347">
        <v>56.57</v>
      </c>
      <c r="Y1795" s="357" t="s">
        <v>408</v>
      </c>
      <c r="Z1795" s="365" t="s">
        <v>4408</v>
      </c>
      <c r="AA1795" s="350">
        <v>141</v>
      </c>
      <c r="AB1795" s="349" t="s">
        <v>2685</v>
      </c>
      <c r="AC1795" s="350">
        <v>1.5</v>
      </c>
      <c r="AD1795" s="349" t="s">
        <v>2685</v>
      </c>
      <c r="AE1795" s="364">
        <v>0</v>
      </c>
      <c r="AF1795" s="366">
        <v>10.412000000000001</v>
      </c>
      <c r="AG1795" s="363">
        <v>0</v>
      </c>
      <c r="AH1795" s="635" t="s">
        <v>6360</v>
      </c>
      <c r="AL1795" s="487" t="s">
        <v>16174</v>
      </c>
      <c r="AM1795" s="477" t="s">
        <v>71</v>
      </c>
      <c r="AN1795" s="637">
        <v>100</v>
      </c>
      <c r="AO1795" s="478">
        <v>-1570</v>
      </c>
      <c r="AP1795" s="463">
        <v>-670</v>
      </c>
      <c r="AQ1795" s="479">
        <v>-900</v>
      </c>
      <c r="AR1795" s="476" t="s">
        <v>17858</v>
      </c>
      <c r="BA1795" s="313" t="s">
        <v>6568</v>
      </c>
    </row>
    <row r="1796" spans="2:53" ht="16.5" customHeight="1">
      <c r="B1796" s="367" t="s">
        <v>12785</v>
      </c>
      <c r="C1796" s="351" t="s">
        <v>12786</v>
      </c>
      <c r="D1796" s="353">
        <v>-1570</v>
      </c>
      <c r="E1796" s="352" t="s">
        <v>408</v>
      </c>
      <c r="F1796" s="341">
        <v>69.41</v>
      </c>
      <c r="G1796" s="355" t="s">
        <v>12787</v>
      </c>
      <c r="H1796" s="356" t="s">
        <v>12435</v>
      </c>
      <c r="I1796" s="354" t="s">
        <v>197</v>
      </c>
      <c r="J1796" s="340" t="s">
        <v>8835</v>
      </c>
      <c r="K1796" s="339" t="s">
        <v>70</v>
      </c>
      <c r="L1796" s="357">
        <v>35</v>
      </c>
      <c r="M1796" s="358" t="s">
        <v>12791</v>
      </c>
      <c r="N1796" s="359">
        <v>500</v>
      </c>
      <c r="O1796" s="360" t="s">
        <v>454</v>
      </c>
      <c r="P1796" s="343" t="s">
        <v>454</v>
      </c>
      <c r="Q1796" s="342" t="s">
        <v>2688</v>
      </c>
      <c r="R1796" s="344">
        <v>20</v>
      </c>
      <c r="S1796" s="345">
        <v>30</v>
      </c>
      <c r="T1796" s="362">
        <v>30</v>
      </c>
      <c r="U1796" s="361">
        <v>69.41</v>
      </c>
      <c r="V1796" s="346">
        <v>112.44979919678715</v>
      </c>
      <c r="W1796" s="348">
        <v>114.35481927710843</v>
      </c>
      <c r="X1796" s="347">
        <v>56.96</v>
      </c>
      <c r="Y1796" s="357" t="s">
        <v>408</v>
      </c>
      <c r="Z1796" s="365" t="s">
        <v>4408</v>
      </c>
      <c r="AA1796" s="350">
        <v>94</v>
      </c>
      <c r="AB1796" s="349" t="s">
        <v>2685</v>
      </c>
      <c r="AC1796" s="350">
        <v>1.5</v>
      </c>
      <c r="AD1796" s="349" t="s">
        <v>2685</v>
      </c>
      <c r="AE1796" s="364">
        <v>0</v>
      </c>
      <c r="AF1796" s="366">
        <v>10.412000000000001</v>
      </c>
      <c r="AG1796" s="363">
        <v>0</v>
      </c>
      <c r="AH1796" s="635" t="s">
        <v>6224</v>
      </c>
      <c r="AL1796" s="487" t="s">
        <v>16175</v>
      </c>
      <c r="AM1796" s="477" t="s">
        <v>70</v>
      </c>
      <c r="AN1796" s="637">
        <v>100</v>
      </c>
      <c r="AO1796" s="478">
        <v>-1570</v>
      </c>
      <c r="AP1796" s="463">
        <v>-1570</v>
      </c>
      <c r="AQ1796" s="479">
        <v>0</v>
      </c>
      <c r="AR1796" s="476" t="s">
        <v>17859</v>
      </c>
      <c r="BA1796" s="313" t="s">
        <v>6569</v>
      </c>
    </row>
    <row r="1797" spans="2:53" ht="16.5" customHeight="1">
      <c r="B1797" s="367" t="s">
        <v>12792</v>
      </c>
      <c r="C1797" s="351" t="s">
        <v>12793</v>
      </c>
      <c r="D1797" s="353">
        <v>-1570</v>
      </c>
      <c r="E1797" s="352" t="s">
        <v>12794</v>
      </c>
      <c r="F1797" s="341">
        <v>69.33</v>
      </c>
      <c r="G1797" s="355" t="s">
        <v>19084</v>
      </c>
      <c r="H1797" s="356" t="s">
        <v>19085</v>
      </c>
      <c r="I1797" s="354" t="s">
        <v>423</v>
      </c>
      <c r="J1797" s="340" t="s">
        <v>12795</v>
      </c>
      <c r="K1797" s="339" t="s">
        <v>71</v>
      </c>
      <c r="L1797" s="357">
        <v>2</v>
      </c>
      <c r="M1797" s="358" t="s">
        <v>12796</v>
      </c>
      <c r="N1797" s="359">
        <v>1000</v>
      </c>
      <c r="O1797" s="360" t="s">
        <v>530</v>
      </c>
      <c r="P1797" s="343" t="s">
        <v>531</v>
      </c>
      <c r="Q1797" s="342" t="s">
        <v>2688</v>
      </c>
      <c r="R1797" s="344">
        <v>30</v>
      </c>
      <c r="S1797" s="345">
        <v>25</v>
      </c>
      <c r="T1797" s="362">
        <v>25</v>
      </c>
      <c r="U1797" s="361">
        <v>69.33</v>
      </c>
      <c r="V1797" s="346">
        <v>112.40613718411552</v>
      </c>
      <c r="W1797" s="348">
        <v>114.31552346570396</v>
      </c>
      <c r="X1797" s="347">
        <v>56.55</v>
      </c>
      <c r="Y1797" s="357">
        <v>56.53</v>
      </c>
      <c r="Z1797" s="365" t="s">
        <v>3017</v>
      </c>
      <c r="AA1797" s="350">
        <v>198</v>
      </c>
      <c r="AB1797" s="349" t="s">
        <v>2685</v>
      </c>
      <c r="AC1797" s="350">
        <v>10</v>
      </c>
      <c r="AD1797" s="349" t="s">
        <v>2685</v>
      </c>
      <c r="AE1797" s="364">
        <v>0</v>
      </c>
      <c r="AF1797" s="366">
        <v>0</v>
      </c>
      <c r="AG1797" s="363">
        <v>0</v>
      </c>
      <c r="AH1797" s="635" t="s">
        <v>408</v>
      </c>
      <c r="AL1797" s="487" t="s">
        <v>16176</v>
      </c>
      <c r="AM1797" s="477" t="s">
        <v>71</v>
      </c>
      <c r="AN1797" s="637">
        <v>100</v>
      </c>
      <c r="AO1797" s="478">
        <v>-1570</v>
      </c>
      <c r="AP1797" s="463">
        <v>-670</v>
      </c>
      <c r="AQ1797" s="479">
        <v>-900</v>
      </c>
      <c r="AR1797" s="476" t="s">
        <v>17860</v>
      </c>
      <c r="BA1797" s="313" t="s">
        <v>6570</v>
      </c>
    </row>
    <row r="1798" spans="2:53" ht="16.5" customHeight="1">
      <c r="B1798" s="367" t="s">
        <v>12797</v>
      </c>
      <c r="C1798" s="351" t="s">
        <v>12798</v>
      </c>
      <c r="D1798" s="353">
        <v>-1570</v>
      </c>
      <c r="E1798" s="352" t="s">
        <v>408</v>
      </c>
      <c r="F1798" s="341">
        <v>69.290000000000006</v>
      </c>
      <c r="G1798" s="355" t="s">
        <v>6391</v>
      </c>
      <c r="H1798" s="356" t="s">
        <v>6243</v>
      </c>
      <c r="I1798" s="354" t="s">
        <v>214</v>
      </c>
      <c r="J1798" s="340" t="s">
        <v>550</v>
      </c>
      <c r="K1798" s="339" t="s">
        <v>70</v>
      </c>
      <c r="L1798" s="357">
        <v>9</v>
      </c>
      <c r="M1798" s="358" t="s">
        <v>12799</v>
      </c>
      <c r="N1798" s="359">
        <v>200</v>
      </c>
      <c r="O1798" s="360" t="s">
        <v>532</v>
      </c>
      <c r="P1798" s="343" t="s">
        <v>532</v>
      </c>
      <c r="Q1798" s="342" t="s">
        <v>2688</v>
      </c>
      <c r="R1798" s="344">
        <v>20</v>
      </c>
      <c r="S1798" s="345">
        <v>30</v>
      </c>
      <c r="T1798" s="362">
        <v>30</v>
      </c>
      <c r="U1798" s="361">
        <v>69.290000000000006</v>
      </c>
      <c r="V1798" s="346">
        <v>112.38110279944127</v>
      </c>
      <c r="W1798" s="348">
        <v>114.29299251949715</v>
      </c>
      <c r="X1798" s="347" t="s">
        <v>19086</v>
      </c>
      <c r="Y1798" s="357" t="s">
        <v>408</v>
      </c>
      <c r="Z1798" s="365" t="s">
        <v>4408</v>
      </c>
      <c r="AA1798" s="350">
        <v>36</v>
      </c>
      <c r="AB1798" s="349" t="s">
        <v>2685</v>
      </c>
      <c r="AC1798" s="350">
        <v>0</v>
      </c>
      <c r="AD1798" s="349" t="s">
        <v>2685</v>
      </c>
      <c r="AE1798" s="364">
        <v>0</v>
      </c>
      <c r="AF1798" s="366">
        <v>0</v>
      </c>
      <c r="AG1798" s="363">
        <v>0</v>
      </c>
      <c r="AH1798" s="635" t="s">
        <v>408</v>
      </c>
      <c r="AL1798" s="487" t="s">
        <v>16179</v>
      </c>
      <c r="AM1798" s="477" t="s">
        <v>70</v>
      </c>
      <c r="AN1798" s="637">
        <v>100</v>
      </c>
      <c r="AO1798" s="478">
        <v>-1570</v>
      </c>
      <c r="AP1798" s="463">
        <v>-1570</v>
      </c>
      <c r="AQ1798" s="479">
        <v>0</v>
      </c>
      <c r="AR1798" s="476" t="s">
        <v>17861</v>
      </c>
      <c r="BA1798" s="313" t="s">
        <v>6572</v>
      </c>
    </row>
    <row r="1799" spans="2:53" ht="16.5" customHeight="1">
      <c r="B1799" s="367" t="s">
        <v>12797</v>
      </c>
      <c r="C1799" s="351" t="s">
        <v>12798</v>
      </c>
      <c r="D1799" s="353">
        <v>-1570</v>
      </c>
      <c r="E1799" s="352" t="s">
        <v>408</v>
      </c>
      <c r="F1799" s="341">
        <v>69.290000000000006</v>
      </c>
      <c r="G1799" s="355" t="s">
        <v>6391</v>
      </c>
      <c r="H1799" s="356" t="s">
        <v>6243</v>
      </c>
      <c r="I1799" s="354" t="s">
        <v>214</v>
      </c>
      <c r="J1799" s="340" t="s">
        <v>12800</v>
      </c>
      <c r="K1799" s="339" t="s">
        <v>70</v>
      </c>
      <c r="L1799" s="357">
        <v>8</v>
      </c>
      <c r="M1799" s="358" t="s">
        <v>12799</v>
      </c>
      <c r="N1799" s="359">
        <v>200</v>
      </c>
      <c r="O1799" s="360" t="s">
        <v>532</v>
      </c>
      <c r="P1799" s="343" t="s">
        <v>532</v>
      </c>
      <c r="Q1799" s="342" t="s">
        <v>2688</v>
      </c>
      <c r="R1799" s="344">
        <v>20</v>
      </c>
      <c r="S1799" s="345">
        <v>30</v>
      </c>
      <c r="T1799" s="362">
        <v>30</v>
      </c>
      <c r="U1799" s="361">
        <v>69.290000000000006</v>
      </c>
      <c r="V1799" s="346">
        <v>112.38110279944127</v>
      </c>
      <c r="W1799" s="348">
        <v>114.29299251949715</v>
      </c>
      <c r="X1799" s="347" t="s">
        <v>19086</v>
      </c>
      <c r="Y1799" s="357" t="s">
        <v>408</v>
      </c>
      <c r="Z1799" s="365" t="s">
        <v>4408</v>
      </c>
      <c r="AA1799" s="350">
        <v>36</v>
      </c>
      <c r="AB1799" s="349" t="s">
        <v>2685</v>
      </c>
      <c r="AC1799" s="350">
        <v>0</v>
      </c>
      <c r="AD1799" s="349" t="s">
        <v>2685</v>
      </c>
      <c r="AE1799" s="364">
        <v>0</v>
      </c>
      <c r="AF1799" s="366">
        <v>0</v>
      </c>
      <c r="AG1799" s="363">
        <v>0</v>
      </c>
      <c r="AH1799" s="635" t="s">
        <v>408</v>
      </c>
      <c r="AL1799" s="487" t="s">
        <v>16180</v>
      </c>
      <c r="AM1799" s="477" t="s">
        <v>70</v>
      </c>
      <c r="AN1799" s="637">
        <v>100</v>
      </c>
      <c r="AO1799" s="478">
        <v>-1570</v>
      </c>
      <c r="AP1799" s="463">
        <v>-1570</v>
      </c>
      <c r="AQ1799" s="479">
        <v>0</v>
      </c>
      <c r="AR1799" s="476" t="s">
        <v>17861</v>
      </c>
      <c r="BA1799" s="313" t="s">
        <v>6574</v>
      </c>
    </row>
    <row r="1800" spans="2:53" ht="16.5" customHeight="1">
      <c r="B1800" s="367" t="s">
        <v>12801</v>
      </c>
      <c r="C1800" s="351" t="s">
        <v>12802</v>
      </c>
      <c r="D1800" s="353">
        <v>-1570</v>
      </c>
      <c r="E1800" s="352" t="s">
        <v>408</v>
      </c>
      <c r="F1800" s="341">
        <v>69.28</v>
      </c>
      <c r="G1800" s="355" t="s">
        <v>6530</v>
      </c>
      <c r="H1800" s="356" t="s">
        <v>19087</v>
      </c>
      <c r="I1800" s="354" t="s">
        <v>216</v>
      </c>
      <c r="J1800" s="340" t="s">
        <v>8197</v>
      </c>
      <c r="K1800" s="339" t="s">
        <v>70</v>
      </c>
      <c r="L1800" s="357">
        <v>7</v>
      </c>
      <c r="M1800" s="358" t="s">
        <v>12803</v>
      </c>
      <c r="N1800" s="359">
        <v>300</v>
      </c>
      <c r="O1800" s="360" t="s">
        <v>530</v>
      </c>
      <c r="P1800" s="343" t="s">
        <v>530</v>
      </c>
      <c r="Q1800" s="342" t="s">
        <v>2688</v>
      </c>
      <c r="R1800" s="344">
        <v>25</v>
      </c>
      <c r="S1800" s="345">
        <v>45</v>
      </c>
      <c r="T1800" s="362">
        <v>30</v>
      </c>
      <c r="U1800" s="361">
        <v>69.28</v>
      </c>
      <c r="V1800" s="346">
        <v>112.37621124679963</v>
      </c>
      <c r="W1800" s="348">
        <v>114.28859012211967</v>
      </c>
      <c r="X1800" s="347">
        <v>56.92</v>
      </c>
      <c r="Y1800" s="357" t="s">
        <v>408</v>
      </c>
      <c r="Z1800" s="365" t="s">
        <v>3017</v>
      </c>
      <c r="AA1800" s="350">
        <v>-2</v>
      </c>
      <c r="AB1800" s="349" t="s">
        <v>2685</v>
      </c>
      <c r="AC1800" s="350">
        <v>0</v>
      </c>
      <c r="AD1800" s="349" t="s">
        <v>2685</v>
      </c>
      <c r="AE1800" s="364">
        <v>0</v>
      </c>
      <c r="AF1800" s="366">
        <v>5.1230000000000002</v>
      </c>
      <c r="AG1800" s="363">
        <v>0</v>
      </c>
      <c r="AH1800" s="635" t="s">
        <v>11477</v>
      </c>
      <c r="AL1800" s="487" t="s">
        <v>16177</v>
      </c>
      <c r="AM1800" s="477" t="s">
        <v>70</v>
      </c>
      <c r="AN1800" s="637">
        <v>100</v>
      </c>
      <c r="AO1800" s="478">
        <v>-1570</v>
      </c>
      <c r="AP1800" s="463">
        <v>-1570</v>
      </c>
      <c r="AQ1800" s="479">
        <v>0</v>
      </c>
      <c r="AR1800" s="476" t="s">
        <v>17862</v>
      </c>
      <c r="BA1800" s="313" t="s">
        <v>6575</v>
      </c>
    </row>
    <row r="1801" spans="2:53" ht="16.5" customHeight="1">
      <c r="B1801" s="367" t="s">
        <v>12804</v>
      </c>
      <c r="C1801" s="351" t="s">
        <v>12805</v>
      </c>
      <c r="D1801" s="353">
        <v>-1570</v>
      </c>
      <c r="E1801" s="352" t="s">
        <v>408</v>
      </c>
      <c r="F1801" s="341">
        <v>69.260000000000005</v>
      </c>
      <c r="G1801" s="355" t="s">
        <v>12806</v>
      </c>
      <c r="H1801" s="356" t="s">
        <v>12481</v>
      </c>
      <c r="I1801" s="354" t="s">
        <v>213</v>
      </c>
      <c r="J1801" s="340" t="s">
        <v>8835</v>
      </c>
      <c r="K1801" s="339" t="s">
        <v>70</v>
      </c>
      <c r="L1801" s="357">
        <v>14</v>
      </c>
      <c r="M1801" s="358" t="s">
        <v>12808</v>
      </c>
      <c r="N1801" s="359">
        <v>1000</v>
      </c>
      <c r="O1801" s="360" t="s">
        <v>454</v>
      </c>
      <c r="P1801" s="343" t="s">
        <v>454</v>
      </c>
      <c r="Q1801" s="342" t="s">
        <v>2688</v>
      </c>
      <c r="R1801" s="344">
        <v>20</v>
      </c>
      <c r="S1801" s="345">
        <v>30</v>
      </c>
      <c r="T1801" s="362">
        <v>30</v>
      </c>
      <c r="U1801" s="361">
        <v>69.260000000000005</v>
      </c>
      <c r="V1801" s="346">
        <v>112.36888888888888</v>
      </c>
      <c r="W1801" s="348">
        <v>114.282</v>
      </c>
      <c r="X1801" s="347">
        <v>56.92</v>
      </c>
      <c r="Y1801" s="357" t="s">
        <v>408</v>
      </c>
      <c r="Z1801" s="365" t="s">
        <v>4408</v>
      </c>
      <c r="AA1801" s="350">
        <v>180</v>
      </c>
      <c r="AB1801" s="349" t="s">
        <v>2685</v>
      </c>
      <c r="AC1801" s="350">
        <v>10</v>
      </c>
      <c r="AD1801" s="349" t="s">
        <v>2685</v>
      </c>
      <c r="AE1801" s="364">
        <v>0</v>
      </c>
      <c r="AF1801" s="366">
        <v>51.945</v>
      </c>
      <c r="AG1801" s="363">
        <v>0</v>
      </c>
      <c r="AH1801" s="635" t="s">
        <v>12809</v>
      </c>
      <c r="AL1801" s="487" t="s">
        <v>16178</v>
      </c>
      <c r="AM1801" s="477" t="s">
        <v>70</v>
      </c>
      <c r="AN1801" s="637">
        <v>100</v>
      </c>
      <c r="AO1801" s="478">
        <v>-1570</v>
      </c>
      <c r="AP1801" s="463">
        <v>-1570</v>
      </c>
      <c r="AQ1801" s="479">
        <v>0</v>
      </c>
      <c r="AR1801" s="476" t="s">
        <v>17863</v>
      </c>
      <c r="BA1801" s="313" t="s">
        <v>6576</v>
      </c>
    </row>
    <row r="1802" spans="2:53" ht="16.5" customHeight="1">
      <c r="B1802" s="367" t="s">
        <v>18278</v>
      </c>
      <c r="C1802" s="351" t="s">
        <v>18279</v>
      </c>
      <c r="D1802" s="353">
        <v>-1570</v>
      </c>
      <c r="E1802" s="352" t="s">
        <v>408</v>
      </c>
      <c r="F1802" s="341">
        <v>69.25</v>
      </c>
      <c r="G1802" s="355" t="s">
        <v>19088</v>
      </c>
      <c r="H1802" s="356" t="s">
        <v>12594</v>
      </c>
      <c r="I1802" s="354" t="s">
        <v>212</v>
      </c>
      <c r="J1802" s="340" t="s">
        <v>501</v>
      </c>
      <c r="K1802" s="339" t="s">
        <v>71</v>
      </c>
      <c r="L1802" s="357">
        <v>4</v>
      </c>
      <c r="M1802" s="358" t="s">
        <v>12817</v>
      </c>
      <c r="N1802" s="359">
        <v>800</v>
      </c>
      <c r="O1802" s="360" t="s">
        <v>532</v>
      </c>
      <c r="P1802" s="343" t="s">
        <v>532</v>
      </c>
      <c r="Q1802" s="342" t="s">
        <v>2688</v>
      </c>
      <c r="R1802" s="344">
        <v>40</v>
      </c>
      <c r="S1802" s="345">
        <v>30</v>
      </c>
      <c r="T1802" s="362">
        <v>30</v>
      </c>
      <c r="U1802" s="361">
        <v>69.25</v>
      </c>
      <c r="V1802" s="346">
        <v>112.36242720912453</v>
      </c>
      <c r="W1802" s="348">
        <v>114.27618448821208</v>
      </c>
      <c r="X1802" s="347" t="s">
        <v>19089</v>
      </c>
      <c r="Y1802" s="357" t="s">
        <v>408</v>
      </c>
      <c r="Z1802" s="365" t="s">
        <v>3017</v>
      </c>
      <c r="AA1802" s="350">
        <v>190</v>
      </c>
      <c r="AB1802" s="349" t="s">
        <v>2685</v>
      </c>
      <c r="AC1802" s="350">
        <v>10</v>
      </c>
      <c r="AD1802" s="349" t="s">
        <v>2685</v>
      </c>
      <c r="AE1802" s="364">
        <v>0</v>
      </c>
      <c r="AF1802" s="366">
        <v>0</v>
      </c>
      <c r="AG1802" s="363">
        <v>0</v>
      </c>
      <c r="AH1802" s="635" t="s">
        <v>408</v>
      </c>
      <c r="AL1802" s="487" t="s">
        <v>16181</v>
      </c>
      <c r="AM1802" s="477" t="s">
        <v>71</v>
      </c>
      <c r="AN1802" s="637">
        <v>100</v>
      </c>
      <c r="AO1802" s="478">
        <v>-1570</v>
      </c>
      <c r="AP1802" s="463">
        <v>-669</v>
      </c>
      <c r="AQ1802" s="479">
        <v>-901</v>
      </c>
      <c r="AR1802" s="476" t="s">
        <v>17864</v>
      </c>
      <c r="BA1802" s="313" t="s">
        <v>6577</v>
      </c>
    </row>
    <row r="1803" spans="2:53" ht="16.5" customHeight="1">
      <c r="B1803" s="367" t="s">
        <v>6676</v>
      </c>
      <c r="C1803" s="351" t="s">
        <v>6677</v>
      </c>
      <c r="D1803" s="353">
        <v>-1570</v>
      </c>
      <c r="E1803" s="352" t="s">
        <v>6565</v>
      </c>
      <c r="F1803" s="341">
        <v>69.239999999999995</v>
      </c>
      <c r="G1803" s="355" t="s">
        <v>12810</v>
      </c>
      <c r="H1803" s="356" t="s">
        <v>19013</v>
      </c>
      <c r="I1803" s="354" t="s">
        <v>214</v>
      </c>
      <c r="J1803" s="340" t="s">
        <v>8778</v>
      </c>
      <c r="K1803" s="339" t="s">
        <v>70</v>
      </c>
      <c r="L1803" s="357">
        <v>7</v>
      </c>
      <c r="M1803" s="358" t="s">
        <v>12812</v>
      </c>
      <c r="N1803" s="359">
        <v>200</v>
      </c>
      <c r="O1803" s="360" t="s">
        <v>532</v>
      </c>
      <c r="P1803" s="343" t="s">
        <v>532</v>
      </c>
      <c r="Q1803" s="342" t="s">
        <v>2688</v>
      </c>
      <c r="R1803" s="344">
        <v>20</v>
      </c>
      <c r="S1803" s="345">
        <v>30</v>
      </c>
      <c r="T1803" s="362">
        <v>30</v>
      </c>
      <c r="U1803" s="361">
        <v>69.239999999999995</v>
      </c>
      <c r="V1803" s="346">
        <v>112.35347886656079</v>
      </c>
      <c r="W1803" s="348">
        <v>114.26813097990471</v>
      </c>
      <c r="X1803" s="347" t="s">
        <v>19090</v>
      </c>
      <c r="Y1803" s="357" t="s">
        <v>408</v>
      </c>
      <c r="Z1803" s="365" t="s">
        <v>4408</v>
      </c>
      <c r="AA1803" s="350">
        <v>36</v>
      </c>
      <c r="AB1803" s="349" t="s">
        <v>2685</v>
      </c>
      <c r="AC1803" s="350">
        <v>0</v>
      </c>
      <c r="AD1803" s="349" t="s">
        <v>2685</v>
      </c>
      <c r="AE1803" s="364">
        <v>0</v>
      </c>
      <c r="AF1803" s="366">
        <v>0</v>
      </c>
      <c r="AG1803" s="363">
        <v>0</v>
      </c>
      <c r="AH1803" s="635" t="s">
        <v>408</v>
      </c>
      <c r="AL1803" s="487" t="s">
        <v>16183</v>
      </c>
      <c r="AM1803" s="477" t="s">
        <v>70</v>
      </c>
      <c r="AN1803" s="637">
        <v>100</v>
      </c>
      <c r="AO1803" s="478">
        <v>-1570</v>
      </c>
      <c r="AP1803" s="463">
        <v>-1570</v>
      </c>
      <c r="AQ1803" s="479">
        <v>0</v>
      </c>
      <c r="AR1803" s="476" t="s">
        <v>17865</v>
      </c>
      <c r="BA1803" s="313" t="s">
        <v>6580</v>
      </c>
    </row>
    <row r="1804" spans="2:53" ht="16.5" customHeight="1">
      <c r="B1804" s="367" t="s">
        <v>12813</v>
      </c>
      <c r="C1804" s="351" t="s">
        <v>12814</v>
      </c>
      <c r="D1804" s="353">
        <v>-1570</v>
      </c>
      <c r="E1804" s="352" t="s">
        <v>6589</v>
      </c>
      <c r="F1804" s="341">
        <v>69.22</v>
      </c>
      <c r="G1804" s="355" t="s">
        <v>13026</v>
      </c>
      <c r="H1804" s="356" t="s">
        <v>19009</v>
      </c>
      <c r="I1804" s="354" t="s">
        <v>197</v>
      </c>
      <c r="J1804" s="340" t="s">
        <v>9652</v>
      </c>
      <c r="K1804" s="339" t="s">
        <v>71</v>
      </c>
      <c r="L1804" s="357">
        <v>9</v>
      </c>
      <c r="M1804" s="358" t="s">
        <v>12815</v>
      </c>
      <c r="N1804" s="359">
        <v>500</v>
      </c>
      <c r="O1804" s="360" t="s">
        <v>454</v>
      </c>
      <c r="P1804" s="343" t="s">
        <v>454</v>
      </c>
      <c r="Q1804" s="342" t="s">
        <v>2688</v>
      </c>
      <c r="R1804" s="344">
        <v>30</v>
      </c>
      <c r="S1804" s="345">
        <v>20</v>
      </c>
      <c r="T1804" s="362">
        <v>20</v>
      </c>
      <c r="U1804" s="361">
        <v>69.22</v>
      </c>
      <c r="V1804" s="346">
        <v>112.34398782343987</v>
      </c>
      <c r="W1804" s="348">
        <v>114.25958904109588</v>
      </c>
      <c r="X1804" s="347">
        <v>56.51</v>
      </c>
      <c r="Y1804" s="357" t="s">
        <v>408</v>
      </c>
      <c r="Z1804" s="365" t="s">
        <v>4408</v>
      </c>
      <c r="AA1804" s="350">
        <v>141</v>
      </c>
      <c r="AB1804" s="349" t="s">
        <v>2685</v>
      </c>
      <c r="AC1804" s="350">
        <v>1.5</v>
      </c>
      <c r="AD1804" s="349" t="s">
        <v>2685</v>
      </c>
      <c r="AE1804" s="364">
        <v>0</v>
      </c>
      <c r="AF1804" s="366">
        <v>10.382999999999999</v>
      </c>
      <c r="AG1804" s="363">
        <v>0</v>
      </c>
      <c r="AH1804" s="635" t="s">
        <v>6360</v>
      </c>
      <c r="AL1804" s="487" t="s">
        <v>16182</v>
      </c>
      <c r="AM1804" s="477" t="s">
        <v>71</v>
      </c>
      <c r="AN1804" s="637">
        <v>100</v>
      </c>
      <c r="AO1804" s="478">
        <v>-1570</v>
      </c>
      <c r="AP1804" s="463">
        <v>-669</v>
      </c>
      <c r="AQ1804" s="479">
        <v>-901</v>
      </c>
      <c r="AR1804" s="476" t="s">
        <v>17866</v>
      </c>
      <c r="BA1804" s="313" t="s">
        <v>6582</v>
      </c>
    </row>
    <row r="1805" spans="2:53" ht="16.5" customHeight="1">
      <c r="B1805" s="367" t="s">
        <v>12818</v>
      </c>
      <c r="C1805" s="351" t="s">
        <v>12819</v>
      </c>
      <c r="D1805" s="353">
        <v>-1570</v>
      </c>
      <c r="E1805" s="352" t="s">
        <v>408</v>
      </c>
      <c r="F1805" s="341">
        <v>69.12</v>
      </c>
      <c r="G1805" s="355" t="s">
        <v>6573</v>
      </c>
      <c r="H1805" s="356" t="s">
        <v>19091</v>
      </c>
      <c r="I1805" s="354" t="s">
        <v>214</v>
      </c>
      <c r="J1805" s="340" t="s">
        <v>8640</v>
      </c>
      <c r="K1805" s="339" t="s">
        <v>70</v>
      </c>
      <c r="L1805" s="357">
        <v>10</v>
      </c>
      <c r="M1805" s="358" t="s">
        <v>12820</v>
      </c>
      <c r="N1805" s="359">
        <v>200</v>
      </c>
      <c r="O1805" s="360" t="s">
        <v>532</v>
      </c>
      <c r="P1805" s="343" t="s">
        <v>532</v>
      </c>
      <c r="Q1805" s="342" t="s">
        <v>2688</v>
      </c>
      <c r="R1805" s="344">
        <v>20</v>
      </c>
      <c r="S1805" s="345">
        <v>30</v>
      </c>
      <c r="T1805" s="362">
        <v>30</v>
      </c>
      <c r="U1805" s="361">
        <v>69.12</v>
      </c>
      <c r="V1805" s="346">
        <v>112.28902302317302</v>
      </c>
      <c r="W1805" s="348">
        <v>114.21012072085573</v>
      </c>
      <c r="X1805" s="347" t="s">
        <v>19092</v>
      </c>
      <c r="Y1805" s="357" t="s">
        <v>408</v>
      </c>
      <c r="Z1805" s="365" t="s">
        <v>4408</v>
      </c>
      <c r="AA1805" s="350">
        <v>36</v>
      </c>
      <c r="AB1805" s="349" t="s">
        <v>2685</v>
      </c>
      <c r="AC1805" s="350">
        <v>0</v>
      </c>
      <c r="AD1805" s="349" t="s">
        <v>2685</v>
      </c>
      <c r="AE1805" s="364">
        <v>0</v>
      </c>
      <c r="AF1805" s="366">
        <v>0</v>
      </c>
      <c r="AG1805" s="363">
        <v>0</v>
      </c>
      <c r="AH1805" s="635" t="s">
        <v>408</v>
      </c>
      <c r="AL1805" s="487" t="s">
        <v>16186</v>
      </c>
      <c r="AM1805" s="477" t="s">
        <v>70</v>
      </c>
      <c r="AN1805" s="637">
        <v>100</v>
      </c>
      <c r="AO1805" s="478">
        <v>-1570</v>
      </c>
      <c r="AP1805" s="463">
        <v>-1570</v>
      </c>
      <c r="AQ1805" s="479">
        <v>0</v>
      </c>
      <c r="AR1805" s="476" t="s">
        <v>17867</v>
      </c>
      <c r="BA1805" s="313" t="s">
        <v>6585</v>
      </c>
    </row>
    <row r="1806" spans="2:53" ht="16.5" customHeight="1">
      <c r="B1806" s="367" t="s">
        <v>18280</v>
      </c>
      <c r="C1806" s="351" t="s">
        <v>18281</v>
      </c>
      <c r="D1806" s="353">
        <v>-1570</v>
      </c>
      <c r="E1806" s="352" t="s">
        <v>408</v>
      </c>
      <c r="F1806" s="341">
        <v>69.11</v>
      </c>
      <c r="G1806" s="355" t="s">
        <v>6636</v>
      </c>
      <c r="H1806" s="356" t="s">
        <v>19015</v>
      </c>
      <c r="I1806" s="354" t="s">
        <v>212</v>
      </c>
      <c r="J1806" s="340" t="s">
        <v>12240</v>
      </c>
      <c r="K1806" s="339" t="s">
        <v>71</v>
      </c>
      <c r="L1806" s="357">
        <v>5</v>
      </c>
      <c r="M1806" s="358" t="s">
        <v>12834</v>
      </c>
      <c r="N1806" s="359">
        <v>800</v>
      </c>
      <c r="O1806" s="360" t="s">
        <v>532</v>
      </c>
      <c r="P1806" s="343" t="s">
        <v>532</v>
      </c>
      <c r="Q1806" s="342" t="s">
        <v>2688</v>
      </c>
      <c r="R1806" s="344">
        <v>40</v>
      </c>
      <c r="S1806" s="345">
        <v>30</v>
      </c>
      <c r="T1806" s="362">
        <v>30</v>
      </c>
      <c r="U1806" s="361">
        <v>69.11</v>
      </c>
      <c r="V1806" s="346">
        <v>112.2841108435873</v>
      </c>
      <c r="W1806" s="348">
        <v>114.20569975922858</v>
      </c>
      <c r="X1806" s="347" t="s">
        <v>19093</v>
      </c>
      <c r="Y1806" s="357" t="s">
        <v>408</v>
      </c>
      <c r="Z1806" s="365" t="s">
        <v>3017</v>
      </c>
      <c r="AA1806" s="350">
        <v>190</v>
      </c>
      <c r="AB1806" s="349" t="s">
        <v>2685</v>
      </c>
      <c r="AC1806" s="350">
        <v>10</v>
      </c>
      <c r="AD1806" s="349" t="s">
        <v>2685</v>
      </c>
      <c r="AE1806" s="364">
        <v>0</v>
      </c>
      <c r="AF1806" s="366">
        <v>0</v>
      </c>
      <c r="AG1806" s="363">
        <v>0</v>
      </c>
      <c r="AH1806" s="635" t="s">
        <v>408</v>
      </c>
      <c r="AL1806" s="487" t="s">
        <v>16184</v>
      </c>
      <c r="AM1806" s="477" t="s">
        <v>71</v>
      </c>
      <c r="AN1806" s="637">
        <v>100</v>
      </c>
      <c r="AO1806" s="478">
        <v>-1570</v>
      </c>
      <c r="AP1806" s="463">
        <v>-668</v>
      </c>
      <c r="AQ1806" s="479">
        <v>-902</v>
      </c>
      <c r="AR1806" s="476" t="s">
        <v>17868</v>
      </c>
      <c r="BA1806" s="313" t="s">
        <v>6586</v>
      </c>
    </row>
    <row r="1807" spans="2:53" ht="16.5" customHeight="1">
      <c r="B1807" s="367" t="s">
        <v>18282</v>
      </c>
      <c r="C1807" s="351" t="s">
        <v>18283</v>
      </c>
      <c r="D1807" s="353">
        <v>-1570</v>
      </c>
      <c r="E1807" s="352" t="s">
        <v>408</v>
      </c>
      <c r="F1807" s="341">
        <v>69.11</v>
      </c>
      <c r="G1807" s="355" t="s">
        <v>13053</v>
      </c>
      <c r="H1807" s="356" t="s">
        <v>19094</v>
      </c>
      <c r="I1807" s="354" t="s">
        <v>212</v>
      </c>
      <c r="J1807" s="340" t="s">
        <v>12837</v>
      </c>
      <c r="K1807" s="339" t="s">
        <v>71</v>
      </c>
      <c r="L1807" s="357">
        <v>10</v>
      </c>
      <c r="M1807" s="358" t="s">
        <v>12838</v>
      </c>
      <c r="N1807" s="359">
        <v>800</v>
      </c>
      <c r="O1807" s="360" t="s">
        <v>532</v>
      </c>
      <c r="P1807" s="343" t="s">
        <v>532</v>
      </c>
      <c r="Q1807" s="342" t="s">
        <v>2688</v>
      </c>
      <c r="R1807" s="344">
        <v>40</v>
      </c>
      <c r="S1807" s="345">
        <v>30</v>
      </c>
      <c r="T1807" s="362">
        <v>30</v>
      </c>
      <c r="U1807" s="361">
        <v>69.11</v>
      </c>
      <c r="V1807" s="346">
        <v>112.28167433443727</v>
      </c>
      <c r="W1807" s="348">
        <v>114.20350690099356</v>
      </c>
      <c r="X1807" s="347" t="s">
        <v>19093</v>
      </c>
      <c r="Y1807" s="357" t="s">
        <v>408</v>
      </c>
      <c r="Z1807" s="365" t="s">
        <v>3017</v>
      </c>
      <c r="AA1807" s="350">
        <v>190</v>
      </c>
      <c r="AB1807" s="349" t="s">
        <v>2685</v>
      </c>
      <c r="AC1807" s="350">
        <v>10</v>
      </c>
      <c r="AD1807" s="349" t="s">
        <v>2685</v>
      </c>
      <c r="AE1807" s="364">
        <v>0</v>
      </c>
      <c r="AF1807" s="366">
        <v>0</v>
      </c>
      <c r="AG1807" s="363">
        <v>0</v>
      </c>
      <c r="AH1807" s="635" t="s">
        <v>408</v>
      </c>
      <c r="AL1807" s="487" t="s">
        <v>16185</v>
      </c>
      <c r="AM1807" s="477" t="s">
        <v>71</v>
      </c>
      <c r="AN1807" s="637">
        <v>100</v>
      </c>
      <c r="AO1807" s="478">
        <v>-1570</v>
      </c>
      <c r="AP1807" s="463">
        <v>-668</v>
      </c>
      <c r="AQ1807" s="479">
        <v>-902</v>
      </c>
      <c r="AR1807" s="476" t="s">
        <v>17869</v>
      </c>
      <c r="BA1807" s="313" t="s">
        <v>6588</v>
      </c>
    </row>
    <row r="1808" spans="2:53" ht="16.5" customHeight="1">
      <c r="B1808" s="367" t="s">
        <v>6691</v>
      </c>
      <c r="C1808" s="351" t="s">
        <v>6692</v>
      </c>
      <c r="D1808" s="353">
        <v>-1570</v>
      </c>
      <c r="E1808" s="352" t="s">
        <v>408</v>
      </c>
      <c r="F1808" s="341">
        <v>69.09</v>
      </c>
      <c r="G1808" s="355" t="s">
        <v>6412</v>
      </c>
      <c r="H1808" s="356" t="s">
        <v>12507</v>
      </c>
      <c r="I1808" s="354" t="s">
        <v>212</v>
      </c>
      <c r="J1808" s="340" t="s">
        <v>9622</v>
      </c>
      <c r="K1808" s="339" t="s">
        <v>70</v>
      </c>
      <c r="L1808" s="357">
        <v>8</v>
      </c>
      <c r="M1808" s="358" t="s">
        <v>12821</v>
      </c>
      <c r="N1808" s="359">
        <v>800</v>
      </c>
      <c r="O1808" s="360" t="s">
        <v>532</v>
      </c>
      <c r="P1808" s="343" t="s">
        <v>532</v>
      </c>
      <c r="Q1808" s="342" t="s">
        <v>2688</v>
      </c>
      <c r="R1808" s="344">
        <v>30</v>
      </c>
      <c r="S1808" s="345">
        <v>40</v>
      </c>
      <c r="T1808" s="362">
        <v>30</v>
      </c>
      <c r="U1808" s="361">
        <v>69.09</v>
      </c>
      <c r="V1808" s="346">
        <v>112.27251513327813</v>
      </c>
      <c r="W1808" s="348">
        <v>114.19526361995032</v>
      </c>
      <c r="X1808" s="347" t="s">
        <v>19092</v>
      </c>
      <c r="Y1808" s="357" t="s">
        <v>408</v>
      </c>
      <c r="Z1808" s="365" t="s">
        <v>3017</v>
      </c>
      <c r="AA1808" s="350">
        <v>190</v>
      </c>
      <c r="AB1808" s="349" t="s">
        <v>2685</v>
      </c>
      <c r="AC1808" s="350">
        <v>10</v>
      </c>
      <c r="AD1808" s="349" t="s">
        <v>2685</v>
      </c>
      <c r="AE1808" s="364">
        <v>0</v>
      </c>
      <c r="AF1808" s="366">
        <v>0</v>
      </c>
      <c r="AG1808" s="363">
        <v>0</v>
      </c>
      <c r="AH1808" s="635" t="s">
        <v>408</v>
      </c>
      <c r="AL1808" s="487" t="s">
        <v>16188</v>
      </c>
      <c r="AM1808" s="477" t="s">
        <v>70</v>
      </c>
      <c r="AN1808" s="637">
        <v>100</v>
      </c>
      <c r="AO1808" s="478">
        <v>-1570</v>
      </c>
      <c r="AP1808" s="463">
        <v>-1570</v>
      </c>
      <c r="AQ1808" s="479">
        <v>0</v>
      </c>
      <c r="AR1808" s="476" t="s">
        <v>17870</v>
      </c>
      <c r="BA1808" s="313" t="s">
        <v>6592</v>
      </c>
    </row>
    <row r="1809" spans="2:53" ht="16.5" customHeight="1">
      <c r="B1809" s="367" t="s">
        <v>12822</v>
      </c>
      <c r="C1809" s="351" t="s">
        <v>12823</v>
      </c>
      <c r="D1809" s="353">
        <v>-1570</v>
      </c>
      <c r="E1809" s="352" t="s">
        <v>408</v>
      </c>
      <c r="F1809" s="341">
        <v>69.069999999999993</v>
      </c>
      <c r="G1809" s="355" t="s">
        <v>6440</v>
      </c>
      <c r="H1809" s="356" t="s">
        <v>19095</v>
      </c>
      <c r="I1809" s="354" t="s">
        <v>214</v>
      </c>
      <c r="J1809" s="340" t="s">
        <v>10547</v>
      </c>
      <c r="K1809" s="339" t="s">
        <v>70</v>
      </c>
      <c r="L1809" s="357">
        <v>10</v>
      </c>
      <c r="M1809" s="358" t="s">
        <v>12618</v>
      </c>
      <c r="N1809" s="359">
        <v>200</v>
      </c>
      <c r="O1809" s="360" t="s">
        <v>532</v>
      </c>
      <c r="P1809" s="343" t="s">
        <v>532</v>
      </c>
      <c r="Q1809" s="342" t="s">
        <v>2688</v>
      </c>
      <c r="R1809" s="344">
        <v>20</v>
      </c>
      <c r="S1809" s="345">
        <v>30</v>
      </c>
      <c r="T1809" s="362">
        <v>30</v>
      </c>
      <c r="U1809" s="361">
        <v>69.069999999999993</v>
      </c>
      <c r="V1809" s="346">
        <v>112.26139909029246</v>
      </c>
      <c r="W1809" s="348">
        <v>114.18525918126322</v>
      </c>
      <c r="X1809" s="347" t="s">
        <v>19092</v>
      </c>
      <c r="Y1809" s="357" t="s">
        <v>408</v>
      </c>
      <c r="Z1809" s="365" t="s">
        <v>4408</v>
      </c>
      <c r="AA1809" s="350">
        <v>36</v>
      </c>
      <c r="AB1809" s="349" t="s">
        <v>2685</v>
      </c>
      <c r="AC1809" s="350">
        <v>0</v>
      </c>
      <c r="AD1809" s="349" t="s">
        <v>2685</v>
      </c>
      <c r="AE1809" s="364">
        <v>0</v>
      </c>
      <c r="AF1809" s="366">
        <v>0</v>
      </c>
      <c r="AG1809" s="363">
        <v>0</v>
      </c>
      <c r="AH1809" s="635" t="s">
        <v>408</v>
      </c>
      <c r="AL1809" s="487" t="s">
        <v>16190</v>
      </c>
      <c r="AM1809" s="477" t="s">
        <v>70</v>
      </c>
      <c r="AN1809" s="637">
        <v>100</v>
      </c>
      <c r="AO1809" s="478">
        <v>-1570</v>
      </c>
      <c r="AP1809" s="463">
        <v>-1570</v>
      </c>
      <c r="AQ1809" s="479">
        <v>0</v>
      </c>
      <c r="AR1809" s="476" t="s">
        <v>17871</v>
      </c>
      <c r="BA1809" s="313" t="s">
        <v>6593</v>
      </c>
    </row>
    <row r="1810" spans="2:53" ht="16.5" customHeight="1">
      <c r="B1810" s="367" t="s">
        <v>18284</v>
      </c>
      <c r="C1810" s="351" t="s">
        <v>18285</v>
      </c>
      <c r="D1810" s="353">
        <v>-1570</v>
      </c>
      <c r="E1810" s="352" t="s">
        <v>408</v>
      </c>
      <c r="F1810" s="341">
        <v>69.069999999999993</v>
      </c>
      <c r="G1810" s="355" t="s">
        <v>19096</v>
      </c>
      <c r="H1810" s="356" t="s">
        <v>12622</v>
      </c>
      <c r="I1810" s="354" t="s">
        <v>212</v>
      </c>
      <c r="J1810" s="340" t="s">
        <v>8753</v>
      </c>
      <c r="K1810" s="339" t="s">
        <v>71</v>
      </c>
      <c r="L1810" s="357">
        <v>14</v>
      </c>
      <c r="M1810" s="358" t="s">
        <v>12842</v>
      </c>
      <c r="N1810" s="359">
        <v>800</v>
      </c>
      <c r="O1810" s="360" t="s">
        <v>532</v>
      </c>
      <c r="P1810" s="343" t="s">
        <v>532</v>
      </c>
      <c r="Q1810" s="342" t="s">
        <v>2688</v>
      </c>
      <c r="R1810" s="344">
        <v>40</v>
      </c>
      <c r="S1810" s="345">
        <v>30</v>
      </c>
      <c r="T1810" s="362">
        <v>30</v>
      </c>
      <c r="U1810" s="361">
        <v>69.069999999999993</v>
      </c>
      <c r="V1810" s="346">
        <v>112.26200822486902</v>
      </c>
      <c r="W1810" s="348">
        <v>114.18580740238212</v>
      </c>
      <c r="X1810" s="347" t="s">
        <v>19093</v>
      </c>
      <c r="Y1810" s="357" t="s">
        <v>408</v>
      </c>
      <c r="Z1810" s="365" t="s">
        <v>3017</v>
      </c>
      <c r="AA1810" s="350">
        <v>190</v>
      </c>
      <c r="AB1810" s="349" t="s">
        <v>2685</v>
      </c>
      <c r="AC1810" s="350">
        <v>10</v>
      </c>
      <c r="AD1810" s="349" t="s">
        <v>2685</v>
      </c>
      <c r="AE1810" s="364">
        <v>0</v>
      </c>
      <c r="AF1810" s="366">
        <v>0</v>
      </c>
      <c r="AG1810" s="363">
        <v>0</v>
      </c>
      <c r="AH1810" s="635" t="s">
        <v>408</v>
      </c>
      <c r="AL1810" s="487" t="s">
        <v>16187</v>
      </c>
      <c r="AM1810" s="477" t="s">
        <v>71</v>
      </c>
      <c r="AN1810" s="637">
        <v>100</v>
      </c>
      <c r="AO1810" s="478">
        <v>-1570</v>
      </c>
      <c r="AP1810" s="463">
        <v>-668</v>
      </c>
      <c r="AQ1810" s="479">
        <v>-902</v>
      </c>
      <c r="AR1810" s="476" t="s">
        <v>17872</v>
      </c>
      <c r="BA1810" s="313" t="s">
        <v>6597</v>
      </c>
    </row>
    <row r="1811" spans="2:53" ht="16.5" customHeight="1">
      <c r="B1811" s="367" t="s">
        <v>12824</v>
      </c>
      <c r="C1811" s="351" t="s">
        <v>12825</v>
      </c>
      <c r="D1811" s="353">
        <v>-1570</v>
      </c>
      <c r="E1811" s="352" t="s">
        <v>408</v>
      </c>
      <c r="F1811" s="341">
        <v>69.06</v>
      </c>
      <c r="G1811" s="355" t="s">
        <v>12826</v>
      </c>
      <c r="H1811" s="356" t="s">
        <v>19097</v>
      </c>
      <c r="I1811" s="354" t="s">
        <v>197</v>
      </c>
      <c r="J1811" s="340" t="s">
        <v>8323</v>
      </c>
      <c r="K1811" s="339" t="s">
        <v>70</v>
      </c>
      <c r="L1811" s="357">
        <v>8</v>
      </c>
      <c r="M1811" s="358" t="s">
        <v>6900</v>
      </c>
      <c r="N1811" s="359">
        <v>500</v>
      </c>
      <c r="O1811" s="360" t="s">
        <v>454</v>
      </c>
      <c r="P1811" s="343" t="s">
        <v>454</v>
      </c>
      <c r="Q1811" s="342" t="s">
        <v>2688</v>
      </c>
      <c r="R1811" s="344">
        <v>20</v>
      </c>
      <c r="S1811" s="345">
        <v>30</v>
      </c>
      <c r="T1811" s="362">
        <v>30</v>
      </c>
      <c r="U1811" s="361">
        <v>69.06</v>
      </c>
      <c r="V1811" s="346">
        <v>112.25568942436412</v>
      </c>
      <c r="W1811" s="348">
        <v>114.18012048192772</v>
      </c>
      <c r="X1811" s="347">
        <v>56.87</v>
      </c>
      <c r="Y1811" s="357" t="s">
        <v>408</v>
      </c>
      <c r="Z1811" s="365" t="s">
        <v>4408</v>
      </c>
      <c r="AA1811" s="350">
        <v>94</v>
      </c>
      <c r="AB1811" s="349" t="s">
        <v>2685</v>
      </c>
      <c r="AC1811" s="350">
        <v>1.5</v>
      </c>
      <c r="AD1811" s="349" t="s">
        <v>2685</v>
      </c>
      <c r="AE1811" s="364">
        <v>0</v>
      </c>
      <c r="AF1811" s="366">
        <v>10.359</v>
      </c>
      <c r="AG1811" s="363">
        <v>0</v>
      </c>
      <c r="AH1811" s="635" t="s">
        <v>6224</v>
      </c>
      <c r="AL1811" s="487" t="s">
        <v>16189</v>
      </c>
      <c r="AM1811" s="477" t="s">
        <v>70</v>
      </c>
      <c r="AN1811" s="637">
        <v>100</v>
      </c>
      <c r="AO1811" s="478">
        <v>-1570</v>
      </c>
      <c r="AP1811" s="463">
        <v>-1570</v>
      </c>
      <c r="AQ1811" s="479">
        <v>0</v>
      </c>
      <c r="AR1811" s="476" t="s">
        <v>17873</v>
      </c>
      <c r="BA1811" s="313" t="s">
        <v>6598</v>
      </c>
    </row>
    <row r="1812" spans="2:53" ht="16.5" customHeight="1">
      <c r="B1812" s="367" t="s">
        <v>12827</v>
      </c>
      <c r="C1812" s="351" t="s">
        <v>12828</v>
      </c>
      <c r="D1812" s="353">
        <v>-1570</v>
      </c>
      <c r="E1812" s="352" t="s">
        <v>12833</v>
      </c>
      <c r="F1812" s="341">
        <v>69.040000000000006</v>
      </c>
      <c r="G1812" s="355" t="s">
        <v>12829</v>
      </c>
      <c r="H1812" s="356" t="s">
        <v>19098</v>
      </c>
      <c r="I1812" s="354" t="s">
        <v>214</v>
      </c>
      <c r="J1812" s="340" t="s">
        <v>12830</v>
      </c>
      <c r="K1812" s="339" t="s">
        <v>70</v>
      </c>
      <c r="L1812" s="357">
        <v>8</v>
      </c>
      <c r="M1812" s="358" t="s">
        <v>12831</v>
      </c>
      <c r="N1812" s="359">
        <v>200</v>
      </c>
      <c r="O1812" s="360" t="s">
        <v>532</v>
      </c>
      <c r="P1812" s="343" t="s">
        <v>532</v>
      </c>
      <c r="Q1812" s="342" t="s">
        <v>2688</v>
      </c>
      <c r="R1812" s="344">
        <v>20</v>
      </c>
      <c r="S1812" s="345">
        <v>30</v>
      </c>
      <c r="T1812" s="362">
        <v>30</v>
      </c>
      <c r="U1812" s="361">
        <v>69.040000000000006</v>
      </c>
      <c r="V1812" s="346">
        <v>112.24298313503881</v>
      </c>
      <c r="W1812" s="348">
        <v>114.16868482153494</v>
      </c>
      <c r="X1812" s="347" t="s">
        <v>19099</v>
      </c>
      <c r="Y1812" s="357" t="s">
        <v>408</v>
      </c>
      <c r="Z1812" s="365" t="s">
        <v>4408</v>
      </c>
      <c r="AA1812" s="350">
        <v>36</v>
      </c>
      <c r="AB1812" s="349" t="s">
        <v>2685</v>
      </c>
      <c r="AC1812" s="350">
        <v>0</v>
      </c>
      <c r="AD1812" s="349" t="s">
        <v>2685</v>
      </c>
      <c r="AE1812" s="364">
        <v>0</v>
      </c>
      <c r="AF1812" s="366">
        <v>0</v>
      </c>
      <c r="AG1812" s="363">
        <v>0</v>
      </c>
      <c r="AH1812" s="635" t="s">
        <v>408</v>
      </c>
      <c r="AL1812" s="487" t="s">
        <v>16192</v>
      </c>
      <c r="AM1812" s="477" t="s">
        <v>70</v>
      </c>
      <c r="AN1812" s="637">
        <v>100</v>
      </c>
      <c r="AO1812" s="478">
        <v>-1570</v>
      </c>
      <c r="AP1812" s="463">
        <v>-1570</v>
      </c>
      <c r="AQ1812" s="479">
        <v>0</v>
      </c>
      <c r="AR1812" s="476" t="s">
        <v>17874</v>
      </c>
      <c r="BA1812" s="313" t="s">
        <v>6599</v>
      </c>
    </row>
    <row r="1813" spans="2:53" ht="16.5" customHeight="1">
      <c r="B1813" s="367" t="s">
        <v>12827</v>
      </c>
      <c r="C1813" s="351" t="s">
        <v>12828</v>
      </c>
      <c r="D1813" s="353">
        <v>-1570</v>
      </c>
      <c r="E1813" s="352" t="s">
        <v>12835</v>
      </c>
      <c r="F1813" s="341">
        <v>69.040000000000006</v>
      </c>
      <c r="G1813" s="355" t="s">
        <v>12829</v>
      </c>
      <c r="H1813" s="356" t="s">
        <v>19098</v>
      </c>
      <c r="I1813" s="354" t="s">
        <v>214</v>
      </c>
      <c r="J1813" s="340" t="s">
        <v>11452</v>
      </c>
      <c r="K1813" s="339" t="s">
        <v>70</v>
      </c>
      <c r="L1813" s="357">
        <v>9</v>
      </c>
      <c r="M1813" s="358" t="s">
        <v>12831</v>
      </c>
      <c r="N1813" s="359">
        <v>200</v>
      </c>
      <c r="O1813" s="360" t="s">
        <v>532</v>
      </c>
      <c r="P1813" s="343" t="s">
        <v>532</v>
      </c>
      <c r="Q1813" s="342" t="s">
        <v>2688</v>
      </c>
      <c r="R1813" s="344">
        <v>20</v>
      </c>
      <c r="S1813" s="345">
        <v>30</v>
      </c>
      <c r="T1813" s="362">
        <v>30</v>
      </c>
      <c r="U1813" s="361">
        <v>69.040000000000006</v>
      </c>
      <c r="V1813" s="346">
        <v>112.24298313503881</v>
      </c>
      <c r="W1813" s="348">
        <v>114.16868482153494</v>
      </c>
      <c r="X1813" s="347" t="s">
        <v>19099</v>
      </c>
      <c r="Y1813" s="357" t="s">
        <v>408</v>
      </c>
      <c r="Z1813" s="365" t="s">
        <v>4408</v>
      </c>
      <c r="AA1813" s="350">
        <v>36</v>
      </c>
      <c r="AB1813" s="349" t="s">
        <v>2685</v>
      </c>
      <c r="AC1813" s="350">
        <v>0</v>
      </c>
      <c r="AD1813" s="349" t="s">
        <v>2685</v>
      </c>
      <c r="AE1813" s="364">
        <v>0</v>
      </c>
      <c r="AF1813" s="366">
        <v>0</v>
      </c>
      <c r="AG1813" s="363">
        <v>0</v>
      </c>
      <c r="AH1813" s="635" t="s">
        <v>408</v>
      </c>
      <c r="AL1813" s="487" t="s">
        <v>16193</v>
      </c>
      <c r="AM1813" s="477" t="s">
        <v>70</v>
      </c>
      <c r="AN1813" s="637">
        <v>100</v>
      </c>
      <c r="AO1813" s="478">
        <v>-1570</v>
      </c>
      <c r="AP1813" s="463">
        <v>-1570</v>
      </c>
      <c r="AQ1813" s="479">
        <v>0</v>
      </c>
      <c r="AR1813" s="476" t="s">
        <v>17874</v>
      </c>
      <c r="BA1813" s="313" t="s">
        <v>6600</v>
      </c>
    </row>
    <row r="1814" spans="2:53" ht="16.5" customHeight="1">
      <c r="B1814" s="367" t="s">
        <v>12827</v>
      </c>
      <c r="C1814" s="351" t="s">
        <v>12828</v>
      </c>
      <c r="D1814" s="353">
        <v>-1570</v>
      </c>
      <c r="E1814" s="352" t="s">
        <v>12841</v>
      </c>
      <c r="F1814" s="341">
        <v>69.03</v>
      </c>
      <c r="G1814" s="355" t="s">
        <v>12829</v>
      </c>
      <c r="H1814" s="356" t="s">
        <v>19098</v>
      </c>
      <c r="I1814" s="354" t="s">
        <v>212</v>
      </c>
      <c r="J1814" s="340" t="s">
        <v>541</v>
      </c>
      <c r="K1814" s="339" t="s">
        <v>70</v>
      </c>
      <c r="L1814" s="357">
        <v>3</v>
      </c>
      <c r="M1814" s="358" t="s">
        <v>12832</v>
      </c>
      <c r="N1814" s="359">
        <v>800</v>
      </c>
      <c r="O1814" s="360" t="s">
        <v>532</v>
      </c>
      <c r="P1814" s="343" t="s">
        <v>532</v>
      </c>
      <c r="Q1814" s="342" t="s">
        <v>2688</v>
      </c>
      <c r="R1814" s="344">
        <v>30</v>
      </c>
      <c r="S1814" s="345">
        <v>40</v>
      </c>
      <c r="T1814" s="362">
        <v>30</v>
      </c>
      <c r="U1814" s="361">
        <v>69.03</v>
      </c>
      <c r="V1814" s="346">
        <v>112.24159802411262</v>
      </c>
      <c r="W1814" s="348">
        <v>114.16743822170137</v>
      </c>
      <c r="X1814" s="347" t="s">
        <v>19099</v>
      </c>
      <c r="Y1814" s="357" t="s">
        <v>408</v>
      </c>
      <c r="Z1814" s="365" t="s">
        <v>3017</v>
      </c>
      <c r="AA1814" s="350">
        <v>190</v>
      </c>
      <c r="AB1814" s="349" t="s">
        <v>2685</v>
      </c>
      <c r="AC1814" s="350">
        <v>10</v>
      </c>
      <c r="AD1814" s="349" t="s">
        <v>2685</v>
      </c>
      <c r="AE1814" s="364">
        <v>0</v>
      </c>
      <c r="AF1814" s="366">
        <v>0</v>
      </c>
      <c r="AG1814" s="363">
        <v>0</v>
      </c>
      <c r="AH1814" s="635" t="s">
        <v>408</v>
      </c>
      <c r="AL1814" s="487" t="s">
        <v>16191</v>
      </c>
      <c r="AM1814" s="477" t="s">
        <v>70</v>
      </c>
      <c r="AN1814" s="637">
        <v>100</v>
      </c>
      <c r="AO1814" s="478">
        <v>-1570</v>
      </c>
      <c r="AP1814" s="463">
        <v>-1570</v>
      </c>
      <c r="AQ1814" s="479">
        <v>0</v>
      </c>
      <c r="AR1814" s="476" t="s">
        <v>17874</v>
      </c>
      <c r="BA1814" s="313" t="s">
        <v>6603</v>
      </c>
    </row>
    <row r="1815" spans="2:53" ht="16.5" customHeight="1">
      <c r="B1815" s="367" t="s">
        <v>6743</v>
      </c>
      <c r="C1815" s="351" t="s">
        <v>6744</v>
      </c>
      <c r="D1815" s="353">
        <v>-1570</v>
      </c>
      <c r="E1815" s="352" t="s">
        <v>408</v>
      </c>
      <c r="F1815" s="341">
        <v>68.959999999999994</v>
      </c>
      <c r="G1815" s="355" t="s">
        <v>19100</v>
      </c>
      <c r="H1815" s="356" t="s">
        <v>19101</v>
      </c>
      <c r="I1815" s="354" t="s">
        <v>8000</v>
      </c>
      <c r="J1815" s="340" t="s">
        <v>542</v>
      </c>
      <c r="K1815" s="339" t="s">
        <v>71</v>
      </c>
      <c r="L1815" s="357">
        <v>4</v>
      </c>
      <c r="M1815" s="358" t="s">
        <v>12856</v>
      </c>
      <c r="N1815" s="359">
        <v>1000</v>
      </c>
      <c r="O1815" s="360" t="s">
        <v>532</v>
      </c>
      <c r="P1815" s="343" t="s">
        <v>532</v>
      </c>
      <c r="Q1815" s="342" t="s">
        <v>2688</v>
      </c>
      <c r="R1815" s="344">
        <v>30</v>
      </c>
      <c r="S1815" s="345">
        <v>25</v>
      </c>
      <c r="T1815" s="362">
        <v>25</v>
      </c>
      <c r="U1815" s="361">
        <v>68.959999999999994</v>
      </c>
      <c r="V1815" s="346">
        <v>112.20046291746378</v>
      </c>
      <c r="W1815" s="348">
        <v>114.13041662571742</v>
      </c>
      <c r="X1815" s="347" t="s">
        <v>19102</v>
      </c>
      <c r="Y1815" s="357" t="s">
        <v>408</v>
      </c>
      <c r="Z1815" s="365" t="s">
        <v>4408</v>
      </c>
      <c r="AA1815" s="350">
        <v>192</v>
      </c>
      <c r="AB1815" s="349" t="s">
        <v>2685</v>
      </c>
      <c r="AC1815" s="350">
        <v>0</v>
      </c>
      <c r="AD1815" s="349" t="s">
        <v>2685</v>
      </c>
      <c r="AE1815" s="364">
        <v>0</v>
      </c>
      <c r="AF1815" s="366">
        <v>0</v>
      </c>
      <c r="AG1815" s="363">
        <v>0</v>
      </c>
      <c r="AH1815" s="635" t="s">
        <v>408</v>
      </c>
      <c r="AL1815" s="487" t="s">
        <v>16194</v>
      </c>
      <c r="AM1815" s="477" t="s">
        <v>71</v>
      </c>
      <c r="AN1815" s="637">
        <v>100</v>
      </c>
      <c r="AO1815" s="478">
        <v>-1570</v>
      </c>
      <c r="AP1815" s="463">
        <v>-667</v>
      </c>
      <c r="AQ1815" s="479">
        <v>-903</v>
      </c>
      <c r="AR1815" s="476" t="s">
        <v>17875</v>
      </c>
      <c r="BA1815" s="313" t="s">
        <v>6604</v>
      </c>
    </row>
    <row r="1816" spans="2:53" ht="16.5" customHeight="1">
      <c r="B1816" s="367" t="s">
        <v>12843</v>
      </c>
      <c r="C1816" s="351" t="s">
        <v>12844</v>
      </c>
      <c r="D1816" s="353">
        <v>-1570</v>
      </c>
      <c r="E1816" s="352" t="s">
        <v>408</v>
      </c>
      <c r="F1816" s="341">
        <v>68.94</v>
      </c>
      <c r="G1816" s="355" t="s">
        <v>12845</v>
      </c>
      <c r="H1816" s="356" t="s">
        <v>6419</v>
      </c>
      <c r="I1816" s="354" t="s">
        <v>214</v>
      </c>
      <c r="J1816" s="340" t="s">
        <v>12846</v>
      </c>
      <c r="K1816" s="339" t="s">
        <v>70</v>
      </c>
      <c r="L1816" s="357">
        <v>5</v>
      </c>
      <c r="M1816" s="358" t="s">
        <v>12847</v>
      </c>
      <c r="N1816" s="359">
        <v>200</v>
      </c>
      <c r="O1816" s="360" t="s">
        <v>532</v>
      </c>
      <c r="P1816" s="343" t="s">
        <v>532</v>
      </c>
      <c r="Q1816" s="342" t="s">
        <v>2688</v>
      </c>
      <c r="R1816" s="344">
        <v>20</v>
      </c>
      <c r="S1816" s="345">
        <v>30</v>
      </c>
      <c r="T1816" s="362">
        <v>30</v>
      </c>
      <c r="U1816" s="361">
        <v>68.94</v>
      </c>
      <c r="V1816" s="346">
        <v>112.18773526927789</v>
      </c>
      <c r="W1816" s="348">
        <v>114.11896174235011</v>
      </c>
      <c r="X1816" s="347" t="s">
        <v>19103</v>
      </c>
      <c r="Y1816" s="357" t="s">
        <v>408</v>
      </c>
      <c r="Z1816" s="365" t="s">
        <v>4408</v>
      </c>
      <c r="AA1816" s="350">
        <v>36</v>
      </c>
      <c r="AB1816" s="349" t="s">
        <v>2685</v>
      </c>
      <c r="AC1816" s="350">
        <v>0</v>
      </c>
      <c r="AD1816" s="349" t="s">
        <v>2685</v>
      </c>
      <c r="AE1816" s="364">
        <v>0</v>
      </c>
      <c r="AF1816" s="366">
        <v>0</v>
      </c>
      <c r="AG1816" s="363">
        <v>0</v>
      </c>
      <c r="AH1816" s="635" t="s">
        <v>408</v>
      </c>
      <c r="AL1816" s="487" t="s">
        <v>16196</v>
      </c>
      <c r="AM1816" s="477" t="s">
        <v>70</v>
      </c>
      <c r="AN1816" s="637">
        <v>100</v>
      </c>
      <c r="AO1816" s="478">
        <v>-1570</v>
      </c>
      <c r="AP1816" s="463">
        <v>-1570</v>
      </c>
      <c r="AQ1816" s="479">
        <v>0</v>
      </c>
      <c r="AR1816" s="476" t="s">
        <v>17876</v>
      </c>
      <c r="BA1816" s="313" t="s">
        <v>6605</v>
      </c>
    </row>
    <row r="1817" spans="2:53" ht="16.5" customHeight="1">
      <c r="B1817" s="367" t="s">
        <v>12848</v>
      </c>
      <c r="C1817" s="351" t="s">
        <v>12849</v>
      </c>
      <c r="D1817" s="353">
        <v>-1570</v>
      </c>
      <c r="E1817" s="352" t="s">
        <v>12851</v>
      </c>
      <c r="F1817" s="341">
        <v>68.92</v>
      </c>
      <c r="G1817" s="355" t="s">
        <v>6583</v>
      </c>
      <c r="H1817" s="356" t="s">
        <v>12508</v>
      </c>
      <c r="I1817" s="354" t="s">
        <v>496</v>
      </c>
      <c r="J1817" s="340" t="s">
        <v>9090</v>
      </c>
      <c r="K1817" s="339" t="s">
        <v>70</v>
      </c>
      <c r="L1817" s="357">
        <v>29</v>
      </c>
      <c r="M1817" s="358" t="s">
        <v>12850</v>
      </c>
      <c r="N1817" s="359">
        <v>1000</v>
      </c>
      <c r="O1817" s="360" t="s">
        <v>530</v>
      </c>
      <c r="P1817" s="343" t="s">
        <v>531</v>
      </c>
      <c r="Q1817" s="342" t="s">
        <v>2738</v>
      </c>
      <c r="R1817" s="344">
        <v>25</v>
      </c>
      <c r="S1817" s="345">
        <v>38</v>
      </c>
      <c r="T1817" s="362">
        <v>25</v>
      </c>
      <c r="U1817" s="361">
        <v>68.92</v>
      </c>
      <c r="V1817" s="346">
        <v>112.17874267448055</v>
      </c>
      <c r="W1817" s="348">
        <v>114.11086840703248</v>
      </c>
      <c r="X1817" s="347">
        <v>56.83</v>
      </c>
      <c r="Y1817" s="357">
        <v>56.379999999999995</v>
      </c>
      <c r="Z1817" s="365" t="s">
        <v>3017</v>
      </c>
      <c r="AA1817" s="350">
        <v>118.75</v>
      </c>
      <c r="AB1817" s="349" t="s">
        <v>2685</v>
      </c>
      <c r="AC1817" s="350">
        <v>10</v>
      </c>
      <c r="AD1817" s="349" t="s">
        <v>2685</v>
      </c>
      <c r="AE1817" s="364">
        <v>0</v>
      </c>
      <c r="AF1817" s="366">
        <v>0</v>
      </c>
      <c r="AG1817" s="363">
        <v>0</v>
      </c>
      <c r="AH1817" s="635" t="s">
        <v>408</v>
      </c>
      <c r="AL1817" s="487" t="s">
        <v>16195</v>
      </c>
      <c r="AM1817" s="477" t="s">
        <v>70</v>
      </c>
      <c r="AN1817" s="637">
        <v>100</v>
      </c>
      <c r="AO1817" s="478">
        <v>-1570</v>
      </c>
      <c r="AP1817" s="463">
        <v>-1570</v>
      </c>
      <c r="AQ1817" s="479">
        <v>0</v>
      </c>
      <c r="AR1817" s="476" t="s">
        <v>17877</v>
      </c>
      <c r="BA1817" s="313" t="s">
        <v>6606</v>
      </c>
    </row>
    <row r="1818" spans="2:53" ht="16.5" customHeight="1">
      <c r="B1818" s="367" t="s">
        <v>12917</v>
      </c>
      <c r="C1818" s="351" t="s">
        <v>12918</v>
      </c>
      <c r="D1818" s="353">
        <v>-1570</v>
      </c>
      <c r="E1818" s="352" t="s">
        <v>6615</v>
      </c>
      <c r="F1818" s="341">
        <v>68.89</v>
      </c>
      <c r="G1818" s="355" t="s">
        <v>12919</v>
      </c>
      <c r="H1818" s="356" t="s">
        <v>12519</v>
      </c>
      <c r="I1818" s="354" t="s">
        <v>212</v>
      </c>
      <c r="J1818" s="340" t="s">
        <v>561</v>
      </c>
      <c r="K1818" s="339" t="s">
        <v>71</v>
      </c>
      <c r="L1818" s="357">
        <v>11</v>
      </c>
      <c r="M1818" s="358" t="s">
        <v>12862</v>
      </c>
      <c r="N1818" s="359">
        <v>800</v>
      </c>
      <c r="O1818" s="360" t="s">
        <v>532</v>
      </c>
      <c r="P1818" s="343" t="s">
        <v>532</v>
      </c>
      <c r="Q1818" s="342" t="s">
        <v>2688</v>
      </c>
      <c r="R1818" s="344">
        <v>40</v>
      </c>
      <c r="S1818" s="345">
        <v>30</v>
      </c>
      <c r="T1818" s="362">
        <v>30</v>
      </c>
      <c r="U1818" s="361">
        <v>68.89</v>
      </c>
      <c r="V1818" s="346">
        <v>112.15890711366116</v>
      </c>
      <c r="W1818" s="348">
        <v>114.09301640229504</v>
      </c>
      <c r="X1818" s="347" t="s">
        <v>19104</v>
      </c>
      <c r="Y1818" s="357" t="s">
        <v>408</v>
      </c>
      <c r="Z1818" s="365" t="s">
        <v>3017</v>
      </c>
      <c r="AA1818" s="350">
        <v>190</v>
      </c>
      <c r="AB1818" s="349" t="s">
        <v>2685</v>
      </c>
      <c r="AC1818" s="350">
        <v>10</v>
      </c>
      <c r="AD1818" s="349" t="s">
        <v>2685</v>
      </c>
      <c r="AE1818" s="364">
        <v>0</v>
      </c>
      <c r="AF1818" s="366">
        <v>0</v>
      </c>
      <c r="AG1818" s="363">
        <v>0</v>
      </c>
      <c r="AH1818" s="635" t="s">
        <v>408</v>
      </c>
      <c r="AL1818" s="487" t="s">
        <v>16197</v>
      </c>
      <c r="AM1818" s="477" t="s">
        <v>71</v>
      </c>
      <c r="AN1818" s="637">
        <v>100</v>
      </c>
      <c r="AO1818" s="478">
        <v>-1570</v>
      </c>
      <c r="AP1818" s="463">
        <v>-667</v>
      </c>
      <c r="AQ1818" s="479">
        <v>-903</v>
      </c>
      <c r="AR1818" s="476" t="s">
        <v>17878</v>
      </c>
      <c r="BA1818" s="313" t="s">
        <v>6607</v>
      </c>
    </row>
    <row r="1819" spans="2:53" ht="16.5" customHeight="1">
      <c r="B1819" s="367" t="s">
        <v>6709</v>
      </c>
      <c r="C1819" s="351" t="s">
        <v>6710</v>
      </c>
      <c r="D1819" s="353">
        <v>-1570</v>
      </c>
      <c r="E1819" s="352" t="s">
        <v>408</v>
      </c>
      <c r="F1819" s="341">
        <v>68.88</v>
      </c>
      <c r="G1819" s="355" t="s">
        <v>6621</v>
      </c>
      <c r="H1819" s="356" t="s">
        <v>6366</v>
      </c>
      <c r="I1819" s="354" t="s">
        <v>197</v>
      </c>
      <c r="J1819" s="340" t="s">
        <v>12852</v>
      </c>
      <c r="K1819" s="339" t="s">
        <v>71</v>
      </c>
      <c r="L1819" s="357">
        <v>12</v>
      </c>
      <c r="M1819" s="358" t="s">
        <v>12853</v>
      </c>
      <c r="N1819" s="359">
        <v>500</v>
      </c>
      <c r="O1819" s="360" t="s">
        <v>454</v>
      </c>
      <c r="P1819" s="343" t="s">
        <v>454</v>
      </c>
      <c r="Q1819" s="342" t="s">
        <v>2688</v>
      </c>
      <c r="R1819" s="344">
        <v>30</v>
      </c>
      <c r="S1819" s="345">
        <v>20</v>
      </c>
      <c r="T1819" s="362">
        <v>20</v>
      </c>
      <c r="U1819" s="361">
        <v>68.88</v>
      </c>
      <c r="V1819" s="346">
        <v>112.15372907153728</v>
      </c>
      <c r="W1819" s="348">
        <v>114.08835616438355</v>
      </c>
      <c r="X1819" s="347">
        <v>56.4</v>
      </c>
      <c r="Y1819" s="357" t="s">
        <v>408</v>
      </c>
      <c r="Z1819" s="365" t="s">
        <v>4408</v>
      </c>
      <c r="AA1819" s="350">
        <v>141</v>
      </c>
      <c r="AB1819" s="349" t="s">
        <v>2685</v>
      </c>
      <c r="AC1819" s="350">
        <v>1.5</v>
      </c>
      <c r="AD1819" s="349" t="s">
        <v>2685</v>
      </c>
      <c r="AE1819" s="364">
        <v>0</v>
      </c>
      <c r="AF1819" s="366">
        <v>10.332000000000001</v>
      </c>
      <c r="AG1819" s="363">
        <v>0</v>
      </c>
      <c r="AH1819" s="635" t="s">
        <v>6360</v>
      </c>
      <c r="AL1819" s="487" t="s">
        <v>16198</v>
      </c>
      <c r="AM1819" s="477" t="s">
        <v>71</v>
      </c>
      <c r="AN1819" s="637">
        <v>100</v>
      </c>
      <c r="AO1819" s="478">
        <v>-1570</v>
      </c>
      <c r="AP1819" s="463">
        <v>-667</v>
      </c>
      <c r="AQ1819" s="479">
        <v>-903</v>
      </c>
      <c r="AR1819" s="476" t="s">
        <v>17879</v>
      </c>
      <c r="BA1819" s="313" t="s">
        <v>6608</v>
      </c>
    </row>
    <row r="1820" spans="2:53" ht="16.5" customHeight="1">
      <c r="B1820" s="367" t="s">
        <v>12857</v>
      </c>
      <c r="C1820" s="351" t="s">
        <v>12858</v>
      </c>
      <c r="D1820" s="353">
        <v>-1570</v>
      </c>
      <c r="E1820" s="352" t="s">
        <v>408</v>
      </c>
      <c r="F1820" s="341">
        <v>68.84</v>
      </c>
      <c r="G1820" s="355" t="s">
        <v>12859</v>
      </c>
      <c r="H1820" s="356" t="s">
        <v>6382</v>
      </c>
      <c r="I1820" s="354" t="s">
        <v>214</v>
      </c>
      <c r="J1820" s="340" t="s">
        <v>12277</v>
      </c>
      <c r="K1820" s="339" t="s">
        <v>70</v>
      </c>
      <c r="L1820" s="357">
        <v>8</v>
      </c>
      <c r="M1820" s="358" t="s">
        <v>12860</v>
      </c>
      <c r="N1820" s="359">
        <v>200</v>
      </c>
      <c r="O1820" s="360" t="s">
        <v>532</v>
      </c>
      <c r="P1820" s="343" t="s">
        <v>532</v>
      </c>
      <c r="Q1820" s="342" t="s">
        <v>2688</v>
      </c>
      <c r="R1820" s="344">
        <v>20</v>
      </c>
      <c r="S1820" s="345">
        <v>30</v>
      </c>
      <c r="T1820" s="362">
        <v>30</v>
      </c>
      <c r="U1820" s="361">
        <v>68.84</v>
      </c>
      <c r="V1820" s="346">
        <v>112.132636122901</v>
      </c>
      <c r="W1820" s="348">
        <v>114.0693725106109</v>
      </c>
      <c r="X1820" s="347" t="s">
        <v>19105</v>
      </c>
      <c r="Y1820" s="357" t="s">
        <v>408</v>
      </c>
      <c r="Z1820" s="365" t="s">
        <v>4408</v>
      </c>
      <c r="AA1820" s="350">
        <v>36</v>
      </c>
      <c r="AB1820" s="349" t="s">
        <v>2685</v>
      </c>
      <c r="AC1820" s="350">
        <v>0</v>
      </c>
      <c r="AD1820" s="349" t="s">
        <v>2685</v>
      </c>
      <c r="AE1820" s="364">
        <v>0</v>
      </c>
      <c r="AF1820" s="366">
        <v>0</v>
      </c>
      <c r="AG1820" s="363">
        <v>0</v>
      </c>
      <c r="AH1820" s="635" t="s">
        <v>408</v>
      </c>
      <c r="AL1820" s="487" t="s">
        <v>16199</v>
      </c>
      <c r="AM1820" s="477" t="s">
        <v>70</v>
      </c>
      <c r="AN1820" s="637">
        <v>100</v>
      </c>
      <c r="AO1820" s="478">
        <v>-1570</v>
      </c>
      <c r="AP1820" s="463">
        <v>-1570</v>
      </c>
      <c r="AQ1820" s="479">
        <v>0</v>
      </c>
      <c r="AR1820" s="476" t="s">
        <v>17880</v>
      </c>
      <c r="BA1820" s="313" t="s">
        <v>6610</v>
      </c>
    </row>
    <row r="1821" spans="2:53" ht="16.5" customHeight="1">
      <c r="B1821" s="367" t="s">
        <v>12857</v>
      </c>
      <c r="C1821" s="351" t="s">
        <v>12858</v>
      </c>
      <c r="D1821" s="353">
        <v>-1570</v>
      </c>
      <c r="E1821" s="352" t="s">
        <v>408</v>
      </c>
      <c r="F1821" s="341">
        <v>68.84</v>
      </c>
      <c r="G1821" s="355" t="s">
        <v>12859</v>
      </c>
      <c r="H1821" s="356" t="s">
        <v>6382</v>
      </c>
      <c r="I1821" s="354" t="s">
        <v>214</v>
      </c>
      <c r="J1821" s="340" t="s">
        <v>551</v>
      </c>
      <c r="K1821" s="339" t="s">
        <v>70</v>
      </c>
      <c r="L1821" s="357">
        <v>10</v>
      </c>
      <c r="M1821" s="358" t="s">
        <v>12860</v>
      </c>
      <c r="N1821" s="359">
        <v>200</v>
      </c>
      <c r="O1821" s="360" t="s">
        <v>532</v>
      </c>
      <c r="P1821" s="343" t="s">
        <v>532</v>
      </c>
      <c r="Q1821" s="342" t="s">
        <v>2688</v>
      </c>
      <c r="R1821" s="344">
        <v>20</v>
      </c>
      <c r="S1821" s="345">
        <v>30</v>
      </c>
      <c r="T1821" s="362">
        <v>30</v>
      </c>
      <c r="U1821" s="361">
        <v>68.84</v>
      </c>
      <c r="V1821" s="346">
        <v>112.132636122901</v>
      </c>
      <c r="W1821" s="348">
        <v>114.0693725106109</v>
      </c>
      <c r="X1821" s="347" t="s">
        <v>19105</v>
      </c>
      <c r="Y1821" s="357" t="s">
        <v>408</v>
      </c>
      <c r="Z1821" s="365" t="s">
        <v>4408</v>
      </c>
      <c r="AA1821" s="350">
        <v>36</v>
      </c>
      <c r="AB1821" s="349" t="s">
        <v>2685</v>
      </c>
      <c r="AC1821" s="350">
        <v>0</v>
      </c>
      <c r="AD1821" s="349" t="s">
        <v>2685</v>
      </c>
      <c r="AE1821" s="364">
        <v>0</v>
      </c>
      <c r="AF1821" s="366">
        <v>0</v>
      </c>
      <c r="AG1821" s="363">
        <v>0</v>
      </c>
      <c r="AH1821" s="635" t="s">
        <v>408</v>
      </c>
      <c r="AL1821" s="487" t="s">
        <v>16200</v>
      </c>
      <c r="AM1821" s="477" t="s">
        <v>70</v>
      </c>
      <c r="AN1821" s="637">
        <v>100</v>
      </c>
      <c r="AO1821" s="478">
        <v>-1570</v>
      </c>
      <c r="AP1821" s="463">
        <v>-1570</v>
      </c>
      <c r="AQ1821" s="479">
        <v>0</v>
      </c>
      <c r="AR1821" s="476" t="s">
        <v>17880</v>
      </c>
      <c r="BA1821" s="313" t="s">
        <v>6612</v>
      </c>
    </row>
    <row r="1822" spans="2:53" ht="16.5" customHeight="1">
      <c r="B1822" s="367" t="s">
        <v>12857</v>
      </c>
      <c r="C1822" s="351" t="s">
        <v>12858</v>
      </c>
      <c r="D1822" s="353">
        <v>-1570</v>
      </c>
      <c r="E1822" s="352" t="s">
        <v>12861</v>
      </c>
      <c r="F1822" s="341">
        <v>68.84</v>
      </c>
      <c r="G1822" s="355" t="s">
        <v>12859</v>
      </c>
      <c r="H1822" s="356" t="s">
        <v>6382</v>
      </c>
      <c r="I1822" s="354" t="s">
        <v>214</v>
      </c>
      <c r="J1822" s="340" t="s">
        <v>8148</v>
      </c>
      <c r="K1822" s="339" t="s">
        <v>70</v>
      </c>
      <c r="L1822" s="357">
        <v>7</v>
      </c>
      <c r="M1822" s="358" t="s">
        <v>12860</v>
      </c>
      <c r="N1822" s="359">
        <v>200</v>
      </c>
      <c r="O1822" s="360" t="s">
        <v>532</v>
      </c>
      <c r="P1822" s="343" t="s">
        <v>532</v>
      </c>
      <c r="Q1822" s="342" t="s">
        <v>2688</v>
      </c>
      <c r="R1822" s="344">
        <v>20</v>
      </c>
      <c r="S1822" s="345">
        <v>30</v>
      </c>
      <c r="T1822" s="362">
        <v>30</v>
      </c>
      <c r="U1822" s="361">
        <v>68.84</v>
      </c>
      <c r="V1822" s="346">
        <v>112.132636122901</v>
      </c>
      <c r="W1822" s="348">
        <v>114.0693725106109</v>
      </c>
      <c r="X1822" s="347" t="s">
        <v>19105</v>
      </c>
      <c r="Y1822" s="357" t="s">
        <v>408</v>
      </c>
      <c r="Z1822" s="365" t="s">
        <v>4408</v>
      </c>
      <c r="AA1822" s="350">
        <v>36</v>
      </c>
      <c r="AB1822" s="349" t="s">
        <v>2685</v>
      </c>
      <c r="AC1822" s="350">
        <v>0</v>
      </c>
      <c r="AD1822" s="349" t="s">
        <v>2685</v>
      </c>
      <c r="AE1822" s="364">
        <v>0</v>
      </c>
      <c r="AF1822" s="366">
        <v>0</v>
      </c>
      <c r="AG1822" s="363">
        <v>0</v>
      </c>
      <c r="AH1822" s="635" t="s">
        <v>408</v>
      </c>
      <c r="AL1822" s="487" t="s">
        <v>16201</v>
      </c>
      <c r="AM1822" s="477" t="s">
        <v>70</v>
      </c>
      <c r="AN1822" s="637">
        <v>100</v>
      </c>
      <c r="AO1822" s="478">
        <v>-1570</v>
      </c>
      <c r="AP1822" s="463">
        <v>-1570</v>
      </c>
      <c r="AQ1822" s="479">
        <v>0</v>
      </c>
      <c r="AR1822" s="476" t="s">
        <v>17880</v>
      </c>
      <c r="BA1822" s="313" t="s">
        <v>6616</v>
      </c>
    </row>
    <row r="1823" spans="2:53" ht="16.5" customHeight="1">
      <c r="B1823" s="367" t="s">
        <v>12944</v>
      </c>
      <c r="C1823" s="351" t="s">
        <v>12945</v>
      </c>
      <c r="D1823" s="353">
        <v>-1570</v>
      </c>
      <c r="E1823" s="352" t="s">
        <v>12863</v>
      </c>
      <c r="F1823" s="341">
        <v>68.75</v>
      </c>
      <c r="G1823" s="355" t="s">
        <v>12881</v>
      </c>
      <c r="H1823" s="356" t="s">
        <v>19106</v>
      </c>
      <c r="I1823" s="354" t="s">
        <v>212</v>
      </c>
      <c r="J1823" s="340" t="s">
        <v>12874</v>
      </c>
      <c r="K1823" s="339" t="s">
        <v>71</v>
      </c>
      <c r="L1823" s="357">
        <v>9</v>
      </c>
      <c r="M1823" s="358" t="s">
        <v>12875</v>
      </c>
      <c r="N1823" s="359">
        <v>800</v>
      </c>
      <c r="O1823" s="360" t="s">
        <v>532</v>
      </c>
      <c r="P1823" s="343" t="s">
        <v>532</v>
      </c>
      <c r="Q1823" s="342" t="s">
        <v>2688</v>
      </c>
      <c r="R1823" s="344">
        <v>40</v>
      </c>
      <c r="S1823" s="345">
        <v>30</v>
      </c>
      <c r="T1823" s="362">
        <v>30</v>
      </c>
      <c r="U1823" s="361">
        <v>68.75</v>
      </c>
      <c r="V1823" s="346">
        <v>112.08096893041808</v>
      </c>
      <c r="W1823" s="348">
        <v>114.02287203737627</v>
      </c>
      <c r="X1823" s="347" t="s">
        <v>19107</v>
      </c>
      <c r="Y1823" s="357" t="s">
        <v>408</v>
      </c>
      <c r="Z1823" s="365" t="s">
        <v>3017</v>
      </c>
      <c r="AA1823" s="350">
        <v>190</v>
      </c>
      <c r="AB1823" s="349" t="s">
        <v>2685</v>
      </c>
      <c r="AC1823" s="350">
        <v>10</v>
      </c>
      <c r="AD1823" s="349" t="s">
        <v>2685</v>
      </c>
      <c r="AE1823" s="364">
        <v>0</v>
      </c>
      <c r="AF1823" s="366">
        <v>0</v>
      </c>
      <c r="AG1823" s="363">
        <v>0</v>
      </c>
      <c r="AH1823" s="635" t="s">
        <v>408</v>
      </c>
      <c r="AL1823" s="487" t="s">
        <v>16202</v>
      </c>
      <c r="AM1823" s="477" t="s">
        <v>71</v>
      </c>
      <c r="AN1823" s="637">
        <v>100</v>
      </c>
      <c r="AO1823" s="478">
        <v>-1570</v>
      </c>
      <c r="AP1823" s="463">
        <v>-666</v>
      </c>
      <c r="AQ1823" s="479">
        <v>-904</v>
      </c>
      <c r="AR1823" s="476" t="s">
        <v>17881</v>
      </c>
      <c r="BA1823" s="313" t="s">
        <v>6617</v>
      </c>
    </row>
    <row r="1824" spans="2:53" ht="16.5" customHeight="1">
      <c r="B1824" s="367" t="s">
        <v>6713</v>
      </c>
      <c r="C1824" s="351" t="s">
        <v>6714</v>
      </c>
      <c r="D1824" s="353">
        <v>-1570</v>
      </c>
      <c r="E1824" s="352" t="s">
        <v>408</v>
      </c>
      <c r="F1824" s="341">
        <v>68.709999999999994</v>
      </c>
      <c r="G1824" s="355" t="s">
        <v>12888</v>
      </c>
      <c r="H1824" s="356" t="s">
        <v>19108</v>
      </c>
      <c r="I1824" s="354" t="s">
        <v>211</v>
      </c>
      <c r="J1824" s="340" t="s">
        <v>421</v>
      </c>
      <c r="K1824" s="339" t="s">
        <v>71</v>
      </c>
      <c r="L1824" s="357">
        <v>97</v>
      </c>
      <c r="M1824" s="358" t="s">
        <v>12864</v>
      </c>
      <c r="N1824" s="359">
        <v>500</v>
      </c>
      <c r="O1824" s="360" t="s">
        <v>530</v>
      </c>
      <c r="P1824" s="343" t="s">
        <v>531</v>
      </c>
      <c r="Q1824" s="342" t="s">
        <v>2688</v>
      </c>
      <c r="R1824" s="344">
        <v>40</v>
      </c>
      <c r="S1824" s="345">
        <v>30</v>
      </c>
      <c r="T1824" s="362">
        <v>30</v>
      </c>
      <c r="U1824" s="361">
        <v>68.709999999999994</v>
      </c>
      <c r="V1824" s="346">
        <v>112.0590875093493</v>
      </c>
      <c r="W1824" s="348">
        <v>114.00317875841436</v>
      </c>
      <c r="X1824" s="347">
        <v>56.35</v>
      </c>
      <c r="Y1824" s="357">
        <v>56.379999999999995</v>
      </c>
      <c r="Z1824" s="365" t="s">
        <v>4408</v>
      </c>
      <c r="AA1824" s="350">
        <v>24</v>
      </c>
      <c r="AB1824" s="349" t="s">
        <v>2685</v>
      </c>
      <c r="AC1824" s="350">
        <v>5</v>
      </c>
      <c r="AD1824" s="349" t="s">
        <v>2685</v>
      </c>
      <c r="AE1824" s="364">
        <v>0</v>
      </c>
      <c r="AF1824" s="366">
        <v>0</v>
      </c>
      <c r="AG1824" s="363">
        <v>0</v>
      </c>
      <c r="AH1824" s="635" t="s">
        <v>408</v>
      </c>
      <c r="AL1824" s="487" t="s">
        <v>16203</v>
      </c>
      <c r="AM1824" s="477" t="s">
        <v>71</v>
      </c>
      <c r="AN1824" s="637">
        <v>100</v>
      </c>
      <c r="AO1824" s="478">
        <v>-1570</v>
      </c>
      <c r="AP1824" s="463">
        <v>-666</v>
      </c>
      <c r="AQ1824" s="479">
        <v>-904</v>
      </c>
      <c r="AR1824" s="476" t="s">
        <v>17882</v>
      </c>
      <c r="BA1824" s="313" t="s">
        <v>6618</v>
      </c>
    </row>
    <row r="1825" spans="2:53" ht="16.5" customHeight="1">
      <c r="B1825" s="367" t="s">
        <v>6725</v>
      </c>
      <c r="C1825" s="351" t="s">
        <v>6726</v>
      </c>
      <c r="D1825" s="353">
        <v>-1570</v>
      </c>
      <c r="E1825" s="352" t="s">
        <v>12869</v>
      </c>
      <c r="F1825" s="341">
        <v>68.69</v>
      </c>
      <c r="G1825" s="355" t="s">
        <v>6596</v>
      </c>
      <c r="H1825" s="356" t="s">
        <v>6390</v>
      </c>
      <c r="I1825" s="354" t="s">
        <v>197</v>
      </c>
      <c r="J1825" s="340" t="s">
        <v>12865</v>
      </c>
      <c r="K1825" s="339" t="s">
        <v>70</v>
      </c>
      <c r="L1825" s="357">
        <v>5</v>
      </c>
      <c r="M1825" s="358" t="s">
        <v>12866</v>
      </c>
      <c r="N1825" s="359">
        <v>500</v>
      </c>
      <c r="O1825" s="360" t="s">
        <v>454</v>
      </c>
      <c r="P1825" s="343" t="s">
        <v>454</v>
      </c>
      <c r="Q1825" s="342" t="s">
        <v>2688</v>
      </c>
      <c r="R1825" s="344">
        <v>20</v>
      </c>
      <c r="S1825" s="345">
        <v>30</v>
      </c>
      <c r="T1825" s="362">
        <v>30</v>
      </c>
      <c r="U1825" s="361">
        <v>68.69</v>
      </c>
      <c r="V1825" s="346">
        <v>112.04819277108435</v>
      </c>
      <c r="W1825" s="348">
        <v>113.99526678141136</v>
      </c>
      <c r="X1825" s="347">
        <v>56.77</v>
      </c>
      <c r="Y1825" s="357" t="s">
        <v>408</v>
      </c>
      <c r="Z1825" s="365" t="s">
        <v>4408</v>
      </c>
      <c r="AA1825" s="350">
        <v>94</v>
      </c>
      <c r="AB1825" s="349" t="s">
        <v>2685</v>
      </c>
      <c r="AC1825" s="350">
        <v>1.5</v>
      </c>
      <c r="AD1825" s="349" t="s">
        <v>2685</v>
      </c>
      <c r="AE1825" s="364">
        <v>0</v>
      </c>
      <c r="AF1825" s="366">
        <v>10.304</v>
      </c>
      <c r="AG1825" s="363">
        <v>0</v>
      </c>
      <c r="AH1825" s="635" t="s">
        <v>6224</v>
      </c>
      <c r="AL1825" s="487" t="s">
        <v>16204</v>
      </c>
      <c r="AM1825" s="477" t="s">
        <v>70</v>
      </c>
      <c r="AN1825" s="637">
        <v>100</v>
      </c>
      <c r="AO1825" s="478">
        <v>-1570</v>
      </c>
      <c r="AP1825" s="463">
        <v>-1570</v>
      </c>
      <c r="AQ1825" s="479">
        <v>0</v>
      </c>
      <c r="AR1825" s="476" t="s">
        <v>17883</v>
      </c>
      <c r="BA1825" s="313" t="s">
        <v>6619</v>
      </c>
    </row>
    <row r="1826" spans="2:53" ht="16.5" customHeight="1">
      <c r="B1826" s="367" t="s">
        <v>12867</v>
      </c>
      <c r="C1826" s="351" t="s">
        <v>12868</v>
      </c>
      <c r="D1826" s="353">
        <v>-1570</v>
      </c>
      <c r="E1826" s="352" t="s">
        <v>12873</v>
      </c>
      <c r="F1826" s="341">
        <v>68.69</v>
      </c>
      <c r="G1826" s="355" t="s">
        <v>13140</v>
      </c>
      <c r="H1826" s="356" t="s">
        <v>12520</v>
      </c>
      <c r="I1826" s="354" t="s">
        <v>423</v>
      </c>
      <c r="J1826" s="340" t="s">
        <v>12871</v>
      </c>
      <c r="K1826" s="339" t="s">
        <v>71</v>
      </c>
      <c r="L1826" s="357">
        <v>2</v>
      </c>
      <c r="M1826" s="358" t="s">
        <v>12872</v>
      </c>
      <c r="N1826" s="359">
        <v>1000</v>
      </c>
      <c r="O1826" s="360" t="s">
        <v>530</v>
      </c>
      <c r="P1826" s="343" t="s">
        <v>531</v>
      </c>
      <c r="Q1826" s="342" t="s">
        <v>2688</v>
      </c>
      <c r="R1826" s="344">
        <v>30</v>
      </c>
      <c r="S1826" s="345">
        <v>25</v>
      </c>
      <c r="T1826" s="362">
        <v>25</v>
      </c>
      <c r="U1826" s="361">
        <v>68.69</v>
      </c>
      <c r="V1826" s="346">
        <v>112.05108790252393</v>
      </c>
      <c r="W1826" s="348">
        <v>113.99712793733681</v>
      </c>
      <c r="X1826" s="347">
        <v>56.35</v>
      </c>
      <c r="Y1826" s="357">
        <v>56.29</v>
      </c>
      <c r="Z1826" s="365" t="s">
        <v>3017</v>
      </c>
      <c r="AA1826" s="350">
        <v>198</v>
      </c>
      <c r="AB1826" s="349" t="s">
        <v>2685</v>
      </c>
      <c r="AC1826" s="350">
        <v>10</v>
      </c>
      <c r="AD1826" s="349" t="s">
        <v>2685</v>
      </c>
      <c r="AE1826" s="364">
        <v>0</v>
      </c>
      <c r="AF1826" s="366">
        <v>0</v>
      </c>
      <c r="AG1826" s="363">
        <v>0</v>
      </c>
      <c r="AH1826" s="635" t="s">
        <v>408</v>
      </c>
      <c r="AL1826" s="487" t="s">
        <v>16205</v>
      </c>
      <c r="AM1826" s="477" t="s">
        <v>71</v>
      </c>
      <c r="AN1826" s="637">
        <v>100</v>
      </c>
      <c r="AO1826" s="478">
        <v>-1570</v>
      </c>
      <c r="AP1826" s="463">
        <v>-666</v>
      </c>
      <c r="AQ1826" s="479">
        <v>-904</v>
      </c>
      <c r="AR1826" s="476" t="s">
        <v>17884</v>
      </c>
      <c r="BA1826" s="313" t="s">
        <v>6620</v>
      </c>
    </row>
    <row r="1827" spans="2:53" ht="16.5" customHeight="1">
      <c r="B1827" s="367" t="s">
        <v>12876</v>
      </c>
      <c r="C1827" s="351" t="s">
        <v>12877</v>
      </c>
      <c r="D1827" s="353">
        <v>-1570</v>
      </c>
      <c r="E1827" s="352" t="s">
        <v>12878</v>
      </c>
      <c r="F1827" s="341">
        <v>68.62</v>
      </c>
      <c r="G1827" s="355" t="s">
        <v>19109</v>
      </c>
      <c r="H1827" s="356" t="s">
        <v>19110</v>
      </c>
      <c r="I1827" s="354" t="s">
        <v>211</v>
      </c>
      <c r="J1827" s="340" t="s">
        <v>483</v>
      </c>
      <c r="K1827" s="339" t="s">
        <v>71</v>
      </c>
      <c r="L1827" s="357">
        <v>66</v>
      </c>
      <c r="M1827" s="358" t="s">
        <v>12880</v>
      </c>
      <c r="N1827" s="359">
        <v>500</v>
      </c>
      <c r="O1827" s="360" t="s">
        <v>530</v>
      </c>
      <c r="P1827" s="343" t="s">
        <v>531</v>
      </c>
      <c r="Q1827" s="342" t="s">
        <v>2688</v>
      </c>
      <c r="R1827" s="344">
        <v>40</v>
      </c>
      <c r="S1827" s="345">
        <v>30</v>
      </c>
      <c r="T1827" s="362">
        <v>30</v>
      </c>
      <c r="U1827" s="361">
        <v>68.62</v>
      </c>
      <c r="V1827" s="346">
        <v>112.01099723629663</v>
      </c>
      <c r="W1827" s="348">
        <v>113.97135536619069</v>
      </c>
      <c r="X1827" s="347">
        <v>56.32</v>
      </c>
      <c r="Y1827" s="357">
        <v>56.35</v>
      </c>
      <c r="Z1827" s="365" t="s">
        <v>4408</v>
      </c>
      <c r="AA1827" s="350">
        <v>24</v>
      </c>
      <c r="AB1827" s="349" t="s">
        <v>2685</v>
      </c>
      <c r="AC1827" s="350">
        <v>5</v>
      </c>
      <c r="AD1827" s="349" t="s">
        <v>2685</v>
      </c>
      <c r="AE1827" s="364">
        <v>0</v>
      </c>
      <c r="AF1827" s="366">
        <v>0</v>
      </c>
      <c r="AG1827" s="363">
        <v>0</v>
      </c>
      <c r="AH1827" s="635" t="s">
        <v>408</v>
      </c>
      <c r="AL1827" s="487" t="s">
        <v>16206</v>
      </c>
      <c r="AM1827" s="477" t="s">
        <v>71</v>
      </c>
      <c r="AN1827" s="637">
        <v>100</v>
      </c>
      <c r="AO1827" s="478">
        <v>-1570</v>
      </c>
      <c r="AP1827" s="463">
        <v>-666</v>
      </c>
      <c r="AQ1827" s="479">
        <v>-904</v>
      </c>
      <c r="AR1827" s="476" t="s">
        <v>17885</v>
      </c>
      <c r="BA1827" s="313" t="s">
        <v>6622</v>
      </c>
    </row>
    <row r="1828" spans="2:53" ht="16.5" customHeight="1">
      <c r="B1828" s="367" t="s">
        <v>6734</v>
      </c>
      <c r="C1828" s="351" t="s">
        <v>6735</v>
      </c>
      <c r="D1828" s="353">
        <v>-1570</v>
      </c>
      <c r="E1828" s="352" t="s">
        <v>12833</v>
      </c>
      <c r="F1828" s="341">
        <v>68.62</v>
      </c>
      <c r="G1828" s="355" t="s">
        <v>13157</v>
      </c>
      <c r="H1828" s="356" t="s">
        <v>19110</v>
      </c>
      <c r="I1828" s="354" t="s">
        <v>197</v>
      </c>
      <c r="J1828" s="340" t="s">
        <v>8217</v>
      </c>
      <c r="K1828" s="339" t="s">
        <v>71</v>
      </c>
      <c r="L1828" s="357">
        <v>7</v>
      </c>
      <c r="M1828" s="358" t="s">
        <v>12540</v>
      </c>
      <c r="N1828" s="359">
        <v>500</v>
      </c>
      <c r="O1828" s="360" t="s">
        <v>454</v>
      </c>
      <c r="P1828" s="343" t="s">
        <v>454</v>
      </c>
      <c r="Q1828" s="342" t="s">
        <v>2688</v>
      </c>
      <c r="R1828" s="344">
        <v>30</v>
      </c>
      <c r="S1828" s="345">
        <v>20</v>
      </c>
      <c r="T1828" s="362">
        <v>20</v>
      </c>
      <c r="U1828" s="361">
        <v>68.62</v>
      </c>
      <c r="V1828" s="346">
        <v>112.00913242009132</v>
      </c>
      <c r="W1828" s="348">
        <v>113.97015655577299</v>
      </c>
      <c r="X1828" s="347">
        <v>56.32</v>
      </c>
      <c r="Y1828" s="357" t="s">
        <v>408</v>
      </c>
      <c r="Z1828" s="365" t="s">
        <v>4408</v>
      </c>
      <c r="AA1828" s="350">
        <v>141</v>
      </c>
      <c r="AB1828" s="349" t="s">
        <v>2685</v>
      </c>
      <c r="AC1828" s="350">
        <v>1.5</v>
      </c>
      <c r="AD1828" s="349" t="s">
        <v>2685</v>
      </c>
      <c r="AE1828" s="364">
        <v>0</v>
      </c>
      <c r="AF1828" s="366">
        <v>10.292999999999999</v>
      </c>
      <c r="AG1828" s="363">
        <v>0</v>
      </c>
      <c r="AH1828" s="635" t="s">
        <v>6360</v>
      </c>
      <c r="AL1828" s="487" t="s">
        <v>16207</v>
      </c>
      <c r="AM1828" s="477" t="s">
        <v>71</v>
      </c>
      <c r="AN1828" s="637">
        <v>100</v>
      </c>
      <c r="AO1828" s="478">
        <v>-1570</v>
      </c>
      <c r="AP1828" s="463">
        <v>-666</v>
      </c>
      <c r="AQ1828" s="479">
        <v>-904</v>
      </c>
      <c r="AR1828" s="476" t="s">
        <v>17886</v>
      </c>
      <c r="BA1828" s="313" t="s">
        <v>6623</v>
      </c>
    </row>
    <row r="1829" spans="2:53" ht="16.5" customHeight="1">
      <c r="B1829" s="367" t="s">
        <v>12882</v>
      </c>
      <c r="C1829" s="351" t="s">
        <v>12883</v>
      </c>
      <c r="D1829" s="353">
        <v>-1570</v>
      </c>
      <c r="E1829" s="352" t="s">
        <v>408</v>
      </c>
      <c r="F1829" s="341">
        <v>68.59</v>
      </c>
      <c r="G1829" s="355" t="s">
        <v>12884</v>
      </c>
      <c r="H1829" s="356" t="s">
        <v>6401</v>
      </c>
      <c r="I1829" s="354" t="s">
        <v>212</v>
      </c>
      <c r="J1829" s="340" t="s">
        <v>10236</v>
      </c>
      <c r="K1829" s="339" t="s">
        <v>70</v>
      </c>
      <c r="L1829" s="357">
        <v>15</v>
      </c>
      <c r="M1829" s="358" t="s">
        <v>12886</v>
      </c>
      <c r="N1829" s="359">
        <v>800</v>
      </c>
      <c r="O1829" s="360" t="s">
        <v>532</v>
      </c>
      <c r="P1829" s="343" t="s">
        <v>532</v>
      </c>
      <c r="Q1829" s="342" t="s">
        <v>2688</v>
      </c>
      <c r="R1829" s="344">
        <v>30</v>
      </c>
      <c r="S1829" s="345">
        <v>40</v>
      </c>
      <c r="T1829" s="362">
        <v>30</v>
      </c>
      <c r="U1829" s="361">
        <v>68.59</v>
      </c>
      <c r="V1829" s="346">
        <v>111.99410046595492</v>
      </c>
      <c r="W1829" s="348">
        <v>113.96070385432976</v>
      </c>
      <c r="X1829" s="347" t="s">
        <v>19111</v>
      </c>
      <c r="Y1829" s="357" t="s">
        <v>408</v>
      </c>
      <c r="Z1829" s="365" t="s">
        <v>3017</v>
      </c>
      <c r="AA1829" s="350">
        <v>190</v>
      </c>
      <c r="AB1829" s="349" t="s">
        <v>2685</v>
      </c>
      <c r="AC1829" s="350">
        <v>10</v>
      </c>
      <c r="AD1829" s="349" t="s">
        <v>2685</v>
      </c>
      <c r="AE1829" s="364">
        <v>0</v>
      </c>
      <c r="AF1829" s="366">
        <v>0</v>
      </c>
      <c r="AG1829" s="363">
        <v>0</v>
      </c>
      <c r="AH1829" s="635" t="s">
        <v>408</v>
      </c>
      <c r="AL1829" s="487" t="s">
        <v>16209</v>
      </c>
      <c r="AM1829" s="477" t="s">
        <v>70</v>
      </c>
      <c r="AN1829" s="637">
        <v>100</v>
      </c>
      <c r="AO1829" s="478">
        <v>-1570</v>
      </c>
      <c r="AP1829" s="463">
        <v>-1570</v>
      </c>
      <c r="AQ1829" s="479">
        <v>0</v>
      </c>
      <c r="AR1829" s="476" t="s">
        <v>17887</v>
      </c>
      <c r="BA1829" s="313" t="s">
        <v>6624</v>
      </c>
    </row>
    <row r="1830" spans="2:53" ht="16.5" customHeight="1">
      <c r="B1830" s="367" t="s">
        <v>12839</v>
      </c>
      <c r="C1830" s="351" t="s">
        <v>12840</v>
      </c>
      <c r="D1830" s="353">
        <v>-1570</v>
      </c>
      <c r="E1830" s="352" t="s">
        <v>408</v>
      </c>
      <c r="F1830" s="341">
        <v>68.569999999999993</v>
      </c>
      <c r="G1830" s="355" t="s">
        <v>12841</v>
      </c>
      <c r="H1830" s="356" t="s">
        <v>12556</v>
      </c>
      <c r="I1830" s="354" t="s">
        <v>212</v>
      </c>
      <c r="J1830" s="340" t="s">
        <v>8323</v>
      </c>
      <c r="K1830" s="339" t="s">
        <v>70</v>
      </c>
      <c r="L1830" s="357">
        <v>9</v>
      </c>
      <c r="M1830" s="358" t="s">
        <v>12887</v>
      </c>
      <c r="N1830" s="359">
        <v>800</v>
      </c>
      <c r="O1830" s="360" t="s">
        <v>532</v>
      </c>
      <c r="P1830" s="343" t="s">
        <v>532</v>
      </c>
      <c r="Q1830" s="342" t="s">
        <v>2688</v>
      </c>
      <c r="R1830" s="344">
        <v>30</v>
      </c>
      <c r="S1830" s="345">
        <v>40</v>
      </c>
      <c r="T1830" s="362">
        <v>30</v>
      </c>
      <c r="U1830" s="361">
        <v>68.569999999999993</v>
      </c>
      <c r="V1830" s="346">
        <v>111.97960385908227</v>
      </c>
      <c r="W1830" s="348">
        <v>113.95190234301423</v>
      </c>
      <c r="X1830" s="347" t="s">
        <v>19111</v>
      </c>
      <c r="Y1830" s="357" t="s">
        <v>408</v>
      </c>
      <c r="Z1830" s="365" t="s">
        <v>3017</v>
      </c>
      <c r="AA1830" s="350">
        <v>190</v>
      </c>
      <c r="AB1830" s="349" t="s">
        <v>2685</v>
      </c>
      <c r="AC1830" s="350">
        <v>10</v>
      </c>
      <c r="AD1830" s="349" t="s">
        <v>2685</v>
      </c>
      <c r="AE1830" s="364">
        <v>0</v>
      </c>
      <c r="AF1830" s="366">
        <v>0</v>
      </c>
      <c r="AG1830" s="363">
        <v>0</v>
      </c>
      <c r="AH1830" s="635" t="s">
        <v>408</v>
      </c>
      <c r="AL1830" s="487" t="s">
        <v>16211</v>
      </c>
      <c r="AM1830" s="477" t="s">
        <v>70</v>
      </c>
      <c r="AN1830" s="637">
        <v>100</v>
      </c>
      <c r="AO1830" s="478">
        <v>-1570</v>
      </c>
      <c r="AP1830" s="463">
        <v>-1570</v>
      </c>
      <c r="AQ1830" s="479">
        <v>0</v>
      </c>
      <c r="AR1830" s="476" t="s">
        <v>17888</v>
      </c>
      <c r="BA1830" s="313" t="s">
        <v>6625</v>
      </c>
    </row>
    <row r="1831" spans="2:53" ht="16.5" customHeight="1">
      <c r="B1831" s="367" t="s">
        <v>12839</v>
      </c>
      <c r="C1831" s="351" t="s">
        <v>12840</v>
      </c>
      <c r="D1831" s="353">
        <v>-1570</v>
      </c>
      <c r="E1831" s="352" t="s">
        <v>12841</v>
      </c>
      <c r="F1831" s="341">
        <v>68.569999999999993</v>
      </c>
      <c r="G1831" s="355" t="s">
        <v>12981</v>
      </c>
      <c r="H1831" s="356" t="s">
        <v>19112</v>
      </c>
      <c r="I1831" s="354" t="s">
        <v>423</v>
      </c>
      <c r="J1831" s="340" t="s">
        <v>12890</v>
      </c>
      <c r="K1831" s="339" t="s">
        <v>71</v>
      </c>
      <c r="L1831" s="357">
        <v>4</v>
      </c>
      <c r="M1831" s="358" t="s">
        <v>12891</v>
      </c>
      <c r="N1831" s="359">
        <v>1000</v>
      </c>
      <c r="O1831" s="360" t="s">
        <v>530</v>
      </c>
      <c r="P1831" s="343" t="s">
        <v>531</v>
      </c>
      <c r="Q1831" s="342" t="s">
        <v>2688</v>
      </c>
      <c r="R1831" s="344">
        <v>30</v>
      </c>
      <c r="S1831" s="345">
        <v>25</v>
      </c>
      <c r="T1831" s="362">
        <v>25</v>
      </c>
      <c r="U1831" s="361">
        <v>68.569999999999993</v>
      </c>
      <c r="V1831" s="346">
        <v>111.97970230040596</v>
      </c>
      <c r="W1831" s="348">
        <v>113.95196211096076</v>
      </c>
      <c r="X1831" s="347">
        <v>56.3</v>
      </c>
      <c r="Y1831" s="357">
        <v>56.239999999999995</v>
      </c>
      <c r="Z1831" s="365" t="s">
        <v>3017</v>
      </c>
      <c r="AA1831" s="350">
        <v>198</v>
      </c>
      <c r="AB1831" s="349" t="s">
        <v>2685</v>
      </c>
      <c r="AC1831" s="350">
        <v>10</v>
      </c>
      <c r="AD1831" s="349" t="s">
        <v>2685</v>
      </c>
      <c r="AE1831" s="364">
        <v>0</v>
      </c>
      <c r="AF1831" s="366">
        <v>0</v>
      </c>
      <c r="AG1831" s="363">
        <v>0</v>
      </c>
      <c r="AH1831" s="635" t="s">
        <v>408</v>
      </c>
      <c r="AL1831" s="487" t="s">
        <v>16208</v>
      </c>
      <c r="AM1831" s="477" t="s">
        <v>71</v>
      </c>
      <c r="AN1831" s="637">
        <v>100</v>
      </c>
      <c r="AO1831" s="478">
        <v>-1570</v>
      </c>
      <c r="AP1831" s="463">
        <v>-665</v>
      </c>
      <c r="AQ1831" s="479">
        <v>-905</v>
      </c>
      <c r="AR1831" s="476" t="s">
        <v>17889</v>
      </c>
      <c r="BA1831" s="313" t="s">
        <v>6628</v>
      </c>
    </row>
    <row r="1832" spans="2:53" ht="16.5" customHeight="1">
      <c r="B1832" s="367" t="s">
        <v>12892</v>
      </c>
      <c r="C1832" s="351" t="s">
        <v>12893</v>
      </c>
      <c r="D1832" s="353">
        <v>-1570</v>
      </c>
      <c r="E1832" s="352" t="s">
        <v>408</v>
      </c>
      <c r="F1832" s="341">
        <v>68.56</v>
      </c>
      <c r="G1832" s="355" t="s">
        <v>12894</v>
      </c>
      <c r="H1832" s="356" t="s">
        <v>6408</v>
      </c>
      <c r="I1832" s="354" t="s">
        <v>197</v>
      </c>
      <c r="J1832" s="340" t="s">
        <v>7359</v>
      </c>
      <c r="K1832" s="339" t="s">
        <v>70</v>
      </c>
      <c r="L1832" s="357">
        <v>8</v>
      </c>
      <c r="M1832" s="358" t="s">
        <v>12895</v>
      </c>
      <c r="N1832" s="359">
        <v>500</v>
      </c>
      <c r="O1832" s="360" t="s">
        <v>454</v>
      </c>
      <c r="P1832" s="343" t="s">
        <v>454</v>
      </c>
      <c r="Q1832" s="342" t="s">
        <v>2688</v>
      </c>
      <c r="R1832" s="344">
        <v>20</v>
      </c>
      <c r="S1832" s="345">
        <v>30</v>
      </c>
      <c r="T1832" s="362">
        <v>30</v>
      </c>
      <c r="U1832" s="361">
        <v>68.56</v>
      </c>
      <c r="V1832" s="346">
        <v>111.97794117647059</v>
      </c>
      <c r="W1832" s="348">
        <v>113.95089285714286</v>
      </c>
      <c r="X1832" s="347">
        <v>56.73</v>
      </c>
      <c r="Y1832" s="357" t="s">
        <v>408</v>
      </c>
      <c r="Z1832" s="365" t="s">
        <v>4408</v>
      </c>
      <c r="AA1832" s="350">
        <v>94</v>
      </c>
      <c r="AB1832" s="349" t="s">
        <v>2685</v>
      </c>
      <c r="AC1832" s="350">
        <v>1.5</v>
      </c>
      <c r="AD1832" s="349" t="s">
        <v>2685</v>
      </c>
      <c r="AE1832" s="364">
        <v>0</v>
      </c>
      <c r="AF1832" s="366">
        <v>0</v>
      </c>
      <c r="AG1832" s="363">
        <v>0</v>
      </c>
      <c r="AH1832" s="635" t="s">
        <v>408</v>
      </c>
      <c r="AL1832" s="487" t="s">
        <v>16210</v>
      </c>
      <c r="AM1832" s="477" t="s">
        <v>70</v>
      </c>
      <c r="AN1832" s="637">
        <v>100</v>
      </c>
      <c r="AO1832" s="478">
        <v>-1570</v>
      </c>
      <c r="AP1832" s="463">
        <v>-1570</v>
      </c>
      <c r="AQ1832" s="479">
        <v>0</v>
      </c>
      <c r="AR1832" s="476" t="s">
        <v>17890</v>
      </c>
      <c r="BA1832" s="313" t="s">
        <v>6632</v>
      </c>
    </row>
    <row r="1833" spans="2:53" ht="16.5" customHeight="1">
      <c r="B1833" s="367" t="s">
        <v>12896</v>
      </c>
      <c r="C1833" s="351" t="s">
        <v>12897</v>
      </c>
      <c r="D1833" s="353">
        <v>-1570</v>
      </c>
      <c r="E1833" s="352" t="s">
        <v>408</v>
      </c>
      <c r="F1833" s="341">
        <v>68.5</v>
      </c>
      <c r="G1833" s="355" t="s">
        <v>12898</v>
      </c>
      <c r="H1833" s="356" t="s">
        <v>19113</v>
      </c>
      <c r="I1833" s="354" t="s">
        <v>497</v>
      </c>
      <c r="J1833" s="340" t="s">
        <v>12899</v>
      </c>
      <c r="K1833" s="339" t="s">
        <v>71</v>
      </c>
      <c r="L1833" s="357">
        <v>14</v>
      </c>
      <c r="M1833" s="358" t="s">
        <v>12900</v>
      </c>
      <c r="N1833" s="359">
        <v>200</v>
      </c>
      <c r="O1833" s="360" t="s">
        <v>454</v>
      </c>
      <c r="P1833" s="343" t="s">
        <v>454</v>
      </c>
      <c r="Q1833" s="342" t="s">
        <v>2738</v>
      </c>
      <c r="R1833" s="344">
        <v>50</v>
      </c>
      <c r="S1833" s="345">
        <v>0</v>
      </c>
      <c r="T1833" s="362">
        <v>0</v>
      </c>
      <c r="U1833" s="361">
        <v>68.5</v>
      </c>
      <c r="V1833" s="346">
        <v>111.94117647058823</v>
      </c>
      <c r="W1833" s="348">
        <v>113.92857142857143</v>
      </c>
      <c r="X1833" s="347">
        <v>56.72</v>
      </c>
      <c r="Y1833" s="357" t="s">
        <v>408</v>
      </c>
      <c r="Z1833" s="365" t="s">
        <v>4408</v>
      </c>
      <c r="AA1833" s="350">
        <v>94</v>
      </c>
      <c r="AB1833" s="349" t="s">
        <v>2685</v>
      </c>
      <c r="AC1833" s="350">
        <v>1.5</v>
      </c>
      <c r="AD1833" s="349" t="s">
        <v>2685</v>
      </c>
      <c r="AE1833" s="364">
        <v>0</v>
      </c>
      <c r="AF1833" s="366">
        <v>0</v>
      </c>
      <c r="AG1833" s="363">
        <v>0</v>
      </c>
      <c r="AH1833" s="635" t="s">
        <v>10127</v>
      </c>
      <c r="AL1833" s="487" t="s">
        <v>16212</v>
      </c>
      <c r="AM1833" s="477" t="s">
        <v>71</v>
      </c>
      <c r="AN1833" s="637">
        <v>100</v>
      </c>
      <c r="AO1833" s="478">
        <v>-1570</v>
      </c>
      <c r="AP1833" s="463">
        <v>-668</v>
      </c>
      <c r="AQ1833" s="479">
        <v>-902</v>
      </c>
      <c r="AR1833" s="476" t="s">
        <v>17891</v>
      </c>
      <c r="BA1833" s="313" t="s">
        <v>6633</v>
      </c>
    </row>
    <row r="1834" spans="2:53" ht="16.5" customHeight="1">
      <c r="B1834" s="367" t="s">
        <v>12896</v>
      </c>
      <c r="C1834" s="351" t="s">
        <v>12897</v>
      </c>
      <c r="D1834" s="353">
        <v>-1570</v>
      </c>
      <c r="E1834" s="352" t="s">
        <v>408</v>
      </c>
      <c r="F1834" s="341">
        <v>68.5</v>
      </c>
      <c r="G1834" s="355" t="s">
        <v>12898</v>
      </c>
      <c r="H1834" s="356" t="s">
        <v>19113</v>
      </c>
      <c r="I1834" s="354" t="s">
        <v>497</v>
      </c>
      <c r="J1834" s="340" t="s">
        <v>12421</v>
      </c>
      <c r="K1834" s="339" t="s">
        <v>71</v>
      </c>
      <c r="L1834" s="357">
        <v>4</v>
      </c>
      <c r="M1834" s="358" t="s">
        <v>12900</v>
      </c>
      <c r="N1834" s="359">
        <v>200</v>
      </c>
      <c r="O1834" s="360" t="s">
        <v>454</v>
      </c>
      <c r="P1834" s="343" t="s">
        <v>454</v>
      </c>
      <c r="Q1834" s="342" t="s">
        <v>2738</v>
      </c>
      <c r="R1834" s="344">
        <v>50</v>
      </c>
      <c r="S1834" s="345">
        <v>0</v>
      </c>
      <c r="T1834" s="362">
        <v>0</v>
      </c>
      <c r="U1834" s="361">
        <v>68.5</v>
      </c>
      <c r="V1834" s="346">
        <v>111.94117647058823</v>
      </c>
      <c r="W1834" s="348">
        <v>113.92857142857143</v>
      </c>
      <c r="X1834" s="347">
        <v>56.72</v>
      </c>
      <c r="Y1834" s="357" t="s">
        <v>408</v>
      </c>
      <c r="Z1834" s="365" t="s">
        <v>4408</v>
      </c>
      <c r="AA1834" s="350">
        <v>94</v>
      </c>
      <c r="AB1834" s="349" t="s">
        <v>2685</v>
      </c>
      <c r="AC1834" s="350">
        <v>1.5</v>
      </c>
      <c r="AD1834" s="349" t="s">
        <v>2685</v>
      </c>
      <c r="AE1834" s="364">
        <v>0</v>
      </c>
      <c r="AF1834" s="366">
        <v>0</v>
      </c>
      <c r="AG1834" s="363">
        <v>0</v>
      </c>
      <c r="AH1834" s="635" t="s">
        <v>10127</v>
      </c>
      <c r="AL1834" s="487" t="s">
        <v>16213</v>
      </c>
      <c r="AM1834" s="477" t="s">
        <v>71</v>
      </c>
      <c r="AN1834" s="637">
        <v>100</v>
      </c>
      <c r="AO1834" s="478">
        <v>-1570</v>
      </c>
      <c r="AP1834" s="463">
        <v>-668</v>
      </c>
      <c r="AQ1834" s="479">
        <v>-902</v>
      </c>
      <c r="AR1834" s="476" t="s">
        <v>17891</v>
      </c>
      <c r="BA1834" s="313" t="s">
        <v>6634</v>
      </c>
    </row>
    <row r="1835" spans="2:53" ht="16.5" customHeight="1">
      <c r="B1835" s="367" t="s">
        <v>12901</v>
      </c>
      <c r="C1835" s="351" t="s">
        <v>12902</v>
      </c>
      <c r="D1835" s="353">
        <v>-1570</v>
      </c>
      <c r="E1835" s="352" t="s">
        <v>408</v>
      </c>
      <c r="F1835" s="341">
        <v>68.47</v>
      </c>
      <c r="G1835" s="355" t="s">
        <v>6611</v>
      </c>
      <c r="H1835" s="356" t="s">
        <v>6332</v>
      </c>
      <c r="I1835" s="354" t="s">
        <v>214</v>
      </c>
      <c r="J1835" s="340" t="s">
        <v>12903</v>
      </c>
      <c r="K1835" s="339" t="s">
        <v>70</v>
      </c>
      <c r="L1835" s="357">
        <v>27</v>
      </c>
      <c r="M1835" s="358" t="s">
        <v>12904</v>
      </c>
      <c r="N1835" s="359">
        <v>200</v>
      </c>
      <c r="O1835" s="360" t="s">
        <v>532</v>
      </c>
      <c r="P1835" s="343" t="s">
        <v>532</v>
      </c>
      <c r="Q1835" s="342" t="s">
        <v>2688</v>
      </c>
      <c r="R1835" s="344">
        <v>20</v>
      </c>
      <c r="S1835" s="345">
        <v>30</v>
      </c>
      <c r="T1835" s="362">
        <v>30</v>
      </c>
      <c r="U1835" s="361">
        <v>68.47</v>
      </c>
      <c r="V1835" s="346">
        <v>111.92415822641985</v>
      </c>
      <c r="W1835" s="348">
        <v>113.91823892318348</v>
      </c>
      <c r="X1835" s="347" t="s">
        <v>19114</v>
      </c>
      <c r="Y1835" s="357" t="s">
        <v>408</v>
      </c>
      <c r="Z1835" s="365" t="s">
        <v>4408</v>
      </c>
      <c r="AA1835" s="350">
        <v>36</v>
      </c>
      <c r="AB1835" s="349" t="s">
        <v>2685</v>
      </c>
      <c r="AC1835" s="350">
        <v>0</v>
      </c>
      <c r="AD1835" s="349" t="s">
        <v>2685</v>
      </c>
      <c r="AE1835" s="364">
        <v>0</v>
      </c>
      <c r="AF1835" s="366">
        <v>0</v>
      </c>
      <c r="AG1835" s="363">
        <v>0</v>
      </c>
      <c r="AH1835" s="635" t="s">
        <v>408</v>
      </c>
      <c r="AL1835" s="487" t="s">
        <v>16215</v>
      </c>
      <c r="AM1835" s="477" t="s">
        <v>70</v>
      </c>
      <c r="AN1835" s="637">
        <v>100</v>
      </c>
      <c r="AO1835" s="478">
        <v>-1570</v>
      </c>
      <c r="AP1835" s="463">
        <v>-1570</v>
      </c>
      <c r="AQ1835" s="479">
        <v>0</v>
      </c>
      <c r="AR1835" s="476" t="s">
        <v>17892</v>
      </c>
      <c r="BA1835" s="313" t="s">
        <v>6635</v>
      </c>
    </row>
    <row r="1836" spans="2:53" ht="16.5" customHeight="1">
      <c r="B1836" s="367" t="s">
        <v>12905</v>
      </c>
      <c r="C1836" s="351" t="s">
        <v>12906</v>
      </c>
      <c r="D1836" s="353">
        <v>-1570</v>
      </c>
      <c r="E1836" s="352" t="s">
        <v>408</v>
      </c>
      <c r="F1836" s="341">
        <v>68.459999999999994</v>
      </c>
      <c r="G1836" s="355" t="s">
        <v>12907</v>
      </c>
      <c r="H1836" s="356" t="s">
        <v>6418</v>
      </c>
      <c r="I1836" s="354" t="s">
        <v>423</v>
      </c>
      <c r="J1836" s="340" t="s">
        <v>12908</v>
      </c>
      <c r="K1836" s="339" t="s">
        <v>70</v>
      </c>
      <c r="L1836" s="357">
        <v>7</v>
      </c>
      <c r="M1836" s="358" t="s">
        <v>12909</v>
      </c>
      <c r="N1836" s="359">
        <v>1000</v>
      </c>
      <c r="O1836" s="360" t="s">
        <v>530</v>
      </c>
      <c r="P1836" s="343" t="s">
        <v>531</v>
      </c>
      <c r="Q1836" s="342" t="s">
        <v>2688</v>
      </c>
      <c r="R1836" s="344">
        <v>20</v>
      </c>
      <c r="S1836" s="345">
        <v>35</v>
      </c>
      <c r="T1836" s="362">
        <v>25</v>
      </c>
      <c r="U1836" s="361">
        <v>68.459999999999994</v>
      </c>
      <c r="V1836" s="346">
        <v>111.91831802803287</v>
      </c>
      <c r="W1836" s="348">
        <v>113.91469308844853</v>
      </c>
      <c r="X1836" s="347">
        <v>56.7</v>
      </c>
      <c r="Y1836" s="357">
        <v>56.199999999999996</v>
      </c>
      <c r="Z1836" s="365" t="s">
        <v>3017</v>
      </c>
      <c r="AA1836" s="350">
        <v>198</v>
      </c>
      <c r="AB1836" s="349" t="s">
        <v>2685</v>
      </c>
      <c r="AC1836" s="350">
        <v>10</v>
      </c>
      <c r="AD1836" s="349" t="s">
        <v>2685</v>
      </c>
      <c r="AE1836" s="364">
        <v>0</v>
      </c>
      <c r="AF1836" s="366">
        <v>13.006</v>
      </c>
      <c r="AG1836" s="363">
        <v>0</v>
      </c>
      <c r="AH1836" s="635" t="s">
        <v>11625</v>
      </c>
      <c r="AL1836" s="487" t="s">
        <v>16214</v>
      </c>
      <c r="AM1836" s="477" t="s">
        <v>70</v>
      </c>
      <c r="AN1836" s="637">
        <v>100</v>
      </c>
      <c r="AO1836" s="478">
        <v>-1570</v>
      </c>
      <c r="AP1836" s="463">
        <v>-1570</v>
      </c>
      <c r="AQ1836" s="479">
        <v>0</v>
      </c>
      <c r="AR1836" s="476" t="s">
        <v>17893</v>
      </c>
      <c r="BA1836" s="313" t="s">
        <v>6637</v>
      </c>
    </row>
    <row r="1837" spans="2:53" ht="16.5" customHeight="1">
      <c r="B1837" s="367" t="s">
        <v>12854</v>
      </c>
      <c r="C1837" s="351" t="s">
        <v>12855</v>
      </c>
      <c r="D1837" s="353">
        <v>-1570</v>
      </c>
      <c r="E1837" s="352" t="s">
        <v>6615</v>
      </c>
      <c r="F1837" s="341">
        <v>68.430000000000007</v>
      </c>
      <c r="G1837" s="355" t="s">
        <v>13000</v>
      </c>
      <c r="H1837" s="356" t="s">
        <v>6404</v>
      </c>
      <c r="I1837" s="354" t="s">
        <v>423</v>
      </c>
      <c r="J1837" s="340" t="s">
        <v>12910</v>
      </c>
      <c r="K1837" s="339" t="s">
        <v>71</v>
      </c>
      <c r="L1837" s="357">
        <v>3</v>
      </c>
      <c r="M1837" s="358" t="s">
        <v>12911</v>
      </c>
      <c r="N1837" s="359">
        <v>1000</v>
      </c>
      <c r="O1837" s="360" t="s">
        <v>530</v>
      </c>
      <c r="P1837" s="343" t="s">
        <v>531</v>
      </c>
      <c r="Q1837" s="342" t="s">
        <v>2688</v>
      </c>
      <c r="R1837" s="344">
        <v>30</v>
      </c>
      <c r="S1837" s="345">
        <v>25</v>
      </c>
      <c r="T1837" s="362">
        <v>25</v>
      </c>
      <c r="U1837" s="361">
        <v>68.430000000000007</v>
      </c>
      <c r="V1837" s="346">
        <v>111.90139828597206</v>
      </c>
      <c r="W1837" s="348">
        <v>113.90442038791161</v>
      </c>
      <c r="X1837" s="347">
        <v>56.26</v>
      </c>
      <c r="Y1837" s="357">
        <v>56.19</v>
      </c>
      <c r="Z1837" s="365" t="s">
        <v>3017</v>
      </c>
      <c r="AA1837" s="350">
        <v>198</v>
      </c>
      <c r="AB1837" s="349" t="s">
        <v>2685</v>
      </c>
      <c r="AC1837" s="350">
        <v>10</v>
      </c>
      <c r="AD1837" s="349" t="s">
        <v>2685</v>
      </c>
      <c r="AE1837" s="364">
        <v>0</v>
      </c>
      <c r="AF1837" s="366">
        <v>0</v>
      </c>
      <c r="AG1837" s="363">
        <v>0</v>
      </c>
      <c r="AH1837" s="635" t="s">
        <v>408</v>
      </c>
      <c r="AL1837" s="487" t="s">
        <v>16216</v>
      </c>
      <c r="AM1837" s="477" t="s">
        <v>71</v>
      </c>
      <c r="AN1837" s="637">
        <v>100</v>
      </c>
      <c r="AO1837" s="478">
        <v>-1570</v>
      </c>
      <c r="AP1837" s="463">
        <v>-665</v>
      </c>
      <c r="AQ1837" s="479">
        <v>-905</v>
      </c>
      <c r="AR1837" s="476" t="s">
        <v>17894</v>
      </c>
      <c r="BA1837" s="313" t="s">
        <v>6640</v>
      </c>
    </row>
    <row r="1838" spans="2:53" ht="16.5" customHeight="1">
      <c r="B1838" s="367" t="s">
        <v>12912</v>
      </c>
      <c r="C1838" s="351" t="s">
        <v>12913</v>
      </c>
      <c r="D1838" s="353">
        <v>-1570</v>
      </c>
      <c r="E1838" s="352" t="s">
        <v>6584</v>
      </c>
      <c r="F1838" s="341">
        <v>68.41</v>
      </c>
      <c r="G1838" s="355" t="s">
        <v>19115</v>
      </c>
      <c r="H1838" s="356" t="s">
        <v>19116</v>
      </c>
      <c r="I1838" s="354" t="s">
        <v>423</v>
      </c>
      <c r="J1838" s="340" t="s">
        <v>12915</v>
      </c>
      <c r="K1838" s="339" t="s">
        <v>71</v>
      </c>
      <c r="L1838" s="357">
        <v>2</v>
      </c>
      <c r="M1838" s="358" t="s">
        <v>12916</v>
      </c>
      <c r="N1838" s="359">
        <v>1000</v>
      </c>
      <c r="O1838" s="360" t="s">
        <v>530</v>
      </c>
      <c r="P1838" s="343" t="s">
        <v>531</v>
      </c>
      <c r="Q1838" s="342" t="s">
        <v>2688</v>
      </c>
      <c r="R1838" s="344">
        <v>30</v>
      </c>
      <c r="S1838" s="345">
        <v>25</v>
      </c>
      <c r="T1838" s="362">
        <v>25</v>
      </c>
      <c r="U1838" s="361">
        <v>68.41</v>
      </c>
      <c r="V1838" s="346">
        <v>111.88624267027517</v>
      </c>
      <c r="W1838" s="348">
        <v>113.89521876409563</v>
      </c>
      <c r="X1838" s="347">
        <v>56.25</v>
      </c>
      <c r="Y1838" s="357">
        <v>56.18</v>
      </c>
      <c r="Z1838" s="365" t="s">
        <v>3017</v>
      </c>
      <c r="AA1838" s="350">
        <v>198</v>
      </c>
      <c r="AB1838" s="349" t="s">
        <v>2685</v>
      </c>
      <c r="AC1838" s="350">
        <v>10</v>
      </c>
      <c r="AD1838" s="349" t="s">
        <v>2685</v>
      </c>
      <c r="AE1838" s="364">
        <v>0</v>
      </c>
      <c r="AF1838" s="366">
        <v>0</v>
      </c>
      <c r="AG1838" s="363">
        <v>0</v>
      </c>
      <c r="AH1838" s="635" t="s">
        <v>408</v>
      </c>
      <c r="AL1838" s="487" t="s">
        <v>16217</v>
      </c>
      <c r="AM1838" s="477" t="s">
        <v>71</v>
      </c>
      <c r="AN1838" s="637">
        <v>100</v>
      </c>
      <c r="AO1838" s="478">
        <v>-1570</v>
      </c>
      <c r="AP1838" s="463">
        <v>-665</v>
      </c>
      <c r="AQ1838" s="479">
        <v>-905</v>
      </c>
      <c r="AR1838" s="476" t="s">
        <v>17895</v>
      </c>
      <c r="BA1838" s="313" t="s">
        <v>6641</v>
      </c>
    </row>
    <row r="1839" spans="2:53" ht="16.5" customHeight="1">
      <c r="B1839" s="367" t="s">
        <v>12917</v>
      </c>
      <c r="C1839" s="351" t="s">
        <v>12918</v>
      </c>
      <c r="D1839" s="353">
        <v>-1570</v>
      </c>
      <c r="E1839" s="352" t="s">
        <v>408</v>
      </c>
      <c r="F1839" s="341">
        <v>68.34</v>
      </c>
      <c r="G1839" s="355" t="s">
        <v>12919</v>
      </c>
      <c r="H1839" s="356" t="s">
        <v>12742</v>
      </c>
      <c r="I1839" s="354" t="s">
        <v>214</v>
      </c>
      <c r="J1839" s="340" t="s">
        <v>8813</v>
      </c>
      <c r="K1839" s="339" t="s">
        <v>70</v>
      </c>
      <c r="L1839" s="357">
        <v>8</v>
      </c>
      <c r="M1839" s="358" t="s">
        <v>12920</v>
      </c>
      <c r="N1839" s="359">
        <v>200</v>
      </c>
      <c r="O1839" s="360" t="s">
        <v>532</v>
      </c>
      <c r="P1839" s="343" t="s">
        <v>532</v>
      </c>
      <c r="Q1839" s="342" t="s">
        <v>2688</v>
      </c>
      <c r="R1839" s="344">
        <v>20</v>
      </c>
      <c r="S1839" s="345">
        <v>30</v>
      </c>
      <c r="T1839" s="362">
        <v>30</v>
      </c>
      <c r="U1839" s="361">
        <v>68.34</v>
      </c>
      <c r="V1839" s="346">
        <v>111.8498536608793</v>
      </c>
      <c r="W1839" s="348">
        <v>113.87312543696244</v>
      </c>
      <c r="X1839" s="347" t="s">
        <v>19117</v>
      </c>
      <c r="Y1839" s="357" t="s">
        <v>408</v>
      </c>
      <c r="Z1839" s="365" t="s">
        <v>4408</v>
      </c>
      <c r="AA1839" s="350">
        <v>36</v>
      </c>
      <c r="AB1839" s="349" t="s">
        <v>2685</v>
      </c>
      <c r="AC1839" s="350">
        <v>0</v>
      </c>
      <c r="AD1839" s="349" t="s">
        <v>2685</v>
      </c>
      <c r="AE1839" s="364">
        <v>0</v>
      </c>
      <c r="AF1839" s="366">
        <v>0</v>
      </c>
      <c r="AG1839" s="363">
        <v>0</v>
      </c>
      <c r="AH1839" s="635" t="s">
        <v>408</v>
      </c>
      <c r="AL1839" s="487" t="s">
        <v>16218</v>
      </c>
      <c r="AM1839" s="477" t="s">
        <v>70</v>
      </c>
      <c r="AN1839" s="637">
        <v>100</v>
      </c>
      <c r="AO1839" s="478">
        <v>-1570</v>
      </c>
      <c r="AP1839" s="463">
        <v>-1570</v>
      </c>
      <c r="AQ1839" s="479">
        <v>0</v>
      </c>
      <c r="AR1839" s="476" t="s">
        <v>17896</v>
      </c>
      <c r="BA1839" s="313" t="s">
        <v>6642</v>
      </c>
    </row>
    <row r="1840" spans="2:53" ht="16.5" customHeight="1">
      <c r="B1840" s="367" t="s">
        <v>6754</v>
      </c>
      <c r="C1840" s="351" t="s">
        <v>6755</v>
      </c>
      <c r="D1840" s="353">
        <v>-1570</v>
      </c>
      <c r="E1840" s="352" t="s">
        <v>408</v>
      </c>
      <c r="F1840" s="341">
        <v>68.31</v>
      </c>
      <c r="G1840" s="355" t="s">
        <v>12921</v>
      </c>
      <c r="H1840" s="356" t="s">
        <v>12747</v>
      </c>
      <c r="I1840" s="354" t="s">
        <v>212</v>
      </c>
      <c r="J1840" s="340" t="s">
        <v>550</v>
      </c>
      <c r="K1840" s="339" t="s">
        <v>70</v>
      </c>
      <c r="L1840" s="357">
        <v>11</v>
      </c>
      <c r="M1840" s="358" t="s">
        <v>12923</v>
      </c>
      <c r="N1840" s="359">
        <v>800</v>
      </c>
      <c r="O1840" s="360" t="s">
        <v>532</v>
      </c>
      <c r="P1840" s="343" t="s">
        <v>532</v>
      </c>
      <c r="Q1840" s="342" t="s">
        <v>2688</v>
      </c>
      <c r="R1840" s="344">
        <v>30</v>
      </c>
      <c r="S1840" s="345">
        <v>40</v>
      </c>
      <c r="T1840" s="362">
        <v>30</v>
      </c>
      <c r="U1840" s="361">
        <v>68.31</v>
      </c>
      <c r="V1840" s="346">
        <v>111.82930815547611</v>
      </c>
      <c r="W1840" s="348">
        <v>113.8606513801105</v>
      </c>
      <c r="X1840" s="347" t="s">
        <v>19117</v>
      </c>
      <c r="Y1840" s="357" t="s">
        <v>408</v>
      </c>
      <c r="Z1840" s="365" t="s">
        <v>3017</v>
      </c>
      <c r="AA1840" s="350">
        <v>190</v>
      </c>
      <c r="AB1840" s="349" t="s">
        <v>2685</v>
      </c>
      <c r="AC1840" s="350">
        <v>10</v>
      </c>
      <c r="AD1840" s="349" t="s">
        <v>2685</v>
      </c>
      <c r="AE1840" s="364">
        <v>0</v>
      </c>
      <c r="AF1840" s="366">
        <v>0</v>
      </c>
      <c r="AG1840" s="363">
        <v>0</v>
      </c>
      <c r="AH1840" s="635" t="s">
        <v>408</v>
      </c>
      <c r="AL1840" s="487" t="s">
        <v>16219</v>
      </c>
      <c r="AM1840" s="477" t="s">
        <v>70</v>
      </c>
      <c r="AN1840" s="637">
        <v>100</v>
      </c>
      <c r="AO1840" s="478">
        <v>-1570</v>
      </c>
      <c r="AP1840" s="463">
        <v>-1570</v>
      </c>
      <c r="AQ1840" s="479">
        <v>0</v>
      </c>
      <c r="AR1840" s="476" t="s">
        <v>17897</v>
      </c>
      <c r="BA1840" s="313" t="s">
        <v>6644</v>
      </c>
    </row>
    <row r="1841" spans="2:53" ht="16.5" customHeight="1">
      <c r="B1841" s="367" t="s">
        <v>12924</v>
      </c>
      <c r="C1841" s="351" t="s">
        <v>12925</v>
      </c>
      <c r="D1841" s="353">
        <v>-1570</v>
      </c>
      <c r="E1841" s="352" t="s">
        <v>12870</v>
      </c>
      <c r="F1841" s="341">
        <v>68.260000000000005</v>
      </c>
      <c r="G1841" s="355" t="s">
        <v>6532</v>
      </c>
      <c r="H1841" s="356" t="s">
        <v>19035</v>
      </c>
      <c r="I1841" s="354" t="s">
        <v>423</v>
      </c>
      <c r="J1841" s="340" t="s">
        <v>12926</v>
      </c>
      <c r="K1841" s="339" t="s">
        <v>71</v>
      </c>
      <c r="L1841" s="357">
        <v>2</v>
      </c>
      <c r="M1841" s="358" t="s">
        <v>12927</v>
      </c>
      <c r="N1841" s="359">
        <v>1000</v>
      </c>
      <c r="O1841" s="360" t="s">
        <v>530</v>
      </c>
      <c r="P1841" s="343" t="s">
        <v>531</v>
      </c>
      <c r="Q1841" s="342" t="s">
        <v>2688</v>
      </c>
      <c r="R1841" s="344">
        <v>30</v>
      </c>
      <c r="S1841" s="345">
        <v>25</v>
      </c>
      <c r="T1841" s="362">
        <v>25</v>
      </c>
      <c r="U1841" s="361">
        <v>68.260000000000005</v>
      </c>
      <c r="V1841" s="346">
        <v>111.7978349120433</v>
      </c>
      <c r="W1841" s="348">
        <v>113.84154262516915</v>
      </c>
      <c r="X1841" s="347">
        <v>56.21</v>
      </c>
      <c r="Y1841" s="357">
        <v>56.12</v>
      </c>
      <c r="Z1841" s="365" t="s">
        <v>3017</v>
      </c>
      <c r="AA1841" s="350">
        <v>198</v>
      </c>
      <c r="AB1841" s="349" t="s">
        <v>2685</v>
      </c>
      <c r="AC1841" s="350">
        <v>10</v>
      </c>
      <c r="AD1841" s="349" t="s">
        <v>2685</v>
      </c>
      <c r="AE1841" s="364">
        <v>0</v>
      </c>
      <c r="AF1841" s="366">
        <v>0</v>
      </c>
      <c r="AG1841" s="363">
        <v>0</v>
      </c>
      <c r="AH1841" s="635" t="s">
        <v>408</v>
      </c>
      <c r="AL1841" s="487" t="s">
        <v>16220</v>
      </c>
      <c r="AM1841" s="477" t="s">
        <v>71</v>
      </c>
      <c r="AN1841" s="637">
        <v>100</v>
      </c>
      <c r="AO1841" s="478">
        <v>-1570</v>
      </c>
      <c r="AP1841" s="463">
        <v>-664</v>
      </c>
      <c r="AQ1841" s="479">
        <v>-906</v>
      </c>
      <c r="AR1841" s="476" t="s">
        <v>17898</v>
      </c>
      <c r="BA1841" s="313" t="s">
        <v>6648</v>
      </c>
    </row>
    <row r="1842" spans="2:53" ht="16.5" customHeight="1">
      <c r="B1842" s="367" t="s">
        <v>6761</v>
      </c>
      <c r="C1842" s="351" t="s">
        <v>6762</v>
      </c>
      <c r="D1842" s="353">
        <v>-1570</v>
      </c>
      <c r="E1842" s="352" t="s">
        <v>408</v>
      </c>
      <c r="F1842" s="341">
        <v>68.239999999999995</v>
      </c>
      <c r="G1842" s="355" t="s">
        <v>6626</v>
      </c>
      <c r="H1842" s="356" t="s">
        <v>19118</v>
      </c>
      <c r="I1842" s="354" t="s">
        <v>212</v>
      </c>
      <c r="J1842" s="340" t="s">
        <v>9252</v>
      </c>
      <c r="K1842" s="339" t="s">
        <v>70</v>
      </c>
      <c r="L1842" s="357">
        <v>6</v>
      </c>
      <c r="M1842" s="358" t="s">
        <v>12928</v>
      </c>
      <c r="N1842" s="359">
        <v>800</v>
      </c>
      <c r="O1842" s="360" t="s">
        <v>532</v>
      </c>
      <c r="P1842" s="343" t="s">
        <v>532</v>
      </c>
      <c r="Q1842" s="342" t="s">
        <v>2688</v>
      </c>
      <c r="R1842" s="344">
        <v>30</v>
      </c>
      <c r="S1842" s="345">
        <v>40</v>
      </c>
      <c r="T1842" s="362">
        <v>30</v>
      </c>
      <c r="U1842" s="361">
        <v>68.239999999999995</v>
      </c>
      <c r="V1842" s="346">
        <v>111.79072159894747</v>
      </c>
      <c r="W1842" s="348">
        <v>113.83722382793239</v>
      </c>
      <c r="X1842" s="347" t="s">
        <v>19119</v>
      </c>
      <c r="Y1842" s="357" t="s">
        <v>408</v>
      </c>
      <c r="Z1842" s="365" t="s">
        <v>3017</v>
      </c>
      <c r="AA1842" s="350">
        <v>190</v>
      </c>
      <c r="AB1842" s="349" t="s">
        <v>2685</v>
      </c>
      <c r="AC1842" s="350">
        <v>10</v>
      </c>
      <c r="AD1842" s="349" t="s">
        <v>2685</v>
      </c>
      <c r="AE1842" s="364">
        <v>0</v>
      </c>
      <c r="AF1842" s="366">
        <v>0</v>
      </c>
      <c r="AG1842" s="363">
        <v>0</v>
      </c>
      <c r="AH1842" s="635" t="s">
        <v>408</v>
      </c>
      <c r="AL1842" s="487" t="s">
        <v>16222</v>
      </c>
      <c r="AM1842" s="477" t="s">
        <v>70</v>
      </c>
      <c r="AN1842" s="637">
        <v>100</v>
      </c>
      <c r="AO1842" s="478">
        <v>-1570</v>
      </c>
      <c r="AP1842" s="463">
        <v>-1570</v>
      </c>
      <c r="AQ1842" s="479">
        <v>0</v>
      </c>
      <c r="AR1842" s="476" t="s">
        <v>17899</v>
      </c>
      <c r="BA1842" s="313" t="s">
        <v>6649</v>
      </c>
    </row>
    <row r="1843" spans="2:53" ht="16.5" customHeight="1">
      <c r="B1843" s="367" t="s">
        <v>12929</v>
      </c>
      <c r="C1843" s="351" t="s">
        <v>12930</v>
      </c>
      <c r="D1843" s="353">
        <v>-1570</v>
      </c>
      <c r="E1843" s="352" t="s">
        <v>12931</v>
      </c>
      <c r="F1843" s="341">
        <v>68.23</v>
      </c>
      <c r="G1843" s="355" t="s">
        <v>19120</v>
      </c>
      <c r="H1843" s="356" t="s">
        <v>6423</v>
      </c>
      <c r="I1843" s="354" t="s">
        <v>197</v>
      </c>
      <c r="J1843" s="340" t="s">
        <v>9540</v>
      </c>
      <c r="K1843" s="339" t="s">
        <v>71</v>
      </c>
      <c r="L1843" s="357">
        <v>7</v>
      </c>
      <c r="M1843" s="358" t="s">
        <v>12933</v>
      </c>
      <c r="N1843" s="359">
        <v>500</v>
      </c>
      <c r="O1843" s="360" t="s">
        <v>454</v>
      </c>
      <c r="P1843" s="343" t="s">
        <v>454</v>
      </c>
      <c r="Q1843" s="342" t="s">
        <v>2688</v>
      </c>
      <c r="R1843" s="344">
        <v>30</v>
      </c>
      <c r="S1843" s="345">
        <v>20</v>
      </c>
      <c r="T1843" s="362">
        <v>20</v>
      </c>
      <c r="U1843" s="361">
        <v>68.23</v>
      </c>
      <c r="V1843" s="346">
        <v>111.78404512489928</v>
      </c>
      <c r="W1843" s="348">
        <v>113.83317025440313</v>
      </c>
      <c r="X1843" s="347">
        <v>56.2</v>
      </c>
      <c r="Y1843" s="357" t="s">
        <v>408</v>
      </c>
      <c r="Z1843" s="365" t="s">
        <v>4408</v>
      </c>
      <c r="AA1843" s="350">
        <v>141</v>
      </c>
      <c r="AB1843" s="349" t="s">
        <v>2685</v>
      </c>
      <c r="AC1843" s="350">
        <v>1.5</v>
      </c>
      <c r="AD1843" s="349" t="s">
        <v>2685</v>
      </c>
      <c r="AE1843" s="364">
        <v>0</v>
      </c>
      <c r="AF1843" s="366">
        <v>10.234999999999999</v>
      </c>
      <c r="AG1843" s="363">
        <v>0</v>
      </c>
      <c r="AH1843" s="635" t="s">
        <v>6360</v>
      </c>
      <c r="AL1843" s="487" t="s">
        <v>16221</v>
      </c>
      <c r="AM1843" s="477" t="s">
        <v>71</v>
      </c>
      <c r="AN1843" s="637">
        <v>100</v>
      </c>
      <c r="AO1843" s="478">
        <v>-1570</v>
      </c>
      <c r="AP1843" s="463">
        <v>-664</v>
      </c>
      <c r="AQ1843" s="479">
        <v>-906</v>
      </c>
      <c r="AR1843" s="476" t="s">
        <v>17900</v>
      </c>
      <c r="BA1843" s="313" t="s">
        <v>6652</v>
      </c>
    </row>
    <row r="1844" spans="2:53" ht="16.5" customHeight="1">
      <c r="B1844" s="367" t="s">
        <v>12934</v>
      </c>
      <c r="C1844" s="351" t="s">
        <v>12935</v>
      </c>
      <c r="D1844" s="353">
        <v>-1570</v>
      </c>
      <c r="E1844" s="352" t="s">
        <v>12936</v>
      </c>
      <c r="F1844" s="341">
        <v>68.22</v>
      </c>
      <c r="G1844" s="355" t="s">
        <v>19121</v>
      </c>
      <c r="H1844" s="356" t="s">
        <v>6428</v>
      </c>
      <c r="I1844" s="354" t="s">
        <v>197</v>
      </c>
      <c r="J1844" s="340" t="s">
        <v>12937</v>
      </c>
      <c r="K1844" s="339" t="s">
        <v>71</v>
      </c>
      <c r="L1844" s="357">
        <v>19</v>
      </c>
      <c r="M1844" s="358" t="s">
        <v>12938</v>
      </c>
      <c r="N1844" s="359">
        <v>500</v>
      </c>
      <c r="O1844" s="360" t="s">
        <v>454</v>
      </c>
      <c r="P1844" s="343" t="s">
        <v>454</v>
      </c>
      <c r="Q1844" s="342" t="s">
        <v>2688</v>
      </c>
      <c r="R1844" s="344">
        <v>30</v>
      </c>
      <c r="S1844" s="345">
        <v>20</v>
      </c>
      <c r="T1844" s="362">
        <v>20</v>
      </c>
      <c r="U1844" s="361">
        <v>68.22</v>
      </c>
      <c r="V1844" s="346">
        <v>111.77598710717163</v>
      </c>
      <c r="W1844" s="348">
        <v>113.82827788649706</v>
      </c>
      <c r="X1844" s="347">
        <v>56.2</v>
      </c>
      <c r="Y1844" s="357" t="s">
        <v>408</v>
      </c>
      <c r="Z1844" s="365" t="s">
        <v>4408</v>
      </c>
      <c r="AA1844" s="350">
        <v>141</v>
      </c>
      <c r="AB1844" s="349" t="s">
        <v>2685</v>
      </c>
      <c r="AC1844" s="350">
        <v>1.5</v>
      </c>
      <c r="AD1844" s="349" t="s">
        <v>2685</v>
      </c>
      <c r="AE1844" s="364">
        <v>0</v>
      </c>
      <c r="AF1844" s="366">
        <v>10.233000000000001</v>
      </c>
      <c r="AG1844" s="363">
        <v>0</v>
      </c>
      <c r="AH1844" s="635" t="s">
        <v>6360</v>
      </c>
      <c r="AL1844" s="487" t="s">
        <v>16223</v>
      </c>
      <c r="AM1844" s="477" t="s">
        <v>71</v>
      </c>
      <c r="AN1844" s="637">
        <v>100</v>
      </c>
      <c r="AO1844" s="478">
        <v>-1570</v>
      </c>
      <c r="AP1844" s="463">
        <v>-664</v>
      </c>
      <c r="AQ1844" s="479">
        <v>-906</v>
      </c>
      <c r="AR1844" s="476" t="s">
        <v>17901</v>
      </c>
      <c r="BA1844" s="313" t="s">
        <v>6655</v>
      </c>
    </row>
    <row r="1845" spans="2:53" ht="16.5" customHeight="1">
      <c r="B1845" s="367" t="s">
        <v>12939</v>
      </c>
      <c r="C1845" s="351" t="s">
        <v>12940</v>
      </c>
      <c r="D1845" s="353">
        <v>-1570</v>
      </c>
      <c r="E1845" s="352" t="s">
        <v>12941</v>
      </c>
      <c r="F1845" s="341">
        <v>68.209999999999994</v>
      </c>
      <c r="G1845" s="355" t="s">
        <v>19122</v>
      </c>
      <c r="H1845" s="356" t="s">
        <v>12730</v>
      </c>
      <c r="I1845" s="354" t="s">
        <v>404</v>
      </c>
      <c r="J1845" s="340" t="s">
        <v>439</v>
      </c>
      <c r="K1845" s="339" t="s">
        <v>71</v>
      </c>
      <c r="L1845" s="357">
        <v>5</v>
      </c>
      <c r="M1845" s="358" t="s">
        <v>12942</v>
      </c>
      <c r="N1845" s="359">
        <v>800</v>
      </c>
      <c r="O1845" s="360" t="s">
        <v>454</v>
      </c>
      <c r="P1845" s="343" t="s">
        <v>454</v>
      </c>
      <c r="Q1845" s="342" t="s">
        <v>2688</v>
      </c>
      <c r="R1845" s="344">
        <v>25</v>
      </c>
      <c r="S1845" s="345">
        <v>25</v>
      </c>
      <c r="T1845" s="362">
        <v>25</v>
      </c>
      <c r="U1845" s="361">
        <v>68.209999999999994</v>
      </c>
      <c r="V1845" s="346">
        <v>111.7681568627451</v>
      </c>
      <c r="W1845" s="348">
        <v>113.82352380952381</v>
      </c>
      <c r="X1845" s="347">
        <v>56.19</v>
      </c>
      <c r="Y1845" s="357" t="s">
        <v>408</v>
      </c>
      <c r="Z1845" s="365" t="s">
        <v>4408</v>
      </c>
      <c r="AA1845" s="350">
        <v>180</v>
      </c>
      <c r="AB1845" s="349" t="s">
        <v>2685</v>
      </c>
      <c r="AC1845" s="350">
        <v>0</v>
      </c>
      <c r="AD1845" s="349" t="s">
        <v>2685</v>
      </c>
      <c r="AE1845" s="364">
        <v>0</v>
      </c>
      <c r="AF1845" s="366">
        <v>0</v>
      </c>
      <c r="AG1845" s="363">
        <v>0</v>
      </c>
      <c r="AH1845" s="635" t="s">
        <v>12943</v>
      </c>
      <c r="AL1845" s="487" t="s">
        <v>7228</v>
      </c>
      <c r="AM1845" s="477" t="s">
        <v>71</v>
      </c>
      <c r="AN1845" s="637">
        <v>100</v>
      </c>
      <c r="AO1845" s="478">
        <v>-1570</v>
      </c>
      <c r="AP1845" s="463">
        <v>-664</v>
      </c>
      <c r="AQ1845" s="479">
        <v>-906</v>
      </c>
      <c r="AR1845" s="476" t="s">
        <v>17902</v>
      </c>
      <c r="BA1845" s="313" t="s">
        <v>6656</v>
      </c>
    </row>
    <row r="1846" spans="2:53" ht="16.5" customHeight="1">
      <c r="B1846" s="367" t="s">
        <v>12944</v>
      </c>
      <c r="C1846" s="351" t="s">
        <v>12945</v>
      </c>
      <c r="D1846" s="353">
        <v>-1570</v>
      </c>
      <c r="E1846" s="352" t="s">
        <v>6631</v>
      </c>
      <c r="F1846" s="341">
        <v>68.19</v>
      </c>
      <c r="G1846" s="355" t="s">
        <v>6670</v>
      </c>
      <c r="H1846" s="356" t="s">
        <v>19123</v>
      </c>
      <c r="I1846" s="354" t="s">
        <v>485</v>
      </c>
      <c r="J1846" s="340" t="s">
        <v>9799</v>
      </c>
      <c r="K1846" s="339" t="s">
        <v>71</v>
      </c>
      <c r="L1846" s="357">
        <v>11</v>
      </c>
      <c r="M1846" s="358" t="s">
        <v>12946</v>
      </c>
      <c r="N1846" s="359">
        <v>100</v>
      </c>
      <c r="O1846" s="360" t="s">
        <v>454</v>
      </c>
      <c r="P1846" s="343" t="s">
        <v>454</v>
      </c>
      <c r="Q1846" s="342" t="s">
        <v>2738</v>
      </c>
      <c r="R1846" s="344">
        <v>33</v>
      </c>
      <c r="S1846" s="345">
        <v>33</v>
      </c>
      <c r="T1846" s="362">
        <v>15</v>
      </c>
      <c r="U1846" s="361">
        <v>68.19</v>
      </c>
      <c r="V1846" s="346">
        <v>111.75735294117648</v>
      </c>
      <c r="W1846" s="348">
        <v>113.81696428571429</v>
      </c>
      <c r="X1846" s="347">
        <v>56.19</v>
      </c>
      <c r="Y1846" s="357" t="s">
        <v>408</v>
      </c>
      <c r="Z1846" s="365" t="s">
        <v>3017</v>
      </c>
      <c r="AA1846" s="350">
        <v>19.600000000000001</v>
      </c>
      <c r="AB1846" s="349" t="s">
        <v>2685</v>
      </c>
      <c r="AC1846" s="350">
        <v>0</v>
      </c>
      <c r="AD1846" s="349" t="s">
        <v>2685</v>
      </c>
      <c r="AE1846" s="364">
        <v>0</v>
      </c>
      <c r="AF1846" s="366">
        <v>0</v>
      </c>
      <c r="AG1846" s="363">
        <v>0</v>
      </c>
      <c r="AH1846" s="635" t="s">
        <v>408</v>
      </c>
      <c r="AL1846" s="487" t="s">
        <v>16224</v>
      </c>
      <c r="AM1846" s="477" t="s">
        <v>71</v>
      </c>
      <c r="AN1846" s="637">
        <v>100</v>
      </c>
      <c r="AO1846" s="478">
        <v>-1570</v>
      </c>
      <c r="AP1846" s="463">
        <v>-663</v>
      </c>
      <c r="AQ1846" s="479">
        <v>-907</v>
      </c>
      <c r="AR1846" s="476" t="s">
        <v>17903</v>
      </c>
      <c r="BA1846" s="313" t="s">
        <v>6658</v>
      </c>
    </row>
    <row r="1847" spans="2:53" ht="16.5" customHeight="1">
      <c r="B1847" s="367" t="s">
        <v>12947</v>
      </c>
      <c r="C1847" s="351" t="s">
        <v>12948</v>
      </c>
      <c r="D1847" s="353">
        <v>-1570</v>
      </c>
      <c r="E1847" s="352" t="s">
        <v>408</v>
      </c>
      <c r="F1847" s="341">
        <v>68.17</v>
      </c>
      <c r="G1847" s="355" t="s">
        <v>12949</v>
      </c>
      <c r="H1847" s="356" t="s">
        <v>12649</v>
      </c>
      <c r="I1847" s="354" t="s">
        <v>212</v>
      </c>
      <c r="J1847" s="340" t="s">
        <v>12950</v>
      </c>
      <c r="K1847" s="339" t="s">
        <v>70</v>
      </c>
      <c r="L1847" s="357">
        <v>12</v>
      </c>
      <c r="M1847" s="358" t="s">
        <v>12951</v>
      </c>
      <c r="N1847" s="359">
        <v>800</v>
      </c>
      <c r="O1847" s="360" t="s">
        <v>532</v>
      </c>
      <c r="P1847" s="343" t="s">
        <v>532</v>
      </c>
      <c r="Q1847" s="342" t="s">
        <v>2688</v>
      </c>
      <c r="R1847" s="344">
        <v>30</v>
      </c>
      <c r="S1847" s="345">
        <v>40</v>
      </c>
      <c r="T1847" s="362">
        <v>30</v>
      </c>
      <c r="U1847" s="361">
        <v>68.17</v>
      </c>
      <c r="V1847" s="346">
        <v>111.74808451991028</v>
      </c>
      <c r="W1847" s="348">
        <v>113.81133702994552</v>
      </c>
      <c r="X1847" s="347" t="s">
        <v>19119</v>
      </c>
      <c r="Y1847" s="357" t="s">
        <v>408</v>
      </c>
      <c r="Z1847" s="365" t="s">
        <v>3017</v>
      </c>
      <c r="AA1847" s="350">
        <v>190</v>
      </c>
      <c r="AB1847" s="349" t="s">
        <v>2685</v>
      </c>
      <c r="AC1847" s="350">
        <v>10</v>
      </c>
      <c r="AD1847" s="349" t="s">
        <v>2685</v>
      </c>
      <c r="AE1847" s="364">
        <v>0</v>
      </c>
      <c r="AF1847" s="366">
        <v>0</v>
      </c>
      <c r="AG1847" s="363">
        <v>0</v>
      </c>
      <c r="AH1847" s="635" t="s">
        <v>408</v>
      </c>
      <c r="AL1847" s="487" t="s">
        <v>16227</v>
      </c>
      <c r="AM1847" s="477" t="s">
        <v>70</v>
      </c>
      <c r="AN1847" s="637">
        <v>100</v>
      </c>
      <c r="AO1847" s="478">
        <v>-1570</v>
      </c>
      <c r="AP1847" s="463">
        <v>-1570</v>
      </c>
      <c r="AQ1847" s="479">
        <v>0</v>
      </c>
      <c r="AR1847" s="476" t="s">
        <v>17904</v>
      </c>
      <c r="BA1847" s="313" t="s">
        <v>6659</v>
      </c>
    </row>
    <row r="1848" spans="2:53" ht="16.5" customHeight="1">
      <c r="B1848" s="367" t="s">
        <v>12947</v>
      </c>
      <c r="C1848" s="351" t="s">
        <v>12948</v>
      </c>
      <c r="D1848" s="353">
        <v>-1570</v>
      </c>
      <c r="E1848" s="352" t="s">
        <v>408</v>
      </c>
      <c r="F1848" s="341">
        <v>68.17</v>
      </c>
      <c r="G1848" s="355" t="s">
        <v>12949</v>
      </c>
      <c r="H1848" s="356" t="s">
        <v>12649</v>
      </c>
      <c r="I1848" s="354" t="s">
        <v>212</v>
      </c>
      <c r="J1848" s="340" t="s">
        <v>12952</v>
      </c>
      <c r="K1848" s="339" t="s">
        <v>70</v>
      </c>
      <c r="L1848" s="357">
        <v>26</v>
      </c>
      <c r="M1848" s="358" t="s">
        <v>12953</v>
      </c>
      <c r="N1848" s="359">
        <v>800</v>
      </c>
      <c r="O1848" s="360" t="s">
        <v>532</v>
      </c>
      <c r="P1848" s="343" t="s">
        <v>532</v>
      </c>
      <c r="Q1848" s="342" t="s">
        <v>2688</v>
      </c>
      <c r="R1848" s="344">
        <v>30</v>
      </c>
      <c r="S1848" s="345">
        <v>40</v>
      </c>
      <c r="T1848" s="362">
        <v>30</v>
      </c>
      <c r="U1848" s="361">
        <v>68.17</v>
      </c>
      <c r="V1848" s="346">
        <v>111.74488673898249</v>
      </c>
      <c r="W1848" s="348">
        <v>113.80939552009652</v>
      </c>
      <c r="X1848" s="347" t="s">
        <v>19119</v>
      </c>
      <c r="Y1848" s="357" t="s">
        <v>408</v>
      </c>
      <c r="Z1848" s="365" t="s">
        <v>3017</v>
      </c>
      <c r="AA1848" s="350">
        <v>190</v>
      </c>
      <c r="AB1848" s="349" t="s">
        <v>2685</v>
      </c>
      <c r="AC1848" s="350">
        <v>10</v>
      </c>
      <c r="AD1848" s="349" t="s">
        <v>2685</v>
      </c>
      <c r="AE1848" s="364">
        <v>0</v>
      </c>
      <c r="AF1848" s="366">
        <v>0</v>
      </c>
      <c r="AG1848" s="363">
        <v>0</v>
      </c>
      <c r="AH1848" s="635" t="s">
        <v>408</v>
      </c>
      <c r="AL1848" s="487" t="s">
        <v>16228</v>
      </c>
      <c r="AM1848" s="477" t="s">
        <v>70</v>
      </c>
      <c r="AN1848" s="637">
        <v>100</v>
      </c>
      <c r="AO1848" s="478">
        <v>-1570</v>
      </c>
      <c r="AP1848" s="463">
        <v>-1570</v>
      </c>
      <c r="AQ1848" s="479">
        <v>0</v>
      </c>
      <c r="AR1848" s="476" t="s">
        <v>17904</v>
      </c>
      <c r="BA1848" s="313" t="s">
        <v>6661</v>
      </c>
    </row>
    <row r="1849" spans="2:53" ht="16.5" customHeight="1">
      <c r="B1849" s="367" t="s">
        <v>12947</v>
      </c>
      <c r="C1849" s="351" t="s">
        <v>12948</v>
      </c>
      <c r="D1849" s="353">
        <v>-1570</v>
      </c>
      <c r="E1849" s="352" t="s">
        <v>408</v>
      </c>
      <c r="F1849" s="341">
        <v>68.17</v>
      </c>
      <c r="G1849" s="355" t="s">
        <v>12949</v>
      </c>
      <c r="H1849" s="356" t="s">
        <v>12649</v>
      </c>
      <c r="I1849" s="354" t="s">
        <v>212</v>
      </c>
      <c r="J1849" s="340" t="s">
        <v>12954</v>
      </c>
      <c r="K1849" s="339" t="s">
        <v>70</v>
      </c>
      <c r="L1849" s="357">
        <v>7</v>
      </c>
      <c r="M1849" s="358" t="s">
        <v>12955</v>
      </c>
      <c r="N1849" s="359">
        <v>800</v>
      </c>
      <c r="O1849" s="360" t="s">
        <v>532</v>
      </c>
      <c r="P1849" s="343" t="s">
        <v>532</v>
      </c>
      <c r="Q1849" s="342" t="s">
        <v>2688</v>
      </c>
      <c r="R1849" s="344">
        <v>30</v>
      </c>
      <c r="S1849" s="345">
        <v>40</v>
      </c>
      <c r="T1849" s="362">
        <v>30</v>
      </c>
      <c r="U1849" s="361">
        <v>68.17</v>
      </c>
      <c r="V1849" s="346">
        <v>111.74509992437767</v>
      </c>
      <c r="W1849" s="348">
        <v>113.80952495408644</v>
      </c>
      <c r="X1849" s="347" t="s">
        <v>19119</v>
      </c>
      <c r="Y1849" s="357" t="s">
        <v>408</v>
      </c>
      <c r="Z1849" s="365" t="s">
        <v>3017</v>
      </c>
      <c r="AA1849" s="350">
        <v>190</v>
      </c>
      <c r="AB1849" s="349" t="s">
        <v>2685</v>
      </c>
      <c r="AC1849" s="350">
        <v>10</v>
      </c>
      <c r="AD1849" s="349" t="s">
        <v>2685</v>
      </c>
      <c r="AE1849" s="364">
        <v>0</v>
      </c>
      <c r="AF1849" s="366">
        <v>0</v>
      </c>
      <c r="AG1849" s="363">
        <v>0</v>
      </c>
      <c r="AH1849" s="635" t="s">
        <v>408</v>
      </c>
      <c r="AL1849" s="487" t="s">
        <v>16229</v>
      </c>
      <c r="AM1849" s="477" t="s">
        <v>70</v>
      </c>
      <c r="AN1849" s="637">
        <v>100</v>
      </c>
      <c r="AO1849" s="478">
        <v>-1570</v>
      </c>
      <c r="AP1849" s="463">
        <v>-1570</v>
      </c>
      <c r="AQ1849" s="479">
        <v>0</v>
      </c>
      <c r="AR1849" s="476" t="s">
        <v>17904</v>
      </c>
      <c r="BA1849" s="313" t="s">
        <v>6662</v>
      </c>
    </row>
    <row r="1850" spans="2:53" ht="16.5" customHeight="1">
      <c r="B1850" s="367" t="s">
        <v>13045</v>
      </c>
      <c r="C1850" s="351" t="s">
        <v>13046</v>
      </c>
      <c r="D1850" s="353">
        <v>-1570</v>
      </c>
      <c r="E1850" s="352" t="s">
        <v>12958</v>
      </c>
      <c r="F1850" s="341">
        <v>68.17</v>
      </c>
      <c r="G1850" s="355" t="s">
        <v>13047</v>
      </c>
      <c r="H1850" s="356" t="s">
        <v>19124</v>
      </c>
      <c r="I1850" s="354" t="s">
        <v>8000</v>
      </c>
      <c r="J1850" s="340" t="s">
        <v>489</v>
      </c>
      <c r="K1850" s="339" t="s">
        <v>71</v>
      </c>
      <c r="L1850" s="357">
        <v>31</v>
      </c>
      <c r="M1850" s="358" t="s">
        <v>12974</v>
      </c>
      <c r="N1850" s="359">
        <v>1000</v>
      </c>
      <c r="O1850" s="360" t="s">
        <v>532</v>
      </c>
      <c r="P1850" s="343" t="s">
        <v>532</v>
      </c>
      <c r="Q1850" s="342" t="s">
        <v>2688</v>
      </c>
      <c r="R1850" s="344">
        <v>30</v>
      </c>
      <c r="S1850" s="345">
        <v>25</v>
      </c>
      <c r="T1850" s="362">
        <v>25</v>
      </c>
      <c r="U1850" s="361">
        <v>68.17</v>
      </c>
      <c r="V1850" s="346">
        <v>111.74454322421347</v>
      </c>
      <c r="W1850" s="348">
        <v>113.80918695755818</v>
      </c>
      <c r="X1850" s="347" t="s">
        <v>19125</v>
      </c>
      <c r="Y1850" s="357" t="s">
        <v>408</v>
      </c>
      <c r="Z1850" s="365" t="s">
        <v>4408</v>
      </c>
      <c r="AA1850" s="350">
        <v>192</v>
      </c>
      <c r="AB1850" s="349" t="s">
        <v>2685</v>
      </c>
      <c r="AC1850" s="350">
        <v>0</v>
      </c>
      <c r="AD1850" s="349" t="s">
        <v>2685</v>
      </c>
      <c r="AE1850" s="364">
        <v>0</v>
      </c>
      <c r="AF1850" s="366">
        <v>0</v>
      </c>
      <c r="AG1850" s="363">
        <v>0</v>
      </c>
      <c r="AH1850" s="635" t="s">
        <v>408</v>
      </c>
      <c r="AL1850" s="487" t="s">
        <v>16225</v>
      </c>
      <c r="AM1850" s="477" t="s">
        <v>71</v>
      </c>
      <c r="AN1850" s="637">
        <v>100</v>
      </c>
      <c r="AO1850" s="478">
        <v>-1570</v>
      </c>
      <c r="AP1850" s="463">
        <v>-663</v>
      </c>
      <c r="AQ1850" s="479">
        <v>-907</v>
      </c>
      <c r="AR1850" s="476" t="s">
        <v>17905</v>
      </c>
      <c r="BA1850" s="313" t="s">
        <v>6664</v>
      </c>
    </row>
    <row r="1851" spans="2:53" ht="16.5" customHeight="1">
      <c r="B1851" s="367" t="s">
        <v>12956</v>
      </c>
      <c r="C1851" s="351" t="s">
        <v>12957</v>
      </c>
      <c r="D1851" s="353">
        <v>-1570</v>
      </c>
      <c r="E1851" s="352" t="s">
        <v>12958</v>
      </c>
      <c r="F1851" s="341">
        <v>68.150000000000006</v>
      </c>
      <c r="G1851" s="355" t="s">
        <v>19126</v>
      </c>
      <c r="H1851" s="356" t="s">
        <v>19127</v>
      </c>
      <c r="I1851" s="354" t="s">
        <v>403</v>
      </c>
      <c r="J1851" s="340" t="s">
        <v>439</v>
      </c>
      <c r="K1851" s="339" t="s">
        <v>71</v>
      </c>
      <c r="L1851" s="357">
        <v>7</v>
      </c>
      <c r="M1851" s="358" t="s">
        <v>7064</v>
      </c>
      <c r="N1851" s="359">
        <v>900</v>
      </c>
      <c r="O1851" s="360" t="s">
        <v>454</v>
      </c>
      <c r="P1851" s="343" t="s">
        <v>454</v>
      </c>
      <c r="Q1851" s="342" t="s">
        <v>2688</v>
      </c>
      <c r="R1851" s="344">
        <v>25</v>
      </c>
      <c r="S1851" s="345">
        <v>25</v>
      </c>
      <c r="T1851" s="362">
        <v>25</v>
      </c>
      <c r="U1851" s="361">
        <v>68.150000000000006</v>
      </c>
      <c r="V1851" s="346">
        <v>111.73420479302833</v>
      </c>
      <c r="W1851" s="348">
        <v>113.80291005291005</v>
      </c>
      <c r="X1851" s="347">
        <v>56.18</v>
      </c>
      <c r="Y1851" s="357" t="s">
        <v>408</v>
      </c>
      <c r="Z1851" s="365" t="s">
        <v>4408</v>
      </c>
      <c r="AA1851" s="350">
        <v>180</v>
      </c>
      <c r="AB1851" s="349" t="s">
        <v>2685</v>
      </c>
      <c r="AC1851" s="350">
        <v>0</v>
      </c>
      <c r="AD1851" s="349" t="s">
        <v>2685</v>
      </c>
      <c r="AE1851" s="364">
        <v>0</v>
      </c>
      <c r="AF1851" s="366">
        <v>0</v>
      </c>
      <c r="AG1851" s="363">
        <v>0</v>
      </c>
      <c r="AH1851" s="635" t="s">
        <v>12959</v>
      </c>
      <c r="AL1851" s="487" t="s">
        <v>7243</v>
      </c>
      <c r="AM1851" s="477" t="s">
        <v>71</v>
      </c>
      <c r="AN1851" s="637">
        <v>100</v>
      </c>
      <c r="AO1851" s="478">
        <v>-1570</v>
      </c>
      <c r="AP1851" s="463">
        <v>-663</v>
      </c>
      <c r="AQ1851" s="479">
        <v>-907</v>
      </c>
      <c r="AR1851" s="476" t="s">
        <v>17906</v>
      </c>
      <c r="BA1851" s="313" t="s">
        <v>6666</v>
      </c>
    </row>
    <row r="1852" spans="2:53" ht="16.5" customHeight="1">
      <c r="B1852" s="367" t="s">
        <v>12956</v>
      </c>
      <c r="C1852" s="351" t="s">
        <v>12957</v>
      </c>
      <c r="D1852" s="353">
        <v>-1570</v>
      </c>
      <c r="E1852" s="352" t="s">
        <v>12963</v>
      </c>
      <c r="F1852" s="341">
        <v>68.150000000000006</v>
      </c>
      <c r="G1852" s="355" t="s">
        <v>19126</v>
      </c>
      <c r="H1852" s="356" t="s">
        <v>19127</v>
      </c>
      <c r="I1852" s="354" t="s">
        <v>213</v>
      </c>
      <c r="J1852" s="340" t="s">
        <v>8269</v>
      </c>
      <c r="K1852" s="339" t="s">
        <v>71</v>
      </c>
      <c r="L1852" s="357">
        <v>5</v>
      </c>
      <c r="M1852" s="358" t="s">
        <v>12960</v>
      </c>
      <c r="N1852" s="359">
        <v>1000</v>
      </c>
      <c r="O1852" s="360" t="s">
        <v>454</v>
      </c>
      <c r="P1852" s="343" t="s">
        <v>454</v>
      </c>
      <c r="Q1852" s="342" t="s">
        <v>2688</v>
      </c>
      <c r="R1852" s="344">
        <v>30</v>
      </c>
      <c r="S1852" s="345">
        <v>20</v>
      </c>
      <c r="T1852" s="362">
        <v>30</v>
      </c>
      <c r="U1852" s="361">
        <v>68.150000000000006</v>
      </c>
      <c r="V1852" s="346">
        <v>111.73529411764706</v>
      </c>
      <c r="W1852" s="348">
        <v>113.80357142857143</v>
      </c>
      <c r="X1852" s="347">
        <v>56.18</v>
      </c>
      <c r="Y1852" s="357" t="s">
        <v>408</v>
      </c>
      <c r="Z1852" s="365" t="s">
        <v>4408</v>
      </c>
      <c r="AA1852" s="350">
        <v>180</v>
      </c>
      <c r="AB1852" s="349" t="s">
        <v>2685</v>
      </c>
      <c r="AC1852" s="350">
        <v>10</v>
      </c>
      <c r="AD1852" s="349" t="s">
        <v>2685</v>
      </c>
      <c r="AE1852" s="364">
        <v>0</v>
      </c>
      <c r="AF1852" s="366">
        <v>0</v>
      </c>
      <c r="AG1852" s="363">
        <v>0</v>
      </c>
      <c r="AH1852" s="635" t="s">
        <v>408</v>
      </c>
      <c r="AL1852" s="487" t="s">
        <v>16226</v>
      </c>
      <c r="AM1852" s="477" t="s">
        <v>71</v>
      </c>
      <c r="AN1852" s="637">
        <v>100</v>
      </c>
      <c r="AO1852" s="478">
        <v>-1570</v>
      </c>
      <c r="AP1852" s="463">
        <v>-663</v>
      </c>
      <c r="AQ1852" s="479">
        <v>-907</v>
      </c>
      <c r="AR1852" s="476" t="s">
        <v>17906</v>
      </c>
      <c r="BA1852" s="313" t="s">
        <v>6667</v>
      </c>
    </row>
    <row r="1853" spans="2:53" ht="16.5" customHeight="1">
      <c r="B1853" s="367" t="s">
        <v>12961</v>
      </c>
      <c r="C1853" s="351" t="s">
        <v>12962</v>
      </c>
      <c r="D1853" s="353">
        <v>-1570</v>
      </c>
      <c r="E1853" s="352" t="s">
        <v>408</v>
      </c>
      <c r="F1853" s="341">
        <v>68.11</v>
      </c>
      <c r="G1853" s="355" t="s">
        <v>6717</v>
      </c>
      <c r="H1853" s="356" t="s">
        <v>19128</v>
      </c>
      <c r="I1853" s="354" t="s">
        <v>197</v>
      </c>
      <c r="J1853" s="340" t="s">
        <v>11380</v>
      </c>
      <c r="K1853" s="339" t="s">
        <v>71</v>
      </c>
      <c r="L1853" s="357">
        <v>6</v>
      </c>
      <c r="M1853" s="358" t="s">
        <v>12964</v>
      </c>
      <c r="N1853" s="359">
        <v>500</v>
      </c>
      <c r="O1853" s="360" t="s">
        <v>454</v>
      </c>
      <c r="P1853" s="343" t="s">
        <v>454</v>
      </c>
      <c r="Q1853" s="342" t="s">
        <v>2688</v>
      </c>
      <c r="R1853" s="344">
        <v>30</v>
      </c>
      <c r="S1853" s="345">
        <v>20</v>
      </c>
      <c r="T1853" s="362">
        <v>20</v>
      </c>
      <c r="U1853" s="361">
        <v>68.11</v>
      </c>
      <c r="V1853" s="346">
        <v>111.71152296535053</v>
      </c>
      <c r="W1853" s="348">
        <v>113.78913894324855</v>
      </c>
      <c r="X1853" s="347">
        <v>56.16</v>
      </c>
      <c r="Y1853" s="357" t="s">
        <v>408</v>
      </c>
      <c r="Z1853" s="365" t="s">
        <v>4408</v>
      </c>
      <c r="AA1853" s="350">
        <v>141</v>
      </c>
      <c r="AB1853" s="349" t="s">
        <v>2685</v>
      </c>
      <c r="AC1853" s="350">
        <v>1.5</v>
      </c>
      <c r="AD1853" s="349" t="s">
        <v>2685</v>
      </c>
      <c r="AE1853" s="364">
        <v>0</v>
      </c>
      <c r="AF1853" s="366">
        <v>10.217000000000001</v>
      </c>
      <c r="AG1853" s="363">
        <v>0</v>
      </c>
      <c r="AH1853" s="635" t="s">
        <v>6360</v>
      </c>
      <c r="AL1853" s="487" t="s">
        <v>16230</v>
      </c>
      <c r="AM1853" s="477" t="s">
        <v>71</v>
      </c>
      <c r="AN1853" s="637">
        <v>100</v>
      </c>
      <c r="AO1853" s="478">
        <v>-1570</v>
      </c>
      <c r="AP1853" s="463">
        <v>-663</v>
      </c>
      <c r="AQ1853" s="479">
        <v>-907</v>
      </c>
      <c r="AR1853" s="476" t="s">
        <v>17907</v>
      </c>
      <c r="BA1853" s="313" t="s">
        <v>6669</v>
      </c>
    </row>
    <row r="1854" spans="2:53" ht="16.5" customHeight="1">
      <c r="B1854" s="367" t="s">
        <v>6766</v>
      </c>
      <c r="C1854" s="351" t="s">
        <v>6767</v>
      </c>
      <c r="D1854" s="353">
        <v>-1570</v>
      </c>
      <c r="E1854" s="352" t="s">
        <v>408</v>
      </c>
      <c r="F1854" s="341">
        <v>68.09</v>
      </c>
      <c r="G1854" s="355" t="s">
        <v>6671</v>
      </c>
      <c r="H1854" s="356" t="s">
        <v>19129</v>
      </c>
      <c r="I1854" s="354" t="s">
        <v>212</v>
      </c>
      <c r="J1854" s="340" t="s">
        <v>12965</v>
      </c>
      <c r="K1854" s="339" t="s">
        <v>70</v>
      </c>
      <c r="L1854" s="357">
        <v>20</v>
      </c>
      <c r="M1854" s="358" t="s">
        <v>12966</v>
      </c>
      <c r="N1854" s="359">
        <v>800</v>
      </c>
      <c r="O1854" s="360" t="s">
        <v>532</v>
      </c>
      <c r="P1854" s="343" t="s">
        <v>532</v>
      </c>
      <c r="Q1854" s="342" t="s">
        <v>2688</v>
      </c>
      <c r="R1854" s="344">
        <v>30</v>
      </c>
      <c r="S1854" s="345">
        <v>40</v>
      </c>
      <c r="T1854" s="362">
        <v>30</v>
      </c>
      <c r="U1854" s="361">
        <v>68.09</v>
      </c>
      <c r="V1854" s="346">
        <v>111.70011780599341</v>
      </c>
      <c r="W1854" s="348">
        <v>113.7822143822103</v>
      </c>
      <c r="X1854" s="347" t="s">
        <v>19130</v>
      </c>
      <c r="Y1854" s="357" t="s">
        <v>408</v>
      </c>
      <c r="Z1854" s="365" t="s">
        <v>3017</v>
      </c>
      <c r="AA1854" s="350">
        <v>190</v>
      </c>
      <c r="AB1854" s="349" t="s">
        <v>2685</v>
      </c>
      <c r="AC1854" s="350">
        <v>10</v>
      </c>
      <c r="AD1854" s="349" t="s">
        <v>2685</v>
      </c>
      <c r="AE1854" s="364">
        <v>0</v>
      </c>
      <c r="AF1854" s="366">
        <v>0</v>
      </c>
      <c r="AG1854" s="363">
        <v>0</v>
      </c>
      <c r="AH1854" s="635" t="s">
        <v>408</v>
      </c>
      <c r="AL1854" s="487" t="s">
        <v>16231</v>
      </c>
      <c r="AM1854" s="477" t="s">
        <v>70</v>
      </c>
      <c r="AN1854" s="637">
        <v>100</v>
      </c>
      <c r="AO1854" s="478">
        <v>-1570</v>
      </c>
      <c r="AP1854" s="463">
        <v>-1570</v>
      </c>
      <c r="AQ1854" s="479">
        <v>0</v>
      </c>
      <c r="AR1854" s="476" t="s">
        <v>17908</v>
      </c>
      <c r="BA1854" s="313" t="s">
        <v>6672</v>
      </c>
    </row>
    <row r="1855" spans="2:53" ht="16.5" customHeight="1">
      <c r="B1855" s="367" t="s">
        <v>12967</v>
      </c>
      <c r="C1855" s="351" t="s">
        <v>12968</v>
      </c>
      <c r="D1855" s="353">
        <v>-1570</v>
      </c>
      <c r="E1855" s="352" t="s">
        <v>12973</v>
      </c>
      <c r="F1855" s="341">
        <v>68.06</v>
      </c>
      <c r="G1855" s="355" t="s">
        <v>6638</v>
      </c>
      <c r="H1855" s="356" t="s">
        <v>12658</v>
      </c>
      <c r="I1855" s="354" t="s">
        <v>212</v>
      </c>
      <c r="J1855" s="340" t="s">
        <v>12969</v>
      </c>
      <c r="K1855" s="339" t="s">
        <v>70</v>
      </c>
      <c r="L1855" s="357">
        <v>6</v>
      </c>
      <c r="M1855" s="358" t="s">
        <v>12970</v>
      </c>
      <c r="N1855" s="359">
        <v>800</v>
      </c>
      <c r="O1855" s="360" t="s">
        <v>532</v>
      </c>
      <c r="P1855" s="343" t="s">
        <v>532</v>
      </c>
      <c r="Q1855" s="342" t="s">
        <v>2688</v>
      </c>
      <c r="R1855" s="344">
        <v>30</v>
      </c>
      <c r="S1855" s="345">
        <v>40</v>
      </c>
      <c r="T1855" s="362">
        <v>30</v>
      </c>
      <c r="U1855" s="361">
        <v>68.06</v>
      </c>
      <c r="V1855" s="346">
        <v>111.67943882266037</v>
      </c>
      <c r="W1855" s="348">
        <v>113.76965928518666</v>
      </c>
      <c r="X1855" s="347" t="s">
        <v>19130</v>
      </c>
      <c r="Y1855" s="357" t="s">
        <v>408</v>
      </c>
      <c r="Z1855" s="365" t="s">
        <v>3017</v>
      </c>
      <c r="AA1855" s="350">
        <v>190</v>
      </c>
      <c r="AB1855" s="349" t="s">
        <v>2685</v>
      </c>
      <c r="AC1855" s="350">
        <v>10</v>
      </c>
      <c r="AD1855" s="349" t="s">
        <v>2685</v>
      </c>
      <c r="AE1855" s="364">
        <v>0</v>
      </c>
      <c r="AF1855" s="366">
        <v>0</v>
      </c>
      <c r="AG1855" s="363">
        <v>0</v>
      </c>
      <c r="AH1855" s="635" t="s">
        <v>408</v>
      </c>
      <c r="AL1855" s="487" t="s">
        <v>16232</v>
      </c>
      <c r="AM1855" s="477" t="s">
        <v>70</v>
      </c>
      <c r="AN1855" s="637">
        <v>100</v>
      </c>
      <c r="AO1855" s="478">
        <v>-1570</v>
      </c>
      <c r="AP1855" s="463">
        <v>-1570</v>
      </c>
      <c r="AQ1855" s="479">
        <v>0</v>
      </c>
      <c r="AR1855" s="476" t="s">
        <v>17909</v>
      </c>
      <c r="BA1855" s="313" t="s">
        <v>6673</v>
      </c>
    </row>
    <row r="1856" spans="2:53" ht="16.5" customHeight="1">
      <c r="B1856" s="367" t="s">
        <v>12975</v>
      </c>
      <c r="C1856" s="351" t="s">
        <v>12976</v>
      </c>
      <c r="D1856" s="353">
        <v>-1570</v>
      </c>
      <c r="E1856" s="352" t="s">
        <v>408</v>
      </c>
      <c r="F1856" s="341">
        <v>67.989999999999995</v>
      </c>
      <c r="G1856" s="355" t="s">
        <v>6647</v>
      </c>
      <c r="H1856" s="356" t="s">
        <v>6456</v>
      </c>
      <c r="I1856" s="354" t="s">
        <v>209</v>
      </c>
      <c r="J1856" s="340" t="s">
        <v>12977</v>
      </c>
      <c r="K1856" s="339" t="s">
        <v>70</v>
      </c>
      <c r="L1856" s="357">
        <v>9</v>
      </c>
      <c r="M1856" s="358" t="s">
        <v>12978</v>
      </c>
      <c r="N1856" s="359">
        <v>1000</v>
      </c>
      <c r="O1856" s="360" t="s">
        <v>530</v>
      </c>
      <c r="P1856" s="343" t="s">
        <v>530</v>
      </c>
      <c r="Q1856" s="342" t="s">
        <v>2688</v>
      </c>
      <c r="R1856" s="344">
        <v>20</v>
      </c>
      <c r="S1856" s="345">
        <v>30</v>
      </c>
      <c r="T1856" s="362">
        <v>30</v>
      </c>
      <c r="U1856" s="361">
        <v>67.989999999999995</v>
      </c>
      <c r="V1856" s="346">
        <v>111.64303765664197</v>
      </c>
      <c r="W1856" s="348">
        <v>113.74755857724691</v>
      </c>
      <c r="X1856" s="347">
        <v>56.58</v>
      </c>
      <c r="Y1856" s="357" t="s">
        <v>408</v>
      </c>
      <c r="Z1856" s="365" t="s">
        <v>3017</v>
      </c>
      <c r="AA1856" s="350">
        <v>198</v>
      </c>
      <c r="AB1856" s="349" t="s">
        <v>2685</v>
      </c>
      <c r="AC1856" s="350">
        <v>10</v>
      </c>
      <c r="AD1856" s="349" t="s">
        <v>2685</v>
      </c>
      <c r="AE1856" s="364">
        <v>0</v>
      </c>
      <c r="AF1856" s="366">
        <v>0</v>
      </c>
      <c r="AG1856" s="363">
        <v>0</v>
      </c>
      <c r="AH1856" s="635" t="s">
        <v>408</v>
      </c>
      <c r="AL1856" s="487" t="s">
        <v>16233</v>
      </c>
      <c r="AM1856" s="477" t="s">
        <v>70</v>
      </c>
      <c r="AN1856" s="637">
        <v>100</v>
      </c>
      <c r="AO1856" s="478">
        <v>-1570</v>
      </c>
      <c r="AP1856" s="463">
        <v>-1570</v>
      </c>
      <c r="AQ1856" s="479">
        <v>0</v>
      </c>
      <c r="AR1856" s="476" t="s">
        <v>17910</v>
      </c>
      <c r="BA1856" s="313" t="s">
        <v>6674</v>
      </c>
    </row>
    <row r="1857" spans="2:53" ht="16.5" customHeight="1">
      <c r="B1857" s="367" t="s">
        <v>12979</v>
      </c>
      <c r="C1857" s="351" t="s">
        <v>12980</v>
      </c>
      <c r="D1857" s="353">
        <v>-1570</v>
      </c>
      <c r="E1857" s="352" t="s">
        <v>408</v>
      </c>
      <c r="F1857" s="341">
        <v>67.98</v>
      </c>
      <c r="G1857" s="355" t="s">
        <v>12981</v>
      </c>
      <c r="H1857" s="356" t="s">
        <v>6354</v>
      </c>
      <c r="I1857" s="354" t="s">
        <v>214</v>
      </c>
      <c r="J1857" s="340" t="s">
        <v>8224</v>
      </c>
      <c r="K1857" s="339" t="s">
        <v>70</v>
      </c>
      <c r="L1857" s="357">
        <v>7</v>
      </c>
      <c r="M1857" s="358" t="s">
        <v>12982</v>
      </c>
      <c r="N1857" s="359">
        <v>200</v>
      </c>
      <c r="O1857" s="360" t="s">
        <v>532</v>
      </c>
      <c r="P1857" s="343" t="s">
        <v>532</v>
      </c>
      <c r="Q1857" s="342" t="s">
        <v>2688</v>
      </c>
      <c r="R1857" s="344">
        <v>20</v>
      </c>
      <c r="S1857" s="345">
        <v>30</v>
      </c>
      <c r="T1857" s="362">
        <v>30</v>
      </c>
      <c r="U1857" s="361">
        <v>67.98</v>
      </c>
      <c r="V1857" s="346">
        <v>111.63755490219212</v>
      </c>
      <c r="W1857" s="348">
        <v>113.74422976204522</v>
      </c>
      <c r="X1857" s="347" t="s">
        <v>19131</v>
      </c>
      <c r="Y1857" s="357" t="s">
        <v>408</v>
      </c>
      <c r="Z1857" s="365" t="s">
        <v>4408</v>
      </c>
      <c r="AA1857" s="350">
        <v>36</v>
      </c>
      <c r="AB1857" s="349" t="s">
        <v>2685</v>
      </c>
      <c r="AC1857" s="350">
        <v>0</v>
      </c>
      <c r="AD1857" s="349" t="s">
        <v>2685</v>
      </c>
      <c r="AE1857" s="364">
        <v>0</v>
      </c>
      <c r="AF1857" s="366">
        <v>0</v>
      </c>
      <c r="AG1857" s="363">
        <v>0</v>
      </c>
      <c r="AH1857" s="635" t="s">
        <v>408</v>
      </c>
      <c r="AL1857" s="487" t="s">
        <v>16235</v>
      </c>
      <c r="AM1857" s="477" t="s">
        <v>70</v>
      </c>
      <c r="AN1857" s="637">
        <v>100</v>
      </c>
      <c r="AO1857" s="478">
        <v>-1570</v>
      </c>
      <c r="AP1857" s="463">
        <v>-1570</v>
      </c>
      <c r="AQ1857" s="479">
        <v>0</v>
      </c>
      <c r="AR1857" s="476" t="s">
        <v>17911</v>
      </c>
      <c r="BA1857" s="313" t="s">
        <v>6675</v>
      </c>
    </row>
    <row r="1858" spans="2:53" ht="16.5" customHeight="1">
      <c r="B1858" s="367" t="s">
        <v>12983</v>
      </c>
      <c r="C1858" s="351" t="s">
        <v>12984</v>
      </c>
      <c r="D1858" s="353">
        <v>-1570</v>
      </c>
      <c r="E1858" s="352" t="s">
        <v>408</v>
      </c>
      <c r="F1858" s="341">
        <v>67.98</v>
      </c>
      <c r="G1858" s="355" t="s">
        <v>12985</v>
      </c>
      <c r="H1858" s="356" t="s">
        <v>19132</v>
      </c>
      <c r="I1858" s="354" t="s">
        <v>197</v>
      </c>
      <c r="J1858" s="340" t="s">
        <v>12986</v>
      </c>
      <c r="K1858" s="339" t="s">
        <v>70</v>
      </c>
      <c r="L1858" s="357">
        <v>15</v>
      </c>
      <c r="M1858" s="358" t="s">
        <v>12987</v>
      </c>
      <c r="N1858" s="359">
        <v>500</v>
      </c>
      <c r="O1858" s="360" t="s">
        <v>454</v>
      </c>
      <c r="P1858" s="343" t="s">
        <v>454</v>
      </c>
      <c r="Q1858" s="342" t="s">
        <v>2688</v>
      </c>
      <c r="R1858" s="344">
        <v>20</v>
      </c>
      <c r="S1858" s="345">
        <v>30</v>
      </c>
      <c r="T1858" s="362">
        <v>30</v>
      </c>
      <c r="U1858" s="361">
        <v>67.98</v>
      </c>
      <c r="V1858" s="346">
        <v>111.63288447909284</v>
      </c>
      <c r="W1858" s="348">
        <v>113.74139414802066</v>
      </c>
      <c r="X1858" s="347">
        <v>56.57</v>
      </c>
      <c r="Y1858" s="357" t="s">
        <v>408</v>
      </c>
      <c r="Z1858" s="365" t="s">
        <v>4408</v>
      </c>
      <c r="AA1858" s="350">
        <v>94</v>
      </c>
      <c r="AB1858" s="349" t="s">
        <v>2685</v>
      </c>
      <c r="AC1858" s="350">
        <v>1.5</v>
      </c>
      <c r="AD1858" s="349" t="s">
        <v>2685</v>
      </c>
      <c r="AE1858" s="364">
        <v>0</v>
      </c>
      <c r="AF1858" s="366">
        <v>10.196999999999999</v>
      </c>
      <c r="AG1858" s="363">
        <v>0</v>
      </c>
      <c r="AH1858" s="635" t="s">
        <v>6224</v>
      </c>
      <c r="AL1858" s="487" t="s">
        <v>16234</v>
      </c>
      <c r="AM1858" s="477" t="s">
        <v>70</v>
      </c>
      <c r="AN1858" s="637">
        <v>100</v>
      </c>
      <c r="AO1858" s="478">
        <v>-1570</v>
      </c>
      <c r="AP1858" s="463">
        <v>-1570</v>
      </c>
      <c r="AQ1858" s="479">
        <v>0</v>
      </c>
      <c r="AR1858" s="476" t="s">
        <v>17912</v>
      </c>
      <c r="BA1858" s="313" t="s">
        <v>6680</v>
      </c>
    </row>
    <row r="1859" spans="2:53" ht="16.5" customHeight="1">
      <c r="B1859" s="367" t="s">
        <v>12988</v>
      </c>
      <c r="C1859" s="351" t="s">
        <v>12989</v>
      </c>
      <c r="D1859" s="353">
        <v>-1570</v>
      </c>
      <c r="E1859" s="352" t="s">
        <v>408</v>
      </c>
      <c r="F1859" s="341">
        <v>67.930000000000007</v>
      </c>
      <c r="G1859" s="355" t="s">
        <v>12990</v>
      </c>
      <c r="H1859" s="356" t="s">
        <v>19044</v>
      </c>
      <c r="I1859" s="354" t="s">
        <v>212</v>
      </c>
      <c r="J1859" s="340" t="s">
        <v>12991</v>
      </c>
      <c r="K1859" s="339" t="s">
        <v>70</v>
      </c>
      <c r="L1859" s="357">
        <v>5</v>
      </c>
      <c r="M1859" s="358" t="s">
        <v>12992</v>
      </c>
      <c r="N1859" s="359">
        <v>800</v>
      </c>
      <c r="O1859" s="360" t="s">
        <v>532</v>
      </c>
      <c r="P1859" s="343" t="s">
        <v>532</v>
      </c>
      <c r="Q1859" s="342" t="s">
        <v>2688</v>
      </c>
      <c r="R1859" s="344">
        <v>30</v>
      </c>
      <c r="S1859" s="345">
        <v>40</v>
      </c>
      <c r="T1859" s="362">
        <v>30</v>
      </c>
      <c r="U1859" s="361">
        <v>67.930000000000007</v>
      </c>
      <c r="V1859" s="346">
        <v>111.60397119276456</v>
      </c>
      <c r="W1859" s="348">
        <v>113.72383965274992</v>
      </c>
      <c r="X1859" s="347" t="s">
        <v>19133</v>
      </c>
      <c r="Y1859" s="357" t="s">
        <v>408</v>
      </c>
      <c r="Z1859" s="365" t="s">
        <v>3017</v>
      </c>
      <c r="AA1859" s="350">
        <v>190</v>
      </c>
      <c r="AB1859" s="349" t="s">
        <v>2685</v>
      </c>
      <c r="AC1859" s="350">
        <v>10</v>
      </c>
      <c r="AD1859" s="349" t="s">
        <v>2685</v>
      </c>
      <c r="AE1859" s="364">
        <v>0</v>
      </c>
      <c r="AF1859" s="366">
        <v>0</v>
      </c>
      <c r="AG1859" s="363">
        <v>0</v>
      </c>
      <c r="AH1859" s="635" t="s">
        <v>408</v>
      </c>
      <c r="AL1859" s="487" t="s">
        <v>16237</v>
      </c>
      <c r="AM1859" s="477" t="s">
        <v>70</v>
      </c>
      <c r="AN1859" s="637">
        <v>100</v>
      </c>
      <c r="AO1859" s="478">
        <v>-1570</v>
      </c>
      <c r="AP1859" s="463">
        <v>-1570</v>
      </c>
      <c r="AQ1859" s="479">
        <v>0</v>
      </c>
      <c r="AR1859" s="476" t="s">
        <v>17913</v>
      </c>
      <c r="BA1859" s="313" t="s">
        <v>6682</v>
      </c>
    </row>
    <row r="1860" spans="2:53" ht="16.5" customHeight="1">
      <c r="B1860" s="367" t="s">
        <v>12988</v>
      </c>
      <c r="C1860" s="351" t="s">
        <v>12989</v>
      </c>
      <c r="D1860" s="353">
        <v>-1570</v>
      </c>
      <c r="E1860" s="352" t="s">
        <v>408</v>
      </c>
      <c r="F1860" s="341">
        <v>67.930000000000007</v>
      </c>
      <c r="G1860" s="355" t="s">
        <v>12990</v>
      </c>
      <c r="H1860" s="356" t="s">
        <v>19044</v>
      </c>
      <c r="I1860" s="354" t="s">
        <v>197</v>
      </c>
      <c r="J1860" s="340" t="s">
        <v>12993</v>
      </c>
      <c r="K1860" s="339" t="s">
        <v>70</v>
      </c>
      <c r="L1860" s="357">
        <v>7</v>
      </c>
      <c r="M1860" s="358" t="s">
        <v>6904</v>
      </c>
      <c r="N1860" s="359">
        <v>500</v>
      </c>
      <c r="O1860" s="360" t="s">
        <v>454</v>
      </c>
      <c r="P1860" s="343" t="s">
        <v>454</v>
      </c>
      <c r="Q1860" s="342" t="s">
        <v>2688</v>
      </c>
      <c r="R1860" s="344">
        <v>20</v>
      </c>
      <c r="S1860" s="345">
        <v>30</v>
      </c>
      <c r="T1860" s="362">
        <v>30</v>
      </c>
      <c r="U1860" s="361">
        <v>67.930000000000007</v>
      </c>
      <c r="V1860" s="346">
        <v>111.6045357902197</v>
      </c>
      <c r="W1860" s="348">
        <v>113.72418244406195</v>
      </c>
      <c r="X1860" s="347">
        <v>56.56</v>
      </c>
      <c r="Y1860" s="357" t="s">
        <v>408</v>
      </c>
      <c r="Z1860" s="365" t="s">
        <v>4408</v>
      </c>
      <c r="AA1860" s="350">
        <v>94</v>
      </c>
      <c r="AB1860" s="349" t="s">
        <v>2685</v>
      </c>
      <c r="AC1860" s="350">
        <v>1.5</v>
      </c>
      <c r="AD1860" s="349" t="s">
        <v>2685</v>
      </c>
      <c r="AE1860" s="364">
        <v>0</v>
      </c>
      <c r="AF1860" s="366">
        <v>10.19</v>
      </c>
      <c r="AG1860" s="363">
        <v>0</v>
      </c>
      <c r="AH1860" s="635" t="s">
        <v>6224</v>
      </c>
      <c r="AL1860" s="487" t="s">
        <v>16236</v>
      </c>
      <c r="AM1860" s="477" t="s">
        <v>70</v>
      </c>
      <c r="AN1860" s="637">
        <v>100</v>
      </c>
      <c r="AO1860" s="478">
        <v>-1570</v>
      </c>
      <c r="AP1860" s="463">
        <v>-1570</v>
      </c>
      <c r="AQ1860" s="479">
        <v>0</v>
      </c>
      <c r="AR1860" s="476" t="s">
        <v>17913</v>
      </c>
      <c r="BA1860" s="313" t="s">
        <v>6683</v>
      </c>
    </row>
    <row r="1861" spans="2:53" ht="16.5" customHeight="1">
      <c r="B1861" s="367" t="s">
        <v>18286</v>
      </c>
      <c r="C1861" s="351" t="s">
        <v>18287</v>
      </c>
      <c r="D1861" s="353">
        <v>-1570</v>
      </c>
      <c r="E1861" s="352" t="s">
        <v>408</v>
      </c>
      <c r="F1861" s="341">
        <v>67.849999999999994</v>
      </c>
      <c r="G1861" s="355" t="s">
        <v>6736</v>
      </c>
      <c r="H1861" s="356" t="s">
        <v>19044</v>
      </c>
      <c r="I1861" s="354" t="s">
        <v>212</v>
      </c>
      <c r="J1861" s="340" t="s">
        <v>8863</v>
      </c>
      <c r="K1861" s="339" t="s">
        <v>71</v>
      </c>
      <c r="L1861" s="357">
        <v>8</v>
      </c>
      <c r="M1861" s="358" t="s">
        <v>13016</v>
      </c>
      <c r="N1861" s="359">
        <v>800</v>
      </c>
      <c r="O1861" s="360" t="s">
        <v>532</v>
      </c>
      <c r="P1861" s="343" t="s">
        <v>532</v>
      </c>
      <c r="Q1861" s="342" t="s">
        <v>2688</v>
      </c>
      <c r="R1861" s="344">
        <v>40</v>
      </c>
      <c r="S1861" s="345">
        <v>30</v>
      </c>
      <c r="T1861" s="362">
        <v>30</v>
      </c>
      <c r="U1861" s="361">
        <v>67.849999999999994</v>
      </c>
      <c r="V1861" s="346">
        <v>111.55860130451785</v>
      </c>
      <c r="W1861" s="348">
        <v>113.69629364917155</v>
      </c>
      <c r="X1861" s="347" t="s">
        <v>19134</v>
      </c>
      <c r="Y1861" s="357" t="s">
        <v>408</v>
      </c>
      <c r="Z1861" s="365" t="s">
        <v>3017</v>
      </c>
      <c r="AA1861" s="350">
        <v>190</v>
      </c>
      <c r="AB1861" s="349" t="s">
        <v>2685</v>
      </c>
      <c r="AC1861" s="350">
        <v>10</v>
      </c>
      <c r="AD1861" s="349" t="s">
        <v>2685</v>
      </c>
      <c r="AE1861" s="364">
        <v>0</v>
      </c>
      <c r="AF1861" s="366">
        <v>0</v>
      </c>
      <c r="AG1861" s="363">
        <v>0</v>
      </c>
      <c r="AH1861" s="635" t="s">
        <v>408</v>
      </c>
      <c r="AL1861" s="487" t="s">
        <v>16238</v>
      </c>
      <c r="AM1861" s="477" t="s">
        <v>71</v>
      </c>
      <c r="AN1861" s="637">
        <v>100</v>
      </c>
      <c r="AO1861" s="478">
        <v>-1570</v>
      </c>
      <c r="AP1861" s="463">
        <v>-662</v>
      </c>
      <c r="AQ1861" s="479">
        <v>-908</v>
      </c>
      <c r="AR1861" s="476" t="s">
        <v>17914</v>
      </c>
      <c r="BA1861" s="313" t="s">
        <v>6684</v>
      </c>
    </row>
    <row r="1862" spans="2:53" ht="16.5" customHeight="1">
      <c r="B1862" s="367" t="s">
        <v>12994</v>
      </c>
      <c r="C1862" s="351" t="s">
        <v>12995</v>
      </c>
      <c r="D1862" s="353">
        <v>-1570</v>
      </c>
      <c r="E1862" s="352" t="s">
        <v>408</v>
      </c>
      <c r="F1862" s="341">
        <v>67.84</v>
      </c>
      <c r="G1862" s="355" t="s">
        <v>6490</v>
      </c>
      <c r="H1862" s="356" t="s">
        <v>19135</v>
      </c>
      <c r="I1862" s="354" t="s">
        <v>216</v>
      </c>
      <c r="J1862" s="340" t="s">
        <v>12996</v>
      </c>
      <c r="K1862" s="339" t="s">
        <v>70</v>
      </c>
      <c r="L1862" s="357">
        <v>4</v>
      </c>
      <c r="M1862" s="358" t="s">
        <v>12997</v>
      </c>
      <c r="N1862" s="359">
        <v>300</v>
      </c>
      <c r="O1862" s="360" t="s">
        <v>530</v>
      </c>
      <c r="P1862" s="343" t="s">
        <v>530</v>
      </c>
      <c r="Q1862" s="342" t="s">
        <v>2688</v>
      </c>
      <c r="R1862" s="344">
        <v>25</v>
      </c>
      <c r="S1862" s="345">
        <v>45</v>
      </c>
      <c r="T1862" s="362">
        <v>30</v>
      </c>
      <c r="U1862" s="361">
        <v>67.84</v>
      </c>
      <c r="V1862" s="346">
        <v>111.55413024785003</v>
      </c>
      <c r="W1862" s="348">
        <v>113.6935790790518</v>
      </c>
      <c r="X1862" s="347">
        <v>56.54</v>
      </c>
      <c r="Y1862" s="357" t="s">
        <v>408</v>
      </c>
      <c r="Z1862" s="365" t="s">
        <v>3017</v>
      </c>
      <c r="AA1862" s="350">
        <v>-2</v>
      </c>
      <c r="AB1862" s="349" t="s">
        <v>2685</v>
      </c>
      <c r="AC1862" s="350">
        <v>0</v>
      </c>
      <c r="AD1862" s="349" t="s">
        <v>2685</v>
      </c>
      <c r="AE1862" s="364">
        <v>0</v>
      </c>
      <c r="AF1862" s="366">
        <v>0</v>
      </c>
      <c r="AG1862" s="363">
        <v>0</v>
      </c>
      <c r="AH1862" s="635" t="s">
        <v>408</v>
      </c>
      <c r="AL1862" s="487" t="s">
        <v>16239</v>
      </c>
      <c r="AM1862" s="477" t="s">
        <v>70</v>
      </c>
      <c r="AN1862" s="637">
        <v>100</v>
      </c>
      <c r="AO1862" s="478">
        <v>-1570</v>
      </c>
      <c r="AP1862" s="463">
        <v>-1570</v>
      </c>
      <c r="AQ1862" s="479">
        <v>0</v>
      </c>
      <c r="AR1862" s="476" t="s">
        <v>17915</v>
      </c>
      <c r="BA1862" s="313" t="s">
        <v>6685</v>
      </c>
    </row>
    <row r="1863" spans="2:53" ht="16.5" customHeight="1">
      <c r="B1863" s="367" t="s">
        <v>12998</v>
      </c>
      <c r="C1863" s="351" t="s">
        <v>12999</v>
      </c>
      <c r="D1863" s="353">
        <v>-1570</v>
      </c>
      <c r="E1863" s="352" t="s">
        <v>408</v>
      </c>
      <c r="F1863" s="341">
        <v>67.84</v>
      </c>
      <c r="G1863" s="355" t="s">
        <v>13000</v>
      </c>
      <c r="H1863" s="356" t="s">
        <v>19136</v>
      </c>
      <c r="I1863" s="354" t="s">
        <v>8000</v>
      </c>
      <c r="J1863" s="340" t="s">
        <v>13001</v>
      </c>
      <c r="K1863" s="339" t="s">
        <v>70</v>
      </c>
      <c r="L1863" s="357">
        <v>11</v>
      </c>
      <c r="M1863" s="358" t="s">
        <v>13002</v>
      </c>
      <c r="N1863" s="359">
        <v>1000</v>
      </c>
      <c r="O1863" s="360" t="s">
        <v>532</v>
      </c>
      <c r="P1863" s="343" t="s">
        <v>532</v>
      </c>
      <c r="Q1863" s="342" t="s">
        <v>2688</v>
      </c>
      <c r="R1863" s="344">
        <v>25</v>
      </c>
      <c r="S1863" s="345">
        <v>30</v>
      </c>
      <c r="T1863" s="362">
        <v>25</v>
      </c>
      <c r="U1863" s="361">
        <v>67.84</v>
      </c>
      <c r="V1863" s="346">
        <v>111.55454662599729</v>
      </c>
      <c r="W1863" s="348">
        <v>113.69383188006978</v>
      </c>
      <c r="X1863" s="347" t="s">
        <v>19137</v>
      </c>
      <c r="Y1863" s="357" t="s">
        <v>408</v>
      </c>
      <c r="Z1863" s="365" t="s">
        <v>4408</v>
      </c>
      <c r="AA1863" s="350">
        <v>192</v>
      </c>
      <c r="AB1863" s="349" t="s">
        <v>2685</v>
      </c>
      <c r="AC1863" s="350">
        <v>0</v>
      </c>
      <c r="AD1863" s="349" t="s">
        <v>2685</v>
      </c>
      <c r="AE1863" s="364">
        <v>0</v>
      </c>
      <c r="AF1863" s="366">
        <v>0</v>
      </c>
      <c r="AG1863" s="363">
        <v>0</v>
      </c>
      <c r="AH1863" s="635" t="s">
        <v>408</v>
      </c>
      <c r="AL1863" s="487" t="s">
        <v>16241</v>
      </c>
      <c r="AM1863" s="477" t="s">
        <v>70</v>
      </c>
      <c r="AN1863" s="637">
        <v>100</v>
      </c>
      <c r="AO1863" s="478">
        <v>-1570</v>
      </c>
      <c r="AP1863" s="463">
        <v>-1570</v>
      </c>
      <c r="AQ1863" s="479">
        <v>0</v>
      </c>
      <c r="AR1863" s="476" t="s">
        <v>17916</v>
      </c>
      <c r="BA1863" s="313" t="s">
        <v>6687</v>
      </c>
    </row>
    <row r="1864" spans="2:53" ht="16.5" customHeight="1">
      <c r="B1864" s="367" t="s">
        <v>12998</v>
      </c>
      <c r="C1864" s="351" t="s">
        <v>12999</v>
      </c>
      <c r="D1864" s="353">
        <v>-1570</v>
      </c>
      <c r="E1864" s="352" t="s">
        <v>13006</v>
      </c>
      <c r="F1864" s="341">
        <v>67.84</v>
      </c>
      <c r="G1864" s="355" t="s">
        <v>13000</v>
      </c>
      <c r="H1864" s="356" t="s">
        <v>19136</v>
      </c>
      <c r="I1864" s="354" t="s">
        <v>197</v>
      </c>
      <c r="J1864" s="340" t="s">
        <v>551</v>
      </c>
      <c r="K1864" s="339" t="s">
        <v>70</v>
      </c>
      <c r="L1864" s="357">
        <v>7</v>
      </c>
      <c r="M1864" s="358" t="s">
        <v>13003</v>
      </c>
      <c r="N1864" s="359">
        <v>500</v>
      </c>
      <c r="O1864" s="360" t="s">
        <v>454</v>
      </c>
      <c r="P1864" s="343" t="s">
        <v>454</v>
      </c>
      <c r="Q1864" s="342" t="s">
        <v>2688</v>
      </c>
      <c r="R1864" s="344">
        <v>20</v>
      </c>
      <c r="S1864" s="345">
        <v>30</v>
      </c>
      <c r="T1864" s="362">
        <v>30</v>
      </c>
      <c r="U1864" s="361">
        <v>67.84</v>
      </c>
      <c r="V1864" s="346">
        <v>111.55492558469172</v>
      </c>
      <c r="W1864" s="348">
        <v>113.69406196213426</v>
      </c>
      <c r="X1864" s="347">
        <v>56.54</v>
      </c>
      <c r="Y1864" s="357" t="s">
        <v>408</v>
      </c>
      <c r="Z1864" s="365" t="s">
        <v>4408</v>
      </c>
      <c r="AA1864" s="350">
        <v>94</v>
      </c>
      <c r="AB1864" s="349" t="s">
        <v>2685</v>
      </c>
      <c r="AC1864" s="350">
        <v>1.5</v>
      </c>
      <c r="AD1864" s="349" t="s">
        <v>2685</v>
      </c>
      <c r="AE1864" s="364">
        <v>0</v>
      </c>
      <c r="AF1864" s="366">
        <v>10.176</v>
      </c>
      <c r="AG1864" s="363">
        <v>0</v>
      </c>
      <c r="AH1864" s="635" t="s">
        <v>6224</v>
      </c>
      <c r="AL1864" s="487" t="s">
        <v>16240</v>
      </c>
      <c r="AM1864" s="477" t="s">
        <v>70</v>
      </c>
      <c r="AN1864" s="637">
        <v>100</v>
      </c>
      <c r="AO1864" s="478">
        <v>-1570</v>
      </c>
      <c r="AP1864" s="463">
        <v>-1570</v>
      </c>
      <c r="AQ1864" s="479">
        <v>0</v>
      </c>
      <c r="AR1864" s="476" t="s">
        <v>17916</v>
      </c>
      <c r="BA1864" s="313" t="s">
        <v>6688</v>
      </c>
    </row>
    <row r="1865" spans="2:53" ht="16.5" customHeight="1">
      <c r="B1865" s="367" t="s">
        <v>13004</v>
      </c>
      <c r="C1865" s="351" t="s">
        <v>13005</v>
      </c>
      <c r="D1865" s="353">
        <v>-1570</v>
      </c>
      <c r="E1865" s="352" t="s">
        <v>408</v>
      </c>
      <c r="F1865" s="341">
        <v>67.81</v>
      </c>
      <c r="G1865" s="355" t="s">
        <v>13124</v>
      </c>
      <c r="H1865" s="356" t="s">
        <v>19138</v>
      </c>
      <c r="I1865" s="354" t="s">
        <v>494</v>
      </c>
      <c r="J1865" s="340" t="s">
        <v>13008</v>
      </c>
      <c r="K1865" s="339" t="s">
        <v>71</v>
      </c>
      <c r="L1865" s="357">
        <v>16</v>
      </c>
      <c r="M1865" s="358" t="s">
        <v>5296</v>
      </c>
      <c r="N1865" s="359">
        <v>1000</v>
      </c>
      <c r="O1865" s="360" t="s">
        <v>532</v>
      </c>
      <c r="P1865" s="343" t="s">
        <v>533</v>
      </c>
      <c r="Q1865" s="342" t="s">
        <v>2688</v>
      </c>
      <c r="R1865" s="344">
        <v>35</v>
      </c>
      <c r="S1865" s="345">
        <v>20</v>
      </c>
      <c r="T1865" s="362">
        <v>25</v>
      </c>
      <c r="U1865" s="361">
        <v>67.81</v>
      </c>
      <c r="V1865" s="346">
        <v>111.53329671578469</v>
      </c>
      <c r="W1865" s="348">
        <v>113.68093014886928</v>
      </c>
      <c r="X1865" s="347">
        <v>56.06</v>
      </c>
      <c r="Y1865" s="357">
        <v>55.94</v>
      </c>
      <c r="Z1865" s="365" t="s">
        <v>3017</v>
      </c>
      <c r="AA1865" s="350">
        <v>190</v>
      </c>
      <c r="AB1865" s="349" t="s">
        <v>2685</v>
      </c>
      <c r="AC1865" s="350">
        <v>0</v>
      </c>
      <c r="AD1865" s="349" t="s">
        <v>2685</v>
      </c>
      <c r="AE1865" s="364">
        <v>0</v>
      </c>
      <c r="AF1865" s="366">
        <v>0</v>
      </c>
      <c r="AG1865" s="363">
        <v>0</v>
      </c>
      <c r="AH1865" s="635" t="s">
        <v>408</v>
      </c>
      <c r="AL1865" s="487" t="s">
        <v>16242</v>
      </c>
      <c r="AM1865" s="477" t="s">
        <v>71</v>
      </c>
      <c r="AN1865" s="637">
        <v>100</v>
      </c>
      <c r="AO1865" s="478">
        <v>-1570</v>
      </c>
      <c r="AP1865" s="463">
        <v>-662</v>
      </c>
      <c r="AQ1865" s="479">
        <v>-908</v>
      </c>
      <c r="AR1865" s="476" t="s">
        <v>17917</v>
      </c>
      <c r="BA1865" s="313" t="s">
        <v>6690</v>
      </c>
    </row>
    <row r="1866" spans="2:53" ht="16.5" customHeight="1">
      <c r="B1866" s="367" t="s">
        <v>6785</v>
      </c>
      <c r="C1866" s="351" t="s">
        <v>6786</v>
      </c>
      <c r="D1866" s="353">
        <v>-1570</v>
      </c>
      <c r="E1866" s="352" t="s">
        <v>408</v>
      </c>
      <c r="F1866" s="341">
        <v>67.78</v>
      </c>
      <c r="G1866" s="355" t="s">
        <v>12932</v>
      </c>
      <c r="H1866" s="356" t="s">
        <v>12816</v>
      </c>
      <c r="I1866" s="354" t="s">
        <v>213</v>
      </c>
      <c r="J1866" s="340" t="s">
        <v>13009</v>
      </c>
      <c r="K1866" s="339" t="s">
        <v>70</v>
      </c>
      <c r="L1866" s="357">
        <v>4</v>
      </c>
      <c r="M1866" s="358" t="s">
        <v>13010</v>
      </c>
      <c r="N1866" s="359">
        <v>1000</v>
      </c>
      <c r="O1866" s="360" t="s">
        <v>454</v>
      </c>
      <c r="P1866" s="343" t="s">
        <v>454</v>
      </c>
      <c r="Q1866" s="342" t="s">
        <v>2688</v>
      </c>
      <c r="R1866" s="344">
        <v>20</v>
      </c>
      <c r="S1866" s="345">
        <v>30</v>
      </c>
      <c r="T1866" s="362">
        <v>30</v>
      </c>
      <c r="U1866" s="361">
        <v>67.78</v>
      </c>
      <c r="V1866" s="346">
        <v>111.51665485471297</v>
      </c>
      <c r="W1866" s="348">
        <v>113.67082616179002</v>
      </c>
      <c r="X1866" s="347">
        <v>56.52</v>
      </c>
      <c r="Y1866" s="357" t="s">
        <v>408</v>
      </c>
      <c r="Z1866" s="365" t="s">
        <v>4408</v>
      </c>
      <c r="AA1866" s="350">
        <v>180</v>
      </c>
      <c r="AB1866" s="349" t="s">
        <v>2685</v>
      </c>
      <c r="AC1866" s="350">
        <v>10</v>
      </c>
      <c r="AD1866" s="349" t="s">
        <v>2685</v>
      </c>
      <c r="AE1866" s="364">
        <v>0</v>
      </c>
      <c r="AF1866" s="366">
        <v>20.334</v>
      </c>
      <c r="AG1866" s="363">
        <v>0</v>
      </c>
      <c r="AH1866" s="635" t="s">
        <v>6224</v>
      </c>
      <c r="AL1866" s="487" t="s">
        <v>16243</v>
      </c>
      <c r="AM1866" s="477" t="s">
        <v>70</v>
      </c>
      <c r="AN1866" s="637">
        <v>100</v>
      </c>
      <c r="AO1866" s="478">
        <v>-1570</v>
      </c>
      <c r="AP1866" s="463">
        <v>-1570</v>
      </c>
      <c r="AQ1866" s="479">
        <v>0</v>
      </c>
      <c r="AR1866" s="476" t="s">
        <v>17918</v>
      </c>
      <c r="BA1866" s="313" t="s">
        <v>6693</v>
      </c>
    </row>
    <row r="1867" spans="2:53" ht="16.5" customHeight="1">
      <c r="B1867" s="367" t="s">
        <v>6788</v>
      </c>
      <c r="C1867" s="351" t="s">
        <v>6789</v>
      </c>
      <c r="D1867" s="353">
        <v>-1570</v>
      </c>
      <c r="E1867" s="352" t="s">
        <v>13014</v>
      </c>
      <c r="F1867" s="341">
        <v>67.77</v>
      </c>
      <c r="G1867" s="355" t="s">
        <v>13011</v>
      </c>
      <c r="H1867" s="356" t="s">
        <v>12666</v>
      </c>
      <c r="I1867" s="354" t="s">
        <v>212</v>
      </c>
      <c r="J1867" s="340" t="s">
        <v>13012</v>
      </c>
      <c r="K1867" s="339" t="s">
        <v>70</v>
      </c>
      <c r="L1867" s="357">
        <v>7</v>
      </c>
      <c r="M1867" s="358" t="s">
        <v>13013</v>
      </c>
      <c r="N1867" s="359">
        <v>800</v>
      </c>
      <c r="O1867" s="360" t="s">
        <v>532</v>
      </c>
      <c r="P1867" s="343" t="s">
        <v>532</v>
      </c>
      <c r="Q1867" s="342" t="s">
        <v>2688</v>
      </c>
      <c r="R1867" s="344">
        <v>30</v>
      </c>
      <c r="S1867" s="345">
        <v>40</v>
      </c>
      <c r="T1867" s="362">
        <v>30</v>
      </c>
      <c r="U1867" s="361">
        <v>67.77</v>
      </c>
      <c r="V1867" s="346">
        <v>111.51278644326437</v>
      </c>
      <c r="W1867" s="348">
        <v>113.66847748341051</v>
      </c>
      <c r="X1867" s="347" t="s">
        <v>19137</v>
      </c>
      <c r="Y1867" s="357" t="s">
        <v>408</v>
      </c>
      <c r="Z1867" s="365" t="s">
        <v>3017</v>
      </c>
      <c r="AA1867" s="350">
        <v>190</v>
      </c>
      <c r="AB1867" s="349" t="s">
        <v>2685</v>
      </c>
      <c r="AC1867" s="350">
        <v>10</v>
      </c>
      <c r="AD1867" s="349" t="s">
        <v>2685</v>
      </c>
      <c r="AE1867" s="364">
        <v>0</v>
      </c>
      <c r="AF1867" s="366">
        <v>0</v>
      </c>
      <c r="AG1867" s="363">
        <v>0</v>
      </c>
      <c r="AH1867" s="635" t="s">
        <v>408</v>
      </c>
      <c r="AL1867" s="487" t="s">
        <v>16244</v>
      </c>
      <c r="AM1867" s="477" t="s">
        <v>70</v>
      </c>
      <c r="AN1867" s="637">
        <v>100</v>
      </c>
      <c r="AO1867" s="478">
        <v>-1570</v>
      </c>
      <c r="AP1867" s="463">
        <v>-1570</v>
      </c>
      <c r="AQ1867" s="479">
        <v>0</v>
      </c>
      <c r="AR1867" s="476" t="s">
        <v>17919</v>
      </c>
      <c r="BA1867" s="313" t="s">
        <v>6694</v>
      </c>
    </row>
    <row r="1868" spans="2:53" ht="16.5" customHeight="1">
      <c r="B1868" s="367" t="s">
        <v>13017</v>
      </c>
      <c r="C1868" s="351" t="s">
        <v>13018</v>
      </c>
      <c r="D1868" s="353">
        <v>-1570</v>
      </c>
      <c r="E1868" s="352" t="s">
        <v>408</v>
      </c>
      <c r="F1868" s="341">
        <v>67.709999999999994</v>
      </c>
      <c r="G1868" s="355" t="s">
        <v>6663</v>
      </c>
      <c r="H1868" s="356" t="s">
        <v>6483</v>
      </c>
      <c r="I1868" s="354" t="s">
        <v>214</v>
      </c>
      <c r="J1868" s="340" t="s">
        <v>8283</v>
      </c>
      <c r="K1868" s="339" t="s">
        <v>70</v>
      </c>
      <c r="L1868" s="357">
        <v>12</v>
      </c>
      <c r="M1868" s="358" t="s">
        <v>13020</v>
      </c>
      <c r="N1868" s="359">
        <v>200</v>
      </c>
      <c r="O1868" s="360" t="s">
        <v>532</v>
      </c>
      <c r="P1868" s="343" t="s">
        <v>532</v>
      </c>
      <c r="Q1868" s="342" t="s">
        <v>2688</v>
      </c>
      <c r="R1868" s="344">
        <v>20</v>
      </c>
      <c r="S1868" s="345">
        <v>30</v>
      </c>
      <c r="T1868" s="362">
        <v>30</v>
      </c>
      <c r="U1868" s="361">
        <v>67.709999999999994</v>
      </c>
      <c r="V1868" s="346">
        <v>111.47855397572445</v>
      </c>
      <c r="W1868" s="348">
        <v>113.64769348526127</v>
      </c>
      <c r="X1868" s="347" t="s">
        <v>19139</v>
      </c>
      <c r="Y1868" s="357" t="s">
        <v>408</v>
      </c>
      <c r="Z1868" s="365" t="s">
        <v>4408</v>
      </c>
      <c r="AA1868" s="350">
        <v>36</v>
      </c>
      <c r="AB1868" s="349" t="s">
        <v>2685</v>
      </c>
      <c r="AC1868" s="350">
        <v>0</v>
      </c>
      <c r="AD1868" s="349" t="s">
        <v>2685</v>
      </c>
      <c r="AE1868" s="364">
        <v>0</v>
      </c>
      <c r="AF1868" s="366">
        <v>0</v>
      </c>
      <c r="AG1868" s="363">
        <v>0</v>
      </c>
      <c r="AH1868" s="635" t="s">
        <v>408</v>
      </c>
      <c r="AL1868" s="487" t="s">
        <v>16247</v>
      </c>
      <c r="AM1868" s="477" t="s">
        <v>70</v>
      </c>
      <c r="AN1868" s="637">
        <v>100</v>
      </c>
      <c r="AO1868" s="478">
        <v>-1570</v>
      </c>
      <c r="AP1868" s="463">
        <v>-1570</v>
      </c>
      <c r="AQ1868" s="479">
        <v>0</v>
      </c>
      <c r="AR1868" s="476" t="s">
        <v>17920</v>
      </c>
      <c r="BA1868" s="313" t="s">
        <v>6695</v>
      </c>
    </row>
    <row r="1869" spans="2:53" ht="16.5" customHeight="1">
      <c r="B1869" s="367" t="s">
        <v>13021</v>
      </c>
      <c r="C1869" s="351" t="s">
        <v>13022</v>
      </c>
      <c r="D1869" s="353">
        <v>-1570</v>
      </c>
      <c r="E1869" s="352" t="s">
        <v>408</v>
      </c>
      <c r="F1869" s="341">
        <v>67.7</v>
      </c>
      <c r="G1869" s="355" t="s">
        <v>6665</v>
      </c>
      <c r="H1869" s="356" t="s">
        <v>6486</v>
      </c>
      <c r="I1869" s="354" t="s">
        <v>197</v>
      </c>
      <c r="J1869" s="340" t="s">
        <v>13024</v>
      </c>
      <c r="K1869" s="339" t="s">
        <v>70</v>
      </c>
      <c r="L1869" s="357">
        <v>6</v>
      </c>
      <c r="M1869" s="358" t="s">
        <v>13025</v>
      </c>
      <c r="N1869" s="359">
        <v>500</v>
      </c>
      <c r="O1869" s="360" t="s">
        <v>454</v>
      </c>
      <c r="P1869" s="343" t="s">
        <v>454</v>
      </c>
      <c r="Q1869" s="342" t="s">
        <v>2688</v>
      </c>
      <c r="R1869" s="344">
        <v>20</v>
      </c>
      <c r="S1869" s="345">
        <v>30</v>
      </c>
      <c r="T1869" s="362">
        <v>30</v>
      </c>
      <c r="U1869" s="361">
        <v>67.7</v>
      </c>
      <c r="V1869" s="346">
        <v>111.46922024623802</v>
      </c>
      <c r="W1869" s="348">
        <v>113.64202657807309</v>
      </c>
      <c r="X1869" s="347">
        <v>56.5</v>
      </c>
      <c r="Y1869" s="357" t="s">
        <v>408</v>
      </c>
      <c r="Z1869" s="365" t="s">
        <v>4408</v>
      </c>
      <c r="AA1869" s="350">
        <v>94</v>
      </c>
      <c r="AB1869" s="349" t="s">
        <v>2685</v>
      </c>
      <c r="AC1869" s="350">
        <v>1.5</v>
      </c>
      <c r="AD1869" s="349" t="s">
        <v>2685</v>
      </c>
      <c r="AE1869" s="364">
        <v>0</v>
      </c>
      <c r="AF1869" s="366">
        <v>20.309999999999999</v>
      </c>
      <c r="AG1869" s="363">
        <v>0</v>
      </c>
      <c r="AH1869" s="635" t="s">
        <v>12164</v>
      </c>
      <c r="AL1869" s="487" t="s">
        <v>16245</v>
      </c>
      <c r="AM1869" s="477" t="s">
        <v>70</v>
      </c>
      <c r="AN1869" s="637">
        <v>100</v>
      </c>
      <c r="AO1869" s="478">
        <v>-1570</v>
      </c>
      <c r="AP1869" s="463">
        <v>-1570</v>
      </c>
      <c r="AQ1869" s="479">
        <v>0</v>
      </c>
      <c r="AR1869" s="476" t="s">
        <v>17921</v>
      </c>
      <c r="BA1869" s="313" t="s">
        <v>6698</v>
      </c>
    </row>
    <row r="1870" spans="2:53" ht="16.5" customHeight="1">
      <c r="B1870" s="367" t="s">
        <v>18288</v>
      </c>
      <c r="C1870" s="351" t="s">
        <v>18289</v>
      </c>
      <c r="D1870" s="353">
        <v>-1570</v>
      </c>
      <c r="E1870" s="352" t="s">
        <v>6668</v>
      </c>
      <c r="F1870" s="341">
        <v>67.69</v>
      </c>
      <c r="G1870" s="355" t="s">
        <v>6581</v>
      </c>
      <c r="H1870" s="356" t="s">
        <v>19140</v>
      </c>
      <c r="I1870" s="354" t="s">
        <v>216</v>
      </c>
      <c r="J1870" s="340" t="s">
        <v>561</v>
      </c>
      <c r="K1870" s="339" t="s">
        <v>71</v>
      </c>
      <c r="L1870" s="357">
        <v>4</v>
      </c>
      <c r="M1870" s="358" t="s">
        <v>13044</v>
      </c>
      <c r="N1870" s="359">
        <v>300</v>
      </c>
      <c r="O1870" s="360" t="s">
        <v>530</v>
      </c>
      <c r="P1870" s="343" t="s">
        <v>530</v>
      </c>
      <c r="Q1870" s="342" t="s">
        <v>2688</v>
      </c>
      <c r="R1870" s="344">
        <v>45</v>
      </c>
      <c r="S1870" s="345">
        <v>25</v>
      </c>
      <c r="T1870" s="362">
        <v>30</v>
      </c>
      <c r="U1870" s="361">
        <v>67.69</v>
      </c>
      <c r="V1870" s="346">
        <v>111.46530001512404</v>
      </c>
      <c r="W1870" s="348">
        <v>113.63964643775388</v>
      </c>
      <c r="X1870" s="347">
        <v>56.03</v>
      </c>
      <c r="Y1870" s="357" t="s">
        <v>408</v>
      </c>
      <c r="Z1870" s="365" t="s">
        <v>3017</v>
      </c>
      <c r="AA1870" s="350">
        <v>-2</v>
      </c>
      <c r="AB1870" s="349" t="s">
        <v>2685</v>
      </c>
      <c r="AC1870" s="350">
        <v>0</v>
      </c>
      <c r="AD1870" s="349" t="s">
        <v>2685</v>
      </c>
      <c r="AE1870" s="364">
        <v>0</v>
      </c>
      <c r="AF1870" s="366">
        <v>0</v>
      </c>
      <c r="AG1870" s="363">
        <v>0</v>
      </c>
      <c r="AH1870" s="635" t="s">
        <v>408</v>
      </c>
      <c r="AL1870" s="487" t="s">
        <v>16246</v>
      </c>
      <c r="AM1870" s="477" t="s">
        <v>71</v>
      </c>
      <c r="AN1870" s="637">
        <v>100</v>
      </c>
      <c r="AO1870" s="478">
        <v>-1570</v>
      </c>
      <c r="AP1870" s="463">
        <v>-661</v>
      </c>
      <c r="AQ1870" s="479">
        <v>-909</v>
      </c>
      <c r="AR1870" s="476" t="s">
        <v>17922</v>
      </c>
      <c r="BA1870" s="313" t="s">
        <v>6700</v>
      </c>
    </row>
    <row r="1871" spans="2:53" ht="16.5" customHeight="1">
      <c r="B1871" s="367" t="s">
        <v>6797</v>
      </c>
      <c r="C1871" s="351" t="s">
        <v>6798</v>
      </c>
      <c r="D1871" s="353">
        <v>-1570</v>
      </c>
      <c r="E1871" s="352" t="s">
        <v>408</v>
      </c>
      <c r="F1871" s="341">
        <v>67.66</v>
      </c>
      <c r="G1871" s="355" t="s">
        <v>19141</v>
      </c>
      <c r="H1871" s="356" t="s">
        <v>12807</v>
      </c>
      <c r="I1871" s="354" t="s">
        <v>197</v>
      </c>
      <c r="J1871" s="340" t="s">
        <v>8902</v>
      </c>
      <c r="K1871" s="339" t="s">
        <v>71</v>
      </c>
      <c r="L1871" s="357">
        <v>61</v>
      </c>
      <c r="M1871" s="358" t="s">
        <v>13027</v>
      </c>
      <c r="N1871" s="359">
        <v>500</v>
      </c>
      <c r="O1871" s="360" t="s">
        <v>454</v>
      </c>
      <c r="P1871" s="343" t="s">
        <v>454</v>
      </c>
      <c r="Q1871" s="342" t="s">
        <v>2688</v>
      </c>
      <c r="R1871" s="344">
        <v>30</v>
      </c>
      <c r="S1871" s="345">
        <v>20</v>
      </c>
      <c r="T1871" s="362">
        <v>20</v>
      </c>
      <c r="U1871" s="361">
        <v>67.66</v>
      </c>
      <c r="V1871" s="346">
        <v>111.44560838033843</v>
      </c>
      <c r="W1871" s="348">
        <v>113.62769080234834</v>
      </c>
      <c r="X1871" s="347">
        <v>56.02</v>
      </c>
      <c r="Y1871" s="357" t="s">
        <v>408</v>
      </c>
      <c r="Z1871" s="365" t="s">
        <v>4408</v>
      </c>
      <c r="AA1871" s="350">
        <v>141</v>
      </c>
      <c r="AB1871" s="349" t="s">
        <v>2685</v>
      </c>
      <c r="AC1871" s="350">
        <v>1.5</v>
      </c>
      <c r="AD1871" s="349" t="s">
        <v>2685</v>
      </c>
      <c r="AE1871" s="364">
        <v>0</v>
      </c>
      <c r="AF1871" s="366">
        <v>10.148999999999999</v>
      </c>
      <c r="AG1871" s="363">
        <v>0</v>
      </c>
      <c r="AH1871" s="635" t="s">
        <v>6360</v>
      </c>
      <c r="AL1871" s="487" t="s">
        <v>16248</v>
      </c>
      <c r="AM1871" s="477" t="s">
        <v>71</v>
      </c>
      <c r="AN1871" s="637">
        <v>100</v>
      </c>
      <c r="AO1871" s="478">
        <v>-1570</v>
      </c>
      <c r="AP1871" s="463">
        <v>-661</v>
      </c>
      <c r="AQ1871" s="479">
        <v>-909</v>
      </c>
      <c r="AR1871" s="476" t="s">
        <v>17923</v>
      </c>
      <c r="BA1871" s="313" t="s">
        <v>6702</v>
      </c>
    </row>
    <row r="1872" spans="2:53" ht="16.5" customHeight="1">
      <c r="B1872" s="367" t="s">
        <v>13028</v>
      </c>
      <c r="C1872" s="351" t="s">
        <v>13029</v>
      </c>
      <c r="D1872" s="353">
        <v>-1570</v>
      </c>
      <c r="E1872" s="352" t="s">
        <v>408</v>
      </c>
      <c r="F1872" s="341">
        <v>67.650000000000006</v>
      </c>
      <c r="G1872" s="355" t="s">
        <v>13030</v>
      </c>
      <c r="H1872" s="356" t="s">
        <v>12836</v>
      </c>
      <c r="I1872" s="354" t="s">
        <v>423</v>
      </c>
      <c r="J1872" s="340" t="s">
        <v>13031</v>
      </c>
      <c r="K1872" s="339" t="s">
        <v>70</v>
      </c>
      <c r="L1872" s="357">
        <v>4</v>
      </c>
      <c r="M1872" s="358" t="s">
        <v>13032</v>
      </c>
      <c r="N1872" s="359">
        <v>1000</v>
      </c>
      <c r="O1872" s="360" t="s">
        <v>530</v>
      </c>
      <c r="P1872" s="343" t="s">
        <v>531</v>
      </c>
      <c r="Q1872" s="342" t="s">
        <v>2688</v>
      </c>
      <c r="R1872" s="344">
        <v>20</v>
      </c>
      <c r="S1872" s="345">
        <v>35</v>
      </c>
      <c r="T1872" s="362">
        <v>25</v>
      </c>
      <c r="U1872" s="361">
        <v>67.650000000000006</v>
      </c>
      <c r="V1872" s="346">
        <v>111.43885935234412</v>
      </c>
      <c r="W1872" s="348">
        <v>113.62359317820894</v>
      </c>
      <c r="X1872" s="347">
        <v>56.48</v>
      </c>
      <c r="Y1872" s="357">
        <v>55.87</v>
      </c>
      <c r="Z1872" s="365" t="s">
        <v>3017</v>
      </c>
      <c r="AA1872" s="350">
        <v>198</v>
      </c>
      <c r="AB1872" s="349" t="s">
        <v>2685</v>
      </c>
      <c r="AC1872" s="350">
        <v>10</v>
      </c>
      <c r="AD1872" s="349" t="s">
        <v>2685</v>
      </c>
      <c r="AE1872" s="364">
        <v>0</v>
      </c>
      <c r="AF1872" s="366">
        <v>12.949</v>
      </c>
      <c r="AG1872" s="363">
        <v>0</v>
      </c>
      <c r="AH1872" s="635" t="s">
        <v>11625</v>
      </c>
      <c r="AL1872" s="487" t="s">
        <v>16249</v>
      </c>
      <c r="AM1872" s="477" t="s">
        <v>70</v>
      </c>
      <c r="AN1872" s="637">
        <v>100</v>
      </c>
      <c r="AO1872" s="478">
        <v>-1570</v>
      </c>
      <c r="AP1872" s="463">
        <v>-1570</v>
      </c>
      <c r="AQ1872" s="479">
        <v>0</v>
      </c>
      <c r="AR1872" s="476" t="s">
        <v>17924</v>
      </c>
      <c r="BA1872" s="313" t="s">
        <v>6704</v>
      </c>
    </row>
    <row r="1873" spans="2:53" ht="16.5" customHeight="1">
      <c r="B1873" s="367" t="s">
        <v>13033</v>
      </c>
      <c r="C1873" s="351" t="s">
        <v>13034</v>
      </c>
      <c r="D1873" s="353">
        <v>-1570</v>
      </c>
      <c r="E1873" s="352" t="s">
        <v>12973</v>
      </c>
      <c r="F1873" s="341">
        <v>67.599999999999994</v>
      </c>
      <c r="G1873" s="355" t="s">
        <v>13035</v>
      </c>
      <c r="H1873" s="356" t="s">
        <v>19142</v>
      </c>
      <c r="I1873" s="354" t="s">
        <v>496</v>
      </c>
      <c r="J1873" s="340" t="s">
        <v>13036</v>
      </c>
      <c r="K1873" s="339" t="s">
        <v>70</v>
      </c>
      <c r="L1873" s="357">
        <v>13</v>
      </c>
      <c r="M1873" s="358" t="s">
        <v>13037</v>
      </c>
      <c r="N1873" s="359">
        <v>1000</v>
      </c>
      <c r="O1873" s="360" t="s">
        <v>530</v>
      </c>
      <c r="P1873" s="343" t="s">
        <v>531</v>
      </c>
      <c r="Q1873" s="342" t="s">
        <v>2738</v>
      </c>
      <c r="R1873" s="344">
        <v>25</v>
      </c>
      <c r="S1873" s="345">
        <v>38</v>
      </c>
      <c r="T1873" s="362">
        <v>25</v>
      </c>
      <c r="U1873" s="361">
        <v>67.599999999999994</v>
      </c>
      <c r="V1873" s="346">
        <v>111.41464574417498</v>
      </c>
      <c r="W1873" s="348">
        <v>113.60889205896338</v>
      </c>
      <c r="X1873" s="347">
        <v>56.47</v>
      </c>
      <c r="Y1873" s="357">
        <v>55.86</v>
      </c>
      <c r="Z1873" s="365" t="s">
        <v>3017</v>
      </c>
      <c r="AA1873" s="350">
        <v>118.75</v>
      </c>
      <c r="AB1873" s="349" t="s">
        <v>2685</v>
      </c>
      <c r="AC1873" s="350">
        <v>10</v>
      </c>
      <c r="AD1873" s="349" t="s">
        <v>2685</v>
      </c>
      <c r="AE1873" s="364">
        <v>0</v>
      </c>
      <c r="AF1873" s="366">
        <v>0</v>
      </c>
      <c r="AG1873" s="363">
        <v>0</v>
      </c>
      <c r="AH1873" s="635" t="s">
        <v>408</v>
      </c>
      <c r="AL1873" s="487" t="s">
        <v>16250</v>
      </c>
      <c r="AM1873" s="477" t="s">
        <v>70</v>
      </c>
      <c r="AN1873" s="637">
        <v>100</v>
      </c>
      <c r="AO1873" s="478">
        <v>-1570</v>
      </c>
      <c r="AP1873" s="463">
        <v>-1570</v>
      </c>
      <c r="AQ1873" s="479">
        <v>0</v>
      </c>
      <c r="AR1873" s="476" t="s">
        <v>17925</v>
      </c>
      <c r="BA1873" s="313" t="s">
        <v>6705</v>
      </c>
    </row>
    <row r="1874" spans="2:53" ht="16.5" customHeight="1">
      <c r="B1874" s="367" t="s">
        <v>13068</v>
      </c>
      <c r="C1874" s="351" t="s">
        <v>13069</v>
      </c>
      <c r="D1874" s="353">
        <v>-1570</v>
      </c>
      <c r="E1874" s="352" t="s">
        <v>13043</v>
      </c>
      <c r="F1874" s="341">
        <v>67.59</v>
      </c>
      <c r="G1874" s="355" t="s">
        <v>13070</v>
      </c>
      <c r="H1874" s="356" t="s">
        <v>12811</v>
      </c>
      <c r="I1874" s="354" t="s">
        <v>405</v>
      </c>
      <c r="J1874" s="340" t="s">
        <v>439</v>
      </c>
      <c r="K1874" s="339" t="s">
        <v>71</v>
      </c>
      <c r="L1874" s="357">
        <v>4</v>
      </c>
      <c r="M1874" s="358" t="s">
        <v>13071</v>
      </c>
      <c r="N1874" s="359">
        <v>800</v>
      </c>
      <c r="O1874" s="360" t="s">
        <v>530</v>
      </c>
      <c r="P1874" s="343" t="s">
        <v>530</v>
      </c>
      <c r="Q1874" s="342" t="s">
        <v>2688</v>
      </c>
      <c r="R1874" s="344">
        <v>25</v>
      </c>
      <c r="S1874" s="345">
        <v>25</v>
      </c>
      <c r="T1874" s="362">
        <v>25</v>
      </c>
      <c r="U1874" s="361">
        <v>67.59</v>
      </c>
      <c r="V1874" s="346">
        <v>111.40449895068738</v>
      </c>
      <c r="W1874" s="348">
        <v>113.60273150577449</v>
      </c>
      <c r="X1874" s="347">
        <v>56</v>
      </c>
      <c r="Y1874" s="357" t="s">
        <v>408</v>
      </c>
      <c r="Z1874" s="365" t="s">
        <v>4408</v>
      </c>
      <c r="AA1874" s="350">
        <v>178</v>
      </c>
      <c r="AB1874" s="349" t="s">
        <v>2685</v>
      </c>
      <c r="AC1874" s="350">
        <v>0</v>
      </c>
      <c r="AD1874" s="349" t="s">
        <v>2685</v>
      </c>
      <c r="AE1874" s="364">
        <v>0</v>
      </c>
      <c r="AF1874" s="366">
        <v>0</v>
      </c>
      <c r="AG1874" s="363">
        <v>0</v>
      </c>
      <c r="AH1874" s="635" t="s">
        <v>408</v>
      </c>
      <c r="AL1874" s="487" t="s">
        <v>16251</v>
      </c>
      <c r="AM1874" s="477" t="s">
        <v>71</v>
      </c>
      <c r="AN1874" s="637">
        <v>100</v>
      </c>
      <c r="AO1874" s="478">
        <v>-1570</v>
      </c>
      <c r="AP1874" s="463">
        <v>-661</v>
      </c>
      <c r="AQ1874" s="479">
        <v>-909</v>
      </c>
      <c r="AR1874" s="476" t="s">
        <v>17926</v>
      </c>
      <c r="BA1874" s="313" t="s">
        <v>6706</v>
      </c>
    </row>
    <row r="1875" spans="2:53" ht="16.5" customHeight="1">
      <c r="B1875" s="367" t="s">
        <v>13038</v>
      </c>
      <c r="C1875" s="351" t="s">
        <v>13039</v>
      </c>
      <c r="D1875" s="353">
        <v>-1570</v>
      </c>
      <c r="E1875" s="352" t="s">
        <v>408</v>
      </c>
      <c r="F1875" s="341">
        <v>67.58</v>
      </c>
      <c r="G1875" s="355" t="s">
        <v>6749</v>
      </c>
      <c r="H1875" s="356" t="s">
        <v>19143</v>
      </c>
      <c r="I1875" s="354" t="s">
        <v>197</v>
      </c>
      <c r="J1875" s="340" t="s">
        <v>8974</v>
      </c>
      <c r="K1875" s="339" t="s">
        <v>71</v>
      </c>
      <c r="L1875" s="357">
        <v>6</v>
      </c>
      <c r="M1875" s="358" t="s">
        <v>13040</v>
      </c>
      <c r="N1875" s="359">
        <v>500</v>
      </c>
      <c r="O1875" s="360" t="s">
        <v>454</v>
      </c>
      <c r="P1875" s="343" t="s">
        <v>454</v>
      </c>
      <c r="Q1875" s="342" t="s">
        <v>2688</v>
      </c>
      <c r="R1875" s="344">
        <v>30</v>
      </c>
      <c r="S1875" s="345">
        <v>20</v>
      </c>
      <c r="T1875" s="362">
        <v>20</v>
      </c>
      <c r="U1875" s="361">
        <v>67.58</v>
      </c>
      <c r="V1875" s="346">
        <v>111.39726027397259</v>
      </c>
      <c r="W1875" s="348">
        <v>113.59833659491194</v>
      </c>
      <c r="X1875" s="347">
        <v>55.99</v>
      </c>
      <c r="Y1875" s="357" t="s">
        <v>408</v>
      </c>
      <c r="Z1875" s="365" t="s">
        <v>4408</v>
      </c>
      <c r="AA1875" s="350">
        <v>141</v>
      </c>
      <c r="AB1875" s="349" t="s">
        <v>2685</v>
      </c>
      <c r="AC1875" s="350">
        <v>1.5</v>
      </c>
      <c r="AD1875" s="349" t="s">
        <v>2685</v>
      </c>
      <c r="AE1875" s="364">
        <v>0</v>
      </c>
      <c r="AF1875" s="366">
        <v>10.137</v>
      </c>
      <c r="AG1875" s="363">
        <v>0</v>
      </c>
      <c r="AH1875" s="635" t="s">
        <v>6360</v>
      </c>
      <c r="AL1875" s="487" t="s">
        <v>16252</v>
      </c>
      <c r="AM1875" s="477" t="s">
        <v>71</v>
      </c>
      <c r="AN1875" s="637">
        <v>100</v>
      </c>
      <c r="AO1875" s="478">
        <v>-1570</v>
      </c>
      <c r="AP1875" s="463">
        <v>-661</v>
      </c>
      <c r="AQ1875" s="479">
        <v>-909</v>
      </c>
      <c r="AR1875" s="476" t="s">
        <v>17927</v>
      </c>
      <c r="BA1875" s="313" t="s">
        <v>6707</v>
      </c>
    </row>
    <row r="1876" spans="2:53" ht="16.5" customHeight="1">
      <c r="B1876" s="367" t="s">
        <v>13045</v>
      </c>
      <c r="C1876" s="351" t="s">
        <v>13046</v>
      </c>
      <c r="D1876" s="353">
        <v>-1570</v>
      </c>
      <c r="E1876" s="352" t="s">
        <v>408</v>
      </c>
      <c r="F1876" s="341">
        <v>67.569999999999993</v>
      </c>
      <c r="G1876" s="355" t="s">
        <v>13047</v>
      </c>
      <c r="H1876" s="356" t="s">
        <v>6495</v>
      </c>
      <c r="I1876" s="354" t="s">
        <v>197</v>
      </c>
      <c r="J1876" s="340" t="s">
        <v>8281</v>
      </c>
      <c r="K1876" s="339" t="s">
        <v>70</v>
      </c>
      <c r="L1876" s="357">
        <v>27</v>
      </c>
      <c r="M1876" s="358" t="s">
        <v>13048</v>
      </c>
      <c r="N1876" s="359">
        <v>500</v>
      </c>
      <c r="O1876" s="360" t="s">
        <v>454</v>
      </c>
      <c r="P1876" s="343" t="s">
        <v>454</v>
      </c>
      <c r="Q1876" s="342" t="s">
        <v>2688</v>
      </c>
      <c r="R1876" s="344">
        <v>20</v>
      </c>
      <c r="S1876" s="345">
        <v>30</v>
      </c>
      <c r="T1876" s="362">
        <v>30</v>
      </c>
      <c r="U1876" s="361">
        <v>67.569999999999993</v>
      </c>
      <c r="V1876" s="346">
        <v>111.39124487004104</v>
      </c>
      <c r="W1876" s="348">
        <v>113.59468438538205</v>
      </c>
      <c r="X1876" s="347">
        <v>56.46</v>
      </c>
      <c r="Y1876" s="357" t="s">
        <v>408</v>
      </c>
      <c r="Z1876" s="365" t="s">
        <v>4408</v>
      </c>
      <c r="AA1876" s="350">
        <v>94</v>
      </c>
      <c r="AB1876" s="349" t="s">
        <v>2685</v>
      </c>
      <c r="AC1876" s="350">
        <v>1.5</v>
      </c>
      <c r="AD1876" s="349" t="s">
        <v>2685</v>
      </c>
      <c r="AE1876" s="364">
        <v>0</v>
      </c>
      <c r="AF1876" s="366">
        <v>20.271000000000001</v>
      </c>
      <c r="AG1876" s="363">
        <v>0</v>
      </c>
      <c r="AH1876" s="635" t="s">
        <v>12164</v>
      </c>
      <c r="AL1876" s="487" t="s">
        <v>16253</v>
      </c>
      <c r="AM1876" s="477" t="s">
        <v>70</v>
      </c>
      <c r="AN1876" s="637">
        <v>100</v>
      </c>
      <c r="AO1876" s="478">
        <v>-1570</v>
      </c>
      <c r="AP1876" s="463">
        <v>-1570</v>
      </c>
      <c r="AQ1876" s="479">
        <v>0</v>
      </c>
      <c r="AR1876" s="476" t="s">
        <v>17928</v>
      </c>
      <c r="BA1876" s="313" t="s">
        <v>6708</v>
      </c>
    </row>
    <row r="1877" spans="2:53" ht="16.5" customHeight="1">
      <c r="B1877" s="367" t="s">
        <v>13049</v>
      </c>
      <c r="C1877" s="351" t="s">
        <v>13050</v>
      </c>
      <c r="D1877" s="353">
        <v>-1570</v>
      </c>
      <c r="E1877" s="352" t="s">
        <v>408</v>
      </c>
      <c r="F1877" s="341">
        <v>67.52</v>
      </c>
      <c r="G1877" s="355" t="s">
        <v>6679</v>
      </c>
      <c r="H1877" s="356" t="s">
        <v>12664</v>
      </c>
      <c r="I1877" s="354" t="s">
        <v>212</v>
      </c>
      <c r="J1877" s="340" t="s">
        <v>8155</v>
      </c>
      <c r="K1877" s="339" t="s">
        <v>70</v>
      </c>
      <c r="L1877" s="357">
        <v>13</v>
      </c>
      <c r="M1877" s="358" t="s">
        <v>13051</v>
      </c>
      <c r="N1877" s="359">
        <v>800</v>
      </c>
      <c r="O1877" s="360" t="s">
        <v>532</v>
      </c>
      <c r="P1877" s="343" t="s">
        <v>532</v>
      </c>
      <c r="Q1877" s="342" t="s">
        <v>2688</v>
      </c>
      <c r="R1877" s="344">
        <v>30</v>
      </c>
      <c r="S1877" s="345">
        <v>40</v>
      </c>
      <c r="T1877" s="362">
        <v>30</v>
      </c>
      <c r="U1877" s="361">
        <v>67.52</v>
      </c>
      <c r="V1877" s="346">
        <v>111.36244448840492</v>
      </c>
      <c r="W1877" s="348">
        <v>113.5771984393887</v>
      </c>
      <c r="X1877" s="347" t="s">
        <v>19144</v>
      </c>
      <c r="Y1877" s="357" t="s">
        <v>408</v>
      </c>
      <c r="Z1877" s="365" t="s">
        <v>3017</v>
      </c>
      <c r="AA1877" s="350">
        <v>190</v>
      </c>
      <c r="AB1877" s="349" t="s">
        <v>2685</v>
      </c>
      <c r="AC1877" s="350">
        <v>10</v>
      </c>
      <c r="AD1877" s="349" t="s">
        <v>2685</v>
      </c>
      <c r="AE1877" s="364">
        <v>0</v>
      </c>
      <c r="AF1877" s="366">
        <v>0</v>
      </c>
      <c r="AG1877" s="363">
        <v>0</v>
      </c>
      <c r="AH1877" s="635" t="s">
        <v>408</v>
      </c>
      <c r="AL1877" s="487" t="s">
        <v>16255</v>
      </c>
      <c r="AM1877" s="477" t="s">
        <v>70</v>
      </c>
      <c r="AN1877" s="637">
        <v>100</v>
      </c>
      <c r="AO1877" s="478">
        <v>-1570</v>
      </c>
      <c r="AP1877" s="463">
        <v>-1570</v>
      </c>
      <c r="AQ1877" s="479">
        <v>0</v>
      </c>
      <c r="AR1877" s="476" t="s">
        <v>17929</v>
      </c>
      <c r="BA1877" s="313" t="s">
        <v>6711</v>
      </c>
    </row>
    <row r="1878" spans="2:53" ht="16.5" customHeight="1">
      <c r="B1878" s="367" t="s">
        <v>18290</v>
      </c>
      <c r="C1878" s="351" t="s">
        <v>18291</v>
      </c>
      <c r="D1878" s="353">
        <v>-1570</v>
      </c>
      <c r="E1878" s="352" t="s">
        <v>408</v>
      </c>
      <c r="F1878" s="341">
        <v>67.5</v>
      </c>
      <c r="G1878" s="355" t="s">
        <v>19145</v>
      </c>
      <c r="H1878" s="356" t="s">
        <v>6488</v>
      </c>
      <c r="I1878" s="354" t="s">
        <v>212</v>
      </c>
      <c r="J1878" s="340" t="s">
        <v>8772</v>
      </c>
      <c r="K1878" s="339" t="s">
        <v>71</v>
      </c>
      <c r="L1878" s="357">
        <v>3</v>
      </c>
      <c r="M1878" s="358" t="s">
        <v>13086</v>
      </c>
      <c r="N1878" s="359">
        <v>800</v>
      </c>
      <c r="O1878" s="360" t="s">
        <v>532</v>
      </c>
      <c r="P1878" s="343" t="s">
        <v>532</v>
      </c>
      <c r="Q1878" s="342" t="s">
        <v>2688</v>
      </c>
      <c r="R1878" s="344">
        <v>40</v>
      </c>
      <c r="S1878" s="345">
        <v>30</v>
      </c>
      <c r="T1878" s="362">
        <v>30</v>
      </c>
      <c r="U1878" s="361">
        <v>67.5</v>
      </c>
      <c r="V1878" s="346">
        <v>111.35126444734213</v>
      </c>
      <c r="W1878" s="348">
        <v>113.57041055731486</v>
      </c>
      <c r="X1878" s="347" t="s">
        <v>19146</v>
      </c>
      <c r="Y1878" s="357" t="s">
        <v>408</v>
      </c>
      <c r="Z1878" s="365" t="s">
        <v>3017</v>
      </c>
      <c r="AA1878" s="350">
        <v>190</v>
      </c>
      <c r="AB1878" s="349" t="s">
        <v>2685</v>
      </c>
      <c r="AC1878" s="350">
        <v>10</v>
      </c>
      <c r="AD1878" s="349" t="s">
        <v>2685</v>
      </c>
      <c r="AE1878" s="364">
        <v>0</v>
      </c>
      <c r="AF1878" s="366">
        <v>0</v>
      </c>
      <c r="AG1878" s="363">
        <v>0</v>
      </c>
      <c r="AH1878" s="635" t="s">
        <v>408</v>
      </c>
      <c r="AL1878" s="487" t="s">
        <v>16254</v>
      </c>
      <c r="AM1878" s="477" t="s">
        <v>71</v>
      </c>
      <c r="AN1878" s="637">
        <v>100</v>
      </c>
      <c r="AO1878" s="478">
        <v>-1570</v>
      </c>
      <c r="AP1878" s="463">
        <v>-660</v>
      </c>
      <c r="AQ1878" s="479">
        <v>-910</v>
      </c>
      <c r="AR1878" s="476" t="s">
        <v>17930</v>
      </c>
      <c r="BA1878" s="313" t="s">
        <v>6712</v>
      </c>
    </row>
    <row r="1879" spans="2:53" ht="16.5" customHeight="1">
      <c r="B1879" s="367" t="s">
        <v>6808</v>
      </c>
      <c r="C1879" s="351" t="s">
        <v>6809</v>
      </c>
      <c r="D1879" s="353">
        <v>-1570</v>
      </c>
      <c r="E1879" s="352" t="s">
        <v>408</v>
      </c>
      <c r="F1879" s="341">
        <v>67.5</v>
      </c>
      <c r="G1879" s="355" t="s">
        <v>13052</v>
      </c>
      <c r="H1879" s="356" t="s">
        <v>6501</v>
      </c>
      <c r="I1879" s="354" t="s">
        <v>212</v>
      </c>
      <c r="J1879" s="340" t="s">
        <v>13054</v>
      </c>
      <c r="K1879" s="339" t="s">
        <v>70</v>
      </c>
      <c r="L1879" s="357">
        <v>6</v>
      </c>
      <c r="M1879" s="358" t="s">
        <v>13055</v>
      </c>
      <c r="N1879" s="359">
        <v>800</v>
      </c>
      <c r="O1879" s="360" t="s">
        <v>532</v>
      </c>
      <c r="P1879" s="343" t="s">
        <v>532</v>
      </c>
      <c r="Q1879" s="342" t="s">
        <v>2688</v>
      </c>
      <c r="R1879" s="344">
        <v>30</v>
      </c>
      <c r="S1879" s="345">
        <v>40</v>
      </c>
      <c r="T1879" s="362">
        <v>30</v>
      </c>
      <c r="U1879" s="361">
        <v>67.5</v>
      </c>
      <c r="V1879" s="346">
        <v>111.35372119219947</v>
      </c>
      <c r="W1879" s="348">
        <v>113.57190215240682</v>
      </c>
      <c r="X1879" s="347" t="s">
        <v>19144</v>
      </c>
      <c r="Y1879" s="357" t="s">
        <v>408</v>
      </c>
      <c r="Z1879" s="365" t="s">
        <v>3017</v>
      </c>
      <c r="AA1879" s="350">
        <v>190</v>
      </c>
      <c r="AB1879" s="349" t="s">
        <v>2685</v>
      </c>
      <c r="AC1879" s="350">
        <v>10</v>
      </c>
      <c r="AD1879" s="349" t="s">
        <v>2685</v>
      </c>
      <c r="AE1879" s="364">
        <v>0</v>
      </c>
      <c r="AF1879" s="366">
        <v>0</v>
      </c>
      <c r="AG1879" s="363">
        <v>0</v>
      </c>
      <c r="AH1879" s="635" t="s">
        <v>408</v>
      </c>
      <c r="AL1879" s="487" t="s">
        <v>16257</v>
      </c>
      <c r="AM1879" s="477" t="s">
        <v>70</v>
      </c>
      <c r="AN1879" s="637">
        <v>100</v>
      </c>
      <c r="AO1879" s="478">
        <v>-1570</v>
      </c>
      <c r="AP1879" s="463">
        <v>-1570</v>
      </c>
      <c r="AQ1879" s="479">
        <v>0</v>
      </c>
      <c r="AR1879" s="476" t="s">
        <v>17931</v>
      </c>
      <c r="BA1879" s="313" t="s">
        <v>6715</v>
      </c>
    </row>
    <row r="1880" spans="2:53" ht="16.5" customHeight="1">
      <c r="B1880" s="367" t="s">
        <v>13056</v>
      </c>
      <c r="C1880" s="351" t="s">
        <v>13057</v>
      </c>
      <c r="D1880" s="353">
        <v>-1570</v>
      </c>
      <c r="E1880" s="352" t="s">
        <v>408</v>
      </c>
      <c r="F1880" s="341">
        <v>67.489999999999995</v>
      </c>
      <c r="G1880" s="355" t="s">
        <v>13058</v>
      </c>
      <c r="H1880" s="356" t="s">
        <v>6506</v>
      </c>
      <c r="I1880" s="354" t="s">
        <v>197</v>
      </c>
      <c r="J1880" s="340" t="s">
        <v>13059</v>
      </c>
      <c r="K1880" s="339" t="s">
        <v>70</v>
      </c>
      <c r="L1880" s="357">
        <v>4</v>
      </c>
      <c r="M1880" s="358" t="s">
        <v>13060</v>
      </c>
      <c r="N1880" s="359">
        <v>500</v>
      </c>
      <c r="O1880" s="360" t="s">
        <v>454</v>
      </c>
      <c r="P1880" s="343" t="s">
        <v>454</v>
      </c>
      <c r="Q1880" s="342" t="s">
        <v>2688</v>
      </c>
      <c r="R1880" s="344">
        <v>20</v>
      </c>
      <c r="S1880" s="345">
        <v>30</v>
      </c>
      <c r="T1880" s="362">
        <v>30</v>
      </c>
      <c r="U1880" s="361">
        <v>67.489999999999995</v>
      </c>
      <c r="V1880" s="346">
        <v>111.34939759036145</v>
      </c>
      <c r="W1880" s="348">
        <v>113.56927710843374</v>
      </c>
      <c r="X1880" s="347">
        <v>56.44</v>
      </c>
      <c r="Y1880" s="357" t="s">
        <v>408</v>
      </c>
      <c r="Z1880" s="365" t="s">
        <v>4408</v>
      </c>
      <c r="AA1880" s="350">
        <v>94</v>
      </c>
      <c r="AB1880" s="349" t="s">
        <v>2685</v>
      </c>
      <c r="AC1880" s="350">
        <v>1.5</v>
      </c>
      <c r="AD1880" s="349" t="s">
        <v>2685</v>
      </c>
      <c r="AE1880" s="364">
        <v>0</v>
      </c>
      <c r="AF1880" s="366">
        <v>10.124000000000001</v>
      </c>
      <c r="AG1880" s="363">
        <v>0</v>
      </c>
      <c r="AH1880" s="635" t="s">
        <v>6224</v>
      </c>
      <c r="AL1880" s="487" t="s">
        <v>16256</v>
      </c>
      <c r="AM1880" s="477" t="s">
        <v>70</v>
      </c>
      <c r="AN1880" s="637">
        <v>100</v>
      </c>
      <c r="AO1880" s="478">
        <v>-1570</v>
      </c>
      <c r="AP1880" s="463">
        <v>-1570</v>
      </c>
      <c r="AQ1880" s="479">
        <v>0</v>
      </c>
      <c r="AR1880" s="476" t="s">
        <v>17932</v>
      </c>
      <c r="BA1880" s="313" t="s">
        <v>6718</v>
      </c>
    </row>
    <row r="1881" spans="2:53" ht="16.5" customHeight="1">
      <c r="B1881" s="367" t="s">
        <v>13061</v>
      </c>
      <c r="C1881" s="351" t="s">
        <v>13062</v>
      </c>
      <c r="D1881" s="353">
        <v>-1570</v>
      </c>
      <c r="E1881" s="352" t="s">
        <v>13063</v>
      </c>
      <c r="F1881" s="341">
        <v>67.47</v>
      </c>
      <c r="G1881" s="355" t="s">
        <v>13063</v>
      </c>
      <c r="H1881" s="356" t="s">
        <v>19147</v>
      </c>
      <c r="I1881" s="354" t="s">
        <v>212</v>
      </c>
      <c r="J1881" s="340" t="s">
        <v>13064</v>
      </c>
      <c r="K1881" s="339" t="s">
        <v>70</v>
      </c>
      <c r="L1881" s="357">
        <v>14</v>
      </c>
      <c r="M1881" s="358" t="s">
        <v>13065</v>
      </c>
      <c r="N1881" s="359">
        <v>800</v>
      </c>
      <c r="O1881" s="360" t="s">
        <v>532</v>
      </c>
      <c r="P1881" s="343" t="s">
        <v>532</v>
      </c>
      <c r="Q1881" s="342" t="s">
        <v>2688</v>
      </c>
      <c r="R1881" s="344">
        <v>30</v>
      </c>
      <c r="S1881" s="345">
        <v>40</v>
      </c>
      <c r="T1881" s="362">
        <v>30</v>
      </c>
      <c r="U1881" s="361">
        <v>67.47</v>
      </c>
      <c r="V1881" s="346">
        <v>111.33253604427196</v>
      </c>
      <c r="W1881" s="348">
        <v>113.55903974116512</v>
      </c>
      <c r="X1881" s="347" t="s">
        <v>19144</v>
      </c>
      <c r="Y1881" s="357" t="s">
        <v>408</v>
      </c>
      <c r="Z1881" s="365" t="s">
        <v>3017</v>
      </c>
      <c r="AA1881" s="350">
        <v>190</v>
      </c>
      <c r="AB1881" s="349" t="s">
        <v>2685</v>
      </c>
      <c r="AC1881" s="350">
        <v>10</v>
      </c>
      <c r="AD1881" s="349" t="s">
        <v>2685</v>
      </c>
      <c r="AE1881" s="364">
        <v>0</v>
      </c>
      <c r="AF1881" s="366">
        <v>0</v>
      </c>
      <c r="AG1881" s="363">
        <v>0</v>
      </c>
      <c r="AH1881" s="635" t="s">
        <v>408</v>
      </c>
      <c r="AL1881" s="487" t="s">
        <v>16259</v>
      </c>
      <c r="AM1881" s="477" t="s">
        <v>70</v>
      </c>
      <c r="AN1881" s="637">
        <v>100</v>
      </c>
      <c r="AO1881" s="478">
        <v>-1570</v>
      </c>
      <c r="AP1881" s="463">
        <v>-1570</v>
      </c>
      <c r="AQ1881" s="479">
        <v>0</v>
      </c>
      <c r="AR1881" s="476" t="s">
        <v>17933</v>
      </c>
      <c r="BA1881" s="313" t="s">
        <v>6720</v>
      </c>
    </row>
    <row r="1882" spans="2:53" ht="16.5" customHeight="1">
      <c r="B1882" s="367" t="s">
        <v>13061</v>
      </c>
      <c r="C1882" s="351" t="s">
        <v>13062</v>
      </c>
      <c r="D1882" s="353">
        <v>-1570</v>
      </c>
      <c r="E1882" s="352" t="s">
        <v>13070</v>
      </c>
      <c r="F1882" s="341">
        <v>67.47</v>
      </c>
      <c r="G1882" s="355" t="s">
        <v>13063</v>
      </c>
      <c r="H1882" s="356" t="s">
        <v>19147</v>
      </c>
      <c r="I1882" s="354" t="s">
        <v>212</v>
      </c>
      <c r="J1882" s="340" t="s">
        <v>8316</v>
      </c>
      <c r="K1882" s="339" t="s">
        <v>70</v>
      </c>
      <c r="L1882" s="357">
        <v>8</v>
      </c>
      <c r="M1882" s="358" t="s">
        <v>13066</v>
      </c>
      <c r="N1882" s="359">
        <v>800</v>
      </c>
      <c r="O1882" s="360" t="s">
        <v>532</v>
      </c>
      <c r="P1882" s="343" t="s">
        <v>532</v>
      </c>
      <c r="Q1882" s="342" t="s">
        <v>2688</v>
      </c>
      <c r="R1882" s="344">
        <v>30</v>
      </c>
      <c r="S1882" s="345">
        <v>40</v>
      </c>
      <c r="T1882" s="362">
        <v>30</v>
      </c>
      <c r="U1882" s="361">
        <v>67.47</v>
      </c>
      <c r="V1882" s="346">
        <v>111.33357453191547</v>
      </c>
      <c r="W1882" s="348">
        <v>113.5596702515201</v>
      </c>
      <c r="X1882" s="347" t="s">
        <v>19144</v>
      </c>
      <c r="Y1882" s="357" t="s">
        <v>408</v>
      </c>
      <c r="Z1882" s="365" t="s">
        <v>3017</v>
      </c>
      <c r="AA1882" s="350">
        <v>190</v>
      </c>
      <c r="AB1882" s="349" t="s">
        <v>2685</v>
      </c>
      <c r="AC1882" s="350">
        <v>10</v>
      </c>
      <c r="AD1882" s="349" t="s">
        <v>2685</v>
      </c>
      <c r="AE1882" s="364">
        <v>0</v>
      </c>
      <c r="AF1882" s="366">
        <v>0</v>
      </c>
      <c r="AG1882" s="363">
        <v>0</v>
      </c>
      <c r="AH1882" s="635" t="s">
        <v>408</v>
      </c>
      <c r="AL1882" s="487" t="s">
        <v>16260</v>
      </c>
      <c r="AM1882" s="477" t="s">
        <v>70</v>
      </c>
      <c r="AN1882" s="637">
        <v>100</v>
      </c>
      <c r="AO1882" s="478">
        <v>-1570</v>
      </c>
      <c r="AP1882" s="463">
        <v>-1570</v>
      </c>
      <c r="AQ1882" s="479">
        <v>0</v>
      </c>
      <c r="AR1882" s="476" t="s">
        <v>17933</v>
      </c>
      <c r="BA1882" s="313" t="s">
        <v>6721</v>
      </c>
    </row>
    <row r="1883" spans="2:53" ht="16.5" customHeight="1">
      <c r="B1883" s="367" t="s">
        <v>13061</v>
      </c>
      <c r="C1883" s="351" t="s">
        <v>13062</v>
      </c>
      <c r="D1883" s="353">
        <v>-1570</v>
      </c>
      <c r="E1883" s="352" t="s">
        <v>13074</v>
      </c>
      <c r="F1883" s="341">
        <v>67.47</v>
      </c>
      <c r="G1883" s="355" t="s">
        <v>6727</v>
      </c>
      <c r="H1883" s="356" t="s">
        <v>19148</v>
      </c>
      <c r="I1883" s="354" t="s">
        <v>197</v>
      </c>
      <c r="J1883" s="340" t="s">
        <v>8534</v>
      </c>
      <c r="K1883" s="339" t="s">
        <v>71</v>
      </c>
      <c r="L1883" s="357">
        <v>7</v>
      </c>
      <c r="M1883" s="358" t="s">
        <v>13067</v>
      </c>
      <c r="N1883" s="359">
        <v>500</v>
      </c>
      <c r="O1883" s="360" t="s">
        <v>454</v>
      </c>
      <c r="P1883" s="343" t="s">
        <v>454</v>
      </c>
      <c r="Q1883" s="342" t="s">
        <v>2688</v>
      </c>
      <c r="R1883" s="344">
        <v>30</v>
      </c>
      <c r="S1883" s="345">
        <v>20</v>
      </c>
      <c r="T1883" s="362">
        <v>20</v>
      </c>
      <c r="U1883" s="361">
        <v>67.47</v>
      </c>
      <c r="V1883" s="346">
        <v>111.3327961321515</v>
      </c>
      <c r="W1883" s="348">
        <v>113.55919765166341</v>
      </c>
      <c r="X1883" s="347">
        <v>55.96</v>
      </c>
      <c r="Y1883" s="357" t="s">
        <v>408</v>
      </c>
      <c r="Z1883" s="365" t="s">
        <v>4408</v>
      </c>
      <c r="AA1883" s="350">
        <v>141</v>
      </c>
      <c r="AB1883" s="349" t="s">
        <v>2685</v>
      </c>
      <c r="AC1883" s="350">
        <v>1.5</v>
      </c>
      <c r="AD1883" s="349" t="s">
        <v>2685</v>
      </c>
      <c r="AE1883" s="364">
        <v>0</v>
      </c>
      <c r="AF1883" s="366">
        <v>10.121</v>
      </c>
      <c r="AG1883" s="363">
        <v>0</v>
      </c>
      <c r="AH1883" s="635" t="s">
        <v>6360</v>
      </c>
      <c r="AL1883" s="487" t="s">
        <v>16258</v>
      </c>
      <c r="AM1883" s="477" t="s">
        <v>71</v>
      </c>
      <c r="AN1883" s="637">
        <v>100</v>
      </c>
      <c r="AO1883" s="478">
        <v>-1570</v>
      </c>
      <c r="AP1883" s="463">
        <v>-660</v>
      </c>
      <c r="AQ1883" s="479">
        <v>-910</v>
      </c>
      <c r="AR1883" s="476" t="s">
        <v>17934</v>
      </c>
      <c r="BA1883" s="313" t="s">
        <v>6724</v>
      </c>
    </row>
    <row r="1884" spans="2:53" ht="16.5" customHeight="1">
      <c r="B1884" s="367" t="s">
        <v>13072</v>
      </c>
      <c r="C1884" s="351" t="s">
        <v>13073</v>
      </c>
      <c r="D1884" s="353">
        <v>-1570</v>
      </c>
      <c r="E1884" s="352" t="s">
        <v>408</v>
      </c>
      <c r="F1884" s="341">
        <v>67.42</v>
      </c>
      <c r="G1884" s="355" t="s">
        <v>19149</v>
      </c>
      <c r="H1884" s="356" t="s">
        <v>19056</v>
      </c>
      <c r="I1884" s="354" t="s">
        <v>197</v>
      </c>
      <c r="J1884" s="340" t="s">
        <v>9220</v>
      </c>
      <c r="K1884" s="339" t="s">
        <v>71</v>
      </c>
      <c r="L1884" s="357">
        <v>6</v>
      </c>
      <c r="M1884" s="358" t="s">
        <v>13076</v>
      </c>
      <c r="N1884" s="359">
        <v>500</v>
      </c>
      <c r="O1884" s="360" t="s">
        <v>454</v>
      </c>
      <c r="P1884" s="343" t="s">
        <v>454</v>
      </c>
      <c r="Q1884" s="342" t="s">
        <v>2688</v>
      </c>
      <c r="R1884" s="344">
        <v>30</v>
      </c>
      <c r="S1884" s="345">
        <v>20</v>
      </c>
      <c r="T1884" s="362">
        <v>20</v>
      </c>
      <c r="U1884" s="361">
        <v>67.42</v>
      </c>
      <c r="V1884" s="346">
        <v>111.30862207896858</v>
      </c>
      <c r="W1884" s="348">
        <v>113.54452054794521</v>
      </c>
      <c r="X1884" s="347">
        <v>55.94</v>
      </c>
      <c r="Y1884" s="357" t="s">
        <v>408</v>
      </c>
      <c r="Z1884" s="365" t="s">
        <v>4408</v>
      </c>
      <c r="AA1884" s="350">
        <v>141</v>
      </c>
      <c r="AB1884" s="349" t="s">
        <v>2685</v>
      </c>
      <c r="AC1884" s="350">
        <v>1.5</v>
      </c>
      <c r="AD1884" s="349" t="s">
        <v>2685</v>
      </c>
      <c r="AE1884" s="364">
        <v>0</v>
      </c>
      <c r="AF1884" s="366">
        <v>10.113</v>
      </c>
      <c r="AG1884" s="363">
        <v>0</v>
      </c>
      <c r="AH1884" s="635" t="s">
        <v>6360</v>
      </c>
      <c r="AL1884" s="487" t="s">
        <v>16261</v>
      </c>
      <c r="AM1884" s="477" t="s">
        <v>71</v>
      </c>
      <c r="AN1884" s="637">
        <v>100</v>
      </c>
      <c r="AO1884" s="478">
        <v>-1570</v>
      </c>
      <c r="AP1884" s="463">
        <v>-660</v>
      </c>
      <c r="AQ1884" s="479">
        <v>-910</v>
      </c>
      <c r="AR1884" s="476" t="s">
        <v>17935</v>
      </c>
      <c r="BA1884" s="313" t="s">
        <v>6729</v>
      </c>
    </row>
    <row r="1885" spans="2:53" ht="16.5" customHeight="1">
      <c r="B1885" s="367" t="s">
        <v>6813</v>
      </c>
      <c r="C1885" s="351" t="s">
        <v>6814</v>
      </c>
      <c r="D1885" s="353">
        <v>-1570</v>
      </c>
      <c r="E1885" s="352" t="s">
        <v>408</v>
      </c>
      <c r="F1885" s="341">
        <v>67.400000000000006</v>
      </c>
      <c r="G1885" s="355" t="s">
        <v>6686</v>
      </c>
      <c r="H1885" s="356" t="s">
        <v>19150</v>
      </c>
      <c r="I1885" s="354" t="s">
        <v>214</v>
      </c>
      <c r="J1885" s="340" t="s">
        <v>13077</v>
      </c>
      <c r="K1885" s="339" t="s">
        <v>70</v>
      </c>
      <c r="L1885" s="357">
        <v>7</v>
      </c>
      <c r="M1885" s="358" t="s">
        <v>13078</v>
      </c>
      <c r="N1885" s="359">
        <v>200</v>
      </c>
      <c r="O1885" s="360" t="s">
        <v>532</v>
      </c>
      <c r="P1885" s="343" t="s">
        <v>532</v>
      </c>
      <c r="Q1885" s="342" t="s">
        <v>2688</v>
      </c>
      <c r="R1885" s="344">
        <v>20</v>
      </c>
      <c r="S1885" s="345">
        <v>30</v>
      </c>
      <c r="T1885" s="362">
        <v>30</v>
      </c>
      <c r="U1885" s="361">
        <v>67.400000000000006</v>
      </c>
      <c r="V1885" s="346">
        <v>111.29172627597569</v>
      </c>
      <c r="W1885" s="348">
        <v>113.53426238184238</v>
      </c>
      <c r="X1885" s="347" t="s">
        <v>19151</v>
      </c>
      <c r="Y1885" s="357" t="s">
        <v>408</v>
      </c>
      <c r="Z1885" s="365" t="s">
        <v>4408</v>
      </c>
      <c r="AA1885" s="350">
        <v>36</v>
      </c>
      <c r="AB1885" s="349" t="s">
        <v>2685</v>
      </c>
      <c r="AC1885" s="350">
        <v>0</v>
      </c>
      <c r="AD1885" s="349" t="s">
        <v>2685</v>
      </c>
      <c r="AE1885" s="364">
        <v>0</v>
      </c>
      <c r="AF1885" s="366">
        <v>0</v>
      </c>
      <c r="AG1885" s="363">
        <v>0</v>
      </c>
      <c r="AH1885" s="635" t="s">
        <v>408</v>
      </c>
      <c r="AL1885" s="487" t="s">
        <v>16264</v>
      </c>
      <c r="AM1885" s="477" t="s">
        <v>70</v>
      </c>
      <c r="AN1885" s="637">
        <v>100</v>
      </c>
      <c r="AO1885" s="478">
        <v>-1570</v>
      </c>
      <c r="AP1885" s="463">
        <v>-1570</v>
      </c>
      <c r="AQ1885" s="479">
        <v>0</v>
      </c>
      <c r="AR1885" s="476" t="s">
        <v>17936</v>
      </c>
      <c r="BA1885" s="313" t="s">
        <v>6730</v>
      </c>
    </row>
    <row r="1886" spans="2:53" ht="16.5" customHeight="1">
      <c r="B1886" s="367" t="s">
        <v>13079</v>
      </c>
      <c r="C1886" s="351" t="s">
        <v>13080</v>
      </c>
      <c r="D1886" s="353">
        <v>-1570</v>
      </c>
      <c r="E1886" s="352" t="s">
        <v>12973</v>
      </c>
      <c r="F1886" s="341">
        <v>67.38</v>
      </c>
      <c r="G1886" s="355" t="s">
        <v>13081</v>
      </c>
      <c r="H1886" s="356" t="s">
        <v>6515</v>
      </c>
      <c r="I1886" s="354" t="s">
        <v>197</v>
      </c>
      <c r="J1886" s="340" t="s">
        <v>13082</v>
      </c>
      <c r="K1886" s="339" t="s">
        <v>70</v>
      </c>
      <c r="L1886" s="357">
        <v>9</v>
      </c>
      <c r="M1886" s="358" t="s">
        <v>13083</v>
      </c>
      <c r="N1886" s="359">
        <v>500</v>
      </c>
      <c r="O1886" s="360" t="s">
        <v>454</v>
      </c>
      <c r="P1886" s="343" t="s">
        <v>454</v>
      </c>
      <c r="Q1886" s="342" t="s">
        <v>2688</v>
      </c>
      <c r="R1886" s="344">
        <v>20</v>
      </c>
      <c r="S1886" s="345">
        <v>30</v>
      </c>
      <c r="T1886" s="362">
        <v>30</v>
      </c>
      <c r="U1886" s="361">
        <v>67.38</v>
      </c>
      <c r="V1886" s="346">
        <v>111.28454172366621</v>
      </c>
      <c r="W1886" s="348">
        <v>113.52990033222592</v>
      </c>
      <c r="X1886" s="347">
        <v>56.41</v>
      </c>
      <c r="Y1886" s="357" t="s">
        <v>408</v>
      </c>
      <c r="Z1886" s="365" t="s">
        <v>4408</v>
      </c>
      <c r="AA1886" s="350">
        <v>94</v>
      </c>
      <c r="AB1886" s="349" t="s">
        <v>2685</v>
      </c>
      <c r="AC1886" s="350">
        <v>1.5</v>
      </c>
      <c r="AD1886" s="349" t="s">
        <v>2685</v>
      </c>
      <c r="AE1886" s="364">
        <v>0</v>
      </c>
      <c r="AF1886" s="366">
        <v>20.213999999999999</v>
      </c>
      <c r="AG1886" s="363">
        <v>0</v>
      </c>
      <c r="AH1886" s="635" t="s">
        <v>12164</v>
      </c>
      <c r="AL1886" s="487" t="s">
        <v>16262</v>
      </c>
      <c r="AM1886" s="477" t="s">
        <v>70</v>
      </c>
      <c r="AN1886" s="637">
        <v>100</v>
      </c>
      <c r="AO1886" s="478">
        <v>-1570</v>
      </c>
      <c r="AP1886" s="463">
        <v>-1570</v>
      </c>
      <c r="AQ1886" s="479">
        <v>0</v>
      </c>
      <c r="AR1886" s="476" t="s">
        <v>17937</v>
      </c>
      <c r="BA1886" s="313" t="s">
        <v>6731</v>
      </c>
    </row>
    <row r="1887" spans="2:53" ht="16.5" customHeight="1">
      <c r="B1887" s="367" t="s">
        <v>12971</v>
      </c>
      <c r="C1887" s="351" t="s">
        <v>12972</v>
      </c>
      <c r="D1887" s="353">
        <v>-1570</v>
      </c>
      <c r="E1887" s="352" t="s">
        <v>13085</v>
      </c>
      <c r="F1887" s="341">
        <v>67.37</v>
      </c>
      <c r="G1887" s="355" t="s">
        <v>19152</v>
      </c>
      <c r="H1887" s="356" t="s">
        <v>19153</v>
      </c>
      <c r="I1887" s="354" t="s">
        <v>211</v>
      </c>
      <c r="J1887" s="340" t="s">
        <v>229</v>
      </c>
      <c r="K1887" s="339" t="s">
        <v>71</v>
      </c>
      <c r="L1887" s="357">
        <v>90</v>
      </c>
      <c r="M1887" s="358" t="s">
        <v>13084</v>
      </c>
      <c r="N1887" s="359">
        <v>500</v>
      </c>
      <c r="O1887" s="360" t="s">
        <v>530</v>
      </c>
      <c r="P1887" s="343" t="s">
        <v>531</v>
      </c>
      <c r="Q1887" s="342" t="s">
        <v>2688</v>
      </c>
      <c r="R1887" s="344">
        <v>40</v>
      </c>
      <c r="S1887" s="345">
        <v>30</v>
      </c>
      <c r="T1887" s="362">
        <v>30</v>
      </c>
      <c r="U1887" s="361">
        <v>67.37</v>
      </c>
      <c r="V1887" s="346">
        <v>111.27769175797998</v>
      </c>
      <c r="W1887" s="348">
        <v>113.52574142448785</v>
      </c>
      <c r="X1887" s="347">
        <v>55.93</v>
      </c>
      <c r="Y1887" s="357">
        <v>55.879999999999995</v>
      </c>
      <c r="Z1887" s="365" t="s">
        <v>4408</v>
      </c>
      <c r="AA1887" s="350">
        <v>24</v>
      </c>
      <c r="AB1887" s="349" t="s">
        <v>2685</v>
      </c>
      <c r="AC1887" s="350">
        <v>5</v>
      </c>
      <c r="AD1887" s="349" t="s">
        <v>2685</v>
      </c>
      <c r="AE1887" s="364">
        <v>0</v>
      </c>
      <c r="AF1887" s="366">
        <v>0</v>
      </c>
      <c r="AG1887" s="363">
        <v>0</v>
      </c>
      <c r="AH1887" s="635" t="s">
        <v>408</v>
      </c>
      <c r="AL1887" s="487" t="s">
        <v>16263</v>
      </c>
      <c r="AM1887" s="477" t="s">
        <v>71</v>
      </c>
      <c r="AN1887" s="637">
        <v>100</v>
      </c>
      <c r="AO1887" s="478">
        <v>-1570</v>
      </c>
      <c r="AP1887" s="463">
        <v>-660</v>
      </c>
      <c r="AQ1887" s="479">
        <v>-910</v>
      </c>
      <c r="AR1887" s="476" t="s">
        <v>17938</v>
      </c>
      <c r="BA1887" s="313" t="s">
        <v>6733</v>
      </c>
    </row>
    <row r="1888" spans="2:53" ht="16.5" customHeight="1">
      <c r="B1888" s="367" t="s">
        <v>6817</v>
      </c>
      <c r="C1888" s="351" t="s">
        <v>6818</v>
      </c>
      <c r="D1888" s="353">
        <v>-1570</v>
      </c>
      <c r="E1888" s="352" t="s">
        <v>13087</v>
      </c>
      <c r="F1888" s="341">
        <v>67.36</v>
      </c>
      <c r="G1888" s="355" t="s">
        <v>13187</v>
      </c>
      <c r="H1888" s="356" t="s">
        <v>12717</v>
      </c>
      <c r="I1888" s="354" t="s">
        <v>213</v>
      </c>
      <c r="J1888" s="340" t="s">
        <v>542</v>
      </c>
      <c r="K1888" s="339" t="s">
        <v>71</v>
      </c>
      <c r="L1888" s="357">
        <v>4</v>
      </c>
      <c r="M1888" s="358" t="s">
        <v>13088</v>
      </c>
      <c r="N1888" s="359">
        <v>1000</v>
      </c>
      <c r="O1888" s="360" t="s">
        <v>454</v>
      </c>
      <c r="P1888" s="343" t="s">
        <v>454</v>
      </c>
      <c r="Q1888" s="342" t="s">
        <v>2688</v>
      </c>
      <c r="R1888" s="344">
        <v>30</v>
      </c>
      <c r="S1888" s="345">
        <v>20</v>
      </c>
      <c r="T1888" s="362">
        <v>30</v>
      </c>
      <c r="U1888" s="361">
        <v>67.36</v>
      </c>
      <c r="V1888" s="346">
        <v>111.27205882352941</v>
      </c>
      <c r="W1888" s="348">
        <v>113.52232142857143</v>
      </c>
      <c r="X1888" s="347">
        <v>55.92</v>
      </c>
      <c r="Y1888" s="357" t="s">
        <v>408</v>
      </c>
      <c r="Z1888" s="365" t="s">
        <v>4408</v>
      </c>
      <c r="AA1888" s="350">
        <v>180</v>
      </c>
      <c r="AB1888" s="349" t="s">
        <v>2685</v>
      </c>
      <c r="AC1888" s="350">
        <v>10</v>
      </c>
      <c r="AD1888" s="349" t="s">
        <v>2685</v>
      </c>
      <c r="AE1888" s="364">
        <v>0</v>
      </c>
      <c r="AF1888" s="366">
        <v>0</v>
      </c>
      <c r="AG1888" s="363">
        <v>0</v>
      </c>
      <c r="AH1888" s="635" t="s">
        <v>408</v>
      </c>
      <c r="AL1888" s="487" t="s">
        <v>16265</v>
      </c>
      <c r="AM1888" s="477" t="s">
        <v>71</v>
      </c>
      <c r="AN1888" s="637">
        <v>100</v>
      </c>
      <c r="AO1888" s="478">
        <v>-1570</v>
      </c>
      <c r="AP1888" s="463">
        <v>-660</v>
      </c>
      <c r="AQ1888" s="479">
        <v>-910</v>
      </c>
      <c r="AR1888" s="476" t="s">
        <v>17939</v>
      </c>
      <c r="BA1888" s="313" t="s">
        <v>6737</v>
      </c>
    </row>
    <row r="1889" spans="2:53" ht="16.5" customHeight="1">
      <c r="B1889" s="367" t="s">
        <v>13089</v>
      </c>
      <c r="C1889" s="351" t="s">
        <v>13090</v>
      </c>
      <c r="D1889" s="353">
        <v>-1570</v>
      </c>
      <c r="E1889" s="352" t="s">
        <v>408</v>
      </c>
      <c r="F1889" s="341">
        <v>67.34</v>
      </c>
      <c r="G1889" s="355" t="s">
        <v>13091</v>
      </c>
      <c r="H1889" s="356" t="s">
        <v>12700</v>
      </c>
      <c r="I1889" s="354" t="s">
        <v>216</v>
      </c>
      <c r="J1889" s="340" t="s">
        <v>13092</v>
      </c>
      <c r="K1889" s="339" t="s">
        <v>70</v>
      </c>
      <c r="L1889" s="357">
        <v>9</v>
      </c>
      <c r="M1889" s="358" t="s">
        <v>13093</v>
      </c>
      <c r="N1889" s="359">
        <v>300</v>
      </c>
      <c r="O1889" s="360" t="s">
        <v>530</v>
      </c>
      <c r="P1889" s="343" t="s">
        <v>530</v>
      </c>
      <c r="Q1889" s="342" t="s">
        <v>2688</v>
      </c>
      <c r="R1889" s="344">
        <v>25</v>
      </c>
      <c r="S1889" s="345">
        <v>45</v>
      </c>
      <c r="T1889" s="362">
        <v>30</v>
      </c>
      <c r="U1889" s="361">
        <v>67.34</v>
      </c>
      <c r="V1889" s="346">
        <v>111.26140335106793</v>
      </c>
      <c r="W1889" s="348">
        <v>113.51585203457697</v>
      </c>
      <c r="X1889" s="347">
        <v>56.4</v>
      </c>
      <c r="Y1889" s="357" t="s">
        <v>408</v>
      </c>
      <c r="Z1889" s="365" t="s">
        <v>3017</v>
      </c>
      <c r="AA1889" s="350">
        <v>-2</v>
      </c>
      <c r="AB1889" s="349" t="s">
        <v>2685</v>
      </c>
      <c r="AC1889" s="350">
        <v>0</v>
      </c>
      <c r="AD1889" s="349" t="s">
        <v>2685</v>
      </c>
      <c r="AE1889" s="364">
        <v>0</v>
      </c>
      <c r="AF1889" s="366">
        <v>5.0759999999999996</v>
      </c>
      <c r="AG1889" s="363">
        <v>0</v>
      </c>
      <c r="AH1889" s="635" t="s">
        <v>11477</v>
      </c>
      <c r="AL1889" s="487" t="s">
        <v>16266</v>
      </c>
      <c r="AM1889" s="477" t="s">
        <v>70</v>
      </c>
      <c r="AN1889" s="637">
        <v>100</v>
      </c>
      <c r="AO1889" s="478">
        <v>-1570</v>
      </c>
      <c r="AP1889" s="463">
        <v>-1570</v>
      </c>
      <c r="AQ1889" s="479">
        <v>0</v>
      </c>
      <c r="AR1889" s="476" t="s">
        <v>17940</v>
      </c>
      <c r="BA1889" s="313" t="s">
        <v>6739</v>
      </c>
    </row>
    <row r="1890" spans="2:53" ht="16.5" customHeight="1">
      <c r="B1890" s="367" t="s">
        <v>13094</v>
      </c>
      <c r="C1890" s="351" t="s">
        <v>13095</v>
      </c>
      <c r="D1890" s="353">
        <v>-1570</v>
      </c>
      <c r="E1890" s="352" t="s">
        <v>408</v>
      </c>
      <c r="F1890" s="341">
        <v>67.34</v>
      </c>
      <c r="G1890" s="355" t="s">
        <v>13007</v>
      </c>
      <c r="H1890" s="356" t="s">
        <v>6522</v>
      </c>
      <c r="I1890" s="354" t="s">
        <v>212</v>
      </c>
      <c r="J1890" s="340" t="s">
        <v>13096</v>
      </c>
      <c r="K1890" s="339" t="s">
        <v>70</v>
      </c>
      <c r="L1890" s="357">
        <v>5</v>
      </c>
      <c r="M1890" s="358" t="s">
        <v>13097</v>
      </c>
      <c r="N1890" s="359">
        <v>800</v>
      </c>
      <c r="O1890" s="360" t="s">
        <v>532</v>
      </c>
      <c r="P1890" s="343" t="s">
        <v>532</v>
      </c>
      <c r="Q1890" s="342" t="s">
        <v>2688</v>
      </c>
      <c r="R1890" s="344">
        <v>30</v>
      </c>
      <c r="S1890" s="345">
        <v>40</v>
      </c>
      <c r="T1890" s="362">
        <v>30</v>
      </c>
      <c r="U1890" s="361">
        <v>67.34</v>
      </c>
      <c r="V1890" s="346">
        <v>111.258180328997</v>
      </c>
      <c r="W1890" s="348">
        <v>113.51389519974818</v>
      </c>
      <c r="X1890" s="347" t="s">
        <v>19154</v>
      </c>
      <c r="Y1890" s="357" t="s">
        <v>408</v>
      </c>
      <c r="Z1890" s="365" t="s">
        <v>3017</v>
      </c>
      <c r="AA1890" s="350">
        <v>190</v>
      </c>
      <c r="AB1890" s="349" t="s">
        <v>2685</v>
      </c>
      <c r="AC1890" s="350">
        <v>10</v>
      </c>
      <c r="AD1890" s="349" t="s">
        <v>2685</v>
      </c>
      <c r="AE1890" s="364">
        <v>0</v>
      </c>
      <c r="AF1890" s="366">
        <v>0</v>
      </c>
      <c r="AG1890" s="363">
        <v>0</v>
      </c>
      <c r="AH1890" s="635" t="s">
        <v>408</v>
      </c>
      <c r="AL1890" s="487" t="s">
        <v>16267</v>
      </c>
      <c r="AM1890" s="477" t="s">
        <v>70</v>
      </c>
      <c r="AN1890" s="637">
        <v>100</v>
      </c>
      <c r="AO1890" s="478">
        <v>-1570</v>
      </c>
      <c r="AP1890" s="463">
        <v>-1570</v>
      </c>
      <c r="AQ1890" s="479">
        <v>0</v>
      </c>
      <c r="AR1890" s="476" t="s">
        <v>17941</v>
      </c>
      <c r="BA1890" s="313" t="s">
        <v>6741</v>
      </c>
    </row>
    <row r="1891" spans="2:53" ht="16.5" customHeight="1">
      <c r="B1891" s="367" t="s">
        <v>13098</v>
      </c>
      <c r="C1891" s="351" t="s">
        <v>13099</v>
      </c>
      <c r="D1891" s="353">
        <v>-1570</v>
      </c>
      <c r="E1891" s="352" t="s">
        <v>13100</v>
      </c>
      <c r="F1891" s="341">
        <v>67.290000000000006</v>
      </c>
      <c r="G1891" s="355" t="s">
        <v>19155</v>
      </c>
      <c r="H1891" s="356" t="s">
        <v>12722</v>
      </c>
      <c r="I1891" s="354" t="s">
        <v>494</v>
      </c>
      <c r="J1891" s="340" t="s">
        <v>13101</v>
      </c>
      <c r="K1891" s="339" t="s">
        <v>71</v>
      </c>
      <c r="L1891" s="357">
        <v>23</v>
      </c>
      <c r="M1891" s="358" t="s">
        <v>13102</v>
      </c>
      <c r="N1891" s="359">
        <v>1000</v>
      </c>
      <c r="O1891" s="360" t="s">
        <v>532</v>
      </c>
      <c r="P1891" s="343" t="s">
        <v>533</v>
      </c>
      <c r="Q1891" s="342" t="s">
        <v>2688</v>
      </c>
      <c r="R1891" s="344">
        <v>30</v>
      </c>
      <c r="S1891" s="345">
        <v>30</v>
      </c>
      <c r="T1891" s="362">
        <v>20</v>
      </c>
      <c r="U1891" s="361">
        <v>67.290000000000006</v>
      </c>
      <c r="V1891" s="346">
        <v>111.23177116952334</v>
      </c>
      <c r="W1891" s="348">
        <v>113.49786106721061</v>
      </c>
      <c r="X1891" s="347">
        <v>55.91</v>
      </c>
      <c r="Y1891" s="357">
        <v>55.73</v>
      </c>
      <c r="Z1891" s="365" t="s">
        <v>3017</v>
      </c>
      <c r="AA1891" s="350">
        <v>190</v>
      </c>
      <c r="AB1891" s="349" t="s">
        <v>2685</v>
      </c>
      <c r="AC1891" s="350">
        <v>0</v>
      </c>
      <c r="AD1891" s="349" t="s">
        <v>2685</v>
      </c>
      <c r="AE1891" s="364">
        <v>0</v>
      </c>
      <c r="AF1891" s="366">
        <v>0</v>
      </c>
      <c r="AG1891" s="363">
        <v>0</v>
      </c>
      <c r="AH1891" s="635" t="s">
        <v>408</v>
      </c>
      <c r="AL1891" s="487" t="s">
        <v>16268</v>
      </c>
      <c r="AM1891" s="477" t="s">
        <v>71</v>
      </c>
      <c r="AN1891" s="637">
        <v>100</v>
      </c>
      <c r="AO1891" s="478">
        <v>-1570</v>
      </c>
      <c r="AP1891" s="463">
        <v>-659</v>
      </c>
      <c r="AQ1891" s="479">
        <v>-911</v>
      </c>
      <c r="AR1891" s="476" t="s">
        <v>17942</v>
      </c>
      <c r="BA1891" s="313" t="s">
        <v>6742</v>
      </c>
    </row>
    <row r="1892" spans="2:53" ht="16.5" customHeight="1">
      <c r="B1892" s="367" t="s">
        <v>6825</v>
      </c>
      <c r="C1892" s="351" t="s">
        <v>6826</v>
      </c>
      <c r="D1892" s="353">
        <v>-1570</v>
      </c>
      <c r="E1892" s="352" t="s">
        <v>408</v>
      </c>
      <c r="F1892" s="341">
        <v>67.28</v>
      </c>
      <c r="G1892" s="355" t="s">
        <v>6554</v>
      </c>
      <c r="H1892" s="356" t="s">
        <v>12746</v>
      </c>
      <c r="I1892" s="354" t="s">
        <v>197</v>
      </c>
      <c r="J1892" s="340" t="s">
        <v>13103</v>
      </c>
      <c r="K1892" s="339" t="s">
        <v>70</v>
      </c>
      <c r="L1892" s="357">
        <v>25</v>
      </c>
      <c r="M1892" s="358" t="s">
        <v>13104</v>
      </c>
      <c r="N1892" s="359">
        <v>500</v>
      </c>
      <c r="O1892" s="360" t="s">
        <v>454</v>
      </c>
      <c r="P1892" s="343" t="s">
        <v>454</v>
      </c>
      <c r="Q1892" s="342" t="s">
        <v>2688</v>
      </c>
      <c r="R1892" s="344">
        <v>20</v>
      </c>
      <c r="S1892" s="345">
        <v>30</v>
      </c>
      <c r="T1892" s="362">
        <v>30</v>
      </c>
      <c r="U1892" s="361">
        <v>67.28</v>
      </c>
      <c r="V1892" s="346">
        <v>111.22182849043232</v>
      </c>
      <c r="W1892" s="348">
        <v>113.49182444061962</v>
      </c>
      <c r="X1892" s="347">
        <v>56.38</v>
      </c>
      <c r="Y1892" s="357" t="s">
        <v>408</v>
      </c>
      <c r="Z1892" s="365" t="s">
        <v>4408</v>
      </c>
      <c r="AA1892" s="350">
        <v>94</v>
      </c>
      <c r="AB1892" s="349" t="s">
        <v>2685</v>
      </c>
      <c r="AC1892" s="350">
        <v>1.5</v>
      </c>
      <c r="AD1892" s="349" t="s">
        <v>2685</v>
      </c>
      <c r="AE1892" s="364">
        <v>0</v>
      </c>
      <c r="AF1892" s="366">
        <v>10.092000000000001</v>
      </c>
      <c r="AG1892" s="363">
        <v>0</v>
      </c>
      <c r="AH1892" s="635" t="s">
        <v>6224</v>
      </c>
      <c r="AL1892" s="487" t="s">
        <v>16269</v>
      </c>
      <c r="AM1892" s="477" t="s">
        <v>70</v>
      </c>
      <c r="AN1892" s="637">
        <v>100</v>
      </c>
      <c r="AO1892" s="478">
        <v>-1570</v>
      </c>
      <c r="AP1892" s="463">
        <v>-1570</v>
      </c>
      <c r="AQ1892" s="479">
        <v>0</v>
      </c>
      <c r="AR1892" s="476" t="s">
        <v>17943</v>
      </c>
      <c r="BA1892" s="313" t="s">
        <v>6745</v>
      </c>
    </row>
    <row r="1893" spans="2:53" ht="16.5" customHeight="1">
      <c r="B1893" s="367" t="s">
        <v>13105</v>
      </c>
      <c r="C1893" s="351" t="s">
        <v>13106</v>
      </c>
      <c r="D1893" s="353">
        <v>-1570</v>
      </c>
      <c r="E1893" s="352" t="s">
        <v>408</v>
      </c>
      <c r="F1893" s="341">
        <v>67.27</v>
      </c>
      <c r="G1893" s="355" t="s">
        <v>6591</v>
      </c>
      <c r="H1893" s="356" t="s">
        <v>19156</v>
      </c>
      <c r="I1893" s="354" t="s">
        <v>216</v>
      </c>
      <c r="J1893" s="340" t="s">
        <v>13107</v>
      </c>
      <c r="K1893" s="339" t="s">
        <v>70</v>
      </c>
      <c r="L1893" s="357">
        <v>8</v>
      </c>
      <c r="M1893" s="358" t="s">
        <v>13108</v>
      </c>
      <c r="N1893" s="359">
        <v>300</v>
      </c>
      <c r="O1893" s="360" t="s">
        <v>530</v>
      </c>
      <c r="P1893" s="343" t="s">
        <v>530</v>
      </c>
      <c r="Q1893" s="342" t="s">
        <v>2688</v>
      </c>
      <c r="R1893" s="344">
        <v>25</v>
      </c>
      <c r="S1893" s="345">
        <v>45</v>
      </c>
      <c r="T1893" s="362">
        <v>30</v>
      </c>
      <c r="U1893" s="361">
        <v>67.27</v>
      </c>
      <c r="V1893" s="346">
        <v>111.21731789854741</v>
      </c>
      <c r="W1893" s="348">
        <v>113.4890858669752</v>
      </c>
      <c r="X1893" s="347">
        <v>56.38</v>
      </c>
      <c r="Y1893" s="357" t="s">
        <v>408</v>
      </c>
      <c r="Z1893" s="365" t="s">
        <v>3017</v>
      </c>
      <c r="AA1893" s="350">
        <v>-2</v>
      </c>
      <c r="AB1893" s="349" t="s">
        <v>2685</v>
      </c>
      <c r="AC1893" s="350">
        <v>0</v>
      </c>
      <c r="AD1893" s="349" t="s">
        <v>2685</v>
      </c>
      <c r="AE1893" s="364">
        <v>0</v>
      </c>
      <c r="AF1893" s="366">
        <v>0</v>
      </c>
      <c r="AG1893" s="363">
        <v>0</v>
      </c>
      <c r="AH1893" s="635" t="s">
        <v>408</v>
      </c>
      <c r="AL1893" s="487" t="s">
        <v>16270</v>
      </c>
      <c r="AM1893" s="477" t="s">
        <v>70</v>
      </c>
      <c r="AN1893" s="637">
        <v>100</v>
      </c>
      <c r="AO1893" s="478">
        <v>-1570</v>
      </c>
      <c r="AP1893" s="463">
        <v>-1570</v>
      </c>
      <c r="AQ1893" s="479">
        <v>0</v>
      </c>
      <c r="AR1893" s="476" t="s">
        <v>17944</v>
      </c>
      <c r="BA1893" s="313" t="s">
        <v>6746</v>
      </c>
    </row>
    <row r="1894" spans="2:53" ht="16.5" customHeight="1">
      <c r="B1894" s="367" t="s">
        <v>13109</v>
      </c>
      <c r="C1894" s="351" t="s">
        <v>13110</v>
      </c>
      <c r="D1894" s="353">
        <v>-1570</v>
      </c>
      <c r="E1894" s="352" t="s">
        <v>408</v>
      </c>
      <c r="F1894" s="341">
        <v>67.260000000000005</v>
      </c>
      <c r="G1894" s="355" t="s">
        <v>13111</v>
      </c>
      <c r="H1894" s="356" t="s">
        <v>19156</v>
      </c>
      <c r="I1894" s="354" t="s">
        <v>213</v>
      </c>
      <c r="J1894" s="340" t="s">
        <v>13112</v>
      </c>
      <c r="K1894" s="339" t="s">
        <v>70</v>
      </c>
      <c r="L1894" s="357">
        <v>7</v>
      </c>
      <c r="M1894" s="358" t="s">
        <v>13113</v>
      </c>
      <c r="N1894" s="359">
        <v>1000</v>
      </c>
      <c r="O1894" s="360" t="s">
        <v>454</v>
      </c>
      <c r="P1894" s="343" t="s">
        <v>454</v>
      </c>
      <c r="Q1894" s="342" t="s">
        <v>2688</v>
      </c>
      <c r="R1894" s="344">
        <v>20</v>
      </c>
      <c r="S1894" s="345">
        <v>30</v>
      </c>
      <c r="T1894" s="362">
        <v>30</v>
      </c>
      <c r="U1894" s="361">
        <v>67.260000000000005</v>
      </c>
      <c r="V1894" s="346">
        <v>111.21344537815125</v>
      </c>
      <c r="W1894" s="348">
        <v>113.48673469387755</v>
      </c>
      <c r="X1894" s="347">
        <v>56.37</v>
      </c>
      <c r="Y1894" s="357" t="s">
        <v>408</v>
      </c>
      <c r="Z1894" s="365" t="s">
        <v>4408</v>
      </c>
      <c r="AA1894" s="350">
        <v>180</v>
      </c>
      <c r="AB1894" s="349" t="s">
        <v>2685</v>
      </c>
      <c r="AC1894" s="350">
        <v>10</v>
      </c>
      <c r="AD1894" s="349" t="s">
        <v>2685</v>
      </c>
      <c r="AE1894" s="364">
        <v>0</v>
      </c>
      <c r="AF1894" s="366">
        <v>50.445</v>
      </c>
      <c r="AG1894" s="363">
        <v>0</v>
      </c>
      <c r="AH1894" s="635" t="s">
        <v>12809</v>
      </c>
      <c r="AL1894" s="487" t="s">
        <v>16271</v>
      </c>
      <c r="AM1894" s="477" t="s">
        <v>70</v>
      </c>
      <c r="AN1894" s="637">
        <v>100</v>
      </c>
      <c r="AO1894" s="478">
        <v>-1570</v>
      </c>
      <c r="AP1894" s="463">
        <v>-1570</v>
      </c>
      <c r="AQ1894" s="479">
        <v>0</v>
      </c>
      <c r="AR1894" s="476" t="s">
        <v>17944</v>
      </c>
      <c r="BA1894" s="313" t="s">
        <v>6748</v>
      </c>
    </row>
    <row r="1895" spans="2:53" ht="16.5" customHeight="1">
      <c r="B1895" s="367" t="s">
        <v>13114</v>
      </c>
      <c r="C1895" s="351" t="s">
        <v>13115</v>
      </c>
      <c r="D1895" s="353">
        <v>-1570</v>
      </c>
      <c r="E1895" s="352" t="s">
        <v>408</v>
      </c>
      <c r="F1895" s="341">
        <v>67.23</v>
      </c>
      <c r="G1895" s="355" t="s">
        <v>6699</v>
      </c>
      <c r="H1895" s="356" t="s">
        <v>6371</v>
      </c>
      <c r="I1895" s="354" t="s">
        <v>209</v>
      </c>
      <c r="J1895" s="340" t="s">
        <v>13116</v>
      </c>
      <c r="K1895" s="339" t="s">
        <v>70</v>
      </c>
      <c r="L1895" s="357">
        <v>10</v>
      </c>
      <c r="M1895" s="358" t="s">
        <v>13117</v>
      </c>
      <c r="N1895" s="359">
        <v>1000</v>
      </c>
      <c r="O1895" s="360" t="s">
        <v>530</v>
      </c>
      <c r="P1895" s="343" t="s">
        <v>530</v>
      </c>
      <c r="Q1895" s="342" t="s">
        <v>2688</v>
      </c>
      <c r="R1895" s="344">
        <v>20</v>
      </c>
      <c r="S1895" s="345">
        <v>30</v>
      </c>
      <c r="T1895" s="362">
        <v>30</v>
      </c>
      <c r="U1895" s="361">
        <v>67.23</v>
      </c>
      <c r="V1895" s="346">
        <v>111.19407656394218</v>
      </c>
      <c r="W1895" s="348">
        <v>113.47497505667917</v>
      </c>
      <c r="X1895" s="347">
        <v>56.37</v>
      </c>
      <c r="Y1895" s="357" t="s">
        <v>408</v>
      </c>
      <c r="Z1895" s="365" t="s">
        <v>3017</v>
      </c>
      <c r="AA1895" s="350">
        <v>198</v>
      </c>
      <c r="AB1895" s="349" t="s">
        <v>2685</v>
      </c>
      <c r="AC1895" s="350">
        <v>10</v>
      </c>
      <c r="AD1895" s="349" t="s">
        <v>2685</v>
      </c>
      <c r="AE1895" s="364">
        <v>0</v>
      </c>
      <c r="AF1895" s="366">
        <v>0</v>
      </c>
      <c r="AG1895" s="363">
        <v>0</v>
      </c>
      <c r="AH1895" s="635" t="s">
        <v>408</v>
      </c>
      <c r="AL1895" s="487" t="s">
        <v>16272</v>
      </c>
      <c r="AM1895" s="477" t="s">
        <v>70</v>
      </c>
      <c r="AN1895" s="637">
        <v>100</v>
      </c>
      <c r="AO1895" s="478">
        <v>-1570</v>
      </c>
      <c r="AP1895" s="463">
        <v>-1570</v>
      </c>
      <c r="AQ1895" s="479">
        <v>0</v>
      </c>
      <c r="AR1895" s="476" t="s">
        <v>17945</v>
      </c>
      <c r="BA1895" s="313" t="s">
        <v>6750</v>
      </c>
    </row>
    <row r="1896" spans="2:53" ht="16.5" customHeight="1">
      <c r="B1896" s="367" t="s">
        <v>13118</v>
      </c>
      <c r="C1896" s="351" t="s">
        <v>13119</v>
      </c>
      <c r="D1896" s="353">
        <v>-1570</v>
      </c>
      <c r="E1896" s="352" t="s">
        <v>408</v>
      </c>
      <c r="F1896" s="341">
        <v>67.2</v>
      </c>
      <c r="G1896" s="355" t="s">
        <v>13120</v>
      </c>
      <c r="H1896" s="356" t="s">
        <v>19157</v>
      </c>
      <c r="I1896" s="354" t="s">
        <v>216</v>
      </c>
      <c r="J1896" s="340" t="s">
        <v>7252</v>
      </c>
      <c r="K1896" s="339" t="s">
        <v>70</v>
      </c>
      <c r="L1896" s="357">
        <v>79</v>
      </c>
      <c r="M1896" s="358" t="s">
        <v>13121</v>
      </c>
      <c r="N1896" s="359">
        <v>300</v>
      </c>
      <c r="O1896" s="360" t="s">
        <v>530</v>
      </c>
      <c r="P1896" s="343" t="s">
        <v>530</v>
      </c>
      <c r="Q1896" s="342" t="s">
        <v>2688</v>
      </c>
      <c r="R1896" s="344">
        <v>25</v>
      </c>
      <c r="S1896" s="345">
        <v>45</v>
      </c>
      <c r="T1896" s="362">
        <v>30</v>
      </c>
      <c r="U1896" s="361">
        <v>67.2</v>
      </c>
      <c r="V1896" s="346">
        <v>111.17665046131208</v>
      </c>
      <c r="W1896" s="348">
        <v>113.46439492293948</v>
      </c>
      <c r="X1896" s="347">
        <v>56.35</v>
      </c>
      <c r="Y1896" s="357" t="s">
        <v>408</v>
      </c>
      <c r="Z1896" s="365" t="s">
        <v>3017</v>
      </c>
      <c r="AA1896" s="350">
        <v>-2</v>
      </c>
      <c r="AB1896" s="349" t="s">
        <v>2685</v>
      </c>
      <c r="AC1896" s="350">
        <v>0</v>
      </c>
      <c r="AD1896" s="349" t="s">
        <v>2685</v>
      </c>
      <c r="AE1896" s="364">
        <v>0</v>
      </c>
      <c r="AF1896" s="366">
        <v>0</v>
      </c>
      <c r="AG1896" s="363">
        <v>0</v>
      </c>
      <c r="AH1896" s="635" t="s">
        <v>408</v>
      </c>
      <c r="AL1896" s="487" t="s">
        <v>16273</v>
      </c>
      <c r="AM1896" s="477" t="s">
        <v>70</v>
      </c>
      <c r="AN1896" s="637">
        <v>100</v>
      </c>
      <c r="AO1896" s="478">
        <v>-1570</v>
      </c>
      <c r="AP1896" s="463">
        <v>-1570</v>
      </c>
      <c r="AQ1896" s="479">
        <v>0</v>
      </c>
      <c r="AR1896" s="476" t="s">
        <v>17946</v>
      </c>
      <c r="BA1896" s="313" t="s">
        <v>6751</v>
      </c>
    </row>
    <row r="1897" spans="2:53" ht="16.5" customHeight="1">
      <c r="B1897" s="367" t="s">
        <v>13122</v>
      </c>
      <c r="C1897" s="351" t="s">
        <v>13123</v>
      </c>
      <c r="D1897" s="353">
        <v>-1570</v>
      </c>
      <c r="E1897" s="352" t="s">
        <v>408</v>
      </c>
      <c r="F1897" s="341">
        <v>67.19</v>
      </c>
      <c r="G1897" s="355" t="s">
        <v>13124</v>
      </c>
      <c r="H1897" s="356" t="s">
        <v>19158</v>
      </c>
      <c r="I1897" s="354" t="s">
        <v>197</v>
      </c>
      <c r="J1897" s="340" t="s">
        <v>13125</v>
      </c>
      <c r="K1897" s="339" t="s">
        <v>70</v>
      </c>
      <c r="L1897" s="357">
        <v>6</v>
      </c>
      <c r="M1897" s="358" t="s">
        <v>13126</v>
      </c>
      <c r="N1897" s="359">
        <v>500</v>
      </c>
      <c r="O1897" s="360" t="s">
        <v>454</v>
      </c>
      <c r="P1897" s="343" t="s">
        <v>454</v>
      </c>
      <c r="Q1897" s="342" t="s">
        <v>2688</v>
      </c>
      <c r="R1897" s="344">
        <v>20</v>
      </c>
      <c r="S1897" s="345">
        <v>30</v>
      </c>
      <c r="T1897" s="362">
        <v>30</v>
      </c>
      <c r="U1897" s="361">
        <v>67.19</v>
      </c>
      <c r="V1897" s="346">
        <v>111.17236662106703</v>
      </c>
      <c r="W1897" s="348">
        <v>113.46179401993355</v>
      </c>
      <c r="X1897" s="347">
        <v>56.35</v>
      </c>
      <c r="Y1897" s="357" t="s">
        <v>408</v>
      </c>
      <c r="Z1897" s="365" t="s">
        <v>4408</v>
      </c>
      <c r="AA1897" s="350">
        <v>94</v>
      </c>
      <c r="AB1897" s="349" t="s">
        <v>2685</v>
      </c>
      <c r="AC1897" s="350">
        <v>1.5</v>
      </c>
      <c r="AD1897" s="349" t="s">
        <v>2685</v>
      </c>
      <c r="AE1897" s="364">
        <v>0</v>
      </c>
      <c r="AF1897" s="366">
        <v>20.157</v>
      </c>
      <c r="AG1897" s="363">
        <v>0</v>
      </c>
      <c r="AH1897" s="635" t="s">
        <v>12164</v>
      </c>
      <c r="AL1897" s="487" t="s">
        <v>16274</v>
      </c>
      <c r="AM1897" s="477" t="s">
        <v>70</v>
      </c>
      <c r="AN1897" s="637">
        <v>100</v>
      </c>
      <c r="AO1897" s="478">
        <v>-1570</v>
      </c>
      <c r="AP1897" s="463">
        <v>-1570</v>
      </c>
      <c r="AQ1897" s="479">
        <v>0</v>
      </c>
      <c r="AR1897" s="476" t="s">
        <v>17947</v>
      </c>
      <c r="BA1897" s="313" t="s">
        <v>6752</v>
      </c>
    </row>
    <row r="1898" spans="2:53" ht="16.5" customHeight="1">
      <c r="B1898" s="367" t="s">
        <v>13127</v>
      </c>
      <c r="C1898" s="351" t="s">
        <v>13128</v>
      </c>
      <c r="D1898" s="353">
        <v>-1570</v>
      </c>
      <c r="E1898" s="352" t="s">
        <v>408</v>
      </c>
      <c r="F1898" s="341">
        <v>67.14</v>
      </c>
      <c r="G1898" s="355" t="s">
        <v>13129</v>
      </c>
      <c r="H1898" s="356" t="s">
        <v>6566</v>
      </c>
      <c r="I1898" s="354" t="s">
        <v>212</v>
      </c>
      <c r="J1898" s="340" t="s">
        <v>8197</v>
      </c>
      <c r="K1898" s="339" t="s">
        <v>70</v>
      </c>
      <c r="L1898" s="357">
        <v>7</v>
      </c>
      <c r="M1898" s="358" t="s">
        <v>13130</v>
      </c>
      <c r="N1898" s="359">
        <v>800</v>
      </c>
      <c r="O1898" s="360" t="s">
        <v>532</v>
      </c>
      <c r="P1898" s="343" t="s">
        <v>532</v>
      </c>
      <c r="Q1898" s="342" t="s">
        <v>2688</v>
      </c>
      <c r="R1898" s="344">
        <v>30</v>
      </c>
      <c r="S1898" s="345">
        <v>40</v>
      </c>
      <c r="T1898" s="362">
        <v>30</v>
      </c>
      <c r="U1898" s="361">
        <v>67.14</v>
      </c>
      <c r="V1898" s="346">
        <v>111.14166201539574</v>
      </c>
      <c r="W1898" s="348">
        <v>113.44315193791884</v>
      </c>
      <c r="X1898" s="347" t="s">
        <v>19159</v>
      </c>
      <c r="Y1898" s="357" t="s">
        <v>408</v>
      </c>
      <c r="Z1898" s="365" t="s">
        <v>3017</v>
      </c>
      <c r="AA1898" s="350">
        <v>190</v>
      </c>
      <c r="AB1898" s="349" t="s">
        <v>2685</v>
      </c>
      <c r="AC1898" s="350">
        <v>10</v>
      </c>
      <c r="AD1898" s="349" t="s">
        <v>2685</v>
      </c>
      <c r="AE1898" s="364">
        <v>0</v>
      </c>
      <c r="AF1898" s="366">
        <v>0</v>
      </c>
      <c r="AG1898" s="363">
        <v>0</v>
      </c>
      <c r="AH1898" s="635" t="s">
        <v>408</v>
      </c>
      <c r="AL1898" s="487" t="s">
        <v>16279</v>
      </c>
      <c r="AM1898" s="477" t="s">
        <v>70</v>
      </c>
      <c r="AN1898" s="637">
        <v>100</v>
      </c>
      <c r="AO1898" s="478">
        <v>-1570</v>
      </c>
      <c r="AP1898" s="463">
        <v>-1570</v>
      </c>
      <c r="AQ1898" s="479">
        <v>0</v>
      </c>
      <c r="AR1898" s="476" t="s">
        <v>17948</v>
      </c>
      <c r="BA1898" s="313" t="s">
        <v>6753</v>
      </c>
    </row>
    <row r="1899" spans="2:53" ht="16.5" customHeight="1">
      <c r="B1899" s="367" t="s">
        <v>6834</v>
      </c>
      <c r="C1899" s="351" t="s">
        <v>6835</v>
      </c>
      <c r="D1899" s="353">
        <v>-1570</v>
      </c>
      <c r="E1899" s="352" t="s">
        <v>408</v>
      </c>
      <c r="F1899" s="341">
        <v>67.13</v>
      </c>
      <c r="G1899" s="355" t="s">
        <v>13131</v>
      </c>
      <c r="H1899" s="356" t="s">
        <v>12879</v>
      </c>
      <c r="I1899" s="354" t="s">
        <v>214</v>
      </c>
      <c r="J1899" s="340" t="s">
        <v>541</v>
      </c>
      <c r="K1899" s="339" t="s">
        <v>70</v>
      </c>
      <c r="L1899" s="357">
        <v>10</v>
      </c>
      <c r="M1899" s="358" t="s">
        <v>13132</v>
      </c>
      <c r="N1899" s="359">
        <v>200</v>
      </c>
      <c r="O1899" s="360" t="s">
        <v>532</v>
      </c>
      <c r="P1899" s="343" t="s">
        <v>532</v>
      </c>
      <c r="Q1899" s="342" t="s">
        <v>2688</v>
      </c>
      <c r="R1899" s="344">
        <v>20</v>
      </c>
      <c r="S1899" s="345">
        <v>30</v>
      </c>
      <c r="T1899" s="362">
        <v>30</v>
      </c>
      <c r="U1899" s="361">
        <v>67.13</v>
      </c>
      <c r="V1899" s="346">
        <v>111.13757242464978</v>
      </c>
      <c r="W1899" s="348">
        <v>113.4406689721088</v>
      </c>
      <c r="X1899" s="347" t="s">
        <v>19159</v>
      </c>
      <c r="Y1899" s="357" t="s">
        <v>408</v>
      </c>
      <c r="Z1899" s="365" t="s">
        <v>4408</v>
      </c>
      <c r="AA1899" s="350">
        <v>36</v>
      </c>
      <c r="AB1899" s="349" t="s">
        <v>2685</v>
      </c>
      <c r="AC1899" s="350">
        <v>0</v>
      </c>
      <c r="AD1899" s="349" t="s">
        <v>2685</v>
      </c>
      <c r="AE1899" s="364">
        <v>0</v>
      </c>
      <c r="AF1899" s="366">
        <v>0</v>
      </c>
      <c r="AG1899" s="363">
        <v>0</v>
      </c>
      <c r="AH1899" s="635" t="s">
        <v>408</v>
      </c>
      <c r="AL1899" s="487" t="s">
        <v>16280</v>
      </c>
      <c r="AM1899" s="477" t="s">
        <v>70</v>
      </c>
      <c r="AN1899" s="637">
        <v>100</v>
      </c>
      <c r="AO1899" s="478">
        <v>-1570</v>
      </c>
      <c r="AP1899" s="463">
        <v>-1570</v>
      </c>
      <c r="AQ1899" s="479">
        <v>0</v>
      </c>
      <c r="AR1899" s="476" t="s">
        <v>17949</v>
      </c>
      <c r="BA1899" s="313" t="s">
        <v>6756</v>
      </c>
    </row>
    <row r="1900" spans="2:53" ht="16.5" customHeight="1">
      <c r="B1900" s="367" t="s">
        <v>18292</v>
      </c>
      <c r="C1900" s="351" t="s">
        <v>18293</v>
      </c>
      <c r="D1900" s="353">
        <v>-1570</v>
      </c>
      <c r="E1900" s="352" t="s">
        <v>408</v>
      </c>
      <c r="F1900" s="341">
        <v>67.13</v>
      </c>
      <c r="G1900" s="355" t="s">
        <v>6747</v>
      </c>
      <c r="H1900" s="356" t="s">
        <v>19160</v>
      </c>
      <c r="I1900" s="354" t="s">
        <v>8000</v>
      </c>
      <c r="J1900" s="340" t="s">
        <v>491</v>
      </c>
      <c r="K1900" s="339" t="s">
        <v>71</v>
      </c>
      <c r="L1900" s="357">
        <v>15</v>
      </c>
      <c r="M1900" s="358" t="s">
        <v>13158</v>
      </c>
      <c r="N1900" s="359">
        <v>1000</v>
      </c>
      <c r="O1900" s="360" t="s">
        <v>532</v>
      </c>
      <c r="P1900" s="343" t="s">
        <v>532</v>
      </c>
      <c r="Q1900" s="342" t="s">
        <v>2688</v>
      </c>
      <c r="R1900" s="344">
        <v>30</v>
      </c>
      <c r="S1900" s="345">
        <v>25</v>
      </c>
      <c r="T1900" s="362">
        <v>25</v>
      </c>
      <c r="U1900" s="361">
        <v>67.13</v>
      </c>
      <c r="V1900" s="346">
        <v>111.13569509381389</v>
      </c>
      <c r="W1900" s="348">
        <v>113.43952916410129</v>
      </c>
      <c r="X1900" s="347" t="s">
        <v>19161</v>
      </c>
      <c r="Y1900" s="357" t="s">
        <v>408</v>
      </c>
      <c r="Z1900" s="365" t="s">
        <v>4408</v>
      </c>
      <c r="AA1900" s="350">
        <v>192</v>
      </c>
      <c r="AB1900" s="349" t="s">
        <v>2685</v>
      </c>
      <c r="AC1900" s="350">
        <v>0</v>
      </c>
      <c r="AD1900" s="349" t="s">
        <v>2685</v>
      </c>
      <c r="AE1900" s="364">
        <v>0</v>
      </c>
      <c r="AF1900" s="366">
        <v>0</v>
      </c>
      <c r="AG1900" s="363">
        <v>0</v>
      </c>
      <c r="AH1900" s="635" t="s">
        <v>408</v>
      </c>
      <c r="AL1900" s="487" t="s">
        <v>16275</v>
      </c>
      <c r="AM1900" s="477" t="s">
        <v>71</v>
      </c>
      <c r="AN1900" s="637">
        <v>100</v>
      </c>
      <c r="AO1900" s="478">
        <v>-1570</v>
      </c>
      <c r="AP1900" s="463">
        <v>-658</v>
      </c>
      <c r="AQ1900" s="479">
        <v>-912</v>
      </c>
      <c r="AR1900" s="476" t="s">
        <v>17950</v>
      </c>
      <c r="BA1900" s="313" t="s">
        <v>6757</v>
      </c>
    </row>
    <row r="1901" spans="2:53" ht="16.5" customHeight="1">
      <c r="B1901" s="367" t="s">
        <v>18294</v>
      </c>
      <c r="C1901" s="351" t="s">
        <v>18295</v>
      </c>
      <c r="D1901" s="353">
        <v>-1570</v>
      </c>
      <c r="E1901" s="352" t="s">
        <v>408</v>
      </c>
      <c r="F1901" s="341">
        <v>67.13</v>
      </c>
      <c r="G1901" s="355" t="s">
        <v>19162</v>
      </c>
      <c r="H1901" s="356" t="s">
        <v>12709</v>
      </c>
      <c r="I1901" s="354" t="s">
        <v>8000</v>
      </c>
      <c r="J1901" s="340" t="s">
        <v>8216</v>
      </c>
      <c r="K1901" s="339" t="s">
        <v>71</v>
      </c>
      <c r="L1901" s="357">
        <v>11</v>
      </c>
      <c r="M1901" s="358" t="s">
        <v>13159</v>
      </c>
      <c r="N1901" s="359">
        <v>1000</v>
      </c>
      <c r="O1901" s="360" t="s">
        <v>532</v>
      </c>
      <c r="P1901" s="343" t="s">
        <v>532</v>
      </c>
      <c r="Q1901" s="342" t="s">
        <v>2688</v>
      </c>
      <c r="R1901" s="344">
        <v>30</v>
      </c>
      <c r="S1901" s="345">
        <v>25</v>
      </c>
      <c r="T1901" s="362">
        <v>25</v>
      </c>
      <c r="U1901" s="361">
        <v>67.13</v>
      </c>
      <c r="V1901" s="346">
        <v>111.13765202052598</v>
      </c>
      <c r="W1901" s="348">
        <v>113.44071729817648</v>
      </c>
      <c r="X1901" s="347" t="s">
        <v>19161</v>
      </c>
      <c r="Y1901" s="357" t="s">
        <v>408</v>
      </c>
      <c r="Z1901" s="365" t="s">
        <v>4408</v>
      </c>
      <c r="AA1901" s="350">
        <v>192</v>
      </c>
      <c r="AB1901" s="349" t="s">
        <v>2685</v>
      </c>
      <c r="AC1901" s="350">
        <v>0</v>
      </c>
      <c r="AD1901" s="349" t="s">
        <v>2685</v>
      </c>
      <c r="AE1901" s="364">
        <v>0</v>
      </c>
      <c r="AF1901" s="366">
        <v>0</v>
      </c>
      <c r="AG1901" s="363">
        <v>0</v>
      </c>
      <c r="AH1901" s="635" t="s">
        <v>408</v>
      </c>
      <c r="AL1901" s="487" t="s">
        <v>16276</v>
      </c>
      <c r="AM1901" s="477" t="s">
        <v>71</v>
      </c>
      <c r="AN1901" s="637">
        <v>100</v>
      </c>
      <c r="AO1901" s="478">
        <v>-1570</v>
      </c>
      <c r="AP1901" s="463">
        <v>-658</v>
      </c>
      <c r="AQ1901" s="479">
        <v>-912</v>
      </c>
      <c r="AR1901" s="476" t="s">
        <v>17951</v>
      </c>
      <c r="BA1901" s="313" t="s">
        <v>6759</v>
      </c>
    </row>
    <row r="1902" spans="2:53" ht="16.5" customHeight="1">
      <c r="B1902" s="367" t="s">
        <v>6834</v>
      </c>
      <c r="C1902" s="351" t="s">
        <v>6835</v>
      </c>
      <c r="D1902" s="353">
        <v>-1570</v>
      </c>
      <c r="E1902" s="352" t="s">
        <v>408</v>
      </c>
      <c r="F1902" s="341">
        <v>67.13</v>
      </c>
      <c r="G1902" s="355" t="s">
        <v>13131</v>
      </c>
      <c r="H1902" s="356" t="s">
        <v>12879</v>
      </c>
      <c r="I1902" s="354" t="s">
        <v>197</v>
      </c>
      <c r="J1902" s="340" t="s">
        <v>13133</v>
      </c>
      <c r="K1902" s="339" t="s">
        <v>70</v>
      </c>
      <c r="L1902" s="357">
        <v>9</v>
      </c>
      <c r="M1902" s="358" t="s">
        <v>13134</v>
      </c>
      <c r="N1902" s="359">
        <v>500</v>
      </c>
      <c r="O1902" s="360" t="s">
        <v>454</v>
      </c>
      <c r="P1902" s="343" t="s">
        <v>454</v>
      </c>
      <c r="Q1902" s="342" t="s">
        <v>2688</v>
      </c>
      <c r="R1902" s="344">
        <v>20</v>
      </c>
      <c r="S1902" s="345">
        <v>30</v>
      </c>
      <c r="T1902" s="362">
        <v>30</v>
      </c>
      <c r="U1902" s="361">
        <v>67.13</v>
      </c>
      <c r="V1902" s="346">
        <v>111.13816689466485</v>
      </c>
      <c r="W1902" s="348">
        <v>113.44102990033223</v>
      </c>
      <c r="X1902" s="347">
        <v>56.34</v>
      </c>
      <c r="Y1902" s="357" t="s">
        <v>408</v>
      </c>
      <c r="Z1902" s="365" t="s">
        <v>4408</v>
      </c>
      <c r="AA1902" s="350">
        <v>94</v>
      </c>
      <c r="AB1902" s="349" t="s">
        <v>2685</v>
      </c>
      <c r="AC1902" s="350">
        <v>1.5</v>
      </c>
      <c r="AD1902" s="349" t="s">
        <v>2685</v>
      </c>
      <c r="AE1902" s="364">
        <v>0</v>
      </c>
      <c r="AF1902" s="366">
        <v>20.138999999999999</v>
      </c>
      <c r="AG1902" s="363">
        <v>0</v>
      </c>
      <c r="AH1902" s="635" t="s">
        <v>12164</v>
      </c>
      <c r="AL1902" s="487" t="s">
        <v>16277</v>
      </c>
      <c r="AM1902" s="477" t="s">
        <v>70</v>
      </c>
      <c r="AN1902" s="637">
        <v>100</v>
      </c>
      <c r="AO1902" s="478">
        <v>-1570</v>
      </c>
      <c r="AP1902" s="463">
        <v>-1570</v>
      </c>
      <c r="AQ1902" s="479">
        <v>0</v>
      </c>
      <c r="AR1902" s="476" t="s">
        <v>17949</v>
      </c>
      <c r="BA1902" s="313" t="s">
        <v>6760</v>
      </c>
    </row>
    <row r="1903" spans="2:53" ht="16.5" customHeight="1">
      <c r="B1903" s="367" t="s">
        <v>13135</v>
      </c>
      <c r="C1903" s="351" t="s">
        <v>13136</v>
      </c>
      <c r="D1903" s="353">
        <v>-1570</v>
      </c>
      <c r="E1903" s="352" t="s">
        <v>408</v>
      </c>
      <c r="F1903" s="341">
        <v>67.12</v>
      </c>
      <c r="G1903" s="355" t="s">
        <v>13137</v>
      </c>
      <c r="H1903" s="356" t="s">
        <v>6540</v>
      </c>
      <c r="I1903" s="354" t="s">
        <v>197</v>
      </c>
      <c r="J1903" s="340" t="s">
        <v>13138</v>
      </c>
      <c r="K1903" s="339" t="s">
        <v>70</v>
      </c>
      <c r="L1903" s="357">
        <v>6</v>
      </c>
      <c r="M1903" s="358" t="s">
        <v>13139</v>
      </c>
      <c r="N1903" s="359">
        <v>500</v>
      </c>
      <c r="O1903" s="360" t="s">
        <v>454</v>
      </c>
      <c r="P1903" s="343" t="s">
        <v>454</v>
      </c>
      <c r="Q1903" s="342" t="s">
        <v>2688</v>
      </c>
      <c r="R1903" s="344">
        <v>20</v>
      </c>
      <c r="S1903" s="345">
        <v>30</v>
      </c>
      <c r="T1903" s="362">
        <v>30</v>
      </c>
      <c r="U1903" s="361">
        <v>67.12</v>
      </c>
      <c r="V1903" s="346">
        <v>111.13132694938442</v>
      </c>
      <c r="W1903" s="348">
        <v>113.43687707641196</v>
      </c>
      <c r="X1903" s="347">
        <v>56.33</v>
      </c>
      <c r="Y1903" s="357" t="s">
        <v>408</v>
      </c>
      <c r="Z1903" s="365" t="s">
        <v>4408</v>
      </c>
      <c r="AA1903" s="350">
        <v>94</v>
      </c>
      <c r="AB1903" s="349" t="s">
        <v>2685</v>
      </c>
      <c r="AC1903" s="350">
        <v>1.5</v>
      </c>
      <c r="AD1903" s="349" t="s">
        <v>2685</v>
      </c>
      <c r="AE1903" s="364">
        <v>0</v>
      </c>
      <c r="AF1903" s="366">
        <v>20.135999999999999</v>
      </c>
      <c r="AG1903" s="363">
        <v>0</v>
      </c>
      <c r="AH1903" s="635" t="s">
        <v>12164</v>
      </c>
      <c r="AL1903" s="487" t="s">
        <v>16278</v>
      </c>
      <c r="AM1903" s="477" t="s">
        <v>70</v>
      </c>
      <c r="AN1903" s="637">
        <v>100</v>
      </c>
      <c r="AO1903" s="478">
        <v>-1570</v>
      </c>
      <c r="AP1903" s="463">
        <v>-1570</v>
      </c>
      <c r="AQ1903" s="479">
        <v>0</v>
      </c>
      <c r="AR1903" s="476" t="s">
        <v>17952</v>
      </c>
      <c r="BA1903" s="313" t="s">
        <v>6764</v>
      </c>
    </row>
    <row r="1904" spans="2:53" ht="16.5" customHeight="1">
      <c r="B1904" s="367" t="s">
        <v>13041</v>
      </c>
      <c r="C1904" s="351" t="s">
        <v>13042</v>
      </c>
      <c r="D1904" s="353">
        <v>-1570</v>
      </c>
      <c r="E1904" s="352" t="s">
        <v>13147</v>
      </c>
      <c r="F1904" s="341">
        <v>67.099999999999994</v>
      </c>
      <c r="G1904" s="355" t="s">
        <v>13043</v>
      </c>
      <c r="H1904" s="356" t="s">
        <v>12723</v>
      </c>
      <c r="I1904" s="354" t="s">
        <v>197</v>
      </c>
      <c r="J1904" s="340" t="s">
        <v>13141</v>
      </c>
      <c r="K1904" s="339" t="s">
        <v>70</v>
      </c>
      <c r="L1904" s="357">
        <v>5</v>
      </c>
      <c r="M1904" s="358" t="s">
        <v>13142</v>
      </c>
      <c r="N1904" s="359">
        <v>500</v>
      </c>
      <c r="O1904" s="360" t="s">
        <v>454</v>
      </c>
      <c r="P1904" s="343" t="s">
        <v>454</v>
      </c>
      <c r="Q1904" s="342" t="s">
        <v>2688</v>
      </c>
      <c r="R1904" s="344">
        <v>20</v>
      </c>
      <c r="S1904" s="345">
        <v>30</v>
      </c>
      <c r="T1904" s="362">
        <v>30</v>
      </c>
      <c r="U1904" s="361">
        <v>67.099999999999994</v>
      </c>
      <c r="V1904" s="346">
        <v>111.11552090715806</v>
      </c>
      <c r="W1904" s="348">
        <v>113.42728055077453</v>
      </c>
      <c r="X1904" s="347">
        <v>56.32</v>
      </c>
      <c r="Y1904" s="357" t="s">
        <v>408</v>
      </c>
      <c r="Z1904" s="365" t="s">
        <v>4408</v>
      </c>
      <c r="AA1904" s="350">
        <v>94</v>
      </c>
      <c r="AB1904" s="349" t="s">
        <v>2685</v>
      </c>
      <c r="AC1904" s="350">
        <v>1.5</v>
      </c>
      <c r="AD1904" s="349" t="s">
        <v>2685</v>
      </c>
      <c r="AE1904" s="364">
        <v>0</v>
      </c>
      <c r="AF1904" s="366">
        <v>10.065</v>
      </c>
      <c r="AG1904" s="363">
        <v>0</v>
      </c>
      <c r="AH1904" s="635" t="s">
        <v>6224</v>
      </c>
      <c r="AL1904" s="487" t="s">
        <v>16281</v>
      </c>
      <c r="AM1904" s="477" t="s">
        <v>70</v>
      </c>
      <c r="AN1904" s="637">
        <v>100</v>
      </c>
      <c r="AO1904" s="478">
        <v>-1570</v>
      </c>
      <c r="AP1904" s="463">
        <v>-1570</v>
      </c>
      <c r="AQ1904" s="479">
        <v>0</v>
      </c>
      <c r="AR1904" s="476" t="s">
        <v>17953</v>
      </c>
      <c r="BA1904" s="313" t="s">
        <v>6765</v>
      </c>
    </row>
    <row r="1905" spans="2:53" ht="16.5" customHeight="1">
      <c r="B1905" s="367" t="s">
        <v>13041</v>
      </c>
      <c r="C1905" s="351" t="s">
        <v>13042</v>
      </c>
      <c r="D1905" s="353">
        <v>-1570</v>
      </c>
      <c r="E1905" s="352" t="s">
        <v>13150</v>
      </c>
      <c r="F1905" s="341">
        <v>67.09</v>
      </c>
      <c r="G1905" s="355" t="s">
        <v>13043</v>
      </c>
      <c r="H1905" s="356" t="s">
        <v>12723</v>
      </c>
      <c r="I1905" s="354" t="s">
        <v>197</v>
      </c>
      <c r="J1905" s="340" t="s">
        <v>13143</v>
      </c>
      <c r="K1905" s="339" t="s">
        <v>70</v>
      </c>
      <c r="L1905" s="357">
        <v>7</v>
      </c>
      <c r="M1905" s="358" t="s">
        <v>13144</v>
      </c>
      <c r="N1905" s="359">
        <v>500</v>
      </c>
      <c r="O1905" s="360" t="s">
        <v>454</v>
      </c>
      <c r="P1905" s="343" t="s">
        <v>454</v>
      </c>
      <c r="Q1905" s="342" t="s">
        <v>2688</v>
      </c>
      <c r="R1905" s="344">
        <v>20</v>
      </c>
      <c r="S1905" s="345">
        <v>30</v>
      </c>
      <c r="T1905" s="362">
        <v>30</v>
      </c>
      <c r="U1905" s="361">
        <v>67.09</v>
      </c>
      <c r="V1905" s="346">
        <v>111.11354309165527</v>
      </c>
      <c r="W1905" s="348">
        <v>113.42607973421927</v>
      </c>
      <c r="X1905" s="347">
        <v>56.33</v>
      </c>
      <c r="Y1905" s="357" t="s">
        <v>408</v>
      </c>
      <c r="Z1905" s="365" t="s">
        <v>4408</v>
      </c>
      <c r="AA1905" s="350">
        <v>94</v>
      </c>
      <c r="AB1905" s="349" t="s">
        <v>2685</v>
      </c>
      <c r="AC1905" s="350">
        <v>1.5</v>
      </c>
      <c r="AD1905" s="349" t="s">
        <v>2685</v>
      </c>
      <c r="AE1905" s="364">
        <v>0</v>
      </c>
      <c r="AF1905" s="366">
        <v>20.126999999999999</v>
      </c>
      <c r="AG1905" s="363">
        <v>0</v>
      </c>
      <c r="AH1905" s="635" t="s">
        <v>12164</v>
      </c>
      <c r="AL1905" s="487" t="s">
        <v>16282</v>
      </c>
      <c r="AM1905" s="477" t="s">
        <v>70</v>
      </c>
      <c r="AN1905" s="637">
        <v>100</v>
      </c>
      <c r="AO1905" s="478">
        <v>-1570</v>
      </c>
      <c r="AP1905" s="463">
        <v>-1570</v>
      </c>
      <c r="AQ1905" s="479">
        <v>0</v>
      </c>
      <c r="AR1905" s="476" t="s">
        <v>17953</v>
      </c>
      <c r="BA1905" s="313" t="s">
        <v>6768</v>
      </c>
    </row>
    <row r="1906" spans="2:53" ht="16.5" customHeight="1">
      <c r="B1906" s="367" t="s">
        <v>13145</v>
      </c>
      <c r="C1906" s="351" t="s">
        <v>13146</v>
      </c>
      <c r="D1906" s="353">
        <v>-1570</v>
      </c>
      <c r="E1906" s="352" t="s">
        <v>408</v>
      </c>
      <c r="F1906" s="341">
        <v>67.06</v>
      </c>
      <c r="G1906" s="355" t="s">
        <v>19163</v>
      </c>
      <c r="H1906" s="356" t="s">
        <v>6489</v>
      </c>
      <c r="I1906" s="354" t="s">
        <v>423</v>
      </c>
      <c r="J1906" s="340" t="s">
        <v>13148</v>
      </c>
      <c r="K1906" s="339" t="s">
        <v>71</v>
      </c>
      <c r="L1906" s="357">
        <v>3</v>
      </c>
      <c r="M1906" s="358" t="s">
        <v>13149</v>
      </c>
      <c r="N1906" s="359">
        <v>1000</v>
      </c>
      <c r="O1906" s="360" t="s">
        <v>530</v>
      </c>
      <c r="P1906" s="343" t="s">
        <v>531</v>
      </c>
      <c r="Q1906" s="342" t="s">
        <v>2688</v>
      </c>
      <c r="R1906" s="344">
        <v>30</v>
      </c>
      <c r="S1906" s="345">
        <v>25</v>
      </c>
      <c r="T1906" s="362">
        <v>25</v>
      </c>
      <c r="U1906" s="361">
        <v>67.06</v>
      </c>
      <c r="V1906" s="346">
        <v>111.09309878213803</v>
      </c>
      <c r="W1906" s="348">
        <v>113.41366711772666</v>
      </c>
      <c r="X1906" s="347">
        <v>55.83</v>
      </c>
      <c r="Y1906" s="357">
        <v>55.64</v>
      </c>
      <c r="Z1906" s="365" t="s">
        <v>3017</v>
      </c>
      <c r="AA1906" s="350">
        <v>198</v>
      </c>
      <c r="AB1906" s="349" t="s">
        <v>2685</v>
      </c>
      <c r="AC1906" s="350">
        <v>10</v>
      </c>
      <c r="AD1906" s="349" t="s">
        <v>2685</v>
      </c>
      <c r="AE1906" s="364">
        <v>0</v>
      </c>
      <c r="AF1906" s="366">
        <v>0</v>
      </c>
      <c r="AG1906" s="363">
        <v>0</v>
      </c>
      <c r="AH1906" s="635" t="s">
        <v>408</v>
      </c>
      <c r="AL1906" s="487" t="s">
        <v>16283</v>
      </c>
      <c r="AM1906" s="477" t="s">
        <v>71</v>
      </c>
      <c r="AN1906" s="637">
        <v>100</v>
      </c>
      <c r="AO1906" s="478">
        <v>-1570</v>
      </c>
      <c r="AP1906" s="463">
        <v>-658</v>
      </c>
      <c r="AQ1906" s="479">
        <v>-912</v>
      </c>
      <c r="AR1906" s="476" t="s">
        <v>17954</v>
      </c>
      <c r="BA1906" s="313" t="s">
        <v>6769</v>
      </c>
    </row>
    <row r="1907" spans="2:53" ht="16.5" customHeight="1">
      <c r="B1907" s="367" t="s">
        <v>6822</v>
      </c>
      <c r="C1907" s="351" t="s">
        <v>6823</v>
      </c>
      <c r="D1907" s="353">
        <v>-1570</v>
      </c>
      <c r="E1907" s="352" t="s">
        <v>13156</v>
      </c>
      <c r="F1907" s="341">
        <v>67.05</v>
      </c>
      <c r="G1907" s="355" t="s">
        <v>6719</v>
      </c>
      <c r="H1907" s="356" t="s">
        <v>19164</v>
      </c>
      <c r="I1907" s="354" t="s">
        <v>211</v>
      </c>
      <c r="J1907" s="340" t="s">
        <v>547</v>
      </c>
      <c r="K1907" s="339" t="s">
        <v>71</v>
      </c>
      <c r="L1907" s="357">
        <v>32</v>
      </c>
      <c r="M1907" s="358" t="s">
        <v>13151</v>
      </c>
      <c r="N1907" s="359">
        <v>500</v>
      </c>
      <c r="O1907" s="360" t="s">
        <v>530</v>
      </c>
      <c r="P1907" s="343" t="s">
        <v>531</v>
      </c>
      <c r="Q1907" s="342" t="s">
        <v>2688</v>
      </c>
      <c r="R1907" s="344">
        <v>40</v>
      </c>
      <c r="S1907" s="345">
        <v>30</v>
      </c>
      <c r="T1907" s="362">
        <v>30</v>
      </c>
      <c r="U1907" s="361">
        <v>67.05</v>
      </c>
      <c r="V1907" s="346">
        <v>111.09010242972845</v>
      </c>
      <c r="W1907" s="348">
        <v>113.4118479037637</v>
      </c>
      <c r="X1907" s="347">
        <v>55.83</v>
      </c>
      <c r="Y1907" s="357">
        <v>55.76</v>
      </c>
      <c r="Z1907" s="365" t="s">
        <v>4408</v>
      </c>
      <c r="AA1907" s="350">
        <v>24</v>
      </c>
      <c r="AB1907" s="349" t="s">
        <v>2685</v>
      </c>
      <c r="AC1907" s="350">
        <v>5</v>
      </c>
      <c r="AD1907" s="349" t="s">
        <v>2685</v>
      </c>
      <c r="AE1907" s="364">
        <v>0</v>
      </c>
      <c r="AF1907" s="366">
        <v>0</v>
      </c>
      <c r="AG1907" s="363">
        <v>0</v>
      </c>
      <c r="AH1907" s="635" t="s">
        <v>408</v>
      </c>
      <c r="AL1907" s="487" t="s">
        <v>16284</v>
      </c>
      <c r="AM1907" s="477" t="s">
        <v>71</v>
      </c>
      <c r="AN1907" s="637">
        <v>100</v>
      </c>
      <c r="AO1907" s="478">
        <v>-1570</v>
      </c>
      <c r="AP1907" s="463">
        <v>-658</v>
      </c>
      <c r="AQ1907" s="479">
        <v>-912</v>
      </c>
      <c r="AR1907" s="476" t="s">
        <v>17955</v>
      </c>
      <c r="BA1907" s="313" t="s">
        <v>6771</v>
      </c>
    </row>
    <row r="1908" spans="2:53" ht="16.5" customHeight="1">
      <c r="B1908" s="367" t="s">
        <v>13152</v>
      </c>
      <c r="C1908" s="351" t="s">
        <v>13153</v>
      </c>
      <c r="D1908" s="353">
        <v>-1570</v>
      </c>
      <c r="E1908" s="352" t="s">
        <v>13156</v>
      </c>
      <c r="F1908" s="341">
        <v>67.02</v>
      </c>
      <c r="G1908" s="355" t="s">
        <v>6716</v>
      </c>
      <c r="H1908" s="356" t="s">
        <v>19165</v>
      </c>
      <c r="I1908" s="354" t="s">
        <v>197</v>
      </c>
      <c r="J1908" s="340" t="s">
        <v>13154</v>
      </c>
      <c r="K1908" s="339" t="s">
        <v>70</v>
      </c>
      <c r="L1908" s="357">
        <v>20</v>
      </c>
      <c r="M1908" s="358" t="s">
        <v>13155</v>
      </c>
      <c r="N1908" s="359">
        <v>500</v>
      </c>
      <c r="O1908" s="360" t="s">
        <v>454</v>
      </c>
      <c r="P1908" s="343" t="s">
        <v>454</v>
      </c>
      <c r="Q1908" s="342" t="s">
        <v>2688</v>
      </c>
      <c r="R1908" s="344">
        <v>20</v>
      </c>
      <c r="S1908" s="345">
        <v>30</v>
      </c>
      <c r="T1908" s="362">
        <v>30</v>
      </c>
      <c r="U1908" s="361">
        <v>67.02</v>
      </c>
      <c r="V1908" s="346">
        <v>111.07299787384834</v>
      </c>
      <c r="W1908" s="348">
        <v>113.40146299483648</v>
      </c>
      <c r="X1908" s="347">
        <v>56.3</v>
      </c>
      <c r="Y1908" s="357" t="s">
        <v>408</v>
      </c>
      <c r="Z1908" s="365" t="s">
        <v>4408</v>
      </c>
      <c r="AA1908" s="350">
        <v>94</v>
      </c>
      <c r="AB1908" s="349" t="s">
        <v>2685</v>
      </c>
      <c r="AC1908" s="350">
        <v>1.5</v>
      </c>
      <c r="AD1908" s="349" t="s">
        <v>2685</v>
      </c>
      <c r="AE1908" s="364">
        <v>0</v>
      </c>
      <c r="AF1908" s="366">
        <v>10.053000000000001</v>
      </c>
      <c r="AG1908" s="363">
        <v>0</v>
      </c>
      <c r="AH1908" s="635" t="s">
        <v>6224</v>
      </c>
      <c r="AL1908" s="487" t="s">
        <v>16285</v>
      </c>
      <c r="AM1908" s="477" t="s">
        <v>70</v>
      </c>
      <c r="AN1908" s="637">
        <v>100</v>
      </c>
      <c r="AO1908" s="478">
        <v>-1570</v>
      </c>
      <c r="AP1908" s="463">
        <v>-1570</v>
      </c>
      <c r="AQ1908" s="479">
        <v>0</v>
      </c>
      <c r="AR1908" s="476" t="s">
        <v>17956</v>
      </c>
      <c r="BA1908" s="313" t="s">
        <v>6772</v>
      </c>
    </row>
    <row r="1909" spans="2:53" ht="16.5" customHeight="1">
      <c r="B1909" s="367" t="s">
        <v>13174</v>
      </c>
      <c r="C1909" s="351" t="s">
        <v>13175</v>
      </c>
      <c r="D1909" s="353">
        <v>-1570</v>
      </c>
      <c r="E1909" s="352" t="s">
        <v>408</v>
      </c>
      <c r="F1909" s="341">
        <v>66.95</v>
      </c>
      <c r="G1909" s="355" t="s">
        <v>13176</v>
      </c>
      <c r="H1909" s="356" t="s">
        <v>12889</v>
      </c>
      <c r="I1909" s="354" t="s">
        <v>398</v>
      </c>
      <c r="J1909" s="340" t="s">
        <v>440</v>
      </c>
      <c r="K1909" s="339" t="s">
        <v>71</v>
      </c>
      <c r="L1909" s="357">
        <v>3</v>
      </c>
      <c r="M1909" s="358" t="s">
        <v>13177</v>
      </c>
      <c r="N1909" s="359">
        <v>500</v>
      </c>
      <c r="O1909" s="360" t="s">
        <v>530</v>
      </c>
      <c r="P1909" s="343" t="s">
        <v>530</v>
      </c>
      <c r="Q1909" s="342" t="s">
        <v>2688</v>
      </c>
      <c r="R1909" s="344">
        <v>25</v>
      </c>
      <c r="S1909" s="345">
        <v>25</v>
      </c>
      <c r="T1909" s="362">
        <v>25</v>
      </c>
      <c r="U1909" s="361">
        <v>66.95</v>
      </c>
      <c r="V1909" s="346">
        <v>111.03075007160638</v>
      </c>
      <c r="W1909" s="348">
        <v>113.37581254347531</v>
      </c>
      <c r="X1909" s="347">
        <v>55.8</v>
      </c>
      <c r="Y1909" s="357" t="s">
        <v>408</v>
      </c>
      <c r="Z1909" s="365" t="s">
        <v>4408</v>
      </c>
      <c r="AA1909" s="350">
        <v>112.5</v>
      </c>
      <c r="AB1909" s="349" t="s">
        <v>2685</v>
      </c>
      <c r="AC1909" s="350">
        <v>2</v>
      </c>
      <c r="AD1909" s="349" t="s">
        <v>2685</v>
      </c>
      <c r="AE1909" s="364">
        <v>0</v>
      </c>
      <c r="AF1909" s="366">
        <v>0</v>
      </c>
      <c r="AG1909" s="363">
        <v>0</v>
      </c>
      <c r="AH1909" s="635" t="s">
        <v>408</v>
      </c>
      <c r="AL1909" s="487" t="s">
        <v>7244</v>
      </c>
      <c r="AM1909" s="477" t="s">
        <v>71</v>
      </c>
      <c r="AN1909" s="637">
        <v>100</v>
      </c>
      <c r="AO1909" s="478">
        <v>-1570</v>
      </c>
      <c r="AP1909" s="463">
        <v>-657</v>
      </c>
      <c r="AQ1909" s="479">
        <v>-913</v>
      </c>
      <c r="AR1909" s="476" t="s">
        <v>17957</v>
      </c>
      <c r="BA1909" s="313" t="s">
        <v>6774</v>
      </c>
    </row>
    <row r="1910" spans="2:53" ht="16.5" customHeight="1">
      <c r="B1910" s="367" t="s">
        <v>13160</v>
      </c>
      <c r="C1910" s="351" t="s">
        <v>13161</v>
      </c>
      <c r="D1910" s="353">
        <v>-1570</v>
      </c>
      <c r="E1910" s="352" t="s">
        <v>408</v>
      </c>
      <c r="F1910" s="341">
        <v>66.95</v>
      </c>
      <c r="G1910" s="355" t="s">
        <v>13162</v>
      </c>
      <c r="H1910" s="356" t="s">
        <v>12914</v>
      </c>
      <c r="I1910" s="354" t="s">
        <v>496</v>
      </c>
      <c r="J1910" s="340" t="s">
        <v>8396</v>
      </c>
      <c r="K1910" s="339" t="s">
        <v>70</v>
      </c>
      <c r="L1910" s="357">
        <v>12</v>
      </c>
      <c r="M1910" s="358" t="s">
        <v>13163</v>
      </c>
      <c r="N1910" s="359">
        <v>1000</v>
      </c>
      <c r="O1910" s="360" t="s">
        <v>530</v>
      </c>
      <c r="P1910" s="343" t="s">
        <v>531</v>
      </c>
      <c r="Q1910" s="342" t="s">
        <v>2738</v>
      </c>
      <c r="R1910" s="344">
        <v>25</v>
      </c>
      <c r="S1910" s="345">
        <v>38</v>
      </c>
      <c r="T1910" s="362">
        <v>25</v>
      </c>
      <c r="U1910" s="361">
        <v>66.95</v>
      </c>
      <c r="V1910" s="346">
        <v>111.03071594585973</v>
      </c>
      <c r="W1910" s="348">
        <v>113.37579182427199</v>
      </c>
      <c r="X1910" s="347">
        <v>56.28</v>
      </c>
      <c r="Y1910" s="357">
        <v>55.6</v>
      </c>
      <c r="Z1910" s="365" t="s">
        <v>3017</v>
      </c>
      <c r="AA1910" s="350">
        <v>118.75</v>
      </c>
      <c r="AB1910" s="349" t="s">
        <v>2685</v>
      </c>
      <c r="AC1910" s="350">
        <v>10</v>
      </c>
      <c r="AD1910" s="349" t="s">
        <v>2685</v>
      </c>
      <c r="AE1910" s="364">
        <v>0</v>
      </c>
      <c r="AF1910" s="366">
        <v>0</v>
      </c>
      <c r="AG1910" s="363">
        <v>0</v>
      </c>
      <c r="AH1910" s="635" t="s">
        <v>408</v>
      </c>
      <c r="AL1910" s="487" t="s">
        <v>16286</v>
      </c>
      <c r="AM1910" s="477" t="s">
        <v>70</v>
      </c>
      <c r="AN1910" s="637">
        <v>100</v>
      </c>
      <c r="AO1910" s="478">
        <v>-1570</v>
      </c>
      <c r="AP1910" s="463">
        <v>-1570</v>
      </c>
      <c r="AQ1910" s="479">
        <v>0</v>
      </c>
      <c r="AR1910" s="476" t="s">
        <v>17958</v>
      </c>
      <c r="BA1910" s="313" t="s">
        <v>6775</v>
      </c>
    </row>
    <row r="1911" spans="2:53" ht="16.5" customHeight="1">
      <c r="B1911" s="367" t="s">
        <v>13164</v>
      </c>
      <c r="C1911" s="351" t="s">
        <v>13165</v>
      </c>
      <c r="D1911" s="353">
        <v>-1570</v>
      </c>
      <c r="E1911" s="352" t="s">
        <v>408</v>
      </c>
      <c r="F1911" s="341">
        <v>66.92</v>
      </c>
      <c r="G1911" s="355" t="s">
        <v>13166</v>
      </c>
      <c r="H1911" s="356" t="s">
        <v>6513</v>
      </c>
      <c r="I1911" s="354" t="s">
        <v>215</v>
      </c>
      <c r="J1911" s="340" t="s">
        <v>8307</v>
      </c>
      <c r="K1911" s="339" t="s">
        <v>70</v>
      </c>
      <c r="L1911" s="357">
        <v>5</v>
      </c>
      <c r="M1911" s="358" t="s">
        <v>13167</v>
      </c>
      <c r="N1911" s="359">
        <v>1000</v>
      </c>
      <c r="O1911" s="360" t="s">
        <v>530</v>
      </c>
      <c r="P1911" s="343" t="s">
        <v>531</v>
      </c>
      <c r="Q1911" s="342" t="s">
        <v>2688</v>
      </c>
      <c r="R1911" s="344">
        <v>25</v>
      </c>
      <c r="S1911" s="345">
        <v>38</v>
      </c>
      <c r="T1911" s="362">
        <v>25</v>
      </c>
      <c r="U1911" s="361">
        <v>66.92</v>
      </c>
      <c r="V1911" s="346">
        <v>111.01182857395064</v>
      </c>
      <c r="W1911" s="348">
        <v>113.36432449132718</v>
      </c>
      <c r="X1911" s="347">
        <v>56.27</v>
      </c>
      <c r="Y1911" s="357">
        <v>55.44</v>
      </c>
      <c r="Z1911" s="365" t="s">
        <v>3017</v>
      </c>
      <c r="AA1911" s="350">
        <v>121.25</v>
      </c>
      <c r="AB1911" s="349" t="s">
        <v>2685</v>
      </c>
      <c r="AC1911" s="350">
        <v>10</v>
      </c>
      <c r="AD1911" s="349" t="s">
        <v>2685</v>
      </c>
      <c r="AE1911" s="364">
        <v>0</v>
      </c>
      <c r="AF1911" s="366">
        <v>0</v>
      </c>
      <c r="AG1911" s="363">
        <v>0</v>
      </c>
      <c r="AH1911" s="635" t="s">
        <v>408</v>
      </c>
      <c r="AL1911" s="487" t="s">
        <v>16287</v>
      </c>
      <c r="AM1911" s="477" t="s">
        <v>70</v>
      </c>
      <c r="AN1911" s="637">
        <v>100</v>
      </c>
      <c r="AO1911" s="478">
        <v>-1570</v>
      </c>
      <c r="AP1911" s="463">
        <v>-1570</v>
      </c>
      <c r="AQ1911" s="479">
        <v>0</v>
      </c>
      <c r="AR1911" s="476" t="s">
        <v>17959</v>
      </c>
      <c r="BA1911" s="313" t="s">
        <v>6777</v>
      </c>
    </row>
    <row r="1912" spans="2:53" ht="16.5" customHeight="1">
      <c r="B1912" s="367" t="s">
        <v>6843</v>
      </c>
      <c r="C1912" s="351" t="s">
        <v>6844</v>
      </c>
      <c r="D1912" s="353">
        <v>-1570</v>
      </c>
      <c r="E1912" s="352" t="s">
        <v>408</v>
      </c>
      <c r="F1912" s="341">
        <v>66.900000000000006</v>
      </c>
      <c r="G1912" s="355" t="s">
        <v>6723</v>
      </c>
      <c r="H1912" s="356" t="s">
        <v>19166</v>
      </c>
      <c r="I1912" s="354" t="s">
        <v>216</v>
      </c>
      <c r="J1912" s="340" t="s">
        <v>13168</v>
      </c>
      <c r="K1912" s="339" t="s">
        <v>70</v>
      </c>
      <c r="L1912" s="357">
        <v>13</v>
      </c>
      <c r="M1912" s="358" t="s">
        <v>13169</v>
      </c>
      <c r="N1912" s="359">
        <v>300</v>
      </c>
      <c r="O1912" s="360" t="s">
        <v>530</v>
      </c>
      <c r="P1912" s="343" t="s">
        <v>530</v>
      </c>
      <c r="Q1912" s="342" t="s">
        <v>2688</v>
      </c>
      <c r="R1912" s="344">
        <v>25</v>
      </c>
      <c r="S1912" s="345">
        <v>45</v>
      </c>
      <c r="T1912" s="362">
        <v>30</v>
      </c>
      <c r="U1912" s="361">
        <v>66.900000000000006</v>
      </c>
      <c r="V1912" s="346">
        <v>111.00236675076009</v>
      </c>
      <c r="W1912" s="348">
        <v>113.35857981296148</v>
      </c>
      <c r="X1912" s="347">
        <v>56.27</v>
      </c>
      <c r="Y1912" s="357" t="s">
        <v>408</v>
      </c>
      <c r="Z1912" s="365" t="s">
        <v>3017</v>
      </c>
      <c r="AA1912" s="350">
        <v>-2</v>
      </c>
      <c r="AB1912" s="349" t="s">
        <v>2685</v>
      </c>
      <c r="AC1912" s="350">
        <v>0</v>
      </c>
      <c r="AD1912" s="349" t="s">
        <v>2685</v>
      </c>
      <c r="AE1912" s="364">
        <v>0</v>
      </c>
      <c r="AF1912" s="366">
        <v>5.0640000000000001</v>
      </c>
      <c r="AG1912" s="363">
        <v>0</v>
      </c>
      <c r="AH1912" s="635" t="s">
        <v>11477</v>
      </c>
      <c r="AL1912" s="487" t="s">
        <v>16288</v>
      </c>
      <c r="AM1912" s="477" t="s">
        <v>70</v>
      </c>
      <c r="AN1912" s="637">
        <v>100</v>
      </c>
      <c r="AO1912" s="478">
        <v>-1570</v>
      </c>
      <c r="AP1912" s="463">
        <v>-1570</v>
      </c>
      <c r="AQ1912" s="479">
        <v>0</v>
      </c>
      <c r="AR1912" s="476" t="s">
        <v>17960</v>
      </c>
      <c r="BA1912" s="313" t="s">
        <v>6779</v>
      </c>
    </row>
    <row r="1913" spans="2:53" ht="16.5" customHeight="1">
      <c r="B1913" s="367" t="s">
        <v>13237</v>
      </c>
      <c r="C1913" s="351" t="s">
        <v>13238</v>
      </c>
      <c r="D1913" s="353">
        <v>-1570</v>
      </c>
      <c r="E1913" s="352" t="s">
        <v>13176</v>
      </c>
      <c r="F1913" s="341">
        <v>66.89</v>
      </c>
      <c r="G1913" s="355" t="s">
        <v>13239</v>
      </c>
      <c r="H1913" s="356" t="s">
        <v>12766</v>
      </c>
      <c r="I1913" s="354" t="s">
        <v>8000</v>
      </c>
      <c r="J1913" s="340" t="s">
        <v>9141</v>
      </c>
      <c r="K1913" s="339" t="s">
        <v>71</v>
      </c>
      <c r="L1913" s="357">
        <v>8</v>
      </c>
      <c r="M1913" s="358" t="s">
        <v>13184</v>
      </c>
      <c r="N1913" s="359">
        <v>1000</v>
      </c>
      <c r="O1913" s="360" t="s">
        <v>532</v>
      </c>
      <c r="P1913" s="343" t="s">
        <v>532</v>
      </c>
      <c r="Q1913" s="342" t="s">
        <v>2688</v>
      </c>
      <c r="R1913" s="344">
        <v>30</v>
      </c>
      <c r="S1913" s="345">
        <v>25</v>
      </c>
      <c r="T1913" s="362">
        <v>25</v>
      </c>
      <c r="U1913" s="361">
        <v>66.89</v>
      </c>
      <c r="V1913" s="346">
        <v>110.99498065319938</v>
      </c>
      <c r="W1913" s="348">
        <v>113.35391613419961</v>
      </c>
      <c r="X1913" s="347" t="s">
        <v>19167</v>
      </c>
      <c r="Y1913" s="357" t="s">
        <v>408</v>
      </c>
      <c r="Z1913" s="365" t="s">
        <v>4408</v>
      </c>
      <c r="AA1913" s="350">
        <v>192</v>
      </c>
      <c r="AB1913" s="349" t="s">
        <v>2685</v>
      </c>
      <c r="AC1913" s="350">
        <v>0</v>
      </c>
      <c r="AD1913" s="349" t="s">
        <v>2685</v>
      </c>
      <c r="AE1913" s="364">
        <v>0</v>
      </c>
      <c r="AF1913" s="366">
        <v>0</v>
      </c>
      <c r="AG1913" s="363">
        <v>0</v>
      </c>
      <c r="AH1913" s="635" t="s">
        <v>408</v>
      </c>
      <c r="AL1913" s="487" t="s">
        <v>16289</v>
      </c>
      <c r="AM1913" s="477" t="s">
        <v>71</v>
      </c>
      <c r="AN1913" s="637">
        <v>100</v>
      </c>
      <c r="AO1913" s="478">
        <v>-1570</v>
      </c>
      <c r="AP1913" s="463">
        <v>-657</v>
      </c>
      <c r="AQ1913" s="479">
        <v>-913</v>
      </c>
      <c r="AR1913" s="476" t="s">
        <v>17961</v>
      </c>
      <c r="BA1913" s="313" t="s">
        <v>6781</v>
      </c>
    </row>
    <row r="1914" spans="2:53" ht="16.5" customHeight="1">
      <c r="B1914" s="367" t="s">
        <v>13170</v>
      </c>
      <c r="C1914" s="351" t="s">
        <v>13171</v>
      </c>
      <c r="D1914" s="353">
        <v>-1570</v>
      </c>
      <c r="E1914" s="352" t="s">
        <v>408</v>
      </c>
      <c r="F1914" s="341">
        <v>66.849999999999994</v>
      </c>
      <c r="G1914" s="355" t="s">
        <v>13172</v>
      </c>
      <c r="H1914" s="356" t="s">
        <v>19168</v>
      </c>
      <c r="I1914" s="354" t="s">
        <v>8000</v>
      </c>
      <c r="J1914" s="340" t="s">
        <v>9611</v>
      </c>
      <c r="K1914" s="339" t="s">
        <v>70</v>
      </c>
      <c r="L1914" s="357">
        <v>16</v>
      </c>
      <c r="M1914" s="358" t="s">
        <v>13173</v>
      </c>
      <c r="N1914" s="359">
        <v>1000</v>
      </c>
      <c r="O1914" s="360" t="s">
        <v>532</v>
      </c>
      <c r="P1914" s="343" t="s">
        <v>532</v>
      </c>
      <c r="Q1914" s="342" t="s">
        <v>2688</v>
      </c>
      <c r="R1914" s="344">
        <v>25</v>
      </c>
      <c r="S1914" s="345">
        <v>30</v>
      </c>
      <c r="T1914" s="362">
        <v>25</v>
      </c>
      <c r="U1914" s="361">
        <v>66.849999999999994</v>
      </c>
      <c r="V1914" s="346">
        <v>110.97328843163156</v>
      </c>
      <c r="W1914" s="348">
        <v>113.33997113462028</v>
      </c>
      <c r="X1914" s="347" t="s">
        <v>19169</v>
      </c>
      <c r="Y1914" s="357" t="s">
        <v>408</v>
      </c>
      <c r="Z1914" s="365" t="s">
        <v>4408</v>
      </c>
      <c r="AA1914" s="350">
        <v>192</v>
      </c>
      <c r="AB1914" s="349" t="s">
        <v>2685</v>
      </c>
      <c r="AC1914" s="350">
        <v>0</v>
      </c>
      <c r="AD1914" s="349" t="s">
        <v>2685</v>
      </c>
      <c r="AE1914" s="364">
        <v>0</v>
      </c>
      <c r="AF1914" s="366">
        <v>0</v>
      </c>
      <c r="AG1914" s="363">
        <v>0</v>
      </c>
      <c r="AH1914" s="635" t="s">
        <v>408</v>
      </c>
      <c r="AL1914" s="487" t="s">
        <v>16290</v>
      </c>
      <c r="AM1914" s="477" t="s">
        <v>70</v>
      </c>
      <c r="AN1914" s="637">
        <v>100</v>
      </c>
      <c r="AO1914" s="478">
        <v>-1570</v>
      </c>
      <c r="AP1914" s="463">
        <v>-1570</v>
      </c>
      <c r="AQ1914" s="479">
        <v>0</v>
      </c>
      <c r="AR1914" s="476" t="s">
        <v>17962</v>
      </c>
      <c r="BA1914" s="313" t="s">
        <v>6784</v>
      </c>
    </row>
    <row r="1915" spans="2:53" ht="16.5" customHeight="1">
      <c r="B1915" s="367" t="s">
        <v>13178</v>
      </c>
      <c r="C1915" s="351" t="s">
        <v>13179</v>
      </c>
      <c r="D1915" s="353">
        <v>-1570</v>
      </c>
      <c r="E1915" s="352" t="s">
        <v>13183</v>
      </c>
      <c r="F1915" s="341">
        <v>66.78</v>
      </c>
      <c r="G1915" s="355" t="s">
        <v>13180</v>
      </c>
      <c r="H1915" s="356" t="s">
        <v>12922</v>
      </c>
      <c r="I1915" s="354" t="s">
        <v>197</v>
      </c>
      <c r="J1915" s="340" t="s">
        <v>13181</v>
      </c>
      <c r="K1915" s="339" t="s">
        <v>70</v>
      </c>
      <c r="L1915" s="357">
        <v>30</v>
      </c>
      <c r="M1915" s="358" t="s">
        <v>13182</v>
      </c>
      <c r="N1915" s="359">
        <v>500</v>
      </c>
      <c r="O1915" s="360" t="s">
        <v>454</v>
      </c>
      <c r="P1915" s="343" t="s">
        <v>454</v>
      </c>
      <c r="Q1915" s="342" t="s">
        <v>2688</v>
      </c>
      <c r="R1915" s="344">
        <v>20</v>
      </c>
      <c r="S1915" s="345">
        <v>30</v>
      </c>
      <c r="T1915" s="362">
        <v>30</v>
      </c>
      <c r="U1915" s="361">
        <v>66.78</v>
      </c>
      <c r="V1915" s="346">
        <v>110.93507362784472</v>
      </c>
      <c r="W1915" s="348">
        <v>113.31540447504302</v>
      </c>
      <c r="X1915" s="347">
        <v>56.23</v>
      </c>
      <c r="Y1915" s="357" t="s">
        <v>408</v>
      </c>
      <c r="Z1915" s="365" t="s">
        <v>4408</v>
      </c>
      <c r="AA1915" s="350">
        <v>94</v>
      </c>
      <c r="AB1915" s="349" t="s">
        <v>2685</v>
      </c>
      <c r="AC1915" s="350">
        <v>1.5</v>
      </c>
      <c r="AD1915" s="349" t="s">
        <v>2685</v>
      </c>
      <c r="AE1915" s="364">
        <v>0</v>
      </c>
      <c r="AF1915" s="366">
        <v>10.016999999999999</v>
      </c>
      <c r="AG1915" s="363">
        <v>0</v>
      </c>
      <c r="AH1915" s="635" t="s">
        <v>6224</v>
      </c>
      <c r="AL1915" s="487" t="s">
        <v>16291</v>
      </c>
      <c r="AM1915" s="477" t="s">
        <v>70</v>
      </c>
      <c r="AN1915" s="637">
        <v>100</v>
      </c>
      <c r="AO1915" s="478">
        <v>-1570</v>
      </c>
      <c r="AP1915" s="463">
        <v>-1570</v>
      </c>
      <c r="AQ1915" s="479">
        <v>0</v>
      </c>
      <c r="AR1915" s="476" t="s">
        <v>17963</v>
      </c>
      <c r="BA1915" s="313" t="s">
        <v>6787</v>
      </c>
    </row>
    <row r="1916" spans="2:53" ht="16.5" customHeight="1">
      <c r="B1916" s="367" t="s">
        <v>13185</v>
      </c>
      <c r="C1916" s="351" t="s">
        <v>13186</v>
      </c>
      <c r="D1916" s="353">
        <v>-1570</v>
      </c>
      <c r="E1916" s="352" t="s">
        <v>408</v>
      </c>
      <c r="F1916" s="341">
        <v>66.73</v>
      </c>
      <c r="G1916" s="355" t="s">
        <v>13187</v>
      </c>
      <c r="H1916" s="356" t="s">
        <v>19170</v>
      </c>
      <c r="I1916" s="354" t="s">
        <v>8000</v>
      </c>
      <c r="J1916" s="340" t="s">
        <v>486</v>
      </c>
      <c r="K1916" s="339" t="s">
        <v>70</v>
      </c>
      <c r="L1916" s="357">
        <v>28</v>
      </c>
      <c r="M1916" s="358" t="s">
        <v>13188</v>
      </c>
      <c r="N1916" s="359">
        <v>1000</v>
      </c>
      <c r="O1916" s="360" t="s">
        <v>532</v>
      </c>
      <c r="P1916" s="343" t="s">
        <v>532</v>
      </c>
      <c r="Q1916" s="342" t="s">
        <v>2688</v>
      </c>
      <c r="R1916" s="344">
        <v>25</v>
      </c>
      <c r="S1916" s="345">
        <v>30</v>
      </c>
      <c r="T1916" s="362">
        <v>25</v>
      </c>
      <c r="U1916" s="361">
        <v>66.73</v>
      </c>
      <c r="V1916" s="346">
        <v>110.90421566459585</v>
      </c>
      <c r="W1916" s="348">
        <v>113.29556721295448</v>
      </c>
      <c r="X1916" s="347" t="s">
        <v>19171</v>
      </c>
      <c r="Y1916" s="357" t="s">
        <v>408</v>
      </c>
      <c r="Z1916" s="365" t="s">
        <v>4408</v>
      </c>
      <c r="AA1916" s="350">
        <v>192</v>
      </c>
      <c r="AB1916" s="349" t="s">
        <v>2685</v>
      </c>
      <c r="AC1916" s="350">
        <v>0</v>
      </c>
      <c r="AD1916" s="349" t="s">
        <v>2685</v>
      </c>
      <c r="AE1916" s="364">
        <v>0</v>
      </c>
      <c r="AF1916" s="366">
        <v>0</v>
      </c>
      <c r="AG1916" s="363">
        <v>0</v>
      </c>
      <c r="AH1916" s="635" t="s">
        <v>408</v>
      </c>
      <c r="AL1916" s="487" t="s">
        <v>16294</v>
      </c>
      <c r="AM1916" s="477" t="s">
        <v>70</v>
      </c>
      <c r="AN1916" s="637">
        <v>100</v>
      </c>
      <c r="AO1916" s="478">
        <v>-1570</v>
      </c>
      <c r="AP1916" s="463">
        <v>-1570</v>
      </c>
      <c r="AQ1916" s="479">
        <v>0</v>
      </c>
      <c r="AR1916" s="476" t="s">
        <v>17964</v>
      </c>
      <c r="BA1916" s="313" t="s">
        <v>6790</v>
      </c>
    </row>
    <row r="1917" spans="2:53" ht="16.5" customHeight="1">
      <c r="B1917" s="367" t="s">
        <v>13189</v>
      </c>
      <c r="C1917" s="351" t="s">
        <v>13190</v>
      </c>
      <c r="D1917" s="353">
        <v>-1570</v>
      </c>
      <c r="E1917" s="352" t="s">
        <v>408</v>
      </c>
      <c r="F1917" s="341">
        <v>66.709999999999994</v>
      </c>
      <c r="G1917" s="355" t="s">
        <v>13191</v>
      </c>
      <c r="H1917" s="356" t="s">
        <v>6530</v>
      </c>
      <c r="I1917" s="354" t="s">
        <v>197</v>
      </c>
      <c r="J1917" s="340" t="s">
        <v>13193</v>
      </c>
      <c r="K1917" s="339" t="s">
        <v>70</v>
      </c>
      <c r="L1917" s="357">
        <v>5</v>
      </c>
      <c r="M1917" s="358" t="s">
        <v>13194</v>
      </c>
      <c r="N1917" s="359">
        <v>500</v>
      </c>
      <c r="O1917" s="360" t="s">
        <v>454</v>
      </c>
      <c r="P1917" s="343" t="s">
        <v>454</v>
      </c>
      <c r="Q1917" s="342" t="s">
        <v>2688</v>
      </c>
      <c r="R1917" s="344">
        <v>20</v>
      </c>
      <c r="S1917" s="345">
        <v>30</v>
      </c>
      <c r="T1917" s="362">
        <v>30</v>
      </c>
      <c r="U1917" s="361">
        <v>66.709999999999994</v>
      </c>
      <c r="V1917" s="346">
        <v>110.89405684754522</v>
      </c>
      <c r="W1917" s="348">
        <v>113.2890365448505</v>
      </c>
      <c r="X1917" s="347">
        <v>56.21</v>
      </c>
      <c r="Y1917" s="357" t="s">
        <v>408</v>
      </c>
      <c r="Z1917" s="365" t="s">
        <v>4408</v>
      </c>
      <c r="AA1917" s="350">
        <v>94</v>
      </c>
      <c r="AB1917" s="349" t="s">
        <v>2685</v>
      </c>
      <c r="AC1917" s="350">
        <v>1.5</v>
      </c>
      <c r="AD1917" s="349" t="s">
        <v>2685</v>
      </c>
      <c r="AE1917" s="364">
        <v>0</v>
      </c>
      <c r="AF1917" s="366">
        <v>20.013000000000002</v>
      </c>
      <c r="AG1917" s="363">
        <v>0</v>
      </c>
      <c r="AH1917" s="635" t="s">
        <v>12164</v>
      </c>
      <c r="AL1917" s="487" t="s">
        <v>16292</v>
      </c>
      <c r="AM1917" s="477" t="s">
        <v>70</v>
      </c>
      <c r="AN1917" s="637">
        <v>100</v>
      </c>
      <c r="AO1917" s="478">
        <v>-1570</v>
      </c>
      <c r="AP1917" s="463">
        <v>-1570</v>
      </c>
      <c r="AQ1917" s="479">
        <v>0</v>
      </c>
      <c r="AR1917" s="476" t="s">
        <v>17965</v>
      </c>
      <c r="BA1917" s="313" t="s">
        <v>6791</v>
      </c>
    </row>
    <row r="1918" spans="2:53" ht="16.5" customHeight="1">
      <c r="B1918" s="367" t="s">
        <v>13195</v>
      </c>
      <c r="C1918" s="351" t="s">
        <v>13196</v>
      </c>
      <c r="D1918" s="353">
        <v>-1570</v>
      </c>
      <c r="E1918" s="352" t="s">
        <v>408</v>
      </c>
      <c r="F1918" s="341">
        <v>66.709999999999994</v>
      </c>
      <c r="G1918" s="355" t="s">
        <v>6738</v>
      </c>
      <c r="H1918" s="356" t="s">
        <v>12767</v>
      </c>
      <c r="I1918" s="354" t="s">
        <v>423</v>
      </c>
      <c r="J1918" s="340" t="s">
        <v>13197</v>
      </c>
      <c r="K1918" s="339" t="s">
        <v>70</v>
      </c>
      <c r="L1918" s="357">
        <v>4</v>
      </c>
      <c r="M1918" s="358" t="s">
        <v>13198</v>
      </c>
      <c r="N1918" s="359">
        <v>1000</v>
      </c>
      <c r="O1918" s="360" t="s">
        <v>530</v>
      </c>
      <c r="P1918" s="343" t="s">
        <v>531</v>
      </c>
      <c r="Q1918" s="342" t="s">
        <v>2688</v>
      </c>
      <c r="R1918" s="344">
        <v>20</v>
      </c>
      <c r="S1918" s="345">
        <v>35</v>
      </c>
      <c r="T1918" s="362">
        <v>25</v>
      </c>
      <c r="U1918" s="361">
        <v>66.709999999999994</v>
      </c>
      <c r="V1918" s="346">
        <v>110.89170283049418</v>
      </c>
      <c r="W1918" s="348">
        <v>113.28752324817485</v>
      </c>
      <c r="X1918" s="347">
        <v>56.21</v>
      </c>
      <c r="Y1918" s="357">
        <v>55.51</v>
      </c>
      <c r="Z1918" s="365" t="s">
        <v>3017</v>
      </c>
      <c r="AA1918" s="350">
        <v>198</v>
      </c>
      <c r="AB1918" s="349" t="s">
        <v>2685</v>
      </c>
      <c r="AC1918" s="350">
        <v>10</v>
      </c>
      <c r="AD1918" s="349" t="s">
        <v>2685</v>
      </c>
      <c r="AE1918" s="364">
        <v>0</v>
      </c>
      <c r="AF1918" s="366">
        <v>12.885999999999999</v>
      </c>
      <c r="AG1918" s="363">
        <v>0</v>
      </c>
      <c r="AH1918" s="635" t="s">
        <v>11625</v>
      </c>
      <c r="AL1918" s="487" t="s">
        <v>16293</v>
      </c>
      <c r="AM1918" s="477" t="s">
        <v>70</v>
      </c>
      <c r="AN1918" s="637">
        <v>100</v>
      </c>
      <c r="AO1918" s="478">
        <v>-1570</v>
      </c>
      <c r="AP1918" s="463">
        <v>-1570</v>
      </c>
      <c r="AQ1918" s="479">
        <v>0</v>
      </c>
      <c r="AR1918" s="476" t="s">
        <v>17966</v>
      </c>
      <c r="BA1918" s="313" t="s">
        <v>6792</v>
      </c>
    </row>
    <row r="1919" spans="2:53" ht="16.5" customHeight="1">
      <c r="B1919" s="367" t="s">
        <v>13199</v>
      </c>
      <c r="C1919" s="351" t="s">
        <v>13200</v>
      </c>
      <c r="D1919" s="353">
        <v>-1570</v>
      </c>
      <c r="E1919" s="352" t="s">
        <v>13162</v>
      </c>
      <c r="F1919" s="341">
        <v>66.680000000000007</v>
      </c>
      <c r="G1919" s="355" t="s">
        <v>19172</v>
      </c>
      <c r="H1919" s="356" t="s">
        <v>12787</v>
      </c>
      <c r="I1919" s="354" t="s">
        <v>211</v>
      </c>
      <c r="J1919" s="340" t="s">
        <v>13201</v>
      </c>
      <c r="K1919" s="339" t="s">
        <v>71</v>
      </c>
      <c r="L1919" s="357">
        <v>9</v>
      </c>
      <c r="M1919" s="358" t="s">
        <v>13202</v>
      </c>
      <c r="N1919" s="359">
        <v>500</v>
      </c>
      <c r="O1919" s="360" t="s">
        <v>530</v>
      </c>
      <c r="P1919" s="343" t="s">
        <v>531</v>
      </c>
      <c r="Q1919" s="342" t="s">
        <v>2688</v>
      </c>
      <c r="R1919" s="344">
        <v>40</v>
      </c>
      <c r="S1919" s="345">
        <v>30</v>
      </c>
      <c r="T1919" s="362">
        <v>30</v>
      </c>
      <c r="U1919" s="361">
        <v>66.680000000000007</v>
      </c>
      <c r="V1919" s="346">
        <v>110.87808759792809</v>
      </c>
      <c r="W1919" s="348">
        <v>113.27877059866806</v>
      </c>
      <c r="X1919" s="347">
        <v>55.71</v>
      </c>
      <c r="Y1919" s="357">
        <v>55.629999999999995</v>
      </c>
      <c r="Z1919" s="365" t="s">
        <v>4408</v>
      </c>
      <c r="AA1919" s="350">
        <v>24</v>
      </c>
      <c r="AB1919" s="349" t="s">
        <v>2685</v>
      </c>
      <c r="AC1919" s="350">
        <v>5</v>
      </c>
      <c r="AD1919" s="349" t="s">
        <v>2685</v>
      </c>
      <c r="AE1919" s="364">
        <v>0</v>
      </c>
      <c r="AF1919" s="366">
        <v>0</v>
      </c>
      <c r="AG1919" s="363">
        <v>0</v>
      </c>
      <c r="AH1919" s="635" t="s">
        <v>408</v>
      </c>
      <c r="AL1919" s="487" t="s">
        <v>16295</v>
      </c>
      <c r="AM1919" s="477" t="s">
        <v>71</v>
      </c>
      <c r="AN1919" s="637">
        <v>100</v>
      </c>
      <c r="AO1919" s="478">
        <v>-1570</v>
      </c>
      <c r="AP1919" s="463">
        <v>-656</v>
      </c>
      <c r="AQ1919" s="479">
        <v>-914</v>
      </c>
      <c r="AR1919" s="476" t="s">
        <v>17967</v>
      </c>
      <c r="BA1919" s="313" t="s">
        <v>6793</v>
      </c>
    </row>
    <row r="1920" spans="2:53" ht="16.5" customHeight="1">
      <c r="B1920" s="367" t="s">
        <v>13203</v>
      </c>
      <c r="C1920" s="351" t="s">
        <v>13204</v>
      </c>
      <c r="D1920" s="353">
        <v>-1570</v>
      </c>
      <c r="E1920" s="352" t="s">
        <v>408</v>
      </c>
      <c r="F1920" s="341">
        <v>66.67</v>
      </c>
      <c r="G1920" s="355" t="s">
        <v>13205</v>
      </c>
      <c r="H1920" s="356" t="s">
        <v>6562</v>
      </c>
      <c r="I1920" s="354" t="s">
        <v>197</v>
      </c>
      <c r="J1920" s="340" t="s">
        <v>13206</v>
      </c>
      <c r="K1920" s="339" t="s">
        <v>70</v>
      </c>
      <c r="L1920" s="357">
        <v>9</v>
      </c>
      <c r="M1920" s="358" t="s">
        <v>13207</v>
      </c>
      <c r="N1920" s="359">
        <v>500</v>
      </c>
      <c r="O1920" s="360" t="s">
        <v>454</v>
      </c>
      <c r="P1920" s="343" t="s">
        <v>454</v>
      </c>
      <c r="Q1920" s="342" t="s">
        <v>2688</v>
      </c>
      <c r="R1920" s="344">
        <v>20</v>
      </c>
      <c r="S1920" s="345">
        <v>30</v>
      </c>
      <c r="T1920" s="362">
        <v>30</v>
      </c>
      <c r="U1920" s="361">
        <v>66.67</v>
      </c>
      <c r="V1920" s="346">
        <v>110.87209302325581</v>
      </c>
      <c r="W1920" s="348">
        <v>113.2749169435216</v>
      </c>
      <c r="X1920" s="347">
        <v>56.2</v>
      </c>
      <c r="Y1920" s="357" t="s">
        <v>408</v>
      </c>
      <c r="Z1920" s="365" t="s">
        <v>4408</v>
      </c>
      <c r="AA1920" s="350">
        <v>94</v>
      </c>
      <c r="AB1920" s="349" t="s">
        <v>2685</v>
      </c>
      <c r="AC1920" s="350">
        <v>1.5</v>
      </c>
      <c r="AD1920" s="349" t="s">
        <v>2685</v>
      </c>
      <c r="AE1920" s="364">
        <v>0</v>
      </c>
      <c r="AF1920" s="366">
        <v>20.001000000000001</v>
      </c>
      <c r="AG1920" s="363">
        <v>0</v>
      </c>
      <c r="AH1920" s="635" t="s">
        <v>12164</v>
      </c>
      <c r="AL1920" s="487" t="s">
        <v>16296</v>
      </c>
      <c r="AM1920" s="477" t="s">
        <v>70</v>
      </c>
      <c r="AN1920" s="637">
        <v>100</v>
      </c>
      <c r="AO1920" s="478">
        <v>-1570</v>
      </c>
      <c r="AP1920" s="463">
        <v>-1570</v>
      </c>
      <c r="AQ1920" s="479">
        <v>0</v>
      </c>
      <c r="AR1920" s="476" t="s">
        <v>17968</v>
      </c>
      <c r="BA1920" s="313" t="s">
        <v>6794</v>
      </c>
    </row>
    <row r="1921" spans="2:53" ht="16.5" customHeight="1">
      <c r="B1921" s="367" t="s">
        <v>13208</v>
      </c>
      <c r="C1921" s="351" t="s">
        <v>13209</v>
      </c>
      <c r="D1921" s="353">
        <v>-1570</v>
      </c>
      <c r="E1921" s="352" t="s">
        <v>408</v>
      </c>
      <c r="F1921" s="341">
        <v>66.59</v>
      </c>
      <c r="G1921" s="355" t="s">
        <v>13210</v>
      </c>
      <c r="H1921" s="356" t="s">
        <v>19173</v>
      </c>
      <c r="I1921" s="354" t="s">
        <v>197</v>
      </c>
      <c r="J1921" s="340" t="s">
        <v>13211</v>
      </c>
      <c r="K1921" s="339" t="s">
        <v>70</v>
      </c>
      <c r="L1921" s="357">
        <v>6</v>
      </c>
      <c r="M1921" s="358" t="s">
        <v>13212</v>
      </c>
      <c r="N1921" s="359">
        <v>500</v>
      </c>
      <c r="O1921" s="360" t="s">
        <v>454</v>
      </c>
      <c r="P1921" s="343" t="s">
        <v>454</v>
      </c>
      <c r="Q1921" s="342" t="s">
        <v>2688</v>
      </c>
      <c r="R1921" s="344">
        <v>20</v>
      </c>
      <c r="S1921" s="345">
        <v>30</v>
      </c>
      <c r="T1921" s="362">
        <v>30</v>
      </c>
      <c r="U1921" s="361">
        <v>66.59</v>
      </c>
      <c r="V1921" s="346">
        <v>110.82797858099063</v>
      </c>
      <c r="W1921" s="348">
        <v>113.24655765920826</v>
      </c>
      <c r="X1921" s="347">
        <v>56.17</v>
      </c>
      <c r="Y1921" s="357" t="s">
        <v>408</v>
      </c>
      <c r="Z1921" s="365" t="s">
        <v>4408</v>
      </c>
      <c r="AA1921" s="350">
        <v>94</v>
      </c>
      <c r="AB1921" s="349" t="s">
        <v>2685</v>
      </c>
      <c r="AC1921" s="350">
        <v>1.5</v>
      </c>
      <c r="AD1921" s="349" t="s">
        <v>2685</v>
      </c>
      <c r="AE1921" s="364">
        <v>0</v>
      </c>
      <c r="AF1921" s="366">
        <v>9.9890000000000008</v>
      </c>
      <c r="AG1921" s="363">
        <v>0</v>
      </c>
      <c r="AH1921" s="635" t="s">
        <v>6224</v>
      </c>
      <c r="AL1921" s="487" t="s">
        <v>16297</v>
      </c>
      <c r="AM1921" s="477" t="s">
        <v>70</v>
      </c>
      <c r="AN1921" s="637">
        <v>100</v>
      </c>
      <c r="AO1921" s="478">
        <v>-1570</v>
      </c>
      <c r="AP1921" s="463">
        <v>-1570</v>
      </c>
      <c r="AQ1921" s="479">
        <v>0</v>
      </c>
      <c r="AR1921" s="476" t="s">
        <v>17969</v>
      </c>
      <c r="BA1921" s="313" t="s">
        <v>6796</v>
      </c>
    </row>
    <row r="1922" spans="2:53" ht="16.5" customHeight="1">
      <c r="B1922" s="367" t="s">
        <v>13213</v>
      </c>
      <c r="C1922" s="351" t="s">
        <v>13214</v>
      </c>
      <c r="D1922" s="353">
        <v>-1570</v>
      </c>
      <c r="E1922" s="352" t="s">
        <v>408</v>
      </c>
      <c r="F1922" s="341">
        <v>66.53</v>
      </c>
      <c r="G1922" s="355" t="s">
        <v>13215</v>
      </c>
      <c r="H1922" s="356" t="s">
        <v>6573</v>
      </c>
      <c r="I1922" s="354" t="s">
        <v>197</v>
      </c>
      <c r="J1922" s="340" t="s">
        <v>13216</v>
      </c>
      <c r="K1922" s="339" t="s">
        <v>70</v>
      </c>
      <c r="L1922" s="357">
        <v>11</v>
      </c>
      <c r="M1922" s="358" t="s">
        <v>13217</v>
      </c>
      <c r="N1922" s="359">
        <v>500</v>
      </c>
      <c r="O1922" s="360" t="s">
        <v>454</v>
      </c>
      <c r="P1922" s="343" t="s">
        <v>454</v>
      </c>
      <c r="Q1922" s="342" t="s">
        <v>2688</v>
      </c>
      <c r="R1922" s="344">
        <v>20</v>
      </c>
      <c r="S1922" s="345">
        <v>30</v>
      </c>
      <c r="T1922" s="362">
        <v>30</v>
      </c>
      <c r="U1922" s="361">
        <v>66.53</v>
      </c>
      <c r="V1922" s="346">
        <v>110.79451137884872</v>
      </c>
      <c r="W1922" s="348">
        <v>113.22504302925989</v>
      </c>
      <c r="X1922" s="347">
        <v>56.15</v>
      </c>
      <c r="Y1922" s="357" t="s">
        <v>408</v>
      </c>
      <c r="Z1922" s="365" t="s">
        <v>4408</v>
      </c>
      <c r="AA1922" s="350">
        <v>94</v>
      </c>
      <c r="AB1922" s="349" t="s">
        <v>2685</v>
      </c>
      <c r="AC1922" s="350">
        <v>1.5</v>
      </c>
      <c r="AD1922" s="349" t="s">
        <v>2685</v>
      </c>
      <c r="AE1922" s="364">
        <v>0</v>
      </c>
      <c r="AF1922" s="366">
        <v>9.98</v>
      </c>
      <c r="AG1922" s="363">
        <v>0</v>
      </c>
      <c r="AH1922" s="635" t="s">
        <v>6224</v>
      </c>
      <c r="AL1922" s="487" t="s">
        <v>16298</v>
      </c>
      <c r="AM1922" s="477" t="s">
        <v>70</v>
      </c>
      <c r="AN1922" s="637">
        <v>100</v>
      </c>
      <c r="AO1922" s="478">
        <v>-1570</v>
      </c>
      <c r="AP1922" s="463">
        <v>-1570</v>
      </c>
      <c r="AQ1922" s="479">
        <v>0</v>
      </c>
      <c r="AR1922" s="476" t="s">
        <v>17970</v>
      </c>
      <c r="BA1922" s="313" t="s">
        <v>6801</v>
      </c>
    </row>
    <row r="1923" spans="2:53" ht="16.5" customHeight="1">
      <c r="B1923" s="367" t="s">
        <v>18296</v>
      </c>
      <c r="C1923" s="351" t="s">
        <v>18297</v>
      </c>
      <c r="D1923" s="353">
        <v>-1570</v>
      </c>
      <c r="E1923" s="352" t="s">
        <v>13220</v>
      </c>
      <c r="F1923" s="341">
        <v>66.52</v>
      </c>
      <c r="G1923" s="355" t="s">
        <v>19174</v>
      </c>
      <c r="H1923" s="356" t="s">
        <v>12806</v>
      </c>
      <c r="I1923" s="354" t="s">
        <v>8000</v>
      </c>
      <c r="J1923" s="340" t="s">
        <v>8772</v>
      </c>
      <c r="K1923" s="339" t="s">
        <v>71</v>
      </c>
      <c r="L1923" s="357">
        <v>6</v>
      </c>
      <c r="M1923" s="358" t="s">
        <v>13231</v>
      </c>
      <c r="N1923" s="359">
        <v>1000</v>
      </c>
      <c r="O1923" s="360" t="s">
        <v>532</v>
      </c>
      <c r="P1923" s="343" t="s">
        <v>532</v>
      </c>
      <c r="Q1923" s="342" t="s">
        <v>2688</v>
      </c>
      <c r="R1923" s="344">
        <v>30</v>
      </c>
      <c r="S1923" s="345">
        <v>25</v>
      </c>
      <c r="T1923" s="362">
        <v>25</v>
      </c>
      <c r="U1923" s="361">
        <v>66.52</v>
      </c>
      <c r="V1923" s="346">
        <v>110.79152234979072</v>
      </c>
      <c r="W1923" s="348">
        <v>113.22312151057974</v>
      </c>
      <c r="X1923" s="347" t="s">
        <v>19175</v>
      </c>
      <c r="Y1923" s="357" t="s">
        <v>408</v>
      </c>
      <c r="Z1923" s="365" t="s">
        <v>4408</v>
      </c>
      <c r="AA1923" s="350">
        <v>192</v>
      </c>
      <c r="AB1923" s="349" t="s">
        <v>2685</v>
      </c>
      <c r="AC1923" s="350">
        <v>0</v>
      </c>
      <c r="AD1923" s="349" t="s">
        <v>2685</v>
      </c>
      <c r="AE1923" s="364">
        <v>0</v>
      </c>
      <c r="AF1923" s="366">
        <v>0</v>
      </c>
      <c r="AG1923" s="363">
        <v>0</v>
      </c>
      <c r="AH1923" s="635" t="s">
        <v>408</v>
      </c>
      <c r="AL1923" s="487" t="s">
        <v>16299</v>
      </c>
      <c r="AM1923" s="477" t="s">
        <v>71</v>
      </c>
      <c r="AN1923" s="637">
        <v>100</v>
      </c>
      <c r="AO1923" s="478">
        <v>-1570</v>
      </c>
      <c r="AP1923" s="463">
        <v>-655</v>
      </c>
      <c r="AQ1923" s="479">
        <v>-915</v>
      </c>
      <c r="AR1923" s="476" t="s">
        <v>17971</v>
      </c>
      <c r="BA1923" s="313" t="s">
        <v>6802</v>
      </c>
    </row>
    <row r="1924" spans="2:53" ht="16.5" customHeight="1">
      <c r="B1924" s="367" t="s">
        <v>13218</v>
      </c>
      <c r="C1924" s="351" t="s">
        <v>13219</v>
      </c>
      <c r="D1924" s="353">
        <v>-1570</v>
      </c>
      <c r="E1924" s="352" t="s">
        <v>408</v>
      </c>
      <c r="F1924" s="341">
        <v>66.52</v>
      </c>
      <c r="G1924" s="355" t="s">
        <v>19176</v>
      </c>
      <c r="H1924" s="356" t="s">
        <v>19177</v>
      </c>
      <c r="I1924" s="354" t="s">
        <v>494</v>
      </c>
      <c r="J1924" s="340" t="s">
        <v>13221</v>
      </c>
      <c r="K1924" s="339" t="s">
        <v>71</v>
      </c>
      <c r="L1924" s="357">
        <v>64</v>
      </c>
      <c r="M1924" s="358" t="s">
        <v>13222</v>
      </c>
      <c r="N1924" s="359">
        <v>1000</v>
      </c>
      <c r="O1924" s="360" t="s">
        <v>532</v>
      </c>
      <c r="P1924" s="343" t="s">
        <v>533</v>
      </c>
      <c r="Q1924" s="342" t="s">
        <v>2688</v>
      </c>
      <c r="R1924" s="344">
        <v>30</v>
      </c>
      <c r="S1924" s="345">
        <v>30</v>
      </c>
      <c r="T1924" s="362">
        <v>20</v>
      </c>
      <c r="U1924" s="361">
        <v>66.52</v>
      </c>
      <c r="V1924" s="346">
        <v>110.7873549720513</v>
      </c>
      <c r="W1924" s="348">
        <v>113.22044248203298</v>
      </c>
      <c r="X1924" s="347">
        <v>55.66</v>
      </c>
      <c r="Y1924" s="357">
        <v>55.44</v>
      </c>
      <c r="Z1924" s="365" t="s">
        <v>3017</v>
      </c>
      <c r="AA1924" s="350">
        <v>190</v>
      </c>
      <c r="AB1924" s="349" t="s">
        <v>2685</v>
      </c>
      <c r="AC1924" s="350">
        <v>0</v>
      </c>
      <c r="AD1924" s="349" t="s">
        <v>2685</v>
      </c>
      <c r="AE1924" s="364">
        <v>0</v>
      </c>
      <c r="AF1924" s="366">
        <v>0</v>
      </c>
      <c r="AG1924" s="363">
        <v>0</v>
      </c>
      <c r="AH1924" s="635" t="s">
        <v>408</v>
      </c>
      <c r="AL1924" s="487" t="s">
        <v>16300</v>
      </c>
      <c r="AM1924" s="477" t="s">
        <v>71</v>
      </c>
      <c r="AN1924" s="637">
        <v>100</v>
      </c>
      <c r="AO1924" s="478">
        <v>-1570</v>
      </c>
      <c r="AP1924" s="463">
        <v>-655</v>
      </c>
      <c r="AQ1924" s="479">
        <v>-915</v>
      </c>
      <c r="AR1924" s="476" t="s">
        <v>17972</v>
      </c>
      <c r="BA1924" s="313" t="s">
        <v>6803</v>
      </c>
    </row>
    <row r="1925" spans="2:53" ht="16.5" customHeight="1">
      <c r="B1925" s="367" t="s">
        <v>6861</v>
      </c>
      <c r="C1925" s="351" t="s">
        <v>6862</v>
      </c>
      <c r="D1925" s="353">
        <v>-1570</v>
      </c>
      <c r="E1925" s="352" t="s">
        <v>408</v>
      </c>
      <c r="F1925" s="341">
        <v>66.5</v>
      </c>
      <c r="G1925" s="355" t="s">
        <v>13223</v>
      </c>
      <c r="H1925" s="356" t="s">
        <v>19178</v>
      </c>
      <c r="I1925" s="354" t="s">
        <v>423</v>
      </c>
      <c r="J1925" s="340" t="s">
        <v>13224</v>
      </c>
      <c r="K1925" s="339" t="s">
        <v>70</v>
      </c>
      <c r="L1925" s="357">
        <v>4</v>
      </c>
      <c r="M1925" s="358" t="s">
        <v>13225</v>
      </c>
      <c r="N1925" s="359">
        <v>1000</v>
      </c>
      <c r="O1925" s="360" t="s">
        <v>530</v>
      </c>
      <c r="P1925" s="343" t="s">
        <v>531</v>
      </c>
      <c r="Q1925" s="342" t="s">
        <v>2688</v>
      </c>
      <c r="R1925" s="344">
        <v>20</v>
      </c>
      <c r="S1925" s="345">
        <v>35</v>
      </c>
      <c r="T1925" s="362">
        <v>25</v>
      </c>
      <c r="U1925" s="361">
        <v>66.5</v>
      </c>
      <c r="V1925" s="346">
        <v>110.77511496858605</v>
      </c>
      <c r="W1925" s="348">
        <v>113.21257390837675</v>
      </c>
      <c r="X1925" s="347">
        <v>56.14</v>
      </c>
      <c r="Y1925" s="357">
        <v>55.43</v>
      </c>
      <c r="Z1925" s="365" t="s">
        <v>3017</v>
      </c>
      <c r="AA1925" s="350">
        <v>198</v>
      </c>
      <c r="AB1925" s="349" t="s">
        <v>2685</v>
      </c>
      <c r="AC1925" s="350">
        <v>10</v>
      </c>
      <c r="AD1925" s="349" t="s">
        <v>2685</v>
      </c>
      <c r="AE1925" s="364">
        <v>0</v>
      </c>
      <c r="AF1925" s="366">
        <v>12.872</v>
      </c>
      <c r="AG1925" s="363">
        <v>0</v>
      </c>
      <c r="AH1925" s="635" t="s">
        <v>11625</v>
      </c>
      <c r="AL1925" s="487" t="s">
        <v>16301</v>
      </c>
      <c r="AM1925" s="477" t="s">
        <v>70</v>
      </c>
      <c r="AN1925" s="637">
        <v>100</v>
      </c>
      <c r="AO1925" s="478">
        <v>-1570</v>
      </c>
      <c r="AP1925" s="463">
        <v>-1570</v>
      </c>
      <c r="AQ1925" s="479">
        <v>0</v>
      </c>
      <c r="AR1925" s="476" t="s">
        <v>17973</v>
      </c>
      <c r="BA1925" s="313" t="s">
        <v>6805</v>
      </c>
    </row>
    <row r="1926" spans="2:53" ht="16.5" customHeight="1">
      <c r="B1926" s="367" t="s">
        <v>13226</v>
      </c>
      <c r="C1926" s="351" t="s">
        <v>13227</v>
      </c>
      <c r="D1926" s="353">
        <v>-1570</v>
      </c>
      <c r="E1926" s="352" t="s">
        <v>6778</v>
      </c>
      <c r="F1926" s="341">
        <v>66.459999999999994</v>
      </c>
      <c r="G1926" s="355" t="s">
        <v>13228</v>
      </c>
      <c r="H1926" s="356" t="s">
        <v>12788</v>
      </c>
      <c r="I1926" s="354" t="s">
        <v>423</v>
      </c>
      <c r="J1926" s="340" t="s">
        <v>13229</v>
      </c>
      <c r="K1926" s="339" t="s">
        <v>70</v>
      </c>
      <c r="L1926" s="357">
        <v>2</v>
      </c>
      <c r="M1926" s="358" t="s">
        <v>13230</v>
      </c>
      <c r="N1926" s="359">
        <v>1000</v>
      </c>
      <c r="O1926" s="360" t="s">
        <v>530</v>
      </c>
      <c r="P1926" s="343" t="s">
        <v>531</v>
      </c>
      <c r="Q1926" s="342" t="s">
        <v>2688</v>
      </c>
      <c r="R1926" s="344">
        <v>20</v>
      </c>
      <c r="S1926" s="345">
        <v>35</v>
      </c>
      <c r="T1926" s="362">
        <v>25</v>
      </c>
      <c r="U1926" s="361">
        <v>66.459999999999994</v>
      </c>
      <c r="V1926" s="346">
        <v>110.75697907895589</v>
      </c>
      <c r="W1926" s="348">
        <v>113.20091512218593</v>
      </c>
      <c r="X1926" s="347">
        <v>56.13</v>
      </c>
      <c r="Y1926" s="357">
        <v>55.419999999999995</v>
      </c>
      <c r="Z1926" s="365" t="s">
        <v>3017</v>
      </c>
      <c r="AA1926" s="350">
        <v>198</v>
      </c>
      <c r="AB1926" s="349" t="s">
        <v>2685</v>
      </c>
      <c r="AC1926" s="350">
        <v>10</v>
      </c>
      <c r="AD1926" s="349" t="s">
        <v>2685</v>
      </c>
      <c r="AE1926" s="364">
        <v>0</v>
      </c>
      <c r="AF1926" s="366">
        <v>12.871</v>
      </c>
      <c r="AG1926" s="363">
        <v>0</v>
      </c>
      <c r="AH1926" s="635" t="s">
        <v>11625</v>
      </c>
      <c r="AL1926" s="487" t="s">
        <v>16302</v>
      </c>
      <c r="AM1926" s="477" t="s">
        <v>70</v>
      </c>
      <c r="AN1926" s="637">
        <v>100</v>
      </c>
      <c r="AO1926" s="478">
        <v>-1570</v>
      </c>
      <c r="AP1926" s="463">
        <v>-1570</v>
      </c>
      <c r="AQ1926" s="479">
        <v>0</v>
      </c>
      <c r="AR1926" s="476" t="s">
        <v>17974</v>
      </c>
      <c r="BA1926" s="313" t="s">
        <v>6806</v>
      </c>
    </row>
    <row r="1927" spans="2:53" ht="16.5" customHeight="1">
      <c r="B1927" s="367" t="s">
        <v>13232</v>
      </c>
      <c r="C1927" s="351" t="s">
        <v>13233</v>
      </c>
      <c r="D1927" s="353">
        <v>-1570</v>
      </c>
      <c r="E1927" s="352" t="s">
        <v>408</v>
      </c>
      <c r="F1927" s="341">
        <v>66.34</v>
      </c>
      <c r="G1927" s="355" t="s">
        <v>13234</v>
      </c>
      <c r="H1927" s="356" t="s">
        <v>13015</v>
      </c>
      <c r="I1927" s="354" t="s">
        <v>212</v>
      </c>
      <c r="J1927" s="340" t="s">
        <v>13235</v>
      </c>
      <c r="K1927" s="339" t="s">
        <v>70</v>
      </c>
      <c r="L1927" s="357">
        <v>3</v>
      </c>
      <c r="M1927" s="358" t="s">
        <v>13236</v>
      </c>
      <c r="N1927" s="359">
        <v>800</v>
      </c>
      <c r="O1927" s="360" t="s">
        <v>532</v>
      </c>
      <c r="P1927" s="343" t="s">
        <v>532</v>
      </c>
      <c r="Q1927" s="342" t="s">
        <v>2688</v>
      </c>
      <c r="R1927" s="344">
        <v>30</v>
      </c>
      <c r="S1927" s="345">
        <v>40</v>
      </c>
      <c r="T1927" s="362">
        <v>30</v>
      </c>
      <c r="U1927" s="361">
        <v>66.34</v>
      </c>
      <c r="V1927" s="346">
        <v>110.69137837610207</v>
      </c>
      <c r="W1927" s="348">
        <v>113.15874324177989</v>
      </c>
      <c r="X1927" s="347" t="s">
        <v>19179</v>
      </c>
      <c r="Y1927" s="357" t="s">
        <v>408</v>
      </c>
      <c r="Z1927" s="365" t="s">
        <v>3017</v>
      </c>
      <c r="AA1927" s="350">
        <v>190</v>
      </c>
      <c r="AB1927" s="349" t="s">
        <v>2685</v>
      </c>
      <c r="AC1927" s="350">
        <v>10</v>
      </c>
      <c r="AD1927" s="349" t="s">
        <v>2685</v>
      </c>
      <c r="AE1927" s="364">
        <v>0</v>
      </c>
      <c r="AF1927" s="366">
        <v>0</v>
      </c>
      <c r="AG1927" s="363">
        <v>0</v>
      </c>
      <c r="AH1927" s="635" t="s">
        <v>408</v>
      </c>
      <c r="AL1927" s="487" t="s">
        <v>16303</v>
      </c>
      <c r="AM1927" s="477" t="s">
        <v>70</v>
      </c>
      <c r="AN1927" s="637">
        <v>100</v>
      </c>
      <c r="AO1927" s="478">
        <v>-1570</v>
      </c>
      <c r="AP1927" s="463">
        <v>-1570</v>
      </c>
      <c r="AQ1927" s="479">
        <v>0</v>
      </c>
      <c r="AR1927" s="476" t="s">
        <v>17975</v>
      </c>
      <c r="BA1927" s="313" t="s">
        <v>6807</v>
      </c>
    </row>
    <row r="1928" spans="2:53" ht="16.5" customHeight="1">
      <c r="B1928" s="367" t="s">
        <v>13237</v>
      </c>
      <c r="C1928" s="351" t="s">
        <v>13238</v>
      </c>
      <c r="D1928" s="353">
        <v>-1570</v>
      </c>
      <c r="E1928" s="352" t="s">
        <v>408</v>
      </c>
      <c r="F1928" s="341">
        <v>66.260000000000005</v>
      </c>
      <c r="G1928" s="355" t="s">
        <v>13239</v>
      </c>
      <c r="H1928" s="356" t="s">
        <v>19180</v>
      </c>
      <c r="I1928" s="354" t="s">
        <v>212</v>
      </c>
      <c r="J1928" s="340" t="s">
        <v>13240</v>
      </c>
      <c r="K1928" s="339" t="s">
        <v>70</v>
      </c>
      <c r="L1928" s="357">
        <v>8</v>
      </c>
      <c r="M1928" s="358" t="s">
        <v>13241</v>
      </c>
      <c r="N1928" s="359">
        <v>800</v>
      </c>
      <c r="O1928" s="360" t="s">
        <v>532</v>
      </c>
      <c r="P1928" s="343" t="s">
        <v>532</v>
      </c>
      <c r="Q1928" s="342" t="s">
        <v>2688</v>
      </c>
      <c r="R1928" s="344">
        <v>30</v>
      </c>
      <c r="S1928" s="345">
        <v>40</v>
      </c>
      <c r="T1928" s="362">
        <v>30</v>
      </c>
      <c r="U1928" s="361">
        <v>66.260000000000005</v>
      </c>
      <c r="V1928" s="346">
        <v>110.64488376995685</v>
      </c>
      <c r="W1928" s="348">
        <v>113.12885385211511</v>
      </c>
      <c r="X1928" s="347" t="s">
        <v>19179</v>
      </c>
      <c r="Y1928" s="357" t="s">
        <v>408</v>
      </c>
      <c r="Z1928" s="365" t="s">
        <v>3017</v>
      </c>
      <c r="AA1928" s="350">
        <v>190</v>
      </c>
      <c r="AB1928" s="349" t="s">
        <v>2685</v>
      </c>
      <c r="AC1928" s="350">
        <v>10</v>
      </c>
      <c r="AD1928" s="349" t="s">
        <v>2685</v>
      </c>
      <c r="AE1928" s="364">
        <v>0</v>
      </c>
      <c r="AF1928" s="366">
        <v>0</v>
      </c>
      <c r="AG1928" s="363">
        <v>0</v>
      </c>
      <c r="AH1928" s="635" t="s">
        <v>408</v>
      </c>
      <c r="AL1928" s="487" t="s">
        <v>16305</v>
      </c>
      <c r="AM1928" s="477" t="s">
        <v>70</v>
      </c>
      <c r="AN1928" s="637">
        <v>100</v>
      </c>
      <c r="AO1928" s="478">
        <v>-1570</v>
      </c>
      <c r="AP1928" s="463">
        <v>-1570</v>
      </c>
      <c r="AQ1928" s="479">
        <v>0</v>
      </c>
      <c r="AR1928" s="476" t="s">
        <v>17976</v>
      </c>
      <c r="BA1928" s="313" t="s">
        <v>6810</v>
      </c>
    </row>
    <row r="1929" spans="2:53" ht="16.5" customHeight="1">
      <c r="B1929" s="367" t="s">
        <v>6870</v>
      </c>
      <c r="C1929" s="351" t="s">
        <v>6871</v>
      </c>
      <c r="D1929" s="353">
        <v>-1570</v>
      </c>
      <c r="E1929" s="352" t="s">
        <v>408</v>
      </c>
      <c r="F1929" s="341">
        <v>66.260000000000005</v>
      </c>
      <c r="G1929" s="355" t="s">
        <v>13242</v>
      </c>
      <c r="H1929" s="356" t="s">
        <v>12863</v>
      </c>
      <c r="I1929" s="354" t="s">
        <v>423</v>
      </c>
      <c r="J1929" s="340" t="s">
        <v>13243</v>
      </c>
      <c r="K1929" s="339" t="s">
        <v>70</v>
      </c>
      <c r="L1929" s="357">
        <v>4</v>
      </c>
      <c r="M1929" s="358" t="s">
        <v>13244</v>
      </c>
      <c r="N1929" s="359">
        <v>1000</v>
      </c>
      <c r="O1929" s="360" t="s">
        <v>530</v>
      </c>
      <c r="P1929" s="343" t="s">
        <v>531</v>
      </c>
      <c r="Q1929" s="342" t="s">
        <v>2688</v>
      </c>
      <c r="R1929" s="344">
        <v>20</v>
      </c>
      <c r="S1929" s="345">
        <v>35</v>
      </c>
      <c r="T1929" s="362">
        <v>25</v>
      </c>
      <c r="U1929" s="361">
        <v>66.260000000000005</v>
      </c>
      <c r="V1929" s="346">
        <v>110.64298205842348</v>
      </c>
      <c r="W1929" s="348">
        <v>113.12763132327224</v>
      </c>
      <c r="X1929" s="347">
        <v>56.06</v>
      </c>
      <c r="Y1929" s="357">
        <v>55.35</v>
      </c>
      <c r="Z1929" s="365" t="s">
        <v>3017</v>
      </c>
      <c r="AA1929" s="350">
        <v>198</v>
      </c>
      <c r="AB1929" s="349" t="s">
        <v>2685</v>
      </c>
      <c r="AC1929" s="350">
        <v>10</v>
      </c>
      <c r="AD1929" s="349" t="s">
        <v>2685</v>
      </c>
      <c r="AE1929" s="364">
        <v>0</v>
      </c>
      <c r="AF1929" s="366">
        <v>12.858000000000001</v>
      </c>
      <c r="AG1929" s="363">
        <v>0</v>
      </c>
      <c r="AH1929" s="635" t="s">
        <v>11625</v>
      </c>
      <c r="AL1929" s="487" t="s">
        <v>16304</v>
      </c>
      <c r="AM1929" s="477" t="s">
        <v>70</v>
      </c>
      <c r="AN1929" s="637">
        <v>100</v>
      </c>
      <c r="AO1929" s="478">
        <v>-1570</v>
      </c>
      <c r="AP1929" s="463">
        <v>-1570</v>
      </c>
      <c r="AQ1929" s="479">
        <v>0</v>
      </c>
      <c r="AR1929" s="476" t="s">
        <v>17977</v>
      </c>
      <c r="BA1929" s="313" t="s">
        <v>6812</v>
      </c>
    </row>
    <row r="1930" spans="2:53" ht="16.5" customHeight="1">
      <c r="B1930" s="367" t="s">
        <v>13245</v>
      </c>
      <c r="C1930" s="351" t="s">
        <v>13246</v>
      </c>
      <c r="D1930" s="353">
        <v>-1570</v>
      </c>
      <c r="E1930" s="352" t="s">
        <v>408</v>
      </c>
      <c r="F1930" s="341">
        <v>66.19</v>
      </c>
      <c r="G1930" s="355" t="s">
        <v>13247</v>
      </c>
      <c r="H1930" s="356" t="s">
        <v>19181</v>
      </c>
      <c r="I1930" s="354" t="s">
        <v>423</v>
      </c>
      <c r="J1930" s="340" t="s">
        <v>13248</v>
      </c>
      <c r="K1930" s="339" t="s">
        <v>70</v>
      </c>
      <c r="L1930" s="357">
        <v>2</v>
      </c>
      <c r="M1930" s="358" t="s">
        <v>13249</v>
      </c>
      <c r="N1930" s="359">
        <v>1000</v>
      </c>
      <c r="O1930" s="360" t="s">
        <v>530</v>
      </c>
      <c r="P1930" s="343" t="s">
        <v>531</v>
      </c>
      <c r="Q1930" s="342" t="s">
        <v>2688</v>
      </c>
      <c r="R1930" s="344">
        <v>20</v>
      </c>
      <c r="S1930" s="345">
        <v>35</v>
      </c>
      <c r="T1930" s="362">
        <v>25</v>
      </c>
      <c r="U1930" s="361">
        <v>66.19</v>
      </c>
      <c r="V1930" s="346">
        <v>110.60411943778742</v>
      </c>
      <c r="W1930" s="348">
        <v>113.10264821000621</v>
      </c>
      <c r="X1930" s="347">
        <v>56.04</v>
      </c>
      <c r="Y1930" s="357">
        <v>55.32</v>
      </c>
      <c r="Z1930" s="365" t="s">
        <v>3017</v>
      </c>
      <c r="AA1930" s="350">
        <v>198</v>
      </c>
      <c r="AB1930" s="349" t="s">
        <v>2685</v>
      </c>
      <c r="AC1930" s="350">
        <v>10</v>
      </c>
      <c r="AD1930" s="349" t="s">
        <v>2685</v>
      </c>
      <c r="AE1930" s="364">
        <v>0</v>
      </c>
      <c r="AF1930" s="366">
        <v>12.853</v>
      </c>
      <c r="AG1930" s="363">
        <v>0</v>
      </c>
      <c r="AH1930" s="635" t="s">
        <v>11625</v>
      </c>
      <c r="AL1930" s="487" t="s">
        <v>16306</v>
      </c>
      <c r="AM1930" s="477" t="s">
        <v>70</v>
      </c>
      <c r="AN1930" s="637">
        <v>100</v>
      </c>
      <c r="AO1930" s="478">
        <v>-1570</v>
      </c>
      <c r="AP1930" s="463">
        <v>-1570</v>
      </c>
      <c r="AQ1930" s="479">
        <v>0</v>
      </c>
      <c r="AR1930" s="476" t="s">
        <v>17978</v>
      </c>
      <c r="BA1930" s="313" t="s">
        <v>6816</v>
      </c>
    </row>
    <row r="1931" spans="2:53" ht="16.5" customHeight="1">
      <c r="B1931" s="367" t="s">
        <v>13250</v>
      </c>
      <c r="C1931" s="351" t="s">
        <v>13251</v>
      </c>
      <c r="D1931" s="353">
        <v>-1570</v>
      </c>
      <c r="E1931" s="352" t="s">
        <v>408</v>
      </c>
      <c r="F1931" s="341">
        <v>66.180000000000007</v>
      </c>
      <c r="G1931" s="355" t="s">
        <v>13252</v>
      </c>
      <c r="H1931" s="356" t="s">
        <v>6587</v>
      </c>
      <c r="I1931" s="354" t="s">
        <v>212</v>
      </c>
      <c r="J1931" s="340" t="s">
        <v>13253</v>
      </c>
      <c r="K1931" s="339" t="s">
        <v>70</v>
      </c>
      <c r="L1931" s="357">
        <v>5</v>
      </c>
      <c r="M1931" s="358" t="s">
        <v>13254</v>
      </c>
      <c r="N1931" s="359">
        <v>800</v>
      </c>
      <c r="O1931" s="360" t="s">
        <v>532</v>
      </c>
      <c r="P1931" s="343" t="s">
        <v>532</v>
      </c>
      <c r="Q1931" s="342" t="s">
        <v>2688</v>
      </c>
      <c r="R1931" s="344">
        <v>30</v>
      </c>
      <c r="S1931" s="345">
        <v>40</v>
      </c>
      <c r="T1931" s="362">
        <v>30</v>
      </c>
      <c r="U1931" s="361">
        <v>66.180000000000007</v>
      </c>
      <c r="V1931" s="346">
        <v>110.60045903314715</v>
      </c>
      <c r="W1931" s="348">
        <v>113.10029509273745</v>
      </c>
      <c r="X1931" s="347" t="s">
        <v>19182</v>
      </c>
      <c r="Y1931" s="357" t="s">
        <v>408</v>
      </c>
      <c r="Z1931" s="365" t="s">
        <v>3017</v>
      </c>
      <c r="AA1931" s="350">
        <v>190</v>
      </c>
      <c r="AB1931" s="349" t="s">
        <v>2685</v>
      </c>
      <c r="AC1931" s="350">
        <v>10</v>
      </c>
      <c r="AD1931" s="349" t="s">
        <v>2685</v>
      </c>
      <c r="AE1931" s="364">
        <v>0</v>
      </c>
      <c r="AF1931" s="366">
        <v>0</v>
      </c>
      <c r="AG1931" s="363">
        <v>0</v>
      </c>
      <c r="AH1931" s="635" t="s">
        <v>408</v>
      </c>
      <c r="AL1931" s="487" t="s">
        <v>16307</v>
      </c>
      <c r="AM1931" s="477" t="s">
        <v>70</v>
      </c>
      <c r="AN1931" s="637">
        <v>100</v>
      </c>
      <c r="AO1931" s="478">
        <v>-1570</v>
      </c>
      <c r="AP1931" s="463">
        <v>-1570</v>
      </c>
      <c r="AQ1931" s="479">
        <v>0</v>
      </c>
      <c r="AR1931" s="476" t="s">
        <v>17979</v>
      </c>
      <c r="BA1931" s="313" t="s">
        <v>6819</v>
      </c>
    </row>
    <row r="1932" spans="2:53" ht="16.5" customHeight="1">
      <c r="B1932" s="367" t="s">
        <v>13255</v>
      </c>
      <c r="C1932" s="351" t="s">
        <v>13256</v>
      </c>
      <c r="D1932" s="353">
        <v>-1570</v>
      </c>
      <c r="E1932" s="352" t="s">
        <v>408</v>
      </c>
      <c r="F1932" s="341">
        <v>66.099999999999994</v>
      </c>
      <c r="G1932" s="355" t="s">
        <v>13257</v>
      </c>
      <c r="H1932" s="356" t="s">
        <v>19183</v>
      </c>
      <c r="I1932" s="354" t="s">
        <v>423</v>
      </c>
      <c r="J1932" s="340" t="s">
        <v>13259</v>
      </c>
      <c r="K1932" s="339" t="s">
        <v>70</v>
      </c>
      <c r="L1932" s="357">
        <v>4</v>
      </c>
      <c r="M1932" s="358" t="s">
        <v>13260</v>
      </c>
      <c r="N1932" s="359">
        <v>1000</v>
      </c>
      <c r="O1932" s="360" t="s">
        <v>530</v>
      </c>
      <c r="P1932" s="343" t="s">
        <v>531</v>
      </c>
      <c r="Q1932" s="342" t="s">
        <v>2688</v>
      </c>
      <c r="R1932" s="344">
        <v>20</v>
      </c>
      <c r="S1932" s="345">
        <v>35</v>
      </c>
      <c r="T1932" s="362">
        <v>25</v>
      </c>
      <c r="U1932" s="361">
        <v>66.099999999999994</v>
      </c>
      <c r="V1932" s="346">
        <v>110.55489345164843</v>
      </c>
      <c r="W1932" s="348">
        <v>113.07100293320256</v>
      </c>
      <c r="X1932" s="347">
        <v>56.01</v>
      </c>
      <c r="Y1932" s="357">
        <v>55.29</v>
      </c>
      <c r="Z1932" s="365" t="s">
        <v>3017</v>
      </c>
      <c r="AA1932" s="350">
        <v>198</v>
      </c>
      <c r="AB1932" s="349" t="s">
        <v>2685</v>
      </c>
      <c r="AC1932" s="350">
        <v>10</v>
      </c>
      <c r="AD1932" s="349" t="s">
        <v>2685</v>
      </c>
      <c r="AE1932" s="364">
        <v>0</v>
      </c>
      <c r="AF1932" s="366">
        <v>12.847</v>
      </c>
      <c r="AG1932" s="363">
        <v>0</v>
      </c>
      <c r="AH1932" s="635" t="s">
        <v>11625</v>
      </c>
      <c r="AL1932" s="487" t="s">
        <v>16308</v>
      </c>
      <c r="AM1932" s="477" t="s">
        <v>70</v>
      </c>
      <c r="AN1932" s="637">
        <v>100</v>
      </c>
      <c r="AO1932" s="478">
        <v>-1570</v>
      </c>
      <c r="AP1932" s="463">
        <v>-1570</v>
      </c>
      <c r="AQ1932" s="479">
        <v>0</v>
      </c>
      <c r="AR1932" s="476" t="s">
        <v>17980</v>
      </c>
      <c r="BA1932" s="313" t="s">
        <v>6820</v>
      </c>
    </row>
    <row r="1933" spans="2:53" ht="16.5" customHeight="1">
      <c r="B1933" s="367" t="s">
        <v>13261</v>
      </c>
      <c r="C1933" s="351" t="s">
        <v>13262</v>
      </c>
      <c r="D1933" s="353">
        <v>-1570</v>
      </c>
      <c r="E1933" s="352" t="s">
        <v>408</v>
      </c>
      <c r="F1933" s="341">
        <v>66.09</v>
      </c>
      <c r="G1933" s="355" t="s">
        <v>6800</v>
      </c>
      <c r="H1933" s="356" t="s">
        <v>6596</v>
      </c>
      <c r="I1933" s="354" t="s">
        <v>216</v>
      </c>
      <c r="J1933" s="340" t="s">
        <v>13263</v>
      </c>
      <c r="K1933" s="339" t="s">
        <v>70</v>
      </c>
      <c r="L1933" s="357">
        <v>6</v>
      </c>
      <c r="M1933" s="358" t="s">
        <v>13264</v>
      </c>
      <c r="N1933" s="359">
        <v>300</v>
      </c>
      <c r="O1933" s="360" t="s">
        <v>530</v>
      </c>
      <c r="P1933" s="343" t="s">
        <v>530</v>
      </c>
      <c r="Q1933" s="342" t="s">
        <v>2688</v>
      </c>
      <c r="R1933" s="344">
        <v>25</v>
      </c>
      <c r="S1933" s="345">
        <v>45</v>
      </c>
      <c r="T1933" s="362">
        <v>30</v>
      </c>
      <c r="U1933" s="361">
        <v>66.09</v>
      </c>
      <c r="V1933" s="346">
        <v>110.54865839573577</v>
      </c>
      <c r="W1933" s="348">
        <v>113.06699468297299</v>
      </c>
      <c r="X1933" s="347">
        <v>56.01</v>
      </c>
      <c r="Y1933" s="357" t="s">
        <v>408</v>
      </c>
      <c r="Z1933" s="365" t="s">
        <v>3017</v>
      </c>
      <c r="AA1933" s="350">
        <v>-2</v>
      </c>
      <c r="AB1933" s="349" t="s">
        <v>2685</v>
      </c>
      <c r="AC1933" s="350">
        <v>0</v>
      </c>
      <c r="AD1933" s="349" t="s">
        <v>2685</v>
      </c>
      <c r="AE1933" s="364">
        <v>0</v>
      </c>
      <c r="AF1933" s="366">
        <v>0</v>
      </c>
      <c r="AG1933" s="363">
        <v>0</v>
      </c>
      <c r="AH1933" s="635" t="s">
        <v>408</v>
      </c>
      <c r="AL1933" s="487" t="s">
        <v>16309</v>
      </c>
      <c r="AM1933" s="477" t="s">
        <v>70</v>
      </c>
      <c r="AN1933" s="637">
        <v>100</v>
      </c>
      <c r="AO1933" s="478">
        <v>-1570</v>
      </c>
      <c r="AP1933" s="463">
        <v>-1570</v>
      </c>
      <c r="AQ1933" s="479">
        <v>0</v>
      </c>
      <c r="AR1933" s="476" t="s">
        <v>17981</v>
      </c>
      <c r="BA1933" s="313" t="s">
        <v>6821</v>
      </c>
    </row>
    <row r="1934" spans="2:53" ht="16.5" customHeight="1">
      <c r="B1934" s="367" t="s">
        <v>13265</v>
      </c>
      <c r="C1934" s="351" t="s">
        <v>13266</v>
      </c>
      <c r="D1934" s="353">
        <v>-1570</v>
      </c>
      <c r="E1934" s="352" t="s">
        <v>13183</v>
      </c>
      <c r="F1934" s="341">
        <v>66.09</v>
      </c>
      <c r="G1934" s="355" t="s">
        <v>13366</v>
      </c>
      <c r="H1934" s="356" t="s">
        <v>13019</v>
      </c>
      <c r="I1934" s="354" t="s">
        <v>494</v>
      </c>
      <c r="J1934" s="340" t="s">
        <v>13267</v>
      </c>
      <c r="K1934" s="339" t="s">
        <v>71</v>
      </c>
      <c r="L1934" s="357">
        <v>20</v>
      </c>
      <c r="M1934" s="358" t="s">
        <v>13268</v>
      </c>
      <c r="N1934" s="359">
        <v>1000</v>
      </c>
      <c r="O1934" s="360" t="s">
        <v>532</v>
      </c>
      <c r="P1934" s="343" t="s">
        <v>533</v>
      </c>
      <c r="Q1934" s="342" t="s">
        <v>2688</v>
      </c>
      <c r="R1934" s="344">
        <v>35</v>
      </c>
      <c r="S1934" s="345">
        <v>20</v>
      </c>
      <c r="T1934" s="362">
        <v>25</v>
      </c>
      <c r="U1934" s="361">
        <v>66.09</v>
      </c>
      <c r="V1934" s="346">
        <v>110.55112427708812</v>
      </c>
      <c r="W1934" s="348">
        <v>113.06857989241379</v>
      </c>
      <c r="X1934" s="347">
        <v>55.52</v>
      </c>
      <c r="Y1934" s="357">
        <v>55.28</v>
      </c>
      <c r="Z1934" s="365" t="s">
        <v>3017</v>
      </c>
      <c r="AA1934" s="350">
        <v>190</v>
      </c>
      <c r="AB1934" s="349" t="s">
        <v>2685</v>
      </c>
      <c r="AC1934" s="350">
        <v>0</v>
      </c>
      <c r="AD1934" s="349" t="s">
        <v>2685</v>
      </c>
      <c r="AE1934" s="364">
        <v>0</v>
      </c>
      <c r="AF1934" s="366">
        <v>0</v>
      </c>
      <c r="AG1934" s="363">
        <v>0</v>
      </c>
      <c r="AH1934" s="635" t="s">
        <v>408</v>
      </c>
      <c r="AL1934" s="487" t="s">
        <v>16310</v>
      </c>
      <c r="AM1934" s="477" t="s">
        <v>71</v>
      </c>
      <c r="AN1934" s="637">
        <v>100</v>
      </c>
      <c r="AO1934" s="478">
        <v>-1570</v>
      </c>
      <c r="AP1934" s="463">
        <v>-653</v>
      </c>
      <c r="AQ1934" s="479">
        <v>-917</v>
      </c>
      <c r="AR1934" s="476" t="s">
        <v>17982</v>
      </c>
      <c r="BA1934" s="313" t="s">
        <v>6824</v>
      </c>
    </row>
    <row r="1935" spans="2:53" ht="16.5" customHeight="1">
      <c r="B1935" s="367" t="s">
        <v>13269</v>
      </c>
      <c r="C1935" s="351" t="s">
        <v>13270</v>
      </c>
      <c r="D1935" s="353">
        <v>-1570</v>
      </c>
      <c r="E1935" s="352" t="s">
        <v>408</v>
      </c>
      <c r="F1935" s="341">
        <v>65.989999999999995</v>
      </c>
      <c r="G1935" s="355" t="s">
        <v>6773</v>
      </c>
      <c r="H1935" s="356" t="s">
        <v>19184</v>
      </c>
      <c r="I1935" s="354" t="s">
        <v>197</v>
      </c>
      <c r="J1935" s="340" t="s">
        <v>13271</v>
      </c>
      <c r="K1935" s="339" t="s">
        <v>70</v>
      </c>
      <c r="L1935" s="357">
        <v>15</v>
      </c>
      <c r="M1935" s="358" t="s">
        <v>13272</v>
      </c>
      <c r="N1935" s="359">
        <v>500</v>
      </c>
      <c r="O1935" s="360" t="s">
        <v>454</v>
      </c>
      <c r="P1935" s="343" t="s">
        <v>454</v>
      </c>
      <c r="Q1935" s="342" t="s">
        <v>2688</v>
      </c>
      <c r="R1935" s="344">
        <v>20</v>
      </c>
      <c r="S1935" s="345">
        <v>30</v>
      </c>
      <c r="T1935" s="362">
        <v>30</v>
      </c>
      <c r="U1935" s="361">
        <v>65.989999999999995</v>
      </c>
      <c r="V1935" s="346">
        <v>110.49330655957162</v>
      </c>
      <c r="W1935" s="348">
        <v>113.03141135972461</v>
      </c>
      <c r="X1935" s="347">
        <v>55.97</v>
      </c>
      <c r="Y1935" s="357" t="s">
        <v>408</v>
      </c>
      <c r="Z1935" s="365" t="s">
        <v>4408</v>
      </c>
      <c r="AA1935" s="350">
        <v>94</v>
      </c>
      <c r="AB1935" s="349" t="s">
        <v>2685</v>
      </c>
      <c r="AC1935" s="350">
        <v>1.5</v>
      </c>
      <c r="AD1935" s="349" t="s">
        <v>2685</v>
      </c>
      <c r="AE1935" s="364">
        <v>0</v>
      </c>
      <c r="AF1935" s="366">
        <v>9.8989999999999991</v>
      </c>
      <c r="AG1935" s="363">
        <v>0</v>
      </c>
      <c r="AH1935" s="635" t="s">
        <v>6224</v>
      </c>
      <c r="AL1935" s="487" t="s">
        <v>16311</v>
      </c>
      <c r="AM1935" s="477" t="s">
        <v>70</v>
      </c>
      <c r="AN1935" s="637">
        <v>100</v>
      </c>
      <c r="AO1935" s="478">
        <v>-1570</v>
      </c>
      <c r="AP1935" s="463">
        <v>-1570</v>
      </c>
      <c r="AQ1935" s="479">
        <v>0</v>
      </c>
      <c r="AR1935" s="476" t="s">
        <v>17983</v>
      </c>
      <c r="BA1935" s="313" t="s">
        <v>6827</v>
      </c>
    </row>
    <row r="1936" spans="2:53" ht="16.5" customHeight="1">
      <c r="B1936" s="367" t="s">
        <v>13273</v>
      </c>
      <c r="C1936" s="351" t="s">
        <v>13274</v>
      </c>
      <c r="D1936" s="353">
        <v>-1570</v>
      </c>
      <c r="E1936" s="352" t="s">
        <v>408</v>
      </c>
      <c r="F1936" s="341">
        <v>65.959999999999994</v>
      </c>
      <c r="G1936" s="355" t="s">
        <v>6776</v>
      </c>
      <c r="H1936" s="356" t="s">
        <v>6443</v>
      </c>
      <c r="I1936" s="354" t="s">
        <v>423</v>
      </c>
      <c r="J1936" s="340" t="s">
        <v>13276</v>
      </c>
      <c r="K1936" s="339" t="s">
        <v>70</v>
      </c>
      <c r="L1936" s="357">
        <v>2</v>
      </c>
      <c r="M1936" s="358" t="s">
        <v>13277</v>
      </c>
      <c r="N1936" s="359">
        <v>1000</v>
      </c>
      <c r="O1936" s="360" t="s">
        <v>530</v>
      </c>
      <c r="P1936" s="343" t="s">
        <v>531</v>
      </c>
      <c r="Q1936" s="342" t="s">
        <v>2688</v>
      </c>
      <c r="R1936" s="344">
        <v>20</v>
      </c>
      <c r="S1936" s="345">
        <v>35</v>
      </c>
      <c r="T1936" s="362">
        <v>25</v>
      </c>
      <c r="U1936" s="361">
        <v>65.959999999999994</v>
      </c>
      <c r="V1936" s="346">
        <v>110.47716821037633</v>
      </c>
      <c r="W1936" s="348">
        <v>113.0210367066705</v>
      </c>
      <c r="X1936" s="347">
        <v>55.97</v>
      </c>
      <c r="Y1936" s="357">
        <v>55.239999999999995</v>
      </c>
      <c r="Z1936" s="365" t="s">
        <v>3017</v>
      </c>
      <c r="AA1936" s="350">
        <v>198</v>
      </c>
      <c r="AB1936" s="349" t="s">
        <v>2685</v>
      </c>
      <c r="AC1936" s="350">
        <v>10</v>
      </c>
      <c r="AD1936" s="349" t="s">
        <v>2685</v>
      </c>
      <c r="AE1936" s="364">
        <v>0</v>
      </c>
      <c r="AF1936" s="366">
        <v>12.839</v>
      </c>
      <c r="AG1936" s="363">
        <v>0</v>
      </c>
      <c r="AH1936" s="635" t="s">
        <v>11625</v>
      </c>
      <c r="AL1936" s="487" t="s">
        <v>16312</v>
      </c>
      <c r="AM1936" s="477" t="s">
        <v>70</v>
      </c>
      <c r="AN1936" s="637">
        <v>100</v>
      </c>
      <c r="AO1936" s="478">
        <v>-1570</v>
      </c>
      <c r="AP1936" s="463">
        <v>-1570</v>
      </c>
      <c r="AQ1936" s="479">
        <v>0</v>
      </c>
      <c r="AR1936" s="476" t="s">
        <v>17984</v>
      </c>
      <c r="BA1936" s="313" t="s">
        <v>6828</v>
      </c>
    </row>
    <row r="1937" spans="2:53" ht="16.5" customHeight="1">
      <c r="B1937" s="367" t="s">
        <v>13278</v>
      </c>
      <c r="C1937" s="351" t="s">
        <v>13279</v>
      </c>
      <c r="D1937" s="353">
        <v>-1570</v>
      </c>
      <c r="E1937" s="352" t="s">
        <v>408</v>
      </c>
      <c r="F1937" s="341">
        <v>65.849999999999994</v>
      </c>
      <c r="G1937" s="355" t="s">
        <v>13280</v>
      </c>
      <c r="H1937" s="356" t="s">
        <v>19185</v>
      </c>
      <c r="I1937" s="354" t="s">
        <v>8000</v>
      </c>
      <c r="J1937" s="340" t="s">
        <v>8168</v>
      </c>
      <c r="K1937" s="339" t="s">
        <v>70</v>
      </c>
      <c r="L1937" s="357">
        <v>26</v>
      </c>
      <c r="M1937" s="358" t="s">
        <v>13281</v>
      </c>
      <c r="N1937" s="359">
        <v>1000</v>
      </c>
      <c r="O1937" s="360" t="s">
        <v>532</v>
      </c>
      <c r="P1937" s="343" t="s">
        <v>532</v>
      </c>
      <c r="Q1937" s="342" t="s">
        <v>2688</v>
      </c>
      <c r="R1937" s="344">
        <v>25</v>
      </c>
      <c r="S1937" s="345">
        <v>30</v>
      </c>
      <c r="T1937" s="362">
        <v>25</v>
      </c>
      <c r="U1937" s="361">
        <v>65.849999999999994</v>
      </c>
      <c r="V1937" s="346">
        <v>110.41774452454388</v>
      </c>
      <c r="W1937" s="348">
        <v>112.98077605767159</v>
      </c>
      <c r="X1937" s="347" t="s">
        <v>19186</v>
      </c>
      <c r="Y1937" s="357" t="s">
        <v>408</v>
      </c>
      <c r="Z1937" s="365" t="s">
        <v>4408</v>
      </c>
      <c r="AA1937" s="350">
        <v>192</v>
      </c>
      <c r="AB1937" s="349" t="s">
        <v>2685</v>
      </c>
      <c r="AC1937" s="350">
        <v>0</v>
      </c>
      <c r="AD1937" s="349" t="s">
        <v>2685</v>
      </c>
      <c r="AE1937" s="364">
        <v>0</v>
      </c>
      <c r="AF1937" s="366">
        <v>0</v>
      </c>
      <c r="AG1937" s="363">
        <v>0</v>
      </c>
      <c r="AH1937" s="635" t="s">
        <v>408</v>
      </c>
      <c r="AL1937" s="487" t="s">
        <v>16314</v>
      </c>
      <c r="AM1937" s="477" t="s">
        <v>70</v>
      </c>
      <c r="AN1937" s="637">
        <v>100</v>
      </c>
      <c r="AO1937" s="478">
        <v>-1570</v>
      </c>
      <c r="AP1937" s="463">
        <v>-1570</v>
      </c>
      <c r="AQ1937" s="479">
        <v>0</v>
      </c>
      <c r="AR1937" s="476" t="s">
        <v>17985</v>
      </c>
      <c r="BA1937" s="313" t="s">
        <v>6830</v>
      </c>
    </row>
    <row r="1938" spans="2:53" ht="16.5" customHeight="1">
      <c r="B1938" s="367" t="s">
        <v>13282</v>
      </c>
      <c r="C1938" s="351" t="s">
        <v>13283</v>
      </c>
      <c r="D1938" s="353">
        <v>-1570</v>
      </c>
      <c r="E1938" s="352" t="s">
        <v>408</v>
      </c>
      <c r="F1938" s="341">
        <v>65.83</v>
      </c>
      <c r="G1938" s="355" t="s">
        <v>6782</v>
      </c>
      <c r="H1938" s="356" t="s">
        <v>19187</v>
      </c>
      <c r="I1938" s="354" t="s">
        <v>423</v>
      </c>
      <c r="J1938" s="340" t="s">
        <v>13284</v>
      </c>
      <c r="K1938" s="339" t="s">
        <v>70</v>
      </c>
      <c r="L1938" s="357">
        <v>4</v>
      </c>
      <c r="M1938" s="358" t="s">
        <v>13285</v>
      </c>
      <c r="N1938" s="359">
        <v>1000</v>
      </c>
      <c r="O1938" s="360" t="s">
        <v>530</v>
      </c>
      <c r="P1938" s="343" t="s">
        <v>531</v>
      </c>
      <c r="Q1938" s="342" t="s">
        <v>2688</v>
      </c>
      <c r="R1938" s="344">
        <v>20</v>
      </c>
      <c r="S1938" s="345">
        <v>35</v>
      </c>
      <c r="T1938" s="362">
        <v>25</v>
      </c>
      <c r="U1938" s="361">
        <v>65.83</v>
      </c>
      <c r="V1938" s="346">
        <v>110.40600930279084</v>
      </c>
      <c r="W1938" s="348">
        <v>112.9723266980094</v>
      </c>
      <c r="X1938" s="347">
        <v>55.92</v>
      </c>
      <c r="Y1938" s="357">
        <v>55.19</v>
      </c>
      <c r="Z1938" s="365" t="s">
        <v>3017</v>
      </c>
      <c r="AA1938" s="350">
        <v>198</v>
      </c>
      <c r="AB1938" s="349" t="s">
        <v>2685</v>
      </c>
      <c r="AC1938" s="350">
        <v>10</v>
      </c>
      <c r="AD1938" s="349" t="s">
        <v>2685</v>
      </c>
      <c r="AE1938" s="364">
        <v>0</v>
      </c>
      <c r="AF1938" s="366">
        <v>12.83</v>
      </c>
      <c r="AG1938" s="363">
        <v>0</v>
      </c>
      <c r="AH1938" s="635" t="s">
        <v>11625</v>
      </c>
      <c r="AL1938" s="487" t="s">
        <v>16313</v>
      </c>
      <c r="AM1938" s="477" t="s">
        <v>70</v>
      </c>
      <c r="AN1938" s="637">
        <v>100</v>
      </c>
      <c r="AO1938" s="478">
        <v>-1570</v>
      </c>
      <c r="AP1938" s="463">
        <v>-1570</v>
      </c>
      <c r="AQ1938" s="479">
        <v>0</v>
      </c>
      <c r="AR1938" s="476" t="s">
        <v>17986</v>
      </c>
      <c r="BA1938" s="313" t="s">
        <v>6831</v>
      </c>
    </row>
    <row r="1939" spans="2:53" ht="16.5" customHeight="1">
      <c r="B1939" s="367" t="s">
        <v>13286</v>
      </c>
      <c r="C1939" s="351" t="s">
        <v>13287</v>
      </c>
      <c r="D1939" s="353">
        <v>-1570</v>
      </c>
      <c r="E1939" s="352" t="s">
        <v>408</v>
      </c>
      <c r="F1939" s="341">
        <v>65.790000000000006</v>
      </c>
      <c r="G1939" s="355" t="s">
        <v>13288</v>
      </c>
      <c r="H1939" s="356" t="s">
        <v>19188</v>
      </c>
      <c r="I1939" s="354" t="s">
        <v>213</v>
      </c>
      <c r="J1939" s="340" t="s">
        <v>8872</v>
      </c>
      <c r="K1939" s="339" t="s">
        <v>70</v>
      </c>
      <c r="L1939" s="357">
        <v>10</v>
      </c>
      <c r="M1939" s="358" t="s">
        <v>13289</v>
      </c>
      <c r="N1939" s="359">
        <v>1000</v>
      </c>
      <c r="O1939" s="360" t="s">
        <v>454</v>
      </c>
      <c r="P1939" s="343" t="s">
        <v>454</v>
      </c>
      <c r="Q1939" s="342" t="s">
        <v>2688</v>
      </c>
      <c r="R1939" s="344">
        <v>20</v>
      </c>
      <c r="S1939" s="345">
        <v>30</v>
      </c>
      <c r="T1939" s="362">
        <v>30</v>
      </c>
      <c r="U1939" s="361">
        <v>65.790000000000006</v>
      </c>
      <c r="V1939" s="346">
        <v>110.38501291989664</v>
      </c>
      <c r="W1939" s="348">
        <v>112.95720930232558</v>
      </c>
      <c r="X1939" s="347">
        <v>55.91</v>
      </c>
      <c r="Y1939" s="357" t="s">
        <v>408</v>
      </c>
      <c r="Z1939" s="365" t="s">
        <v>4408</v>
      </c>
      <c r="AA1939" s="350">
        <v>180</v>
      </c>
      <c r="AB1939" s="349" t="s">
        <v>2685</v>
      </c>
      <c r="AC1939" s="350">
        <v>10</v>
      </c>
      <c r="AD1939" s="349" t="s">
        <v>2685</v>
      </c>
      <c r="AE1939" s="364">
        <v>0</v>
      </c>
      <c r="AF1939" s="366">
        <v>39.473999999999997</v>
      </c>
      <c r="AG1939" s="363">
        <v>0</v>
      </c>
      <c r="AH1939" s="635" t="s">
        <v>12613</v>
      </c>
      <c r="AL1939" s="487" t="s">
        <v>16315</v>
      </c>
      <c r="AM1939" s="477" t="s">
        <v>70</v>
      </c>
      <c r="AN1939" s="637">
        <v>100</v>
      </c>
      <c r="AO1939" s="478">
        <v>-1570</v>
      </c>
      <c r="AP1939" s="463">
        <v>-1570</v>
      </c>
      <c r="AQ1939" s="479">
        <v>0</v>
      </c>
      <c r="AR1939" s="476" t="s">
        <v>17987</v>
      </c>
      <c r="BA1939" s="313" t="s">
        <v>6832</v>
      </c>
    </row>
    <row r="1940" spans="2:53" ht="16.5" customHeight="1">
      <c r="B1940" s="367" t="s">
        <v>18298</v>
      </c>
      <c r="C1940" s="351" t="s">
        <v>18299</v>
      </c>
      <c r="D1940" s="353">
        <v>-1570</v>
      </c>
      <c r="E1940" s="352" t="s">
        <v>408</v>
      </c>
      <c r="F1940" s="341">
        <v>65.790000000000006</v>
      </c>
      <c r="G1940" s="355" t="s">
        <v>19189</v>
      </c>
      <c r="H1940" s="356" t="s">
        <v>13075</v>
      </c>
      <c r="I1940" s="354" t="s">
        <v>8000</v>
      </c>
      <c r="J1940" s="340" t="s">
        <v>9921</v>
      </c>
      <c r="K1940" s="339" t="s">
        <v>71</v>
      </c>
      <c r="L1940" s="357">
        <v>22</v>
      </c>
      <c r="M1940" s="358" t="s">
        <v>13309</v>
      </c>
      <c r="N1940" s="359">
        <v>1000</v>
      </c>
      <c r="O1940" s="360" t="s">
        <v>532</v>
      </c>
      <c r="P1940" s="343" t="s">
        <v>532</v>
      </c>
      <c r="Q1940" s="342" t="s">
        <v>2688</v>
      </c>
      <c r="R1940" s="344">
        <v>30</v>
      </c>
      <c r="S1940" s="345">
        <v>25</v>
      </c>
      <c r="T1940" s="362">
        <v>25</v>
      </c>
      <c r="U1940" s="361">
        <v>65.790000000000006</v>
      </c>
      <c r="V1940" s="346">
        <v>110.38494708116308</v>
      </c>
      <c r="W1940" s="348">
        <v>112.95716189843742</v>
      </c>
      <c r="X1940" s="347" t="s">
        <v>19190</v>
      </c>
      <c r="Y1940" s="357" t="s">
        <v>408</v>
      </c>
      <c r="Z1940" s="365" t="s">
        <v>4408</v>
      </c>
      <c r="AA1940" s="350">
        <v>192</v>
      </c>
      <c r="AB1940" s="349" t="s">
        <v>2685</v>
      </c>
      <c r="AC1940" s="350">
        <v>0</v>
      </c>
      <c r="AD1940" s="349" t="s">
        <v>2685</v>
      </c>
      <c r="AE1940" s="364">
        <v>0</v>
      </c>
      <c r="AF1940" s="366">
        <v>0</v>
      </c>
      <c r="AG1940" s="363">
        <v>0</v>
      </c>
      <c r="AH1940" s="635" t="s">
        <v>408</v>
      </c>
      <c r="AL1940" s="487" t="s">
        <v>16316</v>
      </c>
      <c r="AM1940" s="477" t="s">
        <v>71</v>
      </c>
      <c r="AN1940" s="637">
        <v>100</v>
      </c>
      <c r="AO1940" s="478">
        <v>-1570</v>
      </c>
      <c r="AP1940" s="463">
        <v>-652</v>
      </c>
      <c r="AQ1940" s="479">
        <v>-918</v>
      </c>
      <c r="AR1940" s="476" t="s">
        <v>17988</v>
      </c>
      <c r="BA1940" s="313" t="s">
        <v>6833</v>
      </c>
    </row>
    <row r="1941" spans="2:53" ht="16.5" customHeight="1">
      <c r="B1941" s="367" t="s">
        <v>13290</v>
      </c>
      <c r="C1941" s="351" t="s">
        <v>13291</v>
      </c>
      <c r="D1941" s="353">
        <v>-1570</v>
      </c>
      <c r="E1941" s="352" t="s">
        <v>408</v>
      </c>
      <c r="F1941" s="341">
        <v>65.77</v>
      </c>
      <c r="G1941" s="355" t="s">
        <v>6657</v>
      </c>
      <c r="H1941" s="356" t="s">
        <v>6478</v>
      </c>
      <c r="I1941" s="354" t="s">
        <v>197</v>
      </c>
      <c r="J1941" s="340" t="s">
        <v>13292</v>
      </c>
      <c r="K1941" s="339" t="s">
        <v>70</v>
      </c>
      <c r="L1941" s="357">
        <v>12</v>
      </c>
      <c r="M1941" s="358" t="s">
        <v>13293</v>
      </c>
      <c r="N1941" s="359">
        <v>500</v>
      </c>
      <c r="O1941" s="360" t="s">
        <v>454</v>
      </c>
      <c r="P1941" s="343" t="s">
        <v>454</v>
      </c>
      <c r="Q1941" s="342" t="s">
        <v>2688</v>
      </c>
      <c r="R1941" s="344">
        <v>20</v>
      </c>
      <c r="S1941" s="345">
        <v>30</v>
      </c>
      <c r="T1941" s="362">
        <v>30</v>
      </c>
      <c r="U1941" s="361">
        <v>65.77</v>
      </c>
      <c r="V1941" s="346">
        <v>110.37467700258398</v>
      </c>
      <c r="W1941" s="348">
        <v>112.94976744186046</v>
      </c>
      <c r="X1941" s="347">
        <v>55.9</v>
      </c>
      <c r="Y1941" s="357" t="s">
        <v>408</v>
      </c>
      <c r="Z1941" s="365" t="s">
        <v>4408</v>
      </c>
      <c r="AA1941" s="350">
        <v>94</v>
      </c>
      <c r="AB1941" s="349" t="s">
        <v>2685</v>
      </c>
      <c r="AC1941" s="350">
        <v>1.5</v>
      </c>
      <c r="AD1941" s="349" t="s">
        <v>2685</v>
      </c>
      <c r="AE1941" s="364">
        <v>0</v>
      </c>
      <c r="AF1941" s="366">
        <v>19.731000000000002</v>
      </c>
      <c r="AG1941" s="363">
        <v>0</v>
      </c>
      <c r="AH1941" s="635" t="s">
        <v>12164</v>
      </c>
      <c r="AL1941" s="487" t="s">
        <v>16317</v>
      </c>
      <c r="AM1941" s="477" t="s">
        <v>70</v>
      </c>
      <c r="AN1941" s="637">
        <v>100</v>
      </c>
      <c r="AO1941" s="478">
        <v>-1570</v>
      </c>
      <c r="AP1941" s="463">
        <v>-1570</v>
      </c>
      <c r="AQ1941" s="479">
        <v>0</v>
      </c>
      <c r="AR1941" s="476" t="s">
        <v>17989</v>
      </c>
      <c r="BA1941" s="313" t="s">
        <v>6838</v>
      </c>
    </row>
    <row r="1942" spans="2:53" ht="16.5" customHeight="1">
      <c r="B1942" s="367" t="s">
        <v>13294</v>
      </c>
      <c r="C1942" s="351" t="s">
        <v>13295</v>
      </c>
      <c r="D1942" s="353">
        <v>-1570</v>
      </c>
      <c r="E1942" s="352" t="s">
        <v>13301</v>
      </c>
      <c r="F1942" s="341">
        <v>65.75</v>
      </c>
      <c r="G1942" s="355" t="s">
        <v>13296</v>
      </c>
      <c r="H1942" s="356" t="s">
        <v>12870</v>
      </c>
      <c r="I1942" s="354" t="s">
        <v>423</v>
      </c>
      <c r="J1942" s="340" t="s">
        <v>13297</v>
      </c>
      <c r="K1942" s="339" t="s">
        <v>70</v>
      </c>
      <c r="L1942" s="357">
        <v>2</v>
      </c>
      <c r="M1942" s="358" t="s">
        <v>13298</v>
      </c>
      <c r="N1942" s="359">
        <v>1000</v>
      </c>
      <c r="O1942" s="360" t="s">
        <v>530</v>
      </c>
      <c r="P1942" s="343" t="s">
        <v>531</v>
      </c>
      <c r="Q1942" s="342" t="s">
        <v>2688</v>
      </c>
      <c r="R1942" s="344">
        <v>20</v>
      </c>
      <c r="S1942" s="345">
        <v>35</v>
      </c>
      <c r="T1942" s="362">
        <v>25</v>
      </c>
      <c r="U1942" s="361">
        <v>65.75</v>
      </c>
      <c r="V1942" s="346">
        <v>110.35849504851457</v>
      </c>
      <c r="W1942" s="348">
        <v>112.93811643493049</v>
      </c>
      <c r="X1942" s="347">
        <v>55.89</v>
      </c>
      <c r="Y1942" s="357">
        <v>55.16</v>
      </c>
      <c r="Z1942" s="365" t="s">
        <v>3017</v>
      </c>
      <c r="AA1942" s="350">
        <v>198</v>
      </c>
      <c r="AB1942" s="349" t="s">
        <v>2685</v>
      </c>
      <c r="AC1942" s="350">
        <v>10</v>
      </c>
      <c r="AD1942" s="349" t="s">
        <v>2685</v>
      </c>
      <c r="AE1942" s="364">
        <v>0</v>
      </c>
      <c r="AF1942" s="366">
        <v>12.824</v>
      </c>
      <c r="AG1942" s="363">
        <v>0</v>
      </c>
      <c r="AH1942" s="635" t="s">
        <v>11625</v>
      </c>
      <c r="AL1942" s="487" t="s">
        <v>16318</v>
      </c>
      <c r="AM1942" s="477" t="s">
        <v>70</v>
      </c>
      <c r="AN1942" s="637">
        <v>100</v>
      </c>
      <c r="AO1942" s="478">
        <v>-1570</v>
      </c>
      <c r="AP1942" s="463">
        <v>-1570</v>
      </c>
      <c r="AQ1942" s="479">
        <v>0</v>
      </c>
      <c r="AR1942" s="476" t="s">
        <v>17990</v>
      </c>
      <c r="BA1942" s="313" t="s">
        <v>6839</v>
      </c>
    </row>
    <row r="1943" spans="2:53" ht="16.5" customHeight="1">
      <c r="B1943" s="367" t="s">
        <v>13299</v>
      </c>
      <c r="C1943" s="351" t="s">
        <v>13300</v>
      </c>
      <c r="D1943" s="353">
        <v>-1570</v>
      </c>
      <c r="E1943" s="352" t="s">
        <v>408</v>
      </c>
      <c r="F1943" s="341">
        <v>65.7</v>
      </c>
      <c r="G1943" s="355" t="s">
        <v>19191</v>
      </c>
      <c r="H1943" s="356" t="s">
        <v>19192</v>
      </c>
      <c r="I1943" s="354" t="s">
        <v>197</v>
      </c>
      <c r="J1943" s="340" t="s">
        <v>8216</v>
      </c>
      <c r="K1943" s="339" t="s">
        <v>70</v>
      </c>
      <c r="L1943" s="357">
        <v>7</v>
      </c>
      <c r="M1943" s="358" t="s">
        <v>13302</v>
      </c>
      <c r="N1943" s="359">
        <v>500</v>
      </c>
      <c r="O1943" s="360" t="s">
        <v>454</v>
      </c>
      <c r="P1943" s="343" t="s">
        <v>454</v>
      </c>
      <c r="Q1943" s="342" t="s">
        <v>2688</v>
      </c>
      <c r="R1943" s="344">
        <v>30</v>
      </c>
      <c r="S1943" s="345">
        <v>20</v>
      </c>
      <c r="T1943" s="362">
        <v>20</v>
      </c>
      <c r="U1943" s="361">
        <v>65.7</v>
      </c>
      <c r="V1943" s="346">
        <v>110.33257229832572</v>
      </c>
      <c r="W1943" s="348">
        <v>112.91945205479452</v>
      </c>
      <c r="X1943" s="347">
        <v>55.39</v>
      </c>
      <c r="Y1943" s="357" t="s">
        <v>408</v>
      </c>
      <c r="Z1943" s="365" t="s">
        <v>4408</v>
      </c>
      <c r="AA1943" s="350">
        <v>141</v>
      </c>
      <c r="AB1943" s="349" t="s">
        <v>2685</v>
      </c>
      <c r="AC1943" s="350">
        <v>1.5</v>
      </c>
      <c r="AD1943" s="349" t="s">
        <v>2685</v>
      </c>
      <c r="AE1943" s="364">
        <v>0</v>
      </c>
      <c r="AF1943" s="366">
        <v>9.8550000000000004</v>
      </c>
      <c r="AG1943" s="363">
        <v>0</v>
      </c>
      <c r="AH1943" s="635" t="s">
        <v>6360</v>
      </c>
      <c r="AL1943" s="487" t="s">
        <v>16319</v>
      </c>
      <c r="AM1943" s="477" t="s">
        <v>70</v>
      </c>
      <c r="AN1943" s="637">
        <v>100</v>
      </c>
      <c r="AO1943" s="478">
        <v>-1570</v>
      </c>
      <c r="AP1943" s="463">
        <v>-1570</v>
      </c>
      <c r="AQ1943" s="479">
        <v>0</v>
      </c>
      <c r="AR1943" s="476" t="s">
        <v>17991</v>
      </c>
      <c r="BA1943" s="313" t="s">
        <v>6841</v>
      </c>
    </row>
    <row r="1944" spans="2:53" ht="16.5" customHeight="1">
      <c r="B1944" s="367" t="s">
        <v>13303</v>
      </c>
      <c r="C1944" s="351" t="s">
        <v>13304</v>
      </c>
      <c r="D1944" s="353">
        <v>-1570</v>
      </c>
      <c r="E1944" s="352" t="s">
        <v>13308</v>
      </c>
      <c r="F1944" s="341">
        <v>65.680000000000007</v>
      </c>
      <c r="G1944" s="355" t="s">
        <v>13305</v>
      </c>
      <c r="H1944" s="356" t="s">
        <v>6631</v>
      </c>
      <c r="I1944" s="354" t="s">
        <v>216</v>
      </c>
      <c r="J1944" s="340" t="s">
        <v>13306</v>
      </c>
      <c r="K1944" s="339" t="s">
        <v>70</v>
      </c>
      <c r="L1944" s="357">
        <v>13</v>
      </c>
      <c r="M1944" s="358" t="s">
        <v>13307</v>
      </c>
      <c r="N1944" s="359">
        <v>300</v>
      </c>
      <c r="O1944" s="360" t="s">
        <v>530</v>
      </c>
      <c r="P1944" s="343" t="s">
        <v>530</v>
      </c>
      <c r="Q1944" s="342" t="s">
        <v>2688</v>
      </c>
      <c r="R1944" s="344">
        <v>25</v>
      </c>
      <c r="S1944" s="345">
        <v>45</v>
      </c>
      <c r="T1944" s="362">
        <v>30</v>
      </c>
      <c r="U1944" s="361">
        <v>65.680000000000007</v>
      </c>
      <c r="V1944" s="346">
        <v>110.32193352049153</v>
      </c>
      <c r="W1944" s="348">
        <v>112.9117921347539</v>
      </c>
      <c r="X1944" s="347">
        <v>55.87</v>
      </c>
      <c r="Y1944" s="357" t="s">
        <v>408</v>
      </c>
      <c r="Z1944" s="365" t="s">
        <v>3017</v>
      </c>
      <c r="AA1944" s="350">
        <v>-2</v>
      </c>
      <c r="AB1944" s="349" t="s">
        <v>2685</v>
      </c>
      <c r="AC1944" s="350">
        <v>0</v>
      </c>
      <c r="AD1944" s="349" t="s">
        <v>2685</v>
      </c>
      <c r="AE1944" s="364">
        <v>0</v>
      </c>
      <c r="AF1944" s="366">
        <v>5.0289999999999999</v>
      </c>
      <c r="AG1944" s="363">
        <v>0</v>
      </c>
      <c r="AH1944" s="635" t="s">
        <v>11477</v>
      </c>
      <c r="AL1944" s="487" t="s">
        <v>16320</v>
      </c>
      <c r="AM1944" s="477" t="s">
        <v>70</v>
      </c>
      <c r="AN1944" s="637">
        <v>100</v>
      </c>
      <c r="AO1944" s="478">
        <v>-1570</v>
      </c>
      <c r="AP1944" s="463">
        <v>-1570</v>
      </c>
      <c r="AQ1944" s="479">
        <v>0</v>
      </c>
      <c r="AR1944" s="476" t="s">
        <v>17992</v>
      </c>
      <c r="BA1944" s="313" t="s">
        <v>6842</v>
      </c>
    </row>
    <row r="1945" spans="2:53" ht="16.5" customHeight="1">
      <c r="B1945" s="367" t="s">
        <v>6896</v>
      </c>
      <c r="C1945" s="351" t="s">
        <v>6897</v>
      </c>
      <c r="D1945" s="353">
        <v>-1570</v>
      </c>
      <c r="E1945" s="352" t="s">
        <v>13310</v>
      </c>
      <c r="F1945" s="341">
        <v>65.55</v>
      </c>
      <c r="G1945" s="355" t="s">
        <v>13339</v>
      </c>
      <c r="H1945" s="356" t="s">
        <v>19193</v>
      </c>
      <c r="I1945" s="354" t="s">
        <v>213</v>
      </c>
      <c r="J1945" s="340" t="s">
        <v>8696</v>
      </c>
      <c r="K1945" s="339" t="s">
        <v>71</v>
      </c>
      <c r="L1945" s="357">
        <v>15</v>
      </c>
      <c r="M1945" s="358" t="s">
        <v>13312</v>
      </c>
      <c r="N1945" s="359">
        <v>1000</v>
      </c>
      <c r="O1945" s="360" t="s">
        <v>454</v>
      </c>
      <c r="P1945" s="343" t="s">
        <v>454</v>
      </c>
      <c r="Q1945" s="342" t="s">
        <v>2688</v>
      </c>
      <c r="R1945" s="344">
        <v>30</v>
      </c>
      <c r="S1945" s="345">
        <v>20</v>
      </c>
      <c r="T1945" s="362">
        <v>30</v>
      </c>
      <c r="U1945" s="361">
        <v>65.55</v>
      </c>
      <c r="V1945" s="346">
        <v>110.25</v>
      </c>
      <c r="W1945" s="348">
        <v>112.86</v>
      </c>
      <c r="X1945" s="347">
        <v>55.34</v>
      </c>
      <c r="Y1945" s="357" t="s">
        <v>408</v>
      </c>
      <c r="Z1945" s="365" t="s">
        <v>4408</v>
      </c>
      <c r="AA1945" s="350">
        <v>180</v>
      </c>
      <c r="AB1945" s="349" t="s">
        <v>2685</v>
      </c>
      <c r="AC1945" s="350">
        <v>10</v>
      </c>
      <c r="AD1945" s="349" t="s">
        <v>2685</v>
      </c>
      <c r="AE1945" s="364">
        <v>0</v>
      </c>
      <c r="AF1945" s="366">
        <v>0</v>
      </c>
      <c r="AG1945" s="363">
        <v>0</v>
      </c>
      <c r="AH1945" s="635" t="s">
        <v>408</v>
      </c>
      <c r="AL1945" s="487" t="s">
        <v>16321</v>
      </c>
      <c r="AM1945" s="477" t="s">
        <v>71</v>
      </c>
      <c r="AN1945" s="637">
        <v>100</v>
      </c>
      <c r="AO1945" s="478">
        <v>-1570</v>
      </c>
      <c r="AP1945" s="463">
        <v>-650</v>
      </c>
      <c r="AQ1945" s="479">
        <v>-920</v>
      </c>
      <c r="AR1945" s="476" t="s">
        <v>17993</v>
      </c>
      <c r="BA1945" s="313" t="s">
        <v>6845</v>
      </c>
    </row>
    <row r="1946" spans="2:53" ht="16.5" customHeight="1">
      <c r="B1946" s="367" t="s">
        <v>13313</v>
      </c>
      <c r="C1946" s="351" t="s">
        <v>13314</v>
      </c>
      <c r="D1946" s="353">
        <v>-1570</v>
      </c>
      <c r="E1946" s="352" t="s">
        <v>408</v>
      </c>
      <c r="F1946" s="341">
        <v>65.5</v>
      </c>
      <c r="G1946" s="355" t="s">
        <v>13315</v>
      </c>
      <c r="H1946" s="356" t="s">
        <v>13023</v>
      </c>
      <c r="I1946" s="354" t="s">
        <v>497</v>
      </c>
      <c r="J1946" s="340" t="s">
        <v>498</v>
      </c>
      <c r="K1946" s="339" t="s">
        <v>71</v>
      </c>
      <c r="L1946" s="357">
        <v>12</v>
      </c>
      <c r="M1946" s="358" t="s">
        <v>13316</v>
      </c>
      <c r="N1946" s="359">
        <v>200</v>
      </c>
      <c r="O1946" s="360" t="s">
        <v>454</v>
      </c>
      <c r="P1946" s="343" t="s">
        <v>454</v>
      </c>
      <c r="Q1946" s="342" t="s">
        <v>2738</v>
      </c>
      <c r="R1946" s="344">
        <v>50</v>
      </c>
      <c r="S1946" s="345">
        <v>0</v>
      </c>
      <c r="T1946" s="362">
        <v>0</v>
      </c>
      <c r="U1946" s="361">
        <v>65.5</v>
      </c>
      <c r="V1946" s="346">
        <v>110.22222222222221</v>
      </c>
      <c r="W1946" s="348">
        <v>112.84</v>
      </c>
      <c r="X1946" s="347">
        <v>55.81</v>
      </c>
      <c r="Y1946" s="357" t="s">
        <v>408</v>
      </c>
      <c r="Z1946" s="365" t="s">
        <v>4408</v>
      </c>
      <c r="AA1946" s="350">
        <v>94</v>
      </c>
      <c r="AB1946" s="349" t="s">
        <v>2685</v>
      </c>
      <c r="AC1946" s="350">
        <v>1.5</v>
      </c>
      <c r="AD1946" s="349" t="s">
        <v>2685</v>
      </c>
      <c r="AE1946" s="364">
        <v>0</v>
      </c>
      <c r="AF1946" s="366">
        <v>0</v>
      </c>
      <c r="AG1946" s="363">
        <v>0</v>
      </c>
      <c r="AH1946" s="635" t="s">
        <v>10127</v>
      </c>
      <c r="AL1946" s="487" t="s">
        <v>16322</v>
      </c>
      <c r="AM1946" s="477" t="s">
        <v>71</v>
      </c>
      <c r="AN1946" s="637">
        <v>100</v>
      </c>
      <c r="AO1946" s="478">
        <v>-1570</v>
      </c>
      <c r="AP1946" s="463">
        <v>-653</v>
      </c>
      <c r="AQ1946" s="479">
        <v>-917</v>
      </c>
      <c r="AR1946" s="476" t="s">
        <v>17994</v>
      </c>
      <c r="BA1946" s="313" t="s">
        <v>6846</v>
      </c>
    </row>
    <row r="1947" spans="2:53" ht="16.5" customHeight="1">
      <c r="B1947" s="367" t="s">
        <v>6896</v>
      </c>
      <c r="C1947" s="351" t="s">
        <v>6897</v>
      </c>
      <c r="D1947" s="353">
        <v>-1570</v>
      </c>
      <c r="E1947" s="352" t="s">
        <v>13310</v>
      </c>
      <c r="F1947" s="341">
        <v>65.36</v>
      </c>
      <c r="G1947" s="355" t="s">
        <v>13483</v>
      </c>
      <c r="H1947" s="356" t="s">
        <v>19194</v>
      </c>
      <c r="I1947" s="354" t="s">
        <v>494</v>
      </c>
      <c r="J1947" s="340" t="s">
        <v>495</v>
      </c>
      <c r="K1947" s="339" t="s">
        <v>71</v>
      </c>
      <c r="L1947" s="357">
        <v>29</v>
      </c>
      <c r="M1947" s="358" t="s">
        <v>13317</v>
      </c>
      <c r="N1947" s="359">
        <v>1000</v>
      </c>
      <c r="O1947" s="360" t="s">
        <v>532</v>
      </c>
      <c r="P1947" s="343" t="s">
        <v>533</v>
      </c>
      <c r="Q1947" s="342" t="s">
        <v>2688</v>
      </c>
      <c r="R1947" s="344">
        <v>30</v>
      </c>
      <c r="S1947" s="345">
        <v>30</v>
      </c>
      <c r="T1947" s="362">
        <v>20</v>
      </c>
      <c r="U1947" s="361">
        <v>65.36</v>
      </c>
      <c r="V1947" s="346">
        <v>110.14619063632628</v>
      </c>
      <c r="W1947" s="348">
        <v>112.78525725815491</v>
      </c>
      <c r="X1947" s="347">
        <v>55.28</v>
      </c>
      <c r="Y1947" s="357">
        <v>55.019999999999996</v>
      </c>
      <c r="Z1947" s="365" t="s">
        <v>3017</v>
      </c>
      <c r="AA1947" s="350">
        <v>190</v>
      </c>
      <c r="AB1947" s="349" t="s">
        <v>2685</v>
      </c>
      <c r="AC1947" s="350">
        <v>0</v>
      </c>
      <c r="AD1947" s="349" t="s">
        <v>2685</v>
      </c>
      <c r="AE1947" s="364">
        <v>0</v>
      </c>
      <c r="AF1947" s="366">
        <v>0</v>
      </c>
      <c r="AG1947" s="363">
        <v>0</v>
      </c>
      <c r="AH1947" s="635" t="s">
        <v>408</v>
      </c>
      <c r="AL1947" s="487" t="s">
        <v>7239</v>
      </c>
      <c r="AM1947" s="477" t="s">
        <v>71</v>
      </c>
      <c r="AN1947" s="637">
        <v>100</v>
      </c>
      <c r="AO1947" s="478">
        <v>-1570</v>
      </c>
      <c r="AP1947" s="463">
        <v>-649</v>
      </c>
      <c r="AQ1947" s="479">
        <v>-921</v>
      </c>
      <c r="AR1947" s="476" t="s">
        <v>17995</v>
      </c>
      <c r="BA1947" s="313" t="s">
        <v>6847</v>
      </c>
    </row>
    <row r="1948" spans="2:53" ht="16.5" customHeight="1">
      <c r="B1948" s="367" t="s">
        <v>13318</v>
      </c>
      <c r="C1948" s="351" t="s">
        <v>13319</v>
      </c>
      <c r="D1948" s="353">
        <v>-1570</v>
      </c>
      <c r="E1948" s="352" t="s">
        <v>408</v>
      </c>
      <c r="F1948" s="341">
        <v>65.319999999999993</v>
      </c>
      <c r="G1948" s="355" t="s">
        <v>13320</v>
      </c>
      <c r="H1948" s="356" t="s">
        <v>19195</v>
      </c>
      <c r="I1948" s="354" t="s">
        <v>211</v>
      </c>
      <c r="J1948" s="340" t="s">
        <v>7357</v>
      </c>
      <c r="K1948" s="339" t="s">
        <v>70</v>
      </c>
      <c r="L1948" s="357">
        <v>142</v>
      </c>
      <c r="M1948" s="358" t="s">
        <v>13321</v>
      </c>
      <c r="N1948" s="359">
        <v>500</v>
      </c>
      <c r="O1948" s="360" t="s">
        <v>530</v>
      </c>
      <c r="P1948" s="343" t="s">
        <v>531</v>
      </c>
      <c r="Q1948" s="342" t="s">
        <v>2688</v>
      </c>
      <c r="R1948" s="344">
        <v>30</v>
      </c>
      <c r="S1948" s="345">
        <v>40</v>
      </c>
      <c r="T1948" s="362">
        <v>30</v>
      </c>
      <c r="U1948" s="361">
        <v>65.319999999999993</v>
      </c>
      <c r="V1948" s="346">
        <v>110.12244881771095</v>
      </c>
      <c r="W1948" s="348">
        <v>112.76816314875188</v>
      </c>
      <c r="X1948" s="347">
        <v>55.76</v>
      </c>
      <c r="Y1948" s="357">
        <v>54.85</v>
      </c>
      <c r="Z1948" s="365" t="s">
        <v>4408</v>
      </c>
      <c r="AA1948" s="350">
        <v>24</v>
      </c>
      <c r="AB1948" s="349" t="s">
        <v>2685</v>
      </c>
      <c r="AC1948" s="350">
        <v>5</v>
      </c>
      <c r="AD1948" s="349" t="s">
        <v>2685</v>
      </c>
      <c r="AE1948" s="364">
        <v>0</v>
      </c>
      <c r="AF1948" s="366">
        <v>8.2279999999999998</v>
      </c>
      <c r="AG1948" s="363">
        <v>0</v>
      </c>
      <c r="AH1948" s="635" t="s">
        <v>4662</v>
      </c>
      <c r="AL1948" s="487" t="s">
        <v>16323</v>
      </c>
      <c r="AM1948" s="477" t="s">
        <v>70</v>
      </c>
      <c r="AN1948" s="637">
        <v>100</v>
      </c>
      <c r="AO1948" s="478">
        <v>-1570</v>
      </c>
      <c r="AP1948" s="463">
        <v>-1570</v>
      </c>
      <c r="AQ1948" s="479">
        <v>0</v>
      </c>
      <c r="AR1948" s="476" t="s">
        <v>17996</v>
      </c>
      <c r="BA1948" s="313" t="s">
        <v>6848</v>
      </c>
    </row>
    <row r="1949" spans="2:53" ht="16.5" customHeight="1">
      <c r="B1949" s="367" t="s">
        <v>6907</v>
      </c>
      <c r="C1949" s="351" t="s">
        <v>6908</v>
      </c>
      <c r="D1949" s="353">
        <v>-1570</v>
      </c>
      <c r="E1949" s="352" t="s">
        <v>6811</v>
      </c>
      <c r="F1949" s="341">
        <v>65.19</v>
      </c>
      <c r="G1949" s="355" t="s">
        <v>13434</v>
      </c>
      <c r="H1949" s="356" t="s">
        <v>6663</v>
      </c>
      <c r="I1949" s="354" t="s">
        <v>494</v>
      </c>
      <c r="J1949" s="340" t="s">
        <v>13322</v>
      </c>
      <c r="K1949" s="339" t="s">
        <v>71</v>
      </c>
      <c r="L1949" s="357">
        <v>58</v>
      </c>
      <c r="M1949" s="358" t="s">
        <v>13323</v>
      </c>
      <c r="N1949" s="359">
        <v>1000</v>
      </c>
      <c r="O1949" s="360" t="s">
        <v>532</v>
      </c>
      <c r="P1949" s="343" t="s">
        <v>533</v>
      </c>
      <c r="Q1949" s="342" t="s">
        <v>2688</v>
      </c>
      <c r="R1949" s="344">
        <v>35</v>
      </c>
      <c r="S1949" s="345">
        <v>20</v>
      </c>
      <c r="T1949" s="362">
        <v>25</v>
      </c>
      <c r="U1949" s="361">
        <v>65.19</v>
      </c>
      <c r="V1949" s="346">
        <v>110.04993306796925</v>
      </c>
      <c r="W1949" s="348">
        <v>112.71595180893786</v>
      </c>
      <c r="X1949" s="347">
        <v>55.22</v>
      </c>
      <c r="Y1949" s="357">
        <v>54.96</v>
      </c>
      <c r="Z1949" s="365" t="s">
        <v>3017</v>
      </c>
      <c r="AA1949" s="350">
        <v>190</v>
      </c>
      <c r="AB1949" s="349" t="s">
        <v>2685</v>
      </c>
      <c r="AC1949" s="350">
        <v>0</v>
      </c>
      <c r="AD1949" s="349" t="s">
        <v>2685</v>
      </c>
      <c r="AE1949" s="364">
        <v>0</v>
      </c>
      <c r="AF1949" s="366">
        <v>0</v>
      </c>
      <c r="AG1949" s="363">
        <v>0</v>
      </c>
      <c r="AH1949" s="635" t="s">
        <v>408</v>
      </c>
      <c r="AL1949" s="487" t="s">
        <v>16324</v>
      </c>
      <c r="AM1949" s="477" t="s">
        <v>71</v>
      </c>
      <c r="AN1949" s="637">
        <v>100</v>
      </c>
      <c r="AO1949" s="478">
        <v>-1570</v>
      </c>
      <c r="AP1949" s="463">
        <v>-648</v>
      </c>
      <c r="AQ1949" s="479">
        <v>-922</v>
      </c>
      <c r="AR1949" s="476" t="s">
        <v>17997</v>
      </c>
      <c r="BA1949" s="313" t="s">
        <v>6849</v>
      </c>
    </row>
    <row r="1950" spans="2:53" ht="16.5" customHeight="1">
      <c r="B1950" s="367" t="s">
        <v>13324</v>
      </c>
      <c r="C1950" s="351" t="s">
        <v>13325</v>
      </c>
      <c r="D1950" s="353">
        <v>-1570</v>
      </c>
      <c r="E1950" s="352" t="s">
        <v>408</v>
      </c>
      <c r="F1950" s="341">
        <v>65.17</v>
      </c>
      <c r="G1950" s="355" t="s">
        <v>6829</v>
      </c>
      <c r="H1950" s="356" t="s">
        <v>13058</v>
      </c>
      <c r="I1950" s="354" t="s">
        <v>216</v>
      </c>
      <c r="J1950" s="340" t="s">
        <v>13326</v>
      </c>
      <c r="K1950" s="339" t="s">
        <v>70</v>
      </c>
      <c r="L1950" s="357">
        <v>4</v>
      </c>
      <c r="M1950" s="358" t="s">
        <v>13327</v>
      </c>
      <c r="N1950" s="359">
        <v>300</v>
      </c>
      <c r="O1950" s="360" t="s">
        <v>530</v>
      </c>
      <c r="P1950" s="343" t="s">
        <v>530</v>
      </c>
      <c r="Q1950" s="342" t="s">
        <v>2688</v>
      </c>
      <c r="R1950" s="344">
        <v>25</v>
      </c>
      <c r="S1950" s="345">
        <v>45</v>
      </c>
      <c r="T1950" s="362">
        <v>30</v>
      </c>
      <c r="U1950" s="361">
        <v>65.17</v>
      </c>
      <c r="V1950" s="346">
        <v>110.03832269671084</v>
      </c>
      <c r="W1950" s="348">
        <v>112.70759234163181</v>
      </c>
      <c r="X1950" s="347">
        <v>55.71</v>
      </c>
      <c r="Y1950" s="357" t="s">
        <v>408</v>
      </c>
      <c r="Z1950" s="365" t="s">
        <v>3017</v>
      </c>
      <c r="AA1950" s="350">
        <v>-2</v>
      </c>
      <c r="AB1950" s="349" t="s">
        <v>2685</v>
      </c>
      <c r="AC1950" s="350">
        <v>0</v>
      </c>
      <c r="AD1950" s="349" t="s">
        <v>2685</v>
      </c>
      <c r="AE1950" s="364">
        <v>0</v>
      </c>
      <c r="AF1950" s="366">
        <v>0</v>
      </c>
      <c r="AG1950" s="363">
        <v>0</v>
      </c>
      <c r="AH1950" s="635" t="s">
        <v>408</v>
      </c>
      <c r="AL1950" s="487" t="s">
        <v>16325</v>
      </c>
      <c r="AM1950" s="477" t="s">
        <v>70</v>
      </c>
      <c r="AN1950" s="637">
        <v>100</v>
      </c>
      <c r="AO1950" s="478">
        <v>-1570</v>
      </c>
      <c r="AP1950" s="463">
        <v>-1570</v>
      </c>
      <c r="AQ1950" s="479">
        <v>0</v>
      </c>
      <c r="AR1950" s="476" t="s">
        <v>17998</v>
      </c>
      <c r="BA1950" s="313" t="s">
        <v>6850</v>
      </c>
    </row>
    <row r="1951" spans="2:53" ht="16.5" customHeight="1">
      <c r="B1951" s="367" t="s">
        <v>18300</v>
      </c>
      <c r="C1951" s="351" t="s">
        <v>18301</v>
      </c>
      <c r="D1951" s="353">
        <v>-1570</v>
      </c>
      <c r="E1951" s="352" t="s">
        <v>13328</v>
      </c>
      <c r="F1951" s="341">
        <v>65.150000000000006</v>
      </c>
      <c r="G1951" s="355" t="s">
        <v>13445</v>
      </c>
      <c r="H1951" s="356" t="s">
        <v>19196</v>
      </c>
      <c r="I1951" s="354" t="s">
        <v>8000</v>
      </c>
      <c r="J1951" s="340" t="s">
        <v>8214</v>
      </c>
      <c r="K1951" s="339" t="s">
        <v>71</v>
      </c>
      <c r="L1951" s="357">
        <v>11</v>
      </c>
      <c r="M1951" s="358" t="s">
        <v>13330</v>
      </c>
      <c r="N1951" s="359">
        <v>1000</v>
      </c>
      <c r="O1951" s="360" t="s">
        <v>532</v>
      </c>
      <c r="P1951" s="343" t="s">
        <v>532</v>
      </c>
      <c r="Q1951" s="342" t="s">
        <v>2688</v>
      </c>
      <c r="R1951" s="344">
        <v>30</v>
      </c>
      <c r="S1951" s="345">
        <v>25</v>
      </c>
      <c r="T1951" s="362">
        <v>25</v>
      </c>
      <c r="U1951" s="361">
        <v>65.150000000000006</v>
      </c>
      <c r="V1951" s="346">
        <v>110.02746491567652</v>
      </c>
      <c r="W1951" s="348">
        <v>112.69977473928709</v>
      </c>
      <c r="X1951" s="347" t="s">
        <v>19197</v>
      </c>
      <c r="Y1951" s="357" t="s">
        <v>408</v>
      </c>
      <c r="Z1951" s="365" t="s">
        <v>4408</v>
      </c>
      <c r="AA1951" s="350">
        <v>192</v>
      </c>
      <c r="AB1951" s="349" t="s">
        <v>2685</v>
      </c>
      <c r="AC1951" s="350">
        <v>0</v>
      </c>
      <c r="AD1951" s="349" t="s">
        <v>2685</v>
      </c>
      <c r="AE1951" s="364">
        <v>0</v>
      </c>
      <c r="AF1951" s="366">
        <v>0</v>
      </c>
      <c r="AG1951" s="363">
        <v>0</v>
      </c>
      <c r="AH1951" s="635" t="s">
        <v>408</v>
      </c>
      <c r="AL1951" s="487" t="s">
        <v>16326</v>
      </c>
      <c r="AM1951" s="477" t="s">
        <v>71</v>
      </c>
      <c r="AN1951" s="637">
        <v>100</v>
      </c>
      <c r="AO1951" s="478">
        <v>-1570</v>
      </c>
      <c r="AP1951" s="463">
        <v>-648</v>
      </c>
      <c r="AQ1951" s="479">
        <v>-922</v>
      </c>
      <c r="AR1951" s="476" t="s">
        <v>17999</v>
      </c>
      <c r="BA1951" s="313" t="s">
        <v>6851</v>
      </c>
    </row>
    <row r="1952" spans="2:53" ht="16.5" customHeight="1">
      <c r="B1952" s="367" t="s">
        <v>13331</v>
      </c>
      <c r="C1952" s="351" t="s">
        <v>13332</v>
      </c>
      <c r="D1952" s="353">
        <v>-1570</v>
      </c>
      <c r="E1952" s="352" t="s">
        <v>13333</v>
      </c>
      <c r="F1952" s="341">
        <v>64.95</v>
      </c>
      <c r="G1952" s="355" t="s">
        <v>13455</v>
      </c>
      <c r="H1952" s="356" t="s">
        <v>6643</v>
      </c>
      <c r="I1952" s="354" t="s">
        <v>213</v>
      </c>
      <c r="J1952" s="340" t="s">
        <v>8726</v>
      </c>
      <c r="K1952" s="339" t="s">
        <v>71</v>
      </c>
      <c r="L1952" s="357">
        <v>15</v>
      </c>
      <c r="M1952" s="358" t="s">
        <v>13335</v>
      </c>
      <c r="N1952" s="359">
        <v>1000</v>
      </c>
      <c r="O1952" s="360" t="s">
        <v>454</v>
      </c>
      <c r="P1952" s="343" t="s">
        <v>454</v>
      </c>
      <c r="Q1952" s="342" t="s">
        <v>2688</v>
      </c>
      <c r="R1952" s="344">
        <v>30</v>
      </c>
      <c r="S1952" s="345">
        <v>20</v>
      </c>
      <c r="T1952" s="362">
        <v>30</v>
      </c>
      <c r="U1952" s="361">
        <v>64.95</v>
      </c>
      <c r="V1952" s="346">
        <v>109.90882352941175</v>
      </c>
      <c r="W1952" s="348">
        <v>112.61799999999999</v>
      </c>
      <c r="X1952" s="347">
        <v>55.14</v>
      </c>
      <c r="Y1952" s="357" t="s">
        <v>408</v>
      </c>
      <c r="Z1952" s="365" t="s">
        <v>4408</v>
      </c>
      <c r="AA1952" s="350">
        <v>180</v>
      </c>
      <c r="AB1952" s="349" t="s">
        <v>2685</v>
      </c>
      <c r="AC1952" s="350">
        <v>10</v>
      </c>
      <c r="AD1952" s="349" t="s">
        <v>2685</v>
      </c>
      <c r="AE1952" s="364">
        <v>0</v>
      </c>
      <c r="AF1952" s="366">
        <v>0</v>
      </c>
      <c r="AG1952" s="363">
        <v>0</v>
      </c>
      <c r="AH1952" s="635" t="s">
        <v>408</v>
      </c>
      <c r="AL1952" s="487" t="s">
        <v>16327</v>
      </c>
      <c r="AM1952" s="477" t="s">
        <v>71</v>
      </c>
      <c r="AN1952" s="637">
        <v>100</v>
      </c>
      <c r="AO1952" s="478">
        <v>-1570</v>
      </c>
      <c r="AP1952" s="463">
        <v>-647</v>
      </c>
      <c r="AQ1952" s="479">
        <v>-923</v>
      </c>
      <c r="AR1952" s="476" t="s">
        <v>18000</v>
      </c>
      <c r="BA1952" s="313" t="s">
        <v>6852</v>
      </c>
    </row>
    <row r="1953" spans="2:53" ht="16.5" customHeight="1">
      <c r="B1953" s="367" t="s">
        <v>13331</v>
      </c>
      <c r="C1953" s="351" t="s">
        <v>13332</v>
      </c>
      <c r="D1953" s="353">
        <v>-1570</v>
      </c>
      <c r="E1953" s="352" t="s">
        <v>408</v>
      </c>
      <c r="F1953" s="341">
        <v>64.95</v>
      </c>
      <c r="G1953" s="355" t="s">
        <v>13333</v>
      </c>
      <c r="H1953" s="356" t="s">
        <v>13014</v>
      </c>
      <c r="I1953" s="354" t="s">
        <v>8000</v>
      </c>
      <c r="J1953" s="340" t="s">
        <v>8148</v>
      </c>
      <c r="K1953" s="339" t="s">
        <v>70</v>
      </c>
      <c r="L1953" s="357">
        <v>15</v>
      </c>
      <c r="M1953" s="358" t="s">
        <v>13336</v>
      </c>
      <c r="N1953" s="359">
        <v>1000</v>
      </c>
      <c r="O1953" s="360" t="s">
        <v>532</v>
      </c>
      <c r="P1953" s="343" t="s">
        <v>532</v>
      </c>
      <c r="Q1953" s="342" t="s">
        <v>2688</v>
      </c>
      <c r="R1953" s="344">
        <v>25</v>
      </c>
      <c r="S1953" s="345">
        <v>30</v>
      </c>
      <c r="T1953" s="362">
        <v>25</v>
      </c>
      <c r="U1953" s="361">
        <v>64.95</v>
      </c>
      <c r="V1953" s="346">
        <v>109.90977099743547</v>
      </c>
      <c r="W1953" s="348">
        <v>112.61864427825611</v>
      </c>
      <c r="X1953" s="347" t="s">
        <v>19198</v>
      </c>
      <c r="Y1953" s="357" t="s">
        <v>408</v>
      </c>
      <c r="Z1953" s="365" t="s">
        <v>4408</v>
      </c>
      <c r="AA1953" s="350">
        <v>192</v>
      </c>
      <c r="AB1953" s="349" t="s">
        <v>2685</v>
      </c>
      <c r="AC1953" s="350">
        <v>0</v>
      </c>
      <c r="AD1953" s="349" t="s">
        <v>2685</v>
      </c>
      <c r="AE1953" s="364">
        <v>0</v>
      </c>
      <c r="AF1953" s="366">
        <v>0</v>
      </c>
      <c r="AG1953" s="363">
        <v>0</v>
      </c>
      <c r="AH1953" s="635" t="s">
        <v>408</v>
      </c>
      <c r="AL1953" s="487" t="s">
        <v>16329</v>
      </c>
      <c r="AM1953" s="477" t="s">
        <v>70</v>
      </c>
      <c r="AN1953" s="637">
        <v>100</v>
      </c>
      <c r="AO1953" s="478">
        <v>-1570</v>
      </c>
      <c r="AP1953" s="463">
        <v>-1570</v>
      </c>
      <c r="AQ1953" s="479">
        <v>0</v>
      </c>
      <c r="AR1953" s="476" t="s">
        <v>18001</v>
      </c>
      <c r="BA1953" s="313" t="s">
        <v>6854</v>
      </c>
    </row>
    <row r="1954" spans="2:53" ht="16.5" customHeight="1">
      <c r="B1954" s="367" t="s">
        <v>13337</v>
      </c>
      <c r="C1954" s="351" t="s">
        <v>13338</v>
      </c>
      <c r="D1954" s="353">
        <v>-1570</v>
      </c>
      <c r="E1954" s="352" t="s">
        <v>408</v>
      </c>
      <c r="F1954" s="341">
        <v>64.94</v>
      </c>
      <c r="G1954" s="355" t="s">
        <v>13339</v>
      </c>
      <c r="H1954" s="356" t="s">
        <v>19199</v>
      </c>
      <c r="I1954" s="354" t="s">
        <v>213</v>
      </c>
      <c r="J1954" s="340" t="s">
        <v>8856</v>
      </c>
      <c r="K1954" s="339" t="s">
        <v>70</v>
      </c>
      <c r="L1954" s="357">
        <v>11</v>
      </c>
      <c r="M1954" s="358" t="s">
        <v>9535</v>
      </c>
      <c r="N1954" s="359">
        <v>1000</v>
      </c>
      <c r="O1954" s="360" t="s">
        <v>454</v>
      </c>
      <c r="P1954" s="343" t="s">
        <v>454</v>
      </c>
      <c r="Q1954" s="342" t="s">
        <v>2688</v>
      </c>
      <c r="R1954" s="344">
        <v>20</v>
      </c>
      <c r="S1954" s="345">
        <v>30</v>
      </c>
      <c r="T1954" s="362">
        <v>30</v>
      </c>
      <c r="U1954" s="361">
        <v>64.94</v>
      </c>
      <c r="V1954" s="346">
        <v>109.90420168067227</v>
      </c>
      <c r="W1954" s="348">
        <v>112.61485714285715</v>
      </c>
      <c r="X1954" s="347">
        <v>55.64</v>
      </c>
      <c r="Y1954" s="357" t="s">
        <v>408</v>
      </c>
      <c r="Z1954" s="365" t="s">
        <v>4408</v>
      </c>
      <c r="AA1954" s="350">
        <v>180</v>
      </c>
      <c r="AB1954" s="349" t="s">
        <v>2685</v>
      </c>
      <c r="AC1954" s="350">
        <v>10</v>
      </c>
      <c r="AD1954" s="349" t="s">
        <v>2685</v>
      </c>
      <c r="AE1954" s="364">
        <v>0</v>
      </c>
      <c r="AF1954" s="366">
        <v>48.704999999999998</v>
      </c>
      <c r="AG1954" s="363">
        <v>0</v>
      </c>
      <c r="AH1954" s="635" t="s">
        <v>12809</v>
      </c>
      <c r="AL1954" s="487" t="s">
        <v>16328</v>
      </c>
      <c r="AM1954" s="477" t="s">
        <v>70</v>
      </c>
      <c r="AN1954" s="637">
        <v>100</v>
      </c>
      <c r="AO1954" s="478">
        <v>-1570</v>
      </c>
      <c r="AP1954" s="463">
        <v>-1570</v>
      </c>
      <c r="AQ1954" s="479">
        <v>0</v>
      </c>
      <c r="AR1954" s="476" t="s">
        <v>18002</v>
      </c>
      <c r="BA1954" s="313" t="s">
        <v>6855</v>
      </c>
    </row>
    <row r="1955" spans="2:53" ht="16.5" customHeight="1">
      <c r="B1955" s="367" t="s">
        <v>13340</v>
      </c>
      <c r="C1955" s="351" t="s">
        <v>13341</v>
      </c>
      <c r="D1955" s="353">
        <v>-1570</v>
      </c>
      <c r="E1955" s="352" t="s">
        <v>408</v>
      </c>
      <c r="F1955" s="341">
        <v>64.86</v>
      </c>
      <c r="G1955" s="355" t="s">
        <v>13342</v>
      </c>
      <c r="H1955" s="356" t="s">
        <v>19200</v>
      </c>
      <c r="I1955" s="354" t="s">
        <v>423</v>
      </c>
      <c r="J1955" s="340" t="s">
        <v>13343</v>
      </c>
      <c r="K1955" s="339" t="s">
        <v>70</v>
      </c>
      <c r="L1955" s="357">
        <v>4</v>
      </c>
      <c r="M1955" s="358" t="s">
        <v>13344</v>
      </c>
      <c r="N1955" s="359">
        <v>1000</v>
      </c>
      <c r="O1955" s="360" t="s">
        <v>530</v>
      </c>
      <c r="P1955" s="343" t="s">
        <v>531</v>
      </c>
      <c r="Q1955" s="342" t="s">
        <v>2688</v>
      </c>
      <c r="R1955" s="344">
        <v>20</v>
      </c>
      <c r="S1955" s="345">
        <v>35</v>
      </c>
      <c r="T1955" s="362">
        <v>25</v>
      </c>
      <c r="U1955" s="361">
        <v>64.86</v>
      </c>
      <c r="V1955" s="346">
        <v>109.86001513490946</v>
      </c>
      <c r="W1955" s="348">
        <v>112.58481029173844</v>
      </c>
      <c r="X1955" s="347">
        <v>55.61</v>
      </c>
      <c r="Y1955" s="357">
        <v>54.839999999999996</v>
      </c>
      <c r="Z1955" s="365" t="s">
        <v>3017</v>
      </c>
      <c r="AA1955" s="350">
        <v>198</v>
      </c>
      <c r="AB1955" s="349" t="s">
        <v>2685</v>
      </c>
      <c r="AC1955" s="350">
        <v>10</v>
      </c>
      <c r="AD1955" s="349" t="s">
        <v>2685</v>
      </c>
      <c r="AE1955" s="364">
        <v>0</v>
      </c>
      <c r="AF1955" s="366">
        <v>12.766</v>
      </c>
      <c r="AG1955" s="363">
        <v>0</v>
      </c>
      <c r="AH1955" s="635" t="s">
        <v>11625</v>
      </c>
      <c r="AL1955" s="487" t="s">
        <v>16330</v>
      </c>
      <c r="AM1955" s="477" t="s">
        <v>70</v>
      </c>
      <c r="AN1955" s="637">
        <v>100</v>
      </c>
      <c r="AO1955" s="478">
        <v>-1570</v>
      </c>
      <c r="AP1955" s="463">
        <v>-1570</v>
      </c>
      <c r="AQ1955" s="479">
        <v>0</v>
      </c>
      <c r="AR1955" s="476" t="s">
        <v>18003</v>
      </c>
      <c r="BA1955" s="313" t="s">
        <v>6856</v>
      </c>
    </row>
    <row r="1956" spans="2:53" ht="16.5" customHeight="1">
      <c r="B1956" s="367" t="s">
        <v>13345</v>
      </c>
      <c r="C1956" s="351" t="s">
        <v>13346</v>
      </c>
      <c r="D1956" s="353">
        <v>-1570</v>
      </c>
      <c r="E1956" s="352" t="s">
        <v>13347</v>
      </c>
      <c r="F1956" s="341">
        <v>64.849999999999994</v>
      </c>
      <c r="G1956" s="355" t="s">
        <v>19201</v>
      </c>
      <c r="H1956" s="356" t="s">
        <v>6689</v>
      </c>
      <c r="I1956" s="354" t="s">
        <v>215</v>
      </c>
      <c r="J1956" s="340" t="s">
        <v>13348</v>
      </c>
      <c r="K1956" s="339" t="s">
        <v>71</v>
      </c>
      <c r="L1956" s="357">
        <v>4</v>
      </c>
      <c r="M1956" s="358" t="s">
        <v>13349</v>
      </c>
      <c r="N1956" s="359">
        <v>1000</v>
      </c>
      <c r="O1956" s="360" t="s">
        <v>530</v>
      </c>
      <c r="P1956" s="343" t="s">
        <v>531</v>
      </c>
      <c r="Q1956" s="342" t="s">
        <v>2688</v>
      </c>
      <c r="R1956" s="344">
        <v>13</v>
      </c>
      <c r="S1956" s="345">
        <v>50</v>
      </c>
      <c r="T1956" s="362">
        <v>25</v>
      </c>
      <c r="U1956" s="361">
        <v>64.849999999999994</v>
      </c>
      <c r="V1956" s="346">
        <v>109.8505452212957</v>
      </c>
      <c r="W1956" s="348">
        <v>112.57837075048107</v>
      </c>
      <c r="X1956" s="347">
        <v>55.11</v>
      </c>
      <c r="Y1956" s="357">
        <v>54.989999999999995</v>
      </c>
      <c r="Z1956" s="365" t="s">
        <v>3017</v>
      </c>
      <c r="AA1956" s="350">
        <v>121.25</v>
      </c>
      <c r="AB1956" s="349" t="s">
        <v>2685</v>
      </c>
      <c r="AC1956" s="350">
        <v>10</v>
      </c>
      <c r="AD1956" s="349" t="s">
        <v>2685</v>
      </c>
      <c r="AE1956" s="364">
        <v>0</v>
      </c>
      <c r="AF1956" s="366">
        <v>0</v>
      </c>
      <c r="AG1956" s="363">
        <v>0</v>
      </c>
      <c r="AH1956" s="635" t="s">
        <v>408</v>
      </c>
      <c r="AL1956" s="487" t="s">
        <v>16331</v>
      </c>
      <c r="AM1956" s="477" t="s">
        <v>71</v>
      </c>
      <c r="AN1956" s="637">
        <v>100</v>
      </c>
      <c r="AO1956" s="478">
        <v>-1570</v>
      </c>
      <c r="AP1956" s="463">
        <v>-647</v>
      </c>
      <c r="AQ1956" s="479">
        <v>-923</v>
      </c>
      <c r="AR1956" s="476" t="s">
        <v>18004</v>
      </c>
      <c r="BA1956" s="313" t="s">
        <v>6857</v>
      </c>
    </row>
    <row r="1957" spans="2:53" ht="16.5" customHeight="1">
      <c r="B1957" s="367" t="s">
        <v>18302</v>
      </c>
      <c r="C1957" s="351" t="s">
        <v>18303</v>
      </c>
      <c r="D1957" s="353">
        <v>-1570</v>
      </c>
      <c r="E1957" s="352" t="s">
        <v>408</v>
      </c>
      <c r="F1957" s="341">
        <v>64.849999999999994</v>
      </c>
      <c r="G1957" s="355" t="s">
        <v>19201</v>
      </c>
      <c r="H1957" s="356" t="s">
        <v>6689</v>
      </c>
      <c r="I1957" s="354" t="s">
        <v>8000</v>
      </c>
      <c r="J1957" s="340" t="s">
        <v>13372</v>
      </c>
      <c r="K1957" s="339" t="s">
        <v>71</v>
      </c>
      <c r="L1957" s="357">
        <v>27</v>
      </c>
      <c r="M1957" s="358" t="s">
        <v>13373</v>
      </c>
      <c r="N1957" s="359">
        <v>1000</v>
      </c>
      <c r="O1957" s="360" t="s">
        <v>532</v>
      </c>
      <c r="P1957" s="343" t="s">
        <v>532</v>
      </c>
      <c r="Q1957" s="342" t="s">
        <v>2688</v>
      </c>
      <c r="R1957" s="344">
        <v>30</v>
      </c>
      <c r="S1957" s="345">
        <v>25</v>
      </c>
      <c r="T1957" s="362">
        <v>25</v>
      </c>
      <c r="U1957" s="361">
        <v>64.849999999999994</v>
      </c>
      <c r="V1957" s="346">
        <v>109.85221671258252</v>
      </c>
      <c r="W1957" s="348">
        <v>112.57950736455611</v>
      </c>
      <c r="X1957" s="347" t="s">
        <v>19202</v>
      </c>
      <c r="Y1957" s="357" t="s">
        <v>408</v>
      </c>
      <c r="Z1957" s="365" t="s">
        <v>4408</v>
      </c>
      <c r="AA1957" s="350">
        <v>192</v>
      </c>
      <c r="AB1957" s="349" t="s">
        <v>2685</v>
      </c>
      <c r="AC1957" s="350">
        <v>0</v>
      </c>
      <c r="AD1957" s="349" t="s">
        <v>2685</v>
      </c>
      <c r="AE1957" s="364">
        <v>0</v>
      </c>
      <c r="AF1957" s="366">
        <v>0</v>
      </c>
      <c r="AG1957" s="363">
        <v>0</v>
      </c>
      <c r="AH1957" s="635" t="s">
        <v>408</v>
      </c>
      <c r="AL1957" s="487" t="s">
        <v>16332</v>
      </c>
      <c r="AM1957" s="477" t="s">
        <v>71</v>
      </c>
      <c r="AN1957" s="637">
        <v>100</v>
      </c>
      <c r="AO1957" s="478">
        <v>-1570</v>
      </c>
      <c r="AP1957" s="463">
        <v>-647</v>
      </c>
      <c r="AQ1957" s="479">
        <v>-923</v>
      </c>
      <c r="AR1957" s="476" t="s">
        <v>18004</v>
      </c>
      <c r="BA1957" s="313" t="s">
        <v>6859</v>
      </c>
    </row>
    <row r="1958" spans="2:53" ht="16.5" customHeight="1">
      <c r="B1958" s="367" t="s">
        <v>13350</v>
      </c>
      <c r="C1958" s="351" t="s">
        <v>13351</v>
      </c>
      <c r="D1958" s="353">
        <v>-1570</v>
      </c>
      <c r="E1958" s="352" t="s">
        <v>408</v>
      </c>
      <c r="F1958" s="341">
        <v>64.83</v>
      </c>
      <c r="G1958" s="355" t="s">
        <v>13352</v>
      </c>
      <c r="H1958" s="356" t="s">
        <v>19203</v>
      </c>
      <c r="I1958" s="354" t="s">
        <v>209</v>
      </c>
      <c r="J1958" s="340" t="s">
        <v>8669</v>
      </c>
      <c r="K1958" s="339" t="s">
        <v>70</v>
      </c>
      <c r="L1958" s="357">
        <v>14</v>
      </c>
      <c r="M1958" s="358" t="s">
        <v>11139</v>
      </c>
      <c r="N1958" s="359">
        <v>1000</v>
      </c>
      <c r="O1958" s="360" t="s">
        <v>530</v>
      </c>
      <c r="P1958" s="343" t="s">
        <v>530</v>
      </c>
      <c r="Q1958" s="342" t="s">
        <v>2688</v>
      </c>
      <c r="R1958" s="344">
        <v>20</v>
      </c>
      <c r="S1958" s="345">
        <v>30</v>
      </c>
      <c r="T1958" s="362">
        <v>30</v>
      </c>
      <c r="U1958" s="361">
        <v>64.83</v>
      </c>
      <c r="V1958" s="346">
        <v>109.84121393919359</v>
      </c>
      <c r="W1958" s="348">
        <v>112.57202547865164</v>
      </c>
      <c r="X1958" s="347">
        <v>55.6</v>
      </c>
      <c r="Y1958" s="357" t="s">
        <v>408</v>
      </c>
      <c r="Z1958" s="365" t="s">
        <v>3017</v>
      </c>
      <c r="AA1958" s="350">
        <v>198</v>
      </c>
      <c r="AB1958" s="349" t="s">
        <v>2685</v>
      </c>
      <c r="AC1958" s="350">
        <v>10</v>
      </c>
      <c r="AD1958" s="349" t="s">
        <v>2685</v>
      </c>
      <c r="AE1958" s="364">
        <v>0</v>
      </c>
      <c r="AF1958" s="366">
        <v>0</v>
      </c>
      <c r="AG1958" s="363">
        <v>0</v>
      </c>
      <c r="AH1958" s="635" t="s">
        <v>408</v>
      </c>
      <c r="AL1958" s="487" t="s">
        <v>16333</v>
      </c>
      <c r="AM1958" s="477" t="s">
        <v>70</v>
      </c>
      <c r="AN1958" s="637">
        <v>100</v>
      </c>
      <c r="AO1958" s="478">
        <v>-1570</v>
      </c>
      <c r="AP1958" s="463">
        <v>-1570</v>
      </c>
      <c r="AQ1958" s="479">
        <v>0</v>
      </c>
      <c r="AR1958" s="476" t="s">
        <v>18005</v>
      </c>
      <c r="BA1958" s="313" t="s">
        <v>6860</v>
      </c>
    </row>
    <row r="1959" spans="2:53" ht="16.5" customHeight="1">
      <c r="B1959" s="367" t="s">
        <v>13350</v>
      </c>
      <c r="C1959" s="351" t="s">
        <v>13351</v>
      </c>
      <c r="D1959" s="353">
        <v>-1570</v>
      </c>
      <c r="E1959" s="352" t="s">
        <v>408</v>
      </c>
      <c r="F1959" s="341">
        <v>64.83</v>
      </c>
      <c r="G1959" s="355" t="s">
        <v>13352</v>
      </c>
      <c r="H1959" s="356" t="s">
        <v>19203</v>
      </c>
      <c r="I1959" s="354" t="s">
        <v>209</v>
      </c>
      <c r="J1959" s="340" t="s">
        <v>13353</v>
      </c>
      <c r="K1959" s="339" t="s">
        <v>70</v>
      </c>
      <c r="L1959" s="357">
        <v>11</v>
      </c>
      <c r="M1959" s="358" t="s">
        <v>11139</v>
      </c>
      <c r="N1959" s="359">
        <v>1000</v>
      </c>
      <c r="O1959" s="360" t="s">
        <v>530</v>
      </c>
      <c r="P1959" s="343" t="s">
        <v>530</v>
      </c>
      <c r="Q1959" s="342" t="s">
        <v>2688</v>
      </c>
      <c r="R1959" s="344">
        <v>20</v>
      </c>
      <c r="S1959" s="345">
        <v>30</v>
      </c>
      <c r="T1959" s="362">
        <v>30</v>
      </c>
      <c r="U1959" s="361">
        <v>64.83</v>
      </c>
      <c r="V1959" s="346">
        <v>109.84121393919359</v>
      </c>
      <c r="W1959" s="348">
        <v>112.57202547865164</v>
      </c>
      <c r="X1959" s="347">
        <v>55.6</v>
      </c>
      <c r="Y1959" s="357" t="s">
        <v>408</v>
      </c>
      <c r="Z1959" s="365" t="s">
        <v>3017</v>
      </c>
      <c r="AA1959" s="350">
        <v>198</v>
      </c>
      <c r="AB1959" s="349" t="s">
        <v>2685</v>
      </c>
      <c r="AC1959" s="350">
        <v>10</v>
      </c>
      <c r="AD1959" s="349" t="s">
        <v>2685</v>
      </c>
      <c r="AE1959" s="364">
        <v>0</v>
      </c>
      <c r="AF1959" s="366">
        <v>0</v>
      </c>
      <c r="AG1959" s="363">
        <v>0</v>
      </c>
      <c r="AH1959" s="635" t="s">
        <v>408</v>
      </c>
      <c r="AL1959" s="487" t="s">
        <v>16334</v>
      </c>
      <c r="AM1959" s="477" t="s">
        <v>70</v>
      </c>
      <c r="AN1959" s="637">
        <v>100</v>
      </c>
      <c r="AO1959" s="478">
        <v>-1570</v>
      </c>
      <c r="AP1959" s="463">
        <v>-1570</v>
      </c>
      <c r="AQ1959" s="479">
        <v>0</v>
      </c>
      <c r="AR1959" s="476" t="s">
        <v>18005</v>
      </c>
      <c r="BA1959" s="313" t="s">
        <v>6863</v>
      </c>
    </row>
    <row r="1960" spans="2:53" ht="16.5" customHeight="1">
      <c r="B1960" s="367" t="s">
        <v>13350</v>
      </c>
      <c r="C1960" s="351" t="s">
        <v>13351</v>
      </c>
      <c r="D1960" s="353">
        <v>-1570</v>
      </c>
      <c r="E1960" s="352" t="s">
        <v>408</v>
      </c>
      <c r="F1960" s="341">
        <v>64.83</v>
      </c>
      <c r="G1960" s="355" t="s">
        <v>13352</v>
      </c>
      <c r="H1960" s="356" t="s">
        <v>19203</v>
      </c>
      <c r="I1960" s="354" t="s">
        <v>209</v>
      </c>
      <c r="J1960" s="340" t="s">
        <v>13354</v>
      </c>
      <c r="K1960" s="339" t="s">
        <v>70</v>
      </c>
      <c r="L1960" s="357">
        <v>18</v>
      </c>
      <c r="M1960" s="358" t="s">
        <v>11139</v>
      </c>
      <c r="N1960" s="359">
        <v>1000</v>
      </c>
      <c r="O1960" s="360" t="s">
        <v>530</v>
      </c>
      <c r="P1960" s="343" t="s">
        <v>530</v>
      </c>
      <c r="Q1960" s="342" t="s">
        <v>2688</v>
      </c>
      <c r="R1960" s="344">
        <v>20</v>
      </c>
      <c r="S1960" s="345">
        <v>30</v>
      </c>
      <c r="T1960" s="362">
        <v>30</v>
      </c>
      <c r="U1960" s="361">
        <v>64.83</v>
      </c>
      <c r="V1960" s="346">
        <v>109.84121393919359</v>
      </c>
      <c r="W1960" s="348">
        <v>112.57202547865164</v>
      </c>
      <c r="X1960" s="347">
        <v>55.6</v>
      </c>
      <c r="Y1960" s="357" t="s">
        <v>408</v>
      </c>
      <c r="Z1960" s="365" t="s">
        <v>3017</v>
      </c>
      <c r="AA1960" s="350">
        <v>198</v>
      </c>
      <c r="AB1960" s="349" t="s">
        <v>2685</v>
      </c>
      <c r="AC1960" s="350">
        <v>10</v>
      </c>
      <c r="AD1960" s="349" t="s">
        <v>2685</v>
      </c>
      <c r="AE1960" s="364">
        <v>0</v>
      </c>
      <c r="AF1960" s="366">
        <v>0</v>
      </c>
      <c r="AG1960" s="363">
        <v>0</v>
      </c>
      <c r="AH1960" s="635" t="s">
        <v>408</v>
      </c>
      <c r="AL1960" s="487" t="s">
        <v>16335</v>
      </c>
      <c r="AM1960" s="477" t="s">
        <v>70</v>
      </c>
      <c r="AN1960" s="637">
        <v>100</v>
      </c>
      <c r="AO1960" s="478">
        <v>-1570</v>
      </c>
      <c r="AP1960" s="463">
        <v>-1570</v>
      </c>
      <c r="AQ1960" s="479">
        <v>0</v>
      </c>
      <c r="AR1960" s="476" t="s">
        <v>18005</v>
      </c>
      <c r="BA1960" s="313" t="s">
        <v>6865</v>
      </c>
    </row>
    <row r="1961" spans="2:53" ht="16.5" customHeight="1">
      <c r="B1961" s="367" t="s">
        <v>13355</v>
      </c>
      <c r="C1961" s="351" t="s">
        <v>13356</v>
      </c>
      <c r="D1961" s="353">
        <v>-1570</v>
      </c>
      <c r="E1961" s="352" t="s">
        <v>408</v>
      </c>
      <c r="F1961" s="341">
        <v>64.819999999999993</v>
      </c>
      <c r="G1961" s="355" t="s">
        <v>13357</v>
      </c>
      <c r="H1961" s="356" t="s">
        <v>13043</v>
      </c>
      <c r="I1961" s="354" t="s">
        <v>423</v>
      </c>
      <c r="J1961" s="340" t="s">
        <v>13358</v>
      </c>
      <c r="K1961" s="339" t="s">
        <v>70</v>
      </c>
      <c r="L1961" s="357">
        <v>3</v>
      </c>
      <c r="M1961" s="358" t="s">
        <v>4105</v>
      </c>
      <c r="N1961" s="359">
        <v>1000</v>
      </c>
      <c r="O1961" s="360" t="s">
        <v>530</v>
      </c>
      <c r="P1961" s="343" t="s">
        <v>531</v>
      </c>
      <c r="Q1961" s="342" t="s">
        <v>2688</v>
      </c>
      <c r="R1961" s="344">
        <v>20</v>
      </c>
      <c r="S1961" s="345">
        <v>35</v>
      </c>
      <c r="T1961" s="362">
        <v>25</v>
      </c>
      <c r="U1961" s="361">
        <v>64.819999999999993</v>
      </c>
      <c r="V1961" s="346">
        <v>109.83392046344136</v>
      </c>
      <c r="W1961" s="348">
        <v>112.56706591514012</v>
      </c>
      <c r="X1961" s="347">
        <v>55.59</v>
      </c>
      <c r="Y1961" s="357">
        <v>54.83</v>
      </c>
      <c r="Z1961" s="365" t="s">
        <v>3017</v>
      </c>
      <c r="AA1961" s="350">
        <v>198</v>
      </c>
      <c r="AB1961" s="349" t="s">
        <v>2685</v>
      </c>
      <c r="AC1961" s="350">
        <v>10</v>
      </c>
      <c r="AD1961" s="349" t="s">
        <v>2685</v>
      </c>
      <c r="AE1961" s="364">
        <v>0</v>
      </c>
      <c r="AF1961" s="366">
        <v>12.763999999999999</v>
      </c>
      <c r="AG1961" s="363">
        <v>0</v>
      </c>
      <c r="AH1961" s="635" t="s">
        <v>11625</v>
      </c>
      <c r="AL1961" s="487" t="s">
        <v>16336</v>
      </c>
      <c r="AM1961" s="477" t="s">
        <v>70</v>
      </c>
      <c r="AN1961" s="637">
        <v>100</v>
      </c>
      <c r="AO1961" s="478">
        <v>-1570</v>
      </c>
      <c r="AP1961" s="463">
        <v>-1570</v>
      </c>
      <c r="AQ1961" s="479">
        <v>0</v>
      </c>
      <c r="AR1961" s="476" t="s">
        <v>18006</v>
      </c>
      <c r="BA1961" s="313" t="s">
        <v>6867</v>
      </c>
    </row>
    <row r="1962" spans="2:53" ht="16.5" customHeight="1">
      <c r="B1962" s="367" t="s">
        <v>13378</v>
      </c>
      <c r="C1962" s="351" t="s">
        <v>13379</v>
      </c>
      <c r="D1962" s="353">
        <v>-1570</v>
      </c>
      <c r="E1962" s="352" t="s">
        <v>408</v>
      </c>
      <c r="F1962" s="341">
        <v>64.81</v>
      </c>
      <c r="G1962" s="355" t="s">
        <v>13380</v>
      </c>
      <c r="H1962" s="356" t="s">
        <v>19204</v>
      </c>
      <c r="I1962" s="354" t="s">
        <v>406</v>
      </c>
      <c r="J1962" s="340" t="s">
        <v>444</v>
      </c>
      <c r="K1962" s="339" t="s">
        <v>71</v>
      </c>
      <c r="L1962" s="357">
        <v>5</v>
      </c>
      <c r="M1962" s="358" t="s">
        <v>13381</v>
      </c>
      <c r="N1962" s="359">
        <v>600</v>
      </c>
      <c r="O1962" s="360" t="s">
        <v>530</v>
      </c>
      <c r="P1962" s="343" t="s">
        <v>530</v>
      </c>
      <c r="Q1962" s="342" t="s">
        <v>2688</v>
      </c>
      <c r="R1962" s="344">
        <v>33</v>
      </c>
      <c r="S1962" s="345">
        <v>33</v>
      </c>
      <c r="T1962" s="362">
        <v>33</v>
      </c>
      <c r="U1962" s="361">
        <v>64.81</v>
      </c>
      <c r="V1962" s="346">
        <v>109.83207922455969</v>
      </c>
      <c r="W1962" s="348">
        <v>112.56581387270059</v>
      </c>
      <c r="X1962" s="347">
        <v>55.1</v>
      </c>
      <c r="Y1962" s="357" t="s">
        <v>408</v>
      </c>
      <c r="Z1962" s="365" t="s">
        <v>4408</v>
      </c>
      <c r="AA1962" s="350">
        <v>88</v>
      </c>
      <c r="AB1962" s="349" t="s">
        <v>2685</v>
      </c>
      <c r="AC1962" s="350">
        <v>10</v>
      </c>
      <c r="AD1962" s="349" t="s">
        <v>2685</v>
      </c>
      <c r="AE1962" s="364">
        <v>0</v>
      </c>
      <c r="AF1962" s="366">
        <v>0</v>
      </c>
      <c r="AG1962" s="363">
        <v>0</v>
      </c>
      <c r="AH1962" s="635" t="s">
        <v>11405</v>
      </c>
      <c r="AL1962" s="487" t="s">
        <v>16337</v>
      </c>
      <c r="AM1962" s="477" t="s">
        <v>71</v>
      </c>
      <c r="AN1962" s="637">
        <v>100</v>
      </c>
      <c r="AO1962" s="478">
        <v>-1570</v>
      </c>
      <c r="AP1962" s="463">
        <v>-647</v>
      </c>
      <c r="AQ1962" s="479">
        <v>-923</v>
      </c>
      <c r="AR1962" s="476" t="s">
        <v>18007</v>
      </c>
      <c r="BA1962" s="313" t="s">
        <v>6869</v>
      </c>
    </row>
    <row r="1963" spans="2:53" ht="16.5" customHeight="1">
      <c r="B1963" s="367" t="s">
        <v>13359</v>
      </c>
      <c r="C1963" s="351" t="s">
        <v>13360</v>
      </c>
      <c r="D1963" s="353">
        <v>-1570</v>
      </c>
      <c r="E1963" s="352" t="s">
        <v>408</v>
      </c>
      <c r="F1963" s="341">
        <v>64.8</v>
      </c>
      <c r="G1963" s="355" t="s">
        <v>13361</v>
      </c>
      <c r="H1963" s="356" t="s">
        <v>6581</v>
      </c>
      <c r="I1963" s="354" t="s">
        <v>211</v>
      </c>
      <c r="J1963" s="340" t="s">
        <v>7358</v>
      </c>
      <c r="K1963" s="339" t="s">
        <v>70</v>
      </c>
      <c r="L1963" s="357">
        <v>271</v>
      </c>
      <c r="M1963" s="358" t="s">
        <v>13362</v>
      </c>
      <c r="N1963" s="359">
        <v>500</v>
      </c>
      <c r="O1963" s="360" t="s">
        <v>530</v>
      </c>
      <c r="P1963" s="343" t="s">
        <v>531</v>
      </c>
      <c r="Q1963" s="342" t="s">
        <v>2688</v>
      </c>
      <c r="R1963" s="344">
        <v>30</v>
      </c>
      <c r="S1963" s="345">
        <v>40</v>
      </c>
      <c r="T1963" s="362">
        <v>30</v>
      </c>
      <c r="U1963" s="361">
        <v>64.8</v>
      </c>
      <c r="V1963" s="346">
        <v>109.82613899470485</v>
      </c>
      <c r="W1963" s="348">
        <v>112.5617745163993</v>
      </c>
      <c r="X1963" s="347">
        <v>55.59</v>
      </c>
      <c r="Y1963" s="357">
        <v>54.66</v>
      </c>
      <c r="Z1963" s="365" t="s">
        <v>4408</v>
      </c>
      <c r="AA1963" s="350">
        <v>24</v>
      </c>
      <c r="AB1963" s="349" t="s">
        <v>2685</v>
      </c>
      <c r="AC1963" s="350">
        <v>5</v>
      </c>
      <c r="AD1963" s="349" t="s">
        <v>2685</v>
      </c>
      <c r="AE1963" s="364">
        <v>0</v>
      </c>
      <c r="AF1963" s="366">
        <v>8.1989999999999998</v>
      </c>
      <c r="AG1963" s="363">
        <v>0</v>
      </c>
      <c r="AH1963" s="635" t="s">
        <v>4662</v>
      </c>
      <c r="AL1963" s="487" t="s">
        <v>16338</v>
      </c>
      <c r="AM1963" s="477" t="s">
        <v>70</v>
      </c>
      <c r="AN1963" s="637">
        <v>100</v>
      </c>
      <c r="AO1963" s="478">
        <v>-1570</v>
      </c>
      <c r="AP1963" s="463">
        <v>-1570</v>
      </c>
      <c r="AQ1963" s="479">
        <v>0</v>
      </c>
      <c r="AR1963" s="476" t="s">
        <v>18008</v>
      </c>
      <c r="BA1963" s="313" t="s">
        <v>6872</v>
      </c>
    </row>
    <row r="1964" spans="2:53" ht="16.5" customHeight="1">
      <c r="B1964" s="367" t="s">
        <v>13363</v>
      </c>
      <c r="C1964" s="351" t="s">
        <v>13364</v>
      </c>
      <c r="D1964" s="353">
        <v>-1570</v>
      </c>
      <c r="E1964" s="352" t="s">
        <v>408</v>
      </c>
      <c r="F1964" s="341">
        <v>64.8</v>
      </c>
      <c r="G1964" s="355" t="s">
        <v>13365</v>
      </c>
      <c r="H1964" s="356" t="s">
        <v>13147</v>
      </c>
      <c r="I1964" s="354" t="s">
        <v>197</v>
      </c>
      <c r="J1964" s="340" t="s">
        <v>13367</v>
      </c>
      <c r="K1964" s="339" t="s">
        <v>70</v>
      </c>
      <c r="L1964" s="357">
        <v>7</v>
      </c>
      <c r="M1964" s="358" t="s">
        <v>13368</v>
      </c>
      <c r="N1964" s="359">
        <v>500</v>
      </c>
      <c r="O1964" s="360" t="s">
        <v>454</v>
      </c>
      <c r="P1964" s="343" t="s">
        <v>454</v>
      </c>
      <c r="Q1964" s="342" t="s">
        <v>2688</v>
      </c>
      <c r="R1964" s="344">
        <v>20</v>
      </c>
      <c r="S1964" s="345">
        <v>30</v>
      </c>
      <c r="T1964" s="362">
        <v>30</v>
      </c>
      <c r="U1964" s="361">
        <v>64.8</v>
      </c>
      <c r="V1964" s="346">
        <v>109.8206945428774</v>
      </c>
      <c r="W1964" s="348">
        <v>112.55807228915663</v>
      </c>
      <c r="X1964" s="347">
        <v>55.59</v>
      </c>
      <c r="Y1964" s="357" t="s">
        <v>408</v>
      </c>
      <c r="Z1964" s="365" t="s">
        <v>4408</v>
      </c>
      <c r="AA1964" s="350">
        <v>94</v>
      </c>
      <c r="AB1964" s="349" t="s">
        <v>2685</v>
      </c>
      <c r="AC1964" s="350">
        <v>1.5</v>
      </c>
      <c r="AD1964" s="349" t="s">
        <v>2685</v>
      </c>
      <c r="AE1964" s="364">
        <v>0</v>
      </c>
      <c r="AF1964" s="366">
        <v>9.7200000000000006</v>
      </c>
      <c r="AG1964" s="363">
        <v>0</v>
      </c>
      <c r="AH1964" s="635" t="s">
        <v>6224</v>
      </c>
      <c r="AL1964" s="487" t="s">
        <v>16339</v>
      </c>
      <c r="AM1964" s="477" t="s">
        <v>70</v>
      </c>
      <c r="AN1964" s="637">
        <v>100</v>
      </c>
      <c r="AO1964" s="478">
        <v>-1570</v>
      </c>
      <c r="AP1964" s="463">
        <v>-1570</v>
      </c>
      <c r="AQ1964" s="479">
        <v>0</v>
      </c>
      <c r="AR1964" s="476" t="s">
        <v>18009</v>
      </c>
      <c r="BA1964" s="313" t="s">
        <v>6874</v>
      </c>
    </row>
    <row r="1965" spans="2:53" ht="16.5" customHeight="1">
      <c r="B1965" s="367" t="s">
        <v>13359</v>
      </c>
      <c r="C1965" s="351" t="s">
        <v>13360</v>
      </c>
      <c r="D1965" s="353">
        <v>-1570</v>
      </c>
      <c r="E1965" s="352" t="s">
        <v>6866</v>
      </c>
      <c r="F1965" s="341">
        <v>64.8</v>
      </c>
      <c r="G1965" s="355" t="s">
        <v>13361</v>
      </c>
      <c r="H1965" s="356" t="s">
        <v>6581</v>
      </c>
      <c r="I1965" s="354" t="s">
        <v>423</v>
      </c>
      <c r="J1965" s="340" t="s">
        <v>13369</v>
      </c>
      <c r="K1965" s="339" t="s">
        <v>70</v>
      </c>
      <c r="L1965" s="357">
        <v>3</v>
      </c>
      <c r="M1965" s="358" t="s">
        <v>13370</v>
      </c>
      <c r="N1965" s="359">
        <v>1000</v>
      </c>
      <c r="O1965" s="360" t="s">
        <v>530</v>
      </c>
      <c r="P1965" s="343" t="s">
        <v>531</v>
      </c>
      <c r="Q1965" s="342" t="s">
        <v>2688</v>
      </c>
      <c r="R1965" s="344">
        <v>20</v>
      </c>
      <c r="S1965" s="345">
        <v>35</v>
      </c>
      <c r="T1965" s="362">
        <v>25</v>
      </c>
      <c r="U1965" s="361">
        <v>64.8</v>
      </c>
      <c r="V1965" s="346">
        <v>109.82609206200092</v>
      </c>
      <c r="W1965" s="348">
        <v>112.56174260216063</v>
      </c>
      <c r="X1965" s="347">
        <v>55.59</v>
      </c>
      <c r="Y1965" s="357">
        <v>54.82</v>
      </c>
      <c r="Z1965" s="365" t="s">
        <v>3017</v>
      </c>
      <c r="AA1965" s="350">
        <v>198</v>
      </c>
      <c r="AB1965" s="349" t="s">
        <v>2685</v>
      </c>
      <c r="AC1965" s="350">
        <v>10</v>
      </c>
      <c r="AD1965" s="349" t="s">
        <v>2685</v>
      </c>
      <c r="AE1965" s="364">
        <v>0</v>
      </c>
      <c r="AF1965" s="366">
        <v>12.762</v>
      </c>
      <c r="AG1965" s="363">
        <v>0</v>
      </c>
      <c r="AH1965" s="635" t="s">
        <v>11625</v>
      </c>
      <c r="AL1965" s="487" t="s">
        <v>16340</v>
      </c>
      <c r="AM1965" s="477" t="s">
        <v>70</v>
      </c>
      <c r="AN1965" s="637">
        <v>100</v>
      </c>
      <c r="AO1965" s="478">
        <v>-1570</v>
      </c>
      <c r="AP1965" s="463">
        <v>-1570</v>
      </c>
      <c r="AQ1965" s="479">
        <v>0</v>
      </c>
      <c r="AR1965" s="476" t="s">
        <v>18008</v>
      </c>
      <c r="BA1965" s="313" t="s">
        <v>6876</v>
      </c>
    </row>
    <row r="1966" spans="2:53" ht="16.5" customHeight="1">
      <c r="B1966" s="367" t="s">
        <v>13363</v>
      </c>
      <c r="C1966" s="351" t="s">
        <v>13364</v>
      </c>
      <c r="D1966" s="353">
        <v>-1570</v>
      </c>
      <c r="E1966" s="352" t="s">
        <v>13376</v>
      </c>
      <c r="F1966" s="341">
        <v>64.790000000000006</v>
      </c>
      <c r="G1966" s="355" t="s">
        <v>13365</v>
      </c>
      <c r="H1966" s="356" t="s">
        <v>13147</v>
      </c>
      <c r="I1966" s="354" t="s">
        <v>8000</v>
      </c>
      <c r="J1966" s="340" t="s">
        <v>8418</v>
      </c>
      <c r="K1966" s="339" t="s">
        <v>70</v>
      </c>
      <c r="L1966" s="357">
        <v>9</v>
      </c>
      <c r="M1966" s="358" t="s">
        <v>13371</v>
      </c>
      <c r="N1966" s="359">
        <v>1000</v>
      </c>
      <c r="O1966" s="360" t="s">
        <v>532</v>
      </c>
      <c r="P1966" s="343" t="s">
        <v>532</v>
      </c>
      <c r="Q1966" s="342" t="s">
        <v>2688</v>
      </c>
      <c r="R1966" s="344">
        <v>25</v>
      </c>
      <c r="S1966" s="345">
        <v>30</v>
      </c>
      <c r="T1966" s="362">
        <v>25</v>
      </c>
      <c r="U1966" s="361">
        <v>64.790000000000006</v>
      </c>
      <c r="V1966" s="346">
        <v>109.81954776603926</v>
      </c>
      <c r="W1966" s="348">
        <v>112.5572924809067</v>
      </c>
      <c r="X1966" s="347" t="s">
        <v>19205</v>
      </c>
      <c r="Y1966" s="357" t="s">
        <v>408</v>
      </c>
      <c r="Z1966" s="365" t="s">
        <v>4408</v>
      </c>
      <c r="AA1966" s="350">
        <v>192</v>
      </c>
      <c r="AB1966" s="349" t="s">
        <v>2685</v>
      </c>
      <c r="AC1966" s="350">
        <v>0</v>
      </c>
      <c r="AD1966" s="349" t="s">
        <v>2685</v>
      </c>
      <c r="AE1966" s="364">
        <v>0</v>
      </c>
      <c r="AF1966" s="366">
        <v>0</v>
      </c>
      <c r="AG1966" s="363">
        <v>0</v>
      </c>
      <c r="AH1966" s="635" t="s">
        <v>408</v>
      </c>
      <c r="AL1966" s="487" t="s">
        <v>16341</v>
      </c>
      <c r="AM1966" s="477" t="s">
        <v>70</v>
      </c>
      <c r="AN1966" s="637">
        <v>100</v>
      </c>
      <c r="AO1966" s="478">
        <v>-1570</v>
      </c>
      <c r="AP1966" s="463">
        <v>-1570</v>
      </c>
      <c r="AQ1966" s="479">
        <v>0</v>
      </c>
      <c r="AR1966" s="476" t="s">
        <v>18009</v>
      </c>
      <c r="BA1966" s="313" t="s">
        <v>6877</v>
      </c>
    </row>
    <row r="1967" spans="2:53" ht="16.5" customHeight="1">
      <c r="B1967" s="367" t="s">
        <v>13374</v>
      </c>
      <c r="C1967" s="351" t="s">
        <v>13375</v>
      </c>
      <c r="D1967" s="353">
        <v>-1570</v>
      </c>
      <c r="E1967" s="352" t="s">
        <v>13380</v>
      </c>
      <c r="F1967" s="341">
        <v>64.72</v>
      </c>
      <c r="G1967" s="355" t="s">
        <v>13424</v>
      </c>
      <c r="H1967" s="356" t="s">
        <v>19206</v>
      </c>
      <c r="I1967" s="354" t="s">
        <v>213</v>
      </c>
      <c r="J1967" s="340" t="s">
        <v>8190</v>
      </c>
      <c r="K1967" s="339" t="s">
        <v>71</v>
      </c>
      <c r="L1967" s="357">
        <v>6</v>
      </c>
      <c r="M1967" s="358" t="s">
        <v>13377</v>
      </c>
      <c r="N1967" s="359">
        <v>1000</v>
      </c>
      <c r="O1967" s="360" t="s">
        <v>454</v>
      </c>
      <c r="P1967" s="343" t="s">
        <v>454</v>
      </c>
      <c r="Q1967" s="342" t="s">
        <v>2688</v>
      </c>
      <c r="R1967" s="344">
        <v>30</v>
      </c>
      <c r="S1967" s="345">
        <v>20</v>
      </c>
      <c r="T1967" s="362">
        <v>30</v>
      </c>
      <c r="U1967" s="361">
        <v>64.72</v>
      </c>
      <c r="V1967" s="346">
        <v>109.77573529411765</v>
      </c>
      <c r="W1967" s="348">
        <v>112.5275</v>
      </c>
      <c r="X1967" s="347">
        <v>55.07</v>
      </c>
      <c r="Y1967" s="357" t="s">
        <v>408</v>
      </c>
      <c r="Z1967" s="365" t="s">
        <v>4408</v>
      </c>
      <c r="AA1967" s="350">
        <v>180</v>
      </c>
      <c r="AB1967" s="349" t="s">
        <v>2685</v>
      </c>
      <c r="AC1967" s="350">
        <v>10</v>
      </c>
      <c r="AD1967" s="349" t="s">
        <v>2685</v>
      </c>
      <c r="AE1967" s="364">
        <v>0</v>
      </c>
      <c r="AF1967" s="366">
        <v>0</v>
      </c>
      <c r="AG1967" s="363">
        <v>0</v>
      </c>
      <c r="AH1967" s="635" t="s">
        <v>408</v>
      </c>
      <c r="AL1967" s="487" t="s">
        <v>16342</v>
      </c>
      <c r="AM1967" s="477" t="s">
        <v>71</v>
      </c>
      <c r="AN1967" s="637">
        <v>100</v>
      </c>
      <c r="AO1967" s="478">
        <v>-1570</v>
      </c>
      <c r="AP1967" s="463">
        <v>-646</v>
      </c>
      <c r="AQ1967" s="479">
        <v>-924</v>
      </c>
      <c r="AR1967" s="476" t="s">
        <v>18010</v>
      </c>
      <c r="BA1967" s="313" t="s">
        <v>6878</v>
      </c>
    </row>
    <row r="1968" spans="2:53" ht="16.5" customHeight="1">
      <c r="B1968" s="367" t="s">
        <v>13382</v>
      </c>
      <c r="C1968" s="351" t="s">
        <v>13383</v>
      </c>
      <c r="D1968" s="353">
        <v>-1570</v>
      </c>
      <c r="E1968" s="352" t="s">
        <v>408</v>
      </c>
      <c r="F1968" s="341">
        <v>64.650000000000006</v>
      </c>
      <c r="G1968" s="355" t="s">
        <v>13384</v>
      </c>
      <c r="H1968" s="356" t="s">
        <v>13258</v>
      </c>
      <c r="I1968" s="354" t="s">
        <v>216</v>
      </c>
      <c r="J1968" s="340" t="s">
        <v>555</v>
      </c>
      <c r="K1968" s="339" t="s">
        <v>70</v>
      </c>
      <c r="L1968" s="357">
        <v>14</v>
      </c>
      <c r="M1968" s="358" t="s">
        <v>13385</v>
      </c>
      <c r="N1968" s="359">
        <v>300</v>
      </c>
      <c r="O1968" s="360" t="s">
        <v>530</v>
      </c>
      <c r="P1968" s="343" t="s">
        <v>530</v>
      </c>
      <c r="Q1968" s="342" t="s">
        <v>2688</v>
      </c>
      <c r="R1968" s="344">
        <v>25</v>
      </c>
      <c r="S1968" s="345">
        <v>45</v>
      </c>
      <c r="T1968" s="362">
        <v>30</v>
      </c>
      <c r="U1968" s="361">
        <v>64.650000000000006</v>
      </c>
      <c r="V1968" s="346">
        <v>109.73792907710259</v>
      </c>
      <c r="W1968" s="348">
        <v>112.50179177242977</v>
      </c>
      <c r="X1968" s="347">
        <v>55.55</v>
      </c>
      <c r="Y1968" s="357" t="s">
        <v>408</v>
      </c>
      <c r="Z1968" s="365" t="s">
        <v>3017</v>
      </c>
      <c r="AA1968" s="350">
        <v>-2</v>
      </c>
      <c r="AB1968" s="349" t="s">
        <v>2685</v>
      </c>
      <c r="AC1968" s="350">
        <v>0</v>
      </c>
      <c r="AD1968" s="349" t="s">
        <v>2685</v>
      </c>
      <c r="AE1968" s="364">
        <v>0</v>
      </c>
      <c r="AF1968" s="366">
        <v>0</v>
      </c>
      <c r="AG1968" s="363">
        <v>0</v>
      </c>
      <c r="AH1968" s="635" t="s">
        <v>408</v>
      </c>
      <c r="AL1968" s="487" t="s">
        <v>16343</v>
      </c>
      <c r="AM1968" s="477" t="s">
        <v>70</v>
      </c>
      <c r="AN1968" s="637">
        <v>100</v>
      </c>
      <c r="AO1968" s="478">
        <v>-1570</v>
      </c>
      <c r="AP1968" s="463">
        <v>-1570</v>
      </c>
      <c r="AQ1968" s="479">
        <v>0</v>
      </c>
      <c r="AR1968" s="476" t="s">
        <v>18011</v>
      </c>
      <c r="BA1968" s="313" t="s">
        <v>6879</v>
      </c>
    </row>
    <row r="1969" spans="2:53" ht="16.5" customHeight="1">
      <c r="B1969" s="367" t="s">
        <v>6932</v>
      </c>
      <c r="C1969" s="351" t="s">
        <v>6933</v>
      </c>
      <c r="D1969" s="353">
        <v>-1570</v>
      </c>
      <c r="E1969" s="352" t="s">
        <v>408</v>
      </c>
      <c r="F1969" s="341">
        <v>64.62</v>
      </c>
      <c r="G1969" s="355" t="s">
        <v>13386</v>
      </c>
      <c r="H1969" s="356" t="s">
        <v>19145</v>
      </c>
      <c r="I1969" s="354" t="s">
        <v>197</v>
      </c>
      <c r="J1969" s="340" t="s">
        <v>13387</v>
      </c>
      <c r="K1969" s="339" t="s">
        <v>70</v>
      </c>
      <c r="L1969" s="357">
        <v>5</v>
      </c>
      <c r="M1969" s="358" t="s">
        <v>13388</v>
      </c>
      <c r="N1969" s="359">
        <v>500</v>
      </c>
      <c r="O1969" s="360" t="s">
        <v>454</v>
      </c>
      <c r="P1969" s="343" t="s">
        <v>454</v>
      </c>
      <c r="Q1969" s="342" t="s">
        <v>2688</v>
      </c>
      <c r="R1969" s="344">
        <v>20</v>
      </c>
      <c r="S1969" s="345">
        <v>30</v>
      </c>
      <c r="T1969" s="362">
        <v>30</v>
      </c>
      <c r="U1969" s="361">
        <v>64.62</v>
      </c>
      <c r="V1969" s="346">
        <v>109.71545827633379</v>
      </c>
      <c r="W1969" s="348">
        <v>112.48651162790698</v>
      </c>
      <c r="X1969" s="347">
        <v>55.53</v>
      </c>
      <c r="Y1969" s="357" t="s">
        <v>408</v>
      </c>
      <c r="Z1969" s="365" t="s">
        <v>4408</v>
      </c>
      <c r="AA1969" s="350">
        <v>94</v>
      </c>
      <c r="AB1969" s="349" t="s">
        <v>2685</v>
      </c>
      <c r="AC1969" s="350">
        <v>1.5</v>
      </c>
      <c r="AD1969" s="349" t="s">
        <v>2685</v>
      </c>
      <c r="AE1969" s="364">
        <v>0</v>
      </c>
      <c r="AF1969" s="366">
        <v>19.385999999999999</v>
      </c>
      <c r="AG1969" s="363">
        <v>0</v>
      </c>
      <c r="AH1969" s="635" t="s">
        <v>12164</v>
      </c>
      <c r="AL1969" s="487" t="s">
        <v>16344</v>
      </c>
      <c r="AM1969" s="477" t="s">
        <v>70</v>
      </c>
      <c r="AN1969" s="637">
        <v>100</v>
      </c>
      <c r="AO1969" s="478">
        <v>-1570</v>
      </c>
      <c r="AP1969" s="463">
        <v>-1570</v>
      </c>
      <c r="AQ1969" s="479">
        <v>0</v>
      </c>
      <c r="AR1969" s="476" t="s">
        <v>18012</v>
      </c>
      <c r="BA1969" s="313" t="s">
        <v>6881</v>
      </c>
    </row>
    <row r="1970" spans="2:53" ht="16.5" customHeight="1">
      <c r="B1970" s="367" t="s">
        <v>6932</v>
      </c>
      <c r="C1970" s="351" t="s">
        <v>6933</v>
      </c>
      <c r="D1970" s="353">
        <v>-1570</v>
      </c>
      <c r="E1970" s="352" t="s">
        <v>408</v>
      </c>
      <c r="F1970" s="341">
        <v>64.61</v>
      </c>
      <c r="G1970" s="355" t="s">
        <v>13386</v>
      </c>
      <c r="H1970" s="356" t="s">
        <v>19145</v>
      </c>
      <c r="I1970" s="354" t="s">
        <v>211</v>
      </c>
      <c r="J1970" s="340" t="s">
        <v>13389</v>
      </c>
      <c r="K1970" s="339" t="s">
        <v>70</v>
      </c>
      <c r="L1970" s="357">
        <v>10</v>
      </c>
      <c r="M1970" s="358" t="s">
        <v>13390</v>
      </c>
      <c r="N1970" s="359">
        <v>500</v>
      </c>
      <c r="O1970" s="360" t="s">
        <v>530</v>
      </c>
      <c r="P1970" s="343" t="s">
        <v>531</v>
      </c>
      <c r="Q1970" s="342" t="s">
        <v>2688</v>
      </c>
      <c r="R1970" s="344">
        <v>30</v>
      </c>
      <c r="S1970" s="345">
        <v>40</v>
      </c>
      <c r="T1970" s="362">
        <v>30</v>
      </c>
      <c r="U1970" s="361">
        <v>64.61</v>
      </c>
      <c r="V1970" s="346">
        <v>109.7147055060525</v>
      </c>
      <c r="W1970" s="348">
        <v>112.4859997441157</v>
      </c>
      <c r="X1970" s="347">
        <v>55.53</v>
      </c>
      <c r="Y1970" s="357">
        <v>54.6</v>
      </c>
      <c r="Z1970" s="365" t="s">
        <v>4408</v>
      </c>
      <c r="AA1970" s="350">
        <v>24</v>
      </c>
      <c r="AB1970" s="349" t="s">
        <v>2685</v>
      </c>
      <c r="AC1970" s="350">
        <v>5</v>
      </c>
      <c r="AD1970" s="349" t="s">
        <v>2685</v>
      </c>
      <c r="AE1970" s="364">
        <v>0</v>
      </c>
      <c r="AF1970" s="366">
        <v>8.19</v>
      </c>
      <c r="AG1970" s="363">
        <v>0</v>
      </c>
      <c r="AH1970" s="635" t="s">
        <v>4662</v>
      </c>
      <c r="AL1970" s="487" t="s">
        <v>16345</v>
      </c>
      <c r="AM1970" s="477" t="s">
        <v>70</v>
      </c>
      <c r="AN1970" s="637">
        <v>100</v>
      </c>
      <c r="AO1970" s="478">
        <v>-1570</v>
      </c>
      <c r="AP1970" s="463">
        <v>-1570</v>
      </c>
      <c r="AQ1970" s="479">
        <v>0</v>
      </c>
      <c r="AR1970" s="476" t="s">
        <v>18012</v>
      </c>
      <c r="BA1970" s="313" t="s">
        <v>6883</v>
      </c>
    </row>
    <row r="1971" spans="2:53" ht="16.5" customHeight="1">
      <c r="B1971" s="367" t="s">
        <v>13391</v>
      </c>
      <c r="C1971" s="351" t="s">
        <v>13392</v>
      </c>
      <c r="D1971" s="353">
        <v>-1570</v>
      </c>
      <c r="E1971" s="352" t="s">
        <v>408</v>
      </c>
      <c r="F1971" s="341">
        <v>64.5</v>
      </c>
      <c r="G1971" s="355" t="s">
        <v>13393</v>
      </c>
      <c r="H1971" s="356" t="s">
        <v>13192</v>
      </c>
      <c r="I1971" s="354" t="s">
        <v>497</v>
      </c>
      <c r="J1971" s="340" t="s">
        <v>502</v>
      </c>
      <c r="K1971" s="339" t="s">
        <v>71</v>
      </c>
      <c r="L1971" s="357">
        <v>8</v>
      </c>
      <c r="M1971" s="358" t="s">
        <v>13394</v>
      </c>
      <c r="N1971" s="359">
        <v>200</v>
      </c>
      <c r="O1971" s="360" t="s">
        <v>454</v>
      </c>
      <c r="P1971" s="343" t="s">
        <v>454</v>
      </c>
      <c r="Q1971" s="342" t="s">
        <v>2738</v>
      </c>
      <c r="R1971" s="344">
        <v>50</v>
      </c>
      <c r="S1971" s="345">
        <v>0</v>
      </c>
      <c r="T1971" s="362">
        <v>0</v>
      </c>
      <c r="U1971" s="361">
        <v>64.5</v>
      </c>
      <c r="V1971" s="346">
        <v>109.64705882352941</v>
      </c>
      <c r="W1971" s="348">
        <v>112.44</v>
      </c>
      <c r="X1971" s="347">
        <v>55.5</v>
      </c>
      <c r="Y1971" s="357" t="s">
        <v>408</v>
      </c>
      <c r="Z1971" s="365" t="s">
        <v>4408</v>
      </c>
      <c r="AA1971" s="350">
        <v>94</v>
      </c>
      <c r="AB1971" s="349" t="s">
        <v>2685</v>
      </c>
      <c r="AC1971" s="350">
        <v>1.5</v>
      </c>
      <c r="AD1971" s="349" t="s">
        <v>2685</v>
      </c>
      <c r="AE1971" s="364">
        <v>0</v>
      </c>
      <c r="AF1971" s="366">
        <v>0</v>
      </c>
      <c r="AG1971" s="363">
        <v>0</v>
      </c>
      <c r="AH1971" s="635" t="s">
        <v>10127</v>
      </c>
      <c r="AL1971" s="487" t="s">
        <v>16346</v>
      </c>
      <c r="AM1971" s="477" t="s">
        <v>71</v>
      </c>
      <c r="AN1971" s="637">
        <v>100</v>
      </c>
      <c r="AO1971" s="478">
        <v>-1570</v>
      </c>
      <c r="AP1971" s="463">
        <v>-648</v>
      </c>
      <c r="AQ1971" s="479">
        <v>-922</v>
      </c>
      <c r="AR1971" s="476" t="s">
        <v>18013</v>
      </c>
      <c r="BA1971" s="313" t="s">
        <v>6885</v>
      </c>
    </row>
    <row r="1972" spans="2:53" ht="16.5" customHeight="1">
      <c r="B1972" s="367" t="s">
        <v>13391</v>
      </c>
      <c r="C1972" s="351" t="s">
        <v>13392</v>
      </c>
      <c r="D1972" s="353">
        <v>-1570</v>
      </c>
      <c r="E1972" s="352" t="s">
        <v>408</v>
      </c>
      <c r="F1972" s="341">
        <v>64.5</v>
      </c>
      <c r="G1972" s="355" t="s">
        <v>13393</v>
      </c>
      <c r="H1972" s="356" t="s">
        <v>13192</v>
      </c>
      <c r="I1972" s="354" t="s">
        <v>497</v>
      </c>
      <c r="J1972" s="340" t="s">
        <v>8757</v>
      </c>
      <c r="K1972" s="339" t="s">
        <v>71</v>
      </c>
      <c r="L1972" s="357">
        <v>6</v>
      </c>
      <c r="M1972" s="358" t="s">
        <v>13394</v>
      </c>
      <c r="N1972" s="359">
        <v>200</v>
      </c>
      <c r="O1972" s="360" t="s">
        <v>454</v>
      </c>
      <c r="P1972" s="343" t="s">
        <v>454</v>
      </c>
      <c r="Q1972" s="342" t="s">
        <v>2738</v>
      </c>
      <c r="R1972" s="344">
        <v>50</v>
      </c>
      <c r="S1972" s="345">
        <v>0</v>
      </c>
      <c r="T1972" s="362">
        <v>0</v>
      </c>
      <c r="U1972" s="361">
        <v>64.5</v>
      </c>
      <c r="V1972" s="346">
        <v>109.64705882352941</v>
      </c>
      <c r="W1972" s="348">
        <v>112.44</v>
      </c>
      <c r="X1972" s="347">
        <v>55.5</v>
      </c>
      <c r="Y1972" s="357" t="s">
        <v>408</v>
      </c>
      <c r="Z1972" s="365" t="s">
        <v>4408</v>
      </c>
      <c r="AA1972" s="350">
        <v>94</v>
      </c>
      <c r="AB1972" s="349" t="s">
        <v>2685</v>
      </c>
      <c r="AC1972" s="350">
        <v>1.5</v>
      </c>
      <c r="AD1972" s="349" t="s">
        <v>2685</v>
      </c>
      <c r="AE1972" s="364">
        <v>0</v>
      </c>
      <c r="AF1972" s="366">
        <v>0</v>
      </c>
      <c r="AG1972" s="363">
        <v>0</v>
      </c>
      <c r="AH1972" s="635" t="s">
        <v>10127</v>
      </c>
      <c r="AL1972" s="487" t="s">
        <v>16347</v>
      </c>
      <c r="AM1972" s="477" t="s">
        <v>71</v>
      </c>
      <c r="AN1972" s="637">
        <v>100</v>
      </c>
      <c r="AO1972" s="478">
        <v>-1570</v>
      </c>
      <c r="AP1972" s="463">
        <v>-648</v>
      </c>
      <c r="AQ1972" s="479">
        <v>-922</v>
      </c>
      <c r="AR1972" s="476" t="s">
        <v>18013</v>
      </c>
      <c r="BA1972" s="313" t="s">
        <v>6886</v>
      </c>
    </row>
    <row r="1973" spans="2:53" ht="16.5" customHeight="1">
      <c r="B1973" s="367" t="s">
        <v>13391</v>
      </c>
      <c r="C1973" s="351" t="s">
        <v>13392</v>
      </c>
      <c r="D1973" s="353">
        <v>-1570</v>
      </c>
      <c r="E1973" s="352" t="s">
        <v>408</v>
      </c>
      <c r="F1973" s="341">
        <v>64.5</v>
      </c>
      <c r="G1973" s="355" t="s">
        <v>13393</v>
      </c>
      <c r="H1973" s="356" t="s">
        <v>13192</v>
      </c>
      <c r="I1973" s="354" t="s">
        <v>497</v>
      </c>
      <c r="J1973" s="340" t="s">
        <v>500</v>
      </c>
      <c r="K1973" s="339" t="s">
        <v>71</v>
      </c>
      <c r="L1973" s="357">
        <v>6</v>
      </c>
      <c r="M1973" s="358" t="s">
        <v>13394</v>
      </c>
      <c r="N1973" s="359">
        <v>200</v>
      </c>
      <c r="O1973" s="360" t="s">
        <v>454</v>
      </c>
      <c r="P1973" s="343" t="s">
        <v>454</v>
      </c>
      <c r="Q1973" s="342" t="s">
        <v>2738</v>
      </c>
      <c r="R1973" s="344">
        <v>50</v>
      </c>
      <c r="S1973" s="345">
        <v>0</v>
      </c>
      <c r="T1973" s="362">
        <v>0</v>
      </c>
      <c r="U1973" s="361">
        <v>64.5</v>
      </c>
      <c r="V1973" s="346">
        <v>109.64705882352941</v>
      </c>
      <c r="W1973" s="348">
        <v>112.44</v>
      </c>
      <c r="X1973" s="347">
        <v>55.5</v>
      </c>
      <c r="Y1973" s="357" t="s">
        <v>408</v>
      </c>
      <c r="Z1973" s="365" t="s">
        <v>4408</v>
      </c>
      <c r="AA1973" s="350">
        <v>94</v>
      </c>
      <c r="AB1973" s="349" t="s">
        <v>2685</v>
      </c>
      <c r="AC1973" s="350">
        <v>1.5</v>
      </c>
      <c r="AD1973" s="349" t="s">
        <v>2685</v>
      </c>
      <c r="AE1973" s="364">
        <v>0</v>
      </c>
      <c r="AF1973" s="366">
        <v>0</v>
      </c>
      <c r="AG1973" s="363">
        <v>0</v>
      </c>
      <c r="AH1973" s="635" t="s">
        <v>10127</v>
      </c>
      <c r="AL1973" s="487" t="s">
        <v>16348</v>
      </c>
      <c r="AM1973" s="477" t="s">
        <v>71</v>
      </c>
      <c r="AN1973" s="637">
        <v>100</v>
      </c>
      <c r="AO1973" s="478">
        <v>-1570</v>
      </c>
      <c r="AP1973" s="463">
        <v>-648</v>
      </c>
      <c r="AQ1973" s="479">
        <v>-922</v>
      </c>
      <c r="AR1973" s="476" t="s">
        <v>18013</v>
      </c>
      <c r="BA1973" s="313" t="s">
        <v>6887</v>
      </c>
    </row>
    <row r="1974" spans="2:53" ht="16.5" customHeight="1">
      <c r="B1974" s="367" t="s">
        <v>13391</v>
      </c>
      <c r="C1974" s="351" t="s">
        <v>13392</v>
      </c>
      <c r="D1974" s="353">
        <v>-1570</v>
      </c>
      <c r="E1974" s="352" t="s">
        <v>408</v>
      </c>
      <c r="F1974" s="341">
        <v>64.5</v>
      </c>
      <c r="G1974" s="355" t="s">
        <v>13393</v>
      </c>
      <c r="H1974" s="356" t="s">
        <v>13192</v>
      </c>
      <c r="I1974" s="354" t="s">
        <v>497</v>
      </c>
      <c r="J1974" s="340" t="s">
        <v>11776</v>
      </c>
      <c r="K1974" s="339" t="s">
        <v>71</v>
      </c>
      <c r="L1974" s="357">
        <v>4</v>
      </c>
      <c r="M1974" s="358" t="s">
        <v>13394</v>
      </c>
      <c r="N1974" s="359">
        <v>200</v>
      </c>
      <c r="O1974" s="360" t="s">
        <v>454</v>
      </c>
      <c r="P1974" s="343" t="s">
        <v>454</v>
      </c>
      <c r="Q1974" s="342" t="s">
        <v>2738</v>
      </c>
      <c r="R1974" s="344">
        <v>50</v>
      </c>
      <c r="S1974" s="345">
        <v>0</v>
      </c>
      <c r="T1974" s="362">
        <v>0</v>
      </c>
      <c r="U1974" s="361">
        <v>64.5</v>
      </c>
      <c r="V1974" s="346">
        <v>109.64705882352941</v>
      </c>
      <c r="W1974" s="348">
        <v>112.44</v>
      </c>
      <c r="X1974" s="347">
        <v>55.5</v>
      </c>
      <c r="Y1974" s="357" t="s">
        <v>408</v>
      </c>
      <c r="Z1974" s="365" t="s">
        <v>4408</v>
      </c>
      <c r="AA1974" s="350">
        <v>94</v>
      </c>
      <c r="AB1974" s="349" t="s">
        <v>2685</v>
      </c>
      <c r="AC1974" s="350">
        <v>1.5</v>
      </c>
      <c r="AD1974" s="349" t="s">
        <v>2685</v>
      </c>
      <c r="AE1974" s="364">
        <v>0</v>
      </c>
      <c r="AF1974" s="366">
        <v>0</v>
      </c>
      <c r="AG1974" s="363">
        <v>0</v>
      </c>
      <c r="AH1974" s="635" t="s">
        <v>10127</v>
      </c>
      <c r="AL1974" s="487" t="s">
        <v>16349</v>
      </c>
      <c r="AM1974" s="477" t="s">
        <v>71</v>
      </c>
      <c r="AN1974" s="637">
        <v>100</v>
      </c>
      <c r="AO1974" s="478">
        <v>-1570</v>
      </c>
      <c r="AP1974" s="463">
        <v>-648</v>
      </c>
      <c r="AQ1974" s="479">
        <v>-922</v>
      </c>
      <c r="AR1974" s="476" t="s">
        <v>18013</v>
      </c>
      <c r="BA1974" s="313" t="s">
        <v>6888</v>
      </c>
    </row>
    <row r="1975" spans="2:53" ht="16.5" customHeight="1">
      <c r="B1975" s="367" t="s">
        <v>13395</v>
      </c>
      <c r="C1975" s="351" t="s">
        <v>13396</v>
      </c>
      <c r="D1975" s="353">
        <v>-1570</v>
      </c>
      <c r="E1975" s="352" t="s">
        <v>408</v>
      </c>
      <c r="F1975" s="341">
        <v>64.44</v>
      </c>
      <c r="G1975" s="355" t="s">
        <v>13397</v>
      </c>
      <c r="H1975" s="356" t="s">
        <v>19155</v>
      </c>
      <c r="I1975" s="354" t="s">
        <v>8000</v>
      </c>
      <c r="J1975" s="340" t="s">
        <v>541</v>
      </c>
      <c r="K1975" s="339" t="s">
        <v>70</v>
      </c>
      <c r="L1975" s="357">
        <v>4</v>
      </c>
      <c r="M1975" s="358" t="s">
        <v>13399</v>
      </c>
      <c r="N1975" s="359">
        <v>1000</v>
      </c>
      <c r="O1975" s="360" t="s">
        <v>532</v>
      </c>
      <c r="P1975" s="343" t="s">
        <v>532</v>
      </c>
      <c r="Q1975" s="342" t="s">
        <v>2688</v>
      </c>
      <c r="R1975" s="344">
        <v>25</v>
      </c>
      <c r="S1975" s="345">
        <v>30</v>
      </c>
      <c r="T1975" s="362">
        <v>25</v>
      </c>
      <c r="U1975" s="361">
        <v>64.44</v>
      </c>
      <c r="V1975" s="346">
        <v>109.61357403554717</v>
      </c>
      <c r="W1975" s="348">
        <v>112.41723034417208</v>
      </c>
      <c r="X1975" s="347" t="s">
        <v>19207</v>
      </c>
      <c r="Y1975" s="357" t="s">
        <v>408</v>
      </c>
      <c r="Z1975" s="365" t="s">
        <v>4408</v>
      </c>
      <c r="AA1975" s="350">
        <v>192</v>
      </c>
      <c r="AB1975" s="349" t="s">
        <v>2685</v>
      </c>
      <c r="AC1975" s="350">
        <v>0</v>
      </c>
      <c r="AD1975" s="349" t="s">
        <v>2685</v>
      </c>
      <c r="AE1975" s="364">
        <v>0</v>
      </c>
      <c r="AF1975" s="366">
        <v>0</v>
      </c>
      <c r="AG1975" s="363">
        <v>0</v>
      </c>
      <c r="AH1975" s="635" t="s">
        <v>408</v>
      </c>
      <c r="AL1975" s="487" t="s">
        <v>16350</v>
      </c>
      <c r="AM1975" s="477" t="s">
        <v>70</v>
      </c>
      <c r="AN1975" s="637">
        <v>100</v>
      </c>
      <c r="AO1975" s="478">
        <v>-1570</v>
      </c>
      <c r="AP1975" s="463">
        <v>-1570</v>
      </c>
      <c r="AQ1975" s="479">
        <v>0</v>
      </c>
      <c r="AR1975" s="476" t="s">
        <v>18014</v>
      </c>
      <c r="BA1975" s="313" t="s">
        <v>6889</v>
      </c>
    </row>
    <row r="1976" spans="2:53" ht="16.5" customHeight="1">
      <c r="B1976" s="367" t="s">
        <v>13400</v>
      </c>
      <c r="C1976" s="351" t="s">
        <v>13401</v>
      </c>
      <c r="D1976" s="353">
        <v>-1570</v>
      </c>
      <c r="E1976" s="352" t="s">
        <v>13402</v>
      </c>
      <c r="F1976" s="341">
        <v>64.38</v>
      </c>
      <c r="G1976" s="355" t="s">
        <v>13419</v>
      </c>
      <c r="H1976" s="356" t="s">
        <v>13275</v>
      </c>
      <c r="I1976" s="354" t="s">
        <v>213</v>
      </c>
      <c r="J1976" s="340" t="s">
        <v>10555</v>
      </c>
      <c r="K1976" s="339" t="s">
        <v>71</v>
      </c>
      <c r="L1976" s="357">
        <v>11</v>
      </c>
      <c r="M1976" s="358" t="s">
        <v>13403</v>
      </c>
      <c r="N1976" s="359">
        <v>1000</v>
      </c>
      <c r="O1976" s="360" t="s">
        <v>454</v>
      </c>
      <c r="P1976" s="343" t="s">
        <v>454</v>
      </c>
      <c r="Q1976" s="342" t="s">
        <v>2688</v>
      </c>
      <c r="R1976" s="344">
        <v>30</v>
      </c>
      <c r="S1976" s="345">
        <v>20</v>
      </c>
      <c r="T1976" s="362">
        <v>30</v>
      </c>
      <c r="U1976" s="361">
        <v>64.38</v>
      </c>
      <c r="V1976" s="346">
        <v>109.57352941176471</v>
      </c>
      <c r="W1976" s="348">
        <v>112.39</v>
      </c>
      <c r="X1976" s="347">
        <v>54.96</v>
      </c>
      <c r="Y1976" s="357" t="s">
        <v>408</v>
      </c>
      <c r="Z1976" s="365" t="s">
        <v>4408</v>
      </c>
      <c r="AA1976" s="350">
        <v>180</v>
      </c>
      <c r="AB1976" s="349" t="s">
        <v>2685</v>
      </c>
      <c r="AC1976" s="350">
        <v>10</v>
      </c>
      <c r="AD1976" s="349" t="s">
        <v>2685</v>
      </c>
      <c r="AE1976" s="364">
        <v>0</v>
      </c>
      <c r="AF1976" s="366">
        <v>0</v>
      </c>
      <c r="AG1976" s="363">
        <v>0</v>
      </c>
      <c r="AH1976" s="635" t="s">
        <v>408</v>
      </c>
      <c r="AL1976" s="487" t="s">
        <v>16351</v>
      </c>
      <c r="AM1976" s="477" t="s">
        <v>71</v>
      </c>
      <c r="AN1976" s="637">
        <v>100</v>
      </c>
      <c r="AO1976" s="478">
        <v>-1570</v>
      </c>
      <c r="AP1976" s="463">
        <v>-644</v>
      </c>
      <c r="AQ1976" s="479">
        <v>-926</v>
      </c>
      <c r="AR1976" s="476" t="s">
        <v>18015</v>
      </c>
      <c r="BA1976" s="313" t="s">
        <v>6891</v>
      </c>
    </row>
    <row r="1977" spans="2:53" ht="16.5" customHeight="1">
      <c r="B1977" s="367" t="s">
        <v>13404</v>
      </c>
      <c r="C1977" s="351" t="s">
        <v>13405</v>
      </c>
      <c r="D1977" s="353">
        <v>-1570</v>
      </c>
      <c r="E1977" s="352" t="s">
        <v>408</v>
      </c>
      <c r="F1977" s="341">
        <v>64.349999999999994</v>
      </c>
      <c r="G1977" s="355" t="s">
        <v>13406</v>
      </c>
      <c r="H1977" s="356" t="s">
        <v>19208</v>
      </c>
      <c r="I1977" s="354" t="s">
        <v>8000</v>
      </c>
      <c r="J1977" s="340" t="s">
        <v>9339</v>
      </c>
      <c r="K1977" s="339" t="s">
        <v>70</v>
      </c>
      <c r="L1977" s="357">
        <v>8</v>
      </c>
      <c r="M1977" s="358" t="s">
        <v>13407</v>
      </c>
      <c r="N1977" s="359">
        <v>1000</v>
      </c>
      <c r="O1977" s="360" t="s">
        <v>532</v>
      </c>
      <c r="P1977" s="343" t="s">
        <v>532</v>
      </c>
      <c r="Q1977" s="342" t="s">
        <v>2688</v>
      </c>
      <c r="R1977" s="344">
        <v>25</v>
      </c>
      <c r="S1977" s="345">
        <v>30</v>
      </c>
      <c r="T1977" s="362">
        <v>25</v>
      </c>
      <c r="U1977" s="361">
        <v>64.349999999999994</v>
      </c>
      <c r="V1977" s="346">
        <v>109.55681346534999</v>
      </c>
      <c r="W1977" s="348">
        <v>112.378633156438</v>
      </c>
      <c r="X1977" s="347" t="s">
        <v>19209</v>
      </c>
      <c r="Y1977" s="357" t="s">
        <v>408</v>
      </c>
      <c r="Z1977" s="365" t="s">
        <v>4408</v>
      </c>
      <c r="AA1977" s="350">
        <v>192</v>
      </c>
      <c r="AB1977" s="349" t="s">
        <v>2685</v>
      </c>
      <c r="AC1977" s="350">
        <v>0</v>
      </c>
      <c r="AD1977" s="349" t="s">
        <v>2685</v>
      </c>
      <c r="AE1977" s="364">
        <v>0</v>
      </c>
      <c r="AF1977" s="366">
        <v>0</v>
      </c>
      <c r="AG1977" s="363">
        <v>0</v>
      </c>
      <c r="AH1977" s="635" t="s">
        <v>408</v>
      </c>
      <c r="AL1977" s="487" t="s">
        <v>16352</v>
      </c>
      <c r="AM1977" s="477" t="s">
        <v>70</v>
      </c>
      <c r="AN1977" s="637">
        <v>100</v>
      </c>
      <c r="AO1977" s="478">
        <v>-1570</v>
      </c>
      <c r="AP1977" s="463">
        <v>-1570</v>
      </c>
      <c r="AQ1977" s="479">
        <v>0</v>
      </c>
      <c r="AR1977" s="476" t="s">
        <v>18016</v>
      </c>
      <c r="BA1977" s="313" t="s">
        <v>6893</v>
      </c>
    </row>
    <row r="1978" spans="2:53" ht="16.5" customHeight="1">
      <c r="B1978" s="367" t="s">
        <v>13408</v>
      </c>
      <c r="C1978" s="351" t="s">
        <v>13409</v>
      </c>
      <c r="D1978" s="353">
        <v>-1570</v>
      </c>
      <c r="E1978" s="352" t="s">
        <v>408</v>
      </c>
      <c r="F1978" s="341">
        <v>64.31</v>
      </c>
      <c r="G1978" s="355" t="s">
        <v>13410</v>
      </c>
      <c r="H1978" s="356" t="s">
        <v>13156</v>
      </c>
      <c r="I1978" s="354" t="s">
        <v>214</v>
      </c>
      <c r="J1978" s="340" t="s">
        <v>13107</v>
      </c>
      <c r="K1978" s="339" t="s">
        <v>70</v>
      </c>
      <c r="L1978" s="357">
        <v>8</v>
      </c>
      <c r="M1978" s="358" t="s">
        <v>13411</v>
      </c>
      <c r="N1978" s="359">
        <v>200</v>
      </c>
      <c r="O1978" s="360" t="s">
        <v>532</v>
      </c>
      <c r="P1978" s="343" t="s">
        <v>532</v>
      </c>
      <c r="Q1978" s="342" t="s">
        <v>2688</v>
      </c>
      <c r="R1978" s="344">
        <v>20</v>
      </c>
      <c r="S1978" s="345">
        <v>30</v>
      </c>
      <c r="T1978" s="362">
        <v>30</v>
      </c>
      <c r="U1978" s="361">
        <v>64.31</v>
      </c>
      <c r="V1978" s="346">
        <v>109.53770519497908</v>
      </c>
      <c r="W1978" s="348">
        <v>112.36563953258577</v>
      </c>
      <c r="X1978" s="347" t="s">
        <v>19209</v>
      </c>
      <c r="Y1978" s="357" t="s">
        <v>408</v>
      </c>
      <c r="Z1978" s="365" t="s">
        <v>4408</v>
      </c>
      <c r="AA1978" s="350">
        <v>36</v>
      </c>
      <c r="AB1978" s="349" t="s">
        <v>2685</v>
      </c>
      <c r="AC1978" s="350">
        <v>0</v>
      </c>
      <c r="AD1978" s="349" t="s">
        <v>2685</v>
      </c>
      <c r="AE1978" s="364">
        <v>0</v>
      </c>
      <c r="AF1978" s="366">
        <v>0</v>
      </c>
      <c r="AG1978" s="363">
        <v>0</v>
      </c>
      <c r="AH1978" s="635" t="s">
        <v>408</v>
      </c>
      <c r="AL1978" s="487" t="s">
        <v>16353</v>
      </c>
      <c r="AM1978" s="477" t="s">
        <v>70</v>
      </c>
      <c r="AN1978" s="637">
        <v>100</v>
      </c>
      <c r="AO1978" s="478">
        <v>-1570</v>
      </c>
      <c r="AP1978" s="463">
        <v>-1570</v>
      </c>
      <c r="AQ1978" s="479">
        <v>0</v>
      </c>
      <c r="AR1978" s="476" t="s">
        <v>18017</v>
      </c>
      <c r="BA1978" s="313" t="s">
        <v>6895</v>
      </c>
    </row>
    <row r="1979" spans="2:53" ht="16.5" customHeight="1">
      <c r="B1979" s="367" t="s">
        <v>13412</v>
      </c>
      <c r="C1979" s="351" t="s">
        <v>13413</v>
      </c>
      <c r="D1979" s="353">
        <v>-1570</v>
      </c>
      <c r="E1979" s="352" t="s">
        <v>13334</v>
      </c>
      <c r="F1979" s="341">
        <v>64.28</v>
      </c>
      <c r="G1979" s="355" t="s">
        <v>19210</v>
      </c>
      <c r="H1979" s="356" t="s">
        <v>19155</v>
      </c>
      <c r="I1979" s="354" t="s">
        <v>494</v>
      </c>
      <c r="J1979" s="340" t="s">
        <v>13414</v>
      </c>
      <c r="K1979" s="339" t="s">
        <v>71</v>
      </c>
      <c r="L1979" s="357">
        <v>30</v>
      </c>
      <c r="M1979" s="358" t="s">
        <v>13415</v>
      </c>
      <c r="N1979" s="359">
        <v>1000</v>
      </c>
      <c r="O1979" s="360" t="s">
        <v>532</v>
      </c>
      <c r="P1979" s="343" t="s">
        <v>533</v>
      </c>
      <c r="Q1979" s="342" t="s">
        <v>2688</v>
      </c>
      <c r="R1979" s="344">
        <v>30</v>
      </c>
      <c r="S1979" s="345">
        <v>30</v>
      </c>
      <c r="T1979" s="362">
        <v>20</v>
      </c>
      <c r="U1979" s="361">
        <v>64.28</v>
      </c>
      <c r="V1979" s="346">
        <v>109.51935850160072</v>
      </c>
      <c r="W1979" s="348">
        <v>112.35316378108848</v>
      </c>
      <c r="X1979" s="347">
        <v>54.93</v>
      </c>
      <c r="Y1979" s="357">
        <v>54.629999999999995</v>
      </c>
      <c r="Z1979" s="365" t="s">
        <v>3017</v>
      </c>
      <c r="AA1979" s="350">
        <v>190</v>
      </c>
      <c r="AB1979" s="349" t="s">
        <v>2685</v>
      </c>
      <c r="AC1979" s="350">
        <v>0</v>
      </c>
      <c r="AD1979" s="349" t="s">
        <v>2685</v>
      </c>
      <c r="AE1979" s="364">
        <v>0</v>
      </c>
      <c r="AF1979" s="366">
        <v>0</v>
      </c>
      <c r="AG1979" s="363">
        <v>0</v>
      </c>
      <c r="AH1979" s="635" t="s">
        <v>408</v>
      </c>
      <c r="AL1979" s="487" t="s">
        <v>16354</v>
      </c>
      <c r="AM1979" s="477" t="s">
        <v>71</v>
      </c>
      <c r="AN1979" s="637">
        <v>100</v>
      </c>
      <c r="AO1979" s="478">
        <v>-1570</v>
      </c>
      <c r="AP1979" s="463">
        <v>-644</v>
      </c>
      <c r="AQ1979" s="479">
        <v>-926</v>
      </c>
      <c r="AR1979" s="476" t="s">
        <v>18018</v>
      </c>
      <c r="BA1979" s="313" t="s">
        <v>6898</v>
      </c>
    </row>
    <row r="1980" spans="2:53" ht="16.5" customHeight="1">
      <c r="B1980" s="367" t="s">
        <v>13416</v>
      </c>
      <c r="C1980" s="351" t="s">
        <v>13417</v>
      </c>
      <c r="D1980" s="353">
        <v>-1570</v>
      </c>
      <c r="E1980" s="352" t="s">
        <v>13418</v>
      </c>
      <c r="F1980" s="341">
        <v>64.260000000000005</v>
      </c>
      <c r="G1980" s="355" t="s">
        <v>6890</v>
      </c>
      <c r="H1980" s="356" t="s">
        <v>6740</v>
      </c>
      <c r="I1980" s="354" t="s">
        <v>423</v>
      </c>
      <c r="J1980" s="340" t="s">
        <v>13420</v>
      </c>
      <c r="K1980" s="339" t="s">
        <v>71</v>
      </c>
      <c r="L1980" s="357">
        <v>2</v>
      </c>
      <c r="M1980" s="358" t="s">
        <v>13421</v>
      </c>
      <c r="N1980" s="359">
        <v>1000</v>
      </c>
      <c r="O1980" s="360" t="s">
        <v>530</v>
      </c>
      <c r="P1980" s="343" t="s">
        <v>531</v>
      </c>
      <c r="Q1980" s="342" t="s">
        <v>2688</v>
      </c>
      <c r="R1980" s="344">
        <v>30</v>
      </c>
      <c r="S1980" s="345">
        <v>25</v>
      </c>
      <c r="T1980" s="362">
        <v>25</v>
      </c>
      <c r="U1980" s="361">
        <v>64.260000000000005</v>
      </c>
      <c r="V1980" s="346">
        <v>109.50386597938144</v>
      </c>
      <c r="W1980" s="348">
        <v>112.34262886597938</v>
      </c>
      <c r="X1980" s="347">
        <v>54.92</v>
      </c>
      <c r="Y1980" s="357">
        <v>54.629999999999995</v>
      </c>
      <c r="Z1980" s="365" t="s">
        <v>3017</v>
      </c>
      <c r="AA1980" s="350">
        <v>198</v>
      </c>
      <c r="AB1980" s="349" t="s">
        <v>2685</v>
      </c>
      <c r="AC1980" s="350">
        <v>10</v>
      </c>
      <c r="AD1980" s="349" t="s">
        <v>2685</v>
      </c>
      <c r="AE1980" s="364">
        <v>0</v>
      </c>
      <c r="AF1980" s="366">
        <v>0</v>
      </c>
      <c r="AG1980" s="363">
        <v>0</v>
      </c>
      <c r="AH1980" s="635" t="s">
        <v>408</v>
      </c>
      <c r="AL1980" s="487" t="s">
        <v>16355</v>
      </c>
      <c r="AM1980" s="477" t="s">
        <v>71</v>
      </c>
      <c r="AN1980" s="637">
        <v>100</v>
      </c>
      <c r="AO1980" s="478">
        <v>-1570</v>
      </c>
      <c r="AP1980" s="463">
        <v>-644</v>
      </c>
      <c r="AQ1980" s="479">
        <v>-926</v>
      </c>
      <c r="AR1980" s="476" t="s">
        <v>18019</v>
      </c>
      <c r="BA1980" s="313" t="s">
        <v>6899</v>
      </c>
    </row>
    <row r="1981" spans="2:53" ht="16.5" customHeight="1">
      <c r="B1981" s="367" t="s">
        <v>13422</v>
      </c>
      <c r="C1981" s="351" t="s">
        <v>13423</v>
      </c>
      <c r="D1981" s="353">
        <v>-1570</v>
      </c>
      <c r="E1981" s="352" t="s">
        <v>408</v>
      </c>
      <c r="F1981" s="341">
        <v>64.12</v>
      </c>
      <c r="G1981" s="355" t="s">
        <v>13424</v>
      </c>
      <c r="H1981" s="356" t="s">
        <v>19211</v>
      </c>
      <c r="I1981" s="354" t="s">
        <v>197</v>
      </c>
      <c r="J1981" s="340" t="s">
        <v>8538</v>
      </c>
      <c r="K1981" s="339" t="s">
        <v>70</v>
      </c>
      <c r="L1981" s="357">
        <v>5</v>
      </c>
      <c r="M1981" s="358" t="s">
        <v>13425</v>
      </c>
      <c r="N1981" s="359">
        <v>500</v>
      </c>
      <c r="O1981" s="360" t="s">
        <v>454</v>
      </c>
      <c r="P1981" s="343" t="s">
        <v>454</v>
      </c>
      <c r="Q1981" s="342" t="s">
        <v>2688</v>
      </c>
      <c r="R1981" s="344">
        <v>20</v>
      </c>
      <c r="S1981" s="345">
        <v>30</v>
      </c>
      <c r="T1981" s="362">
        <v>30</v>
      </c>
      <c r="U1981" s="361">
        <v>64.12</v>
      </c>
      <c r="V1981" s="346">
        <v>109.42381289865344</v>
      </c>
      <c r="W1981" s="348">
        <v>112.28819277108434</v>
      </c>
      <c r="X1981" s="347">
        <v>55.36</v>
      </c>
      <c r="Y1981" s="357" t="s">
        <v>408</v>
      </c>
      <c r="Z1981" s="365" t="s">
        <v>4408</v>
      </c>
      <c r="AA1981" s="350">
        <v>94</v>
      </c>
      <c r="AB1981" s="349" t="s">
        <v>2685</v>
      </c>
      <c r="AC1981" s="350">
        <v>1.5</v>
      </c>
      <c r="AD1981" s="349" t="s">
        <v>2685</v>
      </c>
      <c r="AE1981" s="364">
        <v>0</v>
      </c>
      <c r="AF1981" s="366">
        <v>9.6180000000000003</v>
      </c>
      <c r="AG1981" s="363">
        <v>0</v>
      </c>
      <c r="AH1981" s="635" t="s">
        <v>6224</v>
      </c>
      <c r="AL1981" s="487" t="s">
        <v>16356</v>
      </c>
      <c r="AM1981" s="477" t="s">
        <v>70</v>
      </c>
      <c r="AN1981" s="637">
        <v>100</v>
      </c>
      <c r="AO1981" s="478">
        <v>-1570</v>
      </c>
      <c r="AP1981" s="463">
        <v>-1570</v>
      </c>
      <c r="AQ1981" s="479">
        <v>0</v>
      </c>
      <c r="AR1981" s="476" t="s">
        <v>18020</v>
      </c>
      <c r="BA1981" s="313" t="s">
        <v>6901</v>
      </c>
    </row>
    <row r="1982" spans="2:53" ht="16.5" customHeight="1">
      <c r="B1982" s="367" t="s">
        <v>13426</v>
      </c>
      <c r="C1982" s="351" t="s">
        <v>13427</v>
      </c>
      <c r="D1982" s="353">
        <v>-1570</v>
      </c>
      <c r="E1982" s="352" t="s">
        <v>13428</v>
      </c>
      <c r="F1982" s="341">
        <v>64.09</v>
      </c>
      <c r="G1982" s="355" t="s">
        <v>13478</v>
      </c>
      <c r="H1982" s="356" t="s">
        <v>19163</v>
      </c>
      <c r="I1982" s="354" t="s">
        <v>423</v>
      </c>
      <c r="J1982" s="340" t="s">
        <v>13429</v>
      </c>
      <c r="K1982" s="339" t="s">
        <v>71</v>
      </c>
      <c r="L1982" s="357">
        <v>2</v>
      </c>
      <c r="M1982" s="358" t="s">
        <v>13430</v>
      </c>
      <c r="N1982" s="359">
        <v>1000</v>
      </c>
      <c r="O1982" s="360" t="s">
        <v>530</v>
      </c>
      <c r="P1982" s="343" t="s">
        <v>531</v>
      </c>
      <c r="Q1982" s="342" t="s">
        <v>2688</v>
      </c>
      <c r="R1982" s="344">
        <v>30</v>
      </c>
      <c r="S1982" s="345">
        <v>25</v>
      </c>
      <c r="T1982" s="362">
        <v>25</v>
      </c>
      <c r="U1982" s="361">
        <v>64.09</v>
      </c>
      <c r="V1982" s="346">
        <v>109.40335051546391</v>
      </c>
      <c r="W1982" s="348">
        <v>112.27427835051546</v>
      </c>
      <c r="X1982" s="347">
        <v>54.86</v>
      </c>
      <c r="Y1982" s="357">
        <v>54.57</v>
      </c>
      <c r="Z1982" s="365" t="s">
        <v>3017</v>
      </c>
      <c r="AA1982" s="350">
        <v>198</v>
      </c>
      <c r="AB1982" s="349" t="s">
        <v>2685</v>
      </c>
      <c r="AC1982" s="350">
        <v>10</v>
      </c>
      <c r="AD1982" s="349" t="s">
        <v>2685</v>
      </c>
      <c r="AE1982" s="364">
        <v>0</v>
      </c>
      <c r="AF1982" s="366">
        <v>0</v>
      </c>
      <c r="AG1982" s="363">
        <v>0</v>
      </c>
      <c r="AH1982" s="635" t="s">
        <v>408</v>
      </c>
      <c r="AL1982" s="487" t="s">
        <v>16357</v>
      </c>
      <c r="AM1982" s="477" t="s">
        <v>71</v>
      </c>
      <c r="AN1982" s="637">
        <v>100</v>
      </c>
      <c r="AO1982" s="478">
        <v>-1570</v>
      </c>
      <c r="AP1982" s="463">
        <v>-643</v>
      </c>
      <c r="AQ1982" s="479">
        <v>-927</v>
      </c>
      <c r="AR1982" s="476" t="s">
        <v>18021</v>
      </c>
      <c r="BA1982" s="313" t="s">
        <v>6903</v>
      </c>
    </row>
    <row r="1983" spans="2:53" ht="16.5" customHeight="1">
      <c r="B1983" s="367" t="s">
        <v>13431</v>
      </c>
      <c r="C1983" s="351" t="s">
        <v>13432</v>
      </c>
      <c r="D1983" s="353">
        <v>-1570</v>
      </c>
      <c r="E1983" s="352" t="s">
        <v>408</v>
      </c>
      <c r="F1983" s="341">
        <v>64.03</v>
      </c>
      <c r="G1983" s="355" t="s">
        <v>13433</v>
      </c>
      <c r="H1983" s="356" t="s">
        <v>13247</v>
      </c>
      <c r="I1983" s="354" t="s">
        <v>214</v>
      </c>
      <c r="J1983" s="340" t="s">
        <v>9252</v>
      </c>
      <c r="K1983" s="339" t="s">
        <v>70</v>
      </c>
      <c r="L1983" s="357">
        <v>9</v>
      </c>
      <c r="M1983" s="358" t="s">
        <v>13435</v>
      </c>
      <c r="N1983" s="359">
        <v>200</v>
      </c>
      <c r="O1983" s="360" t="s">
        <v>532</v>
      </c>
      <c r="P1983" s="343" t="s">
        <v>532</v>
      </c>
      <c r="Q1983" s="342" t="s">
        <v>2688</v>
      </c>
      <c r="R1983" s="344">
        <v>20</v>
      </c>
      <c r="S1983" s="345">
        <v>30</v>
      </c>
      <c r="T1983" s="362">
        <v>30</v>
      </c>
      <c r="U1983" s="361">
        <v>64.03</v>
      </c>
      <c r="V1983" s="346">
        <v>109.37176324966164</v>
      </c>
      <c r="W1983" s="348">
        <v>112.25279900976992</v>
      </c>
      <c r="X1983" s="347" t="s">
        <v>19212</v>
      </c>
      <c r="Y1983" s="357" t="s">
        <v>408</v>
      </c>
      <c r="Z1983" s="365" t="s">
        <v>4408</v>
      </c>
      <c r="AA1983" s="350">
        <v>36</v>
      </c>
      <c r="AB1983" s="349" t="s">
        <v>2685</v>
      </c>
      <c r="AC1983" s="350">
        <v>0</v>
      </c>
      <c r="AD1983" s="349" t="s">
        <v>2685</v>
      </c>
      <c r="AE1983" s="364">
        <v>0</v>
      </c>
      <c r="AF1983" s="366">
        <v>0</v>
      </c>
      <c r="AG1983" s="363">
        <v>0</v>
      </c>
      <c r="AH1983" s="635" t="s">
        <v>408</v>
      </c>
      <c r="AL1983" s="487" t="s">
        <v>16358</v>
      </c>
      <c r="AM1983" s="477" t="s">
        <v>70</v>
      </c>
      <c r="AN1983" s="637">
        <v>100</v>
      </c>
      <c r="AO1983" s="478">
        <v>-1570</v>
      </c>
      <c r="AP1983" s="463">
        <v>-1570</v>
      </c>
      <c r="AQ1983" s="479">
        <v>0</v>
      </c>
      <c r="AR1983" s="476" t="s">
        <v>18022</v>
      </c>
      <c r="BA1983" s="313" t="s">
        <v>6905</v>
      </c>
    </row>
    <row r="1984" spans="2:53" ht="16.5" customHeight="1">
      <c r="B1984" s="367" t="s">
        <v>13436</v>
      </c>
      <c r="C1984" s="351" t="s">
        <v>13437</v>
      </c>
      <c r="D1984" s="353">
        <v>-1570</v>
      </c>
      <c r="E1984" s="352" t="s">
        <v>408</v>
      </c>
      <c r="F1984" s="341">
        <v>63.99</v>
      </c>
      <c r="G1984" s="355" t="s">
        <v>13438</v>
      </c>
      <c r="H1984" s="356" t="s">
        <v>6627</v>
      </c>
      <c r="I1984" s="354" t="s">
        <v>211</v>
      </c>
      <c r="J1984" s="340" t="s">
        <v>7359</v>
      </c>
      <c r="K1984" s="339" t="s">
        <v>70</v>
      </c>
      <c r="L1984" s="357">
        <v>17</v>
      </c>
      <c r="M1984" s="358" t="s">
        <v>13439</v>
      </c>
      <c r="N1984" s="359">
        <v>500</v>
      </c>
      <c r="O1984" s="360" t="s">
        <v>530</v>
      </c>
      <c r="P1984" s="343" t="s">
        <v>531</v>
      </c>
      <c r="Q1984" s="342" t="s">
        <v>2688</v>
      </c>
      <c r="R1984" s="344">
        <v>30</v>
      </c>
      <c r="S1984" s="345">
        <v>40</v>
      </c>
      <c r="T1984" s="362">
        <v>30</v>
      </c>
      <c r="U1984" s="361">
        <v>63.99</v>
      </c>
      <c r="V1984" s="346">
        <v>109.34596195189228</v>
      </c>
      <c r="W1984" s="348">
        <v>112.23525412728674</v>
      </c>
      <c r="X1984" s="347">
        <v>55.32</v>
      </c>
      <c r="Y1984" s="357">
        <v>54.379999999999995</v>
      </c>
      <c r="Z1984" s="365" t="s">
        <v>4408</v>
      </c>
      <c r="AA1984" s="350">
        <v>24</v>
      </c>
      <c r="AB1984" s="349" t="s">
        <v>2685</v>
      </c>
      <c r="AC1984" s="350">
        <v>5</v>
      </c>
      <c r="AD1984" s="349" t="s">
        <v>2685</v>
      </c>
      <c r="AE1984" s="364">
        <v>0</v>
      </c>
      <c r="AF1984" s="366">
        <v>0</v>
      </c>
      <c r="AG1984" s="363">
        <v>0</v>
      </c>
      <c r="AH1984" s="635" t="s">
        <v>408</v>
      </c>
      <c r="AL1984" s="487" t="s">
        <v>16359</v>
      </c>
      <c r="AM1984" s="477" t="s">
        <v>70</v>
      </c>
      <c r="AN1984" s="637">
        <v>100</v>
      </c>
      <c r="AO1984" s="478">
        <v>-1570</v>
      </c>
      <c r="AP1984" s="463">
        <v>-1570</v>
      </c>
      <c r="AQ1984" s="479">
        <v>0</v>
      </c>
      <c r="AR1984" s="476" t="s">
        <v>18023</v>
      </c>
      <c r="BA1984" s="313" t="s">
        <v>6906</v>
      </c>
    </row>
    <row r="1985" spans="2:53" ht="16.5" customHeight="1">
      <c r="B1985" s="367" t="s">
        <v>6962</v>
      </c>
      <c r="C1985" s="351" t="s">
        <v>6963</v>
      </c>
      <c r="D1985" s="353">
        <v>-1570</v>
      </c>
      <c r="E1985" s="352" t="s">
        <v>408</v>
      </c>
      <c r="F1985" s="341">
        <v>63.98</v>
      </c>
      <c r="G1985" s="355" t="s">
        <v>13485</v>
      </c>
      <c r="H1985" s="356" t="s">
        <v>6763</v>
      </c>
      <c r="I1985" s="354" t="s">
        <v>8000</v>
      </c>
      <c r="J1985" s="340" t="s">
        <v>501</v>
      </c>
      <c r="K1985" s="339" t="s">
        <v>71</v>
      </c>
      <c r="L1985" s="357">
        <v>7</v>
      </c>
      <c r="M1985" s="358" t="s">
        <v>13451</v>
      </c>
      <c r="N1985" s="359">
        <v>1000</v>
      </c>
      <c r="O1985" s="360" t="s">
        <v>532</v>
      </c>
      <c r="P1985" s="343" t="s">
        <v>532</v>
      </c>
      <c r="Q1985" s="342" t="s">
        <v>2688</v>
      </c>
      <c r="R1985" s="344">
        <v>30</v>
      </c>
      <c r="S1985" s="345">
        <v>25</v>
      </c>
      <c r="T1985" s="362">
        <v>25</v>
      </c>
      <c r="U1985" s="361">
        <v>63.98</v>
      </c>
      <c r="V1985" s="346">
        <v>109.34030426821006</v>
      </c>
      <c r="W1985" s="348">
        <v>112.23140690238283</v>
      </c>
      <c r="X1985" s="347" t="s">
        <v>19213</v>
      </c>
      <c r="Y1985" s="357" t="s">
        <v>408</v>
      </c>
      <c r="Z1985" s="365" t="s">
        <v>4408</v>
      </c>
      <c r="AA1985" s="350">
        <v>192</v>
      </c>
      <c r="AB1985" s="349" t="s">
        <v>2685</v>
      </c>
      <c r="AC1985" s="350">
        <v>0</v>
      </c>
      <c r="AD1985" s="349" t="s">
        <v>2685</v>
      </c>
      <c r="AE1985" s="364">
        <v>0</v>
      </c>
      <c r="AF1985" s="366">
        <v>0</v>
      </c>
      <c r="AG1985" s="363">
        <v>0</v>
      </c>
      <c r="AH1985" s="635" t="s">
        <v>408</v>
      </c>
      <c r="AL1985" s="487" t="s">
        <v>16360</v>
      </c>
      <c r="AM1985" s="477" t="s">
        <v>71</v>
      </c>
      <c r="AN1985" s="637">
        <v>100</v>
      </c>
      <c r="AO1985" s="478">
        <v>-1570</v>
      </c>
      <c r="AP1985" s="463">
        <v>-642</v>
      </c>
      <c r="AQ1985" s="479">
        <v>-928</v>
      </c>
      <c r="AR1985" s="476" t="s">
        <v>18024</v>
      </c>
      <c r="BA1985" s="313" t="s">
        <v>6909</v>
      </c>
    </row>
    <row r="1986" spans="2:53" ht="16.5" customHeight="1">
      <c r="B1986" s="367" t="s">
        <v>13440</v>
      </c>
      <c r="C1986" s="351" t="s">
        <v>13441</v>
      </c>
      <c r="D1986" s="353">
        <v>-1570</v>
      </c>
      <c r="E1986" s="352" t="s">
        <v>408</v>
      </c>
      <c r="F1986" s="341">
        <v>63.97</v>
      </c>
      <c r="G1986" s="355" t="s">
        <v>13442</v>
      </c>
      <c r="H1986" s="356" t="s">
        <v>19214</v>
      </c>
      <c r="I1986" s="354" t="s">
        <v>214</v>
      </c>
      <c r="J1986" s="340" t="s">
        <v>554</v>
      </c>
      <c r="K1986" s="339" t="s">
        <v>70</v>
      </c>
      <c r="L1986" s="357">
        <v>8</v>
      </c>
      <c r="M1986" s="358" t="s">
        <v>13444</v>
      </c>
      <c r="N1986" s="359">
        <v>200</v>
      </c>
      <c r="O1986" s="360" t="s">
        <v>532</v>
      </c>
      <c r="P1986" s="343" t="s">
        <v>532</v>
      </c>
      <c r="Q1986" s="342" t="s">
        <v>2688</v>
      </c>
      <c r="R1986" s="344">
        <v>20</v>
      </c>
      <c r="S1986" s="345">
        <v>30</v>
      </c>
      <c r="T1986" s="362">
        <v>30</v>
      </c>
      <c r="U1986" s="361">
        <v>63.97</v>
      </c>
      <c r="V1986" s="346">
        <v>109.33542997304642</v>
      </c>
      <c r="W1986" s="348">
        <v>112.22809238167156</v>
      </c>
      <c r="X1986" s="347" t="s">
        <v>19212</v>
      </c>
      <c r="Y1986" s="357" t="s">
        <v>408</v>
      </c>
      <c r="Z1986" s="365" t="s">
        <v>4408</v>
      </c>
      <c r="AA1986" s="350">
        <v>36</v>
      </c>
      <c r="AB1986" s="349" t="s">
        <v>2685</v>
      </c>
      <c r="AC1986" s="350">
        <v>0</v>
      </c>
      <c r="AD1986" s="349" t="s">
        <v>2685</v>
      </c>
      <c r="AE1986" s="364">
        <v>0</v>
      </c>
      <c r="AF1986" s="366">
        <v>0</v>
      </c>
      <c r="AG1986" s="363">
        <v>0</v>
      </c>
      <c r="AH1986" s="635" t="s">
        <v>408</v>
      </c>
      <c r="AL1986" s="487" t="s">
        <v>16362</v>
      </c>
      <c r="AM1986" s="477" t="s">
        <v>70</v>
      </c>
      <c r="AN1986" s="637">
        <v>100</v>
      </c>
      <c r="AO1986" s="478">
        <v>-1570</v>
      </c>
      <c r="AP1986" s="463">
        <v>-1570</v>
      </c>
      <c r="AQ1986" s="479">
        <v>0</v>
      </c>
      <c r="AR1986" s="476" t="s">
        <v>18025</v>
      </c>
      <c r="BA1986" s="313" t="s">
        <v>6910</v>
      </c>
    </row>
    <row r="1987" spans="2:53" ht="16.5" customHeight="1">
      <c r="B1987" s="367" t="s">
        <v>13440</v>
      </c>
      <c r="C1987" s="351" t="s">
        <v>13441</v>
      </c>
      <c r="D1987" s="353">
        <v>-1570</v>
      </c>
      <c r="E1987" s="352" t="s">
        <v>408</v>
      </c>
      <c r="F1987" s="341">
        <v>63.97</v>
      </c>
      <c r="G1987" s="355" t="s">
        <v>13442</v>
      </c>
      <c r="H1987" s="356" t="s">
        <v>19214</v>
      </c>
      <c r="I1987" s="354" t="s">
        <v>423</v>
      </c>
      <c r="J1987" s="340" t="s">
        <v>13446</v>
      </c>
      <c r="K1987" s="339" t="s">
        <v>70</v>
      </c>
      <c r="L1987" s="357">
        <v>4</v>
      </c>
      <c r="M1987" s="358" t="s">
        <v>13447</v>
      </c>
      <c r="N1987" s="359">
        <v>1000</v>
      </c>
      <c r="O1987" s="360" t="s">
        <v>530</v>
      </c>
      <c r="P1987" s="343" t="s">
        <v>531</v>
      </c>
      <c r="Q1987" s="342" t="s">
        <v>2688</v>
      </c>
      <c r="R1987" s="344">
        <v>20</v>
      </c>
      <c r="S1987" s="345">
        <v>35</v>
      </c>
      <c r="T1987" s="362">
        <v>25</v>
      </c>
      <c r="U1987" s="361">
        <v>63.97</v>
      </c>
      <c r="V1987" s="346">
        <v>109.33590891124457</v>
      </c>
      <c r="W1987" s="348">
        <v>112.2284180596463</v>
      </c>
      <c r="X1987" s="347">
        <v>55.31</v>
      </c>
      <c r="Y1987" s="357">
        <v>54.519999999999996</v>
      </c>
      <c r="Z1987" s="365" t="s">
        <v>3017</v>
      </c>
      <c r="AA1987" s="350">
        <v>198</v>
      </c>
      <c r="AB1987" s="349" t="s">
        <v>2685</v>
      </c>
      <c r="AC1987" s="350">
        <v>10</v>
      </c>
      <c r="AD1987" s="349" t="s">
        <v>2685</v>
      </c>
      <c r="AE1987" s="364">
        <v>0</v>
      </c>
      <c r="AF1987" s="366">
        <v>12.707000000000001</v>
      </c>
      <c r="AG1987" s="363">
        <v>0</v>
      </c>
      <c r="AH1987" s="635" t="s">
        <v>11625</v>
      </c>
      <c r="AL1987" s="487" t="s">
        <v>16361</v>
      </c>
      <c r="AM1987" s="477" t="s">
        <v>70</v>
      </c>
      <c r="AN1987" s="637">
        <v>100</v>
      </c>
      <c r="AO1987" s="478">
        <v>-1570</v>
      </c>
      <c r="AP1987" s="463">
        <v>-1570</v>
      </c>
      <c r="AQ1987" s="479">
        <v>0</v>
      </c>
      <c r="AR1987" s="476" t="s">
        <v>18025</v>
      </c>
      <c r="BA1987" s="313" t="s">
        <v>6911</v>
      </c>
    </row>
    <row r="1988" spans="2:53" ht="16.5" customHeight="1">
      <c r="B1988" s="367" t="s">
        <v>6948</v>
      </c>
      <c r="C1988" s="351" t="s">
        <v>6949</v>
      </c>
      <c r="D1988" s="353">
        <v>-1570</v>
      </c>
      <c r="E1988" s="352" t="s">
        <v>13450</v>
      </c>
      <c r="F1988" s="341">
        <v>63.88</v>
      </c>
      <c r="G1988" s="355" t="s">
        <v>13448</v>
      </c>
      <c r="H1988" s="356" t="s">
        <v>19215</v>
      </c>
      <c r="I1988" s="354" t="s">
        <v>212</v>
      </c>
      <c r="J1988" s="340" t="s">
        <v>8224</v>
      </c>
      <c r="K1988" s="339" t="s">
        <v>70</v>
      </c>
      <c r="L1988" s="357">
        <v>5</v>
      </c>
      <c r="M1988" s="358" t="s">
        <v>13449</v>
      </c>
      <c r="N1988" s="359">
        <v>800</v>
      </c>
      <c r="O1988" s="360" t="s">
        <v>532</v>
      </c>
      <c r="P1988" s="343" t="s">
        <v>532</v>
      </c>
      <c r="Q1988" s="342" t="s">
        <v>2688</v>
      </c>
      <c r="R1988" s="344">
        <v>30</v>
      </c>
      <c r="S1988" s="345">
        <v>40</v>
      </c>
      <c r="T1988" s="362">
        <v>30</v>
      </c>
      <c r="U1988" s="361">
        <v>63.88</v>
      </c>
      <c r="V1988" s="346">
        <v>109.28059711395866</v>
      </c>
      <c r="W1988" s="348">
        <v>112.1908060374919</v>
      </c>
      <c r="X1988" s="347" t="s">
        <v>19216</v>
      </c>
      <c r="Y1988" s="357" t="s">
        <v>408</v>
      </c>
      <c r="Z1988" s="365" t="s">
        <v>3017</v>
      </c>
      <c r="AA1988" s="350">
        <v>190</v>
      </c>
      <c r="AB1988" s="349" t="s">
        <v>2685</v>
      </c>
      <c r="AC1988" s="350">
        <v>10</v>
      </c>
      <c r="AD1988" s="349" t="s">
        <v>2685</v>
      </c>
      <c r="AE1988" s="364">
        <v>0</v>
      </c>
      <c r="AF1988" s="366">
        <v>0</v>
      </c>
      <c r="AG1988" s="363">
        <v>0</v>
      </c>
      <c r="AH1988" s="635" t="s">
        <v>408</v>
      </c>
      <c r="AL1988" s="487" t="s">
        <v>16363</v>
      </c>
      <c r="AM1988" s="477" t="s">
        <v>70</v>
      </c>
      <c r="AN1988" s="637">
        <v>100</v>
      </c>
      <c r="AO1988" s="478">
        <v>-1570</v>
      </c>
      <c r="AP1988" s="463">
        <v>-1570</v>
      </c>
      <c r="AQ1988" s="479">
        <v>0</v>
      </c>
      <c r="AR1988" s="476" t="s">
        <v>18026</v>
      </c>
      <c r="BA1988" s="313" t="s">
        <v>6912</v>
      </c>
    </row>
    <row r="1989" spans="2:53" ht="16.5" customHeight="1">
      <c r="B1989" s="367" t="s">
        <v>13452</v>
      </c>
      <c r="C1989" s="351" t="s">
        <v>13453</v>
      </c>
      <c r="D1989" s="353">
        <v>-1570</v>
      </c>
      <c r="E1989" s="352" t="s">
        <v>408</v>
      </c>
      <c r="F1989" s="341">
        <v>63.8</v>
      </c>
      <c r="G1989" s="355" t="s">
        <v>13454</v>
      </c>
      <c r="H1989" s="356" t="s">
        <v>19217</v>
      </c>
      <c r="I1989" s="354" t="s">
        <v>423</v>
      </c>
      <c r="J1989" s="340" t="s">
        <v>13456</v>
      </c>
      <c r="K1989" s="339" t="s">
        <v>70</v>
      </c>
      <c r="L1989" s="357">
        <v>2</v>
      </c>
      <c r="M1989" s="358" t="s">
        <v>13457</v>
      </c>
      <c r="N1989" s="359">
        <v>1000</v>
      </c>
      <c r="O1989" s="360" t="s">
        <v>530</v>
      </c>
      <c r="P1989" s="343" t="s">
        <v>531</v>
      </c>
      <c r="Q1989" s="342" t="s">
        <v>2688</v>
      </c>
      <c r="R1989" s="344">
        <v>20</v>
      </c>
      <c r="S1989" s="345">
        <v>35</v>
      </c>
      <c r="T1989" s="362">
        <v>25</v>
      </c>
      <c r="U1989" s="361">
        <v>63.8</v>
      </c>
      <c r="V1989" s="346">
        <v>109.23645590279106</v>
      </c>
      <c r="W1989" s="348">
        <v>112.16079001389792</v>
      </c>
      <c r="X1989" s="347">
        <v>55.25</v>
      </c>
      <c r="Y1989" s="357">
        <v>54.46</v>
      </c>
      <c r="Z1989" s="365" t="s">
        <v>3017</v>
      </c>
      <c r="AA1989" s="350">
        <v>198</v>
      </c>
      <c r="AB1989" s="349" t="s">
        <v>2685</v>
      </c>
      <c r="AC1989" s="350">
        <v>10</v>
      </c>
      <c r="AD1989" s="349" t="s">
        <v>2685</v>
      </c>
      <c r="AE1989" s="364">
        <v>0</v>
      </c>
      <c r="AF1989" s="366">
        <v>12.696</v>
      </c>
      <c r="AG1989" s="363">
        <v>0</v>
      </c>
      <c r="AH1989" s="635" t="s">
        <v>11625</v>
      </c>
      <c r="AL1989" s="487" t="s">
        <v>16364</v>
      </c>
      <c r="AM1989" s="477" t="s">
        <v>70</v>
      </c>
      <c r="AN1989" s="637">
        <v>100</v>
      </c>
      <c r="AO1989" s="478">
        <v>-1570</v>
      </c>
      <c r="AP1989" s="463">
        <v>-1570</v>
      </c>
      <c r="AQ1989" s="479">
        <v>0</v>
      </c>
      <c r="AR1989" s="476" t="s">
        <v>18027</v>
      </c>
      <c r="BA1989" s="313" t="s">
        <v>6913</v>
      </c>
    </row>
    <row r="1990" spans="2:53" ht="16.5" customHeight="1">
      <c r="B1990" s="367" t="s">
        <v>13458</v>
      </c>
      <c r="C1990" s="351" t="s">
        <v>13459</v>
      </c>
      <c r="D1990" s="353">
        <v>-1570</v>
      </c>
      <c r="E1990" s="352" t="s">
        <v>408</v>
      </c>
      <c r="F1990" s="341">
        <v>63.79</v>
      </c>
      <c r="G1990" s="355" t="s">
        <v>13419</v>
      </c>
      <c r="H1990" s="356" t="s">
        <v>13329</v>
      </c>
      <c r="I1990" s="354" t="s">
        <v>8000</v>
      </c>
      <c r="J1990" s="340" t="s">
        <v>8640</v>
      </c>
      <c r="K1990" s="339" t="s">
        <v>70</v>
      </c>
      <c r="L1990" s="357">
        <v>9</v>
      </c>
      <c r="M1990" s="358" t="s">
        <v>13460</v>
      </c>
      <c r="N1990" s="359">
        <v>1000</v>
      </c>
      <c r="O1990" s="360" t="s">
        <v>532</v>
      </c>
      <c r="P1990" s="343" t="s">
        <v>532</v>
      </c>
      <c r="Q1990" s="342" t="s">
        <v>2688</v>
      </c>
      <c r="R1990" s="344">
        <v>25</v>
      </c>
      <c r="S1990" s="345">
        <v>30</v>
      </c>
      <c r="T1990" s="362">
        <v>25</v>
      </c>
      <c r="U1990" s="361">
        <v>63.79</v>
      </c>
      <c r="V1990" s="346">
        <v>109.22857490448953</v>
      </c>
      <c r="W1990" s="348">
        <v>112.15543093505288</v>
      </c>
      <c r="X1990" s="347" t="s">
        <v>19218</v>
      </c>
      <c r="Y1990" s="357" t="s">
        <v>408</v>
      </c>
      <c r="Z1990" s="365" t="s">
        <v>4408</v>
      </c>
      <c r="AA1990" s="350">
        <v>192</v>
      </c>
      <c r="AB1990" s="349" t="s">
        <v>2685</v>
      </c>
      <c r="AC1990" s="350">
        <v>0</v>
      </c>
      <c r="AD1990" s="349" t="s">
        <v>2685</v>
      </c>
      <c r="AE1990" s="364">
        <v>0</v>
      </c>
      <c r="AF1990" s="366">
        <v>0</v>
      </c>
      <c r="AG1990" s="363">
        <v>0</v>
      </c>
      <c r="AH1990" s="635" t="s">
        <v>408</v>
      </c>
      <c r="AL1990" s="487" t="s">
        <v>16365</v>
      </c>
      <c r="AM1990" s="477" t="s">
        <v>70</v>
      </c>
      <c r="AN1990" s="637">
        <v>100</v>
      </c>
      <c r="AO1990" s="478">
        <v>-1570</v>
      </c>
      <c r="AP1990" s="463">
        <v>-1570</v>
      </c>
      <c r="AQ1990" s="479">
        <v>0</v>
      </c>
      <c r="AR1990" s="476" t="s">
        <v>18028</v>
      </c>
      <c r="BA1990" s="313" t="s">
        <v>6915</v>
      </c>
    </row>
    <row r="1991" spans="2:53" ht="16.5" customHeight="1">
      <c r="B1991" s="367" t="s">
        <v>13461</v>
      </c>
      <c r="C1991" s="351" t="s">
        <v>13462</v>
      </c>
      <c r="D1991" s="353">
        <v>-1570</v>
      </c>
      <c r="E1991" s="352" t="s">
        <v>408</v>
      </c>
      <c r="F1991" s="341">
        <v>63.77</v>
      </c>
      <c r="G1991" s="355" t="s">
        <v>6795</v>
      </c>
      <c r="H1991" s="356" t="s">
        <v>6780</v>
      </c>
      <c r="I1991" s="354" t="s">
        <v>8000</v>
      </c>
      <c r="J1991" s="340" t="s">
        <v>13463</v>
      </c>
      <c r="K1991" s="339" t="s">
        <v>70</v>
      </c>
      <c r="L1991" s="357">
        <v>8</v>
      </c>
      <c r="M1991" s="358" t="s">
        <v>13464</v>
      </c>
      <c r="N1991" s="359">
        <v>1000</v>
      </c>
      <c r="O1991" s="360" t="s">
        <v>532</v>
      </c>
      <c r="P1991" s="343" t="s">
        <v>532</v>
      </c>
      <c r="Q1991" s="342" t="s">
        <v>2688</v>
      </c>
      <c r="R1991" s="344">
        <v>25</v>
      </c>
      <c r="S1991" s="345">
        <v>30</v>
      </c>
      <c r="T1991" s="362">
        <v>25</v>
      </c>
      <c r="U1991" s="361">
        <v>63.77</v>
      </c>
      <c r="V1991" s="346">
        <v>109.21755791780841</v>
      </c>
      <c r="W1991" s="348">
        <v>112.14793938410972</v>
      </c>
      <c r="X1991" s="347" t="s">
        <v>19218</v>
      </c>
      <c r="Y1991" s="357" t="s">
        <v>408</v>
      </c>
      <c r="Z1991" s="365" t="s">
        <v>4408</v>
      </c>
      <c r="AA1991" s="350">
        <v>192</v>
      </c>
      <c r="AB1991" s="349" t="s">
        <v>2685</v>
      </c>
      <c r="AC1991" s="350">
        <v>0</v>
      </c>
      <c r="AD1991" s="349" t="s">
        <v>2685</v>
      </c>
      <c r="AE1991" s="364">
        <v>0</v>
      </c>
      <c r="AF1991" s="366">
        <v>0</v>
      </c>
      <c r="AG1991" s="363">
        <v>0</v>
      </c>
      <c r="AH1991" s="635" t="s">
        <v>408</v>
      </c>
      <c r="AL1991" s="487" t="s">
        <v>16366</v>
      </c>
      <c r="AM1991" s="477" t="s">
        <v>70</v>
      </c>
      <c r="AN1991" s="637">
        <v>100</v>
      </c>
      <c r="AO1991" s="478">
        <v>-1570</v>
      </c>
      <c r="AP1991" s="463">
        <v>-1570</v>
      </c>
      <c r="AQ1991" s="479">
        <v>0</v>
      </c>
      <c r="AR1991" s="476" t="s">
        <v>18029</v>
      </c>
      <c r="BA1991" s="313" t="s">
        <v>6916</v>
      </c>
    </row>
    <row r="1992" spans="2:53" ht="16.5" customHeight="1">
      <c r="B1992" s="367" t="s">
        <v>13465</v>
      </c>
      <c r="C1992" s="351" t="s">
        <v>13466</v>
      </c>
      <c r="D1992" s="353">
        <v>-1570</v>
      </c>
      <c r="E1992" s="352" t="s">
        <v>13467</v>
      </c>
      <c r="F1992" s="341">
        <v>63.59</v>
      </c>
      <c r="G1992" s="355" t="s">
        <v>13550</v>
      </c>
      <c r="H1992" s="356" t="s">
        <v>13329</v>
      </c>
      <c r="I1992" s="354" t="s">
        <v>215</v>
      </c>
      <c r="J1992" s="340" t="s">
        <v>13468</v>
      </c>
      <c r="K1992" s="339" t="s">
        <v>71</v>
      </c>
      <c r="L1992" s="357">
        <v>4</v>
      </c>
      <c r="M1992" s="358" t="s">
        <v>13469</v>
      </c>
      <c r="N1992" s="359">
        <v>1000</v>
      </c>
      <c r="O1992" s="360" t="s">
        <v>530</v>
      </c>
      <c r="P1992" s="343" t="s">
        <v>531</v>
      </c>
      <c r="Q1992" s="342" t="s">
        <v>2688</v>
      </c>
      <c r="R1992" s="344">
        <v>13</v>
      </c>
      <c r="S1992" s="345">
        <v>50</v>
      </c>
      <c r="T1992" s="362">
        <v>25</v>
      </c>
      <c r="U1992" s="361">
        <v>63.59</v>
      </c>
      <c r="V1992" s="346">
        <v>109.10885245901642</v>
      </c>
      <c r="W1992" s="348">
        <v>112.07401967213116</v>
      </c>
      <c r="X1992" s="347">
        <v>54.69</v>
      </c>
      <c r="Y1992" s="357">
        <v>54.53</v>
      </c>
      <c r="Z1992" s="365" t="s">
        <v>3017</v>
      </c>
      <c r="AA1992" s="350">
        <v>121.25</v>
      </c>
      <c r="AB1992" s="349" t="s">
        <v>2685</v>
      </c>
      <c r="AC1992" s="350">
        <v>10</v>
      </c>
      <c r="AD1992" s="349" t="s">
        <v>2685</v>
      </c>
      <c r="AE1992" s="364">
        <v>0</v>
      </c>
      <c r="AF1992" s="366">
        <v>0</v>
      </c>
      <c r="AG1992" s="363">
        <v>0</v>
      </c>
      <c r="AH1992" s="635" t="s">
        <v>408</v>
      </c>
      <c r="AL1992" s="487" t="s">
        <v>16367</v>
      </c>
      <c r="AM1992" s="477" t="s">
        <v>71</v>
      </c>
      <c r="AN1992" s="637">
        <v>100</v>
      </c>
      <c r="AO1992" s="478">
        <v>-1570</v>
      </c>
      <c r="AP1992" s="463">
        <v>-640</v>
      </c>
      <c r="AQ1992" s="479">
        <v>-930</v>
      </c>
      <c r="AR1992" s="476" t="s">
        <v>18030</v>
      </c>
      <c r="BA1992" s="313" t="s">
        <v>6917</v>
      </c>
    </row>
    <row r="1993" spans="2:53" ht="16.5" customHeight="1">
      <c r="B1993" s="367" t="s">
        <v>6948</v>
      </c>
      <c r="C1993" s="351" t="s">
        <v>6949</v>
      </c>
      <c r="D1993" s="353">
        <v>-1570</v>
      </c>
      <c r="E1993" s="352" t="s">
        <v>13448</v>
      </c>
      <c r="F1993" s="341">
        <v>63.53</v>
      </c>
      <c r="G1993" s="355" t="s">
        <v>19219</v>
      </c>
      <c r="H1993" s="356" t="s">
        <v>19220</v>
      </c>
      <c r="I1993" s="354" t="s">
        <v>215</v>
      </c>
      <c r="J1993" s="340" t="s">
        <v>12105</v>
      </c>
      <c r="K1993" s="339" t="s">
        <v>71</v>
      </c>
      <c r="L1993" s="357">
        <v>8</v>
      </c>
      <c r="M1993" s="358" t="s">
        <v>13470</v>
      </c>
      <c r="N1993" s="359">
        <v>1000</v>
      </c>
      <c r="O1993" s="360" t="s">
        <v>530</v>
      </c>
      <c r="P1993" s="343" t="s">
        <v>531</v>
      </c>
      <c r="Q1993" s="342" t="s">
        <v>2688</v>
      </c>
      <c r="R1993" s="344">
        <v>13</v>
      </c>
      <c r="S1993" s="345">
        <v>50</v>
      </c>
      <c r="T1993" s="362">
        <v>25</v>
      </c>
      <c r="U1993" s="361">
        <v>63.53</v>
      </c>
      <c r="V1993" s="346">
        <v>109.07475409836064</v>
      </c>
      <c r="W1993" s="348">
        <v>112.05083278688524</v>
      </c>
      <c r="X1993" s="347">
        <v>54.68</v>
      </c>
      <c r="Y1993" s="357">
        <v>54.51</v>
      </c>
      <c r="Z1993" s="365" t="s">
        <v>3017</v>
      </c>
      <c r="AA1993" s="350">
        <v>121.25</v>
      </c>
      <c r="AB1993" s="349" t="s">
        <v>2685</v>
      </c>
      <c r="AC1993" s="350">
        <v>10</v>
      </c>
      <c r="AD1993" s="349" t="s">
        <v>2685</v>
      </c>
      <c r="AE1993" s="364">
        <v>0</v>
      </c>
      <c r="AF1993" s="366">
        <v>0</v>
      </c>
      <c r="AG1993" s="363">
        <v>0</v>
      </c>
      <c r="AH1993" s="635" t="s">
        <v>408</v>
      </c>
      <c r="AL1993" s="487" t="s">
        <v>16368</v>
      </c>
      <c r="AM1993" s="477" t="s">
        <v>71</v>
      </c>
      <c r="AN1993" s="637">
        <v>100</v>
      </c>
      <c r="AO1993" s="478">
        <v>-1570</v>
      </c>
      <c r="AP1993" s="463">
        <v>-640</v>
      </c>
      <c r="AQ1993" s="479">
        <v>-930</v>
      </c>
      <c r="AR1993" s="476" t="s">
        <v>18031</v>
      </c>
      <c r="BA1993" s="313" t="s">
        <v>6918</v>
      </c>
    </row>
    <row r="1994" spans="2:53" ht="16.5" customHeight="1">
      <c r="B1994" s="367" t="s">
        <v>13471</v>
      </c>
      <c r="C1994" s="351" t="s">
        <v>13472</v>
      </c>
      <c r="D1994" s="353">
        <v>-1570</v>
      </c>
      <c r="E1994" s="352" t="s">
        <v>408</v>
      </c>
      <c r="F1994" s="341">
        <v>63.52</v>
      </c>
      <c r="G1994" s="355" t="s">
        <v>13473</v>
      </c>
      <c r="H1994" s="356" t="s">
        <v>6804</v>
      </c>
      <c r="I1994" s="354" t="s">
        <v>423</v>
      </c>
      <c r="J1994" s="340" t="s">
        <v>13474</v>
      </c>
      <c r="K1994" s="339" t="s">
        <v>70</v>
      </c>
      <c r="L1994" s="357">
        <v>4</v>
      </c>
      <c r="M1994" s="358" t="s">
        <v>13475</v>
      </c>
      <c r="N1994" s="359">
        <v>1000</v>
      </c>
      <c r="O1994" s="360" t="s">
        <v>530</v>
      </c>
      <c r="P1994" s="343" t="s">
        <v>531</v>
      </c>
      <c r="Q1994" s="342" t="s">
        <v>2688</v>
      </c>
      <c r="R1994" s="344">
        <v>20</v>
      </c>
      <c r="S1994" s="345">
        <v>35</v>
      </c>
      <c r="T1994" s="362">
        <v>25</v>
      </c>
      <c r="U1994" s="361">
        <v>63.52</v>
      </c>
      <c r="V1994" s="346">
        <v>109.07325096584172</v>
      </c>
      <c r="W1994" s="348">
        <v>112.04981065677238</v>
      </c>
      <c r="X1994" s="347">
        <v>55.15</v>
      </c>
      <c r="Y1994" s="357">
        <v>54.35</v>
      </c>
      <c r="Z1994" s="365" t="s">
        <v>3017</v>
      </c>
      <c r="AA1994" s="350">
        <v>198</v>
      </c>
      <c r="AB1994" s="349" t="s">
        <v>2685</v>
      </c>
      <c r="AC1994" s="350">
        <v>10</v>
      </c>
      <c r="AD1994" s="349" t="s">
        <v>2685</v>
      </c>
      <c r="AE1994" s="364">
        <v>0</v>
      </c>
      <c r="AF1994" s="366">
        <v>12.676</v>
      </c>
      <c r="AG1994" s="363">
        <v>0</v>
      </c>
      <c r="AH1994" s="635" t="s">
        <v>11625</v>
      </c>
      <c r="AL1994" s="487" t="s">
        <v>16369</v>
      </c>
      <c r="AM1994" s="477" t="s">
        <v>70</v>
      </c>
      <c r="AN1994" s="637">
        <v>100</v>
      </c>
      <c r="AO1994" s="478">
        <v>-1570</v>
      </c>
      <c r="AP1994" s="463">
        <v>-1570</v>
      </c>
      <c r="AQ1994" s="479">
        <v>0</v>
      </c>
      <c r="AR1994" s="476" t="s">
        <v>18032</v>
      </c>
      <c r="BA1994" s="313" t="s">
        <v>6919</v>
      </c>
    </row>
    <row r="1995" spans="2:53" ht="16.5" customHeight="1">
      <c r="B1995" s="367" t="s">
        <v>13476</v>
      </c>
      <c r="C1995" s="351" t="s">
        <v>13477</v>
      </c>
      <c r="D1995" s="353">
        <v>-1570</v>
      </c>
      <c r="E1995" s="352" t="s">
        <v>408</v>
      </c>
      <c r="F1995" s="341">
        <v>63.5</v>
      </c>
      <c r="G1995" s="355" t="s">
        <v>13478</v>
      </c>
      <c r="H1995" s="356" t="s">
        <v>19221</v>
      </c>
      <c r="I1995" s="354" t="s">
        <v>211</v>
      </c>
      <c r="J1995" s="340" t="s">
        <v>7361</v>
      </c>
      <c r="K1995" s="339" t="s">
        <v>70</v>
      </c>
      <c r="L1995" s="357">
        <v>54</v>
      </c>
      <c r="M1995" s="358" t="s">
        <v>13479</v>
      </c>
      <c r="N1995" s="359">
        <v>500</v>
      </c>
      <c r="O1995" s="360" t="s">
        <v>530</v>
      </c>
      <c r="P1995" s="343" t="s">
        <v>531</v>
      </c>
      <c r="Q1995" s="342" t="s">
        <v>2688</v>
      </c>
      <c r="R1995" s="344">
        <v>30</v>
      </c>
      <c r="S1995" s="345">
        <v>40</v>
      </c>
      <c r="T1995" s="362">
        <v>30</v>
      </c>
      <c r="U1995" s="361">
        <v>63.5</v>
      </c>
      <c r="V1995" s="346">
        <v>109.05963415251303</v>
      </c>
      <c r="W1995" s="348">
        <v>112.04055122370886</v>
      </c>
      <c r="X1995" s="347">
        <v>55.14</v>
      </c>
      <c r="Y1995" s="357">
        <v>54.18</v>
      </c>
      <c r="Z1995" s="365" t="s">
        <v>4408</v>
      </c>
      <c r="AA1995" s="350">
        <v>24</v>
      </c>
      <c r="AB1995" s="349" t="s">
        <v>2685</v>
      </c>
      <c r="AC1995" s="350">
        <v>5</v>
      </c>
      <c r="AD1995" s="349" t="s">
        <v>2685</v>
      </c>
      <c r="AE1995" s="364">
        <v>0</v>
      </c>
      <c r="AF1995" s="366">
        <v>8.1270000000000007</v>
      </c>
      <c r="AG1995" s="363">
        <v>0</v>
      </c>
      <c r="AH1995" s="635" t="s">
        <v>4662</v>
      </c>
      <c r="AL1995" s="487" t="s">
        <v>16370</v>
      </c>
      <c r="AM1995" s="477" t="s">
        <v>70</v>
      </c>
      <c r="AN1995" s="637">
        <v>100</v>
      </c>
      <c r="AO1995" s="478">
        <v>-1570</v>
      </c>
      <c r="AP1995" s="463">
        <v>-1570</v>
      </c>
      <c r="AQ1995" s="479">
        <v>0</v>
      </c>
      <c r="AR1995" s="476" t="s">
        <v>18033</v>
      </c>
      <c r="BA1995" s="313" t="s">
        <v>6921</v>
      </c>
    </row>
    <row r="1996" spans="2:53" ht="16.5" customHeight="1">
      <c r="B1996" s="367" t="s">
        <v>13480</v>
      </c>
      <c r="C1996" s="351" t="s">
        <v>13481</v>
      </c>
      <c r="D1996" s="353">
        <v>-1570</v>
      </c>
      <c r="E1996" s="352" t="s">
        <v>408</v>
      </c>
      <c r="F1996" s="341">
        <v>63.5</v>
      </c>
      <c r="G1996" s="355" t="s">
        <v>13482</v>
      </c>
      <c r="H1996" s="356" t="s">
        <v>6719</v>
      </c>
      <c r="I1996" s="354" t="s">
        <v>497</v>
      </c>
      <c r="J1996" s="340" t="s">
        <v>499</v>
      </c>
      <c r="K1996" s="339" t="s">
        <v>71</v>
      </c>
      <c r="L1996" s="357">
        <v>6</v>
      </c>
      <c r="M1996" s="358" t="s">
        <v>13484</v>
      </c>
      <c r="N1996" s="359">
        <v>200</v>
      </c>
      <c r="O1996" s="360" t="s">
        <v>454</v>
      </c>
      <c r="P1996" s="343" t="s">
        <v>454</v>
      </c>
      <c r="Q1996" s="342" t="s">
        <v>2738</v>
      </c>
      <c r="R1996" s="344">
        <v>50</v>
      </c>
      <c r="S1996" s="345">
        <v>0</v>
      </c>
      <c r="T1996" s="362">
        <v>0</v>
      </c>
      <c r="U1996" s="361">
        <v>63.5</v>
      </c>
      <c r="V1996" s="346">
        <v>109.05882352941177</v>
      </c>
      <c r="W1996" s="348">
        <v>112.04</v>
      </c>
      <c r="X1996" s="347">
        <v>55.14</v>
      </c>
      <c r="Y1996" s="357" t="s">
        <v>408</v>
      </c>
      <c r="Z1996" s="365" t="s">
        <v>4408</v>
      </c>
      <c r="AA1996" s="350">
        <v>94</v>
      </c>
      <c r="AB1996" s="349" t="s">
        <v>2685</v>
      </c>
      <c r="AC1996" s="350">
        <v>1.5</v>
      </c>
      <c r="AD1996" s="349" t="s">
        <v>2685</v>
      </c>
      <c r="AE1996" s="364">
        <v>0</v>
      </c>
      <c r="AF1996" s="366">
        <v>0</v>
      </c>
      <c r="AG1996" s="363">
        <v>0</v>
      </c>
      <c r="AH1996" s="635" t="s">
        <v>10127</v>
      </c>
      <c r="AL1996" s="487" t="s">
        <v>16371</v>
      </c>
      <c r="AM1996" s="477" t="s">
        <v>71</v>
      </c>
      <c r="AN1996" s="637">
        <v>100</v>
      </c>
      <c r="AO1996" s="478">
        <v>-1570</v>
      </c>
      <c r="AP1996" s="463">
        <v>-643</v>
      </c>
      <c r="AQ1996" s="479">
        <v>-927</v>
      </c>
      <c r="AR1996" s="476" t="s">
        <v>18034</v>
      </c>
      <c r="BA1996" s="313" t="s">
        <v>6923</v>
      </c>
    </row>
    <row r="1997" spans="2:53" ht="16.5" customHeight="1">
      <c r="B1997" s="367" t="s">
        <v>6957</v>
      </c>
      <c r="C1997" s="351" t="s">
        <v>6958</v>
      </c>
      <c r="D1997" s="353">
        <v>-1570</v>
      </c>
      <c r="E1997" s="352" t="s">
        <v>13485</v>
      </c>
      <c r="F1997" s="341">
        <v>63.41</v>
      </c>
      <c r="G1997" s="355" t="s">
        <v>19222</v>
      </c>
      <c r="H1997" s="356" t="s">
        <v>19223</v>
      </c>
      <c r="I1997" s="354" t="s">
        <v>213</v>
      </c>
      <c r="J1997" s="340" t="s">
        <v>9757</v>
      </c>
      <c r="K1997" s="339" t="s">
        <v>71</v>
      </c>
      <c r="L1997" s="357">
        <v>16</v>
      </c>
      <c r="M1997" s="358" t="s">
        <v>13486</v>
      </c>
      <c r="N1997" s="359">
        <v>1000</v>
      </c>
      <c r="O1997" s="360" t="s">
        <v>454</v>
      </c>
      <c r="P1997" s="343" t="s">
        <v>454</v>
      </c>
      <c r="Q1997" s="342" t="s">
        <v>2688</v>
      </c>
      <c r="R1997" s="344">
        <v>30</v>
      </c>
      <c r="S1997" s="345">
        <v>20</v>
      </c>
      <c r="T1997" s="362">
        <v>30</v>
      </c>
      <c r="U1997" s="361">
        <v>63.41</v>
      </c>
      <c r="V1997" s="346">
        <v>109.00367647058823</v>
      </c>
      <c r="W1997" s="348">
        <v>112.0025</v>
      </c>
      <c r="X1997" s="347">
        <v>54.64</v>
      </c>
      <c r="Y1997" s="357" t="s">
        <v>408</v>
      </c>
      <c r="Z1997" s="365" t="s">
        <v>4408</v>
      </c>
      <c r="AA1997" s="350">
        <v>180</v>
      </c>
      <c r="AB1997" s="349" t="s">
        <v>2685</v>
      </c>
      <c r="AC1997" s="350">
        <v>10</v>
      </c>
      <c r="AD1997" s="349" t="s">
        <v>2685</v>
      </c>
      <c r="AE1997" s="364">
        <v>0</v>
      </c>
      <c r="AF1997" s="366">
        <v>0</v>
      </c>
      <c r="AG1997" s="363">
        <v>0</v>
      </c>
      <c r="AH1997" s="635" t="s">
        <v>408</v>
      </c>
      <c r="AL1997" s="487" t="s">
        <v>16372</v>
      </c>
      <c r="AM1997" s="477" t="s">
        <v>71</v>
      </c>
      <c r="AN1997" s="637">
        <v>100</v>
      </c>
      <c r="AO1997" s="478">
        <v>-1570</v>
      </c>
      <c r="AP1997" s="463">
        <v>-640</v>
      </c>
      <c r="AQ1997" s="479">
        <v>-930</v>
      </c>
      <c r="AR1997" s="476" t="s">
        <v>18035</v>
      </c>
      <c r="BA1997" s="313" t="s">
        <v>6924</v>
      </c>
    </row>
    <row r="1998" spans="2:53" ht="16.5" customHeight="1">
      <c r="B1998" s="367" t="s">
        <v>13487</v>
      </c>
      <c r="C1998" s="351" t="s">
        <v>13488</v>
      </c>
      <c r="D1998" s="353">
        <v>-1570</v>
      </c>
      <c r="E1998" s="352" t="s">
        <v>408</v>
      </c>
      <c r="F1998" s="341">
        <v>63.29</v>
      </c>
      <c r="G1998" s="355" t="s">
        <v>13489</v>
      </c>
      <c r="H1998" s="356" t="s">
        <v>19224</v>
      </c>
      <c r="I1998" s="354" t="s">
        <v>8000</v>
      </c>
      <c r="J1998" s="340" t="s">
        <v>8558</v>
      </c>
      <c r="K1998" s="339" t="s">
        <v>70</v>
      </c>
      <c r="L1998" s="357">
        <v>9</v>
      </c>
      <c r="M1998" s="358" t="s">
        <v>13490</v>
      </c>
      <c r="N1998" s="359">
        <v>1000</v>
      </c>
      <c r="O1998" s="360" t="s">
        <v>532</v>
      </c>
      <c r="P1998" s="343" t="s">
        <v>532</v>
      </c>
      <c r="Q1998" s="342" t="s">
        <v>2688</v>
      </c>
      <c r="R1998" s="344">
        <v>25</v>
      </c>
      <c r="S1998" s="345">
        <v>30</v>
      </c>
      <c r="T1998" s="362">
        <v>25</v>
      </c>
      <c r="U1998" s="361">
        <v>63.29</v>
      </c>
      <c r="V1998" s="346">
        <v>108.93639112565396</v>
      </c>
      <c r="W1998" s="348">
        <v>111.92844001636071</v>
      </c>
      <c r="X1998" s="347" t="s">
        <v>19225</v>
      </c>
      <c r="Y1998" s="357" t="s">
        <v>408</v>
      </c>
      <c r="Z1998" s="365" t="s">
        <v>4408</v>
      </c>
      <c r="AA1998" s="350">
        <v>192</v>
      </c>
      <c r="AB1998" s="349" t="s">
        <v>2685</v>
      </c>
      <c r="AC1998" s="350">
        <v>0</v>
      </c>
      <c r="AD1998" s="349" t="s">
        <v>2685</v>
      </c>
      <c r="AE1998" s="364">
        <v>0</v>
      </c>
      <c r="AF1998" s="366">
        <v>0</v>
      </c>
      <c r="AG1998" s="363">
        <v>0</v>
      </c>
      <c r="AH1998" s="635" t="s">
        <v>408</v>
      </c>
      <c r="AL1998" s="487" t="s">
        <v>16374</v>
      </c>
      <c r="AM1998" s="477" t="s">
        <v>70</v>
      </c>
      <c r="AN1998" s="637">
        <v>100</v>
      </c>
      <c r="AO1998" s="478">
        <v>-1570</v>
      </c>
      <c r="AP1998" s="463">
        <v>-1570</v>
      </c>
      <c r="AQ1998" s="479">
        <v>0</v>
      </c>
      <c r="AR1998" s="476" t="s">
        <v>18036</v>
      </c>
      <c r="BA1998" s="313" t="s">
        <v>6926</v>
      </c>
    </row>
    <row r="1999" spans="2:53" ht="16.5" customHeight="1">
      <c r="B1999" s="367" t="s">
        <v>13491</v>
      </c>
      <c r="C1999" s="351" t="s">
        <v>13492</v>
      </c>
      <c r="D1999" s="353">
        <v>-1570</v>
      </c>
      <c r="E1999" s="352" t="s">
        <v>408</v>
      </c>
      <c r="F1999" s="341">
        <v>63.28</v>
      </c>
      <c r="G1999" s="355" t="s">
        <v>13493</v>
      </c>
      <c r="H1999" s="356" t="s">
        <v>19226</v>
      </c>
      <c r="I1999" s="354" t="s">
        <v>209</v>
      </c>
      <c r="J1999" s="340" t="s">
        <v>13494</v>
      </c>
      <c r="K1999" s="339" t="s">
        <v>70</v>
      </c>
      <c r="L1999" s="357">
        <v>17</v>
      </c>
      <c r="M1999" s="358" t="s">
        <v>6884</v>
      </c>
      <c r="N1999" s="359">
        <v>1000</v>
      </c>
      <c r="O1999" s="360" t="s">
        <v>530</v>
      </c>
      <c r="P1999" s="343" t="s">
        <v>530</v>
      </c>
      <c r="Q1999" s="342" t="s">
        <v>2688</v>
      </c>
      <c r="R1999" s="344">
        <v>20</v>
      </c>
      <c r="S1999" s="345">
        <v>30</v>
      </c>
      <c r="T1999" s="362">
        <v>30</v>
      </c>
      <c r="U1999" s="361">
        <v>63.28</v>
      </c>
      <c r="V1999" s="346">
        <v>108.93075399638643</v>
      </c>
      <c r="W1999" s="348">
        <v>111.92209824593473</v>
      </c>
      <c r="X1999" s="347">
        <v>55.06</v>
      </c>
      <c r="Y1999" s="357" t="s">
        <v>408</v>
      </c>
      <c r="Z1999" s="365" t="s">
        <v>3017</v>
      </c>
      <c r="AA1999" s="350">
        <v>198</v>
      </c>
      <c r="AB1999" s="349" t="s">
        <v>2685</v>
      </c>
      <c r="AC1999" s="350">
        <v>10</v>
      </c>
      <c r="AD1999" s="349" t="s">
        <v>2685</v>
      </c>
      <c r="AE1999" s="364">
        <v>0</v>
      </c>
      <c r="AF1999" s="366">
        <v>0</v>
      </c>
      <c r="AG1999" s="363">
        <v>0</v>
      </c>
      <c r="AH1999" s="635" t="s">
        <v>408</v>
      </c>
      <c r="AL1999" s="487" t="s">
        <v>16373</v>
      </c>
      <c r="AM1999" s="477" t="s">
        <v>70</v>
      </c>
      <c r="AN1999" s="637">
        <v>100</v>
      </c>
      <c r="AO1999" s="478">
        <v>-1570</v>
      </c>
      <c r="AP1999" s="463">
        <v>-1570</v>
      </c>
      <c r="AQ1999" s="479">
        <v>0</v>
      </c>
      <c r="AR1999" s="476" t="s">
        <v>18037</v>
      </c>
      <c r="BA1999" s="313" t="s">
        <v>6927</v>
      </c>
    </row>
    <row r="2000" spans="2:53" ht="16.5" customHeight="1">
      <c r="B2000" s="367" t="s">
        <v>13495</v>
      </c>
      <c r="C2000" s="351" t="s">
        <v>13496</v>
      </c>
      <c r="D2000" s="353">
        <v>-1570</v>
      </c>
      <c r="E2000" s="352" t="s">
        <v>13497</v>
      </c>
      <c r="F2000" s="341">
        <v>63.2</v>
      </c>
      <c r="G2000" s="355" t="s">
        <v>19227</v>
      </c>
      <c r="H2000" s="356" t="s">
        <v>6837</v>
      </c>
      <c r="I2000" s="354" t="s">
        <v>213</v>
      </c>
      <c r="J2000" s="340" t="s">
        <v>8654</v>
      </c>
      <c r="K2000" s="339" t="s">
        <v>71</v>
      </c>
      <c r="L2000" s="357">
        <v>9</v>
      </c>
      <c r="M2000" s="358" t="s">
        <v>13499</v>
      </c>
      <c r="N2000" s="359">
        <v>1000</v>
      </c>
      <c r="O2000" s="360" t="s">
        <v>454</v>
      </c>
      <c r="P2000" s="343" t="s">
        <v>454</v>
      </c>
      <c r="Q2000" s="342" t="s">
        <v>2688</v>
      </c>
      <c r="R2000" s="344">
        <v>30</v>
      </c>
      <c r="S2000" s="345">
        <v>20</v>
      </c>
      <c r="T2000" s="362">
        <v>30</v>
      </c>
      <c r="U2000" s="361">
        <v>63.2</v>
      </c>
      <c r="V2000" s="346">
        <v>108.89027777777777</v>
      </c>
      <c r="W2000" s="348">
        <v>111.87656250000001</v>
      </c>
      <c r="X2000" s="347">
        <v>54.57</v>
      </c>
      <c r="Y2000" s="357" t="s">
        <v>408</v>
      </c>
      <c r="Z2000" s="365" t="s">
        <v>4408</v>
      </c>
      <c r="AA2000" s="350">
        <v>180</v>
      </c>
      <c r="AB2000" s="349" t="s">
        <v>2685</v>
      </c>
      <c r="AC2000" s="350">
        <v>10</v>
      </c>
      <c r="AD2000" s="349" t="s">
        <v>2685</v>
      </c>
      <c r="AE2000" s="364">
        <v>0</v>
      </c>
      <c r="AF2000" s="366">
        <v>0</v>
      </c>
      <c r="AG2000" s="363">
        <v>0</v>
      </c>
      <c r="AH2000" s="635" t="s">
        <v>408</v>
      </c>
      <c r="AL2000" s="487" t="s">
        <v>16375</v>
      </c>
      <c r="AM2000" s="477" t="s">
        <v>71</v>
      </c>
      <c r="AN2000" s="637">
        <v>100</v>
      </c>
      <c r="AO2000" s="478">
        <v>-1570</v>
      </c>
      <c r="AP2000" s="463">
        <v>-639</v>
      </c>
      <c r="AQ2000" s="479">
        <v>-931</v>
      </c>
      <c r="AR2000" s="476" t="s">
        <v>18038</v>
      </c>
      <c r="BA2000" s="313" t="s">
        <v>6928</v>
      </c>
    </row>
    <row r="2001" spans="2:53" ht="16.5" customHeight="1">
      <c r="B2001" s="367" t="s">
        <v>13500</v>
      </c>
      <c r="C2001" s="351" t="s">
        <v>13501</v>
      </c>
      <c r="D2001" s="353">
        <v>-1570</v>
      </c>
      <c r="E2001" s="352" t="s">
        <v>408</v>
      </c>
      <c r="F2001" s="341">
        <v>63.14</v>
      </c>
      <c r="G2001" s="355" t="s">
        <v>13502</v>
      </c>
      <c r="H2001" s="356" t="s">
        <v>13308</v>
      </c>
      <c r="I2001" s="354" t="s">
        <v>216</v>
      </c>
      <c r="J2001" s="340" t="s">
        <v>13503</v>
      </c>
      <c r="K2001" s="339" t="s">
        <v>70</v>
      </c>
      <c r="L2001" s="357">
        <v>10</v>
      </c>
      <c r="M2001" s="358" t="s">
        <v>13504</v>
      </c>
      <c r="N2001" s="359">
        <v>300</v>
      </c>
      <c r="O2001" s="360" t="s">
        <v>530</v>
      </c>
      <c r="P2001" s="343" t="s">
        <v>530</v>
      </c>
      <c r="Q2001" s="342" t="s">
        <v>2688</v>
      </c>
      <c r="R2001" s="344">
        <v>25</v>
      </c>
      <c r="S2001" s="345">
        <v>45</v>
      </c>
      <c r="T2001" s="362">
        <v>30</v>
      </c>
      <c r="U2001" s="361">
        <v>63.14</v>
      </c>
      <c r="V2001" s="346">
        <v>108.8530561286269</v>
      </c>
      <c r="W2001" s="348">
        <v>111.83468814470527</v>
      </c>
      <c r="X2001" s="347">
        <v>55.01</v>
      </c>
      <c r="Y2001" s="357" t="s">
        <v>408</v>
      </c>
      <c r="Z2001" s="365" t="s">
        <v>3017</v>
      </c>
      <c r="AA2001" s="350">
        <v>-2</v>
      </c>
      <c r="AB2001" s="349" t="s">
        <v>2685</v>
      </c>
      <c r="AC2001" s="350">
        <v>0</v>
      </c>
      <c r="AD2001" s="349" t="s">
        <v>2685</v>
      </c>
      <c r="AE2001" s="364">
        <v>0</v>
      </c>
      <c r="AF2001" s="366">
        <v>4.9509999999999996</v>
      </c>
      <c r="AG2001" s="363">
        <v>0</v>
      </c>
      <c r="AH2001" s="635" t="s">
        <v>11477</v>
      </c>
      <c r="AL2001" s="487" t="s">
        <v>16376</v>
      </c>
      <c r="AM2001" s="477" t="s">
        <v>70</v>
      </c>
      <c r="AN2001" s="637">
        <v>100</v>
      </c>
      <c r="AO2001" s="478">
        <v>-1570</v>
      </c>
      <c r="AP2001" s="463">
        <v>-1570</v>
      </c>
      <c r="AQ2001" s="479">
        <v>0</v>
      </c>
      <c r="AR2001" s="476" t="s">
        <v>18039</v>
      </c>
      <c r="BA2001" s="313" t="s">
        <v>6929</v>
      </c>
    </row>
    <row r="2002" spans="2:53" ht="16.5" customHeight="1">
      <c r="B2002" s="367" t="s">
        <v>13505</v>
      </c>
      <c r="C2002" s="351" t="s">
        <v>13506</v>
      </c>
      <c r="D2002" s="353">
        <v>-1570</v>
      </c>
      <c r="E2002" s="352" t="s">
        <v>13507</v>
      </c>
      <c r="F2002" s="341">
        <v>63.12</v>
      </c>
      <c r="G2002" s="355" t="s">
        <v>19228</v>
      </c>
      <c r="H2002" s="356" t="s">
        <v>19229</v>
      </c>
      <c r="I2002" s="354" t="s">
        <v>494</v>
      </c>
      <c r="J2002" s="340" t="s">
        <v>13508</v>
      </c>
      <c r="K2002" s="339" t="s">
        <v>71</v>
      </c>
      <c r="L2002" s="357">
        <v>13</v>
      </c>
      <c r="M2002" s="358" t="s">
        <v>13509</v>
      </c>
      <c r="N2002" s="359">
        <v>1000</v>
      </c>
      <c r="O2002" s="360" t="s">
        <v>532</v>
      </c>
      <c r="P2002" s="343" t="s">
        <v>533</v>
      </c>
      <c r="Q2002" s="342" t="s">
        <v>2688</v>
      </c>
      <c r="R2002" s="344">
        <v>30</v>
      </c>
      <c r="S2002" s="345">
        <v>30</v>
      </c>
      <c r="T2002" s="362">
        <v>20</v>
      </c>
      <c r="U2002" s="361">
        <v>63.12</v>
      </c>
      <c r="V2002" s="346">
        <v>108.8471932737345</v>
      </c>
      <c r="W2002" s="348">
        <v>111.82809243295132</v>
      </c>
      <c r="X2002" s="347">
        <v>54.54</v>
      </c>
      <c r="Y2002" s="357">
        <v>54.199999999999996</v>
      </c>
      <c r="Z2002" s="365" t="s">
        <v>3017</v>
      </c>
      <c r="AA2002" s="350">
        <v>190</v>
      </c>
      <c r="AB2002" s="349" t="s">
        <v>2685</v>
      </c>
      <c r="AC2002" s="350">
        <v>0</v>
      </c>
      <c r="AD2002" s="349" t="s">
        <v>2685</v>
      </c>
      <c r="AE2002" s="364">
        <v>0</v>
      </c>
      <c r="AF2002" s="366">
        <v>0</v>
      </c>
      <c r="AG2002" s="363">
        <v>0</v>
      </c>
      <c r="AH2002" s="635" t="s">
        <v>408</v>
      </c>
      <c r="AL2002" s="487" t="s">
        <v>16377</v>
      </c>
      <c r="AM2002" s="477" t="s">
        <v>71</v>
      </c>
      <c r="AN2002" s="637">
        <v>100</v>
      </c>
      <c r="AO2002" s="478">
        <v>-1570</v>
      </c>
      <c r="AP2002" s="463">
        <v>-638</v>
      </c>
      <c r="AQ2002" s="479">
        <v>-932</v>
      </c>
      <c r="AR2002" s="476" t="s">
        <v>18040</v>
      </c>
      <c r="BA2002" s="313" t="s">
        <v>6931</v>
      </c>
    </row>
    <row r="2003" spans="2:53" ht="16.5" customHeight="1">
      <c r="B2003" s="367" t="s">
        <v>13510</v>
      </c>
      <c r="C2003" s="351" t="s">
        <v>13511</v>
      </c>
      <c r="D2003" s="353">
        <v>-1570</v>
      </c>
      <c r="E2003" s="352" t="s">
        <v>408</v>
      </c>
      <c r="F2003" s="341">
        <v>63.03</v>
      </c>
      <c r="G2003" s="355" t="s">
        <v>13512</v>
      </c>
      <c r="H2003" s="356" t="s">
        <v>13311</v>
      </c>
      <c r="I2003" s="354" t="s">
        <v>8000</v>
      </c>
      <c r="J2003" s="340" t="s">
        <v>8007</v>
      </c>
      <c r="K2003" s="339" t="s">
        <v>70</v>
      </c>
      <c r="L2003" s="357">
        <v>11</v>
      </c>
      <c r="M2003" s="358" t="s">
        <v>13513</v>
      </c>
      <c r="N2003" s="359">
        <v>1000</v>
      </c>
      <c r="O2003" s="360" t="s">
        <v>532</v>
      </c>
      <c r="P2003" s="343" t="s">
        <v>532</v>
      </c>
      <c r="Q2003" s="342" t="s">
        <v>2688</v>
      </c>
      <c r="R2003" s="344">
        <v>25</v>
      </c>
      <c r="S2003" s="345">
        <v>30</v>
      </c>
      <c r="T2003" s="362">
        <v>25</v>
      </c>
      <c r="U2003" s="361">
        <v>63.03</v>
      </c>
      <c r="V2003" s="346">
        <v>108.79542968058931</v>
      </c>
      <c r="W2003" s="348">
        <v>111.76985839066298</v>
      </c>
      <c r="X2003" s="347" t="s">
        <v>19230</v>
      </c>
      <c r="Y2003" s="357" t="s">
        <v>408</v>
      </c>
      <c r="Z2003" s="365" t="s">
        <v>4408</v>
      </c>
      <c r="AA2003" s="350">
        <v>192</v>
      </c>
      <c r="AB2003" s="349" t="s">
        <v>2685</v>
      </c>
      <c r="AC2003" s="350">
        <v>0</v>
      </c>
      <c r="AD2003" s="349" t="s">
        <v>2685</v>
      </c>
      <c r="AE2003" s="364">
        <v>0</v>
      </c>
      <c r="AF2003" s="366">
        <v>0</v>
      </c>
      <c r="AG2003" s="363">
        <v>0</v>
      </c>
      <c r="AH2003" s="635" t="s">
        <v>408</v>
      </c>
      <c r="AL2003" s="487" t="s">
        <v>16378</v>
      </c>
      <c r="AM2003" s="477" t="s">
        <v>70</v>
      </c>
      <c r="AN2003" s="637">
        <v>100</v>
      </c>
      <c r="AO2003" s="478">
        <v>-1570</v>
      </c>
      <c r="AP2003" s="463">
        <v>-1570</v>
      </c>
      <c r="AQ2003" s="479">
        <v>0</v>
      </c>
      <c r="AR2003" s="476" t="s">
        <v>18041</v>
      </c>
      <c r="BA2003" s="313" t="s">
        <v>6934</v>
      </c>
    </row>
    <row r="2004" spans="2:53" ht="16.5" customHeight="1">
      <c r="B2004" s="367" t="s">
        <v>18304</v>
      </c>
      <c r="C2004" s="351" t="s">
        <v>18305</v>
      </c>
      <c r="D2004" s="353">
        <v>-1570</v>
      </c>
      <c r="E2004" s="352" t="s">
        <v>13516</v>
      </c>
      <c r="F2004" s="341">
        <v>62.93</v>
      </c>
      <c r="G2004" s="355" t="s">
        <v>19231</v>
      </c>
      <c r="H2004" s="356" t="s">
        <v>13347</v>
      </c>
      <c r="I2004" s="354" t="s">
        <v>8000</v>
      </c>
      <c r="J2004" s="340" t="s">
        <v>9774</v>
      </c>
      <c r="K2004" s="339" t="s">
        <v>71</v>
      </c>
      <c r="L2004" s="357">
        <v>9</v>
      </c>
      <c r="M2004" s="358" t="s">
        <v>13524</v>
      </c>
      <c r="N2004" s="359">
        <v>1000</v>
      </c>
      <c r="O2004" s="360" t="s">
        <v>532</v>
      </c>
      <c r="P2004" s="343" t="s">
        <v>532</v>
      </c>
      <c r="Q2004" s="342" t="s">
        <v>2688</v>
      </c>
      <c r="R2004" s="344">
        <v>30</v>
      </c>
      <c r="S2004" s="345">
        <v>25</v>
      </c>
      <c r="T2004" s="362">
        <v>25</v>
      </c>
      <c r="U2004" s="361">
        <v>62.93</v>
      </c>
      <c r="V2004" s="346">
        <v>108.740224356067</v>
      </c>
      <c r="W2004" s="348">
        <v>111.70775240057537</v>
      </c>
      <c r="X2004" s="347" t="s">
        <v>19232</v>
      </c>
      <c r="Y2004" s="357" t="s">
        <v>408</v>
      </c>
      <c r="Z2004" s="365" t="s">
        <v>4408</v>
      </c>
      <c r="AA2004" s="350">
        <v>192</v>
      </c>
      <c r="AB2004" s="349" t="s">
        <v>2685</v>
      </c>
      <c r="AC2004" s="350">
        <v>0</v>
      </c>
      <c r="AD2004" s="349" t="s">
        <v>2685</v>
      </c>
      <c r="AE2004" s="364">
        <v>0</v>
      </c>
      <c r="AF2004" s="366">
        <v>0</v>
      </c>
      <c r="AG2004" s="363">
        <v>0</v>
      </c>
      <c r="AH2004" s="635" t="s">
        <v>408</v>
      </c>
      <c r="AL2004" s="487" t="s">
        <v>16379</v>
      </c>
      <c r="AM2004" s="477" t="s">
        <v>71</v>
      </c>
      <c r="AN2004" s="637">
        <v>100</v>
      </c>
      <c r="AO2004" s="478">
        <v>-1570</v>
      </c>
      <c r="AP2004" s="463">
        <v>-637</v>
      </c>
      <c r="AQ2004" s="479">
        <v>-933</v>
      </c>
      <c r="AR2004" s="476" t="s">
        <v>18042</v>
      </c>
      <c r="BA2004" s="313" t="s">
        <v>6935</v>
      </c>
    </row>
    <row r="2005" spans="2:53" ht="16.5" customHeight="1">
      <c r="B2005" s="367" t="s">
        <v>13514</v>
      </c>
      <c r="C2005" s="351" t="s">
        <v>13515</v>
      </c>
      <c r="D2005" s="353">
        <v>-1570</v>
      </c>
      <c r="E2005" s="352" t="s">
        <v>408</v>
      </c>
      <c r="F2005" s="341">
        <v>62.92</v>
      </c>
      <c r="G2005" s="355" t="s">
        <v>6864</v>
      </c>
      <c r="H2005" s="356" t="s">
        <v>19233</v>
      </c>
      <c r="I2005" s="354" t="s">
        <v>215</v>
      </c>
      <c r="J2005" s="340" t="s">
        <v>13517</v>
      </c>
      <c r="K2005" s="339" t="s">
        <v>71</v>
      </c>
      <c r="L2005" s="357">
        <v>3</v>
      </c>
      <c r="M2005" s="358" t="s">
        <v>13518</v>
      </c>
      <c r="N2005" s="359">
        <v>1000</v>
      </c>
      <c r="O2005" s="360" t="s">
        <v>530</v>
      </c>
      <c r="P2005" s="343" t="s">
        <v>531</v>
      </c>
      <c r="Q2005" s="342" t="s">
        <v>2688</v>
      </c>
      <c r="R2005" s="344">
        <v>13</v>
      </c>
      <c r="S2005" s="345">
        <v>50</v>
      </c>
      <c r="T2005" s="362">
        <v>25</v>
      </c>
      <c r="U2005" s="361">
        <v>62.92</v>
      </c>
      <c r="V2005" s="346">
        <v>108.73566084788031</v>
      </c>
      <c r="W2005" s="348">
        <v>111.70261845386534</v>
      </c>
      <c r="X2005" s="347">
        <v>54.48</v>
      </c>
      <c r="Y2005" s="357">
        <v>54.3</v>
      </c>
      <c r="Z2005" s="365" t="s">
        <v>3017</v>
      </c>
      <c r="AA2005" s="350">
        <v>121.25</v>
      </c>
      <c r="AB2005" s="349" t="s">
        <v>2685</v>
      </c>
      <c r="AC2005" s="350">
        <v>10</v>
      </c>
      <c r="AD2005" s="349" t="s">
        <v>2685</v>
      </c>
      <c r="AE2005" s="364">
        <v>0</v>
      </c>
      <c r="AF2005" s="366">
        <v>0</v>
      </c>
      <c r="AG2005" s="363">
        <v>0</v>
      </c>
      <c r="AH2005" s="635" t="s">
        <v>408</v>
      </c>
      <c r="AL2005" s="487" t="s">
        <v>16380</v>
      </c>
      <c r="AM2005" s="477" t="s">
        <v>71</v>
      </c>
      <c r="AN2005" s="637">
        <v>100</v>
      </c>
      <c r="AO2005" s="478">
        <v>-1570</v>
      </c>
      <c r="AP2005" s="463">
        <v>-637</v>
      </c>
      <c r="AQ2005" s="479">
        <v>-933</v>
      </c>
      <c r="AR2005" s="476" t="s">
        <v>18043</v>
      </c>
      <c r="BA2005" s="313" t="s">
        <v>6936</v>
      </c>
    </row>
    <row r="2006" spans="2:53" ht="16.5" customHeight="1">
      <c r="B2006" s="367" t="s">
        <v>13519</v>
      </c>
      <c r="C2006" s="351" t="s">
        <v>13520</v>
      </c>
      <c r="D2006" s="353">
        <v>-1570</v>
      </c>
      <c r="E2006" s="352" t="s">
        <v>13523</v>
      </c>
      <c r="F2006" s="341">
        <v>62.89</v>
      </c>
      <c r="G2006" s="355" t="s">
        <v>6914</v>
      </c>
      <c r="H2006" s="356" t="s">
        <v>19234</v>
      </c>
      <c r="I2006" s="354" t="s">
        <v>209</v>
      </c>
      <c r="J2006" s="340" t="s">
        <v>13521</v>
      </c>
      <c r="K2006" s="339" t="s">
        <v>70</v>
      </c>
      <c r="L2006" s="357">
        <v>14</v>
      </c>
      <c r="M2006" s="358" t="s">
        <v>13522</v>
      </c>
      <c r="N2006" s="359">
        <v>1000</v>
      </c>
      <c r="O2006" s="360" t="s">
        <v>530</v>
      </c>
      <c r="P2006" s="343" t="s">
        <v>530</v>
      </c>
      <c r="Q2006" s="342" t="s">
        <v>2688</v>
      </c>
      <c r="R2006" s="344">
        <v>20</v>
      </c>
      <c r="S2006" s="345">
        <v>30</v>
      </c>
      <c r="T2006" s="362">
        <v>30</v>
      </c>
      <c r="U2006" s="361">
        <v>62.89</v>
      </c>
      <c r="V2006" s="346">
        <v>108.71461983523396</v>
      </c>
      <c r="W2006" s="348">
        <v>111.67894731463819</v>
      </c>
      <c r="X2006" s="347">
        <v>54.92</v>
      </c>
      <c r="Y2006" s="357" t="s">
        <v>408</v>
      </c>
      <c r="Z2006" s="365" t="s">
        <v>3017</v>
      </c>
      <c r="AA2006" s="350">
        <v>198</v>
      </c>
      <c r="AB2006" s="349" t="s">
        <v>2685</v>
      </c>
      <c r="AC2006" s="350">
        <v>10</v>
      </c>
      <c r="AD2006" s="349" t="s">
        <v>2685</v>
      </c>
      <c r="AE2006" s="364">
        <v>0</v>
      </c>
      <c r="AF2006" s="366">
        <v>0</v>
      </c>
      <c r="AG2006" s="363">
        <v>0</v>
      </c>
      <c r="AH2006" s="635" t="s">
        <v>408</v>
      </c>
      <c r="AL2006" s="487" t="s">
        <v>16381</v>
      </c>
      <c r="AM2006" s="477" t="s">
        <v>70</v>
      </c>
      <c r="AN2006" s="637">
        <v>100</v>
      </c>
      <c r="AO2006" s="478">
        <v>-1570</v>
      </c>
      <c r="AP2006" s="463">
        <v>-1570</v>
      </c>
      <c r="AQ2006" s="479">
        <v>0</v>
      </c>
      <c r="AR2006" s="476" t="s">
        <v>18044</v>
      </c>
      <c r="BA2006" s="313" t="s">
        <v>6937</v>
      </c>
    </row>
    <row r="2007" spans="2:53" ht="16.5" customHeight="1">
      <c r="B2007" s="367" t="s">
        <v>13525</v>
      </c>
      <c r="C2007" s="351" t="s">
        <v>13526</v>
      </c>
      <c r="D2007" s="353">
        <v>-1570</v>
      </c>
      <c r="E2007" s="352" t="s">
        <v>13527</v>
      </c>
      <c r="F2007" s="341">
        <v>62.82</v>
      </c>
      <c r="G2007" s="355" t="s">
        <v>19235</v>
      </c>
      <c r="H2007" s="356" t="s">
        <v>13398</v>
      </c>
      <c r="I2007" s="354" t="s">
        <v>213</v>
      </c>
      <c r="J2007" s="340" t="s">
        <v>8618</v>
      </c>
      <c r="K2007" s="339" t="s">
        <v>71</v>
      </c>
      <c r="L2007" s="357">
        <v>10</v>
      </c>
      <c r="M2007" s="358" t="s">
        <v>13528</v>
      </c>
      <c r="N2007" s="359">
        <v>1000</v>
      </c>
      <c r="O2007" s="360" t="s">
        <v>454</v>
      </c>
      <c r="P2007" s="343" t="s">
        <v>454</v>
      </c>
      <c r="Q2007" s="342" t="s">
        <v>2688</v>
      </c>
      <c r="R2007" s="344">
        <v>30</v>
      </c>
      <c r="S2007" s="345">
        <v>20</v>
      </c>
      <c r="T2007" s="362">
        <v>30</v>
      </c>
      <c r="U2007" s="361">
        <v>62.82</v>
      </c>
      <c r="V2007" s="346">
        <v>108.67708333333334</v>
      </c>
      <c r="W2007" s="348">
        <v>111.63671875</v>
      </c>
      <c r="X2007" s="347">
        <v>54.44</v>
      </c>
      <c r="Y2007" s="357" t="s">
        <v>408</v>
      </c>
      <c r="Z2007" s="365" t="s">
        <v>4408</v>
      </c>
      <c r="AA2007" s="350">
        <v>180</v>
      </c>
      <c r="AB2007" s="349" t="s">
        <v>2685</v>
      </c>
      <c r="AC2007" s="350">
        <v>10</v>
      </c>
      <c r="AD2007" s="349" t="s">
        <v>2685</v>
      </c>
      <c r="AE2007" s="364">
        <v>0</v>
      </c>
      <c r="AF2007" s="366">
        <v>0</v>
      </c>
      <c r="AG2007" s="363">
        <v>0</v>
      </c>
      <c r="AH2007" s="635" t="s">
        <v>408</v>
      </c>
      <c r="AL2007" s="487" t="s">
        <v>16382</v>
      </c>
      <c r="AM2007" s="477" t="s">
        <v>71</v>
      </c>
      <c r="AN2007" s="637">
        <v>100</v>
      </c>
      <c r="AO2007" s="478">
        <v>-1570</v>
      </c>
      <c r="AP2007" s="463">
        <v>-637</v>
      </c>
      <c r="AQ2007" s="479">
        <v>-933</v>
      </c>
      <c r="AR2007" s="476" t="s">
        <v>18045</v>
      </c>
      <c r="BA2007" s="313" t="s">
        <v>6938</v>
      </c>
    </row>
    <row r="2008" spans="2:53" ht="16.5" customHeight="1">
      <c r="B2008" s="367" t="s">
        <v>13529</v>
      </c>
      <c r="C2008" s="351" t="s">
        <v>13530</v>
      </c>
      <c r="D2008" s="353">
        <v>-1570</v>
      </c>
      <c r="E2008" s="352" t="s">
        <v>408</v>
      </c>
      <c r="F2008" s="341">
        <v>62.8</v>
      </c>
      <c r="G2008" s="355" t="s">
        <v>13498</v>
      </c>
      <c r="H2008" s="356" t="s">
        <v>19236</v>
      </c>
      <c r="I2008" s="354" t="s">
        <v>8000</v>
      </c>
      <c r="J2008" s="340" t="s">
        <v>8224</v>
      </c>
      <c r="K2008" s="339" t="s">
        <v>70</v>
      </c>
      <c r="L2008" s="357">
        <v>14</v>
      </c>
      <c r="M2008" s="358" t="s">
        <v>13531</v>
      </c>
      <c r="N2008" s="359">
        <v>1000</v>
      </c>
      <c r="O2008" s="360" t="s">
        <v>532</v>
      </c>
      <c r="P2008" s="343" t="s">
        <v>532</v>
      </c>
      <c r="Q2008" s="342" t="s">
        <v>2688</v>
      </c>
      <c r="R2008" s="344">
        <v>25</v>
      </c>
      <c r="S2008" s="345">
        <v>30</v>
      </c>
      <c r="T2008" s="362">
        <v>25</v>
      </c>
      <c r="U2008" s="361">
        <v>62.8</v>
      </c>
      <c r="V2008" s="346">
        <v>108.66825794210706</v>
      </c>
      <c r="W2008" s="348">
        <v>111.62679018487043</v>
      </c>
      <c r="X2008" s="347" t="s">
        <v>19237</v>
      </c>
      <c r="Y2008" s="357" t="s">
        <v>408</v>
      </c>
      <c r="Z2008" s="365" t="s">
        <v>4408</v>
      </c>
      <c r="AA2008" s="350">
        <v>192</v>
      </c>
      <c r="AB2008" s="349" t="s">
        <v>2685</v>
      </c>
      <c r="AC2008" s="350">
        <v>0</v>
      </c>
      <c r="AD2008" s="349" t="s">
        <v>2685</v>
      </c>
      <c r="AE2008" s="364">
        <v>0</v>
      </c>
      <c r="AF2008" s="366">
        <v>0</v>
      </c>
      <c r="AG2008" s="363">
        <v>0</v>
      </c>
      <c r="AH2008" s="635" t="s">
        <v>408</v>
      </c>
      <c r="AL2008" s="487" t="s">
        <v>16383</v>
      </c>
      <c r="AM2008" s="477" t="s">
        <v>70</v>
      </c>
      <c r="AN2008" s="637">
        <v>100</v>
      </c>
      <c r="AO2008" s="478">
        <v>-1570</v>
      </c>
      <c r="AP2008" s="463">
        <v>-1570</v>
      </c>
      <c r="AQ2008" s="479">
        <v>0</v>
      </c>
      <c r="AR2008" s="476" t="s">
        <v>18046</v>
      </c>
      <c r="BA2008" s="313" t="s">
        <v>6939</v>
      </c>
    </row>
    <row r="2009" spans="2:53" ht="16.5" customHeight="1">
      <c r="B2009" s="367" t="s">
        <v>13532</v>
      </c>
      <c r="C2009" s="351" t="s">
        <v>13533</v>
      </c>
      <c r="D2009" s="353">
        <v>-1570</v>
      </c>
      <c r="E2009" s="352" t="s">
        <v>408</v>
      </c>
      <c r="F2009" s="341">
        <v>62.75</v>
      </c>
      <c r="G2009" s="355" t="s">
        <v>13534</v>
      </c>
      <c r="H2009" s="356" t="s">
        <v>19238</v>
      </c>
      <c r="I2009" s="354" t="s">
        <v>216</v>
      </c>
      <c r="J2009" s="340" t="s">
        <v>9074</v>
      </c>
      <c r="K2009" s="339" t="s">
        <v>70</v>
      </c>
      <c r="L2009" s="357">
        <v>16</v>
      </c>
      <c r="M2009" s="358" t="s">
        <v>13535</v>
      </c>
      <c r="N2009" s="359">
        <v>300</v>
      </c>
      <c r="O2009" s="360" t="s">
        <v>530</v>
      </c>
      <c r="P2009" s="343" t="s">
        <v>530</v>
      </c>
      <c r="Q2009" s="342" t="s">
        <v>2688</v>
      </c>
      <c r="R2009" s="344">
        <v>25</v>
      </c>
      <c r="S2009" s="345">
        <v>45</v>
      </c>
      <c r="T2009" s="362">
        <v>30</v>
      </c>
      <c r="U2009" s="361">
        <v>62.75</v>
      </c>
      <c r="V2009" s="346">
        <v>108.63807670175595</v>
      </c>
      <c r="W2009" s="348">
        <v>111.59283628947543</v>
      </c>
      <c r="X2009" s="347">
        <v>54.87</v>
      </c>
      <c r="Y2009" s="357" t="s">
        <v>408</v>
      </c>
      <c r="Z2009" s="365" t="s">
        <v>3017</v>
      </c>
      <c r="AA2009" s="350">
        <v>-2</v>
      </c>
      <c r="AB2009" s="349" t="s">
        <v>2685</v>
      </c>
      <c r="AC2009" s="350">
        <v>0</v>
      </c>
      <c r="AD2009" s="349" t="s">
        <v>2685</v>
      </c>
      <c r="AE2009" s="364">
        <v>0</v>
      </c>
      <c r="AF2009" s="366">
        <v>0</v>
      </c>
      <c r="AG2009" s="363">
        <v>0</v>
      </c>
      <c r="AH2009" s="635" t="s">
        <v>408</v>
      </c>
      <c r="AL2009" s="487" t="s">
        <v>16384</v>
      </c>
      <c r="AM2009" s="477" t="s">
        <v>70</v>
      </c>
      <c r="AN2009" s="637">
        <v>100</v>
      </c>
      <c r="AO2009" s="478">
        <v>-1570</v>
      </c>
      <c r="AP2009" s="463">
        <v>-1570</v>
      </c>
      <c r="AQ2009" s="479">
        <v>0</v>
      </c>
      <c r="AR2009" s="476" t="s">
        <v>18047</v>
      </c>
      <c r="BA2009" s="313" t="s">
        <v>6940</v>
      </c>
    </row>
    <row r="2010" spans="2:53" ht="16.5" customHeight="1">
      <c r="B2010" s="367" t="s">
        <v>6971</v>
      </c>
      <c r="C2010" s="351" t="s">
        <v>6972</v>
      </c>
      <c r="D2010" s="353">
        <v>-1570</v>
      </c>
      <c r="E2010" s="352" t="s">
        <v>13536</v>
      </c>
      <c r="F2010" s="341">
        <v>62.72</v>
      </c>
      <c r="G2010" s="355" t="s">
        <v>13641</v>
      </c>
      <c r="H2010" s="356" t="s">
        <v>13333</v>
      </c>
      <c r="I2010" s="354" t="s">
        <v>215</v>
      </c>
      <c r="J2010" s="340" t="s">
        <v>11776</v>
      </c>
      <c r="K2010" s="339" t="s">
        <v>71</v>
      </c>
      <c r="L2010" s="357">
        <v>6</v>
      </c>
      <c r="M2010" s="358" t="s">
        <v>13537</v>
      </c>
      <c r="N2010" s="359">
        <v>1000</v>
      </c>
      <c r="O2010" s="360" t="s">
        <v>530</v>
      </c>
      <c r="P2010" s="343" t="s">
        <v>531</v>
      </c>
      <c r="Q2010" s="342" t="s">
        <v>2688</v>
      </c>
      <c r="R2010" s="344">
        <v>13</v>
      </c>
      <c r="S2010" s="345">
        <v>50</v>
      </c>
      <c r="T2010" s="362">
        <v>25</v>
      </c>
      <c r="U2010" s="361">
        <v>62.72</v>
      </c>
      <c r="V2010" s="346">
        <v>108.62394014962592</v>
      </c>
      <c r="W2010" s="348">
        <v>111.57693266832916</v>
      </c>
      <c r="X2010" s="347">
        <v>54.41</v>
      </c>
      <c r="Y2010" s="357">
        <v>54.23</v>
      </c>
      <c r="Z2010" s="365" t="s">
        <v>3017</v>
      </c>
      <c r="AA2010" s="350">
        <v>121.25</v>
      </c>
      <c r="AB2010" s="349" t="s">
        <v>2685</v>
      </c>
      <c r="AC2010" s="350">
        <v>10</v>
      </c>
      <c r="AD2010" s="349" t="s">
        <v>2685</v>
      </c>
      <c r="AE2010" s="364">
        <v>0</v>
      </c>
      <c r="AF2010" s="366">
        <v>0</v>
      </c>
      <c r="AG2010" s="363">
        <v>0</v>
      </c>
      <c r="AH2010" s="635" t="s">
        <v>408</v>
      </c>
      <c r="AL2010" s="487" t="s">
        <v>16385</v>
      </c>
      <c r="AM2010" s="477" t="s">
        <v>71</v>
      </c>
      <c r="AN2010" s="637">
        <v>100</v>
      </c>
      <c r="AO2010" s="478">
        <v>-1570</v>
      </c>
      <c r="AP2010" s="463">
        <v>-636</v>
      </c>
      <c r="AQ2010" s="479">
        <v>-934</v>
      </c>
      <c r="AR2010" s="476" t="s">
        <v>18048</v>
      </c>
      <c r="BA2010" s="313" t="s">
        <v>6941</v>
      </c>
    </row>
    <row r="2011" spans="2:53" ht="16.5" customHeight="1">
      <c r="B2011" s="367" t="s">
        <v>13538</v>
      </c>
      <c r="C2011" s="351" t="s">
        <v>13539</v>
      </c>
      <c r="D2011" s="353">
        <v>-1570</v>
      </c>
      <c r="E2011" s="352" t="s">
        <v>6930</v>
      </c>
      <c r="F2011" s="341">
        <v>62.7</v>
      </c>
      <c r="G2011" s="355" t="s">
        <v>19239</v>
      </c>
      <c r="H2011" s="356" t="s">
        <v>19240</v>
      </c>
      <c r="I2011" s="354" t="s">
        <v>213</v>
      </c>
      <c r="J2011" s="340" t="s">
        <v>8217</v>
      </c>
      <c r="K2011" s="339" t="s">
        <v>71</v>
      </c>
      <c r="L2011" s="357">
        <v>9</v>
      </c>
      <c r="M2011" s="358" t="s">
        <v>13540</v>
      </c>
      <c r="N2011" s="359">
        <v>1000</v>
      </c>
      <c r="O2011" s="360" t="s">
        <v>454</v>
      </c>
      <c r="P2011" s="343" t="s">
        <v>454</v>
      </c>
      <c r="Q2011" s="342" t="s">
        <v>2688</v>
      </c>
      <c r="R2011" s="344">
        <v>30</v>
      </c>
      <c r="S2011" s="345">
        <v>20</v>
      </c>
      <c r="T2011" s="362">
        <v>30</v>
      </c>
      <c r="U2011" s="361">
        <v>62.7</v>
      </c>
      <c r="V2011" s="346">
        <v>108.61111111111111</v>
      </c>
      <c r="W2011" s="348">
        <v>111.5625</v>
      </c>
      <c r="X2011" s="347">
        <v>54.4</v>
      </c>
      <c r="Y2011" s="357" t="s">
        <v>408</v>
      </c>
      <c r="Z2011" s="365" t="s">
        <v>4408</v>
      </c>
      <c r="AA2011" s="350">
        <v>180</v>
      </c>
      <c r="AB2011" s="349" t="s">
        <v>2685</v>
      </c>
      <c r="AC2011" s="350">
        <v>10</v>
      </c>
      <c r="AD2011" s="349" t="s">
        <v>2685</v>
      </c>
      <c r="AE2011" s="364">
        <v>0</v>
      </c>
      <c r="AF2011" s="366">
        <v>0</v>
      </c>
      <c r="AG2011" s="363">
        <v>0</v>
      </c>
      <c r="AH2011" s="635" t="s">
        <v>408</v>
      </c>
      <c r="AL2011" s="487" t="s">
        <v>16386</v>
      </c>
      <c r="AM2011" s="477" t="s">
        <v>71</v>
      </c>
      <c r="AN2011" s="637">
        <v>100</v>
      </c>
      <c r="AO2011" s="478">
        <v>-1570</v>
      </c>
      <c r="AP2011" s="463">
        <v>-636</v>
      </c>
      <c r="AQ2011" s="479">
        <v>-934</v>
      </c>
      <c r="AR2011" s="476" t="s">
        <v>18049</v>
      </c>
      <c r="BA2011" s="313" t="s">
        <v>6942</v>
      </c>
    </row>
    <row r="2012" spans="2:53" ht="16.5" customHeight="1">
      <c r="B2012" s="367" t="s">
        <v>13541</v>
      </c>
      <c r="C2012" s="351" t="s">
        <v>13542</v>
      </c>
      <c r="D2012" s="353">
        <v>-1570</v>
      </c>
      <c r="E2012" s="352" t="s">
        <v>408</v>
      </c>
      <c r="F2012" s="341">
        <v>62.66</v>
      </c>
      <c r="G2012" s="355" t="s">
        <v>6920</v>
      </c>
      <c r="H2012" s="356" t="s">
        <v>19241</v>
      </c>
      <c r="I2012" s="354" t="s">
        <v>8000</v>
      </c>
      <c r="J2012" s="340" t="s">
        <v>8197</v>
      </c>
      <c r="K2012" s="339" t="s">
        <v>70</v>
      </c>
      <c r="L2012" s="357">
        <v>8</v>
      </c>
      <c r="M2012" s="358" t="s">
        <v>13543</v>
      </c>
      <c r="N2012" s="359">
        <v>1000</v>
      </c>
      <c r="O2012" s="360" t="s">
        <v>532</v>
      </c>
      <c r="P2012" s="343" t="s">
        <v>532</v>
      </c>
      <c r="Q2012" s="342" t="s">
        <v>2688</v>
      </c>
      <c r="R2012" s="344">
        <v>25</v>
      </c>
      <c r="S2012" s="345">
        <v>30</v>
      </c>
      <c r="T2012" s="362">
        <v>25</v>
      </c>
      <c r="U2012" s="361">
        <v>62.66</v>
      </c>
      <c r="V2012" s="346">
        <v>108.58705910372024</v>
      </c>
      <c r="W2012" s="348">
        <v>111.53544149168528</v>
      </c>
      <c r="X2012" s="347" t="s">
        <v>19242</v>
      </c>
      <c r="Y2012" s="357" t="s">
        <v>408</v>
      </c>
      <c r="Z2012" s="365" t="s">
        <v>4408</v>
      </c>
      <c r="AA2012" s="350">
        <v>192</v>
      </c>
      <c r="AB2012" s="349" t="s">
        <v>2685</v>
      </c>
      <c r="AC2012" s="350">
        <v>0</v>
      </c>
      <c r="AD2012" s="349" t="s">
        <v>2685</v>
      </c>
      <c r="AE2012" s="364">
        <v>0</v>
      </c>
      <c r="AF2012" s="366">
        <v>0</v>
      </c>
      <c r="AG2012" s="363">
        <v>0</v>
      </c>
      <c r="AH2012" s="635" t="s">
        <v>408</v>
      </c>
      <c r="AL2012" s="487" t="s">
        <v>16388</v>
      </c>
      <c r="AM2012" s="477" t="s">
        <v>70</v>
      </c>
      <c r="AN2012" s="637">
        <v>100</v>
      </c>
      <c r="AO2012" s="478">
        <v>-1570</v>
      </c>
      <c r="AP2012" s="463">
        <v>-1570</v>
      </c>
      <c r="AQ2012" s="479">
        <v>0</v>
      </c>
      <c r="AR2012" s="476" t="s">
        <v>18050</v>
      </c>
      <c r="BA2012" s="313" t="s">
        <v>6943</v>
      </c>
    </row>
    <row r="2013" spans="2:53" ht="16.5" customHeight="1">
      <c r="B2013" s="367" t="s">
        <v>13553</v>
      </c>
      <c r="C2013" s="351" t="s">
        <v>13554</v>
      </c>
      <c r="D2013" s="353">
        <v>-1570</v>
      </c>
      <c r="E2013" s="352" t="s">
        <v>408</v>
      </c>
      <c r="F2013" s="341">
        <v>62.64</v>
      </c>
      <c r="G2013" s="355" t="s">
        <v>19243</v>
      </c>
      <c r="H2013" s="356" t="s">
        <v>19244</v>
      </c>
      <c r="I2013" s="354" t="s">
        <v>8000</v>
      </c>
      <c r="J2013" s="340" t="s">
        <v>8726</v>
      </c>
      <c r="K2013" s="339" t="s">
        <v>71</v>
      </c>
      <c r="L2013" s="357">
        <v>16</v>
      </c>
      <c r="M2013" s="358" t="s">
        <v>13556</v>
      </c>
      <c r="N2013" s="359">
        <v>1000</v>
      </c>
      <c r="O2013" s="360" t="s">
        <v>532</v>
      </c>
      <c r="P2013" s="343" t="s">
        <v>532</v>
      </c>
      <c r="Q2013" s="342" t="s">
        <v>2688</v>
      </c>
      <c r="R2013" s="344">
        <v>30</v>
      </c>
      <c r="S2013" s="345">
        <v>25</v>
      </c>
      <c r="T2013" s="362">
        <v>25</v>
      </c>
      <c r="U2013" s="361">
        <v>62.64</v>
      </c>
      <c r="V2013" s="346">
        <v>108.57609255029089</v>
      </c>
      <c r="W2013" s="348">
        <v>111.52310411907725</v>
      </c>
      <c r="X2013" s="347" t="s">
        <v>19245</v>
      </c>
      <c r="Y2013" s="357" t="s">
        <v>408</v>
      </c>
      <c r="Z2013" s="365" t="s">
        <v>4408</v>
      </c>
      <c r="AA2013" s="350">
        <v>192</v>
      </c>
      <c r="AB2013" s="349" t="s">
        <v>2685</v>
      </c>
      <c r="AC2013" s="350">
        <v>0</v>
      </c>
      <c r="AD2013" s="349" t="s">
        <v>2685</v>
      </c>
      <c r="AE2013" s="364">
        <v>0</v>
      </c>
      <c r="AF2013" s="366">
        <v>0</v>
      </c>
      <c r="AG2013" s="363">
        <v>0</v>
      </c>
      <c r="AH2013" s="635" t="s">
        <v>408</v>
      </c>
      <c r="AL2013" s="487" t="s">
        <v>16387</v>
      </c>
      <c r="AM2013" s="477" t="s">
        <v>71</v>
      </c>
      <c r="AN2013" s="637">
        <v>100</v>
      </c>
      <c r="AO2013" s="478">
        <v>-1570</v>
      </c>
      <c r="AP2013" s="463">
        <v>-636</v>
      </c>
      <c r="AQ2013" s="479">
        <v>-934</v>
      </c>
      <c r="AR2013" s="476" t="s">
        <v>18051</v>
      </c>
      <c r="BA2013" s="313" t="s">
        <v>6945</v>
      </c>
    </row>
    <row r="2014" spans="2:53" ht="16.5" customHeight="1">
      <c r="B2014" s="367" t="s">
        <v>13544</v>
      </c>
      <c r="C2014" s="351" t="s">
        <v>13545</v>
      </c>
      <c r="D2014" s="353">
        <v>-1570</v>
      </c>
      <c r="E2014" s="352" t="s">
        <v>408</v>
      </c>
      <c r="F2014" s="341">
        <v>62.62</v>
      </c>
      <c r="G2014" s="355" t="s">
        <v>13546</v>
      </c>
      <c r="H2014" s="356" t="s">
        <v>19246</v>
      </c>
      <c r="I2014" s="354" t="s">
        <v>213</v>
      </c>
      <c r="J2014" s="340" t="s">
        <v>9611</v>
      </c>
      <c r="K2014" s="339" t="s">
        <v>70</v>
      </c>
      <c r="L2014" s="357">
        <v>10</v>
      </c>
      <c r="M2014" s="358" t="s">
        <v>13547</v>
      </c>
      <c r="N2014" s="359">
        <v>1000</v>
      </c>
      <c r="O2014" s="360" t="s">
        <v>454</v>
      </c>
      <c r="P2014" s="343" t="s">
        <v>454</v>
      </c>
      <c r="Q2014" s="342" t="s">
        <v>2688</v>
      </c>
      <c r="R2014" s="344">
        <v>20</v>
      </c>
      <c r="S2014" s="345">
        <v>30</v>
      </c>
      <c r="T2014" s="362">
        <v>30</v>
      </c>
      <c r="U2014" s="361">
        <v>62.62</v>
      </c>
      <c r="V2014" s="346">
        <v>108.56571428571428</v>
      </c>
      <c r="W2014" s="348">
        <v>111.51142857142857</v>
      </c>
      <c r="X2014" s="347">
        <v>54.83</v>
      </c>
      <c r="Y2014" s="357" t="s">
        <v>408</v>
      </c>
      <c r="Z2014" s="365" t="s">
        <v>4408</v>
      </c>
      <c r="AA2014" s="350">
        <v>180</v>
      </c>
      <c r="AB2014" s="349" t="s">
        <v>2685</v>
      </c>
      <c r="AC2014" s="350">
        <v>10</v>
      </c>
      <c r="AD2014" s="349" t="s">
        <v>2685</v>
      </c>
      <c r="AE2014" s="364">
        <v>0</v>
      </c>
      <c r="AF2014" s="366">
        <v>46.965000000000003</v>
      </c>
      <c r="AG2014" s="363">
        <v>0</v>
      </c>
      <c r="AH2014" s="635" t="s">
        <v>12809</v>
      </c>
      <c r="AL2014" s="487" t="s">
        <v>16389</v>
      </c>
      <c r="AM2014" s="477" t="s">
        <v>70</v>
      </c>
      <c r="AN2014" s="637">
        <v>100</v>
      </c>
      <c r="AO2014" s="478">
        <v>-1570</v>
      </c>
      <c r="AP2014" s="463">
        <v>-1570</v>
      </c>
      <c r="AQ2014" s="479">
        <v>0</v>
      </c>
      <c r="AR2014" s="476" t="s">
        <v>18052</v>
      </c>
      <c r="BA2014" s="313" t="s">
        <v>6947</v>
      </c>
    </row>
    <row r="2015" spans="2:53" ht="16.5" customHeight="1">
      <c r="B2015" s="367" t="s">
        <v>13548</v>
      </c>
      <c r="C2015" s="351" t="s">
        <v>13549</v>
      </c>
      <c r="D2015" s="353">
        <v>-1570</v>
      </c>
      <c r="E2015" s="352" t="s">
        <v>13555</v>
      </c>
      <c r="F2015" s="341">
        <v>62.57</v>
      </c>
      <c r="G2015" s="355" t="s">
        <v>6925</v>
      </c>
      <c r="H2015" s="356" t="s">
        <v>13443</v>
      </c>
      <c r="I2015" s="354" t="s">
        <v>494</v>
      </c>
      <c r="J2015" s="340" t="s">
        <v>13551</v>
      </c>
      <c r="K2015" s="339" t="s">
        <v>70</v>
      </c>
      <c r="L2015" s="357">
        <v>36</v>
      </c>
      <c r="M2015" s="358" t="s">
        <v>13552</v>
      </c>
      <c r="N2015" s="359">
        <v>1000</v>
      </c>
      <c r="O2015" s="360" t="s">
        <v>532</v>
      </c>
      <c r="P2015" s="343" t="s">
        <v>533</v>
      </c>
      <c r="Q2015" s="342" t="s">
        <v>2688</v>
      </c>
      <c r="R2015" s="344">
        <v>20</v>
      </c>
      <c r="S2015" s="345">
        <v>35</v>
      </c>
      <c r="T2015" s="362">
        <v>25</v>
      </c>
      <c r="U2015" s="361">
        <v>62.57</v>
      </c>
      <c r="V2015" s="346">
        <v>108.53676188563202</v>
      </c>
      <c r="W2015" s="348">
        <v>111.47885712133602</v>
      </c>
      <c r="X2015" s="347">
        <v>54.81</v>
      </c>
      <c r="Y2015" s="357">
        <v>53.78</v>
      </c>
      <c r="Z2015" s="365" t="s">
        <v>3017</v>
      </c>
      <c r="AA2015" s="350">
        <v>190</v>
      </c>
      <c r="AB2015" s="349" t="s">
        <v>2685</v>
      </c>
      <c r="AC2015" s="350">
        <v>0</v>
      </c>
      <c r="AD2015" s="349" t="s">
        <v>2685</v>
      </c>
      <c r="AE2015" s="364">
        <v>0</v>
      </c>
      <c r="AF2015" s="366">
        <v>0</v>
      </c>
      <c r="AG2015" s="363">
        <v>0</v>
      </c>
      <c r="AH2015" s="635" t="s">
        <v>408</v>
      </c>
      <c r="AL2015" s="487" t="s">
        <v>16390</v>
      </c>
      <c r="AM2015" s="477" t="s">
        <v>70</v>
      </c>
      <c r="AN2015" s="637">
        <v>100</v>
      </c>
      <c r="AO2015" s="478">
        <v>-1570</v>
      </c>
      <c r="AP2015" s="463">
        <v>-1570</v>
      </c>
      <c r="AQ2015" s="479">
        <v>0</v>
      </c>
      <c r="AR2015" s="476" t="s">
        <v>18053</v>
      </c>
      <c r="BA2015" s="313" t="s">
        <v>6950</v>
      </c>
    </row>
    <row r="2016" spans="2:53" ht="16.5" customHeight="1">
      <c r="B2016" s="367" t="s">
        <v>13557</v>
      </c>
      <c r="C2016" s="351" t="s">
        <v>13558</v>
      </c>
      <c r="D2016" s="353">
        <v>-1570</v>
      </c>
      <c r="E2016" s="352" t="s">
        <v>408</v>
      </c>
      <c r="F2016" s="341">
        <v>62.54</v>
      </c>
      <c r="G2016" s="355" t="s">
        <v>13559</v>
      </c>
      <c r="H2016" s="356" t="s">
        <v>19247</v>
      </c>
      <c r="I2016" s="354" t="s">
        <v>494</v>
      </c>
      <c r="J2016" s="340" t="s">
        <v>13560</v>
      </c>
      <c r="K2016" s="339" t="s">
        <v>70</v>
      </c>
      <c r="L2016" s="357">
        <v>26</v>
      </c>
      <c r="M2016" s="358" t="s">
        <v>13561</v>
      </c>
      <c r="N2016" s="359">
        <v>1000</v>
      </c>
      <c r="O2016" s="360" t="s">
        <v>532</v>
      </c>
      <c r="P2016" s="343" t="s">
        <v>533</v>
      </c>
      <c r="Q2016" s="342" t="s">
        <v>2688</v>
      </c>
      <c r="R2016" s="344">
        <v>20</v>
      </c>
      <c r="S2016" s="345">
        <v>35</v>
      </c>
      <c r="T2016" s="362">
        <v>25</v>
      </c>
      <c r="U2016" s="361">
        <v>62.54</v>
      </c>
      <c r="V2016" s="346">
        <v>108.52236661981689</v>
      </c>
      <c r="W2016" s="348">
        <v>111.46266244729401</v>
      </c>
      <c r="X2016" s="347">
        <v>54.8</v>
      </c>
      <c r="Y2016" s="357">
        <v>53.769999999999996</v>
      </c>
      <c r="Z2016" s="365" t="s">
        <v>3017</v>
      </c>
      <c r="AA2016" s="350">
        <v>190</v>
      </c>
      <c r="AB2016" s="349" t="s">
        <v>2685</v>
      </c>
      <c r="AC2016" s="350">
        <v>0</v>
      </c>
      <c r="AD2016" s="349" t="s">
        <v>2685</v>
      </c>
      <c r="AE2016" s="364">
        <v>0</v>
      </c>
      <c r="AF2016" s="366">
        <v>0</v>
      </c>
      <c r="AG2016" s="363">
        <v>0</v>
      </c>
      <c r="AH2016" s="635" t="s">
        <v>408</v>
      </c>
      <c r="AL2016" s="487" t="s">
        <v>16391</v>
      </c>
      <c r="AM2016" s="477" t="s">
        <v>70</v>
      </c>
      <c r="AN2016" s="637">
        <v>100</v>
      </c>
      <c r="AO2016" s="478">
        <v>-1570</v>
      </c>
      <c r="AP2016" s="463">
        <v>-1570</v>
      </c>
      <c r="AQ2016" s="479">
        <v>0</v>
      </c>
      <c r="AR2016" s="476" t="s">
        <v>18054</v>
      </c>
      <c r="BA2016" s="313" t="s">
        <v>6952</v>
      </c>
    </row>
    <row r="2017" spans="2:53" ht="16.5" customHeight="1">
      <c r="B2017" s="367" t="s">
        <v>6982</v>
      </c>
      <c r="C2017" s="351" t="s">
        <v>6983</v>
      </c>
      <c r="D2017" s="353">
        <v>-1570</v>
      </c>
      <c r="E2017" s="352" t="s">
        <v>408</v>
      </c>
      <c r="F2017" s="341">
        <v>62.53</v>
      </c>
      <c r="G2017" s="355" t="s">
        <v>13605</v>
      </c>
      <c r="H2017" s="356" t="s">
        <v>19248</v>
      </c>
      <c r="I2017" s="354" t="s">
        <v>8000</v>
      </c>
      <c r="J2017" s="340" t="s">
        <v>8217</v>
      </c>
      <c r="K2017" s="339" t="s">
        <v>71</v>
      </c>
      <c r="L2017" s="357">
        <v>9</v>
      </c>
      <c r="M2017" s="358" t="s">
        <v>13572</v>
      </c>
      <c r="N2017" s="359">
        <v>1000</v>
      </c>
      <c r="O2017" s="360" t="s">
        <v>532</v>
      </c>
      <c r="P2017" s="343" t="s">
        <v>532</v>
      </c>
      <c r="Q2017" s="342" t="s">
        <v>2688</v>
      </c>
      <c r="R2017" s="344">
        <v>30</v>
      </c>
      <c r="S2017" s="345">
        <v>25</v>
      </c>
      <c r="T2017" s="362">
        <v>25</v>
      </c>
      <c r="U2017" s="361">
        <v>62.53</v>
      </c>
      <c r="V2017" s="346">
        <v>108.51872740954704</v>
      </c>
      <c r="W2017" s="348">
        <v>111.45856833574042</v>
      </c>
      <c r="X2017" s="347" t="s">
        <v>19249</v>
      </c>
      <c r="Y2017" s="357" t="s">
        <v>408</v>
      </c>
      <c r="Z2017" s="365" t="s">
        <v>4408</v>
      </c>
      <c r="AA2017" s="350">
        <v>192</v>
      </c>
      <c r="AB2017" s="349" t="s">
        <v>2685</v>
      </c>
      <c r="AC2017" s="350">
        <v>0</v>
      </c>
      <c r="AD2017" s="349" t="s">
        <v>2685</v>
      </c>
      <c r="AE2017" s="364">
        <v>0</v>
      </c>
      <c r="AF2017" s="366">
        <v>0</v>
      </c>
      <c r="AG2017" s="363">
        <v>0</v>
      </c>
      <c r="AH2017" s="635" t="s">
        <v>408</v>
      </c>
      <c r="AL2017" s="487" t="s">
        <v>16392</v>
      </c>
      <c r="AM2017" s="477" t="s">
        <v>71</v>
      </c>
      <c r="AN2017" s="637">
        <v>100</v>
      </c>
      <c r="AO2017" s="478">
        <v>-1570</v>
      </c>
      <c r="AP2017" s="463">
        <v>-635</v>
      </c>
      <c r="AQ2017" s="479">
        <v>-935</v>
      </c>
      <c r="AR2017" s="476" t="s">
        <v>18055</v>
      </c>
      <c r="BA2017" s="313" t="s">
        <v>6953</v>
      </c>
    </row>
    <row r="2018" spans="2:53" ht="16.5" customHeight="1">
      <c r="B2018" s="367" t="s">
        <v>13562</v>
      </c>
      <c r="C2018" s="351" t="s">
        <v>13563</v>
      </c>
      <c r="D2018" s="353">
        <v>-1570</v>
      </c>
      <c r="E2018" s="352" t="s">
        <v>13568</v>
      </c>
      <c r="F2018" s="341">
        <v>62.48</v>
      </c>
      <c r="G2018" s="355" t="s">
        <v>13564</v>
      </c>
      <c r="H2018" s="356" t="s">
        <v>19250</v>
      </c>
      <c r="I2018" s="354" t="s">
        <v>211</v>
      </c>
      <c r="J2018" s="340" t="s">
        <v>7362</v>
      </c>
      <c r="K2018" s="339" t="s">
        <v>70</v>
      </c>
      <c r="L2018" s="357">
        <v>122</v>
      </c>
      <c r="M2018" s="358" t="s">
        <v>13565</v>
      </c>
      <c r="N2018" s="359">
        <v>500</v>
      </c>
      <c r="O2018" s="360" t="s">
        <v>530</v>
      </c>
      <c r="P2018" s="343" t="s">
        <v>531</v>
      </c>
      <c r="Q2018" s="342" t="s">
        <v>2688</v>
      </c>
      <c r="R2018" s="344">
        <v>30</v>
      </c>
      <c r="S2018" s="345">
        <v>40</v>
      </c>
      <c r="T2018" s="362">
        <v>30</v>
      </c>
      <c r="U2018" s="361">
        <v>62.48</v>
      </c>
      <c r="V2018" s="346">
        <v>108.49074984331206</v>
      </c>
      <c r="W2018" s="348">
        <v>111.42709357372607</v>
      </c>
      <c r="X2018" s="347">
        <v>54.78</v>
      </c>
      <c r="Y2018" s="357">
        <v>53.75</v>
      </c>
      <c r="Z2018" s="365" t="s">
        <v>4408</v>
      </c>
      <c r="AA2018" s="350">
        <v>24</v>
      </c>
      <c r="AB2018" s="349" t="s">
        <v>2685</v>
      </c>
      <c r="AC2018" s="350">
        <v>5</v>
      </c>
      <c r="AD2018" s="349" t="s">
        <v>2685</v>
      </c>
      <c r="AE2018" s="364">
        <v>0</v>
      </c>
      <c r="AF2018" s="366">
        <v>8.0630000000000006</v>
      </c>
      <c r="AG2018" s="363">
        <v>0</v>
      </c>
      <c r="AH2018" s="635" t="s">
        <v>4662</v>
      </c>
      <c r="AL2018" s="487" t="s">
        <v>16393</v>
      </c>
      <c r="AM2018" s="477" t="s">
        <v>70</v>
      </c>
      <c r="AN2018" s="637">
        <v>100</v>
      </c>
      <c r="AO2018" s="478">
        <v>-1570</v>
      </c>
      <c r="AP2018" s="463">
        <v>-1570</v>
      </c>
      <c r="AQ2018" s="479">
        <v>0</v>
      </c>
      <c r="AR2018" s="476" t="s">
        <v>18056</v>
      </c>
      <c r="BA2018" s="313" t="s">
        <v>6954</v>
      </c>
    </row>
    <row r="2019" spans="2:53" ht="16.5" customHeight="1">
      <c r="B2019" s="367" t="s">
        <v>13566</v>
      </c>
      <c r="C2019" s="351" t="s">
        <v>13567</v>
      </c>
      <c r="D2019" s="353">
        <v>-1570</v>
      </c>
      <c r="E2019" s="352" t="s">
        <v>13571</v>
      </c>
      <c r="F2019" s="341">
        <v>62.47</v>
      </c>
      <c r="G2019" s="355" t="s">
        <v>19251</v>
      </c>
      <c r="H2019" s="356" t="s">
        <v>13384</v>
      </c>
      <c r="I2019" s="354" t="s">
        <v>215</v>
      </c>
      <c r="J2019" s="340" t="s">
        <v>13569</v>
      </c>
      <c r="K2019" s="339" t="s">
        <v>71</v>
      </c>
      <c r="L2019" s="357">
        <v>4</v>
      </c>
      <c r="M2019" s="358" t="s">
        <v>13570</v>
      </c>
      <c r="N2019" s="359">
        <v>1000</v>
      </c>
      <c r="O2019" s="360" t="s">
        <v>530</v>
      </c>
      <c r="P2019" s="343" t="s">
        <v>531</v>
      </c>
      <c r="Q2019" s="342" t="s">
        <v>2688</v>
      </c>
      <c r="R2019" s="344">
        <v>13</v>
      </c>
      <c r="S2019" s="345">
        <v>50</v>
      </c>
      <c r="T2019" s="362">
        <v>25</v>
      </c>
      <c r="U2019" s="361">
        <v>62.47</v>
      </c>
      <c r="V2019" s="346">
        <v>108.484289276808</v>
      </c>
      <c r="W2019" s="348">
        <v>111.419825436409</v>
      </c>
      <c r="X2019" s="347">
        <v>54.33</v>
      </c>
      <c r="Y2019" s="357">
        <v>54.14</v>
      </c>
      <c r="Z2019" s="365" t="s">
        <v>3017</v>
      </c>
      <c r="AA2019" s="350">
        <v>121.25</v>
      </c>
      <c r="AB2019" s="349" t="s">
        <v>2685</v>
      </c>
      <c r="AC2019" s="350">
        <v>10</v>
      </c>
      <c r="AD2019" s="349" t="s">
        <v>2685</v>
      </c>
      <c r="AE2019" s="364">
        <v>0</v>
      </c>
      <c r="AF2019" s="366">
        <v>0</v>
      </c>
      <c r="AG2019" s="363">
        <v>0</v>
      </c>
      <c r="AH2019" s="635" t="s">
        <v>408</v>
      </c>
      <c r="AL2019" s="487" t="s">
        <v>16394</v>
      </c>
      <c r="AM2019" s="477" t="s">
        <v>71</v>
      </c>
      <c r="AN2019" s="637">
        <v>100</v>
      </c>
      <c r="AO2019" s="478">
        <v>-1570</v>
      </c>
      <c r="AP2019" s="463">
        <v>-635</v>
      </c>
      <c r="AQ2019" s="479">
        <v>-935</v>
      </c>
      <c r="AR2019" s="476" t="s">
        <v>18057</v>
      </c>
      <c r="BA2019" s="313" t="s">
        <v>6955</v>
      </c>
    </row>
    <row r="2020" spans="2:53" ht="16.5" customHeight="1">
      <c r="B2020" s="367" t="s">
        <v>13573</v>
      </c>
      <c r="C2020" s="351" t="s">
        <v>13574</v>
      </c>
      <c r="D2020" s="353">
        <v>-1570</v>
      </c>
      <c r="E2020" s="352" t="s">
        <v>408</v>
      </c>
      <c r="F2020" s="341">
        <v>62.42</v>
      </c>
      <c r="G2020" s="355" t="s">
        <v>13575</v>
      </c>
      <c r="H2020" s="356" t="s">
        <v>6770</v>
      </c>
      <c r="I2020" s="354" t="s">
        <v>211</v>
      </c>
      <c r="J2020" s="340" t="s">
        <v>7360</v>
      </c>
      <c r="K2020" s="339" t="s">
        <v>70</v>
      </c>
      <c r="L2020" s="357">
        <v>47</v>
      </c>
      <c r="M2020" s="358" t="s">
        <v>13576</v>
      </c>
      <c r="N2020" s="359">
        <v>500</v>
      </c>
      <c r="O2020" s="360" t="s">
        <v>530</v>
      </c>
      <c r="P2020" s="343" t="s">
        <v>531</v>
      </c>
      <c r="Q2020" s="342" t="s">
        <v>2688</v>
      </c>
      <c r="R2020" s="344">
        <v>30</v>
      </c>
      <c r="S2020" s="345">
        <v>40</v>
      </c>
      <c r="T2020" s="362">
        <v>30</v>
      </c>
      <c r="U2020" s="361">
        <v>62.42</v>
      </c>
      <c r="V2020" s="346">
        <v>108.45575354973769</v>
      </c>
      <c r="W2020" s="348">
        <v>111.3877227434549</v>
      </c>
      <c r="X2020" s="347">
        <v>54.75</v>
      </c>
      <c r="Y2020" s="357">
        <v>53.73</v>
      </c>
      <c r="Z2020" s="365" t="s">
        <v>4408</v>
      </c>
      <c r="AA2020" s="350">
        <v>24</v>
      </c>
      <c r="AB2020" s="349" t="s">
        <v>2685</v>
      </c>
      <c r="AC2020" s="350">
        <v>5</v>
      </c>
      <c r="AD2020" s="349" t="s">
        <v>2685</v>
      </c>
      <c r="AE2020" s="364">
        <v>0</v>
      </c>
      <c r="AF2020" s="366">
        <v>8.06</v>
      </c>
      <c r="AG2020" s="363">
        <v>0</v>
      </c>
      <c r="AH2020" s="635" t="s">
        <v>4662</v>
      </c>
      <c r="AL2020" s="487" t="s">
        <v>16395</v>
      </c>
      <c r="AM2020" s="477" t="s">
        <v>70</v>
      </c>
      <c r="AN2020" s="637">
        <v>100</v>
      </c>
      <c r="AO2020" s="478">
        <v>-1570</v>
      </c>
      <c r="AP2020" s="463">
        <v>-1570</v>
      </c>
      <c r="AQ2020" s="479">
        <v>0</v>
      </c>
      <c r="AR2020" s="476" t="s">
        <v>18058</v>
      </c>
      <c r="BA2020" s="313" t="s">
        <v>6956</v>
      </c>
    </row>
    <row r="2021" spans="2:53" ht="16.5" customHeight="1">
      <c r="B2021" s="367" t="s">
        <v>13577</v>
      </c>
      <c r="C2021" s="351" t="s">
        <v>13578</v>
      </c>
      <c r="D2021" s="353">
        <v>-1570</v>
      </c>
      <c r="E2021" s="352" t="s">
        <v>408</v>
      </c>
      <c r="F2021" s="341">
        <v>62.28</v>
      </c>
      <c r="G2021" s="355" t="s">
        <v>13579</v>
      </c>
      <c r="H2021" s="356" t="s">
        <v>19252</v>
      </c>
      <c r="I2021" s="354" t="s">
        <v>494</v>
      </c>
      <c r="J2021" s="340" t="s">
        <v>13580</v>
      </c>
      <c r="K2021" s="339" t="s">
        <v>70</v>
      </c>
      <c r="L2021" s="357">
        <v>28</v>
      </c>
      <c r="M2021" s="358" t="s">
        <v>13581</v>
      </c>
      <c r="N2021" s="359">
        <v>1000</v>
      </c>
      <c r="O2021" s="360" t="s">
        <v>532</v>
      </c>
      <c r="P2021" s="343" t="s">
        <v>533</v>
      </c>
      <c r="Q2021" s="342" t="s">
        <v>2688</v>
      </c>
      <c r="R2021" s="344">
        <v>20</v>
      </c>
      <c r="S2021" s="345">
        <v>35</v>
      </c>
      <c r="T2021" s="362">
        <v>25</v>
      </c>
      <c r="U2021" s="361">
        <v>62.28</v>
      </c>
      <c r="V2021" s="346">
        <v>108.37841396166564</v>
      </c>
      <c r="W2021" s="348">
        <v>111.30071570687385</v>
      </c>
      <c r="X2021" s="347">
        <v>54.71</v>
      </c>
      <c r="Y2021" s="357">
        <v>53.66</v>
      </c>
      <c r="Z2021" s="365" t="s">
        <v>3017</v>
      </c>
      <c r="AA2021" s="350">
        <v>190</v>
      </c>
      <c r="AB2021" s="349" t="s">
        <v>2685</v>
      </c>
      <c r="AC2021" s="350">
        <v>0</v>
      </c>
      <c r="AD2021" s="349" t="s">
        <v>2685</v>
      </c>
      <c r="AE2021" s="364">
        <v>0</v>
      </c>
      <c r="AF2021" s="366">
        <v>0</v>
      </c>
      <c r="AG2021" s="363">
        <v>0</v>
      </c>
      <c r="AH2021" s="635" t="s">
        <v>408</v>
      </c>
      <c r="AL2021" s="487" t="s">
        <v>16396</v>
      </c>
      <c r="AM2021" s="477" t="s">
        <v>70</v>
      </c>
      <c r="AN2021" s="637">
        <v>100</v>
      </c>
      <c r="AO2021" s="478">
        <v>-1570</v>
      </c>
      <c r="AP2021" s="463">
        <v>-1570</v>
      </c>
      <c r="AQ2021" s="479">
        <v>0</v>
      </c>
      <c r="AR2021" s="476" t="s">
        <v>18059</v>
      </c>
      <c r="BA2021" s="313" t="s">
        <v>6961</v>
      </c>
    </row>
    <row r="2022" spans="2:53" ht="16.5" customHeight="1">
      <c r="B2022" s="367" t="s">
        <v>13582</v>
      </c>
      <c r="C2022" s="351" t="s">
        <v>13583</v>
      </c>
      <c r="D2022" s="353">
        <v>-1570</v>
      </c>
      <c r="E2022" s="352" t="s">
        <v>408</v>
      </c>
      <c r="F2022" s="341">
        <v>62.26</v>
      </c>
      <c r="G2022" s="355" t="s">
        <v>13584</v>
      </c>
      <c r="H2022" s="356" t="s">
        <v>19253</v>
      </c>
      <c r="I2022" s="354" t="s">
        <v>494</v>
      </c>
      <c r="J2022" s="340" t="s">
        <v>13585</v>
      </c>
      <c r="K2022" s="339" t="s">
        <v>70</v>
      </c>
      <c r="L2022" s="357">
        <v>32</v>
      </c>
      <c r="M2022" s="358" t="s">
        <v>13586</v>
      </c>
      <c r="N2022" s="359">
        <v>1000</v>
      </c>
      <c r="O2022" s="360" t="s">
        <v>532</v>
      </c>
      <c r="P2022" s="343" t="s">
        <v>533</v>
      </c>
      <c r="Q2022" s="342" t="s">
        <v>2688</v>
      </c>
      <c r="R2022" s="344">
        <v>20</v>
      </c>
      <c r="S2022" s="345">
        <v>35</v>
      </c>
      <c r="T2022" s="362">
        <v>25</v>
      </c>
      <c r="U2022" s="361">
        <v>62.26</v>
      </c>
      <c r="V2022" s="346">
        <v>108.3640186958505</v>
      </c>
      <c r="W2022" s="348">
        <v>111.28452103283182</v>
      </c>
      <c r="X2022" s="347">
        <v>54.7</v>
      </c>
      <c r="Y2022" s="357">
        <v>53.65</v>
      </c>
      <c r="Z2022" s="365" t="s">
        <v>3017</v>
      </c>
      <c r="AA2022" s="350">
        <v>190</v>
      </c>
      <c r="AB2022" s="349" t="s">
        <v>2685</v>
      </c>
      <c r="AC2022" s="350">
        <v>0</v>
      </c>
      <c r="AD2022" s="349" t="s">
        <v>2685</v>
      </c>
      <c r="AE2022" s="364">
        <v>0</v>
      </c>
      <c r="AF2022" s="366">
        <v>0</v>
      </c>
      <c r="AG2022" s="363">
        <v>0</v>
      </c>
      <c r="AH2022" s="635" t="s">
        <v>408</v>
      </c>
      <c r="AL2022" s="487" t="s">
        <v>16397</v>
      </c>
      <c r="AM2022" s="477" t="s">
        <v>70</v>
      </c>
      <c r="AN2022" s="637">
        <v>100</v>
      </c>
      <c r="AO2022" s="478">
        <v>-1570</v>
      </c>
      <c r="AP2022" s="463">
        <v>-1570</v>
      </c>
      <c r="AQ2022" s="479">
        <v>0</v>
      </c>
      <c r="AR2022" s="476" t="s">
        <v>18060</v>
      </c>
      <c r="BA2022" s="313" t="s">
        <v>6964</v>
      </c>
    </row>
    <row r="2023" spans="2:53" ht="16.5" customHeight="1">
      <c r="B2023" s="367" t="s">
        <v>13587</v>
      </c>
      <c r="C2023" s="351" t="s">
        <v>13588</v>
      </c>
      <c r="D2023" s="353">
        <v>-1570</v>
      </c>
      <c r="E2023" s="352" t="s">
        <v>408</v>
      </c>
      <c r="F2023" s="341">
        <v>62.25</v>
      </c>
      <c r="G2023" s="355" t="s">
        <v>13589</v>
      </c>
      <c r="H2023" s="356" t="s">
        <v>6873</v>
      </c>
      <c r="I2023" s="354" t="s">
        <v>8000</v>
      </c>
      <c r="J2023" s="340" t="s">
        <v>13590</v>
      </c>
      <c r="K2023" s="339" t="s">
        <v>70</v>
      </c>
      <c r="L2023" s="357">
        <v>13</v>
      </c>
      <c r="M2023" s="358" t="s">
        <v>13591</v>
      </c>
      <c r="N2023" s="359">
        <v>1000</v>
      </c>
      <c r="O2023" s="360" t="s">
        <v>532</v>
      </c>
      <c r="P2023" s="343" t="s">
        <v>532</v>
      </c>
      <c r="Q2023" s="342" t="s">
        <v>2688</v>
      </c>
      <c r="R2023" s="344">
        <v>25</v>
      </c>
      <c r="S2023" s="345">
        <v>30</v>
      </c>
      <c r="T2023" s="362">
        <v>25</v>
      </c>
      <c r="U2023" s="361">
        <v>62.25</v>
      </c>
      <c r="V2023" s="346">
        <v>108.36189474032854</v>
      </c>
      <c r="W2023" s="348">
        <v>111.28213158286961</v>
      </c>
      <c r="X2023" s="347" t="s">
        <v>19254</v>
      </c>
      <c r="Y2023" s="357" t="s">
        <v>408</v>
      </c>
      <c r="Z2023" s="365" t="s">
        <v>4408</v>
      </c>
      <c r="AA2023" s="350">
        <v>192</v>
      </c>
      <c r="AB2023" s="349" t="s">
        <v>2685</v>
      </c>
      <c r="AC2023" s="350">
        <v>0</v>
      </c>
      <c r="AD2023" s="349" t="s">
        <v>2685</v>
      </c>
      <c r="AE2023" s="364">
        <v>0</v>
      </c>
      <c r="AF2023" s="366">
        <v>0</v>
      </c>
      <c r="AG2023" s="363">
        <v>0</v>
      </c>
      <c r="AH2023" s="635" t="s">
        <v>408</v>
      </c>
      <c r="AL2023" s="487" t="s">
        <v>16398</v>
      </c>
      <c r="AM2023" s="477" t="s">
        <v>70</v>
      </c>
      <c r="AN2023" s="637">
        <v>100</v>
      </c>
      <c r="AO2023" s="478">
        <v>-1570</v>
      </c>
      <c r="AP2023" s="463">
        <v>-1570</v>
      </c>
      <c r="AQ2023" s="479">
        <v>0</v>
      </c>
      <c r="AR2023" s="476" t="s">
        <v>18061</v>
      </c>
      <c r="BA2023" s="313" t="s">
        <v>6965</v>
      </c>
    </row>
    <row r="2024" spans="2:53" ht="16.5" customHeight="1">
      <c r="B2024" s="367" t="s">
        <v>7634</v>
      </c>
      <c r="C2024" s="351" t="s">
        <v>13592</v>
      </c>
      <c r="D2024" s="353">
        <v>-1570</v>
      </c>
      <c r="E2024" s="352" t="s">
        <v>408</v>
      </c>
      <c r="F2024" s="341">
        <v>62.21</v>
      </c>
      <c r="G2024" s="355" t="s">
        <v>13593</v>
      </c>
      <c r="H2024" s="356" t="s">
        <v>19255</v>
      </c>
      <c r="I2024" s="354" t="s">
        <v>212</v>
      </c>
      <c r="J2024" s="340" t="s">
        <v>8742</v>
      </c>
      <c r="K2024" s="339" t="s">
        <v>70</v>
      </c>
      <c r="L2024" s="357">
        <v>3</v>
      </c>
      <c r="M2024" s="358" t="s">
        <v>13594</v>
      </c>
      <c r="N2024" s="359">
        <v>800</v>
      </c>
      <c r="O2024" s="360" t="s">
        <v>532</v>
      </c>
      <c r="P2024" s="343" t="s">
        <v>532</v>
      </c>
      <c r="Q2024" s="342" t="s">
        <v>2688</v>
      </c>
      <c r="R2024" s="344">
        <v>30</v>
      </c>
      <c r="S2024" s="345">
        <v>40</v>
      </c>
      <c r="T2024" s="362">
        <v>30</v>
      </c>
      <c r="U2024" s="361">
        <v>62.21</v>
      </c>
      <c r="V2024" s="346">
        <v>108.3391015269566</v>
      </c>
      <c r="W2024" s="348">
        <v>111.25648921782617</v>
      </c>
      <c r="X2024" s="347" t="s">
        <v>19254</v>
      </c>
      <c r="Y2024" s="357" t="s">
        <v>408</v>
      </c>
      <c r="Z2024" s="365" t="s">
        <v>3017</v>
      </c>
      <c r="AA2024" s="350">
        <v>190</v>
      </c>
      <c r="AB2024" s="349" t="s">
        <v>2685</v>
      </c>
      <c r="AC2024" s="350">
        <v>10</v>
      </c>
      <c r="AD2024" s="349" t="s">
        <v>2685</v>
      </c>
      <c r="AE2024" s="364">
        <v>0</v>
      </c>
      <c r="AF2024" s="366">
        <v>0</v>
      </c>
      <c r="AG2024" s="363">
        <v>0</v>
      </c>
      <c r="AH2024" s="635" t="s">
        <v>408</v>
      </c>
      <c r="AL2024" s="487" t="s">
        <v>16399</v>
      </c>
      <c r="AM2024" s="477" t="s">
        <v>70</v>
      </c>
      <c r="AN2024" s="637">
        <v>100</v>
      </c>
      <c r="AO2024" s="478">
        <v>-1570</v>
      </c>
      <c r="AP2024" s="463">
        <v>-1570</v>
      </c>
      <c r="AQ2024" s="479">
        <v>0</v>
      </c>
      <c r="AR2024" s="476" t="s">
        <v>18062</v>
      </c>
      <c r="BA2024" s="313" t="s">
        <v>6966</v>
      </c>
    </row>
    <row r="2025" spans="2:53" ht="16.5" customHeight="1">
      <c r="B2025" s="367" t="s">
        <v>13557</v>
      </c>
      <c r="C2025" s="351" t="s">
        <v>13558</v>
      </c>
      <c r="D2025" s="353">
        <v>-1570</v>
      </c>
      <c r="E2025" s="352" t="s">
        <v>13559</v>
      </c>
      <c r="F2025" s="341">
        <v>62.17</v>
      </c>
      <c r="G2025" s="355" t="s">
        <v>19256</v>
      </c>
      <c r="H2025" s="356" t="s">
        <v>19257</v>
      </c>
      <c r="I2025" s="354" t="s">
        <v>215</v>
      </c>
      <c r="J2025" s="340" t="s">
        <v>13595</v>
      </c>
      <c r="K2025" s="339" t="s">
        <v>71</v>
      </c>
      <c r="L2025" s="357">
        <v>5</v>
      </c>
      <c r="M2025" s="358" t="s">
        <v>13596</v>
      </c>
      <c r="N2025" s="359">
        <v>1000</v>
      </c>
      <c r="O2025" s="360" t="s">
        <v>530</v>
      </c>
      <c r="P2025" s="343" t="s">
        <v>531</v>
      </c>
      <c r="Q2025" s="342" t="s">
        <v>2688</v>
      </c>
      <c r="R2025" s="344">
        <v>13</v>
      </c>
      <c r="S2025" s="345">
        <v>50</v>
      </c>
      <c r="T2025" s="362">
        <v>25</v>
      </c>
      <c r="U2025" s="361">
        <v>62.17</v>
      </c>
      <c r="V2025" s="346">
        <v>108.31471321695761</v>
      </c>
      <c r="W2025" s="348">
        <v>111.22905236907731</v>
      </c>
      <c r="X2025" s="347">
        <v>54.23</v>
      </c>
      <c r="Y2025" s="357">
        <v>54.03</v>
      </c>
      <c r="Z2025" s="365" t="s">
        <v>3017</v>
      </c>
      <c r="AA2025" s="350">
        <v>121.25</v>
      </c>
      <c r="AB2025" s="349" t="s">
        <v>2685</v>
      </c>
      <c r="AC2025" s="350">
        <v>10</v>
      </c>
      <c r="AD2025" s="349" t="s">
        <v>2685</v>
      </c>
      <c r="AE2025" s="364">
        <v>0</v>
      </c>
      <c r="AF2025" s="366">
        <v>0</v>
      </c>
      <c r="AG2025" s="363">
        <v>0</v>
      </c>
      <c r="AH2025" s="635" t="s">
        <v>408</v>
      </c>
      <c r="AL2025" s="487" t="s">
        <v>16400</v>
      </c>
      <c r="AM2025" s="477" t="s">
        <v>71</v>
      </c>
      <c r="AN2025" s="637">
        <v>100</v>
      </c>
      <c r="AO2025" s="478">
        <v>-1570</v>
      </c>
      <c r="AP2025" s="463">
        <v>-634</v>
      </c>
      <c r="AQ2025" s="479">
        <v>-936</v>
      </c>
      <c r="AR2025" s="476" t="s">
        <v>18063</v>
      </c>
      <c r="BA2025" s="313" t="s">
        <v>6967</v>
      </c>
    </row>
    <row r="2026" spans="2:53" ht="16.5" customHeight="1">
      <c r="B2026" s="367" t="s">
        <v>13597</v>
      </c>
      <c r="C2026" s="351" t="s">
        <v>13598</v>
      </c>
      <c r="D2026" s="353">
        <v>-1570</v>
      </c>
      <c r="E2026" s="352" t="s">
        <v>408</v>
      </c>
      <c r="F2026" s="341">
        <v>62.1</v>
      </c>
      <c r="G2026" s="355" t="s">
        <v>13599</v>
      </c>
      <c r="H2026" s="356" t="s">
        <v>19258</v>
      </c>
      <c r="I2026" s="354" t="s">
        <v>494</v>
      </c>
      <c r="J2026" s="340" t="s">
        <v>9544</v>
      </c>
      <c r="K2026" s="339" t="s">
        <v>70</v>
      </c>
      <c r="L2026" s="357">
        <v>26</v>
      </c>
      <c r="M2026" s="358" t="s">
        <v>13600</v>
      </c>
      <c r="N2026" s="359">
        <v>1000</v>
      </c>
      <c r="O2026" s="360" t="s">
        <v>532</v>
      </c>
      <c r="P2026" s="343" t="s">
        <v>533</v>
      </c>
      <c r="Q2026" s="342" t="s">
        <v>2688</v>
      </c>
      <c r="R2026" s="344">
        <v>20</v>
      </c>
      <c r="S2026" s="345">
        <v>35</v>
      </c>
      <c r="T2026" s="362">
        <v>25</v>
      </c>
      <c r="U2026" s="361">
        <v>62.1</v>
      </c>
      <c r="V2026" s="346">
        <v>108.27764710095977</v>
      </c>
      <c r="W2026" s="348">
        <v>111.18735298857973</v>
      </c>
      <c r="X2026" s="347">
        <v>54.64</v>
      </c>
      <c r="Y2026" s="357">
        <v>53.589999999999996</v>
      </c>
      <c r="Z2026" s="365" t="s">
        <v>3017</v>
      </c>
      <c r="AA2026" s="350">
        <v>190</v>
      </c>
      <c r="AB2026" s="349" t="s">
        <v>2685</v>
      </c>
      <c r="AC2026" s="350">
        <v>0</v>
      </c>
      <c r="AD2026" s="349" t="s">
        <v>2685</v>
      </c>
      <c r="AE2026" s="364">
        <v>0</v>
      </c>
      <c r="AF2026" s="366">
        <v>0</v>
      </c>
      <c r="AG2026" s="363">
        <v>0</v>
      </c>
      <c r="AH2026" s="635" t="s">
        <v>408</v>
      </c>
      <c r="AL2026" s="487" t="s">
        <v>16401</v>
      </c>
      <c r="AM2026" s="477" t="s">
        <v>70</v>
      </c>
      <c r="AN2026" s="637">
        <v>100</v>
      </c>
      <c r="AO2026" s="478">
        <v>-1570</v>
      </c>
      <c r="AP2026" s="463">
        <v>-1570</v>
      </c>
      <c r="AQ2026" s="479">
        <v>0</v>
      </c>
      <c r="AR2026" s="476" t="s">
        <v>18064</v>
      </c>
      <c r="BA2026" s="313" t="s">
        <v>6970</v>
      </c>
    </row>
    <row r="2027" spans="2:53" ht="16.5" customHeight="1">
      <c r="B2027" s="367" t="s">
        <v>13601</v>
      </c>
      <c r="C2027" s="351" t="s">
        <v>13602</v>
      </c>
      <c r="D2027" s="353">
        <v>-1570</v>
      </c>
      <c r="E2027" s="352" t="s">
        <v>408</v>
      </c>
      <c r="F2027" s="341">
        <v>62.07</v>
      </c>
      <c r="G2027" s="355" t="s">
        <v>13603</v>
      </c>
      <c r="H2027" s="356" t="s">
        <v>19259</v>
      </c>
      <c r="I2027" s="354" t="s">
        <v>494</v>
      </c>
      <c r="J2027" s="340" t="s">
        <v>9971</v>
      </c>
      <c r="K2027" s="339" t="s">
        <v>70</v>
      </c>
      <c r="L2027" s="357">
        <v>47</v>
      </c>
      <c r="M2027" s="358" t="s">
        <v>13604</v>
      </c>
      <c r="N2027" s="359">
        <v>1000</v>
      </c>
      <c r="O2027" s="360" t="s">
        <v>532</v>
      </c>
      <c r="P2027" s="343" t="s">
        <v>533</v>
      </c>
      <c r="Q2027" s="342" t="s">
        <v>2688</v>
      </c>
      <c r="R2027" s="344">
        <v>20</v>
      </c>
      <c r="S2027" s="345">
        <v>35</v>
      </c>
      <c r="T2027" s="362">
        <v>25</v>
      </c>
      <c r="U2027" s="361">
        <v>62.07</v>
      </c>
      <c r="V2027" s="346">
        <v>108.26325183514466</v>
      </c>
      <c r="W2027" s="348">
        <v>111.17115831453773</v>
      </c>
      <c r="X2027" s="347">
        <v>54.63</v>
      </c>
      <c r="Y2027" s="357">
        <v>53.57</v>
      </c>
      <c r="Z2027" s="365" t="s">
        <v>3017</v>
      </c>
      <c r="AA2027" s="350">
        <v>190</v>
      </c>
      <c r="AB2027" s="349" t="s">
        <v>2685</v>
      </c>
      <c r="AC2027" s="350">
        <v>0</v>
      </c>
      <c r="AD2027" s="349" t="s">
        <v>2685</v>
      </c>
      <c r="AE2027" s="364">
        <v>0</v>
      </c>
      <c r="AF2027" s="366">
        <v>0</v>
      </c>
      <c r="AG2027" s="363">
        <v>0</v>
      </c>
      <c r="AH2027" s="635" t="s">
        <v>408</v>
      </c>
      <c r="AL2027" s="487" t="s">
        <v>16402</v>
      </c>
      <c r="AM2027" s="477" t="s">
        <v>70</v>
      </c>
      <c r="AN2027" s="637">
        <v>100</v>
      </c>
      <c r="AO2027" s="478">
        <v>-1570</v>
      </c>
      <c r="AP2027" s="463">
        <v>-1570</v>
      </c>
      <c r="AQ2027" s="479">
        <v>0</v>
      </c>
      <c r="AR2027" s="476" t="s">
        <v>18065</v>
      </c>
      <c r="BA2027" s="313" t="s">
        <v>6973</v>
      </c>
    </row>
    <row r="2028" spans="2:53" ht="16.5" customHeight="1">
      <c r="B2028" s="367" t="s">
        <v>6982</v>
      </c>
      <c r="C2028" s="351" t="s">
        <v>6983</v>
      </c>
      <c r="D2028" s="353">
        <v>-1570</v>
      </c>
      <c r="E2028" s="352" t="s">
        <v>408</v>
      </c>
      <c r="F2028" s="341">
        <v>62.06</v>
      </c>
      <c r="G2028" s="355" t="s">
        <v>13605</v>
      </c>
      <c r="H2028" s="356" t="s">
        <v>19260</v>
      </c>
      <c r="I2028" s="354" t="s">
        <v>8000</v>
      </c>
      <c r="J2028" s="340" t="s">
        <v>13606</v>
      </c>
      <c r="K2028" s="339" t="s">
        <v>70</v>
      </c>
      <c r="L2028" s="357">
        <v>9</v>
      </c>
      <c r="M2028" s="358" t="s">
        <v>13607</v>
      </c>
      <c r="N2028" s="359">
        <v>1000</v>
      </c>
      <c r="O2028" s="360" t="s">
        <v>532</v>
      </c>
      <c r="P2028" s="343" t="s">
        <v>532</v>
      </c>
      <c r="Q2028" s="342" t="s">
        <v>2688</v>
      </c>
      <c r="R2028" s="344">
        <v>25</v>
      </c>
      <c r="S2028" s="345">
        <v>30</v>
      </c>
      <c r="T2028" s="362">
        <v>25</v>
      </c>
      <c r="U2028" s="361">
        <v>62.06</v>
      </c>
      <c r="V2028" s="346">
        <v>108.25432920210027</v>
      </c>
      <c r="W2028" s="348">
        <v>111.16112035236279</v>
      </c>
      <c r="X2028" s="347" t="s">
        <v>19261</v>
      </c>
      <c r="Y2028" s="357" t="s">
        <v>408</v>
      </c>
      <c r="Z2028" s="365" t="s">
        <v>4408</v>
      </c>
      <c r="AA2028" s="350">
        <v>192</v>
      </c>
      <c r="AB2028" s="349" t="s">
        <v>2685</v>
      </c>
      <c r="AC2028" s="350">
        <v>0</v>
      </c>
      <c r="AD2028" s="349" t="s">
        <v>2685</v>
      </c>
      <c r="AE2028" s="364">
        <v>0</v>
      </c>
      <c r="AF2028" s="366">
        <v>0</v>
      </c>
      <c r="AG2028" s="363">
        <v>0</v>
      </c>
      <c r="AH2028" s="635" t="s">
        <v>408</v>
      </c>
      <c r="AL2028" s="487" t="s">
        <v>16403</v>
      </c>
      <c r="AM2028" s="477" t="s">
        <v>70</v>
      </c>
      <c r="AN2028" s="637">
        <v>100</v>
      </c>
      <c r="AO2028" s="478">
        <v>-1570</v>
      </c>
      <c r="AP2028" s="463">
        <v>-1570</v>
      </c>
      <c r="AQ2028" s="479">
        <v>0</v>
      </c>
      <c r="AR2028" s="476" t="s">
        <v>18066</v>
      </c>
      <c r="BA2028" s="313" t="s">
        <v>6975</v>
      </c>
    </row>
    <row r="2029" spans="2:53" ht="16.5" customHeight="1">
      <c r="B2029" s="367" t="s">
        <v>13608</v>
      </c>
      <c r="C2029" s="351" t="s">
        <v>13609</v>
      </c>
      <c r="D2029" s="353">
        <v>-1570</v>
      </c>
      <c r="E2029" s="352" t="s">
        <v>408</v>
      </c>
      <c r="F2029" s="341">
        <v>62.03</v>
      </c>
      <c r="G2029" s="355" t="s">
        <v>13610</v>
      </c>
      <c r="H2029" s="356" t="s">
        <v>19262</v>
      </c>
      <c r="I2029" s="354" t="s">
        <v>209</v>
      </c>
      <c r="J2029" s="340" t="s">
        <v>13611</v>
      </c>
      <c r="K2029" s="339" t="s">
        <v>70</v>
      </c>
      <c r="L2029" s="357">
        <v>16</v>
      </c>
      <c r="M2029" s="358" t="s">
        <v>10190</v>
      </c>
      <c r="N2029" s="359">
        <v>1000</v>
      </c>
      <c r="O2029" s="360" t="s">
        <v>530</v>
      </c>
      <c r="P2029" s="343" t="s">
        <v>530</v>
      </c>
      <c r="Q2029" s="342" t="s">
        <v>2688</v>
      </c>
      <c r="R2029" s="344">
        <v>20</v>
      </c>
      <c r="S2029" s="345">
        <v>30</v>
      </c>
      <c r="T2029" s="362">
        <v>30</v>
      </c>
      <c r="U2029" s="361">
        <v>62.03</v>
      </c>
      <c r="V2029" s="346">
        <v>108.23637851690741</v>
      </c>
      <c r="W2029" s="348">
        <v>111.14092583152083</v>
      </c>
      <c r="X2029" s="347">
        <v>54.62</v>
      </c>
      <c r="Y2029" s="357" t="s">
        <v>408</v>
      </c>
      <c r="Z2029" s="365" t="s">
        <v>3017</v>
      </c>
      <c r="AA2029" s="350">
        <v>198</v>
      </c>
      <c r="AB2029" s="349" t="s">
        <v>2685</v>
      </c>
      <c r="AC2029" s="350">
        <v>10</v>
      </c>
      <c r="AD2029" s="349" t="s">
        <v>2685</v>
      </c>
      <c r="AE2029" s="364">
        <v>0</v>
      </c>
      <c r="AF2029" s="366">
        <v>0</v>
      </c>
      <c r="AG2029" s="363">
        <v>0</v>
      </c>
      <c r="AH2029" s="635" t="s">
        <v>408</v>
      </c>
      <c r="AL2029" s="487" t="s">
        <v>16404</v>
      </c>
      <c r="AM2029" s="477" t="s">
        <v>70</v>
      </c>
      <c r="AN2029" s="637">
        <v>100</v>
      </c>
      <c r="AO2029" s="478">
        <v>-1570</v>
      </c>
      <c r="AP2029" s="463">
        <v>-1570</v>
      </c>
      <c r="AQ2029" s="479">
        <v>0</v>
      </c>
      <c r="AR2029" s="476" t="s">
        <v>18067</v>
      </c>
      <c r="BA2029" s="313" t="s">
        <v>6976</v>
      </c>
    </row>
    <row r="2030" spans="2:53" ht="16.5" customHeight="1">
      <c r="B2030" s="367" t="s">
        <v>13612</v>
      </c>
      <c r="C2030" s="351" t="s">
        <v>13613</v>
      </c>
      <c r="D2030" s="353">
        <v>-1570</v>
      </c>
      <c r="E2030" s="352" t="s">
        <v>13614</v>
      </c>
      <c r="F2030" s="341">
        <v>62</v>
      </c>
      <c r="G2030" s="355" t="s">
        <v>13659</v>
      </c>
      <c r="H2030" s="356" t="s">
        <v>19252</v>
      </c>
      <c r="I2030" s="354" t="s">
        <v>215</v>
      </c>
      <c r="J2030" s="340" t="s">
        <v>13615</v>
      </c>
      <c r="K2030" s="339" t="s">
        <v>71</v>
      </c>
      <c r="L2030" s="357">
        <v>3</v>
      </c>
      <c r="M2030" s="358" t="s">
        <v>13616</v>
      </c>
      <c r="N2030" s="359">
        <v>1000</v>
      </c>
      <c r="O2030" s="360" t="s">
        <v>530</v>
      </c>
      <c r="P2030" s="343" t="s">
        <v>531</v>
      </c>
      <c r="Q2030" s="342" t="s">
        <v>2688</v>
      </c>
      <c r="R2030" s="344">
        <v>13</v>
      </c>
      <c r="S2030" s="345">
        <v>50</v>
      </c>
      <c r="T2030" s="362">
        <v>25</v>
      </c>
      <c r="U2030" s="361">
        <v>62</v>
      </c>
      <c r="V2030" s="346">
        <v>108.22093608454958</v>
      </c>
      <c r="W2030" s="348">
        <v>111.12355309511827</v>
      </c>
      <c r="X2030" s="347">
        <v>54.17</v>
      </c>
      <c r="Y2030" s="357">
        <v>53.97</v>
      </c>
      <c r="Z2030" s="365" t="s">
        <v>3017</v>
      </c>
      <c r="AA2030" s="350">
        <v>121.25</v>
      </c>
      <c r="AB2030" s="349" t="s">
        <v>2685</v>
      </c>
      <c r="AC2030" s="350">
        <v>10</v>
      </c>
      <c r="AD2030" s="349" t="s">
        <v>2685</v>
      </c>
      <c r="AE2030" s="364">
        <v>0</v>
      </c>
      <c r="AF2030" s="366">
        <v>0</v>
      </c>
      <c r="AG2030" s="363">
        <v>0</v>
      </c>
      <c r="AH2030" s="635" t="s">
        <v>408</v>
      </c>
      <c r="AL2030" s="487" t="s">
        <v>16405</v>
      </c>
      <c r="AM2030" s="477" t="s">
        <v>71</v>
      </c>
      <c r="AN2030" s="637">
        <v>100</v>
      </c>
      <c r="AO2030" s="478">
        <v>-1570</v>
      </c>
      <c r="AP2030" s="463">
        <v>-633</v>
      </c>
      <c r="AQ2030" s="479">
        <v>-937</v>
      </c>
      <c r="AR2030" s="476" t="s">
        <v>18068</v>
      </c>
      <c r="BA2030" s="313" t="s">
        <v>6977</v>
      </c>
    </row>
    <row r="2031" spans="2:53" ht="16.5" customHeight="1">
      <c r="B2031" s="367" t="s">
        <v>13624</v>
      </c>
      <c r="C2031" s="351" t="s">
        <v>13625</v>
      </c>
      <c r="D2031" s="353">
        <v>-1570</v>
      </c>
      <c r="E2031" s="352" t="s">
        <v>13617</v>
      </c>
      <c r="F2031" s="341">
        <v>61.78</v>
      </c>
      <c r="G2031" s="355" t="s">
        <v>6951</v>
      </c>
      <c r="H2031" s="356" t="s">
        <v>19259</v>
      </c>
      <c r="I2031" s="354" t="s">
        <v>400</v>
      </c>
      <c r="J2031" s="340" t="s">
        <v>441</v>
      </c>
      <c r="K2031" s="339" t="s">
        <v>71</v>
      </c>
      <c r="L2031" s="357">
        <v>6</v>
      </c>
      <c r="M2031" s="358" t="s">
        <v>13618</v>
      </c>
      <c r="N2031" s="359">
        <v>1000</v>
      </c>
      <c r="O2031" s="360" t="s">
        <v>532</v>
      </c>
      <c r="P2031" s="343" t="s">
        <v>532</v>
      </c>
      <c r="Q2031" s="342" t="s">
        <v>2688</v>
      </c>
      <c r="R2031" s="344">
        <v>30</v>
      </c>
      <c r="S2031" s="345">
        <v>30</v>
      </c>
      <c r="T2031" s="362">
        <v>20</v>
      </c>
      <c r="U2031" s="361">
        <v>61.78</v>
      </c>
      <c r="V2031" s="346">
        <v>108.10147833244885</v>
      </c>
      <c r="W2031" s="348">
        <v>110.99211863563997</v>
      </c>
      <c r="X2031" s="347" t="s">
        <v>19263</v>
      </c>
      <c r="Y2031" s="357" t="s">
        <v>408</v>
      </c>
      <c r="Z2031" s="365" t="s">
        <v>4408</v>
      </c>
      <c r="AA2031" s="350">
        <v>190</v>
      </c>
      <c r="AB2031" s="349" t="s">
        <v>2685</v>
      </c>
      <c r="AC2031" s="350">
        <v>0</v>
      </c>
      <c r="AD2031" s="349" t="s">
        <v>2685</v>
      </c>
      <c r="AE2031" s="364">
        <v>0</v>
      </c>
      <c r="AF2031" s="366">
        <v>0</v>
      </c>
      <c r="AG2031" s="363">
        <v>0</v>
      </c>
      <c r="AH2031" s="635" t="s">
        <v>408</v>
      </c>
      <c r="AL2031" s="487" t="s">
        <v>7240</v>
      </c>
      <c r="AM2031" s="477" t="s">
        <v>71</v>
      </c>
      <c r="AN2031" s="637">
        <v>100</v>
      </c>
      <c r="AO2031" s="478">
        <v>-1570</v>
      </c>
      <c r="AP2031" s="463">
        <v>-632</v>
      </c>
      <c r="AQ2031" s="479">
        <v>-938</v>
      </c>
      <c r="AR2031" s="476" t="s">
        <v>18069</v>
      </c>
      <c r="BA2031" s="313" t="s">
        <v>6978</v>
      </c>
    </row>
    <row r="2032" spans="2:53" ht="16.5" customHeight="1">
      <c r="B2032" s="367" t="s">
        <v>7001</v>
      </c>
      <c r="C2032" s="351" t="s">
        <v>7002</v>
      </c>
      <c r="D2032" s="353">
        <v>-1570</v>
      </c>
      <c r="E2032" s="352" t="s">
        <v>408</v>
      </c>
      <c r="F2032" s="341">
        <v>61.77</v>
      </c>
      <c r="G2032" s="355" t="s">
        <v>19264</v>
      </c>
      <c r="H2032" s="356" t="s">
        <v>19265</v>
      </c>
      <c r="I2032" s="354" t="s">
        <v>8000</v>
      </c>
      <c r="J2032" s="340" t="s">
        <v>9709</v>
      </c>
      <c r="K2032" s="339" t="s">
        <v>71</v>
      </c>
      <c r="L2032" s="357">
        <v>12</v>
      </c>
      <c r="M2032" s="358" t="s">
        <v>13626</v>
      </c>
      <c r="N2032" s="359">
        <v>1000</v>
      </c>
      <c r="O2032" s="360" t="s">
        <v>532</v>
      </c>
      <c r="P2032" s="343" t="s">
        <v>532</v>
      </c>
      <c r="Q2032" s="342" t="s">
        <v>2688</v>
      </c>
      <c r="R2032" s="344">
        <v>30</v>
      </c>
      <c r="S2032" s="345">
        <v>25</v>
      </c>
      <c r="T2032" s="362">
        <v>25</v>
      </c>
      <c r="U2032" s="361">
        <v>61.77</v>
      </c>
      <c r="V2032" s="346">
        <v>108.0958296875347</v>
      </c>
      <c r="W2032" s="348">
        <v>110.98749701707385</v>
      </c>
      <c r="X2032" s="347" t="s">
        <v>19263</v>
      </c>
      <c r="Y2032" s="357" t="s">
        <v>408</v>
      </c>
      <c r="Z2032" s="365" t="s">
        <v>4408</v>
      </c>
      <c r="AA2032" s="350">
        <v>192</v>
      </c>
      <c r="AB2032" s="349" t="s">
        <v>2685</v>
      </c>
      <c r="AC2032" s="350">
        <v>0</v>
      </c>
      <c r="AD2032" s="349" t="s">
        <v>2685</v>
      </c>
      <c r="AE2032" s="364">
        <v>0</v>
      </c>
      <c r="AF2032" s="366">
        <v>0</v>
      </c>
      <c r="AG2032" s="363">
        <v>0</v>
      </c>
      <c r="AH2032" s="635" t="s">
        <v>408</v>
      </c>
      <c r="AL2032" s="487" t="s">
        <v>16406</v>
      </c>
      <c r="AM2032" s="477" t="s">
        <v>71</v>
      </c>
      <c r="AN2032" s="637">
        <v>100</v>
      </c>
      <c r="AO2032" s="478">
        <v>-1570</v>
      </c>
      <c r="AP2032" s="463">
        <v>-632</v>
      </c>
      <c r="AQ2032" s="479">
        <v>-938</v>
      </c>
      <c r="AR2032" s="476" t="s">
        <v>18070</v>
      </c>
      <c r="BA2032" s="313" t="s">
        <v>6979</v>
      </c>
    </row>
    <row r="2033" spans="2:53" ht="16.5" customHeight="1">
      <c r="B2033" s="367" t="s">
        <v>18306</v>
      </c>
      <c r="C2033" s="351" t="s">
        <v>18307</v>
      </c>
      <c r="D2033" s="353">
        <v>-1570</v>
      </c>
      <c r="E2033" s="352" t="s">
        <v>6951</v>
      </c>
      <c r="F2033" s="341">
        <v>61.72</v>
      </c>
      <c r="G2033" s="355" t="s">
        <v>19266</v>
      </c>
      <c r="H2033" s="356" t="s">
        <v>19262</v>
      </c>
      <c r="I2033" s="354" t="s">
        <v>8000</v>
      </c>
      <c r="J2033" s="340" t="s">
        <v>9633</v>
      </c>
      <c r="K2033" s="339" t="s">
        <v>71</v>
      </c>
      <c r="L2033" s="357">
        <v>25</v>
      </c>
      <c r="M2033" s="358" t="s">
        <v>13628</v>
      </c>
      <c r="N2033" s="359">
        <v>1000</v>
      </c>
      <c r="O2033" s="360" t="s">
        <v>532</v>
      </c>
      <c r="P2033" s="343" t="s">
        <v>532</v>
      </c>
      <c r="Q2033" s="342" t="s">
        <v>2688</v>
      </c>
      <c r="R2033" s="344">
        <v>30</v>
      </c>
      <c r="S2033" s="345">
        <v>25</v>
      </c>
      <c r="T2033" s="362">
        <v>25</v>
      </c>
      <c r="U2033" s="361">
        <v>61.72</v>
      </c>
      <c r="V2033" s="346">
        <v>108.06744331338879</v>
      </c>
      <c r="W2033" s="348">
        <v>110.96427180186355</v>
      </c>
      <c r="X2033" s="347" t="s">
        <v>19267</v>
      </c>
      <c r="Y2033" s="357" t="s">
        <v>408</v>
      </c>
      <c r="Z2033" s="365" t="s">
        <v>4408</v>
      </c>
      <c r="AA2033" s="350">
        <v>192</v>
      </c>
      <c r="AB2033" s="349" t="s">
        <v>2685</v>
      </c>
      <c r="AC2033" s="350">
        <v>0</v>
      </c>
      <c r="AD2033" s="349" t="s">
        <v>2685</v>
      </c>
      <c r="AE2033" s="364">
        <v>0</v>
      </c>
      <c r="AF2033" s="366">
        <v>0</v>
      </c>
      <c r="AG2033" s="363">
        <v>0</v>
      </c>
      <c r="AH2033" s="635" t="s">
        <v>408</v>
      </c>
      <c r="AL2033" s="487" t="s">
        <v>16407</v>
      </c>
      <c r="AM2033" s="477" t="s">
        <v>71</v>
      </c>
      <c r="AN2033" s="637">
        <v>100</v>
      </c>
      <c r="AO2033" s="478">
        <v>-1570</v>
      </c>
      <c r="AP2033" s="463">
        <v>-632</v>
      </c>
      <c r="AQ2033" s="479">
        <v>-938</v>
      </c>
      <c r="AR2033" s="476" t="s">
        <v>18071</v>
      </c>
      <c r="BA2033" s="313" t="s">
        <v>6980</v>
      </c>
    </row>
    <row r="2034" spans="2:53" ht="16.5" customHeight="1">
      <c r="B2034" s="367" t="s">
        <v>13619</v>
      </c>
      <c r="C2034" s="351" t="s">
        <v>13620</v>
      </c>
      <c r="D2034" s="353">
        <v>-1570</v>
      </c>
      <c r="E2034" s="352" t="s">
        <v>13627</v>
      </c>
      <c r="F2034" s="341">
        <v>61.71</v>
      </c>
      <c r="G2034" s="355" t="s">
        <v>13621</v>
      </c>
      <c r="H2034" s="356" t="s">
        <v>6892</v>
      </c>
      <c r="I2034" s="354" t="s">
        <v>494</v>
      </c>
      <c r="J2034" s="340" t="s">
        <v>13622</v>
      </c>
      <c r="K2034" s="339" t="s">
        <v>70</v>
      </c>
      <c r="L2034" s="357">
        <v>37</v>
      </c>
      <c r="M2034" s="358" t="s">
        <v>13623</v>
      </c>
      <c r="N2034" s="359">
        <v>1000</v>
      </c>
      <c r="O2034" s="360" t="s">
        <v>532</v>
      </c>
      <c r="P2034" s="343" t="s">
        <v>533</v>
      </c>
      <c r="Q2034" s="342" t="s">
        <v>2688</v>
      </c>
      <c r="R2034" s="344">
        <v>20</v>
      </c>
      <c r="S2034" s="345">
        <v>35</v>
      </c>
      <c r="T2034" s="362">
        <v>25</v>
      </c>
      <c r="U2034" s="361">
        <v>61.71</v>
      </c>
      <c r="V2034" s="346">
        <v>108.06381264708777</v>
      </c>
      <c r="W2034" s="348">
        <v>110.96130125670817</v>
      </c>
      <c r="X2034" s="347">
        <v>54.52</v>
      </c>
      <c r="Y2034" s="357">
        <v>53.41</v>
      </c>
      <c r="Z2034" s="365" t="s">
        <v>3017</v>
      </c>
      <c r="AA2034" s="350">
        <v>190</v>
      </c>
      <c r="AB2034" s="349" t="s">
        <v>2685</v>
      </c>
      <c r="AC2034" s="350">
        <v>0</v>
      </c>
      <c r="AD2034" s="349" t="s">
        <v>2685</v>
      </c>
      <c r="AE2034" s="364">
        <v>0</v>
      </c>
      <c r="AF2034" s="366">
        <v>0</v>
      </c>
      <c r="AG2034" s="363">
        <v>0</v>
      </c>
      <c r="AH2034" s="635" t="s">
        <v>408</v>
      </c>
      <c r="AL2034" s="487" t="s">
        <v>16408</v>
      </c>
      <c r="AM2034" s="477" t="s">
        <v>70</v>
      </c>
      <c r="AN2034" s="637">
        <v>100</v>
      </c>
      <c r="AO2034" s="478">
        <v>-1570</v>
      </c>
      <c r="AP2034" s="463">
        <v>-1570</v>
      </c>
      <c r="AQ2034" s="479">
        <v>0</v>
      </c>
      <c r="AR2034" s="476" t="s">
        <v>18072</v>
      </c>
      <c r="BA2034" s="313" t="s">
        <v>6981</v>
      </c>
    </row>
    <row r="2035" spans="2:53" ht="16.5" customHeight="1">
      <c r="B2035" s="367" t="s">
        <v>18308</v>
      </c>
      <c r="C2035" s="351" t="s">
        <v>18309</v>
      </c>
      <c r="D2035" s="353">
        <v>-1570</v>
      </c>
      <c r="E2035" s="352" t="s">
        <v>408</v>
      </c>
      <c r="F2035" s="341">
        <v>61.64</v>
      </c>
      <c r="G2035" s="355" t="s">
        <v>19268</v>
      </c>
      <c r="H2035" s="356" t="s">
        <v>19269</v>
      </c>
      <c r="I2035" s="354" t="s">
        <v>8000</v>
      </c>
      <c r="J2035" s="340" t="s">
        <v>12228</v>
      </c>
      <c r="K2035" s="339" t="s">
        <v>71</v>
      </c>
      <c r="L2035" s="357">
        <v>3</v>
      </c>
      <c r="M2035" s="358" t="s">
        <v>13634</v>
      </c>
      <c r="N2035" s="359">
        <v>1000</v>
      </c>
      <c r="O2035" s="360" t="s">
        <v>532</v>
      </c>
      <c r="P2035" s="343" t="s">
        <v>532</v>
      </c>
      <c r="Q2035" s="342" t="s">
        <v>2688</v>
      </c>
      <c r="R2035" s="344">
        <v>30</v>
      </c>
      <c r="S2035" s="345">
        <v>25</v>
      </c>
      <c r="T2035" s="362">
        <v>25</v>
      </c>
      <c r="U2035" s="361">
        <v>61.64</v>
      </c>
      <c r="V2035" s="346">
        <v>108.02308960378579</v>
      </c>
      <c r="W2035" s="348">
        <v>110.92798240309747</v>
      </c>
      <c r="X2035" s="347" t="s">
        <v>19270</v>
      </c>
      <c r="Y2035" s="357" t="s">
        <v>408</v>
      </c>
      <c r="Z2035" s="365" t="s">
        <v>4408</v>
      </c>
      <c r="AA2035" s="350">
        <v>192</v>
      </c>
      <c r="AB2035" s="349" t="s">
        <v>2685</v>
      </c>
      <c r="AC2035" s="350">
        <v>0</v>
      </c>
      <c r="AD2035" s="349" t="s">
        <v>2685</v>
      </c>
      <c r="AE2035" s="364">
        <v>0</v>
      </c>
      <c r="AF2035" s="366">
        <v>0</v>
      </c>
      <c r="AG2035" s="363">
        <v>0</v>
      </c>
      <c r="AH2035" s="635" t="s">
        <v>408</v>
      </c>
      <c r="AL2035" s="487" t="s">
        <v>16409</v>
      </c>
      <c r="AM2035" s="477" t="s">
        <v>71</v>
      </c>
      <c r="AN2035" s="637">
        <v>100</v>
      </c>
      <c r="AO2035" s="478">
        <v>-1570</v>
      </c>
      <c r="AP2035" s="463">
        <v>-631</v>
      </c>
      <c r="AQ2035" s="479">
        <v>-939</v>
      </c>
      <c r="AR2035" s="476" t="s">
        <v>18073</v>
      </c>
      <c r="BA2035" s="313" t="s">
        <v>6984</v>
      </c>
    </row>
    <row r="2036" spans="2:53" ht="16.5" customHeight="1">
      <c r="B2036" s="367" t="s">
        <v>13629</v>
      </c>
      <c r="C2036" s="351" t="s">
        <v>13630</v>
      </c>
      <c r="D2036" s="353">
        <v>-1570</v>
      </c>
      <c r="E2036" s="352" t="s">
        <v>13633</v>
      </c>
      <c r="F2036" s="341">
        <v>61.56</v>
      </c>
      <c r="G2036" s="355" t="s">
        <v>13631</v>
      </c>
      <c r="H2036" s="356" t="s">
        <v>19271</v>
      </c>
      <c r="I2036" s="354" t="s">
        <v>213</v>
      </c>
      <c r="J2036" s="340" t="s">
        <v>8410</v>
      </c>
      <c r="K2036" s="339" t="s">
        <v>70</v>
      </c>
      <c r="L2036" s="357">
        <v>8</v>
      </c>
      <c r="M2036" s="358" t="s">
        <v>13632</v>
      </c>
      <c r="N2036" s="359">
        <v>1000</v>
      </c>
      <c r="O2036" s="360" t="s">
        <v>454</v>
      </c>
      <c r="P2036" s="343" t="s">
        <v>454</v>
      </c>
      <c r="Q2036" s="342" t="s">
        <v>2688</v>
      </c>
      <c r="R2036" s="344">
        <v>20</v>
      </c>
      <c r="S2036" s="345">
        <v>30</v>
      </c>
      <c r="T2036" s="362">
        <v>30</v>
      </c>
      <c r="U2036" s="361">
        <v>61.56</v>
      </c>
      <c r="V2036" s="346">
        <v>107.97968253968254</v>
      </c>
      <c r="W2036" s="348">
        <v>110.89246753246752</v>
      </c>
      <c r="X2036" s="347">
        <v>54.46</v>
      </c>
      <c r="Y2036" s="357" t="s">
        <v>408</v>
      </c>
      <c r="Z2036" s="365" t="s">
        <v>4408</v>
      </c>
      <c r="AA2036" s="350">
        <v>180</v>
      </c>
      <c r="AB2036" s="349" t="s">
        <v>2685</v>
      </c>
      <c r="AC2036" s="350">
        <v>10</v>
      </c>
      <c r="AD2036" s="349" t="s">
        <v>2685</v>
      </c>
      <c r="AE2036" s="364">
        <v>0</v>
      </c>
      <c r="AF2036" s="366">
        <v>46.17</v>
      </c>
      <c r="AG2036" s="363">
        <v>0</v>
      </c>
      <c r="AH2036" s="635" t="s">
        <v>12809</v>
      </c>
      <c r="AL2036" s="487" t="s">
        <v>16410</v>
      </c>
      <c r="AM2036" s="477" t="s">
        <v>70</v>
      </c>
      <c r="AN2036" s="637">
        <v>100</v>
      </c>
      <c r="AO2036" s="478">
        <v>-1570</v>
      </c>
      <c r="AP2036" s="463">
        <v>-1570</v>
      </c>
      <c r="AQ2036" s="479">
        <v>0</v>
      </c>
      <c r="AR2036" s="476" t="s">
        <v>18074</v>
      </c>
      <c r="BA2036" s="313" t="s">
        <v>6986</v>
      </c>
    </row>
    <row r="2037" spans="2:53" ht="16.5" customHeight="1">
      <c r="B2037" s="367" t="s">
        <v>13635</v>
      </c>
      <c r="C2037" s="351" t="s">
        <v>13636</v>
      </c>
      <c r="D2037" s="353">
        <v>-1570</v>
      </c>
      <c r="E2037" s="352" t="s">
        <v>408</v>
      </c>
      <c r="F2037" s="341">
        <v>61.5</v>
      </c>
      <c r="G2037" s="355" t="s">
        <v>13637</v>
      </c>
      <c r="H2037" s="356" t="s">
        <v>19272</v>
      </c>
      <c r="I2037" s="354" t="s">
        <v>497</v>
      </c>
      <c r="J2037" s="340" t="s">
        <v>13638</v>
      </c>
      <c r="K2037" s="339" t="s">
        <v>71</v>
      </c>
      <c r="L2037" s="357">
        <v>2</v>
      </c>
      <c r="M2037" s="358" t="s">
        <v>13639</v>
      </c>
      <c r="N2037" s="359">
        <v>200</v>
      </c>
      <c r="O2037" s="360" t="s">
        <v>454</v>
      </c>
      <c r="P2037" s="343" t="s">
        <v>454</v>
      </c>
      <c r="Q2037" s="342" t="s">
        <v>2738</v>
      </c>
      <c r="R2037" s="344">
        <v>50</v>
      </c>
      <c r="S2037" s="345">
        <v>0</v>
      </c>
      <c r="T2037" s="362">
        <v>0</v>
      </c>
      <c r="U2037" s="361">
        <v>61.5</v>
      </c>
      <c r="V2037" s="346">
        <v>107.94444444444444</v>
      </c>
      <c r="W2037" s="348">
        <v>110.86363636363636</v>
      </c>
      <c r="X2037" s="347">
        <v>54.45</v>
      </c>
      <c r="Y2037" s="357" t="s">
        <v>408</v>
      </c>
      <c r="Z2037" s="365" t="s">
        <v>4408</v>
      </c>
      <c r="AA2037" s="350">
        <v>94</v>
      </c>
      <c r="AB2037" s="349" t="s">
        <v>2685</v>
      </c>
      <c r="AC2037" s="350">
        <v>1.5</v>
      </c>
      <c r="AD2037" s="349" t="s">
        <v>2685</v>
      </c>
      <c r="AE2037" s="364">
        <v>0</v>
      </c>
      <c r="AF2037" s="366">
        <v>0</v>
      </c>
      <c r="AG2037" s="363">
        <v>0</v>
      </c>
      <c r="AH2037" s="635" t="s">
        <v>10127</v>
      </c>
      <c r="AL2037" s="487" t="s">
        <v>16411</v>
      </c>
      <c r="AM2037" s="477" t="s">
        <v>71</v>
      </c>
      <c r="AN2037" s="637">
        <v>100</v>
      </c>
      <c r="AO2037" s="478">
        <v>-1570</v>
      </c>
      <c r="AP2037" s="463">
        <v>-633</v>
      </c>
      <c r="AQ2037" s="479">
        <v>-937</v>
      </c>
      <c r="AR2037" s="476" t="s">
        <v>18075</v>
      </c>
      <c r="BA2037" s="313" t="s">
        <v>6987</v>
      </c>
    </row>
    <row r="2038" spans="2:53" ht="16.5" customHeight="1">
      <c r="B2038" s="367" t="s">
        <v>13707</v>
      </c>
      <c r="C2038" s="351" t="s">
        <v>13708</v>
      </c>
      <c r="D2038" s="353">
        <v>-1570</v>
      </c>
      <c r="E2038" s="352" t="s">
        <v>13640</v>
      </c>
      <c r="F2038" s="341">
        <v>61.47</v>
      </c>
      <c r="G2038" s="355" t="s">
        <v>13709</v>
      </c>
      <c r="H2038" s="356" t="s">
        <v>19273</v>
      </c>
      <c r="I2038" s="354" t="s">
        <v>8000</v>
      </c>
      <c r="J2038" s="340" t="s">
        <v>560</v>
      </c>
      <c r="K2038" s="339" t="s">
        <v>71</v>
      </c>
      <c r="L2038" s="357">
        <v>5</v>
      </c>
      <c r="M2038" s="358" t="s">
        <v>13642</v>
      </c>
      <c r="N2038" s="359">
        <v>1000</v>
      </c>
      <c r="O2038" s="360" t="s">
        <v>532</v>
      </c>
      <c r="P2038" s="343" t="s">
        <v>532</v>
      </c>
      <c r="Q2038" s="342" t="s">
        <v>2688</v>
      </c>
      <c r="R2038" s="344">
        <v>30</v>
      </c>
      <c r="S2038" s="345">
        <v>25</v>
      </c>
      <c r="T2038" s="362">
        <v>25</v>
      </c>
      <c r="U2038" s="361">
        <v>61.47</v>
      </c>
      <c r="V2038" s="346">
        <v>107.92741317563166</v>
      </c>
      <c r="W2038" s="348">
        <v>110.84970168915318</v>
      </c>
      <c r="X2038" s="347" t="s">
        <v>19274</v>
      </c>
      <c r="Y2038" s="357" t="s">
        <v>408</v>
      </c>
      <c r="Z2038" s="365" t="s">
        <v>4408</v>
      </c>
      <c r="AA2038" s="350">
        <v>192</v>
      </c>
      <c r="AB2038" s="349" t="s">
        <v>2685</v>
      </c>
      <c r="AC2038" s="350">
        <v>0</v>
      </c>
      <c r="AD2038" s="349" t="s">
        <v>2685</v>
      </c>
      <c r="AE2038" s="364">
        <v>0</v>
      </c>
      <c r="AF2038" s="366">
        <v>0</v>
      </c>
      <c r="AG2038" s="363">
        <v>0</v>
      </c>
      <c r="AH2038" s="635" t="s">
        <v>408</v>
      </c>
      <c r="AL2038" s="487" t="s">
        <v>16412</v>
      </c>
      <c r="AM2038" s="477" t="s">
        <v>71</v>
      </c>
      <c r="AN2038" s="637">
        <v>100</v>
      </c>
      <c r="AO2038" s="478">
        <v>-1570</v>
      </c>
      <c r="AP2038" s="463">
        <v>-630</v>
      </c>
      <c r="AQ2038" s="479">
        <v>-940</v>
      </c>
      <c r="AR2038" s="476" t="s">
        <v>18076</v>
      </c>
      <c r="BA2038" s="313" t="s">
        <v>6989</v>
      </c>
    </row>
    <row r="2039" spans="2:53" ht="16.5" customHeight="1">
      <c r="B2039" s="367" t="s">
        <v>13643</v>
      </c>
      <c r="C2039" s="351" t="s">
        <v>13644</v>
      </c>
      <c r="D2039" s="353">
        <v>-1570</v>
      </c>
      <c r="E2039" s="352" t="s">
        <v>408</v>
      </c>
      <c r="F2039" s="341">
        <v>61.38</v>
      </c>
      <c r="G2039" s="355" t="s">
        <v>13645</v>
      </c>
      <c r="H2039" s="356" t="s">
        <v>19275</v>
      </c>
      <c r="I2039" s="354" t="s">
        <v>8000</v>
      </c>
      <c r="J2039" s="340" t="s">
        <v>549</v>
      </c>
      <c r="K2039" s="339" t="s">
        <v>70</v>
      </c>
      <c r="L2039" s="357">
        <v>9</v>
      </c>
      <c r="M2039" s="358" t="s">
        <v>5313</v>
      </c>
      <c r="N2039" s="359">
        <v>1000</v>
      </c>
      <c r="O2039" s="360" t="s">
        <v>532</v>
      </c>
      <c r="P2039" s="343" t="s">
        <v>532</v>
      </c>
      <c r="Q2039" s="342" t="s">
        <v>2688</v>
      </c>
      <c r="R2039" s="344">
        <v>25</v>
      </c>
      <c r="S2039" s="345">
        <v>30</v>
      </c>
      <c r="T2039" s="362">
        <v>25</v>
      </c>
      <c r="U2039" s="361">
        <v>61.38</v>
      </c>
      <c r="V2039" s="346">
        <v>107.87664347225395</v>
      </c>
      <c r="W2039" s="348">
        <v>110.80816284093504</v>
      </c>
      <c r="X2039" s="347" t="s">
        <v>19276</v>
      </c>
      <c r="Y2039" s="357" t="s">
        <v>408</v>
      </c>
      <c r="Z2039" s="365" t="s">
        <v>4408</v>
      </c>
      <c r="AA2039" s="350">
        <v>192</v>
      </c>
      <c r="AB2039" s="349" t="s">
        <v>2685</v>
      </c>
      <c r="AC2039" s="350">
        <v>0</v>
      </c>
      <c r="AD2039" s="349" t="s">
        <v>2685</v>
      </c>
      <c r="AE2039" s="364">
        <v>0</v>
      </c>
      <c r="AF2039" s="366">
        <v>0</v>
      </c>
      <c r="AG2039" s="363">
        <v>0</v>
      </c>
      <c r="AH2039" s="635" t="s">
        <v>408</v>
      </c>
      <c r="AL2039" s="487" t="s">
        <v>16413</v>
      </c>
      <c r="AM2039" s="477" t="s">
        <v>70</v>
      </c>
      <c r="AN2039" s="637">
        <v>100</v>
      </c>
      <c r="AO2039" s="478">
        <v>-1570</v>
      </c>
      <c r="AP2039" s="463">
        <v>-1570</v>
      </c>
      <c r="AQ2039" s="479">
        <v>0</v>
      </c>
      <c r="AR2039" s="476" t="s">
        <v>18077</v>
      </c>
      <c r="BA2039" s="313" t="s">
        <v>6990</v>
      </c>
    </row>
    <row r="2040" spans="2:53" ht="16.5" customHeight="1">
      <c r="B2040" s="367" t="s">
        <v>13643</v>
      </c>
      <c r="C2040" s="351" t="s">
        <v>13644</v>
      </c>
      <c r="D2040" s="353">
        <v>-1570</v>
      </c>
      <c r="E2040" s="352" t="s">
        <v>408</v>
      </c>
      <c r="F2040" s="341">
        <v>61.37</v>
      </c>
      <c r="G2040" s="355" t="s">
        <v>13645</v>
      </c>
      <c r="H2040" s="356" t="s">
        <v>19275</v>
      </c>
      <c r="I2040" s="354" t="s">
        <v>8000</v>
      </c>
      <c r="J2040" s="340" t="s">
        <v>8502</v>
      </c>
      <c r="K2040" s="339" t="s">
        <v>70</v>
      </c>
      <c r="L2040" s="357">
        <v>9</v>
      </c>
      <c r="M2040" s="358" t="s">
        <v>13646</v>
      </c>
      <c r="N2040" s="359">
        <v>1000</v>
      </c>
      <c r="O2040" s="360" t="s">
        <v>532</v>
      </c>
      <c r="P2040" s="343" t="s">
        <v>532</v>
      </c>
      <c r="Q2040" s="342" t="s">
        <v>2688</v>
      </c>
      <c r="R2040" s="344">
        <v>25</v>
      </c>
      <c r="S2040" s="345">
        <v>30</v>
      </c>
      <c r="T2040" s="362">
        <v>25</v>
      </c>
      <c r="U2040" s="361">
        <v>61.37</v>
      </c>
      <c r="V2040" s="346">
        <v>107.87489608358861</v>
      </c>
      <c r="W2040" s="348">
        <v>110.80673315929977</v>
      </c>
      <c r="X2040" s="347" t="s">
        <v>19276</v>
      </c>
      <c r="Y2040" s="357" t="s">
        <v>408</v>
      </c>
      <c r="Z2040" s="365" t="s">
        <v>4408</v>
      </c>
      <c r="AA2040" s="350">
        <v>192</v>
      </c>
      <c r="AB2040" s="349" t="s">
        <v>2685</v>
      </c>
      <c r="AC2040" s="350">
        <v>0</v>
      </c>
      <c r="AD2040" s="349" t="s">
        <v>2685</v>
      </c>
      <c r="AE2040" s="364">
        <v>0</v>
      </c>
      <c r="AF2040" s="366">
        <v>0</v>
      </c>
      <c r="AG2040" s="363">
        <v>0</v>
      </c>
      <c r="AH2040" s="635" t="s">
        <v>408</v>
      </c>
      <c r="AL2040" s="487" t="s">
        <v>16414</v>
      </c>
      <c r="AM2040" s="477" t="s">
        <v>70</v>
      </c>
      <c r="AN2040" s="637">
        <v>100</v>
      </c>
      <c r="AO2040" s="478">
        <v>-1570</v>
      </c>
      <c r="AP2040" s="463">
        <v>-1570</v>
      </c>
      <c r="AQ2040" s="479">
        <v>0</v>
      </c>
      <c r="AR2040" s="476" t="s">
        <v>18077</v>
      </c>
      <c r="BA2040" s="313" t="s">
        <v>6991</v>
      </c>
    </row>
    <row r="2041" spans="2:53" ht="16.5" customHeight="1">
      <c r="B2041" s="367" t="s">
        <v>13647</v>
      </c>
      <c r="C2041" s="351" t="s">
        <v>13648</v>
      </c>
      <c r="D2041" s="353">
        <v>-1570</v>
      </c>
      <c r="E2041" s="352" t="s">
        <v>408</v>
      </c>
      <c r="F2041" s="341">
        <v>61.33</v>
      </c>
      <c r="G2041" s="355" t="s">
        <v>6946</v>
      </c>
      <c r="H2041" s="356" t="s">
        <v>19277</v>
      </c>
      <c r="I2041" s="354" t="s">
        <v>494</v>
      </c>
      <c r="J2041" s="340" t="s">
        <v>13649</v>
      </c>
      <c r="K2041" s="339" t="s">
        <v>70</v>
      </c>
      <c r="L2041" s="357">
        <v>26</v>
      </c>
      <c r="M2041" s="358" t="s">
        <v>13650</v>
      </c>
      <c r="N2041" s="359">
        <v>1000</v>
      </c>
      <c r="O2041" s="360" t="s">
        <v>532</v>
      </c>
      <c r="P2041" s="343" t="s">
        <v>533</v>
      </c>
      <c r="Q2041" s="342" t="s">
        <v>2688</v>
      </c>
      <c r="R2041" s="344">
        <v>20</v>
      </c>
      <c r="S2041" s="345">
        <v>35</v>
      </c>
      <c r="T2041" s="362">
        <v>25</v>
      </c>
      <c r="U2041" s="361">
        <v>61.33</v>
      </c>
      <c r="V2041" s="346">
        <v>107.84844662971891</v>
      </c>
      <c r="W2041" s="348">
        <v>110.78509269704274</v>
      </c>
      <c r="X2041" s="347">
        <v>54.39</v>
      </c>
      <c r="Y2041" s="357">
        <v>53.23</v>
      </c>
      <c r="Z2041" s="365" t="s">
        <v>3017</v>
      </c>
      <c r="AA2041" s="350">
        <v>190</v>
      </c>
      <c r="AB2041" s="349" t="s">
        <v>2685</v>
      </c>
      <c r="AC2041" s="350">
        <v>0</v>
      </c>
      <c r="AD2041" s="349" t="s">
        <v>2685</v>
      </c>
      <c r="AE2041" s="364">
        <v>0</v>
      </c>
      <c r="AF2041" s="366">
        <v>0</v>
      </c>
      <c r="AG2041" s="363">
        <v>0</v>
      </c>
      <c r="AH2041" s="635" t="s">
        <v>408</v>
      </c>
      <c r="AL2041" s="487" t="s">
        <v>16415</v>
      </c>
      <c r="AM2041" s="477" t="s">
        <v>70</v>
      </c>
      <c r="AN2041" s="637">
        <v>100</v>
      </c>
      <c r="AO2041" s="478">
        <v>-1570</v>
      </c>
      <c r="AP2041" s="463">
        <v>-1570</v>
      </c>
      <c r="AQ2041" s="479">
        <v>0</v>
      </c>
      <c r="AR2041" s="476" t="s">
        <v>18078</v>
      </c>
      <c r="BA2041" s="313" t="s">
        <v>6992</v>
      </c>
    </row>
    <row r="2042" spans="2:53" ht="16.5" customHeight="1">
      <c r="B2042" s="367" t="s">
        <v>13651</v>
      </c>
      <c r="C2042" s="351" t="s">
        <v>13652</v>
      </c>
      <c r="D2042" s="353">
        <v>-1570</v>
      </c>
      <c r="E2042" s="352" t="s">
        <v>13653</v>
      </c>
      <c r="F2042" s="341">
        <v>61.22</v>
      </c>
      <c r="G2042" s="355" t="s">
        <v>19278</v>
      </c>
      <c r="H2042" s="356" t="s">
        <v>19279</v>
      </c>
      <c r="I2042" s="354" t="s">
        <v>213</v>
      </c>
      <c r="J2042" s="340" t="s">
        <v>8659</v>
      </c>
      <c r="K2042" s="339" t="s">
        <v>71</v>
      </c>
      <c r="L2042" s="357">
        <v>13</v>
      </c>
      <c r="M2042" s="358" t="s">
        <v>13654</v>
      </c>
      <c r="N2042" s="359">
        <v>1000</v>
      </c>
      <c r="O2042" s="360" t="s">
        <v>454</v>
      </c>
      <c r="P2042" s="343" t="s">
        <v>454</v>
      </c>
      <c r="Q2042" s="342" t="s">
        <v>2688</v>
      </c>
      <c r="R2042" s="344">
        <v>30</v>
      </c>
      <c r="S2042" s="345">
        <v>20</v>
      </c>
      <c r="T2042" s="362">
        <v>30</v>
      </c>
      <c r="U2042" s="361">
        <v>61.22</v>
      </c>
      <c r="V2042" s="346">
        <v>107.79027777777777</v>
      </c>
      <c r="W2042" s="348">
        <v>110.7375</v>
      </c>
      <c r="X2042" s="347">
        <v>53.93</v>
      </c>
      <c r="Y2042" s="357" t="s">
        <v>408</v>
      </c>
      <c r="Z2042" s="365" t="s">
        <v>4408</v>
      </c>
      <c r="AA2042" s="350">
        <v>180</v>
      </c>
      <c r="AB2042" s="349" t="s">
        <v>2685</v>
      </c>
      <c r="AC2042" s="350">
        <v>10</v>
      </c>
      <c r="AD2042" s="349" t="s">
        <v>2685</v>
      </c>
      <c r="AE2042" s="364">
        <v>0</v>
      </c>
      <c r="AF2042" s="366">
        <v>0</v>
      </c>
      <c r="AG2042" s="363">
        <v>0</v>
      </c>
      <c r="AH2042" s="635" t="s">
        <v>408</v>
      </c>
      <c r="AL2042" s="487" t="s">
        <v>16416</v>
      </c>
      <c r="AM2042" s="477" t="s">
        <v>71</v>
      </c>
      <c r="AN2042" s="637">
        <v>100</v>
      </c>
      <c r="AO2042" s="478">
        <v>-1570</v>
      </c>
      <c r="AP2042" s="463">
        <v>-629</v>
      </c>
      <c r="AQ2042" s="479">
        <v>-941</v>
      </c>
      <c r="AR2042" s="476" t="s">
        <v>18079</v>
      </c>
      <c r="BA2042" s="313" t="s">
        <v>6995</v>
      </c>
    </row>
    <row r="2043" spans="2:53" ht="16.5" customHeight="1">
      <c r="B2043" s="367" t="s">
        <v>13655</v>
      </c>
      <c r="C2043" s="351" t="s">
        <v>13656</v>
      </c>
      <c r="D2043" s="353">
        <v>-1570</v>
      </c>
      <c r="E2043" s="352" t="s">
        <v>13657</v>
      </c>
      <c r="F2043" s="341">
        <v>61.06</v>
      </c>
      <c r="G2043" s="355" t="s">
        <v>19280</v>
      </c>
      <c r="H2043" s="356" t="s">
        <v>19275</v>
      </c>
      <c r="I2043" s="354" t="s">
        <v>215</v>
      </c>
      <c r="J2043" s="340" t="s">
        <v>7352</v>
      </c>
      <c r="K2043" s="339" t="s">
        <v>71</v>
      </c>
      <c r="L2043" s="357">
        <v>10</v>
      </c>
      <c r="M2043" s="358" t="s">
        <v>13658</v>
      </c>
      <c r="N2043" s="359">
        <v>1000</v>
      </c>
      <c r="O2043" s="360" t="s">
        <v>530</v>
      </c>
      <c r="P2043" s="343" t="s">
        <v>531</v>
      </c>
      <c r="Q2043" s="342" t="s">
        <v>2688</v>
      </c>
      <c r="R2043" s="344">
        <v>38</v>
      </c>
      <c r="S2043" s="345">
        <v>25</v>
      </c>
      <c r="T2043" s="362">
        <v>25</v>
      </c>
      <c r="U2043" s="361">
        <v>61.06</v>
      </c>
      <c r="V2043" s="346">
        <v>107.70157068062827</v>
      </c>
      <c r="W2043" s="348">
        <v>110.66492146596858</v>
      </c>
      <c r="X2043" s="347">
        <v>53.88</v>
      </c>
      <c r="Y2043" s="357">
        <v>53.66</v>
      </c>
      <c r="Z2043" s="365" t="s">
        <v>3017</v>
      </c>
      <c r="AA2043" s="350">
        <v>121.25</v>
      </c>
      <c r="AB2043" s="349" t="s">
        <v>2685</v>
      </c>
      <c r="AC2043" s="350">
        <v>10</v>
      </c>
      <c r="AD2043" s="349" t="s">
        <v>2685</v>
      </c>
      <c r="AE2043" s="364">
        <v>0</v>
      </c>
      <c r="AF2043" s="366">
        <v>0</v>
      </c>
      <c r="AG2043" s="363">
        <v>0</v>
      </c>
      <c r="AH2043" s="635" t="s">
        <v>8002</v>
      </c>
      <c r="AL2043" s="487" t="s">
        <v>16417</v>
      </c>
      <c r="AM2043" s="477" t="s">
        <v>71</v>
      </c>
      <c r="AN2043" s="637">
        <v>100</v>
      </c>
      <c r="AO2043" s="478">
        <v>-1570</v>
      </c>
      <c r="AP2043" s="463">
        <v>-629</v>
      </c>
      <c r="AQ2043" s="479">
        <v>-941</v>
      </c>
      <c r="AR2043" s="476" t="s">
        <v>18080</v>
      </c>
      <c r="BA2043" s="313" t="s">
        <v>6997</v>
      </c>
    </row>
    <row r="2044" spans="2:53" ht="16.5" customHeight="1">
      <c r="B2044" s="367" t="s">
        <v>6993</v>
      </c>
      <c r="C2044" s="351" t="s">
        <v>6994</v>
      </c>
      <c r="D2044" s="353">
        <v>-1570</v>
      </c>
      <c r="E2044" s="352" t="s">
        <v>13659</v>
      </c>
      <c r="F2044" s="341">
        <v>61.01</v>
      </c>
      <c r="G2044" s="355" t="s">
        <v>19281</v>
      </c>
      <c r="H2044" s="356" t="s">
        <v>19282</v>
      </c>
      <c r="I2044" s="354" t="s">
        <v>215</v>
      </c>
      <c r="J2044" s="340" t="s">
        <v>12645</v>
      </c>
      <c r="K2044" s="339" t="s">
        <v>71</v>
      </c>
      <c r="L2044" s="357">
        <v>6</v>
      </c>
      <c r="M2044" s="358" t="s">
        <v>13660</v>
      </c>
      <c r="N2044" s="359">
        <v>1000</v>
      </c>
      <c r="O2044" s="360" t="s">
        <v>530</v>
      </c>
      <c r="P2044" s="343" t="s">
        <v>531</v>
      </c>
      <c r="Q2044" s="342" t="s">
        <v>2688</v>
      </c>
      <c r="R2044" s="344">
        <v>13</v>
      </c>
      <c r="S2044" s="345">
        <v>50</v>
      </c>
      <c r="T2044" s="362">
        <v>25</v>
      </c>
      <c r="U2044" s="361">
        <v>61.01</v>
      </c>
      <c r="V2044" s="346">
        <v>107.67438588897305</v>
      </c>
      <c r="W2044" s="348">
        <v>110.64267936370523</v>
      </c>
      <c r="X2044" s="347">
        <v>53.86</v>
      </c>
      <c r="Y2044" s="357">
        <v>53.64</v>
      </c>
      <c r="Z2044" s="365" t="s">
        <v>3017</v>
      </c>
      <c r="AA2044" s="350">
        <v>121.25</v>
      </c>
      <c r="AB2044" s="349" t="s">
        <v>2685</v>
      </c>
      <c r="AC2044" s="350">
        <v>10</v>
      </c>
      <c r="AD2044" s="349" t="s">
        <v>2685</v>
      </c>
      <c r="AE2044" s="364">
        <v>0</v>
      </c>
      <c r="AF2044" s="366">
        <v>0</v>
      </c>
      <c r="AG2044" s="363">
        <v>0</v>
      </c>
      <c r="AH2044" s="635" t="s">
        <v>408</v>
      </c>
      <c r="AL2044" s="487" t="s">
        <v>16418</v>
      </c>
      <c r="AM2044" s="477" t="s">
        <v>71</v>
      </c>
      <c r="AN2044" s="637">
        <v>100</v>
      </c>
      <c r="AO2044" s="478">
        <v>-1570</v>
      </c>
      <c r="AP2044" s="463">
        <v>-629</v>
      </c>
      <c r="AQ2044" s="479">
        <v>-941</v>
      </c>
      <c r="AR2044" s="476" t="s">
        <v>18081</v>
      </c>
      <c r="BA2044" s="313" t="s">
        <v>6998</v>
      </c>
    </row>
    <row r="2045" spans="2:53" ht="16.5" customHeight="1">
      <c r="B2045" s="367" t="s">
        <v>13661</v>
      </c>
      <c r="C2045" s="351" t="s">
        <v>13662</v>
      </c>
      <c r="D2045" s="353">
        <v>-1570</v>
      </c>
      <c r="E2045" s="352" t="s">
        <v>13663</v>
      </c>
      <c r="F2045" s="341">
        <v>60.99</v>
      </c>
      <c r="G2045" s="355" t="s">
        <v>13663</v>
      </c>
      <c r="H2045" s="356" t="s">
        <v>19283</v>
      </c>
      <c r="I2045" s="354" t="s">
        <v>8000</v>
      </c>
      <c r="J2045" s="340" t="s">
        <v>13664</v>
      </c>
      <c r="K2045" s="339" t="s">
        <v>71</v>
      </c>
      <c r="L2045" s="357">
        <v>3</v>
      </c>
      <c r="M2045" s="358" t="s">
        <v>13665</v>
      </c>
      <c r="N2045" s="359">
        <v>1000</v>
      </c>
      <c r="O2045" s="360" t="s">
        <v>532</v>
      </c>
      <c r="P2045" s="343" t="s">
        <v>532</v>
      </c>
      <c r="Q2045" s="342" t="s">
        <v>2688</v>
      </c>
      <c r="R2045" s="344">
        <v>30</v>
      </c>
      <c r="S2045" s="345">
        <v>25</v>
      </c>
      <c r="T2045" s="362">
        <v>25</v>
      </c>
      <c r="U2045" s="361">
        <v>60.99</v>
      </c>
      <c r="V2045" s="346">
        <v>107.65963326817025</v>
      </c>
      <c r="W2045" s="348">
        <v>110.63060903759384</v>
      </c>
      <c r="X2045" s="347" t="s">
        <v>19284</v>
      </c>
      <c r="Y2045" s="357" t="s">
        <v>408</v>
      </c>
      <c r="Z2045" s="365" t="s">
        <v>4408</v>
      </c>
      <c r="AA2045" s="350">
        <v>192</v>
      </c>
      <c r="AB2045" s="349" t="s">
        <v>2685</v>
      </c>
      <c r="AC2045" s="350">
        <v>0</v>
      </c>
      <c r="AD2045" s="349" t="s">
        <v>2685</v>
      </c>
      <c r="AE2045" s="364">
        <v>0</v>
      </c>
      <c r="AF2045" s="366">
        <v>0</v>
      </c>
      <c r="AG2045" s="363">
        <v>0</v>
      </c>
      <c r="AH2045" s="635" t="s">
        <v>408</v>
      </c>
      <c r="AL2045" s="487" t="s">
        <v>16419</v>
      </c>
      <c r="AM2045" s="477" t="s">
        <v>71</v>
      </c>
      <c r="AN2045" s="637">
        <v>100</v>
      </c>
      <c r="AO2045" s="478">
        <v>-1570</v>
      </c>
      <c r="AP2045" s="463">
        <v>-628</v>
      </c>
      <c r="AQ2045" s="479">
        <v>-942</v>
      </c>
      <c r="AR2045" s="476" t="s">
        <v>18082</v>
      </c>
      <c r="BA2045" s="313" t="s">
        <v>7000</v>
      </c>
    </row>
    <row r="2046" spans="2:53" ht="16.5" customHeight="1">
      <c r="B2046" s="367" t="s">
        <v>13666</v>
      </c>
      <c r="C2046" s="351" t="s">
        <v>13667</v>
      </c>
      <c r="D2046" s="353">
        <v>-1570</v>
      </c>
      <c r="E2046" s="352" t="s">
        <v>408</v>
      </c>
      <c r="F2046" s="341">
        <v>60.88</v>
      </c>
      <c r="G2046" s="355" t="s">
        <v>13668</v>
      </c>
      <c r="H2046" s="356" t="s">
        <v>19227</v>
      </c>
      <c r="I2046" s="354" t="s">
        <v>8000</v>
      </c>
      <c r="J2046" s="340" t="s">
        <v>13669</v>
      </c>
      <c r="K2046" s="339" t="s">
        <v>70</v>
      </c>
      <c r="L2046" s="357">
        <v>8</v>
      </c>
      <c r="M2046" s="358" t="s">
        <v>13670</v>
      </c>
      <c r="N2046" s="359">
        <v>1000</v>
      </c>
      <c r="O2046" s="360" t="s">
        <v>532</v>
      </c>
      <c r="P2046" s="343" t="s">
        <v>532</v>
      </c>
      <c r="Q2046" s="342" t="s">
        <v>2688</v>
      </c>
      <c r="R2046" s="344">
        <v>25</v>
      </c>
      <c r="S2046" s="345">
        <v>30</v>
      </c>
      <c r="T2046" s="362">
        <v>25</v>
      </c>
      <c r="U2046" s="361">
        <v>60.88</v>
      </c>
      <c r="V2046" s="346">
        <v>107.59872871418841</v>
      </c>
      <c r="W2046" s="348">
        <v>110.58077803888143</v>
      </c>
      <c r="X2046" s="347" t="s">
        <v>19285</v>
      </c>
      <c r="Y2046" s="357" t="s">
        <v>408</v>
      </c>
      <c r="Z2046" s="365" t="s">
        <v>4408</v>
      </c>
      <c r="AA2046" s="350">
        <v>192</v>
      </c>
      <c r="AB2046" s="349" t="s">
        <v>2685</v>
      </c>
      <c r="AC2046" s="350">
        <v>0</v>
      </c>
      <c r="AD2046" s="349" t="s">
        <v>2685</v>
      </c>
      <c r="AE2046" s="364">
        <v>0</v>
      </c>
      <c r="AF2046" s="366">
        <v>0</v>
      </c>
      <c r="AG2046" s="363">
        <v>0</v>
      </c>
      <c r="AH2046" s="635" t="s">
        <v>408</v>
      </c>
      <c r="AL2046" s="487" t="s">
        <v>16421</v>
      </c>
      <c r="AM2046" s="477" t="s">
        <v>70</v>
      </c>
      <c r="AN2046" s="637">
        <v>100</v>
      </c>
      <c r="AO2046" s="478">
        <v>-1570</v>
      </c>
      <c r="AP2046" s="463">
        <v>-1570</v>
      </c>
      <c r="AQ2046" s="479">
        <v>0</v>
      </c>
      <c r="AR2046" s="476" t="s">
        <v>18083</v>
      </c>
      <c r="BA2046" s="313" t="s">
        <v>7004</v>
      </c>
    </row>
    <row r="2047" spans="2:53" ht="16.5" customHeight="1">
      <c r="B2047" s="367" t="s">
        <v>13671</v>
      </c>
      <c r="C2047" s="351" t="s">
        <v>13672</v>
      </c>
      <c r="D2047" s="353">
        <v>-1570</v>
      </c>
      <c r="E2047" s="352" t="s">
        <v>6944</v>
      </c>
      <c r="F2047" s="341">
        <v>60.87</v>
      </c>
      <c r="G2047" s="355" t="s">
        <v>6974</v>
      </c>
      <c r="H2047" s="356" t="s">
        <v>19286</v>
      </c>
      <c r="I2047" s="354" t="s">
        <v>215</v>
      </c>
      <c r="J2047" s="340" t="s">
        <v>13673</v>
      </c>
      <c r="K2047" s="339" t="s">
        <v>71</v>
      </c>
      <c r="L2047" s="357">
        <v>7</v>
      </c>
      <c r="M2047" s="358" t="s">
        <v>13674</v>
      </c>
      <c r="N2047" s="359">
        <v>1000</v>
      </c>
      <c r="O2047" s="360" t="s">
        <v>530</v>
      </c>
      <c r="P2047" s="343" t="s">
        <v>531</v>
      </c>
      <c r="Q2047" s="342" t="s">
        <v>2688</v>
      </c>
      <c r="R2047" s="344">
        <v>13</v>
      </c>
      <c r="S2047" s="345">
        <v>50</v>
      </c>
      <c r="T2047" s="362">
        <v>25</v>
      </c>
      <c r="U2047" s="361">
        <v>60.87</v>
      </c>
      <c r="V2047" s="346">
        <v>107.594905505341</v>
      </c>
      <c r="W2047" s="348">
        <v>110.57764995891536</v>
      </c>
      <c r="X2047" s="347">
        <v>53.81</v>
      </c>
      <c r="Y2047" s="357">
        <v>53.58</v>
      </c>
      <c r="Z2047" s="365" t="s">
        <v>3017</v>
      </c>
      <c r="AA2047" s="350">
        <v>121.25</v>
      </c>
      <c r="AB2047" s="349" t="s">
        <v>2685</v>
      </c>
      <c r="AC2047" s="350">
        <v>10</v>
      </c>
      <c r="AD2047" s="349" t="s">
        <v>2685</v>
      </c>
      <c r="AE2047" s="364">
        <v>0</v>
      </c>
      <c r="AF2047" s="366">
        <v>0</v>
      </c>
      <c r="AG2047" s="363">
        <v>0</v>
      </c>
      <c r="AH2047" s="635" t="s">
        <v>408</v>
      </c>
      <c r="AL2047" s="487" t="s">
        <v>16420</v>
      </c>
      <c r="AM2047" s="477" t="s">
        <v>71</v>
      </c>
      <c r="AN2047" s="637">
        <v>100</v>
      </c>
      <c r="AO2047" s="478">
        <v>-1570</v>
      </c>
      <c r="AP2047" s="463">
        <v>-628</v>
      </c>
      <c r="AQ2047" s="479">
        <v>-942</v>
      </c>
      <c r="AR2047" s="476" t="s">
        <v>18084</v>
      </c>
      <c r="BA2047" s="313" t="s">
        <v>7006</v>
      </c>
    </row>
    <row r="2048" spans="2:53" ht="16.5" customHeight="1">
      <c r="B2048" s="367" t="s">
        <v>18310</v>
      </c>
      <c r="C2048" s="351" t="s">
        <v>18311</v>
      </c>
      <c r="D2048" s="353">
        <v>-1570</v>
      </c>
      <c r="E2048" s="352" t="s">
        <v>408</v>
      </c>
      <c r="F2048" s="341">
        <v>60.82</v>
      </c>
      <c r="G2048" s="355" t="s">
        <v>19287</v>
      </c>
      <c r="H2048" s="356" t="s">
        <v>19288</v>
      </c>
      <c r="I2048" s="354" t="s">
        <v>8000</v>
      </c>
      <c r="J2048" s="340" t="s">
        <v>8534</v>
      </c>
      <c r="K2048" s="339" t="s">
        <v>71</v>
      </c>
      <c r="L2048" s="357">
        <v>5</v>
      </c>
      <c r="M2048" s="358" t="s">
        <v>13683</v>
      </c>
      <c r="N2048" s="359">
        <v>1000</v>
      </c>
      <c r="O2048" s="360" t="s">
        <v>532</v>
      </c>
      <c r="P2048" s="343" t="s">
        <v>532</v>
      </c>
      <c r="Q2048" s="342" t="s">
        <v>2688</v>
      </c>
      <c r="R2048" s="344">
        <v>30</v>
      </c>
      <c r="S2048" s="345">
        <v>25</v>
      </c>
      <c r="T2048" s="362">
        <v>25</v>
      </c>
      <c r="U2048" s="361">
        <v>60.82</v>
      </c>
      <c r="V2048" s="346">
        <v>107.56617558657381</v>
      </c>
      <c r="W2048" s="348">
        <v>110.5541436617422</v>
      </c>
      <c r="X2048" s="347" t="s">
        <v>19289</v>
      </c>
      <c r="Y2048" s="357" t="s">
        <v>408</v>
      </c>
      <c r="Z2048" s="365" t="s">
        <v>4408</v>
      </c>
      <c r="AA2048" s="350">
        <v>192</v>
      </c>
      <c r="AB2048" s="349" t="s">
        <v>2685</v>
      </c>
      <c r="AC2048" s="350">
        <v>0</v>
      </c>
      <c r="AD2048" s="349" t="s">
        <v>2685</v>
      </c>
      <c r="AE2048" s="364">
        <v>0</v>
      </c>
      <c r="AF2048" s="366">
        <v>0</v>
      </c>
      <c r="AG2048" s="363">
        <v>0</v>
      </c>
      <c r="AH2048" s="635" t="s">
        <v>408</v>
      </c>
      <c r="AL2048" s="487" t="s">
        <v>16422</v>
      </c>
      <c r="AM2048" s="477" t="s">
        <v>71</v>
      </c>
      <c r="AN2048" s="637">
        <v>100</v>
      </c>
      <c r="AO2048" s="478">
        <v>-1570</v>
      </c>
      <c r="AP2048" s="463">
        <v>-628</v>
      </c>
      <c r="AQ2048" s="479">
        <v>-942</v>
      </c>
      <c r="AR2048" s="476" t="s">
        <v>18085</v>
      </c>
      <c r="BA2048" s="313" t="s">
        <v>7007</v>
      </c>
    </row>
    <row r="2049" spans="2:53" ht="16.5" customHeight="1">
      <c r="B2049" s="367" t="s">
        <v>13675</v>
      </c>
      <c r="C2049" s="351" t="s">
        <v>13676</v>
      </c>
      <c r="D2049" s="353">
        <v>-1570</v>
      </c>
      <c r="E2049" s="352" t="s">
        <v>408</v>
      </c>
      <c r="F2049" s="341">
        <v>60.81</v>
      </c>
      <c r="G2049" s="355" t="s">
        <v>6969</v>
      </c>
      <c r="H2049" s="356" t="s">
        <v>19290</v>
      </c>
      <c r="I2049" s="354" t="s">
        <v>213</v>
      </c>
      <c r="J2049" s="340" t="s">
        <v>13677</v>
      </c>
      <c r="K2049" s="339" t="s">
        <v>70</v>
      </c>
      <c r="L2049" s="357">
        <v>7</v>
      </c>
      <c r="M2049" s="358" t="s">
        <v>13678</v>
      </c>
      <c r="N2049" s="359">
        <v>1000</v>
      </c>
      <c r="O2049" s="360" t="s">
        <v>454</v>
      </c>
      <c r="P2049" s="343" t="s">
        <v>454</v>
      </c>
      <c r="Q2049" s="342" t="s">
        <v>2688</v>
      </c>
      <c r="R2049" s="344">
        <v>20</v>
      </c>
      <c r="S2049" s="345">
        <v>30</v>
      </c>
      <c r="T2049" s="362">
        <v>30</v>
      </c>
      <c r="U2049" s="361">
        <v>60.81</v>
      </c>
      <c r="V2049" s="346">
        <v>107.55957161981259</v>
      </c>
      <c r="W2049" s="348">
        <v>110.54874041621029</v>
      </c>
      <c r="X2049" s="347">
        <v>54.21</v>
      </c>
      <c r="Y2049" s="357" t="s">
        <v>408</v>
      </c>
      <c r="Z2049" s="365" t="s">
        <v>4408</v>
      </c>
      <c r="AA2049" s="350">
        <v>180</v>
      </c>
      <c r="AB2049" s="349" t="s">
        <v>2685</v>
      </c>
      <c r="AC2049" s="350">
        <v>10</v>
      </c>
      <c r="AD2049" s="349" t="s">
        <v>2685</v>
      </c>
      <c r="AE2049" s="364">
        <v>0</v>
      </c>
      <c r="AF2049" s="366">
        <v>18.242999999999999</v>
      </c>
      <c r="AG2049" s="363">
        <v>0</v>
      </c>
      <c r="AH2049" s="635" t="s">
        <v>6224</v>
      </c>
      <c r="AL2049" s="487" t="s">
        <v>16423</v>
      </c>
      <c r="AM2049" s="477" t="s">
        <v>70</v>
      </c>
      <c r="AN2049" s="637">
        <v>100</v>
      </c>
      <c r="AO2049" s="478">
        <v>-1570</v>
      </c>
      <c r="AP2049" s="463">
        <v>-1570</v>
      </c>
      <c r="AQ2049" s="479">
        <v>0</v>
      </c>
      <c r="AR2049" s="476" t="s">
        <v>18086</v>
      </c>
      <c r="BA2049" s="313" t="s">
        <v>7009</v>
      </c>
    </row>
    <row r="2050" spans="2:53" ht="16.5" customHeight="1">
      <c r="B2050" s="367" t="s">
        <v>13679</v>
      </c>
      <c r="C2050" s="351" t="s">
        <v>13680</v>
      </c>
      <c r="D2050" s="353">
        <v>-1570</v>
      </c>
      <c r="E2050" s="352" t="s">
        <v>13682</v>
      </c>
      <c r="F2050" s="341">
        <v>60.78</v>
      </c>
      <c r="G2050" s="355" t="s">
        <v>6959</v>
      </c>
      <c r="H2050" s="356" t="s">
        <v>19291</v>
      </c>
      <c r="I2050" s="354" t="s">
        <v>8000</v>
      </c>
      <c r="J2050" s="340" t="s">
        <v>13681</v>
      </c>
      <c r="K2050" s="339" t="s">
        <v>70</v>
      </c>
      <c r="L2050" s="357">
        <v>12</v>
      </c>
      <c r="M2050" s="358" t="s">
        <v>13552</v>
      </c>
      <c r="N2050" s="359">
        <v>1000</v>
      </c>
      <c r="O2050" s="360" t="s">
        <v>532</v>
      </c>
      <c r="P2050" s="343" t="s">
        <v>532</v>
      </c>
      <c r="Q2050" s="342" t="s">
        <v>2688</v>
      </c>
      <c r="R2050" s="344">
        <v>25</v>
      </c>
      <c r="S2050" s="345">
        <v>30</v>
      </c>
      <c r="T2050" s="362">
        <v>25</v>
      </c>
      <c r="U2050" s="361">
        <v>60.78</v>
      </c>
      <c r="V2050" s="346">
        <v>107.54449583561434</v>
      </c>
      <c r="W2050" s="348">
        <v>110.53640568368445</v>
      </c>
      <c r="X2050" s="347" t="s">
        <v>19292</v>
      </c>
      <c r="Y2050" s="357" t="s">
        <v>408</v>
      </c>
      <c r="Z2050" s="365" t="s">
        <v>4408</v>
      </c>
      <c r="AA2050" s="350">
        <v>192</v>
      </c>
      <c r="AB2050" s="349" t="s">
        <v>2685</v>
      </c>
      <c r="AC2050" s="350">
        <v>0</v>
      </c>
      <c r="AD2050" s="349" t="s">
        <v>2685</v>
      </c>
      <c r="AE2050" s="364">
        <v>0</v>
      </c>
      <c r="AF2050" s="366">
        <v>0</v>
      </c>
      <c r="AG2050" s="363">
        <v>0</v>
      </c>
      <c r="AH2050" s="635" t="s">
        <v>408</v>
      </c>
      <c r="AL2050" s="487" t="s">
        <v>16424</v>
      </c>
      <c r="AM2050" s="477" t="s">
        <v>70</v>
      </c>
      <c r="AN2050" s="637">
        <v>100</v>
      </c>
      <c r="AO2050" s="478">
        <v>-1570</v>
      </c>
      <c r="AP2050" s="463">
        <v>-1570</v>
      </c>
      <c r="AQ2050" s="479">
        <v>0</v>
      </c>
      <c r="AR2050" s="476" t="s">
        <v>18087</v>
      </c>
      <c r="BA2050" s="313" t="s">
        <v>7010</v>
      </c>
    </row>
    <row r="2051" spans="2:53" ht="16.5" customHeight="1">
      <c r="B2051" s="367" t="s">
        <v>13684</v>
      </c>
      <c r="C2051" s="351" t="s">
        <v>13685</v>
      </c>
      <c r="D2051" s="353">
        <v>-1570</v>
      </c>
      <c r="E2051" s="352" t="s">
        <v>408</v>
      </c>
      <c r="F2051" s="341">
        <v>60.75</v>
      </c>
      <c r="G2051" s="355" t="s">
        <v>13686</v>
      </c>
      <c r="H2051" s="356" t="s">
        <v>19293</v>
      </c>
      <c r="I2051" s="354" t="s">
        <v>494</v>
      </c>
      <c r="J2051" s="340" t="s">
        <v>13687</v>
      </c>
      <c r="K2051" s="339" t="s">
        <v>70</v>
      </c>
      <c r="L2051" s="357">
        <v>17</v>
      </c>
      <c r="M2051" s="358" t="s">
        <v>13688</v>
      </c>
      <c r="N2051" s="359">
        <v>1000</v>
      </c>
      <c r="O2051" s="360" t="s">
        <v>532</v>
      </c>
      <c r="P2051" s="343" t="s">
        <v>533</v>
      </c>
      <c r="Q2051" s="342" t="s">
        <v>2688</v>
      </c>
      <c r="R2051" s="344">
        <v>20</v>
      </c>
      <c r="S2051" s="345">
        <v>35</v>
      </c>
      <c r="T2051" s="362">
        <v>25</v>
      </c>
      <c r="U2051" s="361">
        <v>60.75</v>
      </c>
      <c r="V2051" s="346">
        <v>107.525444811314</v>
      </c>
      <c r="W2051" s="348">
        <v>110.52081848198418</v>
      </c>
      <c r="X2051" s="347">
        <v>54.19</v>
      </c>
      <c r="Y2051" s="357">
        <v>52.98</v>
      </c>
      <c r="Z2051" s="365" t="s">
        <v>3017</v>
      </c>
      <c r="AA2051" s="350">
        <v>190</v>
      </c>
      <c r="AB2051" s="349" t="s">
        <v>2685</v>
      </c>
      <c r="AC2051" s="350">
        <v>0</v>
      </c>
      <c r="AD2051" s="349" t="s">
        <v>2685</v>
      </c>
      <c r="AE2051" s="364">
        <v>0</v>
      </c>
      <c r="AF2051" s="366">
        <v>0</v>
      </c>
      <c r="AG2051" s="363">
        <v>0</v>
      </c>
      <c r="AH2051" s="635" t="s">
        <v>408</v>
      </c>
      <c r="AL2051" s="487" t="s">
        <v>16425</v>
      </c>
      <c r="AM2051" s="477" t="s">
        <v>70</v>
      </c>
      <c r="AN2051" s="637">
        <v>100</v>
      </c>
      <c r="AO2051" s="478">
        <v>-1570</v>
      </c>
      <c r="AP2051" s="463">
        <v>-1570</v>
      </c>
      <c r="AQ2051" s="479">
        <v>0</v>
      </c>
      <c r="AR2051" s="476" t="s">
        <v>18088</v>
      </c>
      <c r="BA2051" s="313" t="s">
        <v>7011</v>
      </c>
    </row>
    <row r="2052" spans="2:53" ht="16.5" customHeight="1">
      <c r="B2052" s="367" t="s">
        <v>13689</v>
      </c>
      <c r="C2052" s="351" t="s">
        <v>13690</v>
      </c>
      <c r="D2052" s="353">
        <v>-1570</v>
      </c>
      <c r="E2052" s="352" t="s">
        <v>408</v>
      </c>
      <c r="F2052" s="341">
        <v>60.71</v>
      </c>
      <c r="G2052" s="355" t="s">
        <v>13691</v>
      </c>
      <c r="H2052" s="356" t="s">
        <v>19294</v>
      </c>
      <c r="I2052" s="354" t="s">
        <v>209</v>
      </c>
      <c r="J2052" s="340" t="s">
        <v>13692</v>
      </c>
      <c r="K2052" s="339" t="s">
        <v>70</v>
      </c>
      <c r="L2052" s="357">
        <v>15</v>
      </c>
      <c r="M2052" s="358" t="s">
        <v>13693</v>
      </c>
      <c r="N2052" s="359">
        <v>1000</v>
      </c>
      <c r="O2052" s="360" t="s">
        <v>530</v>
      </c>
      <c r="P2052" s="343" t="s">
        <v>530</v>
      </c>
      <c r="Q2052" s="342" t="s">
        <v>2688</v>
      </c>
      <c r="R2052" s="344">
        <v>20</v>
      </c>
      <c r="S2052" s="345">
        <v>30</v>
      </c>
      <c r="T2052" s="362">
        <v>30</v>
      </c>
      <c r="U2052" s="361">
        <v>60.71</v>
      </c>
      <c r="V2052" s="346">
        <v>107.50556944334332</v>
      </c>
      <c r="W2052" s="348">
        <v>110.5045568172809</v>
      </c>
      <c r="X2052" s="347">
        <v>54.18</v>
      </c>
      <c r="Y2052" s="357" t="s">
        <v>408</v>
      </c>
      <c r="Z2052" s="365" t="s">
        <v>3017</v>
      </c>
      <c r="AA2052" s="350">
        <v>198</v>
      </c>
      <c r="AB2052" s="349" t="s">
        <v>2685</v>
      </c>
      <c r="AC2052" s="350">
        <v>10</v>
      </c>
      <c r="AD2052" s="349" t="s">
        <v>2685</v>
      </c>
      <c r="AE2052" s="364">
        <v>0</v>
      </c>
      <c r="AF2052" s="366">
        <v>0</v>
      </c>
      <c r="AG2052" s="363">
        <v>0</v>
      </c>
      <c r="AH2052" s="635" t="s">
        <v>408</v>
      </c>
      <c r="AL2052" s="487" t="s">
        <v>16426</v>
      </c>
      <c r="AM2052" s="477" t="s">
        <v>70</v>
      </c>
      <c r="AN2052" s="637">
        <v>100</v>
      </c>
      <c r="AO2052" s="478">
        <v>-1570</v>
      </c>
      <c r="AP2052" s="463">
        <v>-1570</v>
      </c>
      <c r="AQ2052" s="479">
        <v>0</v>
      </c>
      <c r="AR2052" s="476" t="s">
        <v>18089</v>
      </c>
      <c r="BA2052" s="313" t="s">
        <v>7012</v>
      </c>
    </row>
    <row r="2053" spans="2:53" ht="16.5" customHeight="1">
      <c r="B2053" s="367" t="s">
        <v>13694</v>
      </c>
      <c r="C2053" s="351" t="s">
        <v>13695</v>
      </c>
      <c r="D2053" s="353">
        <v>-1570</v>
      </c>
      <c r="E2053" s="352" t="s">
        <v>408</v>
      </c>
      <c r="F2053" s="341">
        <v>60.65</v>
      </c>
      <c r="G2053" s="355" t="s">
        <v>13696</v>
      </c>
      <c r="H2053" s="356" t="s">
        <v>19295</v>
      </c>
      <c r="I2053" s="354" t="s">
        <v>494</v>
      </c>
      <c r="J2053" s="340" t="s">
        <v>10236</v>
      </c>
      <c r="K2053" s="339" t="s">
        <v>70</v>
      </c>
      <c r="L2053" s="357">
        <v>20</v>
      </c>
      <c r="M2053" s="358" t="s">
        <v>13697</v>
      </c>
      <c r="N2053" s="359">
        <v>1000</v>
      </c>
      <c r="O2053" s="360" t="s">
        <v>532</v>
      </c>
      <c r="P2053" s="343" t="s">
        <v>533</v>
      </c>
      <c r="Q2053" s="342" t="s">
        <v>2688</v>
      </c>
      <c r="R2053" s="344">
        <v>20</v>
      </c>
      <c r="S2053" s="345">
        <v>35</v>
      </c>
      <c r="T2053" s="362">
        <v>25</v>
      </c>
      <c r="U2053" s="361">
        <v>60.65</v>
      </c>
      <c r="V2053" s="346">
        <v>107.47367272728444</v>
      </c>
      <c r="W2053" s="348">
        <v>110.47845950414181</v>
      </c>
      <c r="X2053" s="347">
        <v>54.16</v>
      </c>
      <c r="Y2053" s="357">
        <v>52.949999999999996</v>
      </c>
      <c r="Z2053" s="365" t="s">
        <v>3017</v>
      </c>
      <c r="AA2053" s="350">
        <v>190</v>
      </c>
      <c r="AB2053" s="349" t="s">
        <v>2685</v>
      </c>
      <c r="AC2053" s="350">
        <v>0</v>
      </c>
      <c r="AD2053" s="349" t="s">
        <v>2685</v>
      </c>
      <c r="AE2053" s="364">
        <v>0</v>
      </c>
      <c r="AF2053" s="366">
        <v>0</v>
      </c>
      <c r="AG2053" s="363">
        <v>0</v>
      </c>
      <c r="AH2053" s="635" t="s">
        <v>408</v>
      </c>
      <c r="AL2053" s="487" t="s">
        <v>16427</v>
      </c>
      <c r="AM2053" s="477" t="s">
        <v>70</v>
      </c>
      <c r="AN2053" s="637">
        <v>100</v>
      </c>
      <c r="AO2053" s="478">
        <v>-1570</v>
      </c>
      <c r="AP2053" s="463">
        <v>-1570</v>
      </c>
      <c r="AQ2053" s="479">
        <v>0</v>
      </c>
      <c r="AR2053" s="476" t="s">
        <v>18090</v>
      </c>
      <c r="BA2053" s="313" t="s">
        <v>7013</v>
      </c>
    </row>
    <row r="2054" spans="2:53" ht="16.5" customHeight="1">
      <c r="B2054" s="367" t="s">
        <v>13698</v>
      </c>
      <c r="C2054" s="351" t="s">
        <v>13699</v>
      </c>
      <c r="D2054" s="353">
        <v>-1570</v>
      </c>
      <c r="E2054" s="352" t="s">
        <v>13700</v>
      </c>
      <c r="F2054" s="341">
        <v>60.61</v>
      </c>
      <c r="G2054" s="355" t="s">
        <v>19296</v>
      </c>
      <c r="H2054" s="356" t="s">
        <v>19297</v>
      </c>
      <c r="I2054" s="354" t="s">
        <v>213</v>
      </c>
      <c r="J2054" s="340" t="s">
        <v>9774</v>
      </c>
      <c r="K2054" s="339" t="s">
        <v>71</v>
      </c>
      <c r="L2054" s="357">
        <v>9</v>
      </c>
      <c r="M2054" s="358" t="s">
        <v>13702</v>
      </c>
      <c r="N2054" s="359">
        <v>1000</v>
      </c>
      <c r="O2054" s="360" t="s">
        <v>454</v>
      </c>
      <c r="P2054" s="343" t="s">
        <v>454</v>
      </c>
      <c r="Q2054" s="342" t="s">
        <v>2688</v>
      </c>
      <c r="R2054" s="344">
        <v>30</v>
      </c>
      <c r="S2054" s="345">
        <v>20</v>
      </c>
      <c r="T2054" s="362">
        <v>30</v>
      </c>
      <c r="U2054" s="361">
        <v>60.61</v>
      </c>
      <c r="V2054" s="346">
        <v>107.45138888888889</v>
      </c>
      <c r="W2054" s="348">
        <v>110.46022727272727</v>
      </c>
      <c r="X2054" s="347">
        <v>53.73</v>
      </c>
      <c r="Y2054" s="357" t="s">
        <v>408</v>
      </c>
      <c r="Z2054" s="365" t="s">
        <v>4408</v>
      </c>
      <c r="AA2054" s="350">
        <v>180</v>
      </c>
      <c r="AB2054" s="349" t="s">
        <v>2685</v>
      </c>
      <c r="AC2054" s="350">
        <v>10</v>
      </c>
      <c r="AD2054" s="349" t="s">
        <v>2685</v>
      </c>
      <c r="AE2054" s="364">
        <v>0</v>
      </c>
      <c r="AF2054" s="366">
        <v>0</v>
      </c>
      <c r="AG2054" s="363">
        <v>0</v>
      </c>
      <c r="AH2054" s="635" t="s">
        <v>408</v>
      </c>
      <c r="AL2054" s="487" t="s">
        <v>16428</v>
      </c>
      <c r="AM2054" s="477" t="s">
        <v>71</v>
      </c>
      <c r="AN2054" s="637">
        <v>100</v>
      </c>
      <c r="AO2054" s="478">
        <v>-1570</v>
      </c>
      <c r="AP2054" s="463">
        <v>-627</v>
      </c>
      <c r="AQ2054" s="479">
        <v>-943</v>
      </c>
      <c r="AR2054" s="476" t="s">
        <v>18091</v>
      </c>
      <c r="BA2054" s="313" t="s">
        <v>7014</v>
      </c>
    </row>
    <row r="2055" spans="2:53" ht="16.5" customHeight="1">
      <c r="B2055" s="367" t="s">
        <v>13703</v>
      </c>
      <c r="C2055" s="351" t="s">
        <v>13704</v>
      </c>
      <c r="D2055" s="353">
        <v>-1570</v>
      </c>
      <c r="E2055" s="352" t="s">
        <v>408</v>
      </c>
      <c r="F2055" s="341">
        <v>60.5</v>
      </c>
      <c r="G2055" s="355" t="s">
        <v>13705</v>
      </c>
      <c r="H2055" s="356" t="s">
        <v>19298</v>
      </c>
      <c r="I2055" s="354" t="s">
        <v>497</v>
      </c>
      <c r="J2055" s="340" t="s">
        <v>10734</v>
      </c>
      <c r="K2055" s="339" t="s">
        <v>71</v>
      </c>
      <c r="L2055" s="357">
        <v>3</v>
      </c>
      <c r="M2055" s="358" t="s">
        <v>13706</v>
      </c>
      <c r="N2055" s="359">
        <v>200</v>
      </c>
      <c r="O2055" s="360" t="s">
        <v>454</v>
      </c>
      <c r="P2055" s="343" t="s">
        <v>454</v>
      </c>
      <c r="Q2055" s="342" t="s">
        <v>2738</v>
      </c>
      <c r="R2055" s="344">
        <v>50</v>
      </c>
      <c r="S2055" s="345">
        <v>0</v>
      </c>
      <c r="T2055" s="362">
        <v>0</v>
      </c>
      <c r="U2055" s="361">
        <v>60.5</v>
      </c>
      <c r="V2055" s="346">
        <v>107.38888888888889</v>
      </c>
      <c r="W2055" s="348">
        <v>110.40909090909091</v>
      </c>
      <c r="X2055" s="347">
        <v>54.11</v>
      </c>
      <c r="Y2055" s="357" t="s">
        <v>408</v>
      </c>
      <c r="Z2055" s="365" t="s">
        <v>4408</v>
      </c>
      <c r="AA2055" s="350">
        <v>94</v>
      </c>
      <c r="AB2055" s="349" t="s">
        <v>2685</v>
      </c>
      <c r="AC2055" s="350">
        <v>1.5</v>
      </c>
      <c r="AD2055" s="349" t="s">
        <v>2685</v>
      </c>
      <c r="AE2055" s="364">
        <v>0</v>
      </c>
      <c r="AF2055" s="366">
        <v>0</v>
      </c>
      <c r="AG2055" s="363">
        <v>0</v>
      </c>
      <c r="AH2055" s="635" t="s">
        <v>10127</v>
      </c>
      <c r="AL2055" s="487" t="s">
        <v>16429</v>
      </c>
      <c r="AM2055" s="477" t="s">
        <v>71</v>
      </c>
      <c r="AN2055" s="637">
        <v>100</v>
      </c>
      <c r="AO2055" s="478">
        <v>-1570</v>
      </c>
      <c r="AP2055" s="463">
        <v>-628</v>
      </c>
      <c r="AQ2055" s="479">
        <v>-942</v>
      </c>
      <c r="AR2055" s="476" t="s">
        <v>18092</v>
      </c>
      <c r="BA2055" s="313" t="s">
        <v>7015</v>
      </c>
    </row>
    <row r="2056" spans="2:53" ht="16.5" customHeight="1">
      <c r="B2056" s="367" t="s">
        <v>18312</v>
      </c>
      <c r="C2056" s="351" t="s">
        <v>18313</v>
      </c>
      <c r="D2056" s="353">
        <v>-1570</v>
      </c>
      <c r="E2056" s="352" t="s">
        <v>13709</v>
      </c>
      <c r="F2056" s="341">
        <v>60.49</v>
      </c>
      <c r="G2056" s="355" t="s">
        <v>19299</v>
      </c>
      <c r="H2056" s="356" t="s">
        <v>6920</v>
      </c>
      <c r="I2056" s="354" t="s">
        <v>8000</v>
      </c>
      <c r="J2056" s="340" t="s">
        <v>13712</v>
      </c>
      <c r="K2056" s="339" t="s">
        <v>71</v>
      </c>
      <c r="L2056" s="357">
        <v>12</v>
      </c>
      <c r="M2056" s="358" t="s">
        <v>13713</v>
      </c>
      <c r="N2056" s="359">
        <v>1000</v>
      </c>
      <c r="O2056" s="360" t="s">
        <v>532</v>
      </c>
      <c r="P2056" s="343" t="s">
        <v>532</v>
      </c>
      <c r="Q2056" s="342" t="s">
        <v>2688</v>
      </c>
      <c r="R2056" s="344">
        <v>30</v>
      </c>
      <c r="S2056" s="345">
        <v>25</v>
      </c>
      <c r="T2056" s="362">
        <v>25</v>
      </c>
      <c r="U2056" s="361">
        <v>60.49</v>
      </c>
      <c r="V2056" s="346">
        <v>107.38554083181369</v>
      </c>
      <c r="W2056" s="348">
        <v>110.40635158966573</v>
      </c>
      <c r="X2056" s="347" t="s">
        <v>19300</v>
      </c>
      <c r="Y2056" s="357" t="s">
        <v>408</v>
      </c>
      <c r="Z2056" s="365" t="s">
        <v>4408</v>
      </c>
      <c r="AA2056" s="350">
        <v>192</v>
      </c>
      <c r="AB2056" s="349" t="s">
        <v>2685</v>
      </c>
      <c r="AC2056" s="350">
        <v>0</v>
      </c>
      <c r="AD2056" s="349" t="s">
        <v>2685</v>
      </c>
      <c r="AE2056" s="364">
        <v>0</v>
      </c>
      <c r="AF2056" s="366">
        <v>0</v>
      </c>
      <c r="AG2056" s="363">
        <v>0</v>
      </c>
      <c r="AH2056" s="635" t="s">
        <v>408</v>
      </c>
      <c r="AL2056" s="487" t="s">
        <v>16430</v>
      </c>
      <c r="AM2056" s="477" t="s">
        <v>71</v>
      </c>
      <c r="AN2056" s="637">
        <v>100</v>
      </c>
      <c r="AO2056" s="478">
        <v>-1570</v>
      </c>
      <c r="AP2056" s="463">
        <v>-626</v>
      </c>
      <c r="AQ2056" s="479">
        <v>-944</v>
      </c>
      <c r="AR2056" s="476" t="s">
        <v>18093</v>
      </c>
      <c r="BA2056" s="313" t="s">
        <v>7016</v>
      </c>
    </row>
    <row r="2057" spans="2:53" ht="16.5" customHeight="1">
      <c r="B2057" s="367" t="s">
        <v>13707</v>
      </c>
      <c r="C2057" s="351" t="s">
        <v>13708</v>
      </c>
      <c r="D2057" s="353">
        <v>-1570</v>
      </c>
      <c r="E2057" s="352" t="s">
        <v>13711</v>
      </c>
      <c r="F2057" s="341">
        <v>60.44</v>
      </c>
      <c r="G2057" s="355" t="s">
        <v>19301</v>
      </c>
      <c r="H2057" s="356" t="s">
        <v>6922</v>
      </c>
      <c r="I2057" s="354" t="s">
        <v>215</v>
      </c>
      <c r="J2057" s="340" t="s">
        <v>10846</v>
      </c>
      <c r="K2057" s="339" t="s">
        <v>71</v>
      </c>
      <c r="L2057" s="357">
        <v>2</v>
      </c>
      <c r="M2057" s="358" t="s">
        <v>13710</v>
      </c>
      <c r="N2057" s="359">
        <v>1000</v>
      </c>
      <c r="O2057" s="360" t="s">
        <v>530</v>
      </c>
      <c r="P2057" s="343" t="s">
        <v>531</v>
      </c>
      <c r="Q2057" s="342" t="s">
        <v>2688</v>
      </c>
      <c r="R2057" s="344">
        <v>13</v>
      </c>
      <c r="S2057" s="345">
        <v>50</v>
      </c>
      <c r="T2057" s="362">
        <v>25</v>
      </c>
      <c r="U2057" s="361">
        <v>60.44</v>
      </c>
      <c r="V2057" s="346">
        <v>107.35764174198852</v>
      </c>
      <c r="W2057" s="348">
        <v>110.38352506162697</v>
      </c>
      <c r="X2057" s="347">
        <v>53.67</v>
      </c>
      <c r="Y2057" s="357">
        <v>53.419999999999995</v>
      </c>
      <c r="Z2057" s="365" t="s">
        <v>3017</v>
      </c>
      <c r="AA2057" s="350">
        <v>121.25</v>
      </c>
      <c r="AB2057" s="349" t="s">
        <v>2685</v>
      </c>
      <c r="AC2057" s="350">
        <v>10</v>
      </c>
      <c r="AD2057" s="349" t="s">
        <v>2685</v>
      </c>
      <c r="AE2057" s="364">
        <v>0</v>
      </c>
      <c r="AF2057" s="366">
        <v>0</v>
      </c>
      <c r="AG2057" s="363">
        <v>0</v>
      </c>
      <c r="AH2057" s="635" t="s">
        <v>408</v>
      </c>
      <c r="AL2057" s="487" t="s">
        <v>16431</v>
      </c>
      <c r="AM2057" s="477" t="s">
        <v>71</v>
      </c>
      <c r="AN2057" s="637">
        <v>100</v>
      </c>
      <c r="AO2057" s="478">
        <v>-1570</v>
      </c>
      <c r="AP2057" s="463">
        <v>-626</v>
      </c>
      <c r="AQ2057" s="479">
        <v>-944</v>
      </c>
      <c r="AR2057" s="476" t="s">
        <v>18094</v>
      </c>
      <c r="BA2057" s="313" t="s">
        <v>7017</v>
      </c>
    </row>
    <row r="2058" spans="2:53" ht="16.5" customHeight="1">
      <c r="B2058" s="367" t="s">
        <v>13714</v>
      </c>
      <c r="C2058" s="351" t="s">
        <v>13715</v>
      </c>
      <c r="D2058" s="353">
        <v>-1570</v>
      </c>
      <c r="E2058" s="352" t="s">
        <v>408</v>
      </c>
      <c r="F2058" s="341">
        <v>60.31</v>
      </c>
      <c r="G2058" s="355" t="s">
        <v>13716</v>
      </c>
      <c r="H2058" s="356" t="s">
        <v>13599</v>
      </c>
      <c r="I2058" s="354" t="s">
        <v>494</v>
      </c>
      <c r="J2058" s="340" t="s">
        <v>13717</v>
      </c>
      <c r="K2058" s="339" t="s">
        <v>70</v>
      </c>
      <c r="L2058" s="357">
        <v>63</v>
      </c>
      <c r="M2058" s="358" t="s">
        <v>13718</v>
      </c>
      <c r="N2058" s="359">
        <v>1000</v>
      </c>
      <c r="O2058" s="360" t="s">
        <v>532</v>
      </c>
      <c r="P2058" s="343" t="s">
        <v>533</v>
      </c>
      <c r="Q2058" s="342" t="s">
        <v>2688</v>
      </c>
      <c r="R2058" s="344">
        <v>20</v>
      </c>
      <c r="S2058" s="345">
        <v>35</v>
      </c>
      <c r="T2058" s="362">
        <v>25</v>
      </c>
      <c r="U2058" s="361">
        <v>60.31</v>
      </c>
      <c r="V2058" s="346">
        <v>107.28384175250939</v>
      </c>
      <c r="W2058" s="348">
        <v>110.32314325205313</v>
      </c>
      <c r="X2058" s="347">
        <v>54.05</v>
      </c>
      <c r="Y2058" s="357">
        <v>52.83</v>
      </c>
      <c r="Z2058" s="365" t="s">
        <v>3017</v>
      </c>
      <c r="AA2058" s="350">
        <v>190</v>
      </c>
      <c r="AB2058" s="349" t="s">
        <v>2685</v>
      </c>
      <c r="AC2058" s="350">
        <v>0</v>
      </c>
      <c r="AD2058" s="349" t="s">
        <v>2685</v>
      </c>
      <c r="AE2058" s="364">
        <v>0</v>
      </c>
      <c r="AF2058" s="366">
        <v>0</v>
      </c>
      <c r="AG2058" s="363">
        <v>0</v>
      </c>
      <c r="AH2058" s="635" t="s">
        <v>408</v>
      </c>
      <c r="AL2058" s="487" t="s">
        <v>16432</v>
      </c>
      <c r="AM2058" s="477" t="s">
        <v>70</v>
      </c>
      <c r="AN2058" s="637">
        <v>100</v>
      </c>
      <c r="AO2058" s="478">
        <v>-1570</v>
      </c>
      <c r="AP2058" s="463">
        <v>-1570</v>
      </c>
      <c r="AQ2058" s="479">
        <v>0</v>
      </c>
      <c r="AR2058" s="476" t="s">
        <v>18095</v>
      </c>
      <c r="BA2058" s="313" t="s">
        <v>7019</v>
      </c>
    </row>
    <row r="2059" spans="2:53" ht="16.5" customHeight="1">
      <c r="B2059" s="367" t="s">
        <v>13719</v>
      </c>
      <c r="C2059" s="351" t="s">
        <v>13720</v>
      </c>
      <c r="D2059" s="353">
        <v>-1570</v>
      </c>
      <c r="E2059" s="352" t="s">
        <v>408</v>
      </c>
      <c r="F2059" s="341">
        <v>60.24</v>
      </c>
      <c r="G2059" s="355" t="s">
        <v>13721</v>
      </c>
      <c r="H2059" s="356" t="s">
        <v>19302</v>
      </c>
      <c r="I2059" s="354" t="s">
        <v>213</v>
      </c>
      <c r="J2059" s="340" t="s">
        <v>8744</v>
      </c>
      <c r="K2059" s="339" t="s">
        <v>70</v>
      </c>
      <c r="L2059" s="357">
        <v>5</v>
      </c>
      <c r="M2059" s="358" t="s">
        <v>13722</v>
      </c>
      <c r="N2059" s="359">
        <v>1000</v>
      </c>
      <c r="O2059" s="360" t="s">
        <v>454</v>
      </c>
      <c r="P2059" s="343" t="s">
        <v>454</v>
      </c>
      <c r="Q2059" s="342" t="s">
        <v>2688</v>
      </c>
      <c r="R2059" s="344">
        <v>20</v>
      </c>
      <c r="S2059" s="345">
        <v>30</v>
      </c>
      <c r="T2059" s="362">
        <v>30</v>
      </c>
      <c r="U2059" s="361">
        <v>60.24</v>
      </c>
      <c r="V2059" s="346">
        <v>107.24698412698412</v>
      </c>
      <c r="W2059" s="348">
        <v>110.29298701298701</v>
      </c>
      <c r="X2059" s="347">
        <v>54.03</v>
      </c>
      <c r="Y2059" s="357" t="s">
        <v>408</v>
      </c>
      <c r="Z2059" s="365" t="s">
        <v>4408</v>
      </c>
      <c r="AA2059" s="350">
        <v>180</v>
      </c>
      <c r="AB2059" s="349" t="s">
        <v>2685</v>
      </c>
      <c r="AC2059" s="350">
        <v>10</v>
      </c>
      <c r="AD2059" s="349" t="s">
        <v>2685</v>
      </c>
      <c r="AE2059" s="364">
        <v>0</v>
      </c>
      <c r="AF2059" s="366">
        <v>45.18</v>
      </c>
      <c r="AG2059" s="363">
        <v>0</v>
      </c>
      <c r="AH2059" s="635" t="s">
        <v>12809</v>
      </c>
      <c r="AL2059" s="487" t="s">
        <v>16433</v>
      </c>
      <c r="AM2059" s="477" t="s">
        <v>70</v>
      </c>
      <c r="AN2059" s="637">
        <v>100</v>
      </c>
      <c r="AO2059" s="478">
        <v>-1570</v>
      </c>
      <c r="AP2059" s="463">
        <v>-1570</v>
      </c>
      <c r="AQ2059" s="479">
        <v>0</v>
      </c>
      <c r="AR2059" s="476" t="s">
        <v>18096</v>
      </c>
      <c r="BA2059" s="313" t="s">
        <v>7020</v>
      </c>
    </row>
    <row r="2060" spans="2:53" ht="16.5" customHeight="1">
      <c r="B2060" s="367" t="s">
        <v>13723</v>
      </c>
      <c r="C2060" s="351" t="s">
        <v>13724</v>
      </c>
      <c r="D2060" s="353">
        <v>-1570</v>
      </c>
      <c r="E2060" s="352" t="s">
        <v>408</v>
      </c>
      <c r="F2060" s="341">
        <v>60.23</v>
      </c>
      <c r="G2060" s="355" t="s">
        <v>13725</v>
      </c>
      <c r="H2060" s="356" t="s">
        <v>19303</v>
      </c>
      <c r="I2060" s="354" t="s">
        <v>215</v>
      </c>
      <c r="J2060" s="340" t="s">
        <v>7910</v>
      </c>
      <c r="K2060" s="339" t="s">
        <v>70</v>
      </c>
      <c r="L2060" s="357">
        <v>4</v>
      </c>
      <c r="M2060" s="358" t="s">
        <v>13726</v>
      </c>
      <c r="N2060" s="359">
        <v>1000</v>
      </c>
      <c r="O2060" s="360" t="s">
        <v>530</v>
      </c>
      <c r="P2060" s="343" t="s">
        <v>531</v>
      </c>
      <c r="Q2060" s="342" t="s">
        <v>2688</v>
      </c>
      <c r="R2060" s="344">
        <v>25</v>
      </c>
      <c r="S2060" s="345">
        <v>38</v>
      </c>
      <c r="T2060" s="362">
        <v>25</v>
      </c>
      <c r="U2060" s="361">
        <v>60.23</v>
      </c>
      <c r="V2060" s="346">
        <v>107.23962460896766</v>
      </c>
      <c r="W2060" s="348">
        <v>110.28696558915537</v>
      </c>
      <c r="X2060" s="347">
        <v>54.02</v>
      </c>
      <c r="Y2060" s="357">
        <v>52.809999999999995</v>
      </c>
      <c r="Z2060" s="365" t="s">
        <v>3017</v>
      </c>
      <c r="AA2060" s="350">
        <v>121.25</v>
      </c>
      <c r="AB2060" s="349" t="s">
        <v>2685</v>
      </c>
      <c r="AC2060" s="350">
        <v>10</v>
      </c>
      <c r="AD2060" s="349" t="s">
        <v>2685</v>
      </c>
      <c r="AE2060" s="364">
        <v>0</v>
      </c>
      <c r="AF2060" s="366">
        <v>0</v>
      </c>
      <c r="AG2060" s="363">
        <v>0</v>
      </c>
      <c r="AH2060" s="635" t="s">
        <v>408</v>
      </c>
      <c r="AL2060" s="487" t="s">
        <v>16434</v>
      </c>
      <c r="AM2060" s="477" t="s">
        <v>70</v>
      </c>
      <c r="AN2060" s="637">
        <v>100</v>
      </c>
      <c r="AO2060" s="478">
        <v>-1570</v>
      </c>
      <c r="AP2060" s="463">
        <v>-1570</v>
      </c>
      <c r="AQ2060" s="479">
        <v>0</v>
      </c>
      <c r="AR2060" s="476" t="s">
        <v>18097</v>
      </c>
      <c r="BA2060" s="313" t="s">
        <v>7021</v>
      </c>
    </row>
    <row r="2061" spans="2:53" ht="16.5" customHeight="1">
      <c r="B2061" s="367" t="s">
        <v>13727</v>
      </c>
      <c r="C2061" s="351" t="s">
        <v>13728</v>
      </c>
      <c r="D2061" s="353">
        <v>-1570</v>
      </c>
      <c r="E2061" s="352" t="s">
        <v>13729</v>
      </c>
      <c r="F2061" s="341">
        <v>60.2</v>
      </c>
      <c r="G2061" s="355" t="s">
        <v>19304</v>
      </c>
      <c r="H2061" s="356" t="s">
        <v>19305</v>
      </c>
      <c r="I2061" s="354" t="s">
        <v>215</v>
      </c>
      <c r="J2061" s="340" t="s">
        <v>13730</v>
      </c>
      <c r="K2061" s="339" t="s">
        <v>71</v>
      </c>
      <c r="L2061" s="357">
        <v>10</v>
      </c>
      <c r="M2061" s="358" t="s">
        <v>13731</v>
      </c>
      <c r="N2061" s="359">
        <v>1000</v>
      </c>
      <c r="O2061" s="360" t="s">
        <v>530</v>
      </c>
      <c r="P2061" s="343" t="s">
        <v>531</v>
      </c>
      <c r="Q2061" s="342" t="s">
        <v>2688</v>
      </c>
      <c r="R2061" s="344">
        <v>13</v>
      </c>
      <c r="S2061" s="345">
        <v>50</v>
      </c>
      <c r="T2061" s="362">
        <v>25</v>
      </c>
      <c r="U2061" s="361">
        <v>60.2</v>
      </c>
      <c r="V2061" s="346">
        <v>107.22206244864421</v>
      </c>
      <c r="W2061" s="348">
        <v>110.27259654889073</v>
      </c>
      <c r="X2061" s="347">
        <v>53.6</v>
      </c>
      <c r="Y2061" s="357">
        <v>53.32</v>
      </c>
      <c r="Z2061" s="365" t="s">
        <v>3017</v>
      </c>
      <c r="AA2061" s="350">
        <v>121.25</v>
      </c>
      <c r="AB2061" s="349" t="s">
        <v>2685</v>
      </c>
      <c r="AC2061" s="350">
        <v>10</v>
      </c>
      <c r="AD2061" s="349" t="s">
        <v>2685</v>
      </c>
      <c r="AE2061" s="364">
        <v>0</v>
      </c>
      <c r="AF2061" s="366">
        <v>0</v>
      </c>
      <c r="AG2061" s="363">
        <v>0</v>
      </c>
      <c r="AH2061" s="635" t="s">
        <v>408</v>
      </c>
      <c r="AL2061" s="487" t="s">
        <v>16435</v>
      </c>
      <c r="AM2061" s="477" t="s">
        <v>71</v>
      </c>
      <c r="AN2061" s="637">
        <v>100</v>
      </c>
      <c r="AO2061" s="478">
        <v>-1570</v>
      </c>
      <c r="AP2061" s="463">
        <v>-625</v>
      </c>
      <c r="AQ2061" s="479">
        <v>-945</v>
      </c>
      <c r="AR2061" s="476" t="s">
        <v>18098</v>
      </c>
      <c r="BA2061" s="313" t="s">
        <v>7022</v>
      </c>
    </row>
    <row r="2062" spans="2:53" ht="16.5" customHeight="1">
      <c r="B2062" s="367" t="s">
        <v>13732</v>
      </c>
      <c r="C2062" s="351" t="s">
        <v>13733</v>
      </c>
      <c r="D2062" s="353">
        <v>-1570</v>
      </c>
      <c r="E2062" s="352" t="s">
        <v>408</v>
      </c>
      <c r="F2062" s="341">
        <v>60.19</v>
      </c>
      <c r="G2062" s="355" t="s">
        <v>13701</v>
      </c>
      <c r="H2062" s="356" t="s">
        <v>19306</v>
      </c>
      <c r="I2062" s="354" t="s">
        <v>494</v>
      </c>
      <c r="J2062" s="340" t="s">
        <v>13734</v>
      </c>
      <c r="K2062" s="339" t="s">
        <v>70</v>
      </c>
      <c r="L2062" s="357">
        <v>16</v>
      </c>
      <c r="M2062" s="358" t="s">
        <v>13735</v>
      </c>
      <c r="N2062" s="359">
        <v>1000</v>
      </c>
      <c r="O2062" s="360" t="s">
        <v>532</v>
      </c>
      <c r="P2062" s="343" t="s">
        <v>533</v>
      </c>
      <c r="Q2062" s="342" t="s">
        <v>2688</v>
      </c>
      <c r="R2062" s="344">
        <v>20</v>
      </c>
      <c r="S2062" s="345">
        <v>35</v>
      </c>
      <c r="T2062" s="362">
        <v>25</v>
      </c>
      <c r="U2062" s="361">
        <v>60.19</v>
      </c>
      <c r="V2062" s="346">
        <v>107.21481230713661</v>
      </c>
      <c r="W2062" s="348">
        <v>110.26666461492997</v>
      </c>
      <c r="X2062" s="347">
        <v>54.01</v>
      </c>
      <c r="Y2062" s="357">
        <v>52.78</v>
      </c>
      <c r="Z2062" s="365" t="s">
        <v>3017</v>
      </c>
      <c r="AA2062" s="350">
        <v>190</v>
      </c>
      <c r="AB2062" s="349" t="s">
        <v>2685</v>
      </c>
      <c r="AC2062" s="350">
        <v>0</v>
      </c>
      <c r="AD2062" s="349" t="s">
        <v>2685</v>
      </c>
      <c r="AE2062" s="364">
        <v>0</v>
      </c>
      <c r="AF2062" s="366">
        <v>0</v>
      </c>
      <c r="AG2062" s="363">
        <v>0</v>
      </c>
      <c r="AH2062" s="635" t="s">
        <v>408</v>
      </c>
      <c r="AL2062" s="487" t="s">
        <v>16436</v>
      </c>
      <c r="AM2062" s="477" t="s">
        <v>70</v>
      </c>
      <c r="AN2062" s="637">
        <v>100</v>
      </c>
      <c r="AO2062" s="478">
        <v>-1570</v>
      </c>
      <c r="AP2062" s="463">
        <v>-1570</v>
      </c>
      <c r="AQ2062" s="479">
        <v>0</v>
      </c>
      <c r="AR2062" s="476" t="s">
        <v>18099</v>
      </c>
      <c r="BA2062" s="313" t="s">
        <v>7023</v>
      </c>
    </row>
    <row r="2063" spans="2:53" ht="16.5" customHeight="1">
      <c r="B2063" s="367" t="s">
        <v>13736</v>
      </c>
      <c r="C2063" s="351" t="s">
        <v>13737</v>
      </c>
      <c r="D2063" s="353">
        <v>-1570</v>
      </c>
      <c r="E2063" s="352" t="s">
        <v>408</v>
      </c>
      <c r="F2063" s="341">
        <v>60.16</v>
      </c>
      <c r="G2063" s="355" t="s">
        <v>13738</v>
      </c>
      <c r="H2063" s="356" t="s">
        <v>19307</v>
      </c>
      <c r="I2063" s="354" t="s">
        <v>494</v>
      </c>
      <c r="J2063" s="340" t="s">
        <v>13739</v>
      </c>
      <c r="K2063" s="339" t="s">
        <v>70</v>
      </c>
      <c r="L2063" s="357">
        <v>23</v>
      </c>
      <c r="M2063" s="358" t="s">
        <v>13740</v>
      </c>
      <c r="N2063" s="359">
        <v>1000</v>
      </c>
      <c r="O2063" s="360" t="s">
        <v>532</v>
      </c>
      <c r="P2063" s="343" t="s">
        <v>533</v>
      </c>
      <c r="Q2063" s="342" t="s">
        <v>2688</v>
      </c>
      <c r="R2063" s="344">
        <v>20</v>
      </c>
      <c r="S2063" s="345">
        <v>35</v>
      </c>
      <c r="T2063" s="362">
        <v>25</v>
      </c>
      <c r="U2063" s="361">
        <v>60.16</v>
      </c>
      <c r="V2063" s="346">
        <v>107.19755494579343</v>
      </c>
      <c r="W2063" s="348">
        <v>110.25254495564918</v>
      </c>
      <c r="X2063" s="347">
        <v>53.99</v>
      </c>
      <c r="Y2063" s="357">
        <v>52.769999999999996</v>
      </c>
      <c r="Z2063" s="365" t="s">
        <v>3017</v>
      </c>
      <c r="AA2063" s="350">
        <v>190</v>
      </c>
      <c r="AB2063" s="349" t="s">
        <v>2685</v>
      </c>
      <c r="AC2063" s="350">
        <v>0</v>
      </c>
      <c r="AD2063" s="349" t="s">
        <v>2685</v>
      </c>
      <c r="AE2063" s="364">
        <v>0</v>
      </c>
      <c r="AF2063" s="366">
        <v>0</v>
      </c>
      <c r="AG2063" s="363">
        <v>0</v>
      </c>
      <c r="AH2063" s="635" t="s">
        <v>408</v>
      </c>
      <c r="AL2063" s="487" t="s">
        <v>16437</v>
      </c>
      <c r="AM2063" s="477" t="s">
        <v>70</v>
      </c>
      <c r="AN2063" s="637">
        <v>100</v>
      </c>
      <c r="AO2063" s="478">
        <v>-1570</v>
      </c>
      <c r="AP2063" s="463">
        <v>-1570</v>
      </c>
      <c r="AQ2063" s="479">
        <v>0</v>
      </c>
      <c r="AR2063" s="476" t="s">
        <v>18100</v>
      </c>
      <c r="BA2063" s="313" t="s">
        <v>7024</v>
      </c>
    </row>
    <row r="2064" spans="2:53" ht="16.5" customHeight="1">
      <c r="B2064" s="367" t="s">
        <v>7615</v>
      </c>
      <c r="C2064" s="351" t="s">
        <v>13741</v>
      </c>
      <c r="D2064" s="353">
        <v>-1570</v>
      </c>
      <c r="E2064" s="352" t="s">
        <v>13742</v>
      </c>
      <c r="F2064" s="341">
        <v>60.13</v>
      </c>
      <c r="G2064" s="355" t="s">
        <v>19308</v>
      </c>
      <c r="H2064" s="356" t="s">
        <v>19309</v>
      </c>
      <c r="I2064" s="354" t="s">
        <v>213</v>
      </c>
      <c r="J2064" s="340" t="s">
        <v>8863</v>
      </c>
      <c r="K2064" s="339" t="s">
        <v>71</v>
      </c>
      <c r="L2064" s="357">
        <v>10</v>
      </c>
      <c r="M2064" s="358" t="s">
        <v>13743</v>
      </c>
      <c r="N2064" s="359">
        <v>1000</v>
      </c>
      <c r="O2064" s="360" t="s">
        <v>454</v>
      </c>
      <c r="P2064" s="343" t="s">
        <v>454</v>
      </c>
      <c r="Q2064" s="342" t="s">
        <v>2688</v>
      </c>
      <c r="R2064" s="344">
        <v>30</v>
      </c>
      <c r="S2064" s="345">
        <v>20</v>
      </c>
      <c r="T2064" s="362">
        <v>30</v>
      </c>
      <c r="U2064" s="361">
        <v>60.13</v>
      </c>
      <c r="V2064" s="346">
        <v>107.18402777777777</v>
      </c>
      <c r="W2064" s="348">
        <v>110.24147727272728</v>
      </c>
      <c r="X2064" s="347">
        <v>53.58</v>
      </c>
      <c r="Y2064" s="357" t="s">
        <v>408</v>
      </c>
      <c r="Z2064" s="365" t="s">
        <v>4408</v>
      </c>
      <c r="AA2064" s="350">
        <v>180</v>
      </c>
      <c r="AB2064" s="349" t="s">
        <v>2685</v>
      </c>
      <c r="AC2064" s="350">
        <v>10</v>
      </c>
      <c r="AD2064" s="349" t="s">
        <v>2685</v>
      </c>
      <c r="AE2064" s="364">
        <v>0</v>
      </c>
      <c r="AF2064" s="366">
        <v>0</v>
      </c>
      <c r="AG2064" s="363">
        <v>0</v>
      </c>
      <c r="AH2064" s="635" t="s">
        <v>408</v>
      </c>
      <c r="AL2064" s="487" t="s">
        <v>16438</v>
      </c>
      <c r="AM2064" s="477" t="s">
        <v>71</v>
      </c>
      <c r="AN2064" s="637">
        <v>100</v>
      </c>
      <c r="AO2064" s="478">
        <v>-1570</v>
      </c>
      <c r="AP2064" s="463">
        <v>-625</v>
      </c>
      <c r="AQ2064" s="479">
        <v>-945</v>
      </c>
      <c r="AR2064" s="476" t="s">
        <v>18101</v>
      </c>
      <c r="BA2064" s="313" t="s">
        <v>7028</v>
      </c>
    </row>
    <row r="2065" spans="2:53" ht="16.5" customHeight="1">
      <c r="B2065" s="367" t="s">
        <v>13744</v>
      </c>
      <c r="C2065" s="351" t="s">
        <v>13745</v>
      </c>
      <c r="D2065" s="353">
        <v>-1570</v>
      </c>
      <c r="E2065" s="352" t="s">
        <v>13746</v>
      </c>
      <c r="F2065" s="341">
        <v>59.99</v>
      </c>
      <c r="G2065" s="355" t="s">
        <v>19310</v>
      </c>
      <c r="H2065" s="356" t="s">
        <v>19311</v>
      </c>
      <c r="I2065" s="354" t="s">
        <v>213</v>
      </c>
      <c r="J2065" s="340" t="s">
        <v>9396</v>
      </c>
      <c r="K2065" s="339" t="s">
        <v>71</v>
      </c>
      <c r="L2065" s="357">
        <v>13</v>
      </c>
      <c r="M2065" s="358" t="s">
        <v>13747</v>
      </c>
      <c r="N2065" s="359">
        <v>1000</v>
      </c>
      <c r="O2065" s="360" t="s">
        <v>454</v>
      </c>
      <c r="P2065" s="343" t="s">
        <v>454</v>
      </c>
      <c r="Q2065" s="342" t="s">
        <v>2688</v>
      </c>
      <c r="R2065" s="344">
        <v>30</v>
      </c>
      <c r="S2065" s="345">
        <v>20</v>
      </c>
      <c r="T2065" s="362">
        <v>30</v>
      </c>
      <c r="U2065" s="361">
        <v>59.99</v>
      </c>
      <c r="V2065" s="346">
        <v>107.10416666666667</v>
      </c>
      <c r="W2065" s="348">
        <v>110.17613636363637</v>
      </c>
      <c r="X2065" s="347">
        <v>53.53</v>
      </c>
      <c r="Y2065" s="357" t="s">
        <v>408</v>
      </c>
      <c r="Z2065" s="365" t="s">
        <v>4408</v>
      </c>
      <c r="AA2065" s="350">
        <v>180</v>
      </c>
      <c r="AB2065" s="349" t="s">
        <v>2685</v>
      </c>
      <c r="AC2065" s="350">
        <v>10</v>
      </c>
      <c r="AD2065" s="349" t="s">
        <v>2685</v>
      </c>
      <c r="AE2065" s="364">
        <v>0</v>
      </c>
      <c r="AF2065" s="366">
        <v>0</v>
      </c>
      <c r="AG2065" s="363">
        <v>0</v>
      </c>
      <c r="AH2065" s="635" t="s">
        <v>408</v>
      </c>
      <c r="AL2065" s="487" t="s">
        <v>16439</v>
      </c>
      <c r="AM2065" s="477" t="s">
        <v>71</v>
      </c>
      <c r="AN2065" s="637">
        <v>100</v>
      </c>
      <c r="AO2065" s="478">
        <v>-1570</v>
      </c>
      <c r="AP2065" s="463">
        <v>-624</v>
      </c>
      <c r="AQ2065" s="479">
        <v>-946</v>
      </c>
      <c r="AR2065" s="476" t="s">
        <v>18102</v>
      </c>
      <c r="BA2065" s="313" t="s">
        <v>7029</v>
      </c>
    </row>
    <row r="2066" spans="2:53" ht="16.5" customHeight="1">
      <c r="B2066" s="367" t="s">
        <v>13748</v>
      </c>
      <c r="C2066" s="351" t="s">
        <v>13749</v>
      </c>
      <c r="D2066" s="353">
        <v>-1570</v>
      </c>
      <c r="E2066" s="352" t="s">
        <v>13750</v>
      </c>
      <c r="F2066" s="341">
        <v>59.95</v>
      </c>
      <c r="G2066" s="355" t="s">
        <v>19312</v>
      </c>
      <c r="H2066" s="356" t="s">
        <v>19313</v>
      </c>
      <c r="I2066" s="354" t="s">
        <v>213</v>
      </c>
      <c r="J2066" s="340" t="s">
        <v>8534</v>
      </c>
      <c r="K2066" s="339" t="s">
        <v>71</v>
      </c>
      <c r="L2066" s="357">
        <v>15</v>
      </c>
      <c r="M2066" s="358" t="s">
        <v>13751</v>
      </c>
      <c r="N2066" s="359">
        <v>1000</v>
      </c>
      <c r="O2066" s="360" t="s">
        <v>454</v>
      </c>
      <c r="P2066" s="343" t="s">
        <v>454</v>
      </c>
      <c r="Q2066" s="342" t="s">
        <v>2688</v>
      </c>
      <c r="R2066" s="344">
        <v>30</v>
      </c>
      <c r="S2066" s="345">
        <v>20</v>
      </c>
      <c r="T2066" s="362">
        <v>30</v>
      </c>
      <c r="U2066" s="361">
        <v>59.95</v>
      </c>
      <c r="V2066" s="346">
        <v>107.08333333333334</v>
      </c>
      <c r="W2066" s="348">
        <v>110.15909090909092</v>
      </c>
      <c r="X2066" s="347">
        <v>53.52</v>
      </c>
      <c r="Y2066" s="357" t="s">
        <v>408</v>
      </c>
      <c r="Z2066" s="365" t="s">
        <v>4408</v>
      </c>
      <c r="AA2066" s="350">
        <v>180</v>
      </c>
      <c r="AB2066" s="349" t="s">
        <v>2685</v>
      </c>
      <c r="AC2066" s="350">
        <v>10</v>
      </c>
      <c r="AD2066" s="349" t="s">
        <v>2685</v>
      </c>
      <c r="AE2066" s="364">
        <v>0</v>
      </c>
      <c r="AF2066" s="366">
        <v>0</v>
      </c>
      <c r="AG2066" s="363">
        <v>0</v>
      </c>
      <c r="AH2066" s="635" t="s">
        <v>408</v>
      </c>
      <c r="AL2066" s="487" t="s">
        <v>16440</v>
      </c>
      <c r="AM2066" s="477" t="s">
        <v>71</v>
      </c>
      <c r="AN2066" s="637">
        <v>100</v>
      </c>
      <c r="AO2066" s="478">
        <v>-1570</v>
      </c>
      <c r="AP2066" s="463">
        <v>-624</v>
      </c>
      <c r="AQ2066" s="479">
        <v>-946</v>
      </c>
      <c r="AR2066" s="476" t="s">
        <v>18103</v>
      </c>
      <c r="BA2066" s="313" t="s">
        <v>7030</v>
      </c>
    </row>
    <row r="2067" spans="2:53" ht="16.5" customHeight="1">
      <c r="B2067" s="367" t="s">
        <v>13752</v>
      </c>
      <c r="C2067" s="351" t="s">
        <v>13753</v>
      </c>
      <c r="D2067" s="353">
        <v>-1570</v>
      </c>
      <c r="E2067" s="352" t="s">
        <v>13754</v>
      </c>
      <c r="F2067" s="341">
        <v>59.84</v>
      </c>
      <c r="G2067" s="355" t="s">
        <v>13768</v>
      </c>
      <c r="H2067" s="356" t="s">
        <v>19303</v>
      </c>
      <c r="I2067" s="354" t="s">
        <v>215</v>
      </c>
      <c r="J2067" s="340" t="s">
        <v>13756</v>
      </c>
      <c r="K2067" s="339" t="s">
        <v>71</v>
      </c>
      <c r="L2067" s="357">
        <v>5</v>
      </c>
      <c r="M2067" s="358" t="s">
        <v>13757</v>
      </c>
      <c r="N2067" s="359">
        <v>1000</v>
      </c>
      <c r="O2067" s="360" t="s">
        <v>530</v>
      </c>
      <c r="P2067" s="343" t="s">
        <v>531</v>
      </c>
      <c r="Q2067" s="342" t="s">
        <v>2688</v>
      </c>
      <c r="R2067" s="344">
        <v>13</v>
      </c>
      <c r="S2067" s="345">
        <v>50</v>
      </c>
      <c r="T2067" s="362">
        <v>25</v>
      </c>
      <c r="U2067" s="361">
        <v>59.84</v>
      </c>
      <c r="V2067" s="346">
        <v>107.02472106760008</v>
      </c>
      <c r="W2067" s="348">
        <v>110.11113541894552</v>
      </c>
      <c r="X2067" s="347">
        <v>53.48</v>
      </c>
      <c r="Y2067" s="357">
        <v>53.19</v>
      </c>
      <c r="Z2067" s="365" t="s">
        <v>3017</v>
      </c>
      <c r="AA2067" s="350">
        <v>121.25</v>
      </c>
      <c r="AB2067" s="349" t="s">
        <v>2685</v>
      </c>
      <c r="AC2067" s="350">
        <v>10</v>
      </c>
      <c r="AD2067" s="349" t="s">
        <v>2685</v>
      </c>
      <c r="AE2067" s="364">
        <v>0</v>
      </c>
      <c r="AF2067" s="366">
        <v>0</v>
      </c>
      <c r="AG2067" s="363">
        <v>0</v>
      </c>
      <c r="AH2067" s="635" t="s">
        <v>408</v>
      </c>
      <c r="AL2067" s="487" t="s">
        <v>16441</v>
      </c>
      <c r="AM2067" s="477" t="s">
        <v>71</v>
      </c>
      <c r="AN2067" s="637">
        <v>100</v>
      </c>
      <c r="AO2067" s="478">
        <v>-1570</v>
      </c>
      <c r="AP2067" s="463">
        <v>-623</v>
      </c>
      <c r="AQ2067" s="479">
        <v>-947</v>
      </c>
      <c r="AR2067" s="476" t="s">
        <v>18104</v>
      </c>
      <c r="BA2067" s="313" t="s">
        <v>7031</v>
      </c>
    </row>
    <row r="2068" spans="2:53" ht="16.5" customHeight="1">
      <c r="B2068" s="367" t="s">
        <v>18314</v>
      </c>
      <c r="C2068" s="351" t="s">
        <v>18315</v>
      </c>
      <c r="D2068" s="353">
        <v>-1570</v>
      </c>
      <c r="E2068" s="352" t="s">
        <v>13758</v>
      </c>
      <c r="F2068" s="341">
        <v>59.63</v>
      </c>
      <c r="G2068" s="355" t="s">
        <v>19314</v>
      </c>
      <c r="H2068" s="356" t="s">
        <v>19315</v>
      </c>
      <c r="I2068" s="354" t="s">
        <v>8000</v>
      </c>
      <c r="J2068" s="340" t="s">
        <v>8883</v>
      </c>
      <c r="K2068" s="339" t="s">
        <v>71</v>
      </c>
      <c r="L2068" s="357">
        <v>9</v>
      </c>
      <c r="M2068" s="358" t="s">
        <v>13759</v>
      </c>
      <c r="N2068" s="359">
        <v>1000</v>
      </c>
      <c r="O2068" s="360" t="s">
        <v>532</v>
      </c>
      <c r="P2068" s="343" t="s">
        <v>532</v>
      </c>
      <c r="Q2068" s="342" t="s">
        <v>2688</v>
      </c>
      <c r="R2068" s="344">
        <v>30</v>
      </c>
      <c r="S2068" s="345">
        <v>25</v>
      </c>
      <c r="T2068" s="362">
        <v>25</v>
      </c>
      <c r="U2068" s="361">
        <v>59.63</v>
      </c>
      <c r="V2068" s="346">
        <v>106.90727313568209</v>
      </c>
      <c r="W2068" s="348">
        <v>110.01504165646718</v>
      </c>
      <c r="X2068" s="347" t="s">
        <v>19316</v>
      </c>
      <c r="Y2068" s="357" t="s">
        <v>408</v>
      </c>
      <c r="Z2068" s="365" t="s">
        <v>4408</v>
      </c>
      <c r="AA2068" s="350">
        <v>192</v>
      </c>
      <c r="AB2068" s="349" t="s">
        <v>2685</v>
      </c>
      <c r="AC2068" s="350">
        <v>0</v>
      </c>
      <c r="AD2068" s="349" t="s">
        <v>2685</v>
      </c>
      <c r="AE2068" s="364">
        <v>0</v>
      </c>
      <c r="AF2068" s="366">
        <v>0</v>
      </c>
      <c r="AG2068" s="363">
        <v>0</v>
      </c>
      <c r="AH2068" s="635" t="s">
        <v>408</v>
      </c>
      <c r="AL2068" s="487" t="s">
        <v>16442</v>
      </c>
      <c r="AM2068" s="477" t="s">
        <v>71</v>
      </c>
      <c r="AN2068" s="637">
        <v>100</v>
      </c>
      <c r="AO2068" s="478">
        <v>-1570</v>
      </c>
      <c r="AP2068" s="463">
        <v>-622</v>
      </c>
      <c r="AQ2068" s="479">
        <v>-948</v>
      </c>
      <c r="AR2068" s="476" t="s">
        <v>18105</v>
      </c>
      <c r="BA2068" s="313" t="s">
        <v>7033</v>
      </c>
    </row>
    <row r="2069" spans="2:53" ht="16.5" customHeight="1">
      <c r="B2069" s="367" t="s">
        <v>13736</v>
      </c>
      <c r="C2069" s="351" t="s">
        <v>13737</v>
      </c>
      <c r="D2069" s="353">
        <v>-1570</v>
      </c>
      <c r="E2069" s="352" t="s">
        <v>13738</v>
      </c>
      <c r="F2069" s="341">
        <v>59.56</v>
      </c>
      <c r="G2069" s="355" t="s">
        <v>19317</v>
      </c>
      <c r="H2069" s="356" t="s">
        <v>19318</v>
      </c>
      <c r="I2069" s="354" t="s">
        <v>215</v>
      </c>
      <c r="J2069" s="340" t="s">
        <v>13760</v>
      </c>
      <c r="K2069" s="339" t="s">
        <v>71</v>
      </c>
      <c r="L2069" s="357">
        <v>10</v>
      </c>
      <c r="M2069" s="358" t="s">
        <v>13761</v>
      </c>
      <c r="N2069" s="359">
        <v>1000</v>
      </c>
      <c r="O2069" s="360" t="s">
        <v>530</v>
      </c>
      <c r="P2069" s="343" t="s">
        <v>531</v>
      </c>
      <c r="Q2069" s="342" t="s">
        <v>2688</v>
      </c>
      <c r="R2069" s="344">
        <v>13</v>
      </c>
      <c r="S2069" s="345">
        <v>50</v>
      </c>
      <c r="T2069" s="362">
        <v>25</v>
      </c>
      <c r="U2069" s="361">
        <v>59.56</v>
      </c>
      <c r="V2069" s="346">
        <v>106.86589367753227</v>
      </c>
      <c r="W2069" s="348">
        <v>109.98118573616277</v>
      </c>
      <c r="X2069" s="347">
        <v>53.39</v>
      </c>
      <c r="Y2069" s="357">
        <v>53.1</v>
      </c>
      <c r="Z2069" s="365" t="s">
        <v>3017</v>
      </c>
      <c r="AA2069" s="350">
        <v>121.25</v>
      </c>
      <c r="AB2069" s="349" t="s">
        <v>2685</v>
      </c>
      <c r="AC2069" s="350">
        <v>10</v>
      </c>
      <c r="AD2069" s="349" t="s">
        <v>2685</v>
      </c>
      <c r="AE2069" s="364">
        <v>0</v>
      </c>
      <c r="AF2069" s="366">
        <v>0</v>
      </c>
      <c r="AG2069" s="363">
        <v>0</v>
      </c>
      <c r="AH2069" s="635" t="s">
        <v>408</v>
      </c>
      <c r="AL2069" s="487" t="s">
        <v>16443</v>
      </c>
      <c r="AM2069" s="477" t="s">
        <v>71</v>
      </c>
      <c r="AN2069" s="637">
        <v>100</v>
      </c>
      <c r="AO2069" s="478">
        <v>-1570</v>
      </c>
      <c r="AP2069" s="463">
        <v>-622</v>
      </c>
      <c r="AQ2069" s="479">
        <v>-948</v>
      </c>
      <c r="AR2069" s="476" t="s">
        <v>18106</v>
      </c>
      <c r="BA2069" s="313" t="s">
        <v>7035</v>
      </c>
    </row>
    <row r="2070" spans="2:53" ht="16.5" customHeight="1">
      <c r="B2070" s="367" t="s">
        <v>13762</v>
      </c>
      <c r="C2070" s="351" t="s">
        <v>13763</v>
      </c>
      <c r="D2070" s="353">
        <v>-1570</v>
      </c>
      <c r="E2070" s="352" t="s">
        <v>408</v>
      </c>
      <c r="F2070" s="341">
        <v>59.39</v>
      </c>
      <c r="G2070" s="355" t="s">
        <v>13764</v>
      </c>
      <c r="H2070" s="356" t="s">
        <v>19319</v>
      </c>
      <c r="I2070" s="354" t="s">
        <v>8000</v>
      </c>
      <c r="J2070" s="340" t="s">
        <v>8033</v>
      </c>
      <c r="K2070" s="339" t="s">
        <v>70</v>
      </c>
      <c r="L2070" s="357">
        <v>29</v>
      </c>
      <c r="M2070" s="358" t="s">
        <v>13765</v>
      </c>
      <c r="N2070" s="359">
        <v>1000</v>
      </c>
      <c r="O2070" s="360" t="s">
        <v>532</v>
      </c>
      <c r="P2070" s="343" t="s">
        <v>532</v>
      </c>
      <c r="Q2070" s="342" t="s">
        <v>2688</v>
      </c>
      <c r="R2070" s="344">
        <v>25</v>
      </c>
      <c r="S2070" s="345">
        <v>30</v>
      </c>
      <c r="T2070" s="362">
        <v>25</v>
      </c>
      <c r="U2070" s="361">
        <v>59.39</v>
      </c>
      <c r="V2070" s="346">
        <v>106.770456871722</v>
      </c>
      <c r="W2070" s="348">
        <v>109.90310107686345</v>
      </c>
      <c r="X2070" s="347" t="s">
        <v>19320</v>
      </c>
      <c r="Y2070" s="357" t="s">
        <v>408</v>
      </c>
      <c r="Z2070" s="365" t="s">
        <v>4408</v>
      </c>
      <c r="AA2070" s="350">
        <v>192</v>
      </c>
      <c r="AB2070" s="349" t="s">
        <v>2685</v>
      </c>
      <c r="AC2070" s="350">
        <v>0</v>
      </c>
      <c r="AD2070" s="349" t="s">
        <v>2685</v>
      </c>
      <c r="AE2070" s="364">
        <v>0</v>
      </c>
      <c r="AF2070" s="366">
        <v>0</v>
      </c>
      <c r="AG2070" s="363">
        <v>0</v>
      </c>
      <c r="AH2070" s="635" t="s">
        <v>408</v>
      </c>
      <c r="AL2070" s="487" t="s">
        <v>16444</v>
      </c>
      <c r="AM2070" s="477" t="s">
        <v>70</v>
      </c>
      <c r="AN2070" s="637">
        <v>100</v>
      </c>
      <c r="AO2070" s="478">
        <v>-1570</v>
      </c>
      <c r="AP2070" s="463">
        <v>-1570</v>
      </c>
      <c r="AQ2070" s="479">
        <v>0</v>
      </c>
      <c r="AR2070" s="476" t="s">
        <v>18107</v>
      </c>
      <c r="BA2070" s="313" t="s">
        <v>7036</v>
      </c>
    </row>
    <row r="2071" spans="2:53" ht="16.5" customHeight="1">
      <c r="B2071" s="367" t="s">
        <v>13766</v>
      </c>
      <c r="C2071" s="351" t="s">
        <v>13767</v>
      </c>
      <c r="D2071" s="353">
        <v>-1570</v>
      </c>
      <c r="E2071" s="352" t="s">
        <v>13768</v>
      </c>
      <c r="F2071" s="341">
        <v>59.35</v>
      </c>
      <c r="G2071" s="355" t="s">
        <v>19321</v>
      </c>
      <c r="H2071" s="356" t="s">
        <v>19322</v>
      </c>
      <c r="I2071" s="354" t="s">
        <v>213</v>
      </c>
      <c r="J2071" s="340" t="s">
        <v>11380</v>
      </c>
      <c r="K2071" s="339" t="s">
        <v>71</v>
      </c>
      <c r="L2071" s="357">
        <v>19</v>
      </c>
      <c r="M2071" s="358" t="s">
        <v>7074</v>
      </c>
      <c r="N2071" s="359">
        <v>1000</v>
      </c>
      <c r="O2071" s="360" t="s">
        <v>454</v>
      </c>
      <c r="P2071" s="343" t="s">
        <v>454</v>
      </c>
      <c r="Q2071" s="342" t="s">
        <v>2688</v>
      </c>
      <c r="R2071" s="344">
        <v>30</v>
      </c>
      <c r="S2071" s="345">
        <v>20</v>
      </c>
      <c r="T2071" s="362">
        <v>30</v>
      </c>
      <c r="U2071" s="361">
        <v>59.35</v>
      </c>
      <c r="V2071" s="346">
        <v>106.75</v>
      </c>
      <c r="W2071" s="348">
        <v>109.88636363636363</v>
      </c>
      <c r="X2071" s="347">
        <v>53.33</v>
      </c>
      <c r="Y2071" s="357" t="s">
        <v>408</v>
      </c>
      <c r="Z2071" s="365" t="s">
        <v>4408</v>
      </c>
      <c r="AA2071" s="350">
        <v>180</v>
      </c>
      <c r="AB2071" s="349" t="s">
        <v>2685</v>
      </c>
      <c r="AC2071" s="350">
        <v>10</v>
      </c>
      <c r="AD2071" s="349" t="s">
        <v>2685</v>
      </c>
      <c r="AE2071" s="364">
        <v>0</v>
      </c>
      <c r="AF2071" s="366">
        <v>0</v>
      </c>
      <c r="AG2071" s="363">
        <v>0</v>
      </c>
      <c r="AH2071" s="635" t="s">
        <v>408</v>
      </c>
      <c r="AL2071" s="487" t="s">
        <v>16445</v>
      </c>
      <c r="AM2071" s="477" t="s">
        <v>71</v>
      </c>
      <c r="AN2071" s="637">
        <v>100</v>
      </c>
      <c r="AO2071" s="478">
        <v>-1570</v>
      </c>
      <c r="AP2071" s="463">
        <v>-621</v>
      </c>
      <c r="AQ2071" s="479">
        <v>-949</v>
      </c>
      <c r="AR2071" s="476" t="s">
        <v>18108</v>
      </c>
      <c r="BA2071" s="313" t="s">
        <v>7037</v>
      </c>
    </row>
    <row r="2072" spans="2:53" ht="16.5" customHeight="1">
      <c r="B2072" s="367" t="s">
        <v>13769</v>
      </c>
      <c r="C2072" s="351" t="s">
        <v>13770</v>
      </c>
      <c r="D2072" s="353">
        <v>-1570</v>
      </c>
      <c r="E2072" s="352" t="s">
        <v>408</v>
      </c>
      <c r="F2072" s="341">
        <v>59.24</v>
      </c>
      <c r="G2072" s="355" t="s">
        <v>13771</v>
      </c>
      <c r="H2072" s="356" t="s">
        <v>19323</v>
      </c>
      <c r="I2072" s="354" t="s">
        <v>8000</v>
      </c>
      <c r="J2072" s="340" t="s">
        <v>13772</v>
      </c>
      <c r="K2072" s="339" t="s">
        <v>70</v>
      </c>
      <c r="L2072" s="357">
        <v>13</v>
      </c>
      <c r="M2072" s="358" t="s">
        <v>13773</v>
      </c>
      <c r="N2072" s="359">
        <v>1000</v>
      </c>
      <c r="O2072" s="360" t="s">
        <v>532</v>
      </c>
      <c r="P2072" s="343" t="s">
        <v>532</v>
      </c>
      <c r="Q2072" s="342" t="s">
        <v>2688</v>
      </c>
      <c r="R2072" s="344">
        <v>25</v>
      </c>
      <c r="S2072" s="345">
        <v>30</v>
      </c>
      <c r="T2072" s="362">
        <v>25</v>
      </c>
      <c r="U2072" s="361">
        <v>59.24</v>
      </c>
      <c r="V2072" s="346">
        <v>106.69121511987746</v>
      </c>
      <c r="W2072" s="348">
        <v>109.83826691626336</v>
      </c>
      <c r="X2072" s="347" t="s">
        <v>19324</v>
      </c>
      <c r="Y2072" s="357" t="s">
        <v>408</v>
      </c>
      <c r="Z2072" s="365" t="s">
        <v>4408</v>
      </c>
      <c r="AA2072" s="350">
        <v>192</v>
      </c>
      <c r="AB2072" s="349" t="s">
        <v>2685</v>
      </c>
      <c r="AC2072" s="350">
        <v>0</v>
      </c>
      <c r="AD2072" s="349" t="s">
        <v>2685</v>
      </c>
      <c r="AE2072" s="364">
        <v>0</v>
      </c>
      <c r="AF2072" s="366">
        <v>0</v>
      </c>
      <c r="AG2072" s="363">
        <v>0</v>
      </c>
      <c r="AH2072" s="635" t="s">
        <v>408</v>
      </c>
      <c r="AL2072" s="487" t="s">
        <v>16446</v>
      </c>
      <c r="AM2072" s="477" t="s">
        <v>70</v>
      </c>
      <c r="AN2072" s="637">
        <v>100</v>
      </c>
      <c r="AO2072" s="478">
        <v>-1570</v>
      </c>
      <c r="AP2072" s="463">
        <v>-1570</v>
      </c>
      <c r="AQ2072" s="479">
        <v>0</v>
      </c>
      <c r="AR2072" s="476" t="s">
        <v>18109</v>
      </c>
      <c r="BA2072" s="313" t="s">
        <v>7038</v>
      </c>
    </row>
    <row r="2073" spans="2:53" ht="16.5" customHeight="1">
      <c r="B2073" s="367" t="s">
        <v>7025</v>
      </c>
      <c r="C2073" s="351" t="s">
        <v>7026</v>
      </c>
      <c r="D2073" s="353">
        <v>-1570</v>
      </c>
      <c r="E2073" s="352" t="s">
        <v>13774</v>
      </c>
      <c r="F2073" s="341">
        <v>59.1</v>
      </c>
      <c r="G2073" s="355" t="s">
        <v>19325</v>
      </c>
      <c r="H2073" s="356" t="s">
        <v>19326</v>
      </c>
      <c r="I2073" s="354" t="s">
        <v>215</v>
      </c>
      <c r="J2073" s="340" t="s">
        <v>13775</v>
      </c>
      <c r="K2073" s="339" t="s">
        <v>71</v>
      </c>
      <c r="L2073" s="357">
        <v>3</v>
      </c>
      <c r="M2073" s="358" t="s">
        <v>13776</v>
      </c>
      <c r="N2073" s="359">
        <v>1000</v>
      </c>
      <c r="O2073" s="360" t="s">
        <v>530</v>
      </c>
      <c r="P2073" s="343" t="s">
        <v>531</v>
      </c>
      <c r="Q2073" s="342" t="s">
        <v>2688</v>
      </c>
      <c r="R2073" s="344">
        <v>13</v>
      </c>
      <c r="S2073" s="345">
        <v>50</v>
      </c>
      <c r="T2073" s="362">
        <v>25</v>
      </c>
      <c r="U2073" s="361">
        <v>59.1</v>
      </c>
      <c r="V2073" s="346">
        <v>106.6108072631809</v>
      </c>
      <c r="W2073" s="348">
        <v>109.77247866987528</v>
      </c>
      <c r="X2073" s="347">
        <v>53.25</v>
      </c>
      <c r="Y2073" s="357">
        <v>52.949999999999996</v>
      </c>
      <c r="Z2073" s="365" t="s">
        <v>3017</v>
      </c>
      <c r="AA2073" s="350">
        <v>121.25</v>
      </c>
      <c r="AB2073" s="349" t="s">
        <v>2685</v>
      </c>
      <c r="AC2073" s="350">
        <v>10</v>
      </c>
      <c r="AD2073" s="349" t="s">
        <v>2685</v>
      </c>
      <c r="AE2073" s="364">
        <v>0</v>
      </c>
      <c r="AF2073" s="366">
        <v>0</v>
      </c>
      <c r="AG2073" s="363">
        <v>0</v>
      </c>
      <c r="AH2073" s="635" t="s">
        <v>408</v>
      </c>
      <c r="AL2073" s="487" t="s">
        <v>16447</v>
      </c>
      <c r="AM2073" s="477" t="s">
        <v>71</v>
      </c>
      <c r="AN2073" s="637">
        <v>100</v>
      </c>
      <c r="AO2073" s="478">
        <v>-1570</v>
      </c>
      <c r="AP2073" s="463">
        <v>-620</v>
      </c>
      <c r="AQ2073" s="479">
        <v>-950</v>
      </c>
      <c r="AR2073" s="476" t="s">
        <v>18110</v>
      </c>
      <c r="BA2073" s="313" t="s">
        <v>7039</v>
      </c>
    </row>
    <row r="2074" spans="2:53" ht="16.5" customHeight="1">
      <c r="B2074" s="367" t="s">
        <v>7594</v>
      </c>
      <c r="C2074" s="351" t="s">
        <v>13777</v>
      </c>
      <c r="D2074" s="353">
        <v>-1570</v>
      </c>
      <c r="E2074" s="352" t="s">
        <v>408</v>
      </c>
      <c r="F2074" s="341">
        <v>58.92</v>
      </c>
      <c r="G2074" s="355" t="s">
        <v>13778</v>
      </c>
      <c r="H2074" s="356" t="s">
        <v>13755</v>
      </c>
      <c r="I2074" s="354" t="s">
        <v>8000</v>
      </c>
      <c r="J2074" s="340" t="s">
        <v>8307</v>
      </c>
      <c r="K2074" s="339" t="s">
        <v>70</v>
      </c>
      <c r="L2074" s="357">
        <v>8</v>
      </c>
      <c r="M2074" s="358" t="s">
        <v>13779</v>
      </c>
      <c r="N2074" s="359">
        <v>1000</v>
      </c>
      <c r="O2074" s="360" t="s">
        <v>532</v>
      </c>
      <c r="P2074" s="343" t="s">
        <v>532</v>
      </c>
      <c r="Q2074" s="342" t="s">
        <v>2688</v>
      </c>
      <c r="R2074" s="344">
        <v>25</v>
      </c>
      <c r="S2074" s="345">
        <v>30</v>
      </c>
      <c r="T2074" s="362">
        <v>25</v>
      </c>
      <c r="U2074" s="361">
        <v>58.92</v>
      </c>
      <c r="V2074" s="346">
        <v>106.50834092695335</v>
      </c>
      <c r="W2074" s="348">
        <v>109.68864257659821</v>
      </c>
      <c r="X2074" s="347" t="s">
        <v>19327</v>
      </c>
      <c r="Y2074" s="357" t="s">
        <v>408</v>
      </c>
      <c r="Z2074" s="365" t="s">
        <v>4408</v>
      </c>
      <c r="AA2074" s="350">
        <v>192</v>
      </c>
      <c r="AB2074" s="349" t="s">
        <v>2685</v>
      </c>
      <c r="AC2074" s="350">
        <v>0</v>
      </c>
      <c r="AD2074" s="349" t="s">
        <v>2685</v>
      </c>
      <c r="AE2074" s="364">
        <v>0</v>
      </c>
      <c r="AF2074" s="366">
        <v>0</v>
      </c>
      <c r="AG2074" s="363">
        <v>0</v>
      </c>
      <c r="AH2074" s="635" t="s">
        <v>408</v>
      </c>
      <c r="AL2074" s="487" t="s">
        <v>16448</v>
      </c>
      <c r="AM2074" s="477" t="s">
        <v>70</v>
      </c>
      <c r="AN2074" s="637">
        <v>100</v>
      </c>
      <c r="AO2074" s="478">
        <v>-1570</v>
      </c>
      <c r="AP2074" s="463">
        <v>-1570</v>
      </c>
      <c r="AQ2074" s="479">
        <v>0</v>
      </c>
      <c r="AR2074" s="476" t="s">
        <v>18111</v>
      </c>
      <c r="BA2074" s="313" t="s">
        <v>7040</v>
      </c>
    </row>
    <row r="2075" spans="2:53" ht="16.5" customHeight="1">
      <c r="B2075" s="367" t="s">
        <v>13780</v>
      </c>
      <c r="C2075" s="351" t="s">
        <v>13781</v>
      </c>
      <c r="D2075" s="353">
        <v>-1570</v>
      </c>
      <c r="E2075" s="352" t="s">
        <v>408</v>
      </c>
      <c r="F2075" s="341">
        <v>58.8</v>
      </c>
      <c r="G2075" s="355" t="s">
        <v>13782</v>
      </c>
      <c r="H2075" s="356" t="s">
        <v>13701</v>
      </c>
      <c r="I2075" s="354" t="s">
        <v>8000</v>
      </c>
      <c r="J2075" s="340" t="s">
        <v>554</v>
      </c>
      <c r="K2075" s="339" t="s">
        <v>70</v>
      </c>
      <c r="L2075" s="357">
        <v>13</v>
      </c>
      <c r="M2075" s="358" t="s">
        <v>13783</v>
      </c>
      <c r="N2075" s="359">
        <v>1000</v>
      </c>
      <c r="O2075" s="360" t="s">
        <v>532</v>
      </c>
      <c r="P2075" s="343" t="s">
        <v>532</v>
      </c>
      <c r="Q2075" s="342" t="s">
        <v>2688</v>
      </c>
      <c r="R2075" s="344">
        <v>25</v>
      </c>
      <c r="S2075" s="345">
        <v>30</v>
      </c>
      <c r="T2075" s="362">
        <v>25</v>
      </c>
      <c r="U2075" s="361">
        <v>58.8</v>
      </c>
      <c r="V2075" s="346">
        <v>106.44716643842897</v>
      </c>
      <c r="W2075" s="348">
        <v>109.63859072235098</v>
      </c>
      <c r="X2075" s="347" t="s">
        <v>19328</v>
      </c>
      <c r="Y2075" s="357" t="s">
        <v>408</v>
      </c>
      <c r="Z2075" s="365" t="s">
        <v>4408</v>
      </c>
      <c r="AA2075" s="350">
        <v>192</v>
      </c>
      <c r="AB2075" s="349" t="s">
        <v>2685</v>
      </c>
      <c r="AC2075" s="350">
        <v>0</v>
      </c>
      <c r="AD2075" s="349" t="s">
        <v>2685</v>
      </c>
      <c r="AE2075" s="364">
        <v>0</v>
      </c>
      <c r="AF2075" s="366">
        <v>0</v>
      </c>
      <c r="AG2075" s="363">
        <v>0</v>
      </c>
      <c r="AH2075" s="635" t="s">
        <v>408</v>
      </c>
      <c r="AL2075" s="487" t="s">
        <v>16449</v>
      </c>
      <c r="AM2075" s="477" t="s">
        <v>70</v>
      </c>
      <c r="AN2075" s="637">
        <v>100</v>
      </c>
      <c r="AO2075" s="478">
        <v>-1570</v>
      </c>
      <c r="AP2075" s="463">
        <v>-1570</v>
      </c>
      <c r="AQ2075" s="479">
        <v>0</v>
      </c>
      <c r="AR2075" s="476" t="s">
        <v>18112</v>
      </c>
      <c r="BA2075" s="313" t="s">
        <v>7042</v>
      </c>
    </row>
    <row r="2076" spans="2:53" ht="16.5" customHeight="1">
      <c r="B2076" s="367" t="s">
        <v>13784</v>
      </c>
      <c r="C2076" s="351" t="s">
        <v>13785</v>
      </c>
      <c r="D2076" s="353">
        <v>-1570</v>
      </c>
      <c r="E2076" s="352" t="s">
        <v>408</v>
      </c>
      <c r="F2076" s="341">
        <v>58.58</v>
      </c>
      <c r="G2076" s="355" t="s">
        <v>7003</v>
      </c>
      <c r="H2076" s="356" t="s">
        <v>19329</v>
      </c>
      <c r="I2076" s="354" t="s">
        <v>8000</v>
      </c>
      <c r="J2076" s="340" t="s">
        <v>13786</v>
      </c>
      <c r="K2076" s="339" t="s">
        <v>70</v>
      </c>
      <c r="L2076" s="357">
        <v>22</v>
      </c>
      <c r="M2076" s="358" t="s">
        <v>13787</v>
      </c>
      <c r="N2076" s="359">
        <v>1000</v>
      </c>
      <c r="O2076" s="360" t="s">
        <v>532</v>
      </c>
      <c r="P2076" s="343" t="s">
        <v>532</v>
      </c>
      <c r="Q2076" s="342" t="s">
        <v>2688</v>
      </c>
      <c r="R2076" s="344">
        <v>25</v>
      </c>
      <c r="S2076" s="345">
        <v>30</v>
      </c>
      <c r="T2076" s="362">
        <v>25</v>
      </c>
      <c r="U2076" s="361">
        <v>58.58</v>
      </c>
      <c r="V2076" s="346">
        <v>106.32145254588193</v>
      </c>
      <c r="W2076" s="348">
        <v>109.53573390117613</v>
      </c>
      <c r="X2076" s="347" t="s">
        <v>19330</v>
      </c>
      <c r="Y2076" s="357" t="s">
        <v>408</v>
      </c>
      <c r="Z2076" s="365" t="s">
        <v>4408</v>
      </c>
      <c r="AA2076" s="350">
        <v>192</v>
      </c>
      <c r="AB2076" s="349" t="s">
        <v>2685</v>
      </c>
      <c r="AC2076" s="350">
        <v>0</v>
      </c>
      <c r="AD2076" s="349" t="s">
        <v>2685</v>
      </c>
      <c r="AE2076" s="364">
        <v>0</v>
      </c>
      <c r="AF2076" s="366">
        <v>0</v>
      </c>
      <c r="AG2076" s="363">
        <v>0</v>
      </c>
      <c r="AH2076" s="635" t="s">
        <v>408</v>
      </c>
      <c r="AL2076" s="487" t="s">
        <v>16450</v>
      </c>
      <c r="AM2076" s="477" t="s">
        <v>70</v>
      </c>
      <c r="AN2076" s="637">
        <v>100</v>
      </c>
      <c r="AO2076" s="478">
        <v>-1570</v>
      </c>
      <c r="AP2076" s="463">
        <v>-1570</v>
      </c>
      <c r="AQ2076" s="479">
        <v>0</v>
      </c>
      <c r="AR2076" s="476" t="s">
        <v>18113</v>
      </c>
      <c r="BA2076" s="313" t="s">
        <v>7044</v>
      </c>
    </row>
    <row r="2077" spans="2:53" ht="16.5" customHeight="1">
      <c r="B2077" s="367" t="s">
        <v>13788</v>
      </c>
      <c r="C2077" s="351" t="s">
        <v>13789</v>
      </c>
      <c r="D2077" s="353">
        <v>-1570</v>
      </c>
      <c r="E2077" s="352" t="s">
        <v>408</v>
      </c>
      <c r="F2077" s="341">
        <v>58.56</v>
      </c>
      <c r="G2077" s="355" t="s">
        <v>13790</v>
      </c>
      <c r="H2077" s="356" t="s">
        <v>19331</v>
      </c>
      <c r="I2077" s="354" t="s">
        <v>8000</v>
      </c>
      <c r="J2077" s="340" t="s">
        <v>566</v>
      </c>
      <c r="K2077" s="339" t="s">
        <v>70</v>
      </c>
      <c r="L2077" s="357">
        <v>4</v>
      </c>
      <c r="M2077" s="358" t="s">
        <v>13791</v>
      </c>
      <c r="N2077" s="359">
        <v>1000</v>
      </c>
      <c r="O2077" s="360" t="s">
        <v>532</v>
      </c>
      <c r="P2077" s="343" t="s">
        <v>532</v>
      </c>
      <c r="Q2077" s="342" t="s">
        <v>2688</v>
      </c>
      <c r="R2077" s="344">
        <v>25</v>
      </c>
      <c r="S2077" s="345">
        <v>30</v>
      </c>
      <c r="T2077" s="362">
        <v>25</v>
      </c>
      <c r="U2077" s="361">
        <v>58.56</v>
      </c>
      <c r="V2077" s="346">
        <v>106.30924516444367</v>
      </c>
      <c r="W2077" s="348">
        <v>109.52574604363572</v>
      </c>
      <c r="X2077" s="347" t="s">
        <v>19330</v>
      </c>
      <c r="Y2077" s="357" t="s">
        <v>408</v>
      </c>
      <c r="Z2077" s="365" t="s">
        <v>4408</v>
      </c>
      <c r="AA2077" s="350">
        <v>192</v>
      </c>
      <c r="AB2077" s="349" t="s">
        <v>2685</v>
      </c>
      <c r="AC2077" s="350">
        <v>0</v>
      </c>
      <c r="AD2077" s="349" t="s">
        <v>2685</v>
      </c>
      <c r="AE2077" s="364">
        <v>0</v>
      </c>
      <c r="AF2077" s="366">
        <v>0</v>
      </c>
      <c r="AG2077" s="363">
        <v>0</v>
      </c>
      <c r="AH2077" s="635" t="s">
        <v>408</v>
      </c>
      <c r="AL2077" s="487" t="s">
        <v>16451</v>
      </c>
      <c r="AM2077" s="477" t="s">
        <v>70</v>
      </c>
      <c r="AN2077" s="637">
        <v>100</v>
      </c>
      <c r="AO2077" s="478">
        <v>-1570</v>
      </c>
      <c r="AP2077" s="463">
        <v>-1570</v>
      </c>
      <c r="AQ2077" s="479">
        <v>0</v>
      </c>
      <c r="AR2077" s="476" t="s">
        <v>18114</v>
      </c>
      <c r="BA2077" s="313" t="s">
        <v>7045</v>
      </c>
    </row>
    <row r="2078" spans="2:53" ht="16.5" customHeight="1">
      <c r="B2078" s="367" t="s">
        <v>13792</v>
      </c>
      <c r="C2078" s="351" t="s">
        <v>13793</v>
      </c>
      <c r="D2078" s="353">
        <v>-1570</v>
      </c>
      <c r="E2078" s="352" t="s">
        <v>408</v>
      </c>
      <c r="F2078" s="341">
        <v>58.5</v>
      </c>
      <c r="G2078" s="355" t="s">
        <v>7008</v>
      </c>
      <c r="H2078" s="356" t="s">
        <v>19332</v>
      </c>
      <c r="I2078" s="354" t="s">
        <v>497</v>
      </c>
      <c r="J2078" s="340" t="s">
        <v>13794</v>
      </c>
      <c r="K2078" s="339" t="s">
        <v>71</v>
      </c>
      <c r="L2078" s="357">
        <v>13</v>
      </c>
      <c r="M2078" s="358" t="s">
        <v>13795</v>
      </c>
      <c r="N2078" s="359">
        <v>200</v>
      </c>
      <c r="O2078" s="360" t="s">
        <v>454</v>
      </c>
      <c r="P2078" s="343" t="s">
        <v>454</v>
      </c>
      <c r="Q2078" s="342" t="s">
        <v>2738</v>
      </c>
      <c r="R2078" s="344">
        <v>50</v>
      </c>
      <c r="S2078" s="345">
        <v>0</v>
      </c>
      <c r="T2078" s="362">
        <v>0</v>
      </c>
      <c r="U2078" s="361">
        <v>58.5</v>
      </c>
      <c r="V2078" s="346">
        <v>106.27777777777779</v>
      </c>
      <c r="W2078" s="348">
        <v>109.5</v>
      </c>
      <c r="X2078" s="347">
        <v>53.45</v>
      </c>
      <c r="Y2078" s="357" t="s">
        <v>408</v>
      </c>
      <c r="Z2078" s="365" t="s">
        <v>4408</v>
      </c>
      <c r="AA2078" s="350">
        <v>94</v>
      </c>
      <c r="AB2078" s="349" t="s">
        <v>2685</v>
      </c>
      <c r="AC2078" s="350">
        <v>1.5</v>
      </c>
      <c r="AD2078" s="349" t="s">
        <v>2685</v>
      </c>
      <c r="AE2078" s="364">
        <v>0</v>
      </c>
      <c r="AF2078" s="366">
        <v>0</v>
      </c>
      <c r="AG2078" s="363">
        <v>0</v>
      </c>
      <c r="AH2078" s="635" t="s">
        <v>10127</v>
      </c>
      <c r="AL2078" s="487" t="s">
        <v>16452</v>
      </c>
      <c r="AM2078" s="477" t="s">
        <v>71</v>
      </c>
      <c r="AN2078" s="637">
        <v>100</v>
      </c>
      <c r="AO2078" s="478">
        <v>-1570</v>
      </c>
      <c r="AP2078" s="463">
        <v>-619</v>
      </c>
      <c r="AQ2078" s="479">
        <v>-951</v>
      </c>
      <c r="AR2078" s="476" t="s">
        <v>18115</v>
      </c>
      <c r="BA2078" s="313" t="s">
        <v>7047</v>
      </c>
    </row>
    <row r="2079" spans="2:53" ht="16.5" customHeight="1">
      <c r="B2079" s="367" t="s">
        <v>7582</v>
      </c>
      <c r="C2079" s="351" t="s">
        <v>13796</v>
      </c>
      <c r="D2079" s="353">
        <v>-1570</v>
      </c>
      <c r="E2079" s="352" t="s">
        <v>13797</v>
      </c>
      <c r="F2079" s="341">
        <v>58.44</v>
      </c>
      <c r="G2079" s="355" t="s">
        <v>19333</v>
      </c>
      <c r="H2079" s="356" t="s">
        <v>19334</v>
      </c>
      <c r="I2079" s="354" t="s">
        <v>213</v>
      </c>
      <c r="J2079" s="340" t="s">
        <v>8804</v>
      </c>
      <c r="K2079" s="339" t="s">
        <v>71</v>
      </c>
      <c r="L2079" s="357">
        <v>11</v>
      </c>
      <c r="M2079" s="358" t="s">
        <v>6728</v>
      </c>
      <c r="N2079" s="359">
        <v>1000</v>
      </c>
      <c r="O2079" s="360" t="s">
        <v>454</v>
      </c>
      <c r="P2079" s="343" t="s">
        <v>454</v>
      </c>
      <c r="Q2079" s="342" t="s">
        <v>2688</v>
      </c>
      <c r="R2079" s="344">
        <v>30</v>
      </c>
      <c r="S2079" s="345">
        <v>20</v>
      </c>
      <c r="T2079" s="362">
        <v>30</v>
      </c>
      <c r="U2079" s="361">
        <v>58.44</v>
      </c>
      <c r="V2079" s="346">
        <v>106.24305555555556</v>
      </c>
      <c r="W2079" s="348">
        <v>109.47159090909091</v>
      </c>
      <c r="X2079" s="347">
        <v>53.04</v>
      </c>
      <c r="Y2079" s="357" t="s">
        <v>408</v>
      </c>
      <c r="Z2079" s="365" t="s">
        <v>4408</v>
      </c>
      <c r="AA2079" s="350">
        <v>180</v>
      </c>
      <c r="AB2079" s="349" t="s">
        <v>2685</v>
      </c>
      <c r="AC2079" s="350">
        <v>10</v>
      </c>
      <c r="AD2079" s="349" t="s">
        <v>2685</v>
      </c>
      <c r="AE2079" s="364">
        <v>0</v>
      </c>
      <c r="AF2079" s="366">
        <v>0</v>
      </c>
      <c r="AG2079" s="363">
        <v>0</v>
      </c>
      <c r="AH2079" s="635" t="s">
        <v>408</v>
      </c>
      <c r="AL2079" s="487" t="s">
        <v>16453</v>
      </c>
      <c r="AM2079" s="477" t="s">
        <v>71</v>
      </c>
      <c r="AN2079" s="637">
        <v>100</v>
      </c>
      <c r="AO2079" s="478">
        <v>-1570</v>
      </c>
      <c r="AP2079" s="463">
        <v>-617</v>
      </c>
      <c r="AQ2079" s="479">
        <v>-953</v>
      </c>
      <c r="AR2079" s="476" t="s">
        <v>18116</v>
      </c>
      <c r="BA2079" s="313" t="s">
        <v>7049</v>
      </c>
    </row>
    <row r="2080" spans="2:53" ht="16.5" customHeight="1">
      <c r="B2080" s="367" t="s">
        <v>13798</v>
      </c>
      <c r="C2080" s="351" t="s">
        <v>13799</v>
      </c>
      <c r="D2080" s="353">
        <v>-1570</v>
      </c>
      <c r="E2080" s="352" t="s">
        <v>408</v>
      </c>
      <c r="F2080" s="341">
        <v>58.32</v>
      </c>
      <c r="G2080" s="355" t="s">
        <v>13800</v>
      </c>
      <c r="H2080" s="356" t="s">
        <v>19335</v>
      </c>
      <c r="I2080" s="354" t="s">
        <v>213</v>
      </c>
      <c r="J2080" s="340" t="s">
        <v>85</v>
      </c>
      <c r="K2080" s="339" t="s">
        <v>71</v>
      </c>
      <c r="L2080" s="357">
        <v>4</v>
      </c>
      <c r="M2080" s="358" t="s">
        <v>13801</v>
      </c>
      <c r="N2080" s="359">
        <v>1000</v>
      </c>
      <c r="O2080" s="360" t="s">
        <v>454</v>
      </c>
      <c r="P2080" s="343" t="s">
        <v>454</v>
      </c>
      <c r="Q2080" s="342" t="s">
        <v>2688</v>
      </c>
      <c r="R2080" s="344">
        <v>25</v>
      </c>
      <c r="S2080" s="345">
        <v>25</v>
      </c>
      <c r="T2080" s="362">
        <v>25</v>
      </c>
      <c r="U2080" s="361">
        <v>58.32</v>
      </c>
      <c r="V2080" s="346">
        <v>106.1762962962963</v>
      </c>
      <c r="W2080" s="348">
        <v>109.4169696969697</v>
      </c>
      <c r="X2080" s="347">
        <v>53.38</v>
      </c>
      <c r="Y2080" s="357" t="s">
        <v>408</v>
      </c>
      <c r="Z2080" s="365" t="s">
        <v>4408</v>
      </c>
      <c r="AA2080" s="350">
        <v>225</v>
      </c>
      <c r="AB2080" s="349" t="s">
        <v>2685</v>
      </c>
      <c r="AC2080" s="350">
        <v>10</v>
      </c>
      <c r="AD2080" s="349" t="s">
        <v>2685</v>
      </c>
      <c r="AE2080" s="364">
        <v>0</v>
      </c>
      <c r="AF2080" s="366">
        <v>0</v>
      </c>
      <c r="AG2080" s="363">
        <v>0</v>
      </c>
      <c r="AH2080" s="635" t="s">
        <v>408</v>
      </c>
      <c r="AL2080" s="487" t="s">
        <v>16454</v>
      </c>
      <c r="AM2080" s="477" t="s">
        <v>71</v>
      </c>
      <c r="AN2080" s="637">
        <v>100</v>
      </c>
      <c r="AO2080" s="478">
        <v>-1570</v>
      </c>
      <c r="AP2080" s="463">
        <v>-619</v>
      </c>
      <c r="AQ2080" s="479">
        <v>-951</v>
      </c>
      <c r="AR2080" s="476" t="s">
        <v>18117</v>
      </c>
      <c r="BA2080" s="313" t="s">
        <v>7050</v>
      </c>
    </row>
    <row r="2081" spans="2:53" ht="16.5" customHeight="1">
      <c r="B2081" s="367" t="s">
        <v>13802</v>
      </c>
      <c r="C2081" s="351" t="s">
        <v>13803</v>
      </c>
      <c r="D2081" s="353">
        <v>-1570</v>
      </c>
      <c r="E2081" s="352" t="s">
        <v>408</v>
      </c>
      <c r="F2081" s="341">
        <v>58.31</v>
      </c>
      <c r="G2081" s="355" t="s">
        <v>13804</v>
      </c>
      <c r="H2081" s="356" t="s">
        <v>19336</v>
      </c>
      <c r="I2081" s="354" t="s">
        <v>494</v>
      </c>
      <c r="J2081" s="340" t="s">
        <v>13805</v>
      </c>
      <c r="K2081" s="339" t="s">
        <v>70</v>
      </c>
      <c r="L2081" s="357">
        <v>22</v>
      </c>
      <c r="M2081" s="358" t="s">
        <v>13806</v>
      </c>
      <c r="N2081" s="359">
        <v>1000</v>
      </c>
      <c r="O2081" s="360" t="s">
        <v>532</v>
      </c>
      <c r="P2081" s="343" t="s">
        <v>533</v>
      </c>
      <c r="Q2081" s="342" t="s">
        <v>2688</v>
      </c>
      <c r="R2081" s="344">
        <v>20</v>
      </c>
      <c r="S2081" s="345">
        <v>35</v>
      </c>
      <c r="T2081" s="362">
        <v>25</v>
      </c>
      <c r="U2081" s="361">
        <v>58.31</v>
      </c>
      <c r="V2081" s="346">
        <v>106.16979296330058</v>
      </c>
      <c r="W2081" s="348">
        <v>109.41164878815502</v>
      </c>
      <c r="X2081" s="347">
        <v>53.38</v>
      </c>
      <c r="Y2081" s="357">
        <v>52.18</v>
      </c>
      <c r="Z2081" s="365" t="s">
        <v>3017</v>
      </c>
      <c r="AA2081" s="350">
        <v>190</v>
      </c>
      <c r="AB2081" s="349" t="s">
        <v>2685</v>
      </c>
      <c r="AC2081" s="350">
        <v>0</v>
      </c>
      <c r="AD2081" s="349" t="s">
        <v>2685</v>
      </c>
      <c r="AE2081" s="364">
        <v>0</v>
      </c>
      <c r="AF2081" s="366">
        <v>0</v>
      </c>
      <c r="AG2081" s="363">
        <v>0</v>
      </c>
      <c r="AH2081" s="635" t="s">
        <v>408</v>
      </c>
      <c r="AL2081" s="487" t="s">
        <v>16455</v>
      </c>
      <c r="AM2081" s="477" t="s">
        <v>70</v>
      </c>
      <c r="AN2081" s="637">
        <v>100</v>
      </c>
      <c r="AO2081" s="478">
        <v>-1570</v>
      </c>
      <c r="AP2081" s="463">
        <v>-1570</v>
      </c>
      <c r="AQ2081" s="479">
        <v>0</v>
      </c>
      <c r="AR2081" s="476" t="s">
        <v>18118</v>
      </c>
      <c r="BA2081" s="313" t="s">
        <v>7052</v>
      </c>
    </row>
    <row r="2082" spans="2:53" ht="16.5" customHeight="1">
      <c r="B2082" s="367" t="s">
        <v>13807</v>
      </c>
      <c r="C2082" s="351" t="s">
        <v>13808</v>
      </c>
      <c r="D2082" s="353">
        <v>-1570</v>
      </c>
      <c r="E2082" s="352" t="s">
        <v>13809</v>
      </c>
      <c r="F2082" s="341">
        <v>58.21</v>
      </c>
      <c r="G2082" s="355" t="s">
        <v>19337</v>
      </c>
      <c r="H2082" s="356" t="s">
        <v>19338</v>
      </c>
      <c r="I2082" s="354" t="s">
        <v>215</v>
      </c>
      <c r="J2082" s="340" t="s">
        <v>13810</v>
      </c>
      <c r="K2082" s="339" t="s">
        <v>71</v>
      </c>
      <c r="L2082" s="357">
        <v>10</v>
      </c>
      <c r="M2082" s="358" t="s">
        <v>13811</v>
      </c>
      <c r="N2082" s="359">
        <v>1000</v>
      </c>
      <c r="O2082" s="360" t="s">
        <v>530</v>
      </c>
      <c r="P2082" s="343" t="s">
        <v>531</v>
      </c>
      <c r="Q2082" s="342" t="s">
        <v>2688</v>
      </c>
      <c r="R2082" s="344">
        <v>13</v>
      </c>
      <c r="S2082" s="345">
        <v>50</v>
      </c>
      <c r="T2082" s="362">
        <v>25</v>
      </c>
      <c r="U2082" s="361">
        <v>58.21</v>
      </c>
      <c r="V2082" s="346">
        <v>106.11734475374733</v>
      </c>
      <c r="W2082" s="348">
        <v>109.36873661670235</v>
      </c>
      <c r="X2082" s="347">
        <v>52.96</v>
      </c>
      <c r="Y2082" s="357">
        <v>52.64</v>
      </c>
      <c r="Z2082" s="365" t="s">
        <v>3017</v>
      </c>
      <c r="AA2082" s="350">
        <v>121.25</v>
      </c>
      <c r="AB2082" s="349" t="s">
        <v>2685</v>
      </c>
      <c r="AC2082" s="350">
        <v>10</v>
      </c>
      <c r="AD2082" s="349" t="s">
        <v>2685</v>
      </c>
      <c r="AE2082" s="364">
        <v>0</v>
      </c>
      <c r="AF2082" s="366">
        <v>0</v>
      </c>
      <c r="AG2082" s="363">
        <v>0</v>
      </c>
      <c r="AH2082" s="635" t="s">
        <v>408</v>
      </c>
      <c r="AL2082" s="487" t="s">
        <v>16456</v>
      </c>
      <c r="AM2082" s="477" t="s">
        <v>71</v>
      </c>
      <c r="AN2082" s="637">
        <v>100</v>
      </c>
      <c r="AO2082" s="478">
        <v>-1570</v>
      </c>
      <c r="AP2082" s="463">
        <v>-616</v>
      </c>
      <c r="AQ2082" s="479">
        <v>-954</v>
      </c>
      <c r="AR2082" s="476" t="s">
        <v>18119</v>
      </c>
      <c r="BA2082" s="313" t="s">
        <v>7054</v>
      </c>
    </row>
    <row r="2083" spans="2:53" ht="16.5" customHeight="1">
      <c r="B2083" s="367" t="s">
        <v>13812</v>
      </c>
      <c r="C2083" s="351" t="s">
        <v>13813</v>
      </c>
      <c r="D2083" s="353">
        <v>-1570</v>
      </c>
      <c r="E2083" s="352" t="s">
        <v>408</v>
      </c>
      <c r="F2083" s="341">
        <v>58.03</v>
      </c>
      <c r="G2083" s="355" t="s">
        <v>13814</v>
      </c>
      <c r="H2083" s="356" t="s">
        <v>19339</v>
      </c>
      <c r="I2083" s="354" t="s">
        <v>8000</v>
      </c>
      <c r="J2083" s="340" t="s">
        <v>13816</v>
      </c>
      <c r="K2083" s="339" t="s">
        <v>70</v>
      </c>
      <c r="L2083" s="357">
        <v>11</v>
      </c>
      <c r="M2083" s="358" t="s">
        <v>13817</v>
      </c>
      <c r="N2083" s="359">
        <v>1000</v>
      </c>
      <c r="O2083" s="360" t="s">
        <v>532</v>
      </c>
      <c r="P2083" s="343" t="s">
        <v>532</v>
      </c>
      <c r="Q2083" s="342" t="s">
        <v>2688</v>
      </c>
      <c r="R2083" s="344">
        <v>25</v>
      </c>
      <c r="S2083" s="345">
        <v>30</v>
      </c>
      <c r="T2083" s="362">
        <v>25</v>
      </c>
      <c r="U2083" s="361">
        <v>58.03</v>
      </c>
      <c r="V2083" s="346">
        <v>106.01857433189871</v>
      </c>
      <c r="W2083" s="348">
        <v>109.28792445337166</v>
      </c>
      <c r="X2083" s="347" t="s">
        <v>19340</v>
      </c>
      <c r="Y2083" s="357" t="s">
        <v>408</v>
      </c>
      <c r="Z2083" s="365" t="s">
        <v>4408</v>
      </c>
      <c r="AA2083" s="350">
        <v>192</v>
      </c>
      <c r="AB2083" s="349" t="s">
        <v>2685</v>
      </c>
      <c r="AC2083" s="350">
        <v>0</v>
      </c>
      <c r="AD2083" s="349" t="s">
        <v>2685</v>
      </c>
      <c r="AE2083" s="364">
        <v>0</v>
      </c>
      <c r="AF2083" s="366">
        <v>0</v>
      </c>
      <c r="AG2083" s="363">
        <v>0</v>
      </c>
      <c r="AH2083" s="635" t="s">
        <v>408</v>
      </c>
      <c r="AL2083" s="487" t="s">
        <v>16457</v>
      </c>
      <c r="AM2083" s="477" t="s">
        <v>70</v>
      </c>
      <c r="AN2083" s="637">
        <v>100</v>
      </c>
      <c r="AO2083" s="478">
        <v>-1570</v>
      </c>
      <c r="AP2083" s="463">
        <v>-1570</v>
      </c>
      <c r="AQ2083" s="479">
        <v>0</v>
      </c>
      <c r="AR2083" s="476" t="s">
        <v>18120</v>
      </c>
      <c r="BA2083" s="313" t="s">
        <v>7055</v>
      </c>
    </row>
    <row r="2084" spans="2:53" ht="16.5" customHeight="1">
      <c r="B2084" s="367" t="s">
        <v>13818</v>
      </c>
      <c r="C2084" s="351" t="s">
        <v>13819</v>
      </c>
      <c r="D2084" s="353">
        <v>-1570</v>
      </c>
      <c r="E2084" s="352" t="s">
        <v>13820</v>
      </c>
      <c r="F2084" s="341">
        <v>57.97</v>
      </c>
      <c r="G2084" s="355" t="s">
        <v>13820</v>
      </c>
      <c r="H2084" s="356" t="s">
        <v>19341</v>
      </c>
      <c r="I2084" s="354" t="s">
        <v>402</v>
      </c>
      <c r="J2084" s="340" t="s">
        <v>564</v>
      </c>
      <c r="K2084" s="339" t="s">
        <v>71</v>
      </c>
      <c r="L2084" s="357">
        <v>13</v>
      </c>
      <c r="M2084" s="358" t="s">
        <v>13822</v>
      </c>
      <c r="N2084" s="359">
        <v>800</v>
      </c>
      <c r="O2084" s="360" t="s">
        <v>530</v>
      </c>
      <c r="P2084" s="343" t="s">
        <v>530</v>
      </c>
      <c r="Q2084" s="342" t="s">
        <v>2688</v>
      </c>
      <c r="R2084" s="344">
        <v>33</v>
      </c>
      <c r="S2084" s="345">
        <v>33</v>
      </c>
      <c r="T2084" s="362">
        <v>33</v>
      </c>
      <c r="U2084" s="361">
        <v>57.97</v>
      </c>
      <c r="V2084" s="346">
        <v>105.98150943349411</v>
      </c>
      <c r="W2084" s="348">
        <v>109.25843910769999</v>
      </c>
      <c r="X2084" s="347">
        <v>52.88</v>
      </c>
      <c r="Y2084" s="357" t="s">
        <v>408</v>
      </c>
      <c r="Z2084" s="365" t="s">
        <v>4408</v>
      </c>
      <c r="AA2084" s="350">
        <v>0</v>
      </c>
      <c r="AB2084" s="349" t="s">
        <v>2685</v>
      </c>
      <c r="AC2084" s="350">
        <v>0</v>
      </c>
      <c r="AD2084" s="349" t="s">
        <v>2685</v>
      </c>
      <c r="AE2084" s="364">
        <v>0</v>
      </c>
      <c r="AF2084" s="366">
        <v>0</v>
      </c>
      <c r="AG2084" s="363">
        <v>0</v>
      </c>
      <c r="AH2084" s="635" t="s">
        <v>408</v>
      </c>
      <c r="AL2084" s="487" t="s">
        <v>7242</v>
      </c>
      <c r="AM2084" s="477" t="s">
        <v>71</v>
      </c>
      <c r="AN2084" s="637">
        <v>100</v>
      </c>
      <c r="AO2084" s="478">
        <v>-1570</v>
      </c>
      <c r="AP2084" s="463">
        <v>-615</v>
      </c>
      <c r="AQ2084" s="479">
        <v>-955</v>
      </c>
      <c r="AR2084" s="476" t="s">
        <v>18121</v>
      </c>
      <c r="BA2084" s="313" t="s">
        <v>7056</v>
      </c>
    </row>
    <row r="2085" spans="2:53" ht="16.5" customHeight="1">
      <c r="B2085" s="367" t="s">
        <v>13823</v>
      </c>
      <c r="C2085" s="351" t="s">
        <v>13824</v>
      </c>
      <c r="D2085" s="353">
        <v>-1570</v>
      </c>
      <c r="E2085" s="352" t="s">
        <v>13821</v>
      </c>
      <c r="F2085" s="341">
        <v>57.83</v>
      </c>
      <c r="G2085" s="355" t="s">
        <v>19342</v>
      </c>
      <c r="H2085" s="356" t="s">
        <v>19343</v>
      </c>
      <c r="I2085" s="354" t="s">
        <v>215</v>
      </c>
      <c r="J2085" s="340" t="s">
        <v>12830</v>
      </c>
      <c r="K2085" s="339" t="s">
        <v>71</v>
      </c>
      <c r="L2085" s="357">
        <v>5</v>
      </c>
      <c r="M2085" s="358" t="s">
        <v>13826</v>
      </c>
      <c r="N2085" s="359">
        <v>1000</v>
      </c>
      <c r="O2085" s="360" t="s">
        <v>530</v>
      </c>
      <c r="P2085" s="343" t="s">
        <v>531</v>
      </c>
      <c r="Q2085" s="342" t="s">
        <v>2688</v>
      </c>
      <c r="R2085" s="344">
        <v>13</v>
      </c>
      <c r="S2085" s="345">
        <v>50</v>
      </c>
      <c r="T2085" s="362">
        <v>25</v>
      </c>
      <c r="U2085" s="361">
        <v>57.83</v>
      </c>
      <c r="V2085" s="346">
        <v>105.89922761909698</v>
      </c>
      <c r="W2085" s="348">
        <v>109.19485770566585</v>
      </c>
      <c r="X2085" s="347">
        <v>52.83</v>
      </c>
      <c r="Y2085" s="357">
        <v>52.489999999999995</v>
      </c>
      <c r="Z2085" s="365" t="s">
        <v>3017</v>
      </c>
      <c r="AA2085" s="350">
        <v>121.25</v>
      </c>
      <c r="AB2085" s="349" t="s">
        <v>2685</v>
      </c>
      <c r="AC2085" s="350">
        <v>10</v>
      </c>
      <c r="AD2085" s="349" t="s">
        <v>2685</v>
      </c>
      <c r="AE2085" s="364">
        <v>0</v>
      </c>
      <c r="AF2085" s="366">
        <v>0</v>
      </c>
      <c r="AG2085" s="363">
        <v>0</v>
      </c>
      <c r="AH2085" s="635" t="s">
        <v>408</v>
      </c>
      <c r="AL2085" s="487" t="s">
        <v>16458</v>
      </c>
      <c r="AM2085" s="477" t="s">
        <v>71</v>
      </c>
      <c r="AN2085" s="637">
        <v>100</v>
      </c>
      <c r="AO2085" s="478">
        <v>-1570</v>
      </c>
      <c r="AP2085" s="463">
        <v>-614</v>
      </c>
      <c r="AQ2085" s="479">
        <v>-956</v>
      </c>
      <c r="AR2085" s="476" t="s">
        <v>18122</v>
      </c>
      <c r="BA2085" s="313" t="s">
        <v>7060</v>
      </c>
    </row>
    <row r="2086" spans="2:53" ht="16.5" customHeight="1">
      <c r="B2086" s="367" t="s">
        <v>13827</v>
      </c>
      <c r="C2086" s="351" t="s">
        <v>13828</v>
      </c>
      <c r="D2086" s="353">
        <v>-1570</v>
      </c>
      <c r="E2086" s="352" t="s">
        <v>408</v>
      </c>
      <c r="F2086" s="341">
        <v>57.79</v>
      </c>
      <c r="G2086" s="355" t="s">
        <v>13829</v>
      </c>
      <c r="H2086" s="356" t="s">
        <v>19344</v>
      </c>
      <c r="I2086" s="354" t="s">
        <v>8000</v>
      </c>
      <c r="J2086" s="340" t="s">
        <v>9622</v>
      </c>
      <c r="K2086" s="339" t="s">
        <v>70</v>
      </c>
      <c r="L2086" s="357">
        <v>8</v>
      </c>
      <c r="M2086" s="358" t="s">
        <v>13830</v>
      </c>
      <c r="N2086" s="359">
        <v>1000</v>
      </c>
      <c r="O2086" s="360" t="s">
        <v>532</v>
      </c>
      <c r="P2086" s="343" t="s">
        <v>532</v>
      </c>
      <c r="Q2086" s="342" t="s">
        <v>2688</v>
      </c>
      <c r="R2086" s="344">
        <v>25</v>
      </c>
      <c r="S2086" s="345">
        <v>30</v>
      </c>
      <c r="T2086" s="362">
        <v>25</v>
      </c>
      <c r="U2086" s="361">
        <v>57.79</v>
      </c>
      <c r="V2086" s="346">
        <v>105.87703087580279</v>
      </c>
      <c r="W2086" s="348">
        <v>109.17770567675672</v>
      </c>
      <c r="X2086" s="347" t="s">
        <v>19345</v>
      </c>
      <c r="Y2086" s="357" t="s">
        <v>408</v>
      </c>
      <c r="Z2086" s="365" t="s">
        <v>4408</v>
      </c>
      <c r="AA2086" s="350">
        <v>192</v>
      </c>
      <c r="AB2086" s="349" t="s">
        <v>2685</v>
      </c>
      <c r="AC2086" s="350">
        <v>0</v>
      </c>
      <c r="AD2086" s="349" t="s">
        <v>2685</v>
      </c>
      <c r="AE2086" s="364">
        <v>0</v>
      </c>
      <c r="AF2086" s="366">
        <v>0</v>
      </c>
      <c r="AG2086" s="363">
        <v>0</v>
      </c>
      <c r="AH2086" s="635" t="s">
        <v>408</v>
      </c>
      <c r="AL2086" s="487" t="s">
        <v>16459</v>
      </c>
      <c r="AM2086" s="477" t="s">
        <v>70</v>
      </c>
      <c r="AN2086" s="637">
        <v>100</v>
      </c>
      <c r="AO2086" s="478">
        <v>-1570</v>
      </c>
      <c r="AP2086" s="463">
        <v>-1570</v>
      </c>
      <c r="AQ2086" s="479">
        <v>0</v>
      </c>
      <c r="AR2086" s="476" t="s">
        <v>18123</v>
      </c>
      <c r="BA2086" s="313" t="s">
        <v>7061</v>
      </c>
    </row>
    <row r="2087" spans="2:53" ht="16.5" customHeight="1">
      <c r="B2087" s="367" t="s">
        <v>13831</v>
      </c>
      <c r="C2087" s="351" t="s">
        <v>13832</v>
      </c>
      <c r="D2087" s="353">
        <v>-1570</v>
      </c>
      <c r="E2087" s="352" t="s">
        <v>13833</v>
      </c>
      <c r="F2087" s="341">
        <v>57.71</v>
      </c>
      <c r="G2087" s="355" t="s">
        <v>13833</v>
      </c>
      <c r="H2087" s="356" t="s">
        <v>19346</v>
      </c>
      <c r="I2087" s="354" t="s">
        <v>8000</v>
      </c>
      <c r="J2087" s="340" t="s">
        <v>8863</v>
      </c>
      <c r="K2087" s="339" t="s">
        <v>71</v>
      </c>
      <c r="L2087" s="357">
        <v>16</v>
      </c>
      <c r="M2087" s="358" t="s">
        <v>13834</v>
      </c>
      <c r="N2087" s="359">
        <v>1000</v>
      </c>
      <c r="O2087" s="360" t="s">
        <v>532</v>
      </c>
      <c r="P2087" s="343" t="s">
        <v>532</v>
      </c>
      <c r="Q2087" s="342" t="s">
        <v>2688</v>
      </c>
      <c r="R2087" s="344">
        <v>30</v>
      </c>
      <c r="S2087" s="345">
        <v>25</v>
      </c>
      <c r="T2087" s="362">
        <v>25</v>
      </c>
      <c r="U2087" s="361">
        <v>57.71</v>
      </c>
      <c r="V2087" s="346">
        <v>105.8275595351771</v>
      </c>
      <c r="W2087" s="348">
        <v>109.13947782263685</v>
      </c>
      <c r="X2087" s="347" t="s">
        <v>19347</v>
      </c>
      <c r="Y2087" s="357" t="s">
        <v>408</v>
      </c>
      <c r="Z2087" s="365" t="s">
        <v>4408</v>
      </c>
      <c r="AA2087" s="350">
        <v>192</v>
      </c>
      <c r="AB2087" s="349" t="s">
        <v>2685</v>
      </c>
      <c r="AC2087" s="350">
        <v>0</v>
      </c>
      <c r="AD2087" s="349" t="s">
        <v>2685</v>
      </c>
      <c r="AE2087" s="364">
        <v>0</v>
      </c>
      <c r="AF2087" s="366">
        <v>0</v>
      </c>
      <c r="AG2087" s="363">
        <v>0</v>
      </c>
      <c r="AH2087" s="635" t="s">
        <v>408</v>
      </c>
      <c r="AL2087" s="487" t="s">
        <v>16460</v>
      </c>
      <c r="AM2087" s="477" t="s">
        <v>71</v>
      </c>
      <c r="AN2087" s="637">
        <v>100</v>
      </c>
      <c r="AO2087" s="478">
        <v>-1570</v>
      </c>
      <c r="AP2087" s="463">
        <v>-614</v>
      </c>
      <c r="AQ2087" s="479">
        <v>-956</v>
      </c>
      <c r="AR2087" s="476" t="s">
        <v>18124</v>
      </c>
      <c r="BA2087" s="313" t="s">
        <v>7063</v>
      </c>
    </row>
    <row r="2088" spans="2:53" ht="16.5" customHeight="1">
      <c r="B2088" s="367" t="s">
        <v>13835</v>
      </c>
      <c r="C2088" s="351" t="s">
        <v>13836</v>
      </c>
      <c r="D2088" s="353">
        <v>-1570</v>
      </c>
      <c r="E2088" s="352" t="s">
        <v>13837</v>
      </c>
      <c r="F2088" s="341">
        <v>57.61</v>
      </c>
      <c r="G2088" s="355" t="s">
        <v>13837</v>
      </c>
      <c r="H2088" s="356" t="s">
        <v>19348</v>
      </c>
      <c r="I2088" s="354" t="s">
        <v>8000</v>
      </c>
      <c r="J2088" s="340" t="s">
        <v>13838</v>
      </c>
      <c r="K2088" s="339" t="s">
        <v>71</v>
      </c>
      <c r="L2088" s="357">
        <v>9</v>
      </c>
      <c r="M2088" s="358" t="s">
        <v>13839</v>
      </c>
      <c r="N2088" s="359">
        <v>1000</v>
      </c>
      <c r="O2088" s="360" t="s">
        <v>532</v>
      </c>
      <c r="P2088" s="343" t="s">
        <v>532</v>
      </c>
      <c r="Q2088" s="342" t="s">
        <v>2688</v>
      </c>
      <c r="R2088" s="344">
        <v>30</v>
      </c>
      <c r="S2088" s="345">
        <v>25</v>
      </c>
      <c r="T2088" s="362">
        <v>25</v>
      </c>
      <c r="U2088" s="361">
        <v>57.61</v>
      </c>
      <c r="V2088" s="346">
        <v>105.77201463029218</v>
      </c>
      <c r="W2088" s="348">
        <v>109.09655675977123</v>
      </c>
      <c r="X2088" s="347" t="s">
        <v>19349</v>
      </c>
      <c r="Y2088" s="357" t="s">
        <v>408</v>
      </c>
      <c r="Z2088" s="365" t="s">
        <v>4408</v>
      </c>
      <c r="AA2088" s="350">
        <v>192</v>
      </c>
      <c r="AB2088" s="349" t="s">
        <v>2685</v>
      </c>
      <c r="AC2088" s="350">
        <v>0</v>
      </c>
      <c r="AD2088" s="349" t="s">
        <v>2685</v>
      </c>
      <c r="AE2088" s="364">
        <v>0</v>
      </c>
      <c r="AF2088" s="366">
        <v>0</v>
      </c>
      <c r="AG2088" s="363">
        <v>0</v>
      </c>
      <c r="AH2088" s="635" t="s">
        <v>408</v>
      </c>
      <c r="AL2088" s="487" t="s">
        <v>16461</v>
      </c>
      <c r="AM2088" s="477" t="s">
        <v>71</v>
      </c>
      <c r="AN2088" s="637">
        <v>100</v>
      </c>
      <c r="AO2088" s="478">
        <v>-1570</v>
      </c>
      <c r="AP2088" s="463">
        <v>-614</v>
      </c>
      <c r="AQ2088" s="479">
        <v>-956</v>
      </c>
      <c r="AR2088" s="476" t="s">
        <v>18125</v>
      </c>
      <c r="BA2088" s="313" t="s">
        <v>7065</v>
      </c>
    </row>
    <row r="2089" spans="2:53" ht="16.5" customHeight="1">
      <c r="B2089" s="367" t="s">
        <v>13840</v>
      </c>
      <c r="C2089" s="351" t="s">
        <v>13841</v>
      </c>
      <c r="D2089" s="353">
        <v>-1570</v>
      </c>
      <c r="E2089" s="352" t="s">
        <v>408</v>
      </c>
      <c r="F2089" s="341">
        <v>57.45</v>
      </c>
      <c r="G2089" s="355" t="s">
        <v>13825</v>
      </c>
      <c r="H2089" s="356" t="s">
        <v>19350</v>
      </c>
      <c r="I2089" s="354" t="s">
        <v>8000</v>
      </c>
      <c r="J2089" s="340" t="s">
        <v>7825</v>
      </c>
      <c r="K2089" s="339" t="s">
        <v>70</v>
      </c>
      <c r="L2089" s="357">
        <v>37</v>
      </c>
      <c r="M2089" s="358" t="s">
        <v>13842</v>
      </c>
      <c r="N2089" s="359">
        <v>1000</v>
      </c>
      <c r="O2089" s="360" t="s">
        <v>532</v>
      </c>
      <c r="P2089" s="343" t="s">
        <v>532</v>
      </c>
      <c r="Q2089" s="342" t="s">
        <v>2688</v>
      </c>
      <c r="R2089" s="344">
        <v>25</v>
      </c>
      <c r="S2089" s="345">
        <v>30</v>
      </c>
      <c r="T2089" s="362">
        <v>25</v>
      </c>
      <c r="U2089" s="361">
        <v>57.45</v>
      </c>
      <c r="V2089" s="346">
        <v>105.67776792879067</v>
      </c>
      <c r="W2089" s="348">
        <v>109.02372976315644</v>
      </c>
      <c r="X2089" s="347" t="s">
        <v>19351</v>
      </c>
      <c r="Y2089" s="357" t="s">
        <v>408</v>
      </c>
      <c r="Z2089" s="365" t="s">
        <v>4408</v>
      </c>
      <c r="AA2089" s="350">
        <v>192</v>
      </c>
      <c r="AB2089" s="349" t="s">
        <v>2685</v>
      </c>
      <c r="AC2089" s="350">
        <v>0</v>
      </c>
      <c r="AD2089" s="349" t="s">
        <v>2685</v>
      </c>
      <c r="AE2089" s="364">
        <v>0</v>
      </c>
      <c r="AF2089" s="366">
        <v>0</v>
      </c>
      <c r="AG2089" s="363">
        <v>0</v>
      </c>
      <c r="AH2089" s="635" t="s">
        <v>408</v>
      </c>
      <c r="AL2089" s="487" t="s">
        <v>16463</v>
      </c>
      <c r="AM2089" s="477" t="s">
        <v>70</v>
      </c>
      <c r="AN2089" s="637">
        <v>100</v>
      </c>
      <c r="AO2089" s="478">
        <v>-1570</v>
      </c>
      <c r="AP2089" s="463">
        <v>-1570</v>
      </c>
      <c r="AQ2089" s="479">
        <v>0</v>
      </c>
      <c r="AR2089" s="476" t="s">
        <v>18126</v>
      </c>
      <c r="BA2089" s="313" t="s">
        <v>7066</v>
      </c>
    </row>
    <row r="2090" spans="2:53" ht="16.5" customHeight="1">
      <c r="B2090" s="367" t="s">
        <v>13843</v>
      </c>
      <c r="C2090" s="351" t="s">
        <v>13844</v>
      </c>
      <c r="D2090" s="353">
        <v>-1570</v>
      </c>
      <c r="E2090" s="352" t="s">
        <v>408</v>
      </c>
      <c r="F2090" s="341">
        <v>57.43</v>
      </c>
      <c r="G2090" s="355" t="s">
        <v>13845</v>
      </c>
      <c r="H2090" s="356" t="s">
        <v>6999</v>
      </c>
      <c r="I2090" s="354" t="s">
        <v>213</v>
      </c>
      <c r="J2090" s="340" t="s">
        <v>9339</v>
      </c>
      <c r="K2090" s="339" t="s">
        <v>70</v>
      </c>
      <c r="L2090" s="357">
        <v>14</v>
      </c>
      <c r="M2090" s="358" t="s">
        <v>13846</v>
      </c>
      <c r="N2090" s="359">
        <v>1000</v>
      </c>
      <c r="O2090" s="360" t="s">
        <v>454</v>
      </c>
      <c r="P2090" s="343" t="s">
        <v>454</v>
      </c>
      <c r="Q2090" s="342" t="s">
        <v>2688</v>
      </c>
      <c r="R2090" s="344">
        <v>20</v>
      </c>
      <c r="S2090" s="345">
        <v>30</v>
      </c>
      <c r="T2090" s="362">
        <v>30</v>
      </c>
      <c r="U2090" s="361">
        <v>57.43</v>
      </c>
      <c r="V2090" s="346">
        <v>105.6652100840336</v>
      </c>
      <c r="W2090" s="348">
        <v>109.01402597402597</v>
      </c>
      <c r="X2090" s="347">
        <v>53.07</v>
      </c>
      <c r="Y2090" s="357" t="s">
        <v>408</v>
      </c>
      <c r="Z2090" s="365" t="s">
        <v>4408</v>
      </c>
      <c r="AA2090" s="350">
        <v>180</v>
      </c>
      <c r="AB2090" s="349" t="s">
        <v>2685</v>
      </c>
      <c r="AC2090" s="350">
        <v>10</v>
      </c>
      <c r="AD2090" s="349" t="s">
        <v>2685</v>
      </c>
      <c r="AE2090" s="364">
        <v>0</v>
      </c>
      <c r="AF2090" s="366">
        <v>43.073</v>
      </c>
      <c r="AG2090" s="363">
        <v>0</v>
      </c>
      <c r="AH2090" s="635" t="s">
        <v>12809</v>
      </c>
      <c r="AL2090" s="487" t="s">
        <v>16462</v>
      </c>
      <c r="AM2090" s="477" t="s">
        <v>70</v>
      </c>
      <c r="AN2090" s="637">
        <v>100</v>
      </c>
      <c r="AO2090" s="478">
        <v>-1570</v>
      </c>
      <c r="AP2090" s="463">
        <v>-1570</v>
      </c>
      <c r="AQ2090" s="479">
        <v>0</v>
      </c>
      <c r="AR2090" s="476" t="s">
        <v>18127</v>
      </c>
      <c r="BA2090" s="313" t="s">
        <v>7067</v>
      </c>
    </row>
    <row r="2091" spans="2:53" ht="16.5" customHeight="1">
      <c r="B2091" s="367" t="s">
        <v>13843</v>
      </c>
      <c r="C2091" s="351" t="s">
        <v>13844</v>
      </c>
      <c r="D2091" s="353">
        <v>-1570</v>
      </c>
      <c r="E2091" s="352" t="s">
        <v>408</v>
      </c>
      <c r="F2091" s="341">
        <v>57.43</v>
      </c>
      <c r="G2091" s="355" t="s">
        <v>13845</v>
      </c>
      <c r="H2091" s="356" t="s">
        <v>6999</v>
      </c>
      <c r="I2091" s="354" t="s">
        <v>8000</v>
      </c>
      <c r="J2091" s="340" t="s">
        <v>555</v>
      </c>
      <c r="K2091" s="339" t="s">
        <v>70</v>
      </c>
      <c r="L2091" s="357">
        <v>3</v>
      </c>
      <c r="M2091" s="358" t="s">
        <v>13847</v>
      </c>
      <c r="N2091" s="359">
        <v>1000</v>
      </c>
      <c r="O2091" s="360" t="s">
        <v>532</v>
      </c>
      <c r="P2091" s="343" t="s">
        <v>532</v>
      </c>
      <c r="Q2091" s="342" t="s">
        <v>2688</v>
      </c>
      <c r="R2091" s="344">
        <v>25</v>
      </c>
      <c r="S2091" s="345">
        <v>30</v>
      </c>
      <c r="T2091" s="362">
        <v>25</v>
      </c>
      <c r="U2091" s="361">
        <v>57.43</v>
      </c>
      <c r="V2091" s="346">
        <v>105.66709147839352</v>
      </c>
      <c r="W2091" s="348">
        <v>109.01547977875863</v>
      </c>
      <c r="X2091" s="347" t="s">
        <v>19351</v>
      </c>
      <c r="Y2091" s="357" t="s">
        <v>408</v>
      </c>
      <c r="Z2091" s="365" t="s">
        <v>4408</v>
      </c>
      <c r="AA2091" s="350">
        <v>192</v>
      </c>
      <c r="AB2091" s="349" t="s">
        <v>2685</v>
      </c>
      <c r="AC2091" s="350">
        <v>0</v>
      </c>
      <c r="AD2091" s="349" t="s">
        <v>2685</v>
      </c>
      <c r="AE2091" s="364">
        <v>0</v>
      </c>
      <c r="AF2091" s="366">
        <v>0</v>
      </c>
      <c r="AG2091" s="363">
        <v>0</v>
      </c>
      <c r="AH2091" s="635" t="s">
        <v>408</v>
      </c>
      <c r="AL2091" s="487" t="s">
        <v>16464</v>
      </c>
      <c r="AM2091" s="477" t="s">
        <v>70</v>
      </c>
      <c r="AN2091" s="637">
        <v>100</v>
      </c>
      <c r="AO2091" s="478">
        <v>-1570</v>
      </c>
      <c r="AP2091" s="463">
        <v>-1570</v>
      </c>
      <c r="AQ2091" s="479">
        <v>0</v>
      </c>
      <c r="AR2091" s="476" t="s">
        <v>18127</v>
      </c>
      <c r="BA2091" s="313" t="s">
        <v>7068</v>
      </c>
    </row>
    <row r="2092" spans="2:53" ht="16.5" customHeight="1">
      <c r="B2092" s="367" t="s">
        <v>13848</v>
      </c>
      <c r="C2092" s="351" t="s">
        <v>13849</v>
      </c>
      <c r="D2092" s="353">
        <v>-1570</v>
      </c>
      <c r="E2092" s="352" t="s">
        <v>408</v>
      </c>
      <c r="F2092" s="341">
        <v>57.34</v>
      </c>
      <c r="G2092" s="355" t="s">
        <v>13850</v>
      </c>
      <c r="H2092" s="356" t="s">
        <v>19352</v>
      </c>
      <c r="I2092" s="354" t="s">
        <v>213</v>
      </c>
      <c r="J2092" s="340" t="s">
        <v>566</v>
      </c>
      <c r="K2092" s="339" t="s">
        <v>70</v>
      </c>
      <c r="L2092" s="357">
        <v>20</v>
      </c>
      <c r="M2092" s="358" t="s">
        <v>13851</v>
      </c>
      <c r="N2092" s="359">
        <v>1000</v>
      </c>
      <c r="O2092" s="360" t="s">
        <v>454</v>
      </c>
      <c r="P2092" s="343" t="s">
        <v>454</v>
      </c>
      <c r="Q2092" s="342" t="s">
        <v>2688</v>
      </c>
      <c r="R2092" s="344">
        <v>20</v>
      </c>
      <c r="S2092" s="345">
        <v>30</v>
      </c>
      <c r="T2092" s="362">
        <v>30</v>
      </c>
      <c r="U2092" s="361">
        <v>57.34</v>
      </c>
      <c r="V2092" s="346">
        <v>105.61142857142858</v>
      </c>
      <c r="W2092" s="348">
        <v>108.95673469387755</v>
      </c>
      <c r="X2092" s="347">
        <v>53.04</v>
      </c>
      <c r="Y2092" s="357" t="s">
        <v>408</v>
      </c>
      <c r="Z2092" s="365" t="s">
        <v>4408</v>
      </c>
      <c r="AA2092" s="350">
        <v>180</v>
      </c>
      <c r="AB2092" s="349" t="s">
        <v>2685</v>
      </c>
      <c r="AC2092" s="350">
        <v>10</v>
      </c>
      <c r="AD2092" s="349" t="s">
        <v>2685</v>
      </c>
      <c r="AE2092" s="364">
        <v>0</v>
      </c>
      <c r="AF2092" s="366">
        <v>43.005000000000003</v>
      </c>
      <c r="AG2092" s="363">
        <v>0</v>
      </c>
      <c r="AH2092" s="635" t="s">
        <v>12809</v>
      </c>
      <c r="AL2092" s="487" t="s">
        <v>16465</v>
      </c>
      <c r="AM2092" s="477" t="s">
        <v>70</v>
      </c>
      <c r="AN2092" s="637">
        <v>100</v>
      </c>
      <c r="AO2092" s="478">
        <v>-1570</v>
      </c>
      <c r="AP2092" s="463">
        <v>-1570</v>
      </c>
      <c r="AQ2092" s="479">
        <v>0</v>
      </c>
      <c r="AR2092" s="476" t="s">
        <v>18128</v>
      </c>
      <c r="BA2092" s="313" t="s">
        <v>7069</v>
      </c>
    </row>
    <row r="2093" spans="2:53" ht="16.5" customHeight="1">
      <c r="B2093" s="367" t="s">
        <v>13852</v>
      </c>
      <c r="C2093" s="351" t="s">
        <v>13853</v>
      </c>
      <c r="D2093" s="353">
        <v>-1570</v>
      </c>
      <c r="E2093" s="352" t="s">
        <v>408</v>
      </c>
      <c r="F2093" s="341">
        <v>57.31</v>
      </c>
      <c r="G2093" s="355" t="s">
        <v>13854</v>
      </c>
      <c r="H2093" s="356" t="s">
        <v>19353</v>
      </c>
      <c r="I2093" s="354" t="s">
        <v>8000</v>
      </c>
      <c r="J2093" s="340" t="s">
        <v>13855</v>
      </c>
      <c r="K2093" s="339" t="s">
        <v>70</v>
      </c>
      <c r="L2093" s="357">
        <v>10</v>
      </c>
      <c r="M2093" s="358" t="s">
        <v>13856</v>
      </c>
      <c r="N2093" s="359">
        <v>1000</v>
      </c>
      <c r="O2093" s="360" t="s">
        <v>532</v>
      </c>
      <c r="P2093" s="343" t="s">
        <v>532</v>
      </c>
      <c r="Q2093" s="342" t="s">
        <v>2688</v>
      </c>
      <c r="R2093" s="344">
        <v>25</v>
      </c>
      <c r="S2093" s="345">
        <v>30</v>
      </c>
      <c r="T2093" s="362">
        <v>25</v>
      </c>
      <c r="U2093" s="361">
        <v>57.31</v>
      </c>
      <c r="V2093" s="346">
        <v>105.59262426798249</v>
      </c>
      <c r="W2093" s="348">
        <v>108.93390089683587</v>
      </c>
      <c r="X2093" s="347" t="s">
        <v>19354</v>
      </c>
      <c r="Y2093" s="357" t="s">
        <v>408</v>
      </c>
      <c r="Z2093" s="365" t="s">
        <v>4408</v>
      </c>
      <c r="AA2093" s="350">
        <v>192</v>
      </c>
      <c r="AB2093" s="349" t="s">
        <v>2685</v>
      </c>
      <c r="AC2093" s="350">
        <v>0</v>
      </c>
      <c r="AD2093" s="349" t="s">
        <v>2685</v>
      </c>
      <c r="AE2093" s="364">
        <v>0</v>
      </c>
      <c r="AF2093" s="366">
        <v>0</v>
      </c>
      <c r="AG2093" s="363">
        <v>0</v>
      </c>
      <c r="AH2093" s="635" t="s">
        <v>408</v>
      </c>
      <c r="AL2093" s="487" t="s">
        <v>16466</v>
      </c>
      <c r="AM2093" s="477" t="s">
        <v>70</v>
      </c>
      <c r="AN2093" s="637">
        <v>100</v>
      </c>
      <c r="AO2093" s="478">
        <v>-1570</v>
      </c>
      <c r="AP2093" s="463">
        <v>-1570</v>
      </c>
      <c r="AQ2093" s="479">
        <v>0</v>
      </c>
      <c r="AR2093" s="476" t="s">
        <v>18129</v>
      </c>
      <c r="BA2093" s="313" t="s">
        <v>7070</v>
      </c>
    </row>
    <row r="2094" spans="2:53" ht="16.5" customHeight="1">
      <c r="B2094" s="367" t="s">
        <v>13857</v>
      </c>
      <c r="C2094" s="351" t="s">
        <v>13858</v>
      </c>
      <c r="D2094" s="353">
        <v>-1570</v>
      </c>
      <c r="E2094" s="352" t="s">
        <v>13859</v>
      </c>
      <c r="F2094" s="341">
        <v>57.15</v>
      </c>
      <c r="G2094" s="355" t="s">
        <v>13859</v>
      </c>
      <c r="H2094" s="356" t="s">
        <v>19355</v>
      </c>
      <c r="I2094" s="354" t="s">
        <v>8000</v>
      </c>
      <c r="J2094" s="340" t="s">
        <v>9285</v>
      </c>
      <c r="K2094" s="339" t="s">
        <v>71</v>
      </c>
      <c r="L2094" s="357">
        <v>8</v>
      </c>
      <c r="M2094" s="358" t="s">
        <v>13860</v>
      </c>
      <c r="N2094" s="359">
        <v>1000</v>
      </c>
      <c r="O2094" s="360" t="s">
        <v>532</v>
      </c>
      <c r="P2094" s="343" t="s">
        <v>532</v>
      </c>
      <c r="Q2094" s="342" t="s">
        <v>2688</v>
      </c>
      <c r="R2094" s="344">
        <v>30</v>
      </c>
      <c r="S2094" s="345">
        <v>25</v>
      </c>
      <c r="T2094" s="362">
        <v>25</v>
      </c>
      <c r="U2094" s="361">
        <v>57.15</v>
      </c>
      <c r="V2094" s="346">
        <v>105.49764815759963</v>
      </c>
      <c r="W2094" s="348">
        <v>108.81857276279955</v>
      </c>
      <c r="X2094" s="347" t="s">
        <v>19356</v>
      </c>
      <c r="Y2094" s="357" t="s">
        <v>408</v>
      </c>
      <c r="Z2094" s="365" t="s">
        <v>4408</v>
      </c>
      <c r="AA2094" s="350">
        <v>192</v>
      </c>
      <c r="AB2094" s="349" t="s">
        <v>2685</v>
      </c>
      <c r="AC2094" s="350">
        <v>0</v>
      </c>
      <c r="AD2094" s="349" t="s">
        <v>2685</v>
      </c>
      <c r="AE2094" s="364">
        <v>0</v>
      </c>
      <c r="AF2094" s="366">
        <v>0</v>
      </c>
      <c r="AG2094" s="363">
        <v>0</v>
      </c>
      <c r="AH2094" s="635" t="s">
        <v>408</v>
      </c>
      <c r="AL2094" s="487" t="s">
        <v>16467</v>
      </c>
      <c r="AM2094" s="477" t="s">
        <v>71</v>
      </c>
      <c r="AN2094" s="637">
        <v>100</v>
      </c>
      <c r="AO2094" s="478">
        <v>-1570</v>
      </c>
      <c r="AP2094" s="463">
        <v>-611</v>
      </c>
      <c r="AQ2094" s="479">
        <v>-959</v>
      </c>
      <c r="AR2094" s="476" t="s">
        <v>18130</v>
      </c>
      <c r="BA2094" s="313" t="s">
        <v>7072</v>
      </c>
    </row>
    <row r="2095" spans="2:53" ht="16.5" customHeight="1">
      <c r="B2095" s="367" t="s">
        <v>13861</v>
      </c>
      <c r="C2095" s="351" t="s">
        <v>13862</v>
      </c>
      <c r="D2095" s="353">
        <v>-1570</v>
      </c>
      <c r="E2095" s="352" t="s">
        <v>7027</v>
      </c>
      <c r="F2095" s="341">
        <v>57.04</v>
      </c>
      <c r="G2095" s="355" t="s">
        <v>19357</v>
      </c>
      <c r="H2095" s="356" t="s">
        <v>19358</v>
      </c>
      <c r="I2095" s="354" t="s">
        <v>213</v>
      </c>
      <c r="J2095" s="340" t="s">
        <v>13863</v>
      </c>
      <c r="K2095" s="339" t="s">
        <v>71</v>
      </c>
      <c r="L2095" s="357">
        <v>6</v>
      </c>
      <c r="M2095" s="358" t="s">
        <v>13864</v>
      </c>
      <c r="N2095" s="359">
        <v>1000</v>
      </c>
      <c r="O2095" s="360" t="s">
        <v>454</v>
      </c>
      <c r="P2095" s="343" t="s">
        <v>454</v>
      </c>
      <c r="Q2095" s="342" t="s">
        <v>2688</v>
      </c>
      <c r="R2095" s="344">
        <v>30</v>
      </c>
      <c r="S2095" s="345">
        <v>20</v>
      </c>
      <c r="T2095" s="362">
        <v>30</v>
      </c>
      <c r="U2095" s="361">
        <v>57.04</v>
      </c>
      <c r="V2095" s="346">
        <v>105.43382352941175</v>
      </c>
      <c r="W2095" s="348">
        <v>108.74107142857143</v>
      </c>
      <c r="X2095" s="347">
        <v>52.56</v>
      </c>
      <c r="Y2095" s="357" t="s">
        <v>408</v>
      </c>
      <c r="Z2095" s="365" t="s">
        <v>4408</v>
      </c>
      <c r="AA2095" s="350">
        <v>180</v>
      </c>
      <c r="AB2095" s="349" t="s">
        <v>2685</v>
      </c>
      <c r="AC2095" s="350">
        <v>10</v>
      </c>
      <c r="AD2095" s="349" t="s">
        <v>2685</v>
      </c>
      <c r="AE2095" s="364">
        <v>0</v>
      </c>
      <c r="AF2095" s="366">
        <v>0</v>
      </c>
      <c r="AG2095" s="363">
        <v>0</v>
      </c>
      <c r="AH2095" s="635" t="s">
        <v>408</v>
      </c>
      <c r="AL2095" s="487" t="s">
        <v>16468</v>
      </c>
      <c r="AM2095" s="477" t="s">
        <v>71</v>
      </c>
      <c r="AN2095" s="637">
        <v>100</v>
      </c>
      <c r="AO2095" s="478">
        <v>-1570</v>
      </c>
      <c r="AP2095" s="463">
        <v>-611</v>
      </c>
      <c r="AQ2095" s="479">
        <v>-959</v>
      </c>
      <c r="AR2095" s="476" t="s">
        <v>18131</v>
      </c>
      <c r="BA2095" s="313" t="s">
        <v>7073</v>
      </c>
    </row>
    <row r="2096" spans="2:53" ht="16.5" customHeight="1">
      <c r="B2096" s="367" t="s">
        <v>13861</v>
      </c>
      <c r="C2096" s="351" t="s">
        <v>13862</v>
      </c>
      <c r="D2096" s="353">
        <v>-1570</v>
      </c>
      <c r="E2096" s="352" t="s">
        <v>408</v>
      </c>
      <c r="F2096" s="341">
        <v>57.04</v>
      </c>
      <c r="G2096" s="355" t="s">
        <v>7027</v>
      </c>
      <c r="H2096" s="356" t="s">
        <v>19359</v>
      </c>
      <c r="I2096" s="354" t="s">
        <v>8000</v>
      </c>
      <c r="J2096" s="340" t="s">
        <v>10547</v>
      </c>
      <c r="K2096" s="339" t="s">
        <v>70</v>
      </c>
      <c r="L2096" s="357">
        <v>11</v>
      </c>
      <c r="M2096" s="358" t="s">
        <v>13865</v>
      </c>
      <c r="N2096" s="359">
        <v>1000</v>
      </c>
      <c r="O2096" s="360" t="s">
        <v>532</v>
      </c>
      <c r="P2096" s="343" t="s">
        <v>532</v>
      </c>
      <c r="Q2096" s="342" t="s">
        <v>2688</v>
      </c>
      <c r="R2096" s="344">
        <v>25</v>
      </c>
      <c r="S2096" s="345">
        <v>30</v>
      </c>
      <c r="T2096" s="362">
        <v>25</v>
      </c>
      <c r="U2096" s="361">
        <v>57.04</v>
      </c>
      <c r="V2096" s="346">
        <v>105.43258371025595</v>
      </c>
      <c r="W2096" s="348">
        <v>108.73956593388225</v>
      </c>
      <c r="X2096" s="347" t="s">
        <v>19360</v>
      </c>
      <c r="Y2096" s="357" t="s">
        <v>408</v>
      </c>
      <c r="Z2096" s="365" t="s">
        <v>4408</v>
      </c>
      <c r="AA2096" s="350">
        <v>192</v>
      </c>
      <c r="AB2096" s="349" t="s">
        <v>2685</v>
      </c>
      <c r="AC2096" s="350">
        <v>0</v>
      </c>
      <c r="AD2096" s="349" t="s">
        <v>2685</v>
      </c>
      <c r="AE2096" s="364">
        <v>0</v>
      </c>
      <c r="AF2096" s="366">
        <v>0</v>
      </c>
      <c r="AG2096" s="363">
        <v>0</v>
      </c>
      <c r="AH2096" s="635" t="s">
        <v>408</v>
      </c>
      <c r="AL2096" s="487" t="s">
        <v>16469</v>
      </c>
      <c r="AM2096" s="477" t="s">
        <v>70</v>
      </c>
      <c r="AN2096" s="637">
        <v>100</v>
      </c>
      <c r="AO2096" s="478">
        <v>-1570</v>
      </c>
      <c r="AP2096" s="463">
        <v>-1570</v>
      </c>
      <c r="AQ2096" s="479">
        <v>0</v>
      </c>
      <c r="AR2096" s="476" t="s">
        <v>18132</v>
      </c>
      <c r="BA2096" s="313" t="s">
        <v>7075</v>
      </c>
    </row>
    <row r="2097" spans="2:53" ht="16.5" customHeight="1">
      <c r="B2097" s="367" t="s">
        <v>13866</v>
      </c>
      <c r="C2097" s="351" t="s">
        <v>13867</v>
      </c>
      <c r="D2097" s="353">
        <v>-1570</v>
      </c>
      <c r="E2097" s="352" t="s">
        <v>408</v>
      </c>
      <c r="F2097" s="341">
        <v>56.95</v>
      </c>
      <c r="G2097" s="355" t="s">
        <v>13868</v>
      </c>
      <c r="H2097" s="356" t="s">
        <v>19361</v>
      </c>
      <c r="I2097" s="354" t="s">
        <v>8000</v>
      </c>
      <c r="J2097" s="340" t="s">
        <v>8877</v>
      </c>
      <c r="K2097" s="339" t="s">
        <v>70</v>
      </c>
      <c r="L2097" s="357">
        <v>8</v>
      </c>
      <c r="M2097" s="358" t="s">
        <v>13869</v>
      </c>
      <c r="N2097" s="359">
        <v>1000</v>
      </c>
      <c r="O2097" s="360" t="s">
        <v>532</v>
      </c>
      <c r="P2097" s="343" t="s">
        <v>532</v>
      </c>
      <c r="Q2097" s="342" t="s">
        <v>2688</v>
      </c>
      <c r="R2097" s="344">
        <v>25</v>
      </c>
      <c r="S2097" s="345">
        <v>30</v>
      </c>
      <c r="T2097" s="362">
        <v>25</v>
      </c>
      <c r="U2097" s="361">
        <v>56.95</v>
      </c>
      <c r="V2097" s="346">
        <v>105.3822591847504</v>
      </c>
      <c r="W2097" s="348">
        <v>108.67845758148262</v>
      </c>
      <c r="X2097" s="347" t="s">
        <v>19362</v>
      </c>
      <c r="Y2097" s="357" t="s">
        <v>408</v>
      </c>
      <c r="Z2097" s="365" t="s">
        <v>4408</v>
      </c>
      <c r="AA2097" s="350">
        <v>192</v>
      </c>
      <c r="AB2097" s="349" t="s">
        <v>2685</v>
      </c>
      <c r="AC2097" s="350">
        <v>0</v>
      </c>
      <c r="AD2097" s="349" t="s">
        <v>2685</v>
      </c>
      <c r="AE2097" s="364">
        <v>0</v>
      </c>
      <c r="AF2097" s="366">
        <v>0</v>
      </c>
      <c r="AG2097" s="363">
        <v>0</v>
      </c>
      <c r="AH2097" s="635" t="s">
        <v>408</v>
      </c>
      <c r="AL2097" s="487" t="s">
        <v>16472</v>
      </c>
      <c r="AM2097" s="477" t="s">
        <v>70</v>
      </c>
      <c r="AN2097" s="637">
        <v>100</v>
      </c>
      <c r="AO2097" s="478">
        <v>-1570</v>
      </c>
      <c r="AP2097" s="463">
        <v>-1570</v>
      </c>
      <c r="AQ2097" s="479">
        <v>0</v>
      </c>
      <c r="AR2097" s="476" t="s">
        <v>18133</v>
      </c>
      <c r="BA2097" s="313" t="s">
        <v>7077</v>
      </c>
    </row>
    <row r="2098" spans="2:53" ht="16.5" customHeight="1">
      <c r="B2098" s="367" t="s">
        <v>13870</v>
      </c>
      <c r="C2098" s="351" t="s">
        <v>13871</v>
      </c>
      <c r="D2098" s="353">
        <v>-1570</v>
      </c>
      <c r="E2098" s="352" t="s">
        <v>13872</v>
      </c>
      <c r="F2098" s="341">
        <v>56.94</v>
      </c>
      <c r="G2098" s="355" t="s">
        <v>19363</v>
      </c>
      <c r="H2098" s="356" t="s">
        <v>19364</v>
      </c>
      <c r="I2098" s="354" t="s">
        <v>213</v>
      </c>
      <c r="J2098" s="340" t="s">
        <v>13873</v>
      </c>
      <c r="K2098" s="339" t="s">
        <v>71</v>
      </c>
      <c r="L2098" s="357">
        <v>12</v>
      </c>
      <c r="M2098" s="358" t="s">
        <v>13874</v>
      </c>
      <c r="N2098" s="359">
        <v>1000</v>
      </c>
      <c r="O2098" s="360" t="s">
        <v>454</v>
      </c>
      <c r="P2098" s="343" t="s">
        <v>454</v>
      </c>
      <c r="Q2098" s="342" t="s">
        <v>2688</v>
      </c>
      <c r="R2098" s="344">
        <v>30</v>
      </c>
      <c r="S2098" s="345">
        <v>20</v>
      </c>
      <c r="T2098" s="362">
        <v>30</v>
      </c>
      <c r="U2098" s="361">
        <v>56.94</v>
      </c>
      <c r="V2098" s="346">
        <v>105.37867647058823</v>
      </c>
      <c r="W2098" s="348">
        <v>108.67410714285714</v>
      </c>
      <c r="X2098" s="347">
        <v>52.53</v>
      </c>
      <c r="Y2098" s="357" t="s">
        <v>408</v>
      </c>
      <c r="Z2098" s="365" t="s">
        <v>4408</v>
      </c>
      <c r="AA2098" s="350">
        <v>180</v>
      </c>
      <c r="AB2098" s="349" t="s">
        <v>2685</v>
      </c>
      <c r="AC2098" s="350">
        <v>10</v>
      </c>
      <c r="AD2098" s="349" t="s">
        <v>2685</v>
      </c>
      <c r="AE2098" s="364">
        <v>0</v>
      </c>
      <c r="AF2098" s="366">
        <v>0</v>
      </c>
      <c r="AG2098" s="363">
        <v>0</v>
      </c>
      <c r="AH2098" s="635" t="s">
        <v>408</v>
      </c>
      <c r="AL2098" s="487" t="s">
        <v>16470</v>
      </c>
      <c r="AM2098" s="477" t="s">
        <v>71</v>
      </c>
      <c r="AN2098" s="637">
        <v>100</v>
      </c>
      <c r="AO2098" s="478">
        <v>-1570</v>
      </c>
      <c r="AP2098" s="463">
        <v>-610</v>
      </c>
      <c r="AQ2098" s="479">
        <v>-960</v>
      </c>
      <c r="AR2098" s="476" t="s">
        <v>18134</v>
      </c>
      <c r="BA2098" s="313" t="s">
        <v>7078</v>
      </c>
    </row>
    <row r="2099" spans="2:53" ht="16.5" customHeight="1">
      <c r="B2099" s="367" t="s">
        <v>13870</v>
      </c>
      <c r="C2099" s="351" t="s">
        <v>13871</v>
      </c>
      <c r="D2099" s="353">
        <v>-1570</v>
      </c>
      <c r="E2099" s="352" t="s">
        <v>408</v>
      </c>
      <c r="F2099" s="341">
        <v>56.94</v>
      </c>
      <c r="G2099" s="355" t="s">
        <v>13872</v>
      </c>
      <c r="H2099" s="356" t="s">
        <v>19365</v>
      </c>
      <c r="I2099" s="354" t="s">
        <v>213</v>
      </c>
      <c r="J2099" s="340" t="s">
        <v>13875</v>
      </c>
      <c r="K2099" s="339" t="s">
        <v>70</v>
      </c>
      <c r="L2099" s="357">
        <v>12</v>
      </c>
      <c r="M2099" s="358" t="s">
        <v>13876</v>
      </c>
      <c r="N2099" s="359">
        <v>1000</v>
      </c>
      <c r="O2099" s="360" t="s">
        <v>454</v>
      </c>
      <c r="P2099" s="343" t="s">
        <v>454</v>
      </c>
      <c r="Q2099" s="342" t="s">
        <v>2688</v>
      </c>
      <c r="R2099" s="344">
        <v>20</v>
      </c>
      <c r="S2099" s="345">
        <v>30</v>
      </c>
      <c r="T2099" s="362">
        <v>30</v>
      </c>
      <c r="U2099" s="361">
        <v>56.94</v>
      </c>
      <c r="V2099" s="346">
        <v>105.37893296853625</v>
      </c>
      <c r="W2099" s="348">
        <v>108.67441860465117</v>
      </c>
      <c r="X2099" s="347">
        <v>52.89</v>
      </c>
      <c r="Y2099" s="357" t="s">
        <v>408</v>
      </c>
      <c r="Z2099" s="365" t="s">
        <v>4408</v>
      </c>
      <c r="AA2099" s="350">
        <v>180</v>
      </c>
      <c r="AB2099" s="349" t="s">
        <v>2685</v>
      </c>
      <c r="AC2099" s="350">
        <v>10</v>
      </c>
      <c r="AD2099" s="349" t="s">
        <v>2685</v>
      </c>
      <c r="AE2099" s="364">
        <v>0</v>
      </c>
      <c r="AF2099" s="366">
        <v>34.164000000000001</v>
      </c>
      <c r="AG2099" s="363">
        <v>0</v>
      </c>
      <c r="AH2099" s="635" t="s">
        <v>12613</v>
      </c>
      <c r="AL2099" s="487" t="s">
        <v>16471</v>
      </c>
      <c r="AM2099" s="477" t="s">
        <v>70</v>
      </c>
      <c r="AN2099" s="637">
        <v>100</v>
      </c>
      <c r="AO2099" s="478">
        <v>-1570</v>
      </c>
      <c r="AP2099" s="463">
        <v>-1570</v>
      </c>
      <c r="AQ2099" s="479">
        <v>0</v>
      </c>
      <c r="AR2099" s="476" t="s">
        <v>18135</v>
      </c>
      <c r="BA2099" s="313" t="s">
        <v>7079</v>
      </c>
    </row>
    <row r="2100" spans="2:53" ht="16.5" customHeight="1">
      <c r="B2100" s="367" t="s">
        <v>13877</v>
      </c>
      <c r="C2100" s="351" t="s">
        <v>13878</v>
      </c>
      <c r="D2100" s="353">
        <v>-1570</v>
      </c>
      <c r="E2100" s="352" t="s">
        <v>408</v>
      </c>
      <c r="F2100" s="341">
        <v>56.92</v>
      </c>
      <c r="G2100" s="355" t="s">
        <v>13879</v>
      </c>
      <c r="H2100" s="356" t="s">
        <v>19366</v>
      </c>
      <c r="I2100" s="354" t="s">
        <v>8000</v>
      </c>
      <c r="J2100" s="340" t="s">
        <v>11782</v>
      </c>
      <c r="K2100" s="339" t="s">
        <v>70</v>
      </c>
      <c r="L2100" s="357">
        <v>15</v>
      </c>
      <c r="M2100" s="358" t="s">
        <v>13880</v>
      </c>
      <c r="N2100" s="359">
        <v>1000</v>
      </c>
      <c r="O2100" s="360" t="s">
        <v>532</v>
      </c>
      <c r="P2100" s="343" t="s">
        <v>532</v>
      </c>
      <c r="Q2100" s="342" t="s">
        <v>2688</v>
      </c>
      <c r="R2100" s="344">
        <v>25</v>
      </c>
      <c r="S2100" s="345">
        <v>30</v>
      </c>
      <c r="T2100" s="362">
        <v>25</v>
      </c>
      <c r="U2100" s="361">
        <v>56.92</v>
      </c>
      <c r="V2100" s="346">
        <v>105.3670093285366</v>
      </c>
      <c r="W2100" s="348">
        <v>108.65993989893731</v>
      </c>
      <c r="X2100" s="347" t="s">
        <v>19362</v>
      </c>
      <c r="Y2100" s="357" t="s">
        <v>408</v>
      </c>
      <c r="Z2100" s="365" t="s">
        <v>4408</v>
      </c>
      <c r="AA2100" s="350">
        <v>192</v>
      </c>
      <c r="AB2100" s="349" t="s">
        <v>2685</v>
      </c>
      <c r="AC2100" s="350">
        <v>0</v>
      </c>
      <c r="AD2100" s="349" t="s">
        <v>2685</v>
      </c>
      <c r="AE2100" s="364">
        <v>0</v>
      </c>
      <c r="AF2100" s="366">
        <v>0</v>
      </c>
      <c r="AG2100" s="363">
        <v>0</v>
      </c>
      <c r="AH2100" s="635" t="s">
        <v>408</v>
      </c>
      <c r="AL2100" s="487" t="s">
        <v>16474</v>
      </c>
      <c r="AM2100" s="477" t="s">
        <v>70</v>
      </c>
      <c r="AN2100" s="637">
        <v>100</v>
      </c>
      <c r="AO2100" s="478">
        <v>-1570</v>
      </c>
      <c r="AP2100" s="463">
        <v>-1570</v>
      </c>
      <c r="AQ2100" s="479">
        <v>0</v>
      </c>
      <c r="AR2100" s="476" t="s">
        <v>18136</v>
      </c>
      <c r="BA2100" s="313" t="s">
        <v>7080</v>
      </c>
    </row>
    <row r="2101" spans="2:53" ht="16.5" customHeight="1">
      <c r="B2101" s="367" t="s">
        <v>18316</v>
      </c>
      <c r="C2101" s="351" t="s">
        <v>18317</v>
      </c>
      <c r="D2101" s="353">
        <v>-1570</v>
      </c>
      <c r="E2101" s="352" t="s">
        <v>13883</v>
      </c>
      <c r="F2101" s="341">
        <v>56.91</v>
      </c>
      <c r="G2101" s="355" t="s">
        <v>19367</v>
      </c>
      <c r="H2101" s="356" t="s">
        <v>19325</v>
      </c>
      <c r="I2101" s="354" t="s">
        <v>8000</v>
      </c>
      <c r="J2101" s="340" t="s">
        <v>561</v>
      </c>
      <c r="K2101" s="339" t="s">
        <v>71</v>
      </c>
      <c r="L2101" s="357">
        <v>7</v>
      </c>
      <c r="M2101" s="358" t="s">
        <v>13886</v>
      </c>
      <c r="N2101" s="359">
        <v>1000</v>
      </c>
      <c r="O2101" s="360" t="s">
        <v>532</v>
      </c>
      <c r="P2101" s="343" t="s">
        <v>532</v>
      </c>
      <c r="Q2101" s="342" t="s">
        <v>2688</v>
      </c>
      <c r="R2101" s="344">
        <v>30</v>
      </c>
      <c r="S2101" s="345">
        <v>25</v>
      </c>
      <c r="T2101" s="362">
        <v>25</v>
      </c>
      <c r="U2101" s="361">
        <v>56.91</v>
      </c>
      <c r="V2101" s="346">
        <v>105.35605761407855</v>
      </c>
      <c r="W2101" s="348">
        <v>108.64664138852396</v>
      </c>
      <c r="X2101" s="347" t="s">
        <v>19368</v>
      </c>
      <c r="Y2101" s="357" t="s">
        <v>408</v>
      </c>
      <c r="Z2101" s="365" t="s">
        <v>4408</v>
      </c>
      <c r="AA2101" s="350">
        <v>192</v>
      </c>
      <c r="AB2101" s="349" t="s">
        <v>2685</v>
      </c>
      <c r="AC2101" s="350">
        <v>0</v>
      </c>
      <c r="AD2101" s="349" t="s">
        <v>2685</v>
      </c>
      <c r="AE2101" s="364">
        <v>0</v>
      </c>
      <c r="AF2101" s="366">
        <v>0</v>
      </c>
      <c r="AG2101" s="363">
        <v>0</v>
      </c>
      <c r="AH2101" s="635" t="s">
        <v>408</v>
      </c>
      <c r="AL2101" s="487" t="s">
        <v>16473</v>
      </c>
      <c r="AM2101" s="477" t="s">
        <v>71</v>
      </c>
      <c r="AN2101" s="637">
        <v>100</v>
      </c>
      <c r="AO2101" s="478">
        <v>-1570</v>
      </c>
      <c r="AP2101" s="463">
        <v>-610</v>
      </c>
      <c r="AQ2101" s="479">
        <v>-960</v>
      </c>
      <c r="AR2101" s="476" t="s">
        <v>18137</v>
      </c>
      <c r="BA2101" s="313" t="s">
        <v>7081</v>
      </c>
    </row>
    <row r="2102" spans="2:53" ht="16.5" customHeight="1">
      <c r="B2102" s="367" t="s">
        <v>13881</v>
      </c>
      <c r="C2102" s="351" t="s">
        <v>13882</v>
      </c>
      <c r="D2102" s="353">
        <v>-1570</v>
      </c>
      <c r="E2102" s="352" t="s">
        <v>13885</v>
      </c>
      <c r="F2102" s="341">
        <v>56.88</v>
      </c>
      <c r="G2102" s="355" t="s">
        <v>7034</v>
      </c>
      <c r="H2102" s="356" t="s">
        <v>19369</v>
      </c>
      <c r="I2102" s="354" t="s">
        <v>213</v>
      </c>
      <c r="J2102" s="340" t="s">
        <v>8753</v>
      </c>
      <c r="K2102" s="339" t="s">
        <v>71</v>
      </c>
      <c r="L2102" s="357">
        <v>11</v>
      </c>
      <c r="M2102" s="358" t="s">
        <v>13884</v>
      </c>
      <c r="N2102" s="359">
        <v>1000</v>
      </c>
      <c r="O2102" s="360" t="s">
        <v>454</v>
      </c>
      <c r="P2102" s="343" t="s">
        <v>454</v>
      </c>
      <c r="Q2102" s="342" t="s">
        <v>2688</v>
      </c>
      <c r="R2102" s="344">
        <v>30</v>
      </c>
      <c r="S2102" s="345">
        <v>20</v>
      </c>
      <c r="T2102" s="362">
        <v>30</v>
      </c>
      <c r="U2102" s="361">
        <v>56.88</v>
      </c>
      <c r="V2102" s="346">
        <v>105.33823529411764</v>
      </c>
      <c r="W2102" s="348">
        <v>108.625</v>
      </c>
      <c r="X2102" s="347">
        <v>52.51</v>
      </c>
      <c r="Y2102" s="357" t="s">
        <v>408</v>
      </c>
      <c r="Z2102" s="365" t="s">
        <v>4408</v>
      </c>
      <c r="AA2102" s="350">
        <v>180</v>
      </c>
      <c r="AB2102" s="349" t="s">
        <v>2685</v>
      </c>
      <c r="AC2102" s="350">
        <v>10</v>
      </c>
      <c r="AD2102" s="349" t="s">
        <v>2685</v>
      </c>
      <c r="AE2102" s="364">
        <v>0</v>
      </c>
      <c r="AF2102" s="366">
        <v>0</v>
      </c>
      <c r="AG2102" s="363">
        <v>0</v>
      </c>
      <c r="AH2102" s="635" t="s">
        <v>408</v>
      </c>
      <c r="AL2102" s="487" t="s">
        <v>16475</v>
      </c>
      <c r="AM2102" s="477" t="s">
        <v>71</v>
      </c>
      <c r="AN2102" s="637">
        <v>100</v>
      </c>
      <c r="AO2102" s="478">
        <v>-1570</v>
      </c>
      <c r="AP2102" s="463">
        <v>-610</v>
      </c>
      <c r="AQ2102" s="479">
        <v>-960</v>
      </c>
      <c r="AR2102" s="476" t="s">
        <v>18138</v>
      </c>
      <c r="BA2102" s="313" t="s">
        <v>7082</v>
      </c>
    </row>
    <row r="2103" spans="2:53" ht="16.5" customHeight="1">
      <c r="B2103" s="367" t="s">
        <v>13887</v>
      </c>
      <c r="C2103" s="351" t="s">
        <v>13888</v>
      </c>
      <c r="D2103" s="353">
        <v>-1570</v>
      </c>
      <c r="E2103" s="352" t="s">
        <v>408</v>
      </c>
      <c r="F2103" s="341">
        <v>56.85</v>
      </c>
      <c r="G2103" s="355" t="s">
        <v>13889</v>
      </c>
      <c r="H2103" s="356" t="s">
        <v>13815</v>
      </c>
      <c r="I2103" s="354" t="s">
        <v>213</v>
      </c>
      <c r="J2103" s="340" t="s">
        <v>8307</v>
      </c>
      <c r="K2103" s="339" t="s">
        <v>70</v>
      </c>
      <c r="L2103" s="357">
        <v>9</v>
      </c>
      <c r="M2103" s="358" t="s">
        <v>13890</v>
      </c>
      <c r="N2103" s="359">
        <v>1000</v>
      </c>
      <c r="O2103" s="360" t="s">
        <v>454</v>
      </c>
      <c r="P2103" s="343" t="s">
        <v>454</v>
      </c>
      <c r="Q2103" s="342" t="s">
        <v>2688</v>
      </c>
      <c r="R2103" s="344">
        <v>20</v>
      </c>
      <c r="S2103" s="345">
        <v>30</v>
      </c>
      <c r="T2103" s="362">
        <v>30</v>
      </c>
      <c r="U2103" s="361">
        <v>56.85</v>
      </c>
      <c r="V2103" s="346">
        <v>105.32530120481928</v>
      </c>
      <c r="W2103" s="348">
        <v>108.60929432013769</v>
      </c>
      <c r="X2103" s="347">
        <v>52.86</v>
      </c>
      <c r="Y2103" s="357" t="s">
        <v>408</v>
      </c>
      <c r="Z2103" s="365" t="s">
        <v>4408</v>
      </c>
      <c r="AA2103" s="350">
        <v>180</v>
      </c>
      <c r="AB2103" s="349" t="s">
        <v>2685</v>
      </c>
      <c r="AC2103" s="350">
        <v>10</v>
      </c>
      <c r="AD2103" s="349" t="s">
        <v>2685</v>
      </c>
      <c r="AE2103" s="364">
        <v>0</v>
      </c>
      <c r="AF2103" s="366">
        <v>17.055</v>
      </c>
      <c r="AG2103" s="363">
        <v>0</v>
      </c>
      <c r="AH2103" s="635" t="s">
        <v>6224</v>
      </c>
      <c r="AL2103" s="487" t="s">
        <v>16476</v>
      </c>
      <c r="AM2103" s="477" t="s">
        <v>70</v>
      </c>
      <c r="AN2103" s="637">
        <v>100</v>
      </c>
      <c r="AO2103" s="478">
        <v>-1570</v>
      </c>
      <c r="AP2103" s="463">
        <v>-1570</v>
      </c>
      <c r="AQ2103" s="479">
        <v>0</v>
      </c>
      <c r="AR2103" s="476" t="s">
        <v>18139</v>
      </c>
      <c r="BA2103" s="313" t="s">
        <v>7084</v>
      </c>
    </row>
    <row r="2104" spans="2:53" ht="16.5" customHeight="1">
      <c r="B2104" s="367" t="s">
        <v>13891</v>
      </c>
      <c r="C2104" s="351" t="s">
        <v>13892</v>
      </c>
      <c r="D2104" s="353">
        <v>-1570</v>
      </c>
      <c r="E2104" s="352" t="s">
        <v>408</v>
      </c>
      <c r="F2104" s="341">
        <v>56.73</v>
      </c>
      <c r="G2104" s="355" t="s">
        <v>13893</v>
      </c>
      <c r="H2104" s="356" t="s">
        <v>13829</v>
      </c>
      <c r="I2104" s="354" t="s">
        <v>211</v>
      </c>
      <c r="J2104" s="340" t="s">
        <v>7363</v>
      </c>
      <c r="K2104" s="339" t="s">
        <v>70</v>
      </c>
      <c r="L2104" s="357">
        <v>32</v>
      </c>
      <c r="M2104" s="358" t="s">
        <v>13894</v>
      </c>
      <c r="N2104" s="359">
        <v>500</v>
      </c>
      <c r="O2104" s="360" t="s">
        <v>530</v>
      </c>
      <c r="P2104" s="343" t="s">
        <v>531</v>
      </c>
      <c r="Q2104" s="342" t="s">
        <v>2688</v>
      </c>
      <c r="R2104" s="344">
        <v>30</v>
      </c>
      <c r="S2104" s="345">
        <v>40</v>
      </c>
      <c r="T2104" s="362">
        <v>30</v>
      </c>
      <c r="U2104" s="361">
        <v>56.73</v>
      </c>
      <c r="V2104" s="346">
        <v>105.25315441065035</v>
      </c>
      <c r="W2104" s="348">
        <v>108.52168749864686</v>
      </c>
      <c r="X2104" s="347">
        <v>52.82</v>
      </c>
      <c r="Y2104" s="357">
        <v>51.69</v>
      </c>
      <c r="Z2104" s="365" t="s">
        <v>4408</v>
      </c>
      <c r="AA2104" s="350">
        <v>24</v>
      </c>
      <c r="AB2104" s="349" t="s">
        <v>2685</v>
      </c>
      <c r="AC2104" s="350">
        <v>5</v>
      </c>
      <c r="AD2104" s="349" t="s">
        <v>2685</v>
      </c>
      <c r="AE2104" s="364">
        <v>0</v>
      </c>
      <c r="AF2104" s="366">
        <v>7.7539999999999996</v>
      </c>
      <c r="AG2104" s="363">
        <v>0</v>
      </c>
      <c r="AH2104" s="635" t="s">
        <v>4662</v>
      </c>
      <c r="AL2104" s="487" t="s">
        <v>16477</v>
      </c>
      <c r="AM2104" s="477" t="s">
        <v>70</v>
      </c>
      <c r="AN2104" s="637">
        <v>100</v>
      </c>
      <c r="AO2104" s="478">
        <v>-1570</v>
      </c>
      <c r="AP2104" s="463">
        <v>-1570</v>
      </c>
      <c r="AQ2104" s="479">
        <v>0</v>
      </c>
      <c r="AR2104" s="476" t="s">
        <v>18140</v>
      </c>
      <c r="BA2104" s="313" t="s">
        <v>7085</v>
      </c>
    </row>
    <row r="2105" spans="2:53" ht="16.5" customHeight="1">
      <c r="B2105" s="367" t="s">
        <v>13895</v>
      </c>
      <c r="C2105" s="351" t="s">
        <v>13896</v>
      </c>
      <c r="D2105" s="353">
        <v>-1570</v>
      </c>
      <c r="E2105" s="352" t="s">
        <v>408</v>
      </c>
      <c r="F2105" s="341">
        <v>56.5</v>
      </c>
      <c r="G2105" s="355" t="s">
        <v>13897</v>
      </c>
      <c r="H2105" s="356" t="s">
        <v>19370</v>
      </c>
      <c r="I2105" s="354" t="s">
        <v>497</v>
      </c>
      <c r="J2105" s="340" t="s">
        <v>13898</v>
      </c>
      <c r="K2105" s="339" t="s">
        <v>71</v>
      </c>
      <c r="L2105" s="357">
        <v>6</v>
      </c>
      <c r="M2105" s="358" t="s">
        <v>13899</v>
      </c>
      <c r="N2105" s="359">
        <v>200</v>
      </c>
      <c r="O2105" s="360" t="s">
        <v>454</v>
      </c>
      <c r="P2105" s="343" t="s">
        <v>454</v>
      </c>
      <c r="Q2105" s="342" t="s">
        <v>2738</v>
      </c>
      <c r="R2105" s="344">
        <v>50</v>
      </c>
      <c r="S2105" s="345">
        <v>0</v>
      </c>
      <c r="T2105" s="362">
        <v>0</v>
      </c>
      <c r="U2105" s="361">
        <v>56.5</v>
      </c>
      <c r="V2105" s="346">
        <v>105.11764705882352</v>
      </c>
      <c r="W2105" s="348">
        <v>108.35714285714286</v>
      </c>
      <c r="X2105" s="347">
        <v>52.74</v>
      </c>
      <c r="Y2105" s="357" t="s">
        <v>408</v>
      </c>
      <c r="Z2105" s="365" t="s">
        <v>4408</v>
      </c>
      <c r="AA2105" s="350">
        <v>94</v>
      </c>
      <c r="AB2105" s="349" t="s">
        <v>2685</v>
      </c>
      <c r="AC2105" s="350">
        <v>1.5</v>
      </c>
      <c r="AD2105" s="349" t="s">
        <v>2685</v>
      </c>
      <c r="AE2105" s="364">
        <v>0</v>
      </c>
      <c r="AF2105" s="366">
        <v>0</v>
      </c>
      <c r="AG2105" s="363">
        <v>0</v>
      </c>
      <c r="AH2105" s="635" t="s">
        <v>10127</v>
      </c>
      <c r="AL2105" s="487" t="s">
        <v>16478</v>
      </c>
      <c r="AM2105" s="477" t="s">
        <v>71</v>
      </c>
      <c r="AN2105" s="637">
        <v>100</v>
      </c>
      <c r="AO2105" s="478">
        <v>-1570</v>
      </c>
      <c r="AP2105" s="463">
        <v>-609</v>
      </c>
      <c r="AQ2105" s="479">
        <v>-961</v>
      </c>
      <c r="AR2105" s="476" t="s">
        <v>18141</v>
      </c>
      <c r="BA2105" s="313" t="s">
        <v>7086</v>
      </c>
    </row>
    <row r="2106" spans="2:53" ht="16.5" customHeight="1">
      <c r="B2106" s="367" t="s">
        <v>13895</v>
      </c>
      <c r="C2106" s="351" t="s">
        <v>13896</v>
      </c>
      <c r="D2106" s="353">
        <v>-1570</v>
      </c>
      <c r="E2106" s="352" t="s">
        <v>408</v>
      </c>
      <c r="F2106" s="341">
        <v>56.5</v>
      </c>
      <c r="G2106" s="355" t="s">
        <v>13897</v>
      </c>
      <c r="H2106" s="356" t="s">
        <v>19370</v>
      </c>
      <c r="I2106" s="354" t="s">
        <v>497</v>
      </c>
      <c r="J2106" s="340" t="s">
        <v>503</v>
      </c>
      <c r="K2106" s="339" t="s">
        <v>71</v>
      </c>
      <c r="L2106" s="357">
        <v>2</v>
      </c>
      <c r="M2106" s="358" t="s">
        <v>13899</v>
      </c>
      <c r="N2106" s="359">
        <v>200</v>
      </c>
      <c r="O2106" s="360" t="s">
        <v>454</v>
      </c>
      <c r="P2106" s="343" t="s">
        <v>454</v>
      </c>
      <c r="Q2106" s="342" t="s">
        <v>2738</v>
      </c>
      <c r="R2106" s="344">
        <v>50</v>
      </c>
      <c r="S2106" s="345">
        <v>0</v>
      </c>
      <c r="T2106" s="362">
        <v>0</v>
      </c>
      <c r="U2106" s="361">
        <v>56.5</v>
      </c>
      <c r="V2106" s="346">
        <v>105.11764705882352</v>
      </c>
      <c r="W2106" s="348">
        <v>108.35714285714286</v>
      </c>
      <c r="X2106" s="347">
        <v>52.74</v>
      </c>
      <c r="Y2106" s="357" t="s">
        <v>408</v>
      </c>
      <c r="Z2106" s="365" t="s">
        <v>4408</v>
      </c>
      <c r="AA2106" s="350">
        <v>94</v>
      </c>
      <c r="AB2106" s="349" t="s">
        <v>2685</v>
      </c>
      <c r="AC2106" s="350">
        <v>1.5</v>
      </c>
      <c r="AD2106" s="349" t="s">
        <v>2685</v>
      </c>
      <c r="AE2106" s="364">
        <v>0</v>
      </c>
      <c r="AF2106" s="366">
        <v>0</v>
      </c>
      <c r="AG2106" s="363">
        <v>0</v>
      </c>
      <c r="AH2106" s="635" t="s">
        <v>10127</v>
      </c>
      <c r="AL2106" s="487" t="s">
        <v>16479</v>
      </c>
      <c r="AM2106" s="477" t="s">
        <v>71</v>
      </c>
      <c r="AN2106" s="637">
        <v>100</v>
      </c>
      <c r="AO2106" s="478">
        <v>-1570</v>
      </c>
      <c r="AP2106" s="463">
        <v>-609</v>
      </c>
      <c r="AQ2106" s="479">
        <v>-961</v>
      </c>
      <c r="AR2106" s="476" t="s">
        <v>18141</v>
      </c>
      <c r="BA2106" s="313" t="s">
        <v>7087</v>
      </c>
    </row>
    <row r="2107" spans="2:53" ht="16.5" customHeight="1">
      <c r="B2107" s="367" t="s">
        <v>13900</v>
      </c>
      <c r="C2107" s="351" t="s">
        <v>13901</v>
      </c>
      <c r="D2107" s="353">
        <v>-1570</v>
      </c>
      <c r="E2107" s="352" t="s">
        <v>408</v>
      </c>
      <c r="F2107" s="341">
        <v>56.47</v>
      </c>
      <c r="G2107" s="355" t="s">
        <v>13902</v>
      </c>
      <c r="H2107" s="356" t="s">
        <v>19371</v>
      </c>
      <c r="I2107" s="354" t="s">
        <v>8000</v>
      </c>
      <c r="J2107" s="340" t="s">
        <v>13903</v>
      </c>
      <c r="K2107" s="339" t="s">
        <v>70</v>
      </c>
      <c r="L2107" s="357">
        <v>18</v>
      </c>
      <c r="M2107" s="358" t="s">
        <v>13904</v>
      </c>
      <c r="N2107" s="359">
        <v>1000</v>
      </c>
      <c r="O2107" s="360" t="s">
        <v>532</v>
      </c>
      <c r="P2107" s="343" t="s">
        <v>532</v>
      </c>
      <c r="Q2107" s="342" t="s">
        <v>2688</v>
      </c>
      <c r="R2107" s="344">
        <v>25</v>
      </c>
      <c r="S2107" s="345">
        <v>30</v>
      </c>
      <c r="T2107" s="362">
        <v>25</v>
      </c>
      <c r="U2107" s="361">
        <v>56.47</v>
      </c>
      <c r="V2107" s="346">
        <v>105.10013684479499</v>
      </c>
      <c r="W2107" s="348">
        <v>108.33588045439393</v>
      </c>
      <c r="X2107" s="347" t="s">
        <v>19372</v>
      </c>
      <c r="Y2107" s="357" t="s">
        <v>408</v>
      </c>
      <c r="Z2107" s="365" t="s">
        <v>4408</v>
      </c>
      <c r="AA2107" s="350">
        <v>192</v>
      </c>
      <c r="AB2107" s="349" t="s">
        <v>2685</v>
      </c>
      <c r="AC2107" s="350">
        <v>0</v>
      </c>
      <c r="AD2107" s="349" t="s">
        <v>2685</v>
      </c>
      <c r="AE2107" s="364">
        <v>0</v>
      </c>
      <c r="AF2107" s="366">
        <v>0</v>
      </c>
      <c r="AG2107" s="363">
        <v>0</v>
      </c>
      <c r="AH2107" s="635" t="s">
        <v>408</v>
      </c>
      <c r="AL2107" s="487" t="s">
        <v>16480</v>
      </c>
      <c r="AM2107" s="477" t="s">
        <v>70</v>
      </c>
      <c r="AN2107" s="637">
        <v>100</v>
      </c>
      <c r="AO2107" s="478">
        <v>-1570</v>
      </c>
      <c r="AP2107" s="463">
        <v>-1570</v>
      </c>
      <c r="AQ2107" s="479">
        <v>0</v>
      </c>
      <c r="AR2107" s="476" t="s">
        <v>18142</v>
      </c>
      <c r="BA2107" s="313" t="s">
        <v>7088</v>
      </c>
    </row>
    <row r="2108" spans="2:53" ht="16.5" customHeight="1">
      <c r="B2108" s="367" t="s">
        <v>13905</v>
      </c>
      <c r="C2108" s="351" t="s">
        <v>13906</v>
      </c>
      <c r="D2108" s="353">
        <v>-1570</v>
      </c>
      <c r="E2108" s="352" t="s">
        <v>408</v>
      </c>
      <c r="F2108" s="341">
        <v>56.44</v>
      </c>
      <c r="G2108" s="355" t="s">
        <v>13907</v>
      </c>
      <c r="H2108" s="356" t="s">
        <v>19373</v>
      </c>
      <c r="I2108" s="354" t="s">
        <v>213</v>
      </c>
      <c r="J2108" s="340" t="s">
        <v>13908</v>
      </c>
      <c r="K2108" s="339" t="s">
        <v>70</v>
      </c>
      <c r="L2108" s="357">
        <v>11</v>
      </c>
      <c r="M2108" s="358" t="s">
        <v>13909</v>
      </c>
      <c r="N2108" s="359">
        <v>1000</v>
      </c>
      <c r="O2108" s="360" t="s">
        <v>454</v>
      </c>
      <c r="P2108" s="343" t="s">
        <v>454</v>
      </c>
      <c r="Q2108" s="342" t="s">
        <v>2688</v>
      </c>
      <c r="R2108" s="344">
        <v>20</v>
      </c>
      <c r="S2108" s="345">
        <v>30</v>
      </c>
      <c r="T2108" s="362">
        <v>30</v>
      </c>
      <c r="U2108" s="361">
        <v>56.44</v>
      </c>
      <c r="V2108" s="346">
        <v>105.08344733242134</v>
      </c>
      <c r="W2108" s="348">
        <v>108.3156146179402</v>
      </c>
      <c r="X2108" s="347">
        <v>52.72</v>
      </c>
      <c r="Y2108" s="357" t="s">
        <v>408</v>
      </c>
      <c r="Z2108" s="365" t="s">
        <v>4408</v>
      </c>
      <c r="AA2108" s="350">
        <v>180</v>
      </c>
      <c r="AB2108" s="349" t="s">
        <v>2685</v>
      </c>
      <c r="AC2108" s="350">
        <v>10</v>
      </c>
      <c r="AD2108" s="349" t="s">
        <v>2685</v>
      </c>
      <c r="AE2108" s="364">
        <v>0</v>
      </c>
      <c r="AF2108" s="366">
        <v>33.863999999999997</v>
      </c>
      <c r="AG2108" s="363">
        <v>0</v>
      </c>
      <c r="AH2108" s="635" t="s">
        <v>12613</v>
      </c>
      <c r="AL2108" s="487" t="s">
        <v>16481</v>
      </c>
      <c r="AM2108" s="477" t="s">
        <v>70</v>
      </c>
      <c r="AN2108" s="637">
        <v>100</v>
      </c>
      <c r="AO2108" s="478">
        <v>-1570</v>
      </c>
      <c r="AP2108" s="463">
        <v>-1570</v>
      </c>
      <c r="AQ2108" s="479">
        <v>0</v>
      </c>
      <c r="AR2108" s="476" t="s">
        <v>18143</v>
      </c>
      <c r="BA2108" s="313" t="s">
        <v>7090</v>
      </c>
    </row>
    <row r="2109" spans="2:53" ht="16.5" customHeight="1">
      <c r="B2109" s="367" t="s">
        <v>13910</v>
      </c>
      <c r="C2109" s="351" t="s">
        <v>13911</v>
      </c>
      <c r="D2109" s="353">
        <v>-1570</v>
      </c>
      <c r="E2109" s="352" t="s">
        <v>408</v>
      </c>
      <c r="F2109" s="341">
        <v>56.43</v>
      </c>
      <c r="G2109" s="355" t="s">
        <v>13912</v>
      </c>
      <c r="H2109" s="356" t="s">
        <v>19374</v>
      </c>
      <c r="I2109" s="354" t="s">
        <v>8000</v>
      </c>
      <c r="J2109" s="340" t="s">
        <v>13913</v>
      </c>
      <c r="K2109" s="339" t="s">
        <v>70</v>
      </c>
      <c r="L2109" s="357">
        <v>5</v>
      </c>
      <c r="M2109" s="358" t="s">
        <v>13914</v>
      </c>
      <c r="N2109" s="359">
        <v>1000</v>
      </c>
      <c r="O2109" s="360" t="s">
        <v>532</v>
      </c>
      <c r="P2109" s="343" t="s">
        <v>532</v>
      </c>
      <c r="Q2109" s="342" t="s">
        <v>2688</v>
      </c>
      <c r="R2109" s="344">
        <v>25</v>
      </c>
      <c r="S2109" s="345">
        <v>30</v>
      </c>
      <c r="T2109" s="362">
        <v>25</v>
      </c>
      <c r="U2109" s="361">
        <v>56.43</v>
      </c>
      <c r="V2109" s="346">
        <v>105.07878704609564</v>
      </c>
      <c r="W2109" s="348">
        <v>108.30995569883044</v>
      </c>
      <c r="X2109" s="347" t="s">
        <v>19375</v>
      </c>
      <c r="Y2109" s="357" t="s">
        <v>408</v>
      </c>
      <c r="Z2109" s="365" t="s">
        <v>4408</v>
      </c>
      <c r="AA2109" s="350">
        <v>192</v>
      </c>
      <c r="AB2109" s="349" t="s">
        <v>2685</v>
      </c>
      <c r="AC2109" s="350">
        <v>0</v>
      </c>
      <c r="AD2109" s="349" t="s">
        <v>2685</v>
      </c>
      <c r="AE2109" s="364">
        <v>0</v>
      </c>
      <c r="AF2109" s="366">
        <v>0</v>
      </c>
      <c r="AG2109" s="363">
        <v>0</v>
      </c>
      <c r="AH2109" s="635" t="s">
        <v>408</v>
      </c>
      <c r="AL2109" s="487" t="s">
        <v>16482</v>
      </c>
      <c r="AM2109" s="477" t="s">
        <v>70</v>
      </c>
      <c r="AN2109" s="637">
        <v>100</v>
      </c>
      <c r="AO2109" s="478">
        <v>-1570</v>
      </c>
      <c r="AP2109" s="463">
        <v>-1570</v>
      </c>
      <c r="AQ2109" s="479">
        <v>0</v>
      </c>
      <c r="AR2109" s="476" t="s">
        <v>18144</v>
      </c>
      <c r="BA2109" s="313" t="s">
        <v>7091</v>
      </c>
    </row>
    <row r="2110" spans="2:53" ht="16.5" customHeight="1">
      <c r="B2110" s="367" t="s">
        <v>13915</v>
      </c>
      <c r="C2110" s="351" t="s">
        <v>13916</v>
      </c>
      <c r="D2110" s="353">
        <v>-1570</v>
      </c>
      <c r="E2110" s="352" t="s">
        <v>408</v>
      </c>
      <c r="F2110" s="341">
        <v>56.41</v>
      </c>
      <c r="G2110" s="355" t="s">
        <v>13917</v>
      </c>
      <c r="H2110" s="356" t="s">
        <v>19376</v>
      </c>
      <c r="I2110" s="354" t="s">
        <v>8000</v>
      </c>
      <c r="J2110" s="340" t="s">
        <v>13918</v>
      </c>
      <c r="K2110" s="339" t="s">
        <v>70</v>
      </c>
      <c r="L2110" s="357">
        <v>8</v>
      </c>
      <c r="M2110" s="358" t="s">
        <v>13919</v>
      </c>
      <c r="N2110" s="359">
        <v>1000</v>
      </c>
      <c r="O2110" s="360" t="s">
        <v>532</v>
      </c>
      <c r="P2110" s="343" t="s">
        <v>532</v>
      </c>
      <c r="Q2110" s="342" t="s">
        <v>2688</v>
      </c>
      <c r="R2110" s="344">
        <v>25</v>
      </c>
      <c r="S2110" s="345">
        <v>30</v>
      </c>
      <c r="T2110" s="362">
        <v>25</v>
      </c>
      <c r="U2110" s="361">
        <v>56.41</v>
      </c>
      <c r="V2110" s="346">
        <v>105.06353718988186</v>
      </c>
      <c r="W2110" s="348">
        <v>108.29143801628511</v>
      </c>
      <c r="X2110" s="347" t="s">
        <v>19375</v>
      </c>
      <c r="Y2110" s="357" t="s">
        <v>408</v>
      </c>
      <c r="Z2110" s="365" t="s">
        <v>4408</v>
      </c>
      <c r="AA2110" s="350">
        <v>192</v>
      </c>
      <c r="AB2110" s="349" t="s">
        <v>2685</v>
      </c>
      <c r="AC2110" s="350">
        <v>0</v>
      </c>
      <c r="AD2110" s="349" t="s">
        <v>2685</v>
      </c>
      <c r="AE2110" s="364">
        <v>0</v>
      </c>
      <c r="AF2110" s="366">
        <v>0</v>
      </c>
      <c r="AG2110" s="363">
        <v>0</v>
      </c>
      <c r="AH2110" s="635" t="s">
        <v>408</v>
      </c>
      <c r="AL2110" s="487" t="s">
        <v>16483</v>
      </c>
      <c r="AM2110" s="477" t="s">
        <v>70</v>
      </c>
      <c r="AN2110" s="637">
        <v>100</v>
      </c>
      <c r="AO2110" s="478">
        <v>-1570</v>
      </c>
      <c r="AP2110" s="463">
        <v>-1570</v>
      </c>
      <c r="AQ2110" s="479">
        <v>0</v>
      </c>
      <c r="AR2110" s="476" t="s">
        <v>18145</v>
      </c>
      <c r="BA2110" s="313" t="s">
        <v>7092</v>
      </c>
    </row>
    <row r="2111" spans="2:53" ht="16.5" customHeight="1">
      <c r="B2111" s="367" t="s">
        <v>13920</v>
      </c>
      <c r="C2111" s="351" t="s">
        <v>13921</v>
      </c>
      <c r="D2111" s="353">
        <v>-1570</v>
      </c>
      <c r="E2111" s="352" t="s">
        <v>408</v>
      </c>
      <c r="F2111" s="341">
        <v>56.29</v>
      </c>
      <c r="G2111" s="355" t="s">
        <v>13922</v>
      </c>
      <c r="H2111" s="356" t="s">
        <v>19377</v>
      </c>
      <c r="I2111" s="354" t="s">
        <v>8000</v>
      </c>
      <c r="J2111" s="340" t="s">
        <v>13923</v>
      </c>
      <c r="K2111" s="339" t="s">
        <v>70</v>
      </c>
      <c r="L2111" s="357">
        <v>7</v>
      </c>
      <c r="M2111" s="358" t="s">
        <v>13839</v>
      </c>
      <c r="N2111" s="359">
        <v>1000</v>
      </c>
      <c r="O2111" s="360" t="s">
        <v>532</v>
      </c>
      <c r="P2111" s="343" t="s">
        <v>532</v>
      </c>
      <c r="Q2111" s="342" t="s">
        <v>2688</v>
      </c>
      <c r="R2111" s="344">
        <v>25</v>
      </c>
      <c r="S2111" s="345">
        <v>30</v>
      </c>
      <c r="T2111" s="362">
        <v>25</v>
      </c>
      <c r="U2111" s="361">
        <v>56.29</v>
      </c>
      <c r="V2111" s="346">
        <v>104.99403711167157</v>
      </c>
      <c r="W2111" s="348">
        <v>108.20619322298286</v>
      </c>
      <c r="X2111" s="347" t="s">
        <v>19378</v>
      </c>
      <c r="Y2111" s="357" t="s">
        <v>408</v>
      </c>
      <c r="Z2111" s="365" t="s">
        <v>4408</v>
      </c>
      <c r="AA2111" s="350">
        <v>192</v>
      </c>
      <c r="AB2111" s="349" t="s">
        <v>2685</v>
      </c>
      <c r="AC2111" s="350">
        <v>0</v>
      </c>
      <c r="AD2111" s="349" t="s">
        <v>2685</v>
      </c>
      <c r="AE2111" s="364">
        <v>0</v>
      </c>
      <c r="AF2111" s="366">
        <v>0</v>
      </c>
      <c r="AG2111" s="363">
        <v>0</v>
      </c>
      <c r="AH2111" s="635" t="s">
        <v>408</v>
      </c>
      <c r="AL2111" s="487" t="s">
        <v>16484</v>
      </c>
      <c r="AM2111" s="477" t="s">
        <v>70</v>
      </c>
      <c r="AN2111" s="637">
        <v>100</v>
      </c>
      <c r="AO2111" s="478">
        <v>-1570</v>
      </c>
      <c r="AP2111" s="463">
        <v>-1570</v>
      </c>
      <c r="AQ2111" s="479">
        <v>0</v>
      </c>
      <c r="AR2111" s="476" t="s">
        <v>18146</v>
      </c>
      <c r="BA2111" s="313" t="s">
        <v>7093</v>
      </c>
    </row>
    <row r="2112" spans="2:53" ht="16.5" customHeight="1">
      <c r="B2112" s="367" t="s">
        <v>13924</v>
      </c>
      <c r="C2112" s="351" t="s">
        <v>13925</v>
      </c>
      <c r="D2112" s="353">
        <v>-1570</v>
      </c>
      <c r="E2112" s="352" t="s">
        <v>408</v>
      </c>
      <c r="F2112" s="341">
        <v>56.24</v>
      </c>
      <c r="G2112" s="355" t="s">
        <v>13926</v>
      </c>
      <c r="H2112" s="356" t="s">
        <v>19379</v>
      </c>
      <c r="I2112" s="354" t="s">
        <v>213</v>
      </c>
      <c r="J2112" s="340" t="s">
        <v>13927</v>
      </c>
      <c r="K2112" s="339" t="s">
        <v>70</v>
      </c>
      <c r="L2112" s="357">
        <v>9</v>
      </c>
      <c r="M2112" s="358" t="s">
        <v>13928</v>
      </c>
      <c r="N2112" s="359">
        <v>1000</v>
      </c>
      <c r="O2112" s="360" t="s">
        <v>454</v>
      </c>
      <c r="P2112" s="343" t="s">
        <v>454</v>
      </c>
      <c r="Q2112" s="342" t="s">
        <v>2688</v>
      </c>
      <c r="R2112" s="344">
        <v>20</v>
      </c>
      <c r="S2112" s="345">
        <v>30</v>
      </c>
      <c r="T2112" s="362">
        <v>30</v>
      </c>
      <c r="U2112" s="361">
        <v>56.24</v>
      </c>
      <c r="V2112" s="346">
        <v>104.96766011414077</v>
      </c>
      <c r="W2112" s="348">
        <v>108.17039586919105</v>
      </c>
      <c r="X2112" s="347">
        <v>52.64</v>
      </c>
      <c r="Y2112" s="357" t="s">
        <v>408</v>
      </c>
      <c r="Z2112" s="365" t="s">
        <v>4408</v>
      </c>
      <c r="AA2112" s="350">
        <v>180</v>
      </c>
      <c r="AB2112" s="349" t="s">
        <v>2685</v>
      </c>
      <c r="AC2112" s="350">
        <v>10</v>
      </c>
      <c r="AD2112" s="349" t="s">
        <v>2685</v>
      </c>
      <c r="AE2112" s="364">
        <v>0</v>
      </c>
      <c r="AF2112" s="366">
        <v>16.872</v>
      </c>
      <c r="AG2112" s="363">
        <v>0</v>
      </c>
      <c r="AH2112" s="635" t="s">
        <v>6224</v>
      </c>
      <c r="AL2112" s="487" t="s">
        <v>16485</v>
      </c>
      <c r="AM2112" s="477" t="s">
        <v>70</v>
      </c>
      <c r="AN2112" s="637">
        <v>100</v>
      </c>
      <c r="AO2112" s="478">
        <v>-1570</v>
      </c>
      <c r="AP2112" s="463">
        <v>-1570</v>
      </c>
      <c r="AQ2112" s="479">
        <v>0</v>
      </c>
      <c r="AR2112" s="476" t="s">
        <v>18147</v>
      </c>
      <c r="BA2112" s="313" t="s">
        <v>7094</v>
      </c>
    </row>
    <row r="2113" spans="2:53" ht="16.5" customHeight="1">
      <c r="B2113" s="367" t="s">
        <v>13929</v>
      </c>
      <c r="C2113" s="351" t="s">
        <v>13930</v>
      </c>
      <c r="D2113" s="353">
        <v>-1570</v>
      </c>
      <c r="E2113" s="352" t="s">
        <v>408</v>
      </c>
      <c r="F2113" s="341">
        <v>56.17</v>
      </c>
      <c r="G2113" s="355" t="s">
        <v>13931</v>
      </c>
      <c r="H2113" s="356" t="s">
        <v>19380</v>
      </c>
      <c r="I2113" s="354" t="s">
        <v>213</v>
      </c>
      <c r="J2113" s="340" t="s">
        <v>8478</v>
      </c>
      <c r="K2113" s="339" t="s">
        <v>70</v>
      </c>
      <c r="L2113" s="357">
        <v>21</v>
      </c>
      <c r="M2113" s="358" t="s">
        <v>4149</v>
      </c>
      <c r="N2113" s="359">
        <v>1000</v>
      </c>
      <c r="O2113" s="360" t="s">
        <v>454</v>
      </c>
      <c r="P2113" s="343" t="s">
        <v>454</v>
      </c>
      <c r="Q2113" s="342" t="s">
        <v>2688</v>
      </c>
      <c r="R2113" s="344">
        <v>20</v>
      </c>
      <c r="S2113" s="345">
        <v>30</v>
      </c>
      <c r="T2113" s="362">
        <v>30</v>
      </c>
      <c r="U2113" s="361">
        <v>56.17</v>
      </c>
      <c r="V2113" s="346">
        <v>104.92932330827068</v>
      </c>
      <c r="W2113" s="348">
        <v>108.11836734693878</v>
      </c>
      <c r="X2113" s="347">
        <v>52.61</v>
      </c>
      <c r="Y2113" s="357" t="s">
        <v>408</v>
      </c>
      <c r="Z2113" s="365" t="s">
        <v>4408</v>
      </c>
      <c r="AA2113" s="350">
        <v>180</v>
      </c>
      <c r="AB2113" s="349" t="s">
        <v>2685</v>
      </c>
      <c r="AC2113" s="350">
        <v>10</v>
      </c>
      <c r="AD2113" s="349" t="s">
        <v>2685</v>
      </c>
      <c r="AE2113" s="364">
        <v>0</v>
      </c>
      <c r="AF2113" s="366">
        <v>42.128</v>
      </c>
      <c r="AG2113" s="363">
        <v>0</v>
      </c>
      <c r="AH2113" s="635" t="s">
        <v>12809</v>
      </c>
      <c r="AL2113" s="487" t="s">
        <v>16486</v>
      </c>
      <c r="AM2113" s="477" t="s">
        <v>70</v>
      </c>
      <c r="AN2113" s="637">
        <v>100</v>
      </c>
      <c r="AO2113" s="478">
        <v>-1570</v>
      </c>
      <c r="AP2113" s="463">
        <v>-1570</v>
      </c>
      <c r="AQ2113" s="479">
        <v>0</v>
      </c>
      <c r="AR2113" s="476" t="s">
        <v>18148</v>
      </c>
      <c r="BA2113" s="313" t="s">
        <v>7095</v>
      </c>
    </row>
    <row r="2114" spans="2:53" ht="16.5" customHeight="1">
      <c r="B2114" s="367" t="s">
        <v>13932</v>
      </c>
      <c r="C2114" s="351" t="s">
        <v>13933</v>
      </c>
      <c r="D2114" s="353">
        <v>-1570</v>
      </c>
      <c r="E2114" s="352" t="s">
        <v>408</v>
      </c>
      <c r="F2114" s="341">
        <v>56.07</v>
      </c>
      <c r="G2114" s="355" t="s">
        <v>13934</v>
      </c>
      <c r="H2114" s="356" t="s">
        <v>19381</v>
      </c>
      <c r="I2114" s="354" t="s">
        <v>213</v>
      </c>
      <c r="J2114" s="340" t="s">
        <v>13935</v>
      </c>
      <c r="K2114" s="339" t="s">
        <v>70</v>
      </c>
      <c r="L2114" s="357">
        <v>9</v>
      </c>
      <c r="M2114" s="358" t="s">
        <v>13936</v>
      </c>
      <c r="N2114" s="359">
        <v>1000</v>
      </c>
      <c r="O2114" s="360" t="s">
        <v>454</v>
      </c>
      <c r="P2114" s="343" t="s">
        <v>454</v>
      </c>
      <c r="Q2114" s="342" t="s">
        <v>2688</v>
      </c>
      <c r="R2114" s="344">
        <v>20</v>
      </c>
      <c r="S2114" s="345">
        <v>30</v>
      </c>
      <c r="T2114" s="362">
        <v>30</v>
      </c>
      <c r="U2114" s="361">
        <v>56.07</v>
      </c>
      <c r="V2114" s="346">
        <v>104.8782129742962</v>
      </c>
      <c r="W2114" s="348">
        <v>108.04900332225914</v>
      </c>
      <c r="X2114" s="347">
        <v>52.58</v>
      </c>
      <c r="Y2114" s="357" t="s">
        <v>408</v>
      </c>
      <c r="Z2114" s="365" t="s">
        <v>4408</v>
      </c>
      <c r="AA2114" s="350">
        <v>180</v>
      </c>
      <c r="AB2114" s="349" t="s">
        <v>2685</v>
      </c>
      <c r="AC2114" s="350">
        <v>10</v>
      </c>
      <c r="AD2114" s="349" t="s">
        <v>2685</v>
      </c>
      <c r="AE2114" s="364">
        <v>0</v>
      </c>
      <c r="AF2114" s="366">
        <v>33.642000000000003</v>
      </c>
      <c r="AG2114" s="363">
        <v>0</v>
      </c>
      <c r="AH2114" s="635" t="s">
        <v>12613</v>
      </c>
      <c r="AL2114" s="487" t="s">
        <v>16487</v>
      </c>
      <c r="AM2114" s="477" t="s">
        <v>70</v>
      </c>
      <c r="AN2114" s="637">
        <v>100</v>
      </c>
      <c r="AO2114" s="478">
        <v>-1570</v>
      </c>
      <c r="AP2114" s="463">
        <v>-1570</v>
      </c>
      <c r="AQ2114" s="479">
        <v>0</v>
      </c>
      <c r="AR2114" s="476" t="s">
        <v>18149</v>
      </c>
      <c r="BA2114" s="313" t="s">
        <v>7096</v>
      </c>
    </row>
    <row r="2115" spans="2:53" ht="16.5" customHeight="1">
      <c r="B2115" s="367" t="s">
        <v>18318</v>
      </c>
      <c r="C2115" s="351" t="s">
        <v>18319</v>
      </c>
      <c r="D2115" s="353">
        <v>-1570</v>
      </c>
      <c r="E2115" s="352" t="s">
        <v>13937</v>
      </c>
      <c r="F2115" s="341">
        <v>55.95</v>
      </c>
      <c r="G2115" s="355" t="s">
        <v>14070</v>
      </c>
      <c r="H2115" s="356" t="s">
        <v>19382</v>
      </c>
      <c r="I2115" s="354" t="s">
        <v>212</v>
      </c>
      <c r="J2115" s="340" t="s">
        <v>7354</v>
      </c>
      <c r="K2115" s="339" t="s">
        <v>71</v>
      </c>
      <c r="L2115" s="357">
        <v>5</v>
      </c>
      <c r="M2115" s="358" t="s">
        <v>13938</v>
      </c>
      <c r="N2115" s="359">
        <v>800</v>
      </c>
      <c r="O2115" s="360" t="s">
        <v>532</v>
      </c>
      <c r="P2115" s="343" t="s">
        <v>532</v>
      </c>
      <c r="Q2115" s="342" t="s">
        <v>2688</v>
      </c>
      <c r="R2115" s="344">
        <v>40</v>
      </c>
      <c r="S2115" s="345">
        <v>30</v>
      </c>
      <c r="T2115" s="362">
        <v>30</v>
      </c>
      <c r="U2115" s="361">
        <v>55.95</v>
      </c>
      <c r="V2115" s="346">
        <v>104.81713661573097</v>
      </c>
      <c r="W2115" s="348">
        <v>107.97364420549381</v>
      </c>
      <c r="X2115" s="347" t="s">
        <v>19383</v>
      </c>
      <c r="Y2115" s="357" t="s">
        <v>408</v>
      </c>
      <c r="Z2115" s="365" t="s">
        <v>3017</v>
      </c>
      <c r="AA2115" s="350">
        <v>190</v>
      </c>
      <c r="AB2115" s="349" t="s">
        <v>2685</v>
      </c>
      <c r="AC2115" s="350">
        <v>10</v>
      </c>
      <c r="AD2115" s="349" t="s">
        <v>2685</v>
      </c>
      <c r="AE2115" s="364">
        <v>0</v>
      </c>
      <c r="AF2115" s="366">
        <v>0</v>
      </c>
      <c r="AG2115" s="363">
        <v>0</v>
      </c>
      <c r="AH2115" s="635" t="s">
        <v>408</v>
      </c>
      <c r="AL2115" s="487" t="s">
        <v>16488</v>
      </c>
      <c r="AM2115" s="477" t="s">
        <v>71</v>
      </c>
      <c r="AN2115" s="637">
        <v>100</v>
      </c>
      <c r="AO2115" s="478">
        <v>-1570</v>
      </c>
      <c r="AP2115" s="463">
        <v>-603</v>
      </c>
      <c r="AQ2115" s="479">
        <v>-967</v>
      </c>
      <c r="AR2115" s="476" t="s">
        <v>18150</v>
      </c>
      <c r="BA2115" s="313" t="s">
        <v>7097</v>
      </c>
    </row>
    <row r="2116" spans="2:53" ht="16.5" customHeight="1">
      <c r="B2116" s="367" t="s">
        <v>7560</v>
      </c>
      <c r="C2116" s="351" t="s">
        <v>13939</v>
      </c>
      <c r="D2116" s="353">
        <v>-1570</v>
      </c>
      <c r="E2116" s="352" t="s">
        <v>408</v>
      </c>
      <c r="F2116" s="341">
        <v>55.9</v>
      </c>
      <c r="G2116" s="355" t="s">
        <v>13940</v>
      </c>
      <c r="H2116" s="356" t="s">
        <v>19384</v>
      </c>
      <c r="I2116" s="354" t="s">
        <v>8000</v>
      </c>
      <c r="J2116" s="340" t="s">
        <v>13942</v>
      </c>
      <c r="K2116" s="339" t="s">
        <v>70</v>
      </c>
      <c r="L2116" s="357">
        <v>8</v>
      </c>
      <c r="M2116" s="358" t="s">
        <v>13943</v>
      </c>
      <c r="N2116" s="359">
        <v>1000</v>
      </c>
      <c r="O2116" s="360" t="s">
        <v>532</v>
      </c>
      <c r="P2116" s="343" t="s">
        <v>532</v>
      </c>
      <c r="Q2116" s="342" t="s">
        <v>2688</v>
      </c>
      <c r="R2116" s="344">
        <v>25</v>
      </c>
      <c r="S2116" s="345">
        <v>30</v>
      </c>
      <c r="T2116" s="362">
        <v>25</v>
      </c>
      <c r="U2116" s="361">
        <v>55.9</v>
      </c>
      <c r="V2116" s="346">
        <v>104.79098289068826</v>
      </c>
      <c r="W2116" s="348">
        <v>107.94603749572649</v>
      </c>
      <c r="X2116" s="347" t="s">
        <v>19385</v>
      </c>
      <c r="Y2116" s="357" t="s">
        <v>408</v>
      </c>
      <c r="Z2116" s="365" t="s">
        <v>4408</v>
      </c>
      <c r="AA2116" s="350">
        <v>192</v>
      </c>
      <c r="AB2116" s="349" t="s">
        <v>2685</v>
      </c>
      <c r="AC2116" s="350">
        <v>0</v>
      </c>
      <c r="AD2116" s="349" t="s">
        <v>2685</v>
      </c>
      <c r="AE2116" s="364">
        <v>0</v>
      </c>
      <c r="AF2116" s="366">
        <v>0</v>
      </c>
      <c r="AG2116" s="363">
        <v>0</v>
      </c>
      <c r="AH2116" s="635" t="s">
        <v>408</v>
      </c>
      <c r="AL2116" s="487" t="s">
        <v>16489</v>
      </c>
      <c r="AM2116" s="477" t="s">
        <v>70</v>
      </c>
      <c r="AN2116" s="637">
        <v>100</v>
      </c>
      <c r="AO2116" s="478">
        <v>-1570</v>
      </c>
      <c r="AP2116" s="463">
        <v>-1570</v>
      </c>
      <c r="AQ2116" s="479">
        <v>0</v>
      </c>
      <c r="AR2116" s="476" t="s">
        <v>18151</v>
      </c>
      <c r="BA2116" s="313" t="s">
        <v>7098</v>
      </c>
    </row>
    <row r="2117" spans="2:53" ht="16.5" customHeight="1">
      <c r="B2117" s="367" t="s">
        <v>13929</v>
      </c>
      <c r="C2117" s="351" t="s">
        <v>13930</v>
      </c>
      <c r="D2117" s="353">
        <v>-1570</v>
      </c>
      <c r="E2117" s="352" t="s">
        <v>13944</v>
      </c>
      <c r="F2117" s="341">
        <v>55.8</v>
      </c>
      <c r="G2117" s="355" t="s">
        <v>19386</v>
      </c>
      <c r="H2117" s="356" t="s">
        <v>13825</v>
      </c>
      <c r="I2117" s="354" t="s">
        <v>215</v>
      </c>
      <c r="J2117" s="340" t="s">
        <v>13945</v>
      </c>
      <c r="K2117" s="339" t="s">
        <v>71</v>
      </c>
      <c r="L2117" s="357">
        <v>8</v>
      </c>
      <c r="M2117" s="358" t="s">
        <v>13946</v>
      </c>
      <c r="N2117" s="359">
        <v>1000</v>
      </c>
      <c r="O2117" s="360" t="s">
        <v>530</v>
      </c>
      <c r="P2117" s="343" t="s">
        <v>531</v>
      </c>
      <c r="Q2117" s="342" t="s">
        <v>2688</v>
      </c>
      <c r="R2117" s="344">
        <v>38</v>
      </c>
      <c r="S2117" s="345">
        <v>25</v>
      </c>
      <c r="T2117" s="362">
        <v>25</v>
      </c>
      <c r="U2117" s="361">
        <v>55.8</v>
      </c>
      <c r="V2117" s="346">
        <v>104.73528916811578</v>
      </c>
      <c r="W2117" s="348">
        <v>107.88724967745554</v>
      </c>
      <c r="X2117" s="347">
        <v>52.15</v>
      </c>
      <c r="Y2117" s="357">
        <v>51.69</v>
      </c>
      <c r="Z2117" s="365" t="s">
        <v>3017</v>
      </c>
      <c r="AA2117" s="350">
        <v>121.25</v>
      </c>
      <c r="AB2117" s="349" t="s">
        <v>2685</v>
      </c>
      <c r="AC2117" s="350">
        <v>10</v>
      </c>
      <c r="AD2117" s="349" t="s">
        <v>2685</v>
      </c>
      <c r="AE2117" s="364">
        <v>0</v>
      </c>
      <c r="AF2117" s="366">
        <v>0</v>
      </c>
      <c r="AG2117" s="363">
        <v>0</v>
      </c>
      <c r="AH2117" s="635" t="s">
        <v>8002</v>
      </c>
      <c r="AL2117" s="487" t="s">
        <v>16490</v>
      </c>
      <c r="AM2117" s="477" t="s">
        <v>71</v>
      </c>
      <c r="AN2117" s="637">
        <v>100</v>
      </c>
      <c r="AO2117" s="478">
        <v>-1570</v>
      </c>
      <c r="AP2117" s="463">
        <v>-602</v>
      </c>
      <c r="AQ2117" s="479">
        <v>-968</v>
      </c>
      <c r="AR2117" s="476" t="s">
        <v>18152</v>
      </c>
      <c r="BA2117" s="313" t="s">
        <v>7100</v>
      </c>
    </row>
    <row r="2118" spans="2:53" ht="16.5" customHeight="1">
      <c r="B2118" s="367" t="s">
        <v>13947</v>
      </c>
      <c r="C2118" s="351" t="s">
        <v>13948</v>
      </c>
      <c r="D2118" s="353">
        <v>-1570</v>
      </c>
      <c r="E2118" s="352" t="s">
        <v>13949</v>
      </c>
      <c r="F2118" s="341">
        <v>55.79</v>
      </c>
      <c r="G2118" s="355" t="s">
        <v>19387</v>
      </c>
      <c r="H2118" s="356" t="s">
        <v>19388</v>
      </c>
      <c r="I2118" s="354" t="s">
        <v>213</v>
      </c>
      <c r="J2118" s="340" t="s">
        <v>8883</v>
      </c>
      <c r="K2118" s="339" t="s">
        <v>71</v>
      </c>
      <c r="L2118" s="357">
        <v>9</v>
      </c>
      <c r="M2118" s="358" t="s">
        <v>13950</v>
      </c>
      <c r="N2118" s="359">
        <v>1000</v>
      </c>
      <c r="O2118" s="360" t="s">
        <v>454</v>
      </c>
      <c r="P2118" s="343" t="s">
        <v>454</v>
      </c>
      <c r="Q2118" s="342" t="s">
        <v>2688</v>
      </c>
      <c r="R2118" s="344">
        <v>30</v>
      </c>
      <c r="S2118" s="345">
        <v>20</v>
      </c>
      <c r="T2118" s="362">
        <v>30</v>
      </c>
      <c r="U2118" s="361">
        <v>55.79</v>
      </c>
      <c r="V2118" s="346">
        <v>104.73026315789474</v>
      </c>
      <c r="W2118" s="348">
        <v>107.88194444444444</v>
      </c>
      <c r="X2118" s="347">
        <v>52.15</v>
      </c>
      <c r="Y2118" s="357" t="s">
        <v>408</v>
      </c>
      <c r="Z2118" s="365" t="s">
        <v>4408</v>
      </c>
      <c r="AA2118" s="350">
        <v>180</v>
      </c>
      <c r="AB2118" s="349" t="s">
        <v>2685</v>
      </c>
      <c r="AC2118" s="350">
        <v>10</v>
      </c>
      <c r="AD2118" s="349" t="s">
        <v>2685</v>
      </c>
      <c r="AE2118" s="364">
        <v>0</v>
      </c>
      <c r="AF2118" s="366">
        <v>0</v>
      </c>
      <c r="AG2118" s="363">
        <v>0</v>
      </c>
      <c r="AH2118" s="635" t="s">
        <v>408</v>
      </c>
      <c r="AL2118" s="487" t="s">
        <v>16491</v>
      </c>
      <c r="AM2118" s="477" t="s">
        <v>71</v>
      </c>
      <c r="AN2118" s="637">
        <v>100</v>
      </c>
      <c r="AO2118" s="478">
        <v>-1570</v>
      </c>
      <c r="AP2118" s="463">
        <v>-602</v>
      </c>
      <c r="AQ2118" s="479">
        <v>-968</v>
      </c>
      <c r="AR2118" s="476" t="s">
        <v>18153</v>
      </c>
      <c r="BA2118" s="313" t="s">
        <v>7101</v>
      </c>
    </row>
    <row r="2119" spans="2:53" ht="16.5" customHeight="1">
      <c r="B2119" s="367" t="s">
        <v>13951</v>
      </c>
      <c r="C2119" s="351" t="s">
        <v>13952</v>
      </c>
      <c r="D2119" s="353">
        <v>-1570</v>
      </c>
      <c r="E2119" s="352" t="s">
        <v>408</v>
      </c>
      <c r="F2119" s="341">
        <v>55.67</v>
      </c>
      <c r="G2119" s="355" t="s">
        <v>13953</v>
      </c>
      <c r="H2119" s="356" t="s">
        <v>19389</v>
      </c>
      <c r="I2119" s="354" t="s">
        <v>213</v>
      </c>
      <c r="J2119" s="340" t="s">
        <v>9544</v>
      </c>
      <c r="K2119" s="339" t="s">
        <v>70</v>
      </c>
      <c r="L2119" s="357">
        <v>8</v>
      </c>
      <c r="M2119" s="358" t="s">
        <v>10273</v>
      </c>
      <c r="N2119" s="359">
        <v>1000</v>
      </c>
      <c r="O2119" s="360" t="s">
        <v>454</v>
      </c>
      <c r="P2119" s="343" t="s">
        <v>454</v>
      </c>
      <c r="Q2119" s="342" t="s">
        <v>2688</v>
      </c>
      <c r="R2119" s="344">
        <v>20</v>
      </c>
      <c r="S2119" s="345">
        <v>30</v>
      </c>
      <c r="T2119" s="362">
        <v>30</v>
      </c>
      <c r="U2119" s="361">
        <v>55.67</v>
      </c>
      <c r="V2119" s="346">
        <v>104.6670746634027</v>
      </c>
      <c r="W2119" s="348">
        <v>107.81524547803618</v>
      </c>
      <c r="X2119" s="347">
        <v>52.42</v>
      </c>
      <c r="Y2119" s="357" t="s">
        <v>408</v>
      </c>
      <c r="Z2119" s="365" t="s">
        <v>4408</v>
      </c>
      <c r="AA2119" s="350">
        <v>180</v>
      </c>
      <c r="AB2119" s="349" t="s">
        <v>2685</v>
      </c>
      <c r="AC2119" s="350">
        <v>10</v>
      </c>
      <c r="AD2119" s="349" t="s">
        <v>2685</v>
      </c>
      <c r="AE2119" s="364">
        <v>0</v>
      </c>
      <c r="AF2119" s="366">
        <v>33.402000000000001</v>
      </c>
      <c r="AG2119" s="363">
        <v>0</v>
      </c>
      <c r="AH2119" s="635" t="s">
        <v>12613</v>
      </c>
      <c r="AL2119" s="487" t="s">
        <v>16492</v>
      </c>
      <c r="AM2119" s="477" t="s">
        <v>70</v>
      </c>
      <c r="AN2119" s="637">
        <v>100</v>
      </c>
      <c r="AO2119" s="478">
        <v>-1570</v>
      </c>
      <c r="AP2119" s="463">
        <v>-1570</v>
      </c>
      <c r="AQ2119" s="479">
        <v>0</v>
      </c>
      <c r="AR2119" s="476" t="s">
        <v>18154</v>
      </c>
      <c r="BA2119" s="313" t="s">
        <v>7102</v>
      </c>
    </row>
    <row r="2120" spans="2:53" ht="16.5" customHeight="1">
      <c r="B2120" s="367" t="s">
        <v>13954</v>
      </c>
      <c r="C2120" s="351" t="s">
        <v>13955</v>
      </c>
      <c r="D2120" s="353">
        <v>-1570</v>
      </c>
      <c r="E2120" s="352" t="s">
        <v>408</v>
      </c>
      <c r="F2120" s="341">
        <v>55.59</v>
      </c>
      <c r="G2120" s="355" t="s">
        <v>13956</v>
      </c>
      <c r="H2120" s="356" t="s">
        <v>19390</v>
      </c>
      <c r="I2120" s="354" t="s">
        <v>8000</v>
      </c>
      <c r="J2120" s="340" t="s">
        <v>13957</v>
      </c>
      <c r="K2120" s="339" t="s">
        <v>70</v>
      </c>
      <c r="L2120" s="357">
        <v>10</v>
      </c>
      <c r="M2120" s="358" t="s">
        <v>13958</v>
      </c>
      <c r="N2120" s="359">
        <v>1000</v>
      </c>
      <c r="O2120" s="360" t="s">
        <v>532</v>
      </c>
      <c r="P2120" s="343" t="s">
        <v>532</v>
      </c>
      <c r="Q2120" s="342" t="s">
        <v>2688</v>
      </c>
      <c r="R2120" s="344">
        <v>25</v>
      </c>
      <c r="S2120" s="345">
        <v>30</v>
      </c>
      <c r="T2120" s="362">
        <v>25</v>
      </c>
      <c r="U2120" s="361">
        <v>55.59</v>
      </c>
      <c r="V2120" s="346">
        <v>104.62425108176626</v>
      </c>
      <c r="W2120" s="348">
        <v>107.77004280853104</v>
      </c>
      <c r="X2120" s="347" t="s">
        <v>19391</v>
      </c>
      <c r="Y2120" s="357" t="s">
        <v>408</v>
      </c>
      <c r="Z2120" s="365" t="s">
        <v>4408</v>
      </c>
      <c r="AA2120" s="350">
        <v>192</v>
      </c>
      <c r="AB2120" s="349" t="s">
        <v>2685</v>
      </c>
      <c r="AC2120" s="350">
        <v>0</v>
      </c>
      <c r="AD2120" s="349" t="s">
        <v>2685</v>
      </c>
      <c r="AE2120" s="364">
        <v>0</v>
      </c>
      <c r="AF2120" s="366">
        <v>0</v>
      </c>
      <c r="AG2120" s="363">
        <v>0</v>
      </c>
      <c r="AH2120" s="635" t="s">
        <v>408</v>
      </c>
      <c r="AL2120" s="487" t="s">
        <v>16493</v>
      </c>
      <c r="AM2120" s="477" t="s">
        <v>70</v>
      </c>
      <c r="AN2120" s="637">
        <v>100</v>
      </c>
      <c r="AO2120" s="478">
        <v>-1570</v>
      </c>
      <c r="AP2120" s="463">
        <v>-1570</v>
      </c>
      <c r="AQ2120" s="479">
        <v>0</v>
      </c>
      <c r="AR2120" s="476" t="s">
        <v>18155</v>
      </c>
      <c r="BA2120" s="313" t="s">
        <v>7103</v>
      </c>
    </row>
    <row r="2121" spans="2:53" ht="15" customHeight="1">
      <c r="B2121" s="367" t="s">
        <v>7099</v>
      </c>
      <c r="C2121" s="351" t="s">
        <v>13959</v>
      </c>
      <c r="D2121" s="353">
        <v>-1570</v>
      </c>
      <c r="E2121" s="352" t="s">
        <v>408</v>
      </c>
      <c r="F2121" s="341">
        <v>55.51</v>
      </c>
      <c r="G2121" s="355" t="s">
        <v>13960</v>
      </c>
      <c r="H2121" s="356" t="s">
        <v>19392</v>
      </c>
      <c r="I2121" s="354" t="s">
        <v>8000</v>
      </c>
      <c r="J2121" s="340" t="s">
        <v>13961</v>
      </c>
      <c r="K2121" s="339" t="s">
        <v>70</v>
      </c>
      <c r="L2121" s="357">
        <v>8</v>
      </c>
      <c r="M2121" s="358" t="s">
        <v>13962</v>
      </c>
      <c r="N2121" s="359">
        <v>1000</v>
      </c>
      <c r="O2121" s="360" t="s">
        <v>532</v>
      </c>
      <c r="P2121" s="343" t="s">
        <v>532</v>
      </c>
      <c r="Q2121" s="342" t="s">
        <v>2688</v>
      </c>
      <c r="R2121" s="344">
        <v>25</v>
      </c>
      <c r="S2121" s="345">
        <v>30</v>
      </c>
      <c r="T2121" s="362">
        <v>25</v>
      </c>
      <c r="U2121" s="361">
        <v>55.51</v>
      </c>
      <c r="V2121" s="346">
        <v>104.58519678418092</v>
      </c>
      <c r="W2121" s="348">
        <v>107.72881882774654</v>
      </c>
      <c r="X2121" s="347" t="s">
        <v>19393</v>
      </c>
      <c r="Y2121" s="357" t="s">
        <v>408</v>
      </c>
      <c r="Z2121" s="365" t="s">
        <v>4408</v>
      </c>
      <c r="AA2121" s="350">
        <v>192</v>
      </c>
      <c r="AB2121" s="349" t="s">
        <v>2685</v>
      </c>
      <c r="AC2121" s="350">
        <v>0</v>
      </c>
      <c r="AD2121" s="349" t="s">
        <v>2685</v>
      </c>
      <c r="AE2121" s="364">
        <v>0</v>
      </c>
      <c r="AF2121" s="366">
        <v>0</v>
      </c>
      <c r="AG2121" s="363">
        <v>0</v>
      </c>
      <c r="AH2121" s="635" t="s">
        <v>408</v>
      </c>
      <c r="AL2121" s="487" t="s">
        <v>16495</v>
      </c>
      <c r="AM2121" s="477" t="s">
        <v>70</v>
      </c>
      <c r="AN2121" s="637">
        <v>100</v>
      </c>
      <c r="AO2121" s="478">
        <v>-1570</v>
      </c>
      <c r="AP2121" s="463">
        <v>-1570</v>
      </c>
      <c r="AQ2121" s="479">
        <v>0</v>
      </c>
      <c r="AR2121" s="476" t="s">
        <v>18156</v>
      </c>
    </row>
    <row r="2122" spans="2:53" ht="15" customHeight="1">
      <c r="B2122" s="367" t="s">
        <v>13963</v>
      </c>
      <c r="C2122" s="351" t="s">
        <v>13964</v>
      </c>
      <c r="D2122" s="353">
        <v>-1570</v>
      </c>
      <c r="E2122" s="352" t="s">
        <v>408</v>
      </c>
      <c r="F2122" s="341">
        <v>55.5</v>
      </c>
      <c r="G2122" s="355" t="s">
        <v>13965</v>
      </c>
      <c r="H2122" s="356" t="s">
        <v>19394</v>
      </c>
      <c r="I2122" s="354" t="s">
        <v>213</v>
      </c>
      <c r="J2122" s="340" t="s">
        <v>10898</v>
      </c>
      <c r="K2122" s="339" t="s">
        <v>70</v>
      </c>
      <c r="L2122" s="357">
        <v>13</v>
      </c>
      <c r="M2122" s="358" t="s">
        <v>3987</v>
      </c>
      <c r="N2122" s="359">
        <v>1000</v>
      </c>
      <c r="O2122" s="360" t="s">
        <v>454</v>
      </c>
      <c r="P2122" s="343" t="s">
        <v>454</v>
      </c>
      <c r="Q2122" s="342" t="s">
        <v>2688</v>
      </c>
      <c r="R2122" s="344">
        <v>20</v>
      </c>
      <c r="S2122" s="345">
        <v>30</v>
      </c>
      <c r="T2122" s="362">
        <v>30</v>
      </c>
      <c r="U2122" s="361">
        <v>55.5</v>
      </c>
      <c r="V2122" s="346">
        <v>104.57894736842105</v>
      </c>
      <c r="W2122" s="348">
        <v>107.72222222222223</v>
      </c>
      <c r="X2122" s="347">
        <v>52.36</v>
      </c>
      <c r="Y2122" s="357" t="s">
        <v>408</v>
      </c>
      <c r="Z2122" s="365" t="s">
        <v>4408</v>
      </c>
      <c r="AA2122" s="350">
        <v>180</v>
      </c>
      <c r="AB2122" s="349" t="s">
        <v>2685</v>
      </c>
      <c r="AC2122" s="350">
        <v>10</v>
      </c>
      <c r="AD2122" s="349" t="s">
        <v>2685</v>
      </c>
      <c r="AE2122" s="364">
        <v>0</v>
      </c>
      <c r="AF2122" s="366">
        <v>33.299999999999997</v>
      </c>
      <c r="AG2122" s="363">
        <v>0</v>
      </c>
      <c r="AH2122" s="635" t="s">
        <v>12613</v>
      </c>
      <c r="AL2122" s="487" t="s">
        <v>16494</v>
      </c>
      <c r="AM2122" s="477" t="s">
        <v>70</v>
      </c>
      <c r="AN2122" s="637">
        <v>100</v>
      </c>
      <c r="AO2122" s="478">
        <v>-1570</v>
      </c>
      <c r="AP2122" s="463">
        <v>-1570</v>
      </c>
      <c r="AQ2122" s="479">
        <v>0</v>
      </c>
      <c r="AR2122" s="476" t="s">
        <v>18157</v>
      </c>
    </row>
    <row r="2123" spans="2:53" ht="15" customHeight="1">
      <c r="B2123" s="367" t="s">
        <v>13963</v>
      </c>
      <c r="C2123" s="351" t="s">
        <v>13964</v>
      </c>
      <c r="D2123" s="353">
        <v>-1570</v>
      </c>
      <c r="E2123" s="352" t="s">
        <v>408</v>
      </c>
      <c r="F2123" s="341">
        <v>55.5</v>
      </c>
      <c r="G2123" s="355" t="s">
        <v>13965</v>
      </c>
      <c r="H2123" s="356" t="s">
        <v>19394</v>
      </c>
      <c r="I2123" s="354" t="s">
        <v>8000</v>
      </c>
      <c r="J2123" s="340" t="s">
        <v>13966</v>
      </c>
      <c r="K2123" s="339" t="s">
        <v>70</v>
      </c>
      <c r="L2123" s="357">
        <v>6</v>
      </c>
      <c r="M2123" s="358" t="s">
        <v>13967</v>
      </c>
      <c r="N2123" s="359">
        <v>1000</v>
      </c>
      <c r="O2123" s="360" t="s">
        <v>532</v>
      </c>
      <c r="P2123" s="343" t="s">
        <v>532</v>
      </c>
      <c r="Q2123" s="342" t="s">
        <v>2688</v>
      </c>
      <c r="R2123" s="344">
        <v>25</v>
      </c>
      <c r="S2123" s="345">
        <v>30</v>
      </c>
      <c r="T2123" s="362">
        <v>25</v>
      </c>
      <c r="U2123" s="361">
        <v>55.5</v>
      </c>
      <c r="V2123" s="346">
        <v>104.57918843070627</v>
      </c>
      <c r="W2123" s="348">
        <v>107.72247667685662</v>
      </c>
      <c r="X2123" s="347" t="s">
        <v>19393</v>
      </c>
      <c r="Y2123" s="357" t="s">
        <v>408</v>
      </c>
      <c r="Z2123" s="365" t="s">
        <v>4408</v>
      </c>
      <c r="AA2123" s="350">
        <v>192</v>
      </c>
      <c r="AB2123" s="349" t="s">
        <v>2685</v>
      </c>
      <c r="AC2123" s="350">
        <v>0</v>
      </c>
      <c r="AD2123" s="349" t="s">
        <v>2685</v>
      </c>
      <c r="AE2123" s="364">
        <v>0</v>
      </c>
      <c r="AF2123" s="366">
        <v>0</v>
      </c>
      <c r="AG2123" s="363">
        <v>0</v>
      </c>
      <c r="AH2123" s="635" t="s">
        <v>408</v>
      </c>
      <c r="AL2123" s="487" t="s">
        <v>16496</v>
      </c>
      <c r="AM2123" s="477" t="s">
        <v>70</v>
      </c>
      <c r="AN2123" s="637">
        <v>100</v>
      </c>
      <c r="AO2123" s="478">
        <v>-1570</v>
      </c>
      <c r="AP2123" s="463">
        <v>-1570</v>
      </c>
      <c r="AQ2123" s="479">
        <v>0</v>
      </c>
      <c r="AR2123" s="476" t="s">
        <v>18157</v>
      </c>
    </row>
    <row r="2124" spans="2:53" ht="15" customHeight="1">
      <c r="B2124" s="367" t="s">
        <v>13963</v>
      </c>
      <c r="C2124" s="351" t="s">
        <v>13964</v>
      </c>
      <c r="D2124" s="353">
        <v>-1570</v>
      </c>
      <c r="E2124" s="352" t="s">
        <v>13965</v>
      </c>
      <c r="F2124" s="341">
        <v>55.15</v>
      </c>
      <c r="G2124" s="355" t="s">
        <v>19395</v>
      </c>
      <c r="H2124" s="356" t="s">
        <v>19396</v>
      </c>
      <c r="I2124" s="354" t="s">
        <v>215</v>
      </c>
      <c r="J2124" s="340" t="s">
        <v>8491</v>
      </c>
      <c r="K2124" s="339" t="s">
        <v>71</v>
      </c>
      <c r="L2124" s="357">
        <v>9</v>
      </c>
      <c r="M2124" s="358" t="s">
        <v>13968</v>
      </c>
      <c r="N2124" s="359">
        <v>1000</v>
      </c>
      <c r="O2124" s="360" t="s">
        <v>530</v>
      </c>
      <c r="P2124" s="343" t="s">
        <v>531</v>
      </c>
      <c r="Q2124" s="342" t="s">
        <v>2688</v>
      </c>
      <c r="R2124" s="344">
        <v>13</v>
      </c>
      <c r="S2124" s="345">
        <v>50</v>
      </c>
      <c r="T2124" s="362">
        <v>25</v>
      </c>
      <c r="U2124" s="361">
        <v>55.15</v>
      </c>
      <c r="V2124" s="346">
        <v>104.39475576699671</v>
      </c>
      <c r="W2124" s="348">
        <v>107.52779775405209</v>
      </c>
      <c r="X2124" s="347">
        <v>51.94</v>
      </c>
      <c r="Y2124" s="357">
        <v>51.449999999999996</v>
      </c>
      <c r="Z2124" s="365" t="s">
        <v>3017</v>
      </c>
      <c r="AA2124" s="350">
        <v>121.25</v>
      </c>
      <c r="AB2124" s="349" t="s">
        <v>2685</v>
      </c>
      <c r="AC2124" s="350">
        <v>10</v>
      </c>
      <c r="AD2124" s="349" t="s">
        <v>2685</v>
      </c>
      <c r="AE2124" s="364">
        <v>0</v>
      </c>
      <c r="AF2124" s="366">
        <v>0</v>
      </c>
      <c r="AG2124" s="363">
        <v>0</v>
      </c>
      <c r="AH2124" s="635" t="s">
        <v>408</v>
      </c>
      <c r="AL2124" s="487" t="s">
        <v>16497</v>
      </c>
      <c r="AM2124" s="477" t="s">
        <v>71</v>
      </c>
      <c r="AN2124" s="637">
        <v>100</v>
      </c>
      <c r="AO2124" s="478">
        <v>-1570</v>
      </c>
      <c r="AP2124" s="463">
        <v>-600</v>
      </c>
      <c r="AQ2124" s="479">
        <v>-970</v>
      </c>
      <c r="AR2124" s="476" t="s">
        <v>18158</v>
      </c>
    </row>
    <row r="2125" spans="2:53" ht="15" customHeight="1">
      <c r="B2125" s="367" t="s">
        <v>13969</v>
      </c>
      <c r="C2125" s="351" t="s">
        <v>13970</v>
      </c>
      <c r="D2125" s="353">
        <v>-1570</v>
      </c>
      <c r="E2125" s="352" t="s">
        <v>7051</v>
      </c>
      <c r="F2125" s="341">
        <v>55.13</v>
      </c>
      <c r="G2125" s="355" t="s">
        <v>7051</v>
      </c>
      <c r="H2125" s="356" t="s">
        <v>19397</v>
      </c>
      <c r="I2125" s="354" t="s">
        <v>8000</v>
      </c>
      <c r="J2125" s="340" t="s">
        <v>13971</v>
      </c>
      <c r="K2125" s="339" t="s">
        <v>71</v>
      </c>
      <c r="L2125" s="357">
        <v>7</v>
      </c>
      <c r="M2125" s="358" t="s">
        <v>13972</v>
      </c>
      <c r="N2125" s="359">
        <v>1000</v>
      </c>
      <c r="O2125" s="360" t="s">
        <v>532</v>
      </c>
      <c r="P2125" s="343" t="s">
        <v>532</v>
      </c>
      <c r="Q2125" s="342" t="s">
        <v>2688</v>
      </c>
      <c r="R2125" s="344">
        <v>30</v>
      </c>
      <c r="S2125" s="345">
        <v>25</v>
      </c>
      <c r="T2125" s="362">
        <v>25</v>
      </c>
      <c r="U2125" s="361">
        <v>55.13</v>
      </c>
      <c r="V2125" s="346">
        <v>104.3866741956095</v>
      </c>
      <c r="W2125" s="348">
        <v>107.5192672064767</v>
      </c>
      <c r="X2125" s="347" t="s">
        <v>19398</v>
      </c>
      <c r="Y2125" s="357" t="s">
        <v>408</v>
      </c>
      <c r="Z2125" s="365" t="s">
        <v>4408</v>
      </c>
      <c r="AA2125" s="350">
        <v>192</v>
      </c>
      <c r="AB2125" s="349" t="s">
        <v>2685</v>
      </c>
      <c r="AC2125" s="350">
        <v>0</v>
      </c>
      <c r="AD2125" s="349" t="s">
        <v>2685</v>
      </c>
      <c r="AE2125" s="364">
        <v>0</v>
      </c>
      <c r="AF2125" s="366">
        <v>0</v>
      </c>
      <c r="AG2125" s="363">
        <v>0</v>
      </c>
      <c r="AH2125" s="635" t="s">
        <v>408</v>
      </c>
      <c r="AL2125" s="487" t="s">
        <v>16498</v>
      </c>
      <c r="AM2125" s="477" t="s">
        <v>71</v>
      </c>
      <c r="AN2125" s="637">
        <v>100</v>
      </c>
      <c r="AO2125" s="478">
        <v>-1570</v>
      </c>
      <c r="AP2125" s="463">
        <v>-600</v>
      </c>
      <c r="AQ2125" s="479">
        <v>-970</v>
      </c>
      <c r="AR2125" s="476" t="s">
        <v>18159</v>
      </c>
    </row>
    <row r="2126" spans="2:53" ht="15" customHeight="1">
      <c r="B2126" s="367" t="s">
        <v>13973</v>
      </c>
      <c r="C2126" s="351" t="s">
        <v>13974</v>
      </c>
      <c r="D2126" s="353">
        <v>-1570</v>
      </c>
      <c r="E2126" s="352" t="s">
        <v>408</v>
      </c>
      <c r="F2126" s="341">
        <v>54.95</v>
      </c>
      <c r="G2126" s="355" t="s">
        <v>13975</v>
      </c>
      <c r="H2126" s="356" t="s">
        <v>19399</v>
      </c>
      <c r="I2126" s="354" t="s">
        <v>8000</v>
      </c>
      <c r="J2126" s="340" t="s">
        <v>13976</v>
      </c>
      <c r="K2126" s="339" t="s">
        <v>70</v>
      </c>
      <c r="L2126" s="357">
        <v>17</v>
      </c>
      <c r="M2126" s="358" t="s">
        <v>13977</v>
      </c>
      <c r="N2126" s="359">
        <v>1000</v>
      </c>
      <c r="O2126" s="360" t="s">
        <v>532</v>
      </c>
      <c r="P2126" s="343" t="s">
        <v>532</v>
      </c>
      <c r="Q2126" s="342" t="s">
        <v>2688</v>
      </c>
      <c r="R2126" s="344">
        <v>25</v>
      </c>
      <c r="S2126" s="345">
        <v>30</v>
      </c>
      <c r="T2126" s="362">
        <v>25</v>
      </c>
      <c r="U2126" s="361">
        <v>54.95</v>
      </c>
      <c r="V2126" s="346">
        <v>104.28750390352145</v>
      </c>
      <c r="W2126" s="348">
        <v>107.4145874537171</v>
      </c>
      <c r="X2126" s="347" t="s">
        <v>19400</v>
      </c>
      <c r="Y2126" s="357" t="s">
        <v>408</v>
      </c>
      <c r="Z2126" s="365" t="s">
        <v>4408</v>
      </c>
      <c r="AA2126" s="350">
        <v>192</v>
      </c>
      <c r="AB2126" s="349" t="s">
        <v>2685</v>
      </c>
      <c r="AC2126" s="350">
        <v>0</v>
      </c>
      <c r="AD2126" s="349" t="s">
        <v>2685</v>
      </c>
      <c r="AE2126" s="364">
        <v>0</v>
      </c>
      <c r="AF2126" s="366">
        <v>0</v>
      </c>
      <c r="AG2126" s="363">
        <v>0</v>
      </c>
      <c r="AH2126" s="635" t="s">
        <v>408</v>
      </c>
      <c r="AL2126" s="487" t="s">
        <v>16499</v>
      </c>
      <c r="AM2126" s="477" t="s">
        <v>70</v>
      </c>
      <c r="AN2126" s="637">
        <v>100</v>
      </c>
      <c r="AO2126" s="478">
        <v>-1570</v>
      </c>
      <c r="AP2126" s="463">
        <v>-1570</v>
      </c>
      <c r="AQ2126" s="479">
        <v>0</v>
      </c>
      <c r="AR2126" s="476" t="s">
        <v>18160</v>
      </c>
    </row>
    <row r="2127" spans="2:53" ht="15" customHeight="1">
      <c r="B2127" s="367" t="s">
        <v>13978</v>
      </c>
      <c r="C2127" s="351" t="s">
        <v>13979</v>
      </c>
      <c r="D2127" s="353">
        <v>-1570</v>
      </c>
      <c r="E2127" s="352" t="s">
        <v>408</v>
      </c>
      <c r="F2127" s="341">
        <v>54.84</v>
      </c>
      <c r="G2127" s="355" t="s">
        <v>13980</v>
      </c>
      <c r="H2127" s="356" t="s">
        <v>19401</v>
      </c>
      <c r="I2127" s="354" t="s">
        <v>213</v>
      </c>
      <c r="J2127" s="340" t="s">
        <v>13982</v>
      </c>
      <c r="K2127" s="339" t="s">
        <v>70</v>
      </c>
      <c r="L2127" s="357">
        <v>6</v>
      </c>
      <c r="M2127" s="358" t="s">
        <v>13983</v>
      </c>
      <c r="N2127" s="359">
        <v>1000</v>
      </c>
      <c r="O2127" s="360" t="s">
        <v>454</v>
      </c>
      <c r="P2127" s="343" t="s">
        <v>454</v>
      </c>
      <c r="Q2127" s="342" t="s">
        <v>2688</v>
      </c>
      <c r="R2127" s="344">
        <v>20</v>
      </c>
      <c r="S2127" s="345">
        <v>30</v>
      </c>
      <c r="T2127" s="362">
        <v>30</v>
      </c>
      <c r="U2127" s="361">
        <v>54.84</v>
      </c>
      <c r="V2127" s="346">
        <v>104.23317013463893</v>
      </c>
      <c r="W2127" s="348">
        <v>107.35723514211885</v>
      </c>
      <c r="X2127" s="347">
        <v>52.11</v>
      </c>
      <c r="Y2127" s="357" t="s">
        <v>408</v>
      </c>
      <c r="Z2127" s="365" t="s">
        <v>4408</v>
      </c>
      <c r="AA2127" s="350">
        <v>180</v>
      </c>
      <c r="AB2127" s="349" t="s">
        <v>2685</v>
      </c>
      <c r="AC2127" s="350">
        <v>10</v>
      </c>
      <c r="AD2127" s="349" t="s">
        <v>2685</v>
      </c>
      <c r="AE2127" s="364">
        <v>0</v>
      </c>
      <c r="AF2127" s="366">
        <v>32.904000000000003</v>
      </c>
      <c r="AG2127" s="363">
        <v>0</v>
      </c>
      <c r="AH2127" s="635" t="s">
        <v>12613</v>
      </c>
      <c r="AL2127" s="487" t="s">
        <v>16500</v>
      </c>
      <c r="AM2127" s="477" t="s">
        <v>70</v>
      </c>
      <c r="AN2127" s="637">
        <v>100</v>
      </c>
      <c r="AO2127" s="478">
        <v>-1570</v>
      </c>
      <c r="AP2127" s="463">
        <v>-1570</v>
      </c>
      <c r="AQ2127" s="479">
        <v>0</v>
      </c>
      <c r="AR2127" s="476" t="s">
        <v>18161</v>
      </c>
    </row>
    <row r="2128" spans="2:53" ht="15" customHeight="1">
      <c r="B2128" s="367" t="s">
        <v>13984</v>
      </c>
      <c r="C2128" s="351" t="s">
        <v>13985</v>
      </c>
      <c r="D2128" s="353">
        <v>-1570</v>
      </c>
      <c r="E2128" s="352" t="s">
        <v>408</v>
      </c>
      <c r="F2128" s="341">
        <v>54.77</v>
      </c>
      <c r="G2128" s="355" t="s">
        <v>13986</v>
      </c>
      <c r="H2128" s="356" t="s">
        <v>13953</v>
      </c>
      <c r="I2128" s="354" t="s">
        <v>213</v>
      </c>
      <c r="J2128" s="340" t="s">
        <v>13987</v>
      </c>
      <c r="K2128" s="339" t="s">
        <v>70</v>
      </c>
      <c r="L2128" s="357">
        <v>10</v>
      </c>
      <c r="M2128" s="358" t="s">
        <v>4907</v>
      </c>
      <c r="N2128" s="359">
        <v>1000</v>
      </c>
      <c r="O2128" s="360" t="s">
        <v>454</v>
      </c>
      <c r="P2128" s="343" t="s">
        <v>454</v>
      </c>
      <c r="Q2128" s="342" t="s">
        <v>2688</v>
      </c>
      <c r="R2128" s="344">
        <v>20</v>
      </c>
      <c r="S2128" s="345">
        <v>30</v>
      </c>
      <c r="T2128" s="362">
        <v>30</v>
      </c>
      <c r="U2128" s="361">
        <v>54.77</v>
      </c>
      <c r="V2128" s="346">
        <v>104.19706242350061</v>
      </c>
      <c r="W2128" s="348">
        <v>107.31912144702842</v>
      </c>
      <c r="X2128" s="347">
        <v>52.08</v>
      </c>
      <c r="Y2128" s="357" t="s">
        <v>408</v>
      </c>
      <c r="Z2128" s="365" t="s">
        <v>4408</v>
      </c>
      <c r="AA2128" s="350">
        <v>180</v>
      </c>
      <c r="AB2128" s="349" t="s">
        <v>2685</v>
      </c>
      <c r="AC2128" s="350">
        <v>10</v>
      </c>
      <c r="AD2128" s="349" t="s">
        <v>2685</v>
      </c>
      <c r="AE2128" s="364">
        <v>0</v>
      </c>
      <c r="AF2128" s="366">
        <v>32.862000000000002</v>
      </c>
      <c r="AG2128" s="363">
        <v>0</v>
      </c>
      <c r="AH2128" s="635" t="s">
        <v>12613</v>
      </c>
      <c r="AL2128" s="487" t="s">
        <v>16501</v>
      </c>
      <c r="AM2128" s="477" t="s">
        <v>70</v>
      </c>
      <c r="AN2128" s="637">
        <v>100</v>
      </c>
      <c r="AO2128" s="478">
        <v>-1570</v>
      </c>
      <c r="AP2128" s="463">
        <v>-1570</v>
      </c>
      <c r="AQ2128" s="479">
        <v>0</v>
      </c>
      <c r="AR2128" s="476" t="s">
        <v>18162</v>
      </c>
    </row>
    <row r="2129" spans="2:44" ht="15" customHeight="1">
      <c r="B2129" s="367" t="s">
        <v>13988</v>
      </c>
      <c r="C2129" s="351" t="s">
        <v>13989</v>
      </c>
      <c r="D2129" s="353">
        <v>-1570</v>
      </c>
      <c r="E2129" s="352" t="s">
        <v>7057</v>
      </c>
      <c r="F2129" s="341">
        <v>54.75</v>
      </c>
      <c r="G2129" s="355" t="s">
        <v>7057</v>
      </c>
      <c r="H2129" s="356" t="s">
        <v>19402</v>
      </c>
      <c r="I2129" s="354" t="s">
        <v>8000</v>
      </c>
      <c r="J2129" s="340" t="s">
        <v>8618</v>
      </c>
      <c r="K2129" s="339" t="s">
        <v>71</v>
      </c>
      <c r="L2129" s="357">
        <v>3</v>
      </c>
      <c r="M2129" s="358" t="s">
        <v>13990</v>
      </c>
      <c r="N2129" s="359">
        <v>1000</v>
      </c>
      <c r="O2129" s="360" t="s">
        <v>532</v>
      </c>
      <c r="P2129" s="343" t="s">
        <v>532</v>
      </c>
      <c r="Q2129" s="342" t="s">
        <v>2688</v>
      </c>
      <c r="R2129" s="344">
        <v>30</v>
      </c>
      <c r="S2129" s="345">
        <v>25</v>
      </c>
      <c r="T2129" s="362">
        <v>25</v>
      </c>
      <c r="U2129" s="361">
        <v>54.75</v>
      </c>
      <c r="V2129" s="346">
        <v>104.18269997859839</v>
      </c>
      <c r="W2129" s="348">
        <v>107.30396108852052</v>
      </c>
      <c r="X2129" s="347" t="s">
        <v>19403</v>
      </c>
      <c r="Y2129" s="357" t="s">
        <v>408</v>
      </c>
      <c r="Z2129" s="365" t="s">
        <v>4408</v>
      </c>
      <c r="AA2129" s="350">
        <v>192</v>
      </c>
      <c r="AB2129" s="349" t="s">
        <v>2685</v>
      </c>
      <c r="AC2129" s="350">
        <v>0</v>
      </c>
      <c r="AD2129" s="349" t="s">
        <v>2685</v>
      </c>
      <c r="AE2129" s="364">
        <v>0</v>
      </c>
      <c r="AF2129" s="366">
        <v>0</v>
      </c>
      <c r="AG2129" s="363">
        <v>0</v>
      </c>
      <c r="AH2129" s="635" t="s">
        <v>408</v>
      </c>
      <c r="AL2129" s="487" t="s">
        <v>16502</v>
      </c>
      <c r="AM2129" s="477" t="s">
        <v>71</v>
      </c>
      <c r="AN2129" s="637">
        <v>100</v>
      </c>
      <c r="AO2129" s="478">
        <v>-1570</v>
      </c>
      <c r="AP2129" s="463">
        <v>-598</v>
      </c>
      <c r="AQ2129" s="479">
        <v>-972</v>
      </c>
      <c r="AR2129" s="476" t="s">
        <v>18163</v>
      </c>
    </row>
    <row r="2130" spans="2:44" ht="15" customHeight="1">
      <c r="B2130" s="367" t="s">
        <v>13991</v>
      </c>
      <c r="C2130" s="351" t="s">
        <v>13992</v>
      </c>
      <c r="D2130" s="353">
        <v>-1570</v>
      </c>
      <c r="E2130" s="352" t="s">
        <v>408</v>
      </c>
      <c r="F2130" s="341">
        <v>54.71</v>
      </c>
      <c r="G2130" s="355" t="s">
        <v>13993</v>
      </c>
      <c r="H2130" s="356" t="s">
        <v>13941</v>
      </c>
      <c r="I2130" s="354" t="s">
        <v>8000</v>
      </c>
      <c r="J2130" s="340" t="s">
        <v>553</v>
      </c>
      <c r="K2130" s="339" t="s">
        <v>70</v>
      </c>
      <c r="L2130" s="357">
        <v>9</v>
      </c>
      <c r="M2130" s="358" t="s">
        <v>13994</v>
      </c>
      <c r="N2130" s="359">
        <v>1000</v>
      </c>
      <c r="O2130" s="360" t="s">
        <v>532</v>
      </c>
      <c r="P2130" s="343" t="s">
        <v>532</v>
      </c>
      <c r="Q2130" s="342" t="s">
        <v>2688</v>
      </c>
      <c r="R2130" s="344">
        <v>25</v>
      </c>
      <c r="S2130" s="345">
        <v>30</v>
      </c>
      <c r="T2130" s="362">
        <v>25</v>
      </c>
      <c r="U2130" s="361">
        <v>54.71</v>
      </c>
      <c r="V2130" s="346">
        <v>104.16160158207863</v>
      </c>
      <c r="W2130" s="348">
        <v>107.28169055886076</v>
      </c>
      <c r="X2130" s="347" t="s">
        <v>19404</v>
      </c>
      <c r="Y2130" s="357" t="s">
        <v>408</v>
      </c>
      <c r="Z2130" s="365" t="s">
        <v>4408</v>
      </c>
      <c r="AA2130" s="350">
        <v>192</v>
      </c>
      <c r="AB2130" s="349" t="s">
        <v>2685</v>
      </c>
      <c r="AC2130" s="350">
        <v>0</v>
      </c>
      <c r="AD2130" s="349" t="s">
        <v>2685</v>
      </c>
      <c r="AE2130" s="364">
        <v>0</v>
      </c>
      <c r="AF2130" s="366">
        <v>0</v>
      </c>
      <c r="AG2130" s="363">
        <v>0</v>
      </c>
      <c r="AH2130" s="635" t="s">
        <v>408</v>
      </c>
      <c r="AL2130" s="487" t="s">
        <v>16504</v>
      </c>
      <c r="AM2130" s="477" t="s">
        <v>70</v>
      </c>
      <c r="AN2130" s="637">
        <v>100</v>
      </c>
      <c r="AO2130" s="478">
        <v>-1570</v>
      </c>
      <c r="AP2130" s="463">
        <v>-1570</v>
      </c>
      <c r="AQ2130" s="479">
        <v>0</v>
      </c>
      <c r="AR2130" s="476" t="s">
        <v>18164</v>
      </c>
    </row>
    <row r="2131" spans="2:44" ht="15" customHeight="1">
      <c r="B2131" s="367" t="s">
        <v>7083</v>
      </c>
      <c r="C2131" s="351" t="s">
        <v>13995</v>
      </c>
      <c r="D2131" s="353">
        <v>-1570</v>
      </c>
      <c r="E2131" s="352" t="s">
        <v>13981</v>
      </c>
      <c r="F2131" s="341">
        <v>54.7</v>
      </c>
      <c r="G2131" s="355" t="s">
        <v>13981</v>
      </c>
      <c r="H2131" s="356" t="s">
        <v>13922</v>
      </c>
      <c r="I2131" s="354" t="s">
        <v>8000</v>
      </c>
      <c r="J2131" s="340" t="s">
        <v>8753</v>
      </c>
      <c r="K2131" s="339" t="s">
        <v>71</v>
      </c>
      <c r="L2131" s="357">
        <v>13</v>
      </c>
      <c r="M2131" s="358" t="s">
        <v>7018</v>
      </c>
      <c r="N2131" s="359">
        <v>1000</v>
      </c>
      <c r="O2131" s="360" t="s">
        <v>532</v>
      </c>
      <c r="P2131" s="343" t="s">
        <v>532</v>
      </c>
      <c r="Q2131" s="342" t="s">
        <v>2688</v>
      </c>
      <c r="R2131" s="344">
        <v>30</v>
      </c>
      <c r="S2131" s="345">
        <v>25</v>
      </c>
      <c r="T2131" s="362">
        <v>25</v>
      </c>
      <c r="U2131" s="361">
        <v>54.7</v>
      </c>
      <c r="V2131" s="346">
        <v>104.15934340525561</v>
      </c>
      <c r="W2131" s="348">
        <v>107.2793069277698</v>
      </c>
      <c r="X2131" s="347" t="s">
        <v>19403</v>
      </c>
      <c r="Y2131" s="357" t="s">
        <v>408</v>
      </c>
      <c r="Z2131" s="365" t="s">
        <v>4408</v>
      </c>
      <c r="AA2131" s="350">
        <v>192</v>
      </c>
      <c r="AB2131" s="349" t="s">
        <v>2685</v>
      </c>
      <c r="AC2131" s="350">
        <v>0</v>
      </c>
      <c r="AD2131" s="349" t="s">
        <v>2685</v>
      </c>
      <c r="AE2131" s="364">
        <v>0</v>
      </c>
      <c r="AF2131" s="366">
        <v>0</v>
      </c>
      <c r="AG2131" s="363">
        <v>0</v>
      </c>
      <c r="AH2131" s="635" t="s">
        <v>408</v>
      </c>
      <c r="AL2131" s="487" t="s">
        <v>16503</v>
      </c>
      <c r="AM2131" s="477" t="s">
        <v>71</v>
      </c>
      <c r="AN2131" s="637">
        <v>100</v>
      </c>
      <c r="AO2131" s="478">
        <v>-1570</v>
      </c>
      <c r="AP2131" s="463">
        <v>-598</v>
      </c>
      <c r="AQ2131" s="479">
        <v>-972</v>
      </c>
      <c r="AR2131" s="476" t="s">
        <v>18165</v>
      </c>
    </row>
    <row r="2132" spans="2:44" ht="15" customHeight="1">
      <c r="B2132" s="367" t="s">
        <v>13996</v>
      </c>
      <c r="C2132" s="351" t="s">
        <v>13997</v>
      </c>
      <c r="D2132" s="353">
        <v>-1570</v>
      </c>
      <c r="E2132" s="352" t="s">
        <v>408</v>
      </c>
      <c r="F2132" s="341">
        <v>54.42</v>
      </c>
      <c r="G2132" s="355" t="s">
        <v>13998</v>
      </c>
      <c r="H2132" s="356" t="s">
        <v>7046</v>
      </c>
      <c r="I2132" s="354" t="s">
        <v>8000</v>
      </c>
      <c r="J2132" s="340" t="s">
        <v>8415</v>
      </c>
      <c r="K2132" s="339" t="s">
        <v>70</v>
      </c>
      <c r="L2132" s="357">
        <v>8</v>
      </c>
      <c r="M2132" s="358" t="s">
        <v>13999</v>
      </c>
      <c r="N2132" s="359">
        <v>1000</v>
      </c>
      <c r="O2132" s="360" t="s">
        <v>532</v>
      </c>
      <c r="P2132" s="343" t="s">
        <v>532</v>
      </c>
      <c r="Q2132" s="342" t="s">
        <v>2688</v>
      </c>
      <c r="R2132" s="344">
        <v>25</v>
      </c>
      <c r="S2132" s="345">
        <v>30</v>
      </c>
      <c r="T2132" s="362">
        <v>25</v>
      </c>
      <c r="U2132" s="361">
        <v>54.42</v>
      </c>
      <c r="V2132" s="346">
        <v>104.00833474805185</v>
      </c>
      <c r="W2132" s="348">
        <v>107.1199089007214</v>
      </c>
      <c r="X2132" s="347" t="s">
        <v>19405</v>
      </c>
      <c r="Y2132" s="357" t="s">
        <v>408</v>
      </c>
      <c r="Z2132" s="365" t="s">
        <v>4408</v>
      </c>
      <c r="AA2132" s="350">
        <v>192</v>
      </c>
      <c r="AB2132" s="349" t="s">
        <v>2685</v>
      </c>
      <c r="AC2132" s="350">
        <v>0</v>
      </c>
      <c r="AD2132" s="349" t="s">
        <v>2685</v>
      </c>
      <c r="AE2132" s="364">
        <v>0</v>
      </c>
      <c r="AF2132" s="366">
        <v>0</v>
      </c>
      <c r="AG2132" s="363">
        <v>0</v>
      </c>
      <c r="AH2132" s="635" t="s">
        <v>408</v>
      </c>
      <c r="AL2132" s="487" t="s">
        <v>16505</v>
      </c>
      <c r="AM2132" s="477" t="s">
        <v>70</v>
      </c>
      <c r="AN2132" s="637">
        <v>100</v>
      </c>
      <c r="AO2132" s="478">
        <v>-1570</v>
      </c>
      <c r="AP2132" s="463">
        <v>-1570</v>
      </c>
      <c r="AQ2132" s="479">
        <v>0</v>
      </c>
      <c r="AR2132" s="476" t="s">
        <v>18166</v>
      </c>
    </row>
    <row r="2133" spans="2:44" ht="15" customHeight="1">
      <c r="B2133" s="367" t="s">
        <v>14000</v>
      </c>
      <c r="C2133" s="351" t="s">
        <v>14001</v>
      </c>
      <c r="D2133" s="353">
        <v>-1570</v>
      </c>
      <c r="E2133" s="352" t="s">
        <v>408</v>
      </c>
      <c r="F2133" s="341">
        <v>54.23</v>
      </c>
      <c r="G2133" s="355" t="s">
        <v>14002</v>
      </c>
      <c r="H2133" s="356" t="s">
        <v>7048</v>
      </c>
      <c r="I2133" s="354" t="s">
        <v>8000</v>
      </c>
      <c r="J2133" s="340" t="s">
        <v>14003</v>
      </c>
      <c r="K2133" s="339" t="s">
        <v>70</v>
      </c>
      <c r="L2133" s="357">
        <v>17</v>
      </c>
      <c r="M2133" s="358" t="s">
        <v>14004</v>
      </c>
      <c r="N2133" s="359">
        <v>1000</v>
      </c>
      <c r="O2133" s="360" t="s">
        <v>532</v>
      </c>
      <c r="P2133" s="343" t="s">
        <v>532</v>
      </c>
      <c r="Q2133" s="342" t="s">
        <v>2688</v>
      </c>
      <c r="R2133" s="344">
        <v>25</v>
      </c>
      <c r="S2133" s="345">
        <v>30</v>
      </c>
      <c r="T2133" s="362">
        <v>25</v>
      </c>
      <c r="U2133" s="361">
        <v>54.23</v>
      </c>
      <c r="V2133" s="346">
        <v>103.90453684818256</v>
      </c>
      <c r="W2133" s="348">
        <v>107.01564795929367</v>
      </c>
      <c r="X2133" s="347" t="s">
        <v>19406</v>
      </c>
      <c r="Y2133" s="357" t="s">
        <v>408</v>
      </c>
      <c r="Z2133" s="365" t="s">
        <v>4408</v>
      </c>
      <c r="AA2133" s="350">
        <v>192</v>
      </c>
      <c r="AB2133" s="349" t="s">
        <v>2685</v>
      </c>
      <c r="AC2133" s="350">
        <v>0</v>
      </c>
      <c r="AD2133" s="349" t="s">
        <v>2685</v>
      </c>
      <c r="AE2133" s="364">
        <v>0</v>
      </c>
      <c r="AF2133" s="366">
        <v>0</v>
      </c>
      <c r="AG2133" s="363">
        <v>0</v>
      </c>
      <c r="AH2133" s="635" t="s">
        <v>408</v>
      </c>
      <c r="AL2133" s="487" t="s">
        <v>16506</v>
      </c>
      <c r="AM2133" s="477" t="s">
        <v>70</v>
      </c>
      <c r="AN2133" s="637">
        <v>100</v>
      </c>
      <c r="AO2133" s="478">
        <v>-1570</v>
      </c>
      <c r="AP2133" s="463">
        <v>-1570</v>
      </c>
      <c r="AQ2133" s="479">
        <v>0</v>
      </c>
      <c r="AR2133" s="476" t="s">
        <v>18167</v>
      </c>
    </row>
    <row r="2134" spans="2:44" ht="15" customHeight="1">
      <c r="B2134" s="367" t="s">
        <v>14005</v>
      </c>
      <c r="C2134" s="351" t="s">
        <v>14006</v>
      </c>
      <c r="D2134" s="353">
        <v>-1570</v>
      </c>
      <c r="E2134" s="352" t="s">
        <v>408</v>
      </c>
      <c r="F2134" s="341">
        <v>54.04</v>
      </c>
      <c r="G2134" s="355" t="s">
        <v>14007</v>
      </c>
      <c r="H2134" s="356" t="s">
        <v>13986</v>
      </c>
      <c r="I2134" s="354" t="s">
        <v>213</v>
      </c>
      <c r="J2134" s="340" t="s">
        <v>552</v>
      </c>
      <c r="K2134" s="339" t="s">
        <v>70</v>
      </c>
      <c r="L2134" s="357">
        <v>12</v>
      </c>
      <c r="M2134" s="358" t="s">
        <v>14008</v>
      </c>
      <c r="N2134" s="359">
        <v>1000</v>
      </c>
      <c r="O2134" s="360" t="s">
        <v>454</v>
      </c>
      <c r="P2134" s="343" t="s">
        <v>454</v>
      </c>
      <c r="Q2134" s="342" t="s">
        <v>2688</v>
      </c>
      <c r="R2134" s="344">
        <v>20</v>
      </c>
      <c r="S2134" s="345">
        <v>30</v>
      </c>
      <c r="T2134" s="362">
        <v>30</v>
      </c>
      <c r="U2134" s="361">
        <v>54.04</v>
      </c>
      <c r="V2134" s="346">
        <v>103.8016795865633</v>
      </c>
      <c r="W2134" s="348">
        <v>106.90766073871409</v>
      </c>
      <c r="X2134" s="347">
        <v>51.81</v>
      </c>
      <c r="Y2134" s="357" t="s">
        <v>408</v>
      </c>
      <c r="Z2134" s="365" t="s">
        <v>4408</v>
      </c>
      <c r="AA2134" s="350">
        <v>180</v>
      </c>
      <c r="AB2134" s="349" t="s">
        <v>2685</v>
      </c>
      <c r="AC2134" s="350">
        <v>10</v>
      </c>
      <c r="AD2134" s="349" t="s">
        <v>2685</v>
      </c>
      <c r="AE2134" s="364">
        <v>0</v>
      </c>
      <c r="AF2134" s="366">
        <v>32.423999999999999</v>
      </c>
      <c r="AG2134" s="363">
        <v>0</v>
      </c>
      <c r="AH2134" s="635" t="s">
        <v>12613</v>
      </c>
      <c r="AL2134" s="487" t="s">
        <v>16507</v>
      </c>
      <c r="AM2134" s="477" t="s">
        <v>70</v>
      </c>
      <c r="AN2134" s="637">
        <v>100</v>
      </c>
      <c r="AO2134" s="478">
        <v>-1570</v>
      </c>
      <c r="AP2134" s="463">
        <v>-1570</v>
      </c>
      <c r="AQ2134" s="479">
        <v>0</v>
      </c>
      <c r="AR2134" s="476" t="s">
        <v>18168</v>
      </c>
    </row>
    <row r="2135" spans="2:44" ht="15" customHeight="1">
      <c r="B2135" s="367" t="s">
        <v>14009</v>
      </c>
      <c r="C2135" s="351" t="s">
        <v>14010</v>
      </c>
      <c r="D2135" s="353">
        <v>-1570</v>
      </c>
      <c r="E2135" s="352" t="s">
        <v>408</v>
      </c>
      <c r="F2135" s="341">
        <v>53.92</v>
      </c>
      <c r="G2135" s="355" t="s">
        <v>14011</v>
      </c>
      <c r="H2135" s="356" t="s">
        <v>19407</v>
      </c>
      <c r="I2135" s="354" t="s">
        <v>213</v>
      </c>
      <c r="J2135" s="340" t="s">
        <v>550</v>
      </c>
      <c r="K2135" s="339" t="s">
        <v>70</v>
      </c>
      <c r="L2135" s="357">
        <v>9</v>
      </c>
      <c r="M2135" s="358" t="s">
        <v>3498</v>
      </c>
      <c r="N2135" s="359">
        <v>1000</v>
      </c>
      <c r="O2135" s="360" t="s">
        <v>454</v>
      </c>
      <c r="P2135" s="343" t="s">
        <v>454</v>
      </c>
      <c r="Q2135" s="342" t="s">
        <v>2688</v>
      </c>
      <c r="R2135" s="344">
        <v>20</v>
      </c>
      <c r="S2135" s="345">
        <v>30</v>
      </c>
      <c r="T2135" s="362">
        <v>30</v>
      </c>
      <c r="U2135" s="361">
        <v>53.92</v>
      </c>
      <c r="V2135" s="346">
        <v>103.73191214470285</v>
      </c>
      <c r="W2135" s="348">
        <v>106.83378932968537</v>
      </c>
      <c r="X2135" s="347">
        <v>51.77</v>
      </c>
      <c r="Y2135" s="357" t="s">
        <v>408</v>
      </c>
      <c r="Z2135" s="365" t="s">
        <v>4408</v>
      </c>
      <c r="AA2135" s="350">
        <v>180</v>
      </c>
      <c r="AB2135" s="349" t="s">
        <v>2685</v>
      </c>
      <c r="AC2135" s="350">
        <v>10</v>
      </c>
      <c r="AD2135" s="349" t="s">
        <v>2685</v>
      </c>
      <c r="AE2135" s="364">
        <v>0</v>
      </c>
      <c r="AF2135" s="366">
        <v>32.351999999999997</v>
      </c>
      <c r="AG2135" s="363">
        <v>0</v>
      </c>
      <c r="AH2135" s="635" t="s">
        <v>12613</v>
      </c>
      <c r="AL2135" s="487" t="s">
        <v>16508</v>
      </c>
      <c r="AM2135" s="477" t="s">
        <v>70</v>
      </c>
      <c r="AN2135" s="637">
        <v>100</v>
      </c>
      <c r="AO2135" s="478">
        <v>-1570</v>
      </c>
      <c r="AP2135" s="463">
        <v>-1570</v>
      </c>
      <c r="AQ2135" s="479">
        <v>0</v>
      </c>
      <c r="AR2135" s="476" t="s">
        <v>18169</v>
      </c>
    </row>
    <row r="2136" spans="2:44" ht="15" customHeight="1">
      <c r="B2136" s="367" t="s">
        <v>7537</v>
      </c>
      <c r="C2136" s="351" t="s">
        <v>14013</v>
      </c>
      <c r="D2136" s="353">
        <v>-1570</v>
      </c>
      <c r="E2136" s="352" t="s">
        <v>408</v>
      </c>
      <c r="F2136" s="341">
        <v>53.77</v>
      </c>
      <c r="G2136" s="355" t="s">
        <v>14014</v>
      </c>
      <c r="H2136" s="356" t="s">
        <v>19408</v>
      </c>
      <c r="I2136" s="354" t="s">
        <v>213</v>
      </c>
      <c r="J2136" s="340" t="s">
        <v>14015</v>
      </c>
      <c r="K2136" s="339" t="s">
        <v>70</v>
      </c>
      <c r="L2136" s="357">
        <v>7</v>
      </c>
      <c r="M2136" s="358" t="s">
        <v>14016</v>
      </c>
      <c r="N2136" s="359">
        <v>1000</v>
      </c>
      <c r="O2136" s="360" t="s">
        <v>454</v>
      </c>
      <c r="P2136" s="343" t="s">
        <v>454</v>
      </c>
      <c r="Q2136" s="342" t="s">
        <v>2688</v>
      </c>
      <c r="R2136" s="344">
        <v>20</v>
      </c>
      <c r="S2136" s="345">
        <v>30</v>
      </c>
      <c r="T2136" s="362">
        <v>30</v>
      </c>
      <c r="U2136" s="361">
        <v>53.77</v>
      </c>
      <c r="V2136" s="346">
        <v>103.65116279069768</v>
      </c>
      <c r="W2136" s="348">
        <v>106.74829001367989</v>
      </c>
      <c r="X2136" s="347">
        <v>51.73</v>
      </c>
      <c r="Y2136" s="357" t="s">
        <v>408</v>
      </c>
      <c r="Z2136" s="365" t="s">
        <v>4408</v>
      </c>
      <c r="AA2136" s="350">
        <v>180</v>
      </c>
      <c r="AB2136" s="349" t="s">
        <v>2685</v>
      </c>
      <c r="AC2136" s="350">
        <v>10</v>
      </c>
      <c r="AD2136" s="349" t="s">
        <v>2685</v>
      </c>
      <c r="AE2136" s="364">
        <v>0</v>
      </c>
      <c r="AF2136" s="366">
        <v>32.262</v>
      </c>
      <c r="AG2136" s="363">
        <v>0</v>
      </c>
      <c r="AH2136" s="635" t="s">
        <v>12613</v>
      </c>
      <c r="AL2136" s="487" t="s">
        <v>16509</v>
      </c>
      <c r="AM2136" s="477" t="s">
        <v>70</v>
      </c>
      <c r="AN2136" s="637">
        <v>100</v>
      </c>
      <c r="AO2136" s="478">
        <v>-1570</v>
      </c>
      <c r="AP2136" s="463">
        <v>-1570</v>
      </c>
      <c r="AQ2136" s="479">
        <v>0</v>
      </c>
      <c r="AR2136" s="476" t="s">
        <v>18170</v>
      </c>
    </row>
    <row r="2137" spans="2:44" ht="15" customHeight="1">
      <c r="B2137" s="367" t="s">
        <v>14017</v>
      </c>
      <c r="C2137" s="351" t="s">
        <v>14018</v>
      </c>
      <c r="D2137" s="353">
        <v>-1570</v>
      </c>
      <c r="E2137" s="352" t="s">
        <v>408</v>
      </c>
      <c r="F2137" s="341">
        <v>53.74</v>
      </c>
      <c r="G2137" s="355" t="s">
        <v>14019</v>
      </c>
      <c r="H2137" s="356" t="s">
        <v>19409</v>
      </c>
      <c r="I2137" s="354" t="s">
        <v>213</v>
      </c>
      <c r="J2137" s="340" t="s">
        <v>551</v>
      </c>
      <c r="K2137" s="339" t="s">
        <v>70</v>
      </c>
      <c r="L2137" s="357">
        <v>11</v>
      </c>
      <c r="M2137" s="358" t="s">
        <v>9849</v>
      </c>
      <c r="N2137" s="359">
        <v>1000</v>
      </c>
      <c r="O2137" s="360" t="s">
        <v>454</v>
      </c>
      <c r="P2137" s="343" t="s">
        <v>454</v>
      </c>
      <c r="Q2137" s="342" t="s">
        <v>2688</v>
      </c>
      <c r="R2137" s="344">
        <v>20</v>
      </c>
      <c r="S2137" s="345">
        <v>30</v>
      </c>
      <c r="T2137" s="362">
        <v>30</v>
      </c>
      <c r="U2137" s="361">
        <v>53.74</v>
      </c>
      <c r="V2137" s="346">
        <v>103.63565891472869</v>
      </c>
      <c r="W2137" s="348">
        <v>106.73187414500684</v>
      </c>
      <c r="X2137" s="347">
        <v>51.72</v>
      </c>
      <c r="Y2137" s="357" t="s">
        <v>408</v>
      </c>
      <c r="Z2137" s="365" t="s">
        <v>4408</v>
      </c>
      <c r="AA2137" s="350">
        <v>180</v>
      </c>
      <c r="AB2137" s="349" t="s">
        <v>2685</v>
      </c>
      <c r="AC2137" s="350">
        <v>10</v>
      </c>
      <c r="AD2137" s="349" t="s">
        <v>2685</v>
      </c>
      <c r="AE2137" s="364">
        <v>0</v>
      </c>
      <c r="AF2137" s="366">
        <v>32.244</v>
      </c>
      <c r="AG2137" s="363">
        <v>0</v>
      </c>
      <c r="AH2137" s="635" t="s">
        <v>12613</v>
      </c>
      <c r="AL2137" s="487" t="s">
        <v>16510</v>
      </c>
      <c r="AM2137" s="477" t="s">
        <v>70</v>
      </c>
      <c r="AN2137" s="637">
        <v>100</v>
      </c>
      <c r="AO2137" s="478">
        <v>-1570</v>
      </c>
      <c r="AP2137" s="463">
        <v>-1570</v>
      </c>
      <c r="AQ2137" s="479">
        <v>0</v>
      </c>
      <c r="AR2137" s="476" t="s">
        <v>18171</v>
      </c>
    </row>
    <row r="2138" spans="2:44" ht="15" customHeight="1">
      <c r="B2138" s="367" t="s">
        <v>7530</v>
      </c>
      <c r="C2138" s="351" t="s">
        <v>14020</v>
      </c>
      <c r="D2138" s="353">
        <v>-1570</v>
      </c>
      <c r="E2138" s="352" t="s">
        <v>408</v>
      </c>
      <c r="F2138" s="341">
        <v>53.36</v>
      </c>
      <c r="G2138" s="355" t="s">
        <v>14021</v>
      </c>
      <c r="H2138" s="356" t="s">
        <v>19410</v>
      </c>
      <c r="I2138" s="354" t="s">
        <v>213</v>
      </c>
      <c r="J2138" s="340" t="s">
        <v>14022</v>
      </c>
      <c r="K2138" s="339" t="s">
        <v>70</v>
      </c>
      <c r="L2138" s="357">
        <v>14</v>
      </c>
      <c r="M2138" s="358" t="s">
        <v>14023</v>
      </c>
      <c r="N2138" s="359">
        <v>1000</v>
      </c>
      <c r="O2138" s="360" t="s">
        <v>454</v>
      </c>
      <c r="P2138" s="343" t="s">
        <v>454</v>
      </c>
      <c r="Q2138" s="342" t="s">
        <v>2688</v>
      </c>
      <c r="R2138" s="344">
        <v>20</v>
      </c>
      <c r="S2138" s="345">
        <v>30</v>
      </c>
      <c r="T2138" s="362">
        <v>30</v>
      </c>
      <c r="U2138" s="361">
        <v>53.36</v>
      </c>
      <c r="V2138" s="346">
        <v>103.42349206349206</v>
      </c>
      <c r="W2138" s="348">
        <v>106.5072268907563</v>
      </c>
      <c r="X2138" s="347">
        <v>51.59</v>
      </c>
      <c r="Y2138" s="357" t="s">
        <v>408</v>
      </c>
      <c r="Z2138" s="365" t="s">
        <v>4408</v>
      </c>
      <c r="AA2138" s="350">
        <v>180</v>
      </c>
      <c r="AB2138" s="349" t="s">
        <v>2685</v>
      </c>
      <c r="AC2138" s="350">
        <v>10</v>
      </c>
      <c r="AD2138" s="349" t="s">
        <v>2685</v>
      </c>
      <c r="AE2138" s="364">
        <v>0</v>
      </c>
      <c r="AF2138" s="366">
        <v>40.020000000000003</v>
      </c>
      <c r="AG2138" s="363">
        <v>0</v>
      </c>
      <c r="AH2138" s="635" t="s">
        <v>12809</v>
      </c>
      <c r="AL2138" s="487" t="s">
        <v>16511</v>
      </c>
      <c r="AM2138" s="477" t="s">
        <v>70</v>
      </c>
      <c r="AN2138" s="637">
        <v>100</v>
      </c>
      <c r="AO2138" s="478">
        <v>-1570</v>
      </c>
      <c r="AP2138" s="463">
        <v>-1570</v>
      </c>
      <c r="AQ2138" s="479">
        <v>0</v>
      </c>
      <c r="AR2138" s="476" t="s">
        <v>18172</v>
      </c>
    </row>
    <row r="2139" spans="2:44" ht="15" customHeight="1">
      <c r="B2139" s="367" t="s">
        <v>14024</v>
      </c>
      <c r="C2139" s="351" t="s">
        <v>14025</v>
      </c>
      <c r="D2139" s="353">
        <v>-1570</v>
      </c>
      <c r="E2139" s="352" t="s">
        <v>408</v>
      </c>
      <c r="F2139" s="341">
        <v>53.29</v>
      </c>
      <c r="G2139" s="355" t="s">
        <v>14026</v>
      </c>
      <c r="H2139" s="356" t="s">
        <v>19411</v>
      </c>
      <c r="I2139" s="354" t="s">
        <v>213</v>
      </c>
      <c r="J2139" s="340" t="s">
        <v>9252</v>
      </c>
      <c r="K2139" s="339" t="s">
        <v>70</v>
      </c>
      <c r="L2139" s="357">
        <v>9</v>
      </c>
      <c r="M2139" s="358" t="s">
        <v>14027</v>
      </c>
      <c r="N2139" s="359">
        <v>1000</v>
      </c>
      <c r="O2139" s="360" t="s">
        <v>454</v>
      </c>
      <c r="P2139" s="343" t="s">
        <v>454</v>
      </c>
      <c r="Q2139" s="342" t="s">
        <v>2688</v>
      </c>
      <c r="R2139" s="344">
        <v>20</v>
      </c>
      <c r="S2139" s="345">
        <v>30</v>
      </c>
      <c r="T2139" s="362">
        <v>30</v>
      </c>
      <c r="U2139" s="361">
        <v>53.29</v>
      </c>
      <c r="V2139" s="346">
        <v>103.38242894056847</v>
      </c>
      <c r="W2139" s="348">
        <v>106.46374829001367</v>
      </c>
      <c r="X2139" s="347">
        <v>51.57</v>
      </c>
      <c r="Y2139" s="357" t="s">
        <v>408</v>
      </c>
      <c r="Z2139" s="365" t="s">
        <v>4408</v>
      </c>
      <c r="AA2139" s="350">
        <v>180</v>
      </c>
      <c r="AB2139" s="349" t="s">
        <v>2685</v>
      </c>
      <c r="AC2139" s="350">
        <v>10</v>
      </c>
      <c r="AD2139" s="349" t="s">
        <v>2685</v>
      </c>
      <c r="AE2139" s="364">
        <v>0</v>
      </c>
      <c r="AF2139" s="366">
        <v>31.974</v>
      </c>
      <c r="AG2139" s="363">
        <v>0</v>
      </c>
      <c r="AH2139" s="635" t="s">
        <v>12613</v>
      </c>
      <c r="AL2139" s="487" t="s">
        <v>16512</v>
      </c>
      <c r="AM2139" s="477" t="s">
        <v>70</v>
      </c>
      <c r="AN2139" s="637">
        <v>100</v>
      </c>
      <c r="AO2139" s="478">
        <v>-1570</v>
      </c>
      <c r="AP2139" s="463">
        <v>-1570</v>
      </c>
      <c r="AQ2139" s="479">
        <v>0</v>
      </c>
      <c r="AR2139" s="476" t="s">
        <v>18173</v>
      </c>
    </row>
    <row r="2140" spans="2:44" ht="15" customHeight="1">
      <c r="B2140" s="367" t="s">
        <v>7527</v>
      </c>
      <c r="C2140" s="351" t="s">
        <v>14028</v>
      </c>
      <c r="D2140" s="353">
        <v>-1570</v>
      </c>
      <c r="E2140" s="352" t="s">
        <v>408</v>
      </c>
      <c r="F2140" s="341">
        <v>53.17</v>
      </c>
      <c r="G2140" s="355" t="s">
        <v>14029</v>
      </c>
      <c r="H2140" s="356" t="s">
        <v>19412</v>
      </c>
      <c r="I2140" s="354" t="s">
        <v>213</v>
      </c>
      <c r="J2140" s="340" t="s">
        <v>14030</v>
      </c>
      <c r="K2140" s="339" t="s">
        <v>70</v>
      </c>
      <c r="L2140" s="357">
        <v>8</v>
      </c>
      <c r="M2140" s="358" t="s">
        <v>14031</v>
      </c>
      <c r="N2140" s="359">
        <v>1000</v>
      </c>
      <c r="O2140" s="360" t="s">
        <v>454</v>
      </c>
      <c r="P2140" s="343" t="s">
        <v>454</v>
      </c>
      <c r="Q2140" s="342" t="s">
        <v>2688</v>
      </c>
      <c r="R2140" s="344">
        <v>20</v>
      </c>
      <c r="S2140" s="345">
        <v>30</v>
      </c>
      <c r="T2140" s="362">
        <v>30</v>
      </c>
      <c r="U2140" s="361">
        <v>53.17</v>
      </c>
      <c r="V2140" s="346">
        <v>103.31936507936507</v>
      </c>
      <c r="W2140" s="348">
        <v>106.39697478991596</v>
      </c>
      <c r="X2140" s="347">
        <v>51.53</v>
      </c>
      <c r="Y2140" s="357" t="s">
        <v>408</v>
      </c>
      <c r="Z2140" s="365" t="s">
        <v>4408</v>
      </c>
      <c r="AA2140" s="350">
        <v>180</v>
      </c>
      <c r="AB2140" s="349" t="s">
        <v>2685</v>
      </c>
      <c r="AC2140" s="350">
        <v>10</v>
      </c>
      <c r="AD2140" s="349" t="s">
        <v>2685</v>
      </c>
      <c r="AE2140" s="364">
        <v>0</v>
      </c>
      <c r="AF2140" s="366">
        <v>39.878</v>
      </c>
      <c r="AG2140" s="363">
        <v>0</v>
      </c>
      <c r="AH2140" s="635" t="s">
        <v>12809</v>
      </c>
      <c r="AL2140" s="487" t="s">
        <v>16513</v>
      </c>
      <c r="AM2140" s="477" t="s">
        <v>70</v>
      </c>
      <c r="AN2140" s="637">
        <v>100</v>
      </c>
      <c r="AO2140" s="478">
        <v>-1570</v>
      </c>
      <c r="AP2140" s="463">
        <v>-1570</v>
      </c>
      <c r="AQ2140" s="479">
        <v>0</v>
      </c>
      <c r="AR2140" s="476" t="s">
        <v>18174</v>
      </c>
    </row>
    <row r="2141" spans="2:44" ht="15" customHeight="1">
      <c r="B2141" s="367" t="s">
        <v>18320</v>
      </c>
      <c r="C2141" s="351" t="s">
        <v>18321</v>
      </c>
      <c r="D2141" s="353">
        <v>-1570</v>
      </c>
      <c r="E2141" s="352" t="s">
        <v>14032</v>
      </c>
      <c r="F2141" s="341">
        <v>52.96</v>
      </c>
      <c r="G2141" s="355" t="s">
        <v>19413</v>
      </c>
      <c r="H2141" s="356" t="s">
        <v>7058</v>
      </c>
      <c r="I2141" s="354" t="s">
        <v>8000</v>
      </c>
      <c r="J2141" s="340" t="s">
        <v>562</v>
      </c>
      <c r="K2141" s="339" t="s">
        <v>71</v>
      </c>
      <c r="L2141" s="357">
        <v>5</v>
      </c>
      <c r="M2141" s="358" t="s">
        <v>14033</v>
      </c>
      <c r="N2141" s="359">
        <v>1000</v>
      </c>
      <c r="O2141" s="360" t="s">
        <v>532</v>
      </c>
      <c r="P2141" s="343" t="s">
        <v>532</v>
      </c>
      <c r="Q2141" s="342" t="s">
        <v>2688</v>
      </c>
      <c r="R2141" s="344">
        <v>30</v>
      </c>
      <c r="S2141" s="345">
        <v>25</v>
      </c>
      <c r="T2141" s="362">
        <v>25</v>
      </c>
      <c r="U2141" s="361">
        <v>52.96</v>
      </c>
      <c r="V2141" s="346">
        <v>103.20030539880511</v>
      </c>
      <c r="W2141" s="348">
        <v>106.27091159873481</v>
      </c>
      <c r="X2141" s="347" t="s">
        <v>19414</v>
      </c>
      <c r="Y2141" s="357" t="s">
        <v>408</v>
      </c>
      <c r="Z2141" s="365" t="s">
        <v>4408</v>
      </c>
      <c r="AA2141" s="350">
        <v>192</v>
      </c>
      <c r="AB2141" s="349" t="s">
        <v>2685</v>
      </c>
      <c r="AC2141" s="350">
        <v>0</v>
      </c>
      <c r="AD2141" s="349" t="s">
        <v>2685</v>
      </c>
      <c r="AE2141" s="364">
        <v>0</v>
      </c>
      <c r="AF2141" s="366">
        <v>0</v>
      </c>
      <c r="AG2141" s="363">
        <v>0</v>
      </c>
      <c r="AH2141" s="635" t="s">
        <v>408</v>
      </c>
      <c r="AL2141" s="487" t="s">
        <v>16514</v>
      </c>
      <c r="AM2141" s="477" t="s">
        <v>71</v>
      </c>
      <c r="AN2141" s="637">
        <v>100</v>
      </c>
      <c r="AO2141" s="478">
        <v>-1570</v>
      </c>
      <c r="AP2141" s="463">
        <v>-591</v>
      </c>
      <c r="AQ2141" s="479">
        <v>-979</v>
      </c>
      <c r="AR2141" s="476" t="s">
        <v>18175</v>
      </c>
    </row>
    <row r="2142" spans="2:44" ht="15" customHeight="1">
      <c r="B2142" s="367" t="s">
        <v>14034</v>
      </c>
      <c r="C2142" s="351" t="s">
        <v>14035</v>
      </c>
      <c r="D2142" s="353">
        <v>-1570</v>
      </c>
      <c r="E2142" s="352" t="s">
        <v>408</v>
      </c>
      <c r="F2142" s="341">
        <v>52.84</v>
      </c>
      <c r="G2142" s="355" t="s">
        <v>14036</v>
      </c>
      <c r="H2142" s="356" t="s">
        <v>19415</v>
      </c>
      <c r="I2142" s="354" t="s">
        <v>213</v>
      </c>
      <c r="J2142" s="340" t="s">
        <v>14037</v>
      </c>
      <c r="K2142" s="339" t="s">
        <v>70</v>
      </c>
      <c r="L2142" s="357">
        <v>9</v>
      </c>
      <c r="M2142" s="358" t="s">
        <v>14038</v>
      </c>
      <c r="N2142" s="359">
        <v>1000</v>
      </c>
      <c r="O2142" s="360" t="s">
        <v>454</v>
      </c>
      <c r="P2142" s="343" t="s">
        <v>454</v>
      </c>
      <c r="Q2142" s="342" t="s">
        <v>2688</v>
      </c>
      <c r="R2142" s="344">
        <v>20</v>
      </c>
      <c r="S2142" s="345">
        <v>30</v>
      </c>
      <c r="T2142" s="362">
        <v>30</v>
      </c>
      <c r="U2142" s="361">
        <v>52.84</v>
      </c>
      <c r="V2142" s="346">
        <v>103.13436692506461</v>
      </c>
      <c r="W2142" s="348">
        <v>106.20109439124487</v>
      </c>
      <c r="X2142" s="347">
        <v>51.43</v>
      </c>
      <c r="Y2142" s="357" t="s">
        <v>408</v>
      </c>
      <c r="Z2142" s="365" t="s">
        <v>4408</v>
      </c>
      <c r="AA2142" s="350">
        <v>180</v>
      </c>
      <c r="AB2142" s="349" t="s">
        <v>2685</v>
      </c>
      <c r="AC2142" s="350">
        <v>10</v>
      </c>
      <c r="AD2142" s="349" t="s">
        <v>2685</v>
      </c>
      <c r="AE2142" s="364">
        <v>0</v>
      </c>
      <c r="AF2142" s="366">
        <v>31.704000000000001</v>
      </c>
      <c r="AG2142" s="363">
        <v>0</v>
      </c>
      <c r="AH2142" s="635" t="s">
        <v>12613</v>
      </c>
      <c r="AL2142" s="487" t="s">
        <v>16515</v>
      </c>
      <c r="AM2142" s="477" t="s">
        <v>70</v>
      </c>
      <c r="AN2142" s="637">
        <v>100</v>
      </c>
      <c r="AO2142" s="478">
        <v>-1570</v>
      </c>
      <c r="AP2142" s="463">
        <v>-1570</v>
      </c>
      <c r="AQ2142" s="479">
        <v>0</v>
      </c>
      <c r="AR2142" s="476" t="s">
        <v>18176</v>
      </c>
    </row>
    <row r="2143" spans="2:44" ht="15" customHeight="1">
      <c r="B2143" s="367" t="s">
        <v>14039</v>
      </c>
      <c r="C2143" s="351" t="s">
        <v>14040</v>
      </c>
      <c r="D2143" s="353">
        <v>-1570</v>
      </c>
      <c r="E2143" s="352" t="s">
        <v>14041</v>
      </c>
      <c r="F2143" s="341">
        <v>52.36</v>
      </c>
      <c r="G2143" s="355" t="s">
        <v>14041</v>
      </c>
      <c r="H2143" s="356" t="s">
        <v>19416</v>
      </c>
      <c r="I2143" s="354" t="s">
        <v>8000</v>
      </c>
      <c r="J2143" s="340" t="s">
        <v>14042</v>
      </c>
      <c r="K2143" s="339" t="s">
        <v>71</v>
      </c>
      <c r="L2143" s="357">
        <v>12</v>
      </c>
      <c r="M2143" s="358" t="s">
        <v>14043</v>
      </c>
      <c r="N2143" s="359">
        <v>1000</v>
      </c>
      <c r="O2143" s="360" t="s">
        <v>532</v>
      </c>
      <c r="P2143" s="343" t="s">
        <v>532</v>
      </c>
      <c r="Q2143" s="342" t="s">
        <v>2688</v>
      </c>
      <c r="R2143" s="344">
        <v>30</v>
      </c>
      <c r="S2143" s="345">
        <v>25</v>
      </c>
      <c r="T2143" s="362">
        <v>25</v>
      </c>
      <c r="U2143" s="361">
        <v>52.36</v>
      </c>
      <c r="V2143" s="346">
        <v>102.85797492710849</v>
      </c>
      <c r="W2143" s="348">
        <v>105.8911979816034</v>
      </c>
      <c r="X2143" s="347" t="s">
        <v>19417</v>
      </c>
      <c r="Y2143" s="357" t="s">
        <v>408</v>
      </c>
      <c r="Z2143" s="365" t="s">
        <v>4408</v>
      </c>
      <c r="AA2143" s="350">
        <v>192</v>
      </c>
      <c r="AB2143" s="349" t="s">
        <v>2685</v>
      </c>
      <c r="AC2143" s="350">
        <v>0</v>
      </c>
      <c r="AD2143" s="349" t="s">
        <v>2685</v>
      </c>
      <c r="AE2143" s="364">
        <v>0</v>
      </c>
      <c r="AF2143" s="366">
        <v>0</v>
      </c>
      <c r="AG2143" s="363">
        <v>0</v>
      </c>
      <c r="AH2143" s="635" t="s">
        <v>408</v>
      </c>
      <c r="AL2143" s="487" t="s">
        <v>16516</v>
      </c>
      <c r="AM2143" s="477" t="s">
        <v>71</v>
      </c>
      <c r="AN2143" s="637">
        <v>100</v>
      </c>
      <c r="AO2143" s="478">
        <v>-1570</v>
      </c>
      <c r="AP2143" s="463">
        <v>-588</v>
      </c>
      <c r="AQ2143" s="479">
        <v>-982</v>
      </c>
      <c r="AR2143" s="476" t="s">
        <v>18177</v>
      </c>
    </row>
    <row r="2144" spans="2:44" ht="15" customHeight="1">
      <c r="B2144" s="367" t="s">
        <v>14044</v>
      </c>
      <c r="C2144" s="351" t="s">
        <v>14045</v>
      </c>
      <c r="D2144" s="353">
        <v>-1570</v>
      </c>
      <c r="E2144" s="352" t="s">
        <v>408</v>
      </c>
      <c r="F2144" s="341">
        <v>52.32</v>
      </c>
      <c r="G2144" s="355" t="s">
        <v>14046</v>
      </c>
      <c r="H2144" s="356" t="s">
        <v>19418</v>
      </c>
      <c r="I2144" s="354" t="s">
        <v>8000</v>
      </c>
      <c r="J2144" s="340" t="s">
        <v>11747</v>
      </c>
      <c r="K2144" s="339" t="s">
        <v>70</v>
      </c>
      <c r="L2144" s="357">
        <v>9</v>
      </c>
      <c r="M2144" s="358" t="s">
        <v>14047</v>
      </c>
      <c r="N2144" s="359">
        <v>1000</v>
      </c>
      <c r="O2144" s="360" t="s">
        <v>532</v>
      </c>
      <c r="P2144" s="343" t="s">
        <v>532</v>
      </c>
      <c r="Q2144" s="342" t="s">
        <v>2688</v>
      </c>
      <c r="R2144" s="344">
        <v>25</v>
      </c>
      <c r="S2144" s="345">
        <v>30</v>
      </c>
      <c r="T2144" s="362">
        <v>25</v>
      </c>
      <c r="U2144" s="361">
        <v>52.32</v>
      </c>
      <c r="V2144" s="346">
        <v>102.83308083787274</v>
      </c>
      <c r="W2144" s="348">
        <v>105.85864417260281</v>
      </c>
      <c r="X2144" s="347" t="s">
        <v>19419</v>
      </c>
      <c r="Y2144" s="357" t="s">
        <v>408</v>
      </c>
      <c r="Z2144" s="365" t="s">
        <v>4408</v>
      </c>
      <c r="AA2144" s="350">
        <v>192</v>
      </c>
      <c r="AB2144" s="349" t="s">
        <v>2685</v>
      </c>
      <c r="AC2144" s="350">
        <v>0</v>
      </c>
      <c r="AD2144" s="349" t="s">
        <v>2685</v>
      </c>
      <c r="AE2144" s="364">
        <v>0</v>
      </c>
      <c r="AF2144" s="366">
        <v>0</v>
      </c>
      <c r="AG2144" s="363">
        <v>0</v>
      </c>
      <c r="AH2144" s="635" t="s">
        <v>408</v>
      </c>
      <c r="AL2144" s="487" t="s">
        <v>16517</v>
      </c>
      <c r="AM2144" s="477" t="s">
        <v>70</v>
      </c>
      <c r="AN2144" s="637">
        <v>100</v>
      </c>
      <c r="AO2144" s="478">
        <v>-1570</v>
      </c>
      <c r="AP2144" s="463">
        <v>-1570</v>
      </c>
      <c r="AQ2144" s="479">
        <v>0</v>
      </c>
      <c r="AR2144" s="476" t="s">
        <v>18178</v>
      </c>
    </row>
    <row r="2145" spans="2:44" ht="15" customHeight="1">
      <c r="B2145" s="367" t="s">
        <v>14048</v>
      </c>
      <c r="C2145" s="351" t="s">
        <v>14049</v>
      </c>
      <c r="D2145" s="353">
        <v>-1570</v>
      </c>
      <c r="E2145" s="352" t="s">
        <v>408</v>
      </c>
      <c r="F2145" s="341">
        <v>52.18</v>
      </c>
      <c r="G2145" s="355" t="s">
        <v>14050</v>
      </c>
      <c r="H2145" s="356" t="s">
        <v>19420</v>
      </c>
      <c r="I2145" s="354" t="s">
        <v>8000</v>
      </c>
      <c r="J2145" s="340" t="s">
        <v>14051</v>
      </c>
      <c r="K2145" s="339" t="s">
        <v>70</v>
      </c>
      <c r="L2145" s="357">
        <v>12</v>
      </c>
      <c r="M2145" s="358" t="s">
        <v>14052</v>
      </c>
      <c r="N2145" s="359">
        <v>1000</v>
      </c>
      <c r="O2145" s="360" t="s">
        <v>532</v>
      </c>
      <c r="P2145" s="343" t="s">
        <v>532</v>
      </c>
      <c r="Q2145" s="342" t="s">
        <v>2688</v>
      </c>
      <c r="R2145" s="344">
        <v>25</v>
      </c>
      <c r="S2145" s="345">
        <v>30</v>
      </c>
      <c r="T2145" s="362">
        <v>25</v>
      </c>
      <c r="U2145" s="361">
        <v>52.18</v>
      </c>
      <c r="V2145" s="346">
        <v>102.75553110347921</v>
      </c>
      <c r="W2145" s="348">
        <v>105.75723298147282</v>
      </c>
      <c r="X2145" s="347" t="s">
        <v>19421</v>
      </c>
      <c r="Y2145" s="357" t="s">
        <v>408</v>
      </c>
      <c r="Z2145" s="365" t="s">
        <v>4408</v>
      </c>
      <c r="AA2145" s="350">
        <v>192</v>
      </c>
      <c r="AB2145" s="349" t="s">
        <v>2685</v>
      </c>
      <c r="AC2145" s="350">
        <v>0</v>
      </c>
      <c r="AD2145" s="349" t="s">
        <v>2685</v>
      </c>
      <c r="AE2145" s="364">
        <v>0</v>
      </c>
      <c r="AF2145" s="366">
        <v>0</v>
      </c>
      <c r="AG2145" s="363">
        <v>0</v>
      </c>
      <c r="AH2145" s="635" t="s">
        <v>408</v>
      </c>
      <c r="AL2145" s="487" t="s">
        <v>16518</v>
      </c>
      <c r="AM2145" s="477" t="s">
        <v>70</v>
      </c>
      <c r="AN2145" s="637">
        <v>100</v>
      </c>
      <c r="AO2145" s="478">
        <v>-1570</v>
      </c>
      <c r="AP2145" s="463">
        <v>-1570</v>
      </c>
      <c r="AQ2145" s="479">
        <v>0</v>
      </c>
      <c r="AR2145" s="476" t="s">
        <v>18179</v>
      </c>
    </row>
    <row r="2146" spans="2:44" ht="15" customHeight="1">
      <c r="B2146" s="367" t="s">
        <v>14053</v>
      </c>
      <c r="C2146" s="351" t="s">
        <v>14054</v>
      </c>
      <c r="D2146" s="353">
        <v>-1570</v>
      </c>
      <c r="E2146" s="352" t="s">
        <v>408</v>
      </c>
      <c r="F2146" s="341">
        <v>51.24</v>
      </c>
      <c r="G2146" s="355" t="s">
        <v>14055</v>
      </c>
      <c r="H2146" s="356" t="s">
        <v>14012</v>
      </c>
      <c r="I2146" s="354" t="s">
        <v>213</v>
      </c>
      <c r="J2146" s="340" t="s">
        <v>10547</v>
      </c>
      <c r="K2146" s="339" t="s">
        <v>70</v>
      </c>
      <c r="L2146" s="357">
        <v>9</v>
      </c>
      <c r="M2146" s="358" t="s">
        <v>14056</v>
      </c>
      <c r="N2146" s="359">
        <v>1000</v>
      </c>
      <c r="O2146" s="360" t="s">
        <v>454</v>
      </c>
      <c r="P2146" s="343" t="s">
        <v>454</v>
      </c>
      <c r="Q2146" s="342" t="s">
        <v>2688</v>
      </c>
      <c r="R2146" s="344">
        <v>20</v>
      </c>
      <c r="S2146" s="345">
        <v>30</v>
      </c>
      <c r="T2146" s="362">
        <v>30</v>
      </c>
      <c r="U2146" s="361">
        <v>51.24</v>
      </c>
      <c r="V2146" s="346">
        <v>102.19932773109244</v>
      </c>
      <c r="W2146" s="348">
        <v>105.02989010989012</v>
      </c>
      <c r="X2146" s="347">
        <v>50.93</v>
      </c>
      <c r="Y2146" s="357" t="s">
        <v>408</v>
      </c>
      <c r="Z2146" s="365" t="s">
        <v>4408</v>
      </c>
      <c r="AA2146" s="350">
        <v>180</v>
      </c>
      <c r="AB2146" s="349" t="s">
        <v>2685</v>
      </c>
      <c r="AC2146" s="350">
        <v>10</v>
      </c>
      <c r="AD2146" s="349" t="s">
        <v>2685</v>
      </c>
      <c r="AE2146" s="364">
        <v>0</v>
      </c>
      <c r="AF2146" s="366">
        <v>38.43</v>
      </c>
      <c r="AG2146" s="363">
        <v>0</v>
      </c>
      <c r="AH2146" s="635" t="s">
        <v>12809</v>
      </c>
      <c r="AL2146" s="487"/>
      <c r="AM2146" s="477"/>
      <c r="AN2146" s="637"/>
      <c r="AO2146" s="478"/>
      <c r="AP2146" s="463"/>
      <c r="AQ2146" s="479"/>
      <c r="AR2146" s="476"/>
    </row>
    <row r="2147" spans="2:44" ht="15" customHeight="1" thickBot="1">
      <c r="B2147" s="368" t="s">
        <v>14057</v>
      </c>
      <c r="C2147" s="369" t="s">
        <v>14058</v>
      </c>
      <c r="D2147" s="370">
        <v>-1570</v>
      </c>
      <c r="E2147" s="371" t="s">
        <v>408</v>
      </c>
      <c r="F2147" s="372">
        <v>50.88</v>
      </c>
      <c r="G2147" s="373" t="s">
        <v>14059</v>
      </c>
      <c r="H2147" s="374" t="s">
        <v>14012</v>
      </c>
      <c r="I2147" s="375" t="s">
        <v>213</v>
      </c>
      <c r="J2147" s="376" t="s">
        <v>14060</v>
      </c>
      <c r="K2147" s="377" t="s">
        <v>70</v>
      </c>
      <c r="L2147" s="378">
        <v>10</v>
      </c>
      <c r="M2147" s="379" t="s">
        <v>14061</v>
      </c>
      <c r="N2147" s="380">
        <v>1000</v>
      </c>
      <c r="O2147" s="381" t="s">
        <v>454</v>
      </c>
      <c r="P2147" s="382" t="s">
        <v>454</v>
      </c>
      <c r="Q2147" s="383" t="s">
        <v>2688</v>
      </c>
      <c r="R2147" s="384">
        <v>20</v>
      </c>
      <c r="S2147" s="385">
        <v>30</v>
      </c>
      <c r="T2147" s="386">
        <v>30</v>
      </c>
      <c r="U2147" s="387">
        <v>50.88</v>
      </c>
      <c r="V2147" s="388">
        <v>101.98862115127174</v>
      </c>
      <c r="W2147" s="389">
        <v>104.77108433734939</v>
      </c>
      <c r="X2147" s="390">
        <v>50.81</v>
      </c>
      <c r="Y2147" s="378" t="s">
        <v>408</v>
      </c>
      <c r="Z2147" s="391" t="s">
        <v>4408</v>
      </c>
      <c r="AA2147" s="392">
        <v>180</v>
      </c>
      <c r="AB2147" s="393" t="s">
        <v>2685</v>
      </c>
      <c r="AC2147" s="392">
        <v>10</v>
      </c>
      <c r="AD2147" s="393" t="s">
        <v>2685</v>
      </c>
      <c r="AE2147" s="394">
        <v>0</v>
      </c>
      <c r="AF2147" s="395">
        <v>15.263999999999999</v>
      </c>
      <c r="AG2147" s="396">
        <v>0</v>
      </c>
      <c r="AH2147" s="636" t="s">
        <v>6224</v>
      </c>
      <c r="AL2147" s="488"/>
      <c r="AM2147" s="481"/>
      <c r="AN2147" s="638"/>
      <c r="AO2147" s="482"/>
      <c r="AP2147" s="483"/>
      <c r="AQ2147" s="484"/>
      <c r="AR2147" s="485"/>
    </row>
    <row r="2148" spans="2:44" ht="15" customHeight="1">
      <c r="B2148" t="s">
        <v>14062</v>
      </c>
      <c r="C2148" t="s">
        <v>14063</v>
      </c>
      <c r="D2148">
        <v>-1570</v>
      </c>
      <c r="F2148">
        <v>50.61</v>
      </c>
      <c r="G2148" t="s">
        <v>14064</v>
      </c>
      <c r="H2148" t="s">
        <v>14012</v>
      </c>
      <c r="I2148" t="s">
        <v>8000</v>
      </c>
      <c r="J2148" t="s">
        <v>10633</v>
      </c>
      <c r="K2148" t="s">
        <v>70</v>
      </c>
      <c r="L2148">
        <v>12</v>
      </c>
      <c r="M2148" t="s">
        <v>6853</v>
      </c>
      <c r="N2148">
        <v>1000</v>
      </c>
      <c r="O2148" t="s">
        <v>532</v>
      </c>
      <c r="P2148" t="s">
        <v>532</v>
      </c>
      <c r="Q2148" t="s">
        <v>2688</v>
      </c>
      <c r="R2148">
        <v>25</v>
      </c>
      <c r="S2148">
        <v>30</v>
      </c>
      <c r="T2148">
        <v>25</v>
      </c>
      <c r="U2148">
        <v>50.61</v>
      </c>
      <c r="V2148">
        <v>101.83886203025554</v>
      </c>
      <c r="W2148">
        <v>104.57853689604283</v>
      </c>
      <c r="X2148" t="s">
        <v>19422</v>
      </c>
      <c r="Y2148" t="s">
        <v>408</v>
      </c>
      <c r="Z2148" t="s">
        <v>4408</v>
      </c>
      <c r="AA2148">
        <v>192</v>
      </c>
      <c r="AB2148" t="s">
        <v>2685</v>
      </c>
      <c r="AC2148">
        <v>0</v>
      </c>
      <c r="AD2148" t="s">
        <v>2685</v>
      </c>
      <c r="AE2148">
        <v>0</v>
      </c>
      <c r="AF2148">
        <v>0</v>
      </c>
      <c r="AG2148">
        <v>0</v>
      </c>
      <c r="AH2148" t="s">
        <v>408</v>
      </c>
    </row>
    <row r="2149" spans="2:44" ht="15" customHeight="1">
      <c r="D2149">
        <v>-1570</v>
      </c>
    </row>
    <row r="2150" spans="2:44" ht="15" customHeight="1">
      <c r="D2150">
        <v>-1570</v>
      </c>
    </row>
    <row r="2151" spans="2:44" ht="15" customHeight="1">
      <c r="D2151">
        <v>-1570</v>
      </c>
    </row>
    <row r="2152" spans="2:44" ht="15" customHeight="1">
      <c r="D2152">
        <v>-1570</v>
      </c>
    </row>
    <row r="2153" spans="2:44" ht="15" customHeight="1">
      <c r="D2153">
        <v>-1570</v>
      </c>
    </row>
    <row r="2154" spans="2:44" ht="15" customHeight="1">
      <c r="D2154">
        <v>-1570</v>
      </c>
    </row>
    <row r="2155" spans="2:44" ht="15" customHeight="1">
      <c r="D2155">
        <v>-1570</v>
      </c>
    </row>
    <row r="2156" spans="2:44" ht="15" customHeight="1">
      <c r="D2156">
        <v>-1570</v>
      </c>
    </row>
    <row r="2157" spans="2:44" ht="15" customHeight="1">
      <c r="D2157">
        <v>-1570</v>
      </c>
    </row>
    <row r="2158" spans="2:44" ht="15" customHeight="1">
      <c r="D2158">
        <v>-1570</v>
      </c>
    </row>
    <row r="2159" spans="2:44" ht="15" customHeight="1">
      <c r="D2159">
        <v>-1570</v>
      </c>
    </row>
    <row r="2160" spans="2:44" ht="15" customHeight="1">
      <c r="D2160">
        <v>-1570</v>
      </c>
    </row>
    <row r="2161" spans="4:4" ht="15" customHeight="1">
      <c r="D2161">
        <v>-1570</v>
      </c>
    </row>
    <row r="2162" spans="4:4" ht="15" customHeight="1">
      <c r="D2162">
        <v>-1570</v>
      </c>
    </row>
    <row r="2163" spans="4:4" ht="15" customHeight="1">
      <c r="D2163">
        <v>-1570</v>
      </c>
    </row>
    <row r="2164" spans="4:4" ht="15" customHeight="1">
      <c r="D2164">
        <v>-1570</v>
      </c>
    </row>
    <row r="2165" spans="4:4" ht="15" customHeight="1">
      <c r="D2165">
        <v>-1570</v>
      </c>
    </row>
    <row r="2166" spans="4:4" ht="15" customHeight="1">
      <c r="D2166">
        <v>-1570</v>
      </c>
    </row>
  </sheetData>
  <sheetProtection algorithmName="SHA-512" hashValue="9OgeEeC+7IOTUQho/qqZIU1NBirVvoEt5A37ZGhfl5s1xjGQmMs8sQkdVoVmfimYMmtwM3drZAFAaPAJyh1f+g==" saltValue="DELWFon9dVPYC6taSzAg7A==" spinCount="100000" sheet="1" autoFilter="0"/>
  <autoFilter ref="B13:AH2121" xr:uid="{AC1DA0DD-FD66-4804-9F21-FA15A66B030A}"/>
  <mergeCells count="21">
    <mergeCell ref="N4:AF4"/>
    <mergeCell ref="N5:AF5"/>
    <mergeCell ref="N7:AF7"/>
    <mergeCell ref="N8:AF8"/>
    <mergeCell ref="AH1:AH2"/>
    <mergeCell ref="F1:AC2"/>
    <mergeCell ref="N6:AL6"/>
    <mergeCell ref="B11:C12"/>
    <mergeCell ref="E11:G11"/>
    <mergeCell ref="H11:H12"/>
    <mergeCell ref="I11:I12"/>
    <mergeCell ref="AL9:AR10"/>
    <mergeCell ref="J11:J12"/>
    <mergeCell ref="K11:K12"/>
    <mergeCell ref="L11:L12"/>
    <mergeCell ref="O11:Q11"/>
    <mergeCell ref="R11:T11"/>
    <mergeCell ref="V11:X11"/>
    <mergeCell ref="P12:Q12"/>
    <mergeCell ref="Z11:AE11"/>
    <mergeCell ref="M10:AF10"/>
  </mergeCells>
  <phoneticPr fontId="3" type="noConversion"/>
  <conditionalFormatting sqref="I14:I2147">
    <cfRule type="expression" dxfId="45" priority="49">
      <formula>NOT(ISERROR(SEARCH(($BA$4),(I14))))</formula>
    </cfRule>
    <cfRule type="expression" dxfId="44" priority="50">
      <formula>NOT(ISERROR(SEARCH(($BA$2),(I14))))</formula>
    </cfRule>
    <cfRule type="expression" dxfId="43" priority="51">
      <formula>NOT(ISERROR(SEARCH(($BA$1),(I14))))</formula>
    </cfRule>
  </conditionalFormatting>
  <conditionalFormatting sqref="J14:J3000">
    <cfRule type="expression" dxfId="42" priority="52">
      <formula>NOT(ISERROR(SEARCH(($BA$7),(J14))))</formula>
    </cfRule>
    <cfRule type="expression" dxfId="41" priority="53">
      <formula>NOT(ISERROR(SEARCH(($BA$6),(J14))))</formula>
    </cfRule>
    <cfRule type="expression" dxfId="40" priority="54">
      <formula>NOT(ISERROR(SEARCH(($BA$5),(J14))))</formula>
    </cfRule>
  </conditionalFormatting>
  <conditionalFormatting sqref="AM14:AN2147">
    <cfRule type="cellIs" dxfId="39" priority="1" operator="equal">
      <formula>100</formula>
    </cfRule>
  </conditionalFormatting>
  <dataValidations disablePrompts="1" count="1">
    <dataValidation allowBlank="1" showInputMessage="1" showErrorMessage="1" promptTitle="교차표점" prompt="자연계 응시자가_x000a_인문.통합 모집단위로_x000a_지원했을 때의_x000a_표준점수 입시결과" sqref="E12:E13" xr:uid="{AB5D641E-CD0E-49F7-A682-EBDD4B81886C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72E3-4896-4FDE-B092-F406294FB0F0}">
  <dimension ref="A1:BC371"/>
  <sheetViews>
    <sheetView showGridLines="0" tabSelected="1" zoomScaleNormal="100" workbookViewId="0">
      <selection activeCell="B1" sqref="B1:T1"/>
    </sheetView>
  </sheetViews>
  <sheetFormatPr baseColWidth="10" defaultColWidth="9" defaultRowHeight="17"/>
  <cols>
    <col min="1" max="1" width="9.33203125" style="3" customWidth="1"/>
    <col min="2" max="6" width="8.1640625" style="3" customWidth="1"/>
    <col min="7" max="23" width="8.6640625" style="3" customWidth="1"/>
    <col min="24" max="27" width="6" style="3" customWidth="1"/>
    <col min="28" max="28" width="6" customWidth="1"/>
    <col min="29" max="29" width="8.33203125" customWidth="1"/>
    <col min="30" max="42" width="8.33203125" style="3" hidden="1" customWidth="1"/>
    <col min="43" max="44" width="8.33203125" style="3" customWidth="1"/>
    <col min="45" max="16384" width="9" style="3"/>
  </cols>
  <sheetData>
    <row r="1" spans="1:40" ht="42" customHeight="1">
      <c r="B1" s="646" t="s">
        <v>16530</v>
      </c>
      <c r="C1" s="646"/>
      <c r="D1" s="646"/>
      <c r="E1" s="646"/>
      <c r="F1" s="646"/>
      <c r="G1" s="647"/>
      <c r="H1" s="647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</row>
    <row r="2" spans="1:40" ht="29.25" customHeight="1">
      <c r="B2" s="649" t="s">
        <v>456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</row>
    <row r="3" spans="1:40" ht="18" thickBot="1">
      <c r="B3"/>
      <c r="C3"/>
      <c r="D3"/>
      <c r="E3"/>
      <c r="F3"/>
      <c r="AD3" s="19" t="s">
        <v>53</v>
      </c>
      <c r="AE3" s="3" t="s">
        <v>48</v>
      </c>
      <c r="AF3" s="3" t="s">
        <v>49</v>
      </c>
      <c r="AG3" s="3" t="s">
        <v>50</v>
      </c>
      <c r="AI3" s="3" t="s">
        <v>51</v>
      </c>
      <c r="AJ3" s="3" t="s">
        <v>52</v>
      </c>
      <c r="AL3" s="3">
        <v>23</v>
      </c>
      <c r="AM3" s="3">
        <v>24</v>
      </c>
      <c r="AN3" s="3">
        <v>25</v>
      </c>
    </row>
    <row r="4" spans="1:40" ht="25.5" customHeight="1" thickBot="1">
      <c r="B4" s="650" t="s">
        <v>7400</v>
      </c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1"/>
      <c r="U4" s="143"/>
      <c r="AE4" s="3" t="s">
        <v>30</v>
      </c>
    </row>
    <row r="5" spans="1:40" ht="18.75" customHeight="1">
      <c r="AE5" s="3" t="s">
        <v>37</v>
      </c>
      <c r="AF5" s="3" t="s">
        <v>37</v>
      </c>
      <c r="AG5" s="3" t="s">
        <v>37</v>
      </c>
      <c r="AH5" s="3" t="s">
        <v>37</v>
      </c>
      <c r="AI5" s="3" t="s">
        <v>46</v>
      </c>
      <c r="AJ5" s="3" t="s">
        <v>37</v>
      </c>
      <c r="AK5" s="3" t="s">
        <v>37</v>
      </c>
      <c r="AL5" s="3" t="s">
        <v>37</v>
      </c>
      <c r="AM5" s="3" t="s">
        <v>37</v>
      </c>
      <c r="AN5" s="3" t="s">
        <v>37</v>
      </c>
    </row>
    <row r="6" spans="1:40" ht="18.75" hidden="1" customHeight="1">
      <c r="A6" s="44"/>
      <c r="B6" s="35" t="s">
        <v>5</v>
      </c>
      <c r="C6" s="138"/>
      <c r="D6" s="35" t="s">
        <v>6</v>
      </c>
      <c r="E6" s="35"/>
      <c r="F6" s="47"/>
      <c r="G6" s="35" t="s">
        <v>8</v>
      </c>
      <c r="H6" s="35"/>
      <c r="I6" s="35"/>
      <c r="J6" s="35"/>
      <c r="K6" s="35"/>
      <c r="L6" s="35"/>
      <c r="M6" s="35"/>
      <c r="N6" s="47"/>
      <c r="O6" s="35" t="s">
        <v>4</v>
      </c>
      <c r="P6" s="36"/>
      <c r="Q6" s="36"/>
      <c r="R6" s="36"/>
      <c r="S6" s="36"/>
      <c r="T6" s="36"/>
      <c r="U6" s="36"/>
      <c r="V6" s="36"/>
      <c r="W6" s="37"/>
      <c r="AE6" s="3">
        <v>1</v>
      </c>
      <c r="AF6" s="3">
        <v>1</v>
      </c>
      <c r="AG6" s="3">
        <v>1</v>
      </c>
      <c r="AH6" s="3">
        <v>2</v>
      </c>
      <c r="AI6" s="3">
        <v>1</v>
      </c>
      <c r="AJ6" s="3">
        <v>1</v>
      </c>
      <c r="AK6" s="3">
        <v>2</v>
      </c>
      <c r="AL6" s="3">
        <v>1</v>
      </c>
      <c r="AM6" s="3">
        <v>1</v>
      </c>
      <c r="AN6" s="3">
        <v>1</v>
      </c>
    </row>
    <row r="7" spans="1:40" ht="18.75" hidden="1" customHeight="1" thickBot="1">
      <c r="A7" s="49"/>
      <c r="B7" s="40" t="s">
        <v>0</v>
      </c>
      <c r="C7" s="48" t="s">
        <v>1</v>
      </c>
      <c r="D7" s="40" t="s">
        <v>2</v>
      </c>
      <c r="E7" s="40" t="s">
        <v>7</v>
      </c>
      <c r="F7" s="48" t="s">
        <v>3</v>
      </c>
      <c r="G7" s="41" t="s">
        <v>9</v>
      </c>
      <c r="H7" s="41" t="s">
        <v>22</v>
      </c>
      <c r="I7" s="41" t="s">
        <v>193</v>
      </c>
      <c r="J7" s="41" t="s">
        <v>23</v>
      </c>
      <c r="K7" s="41" t="s">
        <v>63</v>
      </c>
      <c r="L7" s="41" t="s">
        <v>64</v>
      </c>
      <c r="M7" s="41" t="s">
        <v>194</v>
      </c>
      <c r="N7" s="42" t="s">
        <v>65</v>
      </c>
      <c r="O7" s="41" t="s">
        <v>17</v>
      </c>
      <c r="P7" s="41" t="s">
        <v>18</v>
      </c>
      <c r="Q7" s="41" t="s">
        <v>13</v>
      </c>
      <c r="R7" s="41" t="s">
        <v>12</v>
      </c>
      <c r="S7" s="41" t="s">
        <v>10</v>
      </c>
      <c r="T7" s="41" t="s">
        <v>11</v>
      </c>
      <c r="U7" s="41" t="s">
        <v>15</v>
      </c>
      <c r="V7" s="41" t="s">
        <v>14</v>
      </c>
      <c r="W7" s="42" t="s">
        <v>16</v>
      </c>
      <c r="AE7" s="3" t="s">
        <v>5</v>
      </c>
      <c r="AF7" s="3" t="s">
        <v>6</v>
      </c>
      <c r="AG7" s="3" t="s">
        <v>31</v>
      </c>
      <c r="AH7" s="3" t="s">
        <v>32</v>
      </c>
      <c r="AI7" s="3" t="s">
        <v>47</v>
      </c>
      <c r="AJ7" s="3" t="s">
        <v>33</v>
      </c>
      <c r="AK7" s="3" t="s">
        <v>34</v>
      </c>
      <c r="AL7" s="3" t="s">
        <v>19</v>
      </c>
      <c r="AM7" s="3" t="s">
        <v>21</v>
      </c>
      <c r="AN7" s="3" t="s">
        <v>35</v>
      </c>
    </row>
    <row r="8" spans="1:40" ht="18.75" hidden="1" customHeight="1">
      <c r="A8" s="50" t="s">
        <v>24</v>
      </c>
      <c r="B8" s="288"/>
      <c r="C8" s="290"/>
      <c r="D8" s="297"/>
      <c r="E8" s="289"/>
      <c r="F8" s="290"/>
      <c r="G8" s="297"/>
      <c r="H8" s="289"/>
      <c r="I8" s="289"/>
      <c r="J8" s="289"/>
      <c r="K8" s="289"/>
      <c r="L8" s="289"/>
      <c r="M8" s="289"/>
      <c r="N8" s="290"/>
      <c r="O8" s="297"/>
      <c r="P8" s="289"/>
      <c r="Q8" s="289"/>
      <c r="R8" s="289"/>
      <c r="S8" s="289"/>
      <c r="T8" s="289"/>
      <c r="U8" s="289"/>
      <c r="V8" s="289"/>
      <c r="W8" s="290"/>
      <c r="AD8" s="3" t="s">
        <v>28</v>
      </c>
      <c r="AE8" s="23">
        <f>IFERROR(INDEX(B8:C8,MATCH($AE$6,B38:C38,0)),0)</f>
        <v>0</v>
      </c>
      <c r="AF8" s="23">
        <f>IFERROR(INDEX(D8:F8,MATCH($AF$6,D38:F38,0)),0)</f>
        <v>0</v>
      </c>
      <c r="AG8" s="24">
        <f>IFERROR(INDEX($G8:$N8,MATCH(AG$6,$G$38:$N$38,0)),0)</f>
        <v>0</v>
      </c>
      <c r="AH8" s="24">
        <f>IFERROR(INDEX($G8:$N8,MATCH(AH$6,$G$38:$N$38,0)),0)</f>
        <v>0</v>
      </c>
      <c r="AI8" s="3">
        <f>IFERROR(MAX(K8:N8),0)</f>
        <v>0</v>
      </c>
      <c r="AJ8" s="23">
        <f>IFERROR(INDEX(O8:W8,MATCH($AJ$6,O38:W38,0)),0)</f>
        <v>0</v>
      </c>
      <c r="AK8" s="23">
        <f>IFERROR(INDEX(O8:W8,MATCH($AK$6,O38:W38,0)),0)</f>
        <v>0</v>
      </c>
      <c r="AL8" s="23">
        <f t="shared" ref="AL8:AN11" si="0">B14</f>
        <v>0</v>
      </c>
      <c r="AM8" s="23">
        <f t="shared" si="0"/>
        <v>0</v>
      </c>
      <c r="AN8" s="23">
        <f t="shared" si="0"/>
        <v>0</v>
      </c>
    </row>
    <row r="9" spans="1:40" ht="18.75" hidden="1" customHeight="1">
      <c r="A9" s="50" t="s">
        <v>25</v>
      </c>
      <c r="B9" s="296">
        <f t="shared" ref="B9:W9" si="1">IF($B$31=1,B22,IFERROR(ROUND(B58,0),""))</f>
        <v>0</v>
      </c>
      <c r="C9" s="292">
        <f t="shared" si="1"/>
        <v>0</v>
      </c>
      <c r="D9" s="296">
        <f t="shared" si="1"/>
        <v>0</v>
      </c>
      <c r="E9" s="291">
        <f t="shared" si="1"/>
        <v>0</v>
      </c>
      <c r="F9" s="292">
        <f t="shared" si="1"/>
        <v>0</v>
      </c>
      <c r="G9" s="296">
        <f t="shared" si="1"/>
        <v>0</v>
      </c>
      <c r="H9" s="291">
        <f t="shared" si="1"/>
        <v>0</v>
      </c>
      <c r="I9" s="291">
        <f t="shared" si="1"/>
        <v>0</v>
      </c>
      <c r="J9" s="291">
        <f t="shared" si="1"/>
        <v>0</v>
      </c>
      <c r="K9" s="291">
        <f t="shared" si="1"/>
        <v>0</v>
      </c>
      <c r="L9" s="291">
        <f t="shared" si="1"/>
        <v>0</v>
      </c>
      <c r="M9" s="291">
        <f t="shared" si="1"/>
        <v>0</v>
      </c>
      <c r="N9" s="292">
        <f t="shared" si="1"/>
        <v>0</v>
      </c>
      <c r="O9" s="296">
        <f t="shared" si="1"/>
        <v>0</v>
      </c>
      <c r="P9" s="291">
        <f t="shared" si="1"/>
        <v>0</v>
      </c>
      <c r="Q9" s="291">
        <f t="shared" si="1"/>
        <v>0</v>
      </c>
      <c r="R9" s="291">
        <f t="shared" si="1"/>
        <v>0</v>
      </c>
      <c r="S9" s="291">
        <f t="shared" si="1"/>
        <v>0</v>
      </c>
      <c r="T9" s="291">
        <f t="shared" si="1"/>
        <v>0</v>
      </c>
      <c r="U9" s="291">
        <f t="shared" si="1"/>
        <v>0</v>
      </c>
      <c r="V9" s="291">
        <f t="shared" si="1"/>
        <v>0</v>
      </c>
      <c r="W9" s="292">
        <f t="shared" si="1"/>
        <v>0</v>
      </c>
      <c r="AD9" s="3" t="s">
        <v>29</v>
      </c>
      <c r="AE9" s="23">
        <f>IFERROR(INDEX(B9:C9,MATCH($AE$6,B39:C39,0)),0)</f>
        <v>0</v>
      </c>
      <c r="AF9" s="23">
        <f>IFERROR(INDEX(D9:F9,MATCH($AF$6,D39:F39,0)),0)</f>
        <v>0</v>
      </c>
      <c r="AG9" s="24">
        <f>IFERROR(INDEX($G9:$N9,MATCH(AG$6,$G$39:$N$39,0)),0)</f>
        <v>0</v>
      </c>
      <c r="AH9" s="24">
        <f>IFERROR(INDEX($G9:$N9,MATCH(AH$6,$G$39:$N$39,0)),0)</f>
        <v>0</v>
      </c>
      <c r="AI9" s="3">
        <f>IFERROR(MAX(K9:N9),0)</f>
        <v>0</v>
      </c>
      <c r="AJ9" s="23">
        <f>IFERROR(INDEX(O9:W9,MATCH($AJ$6,O39:W39,0)),0)</f>
        <v>0</v>
      </c>
      <c r="AK9" s="23">
        <f>IFERROR(INDEX(O9:W9,MATCH($AK$6,O39:W39,0)),0)</f>
        <v>0</v>
      </c>
      <c r="AL9" s="23">
        <f t="shared" si="0"/>
        <v>0</v>
      </c>
      <c r="AM9" s="23">
        <f t="shared" si="0"/>
        <v>0</v>
      </c>
      <c r="AN9" s="23">
        <f t="shared" si="0"/>
        <v>0</v>
      </c>
    </row>
    <row r="10" spans="1:40" ht="18.75" hidden="1" customHeight="1">
      <c r="A10" s="50" t="s">
        <v>26</v>
      </c>
      <c r="B10" s="296">
        <f>IF($B$31=1,B23,IF(B58="","",IFERROR(IF(MAX($B$163:$B$178)&gt;110,INDEX($A$163:$A$253,MATCH(B$58,B163:B253,-1)),INDEX(B163:B253,MATCH(B$8,$A$163:$A$253,0))),"")))</f>
        <v>0</v>
      </c>
      <c r="C10" s="292">
        <f>IF($B$31=1,C23,IF(C58="","",IFERROR(IF(MAX($B$163:$B$178)&gt;110,INDEX($A$163:$A$253,MATCH(C$58,C163:C253,-1)),INDEX(C163:C253,MATCH(C$8,$A$163:$A$253,0))),"")))</f>
        <v>0</v>
      </c>
      <c r="D10" s="296">
        <f>IF($B$31=1,D23,IF(D58="","",IFERROR(IF(MAX($B$163:$B$178)&gt;110,INDEX($A$163:$A$253,MATCH(D$58,D163:D253,-1)),INDEX(D163:D253,MATCH(D$8,$A$163:$A$253,0))),"")))</f>
        <v>0</v>
      </c>
      <c r="E10" s="291">
        <f>IF($B$31=1,E23,IF(E58="","",IFERROR(IF(MAX($B$163:$B$178)&gt;110,INDEX($A$163:$A$253,MATCH(E$58,E163:E253,-1)),INDEX(E163:E253,MATCH(E$8,$A$163:$A$253,0))),"")))</f>
        <v>0</v>
      </c>
      <c r="F10" s="292">
        <f>IF($B$31=1,F23,IF(F58="","",IFERROR(IF(MAX($B$163:$B$178)&gt;110,INDEX($A$163:$A$253,MATCH(F$58,F163:F253,-1)),INDEX(F163:F253,MATCH(F$8,$A$163:$A$253,0))),"")))</f>
        <v>0</v>
      </c>
      <c r="G10" s="296">
        <f t="shared" ref="G10:W10" si="2">IF($B$31=1,G23,IF(G58="","",IFERROR(IF(MAX($B$163:$B$178)&gt;110,INDEX($A$163:$A$253,MATCH(G$58,G163:G253,-1)),INDEX(G163:G253,MATCH(G$8,$AA$163:$AA$253,0))),"")))</f>
        <v>0</v>
      </c>
      <c r="H10" s="291">
        <f t="shared" si="2"/>
        <v>0</v>
      </c>
      <c r="I10" s="291">
        <f t="shared" si="2"/>
        <v>0</v>
      </c>
      <c r="J10" s="291">
        <f t="shared" si="2"/>
        <v>0</v>
      </c>
      <c r="K10" s="291">
        <f t="shared" si="2"/>
        <v>0</v>
      </c>
      <c r="L10" s="291">
        <f t="shared" si="2"/>
        <v>0</v>
      </c>
      <c r="M10" s="291">
        <f t="shared" si="2"/>
        <v>0</v>
      </c>
      <c r="N10" s="292">
        <f t="shared" si="2"/>
        <v>0</v>
      </c>
      <c r="O10" s="296">
        <f t="shared" si="2"/>
        <v>0</v>
      </c>
      <c r="P10" s="291">
        <f t="shared" si="2"/>
        <v>0</v>
      </c>
      <c r="Q10" s="291">
        <f t="shared" si="2"/>
        <v>0</v>
      </c>
      <c r="R10" s="291">
        <f t="shared" si="2"/>
        <v>0</v>
      </c>
      <c r="S10" s="291">
        <f t="shared" si="2"/>
        <v>0</v>
      </c>
      <c r="T10" s="291">
        <f t="shared" si="2"/>
        <v>0</v>
      </c>
      <c r="U10" s="291">
        <f t="shared" si="2"/>
        <v>0</v>
      </c>
      <c r="V10" s="291">
        <f t="shared" si="2"/>
        <v>0</v>
      </c>
      <c r="W10" s="292">
        <f t="shared" si="2"/>
        <v>0</v>
      </c>
      <c r="AD10" s="3" t="s">
        <v>36</v>
      </c>
      <c r="AE10" s="23">
        <f>IFERROR(INDEX(B10:C10,MATCH($AE$6,B40:C40,0)),0)</f>
        <v>0</v>
      </c>
      <c r="AF10" s="23">
        <f>IFERROR(INDEX(D10:F10,MATCH($AF$6,D40:F40,0)),0)</f>
        <v>0</v>
      </c>
      <c r="AG10" s="24">
        <f>IFERROR(INDEX($G10:$N10,MATCH(AG$6,$G$40:$N$40,0)),0)</f>
        <v>0</v>
      </c>
      <c r="AH10" s="24">
        <f>IFERROR(INDEX($G10:$N10,MATCH(AH$6,$G$40:$N$40,0)),0)</f>
        <v>0</v>
      </c>
      <c r="AI10" s="3">
        <f>IFERROR(MAX(K10:N10),0)</f>
        <v>0</v>
      </c>
      <c r="AJ10" s="23">
        <f>IFERROR(INDEX(O10:W10,MATCH($AJ$6,O40:W40,0)),0)</f>
        <v>0</v>
      </c>
      <c r="AK10" s="23">
        <f>IFERROR(INDEX(O10:W10,MATCH($AK$6,O40:W40,0)),0)</f>
        <v>0</v>
      </c>
      <c r="AL10" s="23">
        <f t="shared" si="0"/>
        <v>0</v>
      </c>
      <c r="AM10" s="23">
        <f t="shared" si="0"/>
        <v>0</v>
      </c>
      <c r="AN10" s="23">
        <f t="shared" si="0"/>
        <v>0</v>
      </c>
    </row>
    <row r="11" spans="1:40" ht="18.75" hidden="1" customHeight="1" thickBot="1">
      <c r="A11" s="159" t="s">
        <v>20</v>
      </c>
      <c r="B11" s="293">
        <f>IF($B$31=1,B24,IF(B8="","",IFERROR(INDEX(B263:B353,MATCH(B$8,$A$263:$A$353,0)),"")))</f>
        <v>0</v>
      </c>
      <c r="C11" s="295">
        <f t="shared" ref="C11:F11" si="3">IF($B$31=1,C24,IF(C8="","",IFERROR(INDEX(C263:C353,MATCH(C$8,$A$263:$A$353,0)),"")))</f>
        <v>0</v>
      </c>
      <c r="D11" s="298">
        <f t="shared" si="3"/>
        <v>0</v>
      </c>
      <c r="E11" s="294">
        <f t="shared" si="3"/>
        <v>0</v>
      </c>
      <c r="F11" s="295">
        <f t="shared" si="3"/>
        <v>0</v>
      </c>
      <c r="G11" s="298">
        <f>IF($B$31=1,G24,IF(G8="","",IFERROR(INDEX(G263:G353,MATCH(G$8,$AA$263:$AA$353,0)),"")))</f>
        <v>0</v>
      </c>
      <c r="H11" s="294">
        <f t="shared" ref="H11:W11" si="4">IF($B$31=1,H24,IF(H8="","",IFERROR(INDEX(H263:H353,MATCH(H$8,$AA$263:$AA$353,0)),"")))</f>
        <v>0</v>
      </c>
      <c r="I11" s="294">
        <f t="shared" si="4"/>
        <v>0</v>
      </c>
      <c r="J11" s="294">
        <f t="shared" si="4"/>
        <v>0</v>
      </c>
      <c r="K11" s="294">
        <f t="shared" si="4"/>
        <v>0</v>
      </c>
      <c r="L11" s="294">
        <f t="shared" si="4"/>
        <v>0</v>
      </c>
      <c r="M11" s="294">
        <f t="shared" si="4"/>
        <v>0</v>
      </c>
      <c r="N11" s="295">
        <f t="shared" si="4"/>
        <v>0</v>
      </c>
      <c r="O11" s="298">
        <f t="shared" si="4"/>
        <v>0</v>
      </c>
      <c r="P11" s="294">
        <f t="shared" si="4"/>
        <v>0</v>
      </c>
      <c r="Q11" s="294">
        <f t="shared" si="4"/>
        <v>0</v>
      </c>
      <c r="R11" s="294">
        <f t="shared" si="4"/>
        <v>0</v>
      </c>
      <c r="S11" s="294">
        <f t="shared" si="4"/>
        <v>0</v>
      </c>
      <c r="T11" s="294">
        <f t="shared" si="4"/>
        <v>0</v>
      </c>
      <c r="U11" s="294">
        <f t="shared" si="4"/>
        <v>0</v>
      </c>
      <c r="V11" s="294">
        <f t="shared" si="4"/>
        <v>0</v>
      </c>
      <c r="W11" s="295">
        <f t="shared" si="4"/>
        <v>0</v>
      </c>
      <c r="AD11" s="3" t="s">
        <v>20</v>
      </c>
      <c r="AE11" s="23">
        <f>IFERROR(INDEX(B11:C11,MATCH($AE$6,B41:C41,0)),0)</f>
        <v>0</v>
      </c>
      <c r="AF11" s="23">
        <f>IFERROR(INDEX(D11:F11,MATCH($AF$6,D41:F41,0)),0)</f>
        <v>0</v>
      </c>
      <c r="AG11" s="24">
        <f>IFERROR(INDEX($G11:$N11,MATCH(AG$6,$G$41:$N$41,0)),0)</f>
        <v>0</v>
      </c>
      <c r="AH11" s="24">
        <f>IFERROR(INDEX($G11:$N11,MATCH(AH$6,$G$41:$N$41,0)),0)</f>
        <v>0</v>
      </c>
      <c r="AI11" s="3">
        <f>IFERROR(MAX(K11:N11),0)</f>
        <v>0</v>
      </c>
      <c r="AJ11" s="23">
        <f>IFERROR(INDEX(O11:W11,MATCH($AJ$6,O41:W41,0)),0)</f>
        <v>0</v>
      </c>
      <c r="AK11" s="23">
        <f>IFERROR(INDEX(O11:W11,MATCH($AK$6,O41:W41,0)),0)</f>
        <v>0</v>
      </c>
      <c r="AL11" s="23" t="str">
        <f t="shared" si="0"/>
        <v/>
      </c>
      <c r="AM11" s="23" t="str">
        <f t="shared" si="0"/>
        <v/>
      </c>
      <c r="AN11" s="23" t="str">
        <f t="shared" si="0"/>
        <v/>
      </c>
    </row>
    <row r="12" spans="1:40" ht="18.75" hidden="1" customHeight="1" thickBot="1">
      <c r="A12" s="14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E12" s="23"/>
      <c r="AF12" s="23"/>
      <c r="AG12" s="24"/>
      <c r="AH12" s="24"/>
      <c r="AJ12" s="23"/>
      <c r="AK12" s="23"/>
      <c r="AL12" s="23"/>
      <c r="AM12" s="23"/>
      <c r="AN12" s="23"/>
    </row>
    <row r="13" spans="1:40" ht="18.75" hidden="1" customHeight="1">
      <c r="A13" s="307"/>
      <c r="B13" s="308" t="s">
        <v>19</v>
      </c>
      <c r="C13" s="309" t="s">
        <v>21</v>
      </c>
      <c r="D13" s="309" t="s">
        <v>35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E13" s="23"/>
      <c r="AF13" s="23"/>
      <c r="AG13" s="24"/>
      <c r="AH13" s="24"/>
      <c r="AJ13" s="23"/>
      <c r="AK13" s="23"/>
      <c r="AL13" s="23"/>
      <c r="AM13" s="23"/>
      <c r="AN13" s="23"/>
    </row>
    <row r="14" spans="1:40" ht="18.75" hidden="1" customHeight="1">
      <c r="A14" s="143" t="s">
        <v>24</v>
      </c>
      <c r="B14" s="45"/>
      <c r="C14" s="142"/>
      <c r="D14" s="142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E14" s="23"/>
      <c r="AF14" s="23"/>
      <c r="AG14" s="24"/>
      <c r="AH14" s="24"/>
      <c r="AJ14" s="23"/>
      <c r="AK14" s="23"/>
      <c r="AL14" s="23"/>
      <c r="AM14" s="23"/>
      <c r="AN14" s="23"/>
    </row>
    <row r="15" spans="1:40" ht="18.75" hidden="1" customHeight="1">
      <c r="A15" s="50" t="s">
        <v>25</v>
      </c>
      <c r="B15" s="301"/>
      <c r="C15" s="299"/>
      <c r="D15" s="299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D15" s="599" t="s">
        <v>7680</v>
      </c>
      <c r="AE15" s="23"/>
      <c r="AF15" s="23"/>
      <c r="AG15" s="594">
        <v>8</v>
      </c>
      <c r="AH15" s="595">
        <v>8</v>
      </c>
      <c r="AI15" s="596">
        <v>4</v>
      </c>
      <c r="AJ15" s="597">
        <v>9</v>
      </c>
      <c r="AK15" s="598">
        <v>9</v>
      </c>
      <c r="AL15" s="23"/>
      <c r="AM15" s="23"/>
      <c r="AN15" s="23"/>
    </row>
    <row r="16" spans="1:40" ht="18.75" hidden="1" customHeight="1">
      <c r="A16" s="50" t="s">
        <v>26</v>
      </c>
      <c r="B16" s="301"/>
      <c r="C16" s="299"/>
      <c r="D16" s="299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D16" s="3" t="s">
        <v>55</v>
      </c>
      <c r="AE16" s="23">
        <f>IFERROR(INDEX(B21:C21,MATCH($AE$6,B42:C42,0)),0)</f>
        <v>0</v>
      </c>
      <c r="AF16" s="23">
        <f>IFERROR(INDEX(D21:F21,MATCH($AF$6,D42:F42,0)),0)</f>
        <v>0</v>
      </c>
      <c r="AG16" s="24">
        <f>IFERROR(INDEX($G21:$N21,MATCH(AG$6,$G$42:$N$42,0)),0)</f>
        <v>0</v>
      </c>
      <c r="AH16" s="24">
        <f>IFERROR(INDEX($G21:$N21,MATCH(AH$6,$G$42:$N$42,0)),0)</f>
        <v>0</v>
      </c>
      <c r="AI16" s="3">
        <f>IFERROR(MAX(K21:N21),0)</f>
        <v>0</v>
      </c>
      <c r="AJ16" s="26">
        <f>IFERROR(INDEX(O21:W21,MATCH($AJ$6,O42:W42,0)),0)</f>
        <v>0</v>
      </c>
      <c r="AK16" s="26">
        <f>IFERROR(INDEX(O21:W21,MATCH($AK$6,O42:W42,0)),0)</f>
        <v>0</v>
      </c>
      <c r="AL16" s="23">
        <f t="shared" ref="AL16:AN17" si="5">X21</f>
        <v>0</v>
      </c>
      <c r="AM16" s="23">
        <f t="shared" si="5"/>
        <v>0</v>
      </c>
      <c r="AN16" s="23">
        <f t="shared" si="5"/>
        <v>0</v>
      </c>
    </row>
    <row r="17" spans="1:40" ht="18.75" hidden="1" customHeight="1" thickBot="1">
      <c r="A17" s="39" t="s">
        <v>20</v>
      </c>
      <c r="B17" s="302" t="str">
        <f>IF(AND($B31=1,B27&gt;0),B27,IF(B14="","",IFERROR(INDEX(X263:X353,MATCH(B$14,$A$263:$A$333,0)),"")))</f>
        <v/>
      </c>
      <c r="C17" s="300" t="str">
        <f>IF(AND($B31=1,C27&gt;0),C27,IF(C14="","",IFERROR(INDEX(Y263:Y353,MATCH(C$14,$AA$263:$AA$333,0)),"")))</f>
        <v/>
      </c>
      <c r="D17" s="300" t="str">
        <f>IF(AND($B31=1,D27&gt;0),D27,IF(D14="","",IFERROR(INDEX(Z263:Z353,MATCH(D$14,$AA$263:$AA$333,0)),"")))</f>
        <v/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D17" s="3" t="s">
        <v>57</v>
      </c>
      <c r="AE17" s="23">
        <f>IFERROR(MAX(B32:C32),0)</f>
        <v>139</v>
      </c>
      <c r="AF17" s="23">
        <f>IFERROR(MAX(D32:F32),0)</f>
        <v>140</v>
      </c>
      <c r="AG17" s="24">
        <f>IFERROR(INDEX($G32:$N32,MATCH(AG$6,$G$39:$N$39,0)),0)</f>
        <v>72</v>
      </c>
      <c r="AH17" s="24">
        <f>IFERROR(INDEX($G32:$N32,MATCH(AH$6,$G$39:$N$39,0)),0)</f>
        <v>72</v>
      </c>
      <c r="AI17" s="3">
        <f>IFERROR(INDEX(K32:N32,MATCH(AI6,K39:N39,0)),0)</f>
        <v>72</v>
      </c>
      <c r="AJ17" s="26">
        <f>IFERROR(INDEX(O32:W32,MATCH($AJ$6,O39:W39,0)),0)</f>
        <v>69</v>
      </c>
      <c r="AK17" s="26">
        <f>IFERROR(INDEX(O32:W32,MATCH($AK$6,O39:W39,0)),0)</f>
        <v>66</v>
      </c>
      <c r="AL17" s="23">
        <f t="shared" si="5"/>
        <v>0</v>
      </c>
      <c r="AM17" s="23">
        <f t="shared" si="5"/>
        <v>0</v>
      </c>
      <c r="AN17" s="23">
        <f t="shared" si="5"/>
        <v>0</v>
      </c>
    </row>
    <row r="18" spans="1:40" ht="18.75" hidden="1" customHeight="1">
      <c r="A18" s="14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D18" s="3" t="s">
        <v>59</v>
      </c>
      <c r="AE18" s="23"/>
      <c r="AF18" s="23"/>
      <c r="AG18" s="24" t="str">
        <f>IFERROR(INDEX($G7:$N7,MATCH(AG$6,$G$39:$N$39,0)),0)</f>
        <v>지구과학II</v>
      </c>
      <c r="AH18" s="24" t="str">
        <f>IFERROR(INDEX($G7:$N7,MATCH(AH$6,$G$39:$N$39,0)),0)</f>
        <v>생명과학II</v>
      </c>
      <c r="AI18" s="3" t="str">
        <f>IF(K43&gt;0,K7,IF(L43&gt;0,L7,IF(M43&gt;0,M7,IF(N43&gt;0,N7,"미응시"))))</f>
        <v>미응시</v>
      </c>
      <c r="AJ18" s="26"/>
      <c r="AK18" s="26"/>
      <c r="AL18" s="23"/>
      <c r="AM18" s="23"/>
      <c r="AN18" s="23"/>
    </row>
    <row r="19" spans="1:40" ht="18.75" customHeight="1" thickBot="1">
      <c r="A19" s="14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E19" s="23"/>
      <c r="AF19" s="27" t="s">
        <v>192</v>
      </c>
      <c r="AG19" s="28">
        <f>LARGE(G32:N32,1)</f>
        <v>73</v>
      </c>
      <c r="AH19" s="24"/>
      <c r="AJ19" s="26"/>
      <c r="AK19" s="26"/>
      <c r="AL19" s="23"/>
      <c r="AM19" s="23"/>
      <c r="AN19" s="23"/>
    </row>
    <row r="20" spans="1:40" ht="18" customHeight="1">
      <c r="A20" s="44"/>
      <c r="B20" s="162" t="s">
        <v>5</v>
      </c>
      <c r="C20" s="138"/>
      <c r="D20" s="35" t="s">
        <v>6</v>
      </c>
      <c r="E20" s="35"/>
      <c r="F20" s="47"/>
      <c r="G20" s="35" t="s">
        <v>8</v>
      </c>
      <c r="H20" s="35"/>
      <c r="I20" s="35"/>
      <c r="J20" s="35"/>
      <c r="K20" s="35"/>
      <c r="L20" s="35"/>
      <c r="M20" s="35"/>
      <c r="N20" s="47"/>
      <c r="O20" s="35" t="s">
        <v>4</v>
      </c>
      <c r="P20" s="36"/>
      <c r="Q20" s="36"/>
      <c r="R20" s="36"/>
      <c r="S20" s="36"/>
      <c r="T20" s="36"/>
      <c r="U20" s="36"/>
      <c r="V20" s="36"/>
      <c r="W20" s="37"/>
      <c r="X20" s="163"/>
      <c r="Y20" s="24"/>
      <c r="Z20" s="24"/>
      <c r="AD20" s="3" t="s">
        <v>257</v>
      </c>
      <c r="AE20" s="23">
        <f>B22+C22+D22+F22+E22+G22+H22+I22+J22+K22+L22+M22+N22+O22+P22+Q22+R22+S22+T22+U22+V22+W22</f>
        <v>0</v>
      </c>
      <c r="AF20" s="23"/>
      <c r="AG20" s="24"/>
      <c r="AH20" s="24"/>
      <c r="AJ20" s="26"/>
      <c r="AK20" s="26"/>
      <c r="AL20" s="23"/>
      <c r="AM20" s="23"/>
      <c r="AN20" s="23"/>
    </row>
    <row r="21" spans="1:40" ht="18" customHeight="1" thickBot="1">
      <c r="A21" s="136"/>
      <c r="B21" s="40" t="s">
        <v>0</v>
      </c>
      <c r="C21" s="139" t="s">
        <v>1</v>
      </c>
      <c r="D21" s="40" t="s">
        <v>2</v>
      </c>
      <c r="E21" s="40" t="s">
        <v>7</v>
      </c>
      <c r="F21" s="48" t="s">
        <v>3</v>
      </c>
      <c r="G21" s="41" t="s">
        <v>9</v>
      </c>
      <c r="H21" s="41" t="s">
        <v>22</v>
      </c>
      <c r="I21" s="41" t="s">
        <v>193</v>
      </c>
      <c r="J21" s="41" t="s">
        <v>23</v>
      </c>
      <c r="K21" s="41" t="s">
        <v>63</v>
      </c>
      <c r="L21" s="41" t="s">
        <v>64</v>
      </c>
      <c r="M21" s="41" t="s">
        <v>194</v>
      </c>
      <c r="N21" s="42" t="s">
        <v>65</v>
      </c>
      <c r="O21" s="41" t="s">
        <v>17</v>
      </c>
      <c r="P21" s="41" t="s">
        <v>18</v>
      </c>
      <c r="Q21" s="41" t="s">
        <v>13</v>
      </c>
      <c r="R21" s="41" t="s">
        <v>12</v>
      </c>
      <c r="S21" s="41" t="s">
        <v>10</v>
      </c>
      <c r="T21" s="41" t="s">
        <v>11</v>
      </c>
      <c r="U21" s="41" t="s">
        <v>15</v>
      </c>
      <c r="V21" s="41" t="s">
        <v>14</v>
      </c>
      <c r="W21" s="42" t="s">
        <v>16</v>
      </c>
      <c r="X21" s="163"/>
      <c r="Y21" s="24"/>
      <c r="Z21" s="24"/>
      <c r="AF21" s="608"/>
      <c r="AG21" s="609" t="s">
        <v>7679</v>
      </c>
      <c r="AH21" s="609"/>
      <c r="AI21" s="609"/>
      <c r="AJ21" s="609"/>
      <c r="AK21" s="610"/>
    </row>
    <row r="22" spans="1:40" ht="24.75" customHeight="1">
      <c r="A22" s="51" t="s">
        <v>25</v>
      </c>
      <c r="B22" s="46"/>
      <c r="C22" s="140"/>
      <c r="D22" s="46"/>
      <c r="E22" s="38"/>
      <c r="F22" s="43"/>
      <c r="G22" s="46"/>
      <c r="H22" s="38"/>
      <c r="I22" s="38"/>
      <c r="J22" s="38"/>
      <c r="K22" s="38"/>
      <c r="L22" s="38"/>
      <c r="M22" s="38"/>
      <c r="N22" s="43"/>
      <c r="O22" s="46"/>
      <c r="P22" s="38"/>
      <c r="Q22" s="38"/>
      <c r="R22" s="38"/>
      <c r="S22" s="38"/>
      <c r="T22" s="38"/>
      <c r="U22" s="38"/>
      <c r="V22" s="38"/>
      <c r="W22" s="43"/>
      <c r="X22" s="14"/>
      <c r="Y22"/>
      <c r="Z22"/>
      <c r="AD22" s="588" t="s">
        <v>2671</v>
      </c>
      <c r="AF22" s="591" t="str">
        <f>AD8</f>
        <v>원점</v>
      </c>
      <c r="AG22" s="589" t="str">
        <f ca="1">IF(AG8=0,"",OFFSET($G$7,0,AG28-1))</f>
        <v/>
      </c>
      <c r="AH22" s="589" t="str">
        <f ca="1">IF(AH8=0,"",OFFSET($G$7,0,AH28-1))</f>
        <v/>
      </c>
      <c r="AI22" s="589" t="str">
        <f ca="1">IF(AI8=0,"",OFFSET($K$7,0,AI28-1))</f>
        <v/>
      </c>
      <c r="AJ22" s="589" t="str">
        <f ca="1">IF(AJ8=0,"",OFFSET($O$7,0,AJ28-1))</f>
        <v/>
      </c>
      <c r="AK22" s="590" t="str">
        <f ca="1">IF(AK8=0,"",OFFSET($O$7,0,AK28-1))</f>
        <v/>
      </c>
    </row>
    <row r="23" spans="1:40" ht="22.5" customHeight="1" thickBot="1">
      <c r="A23" s="52" t="s">
        <v>26</v>
      </c>
      <c r="B23" s="147"/>
      <c r="C23" s="148"/>
      <c r="D23" s="149"/>
      <c r="E23" s="150"/>
      <c r="F23" s="151"/>
      <c r="G23" s="149"/>
      <c r="H23" s="150"/>
      <c r="I23" s="150"/>
      <c r="J23" s="150"/>
      <c r="K23" s="150"/>
      <c r="L23" s="150"/>
      <c r="M23" s="150"/>
      <c r="N23" s="151"/>
      <c r="O23" s="149"/>
      <c r="P23" s="150"/>
      <c r="Q23" s="150"/>
      <c r="R23" s="150"/>
      <c r="S23" s="150"/>
      <c r="T23" s="150"/>
      <c r="U23" s="150"/>
      <c r="V23" s="150"/>
      <c r="W23" s="151"/>
      <c r="X23"/>
      <c r="Y23"/>
      <c r="Z23"/>
      <c r="AD23" s="588" t="s">
        <v>2670</v>
      </c>
      <c r="AF23" s="592" t="str">
        <f t="shared" ref="AF23:AF27" si="6">AD9</f>
        <v>표점</v>
      </c>
      <c r="AG23" s="25" t="str">
        <f t="shared" ref="AG23:AH27" ca="1" si="7">IF(AG9=0,"",OFFSET($G$7,0,AG29-1))</f>
        <v/>
      </c>
      <c r="AH23" s="25" t="str">
        <f t="shared" ca="1" si="7"/>
        <v/>
      </c>
      <c r="AI23" s="25" t="str">
        <f t="shared" ref="AI23:AI27" ca="1" si="8">IF(AI9=0,"",OFFSET($K$7,0,AI29-1))</f>
        <v/>
      </c>
      <c r="AJ23" s="25" t="str">
        <f t="shared" ref="AJ23:AK23" ca="1" si="9">IF(AJ9=0,"",OFFSET($O$7,0,AJ29-1))</f>
        <v/>
      </c>
      <c r="AK23" s="614" t="str">
        <f t="shared" ca="1" si="9"/>
        <v/>
      </c>
    </row>
    <row r="24" spans="1:40" ht="22.5" hidden="1" customHeight="1" thickBot="1">
      <c r="A24" s="145" t="s">
        <v>20</v>
      </c>
      <c r="B24" s="146"/>
      <c r="C24" s="141"/>
      <c r="D24" s="54"/>
      <c r="E24" s="54"/>
      <c r="F24" s="55"/>
      <c r="G24" s="54"/>
      <c r="H24" s="54"/>
      <c r="I24" s="54"/>
      <c r="J24" s="54"/>
      <c r="K24" s="54"/>
      <c r="L24" s="54"/>
      <c r="M24" s="54"/>
      <c r="N24" s="55"/>
      <c r="O24" s="54"/>
      <c r="P24" s="54"/>
      <c r="Q24" s="54"/>
      <c r="R24" s="54"/>
      <c r="S24" s="54"/>
      <c r="T24" s="54"/>
      <c r="U24" s="54"/>
      <c r="V24" s="54"/>
      <c r="W24" s="55"/>
      <c r="X24"/>
      <c r="Y24"/>
      <c r="Z24"/>
      <c r="AF24" s="592" t="str">
        <f t="shared" si="6"/>
        <v>백분</v>
      </c>
      <c r="AG24" s="25" t="str">
        <f t="shared" ca="1" si="7"/>
        <v/>
      </c>
      <c r="AH24" s="25" t="str">
        <f t="shared" ca="1" si="7"/>
        <v/>
      </c>
      <c r="AI24" s="25" t="str">
        <f t="shared" ca="1" si="8"/>
        <v/>
      </c>
      <c r="AJ24" s="25" t="str">
        <f t="shared" ref="AJ24:AK24" ca="1" si="10">IF(AJ10=0,"",OFFSET($O$7,0,AJ30-1))</f>
        <v/>
      </c>
      <c r="AK24" s="614" t="str">
        <f t="shared" ca="1" si="10"/>
        <v/>
      </c>
    </row>
    <row r="25" spans="1:40" ht="22.5" customHeight="1" thickBot="1">
      <c r="A25" s="2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/>
      <c r="Y25"/>
      <c r="Z25"/>
      <c r="AF25" s="592" t="str">
        <f t="shared" si="6"/>
        <v>등급</v>
      </c>
      <c r="AG25" s="25" t="str">
        <f t="shared" ca="1" si="7"/>
        <v/>
      </c>
      <c r="AH25" s="25" t="str">
        <f t="shared" ca="1" si="7"/>
        <v/>
      </c>
      <c r="AI25" s="25" t="str">
        <f t="shared" ca="1" si="8"/>
        <v/>
      </c>
      <c r="AJ25" s="25" t="str">
        <f t="shared" ref="AJ25:AK25" ca="1" si="11">IF(AJ11=0,"",OFFSET($O$7,0,AJ31-1))</f>
        <v/>
      </c>
      <c r="AK25" s="614" t="str">
        <f t="shared" ca="1" si="11"/>
        <v/>
      </c>
    </row>
    <row r="26" spans="1:40" ht="18.75" customHeight="1" thickBot="1">
      <c r="A26" s="132"/>
      <c r="B26" s="133" t="s">
        <v>19</v>
      </c>
      <c r="C26" s="133" t="s">
        <v>21</v>
      </c>
      <c r="D26" s="134" t="s">
        <v>35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53"/>
      <c r="Y26" s="24"/>
      <c r="Z26" s="24"/>
      <c r="AE26" s="23"/>
      <c r="AF26" s="592">
        <f t="shared" si="6"/>
        <v>0</v>
      </c>
      <c r="AG26" s="25" t="str">
        <f t="shared" ca="1" si="7"/>
        <v/>
      </c>
      <c r="AH26" s="25" t="str">
        <f t="shared" ca="1" si="7"/>
        <v/>
      </c>
      <c r="AI26" s="25" t="str">
        <f t="shared" ca="1" si="8"/>
        <v/>
      </c>
      <c r="AJ26" s="25" t="str">
        <f t="shared" ref="AJ26:AK26" ca="1" si="12">IF(AJ12=0,"",OFFSET($O$7,0,AJ32-1))</f>
        <v/>
      </c>
      <c r="AK26" s="614" t="str">
        <f t="shared" ca="1" si="12"/>
        <v/>
      </c>
      <c r="AL26" s="23"/>
      <c r="AM26" s="23"/>
      <c r="AN26" s="23"/>
    </row>
    <row r="27" spans="1:40" ht="25.5" customHeight="1" thickBot="1">
      <c r="A27" s="131" t="s">
        <v>20</v>
      </c>
      <c r="B27" s="152"/>
      <c r="C27" s="153"/>
      <c r="D27" s="15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53"/>
      <c r="Y27" s="24"/>
      <c r="Z27" s="24"/>
      <c r="AE27" s="23"/>
      <c r="AF27" s="593">
        <f t="shared" si="6"/>
        <v>0</v>
      </c>
      <c r="AG27" s="615" t="str">
        <f t="shared" ca="1" si="7"/>
        <v/>
      </c>
      <c r="AH27" s="615" t="str">
        <f t="shared" ca="1" si="7"/>
        <v/>
      </c>
      <c r="AI27" s="615" t="str">
        <f t="shared" ca="1" si="8"/>
        <v/>
      </c>
      <c r="AJ27" s="615" t="str">
        <f t="shared" ref="AJ27:AK27" ca="1" si="13">IF(AJ13=0,"",OFFSET($O$7,0,AJ33-1))</f>
        <v/>
      </c>
      <c r="AK27" s="616" t="str">
        <f t="shared" ca="1" si="13"/>
        <v/>
      </c>
      <c r="AL27" s="23"/>
      <c r="AM27" s="23"/>
      <c r="AN27" s="23"/>
    </row>
    <row r="28" spans="1:40" ht="16.5" customHeight="1">
      <c r="X28" s="24"/>
      <c r="Y28" s="24"/>
      <c r="Z28" s="24"/>
      <c r="AE28" s="23"/>
      <c r="AF28" s="611" t="str">
        <f>AF22</f>
        <v>원점</v>
      </c>
      <c r="AG28" s="600" t="e">
        <f>MATCH(AG8,$G8:$N8,0)</f>
        <v>#N/A</v>
      </c>
      <c r="AH28" s="600" t="e">
        <f ca="1">IF(AH8&lt;&gt;AG8,MATCH(AH8,$G8:$N8,0),AG28+MATCH(AH8,OFFSET($G8,0,AG28,1,AH$15-AG28),0))</f>
        <v>#N/A</v>
      </c>
      <c r="AI28" s="601" t="e">
        <f>MATCH(AI8,$K8:$N8,0)</f>
        <v>#N/A</v>
      </c>
      <c r="AJ28" s="601" t="e">
        <f>MATCH(AJ8,$O8:$W8,0)</f>
        <v>#N/A</v>
      </c>
      <c r="AK28" s="602" t="e">
        <f ca="1">IF(AK8&lt;&gt;AJ8,MATCH(AK8,$O8:$W8,0),AJ28+MATCH(AK8,OFFSET($O8,0,AJ28,1,AK$15-AJ28),0))</f>
        <v>#N/A</v>
      </c>
      <c r="AL28" s="23"/>
      <c r="AM28" s="23"/>
      <c r="AN28" s="23"/>
    </row>
    <row r="29" spans="1:40" customFormat="1" ht="32.25" hidden="1" customHeight="1">
      <c r="AF29" s="612" t="str">
        <f t="shared" ref="AF29:AF32" si="14">AF23</f>
        <v>표점</v>
      </c>
      <c r="AG29" s="603">
        <f t="shared" ref="AG29:AG32" si="15">MATCH(AG9,$G9:$N9,0)</f>
        <v>1</v>
      </c>
      <c r="AH29" s="603">
        <f t="shared" ref="AH29:AH32" ca="1" si="16">IF(AH9&lt;&gt;AG9,MATCH(AH9,$G9:$N9,0),AG29+MATCH(AH9,OFFSET($G9,0,AG29,1,AH$15-AG29),0))</f>
        <v>2</v>
      </c>
      <c r="AI29" s="603">
        <f t="shared" ref="AI29:AI32" si="17">MATCH(AI9,$K9:$N9,0)</f>
        <v>1</v>
      </c>
      <c r="AJ29" s="603">
        <f t="shared" ref="AJ29" si="18">MATCH(AJ9,$O9:$W9,0)</f>
        <v>1</v>
      </c>
      <c r="AK29" s="604">
        <f t="shared" ref="AK29:AK32" ca="1" si="19">IF(AK9&lt;&gt;AJ9,MATCH(AK9,$O9:$W9,0),AJ29+MATCH(AK9,OFFSET($O9,0,AJ29,1,AK$15-AJ29),0))</f>
        <v>2</v>
      </c>
    </row>
    <row r="30" spans="1:40" customFormat="1" ht="32.25" hidden="1" customHeight="1">
      <c r="X30" s="7"/>
      <c r="Y30" s="7"/>
      <c r="Z30" s="7"/>
      <c r="AF30" s="612" t="str">
        <f t="shared" si="14"/>
        <v>백분</v>
      </c>
      <c r="AG30" s="603">
        <f t="shared" si="15"/>
        <v>1</v>
      </c>
      <c r="AH30" s="603">
        <f t="shared" ca="1" si="16"/>
        <v>2</v>
      </c>
      <c r="AI30" s="603">
        <f t="shared" si="17"/>
        <v>1</v>
      </c>
      <c r="AJ30" s="603">
        <f t="shared" ref="AJ30" si="20">MATCH(AJ10,$O10:$W10,0)</f>
        <v>1</v>
      </c>
      <c r="AK30" s="604">
        <f t="shared" ca="1" si="19"/>
        <v>2</v>
      </c>
    </row>
    <row r="31" spans="1:40" ht="32.25" hidden="1" customHeight="1">
      <c r="A31" s="256" t="s">
        <v>299</v>
      </c>
      <c r="B31" s="257">
        <f>'배치점수 계산기'!E4</f>
        <v>1</v>
      </c>
      <c r="C31" s="258" t="str">
        <f>'배치점수 계산기'!D5</f>
        <v>표준점수 기준</v>
      </c>
      <c r="D31" s="259"/>
      <c r="E31" s="135" t="s">
        <v>2672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/>
      <c r="S31"/>
      <c r="T31"/>
      <c r="U31" s="24"/>
      <c r="V31" s="24"/>
      <c r="W31" s="24"/>
      <c r="X31" s="265" t="s">
        <v>19</v>
      </c>
      <c r="Y31" s="266" t="s">
        <v>21</v>
      </c>
      <c r="Z31" s="267" t="s">
        <v>2665</v>
      </c>
      <c r="AE31" s="23"/>
      <c r="AF31" s="613" t="str">
        <f t="shared" si="14"/>
        <v>등급</v>
      </c>
      <c r="AG31" s="605">
        <f t="shared" si="15"/>
        <v>1</v>
      </c>
      <c r="AH31" s="605">
        <f t="shared" ca="1" si="16"/>
        <v>2</v>
      </c>
      <c r="AI31" s="603">
        <f t="shared" si="17"/>
        <v>1</v>
      </c>
      <c r="AJ31" s="603">
        <f t="shared" ref="AJ31" si="21">MATCH(AJ11,$O11:$W11,0)</f>
        <v>1</v>
      </c>
      <c r="AK31" s="604">
        <f t="shared" ca="1" si="19"/>
        <v>2</v>
      </c>
      <c r="AL31" s="23"/>
      <c r="AM31" s="23"/>
      <c r="AN31" s="23"/>
    </row>
    <row r="32" spans="1:40" ht="32.25" hidden="1" customHeight="1">
      <c r="A32" s="64" t="s">
        <v>57</v>
      </c>
      <c r="B32" s="310">
        <f>IFERROR(IF($B$31=1,B49,ROUND(B63,0)),"")</f>
        <v>139</v>
      </c>
      <c r="C32" s="310">
        <f t="shared" ref="C32:W32" si="22">IFERROR(IF($B$31=1,C49,ROUND(C63,0)),"")</f>
        <v>139</v>
      </c>
      <c r="D32" s="310">
        <f t="shared" si="22"/>
        <v>140</v>
      </c>
      <c r="E32" s="310">
        <f t="shared" si="22"/>
        <v>137</v>
      </c>
      <c r="F32" s="310">
        <f t="shared" si="22"/>
        <v>134</v>
      </c>
      <c r="G32" s="310">
        <f t="shared" si="22"/>
        <v>67</v>
      </c>
      <c r="H32" s="310">
        <f t="shared" si="22"/>
        <v>65</v>
      </c>
      <c r="I32" s="310">
        <f t="shared" si="22"/>
        <v>70</v>
      </c>
      <c r="J32" s="310">
        <f t="shared" si="22"/>
        <v>72</v>
      </c>
      <c r="K32" s="310">
        <f t="shared" si="22"/>
        <v>70</v>
      </c>
      <c r="L32" s="310">
        <f t="shared" si="22"/>
        <v>73</v>
      </c>
      <c r="M32" s="310">
        <f t="shared" si="22"/>
        <v>72</v>
      </c>
      <c r="N32" s="310">
        <f t="shared" si="22"/>
        <v>72</v>
      </c>
      <c r="O32" s="310">
        <f t="shared" si="22"/>
        <v>77</v>
      </c>
      <c r="P32" s="310">
        <f t="shared" si="22"/>
        <v>73</v>
      </c>
      <c r="Q32" s="310">
        <f t="shared" si="22"/>
        <v>69</v>
      </c>
      <c r="R32" s="310">
        <f t="shared" si="22"/>
        <v>68</v>
      </c>
      <c r="S32" s="310">
        <f t="shared" si="22"/>
        <v>67</v>
      </c>
      <c r="T32" s="310">
        <f t="shared" si="22"/>
        <v>68</v>
      </c>
      <c r="U32" s="310">
        <f t="shared" si="22"/>
        <v>72</v>
      </c>
      <c r="V32" s="310">
        <f t="shared" si="22"/>
        <v>66</v>
      </c>
      <c r="W32" s="310">
        <f t="shared" si="22"/>
        <v>69</v>
      </c>
      <c r="X32" s="260">
        <f>IFERROR(X63,"")</f>
        <v>0</v>
      </c>
      <c r="Y32" s="260">
        <f>IFERROR(Y63,"")</f>
        <v>0</v>
      </c>
      <c r="Z32" s="261">
        <f>IFERROR(Z63,"")</f>
        <v>0</v>
      </c>
      <c r="AF32" s="593">
        <f t="shared" si="14"/>
        <v>0</v>
      </c>
      <c r="AG32" s="606" t="e">
        <f t="shared" si="15"/>
        <v>#N/A</v>
      </c>
      <c r="AH32" s="606" t="e">
        <f t="shared" ca="1" si="16"/>
        <v>#N/A</v>
      </c>
      <c r="AI32" s="606" t="e">
        <f t="shared" si="17"/>
        <v>#N/A</v>
      </c>
      <c r="AJ32" s="606" t="e">
        <f t="shared" ref="AJ32" si="23">MATCH(AJ12,$O12:$W12,0)</f>
        <v>#N/A</v>
      </c>
      <c r="AK32" s="607" t="e">
        <f t="shared" ca="1" si="19"/>
        <v>#N/A</v>
      </c>
    </row>
    <row r="33" spans="1:53" ht="32.25" hidden="1" customHeight="1">
      <c r="A33" s="262" t="s">
        <v>42</v>
      </c>
      <c r="B33" s="279" t="str">
        <f>IF(B8="","",B8+COLUMN(B8)*0.0001)</f>
        <v/>
      </c>
      <c r="C33" s="24" t="str">
        <f t="shared" ref="C33:W33" si="24">IF(C8="","",C8+COLUMN(C8)*0.0001)</f>
        <v/>
      </c>
      <c r="D33" s="279" t="str">
        <f t="shared" si="24"/>
        <v/>
      </c>
      <c r="E33" s="24" t="str">
        <f t="shared" si="24"/>
        <v/>
      </c>
      <c r="F33" s="24" t="str">
        <f t="shared" si="24"/>
        <v/>
      </c>
      <c r="G33" s="279" t="str">
        <f t="shared" si="24"/>
        <v/>
      </c>
      <c r="H33" s="24" t="str">
        <f t="shared" si="24"/>
        <v/>
      </c>
      <c r="I33" s="24" t="str">
        <f t="shared" si="24"/>
        <v/>
      </c>
      <c r="J33" s="24" t="str">
        <f t="shared" si="24"/>
        <v/>
      </c>
      <c r="K33" s="24" t="str">
        <f t="shared" si="24"/>
        <v/>
      </c>
      <c r="L33" s="24" t="str">
        <f t="shared" si="24"/>
        <v/>
      </c>
      <c r="M33" s="24" t="str">
        <f t="shared" si="24"/>
        <v/>
      </c>
      <c r="N33" s="24" t="str">
        <f t="shared" si="24"/>
        <v/>
      </c>
      <c r="O33" s="279" t="str">
        <f t="shared" si="24"/>
        <v/>
      </c>
      <c r="P33" s="24" t="str">
        <f t="shared" si="24"/>
        <v/>
      </c>
      <c r="Q33" s="24" t="str">
        <f t="shared" si="24"/>
        <v/>
      </c>
      <c r="R33" s="24" t="str">
        <f t="shared" si="24"/>
        <v/>
      </c>
      <c r="S33" s="24" t="str">
        <f t="shared" si="24"/>
        <v/>
      </c>
      <c r="T33" s="24" t="str">
        <f t="shared" si="24"/>
        <v/>
      </c>
      <c r="U33" s="24" t="str">
        <f t="shared" si="24"/>
        <v/>
      </c>
      <c r="V33" s="24" t="str">
        <f t="shared" si="24"/>
        <v/>
      </c>
      <c r="W33" s="24" t="str">
        <f t="shared" si="24"/>
        <v/>
      </c>
      <c r="X33" s="24"/>
      <c r="Y33" s="24"/>
      <c r="Z33" s="263"/>
    </row>
    <row r="34" spans="1:53" ht="32.25" hidden="1" customHeight="1">
      <c r="A34" s="264" t="s">
        <v>43</v>
      </c>
      <c r="B34" s="279">
        <f>IFERROR(IF($B$31=9,B9+COLUMN(B9)*0.0001,B22+COLUMN(B22)*0.0001),"")</f>
        <v>2.0000000000000001E-4</v>
      </c>
      <c r="C34" s="24">
        <f t="shared" ref="C34:W36" si="25">IFERROR(IF($B$31=9,C9+COLUMN(C9)*0.0001,C22+COLUMN(C22)*0.0001),"")</f>
        <v>3.0000000000000003E-4</v>
      </c>
      <c r="D34" s="279">
        <f t="shared" si="25"/>
        <v>4.0000000000000002E-4</v>
      </c>
      <c r="E34" s="24">
        <f t="shared" si="25"/>
        <v>5.0000000000000001E-4</v>
      </c>
      <c r="F34" s="24">
        <f t="shared" si="25"/>
        <v>6.0000000000000006E-4</v>
      </c>
      <c r="G34" s="279">
        <f t="shared" si="25"/>
        <v>6.9999999999999999E-4</v>
      </c>
      <c r="H34" s="24">
        <f t="shared" si="25"/>
        <v>8.0000000000000004E-4</v>
      </c>
      <c r="I34" s="24">
        <f t="shared" si="25"/>
        <v>9.0000000000000008E-4</v>
      </c>
      <c r="J34" s="24">
        <f t="shared" si="25"/>
        <v>1E-3</v>
      </c>
      <c r="K34" s="24">
        <f t="shared" si="25"/>
        <v>1.1000000000000001E-3</v>
      </c>
      <c r="L34" s="24">
        <f t="shared" si="25"/>
        <v>1.2000000000000001E-3</v>
      </c>
      <c r="M34" s="24">
        <f t="shared" si="25"/>
        <v>1.3000000000000002E-3</v>
      </c>
      <c r="N34" s="24">
        <f t="shared" si="25"/>
        <v>1.4E-3</v>
      </c>
      <c r="O34" s="279">
        <f t="shared" si="25"/>
        <v>1.5E-3</v>
      </c>
      <c r="P34" s="24">
        <f t="shared" si="25"/>
        <v>1.6000000000000001E-3</v>
      </c>
      <c r="Q34" s="24">
        <f t="shared" si="25"/>
        <v>1.7000000000000001E-3</v>
      </c>
      <c r="R34" s="24">
        <f t="shared" si="25"/>
        <v>1.8000000000000002E-3</v>
      </c>
      <c r="S34" s="24">
        <f t="shared" si="25"/>
        <v>1.9E-3</v>
      </c>
      <c r="T34" s="24">
        <f t="shared" si="25"/>
        <v>2E-3</v>
      </c>
      <c r="U34" s="24">
        <f t="shared" si="25"/>
        <v>2.1000000000000003E-3</v>
      </c>
      <c r="V34" s="24">
        <f t="shared" si="25"/>
        <v>2.2000000000000001E-3</v>
      </c>
      <c r="W34" s="24">
        <f t="shared" si="25"/>
        <v>2.3E-3</v>
      </c>
      <c r="X34" s="24"/>
      <c r="Y34" s="24"/>
      <c r="Z34" s="263"/>
    </row>
    <row r="35" spans="1:53" ht="32.25" hidden="1" customHeight="1">
      <c r="A35" s="264" t="s">
        <v>44</v>
      </c>
      <c r="B35" s="279">
        <f t="shared" ref="B35:Q36" si="26">IFERROR(IF($B$31=9,B10+COLUMN(B10)*0.0001,B23+COLUMN(B23)*0.0001),"")</f>
        <v>2.0000000000000001E-4</v>
      </c>
      <c r="C35" s="24">
        <f t="shared" si="26"/>
        <v>3.0000000000000003E-4</v>
      </c>
      <c r="D35" s="279">
        <f t="shared" si="26"/>
        <v>4.0000000000000002E-4</v>
      </c>
      <c r="E35" s="24">
        <f t="shared" si="26"/>
        <v>5.0000000000000001E-4</v>
      </c>
      <c r="F35" s="24">
        <f t="shared" si="26"/>
        <v>6.0000000000000006E-4</v>
      </c>
      <c r="G35" s="279">
        <f t="shared" si="26"/>
        <v>6.9999999999999999E-4</v>
      </c>
      <c r="H35" s="24">
        <f t="shared" si="26"/>
        <v>8.0000000000000004E-4</v>
      </c>
      <c r="I35" s="24">
        <f t="shared" si="26"/>
        <v>9.0000000000000008E-4</v>
      </c>
      <c r="J35" s="24">
        <f t="shared" si="26"/>
        <v>1E-3</v>
      </c>
      <c r="K35" s="24">
        <f t="shared" si="26"/>
        <v>1.1000000000000001E-3</v>
      </c>
      <c r="L35" s="24">
        <f t="shared" si="26"/>
        <v>1.2000000000000001E-3</v>
      </c>
      <c r="M35" s="24">
        <f t="shared" si="26"/>
        <v>1.3000000000000002E-3</v>
      </c>
      <c r="N35" s="24">
        <f t="shared" si="26"/>
        <v>1.4E-3</v>
      </c>
      <c r="O35" s="279">
        <f t="shared" si="26"/>
        <v>1.5E-3</v>
      </c>
      <c r="P35" s="24">
        <f t="shared" si="26"/>
        <v>1.6000000000000001E-3</v>
      </c>
      <c r="Q35" s="24">
        <f t="shared" si="26"/>
        <v>1.7000000000000001E-3</v>
      </c>
      <c r="R35" s="24">
        <f t="shared" si="25"/>
        <v>1.8000000000000002E-3</v>
      </c>
      <c r="S35" s="24">
        <f t="shared" si="25"/>
        <v>1.9E-3</v>
      </c>
      <c r="T35" s="24">
        <f t="shared" si="25"/>
        <v>2E-3</v>
      </c>
      <c r="U35" s="24">
        <f t="shared" si="25"/>
        <v>2.1000000000000003E-3</v>
      </c>
      <c r="V35" s="24">
        <f t="shared" si="25"/>
        <v>2.2000000000000001E-3</v>
      </c>
      <c r="W35" s="24">
        <f t="shared" si="25"/>
        <v>2.3E-3</v>
      </c>
      <c r="X35" s="24"/>
      <c r="Y35" s="24"/>
      <c r="Z35" s="263"/>
    </row>
    <row r="36" spans="1:53" ht="32.25" hidden="1" customHeight="1">
      <c r="A36" s="264" t="s">
        <v>45</v>
      </c>
      <c r="B36" s="279">
        <f t="shared" si="26"/>
        <v>2.0000000000000001E-4</v>
      </c>
      <c r="C36" s="24">
        <f t="shared" si="25"/>
        <v>3.0000000000000003E-4</v>
      </c>
      <c r="D36" s="279">
        <f t="shared" si="25"/>
        <v>4.0000000000000002E-4</v>
      </c>
      <c r="E36" s="24">
        <f t="shared" si="25"/>
        <v>5.0000000000000001E-4</v>
      </c>
      <c r="F36" s="24">
        <f t="shared" si="25"/>
        <v>6.0000000000000006E-4</v>
      </c>
      <c r="G36" s="279">
        <f t="shared" si="25"/>
        <v>6.9999999999999999E-4</v>
      </c>
      <c r="H36" s="24">
        <f t="shared" si="25"/>
        <v>8.0000000000000004E-4</v>
      </c>
      <c r="I36" s="24">
        <f t="shared" si="25"/>
        <v>9.0000000000000008E-4</v>
      </c>
      <c r="J36" s="24">
        <f t="shared" si="25"/>
        <v>1E-3</v>
      </c>
      <c r="K36" s="24">
        <f t="shared" si="25"/>
        <v>1.1000000000000001E-3</v>
      </c>
      <c r="L36" s="24">
        <f t="shared" si="25"/>
        <v>1.2000000000000001E-3</v>
      </c>
      <c r="M36" s="24">
        <f t="shared" si="25"/>
        <v>1.3000000000000002E-3</v>
      </c>
      <c r="N36" s="24">
        <f t="shared" si="25"/>
        <v>1.4E-3</v>
      </c>
      <c r="O36" s="279">
        <f t="shared" si="25"/>
        <v>1.5E-3</v>
      </c>
      <c r="P36" s="24">
        <f t="shared" si="25"/>
        <v>1.6000000000000001E-3</v>
      </c>
      <c r="Q36" s="24">
        <f t="shared" si="25"/>
        <v>1.7000000000000001E-3</v>
      </c>
      <c r="R36" s="24">
        <f t="shared" si="25"/>
        <v>1.8000000000000002E-3</v>
      </c>
      <c r="S36" s="24">
        <f t="shared" si="25"/>
        <v>1.9E-3</v>
      </c>
      <c r="T36" s="24">
        <f t="shared" si="25"/>
        <v>2E-3</v>
      </c>
      <c r="U36" s="24">
        <f t="shared" si="25"/>
        <v>2.1000000000000003E-3</v>
      </c>
      <c r="V36" s="24">
        <f t="shared" si="25"/>
        <v>2.2000000000000001E-3</v>
      </c>
      <c r="W36" s="24">
        <f t="shared" si="25"/>
        <v>2.3E-3</v>
      </c>
      <c r="X36" s="24">
        <f>IF($B$31=9,B17+COLUMN(B17)*0.0001,B27+COLUMN(B27)*0.0001)</f>
        <v>2.0000000000000001E-4</v>
      </c>
      <c r="Y36" s="24">
        <f t="shared" ref="Y36:Z36" si="27">IF($B$31=9,C17+COLUMN(C17)*0.0001,C27+COLUMN(C27)*0.0001)</f>
        <v>3.0000000000000003E-4</v>
      </c>
      <c r="Z36" s="263">
        <f t="shared" si="27"/>
        <v>4.0000000000000002E-4</v>
      </c>
    </row>
    <row r="37" spans="1:53" ht="32.25" hidden="1" customHeight="1">
      <c r="A37" s="264"/>
      <c r="B37" s="279"/>
      <c r="C37" s="24"/>
      <c r="D37" s="279"/>
      <c r="E37" s="24"/>
      <c r="F37" s="24"/>
      <c r="G37" s="279"/>
      <c r="H37" s="24"/>
      <c r="I37" s="24"/>
      <c r="J37" s="24"/>
      <c r="K37" s="24"/>
      <c r="L37" s="24"/>
      <c r="M37" s="24"/>
      <c r="N37" s="24"/>
      <c r="O37" s="279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63"/>
    </row>
    <row r="38" spans="1:53" ht="32.25" hidden="1" customHeight="1">
      <c r="A38" s="70" t="s">
        <v>38</v>
      </c>
      <c r="B38" s="280" t="str">
        <f>IFERROR(RANK(B33,$B33:$C33,0),"")</f>
        <v/>
      </c>
      <c r="C38" s="3" t="str">
        <f>IFERROR(RANK(C33,$B33:$C33,0),"")</f>
        <v/>
      </c>
      <c r="D38" s="280" t="str">
        <f>IFERROR(RANK(D33,$D33:$F33,0),"")</f>
        <v/>
      </c>
      <c r="E38" s="3" t="str">
        <f t="shared" ref="E38:F38" si="28">IFERROR(RANK(E33,$D33:$F33,0),"")</f>
        <v/>
      </c>
      <c r="F38" s="3" t="str">
        <f t="shared" si="28"/>
        <v/>
      </c>
      <c r="G38" s="280" t="str">
        <f>IFERROR(RANK(G33,$G33:$N33,0),"")</f>
        <v/>
      </c>
      <c r="H38" s="3" t="str">
        <f t="shared" ref="H38:N38" si="29">IFERROR(RANK(H33,$G33:$N33,0),"")</f>
        <v/>
      </c>
      <c r="I38" s="3" t="str">
        <f t="shared" si="29"/>
        <v/>
      </c>
      <c r="J38" s="3" t="str">
        <f t="shared" si="29"/>
        <v/>
      </c>
      <c r="K38" s="3" t="str">
        <f t="shared" si="29"/>
        <v/>
      </c>
      <c r="L38" s="3" t="str">
        <f t="shared" si="29"/>
        <v/>
      </c>
      <c r="M38" s="3" t="str">
        <f t="shared" si="29"/>
        <v/>
      </c>
      <c r="N38" s="3" t="str">
        <f t="shared" si="29"/>
        <v/>
      </c>
      <c r="O38" s="280" t="str">
        <f>IFERROR(RANK(O33,$O33:$W33,0),"")</f>
        <v/>
      </c>
      <c r="P38" s="3" t="str">
        <f t="shared" ref="P38:W38" si="30">IFERROR(RANK(P33,$O33:$W33,0),"")</f>
        <v/>
      </c>
      <c r="Q38" s="3" t="str">
        <f t="shared" si="30"/>
        <v/>
      </c>
      <c r="R38" s="3" t="str">
        <f t="shared" si="30"/>
        <v/>
      </c>
      <c r="S38" s="3" t="str">
        <f t="shared" si="30"/>
        <v/>
      </c>
      <c r="T38" s="3" t="str">
        <f t="shared" si="30"/>
        <v/>
      </c>
      <c r="U38" s="3" t="str">
        <f t="shared" si="30"/>
        <v/>
      </c>
      <c r="V38" s="3" t="str">
        <f t="shared" si="30"/>
        <v/>
      </c>
      <c r="W38" s="3" t="str">
        <f t="shared" si="30"/>
        <v/>
      </c>
      <c r="Z38" s="63"/>
    </row>
    <row r="39" spans="1:53" ht="32.25" hidden="1" customHeight="1">
      <c r="A39" s="70" t="s">
        <v>39</v>
      </c>
      <c r="B39" s="280">
        <f t="shared" ref="B39:C39" si="31">IFERROR(RANK(B34,$B34:$C34,0),"")</f>
        <v>2</v>
      </c>
      <c r="C39" s="3">
        <f t="shared" si="31"/>
        <v>1</v>
      </c>
      <c r="D39" s="280">
        <f t="shared" ref="D39:F39" si="32">IFERROR(RANK(D34,$D34:$F34,0),"")</f>
        <v>3</v>
      </c>
      <c r="E39" s="3">
        <f t="shared" si="32"/>
        <v>2</v>
      </c>
      <c r="F39" s="3">
        <f t="shared" si="32"/>
        <v>1</v>
      </c>
      <c r="G39" s="280">
        <f t="shared" ref="G39:N39" si="33">IFERROR(RANK(G34,$G34:$N34,0),"")</f>
        <v>8</v>
      </c>
      <c r="H39" s="3">
        <f t="shared" si="33"/>
        <v>7</v>
      </c>
      <c r="I39" s="3">
        <f t="shared" si="33"/>
        <v>6</v>
      </c>
      <c r="J39" s="3">
        <f t="shared" si="33"/>
        <v>5</v>
      </c>
      <c r="K39" s="3">
        <f t="shared" si="33"/>
        <v>4</v>
      </c>
      <c r="L39" s="3">
        <f t="shared" si="33"/>
        <v>3</v>
      </c>
      <c r="M39" s="3">
        <f t="shared" si="33"/>
        <v>2</v>
      </c>
      <c r="N39" s="3">
        <f t="shared" si="33"/>
        <v>1</v>
      </c>
      <c r="O39" s="280">
        <f t="shared" ref="O39:W39" si="34">IFERROR(RANK(O34,$O34:$W34,0),"")</f>
        <v>9</v>
      </c>
      <c r="P39" s="3">
        <f t="shared" si="34"/>
        <v>8</v>
      </c>
      <c r="Q39" s="3">
        <f t="shared" si="34"/>
        <v>7</v>
      </c>
      <c r="R39" s="3">
        <f t="shared" si="34"/>
        <v>6</v>
      </c>
      <c r="S39" s="3">
        <f t="shared" si="34"/>
        <v>5</v>
      </c>
      <c r="T39" s="3">
        <f t="shared" si="34"/>
        <v>4</v>
      </c>
      <c r="U39" s="3">
        <f t="shared" si="34"/>
        <v>3</v>
      </c>
      <c r="V39" s="3">
        <f t="shared" si="34"/>
        <v>2</v>
      </c>
      <c r="W39" s="3">
        <f t="shared" si="34"/>
        <v>1</v>
      </c>
      <c r="Z39" s="63"/>
    </row>
    <row r="40" spans="1:53" ht="32.25" hidden="1" customHeight="1">
      <c r="A40" s="70" t="s">
        <v>40</v>
      </c>
      <c r="B40" s="280">
        <f t="shared" ref="B40:C40" si="35">IFERROR(RANK(B35,$B35:$C35,0),"")</f>
        <v>2</v>
      </c>
      <c r="C40" s="3">
        <f t="shared" si="35"/>
        <v>1</v>
      </c>
      <c r="D40" s="280">
        <f t="shared" ref="D40:F40" si="36">IFERROR(RANK(D35,$D35:$F35,0),"")</f>
        <v>3</v>
      </c>
      <c r="E40" s="3">
        <f t="shared" si="36"/>
        <v>2</v>
      </c>
      <c r="F40" s="3">
        <f t="shared" si="36"/>
        <v>1</v>
      </c>
      <c r="G40" s="280">
        <f t="shared" ref="G40:N40" si="37">IFERROR(RANK(G35,$G35:$N35,0),"")</f>
        <v>8</v>
      </c>
      <c r="H40" s="3">
        <f t="shared" si="37"/>
        <v>7</v>
      </c>
      <c r="I40" s="3">
        <f t="shared" si="37"/>
        <v>6</v>
      </c>
      <c r="J40" s="3">
        <f t="shared" si="37"/>
        <v>5</v>
      </c>
      <c r="K40" s="3">
        <f t="shared" si="37"/>
        <v>4</v>
      </c>
      <c r="L40" s="3">
        <f t="shared" si="37"/>
        <v>3</v>
      </c>
      <c r="M40" s="3">
        <f t="shared" si="37"/>
        <v>2</v>
      </c>
      <c r="N40" s="3">
        <f t="shared" si="37"/>
        <v>1</v>
      </c>
      <c r="O40" s="280">
        <f t="shared" ref="O40:W40" si="38">IFERROR(RANK(O35,$O35:$W35,0),"")</f>
        <v>9</v>
      </c>
      <c r="P40" s="3">
        <f t="shared" si="38"/>
        <v>8</v>
      </c>
      <c r="Q40" s="3">
        <f t="shared" si="38"/>
        <v>7</v>
      </c>
      <c r="R40" s="3">
        <f t="shared" si="38"/>
        <v>6</v>
      </c>
      <c r="S40" s="3">
        <f t="shared" si="38"/>
        <v>5</v>
      </c>
      <c r="T40" s="3">
        <f t="shared" si="38"/>
        <v>4</v>
      </c>
      <c r="U40" s="3">
        <f t="shared" si="38"/>
        <v>3</v>
      </c>
      <c r="V40" s="3">
        <f t="shared" si="38"/>
        <v>2</v>
      </c>
      <c r="W40" s="3">
        <f t="shared" si="38"/>
        <v>1</v>
      </c>
      <c r="Z40" s="63"/>
    </row>
    <row r="41" spans="1:53" ht="32.25" hidden="1" customHeight="1">
      <c r="A41" s="70" t="s">
        <v>41</v>
      </c>
      <c r="B41" s="280">
        <f t="shared" ref="B41:C41" si="39">IFERROR(RANK(B36,$B36:$C36,0),"")</f>
        <v>2</v>
      </c>
      <c r="C41" s="3">
        <f t="shared" si="39"/>
        <v>1</v>
      </c>
      <c r="D41" s="280">
        <f t="shared" ref="D41:F41" si="40">IFERROR(RANK(D36,$D36:$F36,0),"")</f>
        <v>3</v>
      </c>
      <c r="E41" s="3">
        <f t="shared" si="40"/>
        <v>2</v>
      </c>
      <c r="F41" s="3">
        <f t="shared" si="40"/>
        <v>1</v>
      </c>
      <c r="G41" s="280">
        <f t="shared" ref="G41:N41" si="41">IFERROR(RANK(G36,$G36:$N36,0),"")</f>
        <v>8</v>
      </c>
      <c r="H41" s="3">
        <f t="shared" si="41"/>
        <v>7</v>
      </c>
      <c r="I41" s="3">
        <f t="shared" si="41"/>
        <v>6</v>
      </c>
      <c r="J41" s="3">
        <f t="shared" si="41"/>
        <v>5</v>
      </c>
      <c r="K41" s="3">
        <f t="shared" si="41"/>
        <v>4</v>
      </c>
      <c r="L41" s="3">
        <f t="shared" si="41"/>
        <v>3</v>
      </c>
      <c r="M41" s="3">
        <f t="shared" si="41"/>
        <v>2</v>
      </c>
      <c r="N41" s="3">
        <f t="shared" si="41"/>
        <v>1</v>
      </c>
      <c r="O41" s="280">
        <f t="shared" ref="O41:W41" si="42">IFERROR(RANK(O36,$O36:$W36,0),"")</f>
        <v>9</v>
      </c>
      <c r="P41" s="3">
        <f t="shared" si="42"/>
        <v>8</v>
      </c>
      <c r="Q41" s="3">
        <f t="shared" si="42"/>
        <v>7</v>
      </c>
      <c r="R41" s="3">
        <f t="shared" si="42"/>
        <v>6</v>
      </c>
      <c r="S41" s="3">
        <f t="shared" si="42"/>
        <v>5</v>
      </c>
      <c r="T41" s="3">
        <f t="shared" si="42"/>
        <v>4</v>
      </c>
      <c r="U41" s="3">
        <f t="shared" si="42"/>
        <v>3</v>
      </c>
      <c r="V41" s="3">
        <f t="shared" si="42"/>
        <v>2</v>
      </c>
      <c r="W41" s="3">
        <f t="shared" si="42"/>
        <v>1</v>
      </c>
      <c r="Z41" s="63"/>
    </row>
    <row r="42" spans="1:53" ht="32.25" hidden="1" customHeight="1">
      <c r="A42" s="70"/>
      <c r="B42" s="280"/>
      <c r="D42" s="280"/>
      <c r="G42" s="280"/>
      <c r="O42" s="280"/>
      <c r="Z42" s="63"/>
    </row>
    <row r="43" spans="1:53" ht="32.25" hidden="1" customHeight="1">
      <c r="A43" s="77" t="s">
        <v>27</v>
      </c>
      <c r="B43" s="281">
        <f t="shared" ref="B43:W43" si="43">IF(OR(B8&gt;0,AND(B22&gt;0,B23&gt;0)),1,0)</f>
        <v>0</v>
      </c>
      <c r="C43" s="61">
        <f t="shared" si="43"/>
        <v>0</v>
      </c>
      <c r="D43" s="281">
        <f t="shared" si="43"/>
        <v>0</v>
      </c>
      <c r="E43" s="61">
        <f t="shared" si="43"/>
        <v>0</v>
      </c>
      <c r="F43" s="61">
        <f t="shared" si="43"/>
        <v>0</v>
      </c>
      <c r="G43" s="281">
        <f t="shared" si="43"/>
        <v>0</v>
      </c>
      <c r="H43" s="61">
        <f t="shared" si="43"/>
        <v>0</v>
      </c>
      <c r="I43" s="61">
        <f t="shared" si="43"/>
        <v>0</v>
      </c>
      <c r="J43" s="61">
        <f t="shared" si="43"/>
        <v>0</v>
      </c>
      <c r="K43" s="61">
        <f t="shared" si="43"/>
        <v>0</v>
      </c>
      <c r="L43" s="61">
        <f t="shared" si="43"/>
        <v>0</v>
      </c>
      <c r="M43" s="61">
        <f t="shared" si="43"/>
        <v>0</v>
      </c>
      <c r="N43" s="61">
        <f t="shared" si="43"/>
        <v>0</v>
      </c>
      <c r="O43" s="281">
        <f t="shared" si="43"/>
        <v>0</v>
      </c>
      <c r="P43" s="61">
        <f t="shared" si="43"/>
        <v>0</v>
      </c>
      <c r="Q43" s="61">
        <f t="shared" si="43"/>
        <v>0</v>
      </c>
      <c r="R43" s="61">
        <f t="shared" si="43"/>
        <v>0</v>
      </c>
      <c r="S43" s="61">
        <f t="shared" si="43"/>
        <v>0</v>
      </c>
      <c r="T43" s="61">
        <f t="shared" si="43"/>
        <v>0</v>
      </c>
      <c r="U43" s="61">
        <f t="shared" si="43"/>
        <v>0</v>
      </c>
      <c r="V43" s="61">
        <f t="shared" si="43"/>
        <v>0</v>
      </c>
      <c r="W43" s="61">
        <f t="shared" si="43"/>
        <v>0</v>
      </c>
      <c r="X43" s="61">
        <f>IF(OR(B14&gt;0,AND(B27&gt;0,B27&gt;0)),1,0)</f>
        <v>0</v>
      </c>
      <c r="Y43" s="61">
        <f>IF(OR(C14&gt;0,AND(C27&gt;0,C27&gt;0)),1,0)</f>
        <v>0</v>
      </c>
      <c r="Z43" s="110">
        <f>IF(OR(D14&gt;0,AND(D27&gt;0,D27&gt;0)),1,0)</f>
        <v>0</v>
      </c>
    </row>
    <row r="44" spans="1:53" ht="32.25" hidden="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ht="32.25" hidden="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ht="32.25" hidden="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ht="32.25" hidden="1" customHeight="1">
      <c r="A47"/>
      <c r="B47" s="129" t="s">
        <v>2624</v>
      </c>
      <c r="C47" s="128"/>
      <c r="D47" s="128"/>
      <c r="E47" s="128"/>
      <c r="F47" s="128"/>
      <c r="G47" s="128"/>
      <c r="H47" s="137" t="s">
        <v>2625</v>
      </c>
      <c r="I47" s="128"/>
      <c r="J47" s="128"/>
      <c r="K47" s="128"/>
      <c r="L47" s="128"/>
      <c r="M47" s="128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32.25" hidden="1" customHeight="1" thickBot="1">
      <c r="A48" s="128"/>
      <c r="B48" s="173" t="s">
        <v>2626</v>
      </c>
      <c r="C48" s="173" t="s">
        <v>2627</v>
      </c>
      <c r="D48" s="173" t="s">
        <v>2628</v>
      </c>
      <c r="E48" s="173" t="s">
        <v>2629</v>
      </c>
      <c r="F48" s="173" t="s">
        <v>2630</v>
      </c>
      <c r="G48" s="173" t="s">
        <v>2631</v>
      </c>
      <c r="H48" s="173" t="s">
        <v>2632</v>
      </c>
      <c r="I48" s="173" t="s">
        <v>2633</v>
      </c>
      <c r="J48" s="173" t="s">
        <v>2634</v>
      </c>
      <c r="K48" s="173" t="s">
        <v>2635</v>
      </c>
      <c r="L48" s="173" t="s">
        <v>2636</v>
      </c>
      <c r="M48" s="173" t="s">
        <v>2637</v>
      </c>
      <c r="N48" s="173" t="s">
        <v>2638</v>
      </c>
      <c r="O48" s="173" t="s">
        <v>2639</v>
      </c>
      <c r="P48" s="173" t="s">
        <v>2640</v>
      </c>
      <c r="Q48" s="173" t="s">
        <v>2641</v>
      </c>
      <c r="R48" s="173" t="s">
        <v>2642</v>
      </c>
      <c r="S48" s="173" t="s">
        <v>2643</v>
      </c>
      <c r="T48" s="173" t="s">
        <v>2644</v>
      </c>
      <c r="U48" s="173" t="s">
        <v>68</v>
      </c>
      <c r="V48" s="173" t="s">
        <v>2645</v>
      </c>
      <c r="W48" s="173" t="s">
        <v>2646</v>
      </c>
      <c r="X48" s="173" t="s">
        <v>2647</v>
      </c>
      <c r="Y48" s="173" t="s">
        <v>2648</v>
      </c>
      <c r="Z48" s="173" t="s">
        <v>2649</v>
      </c>
      <c r="AA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4" ht="32.25" hidden="1" customHeight="1" thickBot="1">
      <c r="A49" s="130" t="s">
        <v>2650</v>
      </c>
      <c r="B49" s="247">
        <v>139</v>
      </c>
      <c r="C49" s="248">
        <v>139</v>
      </c>
      <c r="D49" s="248">
        <v>140</v>
      </c>
      <c r="E49" s="248">
        <v>137</v>
      </c>
      <c r="F49" s="248">
        <v>134</v>
      </c>
      <c r="G49" s="248">
        <v>67</v>
      </c>
      <c r="H49" s="248">
        <v>65</v>
      </c>
      <c r="I49" s="248">
        <v>70</v>
      </c>
      <c r="J49" s="248">
        <v>72</v>
      </c>
      <c r="K49" s="248">
        <v>70</v>
      </c>
      <c r="L49" s="248">
        <v>73</v>
      </c>
      <c r="M49" s="248">
        <v>72</v>
      </c>
      <c r="N49" s="248">
        <v>72</v>
      </c>
      <c r="O49" s="248">
        <v>77</v>
      </c>
      <c r="P49" s="248">
        <v>73</v>
      </c>
      <c r="Q49" s="248">
        <v>69</v>
      </c>
      <c r="R49" s="248">
        <v>68</v>
      </c>
      <c r="S49" s="248">
        <v>67</v>
      </c>
      <c r="T49" s="248">
        <v>68</v>
      </c>
      <c r="U49" s="248">
        <v>72</v>
      </c>
      <c r="V49" s="248">
        <v>66</v>
      </c>
      <c r="W49" s="249">
        <v>69</v>
      </c>
      <c r="X49" s="250">
        <v>69.822999999999993</v>
      </c>
      <c r="Y49" s="250">
        <v>71.561000000000007</v>
      </c>
      <c r="Z49" s="250">
        <v>70.789000000000001</v>
      </c>
      <c r="AA49" s="506" t="s">
        <v>7399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4" ht="32.25" hidden="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4" ht="32.25" hidden="1" customHeight="1">
      <c r="F51" s="130"/>
      <c r="G51" s="129" t="s">
        <v>2679</v>
      </c>
      <c r="H51" s="130"/>
      <c r="I51" s="130"/>
      <c r="J51" s="130"/>
      <c r="K51" s="130"/>
      <c r="L51" s="155" t="s">
        <v>330</v>
      </c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/>
      <c r="Z51"/>
      <c r="AA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4" ht="32.25" hidden="1" customHeight="1" thickBot="1">
      <c r="G52" s="157" t="s">
        <v>2651</v>
      </c>
      <c r="H52" s="157" t="s">
        <v>2652</v>
      </c>
      <c r="I52" s="157" t="s">
        <v>2653</v>
      </c>
      <c r="J52" s="157" t="s">
        <v>2654</v>
      </c>
      <c r="K52" s="157" t="s">
        <v>2655</v>
      </c>
      <c r="L52" s="157" t="s">
        <v>2656</v>
      </c>
      <c r="M52" s="157" t="s">
        <v>2657</v>
      </c>
      <c r="N52" s="157" t="s">
        <v>2658</v>
      </c>
      <c r="O52" s="157" t="s">
        <v>2659</v>
      </c>
      <c r="P52" s="157" t="s">
        <v>2660</v>
      </c>
      <c r="Q52" s="157" t="s">
        <v>2661</v>
      </c>
      <c r="R52" s="157" t="s">
        <v>2662</v>
      </c>
      <c r="S52" s="157" t="s">
        <v>2643</v>
      </c>
      <c r="T52" s="157" t="s">
        <v>2644</v>
      </c>
      <c r="U52" s="157" t="s">
        <v>68</v>
      </c>
      <c r="V52" s="157" t="s">
        <v>2663</v>
      </c>
      <c r="W52" s="157" t="s">
        <v>2664</v>
      </c>
      <c r="X52"/>
      <c r="Z52" s="157" t="s">
        <v>2666</v>
      </c>
      <c r="AA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4" ht="32.25" hidden="1" customHeight="1" thickBot="1">
      <c r="F53" s="130" t="s">
        <v>298</v>
      </c>
      <c r="G53" s="251">
        <v>58049</v>
      </c>
      <c r="H53" s="252">
        <v>44074</v>
      </c>
      <c r="I53" s="252">
        <v>129818</v>
      </c>
      <c r="J53" s="252">
        <v>142672</v>
      </c>
      <c r="K53" s="252">
        <v>5148</v>
      </c>
      <c r="L53" s="252">
        <v>5360</v>
      </c>
      <c r="M53" s="252">
        <v>6909</v>
      </c>
      <c r="N53" s="252">
        <v>4508</v>
      </c>
      <c r="O53" s="252">
        <v>157938</v>
      </c>
      <c r="P53" s="252">
        <v>39787</v>
      </c>
      <c r="Q53" s="252">
        <v>34933</v>
      </c>
      <c r="R53" s="252">
        <v>30002</v>
      </c>
      <c r="S53" s="252">
        <v>17521</v>
      </c>
      <c r="T53" s="252">
        <v>15457</v>
      </c>
      <c r="U53" s="252">
        <v>6030</v>
      </c>
      <c r="V53" s="252">
        <v>29915</v>
      </c>
      <c r="W53" s="253">
        <v>164456</v>
      </c>
      <c r="X53" s="507" t="s">
        <v>7399</v>
      </c>
      <c r="Y53"/>
      <c r="Z53" s="158">
        <f>IF(B31=1,X49,X239)</f>
        <v>69.822999999999993</v>
      </c>
      <c r="AA53" s="158">
        <f>IF(B31=1,Y49,AA239)</f>
        <v>71.561000000000007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 s="21"/>
    </row>
    <row r="54" spans="1:54" ht="32.25" hidden="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4" ht="32.25" hidden="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4" ht="32.25" hidden="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4" ht="32.25" hidden="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4" ht="32.25" hidden="1" customHeight="1">
      <c r="A58"/>
      <c r="B58" s="276" t="str">
        <f>IFERROR(IF(B8="","",INDEX(B$63:B$153,MATCH(B8,$A$63:$A$153,0))),"")</f>
        <v/>
      </c>
      <c r="C58" s="277" t="str">
        <f>IFERROR(IF(C8="","",INDEX(C$63:C$153,MATCH(C8,$A$63:$A$153,0))),"")</f>
        <v/>
      </c>
      <c r="D58" s="277" t="str">
        <f>IFERROR(IF(D8="","",INDEX(D$63:D$153,MATCH(D8,$A$63:$A$153,0))),"")</f>
        <v/>
      </c>
      <c r="E58" s="277" t="str">
        <f>IFERROR(IF(E8="","",INDEX(E$63:E$153,MATCH(E8,$A$63:$A$153,0))),"")</f>
        <v/>
      </c>
      <c r="F58" s="277" t="str">
        <f>IFERROR(IF(F8="","",INDEX(F$63:F$153,MATCH(F8,$A$63:$A$153,0))),"")</f>
        <v/>
      </c>
      <c r="G58" s="277" t="str">
        <f t="shared" ref="G58:Z58" si="44">IFERROR(IF(G8="","",INDEX(G$63:G$153,MATCH(G8,$AA$63:$AA$153,0))),"")</f>
        <v/>
      </c>
      <c r="H58" s="277" t="str">
        <f t="shared" si="44"/>
        <v/>
      </c>
      <c r="I58" s="277" t="str">
        <f t="shared" si="44"/>
        <v/>
      </c>
      <c r="J58" s="277" t="str">
        <f t="shared" si="44"/>
        <v/>
      </c>
      <c r="K58" s="277" t="str">
        <f t="shared" si="44"/>
        <v/>
      </c>
      <c r="L58" s="277" t="str">
        <f t="shared" si="44"/>
        <v/>
      </c>
      <c r="M58" s="277" t="str">
        <f t="shared" si="44"/>
        <v/>
      </c>
      <c r="N58" s="277" t="str">
        <f t="shared" si="44"/>
        <v/>
      </c>
      <c r="O58" s="277" t="str">
        <f t="shared" si="44"/>
        <v/>
      </c>
      <c r="P58" s="277" t="str">
        <f t="shared" si="44"/>
        <v/>
      </c>
      <c r="Q58" s="277" t="str">
        <f t="shared" si="44"/>
        <v/>
      </c>
      <c r="R58" s="277" t="str">
        <f t="shared" si="44"/>
        <v/>
      </c>
      <c r="S58" s="277" t="str">
        <f t="shared" si="44"/>
        <v/>
      </c>
      <c r="T58" s="277" t="str">
        <f t="shared" si="44"/>
        <v/>
      </c>
      <c r="U58" s="277" t="str">
        <f t="shared" si="44"/>
        <v/>
      </c>
      <c r="V58" s="277" t="str">
        <f t="shared" si="44"/>
        <v/>
      </c>
      <c r="W58" s="277" t="str">
        <f t="shared" si="44"/>
        <v/>
      </c>
      <c r="X58" s="277" t="str">
        <f t="shared" si="44"/>
        <v/>
      </c>
      <c r="Y58" s="277" t="str">
        <f t="shared" si="44"/>
        <v/>
      </c>
      <c r="Z58" s="278" t="str">
        <f t="shared" si="44"/>
        <v/>
      </c>
      <c r="AA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4" ht="32.25" hidden="1" customHeight="1">
      <c r="A59"/>
      <c r="AA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4" ht="32.25" hidden="1" customHeight="1" thickBo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4" ht="32.25" hidden="1" customHeight="1">
      <c r="A61" s="268"/>
      <c r="B61" s="16" t="s">
        <v>2668</v>
      </c>
      <c r="C61" s="16"/>
      <c r="D61" s="16" t="s">
        <v>7340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254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4" ht="32.25" hidden="1" customHeight="1">
      <c r="A62" s="14"/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484</v>
      </c>
      <c r="Y62" t="s">
        <v>415</v>
      </c>
      <c r="Z62" t="s">
        <v>2667</v>
      </c>
      <c r="AA62" s="13" t="s">
        <v>2669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4" ht="32.25" hidden="1" customHeight="1">
      <c r="A63" s="14">
        <v>100</v>
      </c>
      <c r="B63" s="269">
        <v>138</v>
      </c>
      <c r="C63">
        <v>136</v>
      </c>
      <c r="D63">
        <v>144.1</v>
      </c>
      <c r="E63">
        <v>142.1</v>
      </c>
      <c r="F63">
        <v>139.1</v>
      </c>
      <c r="G63">
        <v>68</v>
      </c>
      <c r="H63">
        <v>66</v>
      </c>
      <c r="I63">
        <v>70</v>
      </c>
      <c r="J63">
        <v>73</v>
      </c>
      <c r="K63">
        <v>73</v>
      </c>
      <c r="L63">
        <v>74</v>
      </c>
      <c r="M63">
        <v>73</v>
      </c>
      <c r="N63">
        <v>76</v>
      </c>
      <c r="O63">
        <v>77</v>
      </c>
      <c r="P63">
        <v>74.099999999999994</v>
      </c>
      <c r="Q63">
        <v>71</v>
      </c>
      <c r="R63">
        <v>70</v>
      </c>
      <c r="S63">
        <v>68.099999999999994</v>
      </c>
      <c r="T63">
        <v>71</v>
      </c>
      <c r="U63">
        <v>71.099999999999994</v>
      </c>
      <c r="V63">
        <v>68</v>
      </c>
      <c r="W63">
        <v>70</v>
      </c>
      <c r="X63">
        <v>0</v>
      </c>
      <c r="Y63">
        <v>0</v>
      </c>
      <c r="Z63">
        <v>0</v>
      </c>
      <c r="AA63" s="13">
        <v>50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4" ht="32.25" hidden="1" customHeight="1">
      <c r="A64" s="14">
        <v>99</v>
      </c>
      <c r="B64">
        <v>137</v>
      </c>
      <c r="C64">
        <v>135</v>
      </c>
      <c r="D64">
        <v>144</v>
      </c>
      <c r="E64">
        <v>142</v>
      </c>
      <c r="F64">
        <v>139</v>
      </c>
      <c r="G64">
        <v>67</v>
      </c>
      <c r="H64">
        <v>65</v>
      </c>
      <c r="I64">
        <v>69.099999999999994</v>
      </c>
      <c r="J64">
        <v>72</v>
      </c>
      <c r="K64">
        <v>72.099999999999994</v>
      </c>
      <c r="L64">
        <v>73</v>
      </c>
      <c r="M64">
        <v>72</v>
      </c>
      <c r="N64">
        <v>75</v>
      </c>
      <c r="O64">
        <v>76</v>
      </c>
      <c r="P64">
        <v>74</v>
      </c>
      <c r="Q64">
        <v>70</v>
      </c>
      <c r="R64">
        <v>69</v>
      </c>
      <c r="S64">
        <v>68</v>
      </c>
      <c r="T64">
        <v>70.099999999999994</v>
      </c>
      <c r="U64">
        <v>71</v>
      </c>
      <c r="V64">
        <v>67</v>
      </c>
      <c r="W64">
        <v>69.099999999999994</v>
      </c>
      <c r="X64">
        <v>0</v>
      </c>
      <c r="Y64">
        <v>0</v>
      </c>
      <c r="Z64">
        <v>0</v>
      </c>
      <c r="AA64" s="13">
        <v>49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3" ht="32.25" hidden="1" customHeight="1">
      <c r="A65" s="14">
        <v>98</v>
      </c>
      <c r="B65">
        <v>136</v>
      </c>
      <c r="C65">
        <v>134</v>
      </c>
      <c r="D65">
        <v>143</v>
      </c>
      <c r="E65">
        <v>141</v>
      </c>
      <c r="F65">
        <v>138</v>
      </c>
      <c r="G65">
        <v>66.099999999999994</v>
      </c>
      <c r="H65">
        <v>64.099999999999994</v>
      </c>
      <c r="I65">
        <v>69</v>
      </c>
      <c r="J65">
        <v>71</v>
      </c>
      <c r="K65">
        <v>72</v>
      </c>
      <c r="L65">
        <v>72.099999999999994</v>
      </c>
      <c r="M65">
        <v>71</v>
      </c>
      <c r="N65">
        <v>74</v>
      </c>
      <c r="O65">
        <v>75</v>
      </c>
      <c r="P65">
        <v>73</v>
      </c>
      <c r="Q65">
        <v>69</v>
      </c>
      <c r="R65">
        <v>68.099999999999994</v>
      </c>
      <c r="S65">
        <v>67</v>
      </c>
      <c r="T65">
        <v>70</v>
      </c>
      <c r="U65">
        <v>70</v>
      </c>
      <c r="V65">
        <v>66.099999999999994</v>
      </c>
      <c r="W65">
        <v>69</v>
      </c>
      <c r="X65">
        <v>0</v>
      </c>
      <c r="Y65">
        <v>0</v>
      </c>
      <c r="Z65">
        <v>0</v>
      </c>
      <c r="AA65" s="13">
        <v>48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ht="32.25" hidden="1" customHeight="1">
      <c r="A66" s="14">
        <v>97</v>
      </c>
      <c r="B66">
        <v>135</v>
      </c>
      <c r="C66">
        <v>133</v>
      </c>
      <c r="D66">
        <v>142</v>
      </c>
      <c r="E66">
        <v>140</v>
      </c>
      <c r="F66">
        <v>137</v>
      </c>
      <c r="G66">
        <v>66</v>
      </c>
      <c r="H66">
        <v>64</v>
      </c>
      <c r="I66">
        <v>68</v>
      </c>
      <c r="J66">
        <v>70</v>
      </c>
      <c r="K66">
        <v>71</v>
      </c>
      <c r="L66">
        <v>72</v>
      </c>
      <c r="M66">
        <v>70.099999999999994</v>
      </c>
      <c r="N66">
        <v>73</v>
      </c>
      <c r="O66">
        <v>74</v>
      </c>
      <c r="P66">
        <v>72</v>
      </c>
      <c r="Q66">
        <v>68</v>
      </c>
      <c r="R66">
        <v>68</v>
      </c>
      <c r="S66">
        <v>66</v>
      </c>
      <c r="T66">
        <v>69</v>
      </c>
      <c r="U66">
        <v>69</v>
      </c>
      <c r="V66">
        <v>66</v>
      </c>
      <c r="W66">
        <v>68</v>
      </c>
      <c r="X66">
        <v>0</v>
      </c>
      <c r="Y66">
        <v>0</v>
      </c>
      <c r="Z66">
        <v>0</v>
      </c>
      <c r="AA66" s="13">
        <v>47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ht="32.25" hidden="1" customHeight="1">
      <c r="A67" s="14">
        <v>96</v>
      </c>
      <c r="B67">
        <v>134.1</v>
      </c>
      <c r="C67">
        <v>132.1</v>
      </c>
      <c r="D67">
        <v>141</v>
      </c>
      <c r="E67">
        <v>139</v>
      </c>
      <c r="F67">
        <v>136</v>
      </c>
      <c r="G67">
        <v>65</v>
      </c>
      <c r="H67">
        <v>63</v>
      </c>
      <c r="I67">
        <v>67</v>
      </c>
      <c r="J67">
        <v>69.099999999999994</v>
      </c>
      <c r="K67">
        <v>70</v>
      </c>
      <c r="L67">
        <v>71</v>
      </c>
      <c r="M67">
        <v>70</v>
      </c>
      <c r="N67">
        <v>72</v>
      </c>
      <c r="O67">
        <v>73</v>
      </c>
      <c r="P67">
        <v>71</v>
      </c>
      <c r="Q67">
        <v>67.099999999999994</v>
      </c>
      <c r="R67">
        <v>67</v>
      </c>
      <c r="S67">
        <v>65.099999999999994</v>
      </c>
      <c r="T67">
        <v>68</v>
      </c>
      <c r="U67">
        <v>68.099999999999994</v>
      </c>
      <c r="V67">
        <v>65</v>
      </c>
      <c r="W67">
        <v>67</v>
      </c>
      <c r="X67">
        <v>0</v>
      </c>
      <c r="Y67">
        <v>0</v>
      </c>
      <c r="Z67">
        <v>0</v>
      </c>
      <c r="AA67" s="13">
        <v>46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ht="32.25" hidden="1" customHeight="1">
      <c r="A68" s="14">
        <v>95</v>
      </c>
      <c r="B68">
        <v>134</v>
      </c>
      <c r="C68">
        <v>132</v>
      </c>
      <c r="D68">
        <v>140</v>
      </c>
      <c r="E68">
        <v>138</v>
      </c>
      <c r="F68">
        <v>135</v>
      </c>
      <c r="G68">
        <v>64</v>
      </c>
      <c r="H68">
        <v>62</v>
      </c>
      <c r="I68">
        <v>66</v>
      </c>
      <c r="J68">
        <v>69</v>
      </c>
      <c r="K68">
        <v>69</v>
      </c>
      <c r="L68">
        <v>70</v>
      </c>
      <c r="M68">
        <v>69</v>
      </c>
      <c r="N68">
        <v>71.099999999999994</v>
      </c>
      <c r="O68">
        <v>72</v>
      </c>
      <c r="P68">
        <v>70</v>
      </c>
      <c r="Q68">
        <v>67</v>
      </c>
      <c r="R68">
        <v>66</v>
      </c>
      <c r="S68">
        <v>65</v>
      </c>
      <c r="T68">
        <v>67</v>
      </c>
      <c r="U68">
        <v>68</v>
      </c>
      <c r="V68">
        <v>64</v>
      </c>
      <c r="W68">
        <v>66</v>
      </c>
      <c r="X68">
        <v>0</v>
      </c>
      <c r="Y68">
        <v>0</v>
      </c>
      <c r="Z68">
        <v>0</v>
      </c>
      <c r="AA68" s="13">
        <v>45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ht="32.25" hidden="1" customHeight="1">
      <c r="A69" s="14">
        <v>94</v>
      </c>
      <c r="B69">
        <v>133</v>
      </c>
      <c r="C69">
        <v>131</v>
      </c>
      <c r="D69">
        <v>139.1</v>
      </c>
      <c r="E69">
        <v>137.1</v>
      </c>
      <c r="F69">
        <v>134.1</v>
      </c>
      <c r="G69">
        <v>63</v>
      </c>
      <c r="H69">
        <v>61.1</v>
      </c>
      <c r="I69">
        <v>65</v>
      </c>
      <c r="J69">
        <v>68</v>
      </c>
      <c r="K69">
        <v>68.099999999999994</v>
      </c>
      <c r="L69">
        <v>69</v>
      </c>
      <c r="M69">
        <v>68</v>
      </c>
      <c r="N69">
        <v>71</v>
      </c>
      <c r="O69">
        <v>71</v>
      </c>
      <c r="P69">
        <v>69</v>
      </c>
      <c r="Q69">
        <v>66</v>
      </c>
      <c r="R69">
        <v>65</v>
      </c>
      <c r="S69">
        <v>64</v>
      </c>
      <c r="T69">
        <v>66.099999999999994</v>
      </c>
      <c r="U69">
        <v>67</v>
      </c>
      <c r="V69">
        <v>63</v>
      </c>
      <c r="W69">
        <v>65</v>
      </c>
      <c r="X69">
        <v>0</v>
      </c>
      <c r="Y69">
        <v>0</v>
      </c>
      <c r="Z69">
        <v>0</v>
      </c>
      <c r="AA69" s="13">
        <v>44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ht="32.25" hidden="1" customHeight="1">
      <c r="A70" s="14">
        <v>93</v>
      </c>
      <c r="B70">
        <v>132</v>
      </c>
      <c r="C70">
        <v>130</v>
      </c>
      <c r="D70">
        <v>139</v>
      </c>
      <c r="E70">
        <v>137</v>
      </c>
      <c r="F70">
        <v>134</v>
      </c>
      <c r="G70">
        <v>62.1</v>
      </c>
      <c r="H70">
        <v>61</v>
      </c>
      <c r="I70">
        <v>64.099999999999994</v>
      </c>
      <c r="J70">
        <v>67</v>
      </c>
      <c r="K70">
        <v>68</v>
      </c>
      <c r="L70">
        <v>68</v>
      </c>
      <c r="M70">
        <v>67</v>
      </c>
      <c r="N70">
        <v>70</v>
      </c>
      <c r="O70">
        <v>70</v>
      </c>
      <c r="P70">
        <v>68.099999999999994</v>
      </c>
      <c r="Q70">
        <v>65</v>
      </c>
      <c r="R70">
        <v>64.099999999999994</v>
      </c>
      <c r="S70">
        <v>63</v>
      </c>
      <c r="T70">
        <v>66</v>
      </c>
      <c r="U70">
        <v>66</v>
      </c>
      <c r="V70">
        <v>62.1</v>
      </c>
      <c r="W70">
        <v>64</v>
      </c>
      <c r="X70">
        <v>0</v>
      </c>
      <c r="Y70">
        <v>0</v>
      </c>
      <c r="Z70">
        <v>0</v>
      </c>
      <c r="AA70" s="13">
        <v>43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ht="32.25" hidden="1" customHeight="1">
      <c r="A71" s="14">
        <v>92</v>
      </c>
      <c r="B71">
        <v>131</v>
      </c>
      <c r="C71">
        <v>129</v>
      </c>
      <c r="D71">
        <v>138</v>
      </c>
      <c r="E71">
        <v>136</v>
      </c>
      <c r="F71">
        <v>133</v>
      </c>
      <c r="G71">
        <v>62</v>
      </c>
      <c r="H71">
        <v>60</v>
      </c>
      <c r="I71">
        <v>64</v>
      </c>
      <c r="J71">
        <v>66</v>
      </c>
      <c r="K71">
        <v>67</v>
      </c>
      <c r="L71">
        <v>67.099999999999994</v>
      </c>
      <c r="M71">
        <v>66</v>
      </c>
      <c r="N71">
        <v>69</v>
      </c>
      <c r="O71">
        <v>69</v>
      </c>
      <c r="P71">
        <v>68</v>
      </c>
      <c r="Q71">
        <v>64.099999999999994</v>
      </c>
      <c r="R71">
        <v>64</v>
      </c>
      <c r="S71">
        <v>62.1</v>
      </c>
      <c r="T71">
        <v>65</v>
      </c>
      <c r="U71">
        <v>65.099999999999994</v>
      </c>
      <c r="V71">
        <v>62</v>
      </c>
      <c r="W71">
        <v>63.1</v>
      </c>
      <c r="X71">
        <v>0</v>
      </c>
      <c r="Y71">
        <v>0</v>
      </c>
      <c r="Z71">
        <v>0</v>
      </c>
      <c r="AA71" s="13">
        <v>42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ht="32.25" hidden="1" customHeight="1">
      <c r="A72" s="14">
        <v>91</v>
      </c>
      <c r="B72">
        <v>130</v>
      </c>
      <c r="C72">
        <v>128</v>
      </c>
      <c r="D72">
        <v>137</v>
      </c>
      <c r="E72">
        <v>135</v>
      </c>
      <c r="F72">
        <v>132</v>
      </c>
      <c r="G72">
        <v>61</v>
      </c>
      <c r="H72">
        <v>59.1</v>
      </c>
      <c r="I72">
        <v>63</v>
      </c>
      <c r="J72">
        <v>65</v>
      </c>
      <c r="K72">
        <v>66</v>
      </c>
      <c r="L72">
        <v>67</v>
      </c>
      <c r="M72">
        <v>65</v>
      </c>
      <c r="N72">
        <v>68</v>
      </c>
      <c r="O72">
        <v>68</v>
      </c>
      <c r="P72">
        <v>67</v>
      </c>
      <c r="Q72">
        <v>64</v>
      </c>
      <c r="R72">
        <v>63</v>
      </c>
      <c r="S72">
        <v>62</v>
      </c>
      <c r="T72">
        <v>64</v>
      </c>
      <c r="U72">
        <v>65</v>
      </c>
      <c r="V72">
        <v>61</v>
      </c>
      <c r="W72">
        <v>63</v>
      </c>
      <c r="X72">
        <v>0</v>
      </c>
      <c r="Y72">
        <v>0</v>
      </c>
      <c r="Z72">
        <v>0</v>
      </c>
      <c r="AA72" s="13">
        <v>41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ht="32.25" hidden="1" customHeight="1">
      <c r="A73" s="14">
        <v>90</v>
      </c>
      <c r="B73">
        <v>129.1</v>
      </c>
      <c r="C73">
        <v>127.1</v>
      </c>
      <c r="D73">
        <v>136</v>
      </c>
      <c r="E73">
        <v>134</v>
      </c>
      <c r="F73">
        <v>131</v>
      </c>
      <c r="G73">
        <v>60</v>
      </c>
      <c r="H73">
        <v>59</v>
      </c>
      <c r="I73">
        <v>62</v>
      </c>
      <c r="J73">
        <v>64</v>
      </c>
      <c r="K73">
        <v>65</v>
      </c>
      <c r="L73">
        <v>66</v>
      </c>
      <c r="M73">
        <v>64.099999999999994</v>
      </c>
      <c r="N73">
        <v>67</v>
      </c>
      <c r="O73">
        <v>67</v>
      </c>
      <c r="P73">
        <v>66</v>
      </c>
      <c r="Q73">
        <v>63</v>
      </c>
      <c r="R73">
        <v>62</v>
      </c>
      <c r="S73">
        <v>61</v>
      </c>
      <c r="T73">
        <v>63</v>
      </c>
      <c r="U73">
        <v>64</v>
      </c>
      <c r="V73">
        <v>60</v>
      </c>
      <c r="W73">
        <v>62</v>
      </c>
      <c r="X73">
        <v>0</v>
      </c>
      <c r="Y73">
        <v>0</v>
      </c>
      <c r="Z73">
        <v>0</v>
      </c>
      <c r="AA73" s="13">
        <v>40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ht="32.25" hidden="1" customHeight="1">
      <c r="A74" s="14">
        <v>89</v>
      </c>
      <c r="B74">
        <v>129</v>
      </c>
      <c r="C74">
        <v>127</v>
      </c>
      <c r="D74">
        <v>135</v>
      </c>
      <c r="E74">
        <v>133</v>
      </c>
      <c r="F74">
        <v>130</v>
      </c>
      <c r="G74">
        <v>59</v>
      </c>
      <c r="H74">
        <v>58</v>
      </c>
      <c r="I74">
        <v>61</v>
      </c>
      <c r="J74">
        <v>63</v>
      </c>
      <c r="K74">
        <v>64.099999999999994</v>
      </c>
      <c r="L74">
        <v>65</v>
      </c>
      <c r="M74">
        <v>64</v>
      </c>
      <c r="N74">
        <v>66.099999999999994</v>
      </c>
      <c r="O74">
        <v>66</v>
      </c>
      <c r="P74">
        <v>65</v>
      </c>
      <c r="Q74">
        <v>62</v>
      </c>
      <c r="R74">
        <v>61</v>
      </c>
      <c r="S74">
        <v>60</v>
      </c>
      <c r="T74">
        <v>62.1</v>
      </c>
      <c r="U74">
        <v>63</v>
      </c>
      <c r="V74">
        <v>59.1</v>
      </c>
      <c r="W74">
        <v>61</v>
      </c>
      <c r="X74">
        <v>0</v>
      </c>
      <c r="Y74">
        <v>0</v>
      </c>
      <c r="Z74">
        <v>0</v>
      </c>
      <c r="AA74" s="13">
        <v>39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ht="32.25" hidden="1" customHeight="1">
      <c r="A75" s="14">
        <v>88</v>
      </c>
      <c r="B75">
        <v>128</v>
      </c>
      <c r="C75">
        <v>126</v>
      </c>
      <c r="D75">
        <v>134.1</v>
      </c>
      <c r="E75">
        <v>132.1</v>
      </c>
      <c r="F75">
        <v>129.1</v>
      </c>
      <c r="G75">
        <v>58.1</v>
      </c>
      <c r="H75">
        <v>57</v>
      </c>
      <c r="I75">
        <v>60</v>
      </c>
      <c r="J75">
        <v>62</v>
      </c>
      <c r="K75">
        <v>64</v>
      </c>
      <c r="L75">
        <v>64</v>
      </c>
      <c r="M75">
        <v>63</v>
      </c>
      <c r="N75">
        <v>66</v>
      </c>
      <c r="O75">
        <v>65</v>
      </c>
      <c r="P75">
        <v>64</v>
      </c>
      <c r="Q75">
        <v>61</v>
      </c>
      <c r="R75">
        <v>60.1</v>
      </c>
      <c r="S75">
        <v>59</v>
      </c>
      <c r="T75">
        <v>62</v>
      </c>
      <c r="U75">
        <v>62</v>
      </c>
      <c r="V75">
        <v>59</v>
      </c>
      <c r="W75">
        <v>60</v>
      </c>
      <c r="X75">
        <v>0</v>
      </c>
      <c r="Y75">
        <v>0</v>
      </c>
      <c r="Z75">
        <v>0</v>
      </c>
      <c r="AA75" s="13">
        <v>38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ht="32.25" hidden="1" customHeight="1">
      <c r="A76" s="14">
        <v>87</v>
      </c>
      <c r="B76">
        <v>127</v>
      </c>
      <c r="C76">
        <v>125</v>
      </c>
      <c r="D76">
        <v>134</v>
      </c>
      <c r="E76">
        <v>132</v>
      </c>
      <c r="F76">
        <v>129</v>
      </c>
      <c r="G76">
        <v>58</v>
      </c>
      <c r="H76">
        <v>56.1</v>
      </c>
      <c r="I76">
        <v>59.1</v>
      </c>
      <c r="J76">
        <v>61.1</v>
      </c>
      <c r="K76">
        <v>63</v>
      </c>
      <c r="L76">
        <v>63</v>
      </c>
      <c r="M76">
        <v>62</v>
      </c>
      <c r="N76">
        <v>65</v>
      </c>
      <c r="O76">
        <v>64</v>
      </c>
      <c r="P76">
        <v>63</v>
      </c>
      <c r="Q76">
        <v>60.1</v>
      </c>
      <c r="R76">
        <v>60</v>
      </c>
      <c r="S76">
        <v>58.1</v>
      </c>
      <c r="T76">
        <v>61</v>
      </c>
      <c r="U76">
        <v>61.1</v>
      </c>
      <c r="V76">
        <v>58</v>
      </c>
      <c r="W76">
        <v>59</v>
      </c>
      <c r="X76">
        <v>0</v>
      </c>
      <c r="Y76">
        <v>0</v>
      </c>
      <c r="Z76">
        <v>0</v>
      </c>
      <c r="AA76" s="13">
        <v>37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 ht="32.25" hidden="1" customHeight="1">
      <c r="A77" s="14">
        <v>86</v>
      </c>
      <c r="B77">
        <v>126</v>
      </c>
      <c r="C77">
        <v>124</v>
      </c>
      <c r="D77">
        <v>133</v>
      </c>
      <c r="E77">
        <v>131</v>
      </c>
      <c r="F77">
        <v>128</v>
      </c>
      <c r="G77">
        <v>57</v>
      </c>
      <c r="H77">
        <v>56</v>
      </c>
      <c r="I77">
        <v>59</v>
      </c>
      <c r="J77">
        <v>61</v>
      </c>
      <c r="K77">
        <v>62</v>
      </c>
      <c r="L77">
        <v>62.1</v>
      </c>
      <c r="M77">
        <v>61</v>
      </c>
      <c r="N77">
        <v>64</v>
      </c>
      <c r="O77">
        <v>63</v>
      </c>
      <c r="P77">
        <v>62</v>
      </c>
      <c r="Q77">
        <v>60</v>
      </c>
      <c r="R77">
        <v>59</v>
      </c>
      <c r="S77">
        <v>58</v>
      </c>
      <c r="T77">
        <v>60</v>
      </c>
      <c r="U77">
        <v>61</v>
      </c>
      <c r="V77">
        <v>57</v>
      </c>
      <c r="W77">
        <v>58</v>
      </c>
      <c r="X77">
        <v>0</v>
      </c>
      <c r="Y77">
        <v>0</v>
      </c>
      <c r="Z77">
        <v>0</v>
      </c>
      <c r="AA77" s="13">
        <v>36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ht="32.25" hidden="1" customHeight="1">
      <c r="A78" s="14">
        <v>85</v>
      </c>
      <c r="B78">
        <v>125</v>
      </c>
      <c r="C78">
        <v>123</v>
      </c>
      <c r="D78">
        <v>132</v>
      </c>
      <c r="E78">
        <v>130</v>
      </c>
      <c r="F78">
        <v>127</v>
      </c>
      <c r="G78">
        <v>56</v>
      </c>
      <c r="H78">
        <v>55</v>
      </c>
      <c r="I78">
        <v>58</v>
      </c>
      <c r="J78">
        <v>60</v>
      </c>
      <c r="K78">
        <v>61</v>
      </c>
      <c r="L78">
        <v>62</v>
      </c>
      <c r="M78">
        <v>60</v>
      </c>
      <c r="N78">
        <v>63</v>
      </c>
      <c r="O78">
        <v>62</v>
      </c>
      <c r="P78">
        <v>61.1</v>
      </c>
      <c r="Q78">
        <v>59</v>
      </c>
      <c r="R78">
        <v>58</v>
      </c>
      <c r="S78">
        <v>57</v>
      </c>
      <c r="T78">
        <v>59</v>
      </c>
      <c r="U78">
        <v>60</v>
      </c>
      <c r="V78">
        <v>56</v>
      </c>
      <c r="W78">
        <v>57.1</v>
      </c>
      <c r="X78">
        <v>0</v>
      </c>
      <c r="Y78">
        <v>0</v>
      </c>
      <c r="Z78">
        <v>0</v>
      </c>
      <c r="AA78" s="13">
        <v>35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 ht="32.25" hidden="1" customHeight="1">
      <c r="A79" s="14">
        <v>84</v>
      </c>
      <c r="B79">
        <v>124.1</v>
      </c>
      <c r="C79">
        <v>122.1</v>
      </c>
      <c r="D79">
        <v>131</v>
      </c>
      <c r="E79">
        <v>129</v>
      </c>
      <c r="F79">
        <v>126.1</v>
      </c>
      <c r="G79">
        <v>55</v>
      </c>
      <c r="H79">
        <v>54.1</v>
      </c>
      <c r="I79">
        <v>57</v>
      </c>
      <c r="J79">
        <v>59</v>
      </c>
      <c r="K79">
        <v>60.1</v>
      </c>
      <c r="L79">
        <v>61</v>
      </c>
      <c r="M79">
        <v>59</v>
      </c>
      <c r="N79">
        <v>62</v>
      </c>
      <c r="O79">
        <v>61</v>
      </c>
      <c r="P79">
        <v>61</v>
      </c>
      <c r="Q79">
        <v>58</v>
      </c>
      <c r="R79">
        <v>57.1</v>
      </c>
      <c r="S79">
        <v>56</v>
      </c>
      <c r="T79">
        <v>58.1</v>
      </c>
      <c r="U79">
        <v>59</v>
      </c>
      <c r="V79">
        <v>55.1</v>
      </c>
      <c r="W79">
        <v>57</v>
      </c>
      <c r="X79">
        <v>0</v>
      </c>
      <c r="Y79">
        <v>0</v>
      </c>
      <c r="Z79">
        <v>0</v>
      </c>
      <c r="AA79" s="13">
        <v>34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 ht="32.25" hidden="1" customHeight="1">
      <c r="A80" s="14">
        <v>83</v>
      </c>
      <c r="B80">
        <v>124</v>
      </c>
      <c r="C80">
        <v>122</v>
      </c>
      <c r="D80">
        <v>130.1</v>
      </c>
      <c r="E80">
        <v>128.1</v>
      </c>
      <c r="F80">
        <v>126</v>
      </c>
      <c r="G80">
        <v>54.1</v>
      </c>
      <c r="H80">
        <v>54</v>
      </c>
      <c r="I80">
        <v>56</v>
      </c>
      <c r="J80">
        <v>58</v>
      </c>
      <c r="K80">
        <v>60</v>
      </c>
      <c r="L80">
        <v>60</v>
      </c>
      <c r="M80">
        <v>58.1</v>
      </c>
      <c r="N80">
        <v>61.1</v>
      </c>
      <c r="O80">
        <v>60</v>
      </c>
      <c r="P80">
        <v>60</v>
      </c>
      <c r="Q80">
        <v>57</v>
      </c>
      <c r="R80">
        <v>57</v>
      </c>
      <c r="S80">
        <v>55.1</v>
      </c>
      <c r="T80">
        <v>58</v>
      </c>
      <c r="U80">
        <v>58.1</v>
      </c>
      <c r="V80">
        <v>55</v>
      </c>
      <c r="W80">
        <v>56</v>
      </c>
      <c r="X80">
        <v>0</v>
      </c>
      <c r="Y80">
        <v>0</v>
      </c>
      <c r="Z80">
        <v>0</v>
      </c>
      <c r="AA80" s="13">
        <v>33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1:53" ht="32.25" hidden="1" customHeight="1">
      <c r="A81" s="14">
        <v>82</v>
      </c>
      <c r="B81">
        <v>123</v>
      </c>
      <c r="C81">
        <v>121</v>
      </c>
      <c r="D81">
        <v>130</v>
      </c>
      <c r="E81">
        <v>128</v>
      </c>
      <c r="F81">
        <v>125</v>
      </c>
      <c r="G81">
        <v>54</v>
      </c>
      <c r="H81">
        <v>53</v>
      </c>
      <c r="I81">
        <v>55</v>
      </c>
      <c r="J81">
        <v>57</v>
      </c>
      <c r="K81">
        <v>59</v>
      </c>
      <c r="L81">
        <v>59</v>
      </c>
      <c r="M81">
        <v>58</v>
      </c>
      <c r="N81">
        <v>61</v>
      </c>
      <c r="O81">
        <v>59</v>
      </c>
      <c r="P81">
        <v>59</v>
      </c>
      <c r="Q81">
        <v>56.1</v>
      </c>
      <c r="R81">
        <v>56</v>
      </c>
      <c r="S81">
        <v>55</v>
      </c>
      <c r="T81">
        <v>57</v>
      </c>
      <c r="U81">
        <v>58</v>
      </c>
      <c r="V81">
        <v>54</v>
      </c>
      <c r="W81">
        <v>55</v>
      </c>
      <c r="X81">
        <v>0</v>
      </c>
      <c r="Y81">
        <v>0</v>
      </c>
      <c r="Z81">
        <v>0</v>
      </c>
      <c r="AA81" s="13">
        <v>32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3" ht="32.25" hidden="1" customHeight="1">
      <c r="A82" s="14">
        <v>81</v>
      </c>
      <c r="B82">
        <v>122</v>
      </c>
      <c r="C82">
        <v>120</v>
      </c>
      <c r="D82">
        <v>129</v>
      </c>
      <c r="E82">
        <v>127</v>
      </c>
      <c r="F82">
        <v>124</v>
      </c>
      <c r="G82">
        <v>53</v>
      </c>
      <c r="H82">
        <v>52</v>
      </c>
      <c r="I82">
        <v>54</v>
      </c>
      <c r="J82">
        <v>56</v>
      </c>
      <c r="K82">
        <v>58</v>
      </c>
      <c r="L82">
        <v>58</v>
      </c>
      <c r="M82">
        <v>57</v>
      </c>
      <c r="N82">
        <v>60</v>
      </c>
      <c r="O82">
        <v>58</v>
      </c>
      <c r="P82">
        <v>58</v>
      </c>
      <c r="Q82">
        <v>56</v>
      </c>
      <c r="R82">
        <v>55</v>
      </c>
      <c r="S82">
        <v>54</v>
      </c>
      <c r="T82">
        <v>56</v>
      </c>
      <c r="U82">
        <v>57</v>
      </c>
      <c r="V82">
        <v>53</v>
      </c>
      <c r="W82">
        <v>54</v>
      </c>
      <c r="X82">
        <v>0</v>
      </c>
      <c r="Y82">
        <v>0</v>
      </c>
      <c r="Z82">
        <v>0</v>
      </c>
      <c r="AA82" s="13">
        <v>31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3" ht="32.25" hidden="1" customHeight="1">
      <c r="A83" s="14">
        <v>80</v>
      </c>
      <c r="B83">
        <v>121</v>
      </c>
      <c r="C83">
        <v>119</v>
      </c>
      <c r="D83">
        <v>128</v>
      </c>
      <c r="E83">
        <v>126</v>
      </c>
      <c r="F83">
        <v>123</v>
      </c>
      <c r="G83">
        <v>52</v>
      </c>
      <c r="H83">
        <v>51.1</v>
      </c>
      <c r="I83">
        <v>53.1</v>
      </c>
      <c r="J83">
        <v>55</v>
      </c>
      <c r="K83">
        <v>57</v>
      </c>
      <c r="L83">
        <v>57</v>
      </c>
      <c r="M83">
        <v>56</v>
      </c>
      <c r="N83">
        <v>59</v>
      </c>
      <c r="O83">
        <v>57</v>
      </c>
      <c r="P83">
        <v>57</v>
      </c>
      <c r="Q83">
        <v>55</v>
      </c>
      <c r="R83">
        <v>54</v>
      </c>
      <c r="S83">
        <v>53</v>
      </c>
      <c r="T83">
        <v>55</v>
      </c>
      <c r="U83">
        <v>56</v>
      </c>
      <c r="V83">
        <v>52.1</v>
      </c>
      <c r="W83">
        <v>53</v>
      </c>
      <c r="X83">
        <v>0</v>
      </c>
      <c r="Y83">
        <v>0</v>
      </c>
      <c r="Z83">
        <v>0</v>
      </c>
      <c r="AA83" s="13">
        <v>30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 ht="32.25" hidden="1" customHeight="1">
      <c r="A84" s="14">
        <v>79</v>
      </c>
      <c r="B84">
        <v>120</v>
      </c>
      <c r="C84">
        <v>118</v>
      </c>
      <c r="D84">
        <v>127</v>
      </c>
      <c r="E84">
        <v>125</v>
      </c>
      <c r="F84">
        <v>122</v>
      </c>
      <c r="G84">
        <v>51</v>
      </c>
      <c r="H84">
        <v>51</v>
      </c>
      <c r="I84">
        <v>53</v>
      </c>
      <c r="J84">
        <v>54</v>
      </c>
      <c r="K84">
        <v>56.1</v>
      </c>
      <c r="L84">
        <v>56.1</v>
      </c>
      <c r="M84">
        <v>55</v>
      </c>
      <c r="N84">
        <v>58</v>
      </c>
      <c r="O84">
        <v>56</v>
      </c>
      <c r="P84">
        <v>56</v>
      </c>
      <c r="Q84">
        <v>54</v>
      </c>
      <c r="R84">
        <v>53.1</v>
      </c>
      <c r="S84">
        <v>52.1</v>
      </c>
      <c r="T84">
        <v>54.1</v>
      </c>
      <c r="U84">
        <v>55.1</v>
      </c>
      <c r="V84">
        <v>52</v>
      </c>
      <c r="W84">
        <v>52.1</v>
      </c>
      <c r="X84">
        <v>0</v>
      </c>
      <c r="Y84">
        <v>0</v>
      </c>
      <c r="Z84">
        <v>0</v>
      </c>
      <c r="AA84" s="13">
        <v>29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3" ht="32.25" hidden="1" customHeight="1">
      <c r="A85" s="14">
        <v>78</v>
      </c>
      <c r="B85">
        <v>119.1</v>
      </c>
      <c r="C85">
        <v>117.1</v>
      </c>
      <c r="D85">
        <v>126.1</v>
      </c>
      <c r="E85">
        <v>124.1</v>
      </c>
      <c r="F85">
        <v>121.1</v>
      </c>
      <c r="G85">
        <v>50.1</v>
      </c>
      <c r="H85">
        <v>50</v>
      </c>
      <c r="I85">
        <v>52</v>
      </c>
      <c r="J85">
        <v>53.1</v>
      </c>
      <c r="K85">
        <v>56</v>
      </c>
      <c r="L85">
        <v>56</v>
      </c>
      <c r="M85">
        <v>54</v>
      </c>
      <c r="N85">
        <v>57</v>
      </c>
      <c r="O85">
        <v>55</v>
      </c>
      <c r="P85">
        <v>55.1</v>
      </c>
      <c r="Q85">
        <v>53</v>
      </c>
      <c r="R85">
        <v>53</v>
      </c>
      <c r="S85">
        <v>52</v>
      </c>
      <c r="T85">
        <v>54</v>
      </c>
      <c r="U85">
        <v>55</v>
      </c>
      <c r="V85">
        <v>51</v>
      </c>
      <c r="W85">
        <v>52</v>
      </c>
      <c r="X85">
        <v>0</v>
      </c>
      <c r="Y85">
        <v>0</v>
      </c>
      <c r="Z85">
        <v>0</v>
      </c>
      <c r="AA85" s="13">
        <v>28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 ht="32.25" hidden="1" customHeight="1">
      <c r="A86" s="14">
        <v>77</v>
      </c>
      <c r="B86">
        <v>119</v>
      </c>
      <c r="C86">
        <v>117</v>
      </c>
      <c r="D86">
        <v>126</v>
      </c>
      <c r="E86">
        <v>124</v>
      </c>
      <c r="F86">
        <v>121</v>
      </c>
      <c r="G86">
        <v>50</v>
      </c>
      <c r="H86">
        <v>49.1</v>
      </c>
      <c r="I86">
        <v>51</v>
      </c>
      <c r="J86">
        <v>53</v>
      </c>
      <c r="K86">
        <v>55</v>
      </c>
      <c r="L86">
        <v>55</v>
      </c>
      <c r="M86">
        <v>53</v>
      </c>
      <c r="N86">
        <v>56</v>
      </c>
      <c r="O86">
        <v>54</v>
      </c>
      <c r="P86">
        <v>55</v>
      </c>
      <c r="Q86">
        <v>52.1</v>
      </c>
      <c r="R86">
        <v>52</v>
      </c>
      <c r="S86">
        <v>51</v>
      </c>
      <c r="T86">
        <v>53</v>
      </c>
      <c r="U86">
        <v>54</v>
      </c>
      <c r="V86">
        <v>50</v>
      </c>
      <c r="W86">
        <v>51</v>
      </c>
      <c r="X86">
        <v>0</v>
      </c>
      <c r="Y86">
        <v>0</v>
      </c>
      <c r="Z86">
        <v>0</v>
      </c>
      <c r="AA86" s="13">
        <v>27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ht="32.25" hidden="1" customHeight="1">
      <c r="A87" s="14">
        <v>76</v>
      </c>
      <c r="B87">
        <v>118</v>
      </c>
      <c r="C87">
        <v>116</v>
      </c>
      <c r="D87">
        <v>125</v>
      </c>
      <c r="E87">
        <v>123</v>
      </c>
      <c r="F87">
        <v>120</v>
      </c>
      <c r="G87">
        <v>49</v>
      </c>
      <c r="H87">
        <v>49</v>
      </c>
      <c r="I87">
        <v>50</v>
      </c>
      <c r="J87">
        <v>52</v>
      </c>
      <c r="K87">
        <v>54</v>
      </c>
      <c r="L87">
        <v>54</v>
      </c>
      <c r="M87">
        <v>52.1</v>
      </c>
      <c r="N87">
        <v>55.1</v>
      </c>
      <c r="O87">
        <v>53</v>
      </c>
      <c r="P87">
        <v>54</v>
      </c>
      <c r="Q87">
        <v>52</v>
      </c>
      <c r="R87">
        <v>51</v>
      </c>
      <c r="S87">
        <v>50</v>
      </c>
      <c r="T87">
        <v>52</v>
      </c>
      <c r="U87">
        <v>53</v>
      </c>
      <c r="V87">
        <v>49</v>
      </c>
      <c r="W87">
        <v>50</v>
      </c>
      <c r="X87">
        <v>0</v>
      </c>
      <c r="Y87">
        <v>0</v>
      </c>
      <c r="Z87">
        <v>0</v>
      </c>
      <c r="AA87" s="13">
        <v>26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ht="32.25" hidden="1" customHeight="1">
      <c r="A88" s="14">
        <v>75</v>
      </c>
      <c r="B88">
        <v>117</v>
      </c>
      <c r="C88">
        <v>115</v>
      </c>
      <c r="D88">
        <v>124</v>
      </c>
      <c r="E88">
        <v>122</v>
      </c>
      <c r="F88">
        <v>119</v>
      </c>
      <c r="G88">
        <v>48</v>
      </c>
      <c r="H88">
        <v>48</v>
      </c>
      <c r="I88">
        <v>49</v>
      </c>
      <c r="J88">
        <v>51</v>
      </c>
      <c r="K88">
        <v>53</v>
      </c>
      <c r="L88">
        <v>53</v>
      </c>
      <c r="M88">
        <v>52</v>
      </c>
      <c r="N88">
        <v>55</v>
      </c>
      <c r="O88">
        <v>52</v>
      </c>
      <c r="P88">
        <v>53</v>
      </c>
      <c r="Q88">
        <v>51</v>
      </c>
      <c r="R88">
        <v>50</v>
      </c>
      <c r="S88">
        <v>49.1</v>
      </c>
      <c r="T88">
        <v>51</v>
      </c>
      <c r="U88">
        <v>52</v>
      </c>
      <c r="V88">
        <v>48.1</v>
      </c>
      <c r="W88">
        <v>49</v>
      </c>
      <c r="X88">
        <v>0</v>
      </c>
      <c r="Y88">
        <v>0</v>
      </c>
      <c r="Z88">
        <v>0</v>
      </c>
      <c r="AA88" s="13">
        <v>25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1:53" ht="32.25" hidden="1" customHeight="1">
      <c r="A89" s="14">
        <v>74</v>
      </c>
      <c r="B89">
        <v>116</v>
      </c>
      <c r="C89">
        <v>114</v>
      </c>
      <c r="D89">
        <v>123</v>
      </c>
      <c r="E89">
        <v>121</v>
      </c>
      <c r="F89">
        <v>118</v>
      </c>
      <c r="G89">
        <v>47</v>
      </c>
      <c r="H89">
        <v>47</v>
      </c>
      <c r="I89">
        <v>48.1</v>
      </c>
      <c r="J89">
        <v>50</v>
      </c>
      <c r="K89">
        <v>52.1</v>
      </c>
      <c r="L89">
        <v>52</v>
      </c>
      <c r="M89">
        <v>51</v>
      </c>
      <c r="N89">
        <v>54</v>
      </c>
      <c r="O89">
        <v>51</v>
      </c>
      <c r="P89">
        <v>52</v>
      </c>
      <c r="Q89">
        <v>50</v>
      </c>
      <c r="R89">
        <v>49.1</v>
      </c>
      <c r="S89">
        <v>49</v>
      </c>
      <c r="T89">
        <v>50.1</v>
      </c>
      <c r="U89">
        <v>51.1</v>
      </c>
      <c r="V89">
        <v>48</v>
      </c>
      <c r="W89">
        <v>48</v>
      </c>
      <c r="X89">
        <v>0</v>
      </c>
      <c r="Y89">
        <v>0</v>
      </c>
      <c r="Z89">
        <v>0</v>
      </c>
      <c r="AA89" s="13">
        <v>24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 ht="32.25" hidden="1" customHeight="1">
      <c r="A90" s="14">
        <v>73</v>
      </c>
      <c r="B90">
        <v>115</v>
      </c>
      <c r="C90">
        <v>113</v>
      </c>
      <c r="D90">
        <v>122</v>
      </c>
      <c r="E90">
        <v>120</v>
      </c>
      <c r="F90">
        <v>117</v>
      </c>
      <c r="G90">
        <v>46.1</v>
      </c>
      <c r="H90">
        <v>46.1</v>
      </c>
      <c r="I90">
        <v>48</v>
      </c>
      <c r="J90">
        <v>49</v>
      </c>
      <c r="K90">
        <v>52</v>
      </c>
      <c r="L90">
        <v>51.1</v>
      </c>
      <c r="M90">
        <v>50</v>
      </c>
      <c r="N90">
        <v>53</v>
      </c>
      <c r="O90">
        <v>50</v>
      </c>
      <c r="P90">
        <v>51</v>
      </c>
      <c r="Q90">
        <v>49.1</v>
      </c>
      <c r="R90">
        <v>49</v>
      </c>
      <c r="S90">
        <v>48</v>
      </c>
      <c r="T90">
        <v>50</v>
      </c>
      <c r="U90">
        <v>51</v>
      </c>
      <c r="V90">
        <v>47</v>
      </c>
      <c r="W90">
        <v>47</v>
      </c>
      <c r="X90">
        <v>0</v>
      </c>
      <c r="Y90">
        <v>0</v>
      </c>
      <c r="Z90">
        <v>0</v>
      </c>
      <c r="AA90" s="13">
        <v>23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1:53" ht="32.25" hidden="1" customHeight="1">
      <c r="A91" s="14">
        <v>72</v>
      </c>
      <c r="B91">
        <v>114.1</v>
      </c>
      <c r="C91">
        <v>112.1</v>
      </c>
      <c r="D91">
        <v>121.1</v>
      </c>
      <c r="E91">
        <v>119.1</v>
      </c>
      <c r="F91">
        <v>116.1</v>
      </c>
      <c r="G91">
        <v>46</v>
      </c>
      <c r="H91">
        <v>46</v>
      </c>
      <c r="I91">
        <v>47</v>
      </c>
      <c r="J91">
        <v>48</v>
      </c>
      <c r="K91">
        <v>51</v>
      </c>
      <c r="L91">
        <v>51</v>
      </c>
      <c r="M91">
        <v>49</v>
      </c>
      <c r="N91">
        <v>52</v>
      </c>
      <c r="O91">
        <v>49</v>
      </c>
      <c r="P91">
        <v>50</v>
      </c>
      <c r="Q91">
        <v>49</v>
      </c>
      <c r="R91">
        <v>48</v>
      </c>
      <c r="S91">
        <v>47</v>
      </c>
      <c r="T91">
        <v>49</v>
      </c>
      <c r="U91">
        <v>50</v>
      </c>
      <c r="V91">
        <v>46</v>
      </c>
      <c r="W91">
        <v>46.1</v>
      </c>
      <c r="X91">
        <v>0</v>
      </c>
      <c r="Y91">
        <v>0</v>
      </c>
      <c r="Z91">
        <v>0</v>
      </c>
      <c r="AA91" s="13">
        <v>22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1:53" ht="32.25" hidden="1" customHeight="1">
      <c r="A92" s="14">
        <v>71</v>
      </c>
      <c r="B92">
        <v>114</v>
      </c>
      <c r="C92">
        <v>112</v>
      </c>
      <c r="D92">
        <v>121</v>
      </c>
      <c r="E92">
        <v>119</v>
      </c>
      <c r="F92">
        <v>116</v>
      </c>
      <c r="G92">
        <v>45</v>
      </c>
      <c r="H92">
        <v>45</v>
      </c>
      <c r="I92">
        <v>46</v>
      </c>
      <c r="J92">
        <v>47</v>
      </c>
      <c r="K92">
        <v>50</v>
      </c>
      <c r="L92">
        <v>50</v>
      </c>
      <c r="M92">
        <v>48</v>
      </c>
      <c r="N92">
        <v>51</v>
      </c>
      <c r="O92">
        <v>48</v>
      </c>
      <c r="P92">
        <v>49.1</v>
      </c>
      <c r="Q92">
        <v>48</v>
      </c>
      <c r="R92">
        <v>47</v>
      </c>
      <c r="S92">
        <v>46.1</v>
      </c>
      <c r="T92">
        <v>48</v>
      </c>
      <c r="U92">
        <v>49</v>
      </c>
      <c r="V92">
        <v>45.1</v>
      </c>
      <c r="W92">
        <v>46</v>
      </c>
      <c r="X92">
        <v>0</v>
      </c>
      <c r="Y92">
        <v>0</v>
      </c>
      <c r="Z92">
        <v>0</v>
      </c>
      <c r="AA92" s="13">
        <v>21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1:53" ht="32.25" hidden="1" customHeight="1">
      <c r="A93" s="14">
        <v>70</v>
      </c>
      <c r="B93">
        <v>113</v>
      </c>
      <c r="C93">
        <v>111</v>
      </c>
      <c r="D93">
        <v>120</v>
      </c>
      <c r="E93">
        <v>118</v>
      </c>
      <c r="F93">
        <v>115</v>
      </c>
      <c r="G93">
        <v>44</v>
      </c>
      <c r="H93">
        <v>44.1</v>
      </c>
      <c r="I93">
        <v>45</v>
      </c>
      <c r="J93">
        <v>46.1</v>
      </c>
      <c r="K93">
        <v>49</v>
      </c>
      <c r="L93">
        <v>49</v>
      </c>
      <c r="M93">
        <v>47</v>
      </c>
      <c r="N93">
        <v>50.1</v>
      </c>
      <c r="O93">
        <v>47</v>
      </c>
      <c r="P93">
        <v>49</v>
      </c>
      <c r="Q93">
        <v>47</v>
      </c>
      <c r="R93">
        <v>46.1</v>
      </c>
      <c r="S93">
        <v>46</v>
      </c>
      <c r="T93">
        <v>47</v>
      </c>
      <c r="U93">
        <v>48.1</v>
      </c>
      <c r="V93">
        <v>45</v>
      </c>
      <c r="W93">
        <v>45</v>
      </c>
      <c r="X93">
        <v>0</v>
      </c>
      <c r="Y93">
        <v>0</v>
      </c>
      <c r="Z93">
        <v>0</v>
      </c>
      <c r="AA93" s="13">
        <v>20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1:53" ht="32.25" hidden="1" customHeight="1">
      <c r="A94" s="14">
        <v>69</v>
      </c>
      <c r="B94">
        <v>112</v>
      </c>
      <c r="C94">
        <v>110</v>
      </c>
      <c r="D94">
        <v>119</v>
      </c>
      <c r="E94">
        <v>117</v>
      </c>
      <c r="F94">
        <v>114</v>
      </c>
      <c r="G94">
        <v>43.1</v>
      </c>
      <c r="H94">
        <v>44</v>
      </c>
      <c r="I94">
        <v>44</v>
      </c>
      <c r="J94">
        <v>46</v>
      </c>
      <c r="K94">
        <v>48.1</v>
      </c>
      <c r="L94">
        <v>48</v>
      </c>
      <c r="M94">
        <v>46.1</v>
      </c>
      <c r="N94">
        <v>50</v>
      </c>
      <c r="O94">
        <v>46</v>
      </c>
      <c r="P94">
        <v>48</v>
      </c>
      <c r="Q94">
        <v>46</v>
      </c>
      <c r="R94">
        <v>46</v>
      </c>
      <c r="S94">
        <v>45</v>
      </c>
      <c r="T94">
        <v>46.1</v>
      </c>
      <c r="U94">
        <v>48</v>
      </c>
      <c r="V94">
        <v>44</v>
      </c>
      <c r="W94">
        <v>44</v>
      </c>
      <c r="X94">
        <v>0</v>
      </c>
      <c r="Y94">
        <v>0</v>
      </c>
      <c r="Z94">
        <v>0</v>
      </c>
      <c r="AA94" s="13">
        <v>19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1:53" ht="32.25" hidden="1" customHeight="1">
      <c r="A95" s="14">
        <v>68</v>
      </c>
      <c r="B95">
        <v>111</v>
      </c>
      <c r="C95">
        <v>109</v>
      </c>
      <c r="D95">
        <v>118</v>
      </c>
      <c r="E95">
        <v>116</v>
      </c>
      <c r="F95">
        <v>113</v>
      </c>
      <c r="G95">
        <v>43</v>
      </c>
      <c r="H95">
        <v>43</v>
      </c>
      <c r="I95">
        <v>43.1</v>
      </c>
      <c r="J95">
        <v>45</v>
      </c>
      <c r="K95">
        <v>48</v>
      </c>
      <c r="L95">
        <v>47</v>
      </c>
      <c r="M95">
        <v>46</v>
      </c>
      <c r="N95">
        <v>49</v>
      </c>
      <c r="O95">
        <v>45</v>
      </c>
      <c r="P95">
        <v>47</v>
      </c>
      <c r="Q95">
        <v>45.1</v>
      </c>
      <c r="R95">
        <v>45</v>
      </c>
      <c r="S95">
        <v>44</v>
      </c>
      <c r="T95">
        <v>46</v>
      </c>
      <c r="U95">
        <v>47</v>
      </c>
      <c r="V95">
        <v>43</v>
      </c>
      <c r="W95">
        <v>43</v>
      </c>
      <c r="X95">
        <v>0</v>
      </c>
      <c r="Y95">
        <v>0</v>
      </c>
      <c r="Z95">
        <v>0</v>
      </c>
      <c r="AA95" s="13">
        <v>18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1:53" ht="32.25" hidden="1" customHeight="1">
      <c r="A96" s="14">
        <v>67</v>
      </c>
      <c r="B96">
        <v>110</v>
      </c>
      <c r="C96">
        <v>108</v>
      </c>
      <c r="D96">
        <v>117</v>
      </c>
      <c r="E96">
        <v>115</v>
      </c>
      <c r="F96">
        <v>112.1</v>
      </c>
      <c r="G96">
        <v>42</v>
      </c>
      <c r="H96">
        <v>42</v>
      </c>
      <c r="I96">
        <v>43</v>
      </c>
      <c r="J96">
        <v>44</v>
      </c>
      <c r="K96">
        <v>47</v>
      </c>
      <c r="L96">
        <v>46.1</v>
      </c>
      <c r="M96">
        <v>45</v>
      </c>
      <c r="N96">
        <v>48</v>
      </c>
      <c r="O96">
        <v>44</v>
      </c>
      <c r="P96">
        <v>46</v>
      </c>
      <c r="Q96">
        <v>45</v>
      </c>
      <c r="R96">
        <v>44</v>
      </c>
      <c r="S96">
        <v>43.1</v>
      </c>
      <c r="T96">
        <v>45</v>
      </c>
      <c r="U96">
        <v>46</v>
      </c>
      <c r="V96">
        <v>42</v>
      </c>
      <c r="W96">
        <v>42</v>
      </c>
      <c r="X96">
        <v>0</v>
      </c>
      <c r="Y96">
        <v>0</v>
      </c>
      <c r="Z96">
        <v>0</v>
      </c>
      <c r="AA96" s="13">
        <v>17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1:53" ht="32.25" hidden="1" customHeight="1">
      <c r="A97" s="14">
        <v>66</v>
      </c>
      <c r="B97">
        <v>109.1</v>
      </c>
      <c r="C97">
        <v>107.1</v>
      </c>
      <c r="D97">
        <v>116.1</v>
      </c>
      <c r="E97">
        <v>114.1</v>
      </c>
      <c r="F97">
        <v>112</v>
      </c>
      <c r="G97">
        <v>41</v>
      </c>
      <c r="H97">
        <v>41.1</v>
      </c>
      <c r="I97">
        <v>42</v>
      </c>
      <c r="J97">
        <v>43</v>
      </c>
      <c r="K97">
        <v>46</v>
      </c>
      <c r="L97">
        <v>46</v>
      </c>
      <c r="M97">
        <v>44</v>
      </c>
      <c r="N97">
        <v>47</v>
      </c>
      <c r="O97">
        <v>43</v>
      </c>
      <c r="P97">
        <v>45</v>
      </c>
      <c r="Q97">
        <v>44</v>
      </c>
      <c r="R97">
        <v>43</v>
      </c>
      <c r="S97">
        <v>43</v>
      </c>
      <c r="T97">
        <v>44</v>
      </c>
      <c r="U97">
        <v>45.1</v>
      </c>
      <c r="V97">
        <v>41.1</v>
      </c>
      <c r="W97">
        <v>41</v>
      </c>
      <c r="X97">
        <v>0</v>
      </c>
      <c r="Y97">
        <v>0</v>
      </c>
      <c r="Z97">
        <v>0</v>
      </c>
      <c r="AA97" s="13">
        <v>16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1:53" ht="32.25" hidden="1" customHeight="1">
      <c r="A98" s="14">
        <v>65</v>
      </c>
      <c r="B98">
        <v>109</v>
      </c>
      <c r="C98">
        <v>107</v>
      </c>
      <c r="D98">
        <v>116</v>
      </c>
      <c r="E98">
        <v>114</v>
      </c>
      <c r="F98">
        <v>111</v>
      </c>
      <c r="G98">
        <v>40</v>
      </c>
      <c r="H98">
        <v>41</v>
      </c>
      <c r="I98">
        <v>41</v>
      </c>
      <c r="J98">
        <v>42</v>
      </c>
      <c r="K98">
        <v>45</v>
      </c>
      <c r="L98">
        <v>45</v>
      </c>
      <c r="M98">
        <v>43</v>
      </c>
      <c r="N98">
        <v>46</v>
      </c>
      <c r="O98">
        <v>42</v>
      </c>
      <c r="P98">
        <v>44</v>
      </c>
      <c r="Q98">
        <v>43</v>
      </c>
      <c r="R98">
        <v>42.1</v>
      </c>
      <c r="S98">
        <v>42</v>
      </c>
      <c r="T98">
        <v>43</v>
      </c>
      <c r="U98">
        <v>45</v>
      </c>
      <c r="V98">
        <v>41</v>
      </c>
      <c r="W98">
        <v>40.1</v>
      </c>
      <c r="X98">
        <v>0</v>
      </c>
      <c r="Y98">
        <v>0</v>
      </c>
      <c r="Z98">
        <v>0</v>
      </c>
      <c r="AA98" s="13">
        <v>15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1:53" ht="32.25" hidden="1" customHeight="1">
      <c r="A99" s="14">
        <v>64</v>
      </c>
      <c r="B99">
        <v>108</v>
      </c>
      <c r="C99">
        <v>106</v>
      </c>
      <c r="D99">
        <v>115</v>
      </c>
      <c r="E99">
        <v>113</v>
      </c>
      <c r="F99">
        <v>110</v>
      </c>
      <c r="G99">
        <v>39.1</v>
      </c>
      <c r="H99">
        <v>40</v>
      </c>
      <c r="I99">
        <v>40</v>
      </c>
      <c r="J99">
        <v>41</v>
      </c>
      <c r="K99">
        <v>44.1</v>
      </c>
      <c r="L99">
        <v>44</v>
      </c>
      <c r="M99">
        <v>42</v>
      </c>
      <c r="N99">
        <v>45.1</v>
      </c>
      <c r="O99">
        <v>41</v>
      </c>
      <c r="P99">
        <v>43</v>
      </c>
      <c r="Q99">
        <v>42</v>
      </c>
      <c r="R99">
        <v>42</v>
      </c>
      <c r="S99">
        <v>41</v>
      </c>
      <c r="T99">
        <v>42.1</v>
      </c>
      <c r="U99">
        <v>44</v>
      </c>
      <c r="V99">
        <v>40</v>
      </c>
      <c r="W99">
        <v>40</v>
      </c>
      <c r="X99">
        <v>0</v>
      </c>
      <c r="Y99">
        <v>0</v>
      </c>
      <c r="Z99">
        <v>0</v>
      </c>
      <c r="AA99" s="13">
        <v>14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1:53" ht="32.25" hidden="1" customHeight="1">
      <c r="A100" s="14">
        <v>63</v>
      </c>
      <c r="B100">
        <v>107</v>
      </c>
      <c r="C100">
        <v>105</v>
      </c>
      <c r="D100">
        <v>114</v>
      </c>
      <c r="E100">
        <v>112</v>
      </c>
      <c r="F100">
        <v>109</v>
      </c>
      <c r="G100">
        <v>39</v>
      </c>
      <c r="H100">
        <v>39.1</v>
      </c>
      <c r="I100">
        <v>39</v>
      </c>
      <c r="J100">
        <v>40</v>
      </c>
      <c r="K100">
        <v>44</v>
      </c>
      <c r="L100">
        <v>43</v>
      </c>
      <c r="M100">
        <v>41</v>
      </c>
      <c r="N100">
        <v>45</v>
      </c>
      <c r="O100">
        <v>40</v>
      </c>
      <c r="P100">
        <v>42.1</v>
      </c>
      <c r="Q100">
        <v>41.1</v>
      </c>
      <c r="R100">
        <v>41</v>
      </c>
      <c r="S100">
        <v>40.1</v>
      </c>
      <c r="T100">
        <v>42</v>
      </c>
      <c r="U100">
        <v>43</v>
      </c>
      <c r="V100">
        <v>39</v>
      </c>
      <c r="W100">
        <v>39</v>
      </c>
      <c r="X100">
        <v>0</v>
      </c>
      <c r="Y100">
        <v>0</v>
      </c>
      <c r="Z100">
        <v>0</v>
      </c>
      <c r="AA100" s="13">
        <v>13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1:53" ht="32.25" hidden="1" customHeight="1">
      <c r="A101" s="14">
        <v>62</v>
      </c>
      <c r="B101">
        <v>106</v>
      </c>
      <c r="C101">
        <v>104</v>
      </c>
      <c r="D101">
        <v>113.1</v>
      </c>
      <c r="E101">
        <v>111</v>
      </c>
      <c r="F101">
        <v>108.1</v>
      </c>
      <c r="G101">
        <v>38</v>
      </c>
      <c r="H101">
        <v>39</v>
      </c>
      <c r="I101">
        <v>38.1</v>
      </c>
      <c r="J101">
        <v>39</v>
      </c>
      <c r="K101">
        <v>43</v>
      </c>
      <c r="L101">
        <v>42</v>
      </c>
      <c r="M101">
        <v>40.1</v>
      </c>
      <c r="N101">
        <v>44</v>
      </c>
      <c r="O101">
        <v>39</v>
      </c>
      <c r="P101">
        <v>42</v>
      </c>
      <c r="Q101">
        <v>41</v>
      </c>
      <c r="R101">
        <v>40</v>
      </c>
      <c r="S101">
        <v>40</v>
      </c>
      <c r="T101">
        <v>41</v>
      </c>
      <c r="U101">
        <v>42.1</v>
      </c>
      <c r="V101">
        <v>38.1</v>
      </c>
      <c r="W101">
        <v>38</v>
      </c>
      <c r="X101">
        <v>0</v>
      </c>
      <c r="Y101">
        <v>0</v>
      </c>
      <c r="Z101">
        <v>0</v>
      </c>
      <c r="AA101" s="13">
        <v>12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1:53" ht="32.25" hidden="1" customHeight="1">
      <c r="A102" s="14">
        <v>61</v>
      </c>
      <c r="B102">
        <v>105</v>
      </c>
      <c r="C102">
        <v>103</v>
      </c>
      <c r="D102">
        <v>113</v>
      </c>
      <c r="E102">
        <v>110.1</v>
      </c>
      <c r="F102">
        <v>108</v>
      </c>
      <c r="G102">
        <v>37</v>
      </c>
      <c r="H102">
        <v>38</v>
      </c>
      <c r="I102">
        <v>38</v>
      </c>
      <c r="J102">
        <v>38.1</v>
      </c>
      <c r="K102">
        <v>42</v>
      </c>
      <c r="L102">
        <v>41</v>
      </c>
      <c r="M102">
        <v>40</v>
      </c>
      <c r="N102">
        <v>43</v>
      </c>
      <c r="O102">
        <v>38</v>
      </c>
      <c r="P102">
        <v>41</v>
      </c>
      <c r="Q102">
        <v>40</v>
      </c>
      <c r="R102">
        <v>39</v>
      </c>
      <c r="S102">
        <v>39</v>
      </c>
      <c r="T102">
        <v>40</v>
      </c>
      <c r="U102">
        <v>42</v>
      </c>
      <c r="V102">
        <v>38</v>
      </c>
      <c r="W102">
        <v>37</v>
      </c>
      <c r="X102">
        <v>0</v>
      </c>
      <c r="Y102">
        <v>0</v>
      </c>
      <c r="Z102">
        <v>0</v>
      </c>
      <c r="AA102" s="13">
        <v>11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1:53" ht="32.25" hidden="1" customHeight="1">
      <c r="A103" s="14">
        <v>60</v>
      </c>
      <c r="B103">
        <v>104.1</v>
      </c>
      <c r="C103">
        <v>102.1</v>
      </c>
      <c r="D103">
        <v>112</v>
      </c>
      <c r="E103">
        <v>110</v>
      </c>
      <c r="F103">
        <v>107</v>
      </c>
      <c r="G103">
        <v>36</v>
      </c>
      <c r="H103">
        <v>37</v>
      </c>
      <c r="I103">
        <v>37</v>
      </c>
      <c r="J103">
        <v>38</v>
      </c>
      <c r="K103">
        <v>41</v>
      </c>
      <c r="L103">
        <v>40.1</v>
      </c>
      <c r="M103">
        <v>39</v>
      </c>
      <c r="N103">
        <v>42</v>
      </c>
      <c r="O103">
        <v>37</v>
      </c>
      <c r="P103">
        <v>40</v>
      </c>
      <c r="Q103">
        <v>39</v>
      </c>
      <c r="R103">
        <v>38.1</v>
      </c>
      <c r="S103">
        <v>38</v>
      </c>
      <c r="T103">
        <v>39</v>
      </c>
      <c r="U103">
        <v>41</v>
      </c>
      <c r="V103">
        <v>37</v>
      </c>
      <c r="W103">
        <v>36</v>
      </c>
      <c r="X103">
        <v>0</v>
      </c>
      <c r="Y103">
        <v>0</v>
      </c>
      <c r="Z103">
        <v>0</v>
      </c>
      <c r="AA103" s="13">
        <v>10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1:53" ht="32.25" hidden="1" customHeight="1">
      <c r="A104" s="14">
        <v>59</v>
      </c>
      <c r="B104">
        <v>104</v>
      </c>
      <c r="C104">
        <v>102</v>
      </c>
      <c r="D104">
        <v>111</v>
      </c>
      <c r="E104">
        <v>109</v>
      </c>
      <c r="F104">
        <v>106</v>
      </c>
      <c r="G104">
        <v>35.1</v>
      </c>
      <c r="H104">
        <v>36.1</v>
      </c>
      <c r="I104">
        <v>36</v>
      </c>
      <c r="J104">
        <v>37</v>
      </c>
      <c r="K104">
        <v>40.1</v>
      </c>
      <c r="L104">
        <v>40</v>
      </c>
      <c r="M104">
        <v>38</v>
      </c>
      <c r="N104">
        <v>41</v>
      </c>
      <c r="O104">
        <v>36</v>
      </c>
      <c r="P104">
        <v>39</v>
      </c>
      <c r="Q104">
        <v>38</v>
      </c>
      <c r="R104">
        <v>38</v>
      </c>
      <c r="S104">
        <v>37.1</v>
      </c>
      <c r="T104">
        <v>38.1</v>
      </c>
      <c r="U104">
        <v>40</v>
      </c>
      <c r="V104">
        <v>36</v>
      </c>
      <c r="W104">
        <v>35.1</v>
      </c>
      <c r="X104">
        <v>0</v>
      </c>
      <c r="Y104">
        <v>0</v>
      </c>
      <c r="Z104">
        <v>0</v>
      </c>
      <c r="AA104" s="13">
        <v>9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1:53" ht="32.25" hidden="1" customHeight="1">
      <c r="A105" s="14">
        <v>58</v>
      </c>
      <c r="B105">
        <v>103</v>
      </c>
      <c r="C105">
        <v>101</v>
      </c>
      <c r="D105">
        <v>110</v>
      </c>
      <c r="E105">
        <v>108</v>
      </c>
      <c r="F105">
        <v>105</v>
      </c>
      <c r="G105">
        <v>35</v>
      </c>
      <c r="H105">
        <v>36</v>
      </c>
      <c r="I105">
        <v>35</v>
      </c>
      <c r="J105">
        <v>36</v>
      </c>
      <c r="K105">
        <v>40</v>
      </c>
      <c r="L105">
        <v>39</v>
      </c>
      <c r="M105">
        <v>37</v>
      </c>
      <c r="N105">
        <v>40</v>
      </c>
      <c r="O105">
        <v>35</v>
      </c>
      <c r="P105">
        <v>38</v>
      </c>
      <c r="Q105">
        <v>37.1</v>
      </c>
      <c r="R105">
        <v>37</v>
      </c>
      <c r="S105">
        <v>37</v>
      </c>
      <c r="T105">
        <v>38</v>
      </c>
      <c r="U105">
        <v>39</v>
      </c>
      <c r="V105">
        <v>35</v>
      </c>
      <c r="W105">
        <v>35</v>
      </c>
      <c r="X105">
        <v>0</v>
      </c>
      <c r="Y105">
        <v>0</v>
      </c>
      <c r="Z105">
        <v>0</v>
      </c>
      <c r="AA105" s="13">
        <v>8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1:53" ht="32.25" hidden="1" customHeight="1">
      <c r="A106" s="14">
        <v>57</v>
      </c>
      <c r="B106">
        <v>102</v>
      </c>
      <c r="C106">
        <v>100</v>
      </c>
      <c r="D106">
        <v>109</v>
      </c>
      <c r="E106">
        <v>107</v>
      </c>
      <c r="F106">
        <v>104</v>
      </c>
      <c r="G106">
        <v>34</v>
      </c>
      <c r="H106">
        <v>35</v>
      </c>
      <c r="I106">
        <v>34</v>
      </c>
      <c r="J106">
        <v>35</v>
      </c>
      <c r="K106">
        <v>39</v>
      </c>
      <c r="L106">
        <v>38</v>
      </c>
      <c r="M106">
        <v>36</v>
      </c>
      <c r="N106">
        <v>39.1</v>
      </c>
      <c r="O106">
        <v>34</v>
      </c>
      <c r="P106">
        <v>37</v>
      </c>
      <c r="Q106">
        <v>37</v>
      </c>
      <c r="R106">
        <v>36</v>
      </c>
      <c r="S106">
        <v>36</v>
      </c>
      <c r="T106">
        <v>37</v>
      </c>
      <c r="U106">
        <v>38.1</v>
      </c>
      <c r="V106">
        <v>34.1</v>
      </c>
      <c r="W106">
        <v>34</v>
      </c>
      <c r="X106">
        <v>0</v>
      </c>
      <c r="Y106">
        <v>0</v>
      </c>
      <c r="Z106">
        <v>0</v>
      </c>
      <c r="AA106" s="13">
        <v>7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1:53" ht="32.25" hidden="1" customHeight="1">
      <c r="A107" s="14">
        <v>56</v>
      </c>
      <c r="B107">
        <v>101</v>
      </c>
      <c r="C107">
        <v>99</v>
      </c>
      <c r="D107">
        <v>108.1</v>
      </c>
      <c r="E107">
        <v>106.1</v>
      </c>
      <c r="F107">
        <v>103.1</v>
      </c>
      <c r="G107">
        <v>33</v>
      </c>
      <c r="H107">
        <v>34</v>
      </c>
      <c r="I107">
        <v>33.1</v>
      </c>
      <c r="J107">
        <v>34</v>
      </c>
      <c r="K107">
        <v>38</v>
      </c>
      <c r="L107">
        <v>37</v>
      </c>
      <c r="M107">
        <v>35</v>
      </c>
      <c r="N107">
        <v>39</v>
      </c>
      <c r="O107">
        <v>33</v>
      </c>
      <c r="P107">
        <v>36.1</v>
      </c>
      <c r="Q107">
        <v>36</v>
      </c>
      <c r="R107">
        <v>35.1</v>
      </c>
      <c r="S107">
        <v>35</v>
      </c>
      <c r="T107">
        <v>36</v>
      </c>
      <c r="U107">
        <v>38</v>
      </c>
      <c r="V107">
        <v>34</v>
      </c>
      <c r="W107">
        <v>33</v>
      </c>
      <c r="X107">
        <v>0</v>
      </c>
      <c r="Y107">
        <v>0</v>
      </c>
      <c r="Z107">
        <v>0</v>
      </c>
      <c r="AA107" s="13">
        <v>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1:53" ht="32.25" hidden="1" customHeight="1">
      <c r="A108" s="14">
        <v>55</v>
      </c>
      <c r="B108">
        <v>100</v>
      </c>
      <c r="C108">
        <v>98</v>
      </c>
      <c r="D108">
        <v>108</v>
      </c>
      <c r="E108">
        <v>106</v>
      </c>
      <c r="F108">
        <v>103</v>
      </c>
      <c r="G108">
        <v>32</v>
      </c>
      <c r="H108">
        <v>33.1</v>
      </c>
      <c r="I108">
        <v>33</v>
      </c>
      <c r="J108">
        <v>33</v>
      </c>
      <c r="K108">
        <v>37</v>
      </c>
      <c r="L108">
        <v>36</v>
      </c>
      <c r="M108">
        <v>34.1</v>
      </c>
      <c r="N108">
        <v>38</v>
      </c>
      <c r="O108">
        <v>32</v>
      </c>
      <c r="P108">
        <v>36</v>
      </c>
      <c r="Q108">
        <v>35</v>
      </c>
      <c r="R108">
        <v>35</v>
      </c>
      <c r="S108">
        <v>34.1</v>
      </c>
      <c r="T108">
        <v>35</v>
      </c>
      <c r="U108">
        <v>37</v>
      </c>
      <c r="V108">
        <v>33</v>
      </c>
      <c r="W108">
        <v>32</v>
      </c>
      <c r="X108">
        <v>0</v>
      </c>
      <c r="Y108">
        <v>0</v>
      </c>
      <c r="Z108">
        <v>0</v>
      </c>
      <c r="AA108" s="13">
        <v>5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1:53" ht="32.25" hidden="1" customHeight="1">
      <c r="A109" s="14">
        <v>54</v>
      </c>
      <c r="B109">
        <v>99</v>
      </c>
      <c r="C109">
        <v>97.1</v>
      </c>
      <c r="D109">
        <v>107</v>
      </c>
      <c r="E109">
        <v>105</v>
      </c>
      <c r="F109">
        <v>102</v>
      </c>
      <c r="G109">
        <v>31.1</v>
      </c>
      <c r="H109">
        <v>33</v>
      </c>
      <c r="I109">
        <v>32</v>
      </c>
      <c r="J109">
        <v>32</v>
      </c>
      <c r="K109">
        <v>36.1</v>
      </c>
      <c r="L109">
        <v>35.1</v>
      </c>
      <c r="M109">
        <v>34</v>
      </c>
      <c r="N109">
        <v>37</v>
      </c>
      <c r="O109">
        <v>31</v>
      </c>
      <c r="P109">
        <v>35</v>
      </c>
      <c r="Q109">
        <v>34.1</v>
      </c>
      <c r="R109">
        <v>34</v>
      </c>
      <c r="S109">
        <v>34</v>
      </c>
      <c r="T109">
        <v>34.1</v>
      </c>
      <c r="U109">
        <v>36</v>
      </c>
      <c r="V109">
        <v>32</v>
      </c>
      <c r="W109">
        <v>31</v>
      </c>
      <c r="X109">
        <v>0</v>
      </c>
      <c r="Y109">
        <v>0</v>
      </c>
      <c r="Z109">
        <v>0</v>
      </c>
      <c r="AA109" s="13">
        <v>4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1:53" ht="32.25" hidden="1" customHeight="1">
      <c r="A110" s="14">
        <v>53</v>
      </c>
      <c r="B110">
        <v>98.1</v>
      </c>
      <c r="C110">
        <v>97</v>
      </c>
      <c r="D110">
        <v>106</v>
      </c>
      <c r="E110">
        <v>104</v>
      </c>
      <c r="F110">
        <v>101</v>
      </c>
      <c r="G110">
        <v>31</v>
      </c>
      <c r="H110">
        <v>32</v>
      </c>
      <c r="I110">
        <v>31</v>
      </c>
      <c r="J110">
        <v>31</v>
      </c>
      <c r="K110">
        <v>36</v>
      </c>
      <c r="L110">
        <v>35</v>
      </c>
      <c r="M110">
        <v>33</v>
      </c>
      <c r="N110">
        <v>36</v>
      </c>
      <c r="O110">
        <v>30</v>
      </c>
      <c r="P110">
        <v>34</v>
      </c>
      <c r="Q110">
        <v>34</v>
      </c>
      <c r="R110">
        <v>33</v>
      </c>
      <c r="S110">
        <v>33</v>
      </c>
      <c r="T110">
        <v>34</v>
      </c>
      <c r="U110">
        <v>35.1</v>
      </c>
      <c r="V110">
        <v>31.1</v>
      </c>
      <c r="W110">
        <v>30</v>
      </c>
      <c r="X110">
        <v>0</v>
      </c>
      <c r="Y110">
        <v>0</v>
      </c>
      <c r="Z110">
        <v>0</v>
      </c>
      <c r="AA110" s="13">
        <v>3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1:53" ht="32.25" hidden="1" customHeight="1">
      <c r="A111" s="14">
        <v>52</v>
      </c>
      <c r="B111">
        <v>98</v>
      </c>
      <c r="C111">
        <v>96</v>
      </c>
      <c r="D111">
        <v>105</v>
      </c>
      <c r="E111">
        <v>103</v>
      </c>
      <c r="F111">
        <v>100</v>
      </c>
      <c r="G111">
        <v>30</v>
      </c>
      <c r="H111">
        <v>31.1</v>
      </c>
      <c r="I111">
        <v>30</v>
      </c>
      <c r="J111">
        <v>30.1</v>
      </c>
      <c r="K111">
        <v>35</v>
      </c>
      <c r="L111">
        <v>34</v>
      </c>
      <c r="M111">
        <v>32</v>
      </c>
      <c r="N111">
        <v>35</v>
      </c>
      <c r="O111">
        <v>29</v>
      </c>
      <c r="P111">
        <v>33</v>
      </c>
      <c r="Q111">
        <v>33</v>
      </c>
      <c r="R111">
        <v>32</v>
      </c>
      <c r="S111">
        <v>32</v>
      </c>
      <c r="T111">
        <v>33</v>
      </c>
      <c r="U111">
        <v>35</v>
      </c>
      <c r="V111">
        <v>31</v>
      </c>
      <c r="W111">
        <v>29.1</v>
      </c>
      <c r="X111">
        <v>0</v>
      </c>
      <c r="Y111">
        <v>0</v>
      </c>
      <c r="Z111">
        <v>0</v>
      </c>
      <c r="AA111" s="13">
        <v>2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1:53" ht="32.25" hidden="1" customHeight="1">
      <c r="A112" s="14">
        <v>51</v>
      </c>
      <c r="B112">
        <v>97</v>
      </c>
      <c r="C112">
        <v>95</v>
      </c>
      <c r="D112">
        <v>104</v>
      </c>
      <c r="E112">
        <v>102</v>
      </c>
      <c r="F112">
        <v>99.1</v>
      </c>
      <c r="G112">
        <v>29</v>
      </c>
      <c r="H112">
        <v>31</v>
      </c>
      <c r="I112">
        <v>29</v>
      </c>
      <c r="J112">
        <v>30</v>
      </c>
      <c r="K112">
        <v>34</v>
      </c>
      <c r="L112">
        <v>33</v>
      </c>
      <c r="M112">
        <v>31</v>
      </c>
      <c r="N112">
        <v>34.1</v>
      </c>
      <c r="O112">
        <v>28</v>
      </c>
      <c r="P112">
        <v>32</v>
      </c>
      <c r="Q112">
        <v>32</v>
      </c>
      <c r="R112">
        <v>31.1</v>
      </c>
      <c r="S112">
        <v>31.1</v>
      </c>
      <c r="T112">
        <v>32</v>
      </c>
      <c r="U112">
        <v>34</v>
      </c>
      <c r="V112">
        <v>30</v>
      </c>
      <c r="W112">
        <v>29</v>
      </c>
      <c r="X112">
        <v>0</v>
      </c>
      <c r="Y112">
        <v>0</v>
      </c>
      <c r="Z112">
        <v>0</v>
      </c>
      <c r="AA112" s="13">
        <v>1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1:53" ht="32.25" hidden="1" customHeight="1">
      <c r="A113" s="14">
        <v>50</v>
      </c>
      <c r="B113">
        <v>96</v>
      </c>
      <c r="C113">
        <v>94</v>
      </c>
      <c r="D113">
        <v>103.1</v>
      </c>
      <c r="E113">
        <v>101.1</v>
      </c>
      <c r="F113">
        <v>99</v>
      </c>
      <c r="G113">
        <v>28</v>
      </c>
      <c r="H113">
        <v>30</v>
      </c>
      <c r="I113">
        <v>28</v>
      </c>
      <c r="J113">
        <v>29</v>
      </c>
      <c r="K113">
        <v>33</v>
      </c>
      <c r="L113">
        <v>32</v>
      </c>
      <c r="M113">
        <v>30</v>
      </c>
      <c r="N113">
        <v>34</v>
      </c>
      <c r="O113">
        <v>27</v>
      </c>
      <c r="P113">
        <v>31</v>
      </c>
      <c r="Q113">
        <v>31</v>
      </c>
      <c r="R113">
        <v>31</v>
      </c>
      <c r="S113">
        <v>31</v>
      </c>
      <c r="T113">
        <v>31</v>
      </c>
      <c r="U113">
        <v>33</v>
      </c>
      <c r="V113">
        <v>29</v>
      </c>
      <c r="W113">
        <v>28</v>
      </c>
      <c r="X113">
        <v>0</v>
      </c>
      <c r="Y113">
        <v>0</v>
      </c>
      <c r="Z113">
        <v>0</v>
      </c>
      <c r="AA113" s="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1:53" ht="32.25" hidden="1" customHeight="1">
      <c r="A114" s="14">
        <v>49</v>
      </c>
      <c r="B114">
        <v>95</v>
      </c>
      <c r="C114">
        <v>93</v>
      </c>
      <c r="D114">
        <v>103</v>
      </c>
      <c r="E114">
        <v>101</v>
      </c>
      <c r="F114">
        <v>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13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1:53" ht="32.25" hidden="1" customHeight="1">
      <c r="A115" s="14">
        <v>48</v>
      </c>
      <c r="B115">
        <v>94</v>
      </c>
      <c r="C115">
        <v>92</v>
      </c>
      <c r="D115">
        <v>102</v>
      </c>
      <c r="E115">
        <v>100</v>
      </c>
      <c r="F115">
        <v>97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3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1:53" ht="32.25" hidden="1" customHeight="1">
      <c r="A116" s="14">
        <v>47</v>
      </c>
      <c r="B116">
        <v>93</v>
      </c>
      <c r="C116">
        <v>91</v>
      </c>
      <c r="D116">
        <v>101</v>
      </c>
      <c r="E116">
        <v>99</v>
      </c>
      <c r="F116">
        <v>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3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1:53" ht="32.25" hidden="1" customHeight="1">
      <c r="A117" s="14">
        <v>46</v>
      </c>
      <c r="B117">
        <v>92</v>
      </c>
      <c r="C117">
        <v>90</v>
      </c>
      <c r="D117">
        <v>100</v>
      </c>
      <c r="E117">
        <v>98</v>
      </c>
      <c r="F117">
        <v>95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3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1:53" ht="32.25" hidden="1" customHeight="1">
      <c r="A118" s="14">
        <v>45</v>
      </c>
      <c r="B118">
        <v>91</v>
      </c>
      <c r="C118">
        <v>89</v>
      </c>
      <c r="D118">
        <v>99</v>
      </c>
      <c r="E118">
        <v>97</v>
      </c>
      <c r="F118">
        <v>94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3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1:53" ht="32.25" hidden="1" customHeight="1">
      <c r="A119" s="14">
        <v>44</v>
      </c>
      <c r="B119">
        <v>90</v>
      </c>
      <c r="C119">
        <v>88</v>
      </c>
      <c r="D119">
        <v>98</v>
      </c>
      <c r="E119">
        <v>96</v>
      </c>
      <c r="F119">
        <v>93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13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1:53" ht="32.25" hidden="1" customHeight="1">
      <c r="A120" s="14">
        <v>43</v>
      </c>
      <c r="B120">
        <v>89</v>
      </c>
      <c r="C120">
        <v>87</v>
      </c>
      <c r="D120">
        <v>97</v>
      </c>
      <c r="E120">
        <v>95</v>
      </c>
      <c r="F120">
        <v>92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3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1:53" ht="32.25" hidden="1" customHeight="1">
      <c r="A121" s="14">
        <v>42</v>
      </c>
      <c r="B121">
        <v>88</v>
      </c>
      <c r="C121">
        <v>86</v>
      </c>
      <c r="D121">
        <v>96</v>
      </c>
      <c r="E121">
        <v>94</v>
      </c>
      <c r="F121">
        <v>91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13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1:53" ht="32.25" hidden="1" customHeight="1">
      <c r="A122" s="14">
        <v>41</v>
      </c>
      <c r="B122">
        <v>87</v>
      </c>
      <c r="C122">
        <v>85</v>
      </c>
      <c r="D122">
        <v>95</v>
      </c>
      <c r="E122">
        <v>93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13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1:53" ht="32.25" hidden="1" customHeight="1">
      <c r="A123" s="14">
        <v>40</v>
      </c>
      <c r="B123">
        <v>86</v>
      </c>
      <c r="C123">
        <v>84</v>
      </c>
      <c r="D123">
        <v>94</v>
      </c>
      <c r="E123">
        <v>92</v>
      </c>
      <c r="F123">
        <v>89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1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1:53" ht="32.25" hidden="1" customHeight="1">
      <c r="A124" s="14">
        <v>39</v>
      </c>
      <c r="B124">
        <v>85</v>
      </c>
      <c r="C124">
        <v>83</v>
      </c>
      <c r="D124">
        <v>93</v>
      </c>
      <c r="E124">
        <v>91</v>
      </c>
      <c r="F124">
        <v>88.1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13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1:53" ht="32.25" hidden="1" customHeight="1">
      <c r="A125" s="14">
        <v>38</v>
      </c>
      <c r="B125">
        <v>84</v>
      </c>
      <c r="C125">
        <v>82.1</v>
      </c>
      <c r="D125">
        <v>92</v>
      </c>
      <c r="E125">
        <v>90</v>
      </c>
      <c r="F125">
        <v>88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3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1:53" ht="32.25" hidden="1" customHeight="1">
      <c r="A126" s="14">
        <v>37</v>
      </c>
      <c r="B126">
        <v>83</v>
      </c>
      <c r="C126">
        <v>82</v>
      </c>
      <c r="D126">
        <v>91</v>
      </c>
      <c r="E126">
        <v>89</v>
      </c>
      <c r="F126">
        <v>87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13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3" ht="32.25" hidden="1" customHeight="1">
      <c r="A127" s="14">
        <v>36</v>
      </c>
      <c r="B127">
        <v>82</v>
      </c>
      <c r="C127">
        <v>81</v>
      </c>
      <c r="D127">
        <v>90.1</v>
      </c>
      <c r="E127">
        <v>88.1</v>
      </c>
      <c r="F127">
        <v>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3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1:53" ht="32.25" hidden="1" customHeight="1">
      <c r="A128" s="14">
        <v>35</v>
      </c>
      <c r="B128">
        <v>81</v>
      </c>
      <c r="C128">
        <v>80</v>
      </c>
      <c r="D128">
        <v>90</v>
      </c>
      <c r="E128">
        <v>88</v>
      </c>
      <c r="F128">
        <v>85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3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1:53" ht="32.25" hidden="1" customHeight="1">
      <c r="A129" s="14">
        <v>34</v>
      </c>
      <c r="B129">
        <v>80</v>
      </c>
      <c r="C129">
        <v>79</v>
      </c>
      <c r="D129">
        <v>89</v>
      </c>
      <c r="E129">
        <v>87</v>
      </c>
      <c r="F129">
        <v>84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13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1:53" ht="32.25" hidden="1" customHeight="1">
      <c r="A130" s="14">
        <v>33</v>
      </c>
      <c r="B130">
        <v>79.099999999999994</v>
      </c>
      <c r="C130">
        <v>78</v>
      </c>
      <c r="D130">
        <v>88</v>
      </c>
      <c r="E130">
        <v>86</v>
      </c>
      <c r="F130">
        <v>83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3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1:53" ht="32.25" hidden="1" customHeight="1">
      <c r="A131" s="14">
        <v>32</v>
      </c>
      <c r="B131">
        <v>79</v>
      </c>
      <c r="C131">
        <v>77</v>
      </c>
      <c r="D131">
        <v>87</v>
      </c>
      <c r="E131">
        <v>85</v>
      </c>
      <c r="F131">
        <v>82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3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1:53" ht="32.25" hidden="1" customHeight="1">
      <c r="A132" s="14">
        <v>31</v>
      </c>
      <c r="B132">
        <v>78</v>
      </c>
      <c r="C132">
        <v>76</v>
      </c>
      <c r="D132">
        <v>86</v>
      </c>
      <c r="E132">
        <v>84</v>
      </c>
      <c r="F132">
        <v>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3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1:53" ht="32.25" hidden="1" customHeight="1">
      <c r="A133" s="14">
        <v>30</v>
      </c>
      <c r="B133">
        <v>77</v>
      </c>
      <c r="C133">
        <v>75</v>
      </c>
      <c r="D133">
        <v>85</v>
      </c>
      <c r="E133">
        <v>83</v>
      </c>
      <c r="F133">
        <v>80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1:53" ht="32.25" hidden="1" customHeight="1">
      <c r="A134" s="14">
        <v>29</v>
      </c>
      <c r="B134">
        <v>76</v>
      </c>
      <c r="C134">
        <v>74</v>
      </c>
      <c r="D134">
        <v>84</v>
      </c>
      <c r="E134">
        <v>82</v>
      </c>
      <c r="F134">
        <v>79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3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1:53" ht="32.25" hidden="1" customHeight="1">
      <c r="A135" s="14">
        <v>28</v>
      </c>
      <c r="B135">
        <v>75</v>
      </c>
      <c r="C135">
        <v>73</v>
      </c>
      <c r="D135">
        <v>83</v>
      </c>
      <c r="E135">
        <v>81</v>
      </c>
      <c r="F135">
        <v>78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3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1:53" ht="32.25" hidden="1" customHeight="1">
      <c r="A136" s="14">
        <v>27</v>
      </c>
      <c r="B136">
        <v>74</v>
      </c>
      <c r="C136">
        <v>72</v>
      </c>
      <c r="D136">
        <v>82</v>
      </c>
      <c r="E136">
        <v>80</v>
      </c>
      <c r="F136">
        <v>77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3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1:53" ht="32.25" hidden="1" customHeight="1">
      <c r="A137" s="14">
        <v>26</v>
      </c>
      <c r="B137">
        <v>73</v>
      </c>
      <c r="C137">
        <v>71</v>
      </c>
      <c r="D137">
        <v>81</v>
      </c>
      <c r="E137">
        <v>79</v>
      </c>
      <c r="F137">
        <v>76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13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1:53" ht="32.25" hidden="1" customHeight="1">
      <c r="A138" s="14">
        <v>25</v>
      </c>
      <c r="B138">
        <v>72</v>
      </c>
      <c r="C138">
        <v>70</v>
      </c>
      <c r="D138">
        <v>80</v>
      </c>
      <c r="E138">
        <v>78</v>
      </c>
      <c r="F138">
        <v>75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3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1:53" ht="32.25" hidden="1" customHeight="1">
      <c r="A139" s="14">
        <v>24</v>
      </c>
      <c r="B139">
        <v>71</v>
      </c>
      <c r="C139">
        <v>69</v>
      </c>
      <c r="D139">
        <v>79</v>
      </c>
      <c r="E139">
        <v>77</v>
      </c>
      <c r="F139">
        <v>74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3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1:53" ht="32.25" hidden="1" customHeight="1">
      <c r="A140" s="14">
        <v>23</v>
      </c>
      <c r="B140">
        <v>70</v>
      </c>
      <c r="C140">
        <v>68</v>
      </c>
      <c r="D140">
        <v>78</v>
      </c>
      <c r="E140">
        <v>76</v>
      </c>
      <c r="F140">
        <v>73.099999999999994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13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1:53" ht="32.25" hidden="1" customHeight="1">
      <c r="A141" s="14">
        <v>22</v>
      </c>
      <c r="B141">
        <v>69</v>
      </c>
      <c r="C141">
        <v>67</v>
      </c>
      <c r="D141">
        <v>77</v>
      </c>
      <c r="E141">
        <v>75</v>
      </c>
      <c r="F141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3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1:53" ht="32.25" hidden="1" customHeight="1">
      <c r="A142" s="14">
        <v>21</v>
      </c>
      <c r="B142">
        <v>68</v>
      </c>
      <c r="C142">
        <v>66</v>
      </c>
      <c r="D142">
        <v>76</v>
      </c>
      <c r="E142">
        <v>74</v>
      </c>
      <c r="F142">
        <v>72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13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1:53" ht="32.25" hidden="1" customHeight="1">
      <c r="A143" s="14">
        <v>20</v>
      </c>
      <c r="B143">
        <v>67</v>
      </c>
      <c r="C143">
        <v>65</v>
      </c>
      <c r="D143">
        <v>75.099999999999994</v>
      </c>
      <c r="E143">
        <v>73</v>
      </c>
      <c r="F143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1:53" ht="32.25" hidden="1" customHeight="1">
      <c r="A144" s="14">
        <v>19</v>
      </c>
      <c r="B144">
        <v>66</v>
      </c>
      <c r="C144">
        <v>64</v>
      </c>
      <c r="D144">
        <v>75</v>
      </c>
      <c r="E144">
        <v>72.099999999999994</v>
      </c>
      <c r="F144">
        <v>70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3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ht="32.25" hidden="1" customHeight="1">
      <c r="A145" s="14">
        <v>18</v>
      </c>
      <c r="B145">
        <v>65</v>
      </c>
      <c r="C145">
        <v>63.1</v>
      </c>
      <c r="D145">
        <v>74</v>
      </c>
      <c r="E145">
        <v>72</v>
      </c>
      <c r="F145">
        <v>69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3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3" ht="32.25" hidden="1" customHeight="1">
      <c r="A146" s="14">
        <v>17</v>
      </c>
      <c r="B146">
        <v>64</v>
      </c>
      <c r="C146">
        <v>63</v>
      </c>
      <c r="D146">
        <v>73</v>
      </c>
      <c r="E146">
        <v>71</v>
      </c>
      <c r="F146">
        <v>68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3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3" ht="32.25" hidden="1" customHeight="1">
      <c r="A147" s="14">
        <v>16</v>
      </c>
      <c r="B147">
        <v>63</v>
      </c>
      <c r="C147">
        <v>62</v>
      </c>
      <c r="D147">
        <v>72</v>
      </c>
      <c r="E147">
        <v>70</v>
      </c>
      <c r="F147">
        <v>67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3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1:53" ht="32.25" hidden="1" customHeight="1">
      <c r="A148" s="14">
        <v>15</v>
      </c>
      <c r="B148">
        <v>62</v>
      </c>
      <c r="C148">
        <v>61</v>
      </c>
      <c r="D148">
        <v>71</v>
      </c>
      <c r="E148">
        <v>69</v>
      </c>
      <c r="F148">
        <v>66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13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1:53" ht="32.25" hidden="1" customHeight="1">
      <c r="A149" s="14">
        <v>14</v>
      </c>
      <c r="B149">
        <v>61</v>
      </c>
      <c r="C149">
        <v>60</v>
      </c>
      <c r="D149">
        <v>70</v>
      </c>
      <c r="E149">
        <v>68</v>
      </c>
      <c r="F149">
        <v>65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3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1:53" ht="32.25" hidden="1" customHeight="1">
      <c r="A150" s="14">
        <v>13</v>
      </c>
      <c r="B150">
        <v>60</v>
      </c>
      <c r="C150">
        <v>59</v>
      </c>
      <c r="D150">
        <v>69</v>
      </c>
      <c r="E150">
        <v>67</v>
      </c>
      <c r="F150">
        <v>64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13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1:53" ht="32.25" hidden="1" customHeight="1">
      <c r="A151" s="14">
        <v>12</v>
      </c>
      <c r="B151">
        <v>59.1</v>
      </c>
      <c r="C151">
        <v>58</v>
      </c>
      <c r="D151">
        <v>68</v>
      </c>
      <c r="E151">
        <v>66</v>
      </c>
      <c r="F151">
        <v>63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3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1:53" ht="32.25" hidden="1" customHeight="1">
      <c r="A152" s="14">
        <v>11</v>
      </c>
      <c r="B152">
        <v>59</v>
      </c>
      <c r="C152">
        <v>57</v>
      </c>
      <c r="D152">
        <v>67</v>
      </c>
      <c r="E152">
        <v>65</v>
      </c>
      <c r="F152">
        <v>62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13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1:53" ht="32.25" hidden="1" customHeight="1">
      <c r="A153" s="14">
        <v>10</v>
      </c>
      <c r="B153">
        <v>58</v>
      </c>
      <c r="C153">
        <v>56</v>
      </c>
      <c r="D153">
        <v>66</v>
      </c>
      <c r="E153">
        <v>64</v>
      </c>
      <c r="F153">
        <v>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1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1:53" ht="32.25" hidden="1" customHeight="1">
      <c r="A154" s="1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 s="13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1:53" ht="32.25" hidden="1" customHeight="1">
      <c r="A155" s="14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 s="13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1:53" ht="32.25" hidden="1" customHeight="1">
      <c r="A156" s="14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 s="13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3" ht="32.25" hidden="1" customHeight="1">
      <c r="A157" s="14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 s="13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3" ht="32.25" hidden="1" customHeight="1">
      <c r="A158" s="14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 s="13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3" ht="32.25" hidden="1" customHeight="1">
      <c r="A159" s="14"/>
      <c r="AA159" s="13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3" ht="32.25" hidden="1" customHeight="1">
      <c r="A160" s="14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 s="13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ht="32.25" hidden="1" customHeight="1">
      <c r="A161" s="14"/>
      <c r="B161"/>
      <c r="C161"/>
      <c r="D161"/>
      <c r="E161" s="270" t="s">
        <v>2673</v>
      </c>
      <c r="F161" s="271"/>
      <c r="G161" s="6"/>
      <c r="H161" s="272" t="s">
        <v>2674</v>
      </c>
      <c r="I161" s="273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 s="13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1:53" ht="32.25" hidden="1" customHeight="1">
      <c r="A162" s="14"/>
      <c r="B162" t="s">
        <v>2675</v>
      </c>
      <c r="C162"/>
      <c r="D162"/>
      <c r="E162" s="274" t="s">
        <v>2676</v>
      </c>
      <c r="F162" s="7"/>
      <c r="G162" s="8"/>
      <c r="H162" s="275">
        <v>-1</v>
      </c>
      <c r="I162" s="275" t="s">
        <v>2677</v>
      </c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 s="13" t="s">
        <v>2669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1:53" ht="32.25" hidden="1" customHeight="1">
      <c r="A163" s="14">
        <v>100</v>
      </c>
      <c r="B163">
        <v>138</v>
      </c>
      <c r="C163">
        <v>136</v>
      </c>
      <c r="D163">
        <v>144.1</v>
      </c>
      <c r="E163">
        <v>142.1</v>
      </c>
      <c r="F163" t="s">
        <v>408</v>
      </c>
      <c r="G163" t="s">
        <v>408</v>
      </c>
      <c r="H163">
        <v>66</v>
      </c>
      <c r="I163" t="s">
        <v>408</v>
      </c>
      <c r="J163">
        <v>73</v>
      </c>
      <c r="K163" t="s">
        <v>408</v>
      </c>
      <c r="L163">
        <v>74</v>
      </c>
      <c r="M163">
        <v>73</v>
      </c>
      <c r="N163" t="s">
        <v>408</v>
      </c>
      <c r="O163">
        <v>77</v>
      </c>
      <c r="P163">
        <v>74.099999999999994</v>
      </c>
      <c r="Q163" t="s">
        <v>408</v>
      </c>
      <c r="R163" t="s">
        <v>408</v>
      </c>
      <c r="S163" t="s">
        <v>408</v>
      </c>
      <c r="T163" t="s">
        <v>408</v>
      </c>
      <c r="U163" t="s">
        <v>408</v>
      </c>
      <c r="V163">
        <v>68</v>
      </c>
      <c r="W163">
        <v>70</v>
      </c>
      <c r="X163" t="s">
        <v>408</v>
      </c>
      <c r="Y163" t="s">
        <v>408</v>
      </c>
      <c r="Z163" t="s">
        <v>408</v>
      </c>
      <c r="AA163" s="13">
        <v>50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1:53" ht="32.25" hidden="1" customHeight="1">
      <c r="A164" s="14">
        <v>99</v>
      </c>
      <c r="B164">
        <v>135</v>
      </c>
      <c r="C164">
        <v>134</v>
      </c>
      <c r="D164">
        <v>142</v>
      </c>
      <c r="E164">
        <v>142</v>
      </c>
      <c r="F164" t="s">
        <v>408</v>
      </c>
      <c r="G164" t="s">
        <v>408</v>
      </c>
      <c r="H164" t="s">
        <v>408</v>
      </c>
      <c r="I164">
        <v>70</v>
      </c>
      <c r="J164">
        <v>69.099999999999994</v>
      </c>
      <c r="K164">
        <v>73</v>
      </c>
      <c r="L164">
        <v>73</v>
      </c>
      <c r="M164">
        <v>72</v>
      </c>
      <c r="N164" t="s">
        <v>408</v>
      </c>
      <c r="O164">
        <v>73</v>
      </c>
      <c r="P164">
        <v>74</v>
      </c>
      <c r="Q164">
        <v>71</v>
      </c>
      <c r="R164" t="s">
        <v>408</v>
      </c>
      <c r="S164" t="s">
        <v>408</v>
      </c>
      <c r="T164">
        <v>71</v>
      </c>
      <c r="U164">
        <v>71.099999999999994</v>
      </c>
      <c r="V164">
        <v>67</v>
      </c>
      <c r="W164">
        <v>69.099999999999994</v>
      </c>
      <c r="X164" t="s">
        <v>408</v>
      </c>
      <c r="Y164" t="s">
        <v>408</v>
      </c>
      <c r="Z164" t="s">
        <v>408</v>
      </c>
      <c r="AA164" s="13">
        <v>49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1:53" ht="32.25" hidden="1" customHeight="1">
      <c r="A165" s="14">
        <v>98</v>
      </c>
      <c r="B165">
        <v>134</v>
      </c>
      <c r="C165">
        <v>132.1</v>
      </c>
      <c r="D165">
        <v>138</v>
      </c>
      <c r="E165">
        <v>138</v>
      </c>
      <c r="F165">
        <v>139.1</v>
      </c>
      <c r="G165">
        <v>68</v>
      </c>
      <c r="H165" t="s">
        <v>408</v>
      </c>
      <c r="I165">
        <v>69.099999999999994</v>
      </c>
      <c r="J165">
        <v>68</v>
      </c>
      <c r="K165">
        <v>72</v>
      </c>
      <c r="L165">
        <v>72</v>
      </c>
      <c r="M165">
        <v>70.099999999999994</v>
      </c>
      <c r="N165">
        <v>76</v>
      </c>
      <c r="O165">
        <v>71</v>
      </c>
      <c r="P165">
        <v>72</v>
      </c>
      <c r="Q165" t="s">
        <v>408</v>
      </c>
      <c r="R165">
        <v>70</v>
      </c>
      <c r="S165">
        <v>68.099999999999994</v>
      </c>
      <c r="T165" t="s">
        <v>408</v>
      </c>
      <c r="U165">
        <v>71</v>
      </c>
      <c r="V165" t="s">
        <v>408</v>
      </c>
      <c r="W165">
        <v>68</v>
      </c>
      <c r="X165" t="s">
        <v>408</v>
      </c>
      <c r="Y165" t="s">
        <v>408</v>
      </c>
      <c r="Z165" t="s">
        <v>408</v>
      </c>
      <c r="AA165" s="13">
        <v>48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3" ht="32.25" hidden="1" customHeight="1">
      <c r="A166" s="14">
        <v>97</v>
      </c>
      <c r="B166">
        <v>133</v>
      </c>
      <c r="C166" t="s">
        <v>408</v>
      </c>
      <c r="D166">
        <v>134.1</v>
      </c>
      <c r="E166">
        <v>137</v>
      </c>
      <c r="F166">
        <v>136</v>
      </c>
      <c r="G166" t="s">
        <v>408</v>
      </c>
      <c r="H166" t="s">
        <v>408</v>
      </c>
      <c r="I166">
        <v>68</v>
      </c>
      <c r="J166">
        <v>67</v>
      </c>
      <c r="K166">
        <v>71</v>
      </c>
      <c r="L166">
        <v>70</v>
      </c>
      <c r="M166">
        <v>70</v>
      </c>
      <c r="N166" t="s">
        <v>408</v>
      </c>
      <c r="O166">
        <v>69</v>
      </c>
      <c r="P166">
        <v>70</v>
      </c>
      <c r="Q166">
        <v>70</v>
      </c>
      <c r="R166" t="s">
        <v>408</v>
      </c>
      <c r="S166" t="s">
        <v>408</v>
      </c>
      <c r="T166">
        <v>70.099999999999994</v>
      </c>
      <c r="U166">
        <v>69</v>
      </c>
      <c r="V166">
        <v>66.099999999999994</v>
      </c>
      <c r="W166">
        <v>67</v>
      </c>
      <c r="X166" t="s">
        <v>408</v>
      </c>
      <c r="Y166" t="s">
        <v>408</v>
      </c>
      <c r="Z166" t="s">
        <v>408</v>
      </c>
      <c r="AA166" s="13">
        <v>47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3" ht="32.25" hidden="1" customHeight="1">
      <c r="A167" s="14">
        <v>96</v>
      </c>
      <c r="B167">
        <v>132</v>
      </c>
      <c r="C167">
        <v>132</v>
      </c>
      <c r="D167">
        <v>134</v>
      </c>
      <c r="E167">
        <v>134</v>
      </c>
      <c r="F167">
        <v>134.1</v>
      </c>
      <c r="G167">
        <v>67</v>
      </c>
      <c r="H167">
        <v>65</v>
      </c>
      <c r="I167">
        <v>66</v>
      </c>
      <c r="J167">
        <v>66</v>
      </c>
      <c r="K167">
        <v>70</v>
      </c>
      <c r="L167">
        <v>69</v>
      </c>
      <c r="M167">
        <v>68</v>
      </c>
      <c r="N167">
        <v>75</v>
      </c>
      <c r="O167">
        <v>68</v>
      </c>
      <c r="P167">
        <v>68.099999999999994</v>
      </c>
      <c r="Q167">
        <v>69</v>
      </c>
      <c r="R167">
        <v>69</v>
      </c>
      <c r="S167">
        <v>68</v>
      </c>
      <c r="T167">
        <v>70</v>
      </c>
      <c r="U167">
        <v>68.099999999999994</v>
      </c>
      <c r="V167">
        <v>66</v>
      </c>
      <c r="W167">
        <v>66</v>
      </c>
      <c r="X167" t="s">
        <v>408</v>
      </c>
      <c r="Y167" t="s">
        <v>408</v>
      </c>
      <c r="Z167" t="s">
        <v>408</v>
      </c>
      <c r="AA167" s="13">
        <v>46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ht="32.25" hidden="1" customHeight="1">
      <c r="A168" s="14">
        <v>95</v>
      </c>
      <c r="B168">
        <v>131</v>
      </c>
      <c r="C168">
        <v>131</v>
      </c>
      <c r="D168">
        <v>133</v>
      </c>
      <c r="E168">
        <v>132.1</v>
      </c>
      <c r="F168">
        <v>132</v>
      </c>
      <c r="G168">
        <v>65</v>
      </c>
      <c r="H168" t="s">
        <v>408</v>
      </c>
      <c r="I168">
        <v>65</v>
      </c>
      <c r="J168">
        <v>65</v>
      </c>
      <c r="K168">
        <v>69</v>
      </c>
      <c r="L168">
        <v>68</v>
      </c>
      <c r="M168">
        <v>67</v>
      </c>
      <c r="N168">
        <v>70</v>
      </c>
      <c r="O168">
        <v>67</v>
      </c>
      <c r="P168">
        <v>68</v>
      </c>
      <c r="Q168">
        <v>67</v>
      </c>
      <c r="R168">
        <v>67</v>
      </c>
      <c r="S168">
        <v>65.099999999999994</v>
      </c>
      <c r="T168">
        <v>68</v>
      </c>
      <c r="U168">
        <v>68</v>
      </c>
      <c r="V168" t="s">
        <v>408</v>
      </c>
      <c r="W168">
        <v>65</v>
      </c>
      <c r="X168" t="s">
        <v>408</v>
      </c>
      <c r="Y168" t="s">
        <v>408</v>
      </c>
      <c r="Z168" t="s">
        <v>408</v>
      </c>
      <c r="AA168" s="13">
        <v>45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1:53" ht="32.25" hidden="1" customHeight="1">
      <c r="A169" s="14">
        <v>94</v>
      </c>
      <c r="B169">
        <v>129.1</v>
      </c>
      <c r="C169">
        <v>129</v>
      </c>
      <c r="D169">
        <v>131</v>
      </c>
      <c r="E169">
        <v>131</v>
      </c>
      <c r="F169">
        <v>131</v>
      </c>
      <c r="G169" t="s">
        <v>408</v>
      </c>
      <c r="H169" t="s">
        <v>408</v>
      </c>
      <c r="I169" t="s">
        <v>408</v>
      </c>
      <c r="J169" t="s">
        <v>408</v>
      </c>
      <c r="K169">
        <v>68.099999999999994</v>
      </c>
      <c r="L169">
        <v>67.099999999999994</v>
      </c>
      <c r="M169" t="s">
        <v>408</v>
      </c>
      <c r="N169">
        <v>69</v>
      </c>
      <c r="O169">
        <v>66</v>
      </c>
      <c r="P169">
        <v>67</v>
      </c>
      <c r="Q169" t="s">
        <v>408</v>
      </c>
      <c r="R169">
        <v>66</v>
      </c>
      <c r="S169" t="s">
        <v>408</v>
      </c>
      <c r="T169">
        <v>67</v>
      </c>
      <c r="U169">
        <v>67</v>
      </c>
      <c r="V169">
        <v>65</v>
      </c>
      <c r="W169" t="s">
        <v>408</v>
      </c>
      <c r="X169" t="s">
        <v>408</v>
      </c>
      <c r="Y169" t="s">
        <v>408</v>
      </c>
      <c r="Z169" t="s">
        <v>408</v>
      </c>
      <c r="AA169" s="13">
        <v>44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 ht="32.25" hidden="1" customHeight="1">
      <c r="A170" s="14">
        <v>93</v>
      </c>
      <c r="B170">
        <v>129</v>
      </c>
      <c r="C170">
        <v>128</v>
      </c>
      <c r="D170">
        <v>130</v>
      </c>
      <c r="E170">
        <v>130</v>
      </c>
      <c r="F170">
        <v>129.1</v>
      </c>
      <c r="G170">
        <v>64</v>
      </c>
      <c r="H170" t="s">
        <v>408</v>
      </c>
      <c r="I170">
        <v>64.099999999999994</v>
      </c>
      <c r="J170">
        <v>64</v>
      </c>
      <c r="K170" t="s">
        <v>408</v>
      </c>
      <c r="L170">
        <v>67</v>
      </c>
      <c r="M170">
        <v>66</v>
      </c>
      <c r="N170">
        <v>68</v>
      </c>
      <c r="O170">
        <v>65</v>
      </c>
      <c r="P170">
        <v>66</v>
      </c>
      <c r="Q170">
        <v>66</v>
      </c>
      <c r="R170" t="s">
        <v>408</v>
      </c>
      <c r="S170" t="s">
        <v>408</v>
      </c>
      <c r="T170">
        <v>66.099999999999994</v>
      </c>
      <c r="U170" t="s">
        <v>408</v>
      </c>
      <c r="V170" t="s">
        <v>408</v>
      </c>
      <c r="W170">
        <v>64</v>
      </c>
      <c r="X170" t="s">
        <v>408</v>
      </c>
      <c r="Y170" t="s">
        <v>408</v>
      </c>
      <c r="Z170" t="s">
        <v>408</v>
      </c>
      <c r="AA170" s="13">
        <v>43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3" ht="32.25" hidden="1" customHeight="1">
      <c r="A171" s="14">
        <v>92</v>
      </c>
      <c r="B171">
        <v>128</v>
      </c>
      <c r="C171">
        <v>127.1</v>
      </c>
      <c r="D171">
        <v>129</v>
      </c>
      <c r="E171">
        <v>129</v>
      </c>
      <c r="F171">
        <v>129</v>
      </c>
      <c r="G171" t="s">
        <v>408</v>
      </c>
      <c r="H171" t="s">
        <v>408</v>
      </c>
      <c r="I171" t="s">
        <v>408</v>
      </c>
      <c r="J171" t="s">
        <v>408</v>
      </c>
      <c r="K171">
        <v>68</v>
      </c>
      <c r="L171" t="s">
        <v>408</v>
      </c>
      <c r="M171">
        <v>65</v>
      </c>
      <c r="N171">
        <v>67</v>
      </c>
      <c r="O171" t="s">
        <v>408</v>
      </c>
      <c r="P171" t="s">
        <v>408</v>
      </c>
      <c r="Q171">
        <v>65</v>
      </c>
      <c r="R171">
        <v>65</v>
      </c>
      <c r="S171">
        <v>65</v>
      </c>
      <c r="T171" t="s">
        <v>408</v>
      </c>
      <c r="U171">
        <v>66</v>
      </c>
      <c r="V171" t="s">
        <v>408</v>
      </c>
      <c r="W171">
        <v>63.1</v>
      </c>
      <c r="X171" t="s">
        <v>408</v>
      </c>
      <c r="Y171" t="s">
        <v>408</v>
      </c>
      <c r="Z171" t="s">
        <v>408</v>
      </c>
      <c r="AA171" s="13">
        <v>42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ht="32.25" hidden="1" customHeight="1">
      <c r="A172" s="14">
        <v>91</v>
      </c>
      <c r="B172">
        <v>127</v>
      </c>
      <c r="C172">
        <v>127</v>
      </c>
      <c r="D172">
        <v>128</v>
      </c>
      <c r="E172">
        <v>128.1</v>
      </c>
      <c r="F172">
        <v>128</v>
      </c>
      <c r="G172">
        <v>63</v>
      </c>
      <c r="H172">
        <v>64.099999999999994</v>
      </c>
      <c r="I172">
        <v>64</v>
      </c>
      <c r="J172" t="s">
        <v>408</v>
      </c>
      <c r="K172" t="s">
        <v>408</v>
      </c>
      <c r="L172">
        <v>66</v>
      </c>
      <c r="M172">
        <v>64.099999999999994</v>
      </c>
      <c r="N172">
        <v>66.099999999999994</v>
      </c>
      <c r="O172">
        <v>64</v>
      </c>
      <c r="P172">
        <v>65</v>
      </c>
      <c r="Q172" t="s">
        <v>408</v>
      </c>
      <c r="R172" t="s">
        <v>408</v>
      </c>
      <c r="S172" t="s">
        <v>408</v>
      </c>
      <c r="T172">
        <v>66</v>
      </c>
      <c r="U172" t="s">
        <v>408</v>
      </c>
      <c r="V172">
        <v>64</v>
      </c>
      <c r="W172" t="s">
        <v>408</v>
      </c>
      <c r="X172" t="s">
        <v>408</v>
      </c>
      <c r="Y172" t="s">
        <v>408</v>
      </c>
      <c r="Z172" t="s">
        <v>408</v>
      </c>
      <c r="AA172" s="13">
        <v>41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1:53" ht="32.25" hidden="1" customHeight="1">
      <c r="A173" s="14">
        <v>90</v>
      </c>
      <c r="B173">
        <v>126</v>
      </c>
      <c r="C173">
        <v>126</v>
      </c>
      <c r="D173">
        <v>127</v>
      </c>
      <c r="E173">
        <v>127</v>
      </c>
      <c r="F173">
        <v>127</v>
      </c>
      <c r="G173" t="s">
        <v>408</v>
      </c>
      <c r="H173" t="s">
        <v>408</v>
      </c>
      <c r="I173" t="s">
        <v>408</v>
      </c>
      <c r="J173">
        <v>63</v>
      </c>
      <c r="K173">
        <v>67</v>
      </c>
      <c r="L173">
        <v>65</v>
      </c>
      <c r="M173" t="s">
        <v>408</v>
      </c>
      <c r="N173">
        <v>66</v>
      </c>
      <c r="O173" t="s">
        <v>408</v>
      </c>
      <c r="P173" t="s">
        <v>408</v>
      </c>
      <c r="Q173">
        <v>64.099999999999994</v>
      </c>
      <c r="R173">
        <v>64.099999999999994</v>
      </c>
      <c r="S173">
        <v>64</v>
      </c>
      <c r="T173" t="s">
        <v>408</v>
      </c>
      <c r="U173">
        <v>65.099999999999994</v>
      </c>
      <c r="V173" t="s">
        <v>408</v>
      </c>
      <c r="W173">
        <v>63</v>
      </c>
      <c r="X173" t="s">
        <v>408</v>
      </c>
      <c r="Y173" t="s">
        <v>408</v>
      </c>
      <c r="Z173" t="s">
        <v>408</v>
      </c>
      <c r="AA173" s="13">
        <v>40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1:53" ht="32.25" hidden="1" customHeight="1">
      <c r="A174" s="14">
        <v>89</v>
      </c>
      <c r="B174" t="s">
        <v>408</v>
      </c>
      <c r="C174">
        <v>125</v>
      </c>
      <c r="D174" t="s">
        <v>408</v>
      </c>
      <c r="E174" t="s">
        <v>408</v>
      </c>
      <c r="F174" t="s">
        <v>408</v>
      </c>
      <c r="G174">
        <v>62.1</v>
      </c>
      <c r="H174">
        <v>64</v>
      </c>
      <c r="I174">
        <v>63</v>
      </c>
      <c r="J174" t="s">
        <v>408</v>
      </c>
      <c r="K174">
        <v>66</v>
      </c>
      <c r="L174" t="s">
        <v>408</v>
      </c>
      <c r="M174">
        <v>64</v>
      </c>
      <c r="N174">
        <v>65</v>
      </c>
      <c r="O174">
        <v>63</v>
      </c>
      <c r="P174">
        <v>64</v>
      </c>
      <c r="Q174" t="s">
        <v>408</v>
      </c>
      <c r="R174">
        <v>64</v>
      </c>
      <c r="S174" t="s">
        <v>408</v>
      </c>
      <c r="T174">
        <v>65</v>
      </c>
      <c r="U174" t="s">
        <v>408</v>
      </c>
      <c r="V174">
        <v>63</v>
      </c>
      <c r="W174" t="s">
        <v>408</v>
      </c>
      <c r="X174" t="s">
        <v>408</v>
      </c>
      <c r="Y174" t="s">
        <v>408</v>
      </c>
      <c r="Z174" t="s">
        <v>408</v>
      </c>
      <c r="AA174" s="13">
        <v>39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3" ht="32.25" hidden="1" customHeight="1">
      <c r="A175" s="14">
        <v>88</v>
      </c>
      <c r="B175">
        <v>125</v>
      </c>
      <c r="C175">
        <v>124</v>
      </c>
      <c r="D175">
        <v>126</v>
      </c>
      <c r="E175">
        <v>126</v>
      </c>
      <c r="F175">
        <v>126</v>
      </c>
      <c r="G175" t="s">
        <v>408</v>
      </c>
      <c r="H175" t="s">
        <v>408</v>
      </c>
      <c r="I175" t="s">
        <v>408</v>
      </c>
      <c r="J175">
        <v>62</v>
      </c>
      <c r="K175" t="s">
        <v>408</v>
      </c>
      <c r="L175">
        <v>64</v>
      </c>
      <c r="M175" t="s">
        <v>408</v>
      </c>
      <c r="N175" t="s">
        <v>408</v>
      </c>
      <c r="O175">
        <v>62</v>
      </c>
      <c r="P175">
        <v>63</v>
      </c>
      <c r="Q175">
        <v>64</v>
      </c>
      <c r="R175" t="s">
        <v>408</v>
      </c>
      <c r="S175">
        <v>63</v>
      </c>
      <c r="T175">
        <v>64</v>
      </c>
      <c r="U175">
        <v>65</v>
      </c>
      <c r="V175" t="s">
        <v>408</v>
      </c>
      <c r="W175" t="s">
        <v>408</v>
      </c>
      <c r="X175" t="s">
        <v>408</v>
      </c>
      <c r="Y175" t="s">
        <v>408</v>
      </c>
      <c r="Z175" t="s">
        <v>408</v>
      </c>
      <c r="AA175" s="13">
        <v>38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1:53" ht="32.25" hidden="1" customHeight="1">
      <c r="A176" s="14">
        <v>87</v>
      </c>
      <c r="B176">
        <v>124.1</v>
      </c>
      <c r="C176">
        <v>123</v>
      </c>
      <c r="D176">
        <v>125</v>
      </c>
      <c r="E176">
        <v>125</v>
      </c>
      <c r="F176">
        <v>125</v>
      </c>
      <c r="G176" t="s">
        <v>408</v>
      </c>
      <c r="H176" t="s">
        <v>408</v>
      </c>
      <c r="I176" t="s">
        <v>408</v>
      </c>
      <c r="J176" t="s">
        <v>408</v>
      </c>
      <c r="K176">
        <v>65</v>
      </c>
      <c r="L176">
        <v>63</v>
      </c>
      <c r="M176">
        <v>63</v>
      </c>
      <c r="N176">
        <v>64</v>
      </c>
      <c r="O176" t="s">
        <v>408</v>
      </c>
      <c r="P176" t="s">
        <v>408</v>
      </c>
      <c r="Q176" t="s">
        <v>408</v>
      </c>
      <c r="R176">
        <v>63</v>
      </c>
      <c r="S176" t="s">
        <v>408</v>
      </c>
      <c r="T176" t="s">
        <v>408</v>
      </c>
      <c r="U176">
        <v>64</v>
      </c>
      <c r="V176" t="s">
        <v>408</v>
      </c>
      <c r="W176">
        <v>62</v>
      </c>
      <c r="X176" t="s">
        <v>408</v>
      </c>
      <c r="Y176" t="s">
        <v>408</v>
      </c>
      <c r="Z176" t="s">
        <v>408</v>
      </c>
      <c r="AA176" s="13">
        <v>37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53" ht="32.25" hidden="1" customHeight="1">
      <c r="A177" s="14">
        <v>86</v>
      </c>
      <c r="B177">
        <v>124</v>
      </c>
      <c r="C177" t="s">
        <v>408</v>
      </c>
      <c r="D177">
        <v>124</v>
      </c>
      <c r="E177">
        <v>124.1</v>
      </c>
      <c r="F177">
        <v>124</v>
      </c>
      <c r="G177">
        <v>62</v>
      </c>
      <c r="H177">
        <v>63</v>
      </c>
      <c r="I177" t="s">
        <v>408</v>
      </c>
      <c r="J177" t="s">
        <v>408</v>
      </c>
      <c r="K177">
        <v>64.099999999999994</v>
      </c>
      <c r="L177" t="s">
        <v>408</v>
      </c>
      <c r="M177" t="s">
        <v>408</v>
      </c>
      <c r="N177">
        <v>63</v>
      </c>
      <c r="O177">
        <v>61</v>
      </c>
      <c r="P177" t="s">
        <v>408</v>
      </c>
      <c r="Q177">
        <v>63</v>
      </c>
      <c r="R177" t="s">
        <v>408</v>
      </c>
      <c r="S177">
        <v>62.1</v>
      </c>
      <c r="T177">
        <v>63</v>
      </c>
      <c r="U177">
        <v>63</v>
      </c>
      <c r="V177">
        <v>62.1</v>
      </c>
      <c r="W177" t="s">
        <v>408</v>
      </c>
      <c r="X177" t="s">
        <v>408</v>
      </c>
      <c r="Y177" t="s">
        <v>408</v>
      </c>
      <c r="Z177" t="s">
        <v>408</v>
      </c>
      <c r="AA177" s="13">
        <v>36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1:53" ht="32.25" hidden="1" customHeight="1">
      <c r="A178" s="14">
        <v>85</v>
      </c>
      <c r="B178" t="s">
        <v>408</v>
      </c>
      <c r="C178">
        <v>122.1</v>
      </c>
      <c r="D178">
        <v>123</v>
      </c>
      <c r="E178">
        <v>124</v>
      </c>
      <c r="F178">
        <v>123</v>
      </c>
      <c r="G178" t="s">
        <v>408</v>
      </c>
      <c r="H178" t="s">
        <v>408</v>
      </c>
      <c r="I178">
        <v>62</v>
      </c>
      <c r="J178">
        <v>61.1</v>
      </c>
      <c r="K178">
        <v>64</v>
      </c>
      <c r="L178">
        <v>62.1</v>
      </c>
      <c r="M178">
        <v>62</v>
      </c>
      <c r="N178">
        <v>62</v>
      </c>
      <c r="O178" t="s">
        <v>408</v>
      </c>
      <c r="P178">
        <v>62</v>
      </c>
      <c r="Q178" t="s">
        <v>408</v>
      </c>
      <c r="R178">
        <v>62</v>
      </c>
      <c r="S178" t="s">
        <v>408</v>
      </c>
      <c r="T178" t="s">
        <v>408</v>
      </c>
      <c r="U178">
        <v>62</v>
      </c>
      <c r="V178" t="s">
        <v>408</v>
      </c>
      <c r="W178">
        <v>61</v>
      </c>
      <c r="X178" t="s">
        <v>408</v>
      </c>
      <c r="Y178" t="s">
        <v>408</v>
      </c>
      <c r="Z178" t="s">
        <v>408</v>
      </c>
      <c r="AA178" s="13">
        <v>35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3" ht="32.25" hidden="1" customHeight="1">
      <c r="A179" s="14">
        <v>84</v>
      </c>
      <c r="B179">
        <v>123</v>
      </c>
      <c r="C179">
        <v>122</v>
      </c>
      <c r="D179" t="s">
        <v>408</v>
      </c>
      <c r="E179">
        <v>123</v>
      </c>
      <c r="F179">
        <v>122</v>
      </c>
      <c r="G179" t="s">
        <v>408</v>
      </c>
      <c r="H179">
        <v>62</v>
      </c>
      <c r="I179" t="s">
        <v>408</v>
      </c>
      <c r="J179" t="s">
        <v>408</v>
      </c>
      <c r="K179">
        <v>63</v>
      </c>
      <c r="L179" t="s">
        <v>408</v>
      </c>
      <c r="M179" t="s">
        <v>408</v>
      </c>
      <c r="N179" t="s">
        <v>408</v>
      </c>
      <c r="O179">
        <v>60</v>
      </c>
      <c r="P179" t="s">
        <v>408</v>
      </c>
      <c r="Q179">
        <v>62</v>
      </c>
      <c r="R179" t="s">
        <v>408</v>
      </c>
      <c r="S179">
        <v>62</v>
      </c>
      <c r="T179">
        <v>62.1</v>
      </c>
      <c r="U179" t="s">
        <v>408</v>
      </c>
      <c r="V179">
        <v>62</v>
      </c>
      <c r="W179" t="s">
        <v>408</v>
      </c>
      <c r="X179" t="s">
        <v>408</v>
      </c>
      <c r="Y179" t="s">
        <v>408</v>
      </c>
      <c r="Z179" t="s">
        <v>408</v>
      </c>
      <c r="AA179" s="13">
        <v>34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3" ht="32.25" hidden="1" customHeight="1">
      <c r="A180" s="14">
        <v>83</v>
      </c>
      <c r="B180">
        <v>122</v>
      </c>
      <c r="C180">
        <v>121</v>
      </c>
      <c r="D180">
        <v>122</v>
      </c>
      <c r="E180">
        <v>122</v>
      </c>
      <c r="F180">
        <v>121.1</v>
      </c>
      <c r="G180">
        <v>61</v>
      </c>
      <c r="H180" t="s">
        <v>408</v>
      </c>
      <c r="I180" t="s">
        <v>408</v>
      </c>
      <c r="J180" t="s">
        <v>408</v>
      </c>
      <c r="K180">
        <v>62</v>
      </c>
      <c r="L180">
        <v>62</v>
      </c>
      <c r="M180">
        <v>61</v>
      </c>
      <c r="N180">
        <v>61.1</v>
      </c>
      <c r="O180" t="s">
        <v>408</v>
      </c>
      <c r="P180">
        <v>61.1</v>
      </c>
      <c r="Q180" t="s">
        <v>408</v>
      </c>
      <c r="R180" t="s">
        <v>408</v>
      </c>
      <c r="S180" t="s">
        <v>408</v>
      </c>
      <c r="T180" t="s">
        <v>408</v>
      </c>
      <c r="U180">
        <v>61.1</v>
      </c>
      <c r="V180" t="s">
        <v>408</v>
      </c>
      <c r="W180">
        <v>60</v>
      </c>
      <c r="X180" t="s">
        <v>408</v>
      </c>
      <c r="Y180" t="s">
        <v>408</v>
      </c>
      <c r="Z180" t="s">
        <v>408</v>
      </c>
      <c r="AA180" s="13">
        <v>33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ht="32.25" hidden="1" customHeight="1">
      <c r="A181" s="14">
        <v>82</v>
      </c>
      <c r="B181" t="s">
        <v>408</v>
      </c>
      <c r="C181" t="s">
        <v>408</v>
      </c>
      <c r="D181">
        <v>121.1</v>
      </c>
      <c r="E181" t="s">
        <v>408</v>
      </c>
      <c r="F181" t="s">
        <v>408</v>
      </c>
      <c r="G181" t="s">
        <v>408</v>
      </c>
      <c r="H181" t="s">
        <v>408</v>
      </c>
      <c r="I181">
        <v>61</v>
      </c>
      <c r="J181">
        <v>61</v>
      </c>
      <c r="K181">
        <v>61</v>
      </c>
      <c r="L181" t="s">
        <v>408</v>
      </c>
      <c r="M181" t="s">
        <v>408</v>
      </c>
      <c r="N181">
        <v>61</v>
      </c>
      <c r="O181" t="s">
        <v>408</v>
      </c>
      <c r="P181" t="s">
        <v>408</v>
      </c>
      <c r="Q181" t="s">
        <v>408</v>
      </c>
      <c r="R181">
        <v>61</v>
      </c>
      <c r="S181" t="s">
        <v>408</v>
      </c>
      <c r="T181">
        <v>62</v>
      </c>
      <c r="U181" t="s">
        <v>408</v>
      </c>
      <c r="V181" t="s">
        <v>408</v>
      </c>
      <c r="W181" t="s">
        <v>408</v>
      </c>
      <c r="X181" t="s">
        <v>408</v>
      </c>
      <c r="Y181" t="s">
        <v>408</v>
      </c>
      <c r="Z181" t="s">
        <v>408</v>
      </c>
      <c r="AA181" s="13">
        <v>32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1:53" ht="32.25" hidden="1" customHeight="1">
      <c r="A182" s="14">
        <v>81</v>
      </c>
      <c r="B182">
        <v>121</v>
      </c>
      <c r="C182">
        <v>120</v>
      </c>
      <c r="D182" t="s">
        <v>408</v>
      </c>
      <c r="E182">
        <v>121</v>
      </c>
      <c r="F182">
        <v>121</v>
      </c>
      <c r="G182" t="s">
        <v>408</v>
      </c>
      <c r="H182">
        <v>61.1</v>
      </c>
      <c r="I182" t="s">
        <v>408</v>
      </c>
      <c r="J182" t="s">
        <v>408</v>
      </c>
      <c r="K182" t="s">
        <v>408</v>
      </c>
      <c r="L182">
        <v>61</v>
      </c>
      <c r="M182" t="s">
        <v>408</v>
      </c>
      <c r="N182" t="s">
        <v>408</v>
      </c>
      <c r="O182">
        <v>59</v>
      </c>
      <c r="P182" t="s">
        <v>408</v>
      </c>
      <c r="Q182">
        <v>61</v>
      </c>
      <c r="R182" t="s">
        <v>408</v>
      </c>
      <c r="S182">
        <v>61</v>
      </c>
      <c r="T182" t="s">
        <v>408</v>
      </c>
      <c r="U182">
        <v>61</v>
      </c>
      <c r="V182">
        <v>61</v>
      </c>
      <c r="W182" t="s">
        <v>408</v>
      </c>
      <c r="X182" t="s">
        <v>408</v>
      </c>
      <c r="Y182" t="s">
        <v>408</v>
      </c>
      <c r="Z182" t="s">
        <v>408</v>
      </c>
      <c r="AA182" s="13">
        <v>31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1:53" ht="32.25" hidden="1" customHeight="1">
      <c r="A183" s="14">
        <v>80</v>
      </c>
      <c r="B183" t="s">
        <v>408</v>
      </c>
      <c r="C183" t="s">
        <v>408</v>
      </c>
      <c r="D183">
        <v>121</v>
      </c>
      <c r="E183">
        <v>120</v>
      </c>
      <c r="F183">
        <v>120</v>
      </c>
      <c r="G183">
        <v>60</v>
      </c>
      <c r="H183" t="s">
        <v>408</v>
      </c>
      <c r="I183" t="s">
        <v>408</v>
      </c>
      <c r="J183" t="s">
        <v>408</v>
      </c>
      <c r="K183">
        <v>60.1</v>
      </c>
      <c r="L183" t="s">
        <v>408</v>
      </c>
      <c r="M183">
        <v>60</v>
      </c>
      <c r="N183">
        <v>60</v>
      </c>
      <c r="O183" t="s">
        <v>408</v>
      </c>
      <c r="P183">
        <v>61</v>
      </c>
      <c r="Q183" t="s">
        <v>408</v>
      </c>
      <c r="R183">
        <v>60.1</v>
      </c>
      <c r="S183" t="s">
        <v>408</v>
      </c>
      <c r="T183">
        <v>61</v>
      </c>
      <c r="U183">
        <v>60</v>
      </c>
      <c r="V183" t="s">
        <v>408</v>
      </c>
      <c r="W183">
        <v>59</v>
      </c>
      <c r="X183" t="s">
        <v>408</v>
      </c>
      <c r="Y183" t="s">
        <v>408</v>
      </c>
      <c r="Z183" t="s">
        <v>408</v>
      </c>
      <c r="AA183" s="13">
        <v>30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1:53" ht="32.25" hidden="1" customHeight="1">
      <c r="A184" s="14">
        <v>79</v>
      </c>
      <c r="B184">
        <v>120</v>
      </c>
      <c r="C184">
        <v>119</v>
      </c>
      <c r="D184" t="s">
        <v>408</v>
      </c>
      <c r="E184" t="s">
        <v>408</v>
      </c>
      <c r="F184">
        <v>119</v>
      </c>
      <c r="G184" t="s">
        <v>408</v>
      </c>
      <c r="H184" t="s">
        <v>408</v>
      </c>
      <c r="I184" t="s">
        <v>408</v>
      </c>
      <c r="J184" t="s">
        <v>408</v>
      </c>
      <c r="K184">
        <v>60</v>
      </c>
      <c r="L184">
        <v>60</v>
      </c>
      <c r="M184" t="s">
        <v>408</v>
      </c>
      <c r="N184">
        <v>59</v>
      </c>
      <c r="O184" t="s">
        <v>408</v>
      </c>
      <c r="P184" t="s">
        <v>408</v>
      </c>
      <c r="Q184">
        <v>60.1</v>
      </c>
      <c r="R184" t="s">
        <v>408</v>
      </c>
      <c r="S184">
        <v>60</v>
      </c>
      <c r="T184" t="s">
        <v>408</v>
      </c>
      <c r="U184" t="s">
        <v>408</v>
      </c>
      <c r="V184" t="s">
        <v>408</v>
      </c>
      <c r="W184" t="s">
        <v>408</v>
      </c>
      <c r="X184" t="s">
        <v>408</v>
      </c>
      <c r="Y184" t="s">
        <v>408</v>
      </c>
      <c r="Z184" t="s">
        <v>408</v>
      </c>
      <c r="AA184" s="13">
        <v>29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1:53" ht="32.25" hidden="1" customHeight="1">
      <c r="A185" s="14">
        <v>78</v>
      </c>
      <c r="B185">
        <v>119.1</v>
      </c>
      <c r="C185">
        <v>118</v>
      </c>
      <c r="D185">
        <v>120</v>
      </c>
      <c r="E185">
        <v>119.1</v>
      </c>
      <c r="F185" t="s">
        <v>408</v>
      </c>
      <c r="G185" t="s">
        <v>408</v>
      </c>
      <c r="H185">
        <v>61</v>
      </c>
      <c r="I185">
        <v>60</v>
      </c>
      <c r="J185">
        <v>60</v>
      </c>
      <c r="K185" t="s">
        <v>408</v>
      </c>
      <c r="L185" t="s">
        <v>408</v>
      </c>
      <c r="M185" t="s">
        <v>408</v>
      </c>
      <c r="N185" t="s">
        <v>408</v>
      </c>
      <c r="O185">
        <v>58</v>
      </c>
      <c r="P185">
        <v>60</v>
      </c>
      <c r="Q185" t="s">
        <v>408</v>
      </c>
      <c r="R185">
        <v>60</v>
      </c>
      <c r="S185" t="s">
        <v>408</v>
      </c>
      <c r="T185">
        <v>60</v>
      </c>
      <c r="U185">
        <v>59</v>
      </c>
      <c r="V185">
        <v>60</v>
      </c>
      <c r="W185" t="s">
        <v>408</v>
      </c>
      <c r="X185" t="s">
        <v>408</v>
      </c>
      <c r="Y185" t="s">
        <v>408</v>
      </c>
      <c r="Z185" t="s">
        <v>408</v>
      </c>
      <c r="AA185" s="13">
        <v>28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1:53" ht="32.25" hidden="1" customHeight="1">
      <c r="A186" s="14">
        <v>77</v>
      </c>
      <c r="B186" t="s">
        <v>408</v>
      </c>
      <c r="C186" t="s">
        <v>408</v>
      </c>
      <c r="D186">
        <v>119</v>
      </c>
      <c r="E186">
        <v>119</v>
      </c>
      <c r="F186">
        <v>118</v>
      </c>
      <c r="G186">
        <v>59</v>
      </c>
      <c r="H186" t="s">
        <v>408</v>
      </c>
      <c r="I186" t="s">
        <v>408</v>
      </c>
      <c r="J186" t="s">
        <v>408</v>
      </c>
      <c r="K186">
        <v>59</v>
      </c>
      <c r="L186">
        <v>59</v>
      </c>
      <c r="M186">
        <v>59</v>
      </c>
      <c r="N186">
        <v>58</v>
      </c>
      <c r="O186" t="s">
        <v>408</v>
      </c>
      <c r="P186" t="s">
        <v>408</v>
      </c>
      <c r="Q186">
        <v>60</v>
      </c>
      <c r="R186" t="s">
        <v>408</v>
      </c>
      <c r="S186">
        <v>59</v>
      </c>
      <c r="T186" t="s">
        <v>408</v>
      </c>
      <c r="U186" t="s">
        <v>408</v>
      </c>
      <c r="V186" t="s">
        <v>408</v>
      </c>
      <c r="W186">
        <v>58</v>
      </c>
      <c r="X186" t="s">
        <v>408</v>
      </c>
      <c r="Y186" t="s">
        <v>408</v>
      </c>
      <c r="Z186" t="s">
        <v>408</v>
      </c>
      <c r="AA186" s="13">
        <v>27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1:53" ht="32.25" hidden="1" customHeight="1">
      <c r="A187" s="14">
        <v>76</v>
      </c>
      <c r="B187">
        <v>119</v>
      </c>
      <c r="C187">
        <v>117.1</v>
      </c>
      <c r="D187">
        <v>118</v>
      </c>
      <c r="E187">
        <v>118</v>
      </c>
      <c r="F187">
        <v>117</v>
      </c>
      <c r="G187" t="s">
        <v>408</v>
      </c>
      <c r="H187">
        <v>60</v>
      </c>
      <c r="I187">
        <v>59.1</v>
      </c>
      <c r="J187">
        <v>59</v>
      </c>
      <c r="K187">
        <v>58</v>
      </c>
      <c r="L187" t="s">
        <v>408</v>
      </c>
      <c r="M187" t="s">
        <v>408</v>
      </c>
      <c r="N187" t="s">
        <v>408</v>
      </c>
      <c r="O187" t="s">
        <v>408</v>
      </c>
      <c r="P187">
        <v>59</v>
      </c>
      <c r="Q187" t="s">
        <v>408</v>
      </c>
      <c r="R187">
        <v>59</v>
      </c>
      <c r="S187" t="s">
        <v>408</v>
      </c>
      <c r="T187">
        <v>59</v>
      </c>
      <c r="U187">
        <v>58.1</v>
      </c>
      <c r="V187">
        <v>59.1</v>
      </c>
      <c r="W187" t="s">
        <v>408</v>
      </c>
      <c r="X187" t="s">
        <v>408</v>
      </c>
      <c r="Y187" t="s">
        <v>408</v>
      </c>
      <c r="Z187" t="s">
        <v>408</v>
      </c>
      <c r="AA187" s="13">
        <v>26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1:53" ht="32.25" hidden="1" customHeight="1">
      <c r="A188" s="14">
        <v>75</v>
      </c>
      <c r="B188">
        <v>118</v>
      </c>
      <c r="C188" t="s">
        <v>408</v>
      </c>
      <c r="D188">
        <v>117</v>
      </c>
      <c r="E188">
        <v>117</v>
      </c>
      <c r="F188">
        <v>116.1</v>
      </c>
      <c r="G188" t="s">
        <v>408</v>
      </c>
      <c r="H188" t="s">
        <v>408</v>
      </c>
      <c r="I188" t="s">
        <v>408</v>
      </c>
      <c r="J188" t="s">
        <v>408</v>
      </c>
      <c r="K188" t="s">
        <v>408</v>
      </c>
      <c r="L188">
        <v>58</v>
      </c>
      <c r="M188">
        <v>58.1</v>
      </c>
      <c r="N188">
        <v>57</v>
      </c>
      <c r="O188">
        <v>57</v>
      </c>
      <c r="P188" t="s">
        <v>408</v>
      </c>
      <c r="Q188">
        <v>59</v>
      </c>
      <c r="R188" t="s">
        <v>408</v>
      </c>
      <c r="S188" t="s">
        <v>408</v>
      </c>
      <c r="T188" t="s">
        <v>408</v>
      </c>
      <c r="U188">
        <v>58</v>
      </c>
      <c r="V188" t="s">
        <v>408</v>
      </c>
      <c r="W188" t="s">
        <v>408</v>
      </c>
      <c r="X188" t="s">
        <v>408</v>
      </c>
      <c r="Y188" t="s">
        <v>408</v>
      </c>
      <c r="Z188" t="s">
        <v>408</v>
      </c>
      <c r="AA188" s="13">
        <v>25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1:53" ht="32.25" hidden="1" customHeight="1">
      <c r="A189" s="14">
        <v>74</v>
      </c>
      <c r="B189" t="s">
        <v>408</v>
      </c>
      <c r="C189">
        <v>117</v>
      </c>
      <c r="D189">
        <v>116.1</v>
      </c>
      <c r="E189">
        <v>116</v>
      </c>
      <c r="F189">
        <v>116</v>
      </c>
      <c r="G189">
        <v>58.1</v>
      </c>
      <c r="H189">
        <v>59.1</v>
      </c>
      <c r="I189">
        <v>59</v>
      </c>
      <c r="J189">
        <v>58</v>
      </c>
      <c r="K189">
        <v>57</v>
      </c>
      <c r="L189" t="s">
        <v>408</v>
      </c>
      <c r="M189" t="s">
        <v>408</v>
      </c>
      <c r="N189">
        <v>56</v>
      </c>
      <c r="O189" t="s">
        <v>408</v>
      </c>
      <c r="P189">
        <v>58</v>
      </c>
      <c r="Q189" t="s">
        <v>408</v>
      </c>
      <c r="R189">
        <v>58</v>
      </c>
      <c r="S189">
        <v>58.1</v>
      </c>
      <c r="T189">
        <v>58.1</v>
      </c>
      <c r="U189" t="s">
        <v>408</v>
      </c>
      <c r="V189">
        <v>59</v>
      </c>
      <c r="W189">
        <v>57.1</v>
      </c>
      <c r="X189" t="s">
        <v>408</v>
      </c>
      <c r="Y189" t="s">
        <v>408</v>
      </c>
      <c r="Z189" t="s">
        <v>408</v>
      </c>
      <c r="AA189" s="13">
        <v>24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1:53" ht="32.25" hidden="1" customHeight="1">
      <c r="A190" s="14">
        <v>73</v>
      </c>
      <c r="B190">
        <v>117</v>
      </c>
      <c r="C190">
        <v>116</v>
      </c>
      <c r="D190" t="s">
        <v>408</v>
      </c>
      <c r="E190" t="s">
        <v>408</v>
      </c>
      <c r="F190">
        <v>114</v>
      </c>
      <c r="G190" t="s">
        <v>408</v>
      </c>
      <c r="H190" t="s">
        <v>408</v>
      </c>
      <c r="I190" t="s">
        <v>408</v>
      </c>
      <c r="J190" t="s">
        <v>408</v>
      </c>
      <c r="K190">
        <v>56.1</v>
      </c>
      <c r="L190">
        <v>57</v>
      </c>
      <c r="M190">
        <v>58</v>
      </c>
      <c r="N190" t="s">
        <v>408</v>
      </c>
      <c r="O190" t="s">
        <v>408</v>
      </c>
      <c r="P190" t="s">
        <v>408</v>
      </c>
      <c r="Q190">
        <v>58</v>
      </c>
      <c r="R190" t="s">
        <v>408</v>
      </c>
      <c r="S190">
        <v>58</v>
      </c>
      <c r="T190">
        <v>58</v>
      </c>
      <c r="U190">
        <v>57</v>
      </c>
      <c r="V190" t="s">
        <v>408</v>
      </c>
      <c r="W190" t="s">
        <v>408</v>
      </c>
      <c r="X190" t="s">
        <v>408</v>
      </c>
      <c r="Y190" t="s">
        <v>408</v>
      </c>
      <c r="Z190" t="s">
        <v>408</v>
      </c>
      <c r="AA190" s="13">
        <v>23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1:53" ht="32.25" hidden="1" customHeight="1">
      <c r="A191" s="14">
        <v>72</v>
      </c>
      <c r="B191" t="s">
        <v>408</v>
      </c>
      <c r="C191" t="s">
        <v>408</v>
      </c>
      <c r="D191">
        <v>116</v>
      </c>
      <c r="E191">
        <v>115</v>
      </c>
      <c r="F191">
        <v>113</v>
      </c>
      <c r="G191">
        <v>58</v>
      </c>
      <c r="H191">
        <v>59</v>
      </c>
      <c r="I191">
        <v>58</v>
      </c>
      <c r="J191">
        <v>57</v>
      </c>
      <c r="K191" t="s">
        <v>408</v>
      </c>
      <c r="L191">
        <v>56.1</v>
      </c>
      <c r="M191" t="s">
        <v>408</v>
      </c>
      <c r="N191">
        <v>55.1</v>
      </c>
      <c r="O191" t="s">
        <v>408</v>
      </c>
      <c r="P191">
        <v>57</v>
      </c>
      <c r="Q191" t="s">
        <v>408</v>
      </c>
      <c r="R191">
        <v>57.1</v>
      </c>
      <c r="S191" t="s">
        <v>408</v>
      </c>
      <c r="T191" t="s">
        <v>408</v>
      </c>
      <c r="U191" t="s">
        <v>408</v>
      </c>
      <c r="V191">
        <v>58</v>
      </c>
      <c r="W191" t="s">
        <v>408</v>
      </c>
      <c r="X191" t="s">
        <v>408</v>
      </c>
      <c r="Y191" t="s">
        <v>408</v>
      </c>
      <c r="Z191" t="s">
        <v>408</v>
      </c>
      <c r="AA191" s="13">
        <v>22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1:53" ht="32.25" hidden="1" customHeight="1">
      <c r="A192" s="14">
        <v>71</v>
      </c>
      <c r="B192">
        <v>116</v>
      </c>
      <c r="C192">
        <v>115</v>
      </c>
      <c r="D192">
        <v>115</v>
      </c>
      <c r="E192">
        <v>114.1</v>
      </c>
      <c r="F192">
        <v>112.1</v>
      </c>
      <c r="G192" t="s">
        <v>408</v>
      </c>
      <c r="H192" t="s">
        <v>408</v>
      </c>
      <c r="I192" t="s">
        <v>408</v>
      </c>
      <c r="J192" t="s">
        <v>408</v>
      </c>
      <c r="K192">
        <v>56</v>
      </c>
      <c r="L192" t="s">
        <v>408</v>
      </c>
      <c r="M192">
        <v>57</v>
      </c>
      <c r="N192" t="s">
        <v>408</v>
      </c>
      <c r="O192">
        <v>56</v>
      </c>
      <c r="P192" t="s">
        <v>408</v>
      </c>
      <c r="Q192">
        <v>57</v>
      </c>
      <c r="R192" t="s">
        <v>408</v>
      </c>
      <c r="S192" t="s">
        <v>408</v>
      </c>
      <c r="T192">
        <v>57</v>
      </c>
      <c r="U192">
        <v>56</v>
      </c>
      <c r="V192" t="s">
        <v>408</v>
      </c>
      <c r="W192" t="s">
        <v>408</v>
      </c>
      <c r="X192" t="s">
        <v>408</v>
      </c>
      <c r="Y192" t="s">
        <v>408</v>
      </c>
      <c r="Z192" t="s">
        <v>408</v>
      </c>
      <c r="AA192" s="13">
        <v>21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1:53" ht="32.25" hidden="1" customHeight="1">
      <c r="A193" s="14">
        <v>70</v>
      </c>
      <c r="B193">
        <v>115</v>
      </c>
      <c r="C193" t="s">
        <v>408</v>
      </c>
      <c r="D193">
        <v>114</v>
      </c>
      <c r="E193">
        <v>114</v>
      </c>
      <c r="F193">
        <v>112</v>
      </c>
      <c r="G193" t="s">
        <v>408</v>
      </c>
      <c r="H193">
        <v>58</v>
      </c>
      <c r="I193">
        <v>57</v>
      </c>
      <c r="J193" t="s">
        <v>408</v>
      </c>
      <c r="K193">
        <v>55</v>
      </c>
      <c r="L193">
        <v>56</v>
      </c>
      <c r="M193" t="s">
        <v>408</v>
      </c>
      <c r="N193">
        <v>55</v>
      </c>
      <c r="O193" t="s">
        <v>408</v>
      </c>
      <c r="P193">
        <v>56</v>
      </c>
      <c r="Q193">
        <v>56.1</v>
      </c>
      <c r="R193">
        <v>57</v>
      </c>
      <c r="S193">
        <v>57</v>
      </c>
      <c r="T193" t="s">
        <v>408</v>
      </c>
      <c r="U193" t="s">
        <v>408</v>
      </c>
      <c r="V193" t="s">
        <v>408</v>
      </c>
      <c r="W193">
        <v>57</v>
      </c>
      <c r="X193" t="s">
        <v>408</v>
      </c>
      <c r="Y193" t="s">
        <v>408</v>
      </c>
      <c r="Z193" t="s">
        <v>408</v>
      </c>
      <c r="AA193" s="13">
        <v>20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1:53" ht="32.25" hidden="1" customHeight="1">
      <c r="A194" s="14">
        <v>69</v>
      </c>
      <c r="B194" t="s">
        <v>408</v>
      </c>
      <c r="C194">
        <v>114</v>
      </c>
      <c r="D194">
        <v>113.1</v>
      </c>
      <c r="E194">
        <v>113</v>
      </c>
      <c r="F194">
        <v>111</v>
      </c>
      <c r="G194">
        <v>57</v>
      </c>
      <c r="H194">
        <v>57</v>
      </c>
      <c r="I194" t="s">
        <v>408</v>
      </c>
      <c r="J194">
        <v>56</v>
      </c>
      <c r="K194" t="s">
        <v>408</v>
      </c>
      <c r="L194" t="s">
        <v>408</v>
      </c>
      <c r="M194">
        <v>56</v>
      </c>
      <c r="N194">
        <v>54</v>
      </c>
      <c r="O194" t="s">
        <v>408</v>
      </c>
      <c r="P194" t="s">
        <v>408</v>
      </c>
      <c r="Q194" t="s">
        <v>408</v>
      </c>
      <c r="R194" t="s">
        <v>408</v>
      </c>
      <c r="S194" t="s">
        <v>408</v>
      </c>
      <c r="T194">
        <v>56</v>
      </c>
      <c r="U194">
        <v>55.1</v>
      </c>
      <c r="V194">
        <v>57</v>
      </c>
      <c r="W194" t="s">
        <v>408</v>
      </c>
      <c r="X194" t="s">
        <v>408</v>
      </c>
      <c r="Y194" t="s">
        <v>408</v>
      </c>
      <c r="Z194" t="s">
        <v>408</v>
      </c>
      <c r="AA194" s="13">
        <v>19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3" ht="32.25" hidden="1" customHeight="1">
      <c r="A195" s="14">
        <v>68</v>
      </c>
      <c r="B195">
        <v>114.1</v>
      </c>
      <c r="C195">
        <v>113</v>
      </c>
      <c r="D195" t="s">
        <v>408</v>
      </c>
      <c r="E195" t="s">
        <v>408</v>
      </c>
      <c r="F195">
        <v>110</v>
      </c>
      <c r="G195" t="s">
        <v>408</v>
      </c>
      <c r="H195" t="s">
        <v>408</v>
      </c>
      <c r="I195" t="s">
        <v>408</v>
      </c>
      <c r="J195" t="s">
        <v>408</v>
      </c>
      <c r="K195">
        <v>54</v>
      </c>
      <c r="L195">
        <v>55</v>
      </c>
      <c r="M195" t="s">
        <v>408</v>
      </c>
      <c r="N195" t="s">
        <v>408</v>
      </c>
      <c r="O195" t="s">
        <v>408</v>
      </c>
      <c r="P195">
        <v>55.1</v>
      </c>
      <c r="Q195">
        <v>56</v>
      </c>
      <c r="R195">
        <v>56</v>
      </c>
      <c r="S195">
        <v>56</v>
      </c>
      <c r="T195" t="s">
        <v>408</v>
      </c>
      <c r="U195">
        <v>55</v>
      </c>
      <c r="V195" t="s">
        <v>408</v>
      </c>
      <c r="W195" t="s">
        <v>408</v>
      </c>
      <c r="X195" t="s">
        <v>408</v>
      </c>
      <c r="Y195" t="s">
        <v>408</v>
      </c>
      <c r="Z195" t="s">
        <v>408</v>
      </c>
      <c r="AA195" s="13">
        <v>18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1:53" ht="32.25" hidden="1" customHeight="1">
      <c r="A196" s="14">
        <v>67</v>
      </c>
      <c r="B196" t="s">
        <v>408</v>
      </c>
      <c r="C196" t="s">
        <v>408</v>
      </c>
      <c r="D196">
        <v>113</v>
      </c>
      <c r="E196">
        <v>112</v>
      </c>
      <c r="F196">
        <v>109</v>
      </c>
      <c r="G196">
        <v>56</v>
      </c>
      <c r="H196">
        <v>56.1</v>
      </c>
      <c r="I196">
        <v>56</v>
      </c>
      <c r="J196">
        <v>55</v>
      </c>
      <c r="K196">
        <v>53</v>
      </c>
      <c r="L196" t="s">
        <v>408</v>
      </c>
      <c r="M196">
        <v>55</v>
      </c>
      <c r="N196">
        <v>53</v>
      </c>
      <c r="O196" t="s">
        <v>408</v>
      </c>
      <c r="P196">
        <v>55</v>
      </c>
      <c r="Q196" t="s">
        <v>408</v>
      </c>
      <c r="R196" t="s">
        <v>408</v>
      </c>
      <c r="S196" t="s">
        <v>408</v>
      </c>
      <c r="T196">
        <v>55</v>
      </c>
      <c r="U196" t="s">
        <v>408</v>
      </c>
      <c r="V196">
        <v>56</v>
      </c>
      <c r="W196">
        <v>56</v>
      </c>
      <c r="X196" t="s">
        <v>408</v>
      </c>
      <c r="Y196" t="s">
        <v>408</v>
      </c>
      <c r="Z196" t="s">
        <v>408</v>
      </c>
      <c r="AA196" s="13">
        <v>17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1:53" ht="32.25" hidden="1" customHeight="1">
      <c r="A197" s="14">
        <v>66</v>
      </c>
      <c r="B197">
        <v>114</v>
      </c>
      <c r="C197">
        <v>112.1</v>
      </c>
      <c r="D197">
        <v>112</v>
      </c>
      <c r="E197">
        <v>111</v>
      </c>
      <c r="F197">
        <v>108.1</v>
      </c>
      <c r="G197" t="s">
        <v>408</v>
      </c>
      <c r="H197" t="s">
        <v>408</v>
      </c>
      <c r="I197" t="s">
        <v>408</v>
      </c>
      <c r="J197" t="s">
        <v>408</v>
      </c>
      <c r="K197" t="s">
        <v>408</v>
      </c>
      <c r="L197">
        <v>54</v>
      </c>
      <c r="M197" t="s">
        <v>408</v>
      </c>
      <c r="N197" t="s">
        <v>408</v>
      </c>
      <c r="O197">
        <v>55</v>
      </c>
      <c r="P197" t="s">
        <v>408</v>
      </c>
      <c r="Q197">
        <v>55</v>
      </c>
      <c r="R197">
        <v>55</v>
      </c>
      <c r="S197">
        <v>55.1</v>
      </c>
      <c r="T197">
        <v>54.1</v>
      </c>
      <c r="U197">
        <v>54</v>
      </c>
      <c r="V197" t="s">
        <v>408</v>
      </c>
      <c r="W197" t="s">
        <v>408</v>
      </c>
      <c r="X197" t="s">
        <v>408</v>
      </c>
      <c r="Y197" t="s">
        <v>408</v>
      </c>
      <c r="Z197" t="s">
        <v>408</v>
      </c>
      <c r="AA197" s="13">
        <v>16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1:53" ht="32.25" hidden="1" customHeight="1">
      <c r="A198" s="14">
        <v>65</v>
      </c>
      <c r="B198">
        <v>113</v>
      </c>
      <c r="C198" t="s">
        <v>408</v>
      </c>
      <c r="D198">
        <v>111</v>
      </c>
      <c r="E198">
        <v>110.1</v>
      </c>
      <c r="F198">
        <v>108</v>
      </c>
      <c r="G198" t="s">
        <v>408</v>
      </c>
      <c r="H198">
        <v>56</v>
      </c>
      <c r="I198">
        <v>55</v>
      </c>
      <c r="J198">
        <v>54</v>
      </c>
      <c r="K198">
        <v>52.1</v>
      </c>
      <c r="L198" t="s">
        <v>408</v>
      </c>
      <c r="M198">
        <v>54</v>
      </c>
      <c r="N198">
        <v>52</v>
      </c>
      <c r="O198" t="s">
        <v>408</v>
      </c>
      <c r="P198">
        <v>54</v>
      </c>
      <c r="Q198" t="s">
        <v>408</v>
      </c>
      <c r="R198" t="s">
        <v>408</v>
      </c>
      <c r="S198" t="s">
        <v>408</v>
      </c>
      <c r="T198" t="s">
        <v>408</v>
      </c>
      <c r="U198" t="s">
        <v>408</v>
      </c>
      <c r="V198">
        <v>55.1</v>
      </c>
      <c r="W198" t="s">
        <v>408</v>
      </c>
      <c r="X198" t="s">
        <v>408</v>
      </c>
      <c r="Y198" t="s">
        <v>408</v>
      </c>
      <c r="Z198" t="s">
        <v>408</v>
      </c>
      <c r="AA198" s="13">
        <v>15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1:53" ht="32.25" hidden="1" customHeight="1">
      <c r="A199" s="14">
        <v>64</v>
      </c>
      <c r="B199" t="s">
        <v>408</v>
      </c>
      <c r="C199">
        <v>112</v>
      </c>
      <c r="D199">
        <v>110</v>
      </c>
      <c r="E199">
        <v>110</v>
      </c>
      <c r="F199">
        <v>107</v>
      </c>
      <c r="G199">
        <v>55</v>
      </c>
      <c r="H199" t="s">
        <v>408</v>
      </c>
      <c r="I199" t="s">
        <v>408</v>
      </c>
      <c r="J199" t="s">
        <v>408</v>
      </c>
      <c r="K199">
        <v>52</v>
      </c>
      <c r="L199">
        <v>53</v>
      </c>
      <c r="M199" t="s">
        <v>408</v>
      </c>
      <c r="N199" t="s">
        <v>408</v>
      </c>
      <c r="O199" t="s">
        <v>408</v>
      </c>
      <c r="P199" t="s">
        <v>408</v>
      </c>
      <c r="Q199">
        <v>54</v>
      </c>
      <c r="R199" t="s">
        <v>408</v>
      </c>
      <c r="S199">
        <v>55</v>
      </c>
      <c r="T199">
        <v>54</v>
      </c>
      <c r="U199">
        <v>53</v>
      </c>
      <c r="V199" t="s">
        <v>408</v>
      </c>
      <c r="W199" t="s">
        <v>408</v>
      </c>
      <c r="X199" t="s">
        <v>408</v>
      </c>
      <c r="Y199" t="s">
        <v>408</v>
      </c>
      <c r="Z199" t="s">
        <v>408</v>
      </c>
      <c r="AA199" s="13">
        <v>14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1:53" ht="32.25" hidden="1" customHeight="1">
      <c r="A200" s="14">
        <v>63</v>
      </c>
      <c r="B200">
        <v>112</v>
      </c>
      <c r="C200" t="s">
        <v>408</v>
      </c>
      <c r="D200" t="s">
        <v>408</v>
      </c>
      <c r="E200" t="s">
        <v>408</v>
      </c>
      <c r="F200">
        <v>106</v>
      </c>
      <c r="G200" t="s">
        <v>408</v>
      </c>
      <c r="H200">
        <v>55</v>
      </c>
      <c r="I200">
        <v>54</v>
      </c>
      <c r="J200" t="s">
        <v>408</v>
      </c>
      <c r="K200" t="s">
        <v>408</v>
      </c>
      <c r="L200" t="s">
        <v>408</v>
      </c>
      <c r="M200">
        <v>53</v>
      </c>
      <c r="N200">
        <v>51</v>
      </c>
      <c r="O200" t="s">
        <v>408</v>
      </c>
      <c r="P200" t="s">
        <v>408</v>
      </c>
      <c r="Q200" t="s">
        <v>408</v>
      </c>
      <c r="R200">
        <v>54</v>
      </c>
      <c r="S200" t="s">
        <v>408</v>
      </c>
      <c r="T200" t="s">
        <v>408</v>
      </c>
      <c r="U200" t="s">
        <v>408</v>
      </c>
      <c r="V200" t="s">
        <v>408</v>
      </c>
      <c r="W200">
        <v>55</v>
      </c>
      <c r="X200" t="s">
        <v>408</v>
      </c>
      <c r="Y200" t="s">
        <v>408</v>
      </c>
      <c r="Z200" t="s">
        <v>408</v>
      </c>
      <c r="AA200" s="13">
        <v>13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1:53" ht="32.25" hidden="1" customHeight="1">
      <c r="A201" s="14">
        <v>62</v>
      </c>
      <c r="B201" t="s">
        <v>408</v>
      </c>
      <c r="C201">
        <v>111</v>
      </c>
      <c r="D201">
        <v>109</v>
      </c>
      <c r="E201">
        <v>109</v>
      </c>
      <c r="F201">
        <v>105</v>
      </c>
      <c r="G201" t="s">
        <v>408</v>
      </c>
      <c r="H201" t="s">
        <v>408</v>
      </c>
      <c r="I201" t="s">
        <v>408</v>
      </c>
      <c r="J201">
        <v>53.1</v>
      </c>
      <c r="K201">
        <v>51</v>
      </c>
      <c r="L201">
        <v>52</v>
      </c>
      <c r="M201" t="s">
        <v>408</v>
      </c>
      <c r="N201" t="s">
        <v>408</v>
      </c>
      <c r="O201">
        <v>54</v>
      </c>
      <c r="P201">
        <v>53</v>
      </c>
      <c r="Q201">
        <v>53</v>
      </c>
      <c r="R201" t="s">
        <v>408</v>
      </c>
      <c r="S201">
        <v>54</v>
      </c>
      <c r="T201">
        <v>53</v>
      </c>
      <c r="U201">
        <v>52</v>
      </c>
      <c r="V201">
        <v>55</v>
      </c>
      <c r="W201" t="s">
        <v>408</v>
      </c>
      <c r="X201" t="s">
        <v>408</v>
      </c>
      <c r="Y201" t="s">
        <v>408</v>
      </c>
      <c r="Z201" t="s">
        <v>408</v>
      </c>
      <c r="AA201" s="13">
        <v>12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1:53" ht="32.25" hidden="1" customHeight="1">
      <c r="A202" s="14">
        <v>61</v>
      </c>
      <c r="B202">
        <v>111</v>
      </c>
      <c r="C202" t="s">
        <v>408</v>
      </c>
      <c r="D202">
        <v>108.1</v>
      </c>
      <c r="E202">
        <v>108</v>
      </c>
      <c r="F202">
        <v>103.1</v>
      </c>
      <c r="G202">
        <v>54.1</v>
      </c>
      <c r="H202">
        <v>54.1</v>
      </c>
      <c r="I202">
        <v>53.1</v>
      </c>
      <c r="J202" t="s">
        <v>408</v>
      </c>
      <c r="K202" t="s">
        <v>408</v>
      </c>
      <c r="L202" t="s">
        <v>408</v>
      </c>
      <c r="M202" t="s">
        <v>408</v>
      </c>
      <c r="N202">
        <v>50.1</v>
      </c>
      <c r="O202" t="s">
        <v>408</v>
      </c>
      <c r="P202">
        <v>52</v>
      </c>
      <c r="Q202" t="s">
        <v>408</v>
      </c>
      <c r="R202">
        <v>53.1</v>
      </c>
      <c r="S202" t="s">
        <v>408</v>
      </c>
      <c r="T202" t="s">
        <v>408</v>
      </c>
      <c r="U202" t="s">
        <v>408</v>
      </c>
      <c r="V202" t="s">
        <v>408</v>
      </c>
      <c r="W202" t="s">
        <v>408</v>
      </c>
      <c r="X202" t="s">
        <v>408</v>
      </c>
      <c r="Y202" t="s">
        <v>408</v>
      </c>
      <c r="Z202" t="s">
        <v>408</v>
      </c>
      <c r="AA202" s="13">
        <v>11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1:53" ht="32.25" hidden="1" customHeight="1">
      <c r="A203" s="14">
        <v>60</v>
      </c>
      <c r="B203" t="s">
        <v>408</v>
      </c>
      <c r="C203">
        <v>110</v>
      </c>
      <c r="D203">
        <v>108</v>
      </c>
      <c r="E203">
        <v>107</v>
      </c>
      <c r="F203" t="s">
        <v>408</v>
      </c>
      <c r="G203" t="s">
        <v>408</v>
      </c>
      <c r="H203" t="s">
        <v>408</v>
      </c>
      <c r="I203" t="s">
        <v>408</v>
      </c>
      <c r="J203">
        <v>53</v>
      </c>
      <c r="K203">
        <v>50</v>
      </c>
      <c r="L203">
        <v>51.1</v>
      </c>
      <c r="M203">
        <v>52.1</v>
      </c>
      <c r="N203" t="s">
        <v>408</v>
      </c>
      <c r="O203" t="s">
        <v>408</v>
      </c>
      <c r="P203" t="s">
        <v>408</v>
      </c>
      <c r="Q203">
        <v>52.1</v>
      </c>
      <c r="R203" t="s">
        <v>408</v>
      </c>
      <c r="S203" t="s">
        <v>408</v>
      </c>
      <c r="T203">
        <v>52</v>
      </c>
      <c r="U203">
        <v>51.1</v>
      </c>
      <c r="V203">
        <v>54</v>
      </c>
      <c r="W203">
        <v>54</v>
      </c>
      <c r="X203" t="s">
        <v>408</v>
      </c>
      <c r="Y203" t="s">
        <v>408</v>
      </c>
      <c r="Z203" t="s">
        <v>408</v>
      </c>
      <c r="AA203" s="13">
        <v>10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ht="32.25" hidden="1" customHeight="1">
      <c r="A204" s="14">
        <v>59</v>
      </c>
      <c r="B204">
        <v>110</v>
      </c>
      <c r="C204">
        <v>109</v>
      </c>
      <c r="D204">
        <v>107</v>
      </c>
      <c r="E204">
        <v>106.1</v>
      </c>
      <c r="F204">
        <v>103</v>
      </c>
      <c r="G204">
        <v>54</v>
      </c>
      <c r="H204">
        <v>54</v>
      </c>
      <c r="I204" t="s">
        <v>408</v>
      </c>
      <c r="J204" t="s">
        <v>408</v>
      </c>
      <c r="K204" t="s">
        <v>408</v>
      </c>
      <c r="L204" t="s">
        <v>408</v>
      </c>
      <c r="M204" t="s">
        <v>408</v>
      </c>
      <c r="N204" t="s">
        <v>408</v>
      </c>
      <c r="O204">
        <v>53</v>
      </c>
      <c r="P204" t="s">
        <v>408</v>
      </c>
      <c r="Q204" t="s">
        <v>408</v>
      </c>
      <c r="R204">
        <v>53</v>
      </c>
      <c r="S204">
        <v>53</v>
      </c>
      <c r="T204" t="s">
        <v>408</v>
      </c>
      <c r="U204" t="s">
        <v>408</v>
      </c>
      <c r="V204" t="s">
        <v>408</v>
      </c>
      <c r="W204" t="s">
        <v>408</v>
      </c>
      <c r="X204" t="s">
        <v>408</v>
      </c>
      <c r="Y204" t="s">
        <v>408</v>
      </c>
      <c r="Z204" t="s">
        <v>408</v>
      </c>
      <c r="AA204" s="13">
        <v>9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1:53" ht="32.25" hidden="1" customHeight="1">
      <c r="A205" s="14">
        <v>58</v>
      </c>
      <c r="B205">
        <v>109.1</v>
      </c>
      <c r="C205" t="s">
        <v>408</v>
      </c>
      <c r="D205">
        <v>106</v>
      </c>
      <c r="E205">
        <v>106</v>
      </c>
      <c r="F205">
        <v>102</v>
      </c>
      <c r="G205" t="s">
        <v>408</v>
      </c>
      <c r="H205" t="s">
        <v>408</v>
      </c>
      <c r="I205">
        <v>53</v>
      </c>
      <c r="J205" t="s">
        <v>408</v>
      </c>
      <c r="K205" t="s">
        <v>408</v>
      </c>
      <c r="L205">
        <v>51</v>
      </c>
      <c r="M205">
        <v>52</v>
      </c>
      <c r="N205">
        <v>50</v>
      </c>
      <c r="O205" t="s">
        <v>408</v>
      </c>
      <c r="P205">
        <v>51</v>
      </c>
      <c r="Q205">
        <v>52</v>
      </c>
      <c r="R205" t="s">
        <v>408</v>
      </c>
      <c r="S205">
        <v>52.1</v>
      </c>
      <c r="T205">
        <v>51</v>
      </c>
      <c r="U205">
        <v>51</v>
      </c>
      <c r="V205">
        <v>53</v>
      </c>
      <c r="W205">
        <v>53</v>
      </c>
      <c r="X205" t="s">
        <v>408</v>
      </c>
      <c r="Y205" t="s">
        <v>408</v>
      </c>
      <c r="Z205" t="s">
        <v>408</v>
      </c>
      <c r="AA205" s="13">
        <v>8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1:53" ht="32.25" hidden="1" customHeight="1">
      <c r="A206" s="14">
        <v>57</v>
      </c>
      <c r="B206" t="s">
        <v>408</v>
      </c>
      <c r="C206">
        <v>108</v>
      </c>
      <c r="D206">
        <v>105</v>
      </c>
      <c r="E206">
        <v>105</v>
      </c>
      <c r="F206">
        <v>101</v>
      </c>
      <c r="G206">
        <v>53</v>
      </c>
      <c r="H206">
        <v>53</v>
      </c>
      <c r="I206" t="s">
        <v>408</v>
      </c>
      <c r="J206">
        <v>52</v>
      </c>
      <c r="K206" t="s">
        <v>408</v>
      </c>
      <c r="L206" t="s">
        <v>408</v>
      </c>
      <c r="M206" t="s">
        <v>408</v>
      </c>
      <c r="N206" t="s">
        <v>408</v>
      </c>
      <c r="O206">
        <v>52</v>
      </c>
      <c r="P206" t="s">
        <v>408</v>
      </c>
      <c r="Q206" t="s">
        <v>408</v>
      </c>
      <c r="R206">
        <v>52</v>
      </c>
      <c r="S206" t="s">
        <v>408</v>
      </c>
      <c r="T206" t="s">
        <v>408</v>
      </c>
      <c r="U206" t="s">
        <v>408</v>
      </c>
      <c r="V206" t="s">
        <v>408</v>
      </c>
      <c r="W206" t="s">
        <v>408</v>
      </c>
      <c r="X206" t="s">
        <v>408</v>
      </c>
      <c r="Y206" t="s">
        <v>408</v>
      </c>
      <c r="Z206" t="s">
        <v>408</v>
      </c>
      <c r="AA206" s="13">
        <v>7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1:53" ht="32.25" hidden="1" customHeight="1">
      <c r="A207" s="14">
        <v>56</v>
      </c>
      <c r="B207">
        <v>109</v>
      </c>
      <c r="C207" t="s">
        <v>408</v>
      </c>
      <c r="D207">
        <v>104</v>
      </c>
      <c r="E207">
        <v>104</v>
      </c>
      <c r="F207" t="s">
        <v>408</v>
      </c>
      <c r="G207" t="s">
        <v>408</v>
      </c>
      <c r="H207" t="s">
        <v>408</v>
      </c>
      <c r="I207">
        <v>52</v>
      </c>
      <c r="J207" t="s">
        <v>408</v>
      </c>
      <c r="K207">
        <v>49</v>
      </c>
      <c r="L207" t="s">
        <v>408</v>
      </c>
      <c r="M207">
        <v>51</v>
      </c>
      <c r="N207" t="s">
        <v>408</v>
      </c>
      <c r="O207" t="s">
        <v>408</v>
      </c>
      <c r="P207">
        <v>50</v>
      </c>
      <c r="Q207">
        <v>51</v>
      </c>
      <c r="R207" t="s">
        <v>408</v>
      </c>
      <c r="S207">
        <v>52</v>
      </c>
      <c r="T207" t="s">
        <v>408</v>
      </c>
      <c r="U207">
        <v>50</v>
      </c>
      <c r="V207">
        <v>52.1</v>
      </c>
      <c r="W207">
        <v>52.1</v>
      </c>
      <c r="X207" t="s">
        <v>408</v>
      </c>
      <c r="Y207" t="s">
        <v>408</v>
      </c>
      <c r="Z207" t="s">
        <v>408</v>
      </c>
      <c r="AA207" s="13">
        <v>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3" ht="32.25" hidden="1" customHeight="1">
      <c r="A208" s="14">
        <v>55</v>
      </c>
      <c r="B208">
        <v>108</v>
      </c>
      <c r="C208">
        <v>107.1</v>
      </c>
      <c r="D208">
        <v>103.1</v>
      </c>
      <c r="E208">
        <v>103</v>
      </c>
      <c r="F208">
        <v>100</v>
      </c>
      <c r="G208">
        <v>52</v>
      </c>
      <c r="H208">
        <v>52</v>
      </c>
      <c r="I208" t="s">
        <v>408</v>
      </c>
      <c r="J208" t="s">
        <v>408</v>
      </c>
      <c r="K208" t="s">
        <v>408</v>
      </c>
      <c r="L208">
        <v>50</v>
      </c>
      <c r="M208" t="s">
        <v>408</v>
      </c>
      <c r="N208">
        <v>49</v>
      </c>
      <c r="O208" t="s">
        <v>408</v>
      </c>
      <c r="P208" t="s">
        <v>408</v>
      </c>
      <c r="Q208">
        <v>50</v>
      </c>
      <c r="R208">
        <v>51</v>
      </c>
      <c r="S208" t="s">
        <v>408</v>
      </c>
      <c r="T208">
        <v>50.1</v>
      </c>
      <c r="U208" t="s">
        <v>408</v>
      </c>
      <c r="V208" t="s">
        <v>408</v>
      </c>
      <c r="W208" t="s">
        <v>408</v>
      </c>
      <c r="X208" t="s">
        <v>408</v>
      </c>
      <c r="Y208" t="s">
        <v>408</v>
      </c>
      <c r="Z208" t="s">
        <v>408</v>
      </c>
      <c r="AA208" s="13">
        <v>5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1:53" ht="32.25" hidden="1" customHeight="1">
      <c r="A209" s="14">
        <v>54</v>
      </c>
      <c r="B209" t="s">
        <v>408</v>
      </c>
      <c r="C209" t="s">
        <v>408</v>
      </c>
      <c r="D209">
        <v>103</v>
      </c>
      <c r="E209">
        <v>102</v>
      </c>
      <c r="F209">
        <v>99.1</v>
      </c>
      <c r="G209" t="s">
        <v>408</v>
      </c>
      <c r="H209" t="s">
        <v>408</v>
      </c>
      <c r="I209">
        <v>51</v>
      </c>
      <c r="J209">
        <v>51</v>
      </c>
      <c r="K209" t="s">
        <v>408</v>
      </c>
      <c r="L209" t="s">
        <v>408</v>
      </c>
      <c r="M209" t="s">
        <v>408</v>
      </c>
      <c r="N209" t="s">
        <v>408</v>
      </c>
      <c r="O209">
        <v>51</v>
      </c>
      <c r="P209">
        <v>49.1</v>
      </c>
      <c r="Q209" t="s">
        <v>408</v>
      </c>
      <c r="R209" t="s">
        <v>408</v>
      </c>
      <c r="S209">
        <v>51</v>
      </c>
      <c r="T209" t="s">
        <v>408</v>
      </c>
      <c r="U209">
        <v>49</v>
      </c>
      <c r="V209">
        <v>52</v>
      </c>
      <c r="W209">
        <v>52</v>
      </c>
      <c r="X209" t="s">
        <v>408</v>
      </c>
      <c r="Y209" t="s">
        <v>408</v>
      </c>
      <c r="Z209" t="s">
        <v>408</v>
      </c>
      <c r="AA209" s="13">
        <v>4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1:53" ht="32.25" hidden="1" customHeight="1">
      <c r="A210" s="14">
        <v>53</v>
      </c>
      <c r="B210">
        <v>107</v>
      </c>
      <c r="C210">
        <v>107</v>
      </c>
      <c r="D210">
        <v>102</v>
      </c>
      <c r="E210">
        <v>101.1</v>
      </c>
      <c r="F210">
        <v>99</v>
      </c>
      <c r="G210">
        <v>51</v>
      </c>
      <c r="H210">
        <v>51.1</v>
      </c>
      <c r="I210" t="s">
        <v>408</v>
      </c>
      <c r="J210" t="s">
        <v>408</v>
      </c>
      <c r="K210">
        <v>48.1</v>
      </c>
      <c r="L210" t="s">
        <v>408</v>
      </c>
      <c r="M210">
        <v>50</v>
      </c>
      <c r="N210" t="s">
        <v>408</v>
      </c>
      <c r="O210" t="s">
        <v>408</v>
      </c>
      <c r="P210" t="s">
        <v>408</v>
      </c>
      <c r="Q210">
        <v>49.1</v>
      </c>
      <c r="R210">
        <v>50</v>
      </c>
      <c r="S210" t="s">
        <v>408</v>
      </c>
      <c r="T210">
        <v>50</v>
      </c>
      <c r="U210" t="s">
        <v>408</v>
      </c>
      <c r="V210" t="s">
        <v>408</v>
      </c>
      <c r="W210" t="s">
        <v>408</v>
      </c>
      <c r="X210" t="s">
        <v>408</v>
      </c>
      <c r="Y210" t="s">
        <v>408</v>
      </c>
      <c r="Z210" t="s">
        <v>408</v>
      </c>
      <c r="AA210" s="13">
        <v>3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1:53" ht="32.25" hidden="1" customHeight="1">
      <c r="A211" s="14">
        <v>52</v>
      </c>
      <c r="B211" t="s">
        <v>408</v>
      </c>
      <c r="C211">
        <v>106</v>
      </c>
      <c r="D211">
        <v>101</v>
      </c>
      <c r="E211">
        <v>101</v>
      </c>
      <c r="F211" t="s">
        <v>408</v>
      </c>
      <c r="G211" t="s">
        <v>408</v>
      </c>
      <c r="H211">
        <v>51</v>
      </c>
      <c r="I211" t="s">
        <v>408</v>
      </c>
      <c r="J211" t="s">
        <v>408</v>
      </c>
      <c r="K211" t="s">
        <v>408</v>
      </c>
      <c r="L211">
        <v>49</v>
      </c>
      <c r="M211" t="s">
        <v>408</v>
      </c>
      <c r="N211">
        <v>48</v>
      </c>
      <c r="O211" t="s">
        <v>408</v>
      </c>
      <c r="P211" t="s">
        <v>408</v>
      </c>
      <c r="Q211" t="s">
        <v>408</v>
      </c>
      <c r="R211" t="s">
        <v>408</v>
      </c>
      <c r="S211">
        <v>50</v>
      </c>
      <c r="T211" t="s">
        <v>408</v>
      </c>
      <c r="U211" t="s">
        <v>408</v>
      </c>
      <c r="V211">
        <v>51</v>
      </c>
      <c r="W211" t="s">
        <v>408</v>
      </c>
      <c r="X211" t="s">
        <v>408</v>
      </c>
      <c r="Y211" t="s">
        <v>408</v>
      </c>
      <c r="Z211" t="s">
        <v>408</v>
      </c>
      <c r="AA211" s="13">
        <v>2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1:53" ht="32.25" hidden="1" customHeight="1">
      <c r="A212" s="14">
        <v>51</v>
      </c>
      <c r="B212">
        <v>106</v>
      </c>
      <c r="C212">
        <v>105</v>
      </c>
      <c r="D212">
        <v>100</v>
      </c>
      <c r="E212">
        <v>100</v>
      </c>
      <c r="F212">
        <v>98</v>
      </c>
      <c r="G212">
        <v>50.1</v>
      </c>
      <c r="H212" t="s">
        <v>408</v>
      </c>
      <c r="I212">
        <v>50</v>
      </c>
      <c r="J212">
        <v>50</v>
      </c>
      <c r="K212" t="s">
        <v>408</v>
      </c>
      <c r="L212" t="s">
        <v>408</v>
      </c>
      <c r="M212">
        <v>49</v>
      </c>
      <c r="N212" t="s">
        <v>408</v>
      </c>
      <c r="O212">
        <v>50</v>
      </c>
      <c r="P212">
        <v>49</v>
      </c>
      <c r="Q212">
        <v>49</v>
      </c>
      <c r="R212">
        <v>49.1</v>
      </c>
      <c r="S212">
        <v>49.1</v>
      </c>
      <c r="T212" t="s">
        <v>408</v>
      </c>
      <c r="U212">
        <v>48.1</v>
      </c>
      <c r="V212">
        <v>50</v>
      </c>
      <c r="W212">
        <v>51</v>
      </c>
      <c r="X212" t="s">
        <v>408</v>
      </c>
      <c r="Y212" t="s">
        <v>408</v>
      </c>
      <c r="Z212" t="s">
        <v>408</v>
      </c>
      <c r="AA212" s="13">
        <v>1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1:53" ht="32.25" hidden="1" customHeight="1">
      <c r="A213" s="14">
        <v>50</v>
      </c>
      <c r="B213">
        <v>105</v>
      </c>
      <c r="C213" t="s">
        <v>408</v>
      </c>
      <c r="D213">
        <v>99</v>
      </c>
      <c r="E213">
        <v>99</v>
      </c>
      <c r="F213">
        <v>97</v>
      </c>
      <c r="G213" t="s">
        <v>408</v>
      </c>
      <c r="H213">
        <v>50</v>
      </c>
      <c r="I213">
        <v>49</v>
      </c>
      <c r="J213" t="s">
        <v>408</v>
      </c>
      <c r="K213">
        <v>48</v>
      </c>
      <c r="L213">
        <v>48</v>
      </c>
      <c r="M213" t="s">
        <v>408</v>
      </c>
      <c r="N213" t="s">
        <v>408</v>
      </c>
      <c r="O213" t="s">
        <v>408</v>
      </c>
      <c r="P213" t="s">
        <v>408</v>
      </c>
      <c r="Q213" t="s">
        <v>408</v>
      </c>
      <c r="R213" t="s">
        <v>408</v>
      </c>
      <c r="S213" t="s">
        <v>408</v>
      </c>
      <c r="T213">
        <v>49</v>
      </c>
      <c r="U213">
        <v>48</v>
      </c>
      <c r="V213" t="s">
        <v>408</v>
      </c>
      <c r="W213">
        <v>50</v>
      </c>
      <c r="X213" t="s">
        <v>408</v>
      </c>
      <c r="Y213" t="s">
        <v>408</v>
      </c>
      <c r="Z213" t="s">
        <v>408</v>
      </c>
      <c r="AA213" s="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1:53" ht="32.25" hidden="1" customHeight="1">
      <c r="A214" s="14">
        <v>49</v>
      </c>
      <c r="B214">
        <v>104.1</v>
      </c>
      <c r="C214">
        <v>104</v>
      </c>
      <c r="D214">
        <v>98</v>
      </c>
      <c r="E214">
        <v>98</v>
      </c>
      <c r="F214">
        <v>96</v>
      </c>
      <c r="G214">
        <v>50</v>
      </c>
      <c r="H214">
        <v>49.1</v>
      </c>
      <c r="I214" t="s">
        <v>408</v>
      </c>
      <c r="J214">
        <v>49</v>
      </c>
      <c r="K214" t="s">
        <v>408</v>
      </c>
      <c r="L214" t="s">
        <v>408</v>
      </c>
      <c r="M214">
        <v>48</v>
      </c>
      <c r="N214">
        <v>47</v>
      </c>
      <c r="O214">
        <v>49</v>
      </c>
      <c r="P214">
        <v>48</v>
      </c>
      <c r="Q214">
        <v>48</v>
      </c>
      <c r="R214">
        <v>49</v>
      </c>
      <c r="S214">
        <v>49</v>
      </c>
      <c r="T214" t="s">
        <v>408</v>
      </c>
      <c r="U214" t="s">
        <v>408</v>
      </c>
      <c r="V214">
        <v>49</v>
      </c>
      <c r="W214" t="s">
        <v>408</v>
      </c>
      <c r="X214" t="s">
        <v>408</v>
      </c>
      <c r="Y214" t="s">
        <v>408</v>
      </c>
      <c r="Z214" t="s">
        <v>408</v>
      </c>
      <c r="AA214" s="13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1:53" ht="32.25" hidden="1" customHeight="1">
      <c r="A215" s="14">
        <v>48</v>
      </c>
      <c r="B215" t="s">
        <v>408</v>
      </c>
      <c r="C215">
        <v>103</v>
      </c>
      <c r="D215">
        <v>97</v>
      </c>
      <c r="E215">
        <v>97</v>
      </c>
      <c r="F215" t="s">
        <v>408</v>
      </c>
      <c r="G215" t="s">
        <v>408</v>
      </c>
      <c r="H215" t="s">
        <v>408</v>
      </c>
      <c r="I215" t="s">
        <v>408</v>
      </c>
      <c r="J215" t="s">
        <v>408</v>
      </c>
      <c r="K215" t="s">
        <v>408</v>
      </c>
      <c r="L215" t="s">
        <v>408</v>
      </c>
      <c r="M215" t="s">
        <v>408</v>
      </c>
      <c r="N215" t="s">
        <v>408</v>
      </c>
      <c r="O215" t="s">
        <v>408</v>
      </c>
      <c r="P215" t="s">
        <v>408</v>
      </c>
      <c r="Q215" t="s">
        <v>408</v>
      </c>
      <c r="R215" t="s">
        <v>408</v>
      </c>
      <c r="S215">
        <v>48</v>
      </c>
      <c r="T215">
        <v>48</v>
      </c>
      <c r="U215">
        <v>47</v>
      </c>
      <c r="V215" t="s">
        <v>408</v>
      </c>
      <c r="W215">
        <v>49</v>
      </c>
      <c r="X215" t="s">
        <v>408</v>
      </c>
      <c r="Y215" t="s">
        <v>408</v>
      </c>
      <c r="Z215" t="s">
        <v>408</v>
      </c>
      <c r="AA215" s="13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1:53" ht="32.25" hidden="1" customHeight="1">
      <c r="A216" s="14">
        <v>47</v>
      </c>
      <c r="B216">
        <v>104</v>
      </c>
      <c r="C216" t="s">
        <v>408</v>
      </c>
      <c r="D216">
        <v>96</v>
      </c>
      <c r="E216" t="s">
        <v>408</v>
      </c>
      <c r="F216">
        <v>95</v>
      </c>
      <c r="G216">
        <v>49</v>
      </c>
      <c r="H216">
        <v>49</v>
      </c>
      <c r="I216">
        <v>48.1</v>
      </c>
      <c r="J216" t="s">
        <v>408</v>
      </c>
      <c r="K216">
        <v>47</v>
      </c>
      <c r="L216">
        <v>47</v>
      </c>
      <c r="M216">
        <v>47</v>
      </c>
      <c r="N216" t="s">
        <v>408</v>
      </c>
      <c r="O216" t="s">
        <v>408</v>
      </c>
      <c r="P216">
        <v>47</v>
      </c>
      <c r="Q216">
        <v>47</v>
      </c>
      <c r="R216">
        <v>48</v>
      </c>
      <c r="S216" t="s">
        <v>408</v>
      </c>
      <c r="T216" t="s">
        <v>408</v>
      </c>
      <c r="U216" t="s">
        <v>408</v>
      </c>
      <c r="V216">
        <v>48.1</v>
      </c>
      <c r="W216" t="s">
        <v>408</v>
      </c>
      <c r="X216" t="s">
        <v>408</v>
      </c>
      <c r="Y216" t="s">
        <v>408</v>
      </c>
      <c r="Z216" t="s">
        <v>408</v>
      </c>
      <c r="AA216" s="13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1:53" ht="32.25" hidden="1" customHeight="1">
      <c r="A217" s="14">
        <v>46</v>
      </c>
      <c r="B217">
        <v>103</v>
      </c>
      <c r="C217">
        <v>102.1</v>
      </c>
      <c r="D217">
        <v>95</v>
      </c>
      <c r="E217">
        <v>96</v>
      </c>
      <c r="F217">
        <v>94</v>
      </c>
      <c r="G217" t="s">
        <v>408</v>
      </c>
      <c r="H217" t="s">
        <v>408</v>
      </c>
      <c r="I217" t="s">
        <v>408</v>
      </c>
      <c r="J217">
        <v>48</v>
      </c>
      <c r="K217" t="s">
        <v>408</v>
      </c>
      <c r="L217" t="s">
        <v>408</v>
      </c>
      <c r="M217" t="s">
        <v>408</v>
      </c>
      <c r="N217">
        <v>46</v>
      </c>
      <c r="O217">
        <v>48</v>
      </c>
      <c r="P217" t="s">
        <v>408</v>
      </c>
      <c r="Q217" t="s">
        <v>408</v>
      </c>
      <c r="R217" t="s">
        <v>408</v>
      </c>
      <c r="S217">
        <v>47</v>
      </c>
      <c r="T217">
        <v>47</v>
      </c>
      <c r="U217">
        <v>46</v>
      </c>
      <c r="V217" t="s">
        <v>408</v>
      </c>
      <c r="W217" t="s">
        <v>408</v>
      </c>
      <c r="X217" t="s">
        <v>408</v>
      </c>
      <c r="Y217" t="s">
        <v>408</v>
      </c>
      <c r="Z217" t="s">
        <v>408</v>
      </c>
      <c r="AA217" s="13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1:53" ht="32.25" hidden="1" customHeight="1">
      <c r="A218" s="14">
        <v>45</v>
      </c>
      <c r="B218" t="s">
        <v>408</v>
      </c>
      <c r="C218" t="s">
        <v>408</v>
      </c>
      <c r="D218" t="s">
        <v>408</v>
      </c>
      <c r="E218">
        <v>95</v>
      </c>
      <c r="F218" t="s">
        <v>408</v>
      </c>
      <c r="G218">
        <v>48</v>
      </c>
      <c r="H218">
        <v>48</v>
      </c>
      <c r="I218">
        <v>48</v>
      </c>
      <c r="J218" t="s">
        <v>408</v>
      </c>
      <c r="K218" t="s">
        <v>408</v>
      </c>
      <c r="L218" t="s">
        <v>408</v>
      </c>
      <c r="M218" t="s">
        <v>408</v>
      </c>
      <c r="N218" t="s">
        <v>408</v>
      </c>
      <c r="O218" t="s">
        <v>408</v>
      </c>
      <c r="P218">
        <v>46</v>
      </c>
      <c r="Q218">
        <v>46</v>
      </c>
      <c r="R218">
        <v>47</v>
      </c>
      <c r="S218" t="s">
        <v>408</v>
      </c>
      <c r="T218" t="s">
        <v>408</v>
      </c>
      <c r="U218" t="s">
        <v>408</v>
      </c>
      <c r="V218">
        <v>48</v>
      </c>
      <c r="W218">
        <v>48</v>
      </c>
      <c r="X218" t="s">
        <v>408</v>
      </c>
      <c r="Y218" t="s">
        <v>408</v>
      </c>
      <c r="Z218" t="s">
        <v>408</v>
      </c>
      <c r="AA218" s="13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1:53" ht="32.25" hidden="1" customHeight="1">
      <c r="A219" s="14">
        <v>44</v>
      </c>
      <c r="B219">
        <v>102</v>
      </c>
      <c r="C219">
        <v>102</v>
      </c>
      <c r="D219">
        <v>94</v>
      </c>
      <c r="E219">
        <v>94</v>
      </c>
      <c r="F219">
        <v>93</v>
      </c>
      <c r="G219" t="s">
        <v>408</v>
      </c>
      <c r="H219" t="s">
        <v>408</v>
      </c>
      <c r="I219" t="s">
        <v>408</v>
      </c>
      <c r="J219" t="s">
        <v>408</v>
      </c>
      <c r="K219">
        <v>46</v>
      </c>
      <c r="L219">
        <v>46.1</v>
      </c>
      <c r="M219">
        <v>46.1</v>
      </c>
      <c r="N219" t="s">
        <v>408</v>
      </c>
      <c r="O219">
        <v>47</v>
      </c>
      <c r="P219" t="s">
        <v>408</v>
      </c>
      <c r="Q219" t="s">
        <v>408</v>
      </c>
      <c r="R219" t="s">
        <v>408</v>
      </c>
      <c r="S219">
        <v>46.1</v>
      </c>
      <c r="T219" t="s">
        <v>408</v>
      </c>
      <c r="U219" t="s">
        <v>408</v>
      </c>
      <c r="V219" t="s">
        <v>408</v>
      </c>
      <c r="W219" t="s">
        <v>408</v>
      </c>
      <c r="X219" t="s">
        <v>408</v>
      </c>
      <c r="Y219" t="s">
        <v>408</v>
      </c>
      <c r="Z219" t="s">
        <v>408</v>
      </c>
      <c r="AA219" s="13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1:53" ht="32.25" hidden="1" customHeight="1">
      <c r="A220" s="14">
        <v>43</v>
      </c>
      <c r="B220" t="s">
        <v>408</v>
      </c>
      <c r="C220" t="s">
        <v>408</v>
      </c>
      <c r="D220">
        <v>93</v>
      </c>
      <c r="E220">
        <v>93</v>
      </c>
      <c r="F220">
        <v>92</v>
      </c>
      <c r="G220">
        <v>47</v>
      </c>
      <c r="H220">
        <v>47</v>
      </c>
      <c r="I220">
        <v>47</v>
      </c>
      <c r="J220">
        <v>47</v>
      </c>
      <c r="K220" t="s">
        <v>408</v>
      </c>
      <c r="L220" t="s">
        <v>408</v>
      </c>
      <c r="M220" t="s">
        <v>408</v>
      </c>
      <c r="N220">
        <v>45.1</v>
      </c>
      <c r="O220" t="s">
        <v>408</v>
      </c>
      <c r="P220" t="s">
        <v>408</v>
      </c>
      <c r="Q220">
        <v>45.1</v>
      </c>
      <c r="R220">
        <v>46.1</v>
      </c>
      <c r="S220">
        <v>46</v>
      </c>
      <c r="T220">
        <v>46.1</v>
      </c>
      <c r="U220">
        <v>45.1</v>
      </c>
      <c r="V220">
        <v>47</v>
      </c>
      <c r="W220">
        <v>47</v>
      </c>
      <c r="X220" t="s">
        <v>408</v>
      </c>
      <c r="Y220" t="s">
        <v>408</v>
      </c>
      <c r="Z220" t="s">
        <v>408</v>
      </c>
      <c r="AA220" s="13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1:53" ht="32.25" hidden="1" customHeight="1">
      <c r="A221" s="14">
        <v>42</v>
      </c>
      <c r="B221">
        <v>101</v>
      </c>
      <c r="C221">
        <v>101</v>
      </c>
      <c r="D221">
        <v>92</v>
      </c>
      <c r="E221">
        <v>92</v>
      </c>
      <c r="F221" t="s">
        <v>408</v>
      </c>
      <c r="G221" t="s">
        <v>408</v>
      </c>
      <c r="H221" t="s">
        <v>408</v>
      </c>
      <c r="I221" t="s">
        <v>408</v>
      </c>
      <c r="J221" t="s">
        <v>408</v>
      </c>
      <c r="K221" t="s">
        <v>408</v>
      </c>
      <c r="L221" t="s">
        <v>408</v>
      </c>
      <c r="M221">
        <v>46</v>
      </c>
      <c r="N221" t="s">
        <v>408</v>
      </c>
      <c r="O221" t="s">
        <v>408</v>
      </c>
      <c r="P221">
        <v>45</v>
      </c>
      <c r="Q221" t="s">
        <v>408</v>
      </c>
      <c r="R221" t="s">
        <v>408</v>
      </c>
      <c r="S221" t="s">
        <v>408</v>
      </c>
      <c r="T221" t="s">
        <v>408</v>
      </c>
      <c r="U221" t="s">
        <v>408</v>
      </c>
      <c r="V221" t="s">
        <v>408</v>
      </c>
      <c r="W221" t="s">
        <v>408</v>
      </c>
      <c r="X221" t="s">
        <v>408</v>
      </c>
      <c r="Y221" t="s">
        <v>408</v>
      </c>
      <c r="Z221" t="s">
        <v>408</v>
      </c>
      <c r="AA221" s="13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1:53" ht="32.25" hidden="1" customHeight="1">
      <c r="A222" s="14">
        <v>41</v>
      </c>
      <c r="B222">
        <v>100</v>
      </c>
      <c r="C222">
        <v>100</v>
      </c>
      <c r="D222">
        <v>91</v>
      </c>
      <c r="E222" t="s">
        <v>408</v>
      </c>
      <c r="F222">
        <v>91</v>
      </c>
      <c r="G222" t="s">
        <v>408</v>
      </c>
      <c r="H222">
        <v>46.1</v>
      </c>
      <c r="I222" t="s">
        <v>408</v>
      </c>
      <c r="J222" t="s">
        <v>408</v>
      </c>
      <c r="K222" t="s">
        <v>408</v>
      </c>
      <c r="L222">
        <v>46</v>
      </c>
      <c r="M222" t="s">
        <v>408</v>
      </c>
      <c r="N222" t="s">
        <v>408</v>
      </c>
      <c r="O222" t="s">
        <v>408</v>
      </c>
      <c r="P222" t="s">
        <v>408</v>
      </c>
      <c r="Q222" t="s">
        <v>408</v>
      </c>
      <c r="R222" t="s">
        <v>408</v>
      </c>
      <c r="S222" t="s">
        <v>408</v>
      </c>
      <c r="T222" t="s">
        <v>408</v>
      </c>
      <c r="U222">
        <v>45</v>
      </c>
      <c r="V222">
        <v>46</v>
      </c>
      <c r="W222" t="s">
        <v>408</v>
      </c>
      <c r="X222" t="s">
        <v>408</v>
      </c>
      <c r="Y222" t="s">
        <v>408</v>
      </c>
      <c r="Z222" t="s">
        <v>408</v>
      </c>
      <c r="AA222" s="13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1:53" ht="32.25" hidden="1" customHeight="1">
      <c r="A223" s="14">
        <v>40</v>
      </c>
      <c r="B223">
        <v>99</v>
      </c>
      <c r="C223">
        <v>99</v>
      </c>
      <c r="D223" t="s">
        <v>408</v>
      </c>
      <c r="E223">
        <v>91</v>
      </c>
      <c r="F223">
        <v>90</v>
      </c>
      <c r="G223">
        <v>46.1</v>
      </c>
      <c r="H223" t="s">
        <v>408</v>
      </c>
      <c r="I223">
        <v>46</v>
      </c>
      <c r="J223">
        <v>46.1</v>
      </c>
      <c r="K223" t="s">
        <v>408</v>
      </c>
      <c r="L223" t="s">
        <v>408</v>
      </c>
      <c r="M223" t="s">
        <v>408</v>
      </c>
      <c r="N223" t="s">
        <v>408</v>
      </c>
      <c r="O223">
        <v>46</v>
      </c>
      <c r="P223" t="s">
        <v>408</v>
      </c>
      <c r="Q223">
        <v>45</v>
      </c>
      <c r="R223">
        <v>46</v>
      </c>
      <c r="S223">
        <v>45</v>
      </c>
      <c r="T223">
        <v>46</v>
      </c>
      <c r="U223" t="s">
        <v>408</v>
      </c>
      <c r="V223" t="s">
        <v>408</v>
      </c>
      <c r="W223">
        <v>46.1</v>
      </c>
      <c r="X223" t="s">
        <v>408</v>
      </c>
      <c r="Y223" t="s">
        <v>408</v>
      </c>
      <c r="Z223" t="s">
        <v>408</v>
      </c>
      <c r="AA223" s="1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1:53" ht="32.25" hidden="1" customHeight="1">
      <c r="A224" s="14">
        <v>39</v>
      </c>
      <c r="B224">
        <v>98.1</v>
      </c>
      <c r="C224">
        <v>98</v>
      </c>
      <c r="D224">
        <v>90.1</v>
      </c>
      <c r="E224">
        <v>90</v>
      </c>
      <c r="F224" t="s">
        <v>408</v>
      </c>
      <c r="G224" t="s">
        <v>408</v>
      </c>
      <c r="H224">
        <v>46</v>
      </c>
      <c r="I224" t="s">
        <v>408</v>
      </c>
      <c r="J224" t="s">
        <v>408</v>
      </c>
      <c r="K224">
        <v>45</v>
      </c>
      <c r="L224" t="s">
        <v>408</v>
      </c>
      <c r="M224">
        <v>45</v>
      </c>
      <c r="N224" t="s">
        <v>408</v>
      </c>
      <c r="O224" t="s">
        <v>408</v>
      </c>
      <c r="P224" t="s">
        <v>408</v>
      </c>
      <c r="Q224" t="s">
        <v>408</v>
      </c>
      <c r="R224" t="s">
        <v>408</v>
      </c>
      <c r="S224" t="s">
        <v>408</v>
      </c>
      <c r="T224" t="s">
        <v>408</v>
      </c>
      <c r="U224" t="s">
        <v>408</v>
      </c>
      <c r="V224">
        <v>45.1</v>
      </c>
      <c r="W224" t="s">
        <v>408</v>
      </c>
      <c r="X224" t="s">
        <v>408</v>
      </c>
      <c r="Y224" t="s">
        <v>408</v>
      </c>
      <c r="Z224" t="s">
        <v>408</v>
      </c>
      <c r="AA224" s="13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1:55" ht="32.25" hidden="1" customHeight="1">
      <c r="A225" s="14">
        <v>38</v>
      </c>
      <c r="B225" t="s">
        <v>408</v>
      </c>
      <c r="C225">
        <v>97.1</v>
      </c>
      <c r="D225">
        <v>90</v>
      </c>
      <c r="E225">
        <v>89</v>
      </c>
      <c r="F225">
        <v>89</v>
      </c>
      <c r="G225">
        <v>46</v>
      </c>
      <c r="H225" t="s">
        <v>408</v>
      </c>
      <c r="I225" t="s">
        <v>408</v>
      </c>
      <c r="J225" t="s">
        <v>408</v>
      </c>
      <c r="K225" t="s">
        <v>408</v>
      </c>
      <c r="L225">
        <v>45</v>
      </c>
      <c r="M225" t="s">
        <v>408</v>
      </c>
      <c r="N225">
        <v>45</v>
      </c>
      <c r="O225" t="s">
        <v>408</v>
      </c>
      <c r="P225" t="s">
        <v>408</v>
      </c>
      <c r="Q225" t="s">
        <v>408</v>
      </c>
      <c r="R225">
        <v>45</v>
      </c>
      <c r="S225">
        <v>44</v>
      </c>
      <c r="T225" t="s">
        <v>408</v>
      </c>
      <c r="U225" t="s">
        <v>408</v>
      </c>
      <c r="V225" t="s">
        <v>408</v>
      </c>
      <c r="W225">
        <v>46</v>
      </c>
      <c r="X225" t="s">
        <v>408</v>
      </c>
      <c r="Y225" t="s">
        <v>408</v>
      </c>
      <c r="Z225" t="s">
        <v>408</v>
      </c>
      <c r="AA225" s="13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1:55" ht="32.25" hidden="1" customHeight="1">
      <c r="A226" s="14">
        <v>37</v>
      </c>
      <c r="B226">
        <v>98</v>
      </c>
      <c r="C226">
        <v>97</v>
      </c>
      <c r="D226" t="s">
        <v>408</v>
      </c>
      <c r="E226" t="s">
        <v>408</v>
      </c>
      <c r="F226">
        <v>88.1</v>
      </c>
      <c r="G226" t="s">
        <v>408</v>
      </c>
      <c r="H226">
        <v>45</v>
      </c>
      <c r="I226">
        <v>45</v>
      </c>
      <c r="J226">
        <v>46</v>
      </c>
      <c r="K226" t="s">
        <v>408</v>
      </c>
      <c r="L226" t="s">
        <v>408</v>
      </c>
      <c r="M226" t="s">
        <v>408</v>
      </c>
      <c r="N226" t="s">
        <v>408</v>
      </c>
      <c r="O226">
        <v>45</v>
      </c>
      <c r="P226">
        <v>44</v>
      </c>
      <c r="Q226">
        <v>44</v>
      </c>
      <c r="R226" t="s">
        <v>408</v>
      </c>
      <c r="S226" t="s">
        <v>408</v>
      </c>
      <c r="T226">
        <v>45</v>
      </c>
      <c r="U226">
        <v>44</v>
      </c>
      <c r="V226" t="s">
        <v>408</v>
      </c>
      <c r="W226" t="s">
        <v>408</v>
      </c>
      <c r="X226" t="s">
        <v>408</v>
      </c>
      <c r="Y226" t="s">
        <v>408</v>
      </c>
      <c r="Z226" t="s">
        <v>408</v>
      </c>
      <c r="AA226" s="13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1:55" ht="32.25" hidden="1" customHeight="1">
      <c r="A227" s="14">
        <v>36</v>
      </c>
      <c r="B227">
        <v>97</v>
      </c>
      <c r="C227" t="s">
        <v>408</v>
      </c>
      <c r="D227">
        <v>89</v>
      </c>
      <c r="E227">
        <v>88.1</v>
      </c>
      <c r="F227" t="s">
        <v>408</v>
      </c>
      <c r="G227">
        <v>45</v>
      </c>
      <c r="H227" t="s">
        <v>408</v>
      </c>
      <c r="I227" t="s">
        <v>408</v>
      </c>
      <c r="J227" t="s">
        <v>408</v>
      </c>
      <c r="K227" t="s">
        <v>408</v>
      </c>
      <c r="L227" t="s">
        <v>408</v>
      </c>
      <c r="M227" t="s">
        <v>408</v>
      </c>
      <c r="N227" t="s">
        <v>408</v>
      </c>
      <c r="O227" t="s">
        <v>408</v>
      </c>
      <c r="P227" t="s">
        <v>408</v>
      </c>
      <c r="Q227" t="s">
        <v>408</v>
      </c>
      <c r="R227" t="s">
        <v>408</v>
      </c>
      <c r="S227" t="s">
        <v>408</v>
      </c>
      <c r="T227" t="s">
        <v>408</v>
      </c>
      <c r="U227" t="s">
        <v>408</v>
      </c>
      <c r="V227">
        <v>45</v>
      </c>
      <c r="W227" t="s">
        <v>408</v>
      </c>
      <c r="X227" t="s">
        <v>408</v>
      </c>
      <c r="Y227" t="s">
        <v>408</v>
      </c>
      <c r="Z227" t="s">
        <v>408</v>
      </c>
      <c r="AA227" s="13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1:55" ht="32.25" hidden="1" customHeight="1">
      <c r="A228" s="14">
        <v>35</v>
      </c>
      <c r="B228">
        <v>96</v>
      </c>
      <c r="C228">
        <v>96</v>
      </c>
      <c r="D228">
        <v>88</v>
      </c>
      <c r="E228">
        <v>88</v>
      </c>
      <c r="F228">
        <v>88</v>
      </c>
      <c r="G228" t="s">
        <v>408</v>
      </c>
      <c r="H228">
        <v>44.1</v>
      </c>
      <c r="I228" t="s">
        <v>408</v>
      </c>
      <c r="J228" t="s">
        <v>408</v>
      </c>
      <c r="K228">
        <v>44.1</v>
      </c>
      <c r="L228" t="s">
        <v>408</v>
      </c>
      <c r="M228">
        <v>44</v>
      </c>
      <c r="N228" t="s">
        <v>408</v>
      </c>
      <c r="O228" t="s">
        <v>408</v>
      </c>
      <c r="P228" t="s">
        <v>408</v>
      </c>
      <c r="Q228" t="s">
        <v>408</v>
      </c>
      <c r="R228">
        <v>44</v>
      </c>
      <c r="S228">
        <v>43.1</v>
      </c>
      <c r="T228" t="s">
        <v>408</v>
      </c>
      <c r="U228" t="s">
        <v>408</v>
      </c>
      <c r="V228" t="s">
        <v>408</v>
      </c>
      <c r="W228">
        <v>45</v>
      </c>
      <c r="X228" t="s">
        <v>408</v>
      </c>
      <c r="Y228" t="s">
        <v>408</v>
      </c>
      <c r="Z228" t="s">
        <v>408</v>
      </c>
      <c r="AA228" s="13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1:55" ht="32.25" hidden="1" customHeight="1">
      <c r="A229" s="14">
        <v>34</v>
      </c>
      <c r="B229" t="s">
        <v>408</v>
      </c>
      <c r="C229">
        <v>95</v>
      </c>
      <c r="D229">
        <v>87</v>
      </c>
      <c r="E229" t="s">
        <v>408</v>
      </c>
      <c r="F229">
        <v>87</v>
      </c>
      <c r="G229">
        <v>44</v>
      </c>
      <c r="H229" t="s">
        <v>408</v>
      </c>
      <c r="I229">
        <v>44</v>
      </c>
      <c r="J229">
        <v>45</v>
      </c>
      <c r="K229" t="s">
        <v>408</v>
      </c>
      <c r="L229">
        <v>44</v>
      </c>
      <c r="M229" t="s">
        <v>408</v>
      </c>
      <c r="N229" t="s">
        <v>408</v>
      </c>
      <c r="O229" t="s">
        <v>408</v>
      </c>
      <c r="P229" t="s">
        <v>408</v>
      </c>
      <c r="Q229">
        <v>43</v>
      </c>
      <c r="R229" t="s">
        <v>408</v>
      </c>
      <c r="S229" t="s">
        <v>408</v>
      </c>
      <c r="T229">
        <v>44</v>
      </c>
      <c r="U229">
        <v>43</v>
      </c>
      <c r="V229">
        <v>44</v>
      </c>
      <c r="W229" t="s">
        <v>408</v>
      </c>
      <c r="X229" t="s">
        <v>408</v>
      </c>
      <c r="Y229" t="s">
        <v>408</v>
      </c>
      <c r="Z229" t="s">
        <v>408</v>
      </c>
      <c r="AA229" s="13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1:55" ht="32.25" hidden="1" customHeight="1">
      <c r="A230" s="14">
        <v>33</v>
      </c>
      <c r="B230">
        <v>95</v>
      </c>
      <c r="C230">
        <v>94</v>
      </c>
      <c r="D230" t="s">
        <v>408</v>
      </c>
      <c r="E230">
        <v>87</v>
      </c>
      <c r="F230">
        <v>86</v>
      </c>
      <c r="G230" t="s">
        <v>408</v>
      </c>
      <c r="H230">
        <v>44</v>
      </c>
      <c r="I230" t="s">
        <v>408</v>
      </c>
      <c r="J230" t="s">
        <v>408</v>
      </c>
      <c r="K230" t="s">
        <v>408</v>
      </c>
      <c r="L230" t="s">
        <v>408</v>
      </c>
      <c r="M230" t="s">
        <v>408</v>
      </c>
      <c r="N230" t="s">
        <v>408</v>
      </c>
      <c r="O230">
        <v>44</v>
      </c>
      <c r="P230" t="s">
        <v>408</v>
      </c>
      <c r="Q230" t="s">
        <v>408</v>
      </c>
      <c r="R230">
        <v>43</v>
      </c>
      <c r="S230" t="s">
        <v>408</v>
      </c>
      <c r="T230" t="s">
        <v>408</v>
      </c>
      <c r="U230" t="s">
        <v>408</v>
      </c>
      <c r="V230" t="s">
        <v>408</v>
      </c>
      <c r="W230" t="s">
        <v>408</v>
      </c>
      <c r="X230" t="s">
        <v>408</v>
      </c>
      <c r="Y230" t="s">
        <v>408</v>
      </c>
      <c r="Z230" t="s">
        <v>408</v>
      </c>
      <c r="AA230" s="13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1:55" ht="32.25" hidden="1" customHeight="1">
      <c r="A231" s="14">
        <v>32</v>
      </c>
      <c r="B231">
        <v>94</v>
      </c>
      <c r="C231">
        <v>93</v>
      </c>
      <c r="D231">
        <v>86</v>
      </c>
      <c r="E231">
        <v>86</v>
      </c>
      <c r="F231" t="s">
        <v>408</v>
      </c>
      <c r="G231" t="s">
        <v>408</v>
      </c>
      <c r="H231" t="s">
        <v>408</v>
      </c>
      <c r="I231" t="s">
        <v>408</v>
      </c>
      <c r="J231" t="s">
        <v>408</v>
      </c>
      <c r="K231" t="s">
        <v>408</v>
      </c>
      <c r="L231" t="s">
        <v>408</v>
      </c>
      <c r="M231">
        <v>43</v>
      </c>
      <c r="N231">
        <v>44</v>
      </c>
      <c r="O231" t="s">
        <v>408</v>
      </c>
      <c r="P231">
        <v>43</v>
      </c>
      <c r="Q231" t="s">
        <v>408</v>
      </c>
      <c r="R231" t="s">
        <v>408</v>
      </c>
      <c r="S231">
        <v>43</v>
      </c>
      <c r="T231" t="s">
        <v>408</v>
      </c>
      <c r="U231" t="s">
        <v>408</v>
      </c>
      <c r="V231" t="s">
        <v>408</v>
      </c>
      <c r="W231">
        <v>44</v>
      </c>
      <c r="X231" t="s">
        <v>408</v>
      </c>
      <c r="Y231" t="s">
        <v>408</v>
      </c>
      <c r="Z231" t="s">
        <v>408</v>
      </c>
      <c r="AA231" s="13"/>
    </row>
    <row r="232" spans="1:55" ht="32.25" hidden="1" customHeight="1">
      <c r="A232" s="14">
        <v>31</v>
      </c>
      <c r="B232">
        <v>93</v>
      </c>
      <c r="C232">
        <v>92</v>
      </c>
      <c r="D232">
        <v>85</v>
      </c>
      <c r="E232">
        <v>85</v>
      </c>
      <c r="F232">
        <v>85</v>
      </c>
      <c r="G232">
        <v>43.1</v>
      </c>
      <c r="H232" t="s">
        <v>408</v>
      </c>
      <c r="I232">
        <v>43.1</v>
      </c>
      <c r="J232">
        <v>44</v>
      </c>
      <c r="K232">
        <v>44</v>
      </c>
      <c r="L232">
        <v>43</v>
      </c>
      <c r="M232" t="s">
        <v>408</v>
      </c>
      <c r="N232" t="s">
        <v>408</v>
      </c>
      <c r="O232" t="s">
        <v>408</v>
      </c>
      <c r="P232" t="s">
        <v>408</v>
      </c>
      <c r="Q232">
        <v>42</v>
      </c>
      <c r="R232" t="s">
        <v>408</v>
      </c>
      <c r="S232" t="s">
        <v>408</v>
      </c>
      <c r="T232">
        <v>43</v>
      </c>
      <c r="U232">
        <v>42.1</v>
      </c>
      <c r="V232">
        <v>43</v>
      </c>
      <c r="W232" t="s">
        <v>408</v>
      </c>
      <c r="X232" t="s">
        <v>408</v>
      </c>
      <c r="Y232" t="s">
        <v>408</v>
      </c>
      <c r="Z232" t="s">
        <v>408</v>
      </c>
      <c r="AA232" s="13"/>
    </row>
    <row r="233" spans="1:55" customFormat="1" ht="32.25" hidden="1" customHeight="1">
      <c r="A233" s="14">
        <v>30</v>
      </c>
      <c r="B233">
        <v>92</v>
      </c>
      <c r="C233">
        <v>91</v>
      </c>
      <c r="D233">
        <v>84</v>
      </c>
      <c r="E233">
        <v>84</v>
      </c>
      <c r="F233">
        <v>84</v>
      </c>
      <c r="G233" t="s">
        <v>408</v>
      </c>
      <c r="H233">
        <v>43</v>
      </c>
      <c r="I233" t="s">
        <v>408</v>
      </c>
      <c r="J233" t="s">
        <v>408</v>
      </c>
      <c r="K233" t="s">
        <v>408</v>
      </c>
      <c r="L233" t="s">
        <v>408</v>
      </c>
      <c r="M233" t="s">
        <v>408</v>
      </c>
      <c r="N233" t="s">
        <v>408</v>
      </c>
      <c r="O233">
        <v>43</v>
      </c>
      <c r="P233" t="s">
        <v>408</v>
      </c>
      <c r="Q233" t="s">
        <v>408</v>
      </c>
      <c r="R233">
        <v>42.1</v>
      </c>
      <c r="S233" t="s">
        <v>408</v>
      </c>
      <c r="T233" t="s">
        <v>408</v>
      </c>
      <c r="U233" t="s">
        <v>408</v>
      </c>
      <c r="V233" t="s">
        <v>408</v>
      </c>
      <c r="W233">
        <v>43</v>
      </c>
      <c r="X233" t="s">
        <v>408</v>
      </c>
      <c r="Y233" t="s">
        <v>408</v>
      </c>
      <c r="Z233" t="s">
        <v>408</v>
      </c>
      <c r="AA233" s="13"/>
    </row>
    <row r="234" spans="1:55" customFormat="1" ht="32.25" hidden="1" customHeight="1">
      <c r="A234" s="14">
        <v>29</v>
      </c>
      <c r="B234">
        <v>91</v>
      </c>
      <c r="C234" t="s">
        <v>408</v>
      </c>
      <c r="D234" t="s">
        <v>408</v>
      </c>
      <c r="E234" t="s">
        <v>408</v>
      </c>
      <c r="F234">
        <v>83</v>
      </c>
      <c r="G234">
        <v>43</v>
      </c>
      <c r="H234" t="s">
        <v>408</v>
      </c>
      <c r="I234">
        <v>43</v>
      </c>
      <c r="J234" t="s">
        <v>408</v>
      </c>
      <c r="K234" t="s">
        <v>408</v>
      </c>
      <c r="L234" t="s">
        <v>408</v>
      </c>
      <c r="M234">
        <v>42</v>
      </c>
      <c r="N234" t="s">
        <v>408</v>
      </c>
      <c r="O234" t="s">
        <v>408</v>
      </c>
      <c r="P234" t="s">
        <v>408</v>
      </c>
      <c r="Q234" t="s">
        <v>408</v>
      </c>
      <c r="R234" t="s">
        <v>408</v>
      </c>
      <c r="S234">
        <v>42</v>
      </c>
      <c r="T234" t="s">
        <v>408</v>
      </c>
      <c r="U234" t="s">
        <v>408</v>
      </c>
      <c r="V234">
        <v>42</v>
      </c>
      <c r="W234" t="s">
        <v>408</v>
      </c>
      <c r="X234" t="s">
        <v>408</v>
      </c>
      <c r="Y234" t="s">
        <v>408</v>
      </c>
      <c r="Z234" t="s">
        <v>408</v>
      </c>
      <c r="AA234" s="13"/>
    </row>
    <row r="235" spans="1:55" customFormat="1" ht="32.25" hidden="1" customHeight="1">
      <c r="A235" s="14">
        <v>28</v>
      </c>
      <c r="B235">
        <v>90</v>
      </c>
      <c r="C235">
        <v>90</v>
      </c>
      <c r="D235">
        <v>83</v>
      </c>
      <c r="E235">
        <v>83</v>
      </c>
      <c r="F235" t="s">
        <v>408</v>
      </c>
      <c r="G235" t="s">
        <v>408</v>
      </c>
      <c r="H235">
        <v>42</v>
      </c>
      <c r="I235" t="s">
        <v>408</v>
      </c>
      <c r="J235">
        <v>43</v>
      </c>
      <c r="K235" t="s">
        <v>408</v>
      </c>
      <c r="L235">
        <v>42</v>
      </c>
      <c r="M235" t="s">
        <v>408</v>
      </c>
      <c r="N235" t="s">
        <v>408</v>
      </c>
      <c r="O235" t="s">
        <v>408</v>
      </c>
      <c r="P235" t="s">
        <v>408</v>
      </c>
      <c r="Q235">
        <v>41.1</v>
      </c>
      <c r="R235" t="s">
        <v>408</v>
      </c>
      <c r="S235" t="s">
        <v>408</v>
      </c>
      <c r="T235">
        <v>42.1</v>
      </c>
      <c r="U235">
        <v>42</v>
      </c>
      <c r="V235" t="s">
        <v>408</v>
      </c>
      <c r="W235" t="s">
        <v>408</v>
      </c>
      <c r="X235" t="s">
        <v>408</v>
      </c>
      <c r="Y235" t="s">
        <v>408</v>
      </c>
      <c r="Z235" t="s">
        <v>408</v>
      </c>
      <c r="AA235" s="13"/>
    </row>
    <row r="236" spans="1:55" customFormat="1" ht="32.25" hidden="1" customHeight="1">
      <c r="A236" s="14">
        <v>27</v>
      </c>
      <c r="B236">
        <v>89</v>
      </c>
      <c r="C236">
        <v>89</v>
      </c>
      <c r="D236">
        <v>82</v>
      </c>
      <c r="E236">
        <v>82</v>
      </c>
      <c r="F236">
        <v>82</v>
      </c>
      <c r="G236">
        <v>42</v>
      </c>
      <c r="H236">
        <v>41.1</v>
      </c>
      <c r="I236" t="s">
        <v>408</v>
      </c>
      <c r="J236" t="s">
        <v>408</v>
      </c>
      <c r="K236">
        <v>43</v>
      </c>
      <c r="L236" t="s">
        <v>408</v>
      </c>
      <c r="M236" t="s">
        <v>408</v>
      </c>
      <c r="N236">
        <v>43</v>
      </c>
      <c r="O236">
        <v>42</v>
      </c>
      <c r="P236">
        <v>42.1</v>
      </c>
      <c r="Q236" t="s">
        <v>408</v>
      </c>
      <c r="R236">
        <v>42</v>
      </c>
      <c r="S236" t="s">
        <v>408</v>
      </c>
      <c r="T236" t="s">
        <v>408</v>
      </c>
      <c r="U236" t="s">
        <v>408</v>
      </c>
      <c r="V236">
        <v>41.1</v>
      </c>
      <c r="W236">
        <v>42</v>
      </c>
      <c r="X236" t="s">
        <v>408</v>
      </c>
      <c r="Y236" t="s">
        <v>408</v>
      </c>
      <c r="Z236" t="s">
        <v>408</v>
      </c>
      <c r="AA236" s="13"/>
    </row>
    <row r="237" spans="1:55" ht="32.25" hidden="1" customHeight="1">
      <c r="A237" s="14">
        <v>26</v>
      </c>
      <c r="B237" t="s">
        <v>408</v>
      </c>
      <c r="C237">
        <v>88</v>
      </c>
      <c r="D237">
        <v>81</v>
      </c>
      <c r="E237">
        <v>81</v>
      </c>
      <c r="F237">
        <v>81</v>
      </c>
      <c r="G237" t="s">
        <v>408</v>
      </c>
      <c r="H237" t="s">
        <v>408</v>
      </c>
      <c r="I237">
        <v>42</v>
      </c>
      <c r="J237">
        <v>42</v>
      </c>
      <c r="K237" t="s">
        <v>408</v>
      </c>
      <c r="L237" t="s">
        <v>408</v>
      </c>
      <c r="M237">
        <v>41</v>
      </c>
      <c r="N237" t="s">
        <v>408</v>
      </c>
      <c r="O237" t="s">
        <v>408</v>
      </c>
      <c r="P237" t="s">
        <v>408</v>
      </c>
      <c r="Q237" t="s">
        <v>408</v>
      </c>
      <c r="R237" t="s">
        <v>408</v>
      </c>
      <c r="S237">
        <v>41</v>
      </c>
      <c r="T237" t="s">
        <v>408</v>
      </c>
      <c r="U237" t="s">
        <v>408</v>
      </c>
      <c r="V237" t="s">
        <v>408</v>
      </c>
      <c r="W237" t="s">
        <v>408</v>
      </c>
      <c r="X237" t="s">
        <v>408</v>
      </c>
      <c r="Y237" t="s">
        <v>408</v>
      </c>
      <c r="Z237" t="s">
        <v>408</v>
      </c>
      <c r="AA237" s="13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</row>
    <row r="238" spans="1:55" ht="32.25" hidden="1" customHeight="1">
      <c r="A238" s="14">
        <v>25</v>
      </c>
      <c r="B238">
        <v>88</v>
      </c>
      <c r="C238">
        <v>87</v>
      </c>
      <c r="D238" t="s">
        <v>408</v>
      </c>
      <c r="E238">
        <v>80</v>
      </c>
      <c r="F238">
        <v>80</v>
      </c>
      <c r="G238">
        <v>41</v>
      </c>
      <c r="H238" t="s">
        <v>408</v>
      </c>
      <c r="I238" t="s">
        <v>408</v>
      </c>
      <c r="J238" t="s">
        <v>408</v>
      </c>
      <c r="K238" t="s">
        <v>408</v>
      </c>
      <c r="L238" t="s">
        <v>408</v>
      </c>
      <c r="M238" t="s">
        <v>408</v>
      </c>
      <c r="N238" t="s">
        <v>408</v>
      </c>
      <c r="O238" t="s">
        <v>408</v>
      </c>
      <c r="P238" t="s">
        <v>408</v>
      </c>
      <c r="Q238" t="s">
        <v>408</v>
      </c>
      <c r="R238" t="s">
        <v>408</v>
      </c>
      <c r="S238" t="s">
        <v>408</v>
      </c>
      <c r="T238">
        <v>42</v>
      </c>
      <c r="U238" t="s">
        <v>408</v>
      </c>
      <c r="V238">
        <v>41</v>
      </c>
      <c r="W238">
        <v>41</v>
      </c>
      <c r="X238" t="s">
        <v>408</v>
      </c>
      <c r="Y238" t="s">
        <v>408</v>
      </c>
      <c r="Z238" t="s">
        <v>408</v>
      </c>
      <c r="AA238" s="13"/>
    </row>
    <row r="239" spans="1:55" ht="32.25" hidden="1" customHeight="1">
      <c r="A239" s="14">
        <v>24</v>
      </c>
      <c r="B239">
        <v>87</v>
      </c>
      <c r="C239">
        <v>86</v>
      </c>
      <c r="D239">
        <v>80</v>
      </c>
      <c r="E239" t="s">
        <v>408</v>
      </c>
      <c r="F239" t="s">
        <v>408</v>
      </c>
      <c r="G239" t="s">
        <v>408</v>
      </c>
      <c r="H239">
        <v>41</v>
      </c>
      <c r="I239" t="s">
        <v>408</v>
      </c>
      <c r="J239" t="s">
        <v>408</v>
      </c>
      <c r="K239" t="s">
        <v>408</v>
      </c>
      <c r="L239">
        <v>41</v>
      </c>
      <c r="M239" t="s">
        <v>408</v>
      </c>
      <c r="N239" t="s">
        <v>408</v>
      </c>
      <c r="O239" t="s">
        <v>408</v>
      </c>
      <c r="P239" t="s">
        <v>408</v>
      </c>
      <c r="Q239">
        <v>41</v>
      </c>
      <c r="R239">
        <v>41</v>
      </c>
      <c r="S239" t="s">
        <v>408</v>
      </c>
      <c r="T239" t="s">
        <v>408</v>
      </c>
      <c r="U239" t="s">
        <v>408</v>
      </c>
      <c r="V239" t="s">
        <v>408</v>
      </c>
      <c r="W239" t="s">
        <v>408</v>
      </c>
      <c r="X239" t="s">
        <v>408</v>
      </c>
      <c r="Y239" t="s">
        <v>408</v>
      </c>
      <c r="Z239" t="s">
        <v>408</v>
      </c>
      <c r="AA239" s="13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1:55" ht="32.25" hidden="1" customHeight="1">
      <c r="A240" s="14">
        <v>23</v>
      </c>
      <c r="B240">
        <v>86</v>
      </c>
      <c r="C240">
        <v>85</v>
      </c>
      <c r="D240" t="s">
        <v>408</v>
      </c>
      <c r="E240">
        <v>79</v>
      </c>
      <c r="F240">
        <v>79</v>
      </c>
      <c r="G240">
        <v>40</v>
      </c>
      <c r="H240" t="s">
        <v>408</v>
      </c>
      <c r="I240">
        <v>41</v>
      </c>
      <c r="J240">
        <v>41</v>
      </c>
      <c r="K240" t="s">
        <v>408</v>
      </c>
      <c r="L240" t="s">
        <v>408</v>
      </c>
      <c r="M240" t="s">
        <v>408</v>
      </c>
      <c r="N240" t="s">
        <v>408</v>
      </c>
      <c r="O240">
        <v>41</v>
      </c>
      <c r="P240">
        <v>42</v>
      </c>
      <c r="Q240" t="s">
        <v>408</v>
      </c>
      <c r="R240" t="s">
        <v>408</v>
      </c>
      <c r="S240">
        <v>40.1</v>
      </c>
      <c r="T240" t="s">
        <v>408</v>
      </c>
      <c r="U240">
        <v>41</v>
      </c>
      <c r="V240" t="s">
        <v>408</v>
      </c>
      <c r="W240" t="s">
        <v>408</v>
      </c>
      <c r="X240" t="s">
        <v>408</v>
      </c>
      <c r="Y240" t="s">
        <v>408</v>
      </c>
      <c r="Z240" t="s">
        <v>408</v>
      </c>
      <c r="AA240" s="13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1:55" ht="32.25" hidden="1" customHeight="1">
      <c r="A241" s="14">
        <v>22</v>
      </c>
      <c r="B241">
        <v>85</v>
      </c>
      <c r="C241">
        <v>84</v>
      </c>
      <c r="D241" t="s">
        <v>408</v>
      </c>
      <c r="E241" t="s">
        <v>408</v>
      </c>
      <c r="F241" t="s">
        <v>408</v>
      </c>
      <c r="G241" t="s">
        <v>408</v>
      </c>
      <c r="H241" t="s">
        <v>408</v>
      </c>
      <c r="I241" t="s">
        <v>408</v>
      </c>
      <c r="J241" t="s">
        <v>408</v>
      </c>
      <c r="K241">
        <v>42</v>
      </c>
      <c r="L241" t="s">
        <v>408</v>
      </c>
      <c r="M241">
        <v>40.1</v>
      </c>
      <c r="N241">
        <v>42</v>
      </c>
      <c r="O241" t="s">
        <v>408</v>
      </c>
      <c r="P241" t="s">
        <v>408</v>
      </c>
      <c r="Q241" t="s">
        <v>408</v>
      </c>
      <c r="R241" t="s">
        <v>408</v>
      </c>
      <c r="S241" t="s">
        <v>408</v>
      </c>
      <c r="T241" t="s">
        <v>408</v>
      </c>
      <c r="U241" t="s">
        <v>408</v>
      </c>
      <c r="V241">
        <v>40</v>
      </c>
      <c r="W241">
        <v>40.1</v>
      </c>
      <c r="X241" t="s">
        <v>408</v>
      </c>
      <c r="Y241" t="s">
        <v>408</v>
      </c>
      <c r="Z241" t="s">
        <v>408</v>
      </c>
      <c r="AA241" s="13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1:55" ht="32.25" hidden="1" customHeight="1">
      <c r="A242" s="14">
        <v>21</v>
      </c>
      <c r="B242">
        <v>84</v>
      </c>
      <c r="C242">
        <v>83</v>
      </c>
      <c r="D242">
        <v>79</v>
      </c>
      <c r="E242" t="s">
        <v>408</v>
      </c>
      <c r="F242" t="s">
        <v>408</v>
      </c>
      <c r="G242" t="s">
        <v>408</v>
      </c>
      <c r="H242">
        <v>40</v>
      </c>
      <c r="I242" t="s">
        <v>408</v>
      </c>
      <c r="J242" t="s">
        <v>408</v>
      </c>
      <c r="K242" t="s">
        <v>408</v>
      </c>
      <c r="L242" t="s">
        <v>408</v>
      </c>
      <c r="M242" t="s">
        <v>408</v>
      </c>
      <c r="N242" t="s">
        <v>408</v>
      </c>
      <c r="O242" t="s">
        <v>408</v>
      </c>
      <c r="P242" t="s">
        <v>408</v>
      </c>
      <c r="Q242" t="s">
        <v>408</v>
      </c>
      <c r="R242" t="s">
        <v>408</v>
      </c>
      <c r="S242" t="s">
        <v>408</v>
      </c>
      <c r="T242">
        <v>41</v>
      </c>
      <c r="U242" t="s">
        <v>408</v>
      </c>
      <c r="V242" t="s">
        <v>408</v>
      </c>
      <c r="W242" t="s">
        <v>408</v>
      </c>
      <c r="X242" t="s">
        <v>408</v>
      </c>
      <c r="Y242" t="s">
        <v>408</v>
      </c>
      <c r="Z242" t="s">
        <v>408</v>
      </c>
      <c r="AA242" s="13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1:55" ht="32.25" hidden="1" customHeight="1">
      <c r="A243" s="14">
        <v>20</v>
      </c>
      <c r="B243">
        <v>83</v>
      </c>
      <c r="C243" t="s">
        <v>408</v>
      </c>
      <c r="D243" t="s">
        <v>408</v>
      </c>
      <c r="E243">
        <v>78</v>
      </c>
      <c r="F243">
        <v>78</v>
      </c>
      <c r="G243">
        <v>39.1</v>
      </c>
      <c r="H243" t="s">
        <v>408</v>
      </c>
      <c r="I243">
        <v>40</v>
      </c>
      <c r="J243" t="s">
        <v>408</v>
      </c>
      <c r="K243" t="s">
        <v>408</v>
      </c>
      <c r="L243">
        <v>40.1</v>
      </c>
      <c r="M243" t="s">
        <v>408</v>
      </c>
      <c r="N243" t="s">
        <v>408</v>
      </c>
      <c r="O243" t="s">
        <v>408</v>
      </c>
      <c r="P243" t="s">
        <v>408</v>
      </c>
      <c r="Q243">
        <v>40</v>
      </c>
      <c r="R243">
        <v>40</v>
      </c>
      <c r="S243" t="s">
        <v>408</v>
      </c>
      <c r="T243" t="s">
        <v>408</v>
      </c>
      <c r="U243" t="s">
        <v>408</v>
      </c>
      <c r="V243" t="s">
        <v>408</v>
      </c>
      <c r="W243" t="s">
        <v>408</v>
      </c>
      <c r="X243" t="s">
        <v>408</v>
      </c>
      <c r="Y243" t="s">
        <v>408</v>
      </c>
      <c r="Z243" t="s">
        <v>408</v>
      </c>
      <c r="AA243" s="1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1:55" ht="32.25" hidden="1" customHeight="1">
      <c r="A244" s="14">
        <v>19</v>
      </c>
      <c r="B244">
        <v>82</v>
      </c>
      <c r="C244">
        <v>82.1</v>
      </c>
      <c r="D244">
        <v>78</v>
      </c>
      <c r="E244" t="s">
        <v>408</v>
      </c>
      <c r="F244" t="s">
        <v>408</v>
      </c>
      <c r="G244" t="s">
        <v>408</v>
      </c>
      <c r="H244" t="s">
        <v>408</v>
      </c>
      <c r="I244" t="s">
        <v>408</v>
      </c>
      <c r="J244">
        <v>40</v>
      </c>
      <c r="K244" t="s">
        <v>408</v>
      </c>
      <c r="L244" t="s">
        <v>408</v>
      </c>
      <c r="M244" t="s">
        <v>408</v>
      </c>
      <c r="N244" t="s">
        <v>408</v>
      </c>
      <c r="O244" t="s">
        <v>408</v>
      </c>
      <c r="P244" t="s">
        <v>408</v>
      </c>
      <c r="Q244" t="s">
        <v>408</v>
      </c>
      <c r="R244" t="s">
        <v>408</v>
      </c>
      <c r="S244" t="s">
        <v>408</v>
      </c>
      <c r="T244" t="s">
        <v>408</v>
      </c>
      <c r="U244" t="s">
        <v>408</v>
      </c>
      <c r="V244">
        <v>39</v>
      </c>
      <c r="W244">
        <v>40</v>
      </c>
      <c r="X244" t="s">
        <v>408</v>
      </c>
      <c r="Y244" t="s">
        <v>408</v>
      </c>
      <c r="Z244" t="s">
        <v>408</v>
      </c>
      <c r="AA244" s="13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1:55" ht="32.25" hidden="1" customHeight="1">
      <c r="A245" s="14">
        <v>18</v>
      </c>
      <c r="B245" t="s">
        <v>408</v>
      </c>
      <c r="C245">
        <v>82</v>
      </c>
      <c r="D245" t="s">
        <v>408</v>
      </c>
      <c r="E245">
        <v>77</v>
      </c>
      <c r="F245">
        <v>77</v>
      </c>
      <c r="G245">
        <v>39</v>
      </c>
      <c r="H245">
        <v>39.1</v>
      </c>
      <c r="I245" t="s">
        <v>408</v>
      </c>
      <c r="J245" t="s">
        <v>408</v>
      </c>
      <c r="K245">
        <v>41</v>
      </c>
      <c r="L245" t="s">
        <v>408</v>
      </c>
      <c r="M245" t="s">
        <v>408</v>
      </c>
      <c r="N245">
        <v>41</v>
      </c>
      <c r="O245">
        <v>40</v>
      </c>
      <c r="P245">
        <v>41</v>
      </c>
      <c r="Q245" t="s">
        <v>408</v>
      </c>
      <c r="R245" t="s">
        <v>408</v>
      </c>
      <c r="S245">
        <v>40</v>
      </c>
      <c r="T245" t="s">
        <v>408</v>
      </c>
      <c r="U245" t="s">
        <v>408</v>
      </c>
      <c r="V245" t="s">
        <v>408</v>
      </c>
      <c r="W245" t="s">
        <v>408</v>
      </c>
      <c r="X245" t="s">
        <v>408</v>
      </c>
      <c r="Y245" t="s">
        <v>408</v>
      </c>
      <c r="Z245" t="s">
        <v>408</v>
      </c>
      <c r="AA245" s="13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1:55" ht="32.25" hidden="1" customHeight="1">
      <c r="A246" s="14">
        <v>17</v>
      </c>
      <c r="B246">
        <v>81</v>
      </c>
      <c r="C246">
        <v>81</v>
      </c>
      <c r="D246">
        <v>77</v>
      </c>
      <c r="E246" t="s">
        <v>408</v>
      </c>
      <c r="F246" t="s">
        <v>408</v>
      </c>
      <c r="G246" t="s">
        <v>408</v>
      </c>
      <c r="H246" t="s">
        <v>408</v>
      </c>
      <c r="I246">
        <v>39</v>
      </c>
      <c r="J246" t="s">
        <v>408</v>
      </c>
      <c r="K246" t="s">
        <v>408</v>
      </c>
      <c r="L246" t="s">
        <v>408</v>
      </c>
      <c r="M246">
        <v>40</v>
      </c>
      <c r="N246" t="s">
        <v>408</v>
      </c>
      <c r="O246" t="s">
        <v>408</v>
      </c>
      <c r="P246" t="s">
        <v>408</v>
      </c>
      <c r="Q246" t="s">
        <v>408</v>
      </c>
      <c r="R246" t="s">
        <v>408</v>
      </c>
      <c r="S246" t="s">
        <v>408</v>
      </c>
      <c r="T246">
        <v>40</v>
      </c>
      <c r="U246">
        <v>40</v>
      </c>
      <c r="V246" t="s">
        <v>408</v>
      </c>
      <c r="W246">
        <v>39</v>
      </c>
      <c r="X246" t="s">
        <v>408</v>
      </c>
      <c r="Y246" t="s">
        <v>408</v>
      </c>
      <c r="Z246" t="s">
        <v>408</v>
      </c>
      <c r="AA246" s="13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1:55" ht="32.25" hidden="1" customHeight="1">
      <c r="A247" s="14">
        <v>16</v>
      </c>
      <c r="B247">
        <v>80</v>
      </c>
      <c r="C247">
        <v>80</v>
      </c>
      <c r="D247" t="s">
        <v>408</v>
      </c>
      <c r="E247">
        <v>76</v>
      </c>
      <c r="F247">
        <v>76</v>
      </c>
      <c r="G247">
        <v>38</v>
      </c>
      <c r="H247" t="s">
        <v>408</v>
      </c>
      <c r="I247" t="s">
        <v>408</v>
      </c>
      <c r="J247">
        <v>39</v>
      </c>
      <c r="K247" t="s">
        <v>408</v>
      </c>
      <c r="L247">
        <v>40</v>
      </c>
      <c r="M247" t="s">
        <v>408</v>
      </c>
      <c r="N247" t="s">
        <v>408</v>
      </c>
      <c r="O247" t="s">
        <v>408</v>
      </c>
      <c r="P247" t="s">
        <v>408</v>
      </c>
      <c r="Q247" t="s">
        <v>408</v>
      </c>
      <c r="R247">
        <v>39</v>
      </c>
      <c r="S247" t="s">
        <v>408</v>
      </c>
      <c r="T247" t="s">
        <v>408</v>
      </c>
      <c r="U247" t="s">
        <v>408</v>
      </c>
      <c r="V247">
        <v>38.1</v>
      </c>
      <c r="W247" t="s">
        <v>408</v>
      </c>
      <c r="X247" t="s">
        <v>408</v>
      </c>
      <c r="Y247" t="s">
        <v>408</v>
      </c>
      <c r="Z247" t="s">
        <v>408</v>
      </c>
      <c r="AA247" s="13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1:55" ht="32.25" hidden="1" customHeight="1">
      <c r="A248" s="14">
        <v>15</v>
      </c>
      <c r="B248">
        <v>79.099999999999994</v>
      </c>
      <c r="C248">
        <v>79</v>
      </c>
      <c r="D248">
        <v>76</v>
      </c>
      <c r="E248" t="s">
        <v>408</v>
      </c>
      <c r="F248" t="s">
        <v>408</v>
      </c>
      <c r="G248" t="s">
        <v>408</v>
      </c>
      <c r="H248">
        <v>39</v>
      </c>
      <c r="I248">
        <v>38.1</v>
      </c>
      <c r="J248" t="s">
        <v>408</v>
      </c>
      <c r="K248" t="s">
        <v>408</v>
      </c>
      <c r="L248" t="s">
        <v>408</v>
      </c>
      <c r="M248" t="s">
        <v>408</v>
      </c>
      <c r="N248" t="s">
        <v>408</v>
      </c>
      <c r="O248" t="s">
        <v>408</v>
      </c>
      <c r="P248" t="s">
        <v>408</v>
      </c>
      <c r="Q248">
        <v>39</v>
      </c>
      <c r="R248" t="s">
        <v>408</v>
      </c>
      <c r="S248" t="s">
        <v>408</v>
      </c>
      <c r="T248" t="s">
        <v>408</v>
      </c>
      <c r="U248" t="s">
        <v>408</v>
      </c>
      <c r="V248" t="s">
        <v>408</v>
      </c>
      <c r="W248">
        <v>38</v>
      </c>
      <c r="X248" t="s">
        <v>408</v>
      </c>
      <c r="Y248" t="s">
        <v>408</v>
      </c>
      <c r="Z248" t="s">
        <v>408</v>
      </c>
      <c r="AA248" s="13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1:55" ht="32.25" hidden="1" customHeight="1">
      <c r="A249" s="14">
        <v>14</v>
      </c>
      <c r="B249">
        <v>79</v>
      </c>
      <c r="C249">
        <v>78</v>
      </c>
      <c r="D249" t="s">
        <v>408</v>
      </c>
      <c r="E249">
        <v>75</v>
      </c>
      <c r="F249">
        <v>75</v>
      </c>
      <c r="G249" t="s">
        <v>408</v>
      </c>
      <c r="H249" t="s">
        <v>408</v>
      </c>
      <c r="I249" t="s">
        <v>408</v>
      </c>
      <c r="J249">
        <v>38.1</v>
      </c>
      <c r="K249">
        <v>40.1</v>
      </c>
      <c r="L249" t="s">
        <v>408</v>
      </c>
      <c r="M249" t="s">
        <v>408</v>
      </c>
      <c r="N249">
        <v>40</v>
      </c>
      <c r="O249">
        <v>39</v>
      </c>
      <c r="P249">
        <v>40</v>
      </c>
      <c r="Q249" t="s">
        <v>408</v>
      </c>
      <c r="R249" t="s">
        <v>408</v>
      </c>
      <c r="S249">
        <v>39</v>
      </c>
      <c r="T249">
        <v>39</v>
      </c>
      <c r="U249" t="s">
        <v>408</v>
      </c>
      <c r="V249">
        <v>38</v>
      </c>
      <c r="W249" t="s">
        <v>408</v>
      </c>
      <c r="X249" t="s">
        <v>408</v>
      </c>
      <c r="Y249" t="s">
        <v>408</v>
      </c>
      <c r="Z249" t="s">
        <v>408</v>
      </c>
      <c r="AA249" s="13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1:55" ht="32.25" hidden="1" customHeight="1">
      <c r="A250" s="14">
        <v>13</v>
      </c>
      <c r="B250">
        <v>78</v>
      </c>
      <c r="C250">
        <v>77</v>
      </c>
      <c r="D250">
        <v>75.099999999999994</v>
      </c>
      <c r="E250" t="s">
        <v>408</v>
      </c>
      <c r="F250" t="s">
        <v>408</v>
      </c>
      <c r="G250">
        <v>37</v>
      </c>
      <c r="H250">
        <v>38</v>
      </c>
      <c r="I250" t="s">
        <v>408</v>
      </c>
      <c r="J250" t="s">
        <v>408</v>
      </c>
      <c r="K250" t="s">
        <v>408</v>
      </c>
      <c r="L250" t="s">
        <v>408</v>
      </c>
      <c r="M250">
        <v>39</v>
      </c>
      <c r="N250" t="s">
        <v>408</v>
      </c>
      <c r="O250" t="s">
        <v>408</v>
      </c>
      <c r="P250" t="s">
        <v>408</v>
      </c>
      <c r="Q250" t="s">
        <v>408</v>
      </c>
      <c r="R250" t="s">
        <v>408</v>
      </c>
      <c r="S250" t="s">
        <v>408</v>
      </c>
      <c r="T250" t="s">
        <v>408</v>
      </c>
      <c r="U250" t="s">
        <v>408</v>
      </c>
      <c r="V250" t="s">
        <v>408</v>
      </c>
      <c r="W250" t="s">
        <v>408</v>
      </c>
      <c r="X250" t="s">
        <v>408</v>
      </c>
      <c r="Y250" t="s">
        <v>408</v>
      </c>
      <c r="Z250" t="s">
        <v>408</v>
      </c>
      <c r="AA250" s="13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1:55" ht="32.25" hidden="1" customHeight="1">
      <c r="A251" s="14">
        <v>12</v>
      </c>
      <c r="B251">
        <v>77</v>
      </c>
      <c r="C251">
        <v>76</v>
      </c>
      <c r="D251" t="s">
        <v>408</v>
      </c>
      <c r="E251">
        <v>74</v>
      </c>
      <c r="F251">
        <v>74</v>
      </c>
      <c r="G251" t="s">
        <v>408</v>
      </c>
      <c r="H251" t="s">
        <v>408</v>
      </c>
      <c r="I251">
        <v>38</v>
      </c>
      <c r="J251" t="s">
        <v>408</v>
      </c>
      <c r="K251" t="s">
        <v>408</v>
      </c>
      <c r="L251">
        <v>39</v>
      </c>
      <c r="M251" t="s">
        <v>408</v>
      </c>
      <c r="N251" t="s">
        <v>408</v>
      </c>
      <c r="O251" t="s">
        <v>408</v>
      </c>
      <c r="P251" t="s">
        <v>408</v>
      </c>
      <c r="Q251" t="s">
        <v>408</v>
      </c>
      <c r="R251">
        <v>38.1</v>
      </c>
      <c r="S251" t="s">
        <v>408</v>
      </c>
      <c r="T251" t="s">
        <v>408</v>
      </c>
      <c r="U251" t="s">
        <v>408</v>
      </c>
      <c r="V251" t="s">
        <v>408</v>
      </c>
      <c r="W251">
        <v>37</v>
      </c>
      <c r="X251" t="s">
        <v>408</v>
      </c>
      <c r="Y251" t="s">
        <v>408</v>
      </c>
      <c r="Z251" t="s">
        <v>408</v>
      </c>
      <c r="AA251" s="13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1:55" ht="32.25" hidden="1" customHeight="1">
      <c r="A252" s="14">
        <v>11</v>
      </c>
      <c r="B252">
        <v>76</v>
      </c>
      <c r="C252">
        <v>75</v>
      </c>
      <c r="D252">
        <v>75</v>
      </c>
      <c r="E252" t="s">
        <v>408</v>
      </c>
      <c r="F252" t="s">
        <v>408</v>
      </c>
      <c r="G252">
        <v>36</v>
      </c>
      <c r="H252">
        <v>37</v>
      </c>
      <c r="I252" t="s">
        <v>408</v>
      </c>
      <c r="J252">
        <v>38</v>
      </c>
      <c r="K252">
        <v>40</v>
      </c>
      <c r="L252" t="s">
        <v>408</v>
      </c>
      <c r="M252" t="s">
        <v>408</v>
      </c>
      <c r="N252">
        <v>39.1</v>
      </c>
      <c r="O252">
        <v>38</v>
      </c>
      <c r="P252">
        <v>39</v>
      </c>
      <c r="Q252">
        <v>38</v>
      </c>
      <c r="R252" t="s">
        <v>408</v>
      </c>
      <c r="S252">
        <v>38</v>
      </c>
      <c r="T252">
        <v>38.1</v>
      </c>
      <c r="U252">
        <v>39</v>
      </c>
      <c r="V252">
        <v>37</v>
      </c>
      <c r="W252" t="s">
        <v>408</v>
      </c>
      <c r="X252" t="s">
        <v>408</v>
      </c>
      <c r="Y252" t="s">
        <v>408</v>
      </c>
      <c r="Z252" t="s">
        <v>408</v>
      </c>
      <c r="AA252" s="13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1:55" ht="32.25" hidden="1" customHeight="1">
      <c r="A253" s="14">
        <v>10</v>
      </c>
      <c r="B253">
        <v>75</v>
      </c>
      <c r="C253" t="s">
        <v>408</v>
      </c>
      <c r="D253" t="s">
        <v>408</v>
      </c>
      <c r="E253">
        <v>73</v>
      </c>
      <c r="F253">
        <v>73.099999999999994</v>
      </c>
      <c r="G253" t="s">
        <v>408</v>
      </c>
      <c r="H253" t="s">
        <v>408</v>
      </c>
      <c r="I253" t="s">
        <v>408</v>
      </c>
      <c r="J253" t="s">
        <v>408</v>
      </c>
      <c r="K253" t="s">
        <v>408</v>
      </c>
      <c r="L253" t="s">
        <v>408</v>
      </c>
      <c r="M253" t="s">
        <v>408</v>
      </c>
      <c r="N253" t="s">
        <v>408</v>
      </c>
      <c r="O253" t="s">
        <v>408</v>
      </c>
      <c r="P253" t="s">
        <v>408</v>
      </c>
      <c r="Q253" t="s">
        <v>408</v>
      </c>
      <c r="R253" t="s">
        <v>408</v>
      </c>
      <c r="S253" t="s">
        <v>408</v>
      </c>
      <c r="T253" t="s">
        <v>408</v>
      </c>
      <c r="U253" t="s">
        <v>408</v>
      </c>
      <c r="V253" t="s">
        <v>408</v>
      </c>
      <c r="W253" t="s">
        <v>408</v>
      </c>
      <c r="X253" t="s">
        <v>408</v>
      </c>
      <c r="Y253" t="s">
        <v>408</v>
      </c>
      <c r="Z253" t="s">
        <v>408</v>
      </c>
      <c r="AA253" s="1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1:55" ht="32.25" hidden="1" customHeight="1">
      <c r="A254" s="1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 s="13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1:55" ht="32.25" hidden="1" customHeight="1">
      <c r="A255" s="14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 s="13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1:55" ht="32.25" hidden="1" customHeight="1">
      <c r="A256" s="14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 s="13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1:55" ht="32.25" hidden="1" customHeight="1">
      <c r="A257" s="14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 s="13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1:55" ht="32.25" hidden="1" customHeight="1">
      <c r="A258" s="14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 s="13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1:55" ht="32.25" hidden="1" customHeight="1">
      <c r="A259" s="14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 s="13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1:55" ht="32.25" hidden="1" customHeight="1">
      <c r="A260" s="14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 s="13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1:55" ht="32.25" hidden="1" customHeight="1">
      <c r="A261" s="14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 s="13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1:55" ht="32.25" hidden="1" customHeight="1">
      <c r="A262" s="14"/>
      <c r="B262" t="s">
        <v>2678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 s="13" t="s">
        <v>2669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1:55" ht="32.25" hidden="1" customHeight="1">
      <c r="A263" s="14">
        <v>100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 s="13">
        <v>50</v>
      </c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</row>
    <row r="264" spans="1:55" ht="32.25" hidden="1" customHeight="1">
      <c r="A264" s="14">
        <v>99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 s="13">
        <v>49</v>
      </c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</row>
    <row r="265" spans="1:55" ht="32.25" hidden="1" customHeight="1">
      <c r="A265" s="14">
        <v>98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 s="13">
        <v>48</v>
      </c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</row>
    <row r="266" spans="1:55" ht="32.25" hidden="1" customHeight="1">
      <c r="A266" s="14">
        <v>97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 s="13">
        <v>47</v>
      </c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</row>
    <row r="267" spans="1:55" ht="32.25" hidden="1" customHeight="1">
      <c r="A267" s="14">
        <v>96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2</v>
      </c>
      <c r="H267">
        <v>3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1</v>
      </c>
      <c r="P267">
        <v>1</v>
      </c>
      <c r="Q267">
        <v>2</v>
      </c>
      <c r="R267">
        <v>2</v>
      </c>
      <c r="S267">
        <v>2</v>
      </c>
      <c r="T267">
        <v>2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1</v>
      </c>
      <c r="AA267" s="13">
        <v>46</v>
      </c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</row>
    <row r="268" spans="1:55" ht="32.25" hidden="1" customHeight="1">
      <c r="A268" s="14">
        <v>95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3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2</v>
      </c>
      <c r="O268">
        <v>1</v>
      </c>
      <c r="P268">
        <v>1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1</v>
      </c>
      <c r="X268">
        <v>1</v>
      </c>
      <c r="Y268">
        <v>1</v>
      </c>
      <c r="Z268">
        <v>1</v>
      </c>
      <c r="AA268" s="13">
        <v>45</v>
      </c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</row>
    <row r="269" spans="1:55" ht="32.25" hidden="1" customHeight="1">
      <c r="A269" s="14">
        <v>94</v>
      </c>
      <c r="B269">
        <v>1</v>
      </c>
      <c r="C269">
        <v>2</v>
      </c>
      <c r="D269">
        <v>1</v>
      </c>
      <c r="E269">
        <v>1</v>
      </c>
      <c r="F269">
        <v>1</v>
      </c>
      <c r="G269">
        <v>2</v>
      </c>
      <c r="H269">
        <v>3</v>
      </c>
      <c r="I269">
        <v>2</v>
      </c>
      <c r="J269">
        <v>1</v>
      </c>
      <c r="K269">
        <v>2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1</v>
      </c>
      <c r="Y269">
        <v>1</v>
      </c>
      <c r="Z269">
        <v>2</v>
      </c>
      <c r="AA269" s="13">
        <v>44</v>
      </c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</row>
    <row r="270" spans="1:55" ht="32.25" hidden="1" customHeight="1">
      <c r="A270" s="14">
        <v>93</v>
      </c>
      <c r="B270">
        <v>1</v>
      </c>
      <c r="C270">
        <v>2</v>
      </c>
      <c r="D270">
        <v>1</v>
      </c>
      <c r="E270">
        <v>1</v>
      </c>
      <c r="F270">
        <v>1</v>
      </c>
      <c r="G270">
        <v>2</v>
      </c>
      <c r="H270">
        <v>3</v>
      </c>
      <c r="I270">
        <v>2</v>
      </c>
      <c r="J270">
        <v>1</v>
      </c>
      <c r="K270">
        <v>2</v>
      </c>
      <c r="L270">
        <v>2</v>
      </c>
      <c r="M270">
        <v>2</v>
      </c>
      <c r="N270">
        <v>2</v>
      </c>
      <c r="O270">
        <v>1</v>
      </c>
      <c r="P270">
        <v>1</v>
      </c>
      <c r="Q270">
        <v>2</v>
      </c>
      <c r="R270">
        <v>2</v>
      </c>
      <c r="S270">
        <v>3</v>
      </c>
      <c r="T270">
        <v>2</v>
      </c>
      <c r="U270">
        <v>2</v>
      </c>
      <c r="V270">
        <v>3</v>
      </c>
      <c r="W270">
        <v>2</v>
      </c>
      <c r="X270">
        <v>1</v>
      </c>
      <c r="Y270">
        <v>1</v>
      </c>
      <c r="Z270">
        <v>2</v>
      </c>
      <c r="AA270" s="13">
        <v>43</v>
      </c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</row>
    <row r="271" spans="1:55" ht="32.25" hidden="1" customHeight="1">
      <c r="A271" s="14">
        <v>92</v>
      </c>
      <c r="B271">
        <v>2</v>
      </c>
      <c r="C271">
        <v>2</v>
      </c>
      <c r="D271">
        <v>1</v>
      </c>
      <c r="E271">
        <v>1</v>
      </c>
      <c r="F271">
        <v>2</v>
      </c>
      <c r="G271">
        <v>3</v>
      </c>
      <c r="H271">
        <v>4</v>
      </c>
      <c r="I271">
        <v>2</v>
      </c>
      <c r="J271">
        <v>1</v>
      </c>
      <c r="K271">
        <v>2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3</v>
      </c>
      <c r="T271">
        <v>2</v>
      </c>
      <c r="U271">
        <v>2</v>
      </c>
      <c r="V271">
        <v>3</v>
      </c>
      <c r="W271">
        <v>2</v>
      </c>
      <c r="X271">
        <v>1</v>
      </c>
      <c r="Y271">
        <v>1</v>
      </c>
      <c r="Z271">
        <v>2</v>
      </c>
      <c r="AA271" s="13">
        <v>42</v>
      </c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</row>
    <row r="272" spans="1:55" ht="32.25" hidden="1" customHeight="1">
      <c r="A272" s="14">
        <v>91</v>
      </c>
      <c r="B272">
        <v>2</v>
      </c>
      <c r="C272">
        <v>2</v>
      </c>
      <c r="D272">
        <v>1</v>
      </c>
      <c r="E272">
        <v>1</v>
      </c>
      <c r="F272">
        <v>2</v>
      </c>
      <c r="G272">
        <v>3</v>
      </c>
      <c r="H272">
        <v>4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1</v>
      </c>
      <c r="P272">
        <v>2</v>
      </c>
      <c r="Q272">
        <v>3</v>
      </c>
      <c r="R272">
        <v>3</v>
      </c>
      <c r="S272">
        <v>3</v>
      </c>
      <c r="T272">
        <v>3</v>
      </c>
      <c r="U272">
        <v>2</v>
      </c>
      <c r="V272">
        <v>3</v>
      </c>
      <c r="W272">
        <v>2</v>
      </c>
      <c r="X272">
        <v>1</v>
      </c>
      <c r="Y272">
        <v>1</v>
      </c>
      <c r="Z272">
        <v>2</v>
      </c>
      <c r="AA272" s="13">
        <v>41</v>
      </c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</row>
    <row r="273" spans="1:52" ht="32.25" hidden="1" customHeight="1">
      <c r="A273" s="14">
        <v>90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3</v>
      </c>
      <c r="H273">
        <v>4</v>
      </c>
      <c r="I273">
        <v>3</v>
      </c>
      <c r="J273">
        <v>2</v>
      </c>
      <c r="K273">
        <v>3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1</v>
      </c>
      <c r="Y273">
        <v>1</v>
      </c>
      <c r="Z273">
        <v>2</v>
      </c>
      <c r="AA273" s="13">
        <v>40</v>
      </c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</row>
    <row r="274" spans="1:52" ht="32.25" hidden="1" customHeight="1">
      <c r="A274" s="14">
        <v>89</v>
      </c>
      <c r="B274">
        <v>2</v>
      </c>
      <c r="C274">
        <v>2</v>
      </c>
      <c r="D274">
        <v>1</v>
      </c>
      <c r="E274">
        <v>2</v>
      </c>
      <c r="F274">
        <v>2</v>
      </c>
      <c r="G274">
        <v>3</v>
      </c>
      <c r="H274">
        <v>4</v>
      </c>
      <c r="I274">
        <v>3</v>
      </c>
      <c r="J274">
        <v>2</v>
      </c>
      <c r="K274">
        <v>3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4</v>
      </c>
      <c r="W274">
        <v>3</v>
      </c>
      <c r="X274">
        <v>2</v>
      </c>
      <c r="Y274">
        <v>2</v>
      </c>
      <c r="Z274">
        <v>3</v>
      </c>
      <c r="AA274" s="13">
        <v>39</v>
      </c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</row>
    <row r="275" spans="1:52" ht="32.25" hidden="1" customHeight="1">
      <c r="A275" s="14">
        <v>88</v>
      </c>
      <c r="B275">
        <v>2</v>
      </c>
      <c r="C275">
        <v>2</v>
      </c>
      <c r="D275">
        <v>1</v>
      </c>
      <c r="E275">
        <v>2</v>
      </c>
      <c r="F275">
        <v>2</v>
      </c>
      <c r="G275">
        <v>4</v>
      </c>
      <c r="H275">
        <v>4</v>
      </c>
      <c r="I275">
        <v>3</v>
      </c>
      <c r="J275">
        <v>3</v>
      </c>
      <c r="K275">
        <v>3</v>
      </c>
      <c r="L275">
        <v>2</v>
      </c>
      <c r="M275">
        <v>3</v>
      </c>
      <c r="N275">
        <v>2</v>
      </c>
      <c r="O275">
        <v>2</v>
      </c>
      <c r="P275">
        <v>2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4</v>
      </c>
      <c r="W275">
        <v>3</v>
      </c>
      <c r="X275">
        <v>2</v>
      </c>
      <c r="Y275">
        <v>2</v>
      </c>
      <c r="Z275">
        <v>3</v>
      </c>
      <c r="AA275" s="13">
        <v>38</v>
      </c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</row>
    <row r="276" spans="1:52" ht="32.25" hidden="1" customHeight="1">
      <c r="A276" s="14">
        <v>87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4</v>
      </c>
      <c r="H276">
        <v>4</v>
      </c>
      <c r="I276">
        <v>4</v>
      </c>
      <c r="J276">
        <v>3</v>
      </c>
      <c r="K276">
        <v>3</v>
      </c>
      <c r="L276">
        <v>3</v>
      </c>
      <c r="M276">
        <v>3</v>
      </c>
      <c r="N276">
        <v>2</v>
      </c>
      <c r="O276">
        <v>2</v>
      </c>
      <c r="P276">
        <v>3</v>
      </c>
      <c r="Q276">
        <v>3</v>
      </c>
      <c r="R276">
        <v>3</v>
      </c>
      <c r="S276">
        <v>4</v>
      </c>
      <c r="T276">
        <v>3</v>
      </c>
      <c r="U276">
        <v>3</v>
      </c>
      <c r="V276">
        <v>4</v>
      </c>
      <c r="W276">
        <v>3</v>
      </c>
      <c r="X276">
        <v>2</v>
      </c>
      <c r="Y276">
        <v>2</v>
      </c>
      <c r="Z276">
        <v>3</v>
      </c>
      <c r="AA276" s="13">
        <v>37</v>
      </c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</row>
    <row r="277" spans="1:52" ht="32.25" hidden="1" customHeight="1">
      <c r="A277" s="14">
        <v>86</v>
      </c>
      <c r="B277">
        <v>2</v>
      </c>
      <c r="C277">
        <v>3</v>
      </c>
      <c r="D277">
        <v>2</v>
      </c>
      <c r="E277">
        <v>2</v>
      </c>
      <c r="F277">
        <v>2</v>
      </c>
      <c r="G277">
        <v>4</v>
      </c>
      <c r="H277">
        <v>4</v>
      </c>
      <c r="I277">
        <v>4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4</v>
      </c>
      <c r="T277">
        <v>3</v>
      </c>
      <c r="U277">
        <v>3</v>
      </c>
      <c r="V277">
        <v>4</v>
      </c>
      <c r="W277">
        <v>3</v>
      </c>
      <c r="X277">
        <v>2</v>
      </c>
      <c r="Y277">
        <v>2</v>
      </c>
      <c r="Z277">
        <v>3</v>
      </c>
      <c r="AA277" s="13">
        <v>36</v>
      </c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</row>
    <row r="278" spans="1:52" ht="32.25" hidden="1" customHeight="1">
      <c r="A278" s="14">
        <v>85</v>
      </c>
      <c r="B278">
        <v>2</v>
      </c>
      <c r="C278">
        <v>3</v>
      </c>
      <c r="D278">
        <v>2</v>
      </c>
      <c r="E278">
        <v>2</v>
      </c>
      <c r="F278">
        <v>2</v>
      </c>
      <c r="G278">
        <v>4</v>
      </c>
      <c r="H278">
        <v>4</v>
      </c>
      <c r="I278">
        <v>4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4</v>
      </c>
      <c r="R278">
        <v>4</v>
      </c>
      <c r="S278">
        <v>4</v>
      </c>
      <c r="T278">
        <v>4</v>
      </c>
      <c r="U278">
        <v>3</v>
      </c>
      <c r="V278">
        <v>4</v>
      </c>
      <c r="W278">
        <v>4</v>
      </c>
      <c r="X278">
        <v>2</v>
      </c>
      <c r="Y278">
        <v>2</v>
      </c>
      <c r="Z278">
        <v>3</v>
      </c>
      <c r="AA278" s="13">
        <v>35</v>
      </c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</row>
    <row r="279" spans="1:52" ht="32.25" hidden="1" customHeight="1">
      <c r="A279" s="14">
        <v>84</v>
      </c>
      <c r="B279">
        <v>3</v>
      </c>
      <c r="C279">
        <v>3</v>
      </c>
      <c r="D279">
        <v>2</v>
      </c>
      <c r="E279">
        <v>2</v>
      </c>
      <c r="F279">
        <v>2</v>
      </c>
      <c r="G279">
        <v>4</v>
      </c>
      <c r="H279">
        <v>4</v>
      </c>
      <c r="I279">
        <v>4</v>
      </c>
      <c r="J279">
        <v>4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4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2</v>
      </c>
      <c r="Y279">
        <v>3</v>
      </c>
      <c r="Z279">
        <v>4</v>
      </c>
      <c r="AA279" s="13">
        <v>34</v>
      </c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</row>
    <row r="280" spans="1:52" ht="32.25" hidden="1" customHeight="1">
      <c r="A280" s="14">
        <v>83</v>
      </c>
      <c r="B280">
        <v>3</v>
      </c>
      <c r="C280">
        <v>3</v>
      </c>
      <c r="D280">
        <v>2</v>
      </c>
      <c r="E280">
        <v>2</v>
      </c>
      <c r="F280">
        <v>3</v>
      </c>
      <c r="G280">
        <v>4</v>
      </c>
      <c r="H280">
        <v>5</v>
      </c>
      <c r="I280">
        <v>4</v>
      </c>
      <c r="J280">
        <v>4</v>
      </c>
      <c r="K280">
        <v>3</v>
      </c>
      <c r="L280">
        <v>3</v>
      </c>
      <c r="M280">
        <v>4</v>
      </c>
      <c r="N280">
        <v>3</v>
      </c>
      <c r="O280">
        <v>3</v>
      </c>
      <c r="P280">
        <v>3</v>
      </c>
      <c r="Q280">
        <v>4</v>
      </c>
      <c r="R280">
        <v>4</v>
      </c>
      <c r="S280">
        <v>4</v>
      </c>
      <c r="T280">
        <v>4</v>
      </c>
      <c r="U280">
        <v>3</v>
      </c>
      <c r="V280">
        <v>4</v>
      </c>
      <c r="W280">
        <v>4</v>
      </c>
      <c r="X280">
        <v>2</v>
      </c>
      <c r="Y280">
        <v>3</v>
      </c>
      <c r="Z280">
        <v>4</v>
      </c>
      <c r="AA280" s="13">
        <v>33</v>
      </c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</row>
    <row r="281" spans="1:52" ht="32.25" hidden="1" customHeight="1">
      <c r="A281" s="14">
        <v>82</v>
      </c>
      <c r="B281">
        <v>3</v>
      </c>
      <c r="C281">
        <v>3</v>
      </c>
      <c r="D281">
        <v>2</v>
      </c>
      <c r="E281">
        <v>2</v>
      </c>
      <c r="F281">
        <v>3</v>
      </c>
      <c r="G281">
        <v>5</v>
      </c>
      <c r="H281">
        <v>5</v>
      </c>
      <c r="I281">
        <v>4</v>
      </c>
      <c r="J281">
        <v>4</v>
      </c>
      <c r="K281">
        <v>3</v>
      </c>
      <c r="L281">
        <v>3</v>
      </c>
      <c r="M281">
        <v>4</v>
      </c>
      <c r="N281">
        <v>3</v>
      </c>
      <c r="O281">
        <v>3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2</v>
      </c>
      <c r="Y281">
        <v>3</v>
      </c>
      <c r="Z281">
        <v>4</v>
      </c>
      <c r="AA281" s="13">
        <v>32</v>
      </c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</row>
    <row r="282" spans="1:52" ht="32.25" hidden="1" customHeight="1">
      <c r="A282" s="14">
        <v>81</v>
      </c>
      <c r="B282">
        <v>3</v>
      </c>
      <c r="C282">
        <v>3</v>
      </c>
      <c r="D282">
        <v>2</v>
      </c>
      <c r="E282">
        <v>2</v>
      </c>
      <c r="F282">
        <v>3</v>
      </c>
      <c r="G282">
        <v>5</v>
      </c>
      <c r="H282">
        <v>5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3</v>
      </c>
      <c r="O282">
        <v>3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5</v>
      </c>
      <c r="W282">
        <v>4</v>
      </c>
      <c r="X282">
        <v>2</v>
      </c>
      <c r="Y282">
        <v>3</v>
      </c>
      <c r="Z282">
        <v>4</v>
      </c>
      <c r="AA282" s="13">
        <v>31</v>
      </c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</row>
    <row r="283" spans="1:52" ht="32.25" hidden="1" customHeight="1">
      <c r="A283" s="14">
        <v>80</v>
      </c>
      <c r="B283">
        <v>3</v>
      </c>
      <c r="C283">
        <v>3</v>
      </c>
      <c r="D283">
        <v>2</v>
      </c>
      <c r="E283">
        <v>3</v>
      </c>
      <c r="F283">
        <v>3</v>
      </c>
      <c r="G283">
        <v>5</v>
      </c>
      <c r="H283">
        <v>5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3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5</v>
      </c>
      <c r="W283">
        <v>5</v>
      </c>
      <c r="X283">
        <v>2</v>
      </c>
      <c r="Y283">
        <v>3</v>
      </c>
      <c r="Z283">
        <v>4</v>
      </c>
      <c r="AA283" s="13">
        <v>30</v>
      </c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</row>
    <row r="284" spans="1:52" ht="32.25" hidden="1" customHeight="1">
      <c r="A284" s="14">
        <v>79</v>
      </c>
      <c r="B284">
        <v>3</v>
      </c>
      <c r="C284">
        <v>3</v>
      </c>
      <c r="D284">
        <v>2</v>
      </c>
      <c r="E284">
        <v>3</v>
      </c>
      <c r="F284">
        <v>3</v>
      </c>
      <c r="G284">
        <v>5</v>
      </c>
      <c r="H284">
        <v>5</v>
      </c>
      <c r="I284">
        <v>5</v>
      </c>
      <c r="J284">
        <v>4</v>
      </c>
      <c r="K284">
        <v>4</v>
      </c>
      <c r="L284">
        <v>4</v>
      </c>
      <c r="M284">
        <v>4</v>
      </c>
      <c r="N284">
        <v>3</v>
      </c>
      <c r="O284">
        <v>4</v>
      </c>
      <c r="P284">
        <v>4</v>
      </c>
      <c r="Q284">
        <v>4</v>
      </c>
      <c r="R284">
        <v>4</v>
      </c>
      <c r="S284">
        <v>5</v>
      </c>
      <c r="T284">
        <v>4</v>
      </c>
      <c r="U284">
        <v>4</v>
      </c>
      <c r="V284">
        <v>5</v>
      </c>
      <c r="W284">
        <v>5</v>
      </c>
      <c r="X284">
        <v>3</v>
      </c>
      <c r="Y284">
        <v>4</v>
      </c>
      <c r="Z284">
        <v>5</v>
      </c>
      <c r="AA284" s="13">
        <v>29</v>
      </c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</row>
    <row r="285" spans="1:52" ht="32.25" hidden="1" customHeight="1">
      <c r="A285" s="14">
        <v>78</v>
      </c>
      <c r="B285">
        <v>3</v>
      </c>
      <c r="C285">
        <v>4</v>
      </c>
      <c r="D285">
        <v>2</v>
      </c>
      <c r="E285">
        <v>3</v>
      </c>
      <c r="F285">
        <v>3</v>
      </c>
      <c r="G285">
        <v>5</v>
      </c>
      <c r="H285">
        <v>5</v>
      </c>
      <c r="I285">
        <v>5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5</v>
      </c>
      <c r="T285">
        <v>4</v>
      </c>
      <c r="U285">
        <v>4</v>
      </c>
      <c r="V285">
        <v>5</v>
      </c>
      <c r="W285">
        <v>5</v>
      </c>
      <c r="X285">
        <v>3</v>
      </c>
      <c r="Y285">
        <v>4</v>
      </c>
      <c r="Z285">
        <v>5</v>
      </c>
      <c r="AA285" s="13">
        <v>28</v>
      </c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</row>
    <row r="286" spans="1:52" ht="32.25" hidden="1" customHeight="1">
      <c r="A286" s="14">
        <v>77</v>
      </c>
      <c r="B286">
        <v>4</v>
      </c>
      <c r="C286">
        <v>4</v>
      </c>
      <c r="D286">
        <v>3</v>
      </c>
      <c r="E286">
        <v>3</v>
      </c>
      <c r="F286">
        <v>3</v>
      </c>
      <c r="G286">
        <v>5</v>
      </c>
      <c r="H286">
        <v>5</v>
      </c>
      <c r="I286">
        <v>5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5</v>
      </c>
      <c r="S286">
        <v>5</v>
      </c>
      <c r="T286">
        <v>4</v>
      </c>
      <c r="U286">
        <v>4</v>
      </c>
      <c r="V286">
        <v>5</v>
      </c>
      <c r="W286">
        <v>5</v>
      </c>
      <c r="X286">
        <v>3</v>
      </c>
      <c r="Y286">
        <v>4</v>
      </c>
      <c r="Z286">
        <v>5</v>
      </c>
      <c r="AA286" s="13">
        <v>27</v>
      </c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</row>
    <row r="287" spans="1:52" ht="32.25" hidden="1" customHeight="1">
      <c r="A287" s="14">
        <v>76</v>
      </c>
      <c r="B287">
        <v>4</v>
      </c>
      <c r="C287">
        <v>4</v>
      </c>
      <c r="D287">
        <v>3</v>
      </c>
      <c r="E287">
        <v>3</v>
      </c>
      <c r="F287">
        <v>3</v>
      </c>
      <c r="G287">
        <v>5</v>
      </c>
      <c r="H287">
        <v>5</v>
      </c>
      <c r="I287">
        <v>5</v>
      </c>
      <c r="J287">
        <v>5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5</v>
      </c>
      <c r="R287">
        <v>5</v>
      </c>
      <c r="S287">
        <v>5</v>
      </c>
      <c r="T287">
        <v>4</v>
      </c>
      <c r="U287">
        <v>4</v>
      </c>
      <c r="V287">
        <v>5</v>
      </c>
      <c r="W287">
        <v>5</v>
      </c>
      <c r="X287">
        <v>3</v>
      </c>
      <c r="Y287">
        <v>4</v>
      </c>
      <c r="Z287">
        <v>5</v>
      </c>
      <c r="AA287" s="13">
        <v>26</v>
      </c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</row>
    <row r="288" spans="1:52" ht="32.25" hidden="1" customHeight="1">
      <c r="A288" s="14">
        <v>75</v>
      </c>
      <c r="B288">
        <v>4</v>
      </c>
      <c r="C288">
        <v>4</v>
      </c>
      <c r="D288">
        <v>3</v>
      </c>
      <c r="E288">
        <v>3</v>
      </c>
      <c r="F288">
        <v>3</v>
      </c>
      <c r="G288">
        <v>5</v>
      </c>
      <c r="H288">
        <v>5</v>
      </c>
      <c r="I288">
        <v>5</v>
      </c>
      <c r="J288">
        <v>5</v>
      </c>
      <c r="K288">
        <v>4</v>
      </c>
      <c r="L288">
        <v>4</v>
      </c>
      <c r="M288">
        <v>5</v>
      </c>
      <c r="N288">
        <v>4</v>
      </c>
      <c r="O288">
        <v>5</v>
      </c>
      <c r="P288">
        <v>4</v>
      </c>
      <c r="Q288">
        <v>5</v>
      </c>
      <c r="R288">
        <v>5</v>
      </c>
      <c r="S288">
        <v>5</v>
      </c>
      <c r="T288">
        <v>5</v>
      </c>
      <c r="U288">
        <v>4</v>
      </c>
      <c r="V288">
        <v>5</v>
      </c>
      <c r="W288">
        <v>5</v>
      </c>
      <c r="X288">
        <v>3</v>
      </c>
      <c r="Y288">
        <v>4</v>
      </c>
      <c r="Z288">
        <v>5</v>
      </c>
      <c r="AA288" s="13">
        <v>25</v>
      </c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</row>
    <row r="289" spans="1:52" ht="32.25" hidden="1" customHeight="1">
      <c r="A289" s="14">
        <v>74</v>
      </c>
      <c r="B289">
        <v>4</v>
      </c>
      <c r="C289">
        <v>4</v>
      </c>
      <c r="D289">
        <v>3</v>
      </c>
      <c r="E289">
        <v>3</v>
      </c>
      <c r="F289">
        <v>3</v>
      </c>
      <c r="G289">
        <v>5</v>
      </c>
      <c r="H289">
        <v>5</v>
      </c>
      <c r="I289">
        <v>5</v>
      </c>
      <c r="J289">
        <v>5</v>
      </c>
      <c r="K289">
        <v>4</v>
      </c>
      <c r="L289">
        <v>4</v>
      </c>
      <c r="M289">
        <v>5</v>
      </c>
      <c r="N289">
        <v>4</v>
      </c>
      <c r="O289">
        <v>5</v>
      </c>
      <c r="P289">
        <v>4</v>
      </c>
      <c r="Q289">
        <v>5</v>
      </c>
      <c r="R289">
        <v>5</v>
      </c>
      <c r="S289">
        <v>5</v>
      </c>
      <c r="T289">
        <v>5</v>
      </c>
      <c r="U289">
        <v>4</v>
      </c>
      <c r="V289">
        <v>5</v>
      </c>
      <c r="W289">
        <v>5</v>
      </c>
      <c r="X289">
        <v>3</v>
      </c>
      <c r="Y289">
        <v>5</v>
      </c>
      <c r="Z289">
        <v>6</v>
      </c>
      <c r="AA289" s="13">
        <v>24</v>
      </c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</row>
    <row r="290" spans="1:52" ht="32.25" hidden="1" customHeight="1">
      <c r="A290" s="14">
        <v>73</v>
      </c>
      <c r="B290">
        <v>4</v>
      </c>
      <c r="C290">
        <v>4</v>
      </c>
      <c r="D290">
        <v>3</v>
      </c>
      <c r="E290">
        <v>3</v>
      </c>
      <c r="F290">
        <v>4</v>
      </c>
      <c r="G290">
        <v>5</v>
      </c>
      <c r="H290">
        <v>5</v>
      </c>
      <c r="I290">
        <v>5</v>
      </c>
      <c r="J290">
        <v>5</v>
      </c>
      <c r="K290">
        <v>4</v>
      </c>
      <c r="L290">
        <v>4</v>
      </c>
      <c r="M290">
        <v>5</v>
      </c>
      <c r="N290">
        <v>4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3</v>
      </c>
      <c r="Y290">
        <v>5</v>
      </c>
      <c r="Z290">
        <v>6</v>
      </c>
      <c r="AA290" s="13">
        <v>23</v>
      </c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</row>
    <row r="291" spans="1:52" ht="32.25" hidden="1" customHeight="1">
      <c r="A291" s="14">
        <v>72</v>
      </c>
      <c r="B291">
        <v>4</v>
      </c>
      <c r="C291">
        <v>4</v>
      </c>
      <c r="D291">
        <v>3</v>
      </c>
      <c r="E291">
        <v>3</v>
      </c>
      <c r="F291">
        <v>4</v>
      </c>
      <c r="G291">
        <v>6</v>
      </c>
      <c r="H291">
        <v>5</v>
      </c>
      <c r="I291">
        <v>5</v>
      </c>
      <c r="J291">
        <v>5</v>
      </c>
      <c r="K291">
        <v>4</v>
      </c>
      <c r="L291">
        <v>5</v>
      </c>
      <c r="M291">
        <v>5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3</v>
      </c>
      <c r="Y291">
        <v>5</v>
      </c>
      <c r="Z291">
        <v>6</v>
      </c>
      <c r="AA291" s="13">
        <v>22</v>
      </c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</row>
    <row r="292" spans="1:52" ht="32.25" hidden="1" customHeight="1">
      <c r="A292" s="14">
        <v>71</v>
      </c>
      <c r="B292">
        <v>4</v>
      </c>
      <c r="C292">
        <v>4</v>
      </c>
      <c r="D292">
        <v>3</v>
      </c>
      <c r="E292">
        <v>3</v>
      </c>
      <c r="F292">
        <v>4</v>
      </c>
      <c r="G292">
        <v>6</v>
      </c>
      <c r="H292">
        <v>6</v>
      </c>
      <c r="I292">
        <v>5</v>
      </c>
      <c r="J292">
        <v>5</v>
      </c>
      <c r="K292">
        <v>4</v>
      </c>
      <c r="L292">
        <v>5</v>
      </c>
      <c r="M292">
        <v>5</v>
      </c>
      <c r="N292">
        <v>4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6</v>
      </c>
      <c r="W292">
        <v>6</v>
      </c>
      <c r="X292">
        <v>3</v>
      </c>
      <c r="Y292">
        <v>5</v>
      </c>
      <c r="Z292">
        <v>6</v>
      </c>
      <c r="AA292" s="13">
        <v>21</v>
      </c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</row>
    <row r="293" spans="1:52" ht="32.25" hidden="1" customHeight="1">
      <c r="A293" s="14">
        <v>70</v>
      </c>
      <c r="B293">
        <v>4</v>
      </c>
      <c r="C293">
        <v>4</v>
      </c>
      <c r="D293">
        <v>3</v>
      </c>
      <c r="E293">
        <v>4</v>
      </c>
      <c r="F293">
        <v>4</v>
      </c>
      <c r="G293">
        <v>6</v>
      </c>
      <c r="H293">
        <v>6</v>
      </c>
      <c r="I293">
        <v>6</v>
      </c>
      <c r="J293">
        <v>5</v>
      </c>
      <c r="K293">
        <v>5</v>
      </c>
      <c r="L293">
        <v>5</v>
      </c>
      <c r="M293">
        <v>5</v>
      </c>
      <c r="N293">
        <v>4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6</v>
      </c>
      <c r="W293">
        <v>6</v>
      </c>
      <c r="X293">
        <v>3</v>
      </c>
      <c r="Y293">
        <v>5</v>
      </c>
      <c r="Z293">
        <v>6</v>
      </c>
      <c r="AA293" s="13">
        <v>20</v>
      </c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</row>
    <row r="294" spans="1:52" ht="32.25" hidden="1" customHeight="1">
      <c r="A294" s="14">
        <v>69</v>
      </c>
      <c r="B294">
        <v>4</v>
      </c>
      <c r="C294">
        <v>4</v>
      </c>
      <c r="D294">
        <v>3</v>
      </c>
      <c r="E294">
        <v>4</v>
      </c>
      <c r="F294">
        <v>4</v>
      </c>
      <c r="G294">
        <v>6</v>
      </c>
      <c r="H294">
        <v>6</v>
      </c>
      <c r="I294">
        <v>6</v>
      </c>
      <c r="J294">
        <v>6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6</v>
      </c>
      <c r="W294">
        <v>6</v>
      </c>
      <c r="X294">
        <v>4</v>
      </c>
      <c r="Y294">
        <v>6</v>
      </c>
      <c r="Z294">
        <v>7</v>
      </c>
      <c r="AA294" s="13">
        <v>19</v>
      </c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</row>
    <row r="295" spans="1:52" ht="32.25" hidden="1" customHeight="1">
      <c r="A295" s="14">
        <v>68</v>
      </c>
      <c r="B295">
        <v>4</v>
      </c>
      <c r="C295">
        <v>5</v>
      </c>
      <c r="D295">
        <v>4</v>
      </c>
      <c r="E295">
        <v>4</v>
      </c>
      <c r="F295">
        <v>4</v>
      </c>
      <c r="G295">
        <v>6</v>
      </c>
      <c r="H295">
        <v>6</v>
      </c>
      <c r="I295">
        <v>6</v>
      </c>
      <c r="J295">
        <v>6</v>
      </c>
      <c r="K295">
        <v>5</v>
      </c>
      <c r="L295">
        <v>5</v>
      </c>
      <c r="M295">
        <v>5</v>
      </c>
      <c r="N295">
        <v>5</v>
      </c>
      <c r="O295">
        <v>6</v>
      </c>
      <c r="P295">
        <v>5</v>
      </c>
      <c r="Q295">
        <v>5</v>
      </c>
      <c r="R295">
        <v>6</v>
      </c>
      <c r="S295">
        <v>6</v>
      </c>
      <c r="T295">
        <v>5</v>
      </c>
      <c r="U295">
        <v>5</v>
      </c>
      <c r="V295">
        <v>6</v>
      </c>
      <c r="W295">
        <v>6</v>
      </c>
      <c r="X295">
        <v>4</v>
      </c>
      <c r="Y295">
        <v>6</v>
      </c>
      <c r="Z295">
        <v>7</v>
      </c>
      <c r="AA295" s="13">
        <v>18</v>
      </c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</row>
    <row r="296" spans="1:52" ht="32.25" hidden="1" customHeight="1">
      <c r="A296" s="14">
        <v>67</v>
      </c>
      <c r="B296">
        <v>4</v>
      </c>
      <c r="C296">
        <v>5</v>
      </c>
      <c r="D296">
        <v>4</v>
      </c>
      <c r="E296">
        <v>4</v>
      </c>
      <c r="F296">
        <v>4</v>
      </c>
      <c r="G296">
        <v>6</v>
      </c>
      <c r="H296">
        <v>6</v>
      </c>
      <c r="I296">
        <v>6</v>
      </c>
      <c r="J296">
        <v>6</v>
      </c>
      <c r="K296">
        <v>5</v>
      </c>
      <c r="L296">
        <v>5</v>
      </c>
      <c r="M296">
        <v>5</v>
      </c>
      <c r="N296">
        <v>5</v>
      </c>
      <c r="O296">
        <v>6</v>
      </c>
      <c r="P296">
        <v>5</v>
      </c>
      <c r="Q296">
        <v>5</v>
      </c>
      <c r="R296">
        <v>6</v>
      </c>
      <c r="S296">
        <v>6</v>
      </c>
      <c r="T296">
        <v>6</v>
      </c>
      <c r="U296">
        <v>5</v>
      </c>
      <c r="V296">
        <v>6</v>
      </c>
      <c r="W296">
        <v>6</v>
      </c>
      <c r="X296">
        <v>4</v>
      </c>
      <c r="Y296">
        <v>6</v>
      </c>
      <c r="Z296">
        <v>7</v>
      </c>
      <c r="AA296" s="13">
        <v>17</v>
      </c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</row>
    <row r="297" spans="1:52" ht="32.25" hidden="1" customHeight="1">
      <c r="A297" s="14">
        <v>66</v>
      </c>
      <c r="B297">
        <v>5</v>
      </c>
      <c r="C297">
        <v>5</v>
      </c>
      <c r="D297">
        <v>4</v>
      </c>
      <c r="E297">
        <v>4</v>
      </c>
      <c r="F297">
        <v>4</v>
      </c>
      <c r="G297">
        <v>6</v>
      </c>
      <c r="H297">
        <v>6</v>
      </c>
      <c r="I297">
        <v>6</v>
      </c>
      <c r="J297">
        <v>6</v>
      </c>
      <c r="K297">
        <v>5</v>
      </c>
      <c r="L297">
        <v>5</v>
      </c>
      <c r="M297">
        <v>6</v>
      </c>
      <c r="N297">
        <v>5</v>
      </c>
      <c r="O297">
        <v>6</v>
      </c>
      <c r="P297">
        <v>5</v>
      </c>
      <c r="Q297">
        <v>6</v>
      </c>
      <c r="R297">
        <v>6</v>
      </c>
      <c r="S297">
        <v>6</v>
      </c>
      <c r="T297">
        <v>6</v>
      </c>
      <c r="U297">
        <v>5</v>
      </c>
      <c r="V297">
        <v>6</v>
      </c>
      <c r="W297">
        <v>6</v>
      </c>
      <c r="X297">
        <v>4</v>
      </c>
      <c r="Y297">
        <v>6</v>
      </c>
      <c r="Z297">
        <v>7</v>
      </c>
      <c r="AA297" s="13">
        <v>16</v>
      </c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</row>
    <row r="298" spans="1:52" ht="32.25" hidden="1" customHeight="1">
      <c r="A298" s="14">
        <v>65</v>
      </c>
      <c r="B298">
        <v>5</v>
      </c>
      <c r="C298">
        <v>5</v>
      </c>
      <c r="D298">
        <v>4</v>
      </c>
      <c r="E298">
        <v>4</v>
      </c>
      <c r="F298">
        <v>4</v>
      </c>
      <c r="G298">
        <v>6</v>
      </c>
      <c r="H298">
        <v>6</v>
      </c>
      <c r="I298">
        <v>6</v>
      </c>
      <c r="J298">
        <v>6</v>
      </c>
      <c r="K298">
        <v>5</v>
      </c>
      <c r="L298">
        <v>6</v>
      </c>
      <c r="M298">
        <v>6</v>
      </c>
      <c r="N298">
        <v>5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  <c r="U298">
        <v>5</v>
      </c>
      <c r="V298">
        <v>6</v>
      </c>
      <c r="W298">
        <v>6</v>
      </c>
      <c r="X298">
        <v>4</v>
      </c>
      <c r="Y298">
        <v>6</v>
      </c>
      <c r="Z298">
        <v>7</v>
      </c>
      <c r="AA298" s="13">
        <v>15</v>
      </c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</row>
    <row r="299" spans="1:52" ht="32.25" hidden="1" customHeight="1">
      <c r="A299" s="14">
        <v>64</v>
      </c>
      <c r="B299">
        <v>5</v>
      </c>
      <c r="C299">
        <v>5</v>
      </c>
      <c r="D299">
        <v>4</v>
      </c>
      <c r="E299">
        <v>4</v>
      </c>
      <c r="F299">
        <v>4</v>
      </c>
      <c r="G299">
        <v>7</v>
      </c>
      <c r="H299">
        <v>7</v>
      </c>
      <c r="I299">
        <v>7</v>
      </c>
      <c r="J299">
        <v>6</v>
      </c>
      <c r="K299">
        <v>6</v>
      </c>
      <c r="L299">
        <v>6</v>
      </c>
      <c r="M299">
        <v>6</v>
      </c>
      <c r="N299">
        <v>5</v>
      </c>
      <c r="O299">
        <v>6</v>
      </c>
      <c r="P299">
        <v>6</v>
      </c>
      <c r="Q299">
        <v>6</v>
      </c>
      <c r="R299">
        <v>6</v>
      </c>
      <c r="S299">
        <v>6</v>
      </c>
      <c r="T299">
        <v>6</v>
      </c>
      <c r="U299">
        <v>6</v>
      </c>
      <c r="V299">
        <v>6</v>
      </c>
      <c r="W299">
        <v>7</v>
      </c>
      <c r="X299">
        <v>4</v>
      </c>
      <c r="Y299">
        <v>7</v>
      </c>
      <c r="Z299">
        <v>8</v>
      </c>
      <c r="AA299" s="13">
        <v>14</v>
      </c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</row>
    <row r="300" spans="1:52" ht="32.25" hidden="1" customHeight="1">
      <c r="A300" s="14">
        <v>63</v>
      </c>
      <c r="B300">
        <v>5</v>
      </c>
      <c r="C300">
        <v>5</v>
      </c>
      <c r="D300">
        <v>4</v>
      </c>
      <c r="E300">
        <v>4</v>
      </c>
      <c r="F300">
        <v>4</v>
      </c>
      <c r="G300">
        <v>7</v>
      </c>
      <c r="H300">
        <v>7</v>
      </c>
      <c r="I300">
        <v>7</v>
      </c>
      <c r="J300">
        <v>7</v>
      </c>
      <c r="K300">
        <v>6</v>
      </c>
      <c r="L300">
        <v>6</v>
      </c>
      <c r="M300">
        <v>6</v>
      </c>
      <c r="N300">
        <v>5</v>
      </c>
      <c r="O300">
        <v>7</v>
      </c>
      <c r="P300">
        <v>6</v>
      </c>
      <c r="Q300">
        <v>6</v>
      </c>
      <c r="R300">
        <v>6</v>
      </c>
      <c r="S300">
        <v>6</v>
      </c>
      <c r="T300">
        <v>6</v>
      </c>
      <c r="U300">
        <v>6</v>
      </c>
      <c r="V300">
        <v>7</v>
      </c>
      <c r="W300">
        <v>7</v>
      </c>
      <c r="X300">
        <v>4</v>
      </c>
      <c r="Y300">
        <v>7</v>
      </c>
      <c r="Z300">
        <v>8</v>
      </c>
      <c r="AA300" s="13">
        <v>13</v>
      </c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</row>
    <row r="301" spans="1:52" ht="32.25" hidden="1" customHeight="1">
      <c r="A301" s="14">
        <v>62</v>
      </c>
      <c r="B301">
        <v>5</v>
      </c>
      <c r="C301">
        <v>5</v>
      </c>
      <c r="D301">
        <v>4</v>
      </c>
      <c r="E301">
        <v>4</v>
      </c>
      <c r="F301">
        <v>4</v>
      </c>
      <c r="G301">
        <v>7</v>
      </c>
      <c r="H301">
        <v>7</v>
      </c>
      <c r="I301">
        <v>7</v>
      </c>
      <c r="J301">
        <v>7</v>
      </c>
      <c r="K301">
        <v>6</v>
      </c>
      <c r="L301">
        <v>6</v>
      </c>
      <c r="M301">
        <v>6</v>
      </c>
      <c r="N301">
        <v>6</v>
      </c>
      <c r="O301">
        <v>7</v>
      </c>
      <c r="P301">
        <v>6</v>
      </c>
      <c r="Q301">
        <v>6</v>
      </c>
      <c r="R301">
        <v>7</v>
      </c>
      <c r="S301">
        <v>7</v>
      </c>
      <c r="T301">
        <v>7</v>
      </c>
      <c r="U301">
        <v>6</v>
      </c>
      <c r="V301">
        <v>7</v>
      </c>
      <c r="W301">
        <v>7</v>
      </c>
      <c r="X301">
        <v>4</v>
      </c>
      <c r="Y301">
        <v>7</v>
      </c>
      <c r="Z301">
        <v>8</v>
      </c>
      <c r="AA301" s="13">
        <v>12</v>
      </c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</row>
    <row r="302" spans="1:52" ht="32.25" hidden="1" customHeight="1">
      <c r="A302" s="14">
        <v>61</v>
      </c>
      <c r="B302">
        <v>5</v>
      </c>
      <c r="C302">
        <v>5</v>
      </c>
      <c r="D302">
        <v>4</v>
      </c>
      <c r="E302">
        <v>4</v>
      </c>
      <c r="F302">
        <v>4</v>
      </c>
      <c r="G302">
        <v>7</v>
      </c>
      <c r="H302">
        <v>7</v>
      </c>
      <c r="I302">
        <v>7</v>
      </c>
      <c r="J302">
        <v>7</v>
      </c>
      <c r="K302">
        <v>6</v>
      </c>
      <c r="L302">
        <v>6</v>
      </c>
      <c r="M302">
        <v>7</v>
      </c>
      <c r="N302">
        <v>6</v>
      </c>
      <c r="O302">
        <v>7</v>
      </c>
      <c r="P302">
        <v>7</v>
      </c>
      <c r="Q302">
        <v>7</v>
      </c>
      <c r="R302">
        <v>7</v>
      </c>
      <c r="S302">
        <v>7</v>
      </c>
      <c r="T302">
        <v>7</v>
      </c>
      <c r="U302">
        <v>6</v>
      </c>
      <c r="V302">
        <v>7</v>
      </c>
      <c r="W302">
        <v>7</v>
      </c>
      <c r="X302">
        <v>4</v>
      </c>
      <c r="Y302">
        <v>7</v>
      </c>
      <c r="Z302">
        <v>8</v>
      </c>
      <c r="AA302" s="13">
        <v>11</v>
      </c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</row>
    <row r="303" spans="1:52" ht="32.25" hidden="1" customHeight="1">
      <c r="A303" s="14">
        <v>60</v>
      </c>
      <c r="B303">
        <v>5</v>
      </c>
      <c r="C303">
        <v>5</v>
      </c>
      <c r="D303">
        <v>4</v>
      </c>
      <c r="E303">
        <v>4</v>
      </c>
      <c r="F303">
        <v>4</v>
      </c>
      <c r="G303">
        <v>7</v>
      </c>
      <c r="H303">
        <v>7</v>
      </c>
      <c r="I303">
        <v>8</v>
      </c>
      <c r="J303">
        <v>7</v>
      </c>
      <c r="K303">
        <v>7</v>
      </c>
      <c r="L303">
        <v>7</v>
      </c>
      <c r="M303">
        <v>7</v>
      </c>
      <c r="N303">
        <v>6</v>
      </c>
      <c r="O303">
        <v>8</v>
      </c>
      <c r="P303">
        <v>7</v>
      </c>
      <c r="Q303">
        <v>7</v>
      </c>
      <c r="R303">
        <v>7</v>
      </c>
      <c r="S303">
        <v>7</v>
      </c>
      <c r="T303">
        <v>7</v>
      </c>
      <c r="U303">
        <v>6</v>
      </c>
      <c r="V303">
        <v>7</v>
      </c>
      <c r="W303">
        <v>8</v>
      </c>
      <c r="X303">
        <v>4</v>
      </c>
      <c r="Y303">
        <v>7</v>
      </c>
      <c r="Z303">
        <v>8</v>
      </c>
      <c r="AA303" s="13">
        <v>10</v>
      </c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</row>
    <row r="304" spans="1:52" ht="32.25" hidden="1" customHeight="1">
      <c r="A304" s="14">
        <v>59</v>
      </c>
      <c r="B304">
        <v>5</v>
      </c>
      <c r="C304">
        <v>5</v>
      </c>
      <c r="D304">
        <v>4</v>
      </c>
      <c r="E304">
        <v>4</v>
      </c>
      <c r="F304">
        <v>4</v>
      </c>
      <c r="G304">
        <v>8</v>
      </c>
      <c r="H304">
        <v>8</v>
      </c>
      <c r="I304">
        <v>8</v>
      </c>
      <c r="J304">
        <v>8</v>
      </c>
      <c r="K304">
        <v>7</v>
      </c>
      <c r="L304">
        <v>7</v>
      </c>
      <c r="M304">
        <v>8</v>
      </c>
      <c r="N304">
        <v>7</v>
      </c>
      <c r="O304">
        <v>8</v>
      </c>
      <c r="P304">
        <v>7</v>
      </c>
      <c r="Q304">
        <v>7</v>
      </c>
      <c r="R304">
        <v>8</v>
      </c>
      <c r="S304">
        <v>8</v>
      </c>
      <c r="T304">
        <v>7</v>
      </c>
      <c r="U304">
        <v>7</v>
      </c>
      <c r="V304">
        <v>8</v>
      </c>
      <c r="W304">
        <v>8</v>
      </c>
      <c r="X304">
        <v>5</v>
      </c>
      <c r="Y304">
        <v>8</v>
      </c>
      <c r="Z304">
        <v>9</v>
      </c>
      <c r="AA304" s="13">
        <v>9</v>
      </c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</row>
    <row r="305" spans="1:52" ht="32.25" hidden="1" customHeight="1">
      <c r="A305" s="14">
        <v>58</v>
      </c>
      <c r="B305">
        <v>5</v>
      </c>
      <c r="C305">
        <v>5</v>
      </c>
      <c r="D305">
        <v>4</v>
      </c>
      <c r="E305">
        <v>4</v>
      </c>
      <c r="F305">
        <v>4</v>
      </c>
      <c r="G305">
        <v>8</v>
      </c>
      <c r="H305">
        <v>8</v>
      </c>
      <c r="I305">
        <v>8</v>
      </c>
      <c r="J305">
        <v>8</v>
      </c>
      <c r="K305">
        <v>7</v>
      </c>
      <c r="L305">
        <v>7</v>
      </c>
      <c r="M305">
        <v>8</v>
      </c>
      <c r="N305">
        <v>7</v>
      </c>
      <c r="O305">
        <v>8</v>
      </c>
      <c r="P305">
        <v>8</v>
      </c>
      <c r="Q305">
        <v>8</v>
      </c>
      <c r="R305">
        <v>8</v>
      </c>
      <c r="S305">
        <v>8</v>
      </c>
      <c r="T305">
        <v>8</v>
      </c>
      <c r="U305">
        <v>7</v>
      </c>
      <c r="V305">
        <v>8</v>
      </c>
      <c r="W305">
        <v>8</v>
      </c>
      <c r="X305">
        <v>5</v>
      </c>
      <c r="Y305">
        <v>8</v>
      </c>
      <c r="Z305">
        <v>9</v>
      </c>
      <c r="AA305" s="13">
        <v>8</v>
      </c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</row>
    <row r="306" spans="1:52" ht="32.25" hidden="1" customHeight="1">
      <c r="A306" s="14">
        <v>57</v>
      </c>
      <c r="B306">
        <v>5</v>
      </c>
      <c r="C306">
        <v>5</v>
      </c>
      <c r="D306">
        <v>4</v>
      </c>
      <c r="E306">
        <v>4</v>
      </c>
      <c r="F306">
        <v>4</v>
      </c>
      <c r="G306">
        <v>8</v>
      </c>
      <c r="H306">
        <v>8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7</v>
      </c>
      <c r="O306">
        <v>8</v>
      </c>
      <c r="P306">
        <v>8</v>
      </c>
      <c r="Q306">
        <v>8</v>
      </c>
      <c r="R306">
        <v>8</v>
      </c>
      <c r="S306">
        <v>8</v>
      </c>
      <c r="T306">
        <v>8</v>
      </c>
      <c r="U306">
        <v>8</v>
      </c>
      <c r="V306">
        <v>8</v>
      </c>
      <c r="W306">
        <v>9</v>
      </c>
      <c r="X306">
        <v>5</v>
      </c>
      <c r="Y306">
        <v>8</v>
      </c>
      <c r="Z306">
        <v>9</v>
      </c>
      <c r="AA306" s="13">
        <v>7</v>
      </c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</row>
    <row r="307" spans="1:52" ht="32.25" hidden="1" customHeight="1">
      <c r="A307" s="14">
        <v>56</v>
      </c>
      <c r="B307">
        <v>5</v>
      </c>
      <c r="C307">
        <v>5</v>
      </c>
      <c r="D307">
        <v>4</v>
      </c>
      <c r="E307">
        <v>5</v>
      </c>
      <c r="F307">
        <v>4</v>
      </c>
      <c r="G307">
        <v>9</v>
      </c>
      <c r="H307">
        <v>8</v>
      </c>
      <c r="I307">
        <v>9</v>
      </c>
      <c r="J307">
        <v>8</v>
      </c>
      <c r="K307">
        <v>8</v>
      </c>
      <c r="L307">
        <v>8</v>
      </c>
      <c r="M307">
        <v>8</v>
      </c>
      <c r="N307">
        <v>8</v>
      </c>
      <c r="O307">
        <v>9</v>
      </c>
      <c r="P307">
        <v>8</v>
      </c>
      <c r="Q307">
        <v>8</v>
      </c>
      <c r="R307">
        <v>9</v>
      </c>
      <c r="S307">
        <v>8</v>
      </c>
      <c r="T307">
        <v>8</v>
      </c>
      <c r="U307">
        <v>8</v>
      </c>
      <c r="V307">
        <v>9</v>
      </c>
      <c r="W307">
        <v>9</v>
      </c>
      <c r="X307">
        <v>5</v>
      </c>
      <c r="Y307">
        <v>8</v>
      </c>
      <c r="Z307">
        <v>9</v>
      </c>
      <c r="AA307" s="13">
        <v>6</v>
      </c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</row>
    <row r="308" spans="1:52" ht="32.25" hidden="1" customHeight="1">
      <c r="A308" s="14">
        <v>55</v>
      </c>
      <c r="B308">
        <v>5</v>
      </c>
      <c r="C308">
        <v>6</v>
      </c>
      <c r="D308">
        <v>4</v>
      </c>
      <c r="E308">
        <v>5</v>
      </c>
      <c r="F308">
        <v>5</v>
      </c>
      <c r="G308">
        <v>9</v>
      </c>
      <c r="H308">
        <v>9</v>
      </c>
      <c r="I308">
        <v>9</v>
      </c>
      <c r="J308">
        <v>9</v>
      </c>
      <c r="K308">
        <v>8</v>
      </c>
      <c r="L308">
        <v>8</v>
      </c>
      <c r="M308">
        <v>9</v>
      </c>
      <c r="N308">
        <v>8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8</v>
      </c>
      <c r="V308">
        <v>9</v>
      </c>
      <c r="W308">
        <v>9</v>
      </c>
      <c r="X308">
        <v>5</v>
      </c>
      <c r="Y308">
        <v>8</v>
      </c>
      <c r="Z308">
        <v>9</v>
      </c>
      <c r="AA308" s="13">
        <v>5</v>
      </c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</row>
    <row r="309" spans="1:52" ht="32.25" hidden="1" customHeight="1">
      <c r="A309" s="14">
        <v>54</v>
      </c>
      <c r="B309">
        <v>5</v>
      </c>
      <c r="C309">
        <v>6</v>
      </c>
      <c r="D309">
        <v>5</v>
      </c>
      <c r="E309">
        <v>5</v>
      </c>
      <c r="F309">
        <v>5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8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5</v>
      </c>
      <c r="Y309">
        <v>9</v>
      </c>
      <c r="Z309">
        <v>9</v>
      </c>
      <c r="AA309" s="13">
        <v>4</v>
      </c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</row>
    <row r="310" spans="1:52" ht="32.25" hidden="1" customHeight="1">
      <c r="A310" s="14">
        <v>53</v>
      </c>
      <c r="B310">
        <v>6</v>
      </c>
      <c r="C310">
        <v>6</v>
      </c>
      <c r="D310">
        <v>5</v>
      </c>
      <c r="E310">
        <v>5</v>
      </c>
      <c r="F310">
        <v>5</v>
      </c>
      <c r="G310">
        <v>9</v>
      </c>
      <c r="H310">
        <v>9</v>
      </c>
      <c r="I310">
        <v>9</v>
      </c>
      <c r="J310">
        <v>9</v>
      </c>
      <c r="K310">
        <v>9</v>
      </c>
      <c r="L310">
        <v>9</v>
      </c>
      <c r="M310">
        <v>9</v>
      </c>
      <c r="N310">
        <v>9</v>
      </c>
      <c r="O310">
        <v>9</v>
      </c>
      <c r="P310">
        <v>9</v>
      </c>
      <c r="Q310">
        <v>9</v>
      </c>
      <c r="R310">
        <v>9</v>
      </c>
      <c r="S310">
        <v>9</v>
      </c>
      <c r="T310">
        <v>9</v>
      </c>
      <c r="U310">
        <v>9</v>
      </c>
      <c r="V310">
        <v>9</v>
      </c>
      <c r="W310">
        <v>9</v>
      </c>
      <c r="X310">
        <v>5</v>
      </c>
      <c r="Y310">
        <v>9</v>
      </c>
      <c r="Z310">
        <v>9</v>
      </c>
      <c r="AA310" s="13">
        <v>3</v>
      </c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</row>
    <row r="311" spans="1:52" ht="32.25" hidden="1" customHeight="1">
      <c r="A311" s="14">
        <v>52</v>
      </c>
      <c r="B311">
        <v>6</v>
      </c>
      <c r="C311">
        <v>6</v>
      </c>
      <c r="D311">
        <v>5</v>
      </c>
      <c r="E311">
        <v>5</v>
      </c>
      <c r="F311">
        <v>5</v>
      </c>
      <c r="G311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9</v>
      </c>
      <c r="N311">
        <v>9</v>
      </c>
      <c r="O311">
        <v>9</v>
      </c>
      <c r="P311">
        <v>9</v>
      </c>
      <c r="Q311">
        <v>9</v>
      </c>
      <c r="R311">
        <v>9</v>
      </c>
      <c r="S311">
        <v>9</v>
      </c>
      <c r="T311">
        <v>9</v>
      </c>
      <c r="U311">
        <v>9</v>
      </c>
      <c r="V311">
        <v>9</v>
      </c>
      <c r="W311">
        <v>9</v>
      </c>
      <c r="X311">
        <v>5</v>
      </c>
      <c r="Y311">
        <v>9</v>
      </c>
      <c r="Z311">
        <v>9</v>
      </c>
      <c r="AA311" s="13">
        <v>2</v>
      </c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</row>
    <row r="312" spans="1:52" ht="32.25" hidden="1" customHeight="1">
      <c r="A312" s="14">
        <v>51</v>
      </c>
      <c r="B312">
        <v>6</v>
      </c>
      <c r="C312">
        <v>6</v>
      </c>
      <c r="D312">
        <v>5</v>
      </c>
      <c r="E312">
        <v>5</v>
      </c>
      <c r="F312">
        <v>5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9</v>
      </c>
      <c r="U312">
        <v>9</v>
      </c>
      <c r="V312">
        <v>9</v>
      </c>
      <c r="W312">
        <v>9</v>
      </c>
      <c r="X312">
        <v>5</v>
      </c>
      <c r="Y312">
        <v>9</v>
      </c>
      <c r="Z312">
        <v>9</v>
      </c>
      <c r="AA312" s="13">
        <v>1</v>
      </c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</row>
    <row r="313" spans="1:52" ht="32.25" hidden="1" customHeight="1">
      <c r="A313" s="14">
        <v>50</v>
      </c>
      <c r="B313">
        <v>6</v>
      </c>
      <c r="C313">
        <v>6</v>
      </c>
      <c r="D313">
        <v>5</v>
      </c>
      <c r="E313">
        <v>5</v>
      </c>
      <c r="F313">
        <v>5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9</v>
      </c>
      <c r="N313">
        <v>9</v>
      </c>
      <c r="O313">
        <v>9</v>
      </c>
      <c r="P313">
        <v>9</v>
      </c>
      <c r="Q313">
        <v>9</v>
      </c>
      <c r="R313">
        <v>9</v>
      </c>
      <c r="S313">
        <v>9</v>
      </c>
      <c r="T313">
        <v>9</v>
      </c>
      <c r="U313">
        <v>9</v>
      </c>
      <c r="V313">
        <v>9</v>
      </c>
      <c r="W313">
        <v>9</v>
      </c>
      <c r="X313">
        <v>5</v>
      </c>
      <c r="Y313">
        <v>9</v>
      </c>
      <c r="Z313">
        <v>9</v>
      </c>
      <c r="AA313" s="1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</row>
    <row r="314" spans="1:52" ht="32.25" hidden="1" customHeight="1">
      <c r="A314" s="14">
        <v>49</v>
      </c>
      <c r="B314">
        <v>6</v>
      </c>
      <c r="C314">
        <v>6</v>
      </c>
      <c r="D314">
        <v>5</v>
      </c>
      <c r="E314">
        <v>5</v>
      </c>
      <c r="F314">
        <v>5</v>
      </c>
      <c r="G314" t="s">
        <v>408</v>
      </c>
      <c r="H314" t="s">
        <v>408</v>
      </c>
      <c r="I314" t="s">
        <v>408</v>
      </c>
      <c r="J314" t="s">
        <v>408</v>
      </c>
      <c r="K314" t="s">
        <v>408</v>
      </c>
      <c r="L314" t="s">
        <v>408</v>
      </c>
      <c r="M314" t="s">
        <v>408</v>
      </c>
      <c r="N314" t="s">
        <v>408</v>
      </c>
      <c r="O314" t="s">
        <v>408</v>
      </c>
      <c r="P314" t="s">
        <v>408</v>
      </c>
      <c r="Q314" t="s">
        <v>408</v>
      </c>
      <c r="R314" t="s">
        <v>408</v>
      </c>
      <c r="S314" t="s">
        <v>408</v>
      </c>
      <c r="T314" t="s">
        <v>408</v>
      </c>
      <c r="U314" t="s">
        <v>408</v>
      </c>
      <c r="V314" t="s">
        <v>408</v>
      </c>
      <c r="W314" t="s">
        <v>408</v>
      </c>
      <c r="X314">
        <v>6</v>
      </c>
      <c r="Y314">
        <v>9</v>
      </c>
      <c r="Z314">
        <v>9</v>
      </c>
      <c r="AA314" s="1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</row>
    <row r="315" spans="1:52" ht="32.25" hidden="1" customHeight="1">
      <c r="A315" s="14">
        <v>48</v>
      </c>
      <c r="B315">
        <v>6</v>
      </c>
      <c r="C315">
        <v>6</v>
      </c>
      <c r="D315">
        <v>5</v>
      </c>
      <c r="E315">
        <v>5</v>
      </c>
      <c r="F315">
        <v>5</v>
      </c>
      <c r="G315" t="s">
        <v>408</v>
      </c>
      <c r="H315" t="s">
        <v>408</v>
      </c>
      <c r="I315" t="s">
        <v>408</v>
      </c>
      <c r="J315" t="s">
        <v>408</v>
      </c>
      <c r="K315" t="s">
        <v>408</v>
      </c>
      <c r="L315" t="s">
        <v>408</v>
      </c>
      <c r="M315" t="s">
        <v>408</v>
      </c>
      <c r="N315" t="s">
        <v>408</v>
      </c>
      <c r="O315" t="s">
        <v>408</v>
      </c>
      <c r="P315" t="s">
        <v>408</v>
      </c>
      <c r="Q315" t="s">
        <v>408</v>
      </c>
      <c r="R315" t="s">
        <v>408</v>
      </c>
      <c r="S315" t="s">
        <v>408</v>
      </c>
      <c r="T315" t="s">
        <v>408</v>
      </c>
      <c r="U315" t="s">
        <v>408</v>
      </c>
      <c r="V315" t="s">
        <v>408</v>
      </c>
      <c r="W315" t="s">
        <v>408</v>
      </c>
      <c r="X315">
        <v>6</v>
      </c>
      <c r="Y315">
        <v>9</v>
      </c>
      <c r="Z315">
        <v>9</v>
      </c>
      <c r="AA315" s="1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</row>
    <row r="316" spans="1:52" ht="32.25" hidden="1" customHeight="1">
      <c r="A316" s="14">
        <v>47</v>
      </c>
      <c r="B316">
        <v>6</v>
      </c>
      <c r="C316">
        <v>6</v>
      </c>
      <c r="D316">
        <v>5</v>
      </c>
      <c r="E316">
        <v>5</v>
      </c>
      <c r="F316">
        <v>5</v>
      </c>
      <c r="G316" t="s">
        <v>408</v>
      </c>
      <c r="H316" t="s">
        <v>408</v>
      </c>
      <c r="I316" t="s">
        <v>408</v>
      </c>
      <c r="J316" t="s">
        <v>408</v>
      </c>
      <c r="K316" t="s">
        <v>408</v>
      </c>
      <c r="L316" t="s">
        <v>408</v>
      </c>
      <c r="M316" t="s">
        <v>408</v>
      </c>
      <c r="N316" t="s">
        <v>408</v>
      </c>
      <c r="O316" t="s">
        <v>408</v>
      </c>
      <c r="P316" t="s">
        <v>408</v>
      </c>
      <c r="Q316" t="s">
        <v>408</v>
      </c>
      <c r="R316" t="s">
        <v>408</v>
      </c>
      <c r="S316" t="s">
        <v>408</v>
      </c>
      <c r="T316" t="s">
        <v>408</v>
      </c>
      <c r="U316" t="s">
        <v>408</v>
      </c>
      <c r="V316" t="s">
        <v>408</v>
      </c>
      <c r="W316" t="s">
        <v>408</v>
      </c>
      <c r="X316">
        <v>6</v>
      </c>
      <c r="Y316">
        <v>9</v>
      </c>
      <c r="Z316">
        <v>9</v>
      </c>
      <c r="AA316" s="1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</row>
    <row r="317" spans="1:52" ht="32.25" hidden="1" customHeight="1">
      <c r="A317" s="14">
        <v>46</v>
      </c>
      <c r="B317">
        <v>6</v>
      </c>
      <c r="C317">
        <v>6</v>
      </c>
      <c r="D317">
        <v>5</v>
      </c>
      <c r="E317">
        <v>5</v>
      </c>
      <c r="F317">
        <v>5</v>
      </c>
      <c r="G317" t="s">
        <v>408</v>
      </c>
      <c r="H317" t="s">
        <v>408</v>
      </c>
      <c r="I317" t="s">
        <v>408</v>
      </c>
      <c r="J317" t="s">
        <v>408</v>
      </c>
      <c r="K317" t="s">
        <v>408</v>
      </c>
      <c r="L317" t="s">
        <v>408</v>
      </c>
      <c r="M317" t="s">
        <v>408</v>
      </c>
      <c r="N317" t="s">
        <v>408</v>
      </c>
      <c r="O317" t="s">
        <v>408</v>
      </c>
      <c r="P317" t="s">
        <v>408</v>
      </c>
      <c r="Q317" t="s">
        <v>408</v>
      </c>
      <c r="R317" t="s">
        <v>408</v>
      </c>
      <c r="S317" t="s">
        <v>408</v>
      </c>
      <c r="T317" t="s">
        <v>408</v>
      </c>
      <c r="U317" t="s">
        <v>408</v>
      </c>
      <c r="V317" t="s">
        <v>408</v>
      </c>
      <c r="W317" t="s">
        <v>408</v>
      </c>
      <c r="X317">
        <v>6</v>
      </c>
      <c r="Y317">
        <v>9</v>
      </c>
      <c r="Z317">
        <v>9</v>
      </c>
      <c r="AA317" s="1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</row>
    <row r="318" spans="1:52" ht="32.25" hidden="1" customHeight="1">
      <c r="A318" s="14">
        <v>45</v>
      </c>
      <c r="B318">
        <v>6</v>
      </c>
      <c r="C318">
        <v>6</v>
      </c>
      <c r="D318">
        <v>5</v>
      </c>
      <c r="E318">
        <v>5</v>
      </c>
      <c r="F318">
        <v>5</v>
      </c>
      <c r="G318" t="s">
        <v>408</v>
      </c>
      <c r="H318" t="s">
        <v>408</v>
      </c>
      <c r="I318" t="s">
        <v>408</v>
      </c>
      <c r="J318" t="s">
        <v>408</v>
      </c>
      <c r="K318" t="s">
        <v>408</v>
      </c>
      <c r="L318" t="s">
        <v>408</v>
      </c>
      <c r="M318" t="s">
        <v>408</v>
      </c>
      <c r="N318" t="s">
        <v>408</v>
      </c>
      <c r="O318" t="s">
        <v>408</v>
      </c>
      <c r="P318" t="s">
        <v>408</v>
      </c>
      <c r="Q318" t="s">
        <v>408</v>
      </c>
      <c r="R318" t="s">
        <v>408</v>
      </c>
      <c r="S318" t="s">
        <v>408</v>
      </c>
      <c r="T318" t="s">
        <v>408</v>
      </c>
      <c r="U318" t="s">
        <v>408</v>
      </c>
      <c r="V318" t="s">
        <v>408</v>
      </c>
      <c r="W318" t="s">
        <v>408</v>
      </c>
      <c r="X318">
        <v>6</v>
      </c>
      <c r="Y318">
        <v>9</v>
      </c>
      <c r="Z318">
        <v>9</v>
      </c>
      <c r="AA318" s="1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</row>
    <row r="319" spans="1:52" ht="32.25" hidden="1" customHeight="1">
      <c r="A319" s="14">
        <v>44</v>
      </c>
      <c r="B319">
        <v>6</v>
      </c>
      <c r="C319">
        <v>6</v>
      </c>
      <c r="D319">
        <v>5</v>
      </c>
      <c r="E319">
        <v>5</v>
      </c>
      <c r="F319">
        <v>5</v>
      </c>
      <c r="G319" t="s">
        <v>408</v>
      </c>
      <c r="H319" t="s">
        <v>408</v>
      </c>
      <c r="I319" t="s">
        <v>408</v>
      </c>
      <c r="J319" t="s">
        <v>408</v>
      </c>
      <c r="K319" t="s">
        <v>408</v>
      </c>
      <c r="L319" t="s">
        <v>408</v>
      </c>
      <c r="M319" t="s">
        <v>408</v>
      </c>
      <c r="N319" t="s">
        <v>408</v>
      </c>
      <c r="O319" t="s">
        <v>408</v>
      </c>
      <c r="P319" t="s">
        <v>408</v>
      </c>
      <c r="Q319" t="s">
        <v>408</v>
      </c>
      <c r="R319" t="s">
        <v>408</v>
      </c>
      <c r="S319" t="s">
        <v>408</v>
      </c>
      <c r="T319" t="s">
        <v>408</v>
      </c>
      <c r="U319" t="s">
        <v>408</v>
      </c>
      <c r="V319" t="s">
        <v>408</v>
      </c>
      <c r="W319" t="s">
        <v>408</v>
      </c>
      <c r="X319">
        <v>6</v>
      </c>
      <c r="Y319">
        <v>9</v>
      </c>
      <c r="Z319">
        <v>9</v>
      </c>
      <c r="AA319" s="1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</row>
    <row r="320" spans="1:52" ht="32.25" hidden="1" customHeight="1">
      <c r="A320" s="14">
        <v>43</v>
      </c>
      <c r="B320">
        <v>6</v>
      </c>
      <c r="C320">
        <v>6</v>
      </c>
      <c r="D320">
        <v>5</v>
      </c>
      <c r="E320">
        <v>5</v>
      </c>
      <c r="F320">
        <v>5</v>
      </c>
      <c r="G320" t="s">
        <v>408</v>
      </c>
      <c r="H320" t="s">
        <v>408</v>
      </c>
      <c r="I320" t="s">
        <v>408</v>
      </c>
      <c r="J320" t="s">
        <v>408</v>
      </c>
      <c r="K320" t="s">
        <v>408</v>
      </c>
      <c r="L320" t="s">
        <v>408</v>
      </c>
      <c r="M320" t="s">
        <v>408</v>
      </c>
      <c r="N320" t="s">
        <v>408</v>
      </c>
      <c r="O320" t="s">
        <v>408</v>
      </c>
      <c r="P320" t="s">
        <v>408</v>
      </c>
      <c r="Q320" t="s">
        <v>408</v>
      </c>
      <c r="R320" t="s">
        <v>408</v>
      </c>
      <c r="S320" t="s">
        <v>408</v>
      </c>
      <c r="T320" t="s">
        <v>408</v>
      </c>
      <c r="U320" t="s">
        <v>408</v>
      </c>
      <c r="V320" t="s">
        <v>408</v>
      </c>
      <c r="W320" t="s">
        <v>408</v>
      </c>
      <c r="X320">
        <v>6</v>
      </c>
      <c r="Y320">
        <v>9</v>
      </c>
      <c r="Z320">
        <v>9</v>
      </c>
      <c r="AA320" s="1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</row>
    <row r="321" spans="1:52" ht="32.25" hidden="1" customHeight="1">
      <c r="A321" s="14">
        <v>42</v>
      </c>
      <c r="B321">
        <v>6</v>
      </c>
      <c r="C321">
        <v>6</v>
      </c>
      <c r="D321">
        <v>5</v>
      </c>
      <c r="E321">
        <v>5</v>
      </c>
      <c r="F321">
        <v>5</v>
      </c>
      <c r="G321" t="s">
        <v>408</v>
      </c>
      <c r="H321" t="s">
        <v>408</v>
      </c>
      <c r="I321" t="s">
        <v>408</v>
      </c>
      <c r="J321" t="s">
        <v>408</v>
      </c>
      <c r="K321" t="s">
        <v>408</v>
      </c>
      <c r="L321" t="s">
        <v>408</v>
      </c>
      <c r="M321" t="s">
        <v>408</v>
      </c>
      <c r="N321" t="s">
        <v>408</v>
      </c>
      <c r="O321" t="s">
        <v>408</v>
      </c>
      <c r="P321" t="s">
        <v>408</v>
      </c>
      <c r="Q321" t="s">
        <v>408</v>
      </c>
      <c r="R321" t="s">
        <v>408</v>
      </c>
      <c r="S321" t="s">
        <v>408</v>
      </c>
      <c r="T321" t="s">
        <v>408</v>
      </c>
      <c r="U321" t="s">
        <v>408</v>
      </c>
      <c r="V321" t="s">
        <v>408</v>
      </c>
      <c r="W321" t="s">
        <v>408</v>
      </c>
      <c r="X321">
        <v>6</v>
      </c>
      <c r="Y321">
        <v>9</v>
      </c>
      <c r="Z321">
        <v>9</v>
      </c>
      <c r="AA321" s="1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</row>
    <row r="322" spans="1:52" ht="32.25" hidden="1" customHeight="1">
      <c r="A322" s="14">
        <v>41</v>
      </c>
      <c r="B322">
        <v>6</v>
      </c>
      <c r="C322">
        <v>6</v>
      </c>
      <c r="D322">
        <v>5</v>
      </c>
      <c r="E322">
        <v>5</v>
      </c>
      <c r="F322">
        <v>5</v>
      </c>
      <c r="G322" t="s">
        <v>408</v>
      </c>
      <c r="H322" t="s">
        <v>408</v>
      </c>
      <c r="I322" t="s">
        <v>408</v>
      </c>
      <c r="J322" t="s">
        <v>408</v>
      </c>
      <c r="K322" t="s">
        <v>408</v>
      </c>
      <c r="L322" t="s">
        <v>408</v>
      </c>
      <c r="M322" t="s">
        <v>408</v>
      </c>
      <c r="N322" t="s">
        <v>408</v>
      </c>
      <c r="O322" t="s">
        <v>408</v>
      </c>
      <c r="P322" t="s">
        <v>408</v>
      </c>
      <c r="Q322" t="s">
        <v>408</v>
      </c>
      <c r="R322" t="s">
        <v>408</v>
      </c>
      <c r="S322" t="s">
        <v>408</v>
      </c>
      <c r="T322" t="s">
        <v>408</v>
      </c>
      <c r="U322" t="s">
        <v>408</v>
      </c>
      <c r="V322" t="s">
        <v>408</v>
      </c>
      <c r="W322" t="s">
        <v>408</v>
      </c>
      <c r="X322">
        <v>6</v>
      </c>
      <c r="Y322">
        <v>9</v>
      </c>
      <c r="Z322">
        <v>9</v>
      </c>
      <c r="AA322" s="1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</row>
    <row r="323" spans="1:52" ht="32.25" hidden="1" customHeight="1">
      <c r="A323" s="14">
        <v>40</v>
      </c>
      <c r="B323">
        <v>6</v>
      </c>
      <c r="C323">
        <v>7</v>
      </c>
      <c r="D323">
        <v>5</v>
      </c>
      <c r="E323">
        <v>5</v>
      </c>
      <c r="F323">
        <v>6</v>
      </c>
      <c r="G323" t="s">
        <v>408</v>
      </c>
      <c r="H323" t="s">
        <v>408</v>
      </c>
      <c r="I323" t="s">
        <v>408</v>
      </c>
      <c r="J323" t="s">
        <v>408</v>
      </c>
      <c r="K323" t="s">
        <v>408</v>
      </c>
      <c r="L323" t="s">
        <v>408</v>
      </c>
      <c r="M323" t="s">
        <v>408</v>
      </c>
      <c r="N323" t="s">
        <v>408</v>
      </c>
      <c r="O323" t="s">
        <v>408</v>
      </c>
      <c r="P323" t="s">
        <v>408</v>
      </c>
      <c r="Q323" t="s">
        <v>408</v>
      </c>
      <c r="R323" t="s">
        <v>408</v>
      </c>
      <c r="S323" t="s">
        <v>408</v>
      </c>
      <c r="T323" t="s">
        <v>408</v>
      </c>
      <c r="U323" t="s">
        <v>408</v>
      </c>
      <c r="V323" t="s">
        <v>408</v>
      </c>
      <c r="W323" t="s">
        <v>408</v>
      </c>
      <c r="X323">
        <v>6</v>
      </c>
      <c r="Y323">
        <v>9</v>
      </c>
      <c r="Z323">
        <v>9</v>
      </c>
      <c r="AA323" s="1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</row>
    <row r="324" spans="1:52" ht="32.25" hidden="1" customHeight="1">
      <c r="A324" s="14">
        <v>39</v>
      </c>
      <c r="B324">
        <v>7</v>
      </c>
      <c r="C324">
        <v>7</v>
      </c>
      <c r="D324">
        <v>5</v>
      </c>
      <c r="E324">
        <v>5</v>
      </c>
      <c r="F324">
        <v>6</v>
      </c>
      <c r="G324" t="s">
        <v>408</v>
      </c>
      <c r="H324" t="s">
        <v>408</v>
      </c>
      <c r="I324" t="s">
        <v>408</v>
      </c>
      <c r="J324" t="s">
        <v>408</v>
      </c>
      <c r="K324" t="s">
        <v>408</v>
      </c>
      <c r="L324" t="s">
        <v>408</v>
      </c>
      <c r="M324" t="s">
        <v>408</v>
      </c>
      <c r="N324" t="s">
        <v>408</v>
      </c>
      <c r="O324" t="s">
        <v>408</v>
      </c>
      <c r="P324" t="s">
        <v>408</v>
      </c>
      <c r="Q324" t="s">
        <v>408</v>
      </c>
      <c r="R324" t="s">
        <v>408</v>
      </c>
      <c r="S324" t="s">
        <v>408</v>
      </c>
      <c r="T324" t="s">
        <v>408</v>
      </c>
      <c r="U324" t="s">
        <v>408</v>
      </c>
      <c r="V324" t="s">
        <v>408</v>
      </c>
      <c r="W324" t="s">
        <v>408</v>
      </c>
      <c r="X324">
        <v>7</v>
      </c>
      <c r="Y324">
        <v>9</v>
      </c>
      <c r="Z324">
        <v>9</v>
      </c>
      <c r="AA324" s="1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</row>
    <row r="325" spans="1:52" ht="32.25" hidden="1" customHeight="1">
      <c r="A325" s="14">
        <v>38</v>
      </c>
      <c r="B325">
        <v>7</v>
      </c>
      <c r="C325">
        <v>7</v>
      </c>
      <c r="D325">
        <v>5</v>
      </c>
      <c r="E325">
        <v>6</v>
      </c>
      <c r="F325">
        <v>6</v>
      </c>
      <c r="G325" t="s">
        <v>408</v>
      </c>
      <c r="H325" t="s">
        <v>408</v>
      </c>
      <c r="I325" t="s">
        <v>408</v>
      </c>
      <c r="J325" t="s">
        <v>408</v>
      </c>
      <c r="K325" t="s">
        <v>408</v>
      </c>
      <c r="L325" t="s">
        <v>408</v>
      </c>
      <c r="M325" t="s">
        <v>408</v>
      </c>
      <c r="N325" t="s">
        <v>408</v>
      </c>
      <c r="O325" t="s">
        <v>408</v>
      </c>
      <c r="P325" t="s">
        <v>408</v>
      </c>
      <c r="Q325" t="s">
        <v>408</v>
      </c>
      <c r="R325" t="s">
        <v>408</v>
      </c>
      <c r="S325" t="s">
        <v>408</v>
      </c>
      <c r="T325" t="s">
        <v>408</v>
      </c>
      <c r="U325" t="s">
        <v>408</v>
      </c>
      <c r="V325" t="s">
        <v>408</v>
      </c>
      <c r="W325" t="s">
        <v>408</v>
      </c>
      <c r="X325">
        <v>7</v>
      </c>
      <c r="Y325">
        <v>9</v>
      </c>
      <c r="Z325">
        <v>9</v>
      </c>
      <c r="AA325" s="1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</row>
    <row r="326" spans="1:52" ht="32.25" hidden="1" customHeight="1">
      <c r="A326" s="14">
        <v>37</v>
      </c>
      <c r="B326">
        <v>7</v>
      </c>
      <c r="C326">
        <v>7</v>
      </c>
      <c r="D326">
        <v>5</v>
      </c>
      <c r="E326">
        <v>6</v>
      </c>
      <c r="F326">
        <v>6</v>
      </c>
      <c r="G326" t="s">
        <v>408</v>
      </c>
      <c r="H326" t="s">
        <v>408</v>
      </c>
      <c r="I326" t="s">
        <v>408</v>
      </c>
      <c r="J326" t="s">
        <v>408</v>
      </c>
      <c r="K326" t="s">
        <v>408</v>
      </c>
      <c r="L326" t="s">
        <v>408</v>
      </c>
      <c r="M326" t="s">
        <v>408</v>
      </c>
      <c r="N326" t="s">
        <v>408</v>
      </c>
      <c r="O326" t="s">
        <v>408</v>
      </c>
      <c r="P326" t="s">
        <v>408</v>
      </c>
      <c r="Q326" t="s">
        <v>408</v>
      </c>
      <c r="R326" t="s">
        <v>408</v>
      </c>
      <c r="S326" t="s">
        <v>408</v>
      </c>
      <c r="T326" t="s">
        <v>408</v>
      </c>
      <c r="U326" t="s">
        <v>408</v>
      </c>
      <c r="V326" t="s">
        <v>408</v>
      </c>
      <c r="W326" t="s">
        <v>408</v>
      </c>
      <c r="X326">
        <v>7</v>
      </c>
      <c r="Y326">
        <v>9</v>
      </c>
      <c r="Z326">
        <v>9</v>
      </c>
      <c r="AA326" s="1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</row>
    <row r="327" spans="1:52" ht="32.25" hidden="1" customHeight="1">
      <c r="A327" s="14">
        <v>36</v>
      </c>
      <c r="B327">
        <v>7</v>
      </c>
      <c r="C327">
        <v>7</v>
      </c>
      <c r="D327">
        <v>5</v>
      </c>
      <c r="E327">
        <v>6</v>
      </c>
      <c r="F327">
        <v>6</v>
      </c>
      <c r="G327" t="s">
        <v>408</v>
      </c>
      <c r="H327" t="s">
        <v>408</v>
      </c>
      <c r="I327" t="s">
        <v>408</v>
      </c>
      <c r="J327" t="s">
        <v>408</v>
      </c>
      <c r="K327" t="s">
        <v>408</v>
      </c>
      <c r="L327" t="s">
        <v>408</v>
      </c>
      <c r="M327" t="s">
        <v>408</v>
      </c>
      <c r="N327" t="s">
        <v>408</v>
      </c>
      <c r="O327" t="s">
        <v>408</v>
      </c>
      <c r="P327" t="s">
        <v>408</v>
      </c>
      <c r="Q327" t="s">
        <v>408</v>
      </c>
      <c r="R327" t="s">
        <v>408</v>
      </c>
      <c r="S327" t="s">
        <v>408</v>
      </c>
      <c r="T327" t="s">
        <v>408</v>
      </c>
      <c r="U327" t="s">
        <v>408</v>
      </c>
      <c r="V327" t="s">
        <v>408</v>
      </c>
      <c r="W327" t="s">
        <v>408</v>
      </c>
      <c r="X327">
        <v>7</v>
      </c>
      <c r="Y327">
        <v>9</v>
      </c>
      <c r="Z327">
        <v>9</v>
      </c>
      <c r="AA327" s="1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</row>
    <row r="328" spans="1:52" ht="32.25" hidden="1" customHeight="1">
      <c r="A328" s="14">
        <v>35</v>
      </c>
      <c r="B328">
        <v>7</v>
      </c>
      <c r="C328">
        <v>7</v>
      </c>
      <c r="D328">
        <v>6</v>
      </c>
      <c r="E328">
        <v>6</v>
      </c>
      <c r="F328">
        <v>6</v>
      </c>
      <c r="G328" t="s">
        <v>408</v>
      </c>
      <c r="H328" t="s">
        <v>408</v>
      </c>
      <c r="I328" t="s">
        <v>408</v>
      </c>
      <c r="J328" t="s">
        <v>408</v>
      </c>
      <c r="K328" t="s">
        <v>408</v>
      </c>
      <c r="L328" t="s">
        <v>408</v>
      </c>
      <c r="M328" t="s">
        <v>408</v>
      </c>
      <c r="N328" t="s">
        <v>408</v>
      </c>
      <c r="O328" t="s">
        <v>408</v>
      </c>
      <c r="P328" t="s">
        <v>408</v>
      </c>
      <c r="Q328" t="s">
        <v>408</v>
      </c>
      <c r="R328" t="s">
        <v>408</v>
      </c>
      <c r="S328" t="s">
        <v>408</v>
      </c>
      <c r="T328" t="s">
        <v>408</v>
      </c>
      <c r="U328" t="s">
        <v>408</v>
      </c>
      <c r="V328" t="s">
        <v>408</v>
      </c>
      <c r="W328" t="s">
        <v>408</v>
      </c>
      <c r="X328">
        <v>7</v>
      </c>
      <c r="Y328">
        <v>9</v>
      </c>
      <c r="Z328">
        <v>9</v>
      </c>
      <c r="AA328" s="1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</row>
    <row r="329" spans="1:52" ht="32.25" hidden="1" customHeight="1">
      <c r="A329" s="14">
        <v>34</v>
      </c>
      <c r="B329">
        <v>7</v>
      </c>
      <c r="C329">
        <v>7</v>
      </c>
      <c r="D329">
        <v>6</v>
      </c>
      <c r="E329">
        <v>6</v>
      </c>
      <c r="F329">
        <v>6</v>
      </c>
      <c r="G329" t="s">
        <v>408</v>
      </c>
      <c r="H329" t="s">
        <v>408</v>
      </c>
      <c r="I329" t="s">
        <v>408</v>
      </c>
      <c r="J329" t="s">
        <v>408</v>
      </c>
      <c r="K329" t="s">
        <v>408</v>
      </c>
      <c r="L329" t="s">
        <v>408</v>
      </c>
      <c r="M329" t="s">
        <v>408</v>
      </c>
      <c r="N329" t="s">
        <v>408</v>
      </c>
      <c r="O329" t="s">
        <v>408</v>
      </c>
      <c r="P329" t="s">
        <v>408</v>
      </c>
      <c r="Q329" t="s">
        <v>408</v>
      </c>
      <c r="R329" t="s">
        <v>408</v>
      </c>
      <c r="S329" t="s">
        <v>408</v>
      </c>
      <c r="T329" t="s">
        <v>408</v>
      </c>
      <c r="U329" t="s">
        <v>408</v>
      </c>
      <c r="V329" t="s">
        <v>408</v>
      </c>
      <c r="W329" t="s">
        <v>408</v>
      </c>
      <c r="X329">
        <v>7</v>
      </c>
      <c r="Y329">
        <v>9</v>
      </c>
      <c r="Z329">
        <v>9</v>
      </c>
      <c r="AA329" s="1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</row>
    <row r="330" spans="1:52" ht="32.25" hidden="1" customHeight="1">
      <c r="A330" s="14">
        <v>33</v>
      </c>
      <c r="B330">
        <v>7</v>
      </c>
      <c r="C330">
        <v>7</v>
      </c>
      <c r="D330">
        <v>6</v>
      </c>
      <c r="E330">
        <v>6</v>
      </c>
      <c r="F330">
        <v>6</v>
      </c>
      <c r="G330" t="s">
        <v>408</v>
      </c>
      <c r="H330" t="s">
        <v>408</v>
      </c>
      <c r="I330" t="s">
        <v>408</v>
      </c>
      <c r="J330" t="s">
        <v>408</v>
      </c>
      <c r="K330" t="s">
        <v>408</v>
      </c>
      <c r="L330" t="s">
        <v>408</v>
      </c>
      <c r="M330" t="s">
        <v>408</v>
      </c>
      <c r="N330" t="s">
        <v>408</v>
      </c>
      <c r="O330" t="s">
        <v>408</v>
      </c>
      <c r="P330" t="s">
        <v>408</v>
      </c>
      <c r="Q330" t="s">
        <v>408</v>
      </c>
      <c r="R330" t="s">
        <v>408</v>
      </c>
      <c r="S330" t="s">
        <v>408</v>
      </c>
      <c r="T330" t="s">
        <v>408</v>
      </c>
      <c r="U330" t="s">
        <v>408</v>
      </c>
      <c r="V330" t="s">
        <v>408</v>
      </c>
      <c r="W330" t="s">
        <v>408</v>
      </c>
      <c r="X330">
        <v>7</v>
      </c>
      <c r="Y330">
        <v>9</v>
      </c>
      <c r="Z330">
        <v>9</v>
      </c>
      <c r="AA330" s="1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</row>
    <row r="331" spans="1:52" ht="32.25" hidden="1" customHeight="1">
      <c r="A331" s="14">
        <v>32</v>
      </c>
      <c r="B331">
        <v>7</v>
      </c>
      <c r="C331">
        <v>7</v>
      </c>
      <c r="D331">
        <v>6</v>
      </c>
      <c r="E331">
        <v>6</v>
      </c>
      <c r="F331">
        <v>6</v>
      </c>
      <c r="G331" t="s">
        <v>408</v>
      </c>
      <c r="H331" t="s">
        <v>408</v>
      </c>
      <c r="I331" t="s">
        <v>408</v>
      </c>
      <c r="J331" t="s">
        <v>408</v>
      </c>
      <c r="K331" t="s">
        <v>408</v>
      </c>
      <c r="L331" t="s">
        <v>408</v>
      </c>
      <c r="M331" t="s">
        <v>408</v>
      </c>
      <c r="N331" t="s">
        <v>408</v>
      </c>
      <c r="O331" t="s">
        <v>408</v>
      </c>
      <c r="P331" t="s">
        <v>408</v>
      </c>
      <c r="Q331" t="s">
        <v>408</v>
      </c>
      <c r="R331" t="s">
        <v>408</v>
      </c>
      <c r="S331" t="s">
        <v>408</v>
      </c>
      <c r="T331" t="s">
        <v>408</v>
      </c>
      <c r="U331" t="s">
        <v>408</v>
      </c>
      <c r="V331" t="s">
        <v>408</v>
      </c>
      <c r="W331" t="s">
        <v>408</v>
      </c>
      <c r="X331">
        <v>7</v>
      </c>
      <c r="Y331">
        <v>9</v>
      </c>
      <c r="Z331">
        <v>9</v>
      </c>
      <c r="AA331" s="1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</row>
    <row r="332" spans="1:52" ht="32.25" hidden="1" customHeight="1">
      <c r="A332" s="14">
        <v>31</v>
      </c>
      <c r="B332">
        <v>7</v>
      </c>
      <c r="C332">
        <v>7</v>
      </c>
      <c r="D332">
        <v>6</v>
      </c>
      <c r="E332">
        <v>6</v>
      </c>
      <c r="F332">
        <v>6</v>
      </c>
      <c r="G332" t="s">
        <v>408</v>
      </c>
      <c r="H332" t="s">
        <v>408</v>
      </c>
      <c r="I332" t="s">
        <v>408</v>
      </c>
      <c r="J332" t="s">
        <v>408</v>
      </c>
      <c r="K332" t="s">
        <v>408</v>
      </c>
      <c r="L332" t="s">
        <v>408</v>
      </c>
      <c r="M332" t="s">
        <v>408</v>
      </c>
      <c r="N332" t="s">
        <v>408</v>
      </c>
      <c r="O332" t="s">
        <v>408</v>
      </c>
      <c r="P332" t="s">
        <v>408</v>
      </c>
      <c r="Q332" t="s">
        <v>408</v>
      </c>
      <c r="R332" t="s">
        <v>408</v>
      </c>
      <c r="S332" t="s">
        <v>408</v>
      </c>
      <c r="T332" t="s">
        <v>408</v>
      </c>
      <c r="U332" t="s">
        <v>408</v>
      </c>
      <c r="V332" t="s">
        <v>408</v>
      </c>
      <c r="W332" t="s">
        <v>408</v>
      </c>
      <c r="X332">
        <v>7</v>
      </c>
      <c r="Y332">
        <v>9</v>
      </c>
      <c r="Z332">
        <v>9</v>
      </c>
      <c r="AA332" s="1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</row>
    <row r="333" spans="1:52" ht="32.25" hidden="1" customHeight="1">
      <c r="A333" s="14">
        <v>30</v>
      </c>
      <c r="B333">
        <v>7</v>
      </c>
      <c r="C333">
        <v>7</v>
      </c>
      <c r="D333">
        <v>6</v>
      </c>
      <c r="E333">
        <v>6</v>
      </c>
      <c r="F333">
        <v>6</v>
      </c>
      <c r="G333" t="s">
        <v>408</v>
      </c>
      <c r="H333" t="s">
        <v>408</v>
      </c>
      <c r="I333" t="s">
        <v>408</v>
      </c>
      <c r="J333" t="s">
        <v>408</v>
      </c>
      <c r="K333" t="s">
        <v>408</v>
      </c>
      <c r="L333" t="s">
        <v>408</v>
      </c>
      <c r="M333" t="s">
        <v>408</v>
      </c>
      <c r="N333" t="s">
        <v>408</v>
      </c>
      <c r="O333" t="s">
        <v>408</v>
      </c>
      <c r="P333" t="s">
        <v>408</v>
      </c>
      <c r="Q333" t="s">
        <v>408</v>
      </c>
      <c r="R333" t="s">
        <v>408</v>
      </c>
      <c r="S333" t="s">
        <v>408</v>
      </c>
      <c r="T333" t="s">
        <v>408</v>
      </c>
      <c r="U333" t="s">
        <v>408</v>
      </c>
      <c r="V333" t="s">
        <v>408</v>
      </c>
      <c r="W333" t="s">
        <v>408</v>
      </c>
      <c r="X333">
        <v>7</v>
      </c>
      <c r="Y333">
        <v>9</v>
      </c>
      <c r="Z333">
        <v>9</v>
      </c>
      <c r="AA333" s="1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</row>
    <row r="334" spans="1:52" ht="32.25" hidden="1" customHeight="1">
      <c r="A334" s="14">
        <v>29</v>
      </c>
      <c r="B334">
        <v>7</v>
      </c>
      <c r="C334">
        <v>8</v>
      </c>
      <c r="D334">
        <v>6</v>
      </c>
      <c r="E334">
        <v>6</v>
      </c>
      <c r="F334">
        <v>6</v>
      </c>
      <c r="G334" t="s">
        <v>408</v>
      </c>
      <c r="H334" t="s">
        <v>408</v>
      </c>
      <c r="I334" t="s">
        <v>408</v>
      </c>
      <c r="J334" t="s">
        <v>408</v>
      </c>
      <c r="K334" t="s">
        <v>408</v>
      </c>
      <c r="L334" t="s">
        <v>408</v>
      </c>
      <c r="M334" t="s">
        <v>408</v>
      </c>
      <c r="N334" t="s">
        <v>408</v>
      </c>
      <c r="O334" t="s">
        <v>408</v>
      </c>
      <c r="P334" t="s">
        <v>408</v>
      </c>
      <c r="Q334" t="s">
        <v>408</v>
      </c>
      <c r="R334" t="s">
        <v>408</v>
      </c>
      <c r="S334" t="s">
        <v>408</v>
      </c>
      <c r="T334" t="s">
        <v>408</v>
      </c>
      <c r="U334" t="s">
        <v>408</v>
      </c>
      <c r="V334" t="s">
        <v>408</v>
      </c>
      <c r="W334" t="s">
        <v>408</v>
      </c>
      <c r="X334">
        <v>8</v>
      </c>
      <c r="Y334">
        <v>9</v>
      </c>
      <c r="Z334">
        <v>9</v>
      </c>
      <c r="AA334" s="1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</row>
    <row r="335" spans="1:52" ht="32.25" hidden="1" customHeight="1">
      <c r="A335" s="14">
        <v>28</v>
      </c>
      <c r="B335">
        <v>8</v>
      </c>
      <c r="C335">
        <v>8</v>
      </c>
      <c r="D335">
        <v>6</v>
      </c>
      <c r="E335">
        <v>6</v>
      </c>
      <c r="F335">
        <v>7</v>
      </c>
      <c r="G335" t="s">
        <v>408</v>
      </c>
      <c r="H335" t="s">
        <v>408</v>
      </c>
      <c r="I335" t="s">
        <v>408</v>
      </c>
      <c r="J335" t="s">
        <v>408</v>
      </c>
      <c r="K335" t="s">
        <v>408</v>
      </c>
      <c r="L335" t="s">
        <v>408</v>
      </c>
      <c r="M335" t="s">
        <v>408</v>
      </c>
      <c r="N335" t="s">
        <v>408</v>
      </c>
      <c r="O335" t="s">
        <v>408</v>
      </c>
      <c r="P335" t="s">
        <v>408</v>
      </c>
      <c r="Q335" t="s">
        <v>408</v>
      </c>
      <c r="R335" t="s">
        <v>408</v>
      </c>
      <c r="S335" t="s">
        <v>408</v>
      </c>
      <c r="T335" t="s">
        <v>408</v>
      </c>
      <c r="U335" t="s">
        <v>408</v>
      </c>
      <c r="V335" t="s">
        <v>408</v>
      </c>
      <c r="W335" t="s">
        <v>408</v>
      </c>
      <c r="X335">
        <v>8</v>
      </c>
      <c r="Y335">
        <v>9</v>
      </c>
      <c r="Z335">
        <v>9</v>
      </c>
      <c r="AA335" s="1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</row>
    <row r="336" spans="1:52" ht="32.25" hidden="1" customHeight="1">
      <c r="A336" s="14">
        <v>27</v>
      </c>
      <c r="B336">
        <v>8</v>
      </c>
      <c r="C336">
        <v>8</v>
      </c>
      <c r="D336">
        <v>6</v>
      </c>
      <c r="E336">
        <v>6</v>
      </c>
      <c r="F336">
        <v>7</v>
      </c>
      <c r="G336" t="s">
        <v>408</v>
      </c>
      <c r="H336" t="s">
        <v>408</v>
      </c>
      <c r="I336" t="s">
        <v>408</v>
      </c>
      <c r="J336" t="s">
        <v>408</v>
      </c>
      <c r="K336" t="s">
        <v>408</v>
      </c>
      <c r="L336" t="s">
        <v>408</v>
      </c>
      <c r="M336" t="s">
        <v>408</v>
      </c>
      <c r="N336" t="s">
        <v>408</v>
      </c>
      <c r="O336" t="s">
        <v>408</v>
      </c>
      <c r="P336" t="s">
        <v>408</v>
      </c>
      <c r="Q336" t="s">
        <v>408</v>
      </c>
      <c r="R336" t="s">
        <v>408</v>
      </c>
      <c r="S336" t="s">
        <v>408</v>
      </c>
      <c r="T336" t="s">
        <v>408</v>
      </c>
      <c r="U336" t="s">
        <v>408</v>
      </c>
      <c r="V336" t="s">
        <v>408</v>
      </c>
      <c r="W336" t="s">
        <v>408</v>
      </c>
      <c r="X336">
        <v>8</v>
      </c>
      <c r="Y336">
        <v>9</v>
      </c>
      <c r="Z336">
        <v>9</v>
      </c>
      <c r="AA336" s="1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</row>
    <row r="337" spans="1:27" ht="32.25" hidden="1" customHeight="1">
      <c r="A337" s="14">
        <v>26</v>
      </c>
      <c r="B337">
        <v>8</v>
      </c>
      <c r="C337">
        <v>8</v>
      </c>
      <c r="D337">
        <v>6</v>
      </c>
      <c r="E337">
        <v>6</v>
      </c>
      <c r="F337">
        <v>7</v>
      </c>
      <c r="G337" t="s">
        <v>408</v>
      </c>
      <c r="H337" t="s">
        <v>408</v>
      </c>
      <c r="I337" t="s">
        <v>408</v>
      </c>
      <c r="J337" t="s">
        <v>408</v>
      </c>
      <c r="K337" t="s">
        <v>408</v>
      </c>
      <c r="L337" t="s">
        <v>408</v>
      </c>
      <c r="M337" t="s">
        <v>408</v>
      </c>
      <c r="N337" t="s">
        <v>408</v>
      </c>
      <c r="O337" t="s">
        <v>408</v>
      </c>
      <c r="P337" t="s">
        <v>408</v>
      </c>
      <c r="Q337" t="s">
        <v>408</v>
      </c>
      <c r="R337" t="s">
        <v>408</v>
      </c>
      <c r="S337" t="s">
        <v>408</v>
      </c>
      <c r="T337" t="s">
        <v>408</v>
      </c>
      <c r="U337" t="s">
        <v>408</v>
      </c>
      <c r="V337" t="s">
        <v>408</v>
      </c>
      <c r="W337" t="s">
        <v>408</v>
      </c>
      <c r="X337">
        <v>8</v>
      </c>
      <c r="Y337">
        <v>9</v>
      </c>
      <c r="Z337">
        <v>9</v>
      </c>
      <c r="AA337" s="13"/>
    </row>
    <row r="338" spans="1:27" ht="32.25" hidden="1" customHeight="1">
      <c r="A338" s="14">
        <v>25</v>
      </c>
      <c r="B338">
        <v>8</v>
      </c>
      <c r="C338">
        <v>8</v>
      </c>
      <c r="D338">
        <v>6</v>
      </c>
      <c r="E338">
        <v>7</v>
      </c>
      <c r="F338">
        <v>7</v>
      </c>
      <c r="G338" t="s">
        <v>408</v>
      </c>
      <c r="H338" t="s">
        <v>408</v>
      </c>
      <c r="I338" t="s">
        <v>408</v>
      </c>
      <c r="J338" t="s">
        <v>408</v>
      </c>
      <c r="K338" t="s">
        <v>408</v>
      </c>
      <c r="L338" t="s">
        <v>408</v>
      </c>
      <c r="M338" t="s">
        <v>408</v>
      </c>
      <c r="N338" t="s">
        <v>408</v>
      </c>
      <c r="O338" t="s">
        <v>408</v>
      </c>
      <c r="P338" t="s">
        <v>408</v>
      </c>
      <c r="Q338" t="s">
        <v>408</v>
      </c>
      <c r="R338" t="s">
        <v>408</v>
      </c>
      <c r="S338" t="s">
        <v>408</v>
      </c>
      <c r="T338" t="s">
        <v>408</v>
      </c>
      <c r="U338" t="s">
        <v>408</v>
      </c>
      <c r="V338" t="s">
        <v>408</v>
      </c>
      <c r="W338" t="s">
        <v>408</v>
      </c>
      <c r="X338">
        <v>8</v>
      </c>
      <c r="Y338">
        <v>9</v>
      </c>
      <c r="Z338">
        <v>9</v>
      </c>
      <c r="AA338" s="13"/>
    </row>
    <row r="339" spans="1:27" ht="32.25" hidden="1" customHeight="1">
      <c r="A339" s="14">
        <v>24</v>
      </c>
      <c r="B339">
        <v>8</v>
      </c>
      <c r="C339">
        <v>8</v>
      </c>
      <c r="D339">
        <v>7</v>
      </c>
      <c r="E339">
        <v>7</v>
      </c>
      <c r="F339">
        <v>7</v>
      </c>
      <c r="G339" t="s">
        <v>408</v>
      </c>
      <c r="H339" t="s">
        <v>408</v>
      </c>
      <c r="I339" t="s">
        <v>408</v>
      </c>
      <c r="J339" t="s">
        <v>408</v>
      </c>
      <c r="K339" t="s">
        <v>408</v>
      </c>
      <c r="L339" t="s">
        <v>408</v>
      </c>
      <c r="M339" t="s">
        <v>408</v>
      </c>
      <c r="N339" t="s">
        <v>408</v>
      </c>
      <c r="O339" t="s">
        <v>408</v>
      </c>
      <c r="P339" t="s">
        <v>408</v>
      </c>
      <c r="Q339" t="s">
        <v>408</v>
      </c>
      <c r="R339" t="s">
        <v>408</v>
      </c>
      <c r="S339" t="s">
        <v>408</v>
      </c>
      <c r="T339" t="s">
        <v>408</v>
      </c>
      <c r="U339" t="s">
        <v>408</v>
      </c>
      <c r="V339" t="s">
        <v>408</v>
      </c>
      <c r="W339" t="s">
        <v>408</v>
      </c>
      <c r="X339">
        <v>8</v>
      </c>
      <c r="Y339">
        <v>9</v>
      </c>
      <c r="Z339">
        <v>9</v>
      </c>
      <c r="AA339" s="13"/>
    </row>
    <row r="340" spans="1:27" ht="32.25" hidden="1" customHeight="1">
      <c r="A340" s="14">
        <v>23</v>
      </c>
      <c r="B340">
        <v>8</v>
      </c>
      <c r="C340">
        <v>9</v>
      </c>
      <c r="D340">
        <v>7</v>
      </c>
      <c r="E340">
        <v>7</v>
      </c>
      <c r="F340">
        <v>8</v>
      </c>
      <c r="G340" t="s">
        <v>408</v>
      </c>
      <c r="H340" t="s">
        <v>408</v>
      </c>
      <c r="I340" t="s">
        <v>408</v>
      </c>
      <c r="J340" t="s">
        <v>408</v>
      </c>
      <c r="K340" t="s">
        <v>408</v>
      </c>
      <c r="L340" t="s">
        <v>408</v>
      </c>
      <c r="M340" t="s">
        <v>408</v>
      </c>
      <c r="N340" t="s">
        <v>408</v>
      </c>
      <c r="O340" t="s">
        <v>408</v>
      </c>
      <c r="P340" t="s">
        <v>408</v>
      </c>
      <c r="Q340" t="s">
        <v>408</v>
      </c>
      <c r="R340" t="s">
        <v>408</v>
      </c>
      <c r="S340" t="s">
        <v>408</v>
      </c>
      <c r="T340" t="s">
        <v>408</v>
      </c>
      <c r="U340" t="s">
        <v>408</v>
      </c>
      <c r="V340" t="s">
        <v>408</v>
      </c>
      <c r="W340" t="s">
        <v>408</v>
      </c>
      <c r="X340">
        <v>8</v>
      </c>
      <c r="Y340">
        <v>9</v>
      </c>
      <c r="Z340">
        <v>9</v>
      </c>
      <c r="AA340" s="13"/>
    </row>
    <row r="341" spans="1:27" ht="32.25" hidden="1" customHeight="1">
      <c r="A341" s="14">
        <v>22</v>
      </c>
      <c r="B341">
        <v>9</v>
      </c>
      <c r="C341">
        <v>9</v>
      </c>
      <c r="D341">
        <v>7</v>
      </c>
      <c r="E341">
        <v>7</v>
      </c>
      <c r="F341">
        <v>8</v>
      </c>
      <c r="G341" t="s">
        <v>408</v>
      </c>
      <c r="H341" t="s">
        <v>408</v>
      </c>
      <c r="I341" t="s">
        <v>408</v>
      </c>
      <c r="J341" t="s">
        <v>408</v>
      </c>
      <c r="K341" t="s">
        <v>408</v>
      </c>
      <c r="L341" t="s">
        <v>408</v>
      </c>
      <c r="M341" t="s">
        <v>408</v>
      </c>
      <c r="N341" t="s">
        <v>408</v>
      </c>
      <c r="O341" t="s">
        <v>408</v>
      </c>
      <c r="P341" t="s">
        <v>408</v>
      </c>
      <c r="Q341" t="s">
        <v>408</v>
      </c>
      <c r="R341" t="s">
        <v>408</v>
      </c>
      <c r="S341" t="s">
        <v>408</v>
      </c>
      <c r="T341" t="s">
        <v>408</v>
      </c>
      <c r="U341" t="s">
        <v>408</v>
      </c>
      <c r="V341" t="s">
        <v>408</v>
      </c>
      <c r="W341" t="s">
        <v>408</v>
      </c>
      <c r="X341">
        <v>8</v>
      </c>
      <c r="Y341">
        <v>9</v>
      </c>
      <c r="Z341">
        <v>9</v>
      </c>
      <c r="AA341" s="13"/>
    </row>
    <row r="342" spans="1:27" ht="32.25" hidden="1" customHeight="1">
      <c r="A342" s="14">
        <v>21</v>
      </c>
      <c r="B342">
        <v>9</v>
      </c>
      <c r="C342">
        <v>9</v>
      </c>
      <c r="D342">
        <v>7</v>
      </c>
      <c r="E342">
        <v>7</v>
      </c>
      <c r="F342">
        <v>8</v>
      </c>
      <c r="G342" t="s">
        <v>408</v>
      </c>
      <c r="H342" t="s">
        <v>408</v>
      </c>
      <c r="I342" t="s">
        <v>408</v>
      </c>
      <c r="J342" t="s">
        <v>408</v>
      </c>
      <c r="K342" t="s">
        <v>408</v>
      </c>
      <c r="L342" t="s">
        <v>408</v>
      </c>
      <c r="M342" t="s">
        <v>408</v>
      </c>
      <c r="N342" t="s">
        <v>408</v>
      </c>
      <c r="O342" t="s">
        <v>408</v>
      </c>
      <c r="P342" t="s">
        <v>408</v>
      </c>
      <c r="Q342" t="s">
        <v>408</v>
      </c>
      <c r="R342" t="s">
        <v>408</v>
      </c>
      <c r="S342" t="s">
        <v>408</v>
      </c>
      <c r="T342" t="s">
        <v>408</v>
      </c>
      <c r="U342" t="s">
        <v>408</v>
      </c>
      <c r="V342" t="s">
        <v>408</v>
      </c>
      <c r="W342" t="s">
        <v>408</v>
      </c>
      <c r="X342">
        <v>8</v>
      </c>
      <c r="Y342">
        <v>9</v>
      </c>
      <c r="Z342">
        <v>9</v>
      </c>
      <c r="AA342" s="13"/>
    </row>
    <row r="343" spans="1:27" ht="32.25" hidden="1" customHeight="1">
      <c r="A343" s="14">
        <v>20</v>
      </c>
      <c r="B343">
        <v>9</v>
      </c>
      <c r="C343">
        <v>9</v>
      </c>
      <c r="D343">
        <v>7</v>
      </c>
      <c r="E343">
        <v>8</v>
      </c>
      <c r="F343">
        <v>8</v>
      </c>
      <c r="G343" t="s">
        <v>408</v>
      </c>
      <c r="H343" t="s">
        <v>408</v>
      </c>
      <c r="I343" t="s">
        <v>408</v>
      </c>
      <c r="J343" t="s">
        <v>408</v>
      </c>
      <c r="K343" t="s">
        <v>408</v>
      </c>
      <c r="L343" t="s">
        <v>408</v>
      </c>
      <c r="M343" t="s">
        <v>408</v>
      </c>
      <c r="N343" t="s">
        <v>408</v>
      </c>
      <c r="O343" t="s">
        <v>408</v>
      </c>
      <c r="P343" t="s">
        <v>408</v>
      </c>
      <c r="Q343" t="s">
        <v>408</v>
      </c>
      <c r="R343" t="s">
        <v>408</v>
      </c>
      <c r="S343" t="s">
        <v>408</v>
      </c>
      <c r="T343" t="s">
        <v>408</v>
      </c>
      <c r="U343" t="s">
        <v>408</v>
      </c>
      <c r="V343" t="s">
        <v>408</v>
      </c>
      <c r="W343" t="s">
        <v>408</v>
      </c>
      <c r="X343">
        <v>8</v>
      </c>
      <c r="Y343">
        <v>9</v>
      </c>
      <c r="Z343">
        <v>9</v>
      </c>
      <c r="AA343" s="13"/>
    </row>
    <row r="344" spans="1:27" ht="32.25" hidden="1" customHeight="1">
      <c r="A344" s="14">
        <v>19</v>
      </c>
      <c r="B344">
        <v>9</v>
      </c>
      <c r="C344">
        <v>9</v>
      </c>
      <c r="D344">
        <v>7</v>
      </c>
      <c r="E344">
        <v>8</v>
      </c>
      <c r="F344">
        <v>8</v>
      </c>
      <c r="G344" t="s">
        <v>408</v>
      </c>
      <c r="H344" t="s">
        <v>408</v>
      </c>
      <c r="I344" t="s">
        <v>408</v>
      </c>
      <c r="J344" t="s">
        <v>408</v>
      </c>
      <c r="K344" t="s">
        <v>408</v>
      </c>
      <c r="L344" t="s">
        <v>408</v>
      </c>
      <c r="M344" t="s">
        <v>408</v>
      </c>
      <c r="N344" t="s">
        <v>408</v>
      </c>
      <c r="O344" t="s">
        <v>408</v>
      </c>
      <c r="P344" t="s">
        <v>408</v>
      </c>
      <c r="Q344" t="s">
        <v>408</v>
      </c>
      <c r="R344" t="s">
        <v>408</v>
      </c>
      <c r="S344" t="s">
        <v>408</v>
      </c>
      <c r="T344" t="s">
        <v>408</v>
      </c>
      <c r="U344" t="s">
        <v>408</v>
      </c>
      <c r="V344" t="s">
        <v>408</v>
      </c>
      <c r="W344" t="s">
        <v>408</v>
      </c>
      <c r="X344">
        <v>9</v>
      </c>
      <c r="Y344">
        <v>9</v>
      </c>
      <c r="Z344">
        <v>9</v>
      </c>
      <c r="AA344" s="13"/>
    </row>
    <row r="345" spans="1:27" ht="32.25" hidden="1" customHeight="1">
      <c r="A345" s="14">
        <v>18</v>
      </c>
      <c r="B345">
        <v>9</v>
      </c>
      <c r="C345">
        <v>9</v>
      </c>
      <c r="D345">
        <v>8</v>
      </c>
      <c r="E345">
        <v>8</v>
      </c>
      <c r="F345">
        <v>9</v>
      </c>
      <c r="G345" t="s">
        <v>408</v>
      </c>
      <c r="H345" t="s">
        <v>408</v>
      </c>
      <c r="I345" t="s">
        <v>408</v>
      </c>
      <c r="J345" t="s">
        <v>408</v>
      </c>
      <c r="K345" t="s">
        <v>408</v>
      </c>
      <c r="L345" t="s">
        <v>408</v>
      </c>
      <c r="M345" t="s">
        <v>408</v>
      </c>
      <c r="N345" t="s">
        <v>408</v>
      </c>
      <c r="O345" t="s">
        <v>408</v>
      </c>
      <c r="P345" t="s">
        <v>408</v>
      </c>
      <c r="Q345" t="s">
        <v>408</v>
      </c>
      <c r="R345" t="s">
        <v>408</v>
      </c>
      <c r="S345" t="s">
        <v>408</v>
      </c>
      <c r="T345" t="s">
        <v>408</v>
      </c>
      <c r="U345" t="s">
        <v>408</v>
      </c>
      <c r="V345" t="s">
        <v>408</v>
      </c>
      <c r="W345" t="s">
        <v>408</v>
      </c>
      <c r="X345">
        <v>9</v>
      </c>
      <c r="Y345">
        <v>9</v>
      </c>
      <c r="Z345">
        <v>9</v>
      </c>
      <c r="AA345" s="13"/>
    </row>
    <row r="346" spans="1:27" ht="32.25" hidden="1" customHeight="1">
      <c r="A346" s="14">
        <v>17</v>
      </c>
      <c r="B346">
        <v>9</v>
      </c>
      <c r="C346">
        <v>9</v>
      </c>
      <c r="D346">
        <v>8</v>
      </c>
      <c r="E346">
        <v>8</v>
      </c>
      <c r="F346">
        <v>9</v>
      </c>
      <c r="G346" t="s">
        <v>408</v>
      </c>
      <c r="H346" t="s">
        <v>408</v>
      </c>
      <c r="I346" t="s">
        <v>408</v>
      </c>
      <c r="J346" t="s">
        <v>408</v>
      </c>
      <c r="K346" t="s">
        <v>408</v>
      </c>
      <c r="L346" t="s">
        <v>408</v>
      </c>
      <c r="M346" t="s">
        <v>408</v>
      </c>
      <c r="N346" t="s">
        <v>408</v>
      </c>
      <c r="O346" t="s">
        <v>408</v>
      </c>
      <c r="P346" t="s">
        <v>408</v>
      </c>
      <c r="Q346" t="s">
        <v>408</v>
      </c>
      <c r="R346" t="s">
        <v>408</v>
      </c>
      <c r="S346" t="s">
        <v>408</v>
      </c>
      <c r="T346" t="s">
        <v>408</v>
      </c>
      <c r="U346" t="s">
        <v>408</v>
      </c>
      <c r="V346" t="s">
        <v>408</v>
      </c>
      <c r="W346" t="s">
        <v>408</v>
      </c>
      <c r="X346">
        <v>9</v>
      </c>
      <c r="Y346">
        <v>9</v>
      </c>
      <c r="Z346">
        <v>9</v>
      </c>
      <c r="AA346" s="13"/>
    </row>
    <row r="347" spans="1:27" ht="32.25" hidden="1" customHeight="1">
      <c r="A347" s="14">
        <v>16</v>
      </c>
      <c r="B347">
        <v>9</v>
      </c>
      <c r="C347">
        <v>9</v>
      </c>
      <c r="D347">
        <v>8</v>
      </c>
      <c r="E347">
        <v>8</v>
      </c>
      <c r="F347">
        <v>9</v>
      </c>
      <c r="G347" t="s">
        <v>408</v>
      </c>
      <c r="H347" t="s">
        <v>408</v>
      </c>
      <c r="I347" t="s">
        <v>408</v>
      </c>
      <c r="J347" t="s">
        <v>408</v>
      </c>
      <c r="K347" t="s">
        <v>408</v>
      </c>
      <c r="L347" t="s">
        <v>408</v>
      </c>
      <c r="M347" t="s">
        <v>408</v>
      </c>
      <c r="N347" t="s">
        <v>408</v>
      </c>
      <c r="O347" t="s">
        <v>408</v>
      </c>
      <c r="P347" t="s">
        <v>408</v>
      </c>
      <c r="Q347" t="s">
        <v>408</v>
      </c>
      <c r="R347" t="s">
        <v>408</v>
      </c>
      <c r="S347" t="s">
        <v>408</v>
      </c>
      <c r="T347" t="s">
        <v>408</v>
      </c>
      <c r="U347" t="s">
        <v>408</v>
      </c>
      <c r="V347" t="s">
        <v>408</v>
      </c>
      <c r="W347" t="s">
        <v>408</v>
      </c>
      <c r="X347">
        <v>9</v>
      </c>
      <c r="Y347">
        <v>9</v>
      </c>
      <c r="Z347">
        <v>9</v>
      </c>
      <c r="AA347" s="13"/>
    </row>
    <row r="348" spans="1:27" ht="32.25" hidden="1" customHeight="1">
      <c r="A348" s="14">
        <v>15</v>
      </c>
      <c r="B348">
        <v>9</v>
      </c>
      <c r="C348">
        <v>9</v>
      </c>
      <c r="D348">
        <v>8</v>
      </c>
      <c r="E348">
        <v>9</v>
      </c>
      <c r="F348">
        <v>9</v>
      </c>
      <c r="G348" t="s">
        <v>408</v>
      </c>
      <c r="H348" t="s">
        <v>408</v>
      </c>
      <c r="I348" t="s">
        <v>408</v>
      </c>
      <c r="J348" t="s">
        <v>408</v>
      </c>
      <c r="K348" t="s">
        <v>408</v>
      </c>
      <c r="L348" t="s">
        <v>408</v>
      </c>
      <c r="M348" t="s">
        <v>408</v>
      </c>
      <c r="N348" t="s">
        <v>408</v>
      </c>
      <c r="O348" t="s">
        <v>408</v>
      </c>
      <c r="P348" t="s">
        <v>408</v>
      </c>
      <c r="Q348" t="s">
        <v>408</v>
      </c>
      <c r="R348" t="s">
        <v>408</v>
      </c>
      <c r="S348" t="s">
        <v>408</v>
      </c>
      <c r="T348" t="s">
        <v>408</v>
      </c>
      <c r="U348" t="s">
        <v>408</v>
      </c>
      <c r="V348" t="s">
        <v>408</v>
      </c>
      <c r="W348" t="s">
        <v>408</v>
      </c>
      <c r="X348">
        <v>9</v>
      </c>
      <c r="Y348">
        <v>9</v>
      </c>
      <c r="Z348">
        <v>9</v>
      </c>
      <c r="AA348" s="13"/>
    </row>
    <row r="349" spans="1:27" ht="32.25" hidden="1" customHeight="1">
      <c r="A349" s="14">
        <v>14</v>
      </c>
      <c r="B349">
        <v>9</v>
      </c>
      <c r="C349">
        <v>9</v>
      </c>
      <c r="D349">
        <v>8</v>
      </c>
      <c r="E349">
        <v>9</v>
      </c>
      <c r="F349">
        <v>9</v>
      </c>
      <c r="G349" t="s">
        <v>408</v>
      </c>
      <c r="H349" t="s">
        <v>408</v>
      </c>
      <c r="I349" t="s">
        <v>408</v>
      </c>
      <c r="J349" t="s">
        <v>408</v>
      </c>
      <c r="K349" t="s">
        <v>408</v>
      </c>
      <c r="L349" t="s">
        <v>408</v>
      </c>
      <c r="M349" t="s">
        <v>408</v>
      </c>
      <c r="N349" t="s">
        <v>408</v>
      </c>
      <c r="O349" t="s">
        <v>408</v>
      </c>
      <c r="P349" t="s">
        <v>408</v>
      </c>
      <c r="Q349" t="s">
        <v>408</v>
      </c>
      <c r="R349" t="s">
        <v>408</v>
      </c>
      <c r="S349" t="s">
        <v>408</v>
      </c>
      <c r="T349" t="s">
        <v>408</v>
      </c>
      <c r="U349" t="s">
        <v>408</v>
      </c>
      <c r="V349" t="s">
        <v>408</v>
      </c>
      <c r="W349" t="s">
        <v>408</v>
      </c>
      <c r="X349">
        <v>9</v>
      </c>
      <c r="Y349">
        <v>9</v>
      </c>
      <c r="Z349">
        <v>9</v>
      </c>
      <c r="AA349" s="13"/>
    </row>
    <row r="350" spans="1:27" ht="32.25" hidden="1" customHeight="1">
      <c r="A350" s="14">
        <v>13</v>
      </c>
      <c r="B350">
        <v>9</v>
      </c>
      <c r="C350">
        <v>9</v>
      </c>
      <c r="D350">
        <v>9</v>
      </c>
      <c r="E350">
        <v>9</v>
      </c>
      <c r="F350">
        <v>9</v>
      </c>
      <c r="G350" t="s">
        <v>408</v>
      </c>
      <c r="H350" t="s">
        <v>408</v>
      </c>
      <c r="I350" t="s">
        <v>408</v>
      </c>
      <c r="J350" t="s">
        <v>408</v>
      </c>
      <c r="K350" t="s">
        <v>408</v>
      </c>
      <c r="L350" t="s">
        <v>408</v>
      </c>
      <c r="M350" t="s">
        <v>408</v>
      </c>
      <c r="N350" t="s">
        <v>408</v>
      </c>
      <c r="O350" t="s">
        <v>408</v>
      </c>
      <c r="P350" t="s">
        <v>408</v>
      </c>
      <c r="Q350" t="s">
        <v>408</v>
      </c>
      <c r="R350" t="s">
        <v>408</v>
      </c>
      <c r="S350" t="s">
        <v>408</v>
      </c>
      <c r="T350" t="s">
        <v>408</v>
      </c>
      <c r="U350" t="s">
        <v>408</v>
      </c>
      <c r="V350" t="s">
        <v>408</v>
      </c>
      <c r="W350" t="s">
        <v>408</v>
      </c>
      <c r="X350">
        <v>9</v>
      </c>
      <c r="Y350">
        <v>9</v>
      </c>
      <c r="Z350">
        <v>9</v>
      </c>
      <c r="AA350" s="13"/>
    </row>
    <row r="351" spans="1:27" ht="32.25" hidden="1" customHeight="1">
      <c r="A351" s="14">
        <v>12</v>
      </c>
      <c r="B351">
        <v>9</v>
      </c>
      <c r="C351">
        <v>9</v>
      </c>
      <c r="D351">
        <v>9</v>
      </c>
      <c r="E351">
        <v>9</v>
      </c>
      <c r="F351">
        <v>9</v>
      </c>
      <c r="G351" t="s">
        <v>408</v>
      </c>
      <c r="H351" t="s">
        <v>408</v>
      </c>
      <c r="I351" t="s">
        <v>408</v>
      </c>
      <c r="J351" t="s">
        <v>408</v>
      </c>
      <c r="K351" t="s">
        <v>408</v>
      </c>
      <c r="L351" t="s">
        <v>408</v>
      </c>
      <c r="M351" t="s">
        <v>408</v>
      </c>
      <c r="N351" t="s">
        <v>408</v>
      </c>
      <c r="O351" t="s">
        <v>408</v>
      </c>
      <c r="P351" t="s">
        <v>408</v>
      </c>
      <c r="Q351" t="s">
        <v>408</v>
      </c>
      <c r="R351" t="s">
        <v>408</v>
      </c>
      <c r="S351" t="s">
        <v>408</v>
      </c>
      <c r="T351" t="s">
        <v>408</v>
      </c>
      <c r="U351" t="s">
        <v>408</v>
      </c>
      <c r="V351" t="s">
        <v>408</v>
      </c>
      <c r="W351" t="s">
        <v>408</v>
      </c>
      <c r="X351">
        <v>9</v>
      </c>
      <c r="Y351">
        <v>9</v>
      </c>
      <c r="Z351">
        <v>9</v>
      </c>
      <c r="AA351" s="13"/>
    </row>
    <row r="352" spans="1:27" ht="32.25" hidden="1" customHeight="1">
      <c r="A352" s="14">
        <v>11</v>
      </c>
      <c r="B352">
        <v>9</v>
      </c>
      <c r="C352">
        <v>9</v>
      </c>
      <c r="D352">
        <v>9</v>
      </c>
      <c r="E352">
        <v>9</v>
      </c>
      <c r="F352">
        <v>9</v>
      </c>
      <c r="G352" t="s">
        <v>408</v>
      </c>
      <c r="H352" t="s">
        <v>408</v>
      </c>
      <c r="I352" t="s">
        <v>408</v>
      </c>
      <c r="J352" t="s">
        <v>408</v>
      </c>
      <c r="K352" t="s">
        <v>408</v>
      </c>
      <c r="L352" t="s">
        <v>408</v>
      </c>
      <c r="M352" t="s">
        <v>408</v>
      </c>
      <c r="N352" t="s">
        <v>408</v>
      </c>
      <c r="O352" t="s">
        <v>408</v>
      </c>
      <c r="P352" t="s">
        <v>408</v>
      </c>
      <c r="Q352" t="s">
        <v>408</v>
      </c>
      <c r="R352" t="s">
        <v>408</v>
      </c>
      <c r="S352" t="s">
        <v>408</v>
      </c>
      <c r="T352" t="s">
        <v>408</v>
      </c>
      <c r="U352" t="s">
        <v>408</v>
      </c>
      <c r="V352" t="s">
        <v>408</v>
      </c>
      <c r="W352" t="s">
        <v>408</v>
      </c>
      <c r="X352">
        <v>9</v>
      </c>
      <c r="Y352">
        <v>9</v>
      </c>
      <c r="Z352">
        <v>9</v>
      </c>
      <c r="AA352" s="13"/>
    </row>
    <row r="353" spans="1:43" ht="32.25" hidden="1" customHeight="1" thickBot="1">
      <c r="A353" s="5">
        <v>10</v>
      </c>
      <c r="B353" s="4">
        <v>9</v>
      </c>
      <c r="C353" s="4">
        <v>9</v>
      </c>
      <c r="D353" s="4">
        <v>9</v>
      </c>
      <c r="E353" s="4">
        <v>9</v>
      </c>
      <c r="F353" s="4">
        <v>9</v>
      </c>
      <c r="G353" s="4" t="s">
        <v>408</v>
      </c>
      <c r="H353" s="4" t="s">
        <v>408</v>
      </c>
      <c r="I353" s="4" t="s">
        <v>408</v>
      </c>
      <c r="J353" s="4" t="s">
        <v>408</v>
      </c>
      <c r="K353" s="4" t="s">
        <v>408</v>
      </c>
      <c r="L353" s="4" t="s">
        <v>408</v>
      </c>
      <c r="M353" s="4" t="s">
        <v>408</v>
      </c>
      <c r="N353" s="4" t="s">
        <v>408</v>
      </c>
      <c r="O353" s="4" t="s">
        <v>408</v>
      </c>
      <c r="P353" s="4" t="s">
        <v>408</v>
      </c>
      <c r="Q353" s="4" t="s">
        <v>408</v>
      </c>
      <c r="R353" s="4" t="s">
        <v>408</v>
      </c>
      <c r="S353" s="4" t="s">
        <v>408</v>
      </c>
      <c r="T353" s="4" t="s">
        <v>408</v>
      </c>
      <c r="U353" s="4" t="s">
        <v>408</v>
      </c>
      <c r="V353" s="4" t="s">
        <v>408</v>
      </c>
      <c r="W353" s="4" t="s">
        <v>408</v>
      </c>
      <c r="X353" s="4">
        <v>9</v>
      </c>
      <c r="Y353" s="4">
        <v>9</v>
      </c>
      <c r="Z353" s="4">
        <v>9</v>
      </c>
      <c r="AA353" s="15"/>
    </row>
    <row r="354" spans="1:43" ht="32.25" hidden="1" customHeigh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1:43" ht="32.25" hidden="1" customHeight="1"/>
    <row r="356" spans="1:43" ht="32.25" hidden="1" customHeight="1"/>
    <row r="357" spans="1:43" ht="32.25" hidden="1" customHeight="1"/>
    <row r="358" spans="1:43" ht="15" customHeight="1" thickBot="1"/>
    <row r="359" spans="1:43" ht="15" customHeight="1">
      <c r="B359" s="303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7"/>
    </row>
    <row r="360" spans="1:43" ht="21" customHeight="1">
      <c r="B360" s="304"/>
      <c r="C360" s="53" t="s">
        <v>7411</v>
      </c>
      <c r="W360" s="255"/>
      <c r="AA360" s="282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  <c r="AP360" s="164"/>
      <c r="AQ360" s="164"/>
    </row>
    <row r="361" spans="1:43">
      <c r="B361" s="304"/>
      <c r="C361" s="53"/>
      <c r="D361" s="53" t="s">
        <v>16531</v>
      </c>
      <c r="W361" s="255"/>
      <c r="AA361" s="282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  <c r="AP361" s="164"/>
      <c r="AQ361" s="164"/>
    </row>
    <row r="362" spans="1:43" ht="17.25" customHeight="1">
      <c r="B362" s="304"/>
      <c r="C362" s="53"/>
      <c r="D362" s="283" t="s">
        <v>16532</v>
      </c>
      <c r="W362" s="255"/>
      <c r="AA362" s="282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  <c r="AP362" s="164"/>
      <c r="AQ362" s="164"/>
    </row>
    <row r="363" spans="1:43" ht="17.25" customHeight="1">
      <c r="B363" s="304"/>
      <c r="C363" s="53"/>
      <c r="J363" s="284"/>
      <c r="W363" s="255"/>
      <c r="AA363" s="282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  <c r="AP363" s="164"/>
      <c r="AQ363" s="164"/>
    </row>
    <row r="364" spans="1:43">
      <c r="B364" s="305"/>
      <c r="C364" s="53" t="s">
        <v>7341</v>
      </c>
      <c r="W364" s="255"/>
      <c r="AA364" s="282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  <c r="AP364" s="164"/>
      <c r="AQ364" s="164"/>
    </row>
    <row r="365" spans="1:43">
      <c r="B365" s="306"/>
      <c r="C365" s="33" t="s">
        <v>19424</v>
      </c>
      <c r="W365" s="255"/>
      <c r="AA365" s="282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  <c r="AP365" s="164"/>
      <c r="AQ365" s="164"/>
    </row>
    <row r="366" spans="1:43">
      <c r="B366" s="143"/>
      <c r="C366" s="33"/>
      <c r="E366" s="285"/>
      <c r="G366" s="33"/>
      <c r="H366" s="33"/>
      <c r="W366" s="255"/>
      <c r="AA366" s="282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  <c r="AP366" s="164"/>
      <c r="AQ366" s="164"/>
    </row>
    <row r="367" spans="1:43">
      <c r="B367" s="143"/>
      <c r="C367" s="33" t="s">
        <v>7401</v>
      </c>
      <c r="G367" s="33"/>
      <c r="W367" s="255"/>
      <c r="AA367" s="282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  <c r="AP367" s="164"/>
      <c r="AQ367" s="164"/>
    </row>
    <row r="368" spans="1:43">
      <c r="B368" s="143"/>
      <c r="C368" s="33"/>
      <c r="D368" s="33" t="s">
        <v>16794</v>
      </c>
      <c r="O368" s="33"/>
      <c r="W368" s="255"/>
      <c r="AA368" s="282"/>
      <c r="AD368" s="164"/>
      <c r="AE368" s="164"/>
      <c r="AF368" s="164"/>
      <c r="AG368" s="164"/>
      <c r="AH368" s="164"/>
      <c r="AI368" s="164"/>
      <c r="AJ368" s="164"/>
      <c r="AK368" s="164"/>
      <c r="AL368" s="164"/>
      <c r="AM368" s="164"/>
      <c r="AN368" s="164"/>
      <c r="AO368" s="164"/>
      <c r="AP368" s="164"/>
      <c r="AQ368" s="164"/>
    </row>
    <row r="369" spans="1:43">
      <c r="B369" s="143"/>
      <c r="D369" s="33"/>
      <c r="W369" s="255"/>
      <c r="AA369" s="282"/>
      <c r="AD369" s="164"/>
      <c r="AE369" s="164"/>
      <c r="AF369" s="164"/>
      <c r="AG369" s="164"/>
      <c r="AH369" s="164"/>
      <c r="AI369" s="164"/>
      <c r="AJ369" s="164"/>
      <c r="AK369" s="164"/>
      <c r="AL369" s="164"/>
      <c r="AM369" s="164"/>
      <c r="AN369" s="164"/>
      <c r="AO369" s="164"/>
      <c r="AP369" s="164"/>
      <c r="AQ369" s="164"/>
    </row>
    <row r="370" spans="1:43">
      <c r="B370" s="542"/>
      <c r="C370" s="286"/>
      <c r="D370" s="286"/>
      <c r="E370" s="538"/>
      <c r="F370" s="538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543"/>
      <c r="X370" s="286"/>
      <c r="Y370" s="286"/>
      <c r="Z370" s="286"/>
      <c r="AA370" s="287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  <c r="AP370" s="164"/>
      <c r="AQ370" s="164"/>
    </row>
    <row r="371" spans="1:43" ht="18" thickBot="1">
      <c r="A371" s="255"/>
      <c r="B371" s="539"/>
      <c r="C371" s="540"/>
      <c r="D371" s="544"/>
      <c r="E371" s="540"/>
      <c r="F371" s="540"/>
      <c r="G371" s="540"/>
      <c r="H371" s="540"/>
      <c r="I371" s="540"/>
      <c r="J371" s="540"/>
      <c r="K371" s="540"/>
      <c r="L371" s="540"/>
      <c r="M371" s="540"/>
      <c r="N371" s="540"/>
      <c r="O371" s="540"/>
      <c r="P371" s="540"/>
      <c r="Q371" s="540"/>
      <c r="R371" s="540"/>
      <c r="S371" s="540"/>
      <c r="T371" s="540"/>
      <c r="U371" s="540"/>
      <c r="V371" s="540"/>
      <c r="W371" s="541"/>
    </row>
  </sheetData>
  <sheetProtection algorithmName="SHA-512" hashValue="jMIxDawZ5atpcnV6A4YWDEK2xt4SmlkHaKCaBcToX4Q16JFslzISH7UKDIETK4WynVCytDcVEWvHckPCZed07w==" saltValue="Xf+LEMZ+KaFpucVwEe3JTA==" spinCount="100000" sheet="1" objects="1" scenarios="1"/>
  <mergeCells count="3">
    <mergeCell ref="B1:T1"/>
    <mergeCell ref="B2:T2"/>
    <mergeCell ref="B4:T4"/>
  </mergeCells>
  <phoneticPr fontId="3" type="noConversion"/>
  <conditionalFormatting sqref="B8:W8 B14:D16">
    <cfRule type="expression" dxfId="38" priority="3">
      <formula>$B$31=1</formula>
    </cfRule>
  </conditionalFormatting>
  <conditionalFormatting sqref="B22:W23 B27:D27">
    <cfRule type="expression" dxfId="37" priority="2">
      <formula>$B$31=9</formula>
    </cfRule>
  </conditionalFormatting>
  <conditionalFormatting sqref="B58:Z58 B63:Z158 B160:Z353">
    <cfRule type="cellIs" dxfId="36" priority="1" operator="equal">
      <formula>0</formula>
    </cfRule>
  </conditionalFormatting>
  <dataValidations count="1">
    <dataValidation allowBlank="1" showInputMessage="1" showErrorMessage="1" promptTitle="match" prompt=" " sqref="AF28:AK32" xr:uid="{4EE424A6-2A2F-48E0-9AC3-AABE7511AED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B2A1-9EA8-4D57-BFFB-1605D67742C4}">
  <dimension ref="A1:AH934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min="1" max="1" width="12.33203125" customWidth="1"/>
    <col min="2" max="7" width="10.33203125" hidden="1" customWidth="1"/>
    <col min="8" max="8" width="9.1640625" customWidth="1"/>
    <col min="9" max="9" width="12.5" customWidth="1"/>
    <col min="10" max="10" width="25" customWidth="1"/>
    <col min="11" max="11" width="7" customWidth="1"/>
    <col min="12" max="12" width="8.6640625" customWidth="1"/>
    <col min="13" max="13" width="10.6640625" customWidth="1"/>
    <col min="14" max="14" width="12.1640625" customWidth="1"/>
    <col min="15" max="15" width="10.6640625" customWidth="1"/>
    <col min="16" max="16" width="13.83203125" customWidth="1"/>
    <col min="17" max="24" width="9.1640625" customWidth="1"/>
    <col min="25" max="27" width="5" customWidth="1"/>
    <col min="28" max="29" width="9" customWidth="1"/>
    <col min="30" max="30" width="9.33203125" hidden="1" customWidth="1"/>
    <col min="32" max="34" width="9" customWidth="1"/>
  </cols>
  <sheetData>
    <row r="1" spans="1:31" s="3" customFormat="1" ht="16.5" customHeight="1">
      <c r="A1" s="3" t="s">
        <v>505</v>
      </c>
      <c r="B1" s="3" t="s">
        <v>72</v>
      </c>
      <c r="C1" s="20" t="s">
        <v>79</v>
      </c>
      <c r="D1" s="20" t="s">
        <v>81</v>
      </c>
      <c r="E1" s="20" t="s">
        <v>506</v>
      </c>
      <c r="F1" s="20"/>
      <c r="G1" s="20"/>
      <c r="H1" s="20"/>
      <c r="I1" s="697" t="s">
        <v>19425</v>
      </c>
      <c r="J1" s="698"/>
      <c r="K1" s="698"/>
      <c r="L1" s="698"/>
      <c r="M1" s="698"/>
      <c r="N1" s="698"/>
      <c r="O1" s="698"/>
      <c r="P1" s="698"/>
      <c r="Q1" s="698"/>
      <c r="R1" s="20"/>
      <c r="S1" s="20"/>
      <c r="T1" s="20"/>
      <c r="U1" s="20"/>
      <c r="V1" s="20"/>
      <c r="W1" s="184"/>
      <c r="X1" s="184"/>
      <c r="Y1" s="20"/>
      <c r="Z1" s="20"/>
      <c r="AA1" s="20"/>
      <c r="AC1"/>
      <c r="AD1"/>
      <c r="AE1"/>
    </row>
    <row r="2" spans="1:31" s="3" customFormat="1" ht="16.5" customHeight="1">
      <c r="B2" s="3">
        <v>1</v>
      </c>
      <c r="C2" s="20">
        <v>2</v>
      </c>
      <c r="D2" s="20">
        <v>3</v>
      </c>
      <c r="E2" s="20">
        <v>4</v>
      </c>
      <c r="F2" s="20"/>
      <c r="G2" s="20"/>
      <c r="H2" s="20"/>
      <c r="I2" s="698"/>
      <c r="J2" s="698"/>
      <c r="K2" s="698"/>
      <c r="L2" s="698"/>
      <c r="M2" s="698"/>
      <c r="N2" s="698"/>
      <c r="O2" s="698"/>
      <c r="P2" s="698"/>
      <c r="Q2" s="698"/>
      <c r="R2" s="702" t="s">
        <v>507</v>
      </c>
      <c r="S2" s="702"/>
      <c r="T2" s="702"/>
      <c r="U2" s="702"/>
      <c r="V2" s="702"/>
      <c r="W2" s="184"/>
      <c r="X2" s="184"/>
      <c r="Y2" s="20"/>
      <c r="Z2" s="20"/>
      <c r="AA2" s="20"/>
      <c r="AC2"/>
      <c r="AD2"/>
      <c r="AE2"/>
    </row>
    <row r="3" spans="1:31" s="3" customFormat="1" ht="16.5" customHeight="1">
      <c r="A3" s="3" t="s">
        <v>505</v>
      </c>
      <c r="B3" s="244" t="s">
        <v>508</v>
      </c>
      <c r="C3" s="107"/>
      <c r="D3" s="20"/>
      <c r="E3" s="20"/>
      <c r="F3" s="20"/>
      <c r="G3" s="20"/>
      <c r="H3" s="20"/>
      <c r="I3" s="698"/>
      <c r="J3" s="698"/>
      <c r="K3" s="698"/>
      <c r="L3" s="698"/>
      <c r="M3" s="698"/>
      <c r="N3" s="698"/>
      <c r="O3" s="698"/>
      <c r="P3" s="698"/>
      <c r="Q3" s="698"/>
      <c r="R3" s="702"/>
      <c r="S3" s="702"/>
      <c r="T3" s="702"/>
      <c r="U3" s="702"/>
      <c r="V3" s="702"/>
      <c r="W3" s="184"/>
      <c r="X3" s="184"/>
      <c r="Y3" s="20"/>
      <c r="Z3" s="20"/>
      <c r="AA3" s="20"/>
      <c r="AC3"/>
      <c r="AD3"/>
      <c r="AE3"/>
    </row>
    <row r="4" spans="1:31" s="3" customFormat="1">
      <c r="B4" s="245">
        <v>1</v>
      </c>
      <c r="C4" s="110" t="str">
        <f>IF($B$4=1,CONCATENATE($B$1,AE4),IF($B$4=2,CONCATENATE($C$1,AE4),IF($B$4=3,CONCATENATE($D$1,AE4),IF($B$4=4,CONCATENATE($E$1,AE4)))))</f>
        <v>가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0"/>
      <c r="X4" s="184"/>
      <c r="Y4" s="20"/>
      <c r="Z4" s="20"/>
      <c r="AA4" s="20"/>
      <c r="AC4"/>
      <c r="AD4"/>
      <c r="AE4"/>
    </row>
    <row r="5" spans="1:31" s="3" customFormat="1" ht="18" thickBot="1">
      <c r="C5" s="243">
        <f>IFERROR(INDEX('배치점수 계산기'!A9:C9,MATCH(C4,'배치점수 계산기'!A7:C7,0)),)</f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85"/>
      <c r="P5" s="20"/>
      <c r="Q5" s="20"/>
      <c r="R5" s="694" t="s">
        <v>509</v>
      </c>
      <c r="S5" s="695"/>
      <c r="T5" s="695"/>
      <c r="U5" s="695"/>
      <c r="V5" s="696"/>
      <c r="W5" s="199"/>
      <c r="X5" s="184"/>
      <c r="Y5" s="20"/>
      <c r="Z5" s="20"/>
      <c r="AA5" s="20"/>
      <c r="AC5"/>
      <c r="AD5"/>
      <c r="AE5"/>
    </row>
    <row r="6" spans="1:31" s="3" customFormat="1">
      <c r="D6" s="20"/>
      <c r="E6" s="20"/>
      <c r="F6" s="20"/>
      <c r="G6" s="20"/>
      <c r="H6" s="176"/>
      <c r="I6" s="187"/>
      <c r="J6" s="187"/>
      <c r="K6" s="187"/>
      <c r="L6" s="177"/>
      <c r="M6" s="694" t="s">
        <v>510</v>
      </c>
      <c r="N6" s="695"/>
      <c r="O6" s="696"/>
      <c r="P6" s="699" t="s">
        <v>511</v>
      </c>
      <c r="Q6" s="700"/>
      <c r="R6" s="178" t="s">
        <v>512</v>
      </c>
      <c r="S6" s="177" t="s">
        <v>513</v>
      </c>
      <c r="T6" s="177" t="s">
        <v>514</v>
      </c>
      <c r="U6" s="177" t="s">
        <v>515</v>
      </c>
      <c r="V6" s="179"/>
      <c r="W6" s="694" t="s">
        <v>516</v>
      </c>
      <c r="X6" s="701"/>
      <c r="Y6" s="694" t="s">
        <v>517</v>
      </c>
      <c r="Z6" s="695"/>
      <c r="AA6" s="696"/>
      <c r="AC6"/>
      <c r="AD6"/>
      <c r="AE6"/>
    </row>
    <row r="7" spans="1:31" s="3" customFormat="1">
      <c r="A7" s="198"/>
      <c r="B7" s="198"/>
      <c r="C7" s="198"/>
      <c r="D7" s="195"/>
      <c r="E7" s="195" t="s">
        <v>518</v>
      </c>
      <c r="F7" s="195"/>
      <c r="G7" s="195"/>
      <c r="H7" s="241" t="s">
        <v>539</v>
      </c>
      <c r="I7" s="196" t="s">
        <v>411</v>
      </c>
      <c r="J7" s="196" t="s">
        <v>412</v>
      </c>
      <c r="K7" s="240" t="s">
        <v>538</v>
      </c>
      <c r="L7" s="190" t="s">
        <v>519</v>
      </c>
      <c r="M7" s="189" t="s">
        <v>520</v>
      </c>
      <c r="N7" s="191" t="s">
        <v>521</v>
      </c>
      <c r="O7" s="191" t="s">
        <v>522</v>
      </c>
      <c r="P7" s="189" t="s">
        <v>523</v>
      </c>
      <c r="Q7" s="190" t="s">
        <v>524</v>
      </c>
      <c r="R7" s="180">
        <v>0.9</v>
      </c>
      <c r="S7" s="181">
        <v>0.7</v>
      </c>
      <c r="T7" s="209">
        <v>0.4</v>
      </c>
      <c r="U7" s="182">
        <v>0.1</v>
      </c>
      <c r="V7" s="183">
        <v>0.03</v>
      </c>
      <c r="W7" s="192" t="s">
        <v>525</v>
      </c>
      <c r="X7" s="193" t="s">
        <v>297</v>
      </c>
      <c r="Y7" s="176" t="s">
        <v>526</v>
      </c>
      <c r="Z7" s="187" t="s">
        <v>527</v>
      </c>
      <c r="AA7" s="177" t="s">
        <v>528</v>
      </c>
      <c r="AC7"/>
      <c r="AD7" t="s">
        <v>529</v>
      </c>
      <c r="AE7"/>
    </row>
    <row r="8" spans="1:31" s="3" customFormat="1">
      <c r="A8" s="198"/>
      <c r="B8" s="198"/>
      <c r="C8" s="198" t="str">
        <f t="shared" ref="C8" si="0">_xlfn.CONCAT($C$4,G8)</f>
        <v>가1</v>
      </c>
      <c r="D8" s="195">
        <f>MATCH($C8,'배치점수 계산기'!$O$11:$O$3001,0)</f>
        <v>1</v>
      </c>
      <c r="E8" s="195">
        <f ca="1">OFFSET('배치점수 계산기'!A$10,D8,0)</f>
        <v>5</v>
      </c>
      <c r="F8" s="195">
        <f ca="1">MATCH(E8,환산공식!$C$16:$C$903,0)</f>
        <v>5</v>
      </c>
      <c r="G8" s="239">
        <v>1</v>
      </c>
      <c r="H8" s="197" t="str">
        <f>IFERROR(INDEX('배치점수 계산기'!C$11:C$3001,MATCH($C8,'배치점수 계산기'!$O$11:$O$3001,0)),"")</f>
        <v>가</v>
      </c>
      <c r="I8" s="242" t="str">
        <f>IFERROR(INDEX('배치점수 계산기'!D$11:D$3001,MATCH($C8,'배치점수 계산기'!$O$11:$O$3001,0)),"")</f>
        <v>연세대</v>
      </c>
      <c r="J8" s="242" t="str">
        <f>IFERROR(INDEX('배치점수 계산기'!E$11:E$3001,MATCH($C8,'배치점수 계산기'!$O$11:$O$3001,0)),"")</f>
        <v>시스템반도체공학과</v>
      </c>
      <c r="K8" s="195" t="str">
        <f>IFERROR(INDEX('배치점수 계산기'!F$11:F$3001,MATCH($C8,'배치점수 계산기'!$O$11:$O$3001,0)),"")</f>
        <v>자연</v>
      </c>
      <c r="L8" s="20" t="str">
        <f ca="1">IF(OFFSET(환산공식!$ED$15,$F8,0)=1,"O","X")</f>
        <v>X</v>
      </c>
      <c r="M8" s="188">
        <f ca="1">IFERROR(OFFSET(환산공식!DJ$15,$F8,0),"")</f>
        <v>105.6</v>
      </c>
      <c r="N8" s="20" t="str">
        <f ca="1">IFERROR(CONCATENATE(ROUND(OFFSET(환산공식!DK$15,$F8,0),1),"%"),"")</f>
        <v>100%</v>
      </c>
      <c r="O8" s="20">
        <f ca="1">IFERROR(OFFSET(환산공식!DL$15,$F8,0),"")</f>
        <v>0</v>
      </c>
      <c r="P8" s="188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194">
        <f ca="1">IFERROR(ROUND(OFFSET(환산공식!$FG$15,$F8,0),3),"")</f>
        <v>0</v>
      </c>
      <c r="R8" s="194">
        <f ca="1">OFFSET('배치점수 계산기'!H$10,$D8,0)</f>
        <v>670.25900000000001</v>
      </c>
      <c r="S8" s="194">
        <f ca="1">OFFSET('배치점수 계산기'!I$10,$D8,0)</f>
        <v>669.46299999999997</v>
      </c>
      <c r="T8" s="194">
        <f ca="1">OFFSET('배치점수 계산기'!J$10,$D8,0)</f>
        <v>668.39</v>
      </c>
      <c r="U8" s="194">
        <f ca="1">OFFSET('배치점수 계산기'!K$10,$D8,0)</f>
        <v>663.41899999999998</v>
      </c>
      <c r="V8" s="194">
        <f ca="1">OFFSET('배치점수 계산기'!L$10,$D8,0)</f>
        <v>657.803</v>
      </c>
      <c r="W8" s="186" t="str">
        <f ca="1">OFFSET('배치점수 계산기'!M$10,$D8,0)</f>
        <v>표점</v>
      </c>
      <c r="X8" s="184" t="str">
        <f ca="1">OFFSET('배치점수 계산기'!N$10,$D8,0)</f>
        <v>변표</v>
      </c>
      <c r="Y8" s="188">
        <f ca="1">OFFSET(환산공식!FW$15,$F8,0)</f>
        <v>0.25</v>
      </c>
      <c r="Z8" s="20">
        <f ca="1">OFFSET(환산공식!FX$15,$F8,0)</f>
        <v>0.38</v>
      </c>
      <c r="AA8" s="179">
        <f ca="1">OFFSET(환산공식!FY$15,$F8,0)</f>
        <v>0.38</v>
      </c>
      <c r="AC8"/>
      <c r="AD8">
        <f ca="1">IF(L8="X",6,IF(Q8&gt;R8,1,IF(Q8&gt;S8,2,IF(Q8&gt;T8,3,IF(Q8&gt;U8,4,IF(Q8&gt;=V8,5,IF(Q8&lt;V8,6,"")))))))</f>
        <v>6</v>
      </c>
      <c r="AE8"/>
    </row>
    <row r="9" spans="1:31" s="3" customFormat="1">
      <c r="A9" s="198"/>
      <c r="B9" s="198"/>
      <c r="C9" s="198" t="s">
        <v>570</v>
      </c>
      <c r="D9" s="195">
        <v>2</v>
      </c>
      <c r="E9" s="195">
        <v>5</v>
      </c>
      <c r="F9" s="195">
        <v>5</v>
      </c>
      <c r="G9" s="239">
        <v>2</v>
      </c>
      <c r="H9" s="197" t="s">
        <v>72</v>
      </c>
      <c r="I9" s="242" t="s">
        <v>73</v>
      </c>
      <c r="J9" s="242" t="s">
        <v>7250</v>
      </c>
      <c r="K9" s="195" t="s">
        <v>70</v>
      </c>
      <c r="L9" s="20" t="str">
        <f ca="1">IF(OFFSET(환산공식!$ED$15,$F9,0)=1,"O","X")</f>
        <v>X</v>
      </c>
      <c r="M9" s="188">
        <f ca="1">IFERROR(OFFSET(환산공식!DJ$15,$F9,0),"")</f>
        <v>105.6</v>
      </c>
      <c r="N9" s="20" t="str">
        <f ca="1">IFERROR(CONCATENATE(ROUND(OFFSET(환산공식!DK$15,$F9,0),1),"%"),"")</f>
        <v>100%</v>
      </c>
      <c r="O9" s="20">
        <f ca="1">IFERROR(OFFSET(환산공식!DL$15,$F9,0),"")</f>
        <v>0</v>
      </c>
      <c r="P9" s="188" t="str">
        <f t="shared" ref="P9:P72" ca="1" si="1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194">
        <f ca="1">IFERROR(ROUND(OFFSET(환산공식!$FG$15,$F9,0),3),"")</f>
        <v>0</v>
      </c>
      <c r="R9" s="194">
        <f ca="1">OFFSET('배치점수 계산기'!H$10,$D9,0)</f>
        <v>665.02599999999995</v>
      </c>
      <c r="S9" s="194">
        <f ca="1">OFFSET('배치점수 계산기'!I$10,$D9,0)</f>
        <v>664.51400000000001</v>
      </c>
      <c r="T9" s="194">
        <f ca="1">OFFSET('배치점수 계산기'!J$10,$D9,0)</f>
        <v>662.35</v>
      </c>
      <c r="U9" s="194">
        <f ca="1">OFFSET('배치점수 계산기'!K$10,$D9,0)</f>
        <v>661.072</v>
      </c>
      <c r="V9" s="194">
        <f ca="1">OFFSET('배치점수 계산기'!L$10,$D9,0)</f>
        <v>656.12</v>
      </c>
      <c r="W9" s="186" t="str">
        <f ca="1">OFFSET('배치점수 계산기'!M$10,$D9,0)</f>
        <v>표점</v>
      </c>
      <c r="X9" s="184" t="str">
        <f ca="1">OFFSET('배치점수 계산기'!N$10,$D9,0)</f>
        <v>변표</v>
      </c>
      <c r="Y9" s="188">
        <f ca="1">OFFSET(환산공식!FW$15,$F9,0)</f>
        <v>0.25</v>
      </c>
      <c r="Z9" s="20">
        <f ca="1">OFFSET(환산공식!FX$15,$F9,0)</f>
        <v>0.38</v>
      </c>
      <c r="AA9" s="179">
        <f ca="1">OFFSET(환산공식!FY$15,$F9,0)</f>
        <v>0.38</v>
      </c>
      <c r="AC9"/>
      <c r="AD9">
        <f t="shared" ref="AD9:AD72" ca="1" si="2">IF(L9="X",6,IF(Q9&gt;R9,1,IF(Q9&gt;S9,2,IF(Q9&gt;T9,3,IF(Q9&gt;U9,4,IF(Q9&gt;=V9,5,IF(Q9&lt;V9,6,"")))))))</f>
        <v>6</v>
      </c>
      <c r="AE9"/>
    </row>
    <row r="10" spans="1:31" s="3" customFormat="1">
      <c r="A10" s="198"/>
      <c r="B10" s="198"/>
      <c r="C10" s="198" t="s">
        <v>571</v>
      </c>
      <c r="D10" s="195">
        <v>3</v>
      </c>
      <c r="E10" s="195">
        <v>5</v>
      </c>
      <c r="F10" s="195">
        <v>5</v>
      </c>
      <c r="G10" s="239">
        <v>3</v>
      </c>
      <c r="H10" s="197" t="s">
        <v>72</v>
      </c>
      <c r="I10" s="242" t="s">
        <v>73</v>
      </c>
      <c r="J10" s="242" t="s">
        <v>8548</v>
      </c>
      <c r="K10" s="195" t="s">
        <v>70</v>
      </c>
      <c r="L10" s="20" t="str">
        <f ca="1">IF(OFFSET(환산공식!$ED$15,$F10,0)=1,"O","X")</f>
        <v>X</v>
      </c>
      <c r="M10" s="188">
        <f ca="1">IFERROR(OFFSET(환산공식!DJ$15,$F10,0),"")</f>
        <v>105.6</v>
      </c>
      <c r="N10" s="20" t="str">
        <f ca="1">IFERROR(CONCATENATE(ROUND(OFFSET(환산공식!DK$15,$F10,0),1),"%"),"")</f>
        <v>100%</v>
      </c>
      <c r="O10" s="20">
        <f ca="1">IFERROR(OFFSET(환산공식!DL$15,$F10,0),"")</f>
        <v>0</v>
      </c>
      <c r="P10" s="188" t="str">
        <f t="shared" ca="1" si="1"/>
        <v>3% 이하</v>
      </c>
      <c r="Q10" s="194">
        <f ca="1">IFERROR(ROUND(OFFSET(환산공식!$FG$15,$F10,0),3),"")</f>
        <v>0</v>
      </c>
      <c r="R10" s="194">
        <f ca="1">OFFSET('배치점수 계산기'!H$10,$D10,0)</f>
        <v>666.6</v>
      </c>
      <c r="S10" s="194">
        <f ca="1">OFFSET('배치점수 계산기'!I$10,$D10,0)</f>
        <v>665.02599999999995</v>
      </c>
      <c r="T10" s="194">
        <f ca="1">OFFSET('배치점수 계산기'!J$10,$D10,0)</f>
        <v>661.68799999999999</v>
      </c>
      <c r="U10" s="194">
        <f ca="1">OFFSET('배치점수 계산기'!K$10,$D10,0)</f>
        <v>657.59199999999998</v>
      </c>
      <c r="V10" s="194">
        <f ca="1">OFFSET('배치점수 계산기'!L$10,$D10,0)</f>
        <v>654.38400000000001</v>
      </c>
      <c r="W10" s="186" t="str">
        <f ca="1">OFFSET('배치점수 계산기'!M$10,$D10,0)</f>
        <v>표점</v>
      </c>
      <c r="X10" s="184" t="str">
        <f ca="1">OFFSET('배치점수 계산기'!N$10,$D10,0)</f>
        <v>변표</v>
      </c>
      <c r="Y10" s="188">
        <f ca="1">OFFSET(환산공식!FW$15,$F10,0)</f>
        <v>0.25</v>
      </c>
      <c r="Z10" s="20">
        <f ca="1">OFFSET(환산공식!FX$15,$F10,0)</f>
        <v>0.38</v>
      </c>
      <c r="AA10" s="179">
        <f ca="1">OFFSET(환산공식!FY$15,$F10,0)</f>
        <v>0.38</v>
      </c>
      <c r="AC10"/>
      <c r="AD10">
        <f t="shared" ca="1" si="2"/>
        <v>6</v>
      </c>
      <c r="AE10"/>
    </row>
    <row r="11" spans="1:31" s="3" customFormat="1">
      <c r="A11" s="198"/>
      <c r="B11" s="198"/>
      <c r="C11" s="198" t="s">
        <v>572</v>
      </c>
      <c r="D11" s="195">
        <v>4</v>
      </c>
      <c r="E11" s="195">
        <v>5</v>
      </c>
      <c r="F11" s="195">
        <v>5</v>
      </c>
      <c r="G11" s="239">
        <v>4</v>
      </c>
      <c r="H11" s="197" t="s">
        <v>72</v>
      </c>
      <c r="I11" s="242" t="s">
        <v>73</v>
      </c>
      <c r="J11" s="242" t="s">
        <v>8168</v>
      </c>
      <c r="K11" s="195" t="s">
        <v>70</v>
      </c>
      <c r="L11" s="20" t="str">
        <f ca="1">IF(OFFSET(환산공식!$ED$15,$F11,0)=1,"O","X")</f>
        <v>X</v>
      </c>
      <c r="M11" s="188">
        <f ca="1">IFERROR(OFFSET(환산공식!DJ$15,$F11,0),"")</f>
        <v>105.6</v>
      </c>
      <c r="N11" s="20" t="str">
        <f ca="1">IFERROR(CONCATENATE(ROUND(OFFSET(환산공식!DK$15,$F11,0),1),"%"),"")</f>
        <v>100%</v>
      </c>
      <c r="O11" s="20">
        <f ca="1">IFERROR(OFFSET(환산공식!DL$15,$F11,0),"")</f>
        <v>0</v>
      </c>
      <c r="P11" s="188" t="str">
        <f t="shared" ca="1" si="1"/>
        <v>3% 이하</v>
      </c>
      <c r="Q11" s="194">
        <f ca="1">IFERROR(ROUND(OFFSET(환산공식!$FG$15,$F11,0),3),"")</f>
        <v>0</v>
      </c>
      <c r="R11" s="194">
        <f ca="1">OFFSET('배치점수 계산기'!H$10,$D11,0)</f>
        <v>663.82</v>
      </c>
      <c r="S11" s="194">
        <f ca="1">OFFSET('배치점수 계산기'!I$10,$D11,0)</f>
        <v>663.16899999999998</v>
      </c>
      <c r="T11" s="194">
        <f ca="1">OFFSET('배치점수 계산기'!J$10,$D11,0)</f>
        <v>661.68799999999999</v>
      </c>
      <c r="U11" s="194">
        <f ca="1">OFFSET('배치점수 계산기'!K$10,$D11,0)</f>
        <v>660.14700000000005</v>
      </c>
      <c r="V11" s="194">
        <f ca="1">OFFSET('배치점수 계산기'!L$10,$D11,0)</f>
        <v>657.02700000000004</v>
      </c>
      <c r="W11" s="186" t="str">
        <f ca="1">OFFSET('배치점수 계산기'!M$10,$D11,0)</f>
        <v>표점</v>
      </c>
      <c r="X11" s="184" t="str">
        <f ca="1">OFFSET('배치점수 계산기'!N$10,$D11,0)</f>
        <v>변표</v>
      </c>
      <c r="Y11" s="188">
        <f ca="1">OFFSET(환산공식!FW$15,$F11,0)</f>
        <v>0.25</v>
      </c>
      <c r="Z11" s="20">
        <f ca="1">OFFSET(환산공식!FX$15,$F11,0)</f>
        <v>0.38</v>
      </c>
      <c r="AA11" s="179">
        <f ca="1">OFFSET(환산공식!FY$15,$F11,0)</f>
        <v>0.38</v>
      </c>
      <c r="AC11"/>
      <c r="AD11">
        <f t="shared" ca="1" si="2"/>
        <v>6</v>
      </c>
      <c r="AE11"/>
    </row>
    <row r="12" spans="1:31" s="3" customFormat="1">
      <c r="A12" s="198"/>
      <c r="B12" s="198"/>
      <c r="C12" s="198" t="s">
        <v>573</v>
      </c>
      <c r="D12" s="195">
        <v>5</v>
      </c>
      <c r="E12" s="195">
        <v>5</v>
      </c>
      <c r="F12" s="195">
        <v>5</v>
      </c>
      <c r="G12" s="239">
        <v>5</v>
      </c>
      <c r="H12" s="197" t="s">
        <v>72</v>
      </c>
      <c r="I12" s="242" t="s">
        <v>73</v>
      </c>
      <c r="J12" s="242" t="s">
        <v>8384</v>
      </c>
      <c r="K12" s="195" t="s">
        <v>70</v>
      </c>
      <c r="L12" s="20" t="str">
        <f ca="1">IF(OFFSET(환산공식!$ED$15,$F12,0)=1,"O","X")</f>
        <v>X</v>
      </c>
      <c r="M12" s="188">
        <f ca="1">IFERROR(OFFSET(환산공식!DJ$15,$F12,0),"")</f>
        <v>105.6</v>
      </c>
      <c r="N12" s="20" t="str">
        <f ca="1">IFERROR(CONCATENATE(ROUND(OFFSET(환산공식!DK$15,$F12,0),1),"%"),"")</f>
        <v>100%</v>
      </c>
      <c r="O12" s="20">
        <f ca="1">IFERROR(OFFSET(환산공식!DL$15,$F12,0),"")</f>
        <v>0</v>
      </c>
      <c r="P12" s="188" t="str">
        <f t="shared" ca="1" si="1"/>
        <v>3% 이하</v>
      </c>
      <c r="Q12" s="194">
        <f ca="1">IFERROR(ROUND(OFFSET(환산공식!$FG$15,$F12,0),3),"")</f>
        <v>0</v>
      </c>
      <c r="R12" s="194">
        <f ca="1">OFFSET('배치점수 계산기'!H$10,$D12,0)</f>
        <v>663.41899999999998</v>
      </c>
      <c r="S12" s="194">
        <f ca="1">OFFSET('배치점수 계산기'!I$10,$D12,0)</f>
        <v>663.16899999999998</v>
      </c>
      <c r="T12" s="194">
        <f ca="1">OFFSET('배치점수 계산기'!J$10,$D12,0)</f>
        <v>661.68799999999999</v>
      </c>
      <c r="U12" s="194">
        <f ca="1">OFFSET('배치점수 계산기'!K$10,$D12,0)</f>
        <v>660.14700000000005</v>
      </c>
      <c r="V12" s="194">
        <f ca="1">OFFSET('배치점수 계산기'!L$10,$D12,0)</f>
        <v>656.62</v>
      </c>
      <c r="W12" s="186" t="str">
        <f ca="1">OFFSET('배치점수 계산기'!M$10,$D12,0)</f>
        <v>표점</v>
      </c>
      <c r="X12" s="184" t="str">
        <f ca="1">OFFSET('배치점수 계산기'!N$10,$D12,0)</f>
        <v>변표</v>
      </c>
      <c r="Y12" s="188">
        <f ca="1">OFFSET(환산공식!FW$15,$F12,0)</f>
        <v>0.25</v>
      </c>
      <c r="Z12" s="20">
        <f ca="1">OFFSET(환산공식!FX$15,$F12,0)</f>
        <v>0.38</v>
      </c>
      <c r="AA12" s="179">
        <f ca="1">OFFSET(환산공식!FY$15,$F12,0)</f>
        <v>0.38</v>
      </c>
      <c r="AC12"/>
      <c r="AD12">
        <f t="shared" ca="1" si="2"/>
        <v>6</v>
      </c>
      <c r="AE12"/>
    </row>
    <row r="13" spans="1:31" s="3" customFormat="1">
      <c r="A13" s="198"/>
      <c r="B13" s="198"/>
      <c r="C13" s="198" t="s">
        <v>574</v>
      </c>
      <c r="D13" s="195">
        <v>6</v>
      </c>
      <c r="E13" s="195">
        <v>5</v>
      </c>
      <c r="F13" s="195">
        <v>5</v>
      </c>
      <c r="G13" s="239">
        <v>6</v>
      </c>
      <c r="H13" s="197" t="s">
        <v>72</v>
      </c>
      <c r="I13" s="242" t="s">
        <v>73</v>
      </c>
      <c r="J13" s="242" t="s">
        <v>8443</v>
      </c>
      <c r="K13" s="195" t="s">
        <v>70</v>
      </c>
      <c r="L13" s="20" t="str">
        <f ca="1">IF(OFFSET(환산공식!$ED$15,$F13,0)=1,"O","X")</f>
        <v>X</v>
      </c>
      <c r="M13" s="188">
        <f ca="1">IFERROR(OFFSET(환산공식!DJ$15,$F13,0),"")</f>
        <v>105.6</v>
      </c>
      <c r="N13" s="20" t="str">
        <f ca="1">IFERROR(CONCATENATE(ROUND(OFFSET(환산공식!DK$15,$F13,0),1),"%"),"")</f>
        <v>100%</v>
      </c>
      <c r="O13" s="20">
        <f ca="1">IFERROR(OFFSET(환산공식!DL$15,$F13,0),"")</f>
        <v>0</v>
      </c>
      <c r="P13" s="188" t="str">
        <f t="shared" ca="1" si="1"/>
        <v>3% 이하</v>
      </c>
      <c r="Q13" s="194">
        <f ca="1">IFERROR(ROUND(OFFSET(환산공식!$FG$15,$F13,0),3),"")</f>
        <v>0</v>
      </c>
      <c r="R13" s="194">
        <f ca="1">OFFSET('배치점수 계산기'!H$10,$D13,0)</f>
        <v>663.82</v>
      </c>
      <c r="S13" s="194">
        <f ca="1">OFFSET('배치점수 계산기'!I$10,$D13,0)</f>
        <v>663.16899999999998</v>
      </c>
      <c r="T13" s="194">
        <f ca="1">OFFSET('배치점수 계산기'!J$10,$D13,0)</f>
        <v>661.68799999999999</v>
      </c>
      <c r="U13" s="194">
        <f ca="1">OFFSET('배치점수 계산기'!K$10,$D13,0)</f>
        <v>656.726</v>
      </c>
      <c r="V13" s="194">
        <f ca="1">OFFSET('배치점수 계산기'!L$10,$D13,0)</f>
        <v>653.33900000000006</v>
      </c>
      <c r="W13" s="186" t="str">
        <f ca="1">OFFSET('배치점수 계산기'!M$10,$D13,0)</f>
        <v>표점</v>
      </c>
      <c r="X13" s="184" t="str">
        <f ca="1">OFFSET('배치점수 계산기'!N$10,$D13,0)</f>
        <v>변표</v>
      </c>
      <c r="Y13" s="188">
        <f ca="1">OFFSET(환산공식!FW$15,$F13,0)</f>
        <v>0.25</v>
      </c>
      <c r="Z13" s="20">
        <f ca="1">OFFSET(환산공식!FX$15,$F13,0)</f>
        <v>0.38</v>
      </c>
      <c r="AA13" s="179">
        <f ca="1">OFFSET(환산공식!FY$15,$F13,0)</f>
        <v>0.38</v>
      </c>
      <c r="AC13"/>
      <c r="AD13">
        <f t="shared" ca="1" si="2"/>
        <v>6</v>
      </c>
      <c r="AE13"/>
    </row>
    <row r="14" spans="1:31" s="3" customFormat="1">
      <c r="A14" s="198"/>
      <c r="B14" s="198"/>
      <c r="C14" s="198" t="s">
        <v>575</v>
      </c>
      <c r="D14" s="195">
        <v>7</v>
      </c>
      <c r="E14" s="195">
        <v>5</v>
      </c>
      <c r="F14" s="195">
        <v>5</v>
      </c>
      <c r="G14" s="239">
        <v>7</v>
      </c>
      <c r="H14" s="197" t="s">
        <v>72</v>
      </c>
      <c r="I14" s="242" t="s">
        <v>73</v>
      </c>
      <c r="J14" s="242" t="s">
        <v>8011</v>
      </c>
      <c r="K14" s="195" t="s">
        <v>70</v>
      </c>
      <c r="L14" s="20" t="str">
        <f ca="1">IF(OFFSET(환산공식!$ED$15,$F14,0)=1,"O","X")</f>
        <v>X</v>
      </c>
      <c r="M14" s="188">
        <f ca="1">IFERROR(OFFSET(환산공식!DJ$15,$F14,0),"")</f>
        <v>105.6</v>
      </c>
      <c r="N14" s="20" t="str">
        <f ca="1">IFERROR(CONCATENATE(ROUND(OFFSET(환산공식!DK$15,$F14,0),1),"%"),"")</f>
        <v>100%</v>
      </c>
      <c r="O14" s="20">
        <f ca="1">IFERROR(OFFSET(환산공식!DL$15,$F14,0),"")</f>
        <v>0</v>
      </c>
      <c r="P14" s="188" t="str">
        <f t="shared" ca="1" si="1"/>
        <v>3% 이하</v>
      </c>
      <c r="Q14" s="194">
        <f ca="1">IFERROR(ROUND(OFFSET(환산공식!$FG$15,$F14,0),3),"")</f>
        <v>0</v>
      </c>
      <c r="R14" s="194">
        <f ca="1">OFFSET('배치점수 계산기'!H$10,$D14,0)</f>
        <v>664.39200000000005</v>
      </c>
      <c r="S14" s="194">
        <f ca="1">OFFSET('배치점수 계산기'!I$10,$D14,0)</f>
        <v>663.16899999999998</v>
      </c>
      <c r="T14" s="194">
        <f ca="1">OFFSET('배치점수 계산기'!J$10,$D14,0)</f>
        <v>661.49400000000003</v>
      </c>
      <c r="U14" s="194">
        <f ca="1">OFFSET('배치점수 계산기'!K$10,$D14,0)</f>
        <v>657.29100000000005</v>
      </c>
      <c r="V14" s="194">
        <f ca="1">OFFSET('배치점수 계산기'!L$10,$D14,0)</f>
        <v>654.49</v>
      </c>
      <c r="W14" s="186" t="str">
        <f ca="1">OFFSET('배치점수 계산기'!M$10,$D14,0)</f>
        <v>표점</v>
      </c>
      <c r="X14" s="184" t="str">
        <f ca="1">OFFSET('배치점수 계산기'!N$10,$D14,0)</f>
        <v>변표</v>
      </c>
      <c r="Y14" s="188">
        <f ca="1">OFFSET(환산공식!FW$15,$F14,0)</f>
        <v>0.25</v>
      </c>
      <c r="Z14" s="20">
        <f ca="1">OFFSET(환산공식!FX$15,$F14,0)</f>
        <v>0.38</v>
      </c>
      <c r="AA14" s="179">
        <f ca="1">OFFSET(환산공식!FY$15,$F14,0)</f>
        <v>0.38</v>
      </c>
      <c r="AC14"/>
      <c r="AD14">
        <f t="shared" ca="1" si="2"/>
        <v>6</v>
      </c>
      <c r="AE14"/>
    </row>
    <row r="15" spans="1:31" s="3" customFormat="1">
      <c r="A15" s="198"/>
      <c r="B15" s="198"/>
      <c r="C15" s="198" t="s">
        <v>576</v>
      </c>
      <c r="D15" s="195">
        <v>8</v>
      </c>
      <c r="E15" s="195">
        <v>5</v>
      </c>
      <c r="F15" s="195">
        <v>5</v>
      </c>
      <c r="G15" s="239">
        <v>8</v>
      </c>
      <c r="H15" s="197" t="s">
        <v>72</v>
      </c>
      <c r="I15" s="242" t="s">
        <v>73</v>
      </c>
      <c r="J15" s="242" t="s">
        <v>8496</v>
      </c>
      <c r="K15" s="195" t="s">
        <v>70</v>
      </c>
      <c r="L15" s="20" t="str">
        <f ca="1">IF(OFFSET(환산공식!$ED$15,$F15,0)=1,"O","X")</f>
        <v>X</v>
      </c>
      <c r="M15" s="188">
        <f ca="1">IFERROR(OFFSET(환산공식!DJ$15,$F15,0),"")</f>
        <v>105.6</v>
      </c>
      <c r="N15" s="20" t="str">
        <f ca="1">IFERROR(CONCATENATE(ROUND(OFFSET(환산공식!DK$15,$F15,0),1),"%"),"")</f>
        <v>100%</v>
      </c>
      <c r="O15" s="20">
        <f ca="1">IFERROR(OFFSET(환산공식!DL$15,$F15,0),"")</f>
        <v>0</v>
      </c>
      <c r="P15" s="188" t="str">
        <f t="shared" ca="1" si="1"/>
        <v>3% 이하</v>
      </c>
      <c r="Q15" s="194">
        <f ca="1">IFERROR(ROUND(OFFSET(환산공식!$FG$15,$F15,0),3),"")</f>
        <v>0</v>
      </c>
      <c r="R15" s="194">
        <f ca="1">OFFSET('배치점수 계산기'!H$10,$D15,0)</f>
        <v>663.16899999999998</v>
      </c>
      <c r="S15" s="194">
        <f ca="1">OFFSET('배치점수 계산기'!I$10,$D15,0)</f>
        <v>662.53599999999994</v>
      </c>
      <c r="T15" s="194">
        <f ca="1">OFFSET('배치점수 계산기'!J$10,$D15,0)</f>
        <v>661.072</v>
      </c>
      <c r="U15" s="194">
        <f ca="1">OFFSET('배치점수 계산기'!K$10,$D15,0)</f>
        <v>656.726</v>
      </c>
      <c r="V15" s="194">
        <f ca="1">OFFSET('배치점수 계산기'!L$10,$D15,0)</f>
        <v>652.75900000000001</v>
      </c>
      <c r="W15" s="186" t="str">
        <f ca="1">OFFSET('배치점수 계산기'!M$10,$D15,0)</f>
        <v>표점</v>
      </c>
      <c r="X15" s="184" t="str">
        <f ca="1">OFFSET('배치점수 계산기'!N$10,$D15,0)</f>
        <v>변표</v>
      </c>
      <c r="Y15" s="188">
        <f ca="1">OFFSET(환산공식!FW$15,$F15,0)</f>
        <v>0.25</v>
      </c>
      <c r="Z15" s="20">
        <f ca="1">OFFSET(환산공식!FX$15,$F15,0)</f>
        <v>0.38</v>
      </c>
      <c r="AA15" s="179">
        <f ca="1">OFFSET(환산공식!FY$15,$F15,0)</f>
        <v>0.38</v>
      </c>
      <c r="AC15"/>
      <c r="AD15">
        <f t="shared" ca="1" si="2"/>
        <v>6</v>
      </c>
      <c r="AE15"/>
    </row>
    <row r="16" spans="1:31" s="3" customFormat="1">
      <c r="A16" s="198"/>
      <c r="B16" s="198"/>
      <c r="C16" s="198" t="s">
        <v>577</v>
      </c>
      <c r="D16" s="195">
        <v>9</v>
      </c>
      <c r="E16" s="195">
        <v>5</v>
      </c>
      <c r="F16" s="195">
        <v>5</v>
      </c>
      <c r="G16" s="239">
        <v>9</v>
      </c>
      <c r="H16" s="197" t="s">
        <v>72</v>
      </c>
      <c r="I16" s="242" t="s">
        <v>73</v>
      </c>
      <c r="J16" s="242" t="s">
        <v>13107</v>
      </c>
      <c r="K16" s="195" t="s">
        <v>70</v>
      </c>
      <c r="L16" s="20" t="str">
        <f ca="1">IF(OFFSET(환산공식!$ED$15,$F16,0)=1,"O","X")</f>
        <v>X</v>
      </c>
      <c r="M16" s="188">
        <f ca="1">IFERROR(OFFSET(환산공식!DJ$15,$F16,0),"")</f>
        <v>105.6</v>
      </c>
      <c r="N16" s="20" t="str">
        <f ca="1">IFERROR(CONCATENATE(ROUND(OFFSET(환산공식!DK$15,$F16,0),1),"%"),"")</f>
        <v>100%</v>
      </c>
      <c r="O16" s="20">
        <f ca="1">IFERROR(OFFSET(환산공식!DL$15,$F16,0),"")</f>
        <v>0</v>
      </c>
      <c r="P16" s="188" t="str">
        <f t="shared" ca="1" si="1"/>
        <v>3% 이하</v>
      </c>
      <c r="Q16" s="194">
        <f ca="1">IFERROR(ROUND(OFFSET(환산공식!$FG$15,$F16,0),3),"")</f>
        <v>0</v>
      </c>
      <c r="R16" s="194">
        <f ca="1">OFFSET('배치점수 계산기'!H$10,$D16,0)</f>
        <v>664.51400000000001</v>
      </c>
      <c r="S16" s="194">
        <f ca="1">OFFSET('배치점수 계산기'!I$10,$D16,0)</f>
        <v>663.04700000000003</v>
      </c>
      <c r="T16" s="194">
        <f ca="1">OFFSET('배치점수 계산기'!J$10,$D16,0)</f>
        <v>661.072</v>
      </c>
      <c r="U16" s="194">
        <f ca="1">OFFSET('배치점수 계산기'!K$10,$D16,0)</f>
        <v>659.58100000000002</v>
      </c>
      <c r="V16" s="194">
        <f ca="1">OFFSET('배치점수 계산기'!L$10,$D16,0)</f>
        <v>656.33900000000006</v>
      </c>
      <c r="W16" s="186" t="str">
        <f ca="1">OFFSET('배치점수 계산기'!M$10,$D16,0)</f>
        <v>표점</v>
      </c>
      <c r="X16" s="184" t="str">
        <f ca="1">OFFSET('배치점수 계산기'!N$10,$D16,0)</f>
        <v>변표</v>
      </c>
      <c r="Y16" s="188">
        <f ca="1">OFFSET(환산공식!FW$15,$F16,0)</f>
        <v>0.25</v>
      </c>
      <c r="Z16" s="20">
        <f ca="1">OFFSET(환산공식!FX$15,$F16,0)</f>
        <v>0.38</v>
      </c>
      <c r="AA16" s="179">
        <f ca="1">OFFSET(환산공식!FY$15,$F16,0)</f>
        <v>0.38</v>
      </c>
      <c r="AC16"/>
      <c r="AD16">
        <f t="shared" ca="1" si="2"/>
        <v>6</v>
      </c>
      <c r="AE16"/>
    </row>
    <row r="17" spans="1:31" s="3" customFormat="1">
      <c r="A17" s="198"/>
      <c r="B17" s="198"/>
      <c r="C17" s="198" t="s">
        <v>578</v>
      </c>
      <c r="D17" s="195">
        <v>10</v>
      </c>
      <c r="E17" s="195">
        <v>5</v>
      </c>
      <c r="F17" s="195">
        <v>5</v>
      </c>
      <c r="G17" s="239">
        <v>10</v>
      </c>
      <c r="H17" s="197" t="s">
        <v>72</v>
      </c>
      <c r="I17" s="242" t="s">
        <v>73</v>
      </c>
      <c r="J17" s="242" t="s">
        <v>555</v>
      </c>
      <c r="K17" s="195" t="s">
        <v>70</v>
      </c>
      <c r="L17" s="20" t="str">
        <f ca="1">IF(OFFSET(환산공식!$ED$15,$F17,0)=1,"O","X")</f>
        <v>X</v>
      </c>
      <c r="M17" s="188">
        <f ca="1">IFERROR(OFFSET(환산공식!DJ$15,$F17,0),"")</f>
        <v>105.6</v>
      </c>
      <c r="N17" s="20" t="str">
        <f ca="1">IFERROR(CONCATENATE(ROUND(OFFSET(환산공식!DK$15,$F17,0),1),"%"),"")</f>
        <v>100%</v>
      </c>
      <c r="O17" s="20">
        <f ca="1">IFERROR(OFFSET(환산공식!DL$15,$F17,0),"")</f>
        <v>0</v>
      </c>
      <c r="P17" s="188" t="str">
        <f t="shared" ca="1" si="1"/>
        <v>3% 이하</v>
      </c>
      <c r="Q17" s="194">
        <f ca="1">IFERROR(ROUND(OFFSET(환산공식!$FG$15,$F17,0),3),"")</f>
        <v>0</v>
      </c>
      <c r="R17" s="194">
        <f ca="1">OFFSET('배치점수 계산기'!H$10,$D17,0)</f>
        <v>663.41899999999998</v>
      </c>
      <c r="S17" s="194">
        <f ca="1">OFFSET('배치점수 계산기'!I$10,$D17,0)</f>
        <v>662.53599999999994</v>
      </c>
      <c r="T17" s="194">
        <f ca="1">OFFSET('배치점수 계산기'!J$10,$D17,0)</f>
        <v>661.072</v>
      </c>
      <c r="U17" s="194">
        <f ca="1">OFFSET('배치점수 계산기'!K$10,$D17,0)</f>
        <v>659.38599999999997</v>
      </c>
      <c r="V17" s="194">
        <f ca="1">OFFSET('배치점수 계산기'!L$10,$D17,0)</f>
        <v>656.726</v>
      </c>
      <c r="W17" s="186" t="str">
        <f ca="1">OFFSET('배치점수 계산기'!M$10,$D17,0)</f>
        <v>표점</v>
      </c>
      <c r="X17" s="184" t="str">
        <f ca="1">OFFSET('배치점수 계산기'!N$10,$D17,0)</f>
        <v>변표</v>
      </c>
      <c r="Y17" s="188">
        <f ca="1">OFFSET(환산공식!FW$15,$F17,0)</f>
        <v>0.25</v>
      </c>
      <c r="Z17" s="20">
        <f ca="1">OFFSET(환산공식!FX$15,$F17,0)</f>
        <v>0.38</v>
      </c>
      <c r="AA17" s="179">
        <f ca="1">OFFSET(환산공식!FY$15,$F17,0)</f>
        <v>0.38</v>
      </c>
      <c r="AC17"/>
      <c r="AD17">
        <f t="shared" ca="1" si="2"/>
        <v>6</v>
      </c>
      <c r="AE17"/>
    </row>
    <row r="18" spans="1:31" s="3" customFormat="1">
      <c r="A18" s="198"/>
      <c r="B18" s="198"/>
      <c r="C18" s="198" t="s">
        <v>579</v>
      </c>
      <c r="D18" s="195">
        <v>11</v>
      </c>
      <c r="E18" s="195">
        <v>5</v>
      </c>
      <c r="F18" s="195">
        <v>5</v>
      </c>
      <c r="G18" s="239">
        <v>11</v>
      </c>
      <c r="H18" s="197" t="s">
        <v>72</v>
      </c>
      <c r="I18" s="242" t="s">
        <v>73</v>
      </c>
      <c r="J18" s="242" t="s">
        <v>551</v>
      </c>
      <c r="K18" s="195" t="s">
        <v>70</v>
      </c>
      <c r="L18" s="20" t="str">
        <f ca="1">IF(OFFSET(환산공식!$ED$15,$F18,0)=1,"O","X")</f>
        <v>X</v>
      </c>
      <c r="M18" s="188">
        <f ca="1">IFERROR(OFFSET(환산공식!DJ$15,$F18,0),"")</f>
        <v>105.6</v>
      </c>
      <c r="N18" s="20" t="str">
        <f ca="1">IFERROR(CONCATENATE(ROUND(OFFSET(환산공식!DK$15,$F18,0),1),"%"),"")</f>
        <v>100%</v>
      </c>
      <c r="O18" s="20">
        <f ca="1">IFERROR(OFFSET(환산공식!DL$15,$F18,0),"")</f>
        <v>0</v>
      </c>
      <c r="P18" s="188" t="str">
        <f t="shared" ca="1" si="1"/>
        <v>3% 이하</v>
      </c>
      <c r="Q18" s="194">
        <f ca="1">IFERROR(ROUND(OFFSET(환산공식!$FG$15,$F18,0),3),"")</f>
        <v>0</v>
      </c>
      <c r="R18" s="194">
        <f ca="1">OFFSET('배치점수 계산기'!H$10,$D18,0)</f>
        <v>663.41899999999998</v>
      </c>
      <c r="S18" s="194">
        <f ca="1">OFFSET('배치점수 계산기'!I$10,$D18,0)</f>
        <v>662.35</v>
      </c>
      <c r="T18" s="194">
        <f ca="1">OFFSET('배치점수 계산기'!J$10,$D18,0)</f>
        <v>660.67399999999998</v>
      </c>
      <c r="U18" s="194">
        <f ca="1">OFFSET('배치점수 계산기'!K$10,$D18,0)</f>
        <v>659.38599999999997</v>
      </c>
      <c r="V18" s="194">
        <f ca="1">OFFSET('배치점수 계산기'!L$10,$D18,0)</f>
        <v>656.62</v>
      </c>
      <c r="W18" s="186" t="str">
        <f ca="1">OFFSET('배치점수 계산기'!M$10,$D18,0)</f>
        <v>표점</v>
      </c>
      <c r="X18" s="184" t="str">
        <f ca="1">OFFSET('배치점수 계산기'!N$10,$D18,0)</f>
        <v>변표</v>
      </c>
      <c r="Y18" s="188">
        <f ca="1">OFFSET(환산공식!FW$15,$F18,0)</f>
        <v>0.25</v>
      </c>
      <c r="Z18" s="20">
        <f ca="1">OFFSET(환산공식!FX$15,$F18,0)</f>
        <v>0.38</v>
      </c>
      <c r="AA18" s="179">
        <f ca="1">OFFSET(환산공식!FY$15,$F18,0)</f>
        <v>0.38</v>
      </c>
      <c r="AC18"/>
      <c r="AD18">
        <f t="shared" ca="1" si="2"/>
        <v>6</v>
      </c>
      <c r="AE18"/>
    </row>
    <row r="19" spans="1:31" s="3" customFormat="1">
      <c r="A19" s="198"/>
      <c r="B19" s="198"/>
      <c r="C19" s="198" t="s">
        <v>580</v>
      </c>
      <c r="D19" s="195">
        <v>12</v>
      </c>
      <c r="E19" s="195">
        <v>5</v>
      </c>
      <c r="F19" s="195">
        <v>5</v>
      </c>
      <c r="G19" s="239">
        <v>12</v>
      </c>
      <c r="H19" s="197" t="s">
        <v>72</v>
      </c>
      <c r="I19" s="242" t="s">
        <v>73</v>
      </c>
      <c r="J19" s="242" t="s">
        <v>8555</v>
      </c>
      <c r="K19" s="195" t="s">
        <v>70</v>
      </c>
      <c r="L19" s="20" t="str">
        <f ca="1">IF(OFFSET(환산공식!$ED$15,$F19,0)=1,"O","X")</f>
        <v>X</v>
      </c>
      <c r="M19" s="188">
        <f ca="1">IFERROR(OFFSET(환산공식!DJ$15,$F19,0),"")</f>
        <v>105.6</v>
      </c>
      <c r="N19" s="20" t="str">
        <f ca="1">IFERROR(CONCATENATE(ROUND(OFFSET(환산공식!DK$15,$F19,0),1),"%"),"")</f>
        <v>100%</v>
      </c>
      <c r="O19" s="20">
        <f ca="1">IFERROR(OFFSET(환산공식!DL$15,$F19,0),"")</f>
        <v>0</v>
      </c>
      <c r="P19" s="188" t="str">
        <f t="shared" ca="1" si="1"/>
        <v>3% 이하</v>
      </c>
      <c r="Q19" s="194">
        <f ca="1">IFERROR(ROUND(OFFSET(환산공식!$FG$15,$F19,0),3),"")</f>
        <v>0</v>
      </c>
      <c r="R19" s="194">
        <f ca="1">OFFSET('배치점수 계산기'!H$10,$D19,0)</f>
        <v>663.16899999999998</v>
      </c>
      <c r="S19" s="194">
        <f ca="1">OFFSET('배치점수 계산기'!I$10,$D19,0)</f>
        <v>662.53599999999994</v>
      </c>
      <c r="T19" s="194">
        <f ca="1">OFFSET('배치점수 계산기'!J$10,$D19,0)</f>
        <v>660.14700000000005</v>
      </c>
      <c r="U19" s="194">
        <f ca="1">OFFSET('배치점수 계산기'!K$10,$D19,0)</f>
        <v>657.29100000000005</v>
      </c>
      <c r="V19" s="194">
        <f ca="1">OFFSET('배치점수 계산기'!L$10,$D19,0)</f>
        <v>654.49</v>
      </c>
      <c r="W19" s="186" t="str">
        <f ca="1">OFFSET('배치점수 계산기'!M$10,$D19,0)</f>
        <v>표점</v>
      </c>
      <c r="X19" s="184" t="str">
        <f ca="1">OFFSET('배치점수 계산기'!N$10,$D19,0)</f>
        <v>변표</v>
      </c>
      <c r="Y19" s="188">
        <f ca="1">OFFSET(환산공식!FW$15,$F19,0)</f>
        <v>0.25</v>
      </c>
      <c r="Z19" s="20">
        <f ca="1">OFFSET(환산공식!FX$15,$F19,0)</f>
        <v>0.38</v>
      </c>
      <c r="AA19" s="179">
        <f ca="1">OFFSET(환산공식!FY$15,$F19,0)</f>
        <v>0.38</v>
      </c>
      <c r="AC19"/>
      <c r="AD19">
        <f t="shared" ca="1" si="2"/>
        <v>6</v>
      </c>
      <c r="AE19"/>
    </row>
    <row r="20" spans="1:31" s="3" customFormat="1">
      <c r="A20" s="198"/>
      <c r="B20" s="198"/>
      <c r="C20" s="198" t="s">
        <v>581</v>
      </c>
      <c r="D20" s="195">
        <v>13</v>
      </c>
      <c r="E20" s="195">
        <v>5</v>
      </c>
      <c r="F20" s="195">
        <v>5</v>
      </c>
      <c r="G20" s="239">
        <v>13</v>
      </c>
      <c r="H20" s="197" t="s">
        <v>72</v>
      </c>
      <c r="I20" s="242" t="s">
        <v>73</v>
      </c>
      <c r="J20" s="242" t="s">
        <v>8664</v>
      </c>
      <c r="K20" s="195" t="s">
        <v>70</v>
      </c>
      <c r="L20" s="20" t="str">
        <f ca="1">IF(OFFSET(환산공식!$ED$15,$F20,0)=1,"O","X")</f>
        <v>X</v>
      </c>
      <c r="M20" s="188">
        <f ca="1">IFERROR(OFFSET(환산공식!DJ$15,$F20,0),"")</f>
        <v>105.6</v>
      </c>
      <c r="N20" s="20" t="str">
        <f ca="1">IFERROR(CONCATENATE(ROUND(OFFSET(환산공식!DK$15,$F20,0),1),"%"),"")</f>
        <v>100%</v>
      </c>
      <c r="O20" s="20">
        <f ca="1">IFERROR(OFFSET(환산공식!DL$15,$F20,0),"")</f>
        <v>0</v>
      </c>
      <c r="P20" s="188" t="str">
        <f t="shared" ca="1" si="1"/>
        <v>3% 이하</v>
      </c>
      <c r="Q20" s="194">
        <f ca="1">IFERROR(ROUND(OFFSET(환산공식!$FG$15,$F20,0),3),"")</f>
        <v>0</v>
      </c>
      <c r="R20" s="194">
        <f ca="1">OFFSET('배치점수 계산기'!H$10,$D20,0)</f>
        <v>661.68799999999999</v>
      </c>
      <c r="S20" s="194">
        <f ca="1">OFFSET('배치점수 계산기'!I$10,$D20,0)</f>
        <v>660.67399999999998</v>
      </c>
      <c r="T20" s="194">
        <f ca="1">OFFSET('배치점수 계산기'!J$10,$D20,0)</f>
        <v>657.803</v>
      </c>
      <c r="U20" s="194">
        <f ca="1">OFFSET('배치점수 계산기'!K$10,$D20,0)</f>
        <v>657.02700000000004</v>
      </c>
      <c r="V20" s="194">
        <f ca="1">OFFSET('배치점수 계산기'!L$10,$D20,0)</f>
        <v>652.84699999999998</v>
      </c>
      <c r="W20" s="186" t="str">
        <f ca="1">OFFSET('배치점수 계산기'!M$10,$D20,0)</f>
        <v>표점</v>
      </c>
      <c r="X20" s="184" t="str">
        <f ca="1">OFFSET('배치점수 계산기'!N$10,$D20,0)</f>
        <v>변표</v>
      </c>
      <c r="Y20" s="188">
        <f ca="1">OFFSET(환산공식!FW$15,$F20,0)</f>
        <v>0.25</v>
      </c>
      <c r="Z20" s="20">
        <f ca="1">OFFSET(환산공식!FX$15,$F20,0)</f>
        <v>0.38</v>
      </c>
      <c r="AA20" s="179">
        <f ca="1">OFFSET(환산공식!FY$15,$F20,0)</f>
        <v>0.38</v>
      </c>
      <c r="AC20"/>
      <c r="AD20">
        <f t="shared" ca="1" si="2"/>
        <v>6</v>
      </c>
      <c r="AE20"/>
    </row>
    <row r="21" spans="1:31" s="3" customFormat="1">
      <c r="A21" s="198"/>
      <c r="B21" s="198"/>
      <c r="C21" s="198" t="s">
        <v>582</v>
      </c>
      <c r="D21" s="195">
        <v>14</v>
      </c>
      <c r="E21" s="195">
        <v>5</v>
      </c>
      <c r="F21" s="195">
        <v>5</v>
      </c>
      <c r="G21" s="239">
        <v>14</v>
      </c>
      <c r="H21" s="197" t="s">
        <v>72</v>
      </c>
      <c r="I21" s="242" t="s">
        <v>73</v>
      </c>
      <c r="J21" s="242" t="s">
        <v>8630</v>
      </c>
      <c r="K21" s="195" t="s">
        <v>70</v>
      </c>
      <c r="L21" s="20" t="str">
        <f ca="1">IF(OFFSET(환산공식!$ED$15,$F21,0)=1,"O","X")</f>
        <v>X</v>
      </c>
      <c r="M21" s="188">
        <f ca="1">IFERROR(OFFSET(환산공식!DJ$15,$F21,0),"")</f>
        <v>105.6</v>
      </c>
      <c r="N21" s="20" t="str">
        <f ca="1">IFERROR(CONCATENATE(ROUND(OFFSET(환산공식!DK$15,$F21,0),1),"%"),"")</f>
        <v>100%</v>
      </c>
      <c r="O21" s="20">
        <f ca="1">IFERROR(OFFSET(환산공식!DL$15,$F21,0),"")</f>
        <v>0</v>
      </c>
      <c r="P21" s="188" t="str">
        <f t="shared" ca="1" si="1"/>
        <v>3% 이하</v>
      </c>
      <c r="Q21" s="194">
        <f ca="1">IFERROR(ROUND(OFFSET(환산공식!$FG$15,$F21,0),3),"")</f>
        <v>0</v>
      </c>
      <c r="R21" s="194">
        <f ca="1">OFFSET('배치점수 계산기'!H$10,$D21,0)</f>
        <v>662.35</v>
      </c>
      <c r="S21" s="194">
        <f ca="1">OFFSET('배치점수 계산기'!I$10,$D21,0)</f>
        <v>661.072</v>
      </c>
      <c r="T21" s="194">
        <f ca="1">OFFSET('배치점수 계산기'!J$10,$D21,0)</f>
        <v>657.803</v>
      </c>
      <c r="U21" s="194">
        <f ca="1">OFFSET('배치점수 계산기'!K$10,$D21,0)</f>
        <v>657.02700000000004</v>
      </c>
      <c r="V21" s="194">
        <f ca="1">OFFSET('배치점수 계산기'!L$10,$D21,0)</f>
        <v>653.60400000000004</v>
      </c>
      <c r="W21" s="186" t="str">
        <f ca="1">OFFSET('배치점수 계산기'!M$10,$D21,0)</f>
        <v>표점</v>
      </c>
      <c r="X21" s="184" t="str">
        <f ca="1">OFFSET('배치점수 계산기'!N$10,$D21,0)</f>
        <v>변표</v>
      </c>
      <c r="Y21" s="188">
        <f ca="1">OFFSET(환산공식!FW$15,$F21,0)</f>
        <v>0.25</v>
      </c>
      <c r="Z21" s="20">
        <f ca="1">OFFSET(환산공식!FX$15,$F21,0)</f>
        <v>0.38</v>
      </c>
      <c r="AA21" s="179">
        <f ca="1">OFFSET(환산공식!FY$15,$F21,0)</f>
        <v>0.38</v>
      </c>
      <c r="AC21"/>
      <c r="AD21">
        <f t="shared" ca="1" si="2"/>
        <v>6</v>
      </c>
      <c r="AE21"/>
    </row>
    <row r="22" spans="1:31" s="3" customFormat="1">
      <c r="A22" s="198"/>
      <c r="B22" s="198"/>
      <c r="C22" s="198" t="s">
        <v>583</v>
      </c>
      <c r="D22" s="195">
        <v>15</v>
      </c>
      <c r="E22" s="195">
        <v>5</v>
      </c>
      <c r="F22" s="195">
        <v>5</v>
      </c>
      <c r="G22" s="239">
        <v>15</v>
      </c>
      <c r="H22" s="197" t="s">
        <v>72</v>
      </c>
      <c r="I22" s="242" t="s">
        <v>73</v>
      </c>
      <c r="J22" s="242" t="s">
        <v>8744</v>
      </c>
      <c r="K22" s="195" t="s">
        <v>70</v>
      </c>
      <c r="L22" s="20" t="str">
        <f ca="1">IF(OFFSET(환산공식!$ED$15,$F22,0)=1,"O","X")</f>
        <v>X</v>
      </c>
      <c r="M22" s="188">
        <f ca="1">IFERROR(OFFSET(환산공식!DJ$15,$F22,0),"")</f>
        <v>105.6</v>
      </c>
      <c r="N22" s="20" t="str">
        <f ca="1">IFERROR(CONCATENATE(ROUND(OFFSET(환산공식!DK$15,$F22,0),1),"%"),"")</f>
        <v>100%</v>
      </c>
      <c r="O22" s="20">
        <f ca="1">IFERROR(OFFSET(환산공식!DL$15,$F22,0),"")</f>
        <v>0</v>
      </c>
      <c r="P22" s="188" t="str">
        <f t="shared" ca="1" si="1"/>
        <v>3% 이하</v>
      </c>
      <c r="Q22" s="194">
        <f ca="1">IFERROR(ROUND(OFFSET(환산공식!$FG$15,$F22,0),3),"")</f>
        <v>0</v>
      </c>
      <c r="R22" s="194">
        <f ca="1">OFFSET('배치점수 계산기'!H$10,$D22,0)</f>
        <v>661.49400000000003</v>
      </c>
      <c r="S22" s="194">
        <f ca="1">OFFSET('배치점수 계산기'!I$10,$D22,0)</f>
        <v>660.14700000000005</v>
      </c>
      <c r="T22" s="194">
        <f ca="1">OFFSET('배치점수 계산기'!J$10,$D22,0)</f>
        <v>657.803</v>
      </c>
      <c r="U22" s="194">
        <f ca="1">OFFSET('배치점수 계산기'!K$10,$D22,0)</f>
        <v>656.726</v>
      </c>
      <c r="V22" s="194">
        <f ca="1">OFFSET('배치점수 계산기'!L$10,$D22,0)</f>
        <v>654.99</v>
      </c>
      <c r="W22" s="186" t="str">
        <f ca="1">OFFSET('배치점수 계산기'!M$10,$D22,0)</f>
        <v>표점</v>
      </c>
      <c r="X22" s="184" t="str">
        <f ca="1">OFFSET('배치점수 계산기'!N$10,$D22,0)</f>
        <v>변표</v>
      </c>
      <c r="Y22" s="188">
        <f ca="1">OFFSET(환산공식!FW$15,$F22,0)</f>
        <v>0.25</v>
      </c>
      <c r="Z22" s="20">
        <f ca="1">OFFSET(환산공식!FX$15,$F22,0)</f>
        <v>0.38</v>
      </c>
      <c r="AA22" s="179">
        <f ca="1">OFFSET(환산공식!FY$15,$F22,0)</f>
        <v>0.38</v>
      </c>
      <c r="AC22"/>
      <c r="AD22">
        <f t="shared" ca="1" si="2"/>
        <v>6</v>
      </c>
      <c r="AE22"/>
    </row>
    <row r="23" spans="1:31" s="3" customFormat="1">
      <c r="A23" s="198"/>
      <c r="B23" s="198"/>
      <c r="C23" s="198" t="s">
        <v>584</v>
      </c>
      <c r="D23" s="195">
        <v>16</v>
      </c>
      <c r="E23" s="195">
        <v>5</v>
      </c>
      <c r="F23" s="195">
        <v>5</v>
      </c>
      <c r="G23" s="239">
        <v>16</v>
      </c>
      <c r="H23" s="197" t="s">
        <v>72</v>
      </c>
      <c r="I23" s="242" t="s">
        <v>73</v>
      </c>
      <c r="J23" s="242" t="s">
        <v>8640</v>
      </c>
      <c r="K23" s="195" t="s">
        <v>70</v>
      </c>
      <c r="L23" s="20" t="str">
        <f ca="1">IF(OFFSET(환산공식!$ED$15,$F23,0)=1,"O","X")</f>
        <v>X</v>
      </c>
      <c r="M23" s="188">
        <f ca="1">IFERROR(OFFSET(환산공식!DJ$15,$F23,0),"")</f>
        <v>105.6</v>
      </c>
      <c r="N23" s="20" t="str">
        <f ca="1">IFERROR(CONCATENATE(ROUND(OFFSET(환산공식!DK$15,$F23,0),1),"%"),"")</f>
        <v>100%</v>
      </c>
      <c r="O23" s="20">
        <f ca="1">IFERROR(OFFSET(환산공식!DL$15,$F23,0),"")</f>
        <v>0</v>
      </c>
      <c r="P23" s="188" t="str">
        <f t="shared" ca="1" si="1"/>
        <v>3% 이하</v>
      </c>
      <c r="Q23" s="194">
        <f ca="1">IFERROR(ROUND(OFFSET(환산공식!$FG$15,$F23,0),3),"")</f>
        <v>0</v>
      </c>
      <c r="R23" s="194">
        <f ca="1">OFFSET('배치점수 계산기'!H$10,$D23,0)</f>
        <v>661.072</v>
      </c>
      <c r="S23" s="194">
        <f ca="1">OFFSET('배치점수 계산기'!I$10,$D23,0)</f>
        <v>660.14700000000005</v>
      </c>
      <c r="T23" s="194">
        <f ca="1">OFFSET('배치점수 계산기'!J$10,$D23,0)</f>
        <v>657.803</v>
      </c>
      <c r="U23" s="194">
        <f ca="1">OFFSET('배치점수 계산기'!K$10,$D23,0)</f>
        <v>656.62</v>
      </c>
      <c r="V23" s="194">
        <f ca="1">OFFSET('배치점수 계산기'!L$10,$D23,0)</f>
        <v>654.77099999999996</v>
      </c>
      <c r="W23" s="186" t="str">
        <f ca="1">OFFSET('배치점수 계산기'!M$10,$D23,0)</f>
        <v>표점</v>
      </c>
      <c r="X23" s="184" t="str">
        <f ca="1">OFFSET('배치점수 계산기'!N$10,$D23,0)</f>
        <v>변표</v>
      </c>
      <c r="Y23" s="188">
        <f ca="1">OFFSET(환산공식!FW$15,$F23,0)</f>
        <v>0.25</v>
      </c>
      <c r="Z23" s="20">
        <f ca="1">OFFSET(환산공식!FX$15,$F23,0)</f>
        <v>0.38</v>
      </c>
      <c r="AA23" s="179">
        <f ca="1">OFFSET(환산공식!FY$15,$F23,0)</f>
        <v>0.38</v>
      </c>
      <c r="AC23"/>
      <c r="AD23">
        <f t="shared" ca="1" si="2"/>
        <v>6</v>
      </c>
      <c r="AE23"/>
    </row>
    <row r="24" spans="1:31" s="3" customFormat="1">
      <c r="A24" s="198"/>
      <c r="B24" s="198"/>
      <c r="C24" s="198" t="s">
        <v>585</v>
      </c>
      <c r="D24" s="195">
        <v>17</v>
      </c>
      <c r="E24" s="195">
        <v>5</v>
      </c>
      <c r="F24" s="195">
        <v>5</v>
      </c>
      <c r="G24" s="239">
        <v>17</v>
      </c>
      <c r="H24" s="197" t="s">
        <v>72</v>
      </c>
      <c r="I24" s="242" t="s">
        <v>73</v>
      </c>
      <c r="J24" s="242" t="s">
        <v>550</v>
      </c>
      <c r="K24" s="195" t="s">
        <v>70</v>
      </c>
      <c r="L24" s="20" t="str">
        <f ca="1">IF(OFFSET(환산공식!$ED$15,$F24,0)=1,"O","X")</f>
        <v>X</v>
      </c>
      <c r="M24" s="188">
        <f ca="1">IFERROR(OFFSET(환산공식!DJ$15,$F24,0),"")</f>
        <v>105.6</v>
      </c>
      <c r="N24" s="20" t="str">
        <f ca="1">IFERROR(CONCATENATE(ROUND(OFFSET(환산공식!DK$15,$F24,0),1),"%"),"")</f>
        <v>100%</v>
      </c>
      <c r="O24" s="20">
        <f ca="1">IFERROR(OFFSET(환산공식!DL$15,$F24,0),"")</f>
        <v>0</v>
      </c>
      <c r="P24" s="188" t="str">
        <f t="shared" ca="1" si="1"/>
        <v>3% 이하</v>
      </c>
      <c r="Q24" s="194">
        <f ca="1">IFERROR(ROUND(OFFSET(환산공식!$FG$15,$F24,0),3),"")</f>
        <v>0</v>
      </c>
      <c r="R24" s="194">
        <f ca="1">OFFSET('배치점수 계산기'!H$10,$D24,0)</f>
        <v>661.68799999999999</v>
      </c>
      <c r="S24" s="194">
        <f ca="1">OFFSET('배치점수 계산기'!I$10,$D24,0)</f>
        <v>660.14700000000005</v>
      </c>
      <c r="T24" s="194">
        <f ca="1">OFFSET('배치점수 계산기'!J$10,$D24,0)</f>
        <v>657.803</v>
      </c>
      <c r="U24" s="194">
        <f ca="1">OFFSET('배치점수 계산기'!K$10,$D24,0)</f>
        <v>656.726</v>
      </c>
      <c r="V24" s="194">
        <f ca="1">OFFSET('배치점수 계산기'!L$10,$D24,0)</f>
        <v>655.64499999999998</v>
      </c>
      <c r="W24" s="186" t="str">
        <f ca="1">OFFSET('배치점수 계산기'!M$10,$D24,0)</f>
        <v>표점</v>
      </c>
      <c r="X24" s="184" t="str">
        <f ca="1">OFFSET('배치점수 계산기'!N$10,$D24,0)</f>
        <v>변표</v>
      </c>
      <c r="Y24" s="188">
        <f ca="1">OFFSET(환산공식!FW$15,$F24,0)</f>
        <v>0.25</v>
      </c>
      <c r="Z24" s="20">
        <f ca="1">OFFSET(환산공식!FX$15,$F24,0)</f>
        <v>0.38</v>
      </c>
      <c r="AA24" s="179">
        <f ca="1">OFFSET(환산공식!FY$15,$F24,0)</f>
        <v>0.38</v>
      </c>
      <c r="AC24"/>
      <c r="AD24">
        <f t="shared" ca="1" si="2"/>
        <v>6</v>
      </c>
      <c r="AE24"/>
    </row>
    <row r="25" spans="1:31" s="3" customFormat="1">
      <c r="A25" s="198"/>
      <c r="B25" s="198"/>
      <c r="C25" s="198" t="s">
        <v>586</v>
      </c>
      <c r="D25" s="195">
        <v>18</v>
      </c>
      <c r="E25" s="195">
        <v>5</v>
      </c>
      <c r="F25" s="195">
        <v>5</v>
      </c>
      <c r="G25" s="239">
        <v>18</v>
      </c>
      <c r="H25" s="197" t="s">
        <v>72</v>
      </c>
      <c r="I25" s="242" t="s">
        <v>73</v>
      </c>
      <c r="J25" s="242" t="s">
        <v>8691</v>
      </c>
      <c r="K25" s="195" t="s">
        <v>70</v>
      </c>
      <c r="L25" s="20" t="str">
        <f ca="1">IF(OFFSET(환산공식!$ED$15,$F25,0)=1,"O","X")</f>
        <v>X</v>
      </c>
      <c r="M25" s="188">
        <f ca="1">IFERROR(OFFSET(환산공식!DJ$15,$F25,0),"")</f>
        <v>105.6</v>
      </c>
      <c r="N25" s="20" t="str">
        <f ca="1">IFERROR(CONCATENATE(ROUND(OFFSET(환산공식!DK$15,$F25,0),1),"%"),"")</f>
        <v>100%</v>
      </c>
      <c r="O25" s="20">
        <f ca="1">IFERROR(OFFSET(환산공식!DL$15,$F25,0),"")</f>
        <v>0</v>
      </c>
      <c r="P25" s="188" t="str">
        <f t="shared" ca="1" si="1"/>
        <v>3% 이하</v>
      </c>
      <c r="Q25" s="194">
        <f ca="1">IFERROR(ROUND(OFFSET(환산공식!$FG$15,$F25,0),3),"")</f>
        <v>0</v>
      </c>
      <c r="R25" s="194">
        <f ca="1">OFFSET('배치점수 계산기'!H$10,$D25,0)</f>
        <v>660.98299999999995</v>
      </c>
      <c r="S25" s="194">
        <f ca="1">OFFSET('배치점수 계산기'!I$10,$D25,0)</f>
        <v>659.58100000000002</v>
      </c>
      <c r="T25" s="194">
        <f ca="1">OFFSET('배치점수 계산기'!J$10,$D25,0)</f>
        <v>657.29100000000005</v>
      </c>
      <c r="U25" s="194">
        <f ca="1">OFFSET('배치점수 계산기'!K$10,$D25,0)</f>
        <v>656.33900000000006</v>
      </c>
      <c r="V25" s="194">
        <f ca="1">OFFSET('배치점수 계산기'!L$10,$D25,0)</f>
        <v>654.99</v>
      </c>
      <c r="W25" s="186" t="str">
        <f ca="1">OFFSET('배치점수 계산기'!M$10,$D25,0)</f>
        <v>표점</v>
      </c>
      <c r="X25" s="184" t="str">
        <f ca="1">OFFSET('배치점수 계산기'!N$10,$D25,0)</f>
        <v>변표</v>
      </c>
      <c r="Y25" s="188">
        <f ca="1">OFFSET(환산공식!FW$15,$F25,0)</f>
        <v>0.25</v>
      </c>
      <c r="Z25" s="20">
        <f ca="1">OFFSET(환산공식!FX$15,$F25,0)</f>
        <v>0.38</v>
      </c>
      <c r="AA25" s="179">
        <f ca="1">OFFSET(환산공식!FY$15,$F25,0)</f>
        <v>0.38</v>
      </c>
      <c r="AC25"/>
      <c r="AD25">
        <f t="shared" ca="1" si="2"/>
        <v>6</v>
      </c>
      <c r="AE25"/>
    </row>
    <row r="26" spans="1:31" s="3" customFormat="1">
      <c r="A26" s="198"/>
      <c r="B26" s="198"/>
      <c r="C26" s="198" t="s">
        <v>587</v>
      </c>
      <c r="D26" s="195">
        <v>19</v>
      </c>
      <c r="E26" s="195">
        <v>5</v>
      </c>
      <c r="F26" s="195">
        <v>5</v>
      </c>
      <c r="G26" s="239">
        <v>19</v>
      </c>
      <c r="H26" s="197" t="s">
        <v>72</v>
      </c>
      <c r="I26" s="242" t="s">
        <v>73</v>
      </c>
      <c r="J26" s="242" t="s">
        <v>8552</v>
      </c>
      <c r="K26" s="195" t="s">
        <v>70</v>
      </c>
      <c r="L26" s="20" t="str">
        <f ca="1">IF(OFFSET(환산공식!$ED$15,$F26,0)=1,"O","X")</f>
        <v>X</v>
      </c>
      <c r="M26" s="188">
        <f ca="1">IFERROR(OFFSET(환산공식!DJ$15,$F26,0),"")</f>
        <v>105.6</v>
      </c>
      <c r="N26" s="20" t="str">
        <f ca="1">IFERROR(CONCATENATE(ROUND(OFFSET(환산공식!DK$15,$F26,0),1),"%"),"")</f>
        <v>100%</v>
      </c>
      <c r="O26" s="20">
        <f ca="1">IFERROR(OFFSET(환산공식!DL$15,$F26,0),"")</f>
        <v>0</v>
      </c>
      <c r="P26" s="188" t="str">
        <f t="shared" ca="1" si="1"/>
        <v>3% 이하</v>
      </c>
      <c r="Q26" s="194">
        <f ca="1">IFERROR(ROUND(OFFSET(환산공식!$FG$15,$F26,0),3),"")</f>
        <v>0</v>
      </c>
      <c r="R26" s="194">
        <f ca="1">OFFSET('배치점수 계산기'!H$10,$D26,0)</f>
        <v>659.58100000000002</v>
      </c>
      <c r="S26" s="194">
        <f ca="1">OFFSET('배치점수 계산기'!I$10,$D26,0)</f>
        <v>657.803</v>
      </c>
      <c r="T26" s="194">
        <f ca="1">OFFSET('배치점수 계산기'!J$10,$D26,0)</f>
        <v>657.02700000000004</v>
      </c>
      <c r="U26" s="194">
        <f ca="1">OFFSET('배치점수 계산기'!K$10,$D26,0)</f>
        <v>656.20899999999995</v>
      </c>
      <c r="V26" s="194">
        <f ca="1">OFFSET('배치점수 계산기'!L$10,$D26,0)</f>
        <v>653.98400000000004</v>
      </c>
      <c r="W26" s="186" t="str">
        <f ca="1">OFFSET('배치점수 계산기'!M$10,$D26,0)</f>
        <v>표점</v>
      </c>
      <c r="X26" s="184" t="str">
        <f ca="1">OFFSET('배치점수 계산기'!N$10,$D26,0)</f>
        <v>변표</v>
      </c>
      <c r="Y26" s="188">
        <f ca="1">OFFSET(환산공식!FW$15,$F26,0)</f>
        <v>0.25</v>
      </c>
      <c r="Z26" s="20">
        <f ca="1">OFFSET(환산공식!FX$15,$F26,0)</f>
        <v>0.38</v>
      </c>
      <c r="AA26" s="179">
        <f ca="1">OFFSET(환산공식!FY$15,$F26,0)</f>
        <v>0.38</v>
      </c>
      <c r="AC26"/>
      <c r="AD26">
        <f t="shared" ca="1" si="2"/>
        <v>6</v>
      </c>
      <c r="AE26"/>
    </row>
    <row r="27" spans="1:31" s="3" customFormat="1">
      <c r="A27" s="198"/>
      <c r="B27" s="198"/>
      <c r="C27" s="198" t="s">
        <v>588</v>
      </c>
      <c r="D27" s="195">
        <v>20</v>
      </c>
      <c r="E27" s="195">
        <v>268</v>
      </c>
      <c r="F27" s="195">
        <v>268</v>
      </c>
      <c r="G27" s="239">
        <v>20</v>
      </c>
      <c r="H27" s="197" t="s">
        <v>72</v>
      </c>
      <c r="I27" s="242" t="s">
        <v>73</v>
      </c>
      <c r="J27" s="242" t="s">
        <v>8633</v>
      </c>
      <c r="K27" s="195" t="s">
        <v>70</v>
      </c>
      <c r="L27" s="20" t="str">
        <f ca="1">IF(OFFSET(환산공식!$ED$15,$F27,0)=1,"O","X")</f>
        <v>X</v>
      </c>
      <c r="M27" s="188">
        <f ca="1">IFERROR(OFFSET(환산공식!DJ$15,$F27,0),"")</f>
        <v>158.30000000000001</v>
      </c>
      <c r="N27" s="20" t="str">
        <f ca="1">IFERROR(CONCATENATE(ROUND(OFFSET(환산공식!DK$15,$F27,0),1),"%"),"")</f>
        <v>100%</v>
      </c>
      <c r="O27" s="20">
        <f ca="1">IFERROR(OFFSET(환산공식!DL$15,$F27,0),"")</f>
        <v>0</v>
      </c>
      <c r="P27" s="188" t="str">
        <f t="shared" ca="1" si="1"/>
        <v>3% 이하</v>
      </c>
      <c r="Q27" s="194">
        <f ca="1">IFERROR(ROUND(OFFSET(환산공식!$FG$15,$F27,0),3),"")</f>
        <v>0</v>
      </c>
      <c r="R27" s="194">
        <f ca="1">OFFSET('배치점수 계산기'!H$10,$D27,0)</f>
        <v>674.41399999999999</v>
      </c>
      <c r="S27" s="194">
        <f ca="1">OFFSET('배치점수 계산기'!I$10,$D27,0)</f>
        <v>673.09100000000001</v>
      </c>
      <c r="T27" s="194">
        <f ca="1">OFFSET('배치점수 계산기'!J$10,$D27,0)</f>
        <v>670.62099999999998</v>
      </c>
      <c r="U27" s="194">
        <f ca="1">OFFSET('배치점수 계산기'!K$10,$D27,0)</f>
        <v>669.03700000000003</v>
      </c>
      <c r="V27" s="194">
        <f ca="1">OFFSET('배치점수 계산기'!L$10,$D27,0)</f>
        <v>667.11699999999996</v>
      </c>
      <c r="W27" s="186" t="str">
        <f ca="1">OFFSET('배치점수 계산기'!M$10,$D27,0)</f>
        <v>표점</v>
      </c>
      <c r="X27" s="184" t="str">
        <f ca="1">OFFSET('배치점수 계산기'!N$10,$D27,0)</f>
        <v>변표</v>
      </c>
      <c r="Y27" s="188">
        <f ca="1">OFFSET(환산공식!FW$15,$F27,0)</f>
        <v>0.4</v>
      </c>
      <c r="Z27" s="20">
        <f ca="1">OFFSET(환산공식!FX$15,$F27,0)</f>
        <v>0.4</v>
      </c>
      <c r="AA27" s="179">
        <f ca="1">OFFSET(환산공식!FY$15,$F27,0)</f>
        <v>0.2</v>
      </c>
      <c r="AC27"/>
      <c r="AD27">
        <f t="shared" ca="1" si="2"/>
        <v>6</v>
      </c>
      <c r="AE27"/>
    </row>
    <row r="28" spans="1:31" s="3" customFormat="1">
      <c r="A28" s="198"/>
      <c r="B28" s="198"/>
      <c r="C28" s="198" t="s">
        <v>589</v>
      </c>
      <c r="D28" s="195">
        <v>21</v>
      </c>
      <c r="E28" s="195">
        <v>5</v>
      </c>
      <c r="F28" s="195">
        <v>5</v>
      </c>
      <c r="G28" s="239">
        <v>21</v>
      </c>
      <c r="H28" s="197" t="s">
        <v>72</v>
      </c>
      <c r="I28" s="242" t="s">
        <v>73</v>
      </c>
      <c r="J28" s="242" t="s">
        <v>8033</v>
      </c>
      <c r="K28" s="195" t="s">
        <v>70</v>
      </c>
      <c r="L28" s="20" t="str">
        <f ca="1">IF(OFFSET(환산공식!$ED$15,$F28,0)=1,"O","X")</f>
        <v>X</v>
      </c>
      <c r="M28" s="188">
        <f ca="1">IFERROR(OFFSET(환산공식!DJ$15,$F28,0),"")</f>
        <v>105.6</v>
      </c>
      <c r="N28" s="20" t="str">
        <f ca="1">IFERROR(CONCATENATE(ROUND(OFFSET(환산공식!DK$15,$F28,0),1),"%"),"")</f>
        <v>100%</v>
      </c>
      <c r="O28" s="20">
        <f ca="1">IFERROR(OFFSET(환산공식!DL$15,$F28,0),"")</f>
        <v>0</v>
      </c>
      <c r="P28" s="188" t="str">
        <f t="shared" ca="1" si="1"/>
        <v>3% 이하</v>
      </c>
      <c r="Q28" s="194">
        <f ca="1">IFERROR(ROUND(OFFSET(환산공식!$FG$15,$F28,0),3),"")</f>
        <v>0</v>
      </c>
      <c r="R28" s="194">
        <f ca="1">OFFSET('배치점수 계산기'!H$10,$D28,0)</f>
        <v>660.14700000000005</v>
      </c>
      <c r="S28" s="194">
        <f ca="1">OFFSET('배치점수 계산기'!I$10,$D28,0)</f>
        <v>659.38599999999997</v>
      </c>
      <c r="T28" s="194">
        <f ca="1">OFFSET('배치점수 계산기'!J$10,$D28,0)</f>
        <v>656.726</v>
      </c>
      <c r="U28" s="194">
        <f ca="1">OFFSET('배치점수 계산기'!K$10,$D28,0)</f>
        <v>653.98400000000004</v>
      </c>
      <c r="V28" s="194">
        <f ca="1">OFFSET('배치점수 계산기'!L$10,$D28,0)</f>
        <v>650.697</v>
      </c>
      <c r="W28" s="186" t="str">
        <f ca="1">OFFSET('배치점수 계산기'!M$10,$D28,0)</f>
        <v>표점</v>
      </c>
      <c r="X28" s="184" t="str">
        <f ca="1">OFFSET('배치점수 계산기'!N$10,$D28,0)</f>
        <v>변표</v>
      </c>
      <c r="Y28" s="188">
        <f ca="1">OFFSET(환산공식!FW$15,$F28,0)</f>
        <v>0.25</v>
      </c>
      <c r="Z28" s="20">
        <f ca="1">OFFSET(환산공식!FX$15,$F28,0)</f>
        <v>0.38</v>
      </c>
      <c r="AA28" s="179">
        <f ca="1">OFFSET(환산공식!FY$15,$F28,0)</f>
        <v>0.38</v>
      </c>
      <c r="AC28"/>
      <c r="AD28">
        <f t="shared" ca="1" si="2"/>
        <v>6</v>
      </c>
      <c r="AE28"/>
    </row>
    <row r="29" spans="1:31" s="3" customFormat="1">
      <c r="A29" s="198"/>
      <c r="B29" s="198"/>
      <c r="C29" s="198" t="s">
        <v>590</v>
      </c>
      <c r="D29" s="195">
        <v>22</v>
      </c>
      <c r="E29" s="195">
        <v>5</v>
      </c>
      <c r="F29" s="195">
        <v>5</v>
      </c>
      <c r="G29" s="239">
        <v>22</v>
      </c>
      <c r="H29" s="197" t="s">
        <v>72</v>
      </c>
      <c r="I29" s="242" t="s">
        <v>73</v>
      </c>
      <c r="J29" s="242" t="s">
        <v>8813</v>
      </c>
      <c r="K29" s="195" t="s">
        <v>70</v>
      </c>
      <c r="L29" s="20" t="str">
        <f ca="1">IF(OFFSET(환산공식!$ED$15,$F29,0)=1,"O","X")</f>
        <v>X</v>
      </c>
      <c r="M29" s="188">
        <f ca="1">IFERROR(OFFSET(환산공식!DJ$15,$F29,0),"")</f>
        <v>105.6</v>
      </c>
      <c r="N29" s="20" t="str">
        <f ca="1">IFERROR(CONCATENATE(ROUND(OFFSET(환산공식!DK$15,$F29,0),1),"%"),"")</f>
        <v>100%</v>
      </c>
      <c r="O29" s="20">
        <f ca="1">IFERROR(OFFSET(환산공식!DL$15,$F29,0),"")</f>
        <v>0</v>
      </c>
      <c r="P29" s="188" t="str">
        <f t="shared" ca="1" si="1"/>
        <v>3% 이하</v>
      </c>
      <c r="Q29" s="194">
        <f ca="1">IFERROR(ROUND(OFFSET(환산공식!$FG$15,$F29,0),3),"")</f>
        <v>0</v>
      </c>
      <c r="R29" s="194">
        <f ca="1">OFFSET('배치점수 계산기'!H$10,$D29,0)</f>
        <v>659.58100000000002</v>
      </c>
      <c r="S29" s="194">
        <f ca="1">OFFSET('배치점수 계산기'!I$10,$D29,0)</f>
        <v>657.803</v>
      </c>
      <c r="T29" s="194">
        <f ca="1">OFFSET('배치점수 계산기'!J$10,$D29,0)</f>
        <v>656.726</v>
      </c>
      <c r="U29" s="194">
        <f ca="1">OFFSET('배치점수 계산기'!K$10,$D29,0)</f>
        <v>656.20899999999995</v>
      </c>
      <c r="V29" s="194">
        <f ca="1">OFFSET('배치점수 계산기'!L$10,$D29,0)</f>
        <v>654.38400000000001</v>
      </c>
      <c r="W29" s="186" t="str">
        <f ca="1">OFFSET('배치점수 계산기'!M$10,$D29,0)</f>
        <v>표점</v>
      </c>
      <c r="X29" s="184" t="str">
        <f ca="1">OFFSET('배치점수 계산기'!N$10,$D29,0)</f>
        <v>변표</v>
      </c>
      <c r="Y29" s="188">
        <f ca="1">OFFSET(환산공식!FW$15,$F29,0)</f>
        <v>0.25</v>
      </c>
      <c r="Z29" s="20">
        <f ca="1">OFFSET(환산공식!FX$15,$F29,0)</f>
        <v>0.38</v>
      </c>
      <c r="AA29" s="179">
        <f ca="1">OFFSET(환산공식!FY$15,$F29,0)</f>
        <v>0.38</v>
      </c>
      <c r="AC29"/>
      <c r="AD29">
        <f t="shared" ca="1" si="2"/>
        <v>6</v>
      </c>
      <c r="AE29"/>
    </row>
    <row r="30" spans="1:31" s="3" customFormat="1">
      <c r="A30" s="198"/>
      <c r="B30" s="198"/>
      <c r="C30" s="198" t="s">
        <v>591</v>
      </c>
      <c r="D30" s="195">
        <v>23</v>
      </c>
      <c r="E30" s="195">
        <v>5</v>
      </c>
      <c r="F30" s="195">
        <v>5</v>
      </c>
      <c r="G30" s="239">
        <v>23</v>
      </c>
      <c r="H30" s="197" t="s">
        <v>72</v>
      </c>
      <c r="I30" s="242" t="s">
        <v>73</v>
      </c>
      <c r="J30" s="242" t="s">
        <v>16540</v>
      </c>
      <c r="K30" s="195" t="s">
        <v>70</v>
      </c>
      <c r="L30" s="20" t="str">
        <f ca="1">IF(OFFSET(환산공식!$ED$15,$F30,0)=1,"O","X")</f>
        <v>X</v>
      </c>
      <c r="M30" s="188">
        <f ca="1">IFERROR(OFFSET(환산공식!DJ$15,$F30,0),"")</f>
        <v>105.6</v>
      </c>
      <c r="N30" s="20" t="str">
        <f ca="1">IFERROR(CONCATENATE(ROUND(OFFSET(환산공식!DK$15,$F30,0),1),"%"),"")</f>
        <v>100%</v>
      </c>
      <c r="O30" s="20">
        <f ca="1">IFERROR(OFFSET(환산공식!DL$15,$F30,0),"")</f>
        <v>0</v>
      </c>
      <c r="P30" s="188" t="str">
        <f t="shared" ca="1" si="1"/>
        <v>3% 이하</v>
      </c>
      <c r="Q30" s="194">
        <f ca="1">IFERROR(ROUND(OFFSET(환산공식!$FG$15,$F30,0),3),"")</f>
        <v>0</v>
      </c>
      <c r="R30" s="194">
        <f ca="1">OFFSET('배치점수 계산기'!H$10,$D30,0)</f>
        <v>659.89599999999996</v>
      </c>
      <c r="S30" s="194">
        <f ca="1">OFFSET('배치점수 계산기'!I$10,$D30,0)</f>
        <v>657.803</v>
      </c>
      <c r="T30" s="194">
        <f ca="1">OFFSET('배치점수 계산기'!J$10,$D30,0)</f>
        <v>656.62</v>
      </c>
      <c r="U30" s="194">
        <f ca="1">OFFSET('배치점수 계산기'!K$10,$D30,0)</f>
        <v>653.798</v>
      </c>
      <c r="V30" s="194">
        <f ca="1">OFFSET('배치점수 계산기'!L$10,$D30,0)</f>
        <v>650.53800000000001</v>
      </c>
      <c r="W30" s="186" t="str">
        <f ca="1">OFFSET('배치점수 계산기'!M$10,$D30,0)</f>
        <v>표점</v>
      </c>
      <c r="X30" s="184" t="str">
        <f ca="1">OFFSET('배치점수 계산기'!N$10,$D30,0)</f>
        <v>변표</v>
      </c>
      <c r="Y30" s="188">
        <f ca="1">OFFSET(환산공식!FW$15,$F30,0)</f>
        <v>0.25</v>
      </c>
      <c r="Z30" s="20">
        <f ca="1">OFFSET(환산공식!FX$15,$F30,0)</f>
        <v>0.38</v>
      </c>
      <c r="AA30" s="179">
        <f ca="1">OFFSET(환산공식!FY$15,$F30,0)</f>
        <v>0.38</v>
      </c>
      <c r="AC30"/>
      <c r="AD30">
        <f t="shared" ca="1" si="2"/>
        <v>6</v>
      </c>
      <c r="AE30"/>
    </row>
    <row r="31" spans="1:31" s="3" customFormat="1">
      <c r="A31" s="198"/>
      <c r="B31" s="198"/>
      <c r="C31" s="198" t="s">
        <v>592</v>
      </c>
      <c r="D31" s="195">
        <v>24</v>
      </c>
      <c r="E31" s="195">
        <v>5</v>
      </c>
      <c r="F31" s="195">
        <v>5</v>
      </c>
      <c r="G31" s="239">
        <v>24</v>
      </c>
      <c r="H31" s="197" t="s">
        <v>72</v>
      </c>
      <c r="I31" s="242" t="s">
        <v>73</v>
      </c>
      <c r="J31" s="242" t="s">
        <v>8649</v>
      </c>
      <c r="K31" s="195" t="s">
        <v>70</v>
      </c>
      <c r="L31" s="20" t="str">
        <f ca="1">IF(OFFSET(환산공식!$ED$15,$F31,0)=1,"O","X")</f>
        <v>X</v>
      </c>
      <c r="M31" s="188">
        <f ca="1">IFERROR(OFFSET(환산공식!DJ$15,$F31,0),"")</f>
        <v>105.6</v>
      </c>
      <c r="N31" s="20" t="str">
        <f ca="1">IFERROR(CONCATENATE(ROUND(OFFSET(환산공식!DK$15,$F31,0),1),"%"),"")</f>
        <v>100%</v>
      </c>
      <c r="O31" s="20">
        <f ca="1">IFERROR(OFFSET(환산공식!DL$15,$F31,0),"")</f>
        <v>0</v>
      </c>
      <c r="P31" s="188" t="str">
        <f t="shared" ca="1" si="1"/>
        <v>3% 이하</v>
      </c>
      <c r="Q31" s="194">
        <f ca="1">IFERROR(ROUND(OFFSET(환산공식!$FG$15,$F31,0),3),"")</f>
        <v>0</v>
      </c>
      <c r="R31" s="194">
        <f ca="1">OFFSET('배치점수 계산기'!H$10,$D31,0)</f>
        <v>660.14700000000005</v>
      </c>
      <c r="S31" s="194">
        <f ca="1">OFFSET('배치점수 계산기'!I$10,$D31,0)</f>
        <v>659.38599999999997</v>
      </c>
      <c r="T31" s="194">
        <f ca="1">OFFSET('배치점수 계산기'!J$10,$D31,0)</f>
        <v>656.62</v>
      </c>
      <c r="U31" s="194">
        <f ca="1">OFFSET('배치점수 계산기'!K$10,$D31,0)</f>
        <v>655.64499999999998</v>
      </c>
      <c r="V31" s="194">
        <f ca="1">OFFSET('배치점수 계산기'!L$10,$D31,0)</f>
        <v>652.75900000000001</v>
      </c>
      <c r="W31" s="186" t="str">
        <f ca="1">OFFSET('배치점수 계산기'!M$10,$D31,0)</f>
        <v>표점</v>
      </c>
      <c r="X31" s="184" t="str">
        <f ca="1">OFFSET('배치점수 계산기'!N$10,$D31,0)</f>
        <v>변표</v>
      </c>
      <c r="Y31" s="188">
        <f ca="1">OFFSET(환산공식!FW$15,$F31,0)</f>
        <v>0.25</v>
      </c>
      <c r="Z31" s="20">
        <f ca="1">OFFSET(환산공식!FX$15,$F31,0)</f>
        <v>0.38</v>
      </c>
      <c r="AA31" s="179">
        <f ca="1">OFFSET(환산공식!FY$15,$F31,0)</f>
        <v>0.38</v>
      </c>
      <c r="AC31"/>
      <c r="AD31">
        <f t="shared" ca="1" si="2"/>
        <v>6</v>
      </c>
      <c r="AE31"/>
    </row>
    <row r="32" spans="1:31" s="3" customFormat="1">
      <c r="A32" s="198"/>
      <c r="B32" s="198"/>
      <c r="C32" s="198" t="s">
        <v>593</v>
      </c>
      <c r="D32" s="195">
        <v>25</v>
      </c>
      <c r="E32" s="195">
        <v>5</v>
      </c>
      <c r="F32" s="195">
        <v>5</v>
      </c>
      <c r="G32" s="239">
        <v>25</v>
      </c>
      <c r="H32" s="197" t="s">
        <v>72</v>
      </c>
      <c r="I32" s="242" t="s">
        <v>73</v>
      </c>
      <c r="J32" s="242" t="s">
        <v>9323</v>
      </c>
      <c r="K32" s="195" t="s">
        <v>70</v>
      </c>
      <c r="L32" s="20" t="str">
        <f ca="1">IF(OFFSET(환산공식!$ED$15,$F32,0)=1,"O","X")</f>
        <v>X</v>
      </c>
      <c r="M32" s="188">
        <f ca="1">IFERROR(OFFSET(환산공식!DJ$15,$F32,0),"")</f>
        <v>105.6</v>
      </c>
      <c r="N32" s="20" t="str">
        <f ca="1">IFERROR(CONCATENATE(ROUND(OFFSET(환산공식!DK$15,$F32,0),1),"%"),"")</f>
        <v>100%</v>
      </c>
      <c r="O32" s="20">
        <f ca="1">IFERROR(OFFSET(환산공식!DL$15,$F32,0),"")</f>
        <v>0</v>
      </c>
      <c r="P32" s="188" t="str">
        <f t="shared" ca="1" si="1"/>
        <v>3% 이하</v>
      </c>
      <c r="Q32" s="194">
        <f ca="1">IFERROR(ROUND(OFFSET(환산공식!$FG$15,$F32,0),3),"")</f>
        <v>0</v>
      </c>
      <c r="R32" s="194">
        <f ca="1">OFFSET('배치점수 계산기'!H$10,$D32,0)</f>
        <v>647.02099999999996</v>
      </c>
      <c r="S32" s="194">
        <f ca="1">OFFSET('배치점수 계산기'!I$10,$D32,0)</f>
        <v>645.99199999999996</v>
      </c>
      <c r="T32" s="194">
        <f ca="1">OFFSET('배치점수 계산기'!J$10,$D32,0)</f>
        <v>644.64700000000005</v>
      </c>
      <c r="U32" s="194">
        <f ca="1">OFFSET('배치점수 계산기'!K$10,$D32,0)</f>
        <v>640.72199999999998</v>
      </c>
      <c r="V32" s="194">
        <f ca="1">OFFSET('배치점수 계산기'!L$10,$D32,0)</f>
        <v>638.01599999999996</v>
      </c>
      <c r="W32" s="186" t="str">
        <f ca="1">OFFSET('배치점수 계산기'!M$10,$D32,0)</f>
        <v>표점</v>
      </c>
      <c r="X32" s="184" t="str">
        <f ca="1">OFFSET('배치점수 계산기'!N$10,$D32,0)</f>
        <v>변표</v>
      </c>
      <c r="Y32" s="188">
        <f ca="1">OFFSET(환산공식!FW$15,$F32,0)</f>
        <v>0.25</v>
      </c>
      <c r="Z32" s="20">
        <f ca="1">OFFSET(환산공식!FX$15,$F32,0)</f>
        <v>0.38</v>
      </c>
      <c r="AA32" s="179">
        <f ca="1">OFFSET(환산공식!FY$15,$F32,0)</f>
        <v>0.38</v>
      </c>
      <c r="AC32"/>
      <c r="AD32">
        <f t="shared" ca="1" si="2"/>
        <v>6</v>
      </c>
      <c r="AE32"/>
    </row>
    <row r="33" spans="1:31" s="3" customFormat="1">
      <c r="A33" s="198"/>
      <c r="B33" s="198"/>
      <c r="C33" s="198" t="s">
        <v>594</v>
      </c>
      <c r="D33" s="195">
        <v>26</v>
      </c>
      <c r="E33" s="195">
        <v>5</v>
      </c>
      <c r="F33" s="195">
        <v>5</v>
      </c>
      <c r="G33" s="239">
        <v>26</v>
      </c>
      <c r="H33" s="197" t="s">
        <v>72</v>
      </c>
      <c r="I33" s="242" t="s">
        <v>73</v>
      </c>
      <c r="J33" s="242" t="s">
        <v>9342</v>
      </c>
      <c r="K33" s="195" t="s">
        <v>70</v>
      </c>
      <c r="L33" s="20" t="str">
        <f ca="1">IF(OFFSET(환산공식!$ED$15,$F33,0)=1,"O","X")</f>
        <v>X</v>
      </c>
      <c r="M33" s="188">
        <f ca="1">IFERROR(OFFSET(환산공식!DJ$15,$F33,0),"")</f>
        <v>105.6</v>
      </c>
      <c r="N33" s="20" t="str">
        <f ca="1">IFERROR(CONCATENATE(ROUND(OFFSET(환산공식!DK$15,$F33,0),1),"%"),"")</f>
        <v>100%</v>
      </c>
      <c r="O33" s="20">
        <f ca="1">IFERROR(OFFSET(환산공식!DL$15,$F33,0),"")</f>
        <v>0</v>
      </c>
      <c r="P33" s="188" t="str">
        <f t="shared" ca="1" si="1"/>
        <v>3% 이하</v>
      </c>
      <c r="Q33" s="194">
        <f ca="1">IFERROR(ROUND(OFFSET(환산공식!$FG$15,$F33,0),3),"")</f>
        <v>0</v>
      </c>
      <c r="R33" s="194">
        <f ca="1">OFFSET('배치점수 계산기'!H$10,$D33,0)</f>
        <v>646.85</v>
      </c>
      <c r="S33" s="194">
        <f ca="1">OFFSET('배치점수 계산기'!I$10,$D33,0)</f>
        <v>645.66300000000001</v>
      </c>
      <c r="T33" s="194">
        <f ca="1">OFFSET('배치점수 계산기'!J$10,$D33,0)</f>
        <v>644.18899999999996</v>
      </c>
      <c r="U33" s="194">
        <f ca="1">OFFSET('배치점수 계산기'!K$10,$D33,0)</f>
        <v>640.61599999999999</v>
      </c>
      <c r="V33" s="194">
        <f ca="1">OFFSET('배치점수 계산기'!L$10,$D33,0)</f>
        <v>637.75199999999995</v>
      </c>
      <c r="W33" s="186" t="str">
        <f ca="1">OFFSET('배치점수 계산기'!M$10,$D33,0)</f>
        <v>표점</v>
      </c>
      <c r="X33" s="184" t="str">
        <f ca="1">OFFSET('배치점수 계산기'!N$10,$D33,0)</f>
        <v>변표</v>
      </c>
      <c r="Y33" s="188">
        <f ca="1">OFFSET(환산공식!FW$15,$F33,0)</f>
        <v>0.25</v>
      </c>
      <c r="Z33" s="20">
        <f ca="1">OFFSET(환산공식!FX$15,$F33,0)</f>
        <v>0.38</v>
      </c>
      <c r="AA33" s="179">
        <f ca="1">OFFSET(환산공식!FY$15,$F33,0)</f>
        <v>0.38</v>
      </c>
      <c r="AC33"/>
      <c r="AD33">
        <f t="shared" ca="1" si="2"/>
        <v>6</v>
      </c>
      <c r="AE33"/>
    </row>
    <row r="34" spans="1:31" s="3" customFormat="1">
      <c r="A34" s="198"/>
      <c r="B34" s="198"/>
      <c r="C34" s="198" t="s">
        <v>595</v>
      </c>
      <c r="D34" s="195">
        <v>27</v>
      </c>
      <c r="E34" s="195">
        <v>5</v>
      </c>
      <c r="F34" s="195">
        <v>5</v>
      </c>
      <c r="G34" s="239">
        <v>27</v>
      </c>
      <c r="H34" s="197" t="s">
        <v>72</v>
      </c>
      <c r="I34" s="242" t="s">
        <v>73</v>
      </c>
      <c r="J34" s="242" t="s">
        <v>9811</v>
      </c>
      <c r="K34" s="195" t="s">
        <v>70</v>
      </c>
      <c r="L34" s="20" t="str">
        <f ca="1">IF(OFFSET(환산공식!$ED$15,$F34,0)=1,"O","X")</f>
        <v>X</v>
      </c>
      <c r="M34" s="188">
        <f ca="1">IFERROR(OFFSET(환산공식!DJ$15,$F34,0),"")</f>
        <v>105.6</v>
      </c>
      <c r="N34" s="20" t="str">
        <f ca="1">IFERROR(CONCATENATE(ROUND(OFFSET(환산공식!DK$15,$F34,0),1),"%"),"")</f>
        <v>100%</v>
      </c>
      <c r="O34" s="20">
        <f ca="1">IFERROR(OFFSET(환산공식!DL$15,$F34,0),"")</f>
        <v>0</v>
      </c>
      <c r="P34" s="188" t="str">
        <f t="shared" ca="1" si="1"/>
        <v>3% 이하</v>
      </c>
      <c r="Q34" s="194">
        <f ca="1">IFERROR(ROUND(OFFSET(환산공식!$FG$15,$F34,0),3),"")</f>
        <v>0</v>
      </c>
      <c r="R34" s="194">
        <f ca="1">OFFSET('배치점수 계산기'!H$10,$D34,0)</f>
        <v>640.29999999999995</v>
      </c>
      <c r="S34" s="194">
        <f ca="1">OFFSET('배치점수 계산기'!I$10,$D34,0)</f>
        <v>638.69799999999998</v>
      </c>
      <c r="T34" s="194">
        <f ca="1">OFFSET('배치점수 계산기'!J$10,$D34,0)</f>
        <v>637.24699999999996</v>
      </c>
      <c r="U34" s="194">
        <f ca="1">OFFSET('배치점수 계산기'!K$10,$D34,0)</f>
        <v>634.47799999999995</v>
      </c>
      <c r="V34" s="194">
        <f ca="1">OFFSET('배치점수 계산기'!L$10,$D34,0)</f>
        <v>632.23199999999997</v>
      </c>
      <c r="W34" s="186" t="str">
        <f ca="1">OFFSET('배치점수 계산기'!M$10,$D34,0)</f>
        <v>표점</v>
      </c>
      <c r="X34" s="184" t="str">
        <f ca="1">OFFSET('배치점수 계산기'!N$10,$D34,0)</f>
        <v>변표</v>
      </c>
      <c r="Y34" s="188">
        <f ca="1">OFFSET(환산공식!FW$15,$F34,0)</f>
        <v>0.25</v>
      </c>
      <c r="Z34" s="20">
        <f ca="1">OFFSET(환산공식!FX$15,$F34,0)</f>
        <v>0.38</v>
      </c>
      <c r="AA34" s="179">
        <f ca="1">OFFSET(환산공식!FY$15,$F34,0)</f>
        <v>0.38</v>
      </c>
      <c r="AC34"/>
      <c r="AD34">
        <f t="shared" ca="1" si="2"/>
        <v>6</v>
      </c>
      <c r="AE34"/>
    </row>
    <row r="35" spans="1:31" s="3" customFormat="1">
      <c r="A35" s="198"/>
      <c r="B35" s="198"/>
      <c r="C35" s="198" t="s">
        <v>596</v>
      </c>
      <c r="D35" s="195">
        <v>28</v>
      </c>
      <c r="E35" s="195">
        <v>5</v>
      </c>
      <c r="F35" s="195">
        <v>5</v>
      </c>
      <c r="G35" s="239">
        <v>28</v>
      </c>
      <c r="H35" s="197" t="s">
        <v>72</v>
      </c>
      <c r="I35" s="242" t="s">
        <v>73</v>
      </c>
      <c r="J35" s="242" t="s">
        <v>10195</v>
      </c>
      <c r="K35" s="195" t="s">
        <v>70</v>
      </c>
      <c r="L35" s="20" t="str">
        <f ca="1">IF(OFFSET(환산공식!$ED$15,$F35,0)=1,"O","X")</f>
        <v>X</v>
      </c>
      <c r="M35" s="188">
        <f ca="1">IFERROR(OFFSET(환산공식!DJ$15,$F35,0),"")</f>
        <v>105.6</v>
      </c>
      <c r="N35" s="20" t="str">
        <f ca="1">IFERROR(CONCATENATE(ROUND(OFFSET(환산공식!DK$15,$F35,0),1),"%"),"")</f>
        <v>100%</v>
      </c>
      <c r="O35" s="20">
        <f ca="1">IFERROR(OFFSET(환산공식!DL$15,$F35,0),"")</f>
        <v>0</v>
      </c>
      <c r="P35" s="188" t="str">
        <f t="shared" ca="1" si="1"/>
        <v>3% 이하</v>
      </c>
      <c r="Q35" s="194">
        <f ca="1">IFERROR(ROUND(OFFSET(환산공식!$FG$15,$F35,0),3),"")</f>
        <v>0</v>
      </c>
      <c r="R35" s="194">
        <f ca="1">OFFSET('배치점수 계산기'!H$10,$D35,0)</f>
        <v>634.096</v>
      </c>
      <c r="S35" s="194">
        <f ca="1">OFFSET('배치점수 계산기'!I$10,$D35,0)</f>
        <v>632.71</v>
      </c>
      <c r="T35" s="194">
        <f ca="1">OFFSET('배치점수 계산기'!J$10,$D35,0)</f>
        <v>631.55600000000004</v>
      </c>
      <c r="U35" s="194">
        <f ca="1">OFFSET('배치점수 계산기'!K$10,$D35,0)</f>
        <v>628.29700000000003</v>
      </c>
      <c r="V35" s="194">
        <f ca="1">OFFSET('배치점수 계산기'!L$10,$D35,0)</f>
        <v>625.72900000000004</v>
      </c>
      <c r="W35" s="186" t="str">
        <f ca="1">OFFSET('배치점수 계산기'!M$10,$D35,0)</f>
        <v>표점</v>
      </c>
      <c r="X35" s="184" t="str">
        <f ca="1">OFFSET('배치점수 계산기'!N$10,$D35,0)</f>
        <v>변표</v>
      </c>
      <c r="Y35" s="188">
        <f ca="1">OFFSET(환산공식!FW$15,$F35,0)</f>
        <v>0.25</v>
      </c>
      <c r="Z35" s="20">
        <f ca="1">OFFSET(환산공식!FX$15,$F35,0)</f>
        <v>0.38</v>
      </c>
      <c r="AA35" s="179">
        <f ca="1">OFFSET(환산공식!FY$15,$F35,0)</f>
        <v>0.38</v>
      </c>
      <c r="AC35"/>
      <c r="AD35">
        <f t="shared" ca="1" si="2"/>
        <v>6</v>
      </c>
      <c r="AE35"/>
    </row>
    <row r="36" spans="1:31" s="3" customFormat="1">
      <c r="A36" s="198"/>
      <c r="B36" s="198"/>
      <c r="C36" s="198" t="s">
        <v>597</v>
      </c>
      <c r="D36" s="195">
        <v>29</v>
      </c>
      <c r="E36" s="195">
        <v>5</v>
      </c>
      <c r="F36" s="195">
        <v>5</v>
      </c>
      <c r="G36" s="239">
        <v>29</v>
      </c>
      <c r="H36" s="197" t="s">
        <v>72</v>
      </c>
      <c r="I36" s="242" t="s">
        <v>73</v>
      </c>
      <c r="J36" s="242" t="s">
        <v>10204</v>
      </c>
      <c r="K36" s="195" t="s">
        <v>70</v>
      </c>
      <c r="L36" s="20" t="str">
        <f ca="1">IF(OFFSET(환산공식!$ED$15,$F36,0)=1,"O","X")</f>
        <v>X</v>
      </c>
      <c r="M36" s="188">
        <f ca="1">IFERROR(OFFSET(환산공식!DJ$15,$F36,0),"")</f>
        <v>105.6</v>
      </c>
      <c r="N36" s="20" t="str">
        <f ca="1">IFERROR(CONCATENATE(ROUND(OFFSET(환산공식!DK$15,$F36,0),1),"%"),"")</f>
        <v>100%</v>
      </c>
      <c r="O36" s="20">
        <f ca="1">IFERROR(OFFSET(환산공식!DL$15,$F36,0),"")</f>
        <v>0</v>
      </c>
      <c r="P36" s="188" t="str">
        <f t="shared" ca="1" si="1"/>
        <v>3% 이하</v>
      </c>
      <c r="Q36" s="194">
        <f ca="1">IFERROR(ROUND(OFFSET(환산공식!$FG$15,$F36,0),3),"")</f>
        <v>0</v>
      </c>
      <c r="R36" s="194">
        <f ca="1">OFFSET('배치점수 계산기'!H$10,$D36,0)</f>
        <v>634.096</v>
      </c>
      <c r="S36" s="194">
        <f ca="1">OFFSET('배치점수 계산기'!I$10,$D36,0)</f>
        <v>632.71</v>
      </c>
      <c r="T36" s="194">
        <f ca="1">OFFSET('배치점수 계산기'!J$10,$D36,0)</f>
        <v>631.55600000000004</v>
      </c>
      <c r="U36" s="194">
        <f ca="1">OFFSET('배치점수 계산기'!K$10,$D36,0)</f>
        <v>628.29700000000003</v>
      </c>
      <c r="V36" s="194">
        <f ca="1">OFFSET('배치점수 계산기'!L$10,$D36,0)</f>
        <v>625.72900000000004</v>
      </c>
      <c r="W36" s="186" t="str">
        <f ca="1">OFFSET('배치점수 계산기'!M$10,$D36,0)</f>
        <v>표점</v>
      </c>
      <c r="X36" s="184" t="str">
        <f ca="1">OFFSET('배치점수 계산기'!N$10,$D36,0)</f>
        <v>변표</v>
      </c>
      <c r="Y36" s="188">
        <f ca="1">OFFSET(환산공식!FW$15,$F36,0)</f>
        <v>0.25</v>
      </c>
      <c r="Z36" s="20">
        <f ca="1">OFFSET(환산공식!FX$15,$F36,0)</f>
        <v>0.38</v>
      </c>
      <c r="AA36" s="179">
        <f ca="1">OFFSET(환산공식!FY$15,$F36,0)</f>
        <v>0.38</v>
      </c>
      <c r="AC36"/>
      <c r="AD36">
        <f t="shared" ca="1" si="2"/>
        <v>6</v>
      </c>
      <c r="AE36"/>
    </row>
    <row r="37" spans="1:31" s="3" customFormat="1">
      <c r="A37" s="198"/>
      <c r="B37" s="198"/>
      <c r="C37" s="198" t="s">
        <v>598</v>
      </c>
      <c r="D37" s="195">
        <v>30</v>
      </c>
      <c r="E37" s="195">
        <v>5</v>
      </c>
      <c r="F37" s="195">
        <v>5</v>
      </c>
      <c r="G37" s="239">
        <v>30</v>
      </c>
      <c r="H37" s="197" t="s">
        <v>72</v>
      </c>
      <c r="I37" s="242" t="s">
        <v>73</v>
      </c>
      <c r="J37" s="242" t="s">
        <v>10873</v>
      </c>
      <c r="K37" s="195" t="s">
        <v>70</v>
      </c>
      <c r="L37" s="20" t="str">
        <f ca="1">IF(OFFSET(환산공식!$ED$15,$F37,0)=1,"O","X")</f>
        <v>X</v>
      </c>
      <c r="M37" s="188">
        <f ca="1">IFERROR(OFFSET(환산공식!DJ$15,$F37,0),"")</f>
        <v>105.6</v>
      </c>
      <c r="N37" s="20" t="str">
        <f ca="1">IFERROR(CONCATENATE(ROUND(OFFSET(환산공식!DK$15,$F37,0),1),"%"),"")</f>
        <v>100%</v>
      </c>
      <c r="O37" s="20">
        <f ca="1">IFERROR(OFFSET(환산공식!DL$15,$F37,0),"")</f>
        <v>0</v>
      </c>
      <c r="P37" s="188" t="str">
        <f t="shared" ca="1" si="1"/>
        <v>3% 이하</v>
      </c>
      <c r="Q37" s="194">
        <f ca="1">IFERROR(ROUND(OFFSET(환산공식!$FG$15,$F37,0),3),"")</f>
        <v>0</v>
      </c>
      <c r="R37" s="194">
        <f ca="1">OFFSET('배치점수 계산기'!H$10,$D37,0)</f>
        <v>618.524</v>
      </c>
      <c r="S37" s="194">
        <f ca="1">OFFSET('배치점수 계산기'!I$10,$D37,0)</f>
        <v>616.39800000000002</v>
      </c>
      <c r="T37" s="194">
        <f ca="1">OFFSET('배치점수 계산기'!J$10,$D37,0)</f>
        <v>615.12400000000002</v>
      </c>
      <c r="U37" s="194">
        <f ca="1">OFFSET('배치점수 계산기'!K$10,$D37,0)</f>
        <v>610.88</v>
      </c>
      <c r="V37" s="194">
        <f ca="1">OFFSET('배치점수 계산기'!L$10,$D37,0)</f>
        <v>606.78399999999999</v>
      </c>
      <c r="W37" s="186" t="str">
        <f ca="1">OFFSET('배치점수 계산기'!M$10,$D37,0)</f>
        <v>표점</v>
      </c>
      <c r="X37" s="184" t="str">
        <f ca="1">OFFSET('배치점수 계산기'!N$10,$D37,0)</f>
        <v>변표</v>
      </c>
      <c r="Y37" s="188">
        <f ca="1">OFFSET(환산공식!FW$15,$F37,0)</f>
        <v>0.25</v>
      </c>
      <c r="Z37" s="20">
        <f ca="1">OFFSET(환산공식!FX$15,$F37,0)</f>
        <v>0.38</v>
      </c>
      <c r="AA37" s="179">
        <f ca="1">OFFSET(환산공식!FY$15,$F37,0)</f>
        <v>0.38</v>
      </c>
      <c r="AC37"/>
      <c r="AD37">
        <f t="shared" ca="1" si="2"/>
        <v>6</v>
      </c>
      <c r="AE37"/>
    </row>
    <row r="38" spans="1:31" s="3" customFormat="1">
      <c r="A38" s="198"/>
      <c r="B38" s="198"/>
      <c r="C38" s="198" t="s">
        <v>599</v>
      </c>
      <c r="D38" s="195">
        <v>31</v>
      </c>
      <c r="E38" s="195">
        <v>5</v>
      </c>
      <c r="F38" s="195">
        <v>5</v>
      </c>
      <c r="G38" s="239">
        <v>31</v>
      </c>
      <c r="H38" s="197" t="s">
        <v>72</v>
      </c>
      <c r="I38" s="242" t="s">
        <v>73</v>
      </c>
      <c r="J38" s="242" t="s">
        <v>10963</v>
      </c>
      <c r="K38" s="195" t="s">
        <v>70</v>
      </c>
      <c r="L38" s="20" t="str">
        <f ca="1">IF(OFFSET(환산공식!$ED$15,$F38,0)=1,"O","X")</f>
        <v>X</v>
      </c>
      <c r="M38" s="188">
        <f ca="1">IFERROR(OFFSET(환산공식!DJ$15,$F38,0),"")</f>
        <v>105.6</v>
      </c>
      <c r="N38" s="20" t="str">
        <f ca="1">IFERROR(CONCATENATE(ROUND(OFFSET(환산공식!DK$15,$F38,0),1),"%"),"")</f>
        <v>100%</v>
      </c>
      <c r="O38" s="20">
        <f ca="1">IFERROR(OFFSET(환산공식!DL$15,$F38,0),"")</f>
        <v>0</v>
      </c>
      <c r="P38" s="188" t="str">
        <f t="shared" ca="1" si="1"/>
        <v>3% 이하</v>
      </c>
      <c r="Q38" s="194">
        <f ca="1">IFERROR(ROUND(OFFSET(환산공식!$FG$15,$F38,0),3),"")</f>
        <v>0</v>
      </c>
      <c r="R38" s="194">
        <f ca="1">OFFSET('배치점수 계산기'!H$10,$D38,0)</f>
        <v>617.06700000000001</v>
      </c>
      <c r="S38" s="194">
        <f ca="1">OFFSET('배치점수 계산기'!I$10,$D38,0)</f>
        <v>615.12400000000002</v>
      </c>
      <c r="T38" s="194">
        <f ca="1">OFFSET('배치점수 계산기'!J$10,$D38,0)</f>
        <v>614.13800000000003</v>
      </c>
      <c r="U38" s="194">
        <f ca="1">OFFSET('배치점수 계산기'!K$10,$D38,0)</f>
        <v>609.70000000000005</v>
      </c>
      <c r="V38" s="194">
        <f ca="1">OFFSET('배치점수 계산기'!L$10,$D38,0)</f>
        <v>605.86500000000001</v>
      </c>
      <c r="W38" s="186" t="str">
        <f ca="1">OFFSET('배치점수 계산기'!M$10,$D38,0)</f>
        <v>표점</v>
      </c>
      <c r="X38" s="184" t="str">
        <f ca="1">OFFSET('배치점수 계산기'!N$10,$D38,0)</f>
        <v>변표</v>
      </c>
      <c r="Y38" s="188">
        <f ca="1">OFFSET(환산공식!FW$15,$F38,0)</f>
        <v>0.25</v>
      </c>
      <c r="Z38" s="20">
        <f ca="1">OFFSET(환산공식!FX$15,$F38,0)</f>
        <v>0.38</v>
      </c>
      <c r="AA38" s="179">
        <f ca="1">OFFSET(환산공식!FY$15,$F38,0)</f>
        <v>0.38</v>
      </c>
      <c r="AC38"/>
      <c r="AD38">
        <f t="shared" ca="1" si="2"/>
        <v>6</v>
      </c>
      <c r="AE38"/>
    </row>
    <row r="39" spans="1:31" s="3" customFormat="1">
      <c r="A39" s="198"/>
      <c r="B39" s="198"/>
      <c r="C39" s="198" t="s">
        <v>600</v>
      </c>
      <c r="D39" s="195">
        <v>32</v>
      </c>
      <c r="E39" s="195">
        <v>5</v>
      </c>
      <c r="F39" s="195">
        <v>5</v>
      </c>
      <c r="G39" s="239">
        <v>32</v>
      </c>
      <c r="H39" s="197" t="s">
        <v>72</v>
      </c>
      <c r="I39" s="242" t="s">
        <v>73</v>
      </c>
      <c r="J39" s="242" t="s">
        <v>11282</v>
      </c>
      <c r="K39" s="195" t="s">
        <v>70</v>
      </c>
      <c r="L39" s="20" t="str">
        <f ca="1">IF(OFFSET(환산공식!$ED$15,$F39,0)=1,"O","X")</f>
        <v>X</v>
      </c>
      <c r="M39" s="188">
        <f ca="1">IFERROR(OFFSET(환산공식!DJ$15,$F39,0),"")</f>
        <v>105.6</v>
      </c>
      <c r="N39" s="20" t="str">
        <f ca="1">IFERROR(CONCATENATE(ROUND(OFFSET(환산공식!DK$15,$F39,0),1),"%"),"")</f>
        <v>100%</v>
      </c>
      <c r="O39" s="20">
        <f ca="1">IFERROR(OFFSET(환산공식!DL$15,$F39,0),"")</f>
        <v>0</v>
      </c>
      <c r="P39" s="188" t="str">
        <f t="shared" ca="1" si="1"/>
        <v>3% 이하</v>
      </c>
      <c r="Q39" s="194">
        <f ca="1">IFERROR(ROUND(OFFSET(환산공식!$FG$15,$F39,0),3),"")</f>
        <v>0</v>
      </c>
      <c r="R39" s="194">
        <f ca="1">OFFSET('배치점수 계산기'!H$10,$D39,0)</f>
        <v>611.428</v>
      </c>
      <c r="S39" s="194">
        <f ca="1">OFFSET('배치점수 계산기'!I$10,$D39,0)</f>
        <v>610.09100000000001</v>
      </c>
      <c r="T39" s="194">
        <f ca="1">OFFSET('배치점수 계산기'!J$10,$D39,0)</f>
        <v>608.87</v>
      </c>
      <c r="U39" s="194">
        <f ca="1">OFFSET('배치점수 계산기'!K$10,$D39,0)</f>
        <v>606.11199999999997</v>
      </c>
      <c r="V39" s="194">
        <f ca="1">OFFSET('배치점수 계산기'!L$10,$D39,0)</f>
        <v>601.87400000000002</v>
      </c>
      <c r="W39" s="186" t="str">
        <f ca="1">OFFSET('배치점수 계산기'!M$10,$D39,0)</f>
        <v>표점</v>
      </c>
      <c r="X39" s="184" t="str">
        <f ca="1">OFFSET('배치점수 계산기'!N$10,$D39,0)</f>
        <v>변표</v>
      </c>
      <c r="Y39" s="188">
        <f ca="1">OFFSET(환산공식!FW$15,$F39,0)</f>
        <v>0.25</v>
      </c>
      <c r="Z39" s="20">
        <f ca="1">OFFSET(환산공식!FX$15,$F39,0)</f>
        <v>0.38</v>
      </c>
      <c r="AA39" s="179">
        <f ca="1">OFFSET(환산공식!FY$15,$F39,0)</f>
        <v>0.38</v>
      </c>
      <c r="AC39"/>
      <c r="AD39">
        <f t="shared" ca="1" si="2"/>
        <v>6</v>
      </c>
      <c r="AE39"/>
    </row>
    <row r="40" spans="1:31" s="3" customFormat="1">
      <c r="A40" s="198"/>
      <c r="B40" s="198"/>
      <c r="C40" s="198" t="s">
        <v>601</v>
      </c>
      <c r="D40" s="195">
        <v>33</v>
      </c>
      <c r="E40" s="195">
        <v>5</v>
      </c>
      <c r="F40" s="195">
        <v>5</v>
      </c>
      <c r="G40" s="239">
        <v>33</v>
      </c>
      <c r="H40" s="197" t="s">
        <v>72</v>
      </c>
      <c r="I40" s="242" t="s">
        <v>73</v>
      </c>
      <c r="J40" s="242" t="s">
        <v>11526</v>
      </c>
      <c r="K40" s="195" t="s">
        <v>70</v>
      </c>
      <c r="L40" s="20" t="str">
        <f ca="1">IF(OFFSET(환산공식!$ED$15,$F40,0)=1,"O","X")</f>
        <v>X</v>
      </c>
      <c r="M40" s="188">
        <f ca="1">IFERROR(OFFSET(환산공식!DJ$15,$F40,0),"")</f>
        <v>105.6</v>
      </c>
      <c r="N40" s="20" t="str">
        <f ca="1">IFERROR(CONCATENATE(ROUND(OFFSET(환산공식!DK$15,$F40,0),1),"%"),"")</f>
        <v>100%</v>
      </c>
      <c r="O40" s="20">
        <f ca="1">IFERROR(OFFSET(환산공식!DL$15,$F40,0),"")</f>
        <v>0</v>
      </c>
      <c r="P40" s="188" t="str">
        <f t="shared" ca="1" si="1"/>
        <v>3% 이하</v>
      </c>
      <c r="Q40" s="194">
        <f ca="1">IFERROR(ROUND(OFFSET(환산공식!$FG$15,$F40,0),3),"")</f>
        <v>0</v>
      </c>
      <c r="R40" s="194">
        <f ca="1">OFFSET('배치점수 계산기'!H$10,$D40,0)</f>
        <v>608.67499999999995</v>
      </c>
      <c r="S40" s="194">
        <f ca="1">OFFSET('배치점수 계산기'!I$10,$D40,0)</f>
        <v>607.29200000000003</v>
      </c>
      <c r="T40" s="194">
        <f ca="1">OFFSET('배치점수 계산기'!J$10,$D40,0)</f>
        <v>606.30799999999999</v>
      </c>
      <c r="U40" s="194">
        <f ca="1">OFFSET('배치점수 계산기'!K$10,$D40,0)</f>
        <v>602.827</v>
      </c>
      <c r="V40" s="194">
        <f ca="1">OFFSET('배치점수 계산기'!L$10,$D40,0)</f>
        <v>598.99300000000005</v>
      </c>
      <c r="W40" s="186" t="str">
        <f ca="1">OFFSET('배치점수 계산기'!M$10,$D40,0)</f>
        <v>표점</v>
      </c>
      <c r="X40" s="184" t="str">
        <f ca="1">OFFSET('배치점수 계산기'!N$10,$D40,0)</f>
        <v>변표</v>
      </c>
      <c r="Y40" s="188">
        <f ca="1">OFFSET(환산공식!FW$15,$F40,0)</f>
        <v>0.25</v>
      </c>
      <c r="Z40" s="20">
        <f ca="1">OFFSET(환산공식!FX$15,$F40,0)</f>
        <v>0.38</v>
      </c>
      <c r="AA40" s="179">
        <f ca="1">OFFSET(환산공식!FY$15,$F40,0)</f>
        <v>0.38</v>
      </c>
      <c r="AC40"/>
      <c r="AD40">
        <f t="shared" ca="1" si="2"/>
        <v>6</v>
      </c>
      <c r="AE40"/>
    </row>
    <row r="41" spans="1:31" s="3" customFormat="1">
      <c r="A41" s="198"/>
      <c r="B41" s="198"/>
      <c r="C41" s="198" t="s">
        <v>602</v>
      </c>
      <c r="D41" s="195">
        <v>34</v>
      </c>
      <c r="E41" s="195">
        <v>6</v>
      </c>
      <c r="F41" s="195">
        <v>6</v>
      </c>
      <c r="G41" s="239">
        <v>34</v>
      </c>
      <c r="H41" s="197" t="s">
        <v>72</v>
      </c>
      <c r="I41" s="242" t="s">
        <v>73</v>
      </c>
      <c r="J41" s="242" t="s">
        <v>491</v>
      </c>
      <c r="K41" s="195" t="s">
        <v>71</v>
      </c>
      <c r="L41" s="20" t="str">
        <f ca="1">IF(OFFSET(환산공식!$ED$15,$F41,0)=1,"O","X")</f>
        <v>X</v>
      </c>
      <c r="M41" s="188">
        <f ca="1">IFERROR(OFFSET(환산공식!DJ$15,$F41,0),"")</f>
        <v>118.8</v>
      </c>
      <c r="N41" s="20" t="str">
        <f ca="1">IFERROR(CONCATENATE(ROUND(OFFSET(환산공식!DK$15,$F41,0),1),"%"),"")</f>
        <v>100%</v>
      </c>
      <c r="O41" s="20">
        <f ca="1">IFERROR(OFFSET(환산공식!DL$15,$F41,0),"")</f>
        <v>0</v>
      </c>
      <c r="P41" s="188" t="str">
        <f t="shared" ca="1" si="1"/>
        <v>3% 이하</v>
      </c>
      <c r="Q41" s="194">
        <f ca="1">IFERROR(ROUND(OFFSET(환산공식!$FG$15,$F41,0),3),"")</f>
        <v>0</v>
      </c>
      <c r="R41" s="194">
        <f ca="1">OFFSET('배치점수 계산기'!H$10,$D41,0)</f>
        <v>669.875</v>
      </c>
      <c r="S41" s="194">
        <f ca="1">OFFSET('배치점수 계산기'!I$10,$D41,0)</f>
        <v>669.00199999999995</v>
      </c>
      <c r="T41" s="194">
        <f ca="1">OFFSET('배치점수 계산기'!J$10,$D41,0)</f>
        <v>667.71500000000003</v>
      </c>
      <c r="U41" s="194">
        <f ca="1">OFFSET('배치점수 계산기'!K$10,$D41,0)</f>
        <v>665.25800000000004</v>
      </c>
      <c r="V41" s="194">
        <f ca="1">OFFSET('배치점수 계산기'!L$10,$D41,0)</f>
        <v>663.74</v>
      </c>
      <c r="W41" s="186" t="str">
        <f ca="1">OFFSET('배치점수 계산기'!M$10,$D41,0)</f>
        <v>표점</v>
      </c>
      <c r="X41" s="184" t="str">
        <f ca="1">OFFSET('배치점수 계산기'!N$10,$D41,0)</f>
        <v>변표</v>
      </c>
      <c r="Y41" s="188">
        <f ca="1">OFFSET(환산공식!FW$15,$F41,0)</f>
        <v>0.43</v>
      </c>
      <c r="Z41" s="20">
        <f ca="1">OFFSET(환산공식!FX$15,$F41,0)</f>
        <v>0.28999999999999998</v>
      </c>
      <c r="AA41" s="179">
        <f ca="1">OFFSET(환산공식!FY$15,$F41,0)</f>
        <v>0.28999999999999998</v>
      </c>
      <c r="AC41"/>
      <c r="AD41">
        <f t="shared" ca="1" si="2"/>
        <v>6</v>
      </c>
      <c r="AE41"/>
    </row>
    <row r="42" spans="1:31" s="3" customFormat="1">
      <c r="A42" s="198"/>
      <c r="B42" s="198"/>
      <c r="C42" s="198" t="s">
        <v>603</v>
      </c>
      <c r="D42" s="195">
        <v>35</v>
      </c>
      <c r="E42" s="195">
        <v>6</v>
      </c>
      <c r="F42" s="195">
        <v>6</v>
      </c>
      <c r="G42" s="239">
        <v>35</v>
      </c>
      <c r="H42" s="197" t="s">
        <v>72</v>
      </c>
      <c r="I42" s="242" t="s">
        <v>73</v>
      </c>
      <c r="J42" s="242" t="s">
        <v>8696</v>
      </c>
      <c r="K42" s="195" t="s">
        <v>71</v>
      </c>
      <c r="L42" s="20" t="str">
        <f ca="1">IF(OFFSET(환산공식!$ED$15,$F42,0)=1,"O","X")</f>
        <v>X</v>
      </c>
      <c r="M42" s="188">
        <f ca="1">IFERROR(OFFSET(환산공식!DJ$15,$F42,0),"")</f>
        <v>118.8</v>
      </c>
      <c r="N42" s="20" t="str">
        <f ca="1">IFERROR(CONCATENATE(ROUND(OFFSET(환산공식!DK$15,$F42,0),1),"%"),"")</f>
        <v>100%</v>
      </c>
      <c r="O42" s="20">
        <f ca="1">IFERROR(OFFSET(환산공식!DL$15,$F42,0),"")</f>
        <v>0</v>
      </c>
      <c r="P42" s="188" t="str">
        <f t="shared" ca="1" si="1"/>
        <v>3% 이하</v>
      </c>
      <c r="Q42" s="194">
        <f ca="1">IFERROR(ROUND(OFFSET(환산공식!$FG$15,$F42,0),3),"")</f>
        <v>0</v>
      </c>
      <c r="R42" s="194">
        <f ca="1">OFFSET('배치점수 계산기'!H$10,$D42,0)</f>
        <v>670.11400000000003</v>
      </c>
      <c r="S42" s="194">
        <f ca="1">OFFSET('배치점수 계산기'!I$10,$D42,0)</f>
        <v>669.10299999999995</v>
      </c>
      <c r="T42" s="194">
        <f ca="1">OFFSET('배치점수 계산기'!J$10,$D42,0)</f>
        <v>667.71500000000003</v>
      </c>
      <c r="U42" s="194">
        <f ca="1">OFFSET('배치점수 계산기'!K$10,$D42,0)</f>
        <v>666.34400000000005</v>
      </c>
      <c r="V42" s="194">
        <f ca="1">OFFSET('배치점수 계산기'!L$10,$D42,0)</f>
        <v>661.86199999999997</v>
      </c>
      <c r="W42" s="186" t="str">
        <f ca="1">OFFSET('배치점수 계산기'!M$10,$D42,0)</f>
        <v>표점</v>
      </c>
      <c r="X42" s="184" t="str">
        <f ca="1">OFFSET('배치점수 계산기'!N$10,$D42,0)</f>
        <v>변표</v>
      </c>
      <c r="Y42" s="188">
        <f ca="1">OFFSET(환산공식!FW$15,$F42,0)</f>
        <v>0.43</v>
      </c>
      <c r="Z42" s="20">
        <f ca="1">OFFSET(환산공식!FX$15,$F42,0)</f>
        <v>0.28999999999999998</v>
      </c>
      <c r="AA42" s="179">
        <f ca="1">OFFSET(환산공식!FY$15,$F42,0)</f>
        <v>0.28999999999999998</v>
      </c>
      <c r="AC42"/>
      <c r="AD42">
        <f t="shared" ca="1" si="2"/>
        <v>6</v>
      </c>
      <c r="AE42"/>
    </row>
    <row r="43" spans="1:31" s="3" customFormat="1">
      <c r="A43" s="198"/>
      <c r="B43" s="198"/>
      <c r="C43" s="198" t="s">
        <v>604</v>
      </c>
      <c r="D43" s="195">
        <v>36</v>
      </c>
      <c r="E43" s="195">
        <v>268</v>
      </c>
      <c r="F43" s="195">
        <v>268</v>
      </c>
      <c r="G43" s="239">
        <v>36</v>
      </c>
      <c r="H43" s="197" t="s">
        <v>72</v>
      </c>
      <c r="I43" s="242" t="s">
        <v>73</v>
      </c>
      <c r="J43" s="242" t="s">
        <v>8307</v>
      </c>
      <c r="K43" s="195" t="s">
        <v>71</v>
      </c>
      <c r="L43" s="20" t="str">
        <f ca="1">IF(OFFSET(환산공식!$ED$15,$F43,0)=1,"O","X")</f>
        <v>X</v>
      </c>
      <c r="M43" s="188">
        <f ca="1">IFERROR(OFFSET(환산공식!DJ$15,$F43,0),"")</f>
        <v>158.30000000000001</v>
      </c>
      <c r="N43" s="20" t="str">
        <f ca="1">IFERROR(CONCATENATE(ROUND(OFFSET(환산공식!DK$15,$F43,0),1),"%"),"")</f>
        <v>100%</v>
      </c>
      <c r="O43" s="20">
        <f ca="1">IFERROR(OFFSET(환산공식!DL$15,$F43,0),"")</f>
        <v>0</v>
      </c>
      <c r="P43" s="188" t="str">
        <f t="shared" ca="1" si="1"/>
        <v>3% 이하</v>
      </c>
      <c r="Q43" s="194">
        <f ca="1">IFERROR(ROUND(OFFSET(환산공식!$FG$15,$F43,0),3),"")</f>
        <v>0</v>
      </c>
      <c r="R43" s="194">
        <f ca="1">OFFSET('배치점수 계산기'!H$10,$D43,0)</f>
        <v>677.99300000000005</v>
      </c>
      <c r="S43" s="194">
        <f ca="1">OFFSET('배치점수 계산기'!I$10,$D43,0)</f>
        <v>676.23099999999999</v>
      </c>
      <c r="T43" s="194">
        <f ca="1">OFFSET('배치점수 계산기'!J$10,$D43,0)</f>
        <v>675.29600000000005</v>
      </c>
      <c r="U43" s="194">
        <f ca="1">OFFSET('배치점수 계산기'!K$10,$D43,0)</f>
        <v>673.78099999999995</v>
      </c>
      <c r="V43" s="194">
        <f ca="1">OFFSET('배치점수 계산기'!L$10,$D43,0)</f>
        <v>666.74</v>
      </c>
      <c r="W43" s="186" t="str">
        <f ca="1">OFFSET('배치점수 계산기'!M$10,$D43,0)</f>
        <v>표점</v>
      </c>
      <c r="X43" s="184" t="str">
        <f ca="1">OFFSET('배치점수 계산기'!N$10,$D43,0)</f>
        <v>변표</v>
      </c>
      <c r="Y43" s="188">
        <f ca="1">OFFSET(환산공식!FW$15,$F43,0)</f>
        <v>0.4</v>
      </c>
      <c r="Z43" s="20">
        <f ca="1">OFFSET(환산공식!FX$15,$F43,0)</f>
        <v>0.4</v>
      </c>
      <c r="AA43" s="179">
        <f ca="1">OFFSET(환산공식!FY$15,$F43,0)</f>
        <v>0.2</v>
      </c>
      <c r="AC43"/>
      <c r="AD43">
        <f t="shared" ca="1" si="2"/>
        <v>6</v>
      </c>
      <c r="AE43"/>
    </row>
    <row r="44" spans="1:31" s="3" customFormat="1">
      <c r="A44" s="198"/>
      <c r="B44" s="198"/>
      <c r="C44" s="198" t="s">
        <v>605</v>
      </c>
      <c r="D44" s="195">
        <v>37</v>
      </c>
      <c r="E44" s="195">
        <v>8</v>
      </c>
      <c r="F44" s="195">
        <v>8</v>
      </c>
      <c r="G44" s="239">
        <v>37</v>
      </c>
      <c r="H44" s="197" t="s">
        <v>72</v>
      </c>
      <c r="I44" s="242" t="s">
        <v>73</v>
      </c>
      <c r="J44" s="242" t="s">
        <v>8456</v>
      </c>
      <c r="K44" s="195" t="s">
        <v>71</v>
      </c>
      <c r="L44" s="20" t="str">
        <f ca="1">IF(OFFSET(환산공식!$ED$15,$F44,0)=1,"O","X")</f>
        <v>X</v>
      </c>
      <c r="M44" s="188">
        <f ca="1">IFERROR(OFFSET(환산공식!DJ$15,$F44,0),"")</f>
        <v>150</v>
      </c>
      <c r="N44" s="20" t="str">
        <f ca="1">IFERROR(CONCATENATE(ROUND(OFFSET(환산공식!DK$15,$F44,0),1),"%"),"")</f>
        <v>100%</v>
      </c>
      <c r="O44" s="20">
        <f ca="1">IFERROR(OFFSET(환산공식!DL$15,$F44,0),"")</f>
        <v>0</v>
      </c>
      <c r="P44" s="188" t="str">
        <f t="shared" ca="1" si="1"/>
        <v>3% 이하</v>
      </c>
      <c r="Q44" s="194">
        <f ca="1">IFERROR(ROUND(OFFSET(환산공식!$FG$15,$F44,0),3),"")</f>
        <v>0</v>
      </c>
      <c r="R44" s="194">
        <f ca="1">OFFSET('배치점수 계산기'!H$10,$D44,0)</f>
        <v>643.59</v>
      </c>
      <c r="S44" s="194">
        <f ca="1">OFFSET('배치점수 계산기'!I$10,$D44,0)</f>
        <v>642.44799999999998</v>
      </c>
      <c r="T44" s="194">
        <f ca="1">OFFSET('배치점수 계산기'!J$10,$D44,0)</f>
        <v>641.06700000000001</v>
      </c>
      <c r="U44" s="194">
        <f ca="1">OFFSET('배치점수 계산기'!K$10,$D44,0)</f>
        <v>639.81799999999998</v>
      </c>
      <c r="V44" s="194">
        <f ca="1">OFFSET('배치점수 계산기'!L$10,$D44,0)</f>
        <v>637.44799999999998</v>
      </c>
      <c r="W44" s="186" t="str">
        <f ca="1">OFFSET('배치점수 계산기'!M$10,$D44,0)</f>
        <v>표점</v>
      </c>
      <c r="X44" s="184" t="str">
        <f ca="1">OFFSET('배치점수 계산기'!N$10,$D44,0)</f>
        <v>변표</v>
      </c>
      <c r="Y44" s="188">
        <f ca="1">OFFSET(환산공식!FW$15,$F44,0)</f>
        <v>0.4</v>
      </c>
      <c r="Z44" s="20">
        <f ca="1">OFFSET(환산공식!FX$15,$F44,0)</f>
        <v>0.4</v>
      </c>
      <c r="AA44" s="179">
        <f ca="1">OFFSET(환산공식!FY$15,$F44,0)</f>
        <v>0.2</v>
      </c>
      <c r="AC44"/>
      <c r="AD44">
        <f t="shared" ca="1" si="2"/>
        <v>6</v>
      </c>
      <c r="AE44"/>
    </row>
    <row r="45" spans="1:31" s="3" customFormat="1">
      <c r="A45" s="198"/>
      <c r="B45" s="198"/>
      <c r="C45" s="198" t="s">
        <v>606</v>
      </c>
      <c r="D45" s="195">
        <v>38</v>
      </c>
      <c r="E45" s="195">
        <v>268</v>
      </c>
      <c r="F45" s="195">
        <v>268</v>
      </c>
      <c r="G45" s="239">
        <v>38</v>
      </c>
      <c r="H45" s="197" t="s">
        <v>72</v>
      </c>
      <c r="I45" s="242" t="s">
        <v>73</v>
      </c>
      <c r="J45" s="242" t="s">
        <v>8627</v>
      </c>
      <c r="K45" s="195" t="s">
        <v>71</v>
      </c>
      <c r="L45" s="20" t="str">
        <f ca="1">IF(OFFSET(환산공식!$ED$15,$F45,0)=1,"O","X")</f>
        <v>X</v>
      </c>
      <c r="M45" s="188">
        <f ca="1">IFERROR(OFFSET(환산공식!DJ$15,$F45,0),"")</f>
        <v>158.30000000000001</v>
      </c>
      <c r="N45" s="20" t="str">
        <f ca="1">IFERROR(CONCATENATE(ROUND(OFFSET(환산공식!DK$15,$F45,0),1),"%"),"")</f>
        <v>100%</v>
      </c>
      <c r="O45" s="20">
        <f ca="1">IFERROR(OFFSET(환산공식!DL$15,$F45,0),"")</f>
        <v>0</v>
      </c>
      <c r="P45" s="188" t="str">
        <f t="shared" ca="1" si="1"/>
        <v>3% 이하</v>
      </c>
      <c r="Q45" s="194">
        <f ca="1">IFERROR(ROUND(OFFSET(환산공식!$FG$15,$F45,0),3),"")</f>
        <v>0</v>
      </c>
      <c r="R45" s="194">
        <f ca="1">OFFSET('배치점수 계산기'!H$10,$D45,0)</f>
        <v>676.14</v>
      </c>
      <c r="S45" s="194">
        <f ca="1">OFFSET('배치점수 계산기'!I$10,$D45,0)</f>
        <v>675.56200000000001</v>
      </c>
      <c r="T45" s="194">
        <f ca="1">OFFSET('배치점수 계산기'!J$10,$D45,0)</f>
        <v>674.71500000000003</v>
      </c>
      <c r="U45" s="194">
        <f ca="1">OFFSET('배치점수 계산기'!K$10,$D45,0)</f>
        <v>671.19100000000003</v>
      </c>
      <c r="V45" s="194">
        <f ca="1">OFFSET('배치점수 계산기'!L$10,$D45,0)</f>
        <v>666.10699999999997</v>
      </c>
      <c r="W45" s="186" t="str">
        <f ca="1">OFFSET('배치점수 계산기'!M$10,$D45,0)</f>
        <v>표점</v>
      </c>
      <c r="X45" s="184" t="str">
        <f ca="1">OFFSET('배치점수 계산기'!N$10,$D45,0)</f>
        <v>변표</v>
      </c>
      <c r="Y45" s="188">
        <f ca="1">OFFSET(환산공식!FW$15,$F45,0)</f>
        <v>0.4</v>
      </c>
      <c r="Z45" s="20">
        <f ca="1">OFFSET(환산공식!FX$15,$F45,0)</f>
        <v>0.4</v>
      </c>
      <c r="AA45" s="179">
        <f ca="1">OFFSET(환산공식!FY$15,$F45,0)</f>
        <v>0.2</v>
      </c>
      <c r="AC45"/>
      <c r="AD45">
        <f t="shared" ca="1" si="2"/>
        <v>6</v>
      </c>
      <c r="AE45"/>
    </row>
    <row r="46" spans="1:31" s="3" customFormat="1">
      <c r="A46" s="198"/>
      <c r="B46" s="198"/>
      <c r="C46" s="198" t="s">
        <v>607</v>
      </c>
      <c r="D46" s="195">
        <v>39</v>
      </c>
      <c r="E46" s="195">
        <v>6</v>
      </c>
      <c r="F46" s="195">
        <v>6</v>
      </c>
      <c r="G46" s="239">
        <v>39</v>
      </c>
      <c r="H46" s="197" t="s">
        <v>72</v>
      </c>
      <c r="I46" s="242" t="s">
        <v>73</v>
      </c>
      <c r="J46" s="242" t="s">
        <v>8763</v>
      </c>
      <c r="K46" s="195" t="s">
        <v>71</v>
      </c>
      <c r="L46" s="20" t="str">
        <f ca="1">IF(OFFSET(환산공식!$ED$15,$F46,0)=1,"O","X")</f>
        <v>X</v>
      </c>
      <c r="M46" s="188">
        <f ca="1">IFERROR(OFFSET(환산공식!DJ$15,$F46,0),"")</f>
        <v>118.8</v>
      </c>
      <c r="N46" s="20" t="str">
        <f ca="1">IFERROR(CONCATENATE(ROUND(OFFSET(환산공식!DK$15,$F46,0),1),"%"),"")</f>
        <v>100%</v>
      </c>
      <c r="O46" s="20">
        <f ca="1">IFERROR(OFFSET(환산공식!DL$15,$F46,0),"")</f>
        <v>0</v>
      </c>
      <c r="P46" s="188" t="str">
        <f t="shared" ca="1" si="1"/>
        <v>3% 이하</v>
      </c>
      <c r="Q46" s="194">
        <f ca="1">IFERROR(ROUND(OFFSET(환산공식!$FG$15,$F46,0),3),"")</f>
        <v>0</v>
      </c>
      <c r="R46" s="194">
        <f ca="1">OFFSET('배치점수 계산기'!H$10,$D46,0)</f>
        <v>669.00199999999995</v>
      </c>
      <c r="S46" s="194">
        <f ca="1">OFFSET('배치점수 계산기'!I$10,$D46,0)</f>
        <v>668.178</v>
      </c>
      <c r="T46" s="194">
        <f ca="1">OFFSET('배치점수 계산기'!J$10,$D46,0)</f>
        <v>666.93799999999999</v>
      </c>
      <c r="U46" s="194">
        <f ca="1">OFFSET('배치점수 계산기'!K$10,$D46,0)</f>
        <v>664.19299999999998</v>
      </c>
      <c r="V46" s="194">
        <f ca="1">OFFSET('배치점수 계산기'!L$10,$D46,0)</f>
        <v>663.28300000000002</v>
      </c>
      <c r="W46" s="186" t="str">
        <f ca="1">OFFSET('배치점수 계산기'!M$10,$D46,0)</f>
        <v>표점</v>
      </c>
      <c r="X46" s="184" t="str">
        <f ca="1">OFFSET('배치점수 계산기'!N$10,$D46,0)</f>
        <v>변표</v>
      </c>
      <c r="Y46" s="188">
        <f ca="1">OFFSET(환산공식!FW$15,$F46,0)</f>
        <v>0.43</v>
      </c>
      <c r="Z46" s="20">
        <f ca="1">OFFSET(환산공식!FX$15,$F46,0)</f>
        <v>0.28999999999999998</v>
      </c>
      <c r="AA46" s="179">
        <f ca="1">OFFSET(환산공식!FY$15,$F46,0)</f>
        <v>0.28999999999999998</v>
      </c>
      <c r="AC46"/>
      <c r="AD46">
        <f t="shared" ca="1" si="2"/>
        <v>6</v>
      </c>
      <c r="AE46"/>
    </row>
    <row r="47" spans="1:31" s="3" customFormat="1">
      <c r="A47" s="198"/>
      <c r="B47" s="198"/>
      <c r="C47" s="198" t="s">
        <v>608</v>
      </c>
      <c r="D47" s="195">
        <v>40</v>
      </c>
      <c r="E47" s="195">
        <v>268</v>
      </c>
      <c r="F47" s="195">
        <v>268</v>
      </c>
      <c r="G47" s="239">
        <v>40</v>
      </c>
      <c r="H47" s="197" t="s">
        <v>72</v>
      </c>
      <c r="I47" s="242" t="s">
        <v>73</v>
      </c>
      <c r="J47" s="242" t="s">
        <v>8473</v>
      </c>
      <c r="K47" s="195" t="s">
        <v>71</v>
      </c>
      <c r="L47" s="20" t="str">
        <f ca="1">IF(OFFSET(환산공식!$ED$15,$F47,0)=1,"O","X")</f>
        <v>X</v>
      </c>
      <c r="M47" s="188">
        <f ca="1">IFERROR(OFFSET(환산공식!DJ$15,$F47,0),"")</f>
        <v>158.30000000000001</v>
      </c>
      <c r="N47" s="20" t="str">
        <f ca="1">IFERROR(CONCATENATE(ROUND(OFFSET(환산공식!DK$15,$F47,0),1),"%"),"")</f>
        <v>100%</v>
      </c>
      <c r="O47" s="20">
        <f ca="1">IFERROR(OFFSET(환산공식!DL$15,$F47,0),"")</f>
        <v>0</v>
      </c>
      <c r="P47" s="188" t="str">
        <f t="shared" ca="1" si="1"/>
        <v>3% 이하</v>
      </c>
      <c r="Q47" s="194">
        <f ca="1">IFERROR(ROUND(OFFSET(환산공식!$FG$15,$F47,0),3),"")</f>
        <v>0</v>
      </c>
      <c r="R47" s="194">
        <f ca="1">OFFSET('배치점수 계산기'!H$10,$D47,0)</f>
        <v>676.81200000000001</v>
      </c>
      <c r="S47" s="194">
        <f ca="1">OFFSET('배치점수 계산기'!I$10,$D47,0)</f>
        <v>675.56200000000001</v>
      </c>
      <c r="T47" s="194">
        <f ca="1">OFFSET('배치점수 계산기'!J$10,$D47,0)</f>
        <v>674.41399999999999</v>
      </c>
      <c r="U47" s="194">
        <f ca="1">OFFSET('배치점수 계산기'!K$10,$D47,0)</f>
        <v>673.09100000000001</v>
      </c>
      <c r="V47" s="194">
        <f ca="1">OFFSET('배치점수 계산기'!L$10,$D47,0)</f>
        <v>665.94799999999998</v>
      </c>
      <c r="W47" s="186" t="str">
        <f ca="1">OFFSET('배치점수 계산기'!M$10,$D47,0)</f>
        <v>표점</v>
      </c>
      <c r="X47" s="184" t="str">
        <f ca="1">OFFSET('배치점수 계산기'!N$10,$D47,0)</f>
        <v>변표</v>
      </c>
      <c r="Y47" s="188">
        <f ca="1">OFFSET(환산공식!FW$15,$F47,0)</f>
        <v>0.4</v>
      </c>
      <c r="Z47" s="20">
        <f ca="1">OFFSET(환산공식!FX$15,$F47,0)</f>
        <v>0.4</v>
      </c>
      <c r="AA47" s="179">
        <f ca="1">OFFSET(환산공식!FY$15,$F47,0)</f>
        <v>0.2</v>
      </c>
      <c r="AC47"/>
      <c r="AD47">
        <f t="shared" ca="1" si="2"/>
        <v>6</v>
      </c>
      <c r="AE47"/>
    </row>
    <row r="48" spans="1:31" s="3" customFormat="1">
      <c r="A48" s="198"/>
      <c r="B48" s="198"/>
      <c r="C48" s="198" t="s">
        <v>609</v>
      </c>
      <c r="D48" s="195">
        <v>41</v>
      </c>
      <c r="E48" s="195">
        <v>6</v>
      </c>
      <c r="F48" s="195">
        <v>6</v>
      </c>
      <c r="G48" s="239">
        <v>41</v>
      </c>
      <c r="H48" s="197" t="s">
        <v>72</v>
      </c>
      <c r="I48" s="242" t="s">
        <v>73</v>
      </c>
      <c r="J48" s="242" t="s">
        <v>8775</v>
      </c>
      <c r="K48" s="195" t="s">
        <v>71</v>
      </c>
      <c r="L48" s="20" t="str">
        <f ca="1">IF(OFFSET(환산공식!$ED$15,$F48,0)=1,"O","X")</f>
        <v>X</v>
      </c>
      <c r="M48" s="188">
        <f ca="1">IFERROR(OFFSET(환산공식!DJ$15,$F48,0),"")</f>
        <v>118.8</v>
      </c>
      <c r="N48" s="20" t="str">
        <f ca="1">IFERROR(CONCATENATE(ROUND(OFFSET(환산공식!DK$15,$F48,0),1),"%"),"")</f>
        <v>100%</v>
      </c>
      <c r="O48" s="20">
        <f ca="1">IFERROR(OFFSET(환산공식!DL$15,$F48,0),"")</f>
        <v>0</v>
      </c>
      <c r="P48" s="188" t="str">
        <f t="shared" ca="1" si="1"/>
        <v>3% 이하</v>
      </c>
      <c r="Q48" s="194">
        <f ca="1">IFERROR(ROUND(OFFSET(환산공식!$FG$15,$F48,0),3),"")</f>
        <v>0</v>
      </c>
      <c r="R48" s="194">
        <f ca="1">OFFSET('배치점수 계산기'!H$10,$D48,0)</f>
        <v>670.31399999999996</v>
      </c>
      <c r="S48" s="194">
        <f ca="1">OFFSET('배치점수 계산기'!I$10,$D48,0)</f>
        <v>669.20299999999997</v>
      </c>
      <c r="T48" s="194">
        <f ca="1">OFFSET('배치점수 계산기'!J$10,$D48,0)</f>
        <v>666.34400000000005</v>
      </c>
      <c r="U48" s="194">
        <f ca="1">OFFSET('배치점수 계산기'!K$10,$D48,0)</f>
        <v>664.80499999999995</v>
      </c>
      <c r="V48" s="194">
        <f ca="1">OFFSET('배치점수 계산기'!L$10,$D48,0)</f>
        <v>663.28300000000002</v>
      </c>
      <c r="W48" s="186" t="str">
        <f ca="1">OFFSET('배치점수 계산기'!M$10,$D48,0)</f>
        <v>표점</v>
      </c>
      <c r="X48" s="184" t="str">
        <f ca="1">OFFSET('배치점수 계산기'!N$10,$D48,0)</f>
        <v>변표</v>
      </c>
      <c r="Y48" s="188">
        <f ca="1">OFFSET(환산공식!FW$15,$F48,0)</f>
        <v>0.43</v>
      </c>
      <c r="Z48" s="20">
        <f ca="1">OFFSET(환산공식!FX$15,$F48,0)</f>
        <v>0.28999999999999998</v>
      </c>
      <c r="AA48" s="179">
        <f ca="1">OFFSET(환산공식!FY$15,$F48,0)</f>
        <v>0.28999999999999998</v>
      </c>
      <c r="AC48"/>
      <c r="AD48">
        <f t="shared" ca="1" si="2"/>
        <v>6</v>
      </c>
      <c r="AE48"/>
    </row>
    <row r="49" spans="1:31" s="3" customFormat="1">
      <c r="A49" s="198"/>
      <c r="B49" s="198"/>
      <c r="C49" s="198" t="s">
        <v>610</v>
      </c>
      <c r="D49" s="195">
        <v>42</v>
      </c>
      <c r="E49" s="195">
        <v>268</v>
      </c>
      <c r="F49" s="195">
        <v>268</v>
      </c>
      <c r="G49" s="239">
        <v>42</v>
      </c>
      <c r="H49" s="197" t="s">
        <v>72</v>
      </c>
      <c r="I49" s="242" t="s">
        <v>73</v>
      </c>
      <c r="J49" s="242" t="s">
        <v>8561</v>
      </c>
      <c r="K49" s="195" t="s">
        <v>71</v>
      </c>
      <c r="L49" s="20" t="str">
        <f ca="1">IF(OFFSET(환산공식!$ED$15,$F49,0)=1,"O","X")</f>
        <v>X</v>
      </c>
      <c r="M49" s="188">
        <f ca="1">IFERROR(OFFSET(환산공식!DJ$15,$F49,0),"")</f>
        <v>158.30000000000001</v>
      </c>
      <c r="N49" s="20" t="str">
        <f ca="1">IFERROR(CONCATENATE(ROUND(OFFSET(환산공식!DK$15,$F49,0),1),"%"),"")</f>
        <v>100%</v>
      </c>
      <c r="O49" s="20">
        <f ca="1">IFERROR(OFFSET(환산공식!DL$15,$F49,0),"")</f>
        <v>0</v>
      </c>
      <c r="P49" s="188" t="str">
        <f t="shared" ca="1" si="1"/>
        <v>3% 이하</v>
      </c>
      <c r="Q49" s="194">
        <f ca="1">IFERROR(ROUND(OFFSET(환산공식!$FG$15,$F49,0),3),"")</f>
        <v>0</v>
      </c>
      <c r="R49" s="194">
        <f ca="1">OFFSET('배치점수 계산기'!H$10,$D49,0)</f>
        <v>676.14</v>
      </c>
      <c r="S49" s="194">
        <f ca="1">OFFSET('배치점수 계산기'!I$10,$D49,0)</f>
        <v>674.41399999999999</v>
      </c>
      <c r="T49" s="194">
        <f ca="1">OFFSET('배치점수 계산기'!J$10,$D49,0)</f>
        <v>670.62099999999998</v>
      </c>
      <c r="U49" s="194">
        <f ca="1">OFFSET('배치점수 계산기'!K$10,$D49,0)</f>
        <v>669.77700000000004</v>
      </c>
      <c r="V49" s="194">
        <f ca="1">OFFSET('배치점수 계산기'!L$10,$D49,0)</f>
        <v>668.94200000000001</v>
      </c>
      <c r="W49" s="186" t="str">
        <f ca="1">OFFSET('배치점수 계산기'!M$10,$D49,0)</f>
        <v>표점</v>
      </c>
      <c r="X49" s="184" t="str">
        <f ca="1">OFFSET('배치점수 계산기'!N$10,$D49,0)</f>
        <v>변표</v>
      </c>
      <c r="Y49" s="188">
        <f ca="1">OFFSET(환산공식!FW$15,$F49,0)</f>
        <v>0.4</v>
      </c>
      <c r="Z49" s="20">
        <f ca="1">OFFSET(환산공식!FX$15,$F49,0)</f>
        <v>0.4</v>
      </c>
      <c r="AA49" s="179">
        <f ca="1">OFFSET(환산공식!FY$15,$F49,0)</f>
        <v>0.2</v>
      </c>
      <c r="AC49"/>
      <c r="AD49">
        <f t="shared" ca="1" si="2"/>
        <v>6</v>
      </c>
      <c r="AE49"/>
    </row>
    <row r="50" spans="1:31" s="3" customFormat="1">
      <c r="A50" s="198"/>
      <c r="B50" s="198"/>
      <c r="C50" s="198" t="s">
        <v>611</v>
      </c>
      <c r="D50" s="195">
        <v>43</v>
      </c>
      <c r="E50" s="195">
        <v>6</v>
      </c>
      <c r="F50" s="195">
        <v>6</v>
      </c>
      <c r="G50" s="239">
        <v>43</v>
      </c>
      <c r="H50" s="197" t="s">
        <v>72</v>
      </c>
      <c r="I50" s="242" t="s">
        <v>73</v>
      </c>
      <c r="J50" s="242" t="s">
        <v>9083</v>
      </c>
      <c r="K50" s="195" t="s">
        <v>71</v>
      </c>
      <c r="L50" s="20" t="str">
        <f ca="1">IF(OFFSET(환산공식!$ED$15,$F50,0)=1,"O","X")</f>
        <v>X</v>
      </c>
      <c r="M50" s="188">
        <f ca="1">IFERROR(OFFSET(환산공식!DJ$15,$F50,0),"")</f>
        <v>118.8</v>
      </c>
      <c r="N50" s="20" t="str">
        <f ca="1">IFERROR(CONCATENATE(ROUND(OFFSET(환산공식!DK$15,$F50,0),1),"%"),"")</f>
        <v>100%</v>
      </c>
      <c r="O50" s="20">
        <f ca="1">IFERROR(OFFSET(환산공식!DL$15,$F50,0),"")</f>
        <v>0</v>
      </c>
      <c r="P50" s="188" t="str">
        <f t="shared" ca="1" si="1"/>
        <v>3% 이하</v>
      </c>
      <c r="Q50" s="194">
        <f ca="1">IFERROR(ROUND(OFFSET(환산공식!$FG$15,$F50,0),3),"")</f>
        <v>0</v>
      </c>
      <c r="R50" s="194">
        <f ca="1">OFFSET('배치점수 계산기'!H$10,$D50,0)</f>
        <v>669.00199999999995</v>
      </c>
      <c r="S50" s="194">
        <f ca="1">OFFSET('배치점수 계산기'!I$10,$D50,0)</f>
        <v>667.28099999999995</v>
      </c>
      <c r="T50" s="194">
        <f ca="1">OFFSET('배치점수 계산기'!J$10,$D50,0)</f>
        <v>663.97400000000005</v>
      </c>
      <c r="U50" s="194">
        <f ca="1">OFFSET('배치점수 계산기'!K$10,$D50,0)</f>
        <v>662.54499999999996</v>
      </c>
      <c r="V50" s="194">
        <f ca="1">OFFSET('배치점수 계산기'!L$10,$D50,0)</f>
        <v>662.06200000000001</v>
      </c>
      <c r="W50" s="186" t="str">
        <f ca="1">OFFSET('배치점수 계산기'!M$10,$D50,0)</f>
        <v>표점</v>
      </c>
      <c r="X50" s="184" t="str">
        <f ca="1">OFFSET('배치점수 계산기'!N$10,$D50,0)</f>
        <v>변표</v>
      </c>
      <c r="Y50" s="188">
        <f ca="1">OFFSET(환산공식!FW$15,$F50,0)</f>
        <v>0.43</v>
      </c>
      <c r="Z50" s="20">
        <f ca="1">OFFSET(환산공식!FX$15,$F50,0)</f>
        <v>0.28999999999999998</v>
      </c>
      <c r="AA50" s="179">
        <f ca="1">OFFSET(환산공식!FY$15,$F50,0)</f>
        <v>0.28999999999999998</v>
      </c>
      <c r="AC50"/>
      <c r="AD50">
        <f t="shared" ca="1" si="2"/>
        <v>6</v>
      </c>
      <c r="AE50"/>
    </row>
    <row r="51" spans="1:31" s="3" customFormat="1">
      <c r="A51" s="198"/>
      <c r="B51" s="198"/>
      <c r="C51" s="198" t="s">
        <v>612</v>
      </c>
      <c r="D51" s="195">
        <v>44</v>
      </c>
      <c r="E51" s="195">
        <v>6</v>
      </c>
      <c r="F51" s="195">
        <v>6</v>
      </c>
      <c r="G51" s="239">
        <v>44</v>
      </c>
      <c r="H51" s="197" t="s">
        <v>72</v>
      </c>
      <c r="I51" s="242" t="s">
        <v>73</v>
      </c>
      <c r="J51" s="242" t="s">
        <v>8217</v>
      </c>
      <c r="K51" s="195" t="s">
        <v>71</v>
      </c>
      <c r="L51" s="20" t="str">
        <f ca="1">IF(OFFSET(환산공식!$ED$15,$F51,0)=1,"O","X")</f>
        <v>X</v>
      </c>
      <c r="M51" s="188">
        <f ca="1">IFERROR(OFFSET(환산공식!DJ$15,$F51,0),"")</f>
        <v>118.8</v>
      </c>
      <c r="N51" s="20" t="str">
        <f ca="1">IFERROR(CONCATENATE(ROUND(OFFSET(환산공식!DK$15,$F51,0),1),"%"),"")</f>
        <v>100%</v>
      </c>
      <c r="O51" s="20">
        <f ca="1">IFERROR(OFFSET(환산공식!DL$15,$F51,0),"")</f>
        <v>0</v>
      </c>
      <c r="P51" s="188" t="str">
        <f t="shared" ca="1" si="1"/>
        <v>3% 이하</v>
      </c>
      <c r="Q51" s="194">
        <f ca="1">IFERROR(ROUND(OFFSET(환산공식!$FG$15,$F51,0),3),"")</f>
        <v>0</v>
      </c>
      <c r="R51" s="194">
        <f ca="1">OFFSET('배치점수 계산기'!H$10,$D51,0)</f>
        <v>668.88400000000001</v>
      </c>
      <c r="S51" s="194">
        <f ca="1">OFFSET('배치점수 계산기'!I$10,$D51,0)</f>
        <v>667.71500000000003</v>
      </c>
      <c r="T51" s="194">
        <f ca="1">OFFSET('배치점수 계산기'!J$10,$D51,0)</f>
        <v>663.85900000000004</v>
      </c>
      <c r="U51" s="194">
        <f ca="1">OFFSET('배치점수 계산기'!K$10,$D51,0)</f>
        <v>663.28300000000002</v>
      </c>
      <c r="V51" s="194">
        <f ca="1">OFFSET('배치점수 계산기'!L$10,$D51,0)</f>
        <v>662.44399999999996</v>
      </c>
      <c r="W51" s="186" t="str">
        <f ca="1">OFFSET('배치점수 계산기'!M$10,$D51,0)</f>
        <v>표점</v>
      </c>
      <c r="X51" s="184" t="str">
        <f ca="1">OFFSET('배치점수 계산기'!N$10,$D51,0)</f>
        <v>변표</v>
      </c>
      <c r="Y51" s="188">
        <f ca="1">OFFSET(환산공식!FW$15,$F51,0)</f>
        <v>0.43</v>
      </c>
      <c r="Z51" s="20">
        <f ca="1">OFFSET(환산공식!FX$15,$F51,0)</f>
        <v>0.28999999999999998</v>
      </c>
      <c r="AA51" s="179">
        <f ca="1">OFFSET(환산공식!FY$15,$F51,0)</f>
        <v>0.28999999999999998</v>
      </c>
      <c r="AC51"/>
      <c r="AD51">
        <f t="shared" ca="1" si="2"/>
        <v>6</v>
      </c>
      <c r="AE51"/>
    </row>
    <row r="52" spans="1:31" s="3" customFormat="1">
      <c r="A52" s="198"/>
      <c r="B52" s="198"/>
      <c r="C52" s="198" t="s">
        <v>613</v>
      </c>
      <c r="D52" s="195">
        <v>45</v>
      </c>
      <c r="E52" s="195">
        <v>6</v>
      </c>
      <c r="F52" s="195">
        <v>6</v>
      </c>
      <c r="G52" s="239">
        <v>45</v>
      </c>
      <c r="H52" s="197" t="s">
        <v>72</v>
      </c>
      <c r="I52" s="242" t="s">
        <v>73</v>
      </c>
      <c r="J52" s="242" t="s">
        <v>8726</v>
      </c>
      <c r="K52" s="195" t="s">
        <v>71</v>
      </c>
      <c r="L52" s="20" t="str">
        <f ca="1">IF(OFFSET(환산공식!$ED$15,$F52,0)=1,"O","X")</f>
        <v>X</v>
      </c>
      <c r="M52" s="188">
        <f ca="1">IFERROR(OFFSET(환산공식!DJ$15,$F52,0),"")</f>
        <v>118.8</v>
      </c>
      <c r="N52" s="20" t="str">
        <f ca="1">IFERROR(CONCATENATE(ROUND(OFFSET(환산공식!DK$15,$F52,0),1),"%"),"")</f>
        <v>100%</v>
      </c>
      <c r="O52" s="20">
        <f ca="1">IFERROR(OFFSET(환산공식!DL$15,$F52,0),"")</f>
        <v>0</v>
      </c>
      <c r="P52" s="188" t="str">
        <f t="shared" ca="1" si="1"/>
        <v>3% 이하</v>
      </c>
      <c r="Q52" s="194">
        <f ca="1">IFERROR(ROUND(OFFSET(환산공식!$FG$15,$F52,0),3),"")</f>
        <v>0</v>
      </c>
      <c r="R52" s="194">
        <f ca="1">OFFSET('배치점수 계산기'!H$10,$D52,0)</f>
        <v>668.178</v>
      </c>
      <c r="S52" s="194">
        <f ca="1">OFFSET('배치점수 계산기'!I$10,$D52,0)</f>
        <v>668.05899999999997</v>
      </c>
      <c r="T52" s="194">
        <f ca="1">OFFSET('배치점수 계산기'!J$10,$D52,0)</f>
        <v>663.74</v>
      </c>
      <c r="U52" s="194">
        <f ca="1">OFFSET('배치점수 계산기'!K$10,$D52,0)</f>
        <v>662.78200000000004</v>
      </c>
      <c r="V52" s="194">
        <f ca="1">OFFSET('배치점수 계산기'!L$10,$D52,0)</f>
        <v>662.06200000000001</v>
      </c>
      <c r="W52" s="186" t="str">
        <f ca="1">OFFSET('배치점수 계산기'!M$10,$D52,0)</f>
        <v>표점</v>
      </c>
      <c r="X52" s="184" t="str">
        <f ca="1">OFFSET('배치점수 계산기'!N$10,$D52,0)</f>
        <v>변표</v>
      </c>
      <c r="Y52" s="188">
        <f ca="1">OFFSET(환산공식!FW$15,$F52,0)</f>
        <v>0.43</v>
      </c>
      <c r="Z52" s="20">
        <f ca="1">OFFSET(환산공식!FX$15,$F52,0)</f>
        <v>0.28999999999999998</v>
      </c>
      <c r="AA52" s="179">
        <f ca="1">OFFSET(환산공식!FY$15,$F52,0)</f>
        <v>0.28999999999999998</v>
      </c>
      <c r="AC52"/>
      <c r="AD52">
        <f t="shared" ca="1" si="2"/>
        <v>6</v>
      </c>
      <c r="AE52"/>
    </row>
    <row r="53" spans="1:31" s="3" customFormat="1">
      <c r="A53" s="198"/>
      <c r="B53" s="198"/>
      <c r="C53" s="198" t="s">
        <v>614</v>
      </c>
      <c r="D53" s="195">
        <v>46</v>
      </c>
      <c r="E53" s="195">
        <v>6</v>
      </c>
      <c r="F53" s="195">
        <v>6</v>
      </c>
      <c r="G53" s="239">
        <v>46</v>
      </c>
      <c r="H53" s="197" t="s">
        <v>72</v>
      </c>
      <c r="I53" s="242" t="s">
        <v>73</v>
      </c>
      <c r="J53" s="242" t="s">
        <v>8534</v>
      </c>
      <c r="K53" s="195" t="s">
        <v>71</v>
      </c>
      <c r="L53" s="20" t="str">
        <f ca="1">IF(OFFSET(환산공식!$ED$15,$F53,0)=1,"O","X")</f>
        <v>X</v>
      </c>
      <c r="M53" s="188">
        <f ca="1">IFERROR(OFFSET(환산공식!DJ$15,$F53,0),"")</f>
        <v>118.8</v>
      </c>
      <c r="N53" s="20" t="str">
        <f ca="1">IFERROR(CONCATENATE(ROUND(OFFSET(환산공식!DK$15,$F53,0),1),"%"),"")</f>
        <v>100%</v>
      </c>
      <c r="O53" s="20">
        <f ca="1">IFERROR(OFFSET(환산공식!DL$15,$F53,0),"")</f>
        <v>0</v>
      </c>
      <c r="P53" s="188" t="str">
        <f t="shared" ca="1" si="1"/>
        <v>3% 이하</v>
      </c>
      <c r="Q53" s="194">
        <f ca="1">IFERROR(ROUND(OFFSET(환산공식!$FG$15,$F53,0),3),"")</f>
        <v>0</v>
      </c>
      <c r="R53" s="194">
        <f ca="1">OFFSET('배치점수 계산기'!H$10,$D53,0)</f>
        <v>668.88400000000001</v>
      </c>
      <c r="S53" s="194">
        <f ca="1">OFFSET('배치점수 계산기'!I$10,$D53,0)</f>
        <v>667.71500000000003</v>
      </c>
      <c r="T53" s="194">
        <f ca="1">OFFSET('배치점수 계산기'!J$10,$D53,0)</f>
        <v>663.74</v>
      </c>
      <c r="U53" s="194">
        <f ca="1">OFFSET('배치점수 계산기'!K$10,$D53,0)</f>
        <v>662.54499999999996</v>
      </c>
      <c r="V53" s="194">
        <f ca="1">OFFSET('배치점수 계산기'!L$10,$D53,0)</f>
        <v>660.53099999999995</v>
      </c>
      <c r="W53" s="186" t="str">
        <f ca="1">OFFSET('배치점수 계산기'!M$10,$D53,0)</f>
        <v>표점</v>
      </c>
      <c r="X53" s="184" t="str">
        <f ca="1">OFFSET('배치점수 계산기'!N$10,$D53,0)</f>
        <v>변표</v>
      </c>
      <c r="Y53" s="188">
        <f ca="1">OFFSET(환산공식!FW$15,$F53,0)</f>
        <v>0.43</v>
      </c>
      <c r="Z53" s="20">
        <f ca="1">OFFSET(환산공식!FX$15,$F53,0)</f>
        <v>0.28999999999999998</v>
      </c>
      <c r="AA53" s="179">
        <f ca="1">OFFSET(환산공식!FY$15,$F53,0)</f>
        <v>0.28999999999999998</v>
      </c>
      <c r="AC53"/>
      <c r="AD53">
        <f t="shared" ca="1" si="2"/>
        <v>6</v>
      </c>
      <c r="AE53"/>
    </row>
    <row r="54" spans="1:31" s="3" customFormat="1">
      <c r="A54" s="198"/>
      <c r="B54" s="198"/>
      <c r="C54" s="198" t="s">
        <v>615</v>
      </c>
      <c r="D54" s="195">
        <v>47</v>
      </c>
      <c r="E54" s="195">
        <v>6</v>
      </c>
      <c r="F54" s="195">
        <v>6</v>
      </c>
      <c r="G54" s="239">
        <v>47</v>
      </c>
      <c r="H54" s="197" t="s">
        <v>72</v>
      </c>
      <c r="I54" s="242" t="s">
        <v>73</v>
      </c>
      <c r="J54" s="242" t="s">
        <v>8953</v>
      </c>
      <c r="K54" s="195" t="s">
        <v>71</v>
      </c>
      <c r="L54" s="20" t="str">
        <f ca="1">IF(OFFSET(환산공식!$ED$15,$F54,0)=1,"O","X")</f>
        <v>X</v>
      </c>
      <c r="M54" s="188">
        <f ca="1">IFERROR(OFFSET(환산공식!DJ$15,$F54,0),"")</f>
        <v>118.8</v>
      </c>
      <c r="N54" s="20" t="str">
        <f ca="1">IFERROR(CONCATENATE(ROUND(OFFSET(환산공식!DK$15,$F54,0),1),"%"),"")</f>
        <v>100%</v>
      </c>
      <c r="O54" s="20">
        <f ca="1">IFERROR(OFFSET(환산공식!DL$15,$F54,0),"")</f>
        <v>0</v>
      </c>
      <c r="P54" s="188" t="str">
        <f t="shared" ca="1" si="1"/>
        <v>3% 이하</v>
      </c>
      <c r="Q54" s="194">
        <f ca="1">IFERROR(ROUND(OFFSET(환산공식!$FG$15,$F54,0),3),"")</f>
        <v>0</v>
      </c>
      <c r="R54" s="194">
        <f ca="1">OFFSET('배치점수 계산기'!H$10,$D54,0)</f>
        <v>666.34400000000005</v>
      </c>
      <c r="S54" s="194">
        <f ca="1">OFFSET('배치점수 계산기'!I$10,$D54,0)</f>
        <v>666.02499999999998</v>
      </c>
      <c r="T54" s="194">
        <f ca="1">OFFSET('배치점수 계산기'!J$10,$D54,0)</f>
        <v>663.28300000000002</v>
      </c>
      <c r="U54" s="194">
        <f ca="1">OFFSET('배치점수 계산기'!K$10,$D54,0)</f>
        <v>662.43700000000001</v>
      </c>
      <c r="V54" s="194">
        <f ca="1">OFFSET('배치점수 계산기'!L$10,$D54,0)</f>
        <v>661.17399999999998</v>
      </c>
      <c r="W54" s="186" t="str">
        <f ca="1">OFFSET('배치점수 계산기'!M$10,$D54,0)</f>
        <v>표점</v>
      </c>
      <c r="X54" s="184" t="str">
        <f ca="1">OFFSET('배치점수 계산기'!N$10,$D54,0)</f>
        <v>변표</v>
      </c>
      <c r="Y54" s="188">
        <f ca="1">OFFSET(환산공식!FW$15,$F54,0)</f>
        <v>0.43</v>
      </c>
      <c r="Z54" s="20">
        <f ca="1">OFFSET(환산공식!FX$15,$F54,0)</f>
        <v>0.28999999999999998</v>
      </c>
      <c r="AA54" s="179">
        <f ca="1">OFFSET(환산공식!FY$15,$F54,0)</f>
        <v>0.28999999999999998</v>
      </c>
      <c r="AC54"/>
      <c r="AD54">
        <f t="shared" ca="1" si="2"/>
        <v>6</v>
      </c>
      <c r="AE54"/>
    </row>
    <row r="55" spans="1:31" s="3" customFormat="1">
      <c r="A55" s="198"/>
      <c r="B55" s="198"/>
      <c r="C55" s="198" t="s">
        <v>616</v>
      </c>
      <c r="D55" s="195">
        <v>48</v>
      </c>
      <c r="E55" s="195">
        <v>6</v>
      </c>
      <c r="F55" s="195">
        <v>6</v>
      </c>
      <c r="G55" s="239">
        <v>48</v>
      </c>
      <c r="H55" s="197" t="s">
        <v>72</v>
      </c>
      <c r="I55" s="242" t="s">
        <v>73</v>
      </c>
      <c r="J55" s="242" t="s">
        <v>8883</v>
      </c>
      <c r="K55" s="195" t="s">
        <v>71</v>
      </c>
      <c r="L55" s="20" t="str">
        <f ca="1">IF(OFFSET(환산공식!$ED$15,$F55,0)=1,"O","X")</f>
        <v>X</v>
      </c>
      <c r="M55" s="188">
        <f ca="1">IFERROR(OFFSET(환산공식!DJ$15,$F55,0),"")</f>
        <v>118.8</v>
      </c>
      <c r="N55" s="20" t="str">
        <f ca="1">IFERROR(CONCATENATE(ROUND(OFFSET(환산공식!DK$15,$F55,0),1),"%"),"")</f>
        <v>100%</v>
      </c>
      <c r="O55" s="20">
        <f ca="1">IFERROR(OFFSET(환산공식!DL$15,$F55,0),"")</f>
        <v>0</v>
      </c>
      <c r="P55" s="188" t="str">
        <f t="shared" ca="1" si="1"/>
        <v>3% 이하</v>
      </c>
      <c r="Q55" s="194">
        <f ca="1">IFERROR(ROUND(OFFSET(환산공식!$FG$15,$F55,0),3),"")</f>
        <v>0</v>
      </c>
      <c r="R55" s="194">
        <f ca="1">OFFSET('배치점수 계산기'!H$10,$D55,0)</f>
        <v>666.34400000000005</v>
      </c>
      <c r="S55" s="194">
        <f ca="1">OFFSET('배치점수 계산기'!I$10,$D55,0)</f>
        <v>664.92</v>
      </c>
      <c r="T55" s="194">
        <f ca="1">OFFSET('배치점수 계산기'!J$10,$D55,0)</f>
        <v>663.28300000000002</v>
      </c>
      <c r="U55" s="194">
        <f ca="1">OFFSET('배치점수 계산기'!K$10,$D55,0)</f>
        <v>662.43700000000001</v>
      </c>
      <c r="V55" s="194">
        <f ca="1">OFFSET('배치점수 계산기'!L$10,$D55,0)</f>
        <v>660.05600000000004</v>
      </c>
      <c r="W55" s="186" t="str">
        <f ca="1">OFFSET('배치점수 계산기'!M$10,$D55,0)</f>
        <v>표점</v>
      </c>
      <c r="X55" s="184" t="str">
        <f ca="1">OFFSET('배치점수 계산기'!N$10,$D55,0)</f>
        <v>변표</v>
      </c>
      <c r="Y55" s="188">
        <f ca="1">OFFSET(환산공식!FW$15,$F55,0)</f>
        <v>0.43</v>
      </c>
      <c r="Z55" s="20">
        <f ca="1">OFFSET(환산공식!FX$15,$F55,0)</f>
        <v>0.28999999999999998</v>
      </c>
      <c r="AA55" s="179">
        <f ca="1">OFFSET(환산공식!FY$15,$F55,0)</f>
        <v>0.28999999999999998</v>
      </c>
      <c r="AC55"/>
      <c r="AD55">
        <f t="shared" ca="1" si="2"/>
        <v>6</v>
      </c>
      <c r="AE55"/>
    </row>
    <row r="56" spans="1:31" s="3" customFormat="1">
      <c r="A56" s="198"/>
      <c r="B56" s="198"/>
      <c r="C56" s="198" t="s">
        <v>617</v>
      </c>
      <c r="D56" s="195">
        <v>49</v>
      </c>
      <c r="E56" s="195">
        <v>6</v>
      </c>
      <c r="F56" s="195">
        <v>6</v>
      </c>
      <c r="G56" s="239">
        <v>49</v>
      </c>
      <c r="H56" s="197" t="s">
        <v>72</v>
      </c>
      <c r="I56" s="242" t="s">
        <v>73</v>
      </c>
      <c r="J56" s="242" t="s">
        <v>499</v>
      </c>
      <c r="K56" s="195" t="s">
        <v>71</v>
      </c>
      <c r="L56" s="20" t="str">
        <f ca="1">IF(OFFSET(환산공식!$ED$15,$F56,0)=1,"O","X")</f>
        <v>X</v>
      </c>
      <c r="M56" s="188">
        <f ca="1">IFERROR(OFFSET(환산공식!DJ$15,$F56,0),"")</f>
        <v>118.8</v>
      </c>
      <c r="N56" s="20" t="str">
        <f ca="1">IFERROR(CONCATENATE(ROUND(OFFSET(환산공식!DK$15,$F56,0),1),"%"),"")</f>
        <v>100%</v>
      </c>
      <c r="O56" s="20">
        <f ca="1">IFERROR(OFFSET(환산공식!DL$15,$F56,0),"")</f>
        <v>0</v>
      </c>
      <c r="P56" s="188" t="str">
        <f t="shared" ca="1" si="1"/>
        <v>3% 이하</v>
      </c>
      <c r="Q56" s="194">
        <f ca="1">IFERROR(ROUND(OFFSET(환산공식!$FG$15,$F56,0),3),"")</f>
        <v>0</v>
      </c>
      <c r="R56" s="194">
        <f ca="1">OFFSET('배치점수 계산기'!H$10,$D56,0)</f>
        <v>668.05899999999997</v>
      </c>
      <c r="S56" s="194">
        <f ca="1">OFFSET('배치점수 계산기'!I$10,$D56,0)</f>
        <v>665.25800000000004</v>
      </c>
      <c r="T56" s="194">
        <f ca="1">OFFSET('배치점수 계산기'!J$10,$D56,0)</f>
        <v>663.28300000000002</v>
      </c>
      <c r="U56" s="194">
        <f ca="1">OFFSET('배치점수 계산기'!K$10,$D56,0)</f>
        <v>662.43700000000001</v>
      </c>
      <c r="V56" s="194">
        <f ca="1">OFFSET('배치점수 계산기'!L$10,$D56,0)</f>
        <v>661.50599999999997</v>
      </c>
      <c r="W56" s="186" t="str">
        <f ca="1">OFFSET('배치점수 계산기'!M$10,$D56,0)</f>
        <v>표점</v>
      </c>
      <c r="X56" s="184" t="str">
        <f ca="1">OFFSET('배치점수 계산기'!N$10,$D56,0)</f>
        <v>변표</v>
      </c>
      <c r="Y56" s="188">
        <f ca="1">OFFSET(환산공식!FW$15,$F56,0)</f>
        <v>0.43</v>
      </c>
      <c r="Z56" s="20">
        <f ca="1">OFFSET(환산공식!FX$15,$F56,0)</f>
        <v>0.28999999999999998</v>
      </c>
      <c r="AA56" s="179">
        <f ca="1">OFFSET(환산공식!FY$15,$F56,0)</f>
        <v>0.28999999999999998</v>
      </c>
      <c r="AC56"/>
      <c r="AD56">
        <f t="shared" ca="1" si="2"/>
        <v>6</v>
      </c>
      <c r="AE56"/>
    </row>
    <row r="57" spans="1:31" s="3" customFormat="1">
      <c r="A57" s="198"/>
      <c r="B57" s="198"/>
      <c r="C57" s="198" t="s">
        <v>618</v>
      </c>
      <c r="D57" s="195">
        <v>50</v>
      </c>
      <c r="E57" s="195">
        <v>8</v>
      </c>
      <c r="F57" s="195">
        <v>8</v>
      </c>
      <c r="G57" s="239">
        <v>50</v>
      </c>
      <c r="H57" s="197" t="s">
        <v>72</v>
      </c>
      <c r="I57" s="242" t="s">
        <v>73</v>
      </c>
      <c r="J57" s="242" t="s">
        <v>8789</v>
      </c>
      <c r="K57" s="195" t="s">
        <v>71</v>
      </c>
      <c r="L57" s="20" t="str">
        <f ca="1">IF(OFFSET(환산공식!$ED$15,$F57,0)=1,"O","X")</f>
        <v>X</v>
      </c>
      <c r="M57" s="188">
        <f ca="1">IFERROR(OFFSET(환산공식!DJ$15,$F57,0),"")</f>
        <v>150</v>
      </c>
      <c r="N57" s="20" t="str">
        <f ca="1">IFERROR(CONCATENATE(ROUND(OFFSET(환산공식!DK$15,$F57,0),1),"%"),"")</f>
        <v>100%</v>
      </c>
      <c r="O57" s="20">
        <f ca="1">IFERROR(OFFSET(환산공식!DL$15,$F57,0),"")</f>
        <v>0</v>
      </c>
      <c r="P57" s="188" t="str">
        <f t="shared" ca="1" si="1"/>
        <v>3% 이하</v>
      </c>
      <c r="Q57" s="194">
        <f ca="1">IFERROR(ROUND(OFFSET(환산공식!$FG$15,$F57,0),3),"")</f>
        <v>0</v>
      </c>
      <c r="R57" s="194">
        <f ca="1">OFFSET('배치점수 계산기'!H$10,$D57,0)</f>
        <v>638.93299999999999</v>
      </c>
      <c r="S57" s="194">
        <f ca="1">OFFSET('배치점수 계산기'!I$10,$D57,0)</f>
        <v>637.84799999999996</v>
      </c>
      <c r="T57" s="194">
        <f ca="1">OFFSET('배치점수 계산기'!J$10,$D57,0)</f>
        <v>637.09500000000003</v>
      </c>
      <c r="U57" s="194">
        <f ca="1">OFFSET('배치점수 계산기'!K$10,$D57,0)</f>
        <v>636.72799999999995</v>
      </c>
      <c r="V57" s="194">
        <f ca="1">OFFSET('배치점수 계산기'!L$10,$D57,0)</f>
        <v>636.17700000000002</v>
      </c>
      <c r="W57" s="186" t="str">
        <f ca="1">OFFSET('배치점수 계산기'!M$10,$D57,0)</f>
        <v>표점</v>
      </c>
      <c r="X57" s="184" t="str">
        <f ca="1">OFFSET('배치점수 계산기'!N$10,$D57,0)</f>
        <v>변표</v>
      </c>
      <c r="Y57" s="188">
        <f ca="1">OFFSET(환산공식!FW$15,$F57,0)</f>
        <v>0.4</v>
      </c>
      <c r="Z57" s="20">
        <f ca="1">OFFSET(환산공식!FX$15,$F57,0)</f>
        <v>0.4</v>
      </c>
      <c r="AA57" s="179">
        <f ca="1">OFFSET(환산공식!FY$15,$F57,0)</f>
        <v>0.2</v>
      </c>
      <c r="AC57"/>
      <c r="AD57">
        <f t="shared" ca="1" si="2"/>
        <v>6</v>
      </c>
      <c r="AE57"/>
    </row>
    <row r="58" spans="1:31" s="3" customFormat="1">
      <c r="A58" s="198"/>
      <c r="B58" s="198"/>
      <c r="C58" s="198" t="s">
        <v>619</v>
      </c>
      <c r="D58" s="195">
        <v>51</v>
      </c>
      <c r="E58" s="195">
        <v>6</v>
      </c>
      <c r="F58" s="195">
        <v>6</v>
      </c>
      <c r="G58" s="239">
        <v>51</v>
      </c>
      <c r="H58" s="197" t="s">
        <v>72</v>
      </c>
      <c r="I58" s="242" t="s">
        <v>73</v>
      </c>
      <c r="J58" s="242" t="s">
        <v>8214</v>
      </c>
      <c r="K58" s="195" t="s">
        <v>71</v>
      </c>
      <c r="L58" s="20" t="str">
        <f ca="1">IF(OFFSET(환산공식!$ED$15,$F58,0)=1,"O","X")</f>
        <v>X</v>
      </c>
      <c r="M58" s="188">
        <f ca="1">IFERROR(OFFSET(환산공식!DJ$15,$F58,0),"")</f>
        <v>118.8</v>
      </c>
      <c r="N58" s="20" t="str">
        <f ca="1">IFERROR(CONCATENATE(ROUND(OFFSET(환산공식!DK$15,$F58,0),1),"%"),"")</f>
        <v>100%</v>
      </c>
      <c r="O58" s="20">
        <f ca="1">IFERROR(OFFSET(환산공식!DL$15,$F58,0),"")</f>
        <v>0</v>
      </c>
      <c r="P58" s="188" t="str">
        <f t="shared" ca="1" si="1"/>
        <v>3% 이하</v>
      </c>
      <c r="Q58" s="194">
        <f ca="1">IFERROR(ROUND(OFFSET(환산공식!$FG$15,$F58,0),3),"")</f>
        <v>0</v>
      </c>
      <c r="R58" s="194">
        <f ca="1">OFFSET('배치점수 계산기'!H$10,$D58,0)</f>
        <v>667.06200000000001</v>
      </c>
      <c r="S58" s="194">
        <f ca="1">OFFSET('배치점수 계산기'!I$10,$D58,0)</f>
        <v>666.125</v>
      </c>
      <c r="T58" s="194">
        <f ca="1">OFFSET('배치점수 계산기'!J$10,$D58,0)</f>
        <v>662.54499999999996</v>
      </c>
      <c r="U58" s="194">
        <f ca="1">OFFSET('배치점수 계산기'!K$10,$D58,0)</f>
        <v>661.86199999999997</v>
      </c>
      <c r="V58" s="194">
        <f ca="1">OFFSET('배치점수 계산기'!L$10,$D58,0)</f>
        <v>659.36199999999997</v>
      </c>
      <c r="W58" s="186" t="str">
        <f ca="1">OFFSET('배치점수 계산기'!M$10,$D58,0)</f>
        <v>표점</v>
      </c>
      <c r="X58" s="184" t="str">
        <f ca="1">OFFSET('배치점수 계산기'!N$10,$D58,0)</f>
        <v>변표</v>
      </c>
      <c r="Y58" s="188">
        <f ca="1">OFFSET(환산공식!FW$15,$F58,0)</f>
        <v>0.43</v>
      </c>
      <c r="Z58" s="20">
        <f ca="1">OFFSET(환산공식!FX$15,$F58,0)</f>
        <v>0.28999999999999998</v>
      </c>
      <c r="AA58" s="179">
        <f ca="1">OFFSET(환산공식!FY$15,$F58,0)</f>
        <v>0.28999999999999998</v>
      </c>
      <c r="AC58"/>
      <c r="AD58">
        <f t="shared" ca="1" si="2"/>
        <v>6</v>
      </c>
      <c r="AE58"/>
    </row>
    <row r="59" spans="1:31" s="3" customFormat="1">
      <c r="A59" s="198"/>
      <c r="B59" s="198"/>
      <c r="C59" s="198" t="s">
        <v>620</v>
      </c>
      <c r="D59" s="195">
        <v>52</v>
      </c>
      <c r="E59" s="195">
        <v>6</v>
      </c>
      <c r="F59" s="195">
        <v>6</v>
      </c>
      <c r="G59" s="239">
        <v>52</v>
      </c>
      <c r="H59" s="197" t="s">
        <v>72</v>
      </c>
      <c r="I59" s="242" t="s">
        <v>73</v>
      </c>
      <c r="J59" s="242" t="s">
        <v>8654</v>
      </c>
      <c r="K59" s="195" t="s">
        <v>71</v>
      </c>
      <c r="L59" s="20" t="str">
        <f ca="1">IF(OFFSET(환산공식!$ED$15,$F59,0)=1,"O","X")</f>
        <v>X</v>
      </c>
      <c r="M59" s="188">
        <f ca="1">IFERROR(OFFSET(환산공식!DJ$15,$F59,0),"")</f>
        <v>118.8</v>
      </c>
      <c r="N59" s="20" t="str">
        <f ca="1">IFERROR(CONCATENATE(ROUND(OFFSET(환산공식!DK$15,$F59,0),1),"%"),"")</f>
        <v>100%</v>
      </c>
      <c r="O59" s="20">
        <f ca="1">IFERROR(OFFSET(환산공식!DL$15,$F59,0),"")</f>
        <v>0</v>
      </c>
      <c r="P59" s="188" t="str">
        <f t="shared" ca="1" si="1"/>
        <v>3% 이하</v>
      </c>
      <c r="Q59" s="194">
        <f ca="1">IFERROR(ROUND(OFFSET(환산공식!$FG$15,$F59,0),3),"")</f>
        <v>0</v>
      </c>
      <c r="R59" s="194">
        <f ca="1">OFFSET('배치점수 계산기'!H$10,$D59,0)</f>
        <v>667.71500000000003</v>
      </c>
      <c r="S59" s="194">
        <f ca="1">OFFSET('배치점수 계산기'!I$10,$D59,0)</f>
        <v>664.92</v>
      </c>
      <c r="T59" s="194">
        <f ca="1">OFFSET('배치점수 계산기'!J$10,$D59,0)</f>
        <v>662.54499999999996</v>
      </c>
      <c r="U59" s="194">
        <f ca="1">OFFSET('배치점수 계산기'!K$10,$D59,0)</f>
        <v>661.86199999999997</v>
      </c>
      <c r="V59" s="194">
        <f ca="1">OFFSET('배치점수 계산기'!L$10,$D59,0)</f>
        <v>660.61800000000005</v>
      </c>
      <c r="W59" s="186" t="str">
        <f ca="1">OFFSET('배치점수 계산기'!M$10,$D59,0)</f>
        <v>표점</v>
      </c>
      <c r="X59" s="184" t="str">
        <f ca="1">OFFSET('배치점수 계산기'!N$10,$D59,0)</f>
        <v>변표</v>
      </c>
      <c r="Y59" s="188">
        <f ca="1">OFFSET(환산공식!FW$15,$F59,0)</f>
        <v>0.43</v>
      </c>
      <c r="Z59" s="20">
        <f ca="1">OFFSET(환산공식!FX$15,$F59,0)</f>
        <v>0.28999999999999998</v>
      </c>
      <c r="AA59" s="179">
        <f ca="1">OFFSET(환산공식!FY$15,$F59,0)</f>
        <v>0.28999999999999998</v>
      </c>
      <c r="AC59"/>
      <c r="AD59">
        <f t="shared" ca="1" si="2"/>
        <v>6</v>
      </c>
      <c r="AE59"/>
    </row>
    <row r="60" spans="1:31" s="3" customFormat="1">
      <c r="A60" s="198"/>
      <c r="B60" s="198"/>
      <c r="C60" s="198" t="s">
        <v>621</v>
      </c>
      <c r="D60" s="195">
        <v>53</v>
      </c>
      <c r="E60" s="195">
        <v>6</v>
      </c>
      <c r="F60" s="195">
        <v>6</v>
      </c>
      <c r="G60" s="239">
        <v>53</v>
      </c>
      <c r="H60" s="197" t="s">
        <v>72</v>
      </c>
      <c r="I60" s="242" t="s">
        <v>73</v>
      </c>
      <c r="J60" s="242" t="s">
        <v>8787</v>
      </c>
      <c r="K60" s="195" t="s">
        <v>71</v>
      </c>
      <c r="L60" s="20" t="str">
        <f ca="1">IF(OFFSET(환산공식!$ED$15,$F60,0)=1,"O","X")</f>
        <v>X</v>
      </c>
      <c r="M60" s="188">
        <f ca="1">IFERROR(OFFSET(환산공식!DJ$15,$F60,0),"")</f>
        <v>118.8</v>
      </c>
      <c r="N60" s="20" t="str">
        <f ca="1">IFERROR(CONCATENATE(ROUND(OFFSET(환산공식!DK$15,$F60,0),1),"%"),"")</f>
        <v>100%</v>
      </c>
      <c r="O60" s="20">
        <f ca="1">IFERROR(OFFSET(환산공식!DL$15,$F60,0),"")</f>
        <v>0</v>
      </c>
      <c r="P60" s="188" t="str">
        <f t="shared" ca="1" si="1"/>
        <v>3% 이하</v>
      </c>
      <c r="Q60" s="194">
        <f ca="1">IFERROR(ROUND(OFFSET(환산공식!$FG$15,$F60,0),3),"")</f>
        <v>0</v>
      </c>
      <c r="R60" s="194">
        <f ca="1">OFFSET('배치점수 계산기'!H$10,$D60,0)</f>
        <v>666.93799999999999</v>
      </c>
      <c r="S60" s="194">
        <f ca="1">OFFSET('배치점수 계산기'!I$10,$D60,0)</f>
        <v>664.92</v>
      </c>
      <c r="T60" s="194">
        <f ca="1">OFFSET('배치점수 계산기'!J$10,$D60,0)</f>
        <v>662.54499999999996</v>
      </c>
      <c r="U60" s="194">
        <f ca="1">OFFSET('배치점수 계산기'!K$10,$D60,0)</f>
        <v>661.50599999999997</v>
      </c>
      <c r="V60" s="194">
        <f ca="1">OFFSET('배치점수 계산기'!L$10,$D60,0)</f>
        <v>660.53099999999995</v>
      </c>
      <c r="W60" s="186" t="str">
        <f ca="1">OFFSET('배치점수 계산기'!M$10,$D60,0)</f>
        <v>표점</v>
      </c>
      <c r="X60" s="184" t="str">
        <f ca="1">OFFSET('배치점수 계산기'!N$10,$D60,0)</f>
        <v>변표</v>
      </c>
      <c r="Y60" s="188">
        <f ca="1">OFFSET(환산공식!FW$15,$F60,0)</f>
        <v>0.43</v>
      </c>
      <c r="Z60" s="20">
        <f ca="1">OFFSET(환산공식!FX$15,$F60,0)</f>
        <v>0.28999999999999998</v>
      </c>
      <c r="AA60" s="179">
        <f ca="1">OFFSET(환산공식!FY$15,$F60,0)</f>
        <v>0.28999999999999998</v>
      </c>
      <c r="AC60"/>
      <c r="AD60">
        <f t="shared" ca="1" si="2"/>
        <v>6</v>
      </c>
      <c r="AE60"/>
    </row>
    <row r="61" spans="1:31" s="3" customFormat="1">
      <c r="A61" s="198"/>
      <c r="B61" s="198"/>
      <c r="C61" s="198" t="s">
        <v>622</v>
      </c>
      <c r="D61" s="195">
        <v>54</v>
      </c>
      <c r="E61" s="195">
        <v>6</v>
      </c>
      <c r="F61" s="195">
        <v>6</v>
      </c>
      <c r="G61" s="239">
        <v>54</v>
      </c>
      <c r="H61" s="197" t="s">
        <v>72</v>
      </c>
      <c r="I61" s="242" t="s">
        <v>73</v>
      </c>
      <c r="J61" s="242" t="s">
        <v>8618</v>
      </c>
      <c r="K61" s="195" t="s">
        <v>71</v>
      </c>
      <c r="L61" s="20" t="str">
        <f ca="1">IF(OFFSET(환산공식!$ED$15,$F61,0)=1,"O","X")</f>
        <v>X</v>
      </c>
      <c r="M61" s="188">
        <f ca="1">IFERROR(OFFSET(환산공식!DJ$15,$F61,0),"")</f>
        <v>118.8</v>
      </c>
      <c r="N61" s="20" t="str">
        <f ca="1">IFERROR(CONCATENATE(ROUND(OFFSET(환산공식!DK$15,$F61,0),1),"%"),"")</f>
        <v>100%</v>
      </c>
      <c r="O61" s="20">
        <f ca="1">IFERROR(OFFSET(환산공식!DL$15,$F61,0),"")</f>
        <v>0</v>
      </c>
      <c r="P61" s="188" t="str">
        <f t="shared" ca="1" si="1"/>
        <v>3% 이하</v>
      </c>
      <c r="Q61" s="194">
        <f ca="1">IFERROR(ROUND(OFFSET(환산공식!$FG$15,$F61,0),3),"")</f>
        <v>0</v>
      </c>
      <c r="R61" s="194">
        <f ca="1">OFFSET('배치점수 계산기'!H$10,$D61,0)</f>
        <v>666.93799999999999</v>
      </c>
      <c r="S61" s="194">
        <f ca="1">OFFSET('배치점수 계산기'!I$10,$D61,0)</f>
        <v>664.92</v>
      </c>
      <c r="T61" s="194">
        <f ca="1">OFFSET('배치점수 계산기'!J$10,$D61,0)</f>
        <v>662.54499999999996</v>
      </c>
      <c r="U61" s="194">
        <f ca="1">OFFSET('배치점수 계산기'!K$10,$D61,0)</f>
        <v>661.50599999999997</v>
      </c>
      <c r="V61" s="194">
        <f ca="1">OFFSET('배치점수 계산기'!L$10,$D61,0)</f>
        <v>660.05600000000004</v>
      </c>
      <c r="W61" s="186" t="str">
        <f ca="1">OFFSET('배치점수 계산기'!M$10,$D61,0)</f>
        <v>표점</v>
      </c>
      <c r="X61" s="184" t="str">
        <f ca="1">OFFSET('배치점수 계산기'!N$10,$D61,0)</f>
        <v>변표</v>
      </c>
      <c r="Y61" s="188">
        <f ca="1">OFFSET(환산공식!FW$15,$F61,0)</f>
        <v>0.43</v>
      </c>
      <c r="Z61" s="20">
        <f ca="1">OFFSET(환산공식!FX$15,$F61,0)</f>
        <v>0.28999999999999998</v>
      </c>
      <c r="AA61" s="179">
        <f ca="1">OFFSET(환산공식!FY$15,$F61,0)</f>
        <v>0.28999999999999998</v>
      </c>
      <c r="AC61"/>
      <c r="AD61">
        <f t="shared" ca="1" si="2"/>
        <v>6</v>
      </c>
      <c r="AE61"/>
    </row>
    <row r="62" spans="1:31" s="3" customFormat="1">
      <c r="A62" s="198"/>
      <c r="B62" s="198"/>
      <c r="C62" s="198" t="s">
        <v>623</v>
      </c>
      <c r="D62" s="195">
        <v>55</v>
      </c>
      <c r="E62" s="195">
        <v>6</v>
      </c>
      <c r="F62" s="195">
        <v>6</v>
      </c>
      <c r="G62" s="239">
        <v>55</v>
      </c>
      <c r="H62" s="197" t="s">
        <v>72</v>
      </c>
      <c r="I62" s="242" t="s">
        <v>73</v>
      </c>
      <c r="J62" s="242" t="s">
        <v>8863</v>
      </c>
      <c r="K62" s="195" t="s">
        <v>71</v>
      </c>
      <c r="L62" s="20" t="str">
        <f ca="1">IF(OFFSET(환산공식!$ED$15,$F62,0)=1,"O","X")</f>
        <v>X</v>
      </c>
      <c r="M62" s="188">
        <f ca="1">IFERROR(OFFSET(환산공식!DJ$15,$F62,0),"")</f>
        <v>118.8</v>
      </c>
      <c r="N62" s="20" t="str">
        <f ca="1">IFERROR(CONCATENATE(ROUND(OFFSET(환산공식!DK$15,$F62,0),1),"%"),"")</f>
        <v>100%</v>
      </c>
      <c r="O62" s="20">
        <f ca="1">IFERROR(OFFSET(환산공식!DL$15,$F62,0),"")</f>
        <v>0</v>
      </c>
      <c r="P62" s="188" t="str">
        <f t="shared" ca="1" si="1"/>
        <v>3% 이하</v>
      </c>
      <c r="Q62" s="194">
        <f ca="1">IFERROR(ROUND(OFFSET(환산공식!$FG$15,$F62,0),3),"")</f>
        <v>0</v>
      </c>
      <c r="R62" s="194">
        <f ca="1">OFFSET('배치점수 계산기'!H$10,$D62,0)</f>
        <v>664.19299999999998</v>
      </c>
      <c r="S62" s="194">
        <f ca="1">OFFSET('배치점수 계산기'!I$10,$D62,0)</f>
        <v>663.85900000000004</v>
      </c>
      <c r="T62" s="194">
        <f ca="1">OFFSET('배치점수 계산기'!J$10,$D62,0)</f>
        <v>662.54499999999996</v>
      </c>
      <c r="U62" s="194">
        <f ca="1">OFFSET('배치점수 계산기'!K$10,$D62,0)</f>
        <v>661.96199999999999</v>
      </c>
      <c r="V62" s="194">
        <f ca="1">OFFSET('배치점수 계산기'!L$10,$D62,0)</f>
        <v>660.61800000000005</v>
      </c>
      <c r="W62" s="186" t="str">
        <f ca="1">OFFSET('배치점수 계산기'!M$10,$D62,0)</f>
        <v>표점</v>
      </c>
      <c r="X62" s="184" t="str">
        <f ca="1">OFFSET('배치점수 계산기'!N$10,$D62,0)</f>
        <v>변표</v>
      </c>
      <c r="Y62" s="188">
        <f ca="1">OFFSET(환산공식!FW$15,$F62,0)</f>
        <v>0.43</v>
      </c>
      <c r="Z62" s="20">
        <f ca="1">OFFSET(환산공식!FX$15,$F62,0)</f>
        <v>0.28999999999999998</v>
      </c>
      <c r="AA62" s="179">
        <f ca="1">OFFSET(환산공식!FY$15,$F62,0)</f>
        <v>0.28999999999999998</v>
      </c>
      <c r="AC62"/>
      <c r="AD62">
        <f t="shared" ca="1" si="2"/>
        <v>6</v>
      </c>
      <c r="AE62"/>
    </row>
    <row r="63" spans="1:31" s="3" customFormat="1">
      <c r="A63" s="198"/>
      <c r="B63" s="198"/>
      <c r="C63" s="198" t="s">
        <v>624</v>
      </c>
      <c r="D63" s="195">
        <v>56</v>
      </c>
      <c r="E63" s="195">
        <v>6</v>
      </c>
      <c r="F63" s="195">
        <v>6</v>
      </c>
      <c r="G63" s="239">
        <v>56</v>
      </c>
      <c r="H63" s="197" t="s">
        <v>72</v>
      </c>
      <c r="I63" s="242" t="s">
        <v>73</v>
      </c>
      <c r="J63" s="242" t="s">
        <v>8753</v>
      </c>
      <c r="K63" s="195" t="s">
        <v>71</v>
      </c>
      <c r="L63" s="20" t="str">
        <f ca="1">IF(OFFSET(환산공식!$ED$15,$F63,0)=1,"O","X")</f>
        <v>X</v>
      </c>
      <c r="M63" s="188">
        <f ca="1">IFERROR(OFFSET(환산공식!DJ$15,$F63,0),"")</f>
        <v>118.8</v>
      </c>
      <c r="N63" s="20" t="str">
        <f ca="1">IFERROR(CONCATENATE(ROUND(OFFSET(환산공식!DK$15,$F63,0),1),"%"),"")</f>
        <v>100%</v>
      </c>
      <c r="O63" s="20">
        <f ca="1">IFERROR(OFFSET(환산공식!DL$15,$F63,0),"")</f>
        <v>0</v>
      </c>
      <c r="P63" s="188" t="str">
        <f t="shared" ca="1" si="1"/>
        <v>3% 이하</v>
      </c>
      <c r="Q63" s="194">
        <f ca="1">IFERROR(ROUND(OFFSET(환산공식!$FG$15,$F63,0),3),"")</f>
        <v>0</v>
      </c>
      <c r="R63" s="194">
        <f ca="1">OFFSET('배치점수 계산기'!H$10,$D63,0)</f>
        <v>663.74</v>
      </c>
      <c r="S63" s="194">
        <f ca="1">OFFSET('배치점수 계산기'!I$10,$D63,0)</f>
        <v>662.78200000000004</v>
      </c>
      <c r="T63" s="194">
        <f ca="1">OFFSET('배치점수 계산기'!J$10,$D63,0)</f>
        <v>662.06200000000001</v>
      </c>
      <c r="U63" s="194">
        <f ca="1">OFFSET('배치점수 계산기'!K$10,$D63,0)</f>
        <v>661.17399999999998</v>
      </c>
      <c r="V63" s="194">
        <f ca="1">OFFSET('배치점수 계산기'!L$10,$D63,0)</f>
        <v>659.08199999999999</v>
      </c>
      <c r="W63" s="186" t="str">
        <f ca="1">OFFSET('배치점수 계산기'!M$10,$D63,0)</f>
        <v>표점</v>
      </c>
      <c r="X63" s="184" t="str">
        <f ca="1">OFFSET('배치점수 계산기'!N$10,$D63,0)</f>
        <v>변표</v>
      </c>
      <c r="Y63" s="188">
        <f ca="1">OFFSET(환산공식!FW$15,$F63,0)</f>
        <v>0.43</v>
      </c>
      <c r="Z63" s="20">
        <f ca="1">OFFSET(환산공식!FX$15,$F63,0)</f>
        <v>0.28999999999999998</v>
      </c>
      <c r="AA63" s="179">
        <f ca="1">OFFSET(환산공식!FY$15,$F63,0)</f>
        <v>0.28999999999999998</v>
      </c>
      <c r="AC63"/>
      <c r="AD63">
        <f t="shared" ca="1" si="2"/>
        <v>6</v>
      </c>
      <c r="AE63"/>
    </row>
    <row r="64" spans="1:31" s="3" customFormat="1">
      <c r="A64" s="198"/>
      <c r="B64" s="198"/>
      <c r="C64" s="198" t="s">
        <v>625</v>
      </c>
      <c r="D64" s="195">
        <v>57</v>
      </c>
      <c r="E64" s="195">
        <v>268</v>
      </c>
      <c r="F64" s="195">
        <v>268</v>
      </c>
      <c r="G64" s="239">
        <v>57</v>
      </c>
      <c r="H64" s="197" t="s">
        <v>72</v>
      </c>
      <c r="I64" s="242" t="s">
        <v>73</v>
      </c>
      <c r="J64" s="242" t="s">
        <v>8770</v>
      </c>
      <c r="K64" s="195" t="s">
        <v>71</v>
      </c>
      <c r="L64" s="20" t="str">
        <f ca="1">IF(OFFSET(환산공식!$ED$15,$F64,0)=1,"O","X")</f>
        <v>X</v>
      </c>
      <c r="M64" s="188">
        <f ca="1">IFERROR(OFFSET(환산공식!DJ$15,$F64,0),"")</f>
        <v>158.30000000000001</v>
      </c>
      <c r="N64" s="20" t="str">
        <f ca="1">IFERROR(CONCATENATE(ROUND(OFFSET(환산공식!DK$15,$F64,0),1),"%"),"")</f>
        <v>100%</v>
      </c>
      <c r="O64" s="20">
        <f ca="1">IFERROR(OFFSET(환산공식!DL$15,$F64,0),"")</f>
        <v>0</v>
      </c>
      <c r="P64" s="188" t="str">
        <f t="shared" ca="1" si="1"/>
        <v>3% 이하</v>
      </c>
      <c r="Q64" s="194">
        <f ca="1">IFERROR(ROUND(OFFSET(환산공식!$FG$15,$F64,0),3),"")</f>
        <v>0</v>
      </c>
      <c r="R64" s="194">
        <f ca="1">OFFSET('배치점수 계산기'!H$10,$D64,0)</f>
        <v>670.36699999999996</v>
      </c>
      <c r="S64" s="194">
        <f ca="1">OFFSET('배치점수 계산기'!I$10,$D64,0)</f>
        <v>669.35400000000004</v>
      </c>
      <c r="T64" s="194">
        <f ca="1">OFFSET('배치점수 계산기'!J$10,$D64,0)</f>
        <v>668.36099999999999</v>
      </c>
      <c r="U64" s="194">
        <f ca="1">OFFSET('배치점수 계산기'!K$10,$D64,0)</f>
        <v>667.11699999999996</v>
      </c>
      <c r="V64" s="194">
        <f ca="1">OFFSET('배치점수 계산기'!L$10,$D64,0)</f>
        <v>665.42100000000005</v>
      </c>
      <c r="W64" s="186" t="str">
        <f ca="1">OFFSET('배치점수 계산기'!M$10,$D64,0)</f>
        <v>표점</v>
      </c>
      <c r="X64" s="184" t="str">
        <f ca="1">OFFSET('배치점수 계산기'!N$10,$D64,0)</f>
        <v>변표</v>
      </c>
      <c r="Y64" s="188">
        <f ca="1">OFFSET(환산공식!FW$15,$F64,0)</f>
        <v>0.4</v>
      </c>
      <c r="Z64" s="20">
        <f ca="1">OFFSET(환산공식!FX$15,$F64,0)</f>
        <v>0.4</v>
      </c>
      <c r="AA64" s="179">
        <f ca="1">OFFSET(환산공식!FY$15,$F64,0)</f>
        <v>0.2</v>
      </c>
      <c r="AC64"/>
      <c r="AD64">
        <f t="shared" ca="1" si="2"/>
        <v>6</v>
      </c>
      <c r="AE64"/>
    </row>
    <row r="65" spans="1:31" s="3" customFormat="1">
      <c r="A65" s="198"/>
      <c r="B65" s="198"/>
      <c r="C65" s="198" t="s">
        <v>626</v>
      </c>
      <c r="D65" s="195">
        <v>58</v>
      </c>
      <c r="E65" s="195">
        <v>6</v>
      </c>
      <c r="F65" s="195">
        <v>6</v>
      </c>
      <c r="G65" s="239">
        <v>58</v>
      </c>
      <c r="H65" s="197" t="s">
        <v>72</v>
      </c>
      <c r="I65" s="242" t="s">
        <v>73</v>
      </c>
      <c r="J65" s="242" t="s">
        <v>560</v>
      </c>
      <c r="K65" s="195" t="s">
        <v>71</v>
      </c>
      <c r="L65" s="20" t="str">
        <f ca="1">IF(OFFSET(환산공식!$ED$15,$F65,0)=1,"O","X")</f>
        <v>X</v>
      </c>
      <c r="M65" s="188">
        <f ca="1">IFERROR(OFFSET(환산공식!DJ$15,$F65,0),"")</f>
        <v>118.8</v>
      </c>
      <c r="N65" s="20" t="str">
        <f ca="1">IFERROR(CONCATENATE(ROUND(OFFSET(환산공식!DK$15,$F65,0),1),"%"),"")</f>
        <v>100%</v>
      </c>
      <c r="O65" s="20">
        <f ca="1">IFERROR(OFFSET(환산공식!DL$15,$F65,0),"")</f>
        <v>0</v>
      </c>
      <c r="P65" s="188" t="str">
        <f t="shared" ca="1" si="1"/>
        <v>3% 이하</v>
      </c>
      <c r="Q65" s="194">
        <f ca="1">IFERROR(ROUND(OFFSET(환산공식!$FG$15,$F65,0),3),"")</f>
        <v>0</v>
      </c>
      <c r="R65" s="194">
        <f ca="1">OFFSET('배치점수 계산기'!H$10,$D65,0)</f>
        <v>663.97400000000005</v>
      </c>
      <c r="S65" s="194">
        <f ca="1">OFFSET('배치점수 계산기'!I$10,$D65,0)</f>
        <v>662.78200000000004</v>
      </c>
      <c r="T65" s="194">
        <f ca="1">OFFSET('배치점수 계산기'!J$10,$D65,0)</f>
        <v>661.96199999999999</v>
      </c>
      <c r="U65" s="194">
        <f ca="1">OFFSET('배치점수 계산기'!K$10,$D65,0)</f>
        <v>661.17399999999998</v>
      </c>
      <c r="V65" s="194">
        <f ca="1">OFFSET('배치점수 계산기'!L$10,$D65,0)</f>
        <v>660.05600000000004</v>
      </c>
      <c r="W65" s="186" t="str">
        <f ca="1">OFFSET('배치점수 계산기'!M$10,$D65,0)</f>
        <v>표점</v>
      </c>
      <c r="X65" s="184" t="str">
        <f ca="1">OFFSET('배치점수 계산기'!N$10,$D65,0)</f>
        <v>변표</v>
      </c>
      <c r="Y65" s="188">
        <f ca="1">OFFSET(환산공식!FW$15,$F65,0)</f>
        <v>0.43</v>
      </c>
      <c r="Z65" s="20">
        <f ca="1">OFFSET(환산공식!FX$15,$F65,0)</f>
        <v>0.28999999999999998</v>
      </c>
      <c r="AA65" s="179">
        <f ca="1">OFFSET(환산공식!FY$15,$F65,0)</f>
        <v>0.28999999999999998</v>
      </c>
      <c r="AC65"/>
      <c r="AD65">
        <f t="shared" ca="1" si="2"/>
        <v>6</v>
      </c>
      <c r="AE65"/>
    </row>
    <row r="66" spans="1:31" s="3" customFormat="1">
      <c r="A66" s="198"/>
      <c r="B66" s="198"/>
      <c r="C66" s="198" t="s">
        <v>627</v>
      </c>
      <c r="D66" s="195">
        <v>59</v>
      </c>
      <c r="E66" s="195">
        <v>6</v>
      </c>
      <c r="F66" s="195">
        <v>6</v>
      </c>
      <c r="G66" s="239">
        <v>59</v>
      </c>
      <c r="H66" s="197" t="s">
        <v>72</v>
      </c>
      <c r="I66" s="242" t="s">
        <v>73</v>
      </c>
      <c r="J66" s="242" t="s">
        <v>8797</v>
      </c>
      <c r="K66" s="195" t="s">
        <v>71</v>
      </c>
      <c r="L66" s="20" t="str">
        <f ca="1">IF(OFFSET(환산공식!$ED$15,$F66,0)=1,"O","X")</f>
        <v>X</v>
      </c>
      <c r="M66" s="188">
        <f ca="1">IFERROR(OFFSET(환산공식!DJ$15,$F66,0),"")</f>
        <v>118.8</v>
      </c>
      <c r="N66" s="20" t="str">
        <f ca="1">IFERROR(CONCATENATE(ROUND(OFFSET(환산공식!DK$15,$F66,0),1),"%"),"")</f>
        <v>100%</v>
      </c>
      <c r="O66" s="20">
        <f ca="1">IFERROR(OFFSET(환산공식!DL$15,$F66,0),"")</f>
        <v>0</v>
      </c>
      <c r="P66" s="188" t="str">
        <f t="shared" ca="1" si="1"/>
        <v>3% 이하</v>
      </c>
      <c r="Q66" s="194">
        <f ca="1">IFERROR(ROUND(OFFSET(환산공식!$FG$15,$F66,0),3),"")</f>
        <v>0</v>
      </c>
      <c r="R66" s="194">
        <f ca="1">OFFSET('배치점수 계산기'!H$10,$D66,0)</f>
        <v>664.19299999999998</v>
      </c>
      <c r="S66" s="194">
        <f ca="1">OFFSET('배치점수 계산기'!I$10,$D66,0)</f>
        <v>662.78200000000004</v>
      </c>
      <c r="T66" s="194">
        <f ca="1">OFFSET('배치점수 계산기'!J$10,$D66,0)</f>
        <v>661.96199999999999</v>
      </c>
      <c r="U66" s="194">
        <f ca="1">OFFSET('배치점수 계산기'!K$10,$D66,0)</f>
        <v>661.50599999999997</v>
      </c>
      <c r="V66" s="194">
        <f ca="1">OFFSET('배치점수 계산기'!L$10,$D66,0)</f>
        <v>659.71799999999996</v>
      </c>
      <c r="W66" s="186" t="str">
        <f ca="1">OFFSET('배치점수 계산기'!M$10,$D66,0)</f>
        <v>표점</v>
      </c>
      <c r="X66" s="184" t="str">
        <f ca="1">OFFSET('배치점수 계산기'!N$10,$D66,0)</f>
        <v>변표</v>
      </c>
      <c r="Y66" s="188">
        <f ca="1">OFFSET(환산공식!FW$15,$F66,0)</f>
        <v>0.43</v>
      </c>
      <c r="Z66" s="20">
        <f ca="1">OFFSET(환산공식!FX$15,$F66,0)</f>
        <v>0.28999999999999998</v>
      </c>
      <c r="AA66" s="179">
        <f ca="1">OFFSET(환산공식!FY$15,$F66,0)</f>
        <v>0.28999999999999998</v>
      </c>
      <c r="AC66"/>
      <c r="AD66">
        <f t="shared" ca="1" si="2"/>
        <v>6</v>
      </c>
      <c r="AE66"/>
    </row>
    <row r="67" spans="1:31" s="3" customFormat="1">
      <c r="A67" s="198"/>
      <c r="B67" s="198"/>
      <c r="C67" s="198" t="s">
        <v>628</v>
      </c>
      <c r="D67" s="195">
        <v>60</v>
      </c>
      <c r="E67" s="195">
        <v>6</v>
      </c>
      <c r="F67" s="195">
        <v>6</v>
      </c>
      <c r="G67" s="239">
        <v>60</v>
      </c>
      <c r="H67" s="197" t="s">
        <v>72</v>
      </c>
      <c r="I67" s="242" t="s">
        <v>73</v>
      </c>
      <c r="J67" s="242" t="s">
        <v>9220</v>
      </c>
      <c r="K67" s="195" t="s">
        <v>71</v>
      </c>
      <c r="L67" s="20" t="str">
        <f ca="1">IF(OFFSET(환산공식!$ED$15,$F67,0)=1,"O","X")</f>
        <v>X</v>
      </c>
      <c r="M67" s="188">
        <f ca="1">IFERROR(OFFSET(환산공식!DJ$15,$F67,0),"")</f>
        <v>118.8</v>
      </c>
      <c r="N67" s="20" t="str">
        <f ca="1">IFERROR(CONCATENATE(ROUND(OFFSET(환산공식!DK$15,$F67,0),1),"%"),"")</f>
        <v>100%</v>
      </c>
      <c r="O67" s="20">
        <f ca="1">IFERROR(OFFSET(환산공식!DL$15,$F67,0),"")</f>
        <v>0</v>
      </c>
      <c r="P67" s="188" t="str">
        <f t="shared" ca="1" si="1"/>
        <v>3% 이하</v>
      </c>
      <c r="Q67" s="194">
        <f ca="1">IFERROR(ROUND(OFFSET(환산공식!$FG$15,$F67,0),3),"")</f>
        <v>0</v>
      </c>
      <c r="R67" s="194">
        <f ca="1">OFFSET('배치점수 계산기'!H$10,$D67,0)</f>
        <v>664.80499999999995</v>
      </c>
      <c r="S67" s="194">
        <f ca="1">OFFSET('배치점수 계산기'!I$10,$D67,0)</f>
        <v>663.28300000000002</v>
      </c>
      <c r="T67" s="194">
        <f ca="1">OFFSET('배치점수 계산기'!J$10,$D67,0)</f>
        <v>661.96199999999999</v>
      </c>
      <c r="U67" s="194">
        <f ca="1">OFFSET('배치점수 계산기'!K$10,$D67,0)</f>
        <v>661.07399999999996</v>
      </c>
      <c r="V67" s="194">
        <f ca="1">OFFSET('배치점수 계산기'!L$10,$D67,0)</f>
        <v>659.83699999999999</v>
      </c>
      <c r="W67" s="186" t="str">
        <f ca="1">OFFSET('배치점수 계산기'!M$10,$D67,0)</f>
        <v>표점</v>
      </c>
      <c r="X67" s="184" t="str">
        <f ca="1">OFFSET('배치점수 계산기'!N$10,$D67,0)</f>
        <v>변표</v>
      </c>
      <c r="Y67" s="188">
        <f ca="1">OFFSET(환산공식!FW$15,$F67,0)</f>
        <v>0.43</v>
      </c>
      <c r="Z67" s="20">
        <f ca="1">OFFSET(환산공식!FX$15,$F67,0)</f>
        <v>0.28999999999999998</v>
      </c>
      <c r="AA67" s="179">
        <f ca="1">OFFSET(환산공식!FY$15,$F67,0)</f>
        <v>0.28999999999999998</v>
      </c>
      <c r="AC67"/>
      <c r="AD67">
        <f t="shared" ca="1" si="2"/>
        <v>6</v>
      </c>
      <c r="AE67"/>
    </row>
    <row r="68" spans="1:31" s="3" customFormat="1">
      <c r="A68" s="198"/>
      <c r="B68" s="198"/>
      <c r="C68" s="198" t="s">
        <v>629</v>
      </c>
      <c r="D68" s="195">
        <v>61</v>
      </c>
      <c r="E68" s="195">
        <v>6</v>
      </c>
      <c r="F68" s="195">
        <v>6</v>
      </c>
      <c r="G68" s="239">
        <v>61</v>
      </c>
      <c r="H68" s="197" t="s">
        <v>72</v>
      </c>
      <c r="I68" s="242" t="s">
        <v>73</v>
      </c>
      <c r="J68" s="242" t="s">
        <v>561</v>
      </c>
      <c r="K68" s="195" t="s">
        <v>71</v>
      </c>
      <c r="L68" s="20" t="str">
        <f ca="1">IF(OFFSET(환산공식!$ED$15,$F68,0)=1,"O","X")</f>
        <v>X</v>
      </c>
      <c r="M68" s="188">
        <f ca="1">IFERROR(OFFSET(환산공식!DJ$15,$F68,0),"")</f>
        <v>118.8</v>
      </c>
      <c r="N68" s="20" t="str">
        <f ca="1">IFERROR(CONCATENATE(ROUND(OFFSET(환산공식!DK$15,$F68,0),1),"%"),"")</f>
        <v>100%</v>
      </c>
      <c r="O68" s="20">
        <f ca="1">IFERROR(OFFSET(환산공식!DL$15,$F68,0),"")</f>
        <v>0</v>
      </c>
      <c r="P68" s="188" t="str">
        <f t="shared" ca="1" si="1"/>
        <v>3% 이하</v>
      </c>
      <c r="Q68" s="194">
        <f ca="1">IFERROR(ROUND(OFFSET(환산공식!$FG$15,$F68,0),3),"")</f>
        <v>0</v>
      </c>
      <c r="R68" s="194">
        <f ca="1">OFFSET('배치점수 계산기'!H$10,$D68,0)</f>
        <v>663.74</v>
      </c>
      <c r="S68" s="194">
        <f ca="1">OFFSET('배치점수 계산기'!I$10,$D68,0)</f>
        <v>662.78200000000004</v>
      </c>
      <c r="T68" s="194">
        <f ca="1">OFFSET('배치점수 계산기'!J$10,$D68,0)</f>
        <v>661.96199999999999</v>
      </c>
      <c r="U68" s="194">
        <f ca="1">OFFSET('배치점수 계산기'!K$10,$D68,0)</f>
        <v>660.61800000000005</v>
      </c>
      <c r="V68" s="194">
        <f ca="1">OFFSET('배치점수 계산기'!L$10,$D68,0)</f>
        <v>658.62099999999998</v>
      </c>
      <c r="W68" s="186" t="str">
        <f ca="1">OFFSET('배치점수 계산기'!M$10,$D68,0)</f>
        <v>표점</v>
      </c>
      <c r="X68" s="184" t="str">
        <f ca="1">OFFSET('배치점수 계산기'!N$10,$D68,0)</f>
        <v>변표</v>
      </c>
      <c r="Y68" s="188">
        <f ca="1">OFFSET(환산공식!FW$15,$F68,0)</f>
        <v>0.43</v>
      </c>
      <c r="Z68" s="20">
        <f ca="1">OFFSET(환산공식!FX$15,$F68,0)</f>
        <v>0.28999999999999998</v>
      </c>
      <c r="AA68" s="179">
        <f ca="1">OFFSET(환산공식!FY$15,$F68,0)</f>
        <v>0.28999999999999998</v>
      </c>
      <c r="AC68"/>
      <c r="AD68">
        <f t="shared" ca="1" si="2"/>
        <v>6</v>
      </c>
      <c r="AE68"/>
    </row>
    <row r="69" spans="1:31" s="3" customFormat="1">
      <c r="A69" s="198"/>
      <c r="B69" s="198"/>
      <c r="C69" s="198" t="s">
        <v>630</v>
      </c>
      <c r="D69" s="195">
        <v>62</v>
      </c>
      <c r="E69" s="195">
        <v>6</v>
      </c>
      <c r="F69" s="195">
        <v>6</v>
      </c>
      <c r="G69" s="239">
        <v>62</v>
      </c>
      <c r="H69" s="197" t="s">
        <v>72</v>
      </c>
      <c r="I69" s="242" t="s">
        <v>73</v>
      </c>
      <c r="J69" s="242" t="s">
        <v>8925</v>
      </c>
      <c r="K69" s="195" t="s">
        <v>71</v>
      </c>
      <c r="L69" s="20" t="str">
        <f ca="1">IF(OFFSET(환산공식!$ED$15,$F69,0)=1,"O","X")</f>
        <v>X</v>
      </c>
      <c r="M69" s="188">
        <f ca="1">IFERROR(OFFSET(환산공식!DJ$15,$F69,0),"")</f>
        <v>118.8</v>
      </c>
      <c r="N69" s="20" t="str">
        <f ca="1">IFERROR(CONCATENATE(ROUND(OFFSET(환산공식!DK$15,$F69,0),1),"%"),"")</f>
        <v>100%</v>
      </c>
      <c r="O69" s="20">
        <f ca="1">IFERROR(OFFSET(환산공식!DL$15,$F69,0),"")</f>
        <v>0</v>
      </c>
      <c r="P69" s="188" t="str">
        <f t="shared" ca="1" si="1"/>
        <v>3% 이하</v>
      </c>
      <c r="Q69" s="194">
        <f ca="1">IFERROR(ROUND(OFFSET(환산공식!$FG$15,$F69,0),3),"")</f>
        <v>0</v>
      </c>
      <c r="R69" s="194">
        <f ca="1">OFFSET('배치점수 계산기'!H$10,$D69,0)</f>
        <v>663.85900000000004</v>
      </c>
      <c r="S69" s="194">
        <f ca="1">OFFSET('배치점수 계산기'!I$10,$D69,0)</f>
        <v>663.28300000000002</v>
      </c>
      <c r="T69" s="194">
        <f ca="1">OFFSET('배치점수 계산기'!J$10,$D69,0)</f>
        <v>661.07399999999996</v>
      </c>
      <c r="U69" s="194">
        <f ca="1">OFFSET('배치점수 계산기'!K$10,$D69,0)</f>
        <v>659.08199999999999</v>
      </c>
      <c r="V69" s="194">
        <f ca="1">OFFSET('배치점수 계산기'!L$10,$D69,0)</f>
        <v>656.95799999999997</v>
      </c>
      <c r="W69" s="186" t="str">
        <f ca="1">OFFSET('배치점수 계산기'!M$10,$D69,0)</f>
        <v>표점</v>
      </c>
      <c r="X69" s="184" t="str">
        <f ca="1">OFFSET('배치점수 계산기'!N$10,$D69,0)</f>
        <v>변표</v>
      </c>
      <c r="Y69" s="188">
        <f ca="1">OFFSET(환산공식!FW$15,$F69,0)</f>
        <v>0.43</v>
      </c>
      <c r="Z69" s="20">
        <f ca="1">OFFSET(환산공식!FX$15,$F69,0)</f>
        <v>0.28999999999999998</v>
      </c>
      <c r="AA69" s="179">
        <f ca="1">OFFSET(환산공식!FY$15,$F69,0)</f>
        <v>0.28999999999999998</v>
      </c>
      <c r="AC69"/>
      <c r="AD69">
        <f t="shared" ca="1" si="2"/>
        <v>6</v>
      </c>
      <c r="AE69"/>
    </row>
    <row r="70" spans="1:31" s="3" customFormat="1">
      <c r="A70" s="198"/>
      <c r="B70" s="198"/>
      <c r="C70" s="198" t="s">
        <v>631</v>
      </c>
      <c r="D70" s="195">
        <v>63</v>
      </c>
      <c r="E70" s="195">
        <v>8</v>
      </c>
      <c r="F70" s="195">
        <v>8</v>
      </c>
      <c r="G70" s="239">
        <v>63</v>
      </c>
      <c r="H70" s="197" t="s">
        <v>72</v>
      </c>
      <c r="I70" s="242" t="s">
        <v>73</v>
      </c>
      <c r="J70" s="242" t="s">
        <v>8905</v>
      </c>
      <c r="K70" s="195" t="s">
        <v>71</v>
      </c>
      <c r="L70" s="20" t="str">
        <f ca="1">IF(OFFSET(환산공식!$ED$15,$F70,0)=1,"O","X")</f>
        <v>X</v>
      </c>
      <c r="M70" s="188">
        <f ca="1">IFERROR(OFFSET(환산공식!DJ$15,$F70,0),"")</f>
        <v>150</v>
      </c>
      <c r="N70" s="20" t="str">
        <f ca="1">IFERROR(CONCATENATE(ROUND(OFFSET(환산공식!DK$15,$F70,0),1),"%"),"")</f>
        <v>100%</v>
      </c>
      <c r="O70" s="20">
        <f ca="1">IFERROR(OFFSET(환산공식!DL$15,$F70,0),"")</f>
        <v>0</v>
      </c>
      <c r="P70" s="188" t="str">
        <f t="shared" ca="1" si="1"/>
        <v>3% 이하</v>
      </c>
      <c r="Q70" s="194">
        <f ca="1">IFERROR(ROUND(OFFSET(환산공식!$FG$15,$F70,0),3),"")</f>
        <v>0</v>
      </c>
      <c r="R70" s="194">
        <f ca="1">OFFSET('배치점수 계산기'!H$10,$D70,0)</f>
        <v>636.79499999999996</v>
      </c>
      <c r="S70" s="194">
        <f ca="1">OFFSET('배치점수 계산기'!I$10,$D70,0)</f>
        <v>636.27800000000002</v>
      </c>
      <c r="T70" s="194">
        <f ca="1">OFFSET('배치점수 계산기'!J$10,$D70,0)</f>
        <v>635.49300000000005</v>
      </c>
      <c r="U70" s="194">
        <f ca="1">OFFSET('배치점수 계산기'!K$10,$D70,0)</f>
        <v>634.72699999999998</v>
      </c>
      <c r="V70" s="194">
        <f ca="1">OFFSET('배치점수 계산기'!L$10,$D70,0)</f>
        <v>634.22500000000002</v>
      </c>
      <c r="W70" s="186" t="str">
        <f ca="1">OFFSET('배치점수 계산기'!M$10,$D70,0)</f>
        <v>표점</v>
      </c>
      <c r="X70" s="184" t="str">
        <f ca="1">OFFSET('배치점수 계산기'!N$10,$D70,0)</f>
        <v>변표</v>
      </c>
      <c r="Y70" s="188">
        <f ca="1">OFFSET(환산공식!FW$15,$F70,0)</f>
        <v>0.4</v>
      </c>
      <c r="Z70" s="20">
        <f ca="1">OFFSET(환산공식!FX$15,$F70,0)</f>
        <v>0.4</v>
      </c>
      <c r="AA70" s="179">
        <f ca="1">OFFSET(환산공식!FY$15,$F70,0)</f>
        <v>0.2</v>
      </c>
      <c r="AC70"/>
      <c r="AD70">
        <f t="shared" ca="1" si="2"/>
        <v>6</v>
      </c>
      <c r="AE70"/>
    </row>
    <row r="71" spans="1:31" s="3" customFormat="1">
      <c r="A71" s="198"/>
      <c r="B71" s="198"/>
      <c r="C71" s="198" t="s">
        <v>632</v>
      </c>
      <c r="D71" s="195">
        <v>64</v>
      </c>
      <c r="E71" s="195">
        <v>6</v>
      </c>
      <c r="F71" s="195">
        <v>6</v>
      </c>
      <c r="G71" s="239">
        <v>64</v>
      </c>
      <c r="H71" s="197" t="s">
        <v>72</v>
      </c>
      <c r="I71" s="242" t="s">
        <v>73</v>
      </c>
      <c r="J71" s="242" t="s">
        <v>9061</v>
      </c>
      <c r="K71" s="195" t="s">
        <v>71</v>
      </c>
      <c r="L71" s="20" t="str">
        <f ca="1">IF(OFFSET(환산공식!$ED$15,$F71,0)=1,"O","X")</f>
        <v>X</v>
      </c>
      <c r="M71" s="188">
        <f ca="1">IFERROR(OFFSET(환산공식!DJ$15,$F71,0),"")</f>
        <v>118.8</v>
      </c>
      <c r="N71" s="20" t="str">
        <f ca="1">IFERROR(CONCATENATE(ROUND(OFFSET(환산공식!DK$15,$F71,0),1),"%"),"")</f>
        <v>100%</v>
      </c>
      <c r="O71" s="20">
        <f ca="1">IFERROR(OFFSET(환산공식!DL$15,$F71,0),"")</f>
        <v>0</v>
      </c>
      <c r="P71" s="188" t="str">
        <f t="shared" ca="1" si="1"/>
        <v>3% 이하</v>
      </c>
      <c r="Q71" s="194">
        <f ca="1">IFERROR(ROUND(OFFSET(환산공식!$FG$15,$F71,0),3),"")</f>
        <v>0</v>
      </c>
      <c r="R71" s="194">
        <f ca="1">OFFSET('배치점수 계산기'!H$10,$D71,0)</f>
        <v>663.74</v>
      </c>
      <c r="S71" s="194">
        <f ca="1">OFFSET('배치점수 계산기'!I$10,$D71,0)</f>
        <v>661.86199999999997</v>
      </c>
      <c r="T71" s="194">
        <f ca="1">OFFSET('배치점수 계산기'!J$10,$D71,0)</f>
        <v>660.05600000000004</v>
      </c>
      <c r="U71" s="194">
        <f ca="1">OFFSET('배치점수 계산기'!K$10,$D71,0)</f>
        <v>657.05799999999999</v>
      </c>
      <c r="V71" s="194">
        <f ca="1">OFFSET('배치점수 계산기'!L$10,$D71,0)</f>
        <v>655.11</v>
      </c>
      <c r="W71" s="186" t="str">
        <f ca="1">OFFSET('배치점수 계산기'!M$10,$D71,0)</f>
        <v>표점</v>
      </c>
      <c r="X71" s="184" t="str">
        <f ca="1">OFFSET('배치점수 계산기'!N$10,$D71,0)</f>
        <v>변표</v>
      </c>
      <c r="Y71" s="188">
        <f ca="1">OFFSET(환산공식!FW$15,$F71,0)</f>
        <v>0.43</v>
      </c>
      <c r="Z71" s="20">
        <f ca="1">OFFSET(환산공식!FX$15,$F71,0)</f>
        <v>0.28999999999999998</v>
      </c>
      <c r="AA71" s="179">
        <f ca="1">OFFSET(환산공식!FY$15,$F71,0)</f>
        <v>0.28999999999999998</v>
      </c>
      <c r="AC71"/>
      <c r="AD71">
        <f t="shared" ca="1" si="2"/>
        <v>6</v>
      </c>
      <c r="AE71"/>
    </row>
    <row r="72" spans="1:31" s="3" customFormat="1">
      <c r="A72" s="198"/>
      <c r="B72" s="198"/>
      <c r="C72" s="198" t="s">
        <v>633</v>
      </c>
      <c r="D72" s="195">
        <v>65</v>
      </c>
      <c r="E72" s="195">
        <v>6</v>
      </c>
      <c r="F72" s="195">
        <v>6</v>
      </c>
      <c r="G72" s="239">
        <v>65</v>
      </c>
      <c r="H72" s="197" t="s">
        <v>72</v>
      </c>
      <c r="I72" s="242" t="s">
        <v>73</v>
      </c>
      <c r="J72" s="242" t="s">
        <v>9729</v>
      </c>
      <c r="K72" s="195" t="s">
        <v>71</v>
      </c>
      <c r="L72" s="20" t="str">
        <f ca="1">IF(OFFSET(환산공식!$ED$15,$F72,0)=1,"O","X")</f>
        <v>X</v>
      </c>
      <c r="M72" s="188">
        <f ca="1">IFERROR(OFFSET(환산공식!DJ$15,$F72,0),"")</f>
        <v>118.8</v>
      </c>
      <c r="N72" s="20" t="str">
        <f ca="1">IFERROR(CONCATENATE(ROUND(OFFSET(환산공식!DK$15,$F72,0),1),"%"),"")</f>
        <v>100%</v>
      </c>
      <c r="O72" s="20">
        <f ca="1">IFERROR(OFFSET(환산공식!DL$15,$F72,0),"")</f>
        <v>0</v>
      </c>
      <c r="P72" s="188" t="str">
        <f t="shared" ca="1" si="1"/>
        <v>3% 이하</v>
      </c>
      <c r="Q72" s="194">
        <f ca="1">IFERROR(ROUND(OFFSET(환산공식!$FG$15,$F72,0),3),"")</f>
        <v>0</v>
      </c>
      <c r="R72" s="194">
        <f ca="1">OFFSET('배치점수 계산기'!H$10,$D72,0)</f>
        <v>653.32600000000002</v>
      </c>
      <c r="S72" s="194">
        <f ca="1">OFFSET('배치점수 계산기'!I$10,$D72,0)</f>
        <v>651.55899999999997</v>
      </c>
      <c r="T72" s="194">
        <f ca="1">OFFSET('배치점수 계산기'!J$10,$D72,0)</f>
        <v>649.88900000000001</v>
      </c>
      <c r="U72" s="194">
        <f ca="1">OFFSET('배치점수 계산기'!K$10,$D72,0)</f>
        <v>646.80499999999995</v>
      </c>
      <c r="V72" s="194">
        <f ca="1">OFFSET('배치점수 계산기'!L$10,$D72,0)</f>
        <v>644.30799999999999</v>
      </c>
      <c r="W72" s="186" t="str">
        <f ca="1">OFFSET('배치점수 계산기'!M$10,$D72,0)</f>
        <v>표점</v>
      </c>
      <c r="X72" s="184" t="str">
        <f ca="1">OFFSET('배치점수 계산기'!N$10,$D72,0)</f>
        <v>변표</v>
      </c>
      <c r="Y72" s="188">
        <f ca="1">OFFSET(환산공식!FW$15,$F72,0)</f>
        <v>0.43</v>
      </c>
      <c r="Z72" s="20">
        <f ca="1">OFFSET(환산공식!FX$15,$F72,0)</f>
        <v>0.28999999999999998</v>
      </c>
      <c r="AA72" s="179">
        <f ca="1">OFFSET(환산공식!FY$15,$F72,0)</f>
        <v>0.28999999999999998</v>
      </c>
      <c r="AC72"/>
      <c r="AD72">
        <f t="shared" ca="1" si="2"/>
        <v>6</v>
      </c>
      <c r="AE72"/>
    </row>
    <row r="73" spans="1:31" s="3" customFormat="1">
      <c r="A73" s="198"/>
      <c r="B73" s="198"/>
      <c r="C73" s="198" t="s">
        <v>634</v>
      </c>
      <c r="D73" s="195">
        <v>66</v>
      </c>
      <c r="E73" s="195">
        <v>6</v>
      </c>
      <c r="F73" s="195">
        <v>6</v>
      </c>
      <c r="G73" s="239">
        <v>66</v>
      </c>
      <c r="H73" s="197" t="s">
        <v>72</v>
      </c>
      <c r="I73" s="242" t="s">
        <v>73</v>
      </c>
      <c r="J73" s="242" t="s">
        <v>10274</v>
      </c>
      <c r="K73" s="195" t="s">
        <v>71</v>
      </c>
      <c r="L73" s="20" t="str">
        <f ca="1">IF(OFFSET(환산공식!$ED$15,$F73,0)=1,"O","X")</f>
        <v>X</v>
      </c>
      <c r="M73" s="188">
        <f ca="1">IFERROR(OFFSET(환산공식!DJ$15,$F73,0),"")</f>
        <v>118.8</v>
      </c>
      <c r="N73" s="20" t="str">
        <f ca="1">IFERROR(CONCATENATE(ROUND(OFFSET(환산공식!DK$15,$F73,0),1),"%"),"")</f>
        <v>100%</v>
      </c>
      <c r="O73" s="20">
        <f ca="1">IFERROR(OFFSET(환산공식!DL$15,$F73,0),"")</f>
        <v>0</v>
      </c>
      <c r="P73" s="188" t="str">
        <f t="shared" ref="P73:P136" ca="1" si="3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3% 이하</v>
      </c>
      <c r="Q73" s="194">
        <f ca="1">IFERROR(ROUND(OFFSET(환산공식!$FG$15,$F73,0),3),"")</f>
        <v>0</v>
      </c>
      <c r="R73" s="194">
        <f ca="1">OFFSET('배치점수 계산기'!H$10,$D73,0)</f>
        <v>645.46799999999996</v>
      </c>
      <c r="S73" s="194">
        <f ca="1">OFFSET('배치점수 계산기'!I$10,$D73,0)</f>
        <v>643.33100000000002</v>
      </c>
      <c r="T73" s="194">
        <f ca="1">OFFSET('배치점수 계산기'!J$10,$D73,0)</f>
        <v>642.21199999999999</v>
      </c>
      <c r="U73" s="194">
        <f ca="1">OFFSET('배치점수 계산기'!K$10,$D73,0)</f>
        <v>637.19600000000003</v>
      </c>
      <c r="V73" s="194">
        <f ca="1">OFFSET('배치점수 계산기'!L$10,$D73,0)</f>
        <v>631.13599999999997</v>
      </c>
      <c r="W73" s="186" t="str">
        <f ca="1">OFFSET('배치점수 계산기'!M$10,$D73,0)</f>
        <v>표점</v>
      </c>
      <c r="X73" s="184" t="str">
        <f ca="1">OFFSET('배치점수 계산기'!N$10,$D73,0)</f>
        <v>변표</v>
      </c>
      <c r="Y73" s="188">
        <f ca="1">OFFSET(환산공식!FW$15,$F73,0)</f>
        <v>0.43</v>
      </c>
      <c r="Z73" s="20">
        <f ca="1">OFFSET(환산공식!FX$15,$F73,0)</f>
        <v>0.28999999999999998</v>
      </c>
      <c r="AA73" s="179">
        <f ca="1">OFFSET(환산공식!FY$15,$F73,0)</f>
        <v>0.28999999999999998</v>
      </c>
      <c r="AC73"/>
      <c r="AD73">
        <f t="shared" ref="AD73:AD136" ca="1" si="4">IF(L73="X",6,IF(Q73&gt;R73,1,IF(Q73&gt;S73,2,IF(Q73&gt;T73,3,IF(Q73&gt;U73,4,IF(Q73&gt;=V73,5,IF(Q73&lt;V73,6,"")))))))</f>
        <v>6</v>
      </c>
      <c r="AE73"/>
    </row>
    <row r="74" spans="1:31" s="3" customFormat="1">
      <c r="A74" s="198"/>
      <c r="B74" s="198"/>
      <c r="C74" s="198" t="s">
        <v>635</v>
      </c>
      <c r="D74" s="195">
        <v>67</v>
      </c>
      <c r="E74" s="195">
        <v>6</v>
      </c>
      <c r="F74" s="195">
        <v>6</v>
      </c>
      <c r="G74" s="239">
        <v>67</v>
      </c>
      <c r="H74" s="197" t="s">
        <v>72</v>
      </c>
      <c r="I74" s="242" t="s">
        <v>73</v>
      </c>
      <c r="J74" s="242" t="s">
        <v>10253</v>
      </c>
      <c r="K74" s="195" t="s">
        <v>71</v>
      </c>
      <c r="L74" s="20" t="str">
        <f ca="1">IF(OFFSET(환산공식!$ED$15,$F74,0)=1,"O","X")</f>
        <v>X</v>
      </c>
      <c r="M74" s="188">
        <f ca="1">IFERROR(OFFSET(환산공식!DJ$15,$F74,0),"")</f>
        <v>118.8</v>
      </c>
      <c r="N74" s="20" t="str">
        <f ca="1">IFERROR(CONCATENATE(ROUND(OFFSET(환산공식!DK$15,$F74,0),1),"%"),"")</f>
        <v>100%</v>
      </c>
      <c r="O74" s="20">
        <f ca="1">IFERROR(OFFSET(환산공식!DL$15,$F74,0),"")</f>
        <v>0</v>
      </c>
      <c r="P74" s="188" t="str">
        <f t="shared" ca="1" si="3"/>
        <v>3% 이하</v>
      </c>
      <c r="Q74" s="194">
        <f ca="1">IFERROR(ROUND(OFFSET(환산공식!$FG$15,$F74,0),3),"")</f>
        <v>0</v>
      </c>
      <c r="R74" s="194">
        <f ca="1">OFFSET('배치점수 계산기'!H$10,$D74,0)</f>
        <v>645.46799999999996</v>
      </c>
      <c r="S74" s="194">
        <f ca="1">OFFSET('배치점수 계산기'!I$10,$D74,0)</f>
        <v>643.33100000000002</v>
      </c>
      <c r="T74" s="194">
        <f ca="1">OFFSET('배치점수 계산기'!J$10,$D74,0)</f>
        <v>642.21199999999999</v>
      </c>
      <c r="U74" s="194">
        <f ca="1">OFFSET('배치점수 계산기'!K$10,$D74,0)</f>
        <v>639.23800000000006</v>
      </c>
      <c r="V74" s="194">
        <f ca="1">OFFSET('배치점수 계산기'!L$10,$D74,0)</f>
        <v>636.649</v>
      </c>
      <c r="W74" s="186" t="str">
        <f ca="1">OFFSET('배치점수 계산기'!M$10,$D74,0)</f>
        <v>표점</v>
      </c>
      <c r="X74" s="184" t="str">
        <f ca="1">OFFSET('배치점수 계산기'!N$10,$D74,0)</f>
        <v>변표</v>
      </c>
      <c r="Y74" s="188">
        <f ca="1">OFFSET(환산공식!FW$15,$F74,0)</f>
        <v>0.43</v>
      </c>
      <c r="Z74" s="20">
        <f ca="1">OFFSET(환산공식!FX$15,$F74,0)</f>
        <v>0.28999999999999998</v>
      </c>
      <c r="AA74" s="179">
        <f ca="1">OFFSET(환산공식!FY$15,$F74,0)</f>
        <v>0.28999999999999998</v>
      </c>
      <c r="AC74"/>
      <c r="AD74">
        <f t="shared" ca="1" si="4"/>
        <v>6</v>
      </c>
      <c r="AE74"/>
    </row>
    <row r="75" spans="1:31" s="3" customFormat="1">
      <c r="A75" s="198"/>
      <c r="B75" s="198"/>
      <c r="C75" s="198" t="s">
        <v>636</v>
      </c>
      <c r="D75" s="195">
        <v>68</v>
      </c>
      <c r="E75" s="195">
        <v>6</v>
      </c>
      <c r="F75" s="195">
        <v>6</v>
      </c>
      <c r="G75" s="239">
        <v>68</v>
      </c>
      <c r="H75" s="197" t="s">
        <v>72</v>
      </c>
      <c r="I75" s="242" t="s">
        <v>73</v>
      </c>
      <c r="J75" s="242" t="s">
        <v>10286</v>
      </c>
      <c r="K75" s="195" t="s">
        <v>71</v>
      </c>
      <c r="L75" s="20" t="str">
        <f ca="1">IF(OFFSET(환산공식!$ED$15,$F75,0)=1,"O","X")</f>
        <v>X</v>
      </c>
      <c r="M75" s="188">
        <f ca="1">IFERROR(OFFSET(환산공식!DJ$15,$F75,0),"")</f>
        <v>118.8</v>
      </c>
      <c r="N75" s="20" t="str">
        <f ca="1">IFERROR(CONCATENATE(ROUND(OFFSET(환산공식!DK$15,$F75,0),1),"%"),"")</f>
        <v>100%</v>
      </c>
      <c r="O75" s="20">
        <f ca="1">IFERROR(OFFSET(환산공식!DL$15,$F75,0),"")</f>
        <v>0</v>
      </c>
      <c r="P75" s="188" t="str">
        <f t="shared" ca="1" si="3"/>
        <v>3% 이하</v>
      </c>
      <c r="Q75" s="194">
        <f ca="1">IFERROR(ROUND(OFFSET(환산공식!$FG$15,$F75,0),3),"")</f>
        <v>0</v>
      </c>
      <c r="R75" s="194">
        <f ca="1">OFFSET('배치점수 계산기'!H$10,$D75,0)</f>
        <v>644.86500000000001</v>
      </c>
      <c r="S75" s="194">
        <f ca="1">OFFSET('배치점수 계산기'!I$10,$D75,0)</f>
        <v>642.85500000000002</v>
      </c>
      <c r="T75" s="194">
        <f ca="1">OFFSET('배치점수 계산기'!J$10,$D75,0)</f>
        <v>641.69600000000003</v>
      </c>
      <c r="U75" s="194">
        <f ca="1">OFFSET('배치점수 계산기'!K$10,$D75,0)</f>
        <v>638.68200000000002</v>
      </c>
      <c r="V75" s="194">
        <f ca="1">OFFSET('배치점수 계산기'!L$10,$D75,0)</f>
        <v>636.37099999999998</v>
      </c>
      <c r="W75" s="186" t="str">
        <f ca="1">OFFSET('배치점수 계산기'!M$10,$D75,0)</f>
        <v>표점</v>
      </c>
      <c r="X75" s="184" t="str">
        <f ca="1">OFFSET('배치점수 계산기'!N$10,$D75,0)</f>
        <v>변표</v>
      </c>
      <c r="Y75" s="188">
        <f ca="1">OFFSET(환산공식!FW$15,$F75,0)</f>
        <v>0.43</v>
      </c>
      <c r="Z75" s="20">
        <f ca="1">OFFSET(환산공식!FX$15,$F75,0)</f>
        <v>0.28999999999999998</v>
      </c>
      <c r="AA75" s="179">
        <f ca="1">OFFSET(환산공식!FY$15,$F75,0)</f>
        <v>0.28999999999999998</v>
      </c>
      <c r="AC75"/>
      <c r="AD75">
        <f t="shared" ca="1" si="4"/>
        <v>6</v>
      </c>
      <c r="AE75"/>
    </row>
    <row r="76" spans="1:31" s="3" customFormat="1">
      <c r="A76" s="198"/>
      <c r="B76" s="198"/>
      <c r="C76" s="198" t="s">
        <v>637</v>
      </c>
      <c r="D76" s="195">
        <v>69</v>
      </c>
      <c r="E76" s="195">
        <v>6</v>
      </c>
      <c r="F76" s="195">
        <v>6</v>
      </c>
      <c r="G76" s="239">
        <v>69</v>
      </c>
      <c r="H76" s="197" t="s">
        <v>72</v>
      </c>
      <c r="I76" s="242" t="s">
        <v>73</v>
      </c>
      <c r="J76" s="242" t="s">
        <v>10758</v>
      </c>
      <c r="K76" s="195" t="s">
        <v>71</v>
      </c>
      <c r="L76" s="20" t="str">
        <f ca="1">IF(OFFSET(환산공식!$ED$15,$F76,0)=1,"O","X")</f>
        <v>X</v>
      </c>
      <c r="M76" s="188">
        <f ca="1">IFERROR(OFFSET(환산공식!DJ$15,$F76,0),"")</f>
        <v>118.8</v>
      </c>
      <c r="N76" s="20" t="str">
        <f ca="1">IFERROR(CONCATENATE(ROUND(OFFSET(환산공식!DK$15,$F76,0),1),"%"),"")</f>
        <v>100%</v>
      </c>
      <c r="O76" s="20">
        <f ca="1">IFERROR(OFFSET(환산공식!DL$15,$F76,0),"")</f>
        <v>0</v>
      </c>
      <c r="P76" s="188" t="str">
        <f t="shared" ca="1" si="3"/>
        <v>3% 이하</v>
      </c>
      <c r="Q76" s="194">
        <f ca="1">IFERROR(ROUND(OFFSET(환산공식!$FG$15,$F76,0),3),"")</f>
        <v>0</v>
      </c>
      <c r="R76" s="194">
        <f ca="1">OFFSET('배치점수 계산기'!H$10,$D76,0)</f>
        <v>637.59299999999996</v>
      </c>
      <c r="S76" s="194">
        <f ca="1">OFFSET('배치점수 계산기'!I$10,$D76,0)</f>
        <v>635.56700000000001</v>
      </c>
      <c r="T76" s="194">
        <f ca="1">OFFSET('배치점수 계산기'!J$10,$D76,0)</f>
        <v>634.24699999999996</v>
      </c>
      <c r="U76" s="194">
        <f ca="1">OFFSET('배치점수 계산기'!K$10,$D76,0)</f>
        <v>628.73900000000003</v>
      </c>
      <c r="V76" s="194">
        <f ca="1">OFFSET('배치점수 계산기'!L$10,$D76,0)</f>
        <v>623.83299999999997</v>
      </c>
      <c r="W76" s="186" t="str">
        <f ca="1">OFFSET('배치점수 계산기'!M$10,$D76,0)</f>
        <v>표점</v>
      </c>
      <c r="X76" s="184" t="str">
        <f ca="1">OFFSET('배치점수 계산기'!N$10,$D76,0)</f>
        <v>변표</v>
      </c>
      <c r="Y76" s="188">
        <f ca="1">OFFSET(환산공식!FW$15,$F76,0)</f>
        <v>0.43</v>
      </c>
      <c r="Z76" s="20">
        <f ca="1">OFFSET(환산공식!FX$15,$F76,0)</f>
        <v>0.28999999999999998</v>
      </c>
      <c r="AA76" s="179">
        <f ca="1">OFFSET(환산공식!FY$15,$F76,0)</f>
        <v>0.28999999999999998</v>
      </c>
      <c r="AC76"/>
      <c r="AD76">
        <f t="shared" ca="1" si="4"/>
        <v>6</v>
      </c>
      <c r="AE76"/>
    </row>
    <row r="77" spans="1:31" s="3" customFormat="1">
      <c r="A77" s="198"/>
      <c r="B77" s="198"/>
      <c r="C77" s="198" t="s">
        <v>638</v>
      </c>
      <c r="D77" s="195">
        <v>70</v>
      </c>
      <c r="E77" s="195">
        <v>6</v>
      </c>
      <c r="F77" s="195">
        <v>6</v>
      </c>
      <c r="G77" s="239">
        <v>70</v>
      </c>
      <c r="H77" s="197" t="s">
        <v>72</v>
      </c>
      <c r="I77" s="242" t="s">
        <v>73</v>
      </c>
      <c r="J77" s="242" t="s">
        <v>11138</v>
      </c>
      <c r="K77" s="195" t="s">
        <v>71</v>
      </c>
      <c r="L77" s="20" t="str">
        <f ca="1">IF(OFFSET(환산공식!$ED$15,$F77,0)=1,"O","X")</f>
        <v>X</v>
      </c>
      <c r="M77" s="188">
        <f ca="1">IFERROR(OFFSET(환산공식!DJ$15,$F77,0),"")</f>
        <v>118.8</v>
      </c>
      <c r="N77" s="20" t="str">
        <f ca="1">IFERROR(CONCATENATE(ROUND(OFFSET(환산공식!DK$15,$F77,0),1),"%"),"")</f>
        <v>100%</v>
      </c>
      <c r="O77" s="20">
        <f ca="1">IFERROR(OFFSET(환산공식!DL$15,$F77,0),"")</f>
        <v>0</v>
      </c>
      <c r="P77" s="188" t="str">
        <f t="shared" ca="1" si="3"/>
        <v>3% 이하</v>
      </c>
      <c r="Q77" s="194">
        <f ca="1">IFERROR(ROUND(OFFSET(환산공식!$FG$15,$F77,0),3),"")</f>
        <v>0</v>
      </c>
      <c r="R77" s="194">
        <f ca="1">OFFSET('배치점수 계산기'!H$10,$D77,0)</f>
        <v>627.83000000000004</v>
      </c>
      <c r="S77" s="194">
        <f ca="1">OFFSET('배치점수 계산기'!I$10,$D77,0)</f>
        <v>625.92999999999995</v>
      </c>
      <c r="T77" s="194">
        <f ca="1">OFFSET('배치점수 계산기'!J$10,$D77,0)</f>
        <v>624.84100000000001</v>
      </c>
      <c r="U77" s="194">
        <f ca="1">OFFSET('배치점수 계산기'!K$10,$D77,0)</f>
        <v>619.96600000000001</v>
      </c>
      <c r="V77" s="194">
        <f ca="1">OFFSET('배치점수 계산기'!L$10,$D77,0)</f>
        <v>616.11300000000006</v>
      </c>
      <c r="W77" s="186" t="str">
        <f ca="1">OFFSET('배치점수 계산기'!M$10,$D77,0)</f>
        <v>표점</v>
      </c>
      <c r="X77" s="184" t="str">
        <f ca="1">OFFSET('배치점수 계산기'!N$10,$D77,0)</f>
        <v>변표</v>
      </c>
      <c r="Y77" s="188">
        <f ca="1">OFFSET(환산공식!FW$15,$F77,0)</f>
        <v>0.43</v>
      </c>
      <c r="Z77" s="20">
        <f ca="1">OFFSET(환산공식!FX$15,$F77,0)</f>
        <v>0.28999999999999998</v>
      </c>
      <c r="AA77" s="179">
        <f ca="1">OFFSET(환산공식!FY$15,$F77,0)</f>
        <v>0.28999999999999998</v>
      </c>
      <c r="AC77"/>
      <c r="AD77">
        <f t="shared" ca="1" si="4"/>
        <v>6</v>
      </c>
      <c r="AE77"/>
    </row>
    <row r="78" spans="1:31" s="3" customFormat="1">
      <c r="A78" s="198"/>
      <c r="B78" s="198"/>
      <c r="C78" s="198" t="s">
        <v>639</v>
      </c>
      <c r="D78" s="195">
        <v>71</v>
      </c>
      <c r="E78" s="195">
        <v>10</v>
      </c>
      <c r="F78" s="195">
        <v>10</v>
      </c>
      <c r="G78" s="239">
        <v>71</v>
      </c>
      <c r="H78" s="197" t="s">
        <v>72</v>
      </c>
      <c r="I78" s="242" t="s">
        <v>75</v>
      </c>
      <c r="J78" s="242" t="s">
        <v>8783</v>
      </c>
      <c r="K78" s="195" t="s">
        <v>8784</v>
      </c>
      <c r="L78" s="20" t="str">
        <f ca="1">IF(OFFSET(환산공식!$ED$15,$F78,0)=1,"O","X")</f>
        <v>X</v>
      </c>
      <c r="M78" s="188">
        <f ca="1">IFERROR(OFFSET(환산공식!DJ$15,$F78,0),"")</f>
        <v>0</v>
      </c>
      <c r="N78" s="20" t="str">
        <f ca="1">IFERROR(CONCATENATE(ROUND(OFFSET(환산공식!DK$15,$F78,0),1),"%"),"")</f>
        <v/>
      </c>
      <c r="O78" s="20">
        <f ca="1">IFERROR(OFFSET(환산공식!DL$15,$F78,0),"")</f>
        <v>0</v>
      </c>
      <c r="P78" s="188" t="str">
        <f t="shared" ca="1" si="3"/>
        <v>3% 이하</v>
      </c>
      <c r="Q78" s="194">
        <f ca="1">IFERROR(ROUND(OFFSET(환산공식!$FG$15,$F78,0),3),"")</f>
        <v>0</v>
      </c>
      <c r="R78" s="194">
        <f ca="1">OFFSET('배치점수 계산기'!H$10,$D78,0)</f>
        <v>523.33500000000004</v>
      </c>
      <c r="S78" s="194">
        <f ca="1">OFFSET('배치점수 계산기'!I$10,$D78,0)</f>
        <v>522.80899999999997</v>
      </c>
      <c r="T78" s="194">
        <f ca="1">OFFSET('배치점수 계산기'!J$10,$D78,0)</f>
        <v>520.55799999999999</v>
      </c>
      <c r="U78" s="194">
        <f ca="1">OFFSET('배치점수 계산기'!K$10,$D78,0)</f>
        <v>518.82399999999996</v>
      </c>
      <c r="V78" s="194">
        <f ca="1">OFFSET('배치점수 계산기'!L$10,$D78,0)</f>
        <v>515.96699999999998</v>
      </c>
      <c r="W78" s="186" t="str">
        <f ca="1">OFFSET('배치점수 계산기'!M$10,$D78,0)</f>
        <v>표점</v>
      </c>
      <c r="X78" s="184" t="str">
        <f ca="1">OFFSET('배치점수 계산기'!N$10,$D78,0)</f>
        <v>변표</v>
      </c>
      <c r="Y78" s="188">
        <f ca="1">OFFSET(환산공식!FW$15,$F78,0)</f>
        <v>0.31</v>
      </c>
      <c r="Z78" s="20">
        <f ca="1">OFFSET(환산공식!FX$15,$F78,0)</f>
        <v>0.38</v>
      </c>
      <c r="AA78" s="179">
        <f ca="1">OFFSET(환산공식!FY$15,$F78,0)</f>
        <v>0.31</v>
      </c>
      <c r="AC78"/>
      <c r="AD78">
        <f t="shared" ca="1" si="4"/>
        <v>6</v>
      </c>
      <c r="AE78"/>
    </row>
    <row r="79" spans="1:31" s="3" customFormat="1">
      <c r="A79" s="198"/>
      <c r="B79" s="198"/>
      <c r="C79" s="198" t="s">
        <v>640</v>
      </c>
      <c r="D79" s="195">
        <v>72</v>
      </c>
      <c r="E79" s="195">
        <v>9</v>
      </c>
      <c r="F79" s="195">
        <v>9</v>
      </c>
      <c r="G79" s="239">
        <v>72</v>
      </c>
      <c r="H79" s="197" t="s">
        <v>72</v>
      </c>
      <c r="I79" s="242" t="s">
        <v>75</v>
      </c>
      <c r="J79" s="242" t="s">
        <v>8327</v>
      </c>
      <c r="K79" s="195" t="s">
        <v>70</v>
      </c>
      <c r="L79" s="20" t="str">
        <f ca="1">IF(OFFSET(환산공식!$ED$15,$F79,0)=1,"O","X")</f>
        <v>X</v>
      </c>
      <c r="M79" s="188">
        <f ca="1">IFERROR(OFFSET(환산공식!DJ$15,$F79,0),"")</f>
        <v>0</v>
      </c>
      <c r="N79" s="20" t="str">
        <f ca="1">IFERROR(CONCATENATE(ROUND(OFFSET(환산공식!DK$15,$F79,0),1),"%"),"")</f>
        <v/>
      </c>
      <c r="O79" s="20">
        <f ca="1">IFERROR(OFFSET(환산공식!DL$15,$F79,0),"")</f>
        <v>0</v>
      </c>
      <c r="P79" s="188" t="str">
        <f t="shared" ca="1" si="3"/>
        <v>3% 이하</v>
      </c>
      <c r="Q79" s="194">
        <f ca="1">IFERROR(ROUND(OFFSET(환산공식!$FG$15,$F79,0),3),"")</f>
        <v>0</v>
      </c>
      <c r="R79" s="194">
        <f ca="1">OFFSET('배치점수 계산기'!H$10,$D79,0)</f>
        <v>669.596</v>
      </c>
      <c r="S79" s="194">
        <f ca="1">OFFSET('배치점수 계산기'!I$10,$D79,0)</f>
        <v>667.23500000000001</v>
      </c>
      <c r="T79" s="194">
        <f ca="1">OFFSET('배치점수 계산기'!J$10,$D79,0)</f>
        <v>663.15200000000004</v>
      </c>
      <c r="U79" s="194">
        <f ca="1">OFFSET('배치점수 계산기'!K$10,$D79,0)</f>
        <v>655.19799999999998</v>
      </c>
      <c r="V79" s="194">
        <f ca="1">OFFSET('배치점수 계산기'!L$10,$D79,0)</f>
        <v>649.05499999999995</v>
      </c>
      <c r="W79" s="186" t="str">
        <f ca="1">OFFSET('배치점수 계산기'!M$10,$D79,0)</f>
        <v>표점</v>
      </c>
      <c r="X79" s="184" t="str">
        <f ca="1">OFFSET('배치점수 계산기'!N$10,$D79,0)</f>
        <v>변표</v>
      </c>
      <c r="Y79" s="188">
        <f ca="1">OFFSET(환산공식!FW$15,$F79,0)</f>
        <v>0.31</v>
      </c>
      <c r="Z79" s="20">
        <f ca="1">OFFSET(환산공식!FX$15,$F79,0)</f>
        <v>0.38</v>
      </c>
      <c r="AA79" s="179">
        <f ca="1">OFFSET(환산공식!FY$15,$F79,0)</f>
        <v>0.31</v>
      </c>
      <c r="AC79"/>
      <c r="AD79">
        <f t="shared" ca="1" si="4"/>
        <v>6</v>
      </c>
      <c r="AE79"/>
    </row>
    <row r="80" spans="1:31" s="3" customFormat="1">
      <c r="A80" s="198"/>
      <c r="B80" s="198"/>
      <c r="C80" s="198" t="s">
        <v>641</v>
      </c>
      <c r="D80" s="195">
        <v>73</v>
      </c>
      <c r="E80" s="195">
        <v>9</v>
      </c>
      <c r="F80" s="195">
        <v>9</v>
      </c>
      <c r="G80" s="239">
        <v>73</v>
      </c>
      <c r="H80" s="197" t="s">
        <v>72</v>
      </c>
      <c r="I80" s="242" t="s">
        <v>75</v>
      </c>
      <c r="J80" s="242" t="s">
        <v>8345</v>
      </c>
      <c r="K80" s="195" t="s">
        <v>70</v>
      </c>
      <c r="L80" s="20" t="str">
        <f ca="1">IF(OFFSET(환산공식!$ED$15,$F80,0)=1,"O","X")</f>
        <v>X</v>
      </c>
      <c r="M80" s="188">
        <f ca="1">IFERROR(OFFSET(환산공식!DJ$15,$F80,0),"")</f>
        <v>0</v>
      </c>
      <c r="N80" s="20" t="str">
        <f ca="1">IFERROR(CONCATENATE(ROUND(OFFSET(환산공식!DK$15,$F80,0),1),"%"),"")</f>
        <v/>
      </c>
      <c r="O80" s="20">
        <f ca="1">IFERROR(OFFSET(환산공식!DL$15,$F80,0),"")</f>
        <v>0</v>
      </c>
      <c r="P80" s="188" t="str">
        <f t="shared" ca="1" si="3"/>
        <v>3% 이하</v>
      </c>
      <c r="Q80" s="194">
        <f ca="1">IFERROR(ROUND(OFFSET(환산공식!$FG$15,$F80,0),3),"")</f>
        <v>0</v>
      </c>
      <c r="R80" s="194">
        <f ca="1">OFFSET('배치점수 계산기'!H$10,$D80,0)</f>
        <v>667.83399999999995</v>
      </c>
      <c r="S80" s="194">
        <f ca="1">OFFSET('배치점수 계산기'!I$10,$D80,0)</f>
        <v>666.39599999999996</v>
      </c>
      <c r="T80" s="194">
        <f ca="1">OFFSET('배치점수 계산기'!J$10,$D80,0)</f>
        <v>662.75699999999995</v>
      </c>
      <c r="U80" s="194">
        <f ca="1">OFFSET('배치점수 계산기'!K$10,$D80,0)</f>
        <v>659.55399999999997</v>
      </c>
      <c r="V80" s="194">
        <f ca="1">OFFSET('배치점수 계산기'!L$10,$D80,0)</f>
        <v>653.43100000000004</v>
      </c>
      <c r="W80" s="186" t="str">
        <f ca="1">OFFSET('배치점수 계산기'!M$10,$D80,0)</f>
        <v>표점</v>
      </c>
      <c r="X80" s="184" t="str">
        <f ca="1">OFFSET('배치점수 계산기'!N$10,$D80,0)</f>
        <v>변표</v>
      </c>
      <c r="Y80" s="188">
        <f ca="1">OFFSET(환산공식!FW$15,$F80,0)</f>
        <v>0.31</v>
      </c>
      <c r="Z80" s="20">
        <f ca="1">OFFSET(환산공식!FX$15,$F80,0)</f>
        <v>0.38</v>
      </c>
      <c r="AA80" s="179">
        <f ca="1">OFFSET(환산공식!FY$15,$F80,0)</f>
        <v>0.31</v>
      </c>
      <c r="AC80"/>
      <c r="AD80">
        <f t="shared" ca="1" si="4"/>
        <v>6</v>
      </c>
      <c r="AE80"/>
    </row>
    <row r="81" spans="1:31" s="3" customFormat="1">
      <c r="A81" s="198"/>
      <c r="B81" s="198"/>
      <c r="C81" s="198" t="s">
        <v>642</v>
      </c>
      <c r="D81" s="195">
        <v>74</v>
      </c>
      <c r="E81" s="195">
        <v>9</v>
      </c>
      <c r="F81" s="195">
        <v>9</v>
      </c>
      <c r="G81" s="239">
        <v>74</v>
      </c>
      <c r="H81" s="197" t="s">
        <v>72</v>
      </c>
      <c r="I81" s="242" t="s">
        <v>75</v>
      </c>
      <c r="J81" s="242" t="s">
        <v>7250</v>
      </c>
      <c r="K81" s="195" t="s">
        <v>70</v>
      </c>
      <c r="L81" s="20" t="str">
        <f ca="1">IF(OFFSET(환산공식!$ED$15,$F81,0)=1,"O","X")</f>
        <v>X</v>
      </c>
      <c r="M81" s="188">
        <f ca="1">IFERROR(OFFSET(환산공식!DJ$15,$F81,0),"")</f>
        <v>0</v>
      </c>
      <c r="N81" s="20" t="str">
        <f ca="1">IFERROR(CONCATENATE(ROUND(OFFSET(환산공식!DK$15,$F81,0),1),"%"),"")</f>
        <v/>
      </c>
      <c r="O81" s="20">
        <f ca="1">IFERROR(OFFSET(환산공식!DL$15,$F81,0),"")</f>
        <v>0</v>
      </c>
      <c r="P81" s="188" t="str">
        <f t="shared" ca="1" si="3"/>
        <v>3% 이하</v>
      </c>
      <c r="Q81" s="194">
        <f ca="1">IFERROR(ROUND(OFFSET(환산공식!$FG$15,$F81,0),3),"")</f>
        <v>0</v>
      </c>
      <c r="R81" s="194">
        <f ca="1">OFFSET('배치점수 계산기'!H$10,$D81,0)</f>
        <v>664.53099999999995</v>
      </c>
      <c r="S81" s="194">
        <f ca="1">OFFSET('배치점수 계산기'!I$10,$D81,0)</f>
        <v>663.15200000000004</v>
      </c>
      <c r="T81" s="194">
        <f ca="1">OFFSET('배치점수 계산기'!J$10,$D81,0)</f>
        <v>661.19299999999998</v>
      </c>
      <c r="U81" s="194">
        <f ca="1">OFFSET('배치점수 계산기'!K$10,$D81,0)</f>
        <v>658.02599999999995</v>
      </c>
      <c r="V81" s="194">
        <f ca="1">OFFSET('배치점수 계산기'!L$10,$D81,0)</f>
        <v>654.10699999999997</v>
      </c>
      <c r="W81" s="186" t="str">
        <f ca="1">OFFSET('배치점수 계산기'!M$10,$D81,0)</f>
        <v>표점</v>
      </c>
      <c r="X81" s="184" t="str">
        <f ca="1">OFFSET('배치점수 계산기'!N$10,$D81,0)</f>
        <v>변표</v>
      </c>
      <c r="Y81" s="188">
        <f ca="1">OFFSET(환산공식!FW$15,$F81,0)</f>
        <v>0.31</v>
      </c>
      <c r="Z81" s="20">
        <f ca="1">OFFSET(환산공식!FX$15,$F81,0)</f>
        <v>0.38</v>
      </c>
      <c r="AA81" s="179">
        <f ca="1">OFFSET(환산공식!FY$15,$F81,0)</f>
        <v>0.31</v>
      </c>
      <c r="AC81"/>
      <c r="AD81">
        <f t="shared" ca="1" si="4"/>
        <v>6</v>
      </c>
      <c r="AE81"/>
    </row>
    <row r="82" spans="1:31" s="3" customFormat="1">
      <c r="A82" s="198"/>
      <c r="B82" s="198"/>
      <c r="C82" s="198" t="s">
        <v>643</v>
      </c>
      <c r="D82" s="195">
        <v>75</v>
      </c>
      <c r="E82" s="195">
        <v>9</v>
      </c>
      <c r="F82" s="195">
        <v>9</v>
      </c>
      <c r="G82" s="239">
        <v>75</v>
      </c>
      <c r="H82" s="197" t="s">
        <v>72</v>
      </c>
      <c r="I82" s="242" t="s">
        <v>75</v>
      </c>
      <c r="J82" s="242" t="s">
        <v>8425</v>
      </c>
      <c r="K82" s="195" t="s">
        <v>70</v>
      </c>
      <c r="L82" s="20" t="str">
        <f ca="1">IF(OFFSET(환산공식!$ED$15,$F82,0)=1,"O","X")</f>
        <v>X</v>
      </c>
      <c r="M82" s="188">
        <f ca="1">IFERROR(OFFSET(환산공식!DJ$15,$F82,0),"")</f>
        <v>0</v>
      </c>
      <c r="N82" s="20" t="str">
        <f ca="1">IFERROR(CONCATENATE(ROUND(OFFSET(환산공식!DK$15,$F82,0),1),"%"),"")</f>
        <v/>
      </c>
      <c r="O82" s="20">
        <f ca="1">IFERROR(OFFSET(환산공식!DL$15,$F82,0),"")</f>
        <v>0</v>
      </c>
      <c r="P82" s="188" t="str">
        <f t="shared" ca="1" si="3"/>
        <v>3% 이하</v>
      </c>
      <c r="Q82" s="194">
        <f ca="1">IFERROR(ROUND(OFFSET(환산공식!$FG$15,$F82,0),3),"")</f>
        <v>0</v>
      </c>
      <c r="R82" s="194">
        <f ca="1">OFFSET('배치점수 계산기'!H$10,$D82,0)</f>
        <v>665.08199999999999</v>
      </c>
      <c r="S82" s="194">
        <f ca="1">OFFSET('배치점수 계산기'!I$10,$D82,0)</f>
        <v>663.15200000000004</v>
      </c>
      <c r="T82" s="194">
        <f ca="1">OFFSET('배치점수 계산기'!J$10,$D82,0)</f>
        <v>660.84400000000005</v>
      </c>
      <c r="U82" s="194">
        <f ca="1">OFFSET('배치점수 계산기'!K$10,$D82,0)</f>
        <v>655.19799999999998</v>
      </c>
      <c r="V82" s="194">
        <f ca="1">OFFSET('배치점수 계산기'!L$10,$D82,0)</f>
        <v>650.05600000000004</v>
      </c>
      <c r="W82" s="186" t="str">
        <f ca="1">OFFSET('배치점수 계산기'!M$10,$D82,0)</f>
        <v>표점</v>
      </c>
      <c r="X82" s="184" t="str">
        <f ca="1">OFFSET('배치점수 계산기'!N$10,$D82,0)</f>
        <v>변표</v>
      </c>
      <c r="Y82" s="188">
        <f ca="1">OFFSET(환산공식!FW$15,$F82,0)</f>
        <v>0.31</v>
      </c>
      <c r="Z82" s="20">
        <f ca="1">OFFSET(환산공식!FX$15,$F82,0)</f>
        <v>0.38</v>
      </c>
      <c r="AA82" s="179">
        <f ca="1">OFFSET(환산공식!FY$15,$F82,0)</f>
        <v>0.31</v>
      </c>
      <c r="AC82"/>
      <c r="AD82">
        <f t="shared" ca="1" si="4"/>
        <v>6</v>
      </c>
      <c r="AE82"/>
    </row>
    <row r="83" spans="1:31" s="3" customFormat="1">
      <c r="A83" s="198"/>
      <c r="B83" s="198"/>
      <c r="C83" s="198" t="s">
        <v>644</v>
      </c>
      <c r="D83" s="195">
        <v>76</v>
      </c>
      <c r="E83" s="195">
        <v>9</v>
      </c>
      <c r="F83" s="195">
        <v>9</v>
      </c>
      <c r="G83" s="239">
        <v>76</v>
      </c>
      <c r="H83" s="197" t="s">
        <v>72</v>
      </c>
      <c r="I83" s="242" t="s">
        <v>75</v>
      </c>
      <c r="J83" s="242" t="s">
        <v>8482</v>
      </c>
      <c r="K83" s="195" t="s">
        <v>70</v>
      </c>
      <c r="L83" s="20" t="str">
        <f ca="1">IF(OFFSET(환산공식!$ED$15,$F83,0)=1,"O","X")</f>
        <v>X</v>
      </c>
      <c r="M83" s="188">
        <f ca="1">IFERROR(OFFSET(환산공식!DJ$15,$F83,0),"")</f>
        <v>0</v>
      </c>
      <c r="N83" s="20" t="str">
        <f ca="1">IFERROR(CONCATENATE(ROUND(OFFSET(환산공식!DK$15,$F83,0),1),"%"),"")</f>
        <v/>
      </c>
      <c r="O83" s="20">
        <f ca="1">IFERROR(OFFSET(환산공식!DL$15,$F83,0),"")</f>
        <v>0</v>
      </c>
      <c r="P83" s="188" t="str">
        <f t="shared" ca="1" si="3"/>
        <v>3% 이하</v>
      </c>
      <c r="Q83" s="194">
        <f ca="1">IFERROR(ROUND(OFFSET(환산공식!$FG$15,$F83,0),3),"")</f>
        <v>0</v>
      </c>
      <c r="R83" s="194">
        <f ca="1">OFFSET('배치점수 계산기'!H$10,$D83,0)</f>
        <v>661.68</v>
      </c>
      <c r="S83" s="194">
        <f ca="1">OFFSET('배치점수 계산기'!I$10,$D83,0)</f>
        <v>660.84400000000005</v>
      </c>
      <c r="T83" s="194">
        <f ca="1">OFFSET('배치점수 계산기'!J$10,$D83,0)</f>
        <v>658.96299999999997</v>
      </c>
      <c r="U83" s="194">
        <f ca="1">OFFSET('배치점수 계산기'!K$10,$D83,0)</f>
        <v>654.26400000000001</v>
      </c>
      <c r="V83" s="194">
        <f ca="1">OFFSET('배치점수 계산기'!L$10,$D83,0)</f>
        <v>651.79999999999995</v>
      </c>
      <c r="W83" s="186" t="str">
        <f ca="1">OFFSET('배치점수 계산기'!M$10,$D83,0)</f>
        <v>표점</v>
      </c>
      <c r="X83" s="184" t="str">
        <f ca="1">OFFSET('배치점수 계산기'!N$10,$D83,0)</f>
        <v>변표</v>
      </c>
      <c r="Y83" s="188">
        <f ca="1">OFFSET(환산공식!FW$15,$F83,0)</f>
        <v>0.31</v>
      </c>
      <c r="Z83" s="20">
        <f ca="1">OFFSET(환산공식!FX$15,$F83,0)</f>
        <v>0.38</v>
      </c>
      <c r="AA83" s="179">
        <f ca="1">OFFSET(환산공식!FY$15,$F83,0)</f>
        <v>0.31</v>
      </c>
      <c r="AC83"/>
      <c r="AD83">
        <f t="shared" ca="1" si="4"/>
        <v>6</v>
      </c>
      <c r="AE83"/>
    </row>
    <row r="84" spans="1:31" s="3" customFormat="1">
      <c r="A84" s="198"/>
      <c r="B84" s="198"/>
      <c r="C84" s="198" t="s">
        <v>645</v>
      </c>
      <c r="D84" s="195">
        <v>77</v>
      </c>
      <c r="E84" s="195">
        <v>9</v>
      </c>
      <c r="F84" s="195">
        <v>9</v>
      </c>
      <c r="G84" s="239">
        <v>77</v>
      </c>
      <c r="H84" s="197" t="s">
        <v>72</v>
      </c>
      <c r="I84" s="242" t="s">
        <v>75</v>
      </c>
      <c r="J84" s="242" t="s">
        <v>8384</v>
      </c>
      <c r="K84" s="195" t="s">
        <v>70</v>
      </c>
      <c r="L84" s="20" t="str">
        <f ca="1">IF(OFFSET(환산공식!$ED$15,$F84,0)=1,"O","X")</f>
        <v>X</v>
      </c>
      <c r="M84" s="188">
        <f ca="1">IFERROR(OFFSET(환산공식!DJ$15,$F84,0),"")</f>
        <v>0</v>
      </c>
      <c r="N84" s="20" t="str">
        <f ca="1">IFERROR(CONCATENATE(ROUND(OFFSET(환산공식!DK$15,$F84,0),1),"%"),"")</f>
        <v/>
      </c>
      <c r="O84" s="20">
        <f ca="1">IFERROR(OFFSET(환산공식!DL$15,$F84,0),"")</f>
        <v>0</v>
      </c>
      <c r="P84" s="188" t="str">
        <f t="shared" ca="1" si="3"/>
        <v>3% 이하</v>
      </c>
      <c r="Q84" s="194">
        <f ca="1">IFERROR(ROUND(OFFSET(환산공식!$FG$15,$F84,0),3),"")</f>
        <v>0</v>
      </c>
      <c r="R84" s="194">
        <f ca="1">OFFSET('배치점수 계산기'!H$10,$D84,0)</f>
        <v>663.15200000000004</v>
      </c>
      <c r="S84" s="194">
        <f ca="1">OFFSET('배치점수 계산기'!I$10,$D84,0)</f>
        <v>661.68</v>
      </c>
      <c r="T84" s="194">
        <f ca="1">OFFSET('배치점수 계산기'!J$10,$D84,0)</f>
        <v>658.96299999999997</v>
      </c>
      <c r="U84" s="194">
        <f ca="1">OFFSET('배치점수 계산기'!K$10,$D84,0)</f>
        <v>655.83799999999997</v>
      </c>
      <c r="V84" s="194">
        <f ca="1">OFFSET('배치점수 계산기'!L$10,$D84,0)</f>
        <v>653.99099999999999</v>
      </c>
      <c r="W84" s="186" t="str">
        <f ca="1">OFFSET('배치점수 계산기'!M$10,$D84,0)</f>
        <v>표점</v>
      </c>
      <c r="X84" s="184" t="str">
        <f ca="1">OFFSET('배치점수 계산기'!N$10,$D84,0)</f>
        <v>변표</v>
      </c>
      <c r="Y84" s="188">
        <f ca="1">OFFSET(환산공식!FW$15,$F84,0)</f>
        <v>0.31</v>
      </c>
      <c r="Z84" s="20">
        <f ca="1">OFFSET(환산공식!FX$15,$F84,0)</f>
        <v>0.38</v>
      </c>
      <c r="AA84" s="179">
        <f ca="1">OFFSET(환산공식!FY$15,$F84,0)</f>
        <v>0.31</v>
      </c>
      <c r="AC84"/>
      <c r="AD84">
        <f t="shared" ca="1" si="4"/>
        <v>6</v>
      </c>
      <c r="AE84"/>
    </row>
    <row r="85" spans="1:31" s="3" customFormat="1">
      <c r="A85" s="198"/>
      <c r="B85" s="198"/>
      <c r="C85" s="198" t="s">
        <v>646</v>
      </c>
      <c r="D85" s="195">
        <v>78</v>
      </c>
      <c r="E85" s="195">
        <v>9</v>
      </c>
      <c r="F85" s="195">
        <v>9</v>
      </c>
      <c r="G85" s="239">
        <v>78</v>
      </c>
      <c r="H85" s="197" t="s">
        <v>72</v>
      </c>
      <c r="I85" s="242" t="s">
        <v>75</v>
      </c>
      <c r="J85" s="242" t="s">
        <v>8168</v>
      </c>
      <c r="K85" s="195" t="s">
        <v>70</v>
      </c>
      <c r="L85" s="20" t="str">
        <f ca="1">IF(OFFSET(환산공식!$ED$15,$F85,0)=1,"O","X")</f>
        <v>X</v>
      </c>
      <c r="M85" s="188">
        <f ca="1">IFERROR(OFFSET(환산공식!DJ$15,$F85,0),"")</f>
        <v>0</v>
      </c>
      <c r="N85" s="20" t="str">
        <f ca="1">IFERROR(CONCATENATE(ROUND(OFFSET(환산공식!DK$15,$F85,0),1),"%"),"")</f>
        <v/>
      </c>
      <c r="O85" s="20">
        <f ca="1">IFERROR(OFFSET(환산공식!DL$15,$F85,0),"")</f>
        <v>0</v>
      </c>
      <c r="P85" s="188" t="str">
        <f t="shared" ca="1" si="3"/>
        <v>3% 이하</v>
      </c>
      <c r="Q85" s="194">
        <f ca="1">IFERROR(ROUND(OFFSET(환산공식!$FG$15,$F85,0),3),"")</f>
        <v>0</v>
      </c>
      <c r="R85" s="194">
        <f ca="1">OFFSET('배치점수 계산기'!H$10,$D85,0)</f>
        <v>662.327</v>
      </c>
      <c r="S85" s="194">
        <f ca="1">OFFSET('배치점수 계산기'!I$10,$D85,0)</f>
        <v>660.84400000000005</v>
      </c>
      <c r="T85" s="194">
        <f ca="1">OFFSET('배치점수 계산기'!J$10,$D85,0)</f>
        <v>658.71</v>
      </c>
      <c r="U85" s="194">
        <f ca="1">OFFSET('배치점수 계산기'!K$10,$D85,0)</f>
        <v>655.44500000000005</v>
      </c>
      <c r="V85" s="194">
        <f ca="1">OFFSET('배치점수 계산기'!L$10,$D85,0)</f>
        <v>654.10699999999997</v>
      </c>
      <c r="W85" s="186" t="str">
        <f ca="1">OFFSET('배치점수 계산기'!M$10,$D85,0)</f>
        <v>표점</v>
      </c>
      <c r="X85" s="184" t="str">
        <f ca="1">OFFSET('배치점수 계산기'!N$10,$D85,0)</f>
        <v>변표</v>
      </c>
      <c r="Y85" s="188">
        <f ca="1">OFFSET(환산공식!FW$15,$F85,0)</f>
        <v>0.31</v>
      </c>
      <c r="Z85" s="20">
        <f ca="1">OFFSET(환산공식!FX$15,$F85,0)</f>
        <v>0.38</v>
      </c>
      <c r="AA85" s="179">
        <f ca="1">OFFSET(환산공식!FY$15,$F85,0)</f>
        <v>0.31</v>
      </c>
      <c r="AC85"/>
      <c r="AD85">
        <f t="shared" ca="1" si="4"/>
        <v>6</v>
      </c>
      <c r="AE85"/>
    </row>
    <row r="86" spans="1:31" s="3" customFormat="1">
      <c r="A86" s="198"/>
      <c r="B86" s="198"/>
      <c r="C86" s="198" t="s">
        <v>647</v>
      </c>
      <c r="D86" s="195">
        <v>79</v>
      </c>
      <c r="E86" s="195">
        <v>9</v>
      </c>
      <c r="F86" s="195">
        <v>9</v>
      </c>
      <c r="G86" s="239">
        <v>79</v>
      </c>
      <c r="H86" s="197" t="s">
        <v>72</v>
      </c>
      <c r="I86" s="242" t="s">
        <v>75</v>
      </c>
      <c r="J86" s="242" t="s">
        <v>8478</v>
      </c>
      <c r="K86" s="195" t="s">
        <v>70</v>
      </c>
      <c r="L86" s="20" t="str">
        <f ca="1">IF(OFFSET(환산공식!$ED$15,$F86,0)=1,"O","X")</f>
        <v>X</v>
      </c>
      <c r="M86" s="188">
        <f ca="1">IFERROR(OFFSET(환산공식!DJ$15,$F86,0),"")</f>
        <v>0</v>
      </c>
      <c r="N86" s="20" t="str">
        <f ca="1">IFERROR(CONCATENATE(ROUND(OFFSET(환산공식!DK$15,$F86,0),1),"%"),"")</f>
        <v/>
      </c>
      <c r="O86" s="20">
        <f ca="1">IFERROR(OFFSET(환산공식!DL$15,$F86,0),"")</f>
        <v>0</v>
      </c>
      <c r="P86" s="188" t="str">
        <f t="shared" ca="1" si="3"/>
        <v>3% 이하</v>
      </c>
      <c r="Q86" s="194">
        <f ca="1">IFERROR(ROUND(OFFSET(환산공식!$FG$15,$F86,0),3),"")</f>
        <v>0</v>
      </c>
      <c r="R86" s="194">
        <f ca="1">OFFSET('배치점수 계산기'!H$10,$D86,0)</f>
        <v>661.50599999999997</v>
      </c>
      <c r="S86" s="194">
        <f ca="1">OFFSET('배치점수 계산기'!I$10,$D86,0)</f>
        <v>660.572</v>
      </c>
      <c r="T86" s="194">
        <f ca="1">OFFSET('배치점수 계산기'!J$10,$D86,0)</f>
        <v>658.71</v>
      </c>
      <c r="U86" s="194">
        <f ca="1">OFFSET('배치점수 계산기'!K$10,$D86,0)</f>
        <v>655.83799999999997</v>
      </c>
      <c r="V86" s="194">
        <f ca="1">OFFSET('배치점수 계산기'!L$10,$D86,0)</f>
        <v>653.19399999999996</v>
      </c>
      <c r="W86" s="186" t="str">
        <f ca="1">OFFSET('배치점수 계산기'!M$10,$D86,0)</f>
        <v>표점</v>
      </c>
      <c r="X86" s="184" t="str">
        <f ca="1">OFFSET('배치점수 계산기'!N$10,$D86,0)</f>
        <v>변표</v>
      </c>
      <c r="Y86" s="188">
        <f ca="1">OFFSET(환산공식!FW$15,$F86,0)</f>
        <v>0.31</v>
      </c>
      <c r="Z86" s="20">
        <f ca="1">OFFSET(환산공식!FX$15,$F86,0)</f>
        <v>0.38</v>
      </c>
      <c r="AA86" s="179">
        <f ca="1">OFFSET(환산공식!FY$15,$F86,0)</f>
        <v>0.31</v>
      </c>
      <c r="AC86"/>
      <c r="AD86">
        <f t="shared" ca="1" si="4"/>
        <v>6</v>
      </c>
      <c r="AE86"/>
    </row>
    <row r="87" spans="1:31" s="3" customFormat="1">
      <c r="A87" s="198"/>
      <c r="B87" s="198"/>
      <c r="C87" s="198" t="s">
        <v>648</v>
      </c>
      <c r="D87" s="195">
        <v>80</v>
      </c>
      <c r="E87" s="195">
        <v>9</v>
      </c>
      <c r="F87" s="195">
        <v>9</v>
      </c>
      <c r="G87" s="239">
        <v>80</v>
      </c>
      <c r="H87" s="197" t="s">
        <v>72</v>
      </c>
      <c r="I87" s="242" t="s">
        <v>75</v>
      </c>
      <c r="J87" s="242" t="s">
        <v>9318</v>
      </c>
      <c r="K87" s="195" t="s">
        <v>70</v>
      </c>
      <c r="L87" s="20" t="str">
        <f ca="1">IF(OFFSET(환산공식!$ED$15,$F87,0)=1,"O","X")</f>
        <v>X</v>
      </c>
      <c r="M87" s="188">
        <f ca="1">IFERROR(OFFSET(환산공식!DJ$15,$F87,0),"")</f>
        <v>0</v>
      </c>
      <c r="N87" s="20" t="str">
        <f ca="1">IFERROR(CONCATENATE(ROUND(OFFSET(환산공식!DK$15,$F87,0),1),"%"),"")</f>
        <v/>
      </c>
      <c r="O87" s="20">
        <f ca="1">IFERROR(OFFSET(환산공식!DL$15,$F87,0),"")</f>
        <v>0</v>
      </c>
      <c r="P87" s="188" t="str">
        <f t="shared" ca="1" si="3"/>
        <v>3% 이하</v>
      </c>
      <c r="Q87" s="194">
        <f ca="1">IFERROR(ROUND(OFFSET(환산공식!$FG$15,$F87,0),3),"")</f>
        <v>0</v>
      </c>
      <c r="R87" s="194">
        <f ca="1">OFFSET('배치점수 계산기'!H$10,$D87,0)</f>
        <v>662.327</v>
      </c>
      <c r="S87" s="194">
        <f ca="1">OFFSET('배치점수 계산기'!I$10,$D87,0)</f>
        <v>660.84400000000005</v>
      </c>
      <c r="T87" s="194">
        <f ca="1">OFFSET('배치점수 계산기'!J$10,$D87,0)</f>
        <v>658.298</v>
      </c>
      <c r="U87" s="194">
        <f ca="1">OFFSET('배치점수 계산기'!K$10,$D87,0)</f>
        <v>654.649</v>
      </c>
      <c r="V87" s="194">
        <f ca="1">OFFSET('배치점수 계산기'!L$10,$D87,0)</f>
        <v>651.20699999999999</v>
      </c>
      <c r="W87" s="186" t="str">
        <f ca="1">OFFSET('배치점수 계산기'!M$10,$D87,0)</f>
        <v>표점</v>
      </c>
      <c r="X87" s="184" t="str">
        <f ca="1">OFFSET('배치점수 계산기'!N$10,$D87,0)</f>
        <v>변표</v>
      </c>
      <c r="Y87" s="188">
        <f ca="1">OFFSET(환산공식!FW$15,$F87,0)</f>
        <v>0.31</v>
      </c>
      <c r="Z87" s="20">
        <f ca="1">OFFSET(환산공식!FX$15,$F87,0)</f>
        <v>0.38</v>
      </c>
      <c r="AA87" s="179">
        <f ca="1">OFFSET(환산공식!FY$15,$F87,0)</f>
        <v>0.31</v>
      </c>
      <c r="AC87"/>
      <c r="AD87">
        <f t="shared" ca="1" si="4"/>
        <v>6</v>
      </c>
      <c r="AE87"/>
    </row>
    <row r="88" spans="1:31" s="3" customFormat="1">
      <c r="A88" s="198"/>
      <c r="B88" s="198"/>
      <c r="C88" s="198" t="s">
        <v>649</v>
      </c>
      <c r="D88" s="195">
        <v>81</v>
      </c>
      <c r="E88" s="195">
        <v>9</v>
      </c>
      <c r="F88" s="195">
        <v>9</v>
      </c>
      <c r="G88" s="239">
        <v>81</v>
      </c>
      <c r="H88" s="197" t="s">
        <v>72</v>
      </c>
      <c r="I88" s="242" t="s">
        <v>75</v>
      </c>
      <c r="J88" s="242" t="s">
        <v>8527</v>
      </c>
      <c r="K88" s="195" t="s">
        <v>70</v>
      </c>
      <c r="L88" s="20" t="str">
        <f ca="1">IF(OFFSET(환산공식!$ED$15,$F88,0)=1,"O","X")</f>
        <v>X</v>
      </c>
      <c r="M88" s="188">
        <f ca="1">IFERROR(OFFSET(환산공식!DJ$15,$F88,0),"")</f>
        <v>0</v>
      </c>
      <c r="N88" s="20" t="str">
        <f ca="1">IFERROR(CONCATENATE(ROUND(OFFSET(환산공식!DK$15,$F88,0),1),"%"),"")</f>
        <v/>
      </c>
      <c r="O88" s="20">
        <f ca="1">IFERROR(OFFSET(환산공식!DL$15,$F88,0),"")</f>
        <v>0</v>
      </c>
      <c r="P88" s="188" t="str">
        <f t="shared" ca="1" si="3"/>
        <v>3% 이하</v>
      </c>
      <c r="Q88" s="194">
        <f ca="1">IFERROR(ROUND(OFFSET(환산공식!$FG$15,$F88,0),3),"")</f>
        <v>0</v>
      </c>
      <c r="R88" s="194">
        <f ca="1">OFFSET('배치점수 계산기'!H$10,$D88,0)</f>
        <v>662.75699999999995</v>
      </c>
      <c r="S88" s="194">
        <f ca="1">OFFSET('배치점수 계산기'!I$10,$D88,0)</f>
        <v>660.84400000000005</v>
      </c>
      <c r="T88" s="194">
        <f ca="1">OFFSET('배치점수 계산기'!J$10,$D88,0)</f>
        <v>658.298</v>
      </c>
      <c r="U88" s="194">
        <f ca="1">OFFSET('배치점수 계산기'!K$10,$D88,0)</f>
        <v>654.649</v>
      </c>
      <c r="V88" s="194">
        <f ca="1">OFFSET('배치점수 계산기'!L$10,$D88,0)</f>
        <v>651.20699999999999</v>
      </c>
      <c r="W88" s="186" t="str">
        <f ca="1">OFFSET('배치점수 계산기'!M$10,$D88,0)</f>
        <v>표점</v>
      </c>
      <c r="X88" s="184" t="str">
        <f ca="1">OFFSET('배치점수 계산기'!N$10,$D88,0)</f>
        <v>변표</v>
      </c>
      <c r="Y88" s="188">
        <f ca="1">OFFSET(환산공식!FW$15,$F88,0)</f>
        <v>0.31</v>
      </c>
      <c r="Z88" s="20">
        <f ca="1">OFFSET(환산공식!FX$15,$F88,0)</f>
        <v>0.38</v>
      </c>
      <c r="AA88" s="179">
        <f ca="1">OFFSET(환산공식!FY$15,$F88,0)</f>
        <v>0.31</v>
      </c>
      <c r="AC88"/>
      <c r="AD88">
        <f t="shared" ca="1" si="4"/>
        <v>6</v>
      </c>
      <c r="AE88"/>
    </row>
    <row r="89" spans="1:31" s="3" customFormat="1">
      <c r="A89" s="198"/>
      <c r="B89" s="198"/>
      <c r="C89" s="198" t="s">
        <v>650</v>
      </c>
      <c r="D89" s="195">
        <v>82</v>
      </c>
      <c r="E89" s="195">
        <v>9</v>
      </c>
      <c r="F89" s="195">
        <v>9</v>
      </c>
      <c r="G89" s="239">
        <v>82</v>
      </c>
      <c r="H89" s="197" t="s">
        <v>72</v>
      </c>
      <c r="I89" s="242" t="s">
        <v>75</v>
      </c>
      <c r="J89" s="242" t="s">
        <v>8480</v>
      </c>
      <c r="K89" s="195" t="s">
        <v>70</v>
      </c>
      <c r="L89" s="20" t="str">
        <f ca="1">IF(OFFSET(환산공식!$ED$15,$F89,0)=1,"O","X")</f>
        <v>X</v>
      </c>
      <c r="M89" s="188">
        <f ca="1">IFERROR(OFFSET(환산공식!DJ$15,$F89,0),"")</f>
        <v>0</v>
      </c>
      <c r="N89" s="20" t="str">
        <f ca="1">IFERROR(CONCATENATE(ROUND(OFFSET(환산공식!DK$15,$F89,0),1),"%"),"")</f>
        <v/>
      </c>
      <c r="O89" s="20">
        <f ca="1">IFERROR(OFFSET(환산공식!DL$15,$F89,0),"")</f>
        <v>0</v>
      </c>
      <c r="P89" s="188" t="str">
        <f t="shared" ca="1" si="3"/>
        <v>3% 이하</v>
      </c>
      <c r="Q89" s="194">
        <f ca="1">IFERROR(ROUND(OFFSET(환산공식!$FG$15,$F89,0),3),"")</f>
        <v>0</v>
      </c>
      <c r="R89" s="194">
        <f ca="1">OFFSET('배치점수 계산기'!H$10,$D89,0)</f>
        <v>662.52300000000002</v>
      </c>
      <c r="S89" s="194">
        <f ca="1">OFFSET('배치점수 계산기'!I$10,$D89,0)</f>
        <v>661.19299999999998</v>
      </c>
      <c r="T89" s="194">
        <f ca="1">OFFSET('배치점수 계산기'!J$10,$D89,0)</f>
        <v>658.02599999999995</v>
      </c>
      <c r="U89" s="194">
        <f ca="1">OFFSET('배치점수 계산기'!K$10,$D89,0)</f>
        <v>654.649</v>
      </c>
      <c r="V89" s="194">
        <f ca="1">OFFSET('배치점수 계산기'!L$10,$D89,0)</f>
        <v>653.64700000000005</v>
      </c>
      <c r="W89" s="186" t="str">
        <f ca="1">OFFSET('배치점수 계산기'!M$10,$D89,0)</f>
        <v>표점</v>
      </c>
      <c r="X89" s="184" t="str">
        <f ca="1">OFFSET('배치점수 계산기'!N$10,$D89,0)</f>
        <v>변표</v>
      </c>
      <c r="Y89" s="188">
        <f ca="1">OFFSET(환산공식!FW$15,$F89,0)</f>
        <v>0.31</v>
      </c>
      <c r="Z89" s="20">
        <f ca="1">OFFSET(환산공식!FX$15,$F89,0)</f>
        <v>0.38</v>
      </c>
      <c r="AA89" s="179">
        <f ca="1">OFFSET(환산공식!FY$15,$F89,0)</f>
        <v>0.31</v>
      </c>
      <c r="AC89"/>
      <c r="AD89">
        <f t="shared" ca="1" si="4"/>
        <v>6</v>
      </c>
      <c r="AE89"/>
    </row>
    <row r="90" spans="1:31" s="3" customFormat="1">
      <c r="A90" s="198"/>
      <c r="B90" s="198"/>
      <c r="C90" s="198" t="s">
        <v>651</v>
      </c>
      <c r="D90" s="195">
        <v>83</v>
      </c>
      <c r="E90" s="195">
        <v>9</v>
      </c>
      <c r="F90" s="195">
        <v>9</v>
      </c>
      <c r="G90" s="239">
        <v>83</v>
      </c>
      <c r="H90" s="197" t="s">
        <v>72</v>
      </c>
      <c r="I90" s="242" t="s">
        <v>75</v>
      </c>
      <c r="J90" s="242" t="s">
        <v>8504</v>
      </c>
      <c r="K90" s="195" t="s">
        <v>70</v>
      </c>
      <c r="L90" s="20" t="str">
        <f ca="1">IF(OFFSET(환산공식!$ED$15,$F90,0)=1,"O","X")</f>
        <v>X</v>
      </c>
      <c r="M90" s="188">
        <f ca="1">IFERROR(OFFSET(환산공식!DJ$15,$F90,0),"")</f>
        <v>0</v>
      </c>
      <c r="N90" s="20" t="str">
        <f ca="1">IFERROR(CONCATENATE(ROUND(OFFSET(환산공식!DK$15,$F90,0),1),"%"),"")</f>
        <v/>
      </c>
      <c r="O90" s="20">
        <f ca="1">IFERROR(OFFSET(환산공식!DL$15,$F90,0),"")</f>
        <v>0</v>
      </c>
      <c r="P90" s="188" t="str">
        <f t="shared" ca="1" si="3"/>
        <v>3% 이하</v>
      </c>
      <c r="Q90" s="194">
        <f ca="1">IFERROR(ROUND(OFFSET(환산공식!$FG$15,$F90,0),3),"")</f>
        <v>0</v>
      </c>
      <c r="R90" s="194">
        <f ca="1">OFFSET('배치점수 계산기'!H$10,$D90,0)</f>
        <v>663.15200000000004</v>
      </c>
      <c r="S90" s="194">
        <f ca="1">OFFSET('배치점수 계산기'!I$10,$D90,0)</f>
        <v>660.84400000000005</v>
      </c>
      <c r="T90" s="194">
        <f ca="1">OFFSET('배치점수 계산기'!J$10,$D90,0)</f>
        <v>658.02599999999995</v>
      </c>
      <c r="U90" s="194">
        <f ca="1">OFFSET('배치점수 계산기'!K$10,$D90,0)</f>
        <v>654.26400000000001</v>
      </c>
      <c r="V90" s="194">
        <f ca="1">OFFSET('배치점수 계산기'!L$10,$D90,0)</f>
        <v>651.38599999999997</v>
      </c>
      <c r="W90" s="186" t="str">
        <f ca="1">OFFSET('배치점수 계산기'!M$10,$D90,0)</f>
        <v>표점</v>
      </c>
      <c r="X90" s="184" t="str">
        <f ca="1">OFFSET('배치점수 계산기'!N$10,$D90,0)</f>
        <v>변표</v>
      </c>
      <c r="Y90" s="188">
        <f ca="1">OFFSET(환산공식!FW$15,$F90,0)</f>
        <v>0.31</v>
      </c>
      <c r="Z90" s="20">
        <f ca="1">OFFSET(환산공식!FX$15,$F90,0)</f>
        <v>0.38</v>
      </c>
      <c r="AA90" s="179">
        <f ca="1">OFFSET(환산공식!FY$15,$F90,0)</f>
        <v>0.31</v>
      </c>
      <c r="AC90"/>
      <c r="AD90">
        <f t="shared" ca="1" si="4"/>
        <v>6</v>
      </c>
      <c r="AE90"/>
    </row>
    <row r="91" spans="1:31" s="3" customFormat="1">
      <c r="A91" s="198"/>
      <c r="B91" s="198"/>
      <c r="C91" s="198" t="s">
        <v>652</v>
      </c>
      <c r="D91" s="195">
        <v>84</v>
      </c>
      <c r="E91" s="195">
        <v>9</v>
      </c>
      <c r="F91" s="195">
        <v>9</v>
      </c>
      <c r="G91" s="239">
        <v>84</v>
      </c>
      <c r="H91" s="197" t="s">
        <v>72</v>
      </c>
      <c r="I91" s="242" t="s">
        <v>75</v>
      </c>
      <c r="J91" s="242" t="s">
        <v>8410</v>
      </c>
      <c r="K91" s="195" t="s">
        <v>70</v>
      </c>
      <c r="L91" s="20" t="str">
        <f ca="1">IF(OFFSET(환산공식!$ED$15,$F91,0)=1,"O","X")</f>
        <v>X</v>
      </c>
      <c r="M91" s="188">
        <f ca="1">IFERROR(OFFSET(환산공식!DJ$15,$F91,0),"")</f>
        <v>0</v>
      </c>
      <c r="N91" s="20" t="str">
        <f ca="1">IFERROR(CONCATENATE(ROUND(OFFSET(환산공식!DK$15,$F91,0),1),"%"),"")</f>
        <v/>
      </c>
      <c r="O91" s="20">
        <f ca="1">IFERROR(OFFSET(환산공식!DL$15,$F91,0),"")</f>
        <v>0</v>
      </c>
      <c r="P91" s="188" t="str">
        <f t="shared" ca="1" si="3"/>
        <v>3% 이하</v>
      </c>
      <c r="Q91" s="194">
        <f ca="1">IFERROR(ROUND(OFFSET(환산공식!$FG$15,$F91,0),3),"")</f>
        <v>0</v>
      </c>
      <c r="R91" s="194">
        <f ca="1">OFFSET('배치점수 계산기'!H$10,$D91,0)</f>
        <v>663.15200000000004</v>
      </c>
      <c r="S91" s="194">
        <f ca="1">OFFSET('배치점수 계산기'!I$10,$D91,0)</f>
        <v>660.84400000000005</v>
      </c>
      <c r="T91" s="194">
        <f ca="1">OFFSET('배치점수 계산기'!J$10,$D91,0)</f>
        <v>658.02599999999995</v>
      </c>
      <c r="U91" s="194">
        <f ca="1">OFFSET('배치점수 계산기'!K$10,$D91,0)</f>
        <v>654.26400000000001</v>
      </c>
      <c r="V91" s="194">
        <f ca="1">OFFSET('배치점수 계산기'!L$10,$D91,0)</f>
        <v>651.38599999999997</v>
      </c>
      <c r="W91" s="186" t="str">
        <f ca="1">OFFSET('배치점수 계산기'!M$10,$D91,0)</f>
        <v>표점</v>
      </c>
      <c r="X91" s="184" t="str">
        <f ca="1">OFFSET('배치점수 계산기'!N$10,$D91,0)</f>
        <v>변표</v>
      </c>
      <c r="Y91" s="188">
        <f ca="1">OFFSET(환산공식!FW$15,$F91,0)</f>
        <v>0.31</v>
      </c>
      <c r="Z91" s="20">
        <f ca="1">OFFSET(환산공식!FX$15,$F91,0)</f>
        <v>0.38</v>
      </c>
      <c r="AA91" s="179">
        <f ca="1">OFFSET(환산공식!FY$15,$F91,0)</f>
        <v>0.31</v>
      </c>
      <c r="AC91"/>
      <c r="AD91">
        <f t="shared" ca="1" si="4"/>
        <v>6</v>
      </c>
      <c r="AE91"/>
    </row>
    <row r="92" spans="1:31" s="3" customFormat="1">
      <c r="A92" s="198"/>
      <c r="B92" s="198"/>
      <c r="C92" s="198" t="s">
        <v>653</v>
      </c>
      <c r="D92" s="195">
        <v>85</v>
      </c>
      <c r="E92" s="195">
        <v>9</v>
      </c>
      <c r="F92" s="195">
        <v>9</v>
      </c>
      <c r="G92" s="239">
        <v>85</v>
      </c>
      <c r="H92" s="197" t="s">
        <v>72</v>
      </c>
      <c r="I92" s="242" t="s">
        <v>75</v>
      </c>
      <c r="J92" s="242" t="s">
        <v>551</v>
      </c>
      <c r="K92" s="195" t="s">
        <v>70</v>
      </c>
      <c r="L92" s="20" t="str">
        <f ca="1">IF(OFFSET(환산공식!$ED$15,$F92,0)=1,"O","X")</f>
        <v>X</v>
      </c>
      <c r="M92" s="188">
        <f ca="1">IFERROR(OFFSET(환산공식!DJ$15,$F92,0),"")</f>
        <v>0</v>
      </c>
      <c r="N92" s="20" t="str">
        <f ca="1">IFERROR(CONCATENATE(ROUND(OFFSET(환산공식!DK$15,$F92,0),1),"%"),"")</f>
        <v/>
      </c>
      <c r="O92" s="20">
        <f ca="1">IFERROR(OFFSET(환산공식!DL$15,$F92,0),"")</f>
        <v>0</v>
      </c>
      <c r="P92" s="188" t="str">
        <f t="shared" ca="1" si="3"/>
        <v>3% 이하</v>
      </c>
      <c r="Q92" s="194">
        <f ca="1">IFERROR(ROUND(OFFSET(환산공식!$FG$15,$F92,0),3),"")</f>
        <v>0</v>
      </c>
      <c r="R92" s="194">
        <f ca="1">OFFSET('배치점수 계산기'!H$10,$D92,0)</f>
        <v>660.84400000000005</v>
      </c>
      <c r="S92" s="194">
        <f ca="1">OFFSET('배치점수 계산기'!I$10,$D92,0)</f>
        <v>659.55399999999997</v>
      </c>
      <c r="T92" s="194">
        <f ca="1">OFFSET('배치점수 계산기'!J$10,$D92,0)</f>
        <v>658.02599999999995</v>
      </c>
      <c r="U92" s="194">
        <f ca="1">OFFSET('배치점수 계산기'!K$10,$D92,0)</f>
        <v>655.19799999999998</v>
      </c>
      <c r="V92" s="194">
        <f ca="1">OFFSET('배치점수 계산기'!L$10,$D92,0)</f>
        <v>653.64700000000005</v>
      </c>
      <c r="W92" s="186" t="str">
        <f ca="1">OFFSET('배치점수 계산기'!M$10,$D92,0)</f>
        <v>표점</v>
      </c>
      <c r="X92" s="184" t="str">
        <f ca="1">OFFSET('배치점수 계산기'!N$10,$D92,0)</f>
        <v>변표</v>
      </c>
      <c r="Y92" s="188">
        <f ca="1">OFFSET(환산공식!FW$15,$F92,0)</f>
        <v>0.31</v>
      </c>
      <c r="Z92" s="20">
        <f ca="1">OFFSET(환산공식!FX$15,$F92,0)</f>
        <v>0.38</v>
      </c>
      <c r="AA92" s="179">
        <f ca="1">OFFSET(환산공식!FY$15,$F92,0)</f>
        <v>0.31</v>
      </c>
      <c r="AC92"/>
      <c r="AD92">
        <f t="shared" ca="1" si="4"/>
        <v>6</v>
      </c>
      <c r="AE92"/>
    </row>
    <row r="93" spans="1:31" s="3" customFormat="1">
      <c r="A93" s="198"/>
      <c r="B93" s="198"/>
      <c r="C93" s="198" t="s">
        <v>654</v>
      </c>
      <c r="D93" s="195">
        <v>86</v>
      </c>
      <c r="E93" s="195">
        <v>9</v>
      </c>
      <c r="F93" s="195">
        <v>9</v>
      </c>
      <c r="G93" s="239">
        <v>86</v>
      </c>
      <c r="H93" s="197" t="s">
        <v>72</v>
      </c>
      <c r="I93" s="242" t="s">
        <v>75</v>
      </c>
      <c r="J93" s="242" t="s">
        <v>8450</v>
      </c>
      <c r="K93" s="195" t="s">
        <v>70</v>
      </c>
      <c r="L93" s="20" t="str">
        <f ca="1">IF(OFFSET(환산공식!$ED$15,$F93,0)=1,"O","X")</f>
        <v>X</v>
      </c>
      <c r="M93" s="188">
        <f ca="1">IFERROR(OFFSET(환산공식!DJ$15,$F93,0),"")</f>
        <v>0</v>
      </c>
      <c r="N93" s="20" t="str">
        <f ca="1">IFERROR(CONCATENATE(ROUND(OFFSET(환산공식!DK$15,$F93,0),1),"%"),"")</f>
        <v/>
      </c>
      <c r="O93" s="20">
        <f ca="1">IFERROR(OFFSET(환산공식!DL$15,$F93,0),"")</f>
        <v>0</v>
      </c>
      <c r="P93" s="188" t="str">
        <f t="shared" ca="1" si="3"/>
        <v>3% 이하</v>
      </c>
      <c r="Q93" s="194">
        <f ca="1">IFERROR(ROUND(OFFSET(환산공식!$FG$15,$F93,0),3),"")</f>
        <v>0</v>
      </c>
      <c r="R93" s="194">
        <f ca="1">OFFSET('배치점수 계산기'!H$10,$D93,0)</f>
        <v>659.92399999999998</v>
      </c>
      <c r="S93" s="194">
        <f ca="1">OFFSET('배치점수 계산기'!I$10,$D93,0)</f>
        <v>658.298</v>
      </c>
      <c r="T93" s="194">
        <f ca="1">OFFSET('배치점수 계산기'!J$10,$D93,0)</f>
        <v>656.15099999999995</v>
      </c>
      <c r="U93" s="194">
        <f ca="1">OFFSET('배치점수 계산기'!K$10,$D93,0)</f>
        <v>654.10699999999997</v>
      </c>
      <c r="V93" s="194">
        <f ca="1">OFFSET('배치점수 계산기'!L$10,$D93,0)</f>
        <v>649.44899999999996</v>
      </c>
      <c r="W93" s="186" t="str">
        <f ca="1">OFFSET('배치점수 계산기'!M$10,$D93,0)</f>
        <v>표점</v>
      </c>
      <c r="X93" s="184" t="str">
        <f ca="1">OFFSET('배치점수 계산기'!N$10,$D93,0)</f>
        <v>변표</v>
      </c>
      <c r="Y93" s="188">
        <f ca="1">OFFSET(환산공식!FW$15,$F93,0)</f>
        <v>0.31</v>
      </c>
      <c r="Z93" s="20">
        <f ca="1">OFFSET(환산공식!FX$15,$F93,0)</f>
        <v>0.38</v>
      </c>
      <c r="AA93" s="179">
        <f ca="1">OFFSET(환산공식!FY$15,$F93,0)</f>
        <v>0.31</v>
      </c>
      <c r="AC93"/>
      <c r="AD93">
        <f t="shared" ca="1" si="4"/>
        <v>6</v>
      </c>
      <c r="AE93"/>
    </row>
    <row r="94" spans="1:31" s="3" customFormat="1">
      <c r="A94" s="198"/>
      <c r="B94" s="198"/>
      <c r="C94" s="198" t="s">
        <v>655</v>
      </c>
      <c r="D94" s="195">
        <v>87</v>
      </c>
      <c r="E94" s="195">
        <v>9</v>
      </c>
      <c r="F94" s="195">
        <v>9</v>
      </c>
      <c r="G94" s="239">
        <v>87</v>
      </c>
      <c r="H94" s="197" t="s">
        <v>72</v>
      </c>
      <c r="I94" s="242" t="s">
        <v>75</v>
      </c>
      <c r="J94" s="242" t="s">
        <v>555</v>
      </c>
      <c r="K94" s="195" t="s">
        <v>70</v>
      </c>
      <c r="L94" s="20" t="str">
        <f ca="1">IF(OFFSET(환산공식!$ED$15,$F94,0)=1,"O","X")</f>
        <v>X</v>
      </c>
      <c r="M94" s="188">
        <f ca="1">IFERROR(OFFSET(환산공식!DJ$15,$F94,0),"")</f>
        <v>0</v>
      </c>
      <c r="N94" s="20" t="str">
        <f ca="1">IFERROR(CONCATENATE(ROUND(OFFSET(환산공식!DK$15,$F94,0),1),"%"),"")</f>
        <v/>
      </c>
      <c r="O94" s="20">
        <f ca="1">IFERROR(OFFSET(환산공식!DL$15,$F94,0),"")</f>
        <v>0</v>
      </c>
      <c r="P94" s="188" t="str">
        <f t="shared" ca="1" si="3"/>
        <v>3% 이하</v>
      </c>
      <c r="Q94" s="194">
        <f ca="1">IFERROR(ROUND(OFFSET(환산공식!$FG$15,$F94,0),3),"")</f>
        <v>0</v>
      </c>
      <c r="R94" s="194">
        <f ca="1">OFFSET('배치점수 계산기'!H$10,$D94,0)</f>
        <v>659.92399999999998</v>
      </c>
      <c r="S94" s="194">
        <f ca="1">OFFSET('배치점수 계산기'!I$10,$D94,0)</f>
        <v>658.71</v>
      </c>
      <c r="T94" s="194">
        <f ca="1">OFFSET('배치점수 계산기'!J$10,$D94,0)</f>
        <v>655.83799999999997</v>
      </c>
      <c r="U94" s="194">
        <f ca="1">OFFSET('배치점수 계산기'!K$10,$D94,0)</f>
        <v>654.649</v>
      </c>
      <c r="V94" s="194">
        <f ca="1">OFFSET('배치점수 계산기'!L$10,$D94,0)</f>
        <v>653.19399999999996</v>
      </c>
      <c r="W94" s="186" t="str">
        <f ca="1">OFFSET('배치점수 계산기'!M$10,$D94,0)</f>
        <v>표점</v>
      </c>
      <c r="X94" s="184" t="str">
        <f ca="1">OFFSET('배치점수 계산기'!N$10,$D94,0)</f>
        <v>변표</v>
      </c>
      <c r="Y94" s="188">
        <f ca="1">OFFSET(환산공식!FW$15,$F94,0)</f>
        <v>0.31</v>
      </c>
      <c r="Z94" s="20">
        <f ca="1">OFFSET(환산공식!FX$15,$F94,0)</f>
        <v>0.38</v>
      </c>
      <c r="AA94" s="179">
        <f ca="1">OFFSET(환산공식!FY$15,$F94,0)</f>
        <v>0.31</v>
      </c>
      <c r="AC94"/>
      <c r="AD94">
        <f t="shared" ca="1" si="4"/>
        <v>6</v>
      </c>
      <c r="AE94"/>
    </row>
    <row r="95" spans="1:31" s="3" customFormat="1">
      <c r="A95" s="198"/>
      <c r="B95" s="198"/>
      <c r="C95" s="198" t="s">
        <v>656</v>
      </c>
      <c r="D95" s="195">
        <v>88</v>
      </c>
      <c r="E95" s="195">
        <v>9</v>
      </c>
      <c r="F95" s="195">
        <v>9</v>
      </c>
      <c r="G95" s="239">
        <v>88</v>
      </c>
      <c r="H95" s="197" t="s">
        <v>72</v>
      </c>
      <c r="I95" s="242" t="s">
        <v>75</v>
      </c>
      <c r="J95" s="242" t="s">
        <v>8033</v>
      </c>
      <c r="K95" s="195" t="s">
        <v>70</v>
      </c>
      <c r="L95" s="20" t="str">
        <f ca="1">IF(OFFSET(환산공식!$ED$15,$F95,0)=1,"O","X")</f>
        <v>X</v>
      </c>
      <c r="M95" s="188">
        <f ca="1">IFERROR(OFFSET(환산공식!DJ$15,$F95,0),"")</f>
        <v>0</v>
      </c>
      <c r="N95" s="20" t="str">
        <f ca="1">IFERROR(CONCATENATE(ROUND(OFFSET(환산공식!DK$15,$F95,0),1),"%"),"")</f>
        <v/>
      </c>
      <c r="O95" s="20">
        <f ca="1">IFERROR(OFFSET(환산공식!DL$15,$F95,0),"")</f>
        <v>0</v>
      </c>
      <c r="P95" s="188" t="str">
        <f t="shared" ca="1" si="3"/>
        <v>3% 이하</v>
      </c>
      <c r="Q95" s="194">
        <f ca="1">IFERROR(ROUND(OFFSET(환산공식!$FG$15,$F95,0),3),"")</f>
        <v>0</v>
      </c>
      <c r="R95" s="194">
        <f ca="1">OFFSET('배치점수 계산기'!H$10,$D95,0)</f>
        <v>660.04</v>
      </c>
      <c r="S95" s="194">
        <f ca="1">OFFSET('배치점수 계산기'!I$10,$D95,0)</f>
        <v>658.96299999999997</v>
      </c>
      <c r="T95" s="194">
        <f ca="1">OFFSET('배치점수 계산기'!J$10,$D95,0)</f>
        <v>655.83799999999997</v>
      </c>
      <c r="U95" s="194">
        <f ca="1">OFFSET('배치점수 계산기'!K$10,$D95,0)</f>
        <v>654.80499999999995</v>
      </c>
      <c r="V95" s="194">
        <f ca="1">OFFSET('배치점수 계산기'!L$10,$D95,0)</f>
        <v>653.00699999999995</v>
      </c>
      <c r="W95" s="186" t="str">
        <f ca="1">OFFSET('배치점수 계산기'!M$10,$D95,0)</f>
        <v>표점</v>
      </c>
      <c r="X95" s="184" t="str">
        <f ca="1">OFFSET('배치점수 계산기'!N$10,$D95,0)</f>
        <v>변표</v>
      </c>
      <c r="Y95" s="188">
        <f ca="1">OFFSET(환산공식!FW$15,$F95,0)</f>
        <v>0.31</v>
      </c>
      <c r="Z95" s="20">
        <f ca="1">OFFSET(환산공식!FX$15,$F95,0)</f>
        <v>0.38</v>
      </c>
      <c r="AA95" s="179">
        <f ca="1">OFFSET(환산공식!FY$15,$F95,0)</f>
        <v>0.31</v>
      </c>
      <c r="AC95"/>
      <c r="AD95">
        <f t="shared" ca="1" si="4"/>
        <v>6</v>
      </c>
      <c r="AE95"/>
    </row>
    <row r="96" spans="1:31" s="3" customFormat="1">
      <c r="A96" s="198"/>
      <c r="B96" s="198"/>
      <c r="C96" s="198" t="s">
        <v>657</v>
      </c>
      <c r="D96" s="195">
        <v>89</v>
      </c>
      <c r="E96" s="195">
        <v>9</v>
      </c>
      <c r="F96" s="195">
        <v>9</v>
      </c>
      <c r="G96" s="239">
        <v>89</v>
      </c>
      <c r="H96" s="197" t="s">
        <v>72</v>
      </c>
      <c r="I96" s="242" t="s">
        <v>75</v>
      </c>
      <c r="J96" s="242" t="s">
        <v>8712</v>
      </c>
      <c r="K96" s="195" t="s">
        <v>70</v>
      </c>
      <c r="L96" s="20" t="str">
        <f ca="1">IF(OFFSET(환산공식!$ED$15,$F96,0)=1,"O","X")</f>
        <v>X</v>
      </c>
      <c r="M96" s="188">
        <f ca="1">IFERROR(OFFSET(환산공식!DJ$15,$F96,0),"")</f>
        <v>0</v>
      </c>
      <c r="N96" s="20" t="str">
        <f ca="1">IFERROR(CONCATENATE(ROUND(OFFSET(환산공식!DK$15,$F96,0),1),"%"),"")</f>
        <v/>
      </c>
      <c r="O96" s="20">
        <f ca="1">IFERROR(OFFSET(환산공식!DL$15,$F96,0),"")</f>
        <v>0</v>
      </c>
      <c r="P96" s="188" t="str">
        <f t="shared" ca="1" si="3"/>
        <v>3% 이하</v>
      </c>
      <c r="Q96" s="194">
        <f ca="1">IFERROR(ROUND(OFFSET(환산공식!$FG$15,$F96,0),3),"")</f>
        <v>0</v>
      </c>
      <c r="R96" s="194">
        <f ca="1">OFFSET('배치점수 계산기'!H$10,$D96,0)</f>
        <v>659.92399999999998</v>
      </c>
      <c r="S96" s="194">
        <f ca="1">OFFSET('배치점수 계산기'!I$10,$D96,0)</f>
        <v>658.71</v>
      </c>
      <c r="T96" s="194">
        <f ca="1">OFFSET('배치점수 계산기'!J$10,$D96,0)</f>
        <v>655.44500000000005</v>
      </c>
      <c r="U96" s="194">
        <f ca="1">OFFSET('배치점수 계산기'!K$10,$D96,0)</f>
        <v>653.00699999999995</v>
      </c>
      <c r="V96" s="194">
        <f ca="1">OFFSET('배치점수 계산기'!L$10,$D96,0)</f>
        <v>650.5</v>
      </c>
      <c r="W96" s="186" t="str">
        <f ca="1">OFFSET('배치점수 계산기'!M$10,$D96,0)</f>
        <v>표점</v>
      </c>
      <c r="X96" s="184" t="str">
        <f ca="1">OFFSET('배치점수 계산기'!N$10,$D96,0)</f>
        <v>변표</v>
      </c>
      <c r="Y96" s="188">
        <f ca="1">OFFSET(환산공식!FW$15,$F96,0)</f>
        <v>0.31</v>
      </c>
      <c r="Z96" s="20">
        <f ca="1">OFFSET(환산공식!FX$15,$F96,0)</f>
        <v>0.38</v>
      </c>
      <c r="AA96" s="179">
        <f ca="1">OFFSET(환산공식!FY$15,$F96,0)</f>
        <v>0.31</v>
      </c>
      <c r="AC96"/>
      <c r="AD96">
        <f t="shared" ca="1" si="4"/>
        <v>6</v>
      </c>
      <c r="AE96"/>
    </row>
    <row r="97" spans="1:31" s="3" customFormat="1">
      <c r="A97" s="198"/>
      <c r="B97" s="198"/>
      <c r="C97" s="198" t="s">
        <v>658</v>
      </c>
      <c r="D97" s="195">
        <v>90</v>
      </c>
      <c r="E97" s="195">
        <v>9</v>
      </c>
      <c r="F97" s="195">
        <v>9</v>
      </c>
      <c r="G97" s="239">
        <v>90</v>
      </c>
      <c r="H97" s="197" t="s">
        <v>72</v>
      </c>
      <c r="I97" s="242" t="s">
        <v>75</v>
      </c>
      <c r="J97" s="242" t="s">
        <v>8283</v>
      </c>
      <c r="K97" s="195" t="s">
        <v>70</v>
      </c>
      <c r="L97" s="20" t="str">
        <f ca="1">IF(OFFSET(환산공식!$ED$15,$F97,0)=1,"O","X")</f>
        <v>X</v>
      </c>
      <c r="M97" s="188">
        <f ca="1">IFERROR(OFFSET(환산공식!DJ$15,$F97,0),"")</f>
        <v>0</v>
      </c>
      <c r="N97" s="20" t="str">
        <f ca="1">IFERROR(CONCATENATE(ROUND(OFFSET(환산공식!DK$15,$F97,0),1),"%"),"")</f>
        <v/>
      </c>
      <c r="O97" s="20">
        <f ca="1">IFERROR(OFFSET(환산공식!DL$15,$F97,0),"")</f>
        <v>0</v>
      </c>
      <c r="P97" s="188" t="str">
        <f t="shared" ca="1" si="3"/>
        <v>3% 이하</v>
      </c>
      <c r="Q97" s="194">
        <f ca="1">IFERROR(ROUND(OFFSET(환산공식!$FG$15,$F97,0),3),"")</f>
        <v>0</v>
      </c>
      <c r="R97" s="194">
        <f ca="1">OFFSET('배치점수 계산기'!H$10,$D97,0)</f>
        <v>659.55399999999997</v>
      </c>
      <c r="S97" s="194">
        <f ca="1">OFFSET('배치점수 계산기'!I$10,$D97,0)</f>
        <v>658.02599999999995</v>
      </c>
      <c r="T97" s="194">
        <f ca="1">OFFSET('배치점수 계산기'!J$10,$D97,0)</f>
        <v>655.19799999999998</v>
      </c>
      <c r="U97" s="194">
        <f ca="1">OFFSET('배치점수 계산기'!K$10,$D97,0)</f>
        <v>653.19399999999996</v>
      </c>
      <c r="V97" s="194">
        <f ca="1">OFFSET('배치점수 계산기'!L$10,$D97,0)</f>
        <v>650.65700000000004</v>
      </c>
      <c r="W97" s="186" t="str">
        <f ca="1">OFFSET('배치점수 계산기'!M$10,$D97,0)</f>
        <v>표점</v>
      </c>
      <c r="X97" s="184" t="str">
        <f ca="1">OFFSET('배치점수 계산기'!N$10,$D97,0)</f>
        <v>변표</v>
      </c>
      <c r="Y97" s="188">
        <f ca="1">OFFSET(환산공식!FW$15,$F97,0)</f>
        <v>0.31</v>
      </c>
      <c r="Z97" s="20">
        <f ca="1">OFFSET(환산공식!FX$15,$F97,0)</f>
        <v>0.38</v>
      </c>
      <c r="AA97" s="179">
        <f ca="1">OFFSET(환산공식!FY$15,$F97,0)</f>
        <v>0.31</v>
      </c>
      <c r="AC97"/>
      <c r="AD97">
        <f t="shared" ca="1" si="4"/>
        <v>6</v>
      </c>
      <c r="AE97"/>
    </row>
    <row r="98" spans="1:31" s="3" customFormat="1">
      <c r="A98" s="198"/>
      <c r="B98" s="198"/>
      <c r="C98" s="198" t="s">
        <v>659</v>
      </c>
      <c r="D98" s="195">
        <v>91</v>
      </c>
      <c r="E98" s="195">
        <v>9</v>
      </c>
      <c r="F98" s="195">
        <v>9</v>
      </c>
      <c r="G98" s="239">
        <v>91</v>
      </c>
      <c r="H98" s="197" t="s">
        <v>72</v>
      </c>
      <c r="I98" s="242" t="s">
        <v>75</v>
      </c>
      <c r="J98" s="242" t="s">
        <v>8580</v>
      </c>
      <c r="K98" s="195" t="s">
        <v>70</v>
      </c>
      <c r="L98" s="20" t="str">
        <f ca="1">IF(OFFSET(환산공식!$ED$15,$F98,0)=1,"O","X")</f>
        <v>X</v>
      </c>
      <c r="M98" s="188">
        <f ca="1">IFERROR(OFFSET(환산공식!DJ$15,$F98,0),"")</f>
        <v>0</v>
      </c>
      <c r="N98" s="20" t="str">
        <f ca="1">IFERROR(CONCATENATE(ROUND(OFFSET(환산공식!DK$15,$F98,0),1),"%"),"")</f>
        <v/>
      </c>
      <c r="O98" s="20">
        <f ca="1">IFERROR(OFFSET(환산공식!DL$15,$F98,0),"")</f>
        <v>0</v>
      </c>
      <c r="P98" s="188" t="str">
        <f t="shared" ca="1" si="3"/>
        <v>3% 이하</v>
      </c>
      <c r="Q98" s="194">
        <f ca="1">IFERROR(ROUND(OFFSET(환산공식!$FG$15,$F98,0),3),"")</f>
        <v>0</v>
      </c>
      <c r="R98" s="194">
        <f ca="1">OFFSET('배치점수 계산기'!H$10,$D98,0)</f>
        <v>660.04</v>
      </c>
      <c r="S98" s="194">
        <f ca="1">OFFSET('배치점수 계산기'!I$10,$D98,0)</f>
        <v>656.15099999999995</v>
      </c>
      <c r="T98" s="194">
        <f ca="1">OFFSET('배치점수 계산기'!J$10,$D98,0)</f>
        <v>655.19799999999998</v>
      </c>
      <c r="U98" s="194">
        <f ca="1">OFFSET('배치점수 계산기'!K$10,$D98,0)</f>
        <v>654.26400000000001</v>
      </c>
      <c r="V98" s="194">
        <f ca="1">OFFSET('배치점수 계산기'!L$10,$D98,0)</f>
        <v>652.61400000000003</v>
      </c>
      <c r="W98" s="186" t="str">
        <f ca="1">OFFSET('배치점수 계산기'!M$10,$D98,0)</f>
        <v>표점</v>
      </c>
      <c r="X98" s="184" t="str">
        <f ca="1">OFFSET('배치점수 계산기'!N$10,$D98,0)</f>
        <v>변표</v>
      </c>
      <c r="Y98" s="188">
        <f ca="1">OFFSET(환산공식!FW$15,$F98,0)</f>
        <v>0.31</v>
      </c>
      <c r="Z98" s="20">
        <f ca="1">OFFSET(환산공식!FX$15,$F98,0)</f>
        <v>0.38</v>
      </c>
      <c r="AA98" s="179">
        <f ca="1">OFFSET(환산공식!FY$15,$F98,0)</f>
        <v>0.31</v>
      </c>
      <c r="AC98"/>
      <c r="AD98">
        <f t="shared" ca="1" si="4"/>
        <v>6</v>
      </c>
      <c r="AE98"/>
    </row>
    <row r="99" spans="1:31" s="3" customFormat="1">
      <c r="A99" s="198"/>
      <c r="B99" s="198"/>
      <c r="C99" s="198" t="s">
        <v>660</v>
      </c>
      <c r="D99" s="195">
        <v>92</v>
      </c>
      <c r="E99" s="195">
        <v>9</v>
      </c>
      <c r="F99" s="195">
        <v>9</v>
      </c>
      <c r="G99" s="239">
        <v>92</v>
      </c>
      <c r="H99" s="197" t="s">
        <v>72</v>
      </c>
      <c r="I99" s="242" t="s">
        <v>75</v>
      </c>
      <c r="J99" s="242" t="s">
        <v>8540</v>
      </c>
      <c r="K99" s="195" t="s">
        <v>70</v>
      </c>
      <c r="L99" s="20" t="str">
        <f ca="1">IF(OFFSET(환산공식!$ED$15,$F99,0)=1,"O","X")</f>
        <v>X</v>
      </c>
      <c r="M99" s="188">
        <f ca="1">IFERROR(OFFSET(환산공식!DJ$15,$F99,0),"")</f>
        <v>0</v>
      </c>
      <c r="N99" s="20" t="str">
        <f ca="1">IFERROR(CONCATENATE(ROUND(OFFSET(환산공식!DK$15,$F99,0),1),"%"),"")</f>
        <v/>
      </c>
      <c r="O99" s="20">
        <f ca="1">IFERROR(OFFSET(환산공식!DL$15,$F99,0),"")</f>
        <v>0</v>
      </c>
      <c r="P99" s="188" t="str">
        <f t="shared" ca="1" si="3"/>
        <v>3% 이하</v>
      </c>
      <c r="Q99" s="194">
        <f ca="1">IFERROR(ROUND(OFFSET(환산공식!$FG$15,$F99,0),3),"")</f>
        <v>0</v>
      </c>
      <c r="R99" s="194">
        <f ca="1">OFFSET('배치점수 계산기'!H$10,$D99,0)</f>
        <v>658.96299999999997</v>
      </c>
      <c r="S99" s="194">
        <f ca="1">OFFSET('배치점수 계산기'!I$10,$D99,0)</f>
        <v>656.15099999999995</v>
      </c>
      <c r="T99" s="194">
        <f ca="1">OFFSET('배치점수 계산기'!J$10,$D99,0)</f>
        <v>654.80499999999995</v>
      </c>
      <c r="U99" s="194">
        <f ca="1">OFFSET('배치점수 계산기'!K$10,$D99,0)</f>
        <v>653.99099999999999</v>
      </c>
      <c r="V99" s="194">
        <f ca="1">OFFSET('배치점수 계산기'!L$10,$D99,0)</f>
        <v>652.61400000000003</v>
      </c>
      <c r="W99" s="186" t="str">
        <f ca="1">OFFSET('배치점수 계산기'!M$10,$D99,0)</f>
        <v>표점</v>
      </c>
      <c r="X99" s="184" t="str">
        <f ca="1">OFFSET('배치점수 계산기'!N$10,$D99,0)</f>
        <v>변표</v>
      </c>
      <c r="Y99" s="188">
        <f ca="1">OFFSET(환산공식!FW$15,$F99,0)</f>
        <v>0.31</v>
      </c>
      <c r="Z99" s="20">
        <f ca="1">OFFSET(환산공식!FX$15,$F99,0)</f>
        <v>0.38</v>
      </c>
      <c r="AA99" s="179">
        <f ca="1">OFFSET(환산공식!FY$15,$F99,0)</f>
        <v>0.31</v>
      </c>
      <c r="AC99"/>
      <c r="AD99">
        <f t="shared" ca="1" si="4"/>
        <v>6</v>
      </c>
      <c r="AE99"/>
    </row>
    <row r="100" spans="1:31" s="3" customFormat="1">
      <c r="A100" s="198"/>
      <c r="B100" s="198"/>
      <c r="C100" s="198" t="s">
        <v>661</v>
      </c>
      <c r="D100" s="195">
        <v>93</v>
      </c>
      <c r="E100" s="195">
        <v>9</v>
      </c>
      <c r="F100" s="195">
        <v>9</v>
      </c>
      <c r="G100" s="239">
        <v>93</v>
      </c>
      <c r="H100" s="197" t="s">
        <v>72</v>
      </c>
      <c r="I100" s="242" t="s">
        <v>75</v>
      </c>
      <c r="J100" s="242" t="s">
        <v>8669</v>
      </c>
      <c r="K100" s="195" t="s">
        <v>70</v>
      </c>
      <c r="L100" s="20" t="str">
        <f ca="1">IF(OFFSET(환산공식!$ED$15,$F100,0)=1,"O","X")</f>
        <v>X</v>
      </c>
      <c r="M100" s="188">
        <f ca="1">IFERROR(OFFSET(환산공식!DJ$15,$F100,0),"")</f>
        <v>0</v>
      </c>
      <c r="N100" s="20" t="str">
        <f ca="1">IFERROR(CONCATENATE(ROUND(OFFSET(환산공식!DK$15,$F100,0),1),"%"),"")</f>
        <v/>
      </c>
      <c r="O100" s="20">
        <f ca="1">IFERROR(OFFSET(환산공식!DL$15,$F100,0),"")</f>
        <v>0</v>
      </c>
      <c r="P100" s="188" t="str">
        <f t="shared" ca="1" si="3"/>
        <v>3% 이하</v>
      </c>
      <c r="Q100" s="194">
        <f ca="1">IFERROR(ROUND(OFFSET(환산공식!$FG$15,$F100,0),3),"")</f>
        <v>0</v>
      </c>
      <c r="R100" s="194">
        <f ca="1">OFFSET('배치점수 계산기'!H$10,$D100,0)</f>
        <v>658.96299999999997</v>
      </c>
      <c r="S100" s="194">
        <f ca="1">OFFSET('배치점수 계산기'!I$10,$D100,0)</f>
        <v>656.15099999999995</v>
      </c>
      <c r="T100" s="194">
        <f ca="1">OFFSET('배치점수 계산기'!J$10,$D100,0)</f>
        <v>654.80499999999995</v>
      </c>
      <c r="U100" s="194">
        <f ca="1">OFFSET('배치점수 계산기'!K$10,$D100,0)</f>
        <v>653.64700000000005</v>
      </c>
      <c r="V100" s="194">
        <f ca="1">OFFSET('배치점수 계산기'!L$10,$D100,0)</f>
        <v>653.00699999999995</v>
      </c>
      <c r="W100" s="186" t="str">
        <f ca="1">OFFSET('배치점수 계산기'!M$10,$D100,0)</f>
        <v>표점</v>
      </c>
      <c r="X100" s="184" t="str">
        <f ca="1">OFFSET('배치점수 계산기'!N$10,$D100,0)</f>
        <v>변표</v>
      </c>
      <c r="Y100" s="188">
        <f ca="1">OFFSET(환산공식!FW$15,$F100,0)</f>
        <v>0.31</v>
      </c>
      <c r="Z100" s="20">
        <f ca="1">OFFSET(환산공식!FX$15,$F100,0)</f>
        <v>0.38</v>
      </c>
      <c r="AA100" s="179">
        <f ca="1">OFFSET(환산공식!FY$15,$F100,0)</f>
        <v>0.31</v>
      </c>
      <c r="AC100"/>
      <c r="AD100">
        <f t="shared" ca="1" si="4"/>
        <v>6</v>
      </c>
      <c r="AE100"/>
    </row>
    <row r="101" spans="1:31" s="3" customFormat="1">
      <c r="A101" s="198"/>
      <c r="B101" s="198"/>
      <c r="C101" s="198" t="s">
        <v>662</v>
      </c>
      <c r="D101" s="195">
        <v>94</v>
      </c>
      <c r="E101" s="195">
        <v>9</v>
      </c>
      <c r="F101" s="195">
        <v>9</v>
      </c>
      <c r="G101" s="239">
        <v>94</v>
      </c>
      <c r="H101" s="197" t="s">
        <v>72</v>
      </c>
      <c r="I101" s="242" t="s">
        <v>75</v>
      </c>
      <c r="J101" s="242" t="s">
        <v>550</v>
      </c>
      <c r="K101" s="195" t="s">
        <v>70</v>
      </c>
      <c r="L101" s="20" t="str">
        <f ca="1">IF(OFFSET(환산공식!$ED$15,$F101,0)=1,"O","X")</f>
        <v>X</v>
      </c>
      <c r="M101" s="188">
        <f ca="1">IFERROR(OFFSET(환산공식!DJ$15,$F101,0),"")</f>
        <v>0</v>
      </c>
      <c r="N101" s="20" t="str">
        <f ca="1">IFERROR(CONCATENATE(ROUND(OFFSET(환산공식!DK$15,$F101,0),1),"%"),"")</f>
        <v/>
      </c>
      <c r="O101" s="20">
        <f ca="1">IFERROR(OFFSET(환산공식!DL$15,$F101,0),"")</f>
        <v>0</v>
      </c>
      <c r="P101" s="188" t="str">
        <f t="shared" ca="1" si="3"/>
        <v>3% 이하</v>
      </c>
      <c r="Q101" s="194">
        <f ca="1">IFERROR(ROUND(OFFSET(환산공식!$FG$15,$F101,0),3),"")</f>
        <v>0</v>
      </c>
      <c r="R101" s="194">
        <f ca="1">OFFSET('배치점수 계산기'!H$10,$D101,0)</f>
        <v>659.55399999999997</v>
      </c>
      <c r="S101" s="194">
        <f ca="1">OFFSET('배치점수 계산기'!I$10,$D101,0)</f>
        <v>658.02599999999995</v>
      </c>
      <c r="T101" s="194">
        <f ca="1">OFFSET('배치점수 계산기'!J$10,$D101,0)</f>
        <v>654.80499999999995</v>
      </c>
      <c r="U101" s="194">
        <f ca="1">OFFSET('배치점수 계산기'!K$10,$D101,0)</f>
        <v>653.99099999999999</v>
      </c>
      <c r="V101" s="194">
        <f ca="1">OFFSET('배치점수 계산기'!L$10,$D101,0)</f>
        <v>652.34100000000001</v>
      </c>
      <c r="W101" s="186" t="str">
        <f ca="1">OFFSET('배치점수 계산기'!M$10,$D101,0)</f>
        <v>표점</v>
      </c>
      <c r="X101" s="184" t="str">
        <f ca="1">OFFSET('배치점수 계산기'!N$10,$D101,0)</f>
        <v>변표</v>
      </c>
      <c r="Y101" s="188">
        <f ca="1">OFFSET(환산공식!FW$15,$F101,0)</f>
        <v>0.31</v>
      </c>
      <c r="Z101" s="20">
        <f ca="1">OFFSET(환산공식!FX$15,$F101,0)</f>
        <v>0.38</v>
      </c>
      <c r="AA101" s="179">
        <f ca="1">OFFSET(환산공식!FY$15,$F101,0)</f>
        <v>0.31</v>
      </c>
      <c r="AC101"/>
      <c r="AD101">
        <f t="shared" ca="1" si="4"/>
        <v>6</v>
      </c>
      <c r="AE101"/>
    </row>
    <row r="102" spans="1:31" s="3" customFormat="1">
      <c r="A102" s="198"/>
      <c r="B102" s="198"/>
      <c r="C102" s="198" t="s">
        <v>663</v>
      </c>
      <c r="D102" s="195">
        <v>95</v>
      </c>
      <c r="E102" s="195">
        <v>9</v>
      </c>
      <c r="F102" s="195">
        <v>9</v>
      </c>
      <c r="G102" s="239">
        <v>95</v>
      </c>
      <c r="H102" s="197" t="s">
        <v>72</v>
      </c>
      <c r="I102" s="242" t="s">
        <v>75</v>
      </c>
      <c r="J102" s="242" t="s">
        <v>8148</v>
      </c>
      <c r="K102" s="195" t="s">
        <v>70</v>
      </c>
      <c r="L102" s="20" t="str">
        <f ca="1">IF(OFFSET(환산공식!$ED$15,$F102,0)=1,"O","X")</f>
        <v>X</v>
      </c>
      <c r="M102" s="188">
        <f ca="1">IFERROR(OFFSET(환산공식!DJ$15,$F102,0),"")</f>
        <v>0</v>
      </c>
      <c r="N102" s="20" t="str">
        <f ca="1">IFERROR(CONCATENATE(ROUND(OFFSET(환산공식!DK$15,$F102,0),1),"%"),"")</f>
        <v/>
      </c>
      <c r="O102" s="20">
        <f ca="1">IFERROR(OFFSET(환산공식!DL$15,$F102,0),"")</f>
        <v>0</v>
      </c>
      <c r="P102" s="188" t="str">
        <f t="shared" ca="1" si="3"/>
        <v>3% 이하</v>
      </c>
      <c r="Q102" s="194">
        <f ca="1">IFERROR(ROUND(OFFSET(환산공식!$FG$15,$F102,0),3),"")</f>
        <v>0</v>
      </c>
      <c r="R102" s="194">
        <f ca="1">OFFSET('배치점수 계산기'!H$10,$D102,0)</f>
        <v>658.96299999999997</v>
      </c>
      <c r="S102" s="194">
        <f ca="1">OFFSET('배치점수 계산기'!I$10,$D102,0)</f>
        <v>655.83799999999997</v>
      </c>
      <c r="T102" s="194">
        <f ca="1">OFFSET('배치점수 계산기'!J$10,$D102,0)</f>
        <v>654.649</v>
      </c>
      <c r="U102" s="194">
        <f ca="1">OFFSET('배치점수 계산기'!K$10,$D102,0)</f>
        <v>653.64700000000005</v>
      </c>
      <c r="V102" s="194">
        <f ca="1">OFFSET('배치점수 계산기'!L$10,$D102,0)</f>
        <v>651.95600000000002</v>
      </c>
      <c r="W102" s="186" t="str">
        <f ca="1">OFFSET('배치점수 계산기'!M$10,$D102,0)</f>
        <v>표점</v>
      </c>
      <c r="X102" s="184" t="str">
        <f ca="1">OFFSET('배치점수 계산기'!N$10,$D102,0)</f>
        <v>변표</v>
      </c>
      <c r="Y102" s="188">
        <f ca="1">OFFSET(환산공식!FW$15,$F102,0)</f>
        <v>0.31</v>
      </c>
      <c r="Z102" s="20">
        <f ca="1">OFFSET(환산공식!FX$15,$F102,0)</f>
        <v>0.38</v>
      </c>
      <c r="AA102" s="179">
        <f ca="1">OFFSET(환산공식!FY$15,$F102,0)</f>
        <v>0.31</v>
      </c>
      <c r="AC102"/>
      <c r="AD102">
        <f t="shared" ca="1" si="4"/>
        <v>6</v>
      </c>
      <c r="AE102"/>
    </row>
    <row r="103" spans="1:31" s="3" customFormat="1">
      <c r="A103" s="198"/>
      <c r="B103" s="198"/>
      <c r="C103" s="198" t="s">
        <v>664</v>
      </c>
      <c r="D103" s="195">
        <v>96</v>
      </c>
      <c r="E103" s="195">
        <v>9</v>
      </c>
      <c r="F103" s="195">
        <v>9</v>
      </c>
      <c r="G103" s="239">
        <v>96</v>
      </c>
      <c r="H103" s="197" t="s">
        <v>72</v>
      </c>
      <c r="I103" s="242" t="s">
        <v>75</v>
      </c>
      <c r="J103" s="242" t="s">
        <v>8778</v>
      </c>
      <c r="K103" s="195" t="s">
        <v>70</v>
      </c>
      <c r="L103" s="20" t="str">
        <f ca="1">IF(OFFSET(환산공식!$ED$15,$F103,0)=1,"O","X")</f>
        <v>X</v>
      </c>
      <c r="M103" s="188">
        <f ca="1">IFERROR(OFFSET(환산공식!DJ$15,$F103,0),"")</f>
        <v>0</v>
      </c>
      <c r="N103" s="20" t="str">
        <f ca="1">IFERROR(CONCATENATE(ROUND(OFFSET(환산공식!DK$15,$F103,0),1),"%"),"")</f>
        <v/>
      </c>
      <c r="O103" s="20">
        <f ca="1">IFERROR(OFFSET(환산공식!DL$15,$F103,0),"")</f>
        <v>0</v>
      </c>
      <c r="P103" s="188" t="str">
        <f t="shared" ca="1" si="3"/>
        <v>3% 이하</v>
      </c>
      <c r="Q103" s="194">
        <f ca="1">IFERROR(ROUND(OFFSET(환산공식!$FG$15,$F103,0),3),"")</f>
        <v>0</v>
      </c>
      <c r="R103" s="194">
        <f ca="1">OFFSET('배치점수 계산기'!H$10,$D103,0)</f>
        <v>658.02599999999995</v>
      </c>
      <c r="S103" s="194">
        <f ca="1">OFFSET('배치점수 계산기'!I$10,$D103,0)</f>
        <v>654.80499999999995</v>
      </c>
      <c r="T103" s="194">
        <f ca="1">OFFSET('배치점수 계산기'!J$10,$D103,0)</f>
        <v>654.10699999999997</v>
      </c>
      <c r="U103" s="194">
        <f ca="1">OFFSET('배치점수 계산기'!K$10,$D103,0)</f>
        <v>653.19399999999996</v>
      </c>
      <c r="V103" s="194">
        <f ca="1">OFFSET('배치점수 계산기'!L$10,$D103,0)</f>
        <v>652.34100000000001</v>
      </c>
      <c r="W103" s="186" t="str">
        <f ca="1">OFFSET('배치점수 계산기'!M$10,$D103,0)</f>
        <v>표점</v>
      </c>
      <c r="X103" s="184" t="str">
        <f ca="1">OFFSET('배치점수 계산기'!N$10,$D103,0)</f>
        <v>변표</v>
      </c>
      <c r="Y103" s="188">
        <f ca="1">OFFSET(환산공식!FW$15,$F103,0)</f>
        <v>0.31</v>
      </c>
      <c r="Z103" s="20">
        <f ca="1">OFFSET(환산공식!FX$15,$F103,0)</f>
        <v>0.38</v>
      </c>
      <c r="AA103" s="179">
        <f ca="1">OFFSET(환산공식!FY$15,$F103,0)</f>
        <v>0.31</v>
      </c>
      <c r="AC103"/>
      <c r="AD103">
        <f t="shared" ca="1" si="4"/>
        <v>6</v>
      </c>
      <c r="AE103"/>
    </row>
    <row r="104" spans="1:31" s="3" customFormat="1">
      <c r="A104" s="198"/>
      <c r="B104" s="198"/>
      <c r="C104" s="198" t="s">
        <v>665</v>
      </c>
      <c r="D104" s="195">
        <v>97</v>
      </c>
      <c r="E104" s="195">
        <v>9</v>
      </c>
      <c r="F104" s="195">
        <v>9</v>
      </c>
      <c r="G104" s="239">
        <v>97</v>
      </c>
      <c r="H104" s="197" t="s">
        <v>72</v>
      </c>
      <c r="I104" s="242" t="s">
        <v>75</v>
      </c>
      <c r="J104" s="242" t="s">
        <v>8590</v>
      </c>
      <c r="K104" s="195" t="s">
        <v>70</v>
      </c>
      <c r="L104" s="20" t="str">
        <f ca="1">IF(OFFSET(환산공식!$ED$15,$F104,0)=1,"O","X")</f>
        <v>X</v>
      </c>
      <c r="M104" s="188">
        <f ca="1">IFERROR(OFFSET(환산공식!DJ$15,$F104,0),"")</f>
        <v>0</v>
      </c>
      <c r="N104" s="20" t="str">
        <f ca="1">IFERROR(CONCATENATE(ROUND(OFFSET(환산공식!DK$15,$F104,0),1),"%"),"")</f>
        <v/>
      </c>
      <c r="O104" s="20">
        <f ca="1">IFERROR(OFFSET(환산공식!DL$15,$F104,0),"")</f>
        <v>0</v>
      </c>
      <c r="P104" s="188" t="str">
        <f t="shared" ca="1" si="3"/>
        <v>3% 이하</v>
      </c>
      <c r="Q104" s="194">
        <f ca="1">IFERROR(ROUND(OFFSET(환산공식!$FG$15,$F104,0),3),"")</f>
        <v>0</v>
      </c>
      <c r="R104" s="194">
        <f ca="1">OFFSET('배치점수 계산기'!H$10,$D104,0)</f>
        <v>655.83799999999997</v>
      </c>
      <c r="S104" s="194">
        <f ca="1">OFFSET('배치점수 계산기'!I$10,$D104,0)</f>
        <v>654.80499999999995</v>
      </c>
      <c r="T104" s="194">
        <f ca="1">OFFSET('배치점수 계산기'!J$10,$D104,0)</f>
        <v>654.10699999999997</v>
      </c>
      <c r="U104" s="194">
        <f ca="1">OFFSET('배치점수 계산기'!K$10,$D104,0)</f>
        <v>653.19399999999996</v>
      </c>
      <c r="V104" s="194">
        <f ca="1">OFFSET('배치점수 계산기'!L$10,$D104,0)</f>
        <v>652.34100000000001</v>
      </c>
      <c r="W104" s="186" t="str">
        <f ca="1">OFFSET('배치점수 계산기'!M$10,$D104,0)</f>
        <v>표점</v>
      </c>
      <c r="X104" s="184" t="str">
        <f ca="1">OFFSET('배치점수 계산기'!N$10,$D104,0)</f>
        <v>변표</v>
      </c>
      <c r="Y104" s="188">
        <f ca="1">OFFSET(환산공식!FW$15,$F104,0)</f>
        <v>0.31</v>
      </c>
      <c r="Z104" s="20">
        <f ca="1">OFFSET(환산공식!FX$15,$F104,0)</f>
        <v>0.38</v>
      </c>
      <c r="AA104" s="179">
        <f ca="1">OFFSET(환산공식!FY$15,$F104,0)</f>
        <v>0.31</v>
      </c>
      <c r="AC104"/>
      <c r="AD104">
        <f t="shared" ca="1" si="4"/>
        <v>6</v>
      </c>
      <c r="AE104"/>
    </row>
    <row r="105" spans="1:31" s="3" customFormat="1">
      <c r="A105" s="198"/>
      <c r="B105" s="198"/>
      <c r="C105" s="198" t="s">
        <v>666</v>
      </c>
      <c r="D105" s="195">
        <v>98</v>
      </c>
      <c r="E105" s="195">
        <v>9</v>
      </c>
      <c r="F105" s="195">
        <v>9</v>
      </c>
      <c r="G105" s="239">
        <v>98</v>
      </c>
      <c r="H105" s="197" t="s">
        <v>72</v>
      </c>
      <c r="I105" s="242" t="s">
        <v>75</v>
      </c>
      <c r="J105" s="242" t="s">
        <v>8007</v>
      </c>
      <c r="K105" s="195" t="s">
        <v>70</v>
      </c>
      <c r="L105" s="20" t="str">
        <f ca="1">IF(OFFSET(환산공식!$ED$15,$F105,0)=1,"O","X")</f>
        <v>X</v>
      </c>
      <c r="M105" s="188">
        <f ca="1">IFERROR(OFFSET(환산공식!DJ$15,$F105,0),"")</f>
        <v>0</v>
      </c>
      <c r="N105" s="20" t="str">
        <f ca="1">IFERROR(CONCATENATE(ROUND(OFFSET(환산공식!DK$15,$F105,0),1),"%"),"")</f>
        <v/>
      </c>
      <c r="O105" s="20">
        <f ca="1">IFERROR(OFFSET(환산공식!DL$15,$F105,0),"")</f>
        <v>0</v>
      </c>
      <c r="P105" s="188" t="str">
        <f t="shared" ca="1" si="3"/>
        <v>3% 이하</v>
      </c>
      <c r="Q105" s="194">
        <f ca="1">IFERROR(ROUND(OFFSET(환산공식!$FG$15,$F105,0),3),"")</f>
        <v>0</v>
      </c>
      <c r="R105" s="194">
        <f ca="1">OFFSET('배치점수 계산기'!H$10,$D105,0)</f>
        <v>658.71</v>
      </c>
      <c r="S105" s="194">
        <f ca="1">OFFSET('배치점수 계산기'!I$10,$D105,0)</f>
        <v>655.44500000000005</v>
      </c>
      <c r="T105" s="194">
        <f ca="1">OFFSET('배치점수 계산기'!J$10,$D105,0)</f>
        <v>653.00699999999995</v>
      </c>
      <c r="U105" s="194">
        <f ca="1">OFFSET('배치점수 계산기'!K$10,$D105,0)</f>
        <v>647.97199999999998</v>
      </c>
      <c r="V105" s="194">
        <f ca="1">OFFSET('배치점수 계산기'!L$10,$D105,0)</f>
        <v>642.09199999999998</v>
      </c>
      <c r="W105" s="186" t="str">
        <f ca="1">OFFSET('배치점수 계산기'!M$10,$D105,0)</f>
        <v>표점</v>
      </c>
      <c r="X105" s="184" t="str">
        <f ca="1">OFFSET('배치점수 계산기'!N$10,$D105,0)</f>
        <v>변표</v>
      </c>
      <c r="Y105" s="188">
        <f ca="1">OFFSET(환산공식!FW$15,$F105,0)</f>
        <v>0.31</v>
      </c>
      <c r="Z105" s="20">
        <f ca="1">OFFSET(환산공식!FX$15,$F105,0)</f>
        <v>0.38</v>
      </c>
      <c r="AA105" s="179">
        <f ca="1">OFFSET(환산공식!FY$15,$F105,0)</f>
        <v>0.31</v>
      </c>
      <c r="AC105"/>
      <c r="AD105">
        <f t="shared" ca="1" si="4"/>
        <v>6</v>
      </c>
      <c r="AE105"/>
    </row>
    <row r="106" spans="1:31" s="3" customFormat="1">
      <c r="A106" s="198"/>
      <c r="B106" s="198"/>
      <c r="C106" s="198" t="s">
        <v>667</v>
      </c>
      <c r="D106" s="195">
        <v>124</v>
      </c>
      <c r="E106" s="195">
        <v>11</v>
      </c>
      <c r="F106" s="195">
        <v>11</v>
      </c>
      <c r="G106" s="239">
        <v>99</v>
      </c>
      <c r="H106" s="197" t="s">
        <v>72</v>
      </c>
      <c r="I106" s="242" t="s">
        <v>75</v>
      </c>
      <c r="J106" s="242" t="s">
        <v>8659</v>
      </c>
      <c r="K106" s="195" t="s">
        <v>71</v>
      </c>
      <c r="L106" s="20" t="str">
        <f ca="1">IF(OFFSET(환산공식!$ED$15,$F106,0)=1,"O","X")</f>
        <v>X</v>
      </c>
      <c r="M106" s="188">
        <f ca="1">IFERROR(OFFSET(환산공식!DJ$15,$F106,0),"")</f>
        <v>0</v>
      </c>
      <c r="N106" s="20" t="str">
        <f ca="1">IFERROR(CONCATENATE(ROUND(OFFSET(환산공식!DK$15,$F106,0),1),"%"),"")</f>
        <v/>
      </c>
      <c r="O106" s="20">
        <f ca="1">IFERROR(OFFSET(환산공식!DL$15,$F106,0),"")</f>
        <v>0</v>
      </c>
      <c r="P106" s="188" t="str">
        <f t="shared" ca="1" si="3"/>
        <v>3% 이하</v>
      </c>
      <c r="Q106" s="194">
        <f ca="1">IFERROR(ROUND(OFFSET(환산공식!$FG$15,$F106,0),3),"")</f>
        <v>0</v>
      </c>
      <c r="R106" s="194">
        <f ca="1">OFFSET('배치점수 계산기'!H$10,$D106,0)</f>
        <v>660.274</v>
      </c>
      <c r="S106" s="194">
        <f ca="1">OFFSET('배치점수 계산기'!I$10,$D106,0)</f>
        <v>659.71</v>
      </c>
      <c r="T106" s="194">
        <f ca="1">OFFSET('배치점수 계산기'!J$10,$D106,0)</f>
        <v>658.28700000000003</v>
      </c>
      <c r="U106" s="194">
        <f ca="1">OFFSET('배치점수 계산기'!K$10,$D106,0)</f>
        <v>653.40899999999999</v>
      </c>
      <c r="V106" s="194">
        <f ca="1">OFFSET('배치점수 계산기'!L$10,$D106,0)</f>
        <v>649.83600000000001</v>
      </c>
      <c r="W106" s="186" t="str">
        <f ca="1">OFFSET('배치점수 계산기'!M$10,$D106,0)</f>
        <v>표점</v>
      </c>
      <c r="X106" s="184" t="str">
        <f ca="1">OFFSET('배치점수 계산기'!N$10,$D106,0)</f>
        <v>변표</v>
      </c>
      <c r="Y106" s="188">
        <f ca="1">OFFSET(환산공식!FW$15,$F106,0)</f>
        <v>0.36</v>
      </c>
      <c r="Z106" s="20">
        <f ca="1">OFFSET(환산공식!FX$15,$F106,0)</f>
        <v>0.36</v>
      </c>
      <c r="AA106" s="179">
        <f ca="1">OFFSET(환산공식!FY$15,$F106,0)</f>
        <v>0.28999999999999998</v>
      </c>
      <c r="AC106"/>
      <c r="AD106">
        <f t="shared" ca="1" si="4"/>
        <v>6</v>
      </c>
      <c r="AE106"/>
    </row>
    <row r="107" spans="1:31" s="3" customFormat="1">
      <c r="A107" s="198"/>
      <c r="B107" s="198"/>
      <c r="C107" s="198" t="s">
        <v>668</v>
      </c>
      <c r="D107" s="195">
        <v>125</v>
      </c>
      <c r="E107" s="195">
        <v>11</v>
      </c>
      <c r="F107" s="195">
        <v>11</v>
      </c>
      <c r="G107" s="239">
        <v>100</v>
      </c>
      <c r="H107" s="197" t="s">
        <v>72</v>
      </c>
      <c r="I107" s="242" t="s">
        <v>75</v>
      </c>
      <c r="J107" s="242" t="s">
        <v>7984</v>
      </c>
      <c r="K107" s="195" t="s">
        <v>71</v>
      </c>
      <c r="L107" s="20" t="str">
        <f ca="1">IF(OFFSET(환산공식!$ED$15,$F107,0)=1,"O","X")</f>
        <v>X</v>
      </c>
      <c r="M107" s="188">
        <f ca="1">IFERROR(OFFSET(환산공식!DJ$15,$F107,0),"")</f>
        <v>0</v>
      </c>
      <c r="N107" s="20" t="str">
        <f ca="1">IFERROR(CONCATENATE(ROUND(OFFSET(환산공식!DK$15,$F107,0),1),"%"),"")</f>
        <v/>
      </c>
      <c r="O107" s="20">
        <f ca="1">IFERROR(OFFSET(환산공식!DL$15,$F107,0),"")</f>
        <v>0</v>
      </c>
      <c r="P107" s="188" t="str">
        <f t="shared" ca="1" si="3"/>
        <v>3% 이하</v>
      </c>
      <c r="Q107" s="194">
        <f ca="1">IFERROR(ROUND(OFFSET(환산공식!$FG$15,$F107,0),3),"")</f>
        <v>0</v>
      </c>
      <c r="R107" s="194">
        <f ca="1">OFFSET('배치점수 계산기'!H$10,$D107,0)</f>
        <v>661.04899999999998</v>
      </c>
      <c r="S107" s="194">
        <f ca="1">OFFSET('배치점수 계산기'!I$10,$D107,0)</f>
        <v>659.71</v>
      </c>
      <c r="T107" s="194">
        <f ca="1">OFFSET('배치점수 계산기'!J$10,$D107,0)</f>
        <v>658.28700000000003</v>
      </c>
      <c r="U107" s="194">
        <f ca="1">OFFSET('배치점수 계산기'!K$10,$D107,0)</f>
        <v>654.06399999999996</v>
      </c>
      <c r="V107" s="194">
        <f ca="1">OFFSET('배치점수 계산기'!L$10,$D107,0)</f>
        <v>651.88400000000001</v>
      </c>
      <c r="W107" s="186" t="str">
        <f ca="1">OFFSET('배치점수 계산기'!M$10,$D107,0)</f>
        <v>표점</v>
      </c>
      <c r="X107" s="184" t="str">
        <f ca="1">OFFSET('배치점수 계산기'!N$10,$D107,0)</f>
        <v>변표</v>
      </c>
      <c r="Y107" s="188">
        <f ca="1">OFFSET(환산공식!FW$15,$F107,0)</f>
        <v>0.36</v>
      </c>
      <c r="Z107" s="20">
        <f ca="1">OFFSET(환산공식!FX$15,$F107,0)</f>
        <v>0.36</v>
      </c>
      <c r="AA107" s="179">
        <f ca="1">OFFSET(환산공식!FY$15,$F107,0)</f>
        <v>0.28999999999999998</v>
      </c>
      <c r="AC107"/>
      <c r="AD107">
        <f t="shared" ca="1" si="4"/>
        <v>6</v>
      </c>
      <c r="AE107"/>
    </row>
    <row r="108" spans="1:31" s="3" customFormat="1">
      <c r="A108" s="198"/>
      <c r="B108" s="198"/>
      <c r="C108" s="198" t="s">
        <v>669</v>
      </c>
      <c r="D108" s="195">
        <v>126</v>
      </c>
      <c r="E108" s="195">
        <v>11</v>
      </c>
      <c r="F108" s="195">
        <v>11</v>
      </c>
      <c r="G108" s="239">
        <v>101</v>
      </c>
      <c r="H108" s="197" t="s">
        <v>72</v>
      </c>
      <c r="I108" s="242" t="s">
        <v>75</v>
      </c>
      <c r="J108" s="242" t="s">
        <v>7910</v>
      </c>
      <c r="K108" s="195" t="s">
        <v>71</v>
      </c>
      <c r="L108" s="20" t="str">
        <f ca="1">IF(OFFSET(환산공식!$ED$15,$F108,0)=1,"O","X")</f>
        <v>X</v>
      </c>
      <c r="M108" s="188">
        <f ca="1">IFERROR(OFFSET(환산공식!DJ$15,$F108,0),"")</f>
        <v>0</v>
      </c>
      <c r="N108" s="20" t="str">
        <f ca="1">IFERROR(CONCATENATE(ROUND(OFFSET(환산공식!DK$15,$F108,0),1),"%"),"")</f>
        <v/>
      </c>
      <c r="O108" s="20">
        <f ca="1">IFERROR(OFFSET(환산공식!DL$15,$F108,0),"")</f>
        <v>0</v>
      </c>
      <c r="P108" s="188" t="str">
        <f t="shared" ca="1" si="3"/>
        <v>3% 이하</v>
      </c>
      <c r="Q108" s="194">
        <f ca="1">IFERROR(ROUND(OFFSET(환산공식!$FG$15,$F108,0),3),"")</f>
        <v>0</v>
      </c>
      <c r="R108" s="194">
        <f ca="1">OFFSET('배치점수 계산기'!H$10,$D108,0)</f>
        <v>661.37099999999998</v>
      </c>
      <c r="S108" s="194">
        <f ca="1">OFFSET('배치점수 계산기'!I$10,$D108,0)</f>
        <v>659.20699999999999</v>
      </c>
      <c r="T108" s="194">
        <f ca="1">OFFSET('배치점수 계산기'!J$10,$D108,0)</f>
        <v>657.84299999999996</v>
      </c>
      <c r="U108" s="194">
        <f ca="1">OFFSET('배치점수 계산기'!K$10,$D108,0)</f>
        <v>655.18299999999999</v>
      </c>
      <c r="V108" s="194">
        <f ca="1">OFFSET('배치점수 계산기'!L$10,$D108,0)</f>
        <v>653.40899999999999</v>
      </c>
      <c r="W108" s="186" t="str">
        <f ca="1">OFFSET('배치점수 계산기'!M$10,$D108,0)</f>
        <v>표점</v>
      </c>
      <c r="X108" s="184" t="str">
        <f ca="1">OFFSET('배치점수 계산기'!N$10,$D108,0)</f>
        <v>변표</v>
      </c>
      <c r="Y108" s="188">
        <f ca="1">OFFSET(환산공식!FW$15,$F108,0)</f>
        <v>0.36</v>
      </c>
      <c r="Z108" s="20">
        <f ca="1">OFFSET(환산공식!FX$15,$F108,0)</f>
        <v>0.36</v>
      </c>
      <c r="AA108" s="179">
        <f ca="1">OFFSET(환산공식!FY$15,$F108,0)</f>
        <v>0.28999999999999998</v>
      </c>
      <c r="AC108"/>
      <c r="AD108">
        <f t="shared" ca="1" si="4"/>
        <v>6</v>
      </c>
      <c r="AE108"/>
    </row>
    <row r="109" spans="1:31" s="3" customFormat="1">
      <c r="A109" s="198"/>
      <c r="B109" s="198"/>
      <c r="C109" s="198" t="s">
        <v>670</v>
      </c>
      <c r="D109" s="195">
        <v>127</v>
      </c>
      <c r="E109" s="195">
        <v>11</v>
      </c>
      <c r="F109" s="195">
        <v>11</v>
      </c>
      <c r="G109" s="239">
        <v>102</v>
      </c>
      <c r="H109" s="197" t="s">
        <v>72</v>
      </c>
      <c r="I109" s="242" t="s">
        <v>75</v>
      </c>
      <c r="J109" s="242" t="s">
        <v>7965</v>
      </c>
      <c r="K109" s="195" t="s">
        <v>71</v>
      </c>
      <c r="L109" s="20" t="str">
        <f ca="1">IF(OFFSET(환산공식!$ED$15,$F109,0)=1,"O","X")</f>
        <v>X</v>
      </c>
      <c r="M109" s="188">
        <f ca="1">IFERROR(OFFSET(환산공식!DJ$15,$F109,0),"")</f>
        <v>0</v>
      </c>
      <c r="N109" s="20" t="str">
        <f ca="1">IFERROR(CONCATENATE(ROUND(OFFSET(환산공식!DK$15,$F109,0),1),"%"),"")</f>
        <v/>
      </c>
      <c r="O109" s="20">
        <f ca="1">IFERROR(OFFSET(환산공식!DL$15,$F109,0),"")</f>
        <v>0</v>
      </c>
      <c r="P109" s="188" t="str">
        <f t="shared" ca="1" si="3"/>
        <v>3% 이하</v>
      </c>
      <c r="Q109" s="194">
        <f ca="1">IFERROR(ROUND(OFFSET(환산공식!$FG$15,$F109,0),3),"")</f>
        <v>0</v>
      </c>
      <c r="R109" s="194">
        <f ca="1">OFFSET('배치점수 계산기'!H$10,$D109,0)</f>
        <v>659.029</v>
      </c>
      <c r="S109" s="194">
        <f ca="1">OFFSET('배치점수 계산기'!I$10,$D109,0)</f>
        <v>658.28700000000003</v>
      </c>
      <c r="T109" s="194">
        <f ca="1">OFFSET('배치점수 계산기'!J$10,$D109,0)</f>
        <v>656.82899999999995</v>
      </c>
      <c r="U109" s="194">
        <f ca="1">OFFSET('배치점수 계산기'!K$10,$D109,0)</f>
        <v>654.41</v>
      </c>
      <c r="V109" s="194">
        <f ca="1">OFFSET('배치점수 계산기'!L$10,$D109,0)</f>
        <v>652.41999999999996</v>
      </c>
      <c r="W109" s="186" t="str">
        <f ca="1">OFFSET('배치점수 계산기'!M$10,$D109,0)</f>
        <v>표점</v>
      </c>
      <c r="X109" s="184" t="str">
        <f ca="1">OFFSET('배치점수 계산기'!N$10,$D109,0)</f>
        <v>변표</v>
      </c>
      <c r="Y109" s="188">
        <f ca="1">OFFSET(환산공식!FW$15,$F109,0)</f>
        <v>0.36</v>
      </c>
      <c r="Z109" s="20">
        <f ca="1">OFFSET(환산공식!FX$15,$F109,0)</f>
        <v>0.36</v>
      </c>
      <c r="AA109" s="179">
        <f ca="1">OFFSET(환산공식!FY$15,$F109,0)</f>
        <v>0.28999999999999998</v>
      </c>
      <c r="AC109"/>
      <c r="AD109">
        <f t="shared" ca="1" si="4"/>
        <v>6</v>
      </c>
      <c r="AE109"/>
    </row>
    <row r="110" spans="1:31" s="3" customFormat="1">
      <c r="A110" s="198"/>
      <c r="B110" s="198"/>
      <c r="C110" s="198" t="s">
        <v>671</v>
      </c>
      <c r="D110" s="195">
        <v>128</v>
      </c>
      <c r="E110" s="195">
        <v>11</v>
      </c>
      <c r="F110" s="195">
        <v>11</v>
      </c>
      <c r="G110" s="239">
        <v>103</v>
      </c>
      <c r="H110" s="197" t="s">
        <v>72</v>
      </c>
      <c r="I110" s="242" t="s">
        <v>75</v>
      </c>
      <c r="J110" s="242" t="s">
        <v>8877</v>
      </c>
      <c r="K110" s="195" t="s">
        <v>71</v>
      </c>
      <c r="L110" s="20" t="str">
        <f ca="1">IF(OFFSET(환산공식!$ED$15,$F110,0)=1,"O","X")</f>
        <v>X</v>
      </c>
      <c r="M110" s="188">
        <f ca="1">IFERROR(OFFSET(환산공식!DJ$15,$F110,0),"")</f>
        <v>0</v>
      </c>
      <c r="N110" s="20" t="str">
        <f ca="1">IFERROR(CONCATENATE(ROUND(OFFSET(환산공식!DK$15,$F110,0),1),"%"),"")</f>
        <v/>
      </c>
      <c r="O110" s="20">
        <f ca="1">IFERROR(OFFSET(환산공식!DL$15,$F110,0),"")</f>
        <v>0</v>
      </c>
      <c r="P110" s="188" t="str">
        <f t="shared" ca="1" si="3"/>
        <v>3% 이하</v>
      </c>
      <c r="Q110" s="194">
        <f ca="1">IFERROR(ROUND(OFFSET(환산공식!$FG$15,$F110,0),3),"")</f>
        <v>0</v>
      </c>
      <c r="R110" s="194">
        <f ca="1">OFFSET('배치점수 계산기'!H$10,$D110,0)</f>
        <v>658.70299999999997</v>
      </c>
      <c r="S110" s="194">
        <f ca="1">OFFSET('배치점수 계산기'!I$10,$D110,0)</f>
        <v>657.12900000000002</v>
      </c>
      <c r="T110" s="194">
        <f ca="1">OFFSET('배치점수 계산기'!J$10,$D110,0)</f>
        <v>655.18299999999999</v>
      </c>
      <c r="U110" s="194">
        <f ca="1">OFFSET('배치점수 계산기'!K$10,$D110,0)</f>
        <v>653.529</v>
      </c>
      <c r="V110" s="194">
        <f ca="1">OFFSET('배치점수 계산기'!L$10,$D110,0)</f>
        <v>651.88400000000001</v>
      </c>
      <c r="W110" s="186" t="str">
        <f ca="1">OFFSET('배치점수 계산기'!M$10,$D110,0)</f>
        <v>표점</v>
      </c>
      <c r="X110" s="184" t="str">
        <f ca="1">OFFSET('배치점수 계산기'!N$10,$D110,0)</f>
        <v>변표</v>
      </c>
      <c r="Y110" s="188">
        <f ca="1">OFFSET(환산공식!FW$15,$F110,0)</f>
        <v>0.36</v>
      </c>
      <c r="Z110" s="20">
        <f ca="1">OFFSET(환산공식!FX$15,$F110,0)</f>
        <v>0.36</v>
      </c>
      <c r="AA110" s="179">
        <f ca="1">OFFSET(환산공식!FY$15,$F110,0)</f>
        <v>0.28999999999999998</v>
      </c>
      <c r="AC110"/>
      <c r="AD110">
        <f t="shared" ca="1" si="4"/>
        <v>6</v>
      </c>
      <c r="AE110"/>
    </row>
    <row r="111" spans="1:31" s="3" customFormat="1">
      <c r="A111" s="198"/>
      <c r="B111" s="198"/>
      <c r="C111" s="198" t="s">
        <v>672</v>
      </c>
      <c r="D111" s="195">
        <v>129</v>
      </c>
      <c r="E111" s="195">
        <v>11</v>
      </c>
      <c r="F111" s="195">
        <v>11</v>
      </c>
      <c r="G111" s="239">
        <v>104</v>
      </c>
      <c r="H111" s="197" t="s">
        <v>72</v>
      </c>
      <c r="I111" s="242" t="s">
        <v>75</v>
      </c>
      <c r="J111" s="242" t="s">
        <v>8934</v>
      </c>
      <c r="K111" s="195" t="s">
        <v>71</v>
      </c>
      <c r="L111" s="20" t="str">
        <f ca="1">IF(OFFSET(환산공식!$ED$15,$F111,0)=1,"O","X")</f>
        <v>X</v>
      </c>
      <c r="M111" s="188">
        <f ca="1">IFERROR(OFFSET(환산공식!DJ$15,$F111,0),"")</f>
        <v>0</v>
      </c>
      <c r="N111" s="20" t="str">
        <f ca="1">IFERROR(CONCATENATE(ROUND(OFFSET(환산공식!DK$15,$F111,0),1),"%"),"")</f>
        <v/>
      </c>
      <c r="O111" s="20">
        <f ca="1">IFERROR(OFFSET(환산공식!DL$15,$F111,0),"")</f>
        <v>0</v>
      </c>
      <c r="P111" s="188" t="str">
        <f t="shared" ca="1" si="3"/>
        <v>3% 이하</v>
      </c>
      <c r="Q111" s="194">
        <f ca="1">IFERROR(ROUND(OFFSET(환산공식!$FG$15,$F111,0),3),"")</f>
        <v>0</v>
      </c>
      <c r="R111" s="194">
        <f ca="1">OFFSET('배치점수 계산기'!H$10,$D111,0)</f>
        <v>659.029</v>
      </c>
      <c r="S111" s="194">
        <f ca="1">OFFSET('배치점수 계산기'!I$10,$D111,0)</f>
        <v>657.12900000000002</v>
      </c>
      <c r="T111" s="194">
        <f ca="1">OFFSET('배치점수 계산기'!J$10,$D111,0)</f>
        <v>654.41</v>
      </c>
      <c r="U111" s="194">
        <f ca="1">OFFSET('배치점수 계산기'!K$10,$D111,0)</f>
        <v>653.40899999999999</v>
      </c>
      <c r="V111" s="194">
        <f ca="1">OFFSET('배치점수 계산기'!L$10,$D111,0)</f>
        <v>652.41999999999996</v>
      </c>
      <c r="W111" s="186" t="str">
        <f ca="1">OFFSET('배치점수 계산기'!M$10,$D111,0)</f>
        <v>표점</v>
      </c>
      <c r="X111" s="184" t="str">
        <f ca="1">OFFSET('배치점수 계산기'!N$10,$D111,0)</f>
        <v>변표</v>
      </c>
      <c r="Y111" s="188">
        <f ca="1">OFFSET(환산공식!FW$15,$F111,0)</f>
        <v>0.36</v>
      </c>
      <c r="Z111" s="20">
        <f ca="1">OFFSET(환산공식!FX$15,$F111,0)</f>
        <v>0.36</v>
      </c>
      <c r="AA111" s="179">
        <f ca="1">OFFSET(환산공식!FY$15,$F111,0)</f>
        <v>0.28999999999999998</v>
      </c>
      <c r="AC111"/>
      <c r="AD111">
        <f t="shared" ca="1" si="4"/>
        <v>6</v>
      </c>
      <c r="AE111"/>
    </row>
    <row r="112" spans="1:31" s="3" customFormat="1">
      <c r="A112" s="198"/>
      <c r="B112" s="198"/>
      <c r="C112" s="198" t="s">
        <v>673</v>
      </c>
      <c r="D112" s="195">
        <v>130</v>
      </c>
      <c r="E112" s="195">
        <v>11</v>
      </c>
      <c r="F112" s="195">
        <v>11</v>
      </c>
      <c r="G112" s="239">
        <v>105</v>
      </c>
      <c r="H112" s="197" t="s">
        <v>72</v>
      </c>
      <c r="I112" s="242" t="s">
        <v>75</v>
      </c>
      <c r="J112" s="242" t="s">
        <v>8726</v>
      </c>
      <c r="K112" s="195" t="s">
        <v>71</v>
      </c>
      <c r="L112" s="20" t="str">
        <f ca="1">IF(OFFSET(환산공식!$ED$15,$F112,0)=1,"O","X")</f>
        <v>X</v>
      </c>
      <c r="M112" s="188">
        <f ca="1">IFERROR(OFFSET(환산공식!DJ$15,$F112,0),"")</f>
        <v>0</v>
      </c>
      <c r="N112" s="20" t="str">
        <f ca="1">IFERROR(CONCATENATE(ROUND(OFFSET(환산공식!DK$15,$F112,0),1),"%"),"")</f>
        <v/>
      </c>
      <c r="O112" s="20">
        <f ca="1">IFERROR(OFFSET(환산공식!DL$15,$F112,0),"")</f>
        <v>0</v>
      </c>
      <c r="P112" s="188" t="str">
        <f t="shared" ca="1" si="3"/>
        <v>3% 이하</v>
      </c>
      <c r="Q112" s="194">
        <f ca="1">IFERROR(ROUND(OFFSET(환산공식!$FG$15,$F112,0),3),"")</f>
        <v>0</v>
      </c>
      <c r="R112" s="194">
        <f ca="1">OFFSET('배치점수 계산기'!H$10,$D112,0)</f>
        <v>658.70299999999997</v>
      </c>
      <c r="S112" s="194">
        <f ca="1">OFFSET('배치점수 계산기'!I$10,$D112,0)</f>
        <v>657.84299999999996</v>
      </c>
      <c r="T112" s="194">
        <f ca="1">OFFSET('배치점수 계산기'!J$10,$D112,0)</f>
        <v>654.23</v>
      </c>
      <c r="U112" s="194">
        <f ca="1">OFFSET('배치점수 계산기'!K$10,$D112,0)</f>
        <v>653.40899999999999</v>
      </c>
      <c r="V112" s="194">
        <f ca="1">OFFSET('배치점수 계산기'!L$10,$D112,0)</f>
        <v>652.44299999999998</v>
      </c>
      <c r="W112" s="186" t="str">
        <f ca="1">OFFSET('배치점수 계산기'!M$10,$D112,0)</f>
        <v>표점</v>
      </c>
      <c r="X112" s="184" t="str">
        <f ca="1">OFFSET('배치점수 계산기'!N$10,$D112,0)</f>
        <v>변표</v>
      </c>
      <c r="Y112" s="188">
        <f ca="1">OFFSET(환산공식!FW$15,$F112,0)</f>
        <v>0.36</v>
      </c>
      <c r="Z112" s="20">
        <f ca="1">OFFSET(환산공식!FX$15,$F112,0)</f>
        <v>0.36</v>
      </c>
      <c r="AA112" s="179">
        <f ca="1">OFFSET(환산공식!FY$15,$F112,0)</f>
        <v>0.28999999999999998</v>
      </c>
      <c r="AC112"/>
      <c r="AD112">
        <f t="shared" ca="1" si="4"/>
        <v>6</v>
      </c>
      <c r="AE112"/>
    </row>
    <row r="113" spans="1:31" s="3" customFormat="1">
      <c r="A113" s="198"/>
      <c r="B113" s="198"/>
      <c r="C113" s="198" t="s">
        <v>674</v>
      </c>
      <c r="D113" s="195">
        <v>131</v>
      </c>
      <c r="E113" s="195">
        <v>11</v>
      </c>
      <c r="F113" s="195">
        <v>11</v>
      </c>
      <c r="G113" s="239">
        <v>106</v>
      </c>
      <c r="H113" s="197" t="s">
        <v>72</v>
      </c>
      <c r="I113" s="242" t="s">
        <v>75</v>
      </c>
      <c r="J113" s="242" t="s">
        <v>9046</v>
      </c>
      <c r="K113" s="195" t="s">
        <v>71</v>
      </c>
      <c r="L113" s="20" t="str">
        <f ca="1">IF(OFFSET(환산공식!$ED$15,$F113,0)=1,"O","X")</f>
        <v>X</v>
      </c>
      <c r="M113" s="188">
        <f ca="1">IFERROR(OFFSET(환산공식!DJ$15,$F113,0),"")</f>
        <v>0</v>
      </c>
      <c r="N113" s="20" t="str">
        <f ca="1">IFERROR(CONCATENATE(ROUND(OFFSET(환산공식!DK$15,$F113,0),1),"%"),"")</f>
        <v/>
      </c>
      <c r="O113" s="20">
        <f ca="1">IFERROR(OFFSET(환산공식!DL$15,$F113,0),"")</f>
        <v>0</v>
      </c>
      <c r="P113" s="188" t="str">
        <f t="shared" ca="1" si="3"/>
        <v>3% 이하</v>
      </c>
      <c r="Q113" s="194">
        <f ca="1">IFERROR(ROUND(OFFSET(환산공식!$FG$15,$F113,0),3),"")</f>
        <v>0</v>
      </c>
      <c r="R113" s="194">
        <f ca="1">OFFSET('배치점수 계산기'!H$10,$D113,0)</f>
        <v>658.28700000000003</v>
      </c>
      <c r="S113" s="194">
        <f ca="1">OFFSET('배치점수 계산기'!I$10,$D113,0)</f>
        <v>655.82600000000002</v>
      </c>
      <c r="T113" s="194">
        <f ca="1">OFFSET('배치점수 계산기'!J$10,$D113,0)</f>
        <v>654.06399999999996</v>
      </c>
      <c r="U113" s="194">
        <f ca="1">OFFSET('배치점수 계산기'!K$10,$D113,0)</f>
        <v>652.44299999999998</v>
      </c>
      <c r="V113" s="194">
        <f ca="1">OFFSET('배치점수 계산기'!L$10,$D113,0)</f>
        <v>650.93700000000001</v>
      </c>
      <c r="W113" s="186" t="str">
        <f ca="1">OFFSET('배치점수 계산기'!M$10,$D113,0)</f>
        <v>표점</v>
      </c>
      <c r="X113" s="184" t="str">
        <f ca="1">OFFSET('배치점수 계산기'!N$10,$D113,0)</f>
        <v>변표</v>
      </c>
      <c r="Y113" s="188">
        <f ca="1">OFFSET(환산공식!FW$15,$F113,0)</f>
        <v>0.36</v>
      </c>
      <c r="Z113" s="20">
        <f ca="1">OFFSET(환산공식!FX$15,$F113,0)</f>
        <v>0.36</v>
      </c>
      <c r="AA113" s="179">
        <f ca="1">OFFSET(환산공식!FY$15,$F113,0)</f>
        <v>0.28999999999999998</v>
      </c>
      <c r="AC113"/>
      <c r="AD113">
        <f t="shared" ca="1" si="4"/>
        <v>6</v>
      </c>
      <c r="AE113"/>
    </row>
    <row r="114" spans="1:31" s="3" customFormat="1">
      <c r="A114" s="198"/>
      <c r="B114" s="198"/>
      <c r="C114" s="198" t="s">
        <v>675</v>
      </c>
      <c r="D114" s="195">
        <v>132</v>
      </c>
      <c r="E114" s="195">
        <v>11</v>
      </c>
      <c r="F114" s="195">
        <v>11</v>
      </c>
      <c r="G114" s="239">
        <v>107</v>
      </c>
      <c r="H114" s="197" t="s">
        <v>72</v>
      </c>
      <c r="I114" s="242" t="s">
        <v>75</v>
      </c>
      <c r="J114" s="242" t="s">
        <v>8534</v>
      </c>
      <c r="K114" s="195" t="s">
        <v>71</v>
      </c>
      <c r="L114" s="20" t="str">
        <f ca="1">IF(OFFSET(환산공식!$ED$15,$F114,0)=1,"O","X")</f>
        <v>X</v>
      </c>
      <c r="M114" s="188">
        <f ca="1">IFERROR(OFFSET(환산공식!DJ$15,$F114,0),"")</f>
        <v>0</v>
      </c>
      <c r="N114" s="20" t="str">
        <f ca="1">IFERROR(CONCATENATE(ROUND(OFFSET(환산공식!DK$15,$F114,0),1),"%"),"")</f>
        <v/>
      </c>
      <c r="O114" s="20">
        <f ca="1">IFERROR(OFFSET(환산공식!DL$15,$F114,0),"")</f>
        <v>0</v>
      </c>
      <c r="P114" s="188" t="str">
        <f t="shared" ca="1" si="3"/>
        <v>3% 이하</v>
      </c>
      <c r="Q114" s="194">
        <f ca="1">IFERROR(ROUND(OFFSET(환산공식!$FG$15,$F114,0),3),"")</f>
        <v>0</v>
      </c>
      <c r="R114" s="194">
        <f ca="1">OFFSET('배치점수 계산기'!H$10,$D114,0)</f>
        <v>657.12900000000002</v>
      </c>
      <c r="S114" s="194">
        <f ca="1">OFFSET('배치점수 계산기'!I$10,$D114,0)</f>
        <v>656.36099999999999</v>
      </c>
      <c r="T114" s="194">
        <f ca="1">OFFSET('배치점수 계산기'!J$10,$D114,0)</f>
        <v>654.06399999999996</v>
      </c>
      <c r="U114" s="194">
        <f ca="1">OFFSET('배치점수 계산기'!K$10,$D114,0)</f>
        <v>652.80100000000004</v>
      </c>
      <c r="V114" s="194">
        <f ca="1">OFFSET('배치점수 계산기'!L$10,$D114,0)</f>
        <v>651.88400000000001</v>
      </c>
      <c r="W114" s="186" t="str">
        <f ca="1">OFFSET('배치점수 계산기'!M$10,$D114,0)</f>
        <v>표점</v>
      </c>
      <c r="X114" s="184" t="str">
        <f ca="1">OFFSET('배치점수 계산기'!N$10,$D114,0)</f>
        <v>변표</v>
      </c>
      <c r="Y114" s="188">
        <f ca="1">OFFSET(환산공식!FW$15,$F114,0)</f>
        <v>0.36</v>
      </c>
      <c r="Z114" s="20">
        <f ca="1">OFFSET(환산공식!FX$15,$F114,0)</f>
        <v>0.36</v>
      </c>
      <c r="AA114" s="179">
        <f ca="1">OFFSET(환산공식!FY$15,$F114,0)</f>
        <v>0.28999999999999998</v>
      </c>
      <c r="AC114"/>
      <c r="AD114">
        <f t="shared" ca="1" si="4"/>
        <v>6</v>
      </c>
      <c r="AE114"/>
    </row>
    <row r="115" spans="1:31" s="3" customFormat="1">
      <c r="A115" s="198"/>
      <c r="B115" s="198"/>
      <c r="C115" s="198" t="s">
        <v>676</v>
      </c>
      <c r="D115" s="195">
        <v>133</v>
      </c>
      <c r="E115" s="195">
        <v>11</v>
      </c>
      <c r="F115" s="195">
        <v>11</v>
      </c>
      <c r="G115" s="239">
        <v>108</v>
      </c>
      <c r="H115" s="197" t="s">
        <v>72</v>
      </c>
      <c r="I115" s="242" t="s">
        <v>75</v>
      </c>
      <c r="J115" s="242" t="s">
        <v>8217</v>
      </c>
      <c r="K115" s="195" t="s">
        <v>71</v>
      </c>
      <c r="L115" s="20" t="str">
        <f ca="1">IF(OFFSET(환산공식!$ED$15,$F115,0)=1,"O","X")</f>
        <v>X</v>
      </c>
      <c r="M115" s="188">
        <f ca="1">IFERROR(OFFSET(환산공식!DJ$15,$F115,0),"")</f>
        <v>0</v>
      </c>
      <c r="N115" s="20" t="str">
        <f ca="1">IFERROR(CONCATENATE(ROUND(OFFSET(환산공식!DK$15,$F115,0),1),"%"),"")</f>
        <v/>
      </c>
      <c r="O115" s="20">
        <f ca="1">IFERROR(OFFSET(환산공식!DL$15,$F115,0),"")</f>
        <v>0</v>
      </c>
      <c r="P115" s="188" t="str">
        <f t="shared" ca="1" si="3"/>
        <v>3% 이하</v>
      </c>
      <c r="Q115" s="194">
        <f ca="1">IFERROR(ROUND(OFFSET(환산공식!$FG$15,$F115,0),3),"")</f>
        <v>0</v>
      </c>
      <c r="R115" s="194">
        <f ca="1">OFFSET('배치점수 계산기'!H$10,$D115,0)</f>
        <v>655.82600000000002</v>
      </c>
      <c r="S115" s="194">
        <f ca="1">OFFSET('배치점수 계산기'!I$10,$D115,0)</f>
        <v>654.41</v>
      </c>
      <c r="T115" s="194">
        <f ca="1">OFFSET('배치점수 계산기'!J$10,$D115,0)</f>
        <v>653.40899999999999</v>
      </c>
      <c r="U115" s="194">
        <f ca="1">OFFSET('배치점수 계산기'!K$10,$D115,0)</f>
        <v>651.40700000000004</v>
      </c>
      <c r="V115" s="194">
        <f ca="1">OFFSET('배치점수 계산기'!L$10,$D115,0)</f>
        <v>649.83600000000001</v>
      </c>
      <c r="W115" s="186" t="str">
        <f ca="1">OFFSET('배치점수 계산기'!M$10,$D115,0)</f>
        <v>표점</v>
      </c>
      <c r="X115" s="184" t="str">
        <f ca="1">OFFSET('배치점수 계산기'!N$10,$D115,0)</f>
        <v>변표</v>
      </c>
      <c r="Y115" s="188">
        <f ca="1">OFFSET(환산공식!FW$15,$F115,0)</f>
        <v>0.36</v>
      </c>
      <c r="Z115" s="20">
        <f ca="1">OFFSET(환산공식!FX$15,$F115,0)</f>
        <v>0.36</v>
      </c>
      <c r="AA115" s="179">
        <f ca="1">OFFSET(환산공식!FY$15,$F115,0)</f>
        <v>0.28999999999999998</v>
      </c>
      <c r="AC115"/>
      <c r="AD115">
        <f t="shared" ca="1" si="4"/>
        <v>6</v>
      </c>
      <c r="AE115"/>
    </row>
    <row r="116" spans="1:31" s="3" customFormat="1">
      <c r="A116" s="198"/>
      <c r="B116" s="198"/>
      <c r="C116" s="198" t="s">
        <v>677</v>
      </c>
      <c r="D116" s="195">
        <v>134</v>
      </c>
      <c r="E116" s="195">
        <v>11</v>
      </c>
      <c r="F116" s="195">
        <v>11</v>
      </c>
      <c r="G116" s="239">
        <v>109</v>
      </c>
      <c r="H116" s="197" t="s">
        <v>72</v>
      </c>
      <c r="I116" s="242" t="s">
        <v>75</v>
      </c>
      <c r="J116" s="242" t="s">
        <v>8595</v>
      </c>
      <c r="K116" s="195" t="s">
        <v>71</v>
      </c>
      <c r="L116" s="20" t="str">
        <f ca="1">IF(OFFSET(환산공식!$ED$15,$F116,0)=1,"O","X")</f>
        <v>X</v>
      </c>
      <c r="M116" s="188">
        <f ca="1">IFERROR(OFFSET(환산공식!DJ$15,$F116,0),"")</f>
        <v>0</v>
      </c>
      <c r="N116" s="20" t="str">
        <f ca="1">IFERROR(CONCATENATE(ROUND(OFFSET(환산공식!DK$15,$F116,0),1),"%"),"")</f>
        <v/>
      </c>
      <c r="O116" s="20">
        <f ca="1">IFERROR(OFFSET(환산공식!DL$15,$F116,0),"")</f>
        <v>0</v>
      </c>
      <c r="P116" s="188" t="str">
        <f t="shared" ca="1" si="3"/>
        <v>3% 이하</v>
      </c>
      <c r="Q116" s="194">
        <f ca="1">IFERROR(ROUND(OFFSET(환산공식!$FG$15,$F116,0),3),"")</f>
        <v>0</v>
      </c>
      <c r="R116" s="194">
        <f ca="1">OFFSET('배치점수 계산기'!H$10,$D116,0)</f>
        <v>656.82899999999995</v>
      </c>
      <c r="S116" s="194">
        <f ca="1">OFFSET('배치점수 계산기'!I$10,$D116,0)</f>
        <v>654.41</v>
      </c>
      <c r="T116" s="194">
        <f ca="1">OFFSET('배치점수 계산기'!J$10,$D116,0)</f>
        <v>652.56299999999999</v>
      </c>
      <c r="U116" s="194">
        <f ca="1">OFFSET('배치점수 계산기'!K$10,$D116,0)</f>
        <v>651.76400000000001</v>
      </c>
      <c r="V116" s="194">
        <f ca="1">OFFSET('배치점수 계산기'!L$10,$D116,0)</f>
        <v>650.46</v>
      </c>
      <c r="W116" s="186" t="str">
        <f ca="1">OFFSET('배치점수 계산기'!M$10,$D116,0)</f>
        <v>표점</v>
      </c>
      <c r="X116" s="184" t="str">
        <f ca="1">OFFSET('배치점수 계산기'!N$10,$D116,0)</f>
        <v>변표</v>
      </c>
      <c r="Y116" s="188">
        <f ca="1">OFFSET(환산공식!FW$15,$F116,0)</f>
        <v>0.36</v>
      </c>
      <c r="Z116" s="20">
        <f ca="1">OFFSET(환산공식!FX$15,$F116,0)</f>
        <v>0.36</v>
      </c>
      <c r="AA116" s="179">
        <f ca="1">OFFSET(환산공식!FY$15,$F116,0)</f>
        <v>0.28999999999999998</v>
      </c>
      <c r="AC116"/>
      <c r="AD116">
        <f t="shared" ca="1" si="4"/>
        <v>6</v>
      </c>
      <c r="AE116"/>
    </row>
    <row r="117" spans="1:31" s="3" customFormat="1">
      <c r="A117" s="198"/>
      <c r="B117" s="198"/>
      <c r="C117" s="198" t="s">
        <v>678</v>
      </c>
      <c r="D117" s="195">
        <v>135</v>
      </c>
      <c r="E117" s="195">
        <v>11</v>
      </c>
      <c r="F117" s="195">
        <v>11</v>
      </c>
      <c r="G117" s="239">
        <v>110</v>
      </c>
      <c r="H117" s="197" t="s">
        <v>72</v>
      </c>
      <c r="I117" s="242" t="s">
        <v>75</v>
      </c>
      <c r="J117" s="242" t="s">
        <v>8772</v>
      </c>
      <c r="K117" s="195" t="s">
        <v>71</v>
      </c>
      <c r="L117" s="20" t="str">
        <f ca="1">IF(OFFSET(환산공식!$ED$15,$F117,0)=1,"O","X")</f>
        <v>X</v>
      </c>
      <c r="M117" s="188">
        <f ca="1">IFERROR(OFFSET(환산공식!DJ$15,$F117,0),"")</f>
        <v>0</v>
      </c>
      <c r="N117" s="20" t="str">
        <f ca="1">IFERROR(CONCATENATE(ROUND(OFFSET(환산공식!DK$15,$F117,0),1),"%"),"")</f>
        <v/>
      </c>
      <c r="O117" s="20">
        <f ca="1">IFERROR(OFFSET(환산공식!DL$15,$F117,0),"")</f>
        <v>0</v>
      </c>
      <c r="P117" s="188" t="str">
        <f t="shared" ca="1" si="3"/>
        <v>3% 이하</v>
      </c>
      <c r="Q117" s="194">
        <f ca="1">IFERROR(ROUND(OFFSET(환산공식!$FG$15,$F117,0),3),"")</f>
        <v>0</v>
      </c>
      <c r="R117" s="194">
        <f ca="1">OFFSET('배치점수 계산기'!H$10,$D117,0)</f>
        <v>655.34900000000005</v>
      </c>
      <c r="S117" s="194">
        <f ca="1">OFFSET('배치점수 계산기'!I$10,$D117,0)</f>
        <v>654.06399999999996</v>
      </c>
      <c r="T117" s="194">
        <f ca="1">OFFSET('배치점수 계산기'!J$10,$D117,0)</f>
        <v>652.56299999999999</v>
      </c>
      <c r="U117" s="194">
        <f ca="1">OFFSET('배치점수 계산기'!K$10,$D117,0)</f>
        <v>652.00400000000002</v>
      </c>
      <c r="V117" s="194">
        <f ca="1">OFFSET('배치점수 계산기'!L$10,$D117,0)</f>
        <v>650.93700000000001</v>
      </c>
      <c r="W117" s="186" t="str">
        <f ca="1">OFFSET('배치점수 계산기'!M$10,$D117,0)</f>
        <v>표점</v>
      </c>
      <c r="X117" s="184" t="str">
        <f ca="1">OFFSET('배치점수 계산기'!N$10,$D117,0)</f>
        <v>변표</v>
      </c>
      <c r="Y117" s="188">
        <f ca="1">OFFSET(환산공식!FW$15,$F117,0)</f>
        <v>0.36</v>
      </c>
      <c r="Z117" s="20">
        <f ca="1">OFFSET(환산공식!FX$15,$F117,0)</f>
        <v>0.36</v>
      </c>
      <c r="AA117" s="179">
        <f ca="1">OFFSET(환산공식!FY$15,$F117,0)</f>
        <v>0.28999999999999998</v>
      </c>
      <c r="AC117"/>
      <c r="AD117">
        <f t="shared" ca="1" si="4"/>
        <v>6</v>
      </c>
      <c r="AE117"/>
    </row>
    <row r="118" spans="1:31" s="3" customFormat="1">
      <c r="A118" s="198"/>
      <c r="B118" s="198"/>
      <c r="C118" s="198" t="s">
        <v>679</v>
      </c>
      <c r="D118" s="195">
        <v>136</v>
      </c>
      <c r="E118" s="195">
        <v>11</v>
      </c>
      <c r="F118" s="195">
        <v>11</v>
      </c>
      <c r="G118" s="239">
        <v>111</v>
      </c>
      <c r="H118" s="197" t="s">
        <v>72</v>
      </c>
      <c r="I118" s="242" t="s">
        <v>75</v>
      </c>
      <c r="J118" s="242" t="s">
        <v>8255</v>
      </c>
      <c r="K118" s="195" t="s">
        <v>71</v>
      </c>
      <c r="L118" s="20" t="str">
        <f ca="1">IF(OFFSET(환산공식!$ED$15,$F118,0)=1,"O","X")</f>
        <v>X</v>
      </c>
      <c r="M118" s="188">
        <f ca="1">IFERROR(OFFSET(환산공식!DJ$15,$F118,0),"")</f>
        <v>0</v>
      </c>
      <c r="N118" s="20" t="str">
        <f ca="1">IFERROR(CONCATENATE(ROUND(OFFSET(환산공식!DK$15,$F118,0),1),"%"),"")</f>
        <v/>
      </c>
      <c r="O118" s="20">
        <f ca="1">IFERROR(OFFSET(환산공식!DL$15,$F118,0),"")</f>
        <v>0</v>
      </c>
      <c r="P118" s="188" t="str">
        <f t="shared" ca="1" si="3"/>
        <v>3% 이하</v>
      </c>
      <c r="Q118" s="194">
        <f ca="1">IFERROR(ROUND(OFFSET(환산공식!$FG$15,$F118,0),3),"")</f>
        <v>0</v>
      </c>
      <c r="R118" s="194">
        <f ca="1">OFFSET('배치점수 계산기'!H$10,$D118,0)</f>
        <v>653.529</v>
      </c>
      <c r="S118" s="194">
        <f ca="1">OFFSET('배치점수 계산기'!I$10,$D118,0)</f>
        <v>653.40899999999999</v>
      </c>
      <c r="T118" s="194">
        <f ca="1">OFFSET('배치점수 계산기'!J$10,$D118,0)</f>
        <v>652.56299999999999</v>
      </c>
      <c r="U118" s="194">
        <f ca="1">OFFSET('배치점수 계산기'!K$10,$D118,0)</f>
        <v>652.00400000000002</v>
      </c>
      <c r="V118" s="194">
        <f ca="1">OFFSET('배치점수 계산기'!L$10,$D118,0)</f>
        <v>651.05700000000002</v>
      </c>
      <c r="W118" s="186" t="str">
        <f ca="1">OFFSET('배치점수 계산기'!M$10,$D118,0)</f>
        <v>표점</v>
      </c>
      <c r="X118" s="184" t="str">
        <f ca="1">OFFSET('배치점수 계산기'!N$10,$D118,0)</f>
        <v>변표</v>
      </c>
      <c r="Y118" s="188">
        <f ca="1">OFFSET(환산공식!FW$15,$F118,0)</f>
        <v>0.36</v>
      </c>
      <c r="Z118" s="20">
        <f ca="1">OFFSET(환산공식!FX$15,$F118,0)</f>
        <v>0.36</v>
      </c>
      <c r="AA118" s="179">
        <f ca="1">OFFSET(환산공식!FY$15,$F118,0)</f>
        <v>0.28999999999999998</v>
      </c>
      <c r="AC118"/>
      <c r="AD118">
        <f t="shared" ca="1" si="4"/>
        <v>6</v>
      </c>
      <c r="AE118"/>
    </row>
    <row r="119" spans="1:31" s="3" customFormat="1">
      <c r="A119" s="198"/>
      <c r="B119" s="198"/>
      <c r="C119" s="198" t="s">
        <v>680</v>
      </c>
      <c r="D119" s="195">
        <v>137</v>
      </c>
      <c r="E119" s="195">
        <v>11</v>
      </c>
      <c r="F119" s="195">
        <v>11</v>
      </c>
      <c r="G119" s="239">
        <v>112</v>
      </c>
      <c r="H119" s="197" t="s">
        <v>72</v>
      </c>
      <c r="I119" s="242" t="s">
        <v>75</v>
      </c>
      <c r="J119" s="242" t="s">
        <v>8883</v>
      </c>
      <c r="K119" s="195" t="s">
        <v>71</v>
      </c>
      <c r="L119" s="20" t="str">
        <f ca="1">IF(OFFSET(환산공식!$ED$15,$F119,0)=1,"O","X")</f>
        <v>X</v>
      </c>
      <c r="M119" s="188">
        <f ca="1">IFERROR(OFFSET(환산공식!DJ$15,$F119,0),"")</f>
        <v>0</v>
      </c>
      <c r="N119" s="20" t="str">
        <f ca="1">IFERROR(CONCATENATE(ROUND(OFFSET(환산공식!DK$15,$F119,0),1),"%"),"")</f>
        <v/>
      </c>
      <c r="O119" s="20">
        <f ca="1">IFERROR(OFFSET(환산공식!DL$15,$F119,0),"")</f>
        <v>0</v>
      </c>
      <c r="P119" s="188" t="str">
        <f t="shared" ca="1" si="3"/>
        <v>3% 이하</v>
      </c>
      <c r="Q119" s="194">
        <f ca="1">IFERROR(ROUND(OFFSET(환산공식!$FG$15,$F119,0),3),"")</f>
        <v>0</v>
      </c>
      <c r="R119" s="194">
        <f ca="1">OFFSET('배치점수 계산기'!H$10,$D119,0)</f>
        <v>654.23</v>
      </c>
      <c r="S119" s="194">
        <f ca="1">OFFSET('배치점수 계산기'!I$10,$D119,0)</f>
        <v>653.40899999999999</v>
      </c>
      <c r="T119" s="194">
        <f ca="1">OFFSET('배치점수 계산기'!J$10,$D119,0)</f>
        <v>652.41999999999996</v>
      </c>
      <c r="U119" s="194">
        <f ca="1">OFFSET('배치점수 계산기'!K$10,$D119,0)</f>
        <v>651.76400000000001</v>
      </c>
      <c r="V119" s="194">
        <f ca="1">OFFSET('배치점수 계산기'!L$10,$D119,0)</f>
        <v>650.93700000000001</v>
      </c>
      <c r="W119" s="186" t="str">
        <f ca="1">OFFSET('배치점수 계산기'!M$10,$D119,0)</f>
        <v>표점</v>
      </c>
      <c r="X119" s="184" t="str">
        <f ca="1">OFFSET('배치점수 계산기'!N$10,$D119,0)</f>
        <v>변표</v>
      </c>
      <c r="Y119" s="188">
        <f ca="1">OFFSET(환산공식!FW$15,$F119,0)</f>
        <v>0.36</v>
      </c>
      <c r="Z119" s="20">
        <f ca="1">OFFSET(환산공식!FX$15,$F119,0)</f>
        <v>0.36</v>
      </c>
      <c r="AA119" s="179">
        <f ca="1">OFFSET(환산공식!FY$15,$F119,0)</f>
        <v>0.28999999999999998</v>
      </c>
      <c r="AC119"/>
      <c r="AD119">
        <f t="shared" ca="1" si="4"/>
        <v>6</v>
      </c>
      <c r="AE119"/>
    </row>
    <row r="120" spans="1:31" s="3" customFormat="1">
      <c r="A120" s="198"/>
      <c r="B120" s="198"/>
      <c r="C120" s="198" t="s">
        <v>681</v>
      </c>
      <c r="D120" s="195">
        <v>138</v>
      </c>
      <c r="E120" s="195">
        <v>11</v>
      </c>
      <c r="F120" s="195">
        <v>11</v>
      </c>
      <c r="G120" s="239">
        <v>113</v>
      </c>
      <c r="H120" s="197" t="s">
        <v>72</v>
      </c>
      <c r="I120" s="242" t="s">
        <v>75</v>
      </c>
      <c r="J120" s="242" t="s">
        <v>8654</v>
      </c>
      <c r="K120" s="195" t="s">
        <v>71</v>
      </c>
      <c r="L120" s="20" t="str">
        <f ca="1">IF(OFFSET(환산공식!$ED$15,$F120,0)=1,"O","X")</f>
        <v>X</v>
      </c>
      <c r="M120" s="188">
        <f ca="1">IFERROR(OFFSET(환산공식!DJ$15,$F120,0),"")</f>
        <v>0</v>
      </c>
      <c r="N120" s="20" t="str">
        <f ca="1">IFERROR(CONCATENATE(ROUND(OFFSET(환산공식!DK$15,$F120,0),1),"%"),"")</f>
        <v/>
      </c>
      <c r="O120" s="20">
        <f ca="1">IFERROR(OFFSET(환산공식!DL$15,$F120,0),"")</f>
        <v>0</v>
      </c>
      <c r="P120" s="188" t="str">
        <f t="shared" ca="1" si="3"/>
        <v>3% 이하</v>
      </c>
      <c r="Q120" s="194">
        <f ca="1">IFERROR(ROUND(OFFSET(환산공식!$FG$15,$F120,0),3),"")</f>
        <v>0</v>
      </c>
      <c r="R120" s="194">
        <f ca="1">OFFSET('배치점수 계산기'!H$10,$D120,0)</f>
        <v>654.41</v>
      </c>
      <c r="S120" s="194">
        <f ca="1">OFFSET('배치점수 계산기'!I$10,$D120,0)</f>
        <v>653.88599999999997</v>
      </c>
      <c r="T120" s="194">
        <f ca="1">OFFSET('배치점수 계산기'!J$10,$D120,0)</f>
        <v>651.88400000000001</v>
      </c>
      <c r="U120" s="194">
        <f ca="1">OFFSET('배치점수 계산기'!K$10,$D120,0)</f>
        <v>650.93700000000001</v>
      </c>
      <c r="V120" s="194">
        <f ca="1">OFFSET('배치점수 계산기'!L$10,$D120,0)</f>
        <v>649.83600000000001</v>
      </c>
      <c r="W120" s="186" t="str">
        <f ca="1">OFFSET('배치점수 계산기'!M$10,$D120,0)</f>
        <v>표점</v>
      </c>
      <c r="X120" s="184" t="str">
        <f ca="1">OFFSET('배치점수 계산기'!N$10,$D120,0)</f>
        <v>변표</v>
      </c>
      <c r="Y120" s="188">
        <f ca="1">OFFSET(환산공식!FW$15,$F120,0)</f>
        <v>0.36</v>
      </c>
      <c r="Z120" s="20">
        <f ca="1">OFFSET(환산공식!FX$15,$F120,0)</f>
        <v>0.36</v>
      </c>
      <c r="AA120" s="179">
        <f ca="1">OFFSET(환산공식!FY$15,$F120,0)</f>
        <v>0.28999999999999998</v>
      </c>
      <c r="AC120"/>
      <c r="AD120">
        <f t="shared" ca="1" si="4"/>
        <v>6</v>
      </c>
      <c r="AE120"/>
    </row>
    <row r="121" spans="1:31" s="3" customFormat="1">
      <c r="A121" s="198"/>
      <c r="B121" s="198"/>
      <c r="C121" s="198" t="s">
        <v>682</v>
      </c>
      <c r="D121" s="195">
        <v>139</v>
      </c>
      <c r="E121" s="195">
        <v>11</v>
      </c>
      <c r="F121" s="195">
        <v>11</v>
      </c>
      <c r="G121" s="239">
        <v>114</v>
      </c>
      <c r="H121" s="197" t="s">
        <v>72</v>
      </c>
      <c r="I121" s="242" t="s">
        <v>75</v>
      </c>
      <c r="J121" s="242" t="s">
        <v>8216</v>
      </c>
      <c r="K121" s="195" t="s">
        <v>71</v>
      </c>
      <c r="L121" s="20" t="str">
        <f ca="1">IF(OFFSET(환산공식!$ED$15,$F121,0)=1,"O","X")</f>
        <v>X</v>
      </c>
      <c r="M121" s="188">
        <f ca="1">IFERROR(OFFSET(환산공식!DJ$15,$F121,0),"")</f>
        <v>0</v>
      </c>
      <c r="N121" s="20" t="str">
        <f ca="1">IFERROR(CONCATENATE(ROUND(OFFSET(환산공식!DK$15,$F121,0),1),"%"),"")</f>
        <v/>
      </c>
      <c r="O121" s="20">
        <f ca="1">IFERROR(OFFSET(환산공식!DL$15,$F121,0),"")</f>
        <v>0</v>
      </c>
      <c r="P121" s="188" t="str">
        <f t="shared" ca="1" si="3"/>
        <v>3% 이하</v>
      </c>
      <c r="Q121" s="194">
        <f ca="1">IFERROR(ROUND(OFFSET(환산공식!$FG$15,$F121,0),3),"")</f>
        <v>0</v>
      </c>
      <c r="R121" s="194">
        <f ca="1">OFFSET('배치점수 계산기'!H$10,$D121,0)</f>
        <v>654.06399999999996</v>
      </c>
      <c r="S121" s="194">
        <f ca="1">OFFSET('배치점수 계산기'!I$10,$D121,0)</f>
        <v>653.40899999999999</v>
      </c>
      <c r="T121" s="194">
        <f ca="1">OFFSET('배치점수 계산기'!J$10,$D121,0)</f>
        <v>651.88400000000001</v>
      </c>
      <c r="U121" s="194">
        <f ca="1">OFFSET('배치점수 계산기'!K$10,$D121,0)</f>
        <v>651.05700000000002</v>
      </c>
      <c r="V121" s="194">
        <f ca="1">OFFSET('배치점수 계산기'!L$10,$D121,0)</f>
        <v>649.83600000000001</v>
      </c>
      <c r="W121" s="186" t="str">
        <f ca="1">OFFSET('배치점수 계산기'!M$10,$D121,0)</f>
        <v>표점</v>
      </c>
      <c r="X121" s="184" t="str">
        <f ca="1">OFFSET('배치점수 계산기'!N$10,$D121,0)</f>
        <v>변표</v>
      </c>
      <c r="Y121" s="188">
        <f ca="1">OFFSET(환산공식!FW$15,$F121,0)</f>
        <v>0.36</v>
      </c>
      <c r="Z121" s="20">
        <f ca="1">OFFSET(환산공식!FX$15,$F121,0)</f>
        <v>0.36</v>
      </c>
      <c r="AA121" s="179">
        <f ca="1">OFFSET(환산공식!FY$15,$F121,0)</f>
        <v>0.28999999999999998</v>
      </c>
      <c r="AC121"/>
      <c r="AD121">
        <f t="shared" ca="1" si="4"/>
        <v>6</v>
      </c>
      <c r="AE121"/>
    </row>
    <row r="122" spans="1:31" s="3" customFormat="1">
      <c r="A122" s="198"/>
      <c r="B122" s="198"/>
      <c r="C122" s="198" t="s">
        <v>683</v>
      </c>
      <c r="D122" s="195">
        <v>140</v>
      </c>
      <c r="E122" s="195">
        <v>11</v>
      </c>
      <c r="F122" s="195">
        <v>11</v>
      </c>
      <c r="G122" s="239">
        <v>115</v>
      </c>
      <c r="H122" s="197" t="s">
        <v>72</v>
      </c>
      <c r="I122" s="242" t="s">
        <v>75</v>
      </c>
      <c r="J122" s="242" t="s">
        <v>8190</v>
      </c>
      <c r="K122" s="195" t="s">
        <v>71</v>
      </c>
      <c r="L122" s="20" t="str">
        <f ca="1">IF(OFFSET(환산공식!$ED$15,$F122,0)=1,"O","X")</f>
        <v>X</v>
      </c>
      <c r="M122" s="188">
        <f ca="1">IFERROR(OFFSET(환산공식!DJ$15,$F122,0),"")</f>
        <v>0</v>
      </c>
      <c r="N122" s="20" t="str">
        <f ca="1">IFERROR(CONCATENATE(ROUND(OFFSET(환산공식!DK$15,$F122,0),1),"%"),"")</f>
        <v/>
      </c>
      <c r="O122" s="20">
        <f ca="1">IFERROR(OFFSET(환산공식!DL$15,$F122,0),"")</f>
        <v>0</v>
      </c>
      <c r="P122" s="188" t="str">
        <f t="shared" ca="1" si="3"/>
        <v>3% 이하</v>
      </c>
      <c r="Q122" s="194">
        <f ca="1">IFERROR(ROUND(OFFSET(환산공식!$FG$15,$F122,0),3),"")</f>
        <v>0</v>
      </c>
      <c r="R122" s="194">
        <f ca="1">OFFSET('배치점수 계산기'!H$10,$D122,0)</f>
        <v>654.06399999999996</v>
      </c>
      <c r="S122" s="194">
        <f ca="1">OFFSET('배치점수 계산기'!I$10,$D122,0)</f>
        <v>653.40899999999999</v>
      </c>
      <c r="T122" s="194">
        <f ca="1">OFFSET('배치점수 계산기'!J$10,$D122,0)</f>
        <v>651.88400000000001</v>
      </c>
      <c r="U122" s="194">
        <f ca="1">OFFSET('배치점수 계산기'!K$10,$D122,0)</f>
        <v>651.05700000000002</v>
      </c>
      <c r="V122" s="194">
        <f ca="1">OFFSET('배치점수 계산기'!L$10,$D122,0)</f>
        <v>649.83600000000001</v>
      </c>
      <c r="W122" s="186" t="str">
        <f ca="1">OFFSET('배치점수 계산기'!M$10,$D122,0)</f>
        <v>표점</v>
      </c>
      <c r="X122" s="184" t="str">
        <f ca="1">OFFSET('배치점수 계산기'!N$10,$D122,0)</f>
        <v>변표</v>
      </c>
      <c r="Y122" s="188">
        <f ca="1">OFFSET(환산공식!FW$15,$F122,0)</f>
        <v>0.36</v>
      </c>
      <c r="Z122" s="20">
        <f ca="1">OFFSET(환산공식!FX$15,$F122,0)</f>
        <v>0.36</v>
      </c>
      <c r="AA122" s="179">
        <f ca="1">OFFSET(환산공식!FY$15,$F122,0)</f>
        <v>0.28999999999999998</v>
      </c>
      <c r="AC122"/>
      <c r="AD122">
        <f t="shared" ca="1" si="4"/>
        <v>6</v>
      </c>
      <c r="AE122"/>
    </row>
    <row r="123" spans="1:31" s="3" customFormat="1">
      <c r="A123" s="198"/>
      <c r="B123" s="198"/>
      <c r="C123" s="198" t="s">
        <v>684</v>
      </c>
      <c r="D123" s="195">
        <v>141</v>
      </c>
      <c r="E123" s="195">
        <v>11</v>
      </c>
      <c r="F123" s="195">
        <v>11</v>
      </c>
      <c r="G123" s="239">
        <v>116</v>
      </c>
      <c r="H123" s="197" t="s">
        <v>72</v>
      </c>
      <c r="I123" s="242" t="s">
        <v>75</v>
      </c>
      <c r="J123" s="242" t="s">
        <v>8618</v>
      </c>
      <c r="K123" s="195" t="s">
        <v>71</v>
      </c>
      <c r="L123" s="20" t="str">
        <f ca="1">IF(OFFSET(환산공식!$ED$15,$F123,0)=1,"O","X")</f>
        <v>X</v>
      </c>
      <c r="M123" s="188">
        <f ca="1">IFERROR(OFFSET(환산공식!DJ$15,$F123,0),"")</f>
        <v>0</v>
      </c>
      <c r="N123" s="20" t="str">
        <f ca="1">IFERROR(CONCATENATE(ROUND(OFFSET(환산공식!DK$15,$F123,0),1),"%"),"")</f>
        <v/>
      </c>
      <c r="O123" s="20">
        <f ca="1">IFERROR(OFFSET(환산공식!DL$15,$F123,0),"")</f>
        <v>0</v>
      </c>
      <c r="P123" s="188" t="str">
        <f t="shared" ca="1" si="3"/>
        <v>3% 이하</v>
      </c>
      <c r="Q123" s="194">
        <f ca="1">IFERROR(ROUND(OFFSET(환산공식!$FG$15,$F123,0),3),"")</f>
        <v>0</v>
      </c>
      <c r="R123" s="194">
        <f ca="1">OFFSET('배치점수 계산기'!H$10,$D123,0)</f>
        <v>654.41</v>
      </c>
      <c r="S123" s="194">
        <f ca="1">OFFSET('배치점수 계산기'!I$10,$D123,0)</f>
        <v>653.88599999999997</v>
      </c>
      <c r="T123" s="194">
        <f ca="1">OFFSET('배치점수 계산기'!J$10,$D123,0)</f>
        <v>651.88400000000001</v>
      </c>
      <c r="U123" s="194">
        <f ca="1">OFFSET('배치점수 계산기'!K$10,$D123,0)</f>
        <v>650.93700000000001</v>
      </c>
      <c r="V123" s="194">
        <f ca="1">OFFSET('배치점수 계산기'!L$10,$D123,0)</f>
        <v>649.83600000000001</v>
      </c>
      <c r="W123" s="186" t="str">
        <f ca="1">OFFSET('배치점수 계산기'!M$10,$D123,0)</f>
        <v>표점</v>
      </c>
      <c r="X123" s="184" t="str">
        <f ca="1">OFFSET('배치점수 계산기'!N$10,$D123,0)</f>
        <v>변표</v>
      </c>
      <c r="Y123" s="188">
        <f ca="1">OFFSET(환산공식!FW$15,$F123,0)</f>
        <v>0.36</v>
      </c>
      <c r="Z123" s="20">
        <f ca="1">OFFSET(환산공식!FX$15,$F123,0)</f>
        <v>0.36</v>
      </c>
      <c r="AA123" s="179">
        <f ca="1">OFFSET(환산공식!FY$15,$F123,0)</f>
        <v>0.28999999999999998</v>
      </c>
      <c r="AC123"/>
      <c r="AD123">
        <f t="shared" ca="1" si="4"/>
        <v>6</v>
      </c>
      <c r="AE123"/>
    </row>
    <row r="124" spans="1:31" s="3" customFormat="1">
      <c r="A124" s="198"/>
      <c r="B124" s="198"/>
      <c r="C124" s="198" t="s">
        <v>685</v>
      </c>
      <c r="D124" s="195">
        <v>142</v>
      </c>
      <c r="E124" s="195">
        <v>11</v>
      </c>
      <c r="F124" s="195">
        <v>11</v>
      </c>
      <c r="G124" s="239">
        <v>117</v>
      </c>
      <c r="H124" s="197" t="s">
        <v>72</v>
      </c>
      <c r="I124" s="242" t="s">
        <v>75</v>
      </c>
      <c r="J124" s="242" t="s">
        <v>8767</v>
      </c>
      <c r="K124" s="195" t="s">
        <v>71</v>
      </c>
      <c r="L124" s="20" t="str">
        <f ca="1">IF(OFFSET(환산공식!$ED$15,$F124,0)=1,"O","X")</f>
        <v>X</v>
      </c>
      <c r="M124" s="188">
        <f ca="1">IFERROR(OFFSET(환산공식!DJ$15,$F124,0),"")</f>
        <v>0</v>
      </c>
      <c r="N124" s="20" t="str">
        <f ca="1">IFERROR(CONCATENATE(ROUND(OFFSET(환산공식!DK$15,$F124,0),1),"%"),"")</f>
        <v/>
      </c>
      <c r="O124" s="20">
        <f ca="1">IFERROR(OFFSET(환산공식!DL$15,$F124,0),"")</f>
        <v>0</v>
      </c>
      <c r="P124" s="188" t="str">
        <f t="shared" ca="1" si="3"/>
        <v>3% 이하</v>
      </c>
      <c r="Q124" s="194">
        <f ca="1">IFERROR(ROUND(OFFSET(환산공식!$FG$15,$F124,0),3),"")</f>
        <v>0</v>
      </c>
      <c r="R124" s="194">
        <f ca="1">OFFSET('배치점수 계산기'!H$10,$D124,0)</f>
        <v>653.529</v>
      </c>
      <c r="S124" s="194">
        <f ca="1">OFFSET('배치점수 계산기'!I$10,$D124,0)</f>
        <v>652.56299999999999</v>
      </c>
      <c r="T124" s="194">
        <f ca="1">OFFSET('배치점수 계산기'!J$10,$D124,0)</f>
        <v>651.88400000000001</v>
      </c>
      <c r="U124" s="194">
        <f ca="1">OFFSET('배치점수 계산기'!K$10,$D124,0)</f>
        <v>651.05700000000002</v>
      </c>
      <c r="V124" s="194">
        <f ca="1">OFFSET('배치점수 계산기'!L$10,$D124,0)</f>
        <v>650.37099999999998</v>
      </c>
      <c r="W124" s="186" t="str">
        <f ca="1">OFFSET('배치점수 계산기'!M$10,$D124,0)</f>
        <v>표점</v>
      </c>
      <c r="X124" s="184" t="str">
        <f ca="1">OFFSET('배치점수 계산기'!N$10,$D124,0)</f>
        <v>변표</v>
      </c>
      <c r="Y124" s="188">
        <f ca="1">OFFSET(환산공식!FW$15,$F124,0)</f>
        <v>0.36</v>
      </c>
      <c r="Z124" s="20">
        <f ca="1">OFFSET(환산공식!FX$15,$F124,0)</f>
        <v>0.36</v>
      </c>
      <c r="AA124" s="179">
        <f ca="1">OFFSET(환산공식!FY$15,$F124,0)</f>
        <v>0.28999999999999998</v>
      </c>
      <c r="AC124"/>
      <c r="AD124">
        <f t="shared" ca="1" si="4"/>
        <v>6</v>
      </c>
      <c r="AE124"/>
    </row>
    <row r="125" spans="1:31" s="3" customFormat="1">
      <c r="A125" s="198"/>
      <c r="B125" s="198"/>
      <c r="C125" s="198" t="s">
        <v>686</v>
      </c>
      <c r="D125" s="195">
        <v>143</v>
      </c>
      <c r="E125" s="195">
        <v>11</v>
      </c>
      <c r="F125" s="195">
        <v>11</v>
      </c>
      <c r="G125" s="239">
        <v>118</v>
      </c>
      <c r="H125" s="197" t="s">
        <v>72</v>
      </c>
      <c r="I125" s="242" t="s">
        <v>75</v>
      </c>
      <c r="J125" s="242" t="s">
        <v>8753</v>
      </c>
      <c r="K125" s="195" t="s">
        <v>71</v>
      </c>
      <c r="L125" s="20" t="str">
        <f ca="1">IF(OFFSET(환산공식!$ED$15,$F125,0)=1,"O","X")</f>
        <v>X</v>
      </c>
      <c r="M125" s="188">
        <f ca="1">IFERROR(OFFSET(환산공식!DJ$15,$F125,0),"")</f>
        <v>0</v>
      </c>
      <c r="N125" s="20" t="str">
        <f ca="1">IFERROR(CONCATENATE(ROUND(OFFSET(환산공식!DK$15,$F125,0),1),"%"),"")</f>
        <v/>
      </c>
      <c r="O125" s="20">
        <f ca="1">IFERROR(OFFSET(환산공식!DL$15,$F125,0),"")</f>
        <v>0</v>
      </c>
      <c r="P125" s="188" t="str">
        <f t="shared" ca="1" si="3"/>
        <v>3% 이하</v>
      </c>
      <c r="Q125" s="194">
        <f ca="1">IFERROR(ROUND(OFFSET(환산공식!$FG$15,$F125,0),3),"")</f>
        <v>0</v>
      </c>
      <c r="R125" s="194">
        <f ca="1">OFFSET('배치점수 계산기'!H$10,$D125,0)</f>
        <v>653.88599999999997</v>
      </c>
      <c r="S125" s="194">
        <f ca="1">OFFSET('배치점수 계산기'!I$10,$D125,0)</f>
        <v>652.44299999999998</v>
      </c>
      <c r="T125" s="194">
        <f ca="1">OFFSET('배치점수 계산기'!J$10,$D125,0)</f>
        <v>651.88400000000001</v>
      </c>
      <c r="U125" s="194">
        <f ca="1">OFFSET('배치점수 계산기'!K$10,$D125,0)</f>
        <v>651.05700000000002</v>
      </c>
      <c r="V125" s="194">
        <f ca="1">OFFSET('배치점수 계산기'!L$10,$D125,0)</f>
        <v>649.95600000000002</v>
      </c>
      <c r="W125" s="186" t="str">
        <f ca="1">OFFSET('배치점수 계산기'!M$10,$D125,0)</f>
        <v>표점</v>
      </c>
      <c r="X125" s="184" t="str">
        <f ca="1">OFFSET('배치점수 계산기'!N$10,$D125,0)</f>
        <v>변표</v>
      </c>
      <c r="Y125" s="188">
        <f ca="1">OFFSET(환산공식!FW$15,$F125,0)</f>
        <v>0.36</v>
      </c>
      <c r="Z125" s="20">
        <f ca="1">OFFSET(환산공식!FX$15,$F125,0)</f>
        <v>0.36</v>
      </c>
      <c r="AA125" s="179">
        <f ca="1">OFFSET(환산공식!FY$15,$F125,0)</f>
        <v>0.28999999999999998</v>
      </c>
      <c r="AC125"/>
      <c r="AD125">
        <f t="shared" ca="1" si="4"/>
        <v>6</v>
      </c>
      <c r="AE125"/>
    </row>
    <row r="126" spans="1:31" s="3" customFormat="1">
      <c r="A126" s="198"/>
      <c r="B126" s="198"/>
      <c r="C126" s="198" t="s">
        <v>687</v>
      </c>
      <c r="D126" s="195">
        <v>144</v>
      </c>
      <c r="E126" s="195">
        <v>11</v>
      </c>
      <c r="F126" s="195">
        <v>11</v>
      </c>
      <c r="G126" s="239">
        <v>119</v>
      </c>
      <c r="H126" s="197" t="s">
        <v>72</v>
      </c>
      <c r="I126" s="242" t="s">
        <v>75</v>
      </c>
      <c r="J126" s="242" t="s">
        <v>8863</v>
      </c>
      <c r="K126" s="195" t="s">
        <v>71</v>
      </c>
      <c r="L126" s="20" t="str">
        <f ca="1">IF(OFFSET(환산공식!$ED$15,$F126,0)=1,"O","X")</f>
        <v>X</v>
      </c>
      <c r="M126" s="188">
        <f ca="1">IFERROR(OFFSET(환산공식!DJ$15,$F126,0),"")</f>
        <v>0</v>
      </c>
      <c r="N126" s="20" t="str">
        <f ca="1">IFERROR(CONCATENATE(ROUND(OFFSET(환산공식!DK$15,$F126,0),1),"%"),"")</f>
        <v/>
      </c>
      <c r="O126" s="20">
        <f ca="1">IFERROR(OFFSET(환산공식!DL$15,$F126,0),"")</f>
        <v>0</v>
      </c>
      <c r="P126" s="188" t="str">
        <f t="shared" ca="1" si="3"/>
        <v>3% 이하</v>
      </c>
      <c r="Q126" s="194">
        <f ca="1">IFERROR(ROUND(OFFSET(환산공식!$FG$15,$F126,0),3),"")</f>
        <v>0</v>
      </c>
      <c r="R126" s="194">
        <f ca="1">OFFSET('배치점수 계산기'!H$10,$D126,0)</f>
        <v>653.529</v>
      </c>
      <c r="S126" s="194">
        <f ca="1">OFFSET('배치점수 계산기'!I$10,$D126,0)</f>
        <v>652.56299999999999</v>
      </c>
      <c r="T126" s="194">
        <f ca="1">OFFSET('배치점수 계산기'!J$10,$D126,0)</f>
        <v>651.76400000000001</v>
      </c>
      <c r="U126" s="194">
        <f ca="1">OFFSET('배치점수 계산기'!K$10,$D126,0)</f>
        <v>650.46</v>
      </c>
      <c r="V126" s="194">
        <f ca="1">OFFSET('배치점수 계산기'!L$10,$D126,0)</f>
        <v>649.65599999999995</v>
      </c>
      <c r="W126" s="186" t="str">
        <f ca="1">OFFSET('배치점수 계산기'!M$10,$D126,0)</f>
        <v>표점</v>
      </c>
      <c r="X126" s="184" t="str">
        <f ca="1">OFFSET('배치점수 계산기'!N$10,$D126,0)</f>
        <v>변표</v>
      </c>
      <c r="Y126" s="188">
        <f ca="1">OFFSET(환산공식!FW$15,$F126,0)</f>
        <v>0.36</v>
      </c>
      <c r="Z126" s="20">
        <f ca="1">OFFSET(환산공식!FX$15,$F126,0)</f>
        <v>0.36</v>
      </c>
      <c r="AA126" s="179">
        <f ca="1">OFFSET(환산공식!FY$15,$F126,0)</f>
        <v>0.28999999999999998</v>
      </c>
      <c r="AC126"/>
      <c r="AD126">
        <f t="shared" ca="1" si="4"/>
        <v>6</v>
      </c>
      <c r="AE126"/>
    </row>
    <row r="127" spans="1:31" s="3" customFormat="1">
      <c r="A127" s="198"/>
      <c r="B127" s="198"/>
      <c r="C127" s="198" t="s">
        <v>688</v>
      </c>
      <c r="D127" s="195">
        <v>145</v>
      </c>
      <c r="E127" s="195">
        <v>11</v>
      </c>
      <c r="F127" s="195">
        <v>11</v>
      </c>
      <c r="G127" s="239">
        <v>120</v>
      </c>
      <c r="H127" s="197" t="s">
        <v>72</v>
      </c>
      <c r="I127" s="242" t="s">
        <v>75</v>
      </c>
      <c r="J127" s="242" t="s">
        <v>8232</v>
      </c>
      <c r="K127" s="195" t="s">
        <v>71</v>
      </c>
      <c r="L127" s="20" t="str">
        <f ca="1">IF(OFFSET(환산공식!$ED$15,$F127,0)=1,"O","X")</f>
        <v>X</v>
      </c>
      <c r="M127" s="188">
        <f ca="1">IFERROR(OFFSET(환산공식!DJ$15,$F127,0),"")</f>
        <v>0</v>
      </c>
      <c r="N127" s="20" t="str">
        <f ca="1">IFERROR(CONCATENATE(ROUND(OFFSET(환산공식!DK$15,$F127,0),1),"%"),"")</f>
        <v/>
      </c>
      <c r="O127" s="20">
        <f ca="1">IFERROR(OFFSET(환산공식!DL$15,$F127,0),"")</f>
        <v>0</v>
      </c>
      <c r="P127" s="188" t="str">
        <f t="shared" ca="1" si="3"/>
        <v>3% 이하</v>
      </c>
      <c r="Q127" s="194">
        <f ca="1">IFERROR(ROUND(OFFSET(환산공식!$FG$15,$F127,0),3),"")</f>
        <v>0</v>
      </c>
      <c r="R127" s="194">
        <f ca="1">OFFSET('배치점수 계산기'!H$10,$D127,0)</f>
        <v>652.56299999999999</v>
      </c>
      <c r="S127" s="194">
        <f ca="1">OFFSET('배치점수 계산기'!I$10,$D127,0)</f>
        <v>652.00400000000002</v>
      </c>
      <c r="T127" s="194">
        <f ca="1">OFFSET('배치점수 계산기'!J$10,$D127,0)</f>
        <v>651.05700000000002</v>
      </c>
      <c r="U127" s="194">
        <f ca="1">OFFSET('배치점수 계산기'!K$10,$D127,0)</f>
        <v>649.95600000000002</v>
      </c>
      <c r="V127" s="194">
        <f ca="1">OFFSET('배치점수 계산기'!L$10,$D127,0)</f>
        <v>649.12</v>
      </c>
      <c r="W127" s="186" t="str">
        <f ca="1">OFFSET('배치점수 계산기'!M$10,$D127,0)</f>
        <v>표점</v>
      </c>
      <c r="X127" s="184" t="str">
        <f ca="1">OFFSET('배치점수 계산기'!N$10,$D127,0)</f>
        <v>변표</v>
      </c>
      <c r="Y127" s="188">
        <f ca="1">OFFSET(환산공식!FW$15,$F127,0)</f>
        <v>0.36</v>
      </c>
      <c r="Z127" s="20">
        <f ca="1">OFFSET(환산공식!FX$15,$F127,0)</f>
        <v>0.36</v>
      </c>
      <c r="AA127" s="179">
        <f ca="1">OFFSET(환산공식!FY$15,$F127,0)</f>
        <v>0.28999999999999998</v>
      </c>
      <c r="AC127"/>
      <c r="AD127">
        <f t="shared" ca="1" si="4"/>
        <v>6</v>
      </c>
      <c r="AE127"/>
    </row>
    <row r="128" spans="1:31" s="3" customFormat="1">
      <c r="A128" s="198"/>
      <c r="B128" s="198"/>
      <c r="C128" s="198" t="s">
        <v>689</v>
      </c>
      <c r="D128" s="195">
        <v>146</v>
      </c>
      <c r="E128" s="195">
        <v>11</v>
      </c>
      <c r="F128" s="195">
        <v>11</v>
      </c>
      <c r="G128" s="239">
        <v>121</v>
      </c>
      <c r="H128" s="197" t="s">
        <v>72</v>
      </c>
      <c r="I128" s="242" t="s">
        <v>75</v>
      </c>
      <c r="J128" s="242" t="s">
        <v>8804</v>
      </c>
      <c r="K128" s="195" t="s">
        <v>71</v>
      </c>
      <c r="L128" s="20" t="str">
        <f ca="1">IF(OFFSET(환산공식!$ED$15,$F128,0)=1,"O","X")</f>
        <v>X</v>
      </c>
      <c r="M128" s="188">
        <f ca="1">IFERROR(OFFSET(환산공식!DJ$15,$F128,0),"")</f>
        <v>0</v>
      </c>
      <c r="N128" s="20" t="str">
        <f ca="1">IFERROR(CONCATENATE(ROUND(OFFSET(환산공식!DK$15,$F128,0),1),"%"),"")</f>
        <v/>
      </c>
      <c r="O128" s="20">
        <f ca="1">IFERROR(OFFSET(환산공식!DL$15,$F128,0),"")</f>
        <v>0</v>
      </c>
      <c r="P128" s="188" t="str">
        <f t="shared" ca="1" si="3"/>
        <v>3% 이하</v>
      </c>
      <c r="Q128" s="194">
        <f ca="1">IFERROR(ROUND(OFFSET(환산공식!$FG$15,$F128,0),3),"")</f>
        <v>0</v>
      </c>
      <c r="R128" s="194">
        <f ca="1">OFFSET('배치점수 계산기'!H$10,$D128,0)</f>
        <v>653.529</v>
      </c>
      <c r="S128" s="194">
        <f ca="1">OFFSET('배치점수 계산기'!I$10,$D128,0)</f>
        <v>652.80100000000004</v>
      </c>
      <c r="T128" s="194">
        <f ca="1">OFFSET('배치점수 계산기'!J$10,$D128,0)</f>
        <v>650.93700000000001</v>
      </c>
      <c r="U128" s="194">
        <f ca="1">OFFSET('배치점수 계산기'!K$10,$D128,0)</f>
        <v>649.83600000000001</v>
      </c>
      <c r="V128" s="194">
        <f ca="1">OFFSET('배치점수 계산기'!L$10,$D128,0)</f>
        <v>649.12</v>
      </c>
      <c r="W128" s="186" t="str">
        <f ca="1">OFFSET('배치점수 계산기'!M$10,$D128,0)</f>
        <v>표점</v>
      </c>
      <c r="X128" s="184" t="str">
        <f ca="1">OFFSET('배치점수 계산기'!N$10,$D128,0)</f>
        <v>변표</v>
      </c>
      <c r="Y128" s="188">
        <f ca="1">OFFSET(환산공식!FW$15,$F128,0)</f>
        <v>0.36</v>
      </c>
      <c r="Z128" s="20">
        <f ca="1">OFFSET(환산공식!FX$15,$F128,0)</f>
        <v>0.36</v>
      </c>
      <c r="AA128" s="179">
        <f ca="1">OFFSET(환산공식!FY$15,$F128,0)</f>
        <v>0.28999999999999998</v>
      </c>
      <c r="AC128"/>
      <c r="AD128">
        <f t="shared" ca="1" si="4"/>
        <v>6</v>
      </c>
      <c r="AE128"/>
    </row>
    <row r="129" spans="1:31" s="3" customFormat="1">
      <c r="A129" s="198"/>
      <c r="B129" s="198"/>
      <c r="C129" s="198" t="s">
        <v>690</v>
      </c>
      <c r="D129" s="195">
        <v>147</v>
      </c>
      <c r="E129" s="195">
        <v>11</v>
      </c>
      <c r="F129" s="195">
        <v>11</v>
      </c>
      <c r="G129" s="239">
        <v>122</v>
      </c>
      <c r="H129" s="197" t="s">
        <v>72</v>
      </c>
      <c r="I129" s="242" t="s">
        <v>75</v>
      </c>
      <c r="J129" s="242" t="s">
        <v>542</v>
      </c>
      <c r="K129" s="195" t="s">
        <v>71</v>
      </c>
      <c r="L129" s="20" t="str">
        <f ca="1">IF(OFFSET(환산공식!$ED$15,$F129,0)=1,"O","X")</f>
        <v>X</v>
      </c>
      <c r="M129" s="188">
        <f ca="1">IFERROR(OFFSET(환산공식!DJ$15,$F129,0),"")</f>
        <v>0</v>
      </c>
      <c r="N129" s="20" t="str">
        <f ca="1">IFERROR(CONCATENATE(ROUND(OFFSET(환산공식!DK$15,$F129,0),1),"%"),"")</f>
        <v/>
      </c>
      <c r="O129" s="20">
        <f ca="1">IFERROR(OFFSET(환산공식!DL$15,$F129,0),"")</f>
        <v>0</v>
      </c>
      <c r="P129" s="188" t="str">
        <f t="shared" ca="1" si="3"/>
        <v>3% 이하</v>
      </c>
      <c r="Q129" s="194">
        <f ca="1">IFERROR(ROUND(OFFSET(환산공식!$FG$15,$F129,0),3),"")</f>
        <v>0</v>
      </c>
      <c r="R129" s="194">
        <f ca="1">OFFSET('배치점수 계산기'!H$10,$D129,0)</f>
        <v>652.80100000000004</v>
      </c>
      <c r="S129" s="194">
        <f ca="1">OFFSET('배치점수 계산기'!I$10,$D129,0)</f>
        <v>652.41999999999996</v>
      </c>
      <c r="T129" s="194">
        <f ca="1">OFFSET('배치점수 계산기'!J$10,$D129,0)</f>
        <v>650.93700000000001</v>
      </c>
      <c r="U129" s="194">
        <f ca="1">OFFSET('배치점수 계산기'!K$10,$D129,0)</f>
        <v>649.83600000000001</v>
      </c>
      <c r="V129" s="194">
        <f ca="1">OFFSET('배치점수 계산기'!L$10,$D129,0)</f>
        <v>648.92700000000002</v>
      </c>
      <c r="W129" s="186" t="str">
        <f ca="1">OFFSET('배치점수 계산기'!M$10,$D129,0)</f>
        <v>표점</v>
      </c>
      <c r="X129" s="184" t="str">
        <f ca="1">OFFSET('배치점수 계산기'!N$10,$D129,0)</f>
        <v>변표</v>
      </c>
      <c r="Y129" s="188">
        <f ca="1">OFFSET(환산공식!FW$15,$F129,0)</f>
        <v>0.36</v>
      </c>
      <c r="Z129" s="20">
        <f ca="1">OFFSET(환산공식!FX$15,$F129,0)</f>
        <v>0.36</v>
      </c>
      <c r="AA129" s="179">
        <f ca="1">OFFSET(환산공식!FY$15,$F129,0)</f>
        <v>0.28999999999999998</v>
      </c>
      <c r="AC129"/>
      <c r="AD129">
        <f t="shared" ca="1" si="4"/>
        <v>6</v>
      </c>
      <c r="AE129"/>
    </row>
    <row r="130" spans="1:31" s="3" customFormat="1">
      <c r="A130" s="198"/>
      <c r="B130" s="198"/>
      <c r="C130" s="198" t="s">
        <v>691</v>
      </c>
      <c r="D130" s="195">
        <v>148</v>
      </c>
      <c r="E130" s="195">
        <v>11</v>
      </c>
      <c r="F130" s="195">
        <v>11</v>
      </c>
      <c r="G130" s="239">
        <v>123</v>
      </c>
      <c r="H130" s="197" t="s">
        <v>72</v>
      </c>
      <c r="I130" s="242" t="s">
        <v>75</v>
      </c>
      <c r="J130" s="242" t="s">
        <v>560</v>
      </c>
      <c r="K130" s="195" t="s">
        <v>71</v>
      </c>
      <c r="L130" s="20" t="str">
        <f ca="1">IF(OFFSET(환산공식!$ED$15,$F130,0)=1,"O","X")</f>
        <v>X</v>
      </c>
      <c r="M130" s="188">
        <f ca="1">IFERROR(OFFSET(환산공식!DJ$15,$F130,0),"")</f>
        <v>0</v>
      </c>
      <c r="N130" s="20" t="str">
        <f ca="1">IFERROR(CONCATENATE(ROUND(OFFSET(환산공식!DK$15,$F130,0),1),"%"),"")</f>
        <v/>
      </c>
      <c r="O130" s="20">
        <f ca="1">IFERROR(OFFSET(환산공식!DL$15,$F130,0),"")</f>
        <v>0</v>
      </c>
      <c r="P130" s="188" t="str">
        <f t="shared" ca="1" si="3"/>
        <v>3% 이하</v>
      </c>
      <c r="Q130" s="194">
        <f ca="1">IFERROR(ROUND(OFFSET(환산공식!$FG$15,$F130,0),3),"")</f>
        <v>0</v>
      </c>
      <c r="R130" s="194">
        <f ca="1">OFFSET('배치점수 계산기'!H$10,$D130,0)</f>
        <v>652.44299999999998</v>
      </c>
      <c r="S130" s="194">
        <f ca="1">OFFSET('배치점수 계산기'!I$10,$D130,0)</f>
        <v>651.88400000000001</v>
      </c>
      <c r="T130" s="194">
        <f ca="1">OFFSET('배치점수 계산기'!J$10,$D130,0)</f>
        <v>650.93700000000001</v>
      </c>
      <c r="U130" s="194">
        <f ca="1">OFFSET('배치점수 계산기'!K$10,$D130,0)</f>
        <v>649.83600000000001</v>
      </c>
      <c r="V130" s="194">
        <f ca="1">OFFSET('배치점수 계산기'!L$10,$D130,0)</f>
        <v>648.92700000000002</v>
      </c>
      <c r="W130" s="186" t="str">
        <f ca="1">OFFSET('배치점수 계산기'!M$10,$D130,0)</f>
        <v>표점</v>
      </c>
      <c r="X130" s="184" t="str">
        <f ca="1">OFFSET('배치점수 계산기'!N$10,$D130,0)</f>
        <v>변표</v>
      </c>
      <c r="Y130" s="188">
        <f ca="1">OFFSET(환산공식!FW$15,$F130,0)</f>
        <v>0.36</v>
      </c>
      <c r="Z130" s="20">
        <f ca="1">OFFSET(환산공식!FX$15,$F130,0)</f>
        <v>0.36</v>
      </c>
      <c r="AA130" s="179">
        <f ca="1">OFFSET(환산공식!FY$15,$F130,0)</f>
        <v>0.28999999999999998</v>
      </c>
      <c r="AC130"/>
      <c r="AD130">
        <f t="shared" ca="1" si="4"/>
        <v>6</v>
      </c>
      <c r="AE130"/>
    </row>
    <row r="131" spans="1:31" s="3" customFormat="1">
      <c r="A131" s="198"/>
      <c r="B131" s="198"/>
      <c r="C131" s="198" t="s">
        <v>692</v>
      </c>
      <c r="D131" s="195">
        <v>149</v>
      </c>
      <c r="E131" s="195">
        <v>11</v>
      </c>
      <c r="F131" s="195">
        <v>11</v>
      </c>
      <c r="G131" s="239">
        <v>124</v>
      </c>
      <c r="H131" s="197" t="s">
        <v>72</v>
      </c>
      <c r="I131" s="242" t="s">
        <v>75</v>
      </c>
      <c r="J131" s="242" t="s">
        <v>7365</v>
      </c>
      <c r="K131" s="195" t="s">
        <v>71</v>
      </c>
      <c r="L131" s="20" t="str">
        <f ca="1">IF(OFFSET(환산공식!$ED$15,$F131,0)=1,"O","X")</f>
        <v>X</v>
      </c>
      <c r="M131" s="188">
        <f ca="1">IFERROR(OFFSET(환산공식!DJ$15,$F131,0),"")</f>
        <v>0</v>
      </c>
      <c r="N131" s="20" t="str">
        <f ca="1">IFERROR(CONCATENATE(ROUND(OFFSET(환산공식!DK$15,$F131,0),1),"%"),"")</f>
        <v/>
      </c>
      <c r="O131" s="20">
        <f ca="1">IFERROR(OFFSET(환산공식!DL$15,$F131,0),"")</f>
        <v>0</v>
      </c>
      <c r="P131" s="188" t="str">
        <f t="shared" ca="1" si="3"/>
        <v>3% 이하</v>
      </c>
      <c r="Q131" s="194">
        <f ca="1">IFERROR(ROUND(OFFSET(환산공식!$FG$15,$F131,0),3),"")</f>
        <v>0</v>
      </c>
      <c r="R131" s="194">
        <f ca="1">OFFSET('배치점수 계산기'!H$10,$D131,0)</f>
        <v>652.41999999999996</v>
      </c>
      <c r="S131" s="194">
        <f ca="1">OFFSET('배치점수 계산기'!I$10,$D131,0)</f>
        <v>651.88400000000001</v>
      </c>
      <c r="T131" s="194">
        <f ca="1">OFFSET('배치점수 계산기'!J$10,$D131,0)</f>
        <v>650.46</v>
      </c>
      <c r="U131" s="194">
        <f ca="1">OFFSET('배치점수 계산기'!K$10,$D131,0)</f>
        <v>649.47699999999998</v>
      </c>
      <c r="V131" s="194">
        <f ca="1">OFFSET('배치점수 계산기'!L$10,$D131,0)</f>
        <v>647.40899999999999</v>
      </c>
      <c r="W131" s="186" t="str">
        <f ca="1">OFFSET('배치점수 계산기'!M$10,$D131,0)</f>
        <v>표점</v>
      </c>
      <c r="X131" s="184" t="str">
        <f ca="1">OFFSET('배치점수 계산기'!N$10,$D131,0)</f>
        <v>변표</v>
      </c>
      <c r="Y131" s="188">
        <f ca="1">OFFSET(환산공식!FW$15,$F131,0)</f>
        <v>0.36</v>
      </c>
      <c r="Z131" s="20">
        <f ca="1">OFFSET(환산공식!FX$15,$F131,0)</f>
        <v>0.36</v>
      </c>
      <c r="AA131" s="179">
        <f ca="1">OFFSET(환산공식!FY$15,$F131,0)</f>
        <v>0.28999999999999998</v>
      </c>
      <c r="AC131"/>
      <c r="AD131">
        <f t="shared" ca="1" si="4"/>
        <v>6</v>
      </c>
      <c r="AE131"/>
    </row>
    <row r="132" spans="1:31" s="3" customFormat="1">
      <c r="A132" s="198"/>
      <c r="B132" s="198"/>
      <c r="C132" s="198" t="s">
        <v>693</v>
      </c>
      <c r="D132" s="195">
        <v>150</v>
      </c>
      <c r="E132" s="195">
        <v>11</v>
      </c>
      <c r="F132" s="195">
        <v>11</v>
      </c>
      <c r="G132" s="239">
        <v>125</v>
      </c>
      <c r="H132" s="197" t="s">
        <v>72</v>
      </c>
      <c r="I132" s="242" t="s">
        <v>75</v>
      </c>
      <c r="J132" s="242" t="s">
        <v>8827</v>
      </c>
      <c r="K132" s="195" t="s">
        <v>71</v>
      </c>
      <c r="L132" s="20" t="str">
        <f ca="1">IF(OFFSET(환산공식!$ED$15,$F132,0)=1,"O","X")</f>
        <v>X</v>
      </c>
      <c r="M132" s="188">
        <f ca="1">IFERROR(OFFSET(환산공식!DJ$15,$F132,0),"")</f>
        <v>0</v>
      </c>
      <c r="N132" s="20" t="str">
        <f ca="1">IFERROR(CONCATENATE(ROUND(OFFSET(환산공식!DK$15,$F132,0),1),"%"),"")</f>
        <v/>
      </c>
      <c r="O132" s="20">
        <f ca="1">IFERROR(OFFSET(환산공식!DL$15,$F132,0),"")</f>
        <v>0</v>
      </c>
      <c r="P132" s="188" t="str">
        <f t="shared" ca="1" si="3"/>
        <v>3% 이하</v>
      </c>
      <c r="Q132" s="194">
        <f ca="1">IFERROR(ROUND(OFFSET(환산공식!$FG$15,$F132,0),3),"")</f>
        <v>0</v>
      </c>
      <c r="R132" s="194">
        <f ca="1">OFFSET('배치점수 계산기'!H$10,$D132,0)</f>
        <v>652.56299999999999</v>
      </c>
      <c r="S132" s="194">
        <f ca="1">OFFSET('배치점수 계산기'!I$10,$D132,0)</f>
        <v>652.00400000000002</v>
      </c>
      <c r="T132" s="194">
        <f ca="1">OFFSET('배치점수 계산기'!J$10,$D132,0)</f>
        <v>650.37099999999998</v>
      </c>
      <c r="U132" s="194">
        <f ca="1">OFFSET('배치점수 계산기'!K$10,$D132,0)</f>
        <v>649.65599999999995</v>
      </c>
      <c r="V132" s="194">
        <f ca="1">OFFSET('배치점수 계산기'!L$10,$D132,0)</f>
        <v>648.92700000000002</v>
      </c>
      <c r="W132" s="186" t="str">
        <f ca="1">OFFSET('배치점수 계산기'!M$10,$D132,0)</f>
        <v>표점</v>
      </c>
      <c r="X132" s="184" t="str">
        <f ca="1">OFFSET('배치점수 계산기'!N$10,$D132,0)</f>
        <v>변표</v>
      </c>
      <c r="Y132" s="188">
        <f ca="1">OFFSET(환산공식!FW$15,$F132,0)</f>
        <v>0.36</v>
      </c>
      <c r="Z132" s="20">
        <f ca="1">OFFSET(환산공식!FX$15,$F132,0)</f>
        <v>0.36</v>
      </c>
      <c r="AA132" s="179">
        <f ca="1">OFFSET(환산공식!FY$15,$F132,0)</f>
        <v>0.28999999999999998</v>
      </c>
      <c r="AC132"/>
      <c r="AD132">
        <f t="shared" ca="1" si="4"/>
        <v>6</v>
      </c>
      <c r="AE132"/>
    </row>
    <row r="133" spans="1:31" s="3" customFormat="1">
      <c r="A133" s="198"/>
      <c r="B133" s="198"/>
      <c r="C133" s="198" t="s">
        <v>694</v>
      </c>
      <c r="D133" s="195">
        <v>151</v>
      </c>
      <c r="E133" s="195">
        <v>11</v>
      </c>
      <c r="F133" s="195">
        <v>11</v>
      </c>
      <c r="G133" s="239">
        <v>126</v>
      </c>
      <c r="H133" s="197" t="s">
        <v>72</v>
      </c>
      <c r="I133" s="242" t="s">
        <v>75</v>
      </c>
      <c r="J133" s="242" t="s">
        <v>8797</v>
      </c>
      <c r="K133" s="195" t="s">
        <v>71</v>
      </c>
      <c r="L133" s="20" t="str">
        <f ca="1">IF(OFFSET(환산공식!$ED$15,$F133,0)=1,"O","X")</f>
        <v>X</v>
      </c>
      <c r="M133" s="188">
        <f ca="1">IFERROR(OFFSET(환산공식!DJ$15,$F133,0),"")</f>
        <v>0</v>
      </c>
      <c r="N133" s="20" t="str">
        <f ca="1">IFERROR(CONCATENATE(ROUND(OFFSET(환산공식!DK$15,$F133,0),1),"%"),"")</f>
        <v/>
      </c>
      <c r="O133" s="20">
        <f ca="1">IFERROR(OFFSET(환산공식!DL$15,$F133,0),"")</f>
        <v>0</v>
      </c>
      <c r="P133" s="188" t="str">
        <f t="shared" ca="1" si="3"/>
        <v>3% 이하</v>
      </c>
      <c r="Q133" s="194">
        <f ca="1">IFERROR(ROUND(OFFSET(환산공식!$FG$15,$F133,0),3),"")</f>
        <v>0</v>
      </c>
      <c r="R133" s="194">
        <f ca="1">OFFSET('배치점수 계산기'!H$10,$D133,0)</f>
        <v>652.41999999999996</v>
      </c>
      <c r="S133" s="194">
        <f ca="1">OFFSET('배치점수 계산기'!I$10,$D133,0)</f>
        <v>651.40700000000004</v>
      </c>
      <c r="T133" s="194">
        <f ca="1">OFFSET('배치점수 계산기'!J$10,$D133,0)</f>
        <v>650.37099999999998</v>
      </c>
      <c r="U133" s="194">
        <f ca="1">OFFSET('배치점수 계산기'!K$10,$D133,0)</f>
        <v>649.65599999999995</v>
      </c>
      <c r="V133" s="194">
        <f ca="1">OFFSET('배치점수 계산기'!L$10,$D133,0)</f>
        <v>648.92700000000002</v>
      </c>
      <c r="W133" s="186" t="str">
        <f ca="1">OFFSET('배치점수 계산기'!M$10,$D133,0)</f>
        <v>표점</v>
      </c>
      <c r="X133" s="184" t="str">
        <f ca="1">OFFSET('배치점수 계산기'!N$10,$D133,0)</f>
        <v>변표</v>
      </c>
      <c r="Y133" s="188">
        <f ca="1">OFFSET(환산공식!FW$15,$F133,0)</f>
        <v>0.36</v>
      </c>
      <c r="Z133" s="20">
        <f ca="1">OFFSET(환산공식!FX$15,$F133,0)</f>
        <v>0.36</v>
      </c>
      <c r="AA133" s="179">
        <f ca="1">OFFSET(환산공식!FY$15,$F133,0)</f>
        <v>0.28999999999999998</v>
      </c>
      <c r="AC133"/>
      <c r="AD133">
        <f t="shared" ca="1" si="4"/>
        <v>6</v>
      </c>
      <c r="AE133"/>
    </row>
    <row r="134" spans="1:31" s="3" customFormat="1">
      <c r="A134" s="198"/>
      <c r="B134" s="198"/>
      <c r="C134" s="198" t="s">
        <v>695</v>
      </c>
      <c r="D134" s="195">
        <v>152</v>
      </c>
      <c r="E134" s="195">
        <v>11</v>
      </c>
      <c r="F134" s="195">
        <v>11</v>
      </c>
      <c r="G134" s="239">
        <v>127</v>
      </c>
      <c r="H134" s="197" t="s">
        <v>72</v>
      </c>
      <c r="I134" s="242" t="s">
        <v>75</v>
      </c>
      <c r="J134" s="242" t="s">
        <v>561</v>
      </c>
      <c r="K134" s="195" t="s">
        <v>71</v>
      </c>
      <c r="L134" s="20" t="str">
        <f ca="1">IF(OFFSET(환산공식!$ED$15,$F134,0)=1,"O","X")</f>
        <v>X</v>
      </c>
      <c r="M134" s="188">
        <f ca="1">IFERROR(OFFSET(환산공식!DJ$15,$F134,0),"")</f>
        <v>0</v>
      </c>
      <c r="N134" s="20" t="str">
        <f ca="1">IFERROR(CONCATENATE(ROUND(OFFSET(환산공식!DK$15,$F134,0),1),"%"),"")</f>
        <v/>
      </c>
      <c r="O134" s="20">
        <f ca="1">IFERROR(OFFSET(환산공식!DL$15,$F134,0),"")</f>
        <v>0</v>
      </c>
      <c r="P134" s="188" t="str">
        <f t="shared" ca="1" si="3"/>
        <v>3% 이하</v>
      </c>
      <c r="Q134" s="194">
        <f ca="1">IFERROR(ROUND(OFFSET(환산공식!$FG$15,$F134,0),3),"")</f>
        <v>0</v>
      </c>
      <c r="R134" s="194">
        <f ca="1">OFFSET('배치점수 계산기'!H$10,$D134,0)</f>
        <v>652.41999999999996</v>
      </c>
      <c r="S134" s="194">
        <f ca="1">OFFSET('배치점수 계산기'!I$10,$D134,0)</f>
        <v>651.40700000000004</v>
      </c>
      <c r="T134" s="194">
        <f ca="1">OFFSET('배치점수 계산기'!J$10,$D134,0)</f>
        <v>650.37099999999998</v>
      </c>
      <c r="U134" s="194">
        <f ca="1">OFFSET('배치점수 계산기'!K$10,$D134,0)</f>
        <v>649.65599999999995</v>
      </c>
      <c r="V134" s="194">
        <f ca="1">OFFSET('배치점수 계산기'!L$10,$D134,0)</f>
        <v>648.92700000000002</v>
      </c>
      <c r="W134" s="186" t="str">
        <f ca="1">OFFSET('배치점수 계산기'!M$10,$D134,0)</f>
        <v>표점</v>
      </c>
      <c r="X134" s="184" t="str">
        <f ca="1">OFFSET('배치점수 계산기'!N$10,$D134,0)</f>
        <v>변표</v>
      </c>
      <c r="Y134" s="188">
        <f ca="1">OFFSET(환산공식!FW$15,$F134,0)</f>
        <v>0.36</v>
      </c>
      <c r="Z134" s="20">
        <f ca="1">OFFSET(환산공식!FX$15,$F134,0)</f>
        <v>0.36</v>
      </c>
      <c r="AA134" s="179">
        <f ca="1">OFFSET(환산공식!FY$15,$F134,0)</f>
        <v>0.28999999999999998</v>
      </c>
      <c r="AC134"/>
      <c r="AD134">
        <f t="shared" ca="1" si="4"/>
        <v>6</v>
      </c>
      <c r="AE134"/>
    </row>
    <row r="135" spans="1:31" s="3" customFormat="1">
      <c r="A135" s="198"/>
      <c r="B135" s="198"/>
      <c r="C135" s="198" t="s">
        <v>696</v>
      </c>
      <c r="D135" s="195">
        <v>153</v>
      </c>
      <c r="E135" s="195">
        <v>11</v>
      </c>
      <c r="F135" s="195">
        <v>11</v>
      </c>
      <c r="G135" s="239">
        <v>128</v>
      </c>
      <c r="H135" s="197" t="s">
        <v>72</v>
      </c>
      <c r="I135" s="242" t="s">
        <v>75</v>
      </c>
      <c r="J135" s="242" t="s">
        <v>8820</v>
      </c>
      <c r="K135" s="195" t="s">
        <v>71</v>
      </c>
      <c r="L135" s="20" t="str">
        <f ca="1">IF(OFFSET(환산공식!$ED$15,$F135,0)=1,"O","X")</f>
        <v>X</v>
      </c>
      <c r="M135" s="188">
        <f ca="1">IFERROR(OFFSET(환산공식!DJ$15,$F135,0),"")</f>
        <v>0</v>
      </c>
      <c r="N135" s="20" t="str">
        <f ca="1">IFERROR(CONCATENATE(ROUND(OFFSET(환산공식!DK$15,$F135,0),1),"%"),"")</f>
        <v/>
      </c>
      <c r="O135" s="20">
        <f ca="1">IFERROR(OFFSET(환산공식!DL$15,$F135,0),"")</f>
        <v>0</v>
      </c>
      <c r="P135" s="188" t="str">
        <f t="shared" ca="1" si="3"/>
        <v>3% 이하</v>
      </c>
      <c r="Q135" s="194">
        <f ca="1">IFERROR(ROUND(OFFSET(환산공식!$FG$15,$F135,0),3),"")</f>
        <v>0</v>
      </c>
      <c r="R135" s="194">
        <f ca="1">OFFSET('배치점수 계산기'!H$10,$D135,0)</f>
        <v>652.44299999999998</v>
      </c>
      <c r="S135" s="194">
        <f ca="1">OFFSET('배치점수 계산기'!I$10,$D135,0)</f>
        <v>651.76400000000001</v>
      </c>
      <c r="T135" s="194">
        <f ca="1">OFFSET('배치점수 계산기'!J$10,$D135,0)</f>
        <v>649.95600000000002</v>
      </c>
      <c r="U135" s="194">
        <f ca="1">OFFSET('배치점수 계산기'!K$10,$D135,0)</f>
        <v>649.47699999999998</v>
      </c>
      <c r="V135" s="194">
        <f ca="1">OFFSET('배치점수 계산기'!L$10,$D135,0)</f>
        <v>648.80700000000002</v>
      </c>
      <c r="W135" s="186" t="str">
        <f ca="1">OFFSET('배치점수 계산기'!M$10,$D135,0)</f>
        <v>표점</v>
      </c>
      <c r="X135" s="184" t="str">
        <f ca="1">OFFSET('배치점수 계산기'!N$10,$D135,0)</f>
        <v>변표</v>
      </c>
      <c r="Y135" s="188">
        <f ca="1">OFFSET(환산공식!FW$15,$F135,0)</f>
        <v>0.36</v>
      </c>
      <c r="Z135" s="20">
        <f ca="1">OFFSET(환산공식!FX$15,$F135,0)</f>
        <v>0.36</v>
      </c>
      <c r="AA135" s="179">
        <f ca="1">OFFSET(환산공식!FY$15,$F135,0)</f>
        <v>0.28999999999999998</v>
      </c>
      <c r="AC135"/>
      <c r="AD135">
        <f t="shared" ca="1" si="4"/>
        <v>6</v>
      </c>
      <c r="AE135"/>
    </row>
    <row r="136" spans="1:31" s="3" customFormat="1">
      <c r="A136" s="198"/>
      <c r="B136" s="198"/>
      <c r="C136" s="198" t="s">
        <v>697</v>
      </c>
      <c r="D136" s="195">
        <v>154</v>
      </c>
      <c r="E136" s="195">
        <v>11</v>
      </c>
      <c r="F136" s="195">
        <v>11</v>
      </c>
      <c r="G136" s="239">
        <v>129</v>
      </c>
      <c r="H136" s="197" t="s">
        <v>72</v>
      </c>
      <c r="I136" s="242" t="s">
        <v>75</v>
      </c>
      <c r="J136" s="242" t="s">
        <v>8742</v>
      </c>
      <c r="K136" s="195" t="s">
        <v>71</v>
      </c>
      <c r="L136" s="20" t="str">
        <f ca="1">IF(OFFSET(환산공식!$ED$15,$F136,0)=1,"O","X")</f>
        <v>X</v>
      </c>
      <c r="M136" s="188">
        <f ca="1">IFERROR(OFFSET(환산공식!DJ$15,$F136,0),"")</f>
        <v>0</v>
      </c>
      <c r="N136" s="20" t="str">
        <f ca="1">IFERROR(CONCATENATE(ROUND(OFFSET(환산공식!DK$15,$F136,0),1),"%"),"")</f>
        <v/>
      </c>
      <c r="O136" s="20">
        <f ca="1">IFERROR(OFFSET(환산공식!DL$15,$F136,0),"")</f>
        <v>0</v>
      </c>
      <c r="P136" s="188" t="str">
        <f t="shared" ca="1" si="3"/>
        <v>3% 이하</v>
      </c>
      <c r="Q136" s="194">
        <f ca="1">IFERROR(ROUND(OFFSET(환산공식!$FG$15,$F136,0),3),"")</f>
        <v>0</v>
      </c>
      <c r="R136" s="194">
        <f ca="1">OFFSET('배치점수 계산기'!H$10,$D136,0)</f>
        <v>652.56299999999999</v>
      </c>
      <c r="S136" s="194">
        <f ca="1">OFFSET('배치점수 계산기'!I$10,$D136,0)</f>
        <v>651.88400000000001</v>
      </c>
      <c r="T136" s="194">
        <f ca="1">OFFSET('배치점수 계산기'!J$10,$D136,0)</f>
        <v>649.83600000000001</v>
      </c>
      <c r="U136" s="194">
        <f ca="1">OFFSET('배치점수 계산기'!K$10,$D136,0)</f>
        <v>648.92700000000002</v>
      </c>
      <c r="V136" s="194">
        <f ca="1">OFFSET('배치점수 계산기'!L$10,$D136,0)</f>
        <v>647.40899999999999</v>
      </c>
      <c r="W136" s="186" t="str">
        <f ca="1">OFFSET('배치점수 계산기'!M$10,$D136,0)</f>
        <v>표점</v>
      </c>
      <c r="X136" s="184" t="str">
        <f ca="1">OFFSET('배치점수 계산기'!N$10,$D136,0)</f>
        <v>변표</v>
      </c>
      <c r="Y136" s="188">
        <f ca="1">OFFSET(환산공식!FW$15,$F136,0)</f>
        <v>0.36</v>
      </c>
      <c r="Z136" s="20">
        <f ca="1">OFFSET(환산공식!FX$15,$F136,0)</f>
        <v>0.36</v>
      </c>
      <c r="AA136" s="179">
        <f ca="1">OFFSET(환산공식!FY$15,$F136,0)</f>
        <v>0.28999999999999998</v>
      </c>
      <c r="AC136"/>
      <c r="AD136">
        <f t="shared" ca="1" si="4"/>
        <v>6</v>
      </c>
      <c r="AE136"/>
    </row>
    <row r="137" spans="1:31" s="3" customFormat="1">
      <c r="A137" s="198"/>
      <c r="B137" s="198"/>
      <c r="C137" s="198" t="s">
        <v>698</v>
      </c>
      <c r="D137" s="195">
        <v>155</v>
      </c>
      <c r="E137" s="195">
        <v>11</v>
      </c>
      <c r="F137" s="195">
        <v>11</v>
      </c>
      <c r="G137" s="239">
        <v>130</v>
      </c>
      <c r="H137" s="197" t="s">
        <v>72</v>
      </c>
      <c r="I137" s="242" t="s">
        <v>75</v>
      </c>
      <c r="J137" s="242" t="s">
        <v>562</v>
      </c>
      <c r="K137" s="195" t="s">
        <v>71</v>
      </c>
      <c r="L137" s="20" t="str">
        <f ca="1">IF(OFFSET(환산공식!$ED$15,$F137,0)=1,"O","X")</f>
        <v>X</v>
      </c>
      <c r="M137" s="188">
        <f ca="1">IFERROR(OFFSET(환산공식!DJ$15,$F137,0),"")</f>
        <v>0</v>
      </c>
      <c r="N137" s="20" t="str">
        <f ca="1">IFERROR(CONCATENATE(ROUND(OFFSET(환산공식!DK$15,$F137,0),1),"%"),"")</f>
        <v/>
      </c>
      <c r="O137" s="20">
        <f ca="1">IFERROR(OFFSET(환산공식!DL$15,$F137,0),"")</f>
        <v>0</v>
      </c>
      <c r="P137" s="188" t="str">
        <f t="shared" ref="P137:P200" ca="1" si="5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194">
        <f ca="1">IFERROR(ROUND(OFFSET(환산공식!$FG$15,$F137,0),3),"")</f>
        <v>0</v>
      </c>
      <c r="R137" s="194">
        <f ca="1">OFFSET('배치점수 계산기'!H$10,$D137,0)</f>
        <v>652.00400000000002</v>
      </c>
      <c r="S137" s="194">
        <f ca="1">OFFSET('배치점수 계산기'!I$10,$D137,0)</f>
        <v>650.46</v>
      </c>
      <c r="T137" s="194">
        <f ca="1">OFFSET('배치점수 계산기'!J$10,$D137,0)</f>
        <v>649.83600000000001</v>
      </c>
      <c r="U137" s="194">
        <f ca="1">OFFSET('배치점수 계산기'!K$10,$D137,0)</f>
        <v>649.12</v>
      </c>
      <c r="V137" s="194">
        <f ca="1">OFFSET('배치점수 계산기'!L$10,$D137,0)</f>
        <v>648.303</v>
      </c>
      <c r="W137" s="186" t="str">
        <f ca="1">OFFSET('배치점수 계산기'!M$10,$D137,0)</f>
        <v>표점</v>
      </c>
      <c r="X137" s="184" t="str">
        <f ca="1">OFFSET('배치점수 계산기'!N$10,$D137,0)</f>
        <v>변표</v>
      </c>
      <c r="Y137" s="188">
        <f ca="1">OFFSET(환산공식!FW$15,$F137,0)</f>
        <v>0.36</v>
      </c>
      <c r="Z137" s="20">
        <f ca="1">OFFSET(환산공식!FX$15,$F137,0)</f>
        <v>0.36</v>
      </c>
      <c r="AA137" s="179">
        <f ca="1">OFFSET(환산공식!FY$15,$F137,0)</f>
        <v>0.28999999999999998</v>
      </c>
      <c r="AC137"/>
      <c r="AD137">
        <f t="shared" ref="AD137:AD200" ca="1" si="6">IF(L137="X",6,IF(Q137&gt;R137,1,IF(Q137&gt;S137,2,IF(Q137&gt;T137,3,IF(Q137&gt;U137,4,IF(Q137&gt;=V137,5,IF(Q137&lt;V137,6,"")))))))</f>
        <v>6</v>
      </c>
      <c r="AE137"/>
    </row>
    <row r="138" spans="1:31" s="3" customFormat="1">
      <c r="A138" s="198"/>
      <c r="B138" s="198"/>
      <c r="C138" s="198" t="s">
        <v>699</v>
      </c>
      <c r="D138" s="195">
        <v>188</v>
      </c>
      <c r="E138" s="195">
        <v>273</v>
      </c>
      <c r="F138" s="195">
        <v>273</v>
      </c>
      <c r="G138" s="239">
        <v>131</v>
      </c>
      <c r="H138" s="197" t="s">
        <v>72</v>
      </c>
      <c r="I138" s="242" t="s">
        <v>77</v>
      </c>
      <c r="J138" s="242" t="s">
        <v>8157</v>
      </c>
      <c r="K138" s="195" t="s">
        <v>70</v>
      </c>
      <c r="L138" s="20" t="str">
        <f ca="1">IF(OFFSET(환산공식!$ED$15,$F138,0)=1,"O","X")</f>
        <v>X</v>
      </c>
      <c r="M138" s="188">
        <f ca="1">IFERROR(OFFSET(환산공식!DJ$15,$F138,0),"")</f>
        <v>63.5</v>
      </c>
      <c r="N138" s="20" t="str">
        <f ca="1">IFERROR(CONCATENATE(ROUND(OFFSET(환산공식!DK$15,$F138,0),1),"%"),"")</f>
        <v>100%</v>
      </c>
      <c r="O138" s="20">
        <f ca="1">IFERROR(OFFSET(환산공식!DL$15,$F138,0),"")</f>
        <v>0</v>
      </c>
      <c r="P138" s="188" t="str">
        <f t="shared" ca="1" si="5"/>
        <v>3% 이하</v>
      </c>
      <c r="Q138" s="194">
        <f ca="1">IFERROR(ROUND(OFFSET(환산공식!$FG$15,$F138,0),3),"")</f>
        <v>0</v>
      </c>
      <c r="R138" s="194">
        <f ca="1">OFFSET('배치점수 계산기'!H$10,$D138,0)</f>
        <v>671.53099999999995</v>
      </c>
      <c r="S138" s="194">
        <f ca="1">OFFSET('배치점수 계산기'!I$10,$D138,0)</f>
        <v>670.40599999999995</v>
      </c>
      <c r="T138" s="194">
        <f ca="1">OFFSET('배치점수 계산기'!J$10,$D138,0)</f>
        <v>668.99599999999998</v>
      </c>
      <c r="U138" s="194">
        <f ca="1">OFFSET('배치점수 계산기'!K$10,$D138,0)</f>
        <v>666.38499999999999</v>
      </c>
      <c r="V138" s="194">
        <f ca="1">OFFSET('배치점수 계산기'!L$10,$D138,0)</f>
        <v>658.63</v>
      </c>
      <c r="W138" s="186" t="str">
        <f ca="1">OFFSET('배치점수 계산기'!M$10,$D138,0)</f>
        <v>표점</v>
      </c>
      <c r="X138" s="184" t="str">
        <f ca="1">OFFSET('배치점수 계산기'!N$10,$D138,0)</f>
        <v>변표</v>
      </c>
      <c r="Y138" s="188">
        <f ca="1">OFFSET(환산공식!FW$15,$F138,0)</f>
        <v>0.33</v>
      </c>
      <c r="Z138" s="20">
        <f ca="1">OFFSET(환산공식!FX$15,$F138,0)</f>
        <v>0.44</v>
      </c>
      <c r="AA138" s="179">
        <f ca="1">OFFSET(환산공식!FY$15,$F138,0)</f>
        <v>0.22</v>
      </c>
      <c r="AC138"/>
      <c r="AD138">
        <f t="shared" ca="1" si="6"/>
        <v>6</v>
      </c>
      <c r="AE138"/>
    </row>
    <row r="139" spans="1:31" s="3" customFormat="1">
      <c r="A139" s="198"/>
      <c r="B139" s="198"/>
      <c r="C139" s="198" t="s">
        <v>700</v>
      </c>
      <c r="D139" s="195">
        <v>189</v>
      </c>
      <c r="E139" s="195">
        <v>273</v>
      </c>
      <c r="F139" s="195">
        <v>273</v>
      </c>
      <c r="G139" s="239">
        <v>132</v>
      </c>
      <c r="H139" s="197" t="s">
        <v>72</v>
      </c>
      <c r="I139" s="242" t="s">
        <v>77</v>
      </c>
      <c r="J139" s="242" t="s">
        <v>8587</v>
      </c>
      <c r="K139" s="195" t="s">
        <v>70</v>
      </c>
      <c r="L139" s="20" t="str">
        <f ca="1">IF(OFFSET(환산공식!$ED$15,$F139,0)=1,"O","X")</f>
        <v>X</v>
      </c>
      <c r="M139" s="188">
        <f ca="1">IFERROR(OFFSET(환산공식!DJ$15,$F139,0),"")</f>
        <v>63.5</v>
      </c>
      <c r="N139" s="20" t="str">
        <f ca="1">IFERROR(CONCATENATE(ROUND(OFFSET(환산공식!DK$15,$F139,0),1),"%"),"")</f>
        <v>100%</v>
      </c>
      <c r="O139" s="20">
        <f ca="1">IFERROR(OFFSET(환산공식!DL$15,$F139,0),"")</f>
        <v>0</v>
      </c>
      <c r="P139" s="188" t="str">
        <f t="shared" ca="1" si="5"/>
        <v>3% 이하</v>
      </c>
      <c r="Q139" s="194">
        <f ca="1">IFERROR(ROUND(OFFSET(환산공식!$FG$15,$F139,0),3),"")</f>
        <v>0</v>
      </c>
      <c r="R139" s="194">
        <f ca="1">OFFSET('배치점수 계산기'!H$10,$D139,0)</f>
        <v>657.80799999999999</v>
      </c>
      <c r="S139" s="194">
        <f ca="1">OFFSET('배치점수 계산기'!I$10,$D139,0)</f>
        <v>656.72500000000002</v>
      </c>
      <c r="T139" s="194">
        <f ca="1">OFFSET('배치점수 계산기'!J$10,$D139,0)</f>
        <v>655.95100000000002</v>
      </c>
      <c r="U139" s="194">
        <f ca="1">OFFSET('배치점수 계산기'!K$10,$D139,0)</f>
        <v>654.80799999999999</v>
      </c>
      <c r="V139" s="194">
        <f ca="1">OFFSET('배치점수 계산기'!L$10,$D139,0)</f>
        <v>653.04700000000003</v>
      </c>
      <c r="W139" s="186" t="str">
        <f ca="1">OFFSET('배치점수 계산기'!M$10,$D139,0)</f>
        <v>표점</v>
      </c>
      <c r="X139" s="184" t="str">
        <f ca="1">OFFSET('배치점수 계산기'!N$10,$D139,0)</f>
        <v>변표</v>
      </c>
      <c r="Y139" s="188">
        <f ca="1">OFFSET(환산공식!FW$15,$F139,0)</f>
        <v>0.33</v>
      </c>
      <c r="Z139" s="20">
        <f ca="1">OFFSET(환산공식!FX$15,$F139,0)</f>
        <v>0.44</v>
      </c>
      <c r="AA139" s="179">
        <f ca="1">OFFSET(환산공식!FY$15,$F139,0)</f>
        <v>0.22</v>
      </c>
      <c r="AC139"/>
      <c r="AD139">
        <f t="shared" ca="1" si="6"/>
        <v>6</v>
      </c>
      <c r="AE139"/>
    </row>
    <row r="140" spans="1:31" s="3" customFormat="1">
      <c r="A140" s="198"/>
      <c r="B140" s="198"/>
      <c r="C140" s="198" t="s">
        <v>701</v>
      </c>
      <c r="D140" s="195">
        <v>190</v>
      </c>
      <c r="E140" s="195">
        <v>279</v>
      </c>
      <c r="F140" s="195">
        <v>279</v>
      </c>
      <c r="G140" s="239">
        <v>133</v>
      </c>
      <c r="H140" s="197" t="s">
        <v>72</v>
      </c>
      <c r="I140" s="242" t="s">
        <v>77</v>
      </c>
      <c r="J140" s="242" t="s">
        <v>8872</v>
      </c>
      <c r="K140" s="195" t="s">
        <v>70</v>
      </c>
      <c r="L140" s="20" t="str">
        <f ca="1">IF(OFFSET(환산공식!$ED$15,$F140,0)=1,"O","X")</f>
        <v>X</v>
      </c>
      <c r="M140" s="188">
        <f ca="1">IFERROR(OFFSET(환산공식!DJ$15,$F140,0),"")</f>
        <v>63.5</v>
      </c>
      <c r="N140" s="20" t="str">
        <f ca="1">IFERROR(CONCATENATE(ROUND(OFFSET(환산공식!DK$15,$F140,0),1),"%"),"")</f>
        <v>100%</v>
      </c>
      <c r="O140" s="20">
        <f ca="1">IFERROR(OFFSET(환산공식!DL$15,$F140,0),"")</f>
        <v>0</v>
      </c>
      <c r="P140" s="188" t="str">
        <f t="shared" ca="1" si="5"/>
        <v>3% 이하</v>
      </c>
      <c r="Q140" s="194">
        <f ca="1">IFERROR(ROUND(OFFSET(환산공식!$FG$15,$F140,0),3),"")</f>
        <v>0</v>
      </c>
      <c r="R140" s="194">
        <f ca="1">OFFSET('배치점수 계산기'!H$10,$D140,0)</f>
        <v>508.154</v>
      </c>
      <c r="S140" s="194">
        <f ca="1">OFFSET('배치점수 계산기'!I$10,$D140,0)</f>
        <v>507.62400000000002</v>
      </c>
      <c r="T140" s="194">
        <f ca="1">OFFSET('배치점수 계산기'!J$10,$D140,0)</f>
        <v>506.75799999999998</v>
      </c>
      <c r="U140" s="194">
        <f ca="1">OFFSET('배치점수 계산기'!K$10,$D140,0)</f>
        <v>506.27499999999998</v>
      </c>
      <c r="V140" s="194">
        <f ca="1">OFFSET('배치점수 계산기'!L$10,$D140,0)</f>
        <v>505.75700000000001</v>
      </c>
      <c r="W140" s="186" t="str">
        <f ca="1">OFFSET('배치점수 계산기'!M$10,$D140,0)</f>
        <v>표점</v>
      </c>
      <c r="X140" s="184" t="str">
        <f ca="1">OFFSET('배치점수 계산기'!N$10,$D140,0)</f>
        <v>변표</v>
      </c>
      <c r="Y140" s="188">
        <f ca="1">OFFSET(환산공식!FW$15,$F140,0)</f>
        <v>0.33</v>
      </c>
      <c r="Z140" s="20">
        <f ca="1">OFFSET(환산공식!FX$15,$F140,0)</f>
        <v>0.44</v>
      </c>
      <c r="AA140" s="179">
        <f ca="1">OFFSET(환산공식!FY$15,$F140,0)</f>
        <v>0.22</v>
      </c>
      <c r="AC140"/>
      <c r="AD140">
        <f t="shared" ca="1" si="6"/>
        <v>6</v>
      </c>
      <c r="AE140"/>
    </row>
    <row r="141" spans="1:31" s="3" customFormat="1">
      <c r="A141" s="198"/>
      <c r="B141" s="198"/>
      <c r="C141" s="198" t="s">
        <v>702</v>
      </c>
      <c r="D141" s="195">
        <v>191</v>
      </c>
      <c r="E141" s="195">
        <v>273</v>
      </c>
      <c r="F141" s="195">
        <v>273</v>
      </c>
      <c r="G141" s="239">
        <v>134</v>
      </c>
      <c r="H141" s="197" t="s">
        <v>72</v>
      </c>
      <c r="I141" s="242" t="s">
        <v>77</v>
      </c>
      <c r="J141" s="242" t="s">
        <v>565</v>
      </c>
      <c r="K141" s="195" t="s">
        <v>70</v>
      </c>
      <c r="L141" s="20" t="str">
        <f ca="1">IF(OFFSET(환산공식!$ED$15,$F141,0)=1,"O","X")</f>
        <v>X</v>
      </c>
      <c r="M141" s="188">
        <f ca="1">IFERROR(OFFSET(환산공식!DJ$15,$F141,0),"")</f>
        <v>63.5</v>
      </c>
      <c r="N141" s="20" t="str">
        <f ca="1">IFERROR(CONCATENATE(ROUND(OFFSET(환산공식!DK$15,$F141,0),1),"%"),"")</f>
        <v>100%</v>
      </c>
      <c r="O141" s="20">
        <f ca="1">IFERROR(OFFSET(환산공식!DL$15,$F141,0),"")</f>
        <v>0</v>
      </c>
      <c r="P141" s="188" t="str">
        <f t="shared" ca="1" si="5"/>
        <v>3% 이하</v>
      </c>
      <c r="Q141" s="194">
        <f ca="1">IFERROR(ROUND(OFFSET(환산공식!$FG$15,$F141,0),3),"")</f>
        <v>0</v>
      </c>
      <c r="R141" s="194">
        <f ca="1">OFFSET('배치점수 계산기'!H$10,$D141,0)</f>
        <v>652.47699999999998</v>
      </c>
      <c r="S141" s="194">
        <f ca="1">OFFSET('배치점수 계산기'!I$10,$D141,0)</f>
        <v>651.68499999999995</v>
      </c>
      <c r="T141" s="194">
        <f ca="1">OFFSET('배치점수 계산기'!J$10,$D141,0)</f>
        <v>650.79899999999998</v>
      </c>
      <c r="U141" s="194">
        <f ca="1">OFFSET('배치점수 계산기'!K$10,$D141,0)</f>
        <v>650.149</v>
      </c>
      <c r="V141" s="194">
        <f ca="1">OFFSET('배치점수 계산기'!L$10,$D141,0)</f>
        <v>649.81399999999996</v>
      </c>
      <c r="W141" s="186" t="str">
        <f ca="1">OFFSET('배치점수 계산기'!M$10,$D141,0)</f>
        <v>표점</v>
      </c>
      <c r="X141" s="184" t="str">
        <f ca="1">OFFSET('배치점수 계산기'!N$10,$D141,0)</f>
        <v>변표</v>
      </c>
      <c r="Y141" s="188">
        <f ca="1">OFFSET(환산공식!FW$15,$F141,0)</f>
        <v>0.33</v>
      </c>
      <c r="Z141" s="20">
        <f ca="1">OFFSET(환산공식!FX$15,$F141,0)</f>
        <v>0.44</v>
      </c>
      <c r="AA141" s="179">
        <f ca="1">OFFSET(환산공식!FY$15,$F141,0)</f>
        <v>0.22</v>
      </c>
      <c r="AC141"/>
      <c r="AD141">
        <f t="shared" ca="1" si="6"/>
        <v>6</v>
      </c>
      <c r="AE141"/>
    </row>
    <row r="142" spans="1:31" s="3" customFormat="1">
      <c r="A142" s="198"/>
      <c r="B142" s="198"/>
      <c r="C142" s="198" t="s">
        <v>703</v>
      </c>
      <c r="D142" s="195">
        <v>192</v>
      </c>
      <c r="E142" s="195">
        <v>276</v>
      </c>
      <c r="F142" s="195">
        <v>276</v>
      </c>
      <c r="G142" s="239">
        <v>135</v>
      </c>
      <c r="H142" s="197" t="s">
        <v>72</v>
      </c>
      <c r="I142" s="242" t="s">
        <v>77</v>
      </c>
      <c r="J142" s="242" t="s">
        <v>8571</v>
      </c>
      <c r="K142" s="195" t="s">
        <v>71</v>
      </c>
      <c r="L142" s="20" t="str">
        <f ca="1">IF(OFFSET(환산공식!$ED$15,$F142,0)=1,"O","X")</f>
        <v>X</v>
      </c>
      <c r="M142" s="188">
        <f ca="1">IFERROR(OFFSET(환산공식!DJ$15,$F142,0),"")</f>
        <v>63.5</v>
      </c>
      <c r="N142" s="20" t="str">
        <f ca="1">IFERROR(CONCATENATE(ROUND(OFFSET(환산공식!DK$15,$F142,0),1),"%"),"")</f>
        <v>100%</v>
      </c>
      <c r="O142" s="20">
        <f ca="1">IFERROR(OFFSET(환산공식!DL$15,$F142,0),"")</f>
        <v>0</v>
      </c>
      <c r="P142" s="188" t="str">
        <f t="shared" ca="1" si="5"/>
        <v>3% 이하</v>
      </c>
      <c r="Q142" s="194">
        <f ca="1">IFERROR(ROUND(OFFSET(환산공식!$FG$15,$F142,0),3),"")</f>
        <v>0</v>
      </c>
      <c r="R142" s="194">
        <f ca="1">OFFSET('배치점수 계산기'!H$10,$D142,0)</f>
        <v>658.20600000000002</v>
      </c>
      <c r="S142" s="194">
        <f ca="1">OFFSET('배치점수 계산기'!I$10,$D142,0)</f>
        <v>656.11599999999999</v>
      </c>
      <c r="T142" s="194">
        <f ca="1">OFFSET('배치점수 계산기'!J$10,$D142,0)</f>
        <v>653.47500000000002</v>
      </c>
      <c r="U142" s="194">
        <f ca="1">OFFSET('배치점수 계산기'!K$10,$D142,0)</f>
        <v>650.64499999999998</v>
      </c>
      <c r="V142" s="194">
        <f ca="1">OFFSET('배치점수 계산기'!L$10,$D142,0)</f>
        <v>649.13800000000003</v>
      </c>
      <c r="W142" s="186" t="str">
        <f ca="1">OFFSET('배치점수 계산기'!M$10,$D142,0)</f>
        <v>표점</v>
      </c>
      <c r="X142" s="184" t="str">
        <f ca="1">OFFSET('배치점수 계산기'!N$10,$D142,0)</f>
        <v>변표</v>
      </c>
      <c r="Y142" s="188">
        <f ca="1">OFFSET(환산공식!FW$15,$F142,0)</f>
        <v>0.33</v>
      </c>
      <c r="Z142" s="20">
        <f ca="1">OFFSET(환산공식!FX$15,$F142,0)</f>
        <v>0.44</v>
      </c>
      <c r="AA142" s="179">
        <f ca="1">OFFSET(환산공식!FY$15,$F142,0)</f>
        <v>0.22</v>
      </c>
      <c r="AC142"/>
      <c r="AD142">
        <f t="shared" ca="1" si="6"/>
        <v>6</v>
      </c>
      <c r="AE142"/>
    </row>
    <row r="143" spans="1:31" s="3" customFormat="1">
      <c r="A143" s="198"/>
      <c r="B143" s="198"/>
      <c r="C143" s="198" t="s">
        <v>704</v>
      </c>
      <c r="D143" s="195">
        <v>193</v>
      </c>
      <c r="E143" s="195">
        <v>276</v>
      </c>
      <c r="F143" s="195">
        <v>276</v>
      </c>
      <c r="G143" s="239">
        <v>136</v>
      </c>
      <c r="H143" s="197" t="s">
        <v>72</v>
      </c>
      <c r="I143" s="242" t="s">
        <v>77</v>
      </c>
      <c r="J143" s="242" t="s">
        <v>8886</v>
      </c>
      <c r="K143" s="195" t="s">
        <v>71</v>
      </c>
      <c r="L143" s="20" t="str">
        <f ca="1">IF(OFFSET(환산공식!$ED$15,$F143,0)=1,"O","X")</f>
        <v>X</v>
      </c>
      <c r="M143" s="188">
        <f ca="1">IFERROR(OFFSET(환산공식!DJ$15,$F143,0),"")</f>
        <v>63.5</v>
      </c>
      <c r="N143" s="20" t="str">
        <f ca="1">IFERROR(CONCATENATE(ROUND(OFFSET(환산공식!DK$15,$F143,0),1),"%"),"")</f>
        <v>100%</v>
      </c>
      <c r="O143" s="20">
        <f ca="1">IFERROR(OFFSET(환산공식!DL$15,$F143,0),"")</f>
        <v>0</v>
      </c>
      <c r="P143" s="188" t="str">
        <f t="shared" ca="1" si="5"/>
        <v>3% 이하</v>
      </c>
      <c r="Q143" s="194">
        <f ca="1">IFERROR(ROUND(OFFSET(환산공식!$FG$15,$F143,0),3),"")</f>
        <v>0</v>
      </c>
      <c r="R143" s="194">
        <f ca="1">OFFSET('배치점수 계산기'!H$10,$D143,0)</f>
        <v>652.428</v>
      </c>
      <c r="S143" s="194">
        <f ca="1">OFFSET('배치점수 계산기'!I$10,$D143,0)</f>
        <v>651.59400000000005</v>
      </c>
      <c r="T143" s="194">
        <f ca="1">OFFSET('배치점수 계산기'!J$10,$D143,0)</f>
        <v>650.64499999999998</v>
      </c>
      <c r="U143" s="194">
        <f ca="1">OFFSET('배치점수 계산기'!K$10,$D143,0)</f>
        <v>647.35</v>
      </c>
      <c r="V143" s="194">
        <f ca="1">OFFSET('배치점수 계산기'!L$10,$D143,0)</f>
        <v>645.40499999999997</v>
      </c>
      <c r="W143" s="186" t="str">
        <f ca="1">OFFSET('배치점수 계산기'!M$10,$D143,0)</f>
        <v>표점</v>
      </c>
      <c r="X143" s="184" t="str">
        <f ca="1">OFFSET('배치점수 계산기'!N$10,$D143,0)</f>
        <v>변표</v>
      </c>
      <c r="Y143" s="188">
        <f ca="1">OFFSET(환산공식!FW$15,$F143,0)</f>
        <v>0.33</v>
      </c>
      <c r="Z143" s="20">
        <f ca="1">OFFSET(환산공식!FX$15,$F143,0)</f>
        <v>0.44</v>
      </c>
      <c r="AA143" s="179">
        <f ca="1">OFFSET(환산공식!FY$15,$F143,0)</f>
        <v>0.22</v>
      </c>
      <c r="AC143"/>
      <c r="AD143">
        <f t="shared" ca="1" si="6"/>
        <v>6</v>
      </c>
      <c r="AE143"/>
    </row>
    <row r="144" spans="1:31" s="3" customFormat="1">
      <c r="A144" s="198"/>
      <c r="B144" s="198"/>
      <c r="C144" s="198" t="s">
        <v>705</v>
      </c>
      <c r="D144" s="195">
        <v>194</v>
      </c>
      <c r="E144" s="195">
        <v>276</v>
      </c>
      <c r="F144" s="195">
        <v>276</v>
      </c>
      <c r="G144" s="239">
        <v>137</v>
      </c>
      <c r="H144" s="197" t="s">
        <v>72</v>
      </c>
      <c r="I144" s="242" t="s">
        <v>77</v>
      </c>
      <c r="J144" s="242" t="s">
        <v>9297</v>
      </c>
      <c r="K144" s="195" t="s">
        <v>71</v>
      </c>
      <c r="L144" s="20" t="str">
        <f ca="1">IF(OFFSET(환산공식!$ED$15,$F144,0)=1,"O","X")</f>
        <v>X</v>
      </c>
      <c r="M144" s="188">
        <f ca="1">IFERROR(OFFSET(환산공식!DJ$15,$F144,0),"")</f>
        <v>63.5</v>
      </c>
      <c r="N144" s="20" t="str">
        <f ca="1">IFERROR(CONCATENATE(ROUND(OFFSET(환산공식!DK$15,$F144,0),1),"%"),"")</f>
        <v>100%</v>
      </c>
      <c r="O144" s="20">
        <f ca="1">IFERROR(OFFSET(환산공식!DL$15,$F144,0),"")</f>
        <v>0</v>
      </c>
      <c r="P144" s="188" t="str">
        <f t="shared" ca="1" si="5"/>
        <v>3% 이하</v>
      </c>
      <c r="Q144" s="194">
        <f ca="1">IFERROR(ROUND(OFFSET(환산공식!$FG$15,$F144,0),3),"")</f>
        <v>0</v>
      </c>
      <c r="R144" s="194">
        <f ca="1">OFFSET('배치점수 계산기'!H$10,$D144,0)</f>
        <v>652.01499999999999</v>
      </c>
      <c r="S144" s="194">
        <f ca="1">OFFSET('배치점수 계산기'!I$10,$D144,0)</f>
        <v>650.65099999999995</v>
      </c>
      <c r="T144" s="194">
        <f ca="1">OFFSET('배치점수 계산기'!J$10,$D144,0)</f>
        <v>649.81700000000001</v>
      </c>
      <c r="U144" s="194">
        <f ca="1">OFFSET('배치점수 계산기'!K$10,$D144,0)</f>
        <v>649.13800000000003</v>
      </c>
      <c r="V144" s="194">
        <f ca="1">OFFSET('배치점수 계산기'!L$10,$D144,0)</f>
        <v>647.62800000000004</v>
      </c>
      <c r="W144" s="186" t="str">
        <f ca="1">OFFSET('배치점수 계산기'!M$10,$D144,0)</f>
        <v>표점</v>
      </c>
      <c r="X144" s="184" t="str">
        <f ca="1">OFFSET('배치점수 계산기'!N$10,$D144,0)</f>
        <v>변표</v>
      </c>
      <c r="Y144" s="188">
        <f ca="1">OFFSET(환산공식!FW$15,$F144,0)</f>
        <v>0.33</v>
      </c>
      <c r="Z144" s="20">
        <f ca="1">OFFSET(환산공식!FX$15,$F144,0)</f>
        <v>0.44</v>
      </c>
      <c r="AA144" s="179">
        <f ca="1">OFFSET(환산공식!FY$15,$F144,0)</f>
        <v>0.22</v>
      </c>
      <c r="AC144"/>
      <c r="AD144">
        <f t="shared" ca="1" si="6"/>
        <v>6</v>
      </c>
      <c r="AE144"/>
    </row>
    <row r="145" spans="1:31" s="3" customFormat="1">
      <c r="A145" s="198"/>
      <c r="B145" s="198"/>
      <c r="C145" s="198" t="s">
        <v>706</v>
      </c>
      <c r="D145" s="195">
        <v>195</v>
      </c>
      <c r="E145" s="195">
        <v>276</v>
      </c>
      <c r="F145" s="195">
        <v>276</v>
      </c>
      <c r="G145" s="239">
        <v>138</v>
      </c>
      <c r="H145" s="197" t="s">
        <v>72</v>
      </c>
      <c r="I145" s="242" t="s">
        <v>77</v>
      </c>
      <c r="J145" s="242" t="s">
        <v>483</v>
      </c>
      <c r="K145" s="195" t="s">
        <v>71</v>
      </c>
      <c r="L145" s="20" t="str">
        <f ca="1">IF(OFFSET(환산공식!$ED$15,$F145,0)=1,"O","X")</f>
        <v>X</v>
      </c>
      <c r="M145" s="188">
        <f ca="1">IFERROR(OFFSET(환산공식!DJ$15,$F145,0),"")</f>
        <v>63.5</v>
      </c>
      <c r="N145" s="20" t="str">
        <f ca="1">IFERROR(CONCATENATE(ROUND(OFFSET(환산공식!DK$15,$F145,0),1),"%"),"")</f>
        <v>100%</v>
      </c>
      <c r="O145" s="20">
        <f ca="1">IFERROR(OFFSET(환산공식!DL$15,$F145,0),"")</f>
        <v>0</v>
      </c>
      <c r="P145" s="188" t="str">
        <f t="shared" ca="1" si="5"/>
        <v>3% 이하</v>
      </c>
      <c r="Q145" s="194">
        <f ca="1">IFERROR(ROUND(OFFSET(환산공식!$FG$15,$F145,0),3),"")</f>
        <v>0</v>
      </c>
      <c r="R145" s="194">
        <f ca="1">OFFSET('배치점수 계산기'!H$10,$D145,0)</f>
        <v>651.24400000000003</v>
      </c>
      <c r="S145" s="194">
        <f ca="1">OFFSET('배치점수 계산기'!I$10,$D145,0)</f>
        <v>650.04899999999998</v>
      </c>
      <c r="T145" s="194">
        <f ca="1">OFFSET('배치점수 계산기'!J$10,$D145,0)</f>
        <v>649.17700000000002</v>
      </c>
      <c r="U145" s="194">
        <f ca="1">OFFSET('배치점수 계산기'!K$10,$D145,0)</f>
        <v>647.86</v>
      </c>
      <c r="V145" s="194">
        <f ca="1">OFFSET('배치점수 계산기'!L$10,$D145,0)</f>
        <v>646.43399999999997</v>
      </c>
      <c r="W145" s="186" t="str">
        <f ca="1">OFFSET('배치점수 계산기'!M$10,$D145,0)</f>
        <v>표점</v>
      </c>
      <c r="X145" s="184" t="str">
        <f ca="1">OFFSET('배치점수 계산기'!N$10,$D145,0)</f>
        <v>변표</v>
      </c>
      <c r="Y145" s="188">
        <f ca="1">OFFSET(환산공식!FW$15,$F145,0)</f>
        <v>0.33</v>
      </c>
      <c r="Z145" s="20">
        <f ca="1">OFFSET(환산공식!FX$15,$F145,0)</f>
        <v>0.44</v>
      </c>
      <c r="AA145" s="179">
        <f ca="1">OFFSET(환산공식!FY$15,$F145,0)</f>
        <v>0.22</v>
      </c>
      <c r="AC145"/>
      <c r="AD145">
        <f t="shared" ca="1" si="6"/>
        <v>6</v>
      </c>
      <c r="AE145"/>
    </row>
    <row r="146" spans="1:31" s="3" customFormat="1">
      <c r="A146" s="198"/>
      <c r="B146" s="198"/>
      <c r="C146" s="198" t="s">
        <v>707</v>
      </c>
      <c r="D146" s="195">
        <v>196</v>
      </c>
      <c r="E146" s="195">
        <v>26</v>
      </c>
      <c r="F146" s="195">
        <v>26</v>
      </c>
      <c r="G146" s="239">
        <v>139</v>
      </c>
      <c r="H146" s="197" t="s">
        <v>72</v>
      </c>
      <c r="I146" s="242" t="s">
        <v>80</v>
      </c>
      <c r="J146" s="242" t="s">
        <v>8011</v>
      </c>
      <c r="K146" s="195" t="s">
        <v>70</v>
      </c>
      <c r="L146" s="20" t="str">
        <f ca="1">IF(OFFSET(환산공식!$ED$15,$F146,0)=1,"O","X")</f>
        <v>X</v>
      </c>
      <c r="M146" s="188">
        <f ca="1">IFERROR(OFFSET(환산공식!DJ$15,$F146,0),"")</f>
        <v>100</v>
      </c>
      <c r="N146" s="20" t="str">
        <f ca="1">IFERROR(CONCATENATE(ROUND(OFFSET(환산공식!DK$15,$F146,0),1),"%"),"")</f>
        <v>100%</v>
      </c>
      <c r="O146" s="20">
        <f ca="1">IFERROR(OFFSET(환산공식!DL$15,$F146,0),"")</f>
        <v>0</v>
      </c>
      <c r="P146" s="188" t="str">
        <f t="shared" ca="1" si="5"/>
        <v>3% 이하</v>
      </c>
      <c r="Q146" s="194">
        <f ca="1">IFERROR(ROUND(OFFSET(환산공식!$FG$15,$F146,0),3),"")</f>
        <v>0</v>
      </c>
      <c r="R146" s="194">
        <f ca="1">OFFSET('배치점수 계산기'!H$10,$D146,0)</f>
        <v>851.86599999999999</v>
      </c>
      <c r="S146" s="194">
        <f ca="1">OFFSET('배치점수 계산기'!I$10,$D146,0)</f>
        <v>851.01</v>
      </c>
      <c r="T146" s="194">
        <f ca="1">OFFSET('배치점수 계산기'!J$10,$D146,0)</f>
        <v>850.20899999999995</v>
      </c>
      <c r="U146" s="194">
        <f ca="1">OFFSET('배치점수 계산기'!K$10,$D146,0)</f>
        <v>848.94100000000003</v>
      </c>
      <c r="V146" s="194">
        <f ca="1">OFFSET('배치점수 계산기'!L$10,$D146,0)</f>
        <v>847.72699999999998</v>
      </c>
      <c r="W146" s="186" t="str">
        <f ca="1">OFFSET('배치점수 계산기'!M$10,$D146,0)</f>
        <v>표점/만점</v>
      </c>
      <c r="X146" s="184" t="str">
        <f ca="1">OFFSET('배치점수 계산기'!N$10,$D146,0)</f>
        <v>변표/만점</v>
      </c>
      <c r="Y146" s="188">
        <f ca="1">OFFSET(환산공식!FW$15,$F146,0)</f>
        <v>0.28000000000000003</v>
      </c>
      <c r="Z146" s="20">
        <f ca="1">OFFSET(환산공식!FX$15,$F146,0)</f>
        <v>0.44</v>
      </c>
      <c r="AA146" s="179">
        <f ca="1">OFFSET(환산공식!FY$15,$F146,0)</f>
        <v>0.28000000000000003</v>
      </c>
      <c r="AC146"/>
      <c r="AD146">
        <f t="shared" ca="1" si="6"/>
        <v>6</v>
      </c>
      <c r="AE146"/>
    </row>
    <row r="147" spans="1:31" s="3" customFormat="1">
      <c r="A147" s="198"/>
      <c r="B147" s="198"/>
      <c r="C147" s="198" t="s">
        <v>708</v>
      </c>
      <c r="D147" s="195">
        <v>197</v>
      </c>
      <c r="E147" s="195">
        <v>26</v>
      </c>
      <c r="F147" s="195">
        <v>26</v>
      </c>
      <c r="G147" s="239">
        <v>140</v>
      </c>
      <c r="H147" s="197" t="s">
        <v>72</v>
      </c>
      <c r="I147" s="242" t="s">
        <v>80</v>
      </c>
      <c r="J147" s="242" t="s">
        <v>8168</v>
      </c>
      <c r="K147" s="195" t="s">
        <v>70</v>
      </c>
      <c r="L147" s="20" t="str">
        <f ca="1">IF(OFFSET(환산공식!$ED$15,$F147,0)=1,"O","X")</f>
        <v>X</v>
      </c>
      <c r="M147" s="188">
        <f ca="1">IFERROR(OFFSET(환산공식!DJ$15,$F147,0),"")</f>
        <v>100</v>
      </c>
      <c r="N147" s="20" t="str">
        <f ca="1">IFERROR(CONCATENATE(ROUND(OFFSET(환산공식!DK$15,$F147,0),1),"%"),"")</f>
        <v>100%</v>
      </c>
      <c r="O147" s="20">
        <f ca="1">IFERROR(OFFSET(환산공식!DL$15,$F147,0),"")</f>
        <v>0</v>
      </c>
      <c r="P147" s="188" t="str">
        <f t="shared" ca="1" si="5"/>
        <v>3% 이하</v>
      </c>
      <c r="Q147" s="194">
        <f ca="1">IFERROR(ROUND(OFFSET(환산공식!$FG$15,$F147,0),3),"")</f>
        <v>0</v>
      </c>
      <c r="R147" s="194">
        <f ca="1">OFFSET('배치점수 계산기'!H$10,$D147,0)</f>
        <v>851.86599999999999</v>
      </c>
      <c r="S147" s="194">
        <f ca="1">OFFSET('배치점수 계산기'!I$10,$D147,0)</f>
        <v>851.01</v>
      </c>
      <c r="T147" s="194">
        <f ca="1">OFFSET('배치점수 계산기'!J$10,$D147,0)</f>
        <v>849.47799999999995</v>
      </c>
      <c r="U147" s="194">
        <f ca="1">OFFSET('배치점수 계산기'!K$10,$D147,0)</f>
        <v>847.28</v>
      </c>
      <c r="V147" s="194">
        <f ca="1">OFFSET('배치점수 계산기'!L$10,$D147,0)</f>
        <v>846.21600000000001</v>
      </c>
      <c r="W147" s="186" t="str">
        <f ca="1">OFFSET('배치점수 계산기'!M$10,$D147,0)</f>
        <v>표점/만점</v>
      </c>
      <c r="X147" s="184" t="str">
        <f ca="1">OFFSET('배치점수 계산기'!N$10,$D147,0)</f>
        <v>변표/만점</v>
      </c>
      <c r="Y147" s="188">
        <f ca="1">OFFSET(환산공식!FW$15,$F147,0)</f>
        <v>0.28000000000000003</v>
      </c>
      <c r="Z147" s="20">
        <f ca="1">OFFSET(환산공식!FX$15,$F147,0)</f>
        <v>0.44</v>
      </c>
      <c r="AA147" s="179">
        <f ca="1">OFFSET(환산공식!FY$15,$F147,0)</f>
        <v>0.28000000000000003</v>
      </c>
      <c r="AC147"/>
      <c r="AD147">
        <f t="shared" ca="1" si="6"/>
        <v>6</v>
      </c>
      <c r="AE147"/>
    </row>
    <row r="148" spans="1:31" s="3" customFormat="1">
      <c r="A148" s="198"/>
      <c r="B148" s="198"/>
      <c r="C148" s="198" t="s">
        <v>709</v>
      </c>
      <c r="D148" s="195">
        <v>198</v>
      </c>
      <c r="E148" s="195">
        <v>26</v>
      </c>
      <c r="F148" s="195">
        <v>26</v>
      </c>
      <c r="G148" s="239">
        <v>141</v>
      </c>
      <c r="H148" s="197" t="s">
        <v>72</v>
      </c>
      <c r="I148" s="242" t="s">
        <v>80</v>
      </c>
      <c r="J148" s="242" t="s">
        <v>8448</v>
      </c>
      <c r="K148" s="195" t="s">
        <v>70</v>
      </c>
      <c r="L148" s="20" t="str">
        <f ca="1">IF(OFFSET(환산공식!$ED$15,$F148,0)=1,"O","X")</f>
        <v>X</v>
      </c>
      <c r="M148" s="188">
        <f ca="1">IFERROR(OFFSET(환산공식!DJ$15,$F148,0),"")</f>
        <v>100</v>
      </c>
      <c r="N148" s="20" t="str">
        <f ca="1">IFERROR(CONCATENATE(ROUND(OFFSET(환산공식!DK$15,$F148,0),1),"%"),"")</f>
        <v>100%</v>
      </c>
      <c r="O148" s="20">
        <f ca="1">IFERROR(OFFSET(환산공식!DL$15,$F148,0),"")</f>
        <v>0</v>
      </c>
      <c r="P148" s="188" t="str">
        <f t="shared" ca="1" si="5"/>
        <v>3% 이하</v>
      </c>
      <c r="Q148" s="194">
        <f ca="1">IFERROR(ROUND(OFFSET(환산공식!$FG$15,$F148,0),3),"")</f>
        <v>0</v>
      </c>
      <c r="R148" s="194">
        <f ca="1">OFFSET('배치점수 계산기'!H$10,$D148,0)</f>
        <v>851.01</v>
      </c>
      <c r="S148" s="194">
        <f ca="1">OFFSET('배치점수 계산기'!I$10,$D148,0)</f>
        <v>849.79700000000003</v>
      </c>
      <c r="T148" s="194">
        <f ca="1">OFFSET('배치점수 계산기'!J$10,$D148,0)</f>
        <v>848.71900000000005</v>
      </c>
      <c r="U148" s="194">
        <f ca="1">OFFSET('배치점수 계산기'!K$10,$D148,0)</f>
        <v>847.43600000000004</v>
      </c>
      <c r="V148" s="194">
        <f ca="1">OFFSET('배치점수 계산기'!L$10,$D148,0)</f>
        <v>845.55600000000004</v>
      </c>
      <c r="W148" s="186" t="str">
        <f ca="1">OFFSET('배치점수 계산기'!M$10,$D148,0)</f>
        <v>표점/만점</v>
      </c>
      <c r="X148" s="184" t="str">
        <f ca="1">OFFSET('배치점수 계산기'!N$10,$D148,0)</f>
        <v>변표/만점</v>
      </c>
      <c r="Y148" s="188">
        <f ca="1">OFFSET(환산공식!FW$15,$F148,0)</f>
        <v>0.28000000000000003</v>
      </c>
      <c r="Z148" s="20">
        <f ca="1">OFFSET(환산공식!FX$15,$F148,0)</f>
        <v>0.44</v>
      </c>
      <c r="AA148" s="179">
        <f ca="1">OFFSET(환산공식!FY$15,$F148,0)</f>
        <v>0.28000000000000003</v>
      </c>
      <c r="AC148"/>
      <c r="AD148">
        <f t="shared" ca="1" si="6"/>
        <v>6</v>
      </c>
      <c r="AE148"/>
    </row>
    <row r="149" spans="1:31" s="3" customFormat="1">
      <c r="A149" s="198"/>
      <c r="B149" s="198"/>
      <c r="C149" s="198" t="s">
        <v>710</v>
      </c>
      <c r="D149" s="195">
        <v>199</v>
      </c>
      <c r="E149" s="195">
        <v>26</v>
      </c>
      <c r="F149" s="195">
        <v>26</v>
      </c>
      <c r="G149" s="239">
        <v>142</v>
      </c>
      <c r="H149" s="197" t="s">
        <v>72</v>
      </c>
      <c r="I149" s="242" t="s">
        <v>80</v>
      </c>
      <c r="J149" s="242" t="s">
        <v>8471</v>
      </c>
      <c r="K149" s="195" t="s">
        <v>70</v>
      </c>
      <c r="L149" s="20" t="str">
        <f ca="1">IF(OFFSET(환산공식!$ED$15,$F149,0)=1,"O","X")</f>
        <v>X</v>
      </c>
      <c r="M149" s="188">
        <f ca="1">IFERROR(OFFSET(환산공식!DJ$15,$F149,0),"")</f>
        <v>100</v>
      </c>
      <c r="N149" s="20" t="str">
        <f ca="1">IFERROR(CONCATENATE(ROUND(OFFSET(환산공식!DK$15,$F149,0),1),"%"),"")</f>
        <v>100%</v>
      </c>
      <c r="O149" s="20">
        <f ca="1">IFERROR(OFFSET(환산공식!DL$15,$F149,0),"")</f>
        <v>0</v>
      </c>
      <c r="P149" s="188" t="str">
        <f t="shared" ca="1" si="5"/>
        <v>3% 이하</v>
      </c>
      <c r="Q149" s="194">
        <f ca="1">IFERROR(ROUND(OFFSET(환산공식!$FG$15,$F149,0),3),"")</f>
        <v>0</v>
      </c>
      <c r="R149" s="194">
        <f ca="1">OFFSET('배치점수 계산기'!H$10,$D149,0)</f>
        <v>850.20899999999995</v>
      </c>
      <c r="S149" s="194">
        <f ca="1">OFFSET('배치점수 계산기'!I$10,$D149,0)</f>
        <v>849.47799999999995</v>
      </c>
      <c r="T149" s="194">
        <f ca="1">OFFSET('배치점수 계산기'!J$10,$D149,0)</f>
        <v>848.29200000000003</v>
      </c>
      <c r="U149" s="194">
        <f ca="1">OFFSET('배치점수 계산기'!K$10,$D149,0)</f>
        <v>847.50400000000002</v>
      </c>
      <c r="V149" s="194">
        <f ca="1">OFFSET('배치점수 계산기'!L$10,$D149,0)</f>
        <v>846.36900000000003</v>
      </c>
      <c r="W149" s="186" t="str">
        <f ca="1">OFFSET('배치점수 계산기'!M$10,$D149,0)</f>
        <v>표점/만점</v>
      </c>
      <c r="X149" s="184" t="str">
        <f ca="1">OFFSET('배치점수 계산기'!N$10,$D149,0)</f>
        <v>변표/만점</v>
      </c>
      <c r="Y149" s="188">
        <f ca="1">OFFSET(환산공식!FW$15,$F149,0)</f>
        <v>0.28000000000000003</v>
      </c>
      <c r="Z149" s="20">
        <f ca="1">OFFSET(환산공식!FX$15,$F149,0)</f>
        <v>0.44</v>
      </c>
      <c r="AA149" s="179">
        <f ca="1">OFFSET(환산공식!FY$15,$F149,0)</f>
        <v>0.28000000000000003</v>
      </c>
      <c r="AC149"/>
      <c r="AD149">
        <f t="shared" ca="1" si="6"/>
        <v>6</v>
      </c>
      <c r="AE149"/>
    </row>
    <row r="150" spans="1:31" s="3" customFormat="1">
      <c r="A150" s="198"/>
      <c r="B150" s="198"/>
      <c r="C150" s="198" t="s">
        <v>711</v>
      </c>
      <c r="D150" s="195">
        <v>200</v>
      </c>
      <c r="E150" s="195">
        <v>26</v>
      </c>
      <c r="F150" s="195">
        <v>26</v>
      </c>
      <c r="G150" s="239">
        <v>143</v>
      </c>
      <c r="H150" s="197" t="s">
        <v>72</v>
      </c>
      <c r="I150" s="242" t="s">
        <v>80</v>
      </c>
      <c r="J150" s="242" t="s">
        <v>550</v>
      </c>
      <c r="K150" s="195" t="s">
        <v>70</v>
      </c>
      <c r="L150" s="20" t="str">
        <f ca="1">IF(OFFSET(환산공식!$ED$15,$F150,0)=1,"O","X")</f>
        <v>X</v>
      </c>
      <c r="M150" s="188">
        <f ca="1">IFERROR(OFFSET(환산공식!DJ$15,$F150,0),"")</f>
        <v>100</v>
      </c>
      <c r="N150" s="20" t="str">
        <f ca="1">IFERROR(CONCATENATE(ROUND(OFFSET(환산공식!DK$15,$F150,0),1),"%"),"")</f>
        <v>100%</v>
      </c>
      <c r="O150" s="20">
        <f ca="1">IFERROR(OFFSET(환산공식!DL$15,$F150,0),"")</f>
        <v>0</v>
      </c>
      <c r="P150" s="188" t="str">
        <f t="shared" ca="1" si="5"/>
        <v>3% 이하</v>
      </c>
      <c r="Q150" s="194">
        <f ca="1">IFERROR(ROUND(OFFSET(환산공식!$FG$15,$F150,0),3),"")</f>
        <v>0</v>
      </c>
      <c r="R150" s="194">
        <f ca="1">OFFSET('배치점수 계산기'!H$10,$D150,0)</f>
        <v>850.20899999999995</v>
      </c>
      <c r="S150" s="194">
        <f ca="1">OFFSET('배치점수 계산기'!I$10,$D150,0)</f>
        <v>848.71900000000005</v>
      </c>
      <c r="T150" s="194">
        <f ca="1">OFFSET('배치점수 계산기'!J$10,$D150,0)</f>
        <v>847.72699999999998</v>
      </c>
      <c r="U150" s="194">
        <f ca="1">OFFSET('배치점수 계산기'!K$10,$D150,0)</f>
        <v>847.12699999999995</v>
      </c>
      <c r="V150" s="194">
        <f ca="1">OFFSET('배치점수 계산기'!L$10,$D150,0)</f>
        <v>845.55600000000004</v>
      </c>
      <c r="W150" s="186" t="str">
        <f ca="1">OFFSET('배치점수 계산기'!M$10,$D150,0)</f>
        <v>표점/만점</v>
      </c>
      <c r="X150" s="184" t="str">
        <f ca="1">OFFSET('배치점수 계산기'!N$10,$D150,0)</f>
        <v>변표/만점</v>
      </c>
      <c r="Y150" s="188">
        <f ca="1">OFFSET(환산공식!FW$15,$F150,0)</f>
        <v>0.28000000000000003</v>
      </c>
      <c r="Z150" s="20">
        <f ca="1">OFFSET(환산공식!FX$15,$F150,0)</f>
        <v>0.44</v>
      </c>
      <c r="AA150" s="179">
        <f ca="1">OFFSET(환산공식!FY$15,$F150,0)</f>
        <v>0.28000000000000003</v>
      </c>
      <c r="AC150"/>
      <c r="AD150">
        <f t="shared" ca="1" si="6"/>
        <v>6</v>
      </c>
      <c r="AE150"/>
    </row>
    <row r="151" spans="1:31" s="3" customFormat="1">
      <c r="A151" s="198"/>
      <c r="B151" s="198"/>
      <c r="C151" s="198" t="s">
        <v>712</v>
      </c>
      <c r="D151" s="195">
        <v>201</v>
      </c>
      <c r="E151" s="195">
        <v>26</v>
      </c>
      <c r="F151" s="195">
        <v>26</v>
      </c>
      <c r="G151" s="239">
        <v>144</v>
      </c>
      <c r="H151" s="197" t="s">
        <v>72</v>
      </c>
      <c r="I151" s="242" t="s">
        <v>80</v>
      </c>
      <c r="J151" s="242" t="s">
        <v>8601</v>
      </c>
      <c r="K151" s="195" t="s">
        <v>70</v>
      </c>
      <c r="L151" s="20" t="str">
        <f ca="1">IF(OFFSET(환산공식!$ED$15,$F151,0)=1,"O","X")</f>
        <v>X</v>
      </c>
      <c r="M151" s="188">
        <f ca="1">IFERROR(OFFSET(환산공식!DJ$15,$F151,0),"")</f>
        <v>100</v>
      </c>
      <c r="N151" s="20" t="str">
        <f ca="1">IFERROR(CONCATENATE(ROUND(OFFSET(환산공식!DK$15,$F151,0),1),"%"),"")</f>
        <v>100%</v>
      </c>
      <c r="O151" s="20">
        <f ca="1">IFERROR(OFFSET(환산공식!DL$15,$F151,0),"")</f>
        <v>0</v>
      </c>
      <c r="P151" s="188" t="str">
        <f t="shared" ca="1" si="5"/>
        <v>3% 이하</v>
      </c>
      <c r="Q151" s="194">
        <f ca="1">IFERROR(ROUND(OFFSET(환산공식!$FG$15,$F151,0),3),"")</f>
        <v>0</v>
      </c>
      <c r="R151" s="194">
        <f ca="1">OFFSET('배치점수 계산기'!H$10,$D151,0)</f>
        <v>848.94100000000003</v>
      </c>
      <c r="S151" s="194">
        <f ca="1">OFFSET('배치점수 계산기'!I$10,$D151,0)</f>
        <v>848.29200000000003</v>
      </c>
      <c r="T151" s="194">
        <f ca="1">OFFSET('배치점수 계산기'!J$10,$D151,0)</f>
        <v>847.43600000000004</v>
      </c>
      <c r="U151" s="194">
        <f ca="1">OFFSET('배치점수 계산기'!K$10,$D151,0)</f>
        <v>846.66</v>
      </c>
      <c r="V151" s="194">
        <f ca="1">OFFSET('배치점수 계산기'!L$10,$D151,0)</f>
        <v>844.69200000000001</v>
      </c>
      <c r="W151" s="186" t="str">
        <f ca="1">OFFSET('배치점수 계산기'!M$10,$D151,0)</f>
        <v>표점/만점</v>
      </c>
      <c r="X151" s="184" t="str">
        <f ca="1">OFFSET('배치점수 계산기'!N$10,$D151,0)</f>
        <v>변표/만점</v>
      </c>
      <c r="Y151" s="188">
        <f ca="1">OFFSET(환산공식!FW$15,$F151,0)</f>
        <v>0.28000000000000003</v>
      </c>
      <c r="Z151" s="20">
        <f ca="1">OFFSET(환산공식!FX$15,$F151,0)</f>
        <v>0.44</v>
      </c>
      <c r="AA151" s="179">
        <f ca="1">OFFSET(환산공식!FY$15,$F151,0)</f>
        <v>0.28000000000000003</v>
      </c>
      <c r="AC151"/>
      <c r="AD151">
        <f t="shared" ca="1" si="6"/>
        <v>6</v>
      </c>
      <c r="AE151"/>
    </row>
    <row r="152" spans="1:31" s="3" customFormat="1">
      <c r="A152" s="198"/>
      <c r="B152" s="198"/>
      <c r="C152" s="198" t="s">
        <v>713</v>
      </c>
      <c r="D152" s="195">
        <v>202</v>
      </c>
      <c r="E152" s="195">
        <v>26</v>
      </c>
      <c r="F152" s="195">
        <v>26</v>
      </c>
      <c r="G152" s="239">
        <v>145</v>
      </c>
      <c r="H152" s="197" t="s">
        <v>72</v>
      </c>
      <c r="I152" s="242" t="s">
        <v>80</v>
      </c>
      <c r="J152" s="242" t="s">
        <v>418</v>
      </c>
      <c r="K152" s="195" t="s">
        <v>70</v>
      </c>
      <c r="L152" s="20" t="str">
        <f ca="1">IF(OFFSET(환산공식!$ED$15,$F152,0)=1,"O","X")</f>
        <v>X</v>
      </c>
      <c r="M152" s="188">
        <f ca="1">IFERROR(OFFSET(환산공식!DJ$15,$F152,0),"")</f>
        <v>100</v>
      </c>
      <c r="N152" s="20" t="str">
        <f ca="1">IFERROR(CONCATENATE(ROUND(OFFSET(환산공식!DK$15,$F152,0),1),"%"),"")</f>
        <v>100%</v>
      </c>
      <c r="O152" s="20">
        <f ca="1">IFERROR(OFFSET(환산공식!DL$15,$F152,0),"")</f>
        <v>0</v>
      </c>
      <c r="P152" s="188" t="str">
        <f t="shared" ca="1" si="5"/>
        <v>3% 이하</v>
      </c>
      <c r="Q152" s="194">
        <f ca="1">IFERROR(ROUND(OFFSET(환산공식!$FG$15,$F152,0),3),"")</f>
        <v>0</v>
      </c>
      <c r="R152" s="194">
        <f ca="1">OFFSET('배치점수 계산기'!H$10,$D152,0)</f>
        <v>849.60400000000004</v>
      </c>
      <c r="S152" s="194">
        <f ca="1">OFFSET('배치점수 계산기'!I$10,$D152,0)</f>
        <v>848.29200000000003</v>
      </c>
      <c r="T152" s="194">
        <f ca="1">OFFSET('배치점수 계산기'!J$10,$D152,0)</f>
        <v>847.50400000000002</v>
      </c>
      <c r="U152" s="194">
        <f ca="1">OFFSET('배치점수 계산기'!K$10,$D152,0)</f>
        <v>846.10900000000004</v>
      </c>
      <c r="V152" s="194">
        <f ca="1">OFFSET('배치점수 계산기'!L$10,$D152,0)</f>
        <v>843.125</v>
      </c>
      <c r="W152" s="186" t="str">
        <f ca="1">OFFSET('배치점수 계산기'!M$10,$D152,0)</f>
        <v>표점/만점</v>
      </c>
      <c r="X152" s="184" t="str">
        <f ca="1">OFFSET('배치점수 계산기'!N$10,$D152,0)</f>
        <v>변표/만점</v>
      </c>
      <c r="Y152" s="188">
        <f ca="1">OFFSET(환산공식!FW$15,$F152,0)</f>
        <v>0.28000000000000003</v>
      </c>
      <c r="Z152" s="20">
        <f ca="1">OFFSET(환산공식!FX$15,$F152,0)</f>
        <v>0.44</v>
      </c>
      <c r="AA152" s="179">
        <f ca="1">OFFSET(환산공식!FY$15,$F152,0)</f>
        <v>0.28000000000000003</v>
      </c>
      <c r="AC152"/>
      <c r="AD152">
        <f t="shared" ca="1" si="6"/>
        <v>6</v>
      </c>
      <c r="AE152"/>
    </row>
    <row r="153" spans="1:31" s="3" customFormat="1">
      <c r="A153" s="198"/>
      <c r="B153" s="198"/>
      <c r="C153" s="198" t="s">
        <v>714</v>
      </c>
      <c r="D153" s="195">
        <v>203</v>
      </c>
      <c r="E153" s="195">
        <v>26</v>
      </c>
      <c r="F153" s="195">
        <v>26</v>
      </c>
      <c r="G153" s="239">
        <v>146</v>
      </c>
      <c r="H153" s="197" t="s">
        <v>72</v>
      </c>
      <c r="I153" s="242" t="s">
        <v>80</v>
      </c>
      <c r="J153" s="242" t="s">
        <v>8558</v>
      </c>
      <c r="K153" s="195" t="s">
        <v>70</v>
      </c>
      <c r="L153" s="20" t="str">
        <f ca="1">IF(OFFSET(환산공식!$ED$15,$F153,0)=1,"O","X")</f>
        <v>X</v>
      </c>
      <c r="M153" s="188">
        <f ca="1">IFERROR(OFFSET(환산공식!DJ$15,$F153,0),"")</f>
        <v>100</v>
      </c>
      <c r="N153" s="20" t="str">
        <f ca="1">IFERROR(CONCATENATE(ROUND(OFFSET(환산공식!DK$15,$F153,0),1),"%"),"")</f>
        <v>100%</v>
      </c>
      <c r="O153" s="20">
        <f ca="1">IFERROR(OFFSET(환산공식!DL$15,$F153,0),"")</f>
        <v>0</v>
      </c>
      <c r="P153" s="188" t="str">
        <f t="shared" ca="1" si="5"/>
        <v>3% 이하</v>
      </c>
      <c r="Q153" s="194">
        <f ca="1">IFERROR(ROUND(OFFSET(환산공식!$FG$15,$F153,0),3),"")</f>
        <v>0</v>
      </c>
      <c r="R153" s="194">
        <f ca="1">OFFSET('배치점수 계산기'!H$10,$D153,0)</f>
        <v>849.60400000000004</v>
      </c>
      <c r="S153" s="194">
        <f ca="1">OFFSET('배치점수 계산기'!I$10,$D153,0)</f>
        <v>848.29200000000003</v>
      </c>
      <c r="T153" s="194">
        <f ca="1">OFFSET('배치점수 계산기'!J$10,$D153,0)</f>
        <v>847.50400000000002</v>
      </c>
      <c r="U153" s="194">
        <f ca="1">OFFSET('배치점수 계산기'!K$10,$D153,0)</f>
        <v>846.36900000000003</v>
      </c>
      <c r="V153" s="194">
        <f ca="1">OFFSET('배치점수 계산기'!L$10,$D153,0)</f>
        <v>843.61400000000003</v>
      </c>
      <c r="W153" s="186" t="str">
        <f ca="1">OFFSET('배치점수 계산기'!M$10,$D153,0)</f>
        <v>표점/만점</v>
      </c>
      <c r="X153" s="184" t="str">
        <f ca="1">OFFSET('배치점수 계산기'!N$10,$D153,0)</f>
        <v>변표/만점</v>
      </c>
      <c r="Y153" s="188">
        <f ca="1">OFFSET(환산공식!FW$15,$F153,0)</f>
        <v>0.28000000000000003</v>
      </c>
      <c r="Z153" s="20">
        <f ca="1">OFFSET(환산공식!FX$15,$F153,0)</f>
        <v>0.44</v>
      </c>
      <c r="AA153" s="179">
        <f ca="1">OFFSET(환산공식!FY$15,$F153,0)</f>
        <v>0.28000000000000003</v>
      </c>
      <c r="AC153"/>
      <c r="AD153">
        <f t="shared" ca="1" si="6"/>
        <v>6</v>
      </c>
      <c r="AE153"/>
    </row>
    <row r="154" spans="1:31" s="3" customFormat="1">
      <c r="A154" s="198"/>
      <c r="B154" s="198"/>
      <c r="C154" s="198" t="s">
        <v>715</v>
      </c>
      <c r="D154" s="195">
        <v>204</v>
      </c>
      <c r="E154" s="195">
        <v>26</v>
      </c>
      <c r="F154" s="195">
        <v>26</v>
      </c>
      <c r="G154" s="239">
        <v>147</v>
      </c>
      <c r="H154" s="197" t="s">
        <v>72</v>
      </c>
      <c r="I154" s="242" t="s">
        <v>80</v>
      </c>
      <c r="J154" s="242" t="s">
        <v>8624</v>
      </c>
      <c r="K154" s="195" t="s">
        <v>70</v>
      </c>
      <c r="L154" s="20" t="str">
        <f ca="1">IF(OFFSET(환산공식!$ED$15,$F154,0)=1,"O","X")</f>
        <v>X</v>
      </c>
      <c r="M154" s="188">
        <f ca="1">IFERROR(OFFSET(환산공식!DJ$15,$F154,0),"")</f>
        <v>100</v>
      </c>
      <c r="N154" s="20" t="str">
        <f ca="1">IFERROR(CONCATENATE(ROUND(OFFSET(환산공식!DK$15,$F154,0),1),"%"),"")</f>
        <v>100%</v>
      </c>
      <c r="O154" s="20">
        <f ca="1">IFERROR(OFFSET(환산공식!DL$15,$F154,0),"")</f>
        <v>0</v>
      </c>
      <c r="P154" s="188" t="str">
        <f t="shared" ca="1" si="5"/>
        <v>3% 이하</v>
      </c>
      <c r="Q154" s="194">
        <f ca="1">IFERROR(ROUND(OFFSET(환산공식!$FG$15,$F154,0),3),"")</f>
        <v>0</v>
      </c>
      <c r="R154" s="194">
        <f ca="1">OFFSET('배치점수 계산기'!H$10,$D154,0)</f>
        <v>849.21900000000005</v>
      </c>
      <c r="S154" s="194">
        <f ca="1">OFFSET('배치점수 계산기'!I$10,$D154,0)</f>
        <v>848.13900000000001</v>
      </c>
      <c r="T154" s="194">
        <f ca="1">OFFSET('배치점수 계산기'!J$10,$D154,0)</f>
        <v>847.12699999999995</v>
      </c>
      <c r="U154" s="194">
        <f ca="1">OFFSET('배치점수 계산기'!K$10,$D154,0)</f>
        <v>846.21600000000001</v>
      </c>
      <c r="V154" s="194">
        <f ca="1">OFFSET('배치점수 계산기'!L$10,$D154,0)</f>
        <v>843.35500000000002</v>
      </c>
      <c r="W154" s="186" t="str">
        <f ca="1">OFFSET('배치점수 계산기'!M$10,$D154,0)</f>
        <v>표점/만점</v>
      </c>
      <c r="X154" s="184" t="str">
        <f ca="1">OFFSET('배치점수 계산기'!N$10,$D154,0)</f>
        <v>변표/만점</v>
      </c>
      <c r="Y154" s="188">
        <f ca="1">OFFSET(환산공식!FW$15,$F154,0)</f>
        <v>0.28000000000000003</v>
      </c>
      <c r="Z154" s="20">
        <f ca="1">OFFSET(환산공식!FX$15,$F154,0)</f>
        <v>0.44</v>
      </c>
      <c r="AA154" s="179">
        <f ca="1">OFFSET(환산공식!FY$15,$F154,0)</f>
        <v>0.28000000000000003</v>
      </c>
      <c r="AC154"/>
      <c r="AD154">
        <f t="shared" ca="1" si="6"/>
        <v>6</v>
      </c>
      <c r="AE154"/>
    </row>
    <row r="155" spans="1:31" s="3" customFormat="1">
      <c r="A155" s="198"/>
      <c r="B155" s="198"/>
      <c r="C155" s="198" t="s">
        <v>716</v>
      </c>
      <c r="D155" s="195">
        <v>205</v>
      </c>
      <c r="E155" s="195">
        <v>26</v>
      </c>
      <c r="F155" s="195">
        <v>26</v>
      </c>
      <c r="G155" s="239">
        <v>148</v>
      </c>
      <c r="H155" s="197" t="s">
        <v>72</v>
      </c>
      <c r="I155" s="242" t="s">
        <v>80</v>
      </c>
      <c r="J155" s="242" t="s">
        <v>8307</v>
      </c>
      <c r="K155" s="195" t="s">
        <v>70</v>
      </c>
      <c r="L155" s="20" t="str">
        <f ca="1">IF(OFFSET(환산공식!$ED$15,$F155,0)=1,"O","X")</f>
        <v>X</v>
      </c>
      <c r="M155" s="188">
        <f ca="1">IFERROR(OFFSET(환산공식!DJ$15,$F155,0),"")</f>
        <v>100</v>
      </c>
      <c r="N155" s="20" t="str">
        <f ca="1">IFERROR(CONCATENATE(ROUND(OFFSET(환산공식!DK$15,$F155,0),1),"%"),"")</f>
        <v>100%</v>
      </c>
      <c r="O155" s="20">
        <f ca="1">IFERROR(OFFSET(환산공식!DL$15,$F155,0),"")</f>
        <v>0</v>
      </c>
      <c r="P155" s="188" t="str">
        <f t="shared" ca="1" si="5"/>
        <v>3% 이하</v>
      </c>
      <c r="Q155" s="194">
        <f ca="1">IFERROR(ROUND(OFFSET(환산공식!$FG$15,$F155,0),3),"")</f>
        <v>0</v>
      </c>
      <c r="R155" s="194">
        <f ca="1">OFFSET('배치점수 계산기'!H$10,$D155,0)</f>
        <v>848.29200000000003</v>
      </c>
      <c r="S155" s="194">
        <f ca="1">OFFSET('배치점수 계산기'!I$10,$D155,0)</f>
        <v>847.43600000000004</v>
      </c>
      <c r="T155" s="194">
        <f ca="1">OFFSET('배치점수 계산기'!J$10,$D155,0)</f>
        <v>846.36900000000003</v>
      </c>
      <c r="U155" s="194">
        <f ca="1">OFFSET('배치점수 계산기'!K$10,$D155,0)</f>
        <v>845.55600000000004</v>
      </c>
      <c r="V155" s="194">
        <f ca="1">OFFSET('배치점수 계산기'!L$10,$D155,0)</f>
        <v>841.85299999999995</v>
      </c>
      <c r="W155" s="186" t="str">
        <f ca="1">OFFSET('배치점수 계산기'!M$10,$D155,0)</f>
        <v>표점/만점</v>
      </c>
      <c r="X155" s="184" t="str">
        <f ca="1">OFFSET('배치점수 계산기'!N$10,$D155,0)</f>
        <v>변표/만점</v>
      </c>
      <c r="Y155" s="188">
        <f ca="1">OFFSET(환산공식!FW$15,$F155,0)</f>
        <v>0.28000000000000003</v>
      </c>
      <c r="Z155" s="20">
        <f ca="1">OFFSET(환산공식!FX$15,$F155,0)</f>
        <v>0.44</v>
      </c>
      <c r="AA155" s="179">
        <f ca="1">OFFSET(환산공식!FY$15,$F155,0)</f>
        <v>0.28000000000000003</v>
      </c>
      <c r="AC155"/>
      <c r="AD155">
        <f t="shared" ca="1" si="6"/>
        <v>6</v>
      </c>
      <c r="AE155"/>
    </row>
    <row r="156" spans="1:31" s="3" customFormat="1">
      <c r="A156" s="198"/>
      <c r="B156" s="198"/>
      <c r="C156" s="198" t="s">
        <v>717</v>
      </c>
      <c r="D156" s="195">
        <v>206</v>
      </c>
      <c r="E156" s="195">
        <v>26</v>
      </c>
      <c r="F156" s="195">
        <v>26</v>
      </c>
      <c r="G156" s="239">
        <v>149</v>
      </c>
      <c r="H156" s="197" t="s">
        <v>72</v>
      </c>
      <c r="I156" s="242" t="s">
        <v>80</v>
      </c>
      <c r="J156" s="242" t="s">
        <v>8680</v>
      </c>
      <c r="K156" s="195" t="s">
        <v>70</v>
      </c>
      <c r="L156" s="20" t="str">
        <f ca="1">IF(OFFSET(환산공식!$ED$15,$F156,0)=1,"O","X")</f>
        <v>X</v>
      </c>
      <c r="M156" s="188">
        <f ca="1">IFERROR(OFFSET(환산공식!DJ$15,$F156,0),"")</f>
        <v>100</v>
      </c>
      <c r="N156" s="20" t="str">
        <f ca="1">IFERROR(CONCATENATE(ROUND(OFFSET(환산공식!DK$15,$F156,0),1),"%"),"")</f>
        <v>100%</v>
      </c>
      <c r="O156" s="20">
        <f ca="1">IFERROR(OFFSET(환산공식!DL$15,$F156,0),"")</f>
        <v>0</v>
      </c>
      <c r="P156" s="188" t="str">
        <f t="shared" ca="1" si="5"/>
        <v>3% 이하</v>
      </c>
      <c r="Q156" s="194">
        <f ca="1">IFERROR(ROUND(OFFSET(환산공식!$FG$15,$F156,0),3),"")</f>
        <v>0</v>
      </c>
      <c r="R156" s="194">
        <f ca="1">OFFSET('배치점수 계산기'!H$10,$D156,0)</f>
        <v>847.72699999999998</v>
      </c>
      <c r="S156" s="194">
        <f ca="1">OFFSET('배치점수 계산기'!I$10,$D156,0)</f>
        <v>847.12699999999995</v>
      </c>
      <c r="T156" s="194">
        <f ca="1">OFFSET('배치점수 계산기'!J$10,$D156,0)</f>
        <v>845.81500000000005</v>
      </c>
      <c r="U156" s="194">
        <f ca="1">OFFSET('배치점수 계산기'!K$10,$D156,0)</f>
        <v>844.69200000000001</v>
      </c>
      <c r="V156" s="194">
        <f ca="1">OFFSET('배치점수 계산기'!L$10,$D156,0)</f>
        <v>841.85299999999995</v>
      </c>
      <c r="W156" s="186" t="str">
        <f ca="1">OFFSET('배치점수 계산기'!M$10,$D156,0)</f>
        <v>표점/만점</v>
      </c>
      <c r="X156" s="184" t="str">
        <f ca="1">OFFSET('배치점수 계산기'!N$10,$D156,0)</f>
        <v>변표/만점</v>
      </c>
      <c r="Y156" s="188">
        <f ca="1">OFFSET(환산공식!FW$15,$F156,0)</f>
        <v>0.28000000000000003</v>
      </c>
      <c r="Z156" s="20">
        <f ca="1">OFFSET(환산공식!FX$15,$F156,0)</f>
        <v>0.44</v>
      </c>
      <c r="AA156" s="179">
        <f ca="1">OFFSET(환산공식!FY$15,$F156,0)</f>
        <v>0.28000000000000003</v>
      </c>
      <c r="AC156"/>
      <c r="AD156">
        <f t="shared" ca="1" si="6"/>
        <v>6</v>
      </c>
      <c r="AE156"/>
    </row>
    <row r="157" spans="1:31" s="3" customFormat="1">
      <c r="A157" s="198"/>
      <c r="B157" s="198"/>
      <c r="C157" s="198" t="s">
        <v>718</v>
      </c>
      <c r="D157" s="195">
        <v>207</v>
      </c>
      <c r="E157" s="195">
        <v>26</v>
      </c>
      <c r="F157" s="195">
        <v>26</v>
      </c>
      <c r="G157" s="239">
        <v>150</v>
      </c>
      <c r="H157" s="197" t="s">
        <v>72</v>
      </c>
      <c r="I157" s="242" t="s">
        <v>80</v>
      </c>
      <c r="J157" s="242" t="s">
        <v>8640</v>
      </c>
      <c r="K157" s="195" t="s">
        <v>70</v>
      </c>
      <c r="L157" s="20" t="str">
        <f ca="1">IF(OFFSET(환산공식!$ED$15,$F157,0)=1,"O","X")</f>
        <v>X</v>
      </c>
      <c r="M157" s="188">
        <f ca="1">IFERROR(OFFSET(환산공식!DJ$15,$F157,0),"")</f>
        <v>100</v>
      </c>
      <c r="N157" s="20" t="str">
        <f ca="1">IFERROR(CONCATENATE(ROUND(OFFSET(환산공식!DK$15,$F157,0),1),"%"),"")</f>
        <v>100%</v>
      </c>
      <c r="O157" s="20">
        <f ca="1">IFERROR(OFFSET(환산공식!DL$15,$F157,0),"")</f>
        <v>0</v>
      </c>
      <c r="P157" s="188" t="str">
        <f t="shared" ca="1" si="5"/>
        <v>3% 이하</v>
      </c>
      <c r="Q157" s="194">
        <f ca="1">IFERROR(ROUND(OFFSET(환산공식!$FG$15,$F157,0),3),"")</f>
        <v>0</v>
      </c>
      <c r="R157" s="194">
        <f ca="1">OFFSET('배치점수 계산기'!H$10,$D157,0)</f>
        <v>845.81500000000005</v>
      </c>
      <c r="S157" s="194">
        <f ca="1">OFFSET('배치점수 계산기'!I$10,$D157,0)</f>
        <v>844.69200000000001</v>
      </c>
      <c r="T157" s="194">
        <f ca="1">OFFSET('배치점수 계산기'!J$10,$D157,0)</f>
        <v>843.61400000000003</v>
      </c>
      <c r="U157" s="194">
        <f ca="1">OFFSET('배치점수 계산기'!K$10,$D157,0)</f>
        <v>841.31600000000003</v>
      </c>
      <c r="V157" s="194">
        <f ca="1">OFFSET('배치점수 계산기'!L$10,$D157,0)</f>
        <v>837.96500000000003</v>
      </c>
      <c r="W157" s="186" t="str">
        <f ca="1">OFFSET('배치점수 계산기'!M$10,$D157,0)</f>
        <v>표점/만점</v>
      </c>
      <c r="X157" s="184" t="str">
        <f ca="1">OFFSET('배치점수 계산기'!N$10,$D157,0)</f>
        <v>변표/만점</v>
      </c>
      <c r="Y157" s="188">
        <f ca="1">OFFSET(환산공식!FW$15,$F157,0)</f>
        <v>0.28000000000000003</v>
      </c>
      <c r="Z157" s="20">
        <f ca="1">OFFSET(환산공식!FX$15,$F157,0)</f>
        <v>0.44</v>
      </c>
      <c r="AA157" s="179">
        <f ca="1">OFFSET(환산공식!FY$15,$F157,0)</f>
        <v>0.28000000000000003</v>
      </c>
      <c r="AC157"/>
      <c r="AD157">
        <f t="shared" ca="1" si="6"/>
        <v>6</v>
      </c>
      <c r="AE157"/>
    </row>
    <row r="158" spans="1:31" s="3" customFormat="1">
      <c r="A158" s="198"/>
      <c r="B158" s="198"/>
      <c r="C158" s="198" t="s">
        <v>719</v>
      </c>
      <c r="D158" s="195">
        <v>208</v>
      </c>
      <c r="E158" s="195">
        <v>26</v>
      </c>
      <c r="F158" s="195">
        <v>26</v>
      </c>
      <c r="G158" s="239">
        <v>151</v>
      </c>
      <c r="H158" s="197" t="s">
        <v>72</v>
      </c>
      <c r="I158" s="242" t="s">
        <v>80</v>
      </c>
      <c r="J158" s="242" t="s">
        <v>555</v>
      </c>
      <c r="K158" s="195" t="s">
        <v>70</v>
      </c>
      <c r="L158" s="20" t="str">
        <f ca="1">IF(OFFSET(환산공식!$ED$15,$F158,0)=1,"O","X")</f>
        <v>X</v>
      </c>
      <c r="M158" s="188">
        <f ca="1">IFERROR(OFFSET(환산공식!DJ$15,$F158,0),"")</f>
        <v>100</v>
      </c>
      <c r="N158" s="20" t="str">
        <f ca="1">IFERROR(CONCATENATE(ROUND(OFFSET(환산공식!DK$15,$F158,0),1),"%"),"")</f>
        <v>100%</v>
      </c>
      <c r="O158" s="20">
        <f ca="1">IFERROR(OFFSET(환산공식!DL$15,$F158,0),"")</f>
        <v>0</v>
      </c>
      <c r="P158" s="188" t="str">
        <f t="shared" ca="1" si="5"/>
        <v>3% 이하</v>
      </c>
      <c r="Q158" s="194">
        <f ca="1">IFERROR(ROUND(OFFSET(환산공식!$FG$15,$F158,0),3),"")</f>
        <v>0</v>
      </c>
      <c r="R158" s="194">
        <f ca="1">OFFSET('배치점수 계산기'!H$10,$D158,0)</f>
        <v>845.25699999999995</v>
      </c>
      <c r="S158" s="194">
        <f ca="1">OFFSET('배치점수 계산기'!I$10,$D158,0)</f>
        <v>844.28800000000001</v>
      </c>
      <c r="T158" s="194">
        <f ca="1">OFFSET('배치점수 계산기'!J$10,$D158,0)</f>
        <v>843.61400000000003</v>
      </c>
      <c r="U158" s="194">
        <f ca="1">OFFSET('배치점수 계산기'!K$10,$D158,0)</f>
        <v>842.26499999999999</v>
      </c>
      <c r="V158" s="194">
        <f ca="1">OFFSET('배치점수 계산기'!L$10,$D158,0)</f>
        <v>840.18399999999997</v>
      </c>
      <c r="W158" s="186" t="str">
        <f ca="1">OFFSET('배치점수 계산기'!M$10,$D158,0)</f>
        <v>표점/만점</v>
      </c>
      <c r="X158" s="184" t="str">
        <f ca="1">OFFSET('배치점수 계산기'!N$10,$D158,0)</f>
        <v>변표/만점</v>
      </c>
      <c r="Y158" s="188">
        <f ca="1">OFFSET(환산공식!FW$15,$F158,0)</f>
        <v>0.28000000000000003</v>
      </c>
      <c r="Z158" s="20">
        <f ca="1">OFFSET(환산공식!FX$15,$F158,0)</f>
        <v>0.44</v>
      </c>
      <c r="AA158" s="179">
        <f ca="1">OFFSET(환산공식!FY$15,$F158,0)</f>
        <v>0.28000000000000003</v>
      </c>
      <c r="AC158"/>
      <c r="AD158">
        <f t="shared" ca="1" si="6"/>
        <v>6</v>
      </c>
      <c r="AE158"/>
    </row>
    <row r="159" spans="1:31" s="3" customFormat="1">
      <c r="A159" s="198"/>
      <c r="B159" s="198"/>
      <c r="C159" s="198" t="s">
        <v>720</v>
      </c>
      <c r="D159" s="195">
        <v>209</v>
      </c>
      <c r="E159" s="195">
        <v>26</v>
      </c>
      <c r="F159" s="195">
        <v>26</v>
      </c>
      <c r="G159" s="239">
        <v>152</v>
      </c>
      <c r="H159" s="197" t="s">
        <v>72</v>
      </c>
      <c r="I159" s="242" t="s">
        <v>80</v>
      </c>
      <c r="J159" s="242" t="s">
        <v>8633</v>
      </c>
      <c r="K159" s="195" t="s">
        <v>70</v>
      </c>
      <c r="L159" s="20" t="str">
        <f ca="1">IF(OFFSET(환산공식!$ED$15,$F159,0)=1,"O","X")</f>
        <v>X</v>
      </c>
      <c r="M159" s="188">
        <f ca="1">IFERROR(OFFSET(환산공식!DJ$15,$F159,0),"")</f>
        <v>100</v>
      </c>
      <c r="N159" s="20" t="str">
        <f ca="1">IFERROR(CONCATENATE(ROUND(OFFSET(환산공식!DK$15,$F159,0),1),"%"),"")</f>
        <v>100%</v>
      </c>
      <c r="O159" s="20">
        <f ca="1">IFERROR(OFFSET(환산공식!DL$15,$F159,0),"")</f>
        <v>0</v>
      </c>
      <c r="P159" s="188" t="str">
        <f t="shared" ca="1" si="5"/>
        <v>3% 이하</v>
      </c>
      <c r="Q159" s="194">
        <f ca="1">IFERROR(ROUND(OFFSET(환산공식!$FG$15,$F159,0),3),"")</f>
        <v>0</v>
      </c>
      <c r="R159" s="194">
        <f ca="1">OFFSET('배치점수 계산기'!H$10,$D159,0)</f>
        <v>846.10900000000004</v>
      </c>
      <c r="S159" s="194">
        <f ca="1">OFFSET('배치점수 계산기'!I$10,$D159,0)</f>
        <v>844.28800000000001</v>
      </c>
      <c r="T159" s="194">
        <f ca="1">OFFSET('배치점수 계산기'!J$10,$D159,0)</f>
        <v>843.35500000000002</v>
      </c>
      <c r="U159" s="194">
        <f ca="1">OFFSET('배치점수 계산기'!K$10,$D159,0)</f>
        <v>842.26499999999999</v>
      </c>
      <c r="V159" s="194">
        <f ca="1">OFFSET('배치점수 계산기'!L$10,$D159,0)</f>
        <v>841.31600000000003</v>
      </c>
      <c r="W159" s="186" t="str">
        <f ca="1">OFFSET('배치점수 계산기'!M$10,$D159,0)</f>
        <v>표점/만점</v>
      </c>
      <c r="X159" s="184" t="str">
        <f ca="1">OFFSET('배치점수 계산기'!N$10,$D159,0)</f>
        <v>변표/만점</v>
      </c>
      <c r="Y159" s="188">
        <f ca="1">OFFSET(환산공식!FW$15,$F159,0)</f>
        <v>0.28000000000000003</v>
      </c>
      <c r="Z159" s="20">
        <f ca="1">OFFSET(환산공식!FX$15,$F159,0)</f>
        <v>0.44</v>
      </c>
      <c r="AA159" s="179">
        <f ca="1">OFFSET(환산공식!FY$15,$F159,0)</f>
        <v>0.28000000000000003</v>
      </c>
      <c r="AC159"/>
      <c r="AD159">
        <f t="shared" ca="1" si="6"/>
        <v>6</v>
      </c>
      <c r="AE159"/>
    </row>
    <row r="160" spans="1:31" s="3" customFormat="1">
      <c r="A160" s="198"/>
      <c r="B160" s="198"/>
      <c r="C160" s="198" t="s">
        <v>721</v>
      </c>
      <c r="D160" s="195">
        <v>210</v>
      </c>
      <c r="E160" s="195">
        <v>26</v>
      </c>
      <c r="F160" s="195">
        <v>26</v>
      </c>
      <c r="G160" s="239">
        <v>153</v>
      </c>
      <c r="H160" s="197" t="s">
        <v>72</v>
      </c>
      <c r="I160" s="242" t="s">
        <v>80</v>
      </c>
      <c r="J160" s="242" t="s">
        <v>8283</v>
      </c>
      <c r="K160" s="195" t="s">
        <v>70</v>
      </c>
      <c r="L160" s="20" t="str">
        <f ca="1">IF(OFFSET(환산공식!$ED$15,$F160,0)=1,"O","X")</f>
        <v>X</v>
      </c>
      <c r="M160" s="188">
        <f ca="1">IFERROR(OFFSET(환산공식!DJ$15,$F160,0),"")</f>
        <v>100</v>
      </c>
      <c r="N160" s="20" t="str">
        <f ca="1">IFERROR(CONCATENATE(ROUND(OFFSET(환산공식!DK$15,$F160,0),1),"%"),"")</f>
        <v>100%</v>
      </c>
      <c r="O160" s="20">
        <f ca="1">IFERROR(OFFSET(환산공식!DL$15,$F160,0),"")</f>
        <v>0</v>
      </c>
      <c r="P160" s="188" t="str">
        <f t="shared" ca="1" si="5"/>
        <v>3% 이하</v>
      </c>
      <c r="Q160" s="194">
        <f ca="1">IFERROR(ROUND(OFFSET(환산공식!$FG$15,$F160,0),3),"")</f>
        <v>0</v>
      </c>
      <c r="R160" s="194">
        <f ca="1">OFFSET('배치점수 계산기'!H$10,$D160,0)</f>
        <v>836.53899999999999</v>
      </c>
      <c r="S160" s="194">
        <f ca="1">OFFSET('배치점수 계산기'!I$10,$D160,0)</f>
        <v>834.88800000000003</v>
      </c>
      <c r="T160" s="194">
        <f ca="1">OFFSET('배치점수 계산기'!J$10,$D160,0)</f>
        <v>834.029</v>
      </c>
      <c r="U160" s="194">
        <f ca="1">OFFSET('배치점수 계산기'!K$10,$D160,0)</f>
        <v>832.04100000000005</v>
      </c>
      <c r="V160" s="194">
        <f ca="1">OFFSET('배치점수 계산기'!L$10,$D160,0)</f>
        <v>830.01400000000001</v>
      </c>
      <c r="W160" s="186" t="str">
        <f ca="1">OFFSET('배치점수 계산기'!M$10,$D160,0)</f>
        <v>표점/만점</v>
      </c>
      <c r="X160" s="184" t="str">
        <f ca="1">OFFSET('배치점수 계산기'!N$10,$D160,0)</f>
        <v>변표/만점</v>
      </c>
      <c r="Y160" s="188">
        <f ca="1">OFFSET(환산공식!FW$15,$F160,0)</f>
        <v>0.28000000000000003</v>
      </c>
      <c r="Z160" s="20">
        <f ca="1">OFFSET(환산공식!FX$15,$F160,0)</f>
        <v>0.44</v>
      </c>
      <c r="AA160" s="179">
        <f ca="1">OFFSET(환산공식!FY$15,$F160,0)</f>
        <v>0.28000000000000003</v>
      </c>
      <c r="AC160"/>
      <c r="AD160">
        <f t="shared" ca="1" si="6"/>
        <v>6</v>
      </c>
      <c r="AE160"/>
    </row>
    <row r="161" spans="1:31" s="3" customFormat="1">
      <c r="A161" s="198"/>
      <c r="B161" s="198"/>
      <c r="C161" s="198" t="s">
        <v>722</v>
      </c>
      <c r="D161" s="195">
        <v>211</v>
      </c>
      <c r="E161" s="195">
        <v>28</v>
      </c>
      <c r="F161" s="195">
        <v>28</v>
      </c>
      <c r="G161" s="239">
        <v>154</v>
      </c>
      <c r="H161" s="197" t="s">
        <v>72</v>
      </c>
      <c r="I161" s="242" t="s">
        <v>80</v>
      </c>
      <c r="J161" s="242" t="s">
        <v>8190</v>
      </c>
      <c r="K161" s="195" t="s">
        <v>71</v>
      </c>
      <c r="L161" s="20" t="str">
        <f ca="1">IF(OFFSET(환산공식!$ED$15,$F161,0)=1,"O","X")</f>
        <v>X</v>
      </c>
      <c r="M161" s="188">
        <f ca="1">IFERROR(OFFSET(환산공식!DJ$15,$F161,0),"")</f>
        <v>100</v>
      </c>
      <c r="N161" s="20" t="str">
        <f ca="1">IFERROR(CONCATENATE(ROUND(OFFSET(환산공식!DK$15,$F161,0),1),"%"),"")</f>
        <v>100%</v>
      </c>
      <c r="O161" s="20">
        <f ca="1">IFERROR(OFFSET(환산공식!DL$15,$F161,0),"")</f>
        <v>0</v>
      </c>
      <c r="P161" s="188" t="str">
        <f t="shared" ca="1" si="5"/>
        <v>3% 이하</v>
      </c>
      <c r="Q161" s="194">
        <f ca="1">IFERROR(ROUND(OFFSET(환산공식!$FG$15,$F161,0),3),"")</f>
        <v>0</v>
      </c>
      <c r="R161" s="194">
        <f ca="1">OFFSET('배치점수 계산기'!H$10,$D161,0)</f>
        <v>844.06500000000005</v>
      </c>
      <c r="S161" s="194">
        <f ca="1">OFFSET('배치점수 계산기'!I$10,$D161,0)</f>
        <v>843.16700000000003</v>
      </c>
      <c r="T161" s="194">
        <f ca="1">OFFSET('배치점수 계산기'!J$10,$D161,0)</f>
        <v>842.37400000000002</v>
      </c>
      <c r="U161" s="194">
        <f ca="1">OFFSET('배치점수 계산기'!K$10,$D161,0)</f>
        <v>840.971</v>
      </c>
      <c r="V161" s="194">
        <f ca="1">OFFSET('배치점수 계산기'!L$10,$D161,0)</f>
        <v>840.48500000000001</v>
      </c>
      <c r="W161" s="186" t="str">
        <f ca="1">OFFSET('배치점수 계산기'!M$10,$D161,0)</f>
        <v>표점/만점</v>
      </c>
      <c r="X161" s="184" t="str">
        <f ca="1">OFFSET('배치점수 계산기'!N$10,$D161,0)</f>
        <v>변표/만점</v>
      </c>
      <c r="Y161" s="188">
        <f ca="1">OFFSET(환산공식!FW$15,$F161,0)</f>
        <v>0.39</v>
      </c>
      <c r="Z161" s="20">
        <f ca="1">OFFSET(환산공식!FX$15,$F161,0)</f>
        <v>0.33</v>
      </c>
      <c r="AA161" s="179">
        <f ca="1">OFFSET(환산공식!FY$15,$F161,0)</f>
        <v>0.28000000000000003</v>
      </c>
      <c r="AC161"/>
      <c r="AD161">
        <f t="shared" ca="1" si="6"/>
        <v>6</v>
      </c>
      <c r="AE161"/>
    </row>
    <row r="162" spans="1:31" s="3" customFormat="1">
      <c r="A162" s="198"/>
      <c r="B162" s="198"/>
      <c r="C162" s="198" t="s">
        <v>723</v>
      </c>
      <c r="D162" s="195">
        <v>212</v>
      </c>
      <c r="E162" s="195">
        <v>29</v>
      </c>
      <c r="F162" s="195">
        <v>29</v>
      </c>
      <c r="G162" s="239">
        <v>155</v>
      </c>
      <c r="H162" s="197" t="s">
        <v>72</v>
      </c>
      <c r="I162" s="242" t="s">
        <v>80</v>
      </c>
      <c r="J162" s="242" t="s">
        <v>8919</v>
      </c>
      <c r="K162" s="195" t="s">
        <v>71</v>
      </c>
      <c r="L162" s="20" t="str">
        <f ca="1">IF(OFFSET(환산공식!$ED$15,$F162,0)=1,"O","X")</f>
        <v>X</v>
      </c>
      <c r="M162" s="188">
        <f ca="1">IFERROR(OFFSET(환산공식!DJ$15,$F162,0),"")</f>
        <v>100</v>
      </c>
      <c r="N162" s="20" t="str">
        <f ca="1">IFERROR(CONCATENATE(ROUND(OFFSET(환산공식!DK$15,$F162,0),1),"%"),"")</f>
        <v>100%</v>
      </c>
      <c r="O162" s="20">
        <f ca="1">IFERROR(OFFSET(환산공식!DL$15,$F162,0),"")</f>
        <v>0</v>
      </c>
      <c r="P162" s="188" t="str">
        <f t="shared" ca="1" si="5"/>
        <v>3% 이하</v>
      </c>
      <c r="Q162" s="194">
        <f ca="1">IFERROR(ROUND(OFFSET(환산공식!$FG$15,$F162,0),3),"")</f>
        <v>0</v>
      </c>
      <c r="R162" s="194">
        <f ca="1">OFFSET('배치점수 계산기'!H$10,$D162,0)</f>
        <v>844.76</v>
      </c>
      <c r="S162" s="194">
        <f ca="1">OFFSET('배치점수 계산기'!I$10,$D162,0)</f>
        <v>842.61900000000003</v>
      </c>
      <c r="T162" s="194">
        <f ca="1">OFFSET('배치점수 계산기'!J$10,$D162,0)</f>
        <v>840.90700000000004</v>
      </c>
      <c r="U162" s="194">
        <f ca="1">OFFSET('배치점수 계산기'!K$10,$D162,0)</f>
        <v>837.529</v>
      </c>
      <c r="V162" s="194">
        <f ca="1">OFFSET('배치점수 계산기'!L$10,$D162,0)</f>
        <v>835.35299999999995</v>
      </c>
      <c r="W162" s="186" t="str">
        <f ca="1">OFFSET('배치점수 계산기'!M$10,$D162,0)</f>
        <v>표점/만점</v>
      </c>
      <c r="X162" s="184" t="str">
        <f ca="1">OFFSET('배치점수 계산기'!N$10,$D162,0)</f>
        <v>변표/만점</v>
      </c>
      <c r="Y162" s="188">
        <f ca="1">OFFSET(환산공식!FW$15,$F162,0)</f>
        <v>0.39</v>
      </c>
      <c r="Z162" s="20">
        <f ca="1">OFFSET(환산공식!FX$15,$F162,0)</f>
        <v>0.39</v>
      </c>
      <c r="AA162" s="179">
        <f ca="1">OFFSET(환산공식!FY$15,$F162,0)</f>
        <v>0.22</v>
      </c>
      <c r="AC162"/>
      <c r="AD162">
        <f t="shared" ca="1" si="6"/>
        <v>6</v>
      </c>
      <c r="AE162"/>
    </row>
    <row r="163" spans="1:31" s="3" customFormat="1">
      <c r="A163" s="198"/>
      <c r="B163" s="198"/>
      <c r="C163" s="198" t="s">
        <v>724</v>
      </c>
      <c r="D163" s="195">
        <v>213</v>
      </c>
      <c r="E163" s="195">
        <v>28</v>
      </c>
      <c r="F163" s="195">
        <v>28</v>
      </c>
      <c r="G163" s="239">
        <v>156</v>
      </c>
      <c r="H163" s="197" t="s">
        <v>72</v>
      </c>
      <c r="I163" s="242" t="s">
        <v>80</v>
      </c>
      <c r="J163" s="242" t="s">
        <v>8534</v>
      </c>
      <c r="K163" s="195" t="s">
        <v>71</v>
      </c>
      <c r="L163" s="20" t="str">
        <f ca="1">IF(OFFSET(환산공식!$ED$15,$F163,0)=1,"O","X")</f>
        <v>X</v>
      </c>
      <c r="M163" s="188">
        <f ca="1">IFERROR(OFFSET(환산공식!DJ$15,$F163,0),"")</f>
        <v>100</v>
      </c>
      <c r="N163" s="20" t="str">
        <f ca="1">IFERROR(CONCATENATE(ROUND(OFFSET(환산공식!DK$15,$F163,0),1),"%"),"")</f>
        <v>100%</v>
      </c>
      <c r="O163" s="20">
        <f ca="1">IFERROR(OFFSET(환산공식!DL$15,$F163,0),"")</f>
        <v>0</v>
      </c>
      <c r="P163" s="188" t="str">
        <f t="shared" ca="1" si="5"/>
        <v>3% 이하</v>
      </c>
      <c r="Q163" s="194">
        <f ca="1">IFERROR(ROUND(OFFSET(환산공식!$FG$15,$F163,0),3),"")</f>
        <v>0</v>
      </c>
      <c r="R163" s="194">
        <f ca="1">OFFSET('배치점수 계산기'!H$10,$D163,0)</f>
        <v>843.65300000000002</v>
      </c>
      <c r="S163" s="194">
        <f ca="1">OFFSET('배치점수 계산기'!I$10,$D163,0)</f>
        <v>842.58500000000004</v>
      </c>
      <c r="T163" s="194">
        <f ca="1">OFFSET('배치점수 계산기'!J$10,$D163,0)</f>
        <v>841.53399999999999</v>
      </c>
      <c r="U163" s="194">
        <f ca="1">OFFSET('배치점수 계산기'!K$10,$D163,0)</f>
        <v>840.21</v>
      </c>
      <c r="V163" s="194">
        <f ca="1">OFFSET('배치점수 계산기'!L$10,$D163,0)</f>
        <v>839.41099999999994</v>
      </c>
      <c r="W163" s="186" t="str">
        <f ca="1">OFFSET('배치점수 계산기'!M$10,$D163,0)</f>
        <v>표점/만점</v>
      </c>
      <c r="X163" s="184" t="str">
        <f ca="1">OFFSET('배치점수 계산기'!N$10,$D163,0)</f>
        <v>변표/만점</v>
      </c>
      <c r="Y163" s="188">
        <f ca="1">OFFSET(환산공식!FW$15,$F163,0)</f>
        <v>0.39</v>
      </c>
      <c r="Z163" s="20">
        <f ca="1">OFFSET(환산공식!FX$15,$F163,0)</f>
        <v>0.33</v>
      </c>
      <c r="AA163" s="179">
        <f ca="1">OFFSET(환산공식!FY$15,$F163,0)</f>
        <v>0.28000000000000003</v>
      </c>
      <c r="AC163"/>
      <c r="AD163">
        <f t="shared" ca="1" si="6"/>
        <v>6</v>
      </c>
      <c r="AE163"/>
    </row>
    <row r="164" spans="1:31" s="3" customFormat="1">
      <c r="A164" s="198"/>
      <c r="B164" s="198"/>
      <c r="C164" s="198" t="s">
        <v>725</v>
      </c>
      <c r="D164" s="195">
        <v>214</v>
      </c>
      <c r="E164" s="195">
        <v>28</v>
      </c>
      <c r="F164" s="195">
        <v>28</v>
      </c>
      <c r="G164" s="239">
        <v>157</v>
      </c>
      <c r="H164" s="197" t="s">
        <v>72</v>
      </c>
      <c r="I164" s="242" t="s">
        <v>80</v>
      </c>
      <c r="J164" s="242" t="s">
        <v>9017</v>
      </c>
      <c r="K164" s="195" t="s">
        <v>71</v>
      </c>
      <c r="L164" s="20" t="str">
        <f ca="1">IF(OFFSET(환산공식!$ED$15,$F164,0)=1,"O","X")</f>
        <v>X</v>
      </c>
      <c r="M164" s="188">
        <f ca="1">IFERROR(OFFSET(환산공식!DJ$15,$F164,0),"")</f>
        <v>100</v>
      </c>
      <c r="N164" s="20" t="str">
        <f ca="1">IFERROR(CONCATENATE(ROUND(OFFSET(환산공식!DK$15,$F164,0),1),"%"),"")</f>
        <v>100%</v>
      </c>
      <c r="O164" s="20">
        <f ca="1">IFERROR(OFFSET(환산공식!DL$15,$F164,0),"")</f>
        <v>0</v>
      </c>
      <c r="P164" s="188" t="str">
        <f t="shared" ca="1" si="5"/>
        <v>3% 이하</v>
      </c>
      <c r="Q164" s="194">
        <f ca="1">IFERROR(ROUND(OFFSET(환산공식!$FG$15,$F164,0),3),"")</f>
        <v>0</v>
      </c>
      <c r="R164" s="194">
        <f ca="1">OFFSET('배치점수 계산기'!H$10,$D164,0)</f>
        <v>842.779</v>
      </c>
      <c r="S164" s="194">
        <f ca="1">OFFSET('배치점수 계산기'!I$10,$D164,0)</f>
        <v>842.23599999999999</v>
      </c>
      <c r="T164" s="194">
        <f ca="1">OFFSET('배치점수 계산기'!J$10,$D164,0)</f>
        <v>840.971</v>
      </c>
      <c r="U164" s="194">
        <f ca="1">OFFSET('배치점수 계산기'!K$10,$D164,0)</f>
        <v>839.57100000000003</v>
      </c>
      <c r="V164" s="194">
        <f ca="1">OFFSET('배치점수 계산기'!L$10,$D164,0)</f>
        <v>839.19600000000003</v>
      </c>
      <c r="W164" s="186" t="str">
        <f ca="1">OFFSET('배치점수 계산기'!M$10,$D164,0)</f>
        <v>표점/만점</v>
      </c>
      <c r="X164" s="184" t="str">
        <f ca="1">OFFSET('배치점수 계산기'!N$10,$D164,0)</f>
        <v>변표/만점</v>
      </c>
      <c r="Y164" s="188">
        <f ca="1">OFFSET(환산공식!FW$15,$F164,0)</f>
        <v>0.39</v>
      </c>
      <c r="Z164" s="20">
        <f ca="1">OFFSET(환산공식!FX$15,$F164,0)</f>
        <v>0.33</v>
      </c>
      <c r="AA164" s="179">
        <f ca="1">OFFSET(환산공식!FY$15,$F164,0)</f>
        <v>0.28000000000000003</v>
      </c>
      <c r="AC164"/>
      <c r="AD164">
        <f t="shared" ca="1" si="6"/>
        <v>6</v>
      </c>
      <c r="AE164"/>
    </row>
    <row r="165" spans="1:31" s="3" customFormat="1">
      <c r="A165" s="198"/>
      <c r="B165" s="198"/>
      <c r="C165" s="198" t="s">
        <v>726</v>
      </c>
      <c r="D165" s="195">
        <v>215</v>
      </c>
      <c r="E165" s="195">
        <v>29</v>
      </c>
      <c r="F165" s="195">
        <v>29</v>
      </c>
      <c r="G165" s="239">
        <v>158</v>
      </c>
      <c r="H165" s="197" t="s">
        <v>72</v>
      </c>
      <c r="I165" s="242" t="s">
        <v>80</v>
      </c>
      <c r="J165" s="242" t="s">
        <v>16599</v>
      </c>
      <c r="K165" s="195" t="s">
        <v>71</v>
      </c>
      <c r="L165" s="20" t="str">
        <f ca="1">IF(OFFSET(환산공식!$ED$15,$F165,0)=1,"O","X")</f>
        <v>X</v>
      </c>
      <c r="M165" s="188">
        <f ca="1">IFERROR(OFFSET(환산공식!DJ$15,$F165,0),"")</f>
        <v>100</v>
      </c>
      <c r="N165" s="20" t="str">
        <f ca="1">IFERROR(CONCATENATE(ROUND(OFFSET(환산공식!DK$15,$F165,0),1),"%"),"")</f>
        <v>100%</v>
      </c>
      <c r="O165" s="20">
        <f ca="1">IFERROR(OFFSET(환산공식!DL$15,$F165,0),"")</f>
        <v>0</v>
      </c>
      <c r="P165" s="188" t="str">
        <f t="shared" ca="1" si="5"/>
        <v>3% 이하</v>
      </c>
      <c r="Q165" s="194">
        <f ca="1">IFERROR(ROUND(OFFSET(환산공식!$FG$15,$F165,0),3),"")</f>
        <v>0</v>
      </c>
      <c r="R165" s="194">
        <f ca="1">OFFSET('배치점수 계산기'!H$10,$D165,0)</f>
        <v>841.25800000000004</v>
      </c>
      <c r="S165" s="194">
        <f ca="1">OFFSET('배치점수 계산기'!I$10,$D165,0)</f>
        <v>840.68100000000004</v>
      </c>
      <c r="T165" s="194">
        <f ca="1">OFFSET('배치점수 계산기'!J$10,$D165,0)</f>
        <v>839.38099999999997</v>
      </c>
      <c r="U165" s="194">
        <f ca="1">OFFSET('배치점수 계산기'!K$10,$D165,0)</f>
        <v>838.16800000000001</v>
      </c>
      <c r="V165" s="194">
        <f ca="1">OFFSET('배치점수 계산기'!L$10,$D165,0)</f>
        <v>836.71500000000003</v>
      </c>
      <c r="W165" s="186" t="str">
        <f ca="1">OFFSET('배치점수 계산기'!M$10,$D165,0)</f>
        <v>표점/만점</v>
      </c>
      <c r="X165" s="184" t="str">
        <f ca="1">OFFSET('배치점수 계산기'!N$10,$D165,0)</f>
        <v>변표/만점</v>
      </c>
      <c r="Y165" s="188">
        <f ca="1">OFFSET(환산공식!FW$15,$F165,0)</f>
        <v>0.39</v>
      </c>
      <c r="Z165" s="20">
        <f ca="1">OFFSET(환산공식!FX$15,$F165,0)</f>
        <v>0.39</v>
      </c>
      <c r="AA165" s="179">
        <f ca="1">OFFSET(환산공식!FY$15,$F165,0)</f>
        <v>0.22</v>
      </c>
      <c r="AC165"/>
      <c r="AD165">
        <f t="shared" ca="1" si="6"/>
        <v>6</v>
      </c>
      <c r="AE165"/>
    </row>
    <row r="166" spans="1:31" s="3" customFormat="1">
      <c r="A166" s="198"/>
      <c r="B166" s="198"/>
      <c r="C166" s="198" t="s">
        <v>727</v>
      </c>
      <c r="D166" s="195">
        <v>216</v>
      </c>
      <c r="E166" s="195">
        <v>28</v>
      </c>
      <c r="F166" s="195">
        <v>28</v>
      </c>
      <c r="G166" s="239">
        <v>159</v>
      </c>
      <c r="H166" s="197" t="s">
        <v>72</v>
      </c>
      <c r="I166" s="242" t="s">
        <v>80</v>
      </c>
      <c r="J166" s="242" t="s">
        <v>8883</v>
      </c>
      <c r="K166" s="195" t="s">
        <v>71</v>
      </c>
      <c r="L166" s="20" t="str">
        <f ca="1">IF(OFFSET(환산공식!$ED$15,$F166,0)=1,"O","X")</f>
        <v>X</v>
      </c>
      <c r="M166" s="188">
        <f ca="1">IFERROR(OFFSET(환산공식!DJ$15,$F166,0),"")</f>
        <v>100</v>
      </c>
      <c r="N166" s="20" t="str">
        <f ca="1">IFERROR(CONCATENATE(ROUND(OFFSET(환산공식!DK$15,$F166,0),1),"%"),"")</f>
        <v>100%</v>
      </c>
      <c r="O166" s="20">
        <f ca="1">IFERROR(OFFSET(환산공식!DL$15,$F166,0),"")</f>
        <v>0</v>
      </c>
      <c r="P166" s="188" t="str">
        <f t="shared" ca="1" si="5"/>
        <v>3% 이하</v>
      </c>
      <c r="Q166" s="194">
        <f ca="1">IFERROR(ROUND(OFFSET(환산공식!$FG$15,$F166,0),3),"")</f>
        <v>0</v>
      </c>
      <c r="R166" s="194">
        <f ca="1">OFFSET('배치점수 계산기'!H$10,$D166,0)</f>
        <v>844.86199999999997</v>
      </c>
      <c r="S166" s="194">
        <f ca="1">OFFSET('배치점수 계산기'!I$10,$D166,0)</f>
        <v>842.58500000000004</v>
      </c>
      <c r="T166" s="194">
        <f ca="1">OFFSET('배치점수 계산기'!J$10,$D166,0)</f>
        <v>840.77599999999995</v>
      </c>
      <c r="U166" s="194">
        <f ca="1">OFFSET('배치점수 계산기'!K$10,$D166,0)</f>
        <v>837.55899999999997</v>
      </c>
      <c r="V166" s="194">
        <f ca="1">OFFSET('배치점수 계산기'!L$10,$D166,0)</f>
        <v>835.05600000000004</v>
      </c>
      <c r="W166" s="186" t="str">
        <f ca="1">OFFSET('배치점수 계산기'!M$10,$D166,0)</f>
        <v>표점/만점</v>
      </c>
      <c r="X166" s="184" t="str">
        <f ca="1">OFFSET('배치점수 계산기'!N$10,$D166,0)</f>
        <v>변표/만점</v>
      </c>
      <c r="Y166" s="188">
        <f ca="1">OFFSET(환산공식!FW$15,$F166,0)</f>
        <v>0.39</v>
      </c>
      <c r="Z166" s="20">
        <f ca="1">OFFSET(환산공식!FX$15,$F166,0)</f>
        <v>0.33</v>
      </c>
      <c r="AA166" s="179">
        <f ca="1">OFFSET(환산공식!FY$15,$F166,0)</f>
        <v>0.28000000000000003</v>
      </c>
      <c r="AC166"/>
      <c r="AD166">
        <f t="shared" ca="1" si="6"/>
        <v>6</v>
      </c>
      <c r="AE166"/>
    </row>
    <row r="167" spans="1:31" s="3" customFormat="1">
      <c r="A167" s="198"/>
      <c r="B167" s="198"/>
      <c r="C167" s="198" t="s">
        <v>728</v>
      </c>
      <c r="D167" s="195">
        <v>217</v>
      </c>
      <c r="E167" s="195">
        <v>28</v>
      </c>
      <c r="F167" s="195">
        <v>28</v>
      </c>
      <c r="G167" s="239">
        <v>160</v>
      </c>
      <c r="H167" s="197" t="s">
        <v>72</v>
      </c>
      <c r="I167" s="242" t="s">
        <v>80</v>
      </c>
      <c r="J167" s="242" t="s">
        <v>7365</v>
      </c>
      <c r="K167" s="195" t="s">
        <v>71</v>
      </c>
      <c r="L167" s="20" t="str">
        <f ca="1">IF(OFFSET(환산공식!$ED$15,$F167,0)=1,"O","X")</f>
        <v>X</v>
      </c>
      <c r="M167" s="188">
        <f ca="1">IFERROR(OFFSET(환산공식!DJ$15,$F167,0),"")</f>
        <v>100</v>
      </c>
      <c r="N167" s="20" t="str">
        <f ca="1">IFERROR(CONCATENATE(ROUND(OFFSET(환산공식!DK$15,$F167,0),1),"%"),"")</f>
        <v>100%</v>
      </c>
      <c r="O167" s="20">
        <f ca="1">IFERROR(OFFSET(환산공식!DL$15,$F167,0),"")</f>
        <v>0</v>
      </c>
      <c r="P167" s="188" t="str">
        <f t="shared" ca="1" si="5"/>
        <v>3% 이하</v>
      </c>
      <c r="Q167" s="194">
        <f ca="1">IFERROR(ROUND(OFFSET(환산공식!$FG$15,$F167,0),3),"")</f>
        <v>0</v>
      </c>
      <c r="R167" s="194">
        <f ca="1">OFFSET('배치점수 계산기'!H$10,$D167,0)</f>
        <v>842.447</v>
      </c>
      <c r="S167" s="194">
        <f ca="1">OFFSET('배치점수 계산기'!I$10,$D167,0)</f>
        <v>841.53399999999999</v>
      </c>
      <c r="T167" s="194">
        <f ca="1">OFFSET('배치점수 계산기'!J$10,$D167,0)</f>
        <v>840.48500000000001</v>
      </c>
      <c r="U167" s="194">
        <f ca="1">OFFSET('배치점수 계산기'!K$10,$D167,0)</f>
        <v>839.19600000000003</v>
      </c>
      <c r="V167" s="194">
        <f ca="1">OFFSET('배치점수 계산기'!L$10,$D167,0)</f>
        <v>837.55899999999997</v>
      </c>
      <c r="W167" s="186" t="str">
        <f ca="1">OFFSET('배치점수 계산기'!M$10,$D167,0)</f>
        <v>표점/만점</v>
      </c>
      <c r="X167" s="184" t="str">
        <f ca="1">OFFSET('배치점수 계산기'!N$10,$D167,0)</f>
        <v>변표/만점</v>
      </c>
      <c r="Y167" s="188">
        <f ca="1">OFFSET(환산공식!FW$15,$F167,0)</f>
        <v>0.39</v>
      </c>
      <c r="Z167" s="20">
        <f ca="1">OFFSET(환산공식!FX$15,$F167,0)</f>
        <v>0.33</v>
      </c>
      <c r="AA167" s="179">
        <f ca="1">OFFSET(환산공식!FY$15,$F167,0)</f>
        <v>0.28000000000000003</v>
      </c>
      <c r="AC167"/>
      <c r="AD167">
        <f t="shared" ca="1" si="6"/>
        <v>6</v>
      </c>
      <c r="AE167"/>
    </row>
    <row r="168" spans="1:31" s="3" customFormat="1">
      <c r="A168" s="198"/>
      <c r="B168" s="198"/>
      <c r="C168" s="198" t="s">
        <v>729</v>
      </c>
      <c r="D168" s="195">
        <v>218</v>
      </c>
      <c r="E168" s="195">
        <v>28</v>
      </c>
      <c r="F168" s="195">
        <v>28</v>
      </c>
      <c r="G168" s="239">
        <v>161</v>
      </c>
      <c r="H168" s="197" t="s">
        <v>72</v>
      </c>
      <c r="I168" s="242" t="s">
        <v>80</v>
      </c>
      <c r="J168" s="242" t="s">
        <v>8654</v>
      </c>
      <c r="K168" s="195" t="s">
        <v>71</v>
      </c>
      <c r="L168" s="20" t="str">
        <f ca="1">IF(OFFSET(환산공식!$ED$15,$F168,0)=1,"O","X")</f>
        <v>X</v>
      </c>
      <c r="M168" s="188">
        <f ca="1">IFERROR(OFFSET(환산공식!DJ$15,$F168,0),"")</f>
        <v>100</v>
      </c>
      <c r="N168" s="20" t="str">
        <f ca="1">IFERROR(CONCATENATE(ROUND(OFFSET(환산공식!DK$15,$F168,0),1),"%"),"")</f>
        <v>100%</v>
      </c>
      <c r="O168" s="20">
        <f ca="1">IFERROR(OFFSET(환산공식!DL$15,$F168,0),"")</f>
        <v>0</v>
      </c>
      <c r="P168" s="188" t="str">
        <f t="shared" ca="1" si="5"/>
        <v>3% 이하</v>
      </c>
      <c r="Q168" s="194">
        <f ca="1">IFERROR(ROUND(OFFSET(환산공식!$FG$15,$F168,0),3),"")</f>
        <v>0</v>
      </c>
      <c r="R168" s="194">
        <f ca="1">OFFSET('배치점수 계산기'!H$10,$D168,0)</f>
        <v>842.447</v>
      </c>
      <c r="S168" s="194">
        <f ca="1">OFFSET('배치점수 계산기'!I$10,$D168,0)</f>
        <v>841.53399999999999</v>
      </c>
      <c r="T168" s="194">
        <f ca="1">OFFSET('배치점수 계산기'!J$10,$D168,0)</f>
        <v>840.48500000000001</v>
      </c>
      <c r="U168" s="194">
        <f ca="1">OFFSET('배치점수 계산기'!K$10,$D168,0)</f>
        <v>839.19600000000003</v>
      </c>
      <c r="V168" s="194">
        <f ca="1">OFFSET('배치점수 계산기'!L$10,$D168,0)</f>
        <v>838.86400000000003</v>
      </c>
      <c r="W168" s="186" t="str">
        <f ca="1">OFFSET('배치점수 계산기'!M$10,$D168,0)</f>
        <v>표점/만점</v>
      </c>
      <c r="X168" s="184" t="str">
        <f ca="1">OFFSET('배치점수 계산기'!N$10,$D168,0)</f>
        <v>변표/만점</v>
      </c>
      <c r="Y168" s="188">
        <f ca="1">OFFSET(환산공식!FW$15,$F168,0)</f>
        <v>0.39</v>
      </c>
      <c r="Z168" s="20">
        <f ca="1">OFFSET(환산공식!FX$15,$F168,0)</f>
        <v>0.33</v>
      </c>
      <c r="AA168" s="179">
        <f ca="1">OFFSET(환산공식!FY$15,$F168,0)</f>
        <v>0.28000000000000003</v>
      </c>
      <c r="AC168"/>
      <c r="AD168">
        <f t="shared" ca="1" si="6"/>
        <v>6</v>
      </c>
      <c r="AE168"/>
    </row>
    <row r="169" spans="1:31" s="3" customFormat="1">
      <c r="A169" s="198"/>
      <c r="B169" s="198"/>
      <c r="C169" s="198" t="s">
        <v>730</v>
      </c>
      <c r="D169" s="195">
        <v>219</v>
      </c>
      <c r="E169" s="195">
        <v>28</v>
      </c>
      <c r="F169" s="195">
        <v>28</v>
      </c>
      <c r="G169" s="239">
        <v>162</v>
      </c>
      <c r="H169" s="197" t="s">
        <v>72</v>
      </c>
      <c r="I169" s="242" t="s">
        <v>80</v>
      </c>
      <c r="J169" s="242" t="s">
        <v>8216</v>
      </c>
      <c r="K169" s="195" t="s">
        <v>71</v>
      </c>
      <c r="L169" s="20" t="str">
        <f ca="1">IF(OFFSET(환산공식!$ED$15,$F169,0)=1,"O","X")</f>
        <v>X</v>
      </c>
      <c r="M169" s="188">
        <f ca="1">IFERROR(OFFSET(환산공식!DJ$15,$F169,0),"")</f>
        <v>100</v>
      </c>
      <c r="N169" s="20" t="str">
        <f ca="1">IFERROR(CONCATENATE(ROUND(OFFSET(환산공식!DK$15,$F169,0),1),"%"),"")</f>
        <v>100%</v>
      </c>
      <c r="O169" s="20">
        <f ca="1">IFERROR(OFFSET(환산공식!DL$15,$F169,0),"")</f>
        <v>0</v>
      </c>
      <c r="P169" s="188" t="str">
        <f t="shared" ca="1" si="5"/>
        <v>3% 이하</v>
      </c>
      <c r="Q169" s="194">
        <f ca="1">IFERROR(ROUND(OFFSET(환산공식!$FG$15,$F169,0),3),"")</f>
        <v>0</v>
      </c>
      <c r="R169" s="194">
        <f ca="1">OFFSET('배치점수 계산기'!H$10,$D169,0)</f>
        <v>842.447</v>
      </c>
      <c r="S169" s="194">
        <f ca="1">OFFSET('배치점수 계산기'!I$10,$D169,0)</f>
        <v>841.53399999999999</v>
      </c>
      <c r="T169" s="194">
        <f ca="1">OFFSET('배치점수 계산기'!J$10,$D169,0)</f>
        <v>840.48500000000001</v>
      </c>
      <c r="U169" s="194">
        <f ca="1">OFFSET('배치점수 계산기'!K$10,$D169,0)</f>
        <v>839.19600000000003</v>
      </c>
      <c r="V169" s="194">
        <f ca="1">OFFSET('배치점수 계산기'!L$10,$D169,0)</f>
        <v>838.86400000000003</v>
      </c>
      <c r="W169" s="186" t="str">
        <f ca="1">OFFSET('배치점수 계산기'!M$10,$D169,0)</f>
        <v>표점/만점</v>
      </c>
      <c r="X169" s="184" t="str">
        <f ca="1">OFFSET('배치점수 계산기'!N$10,$D169,0)</f>
        <v>변표/만점</v>
      </c>
      <c r="Y169" s="188">
        <f ca="1">OFFSET(환산공식!FW$15,$F169,0)</f>
        <v>0.39</v>
      </c>
      <c r="Z169" s="20">
        <f ca="1">OFFSET(환산공식!FX$15,$F169,0)</f>
        <v>0.33</v>
      </c>
      <c r="AA169" s="179">
        <f ca="1">OFFSET(환산공식!FY$15,$F169,0)</f>
        <v>0.28000000000000003</v>
      </c>
      <c r="AC169"/>
      <c r="AD169">
        <f t="shared" ca="1" si="6"/>
        <v>6</v>
      </c>
      <c r="AE169"/>
    </row>
    <row r="170" spans="1:31" s="3" customFormat="1">
      <c r="A170" s="198"/>
      <c r="B170" s="198"/>
      <c r="C170" s="198" t="s">
        <v>731</v>
      </c>
      <c r="D170" s="195">
        <v>220</v>
      </c>
      <c r="E170" s="195">
        <v>29</v>
      </c>
      <c r="F170" s="195">
        <v>29</v>
      </c>
      <c r="G170" s="239">
        <v>163</v>
      </c>
      <c r="H170" s="197" t="s">
        <v>72</v>
      </c>
      <c r="I170" s="242" t="s">
        <v>80</v>
      </c>
      <c r="J170" s="242" t="s">
        <v>8197</v>
      </c>
      <c r="K170" s="195" t="s">
        <v>71</v>
      </c>
      <c r="L170" s="20" t="str">
        <f ca="1">IF(OFFSET(환산공식!$ED$15,$F170,0)=1,"O","X")</f>
        <v>X</v>
      </c>
      <c r="M170" s="188">
        <f ca="1">IFERROR(OFFSET(환산공식!DJ$15,$F170,0),"")</f>
        <v>100</v>
      </c>
      <c r="N170" s="20" t="str">
        <f ca="1">IFERROR(CONCATENATE(ROUND(OFFSET(환산공식!DK$15,$F170,0),1),"%"),"")</f>
        <v>100%</v>
      </c>
      <c r="O170" s="20">
        <f ca="1">IFERROR(OFFSET(환산공식!DL$15,$F170,0),"")</f>
        <v>0</v>
      </c>
      <c r="P170" s="188" t="str">
        <f t="shared" ca="1" si="5"/>
        <v>3% 이하</v>
      </c>
      <c r="Q170" s="194">
        <f ca="1">IFERROR(ROUND(OFFSET(환산공식!$FG$15,$F170,0),3),"")</f>
        <v>0</v>
      </c>
      <c r="R170" s="194">
        <f ca="1">OFFSET('배치점수 계산기'!H$10,$D170,0)</f>
        <v>841.10900000000004</v>
      </c>
      <c r="S170" s="194">
        <f ca="1">OFFSET('배치점수 계산기'!I$10,$D170,0)</f>
        <v>839.83500000000004</v>
      </c>
      <c r="T170" s="194">
        <f ca="1">OFFSET('배치점수 계산기'!J$10,$D170,0)</f>
        <v>838.24699999999996</v>
      </c>
      <c r="U170" s="194">
        <f ca="1">OFFSET('배치점수 계산기'!K$10,$D170,0)</f>
        <v>837.529</v>
      </c>
      <c r="V170" s="194">
        <f ca="1">OFFSET('배치점수 계산기'!L$10,$D170,0)</f>
        <v>836.71500000000003</v>
      </c>
      <c r="W170" s="186" t="str">
        <f ca="1">OFFSET('배치점수 계산기'!M$10,$D170,0)</f>
        <v>표점/만점</v>
      </c>
      <c r="X170" s="184" t="str">
        <f ca="1">OFFSET('배치점수 계산기'!N$10,$D170,0)</f>
        <v>변표/만점</v>
      </c>
      <c r="Y170" s="188">
        <f ca="1">OFFSET(환산공식!FW$15,$F170,0)</f>
        <v>0.39</v>
      </c>
      <c r="Z170" s="20">
        <f ca="1">OFFSET(환산공식!FX$15,$F170,0)</f>
        <v>0.39</v>
      </c>
      <c r="AA170" s="179">
        <f ca="1">OFFSET(환산공식!FY$15,$F170,0)</f>
        <v>0.22</v>
      </c>
      <c r="AC170"/>
      <c r="AD170">
        <f t="shared" ca="1" si="6"/>
        <v>6</v>
      </c>
      <c r="AE170"/>
    </row>
    <row r="171" spans="1:31" s="3" customFormat="1">
      <c r="A171" s="198"/>
      <c r="B171" s="198"/>
      <c r="C171" s="198" t="s">
        <v>732</v>
      </c>
      <c r="D171" s="195">
        <v>221</v>
      </c>
      <c r="E171" s="195">
        <v>28</v>
      </c>
      <c r="F171" s="195">
        <v>28</v>
      </c>
      <c r="G171" s="239">
        <v>164</v>
      </c>
      <c r="H171" s="197" t="s">
        <v>72</v>
      </c>
      <c r="I171" s="242" t="s">
        <v>80</v>
      </c>
      <c r="J171" s="242" t="s">
        <v>8618</v>
      </c>
      <c r="K171" s="195" t="s">
        <v>71</v>
      </c>
      <c r="L171" s="20" t="str">
        <f ca="1">IF(OFFSET(환산공식!$ED$15,$F171,0)=1,"O","X")</f>
        <v>X</v>
      </c>
      <c r="M171" s="188">
        <f ca="1">IFERROR(OFFSET(환산공식!DJ$15,$F171,0),"")</f>
        <v>100</v>
      </c>
      <c r="N171" s="20" t="str">
        <f ca="1">IFERROR(CONCATENATE(ROUND(OFFSET(환산공식!DK$15,$F171,0),1),"%"),"")</f>
        <v>100%</v>
      </c>
      <c r="O171" s="20">
        <f ca="1">IFERROR(OFFSET(환산공식!DL$15,$F171,0),"")</f>
        <v>0</v>
      </c>
      <c r="P171" s="188" t="str">
        <f t="shared" ca="1" si="5"/>
        <v>3% 이하</v>
      </c>
      <c r="Q171" s="194">
        <f ca="1">IFERROR(ROUND(OFFSET(환산공식!$FG$15,$F171,0),3),"")</f>
        <v>0</v>
      </c>
      <c r="R171" s="194">
        <f ca="1">OFFSET('배치점수 계산기'!H$10,$D171,0)</f>
        <v>841.39599999999996</v>
      </c>
      <c r="S171" s="194">
        <f ca="1">OFFSET('배치점수 계산기'!I$10,$D171,0)</f>
        <v>840.21</v>
      </c>
      <c r="T171" s="194">
        <f ca="1">OFFSET('배치점수 계산기'!J$10,$D171,0)</f>
        <v>839.19600000000003</v>
      </c>
      <c r="U171" s="194">
        <f ca="1">OFFSET('배치점수 계산기'!K$10,$D171,0)</f>
        <v>837.697</v>
      </c>
      <c r="V171" s="194">
        <f ca="1">OFFSET('배치점수 계산기'!L$10,$D171,0)</f>
        <v>837.23800000000006</v>
      </c>
      <c r="W171" s="186" t="str">
        <f ca="1">OFFSET('배치점수 계산기'!M$10,$D171,0)</f>
        <v>표점/만점</v>
      </c>
      <c r="X171" s="184" t="str">
        <f ca="1">OFFSET('배치점수 계산기'!N$10,$D171,0)</f>
        <v>변표/만점</v>
      </c>
      <c r="Y171" s="188">
        <f ca="1">OFFSET(환산공식!FW$15,$F171,0)</f>
        <v>0.39</v>
      </c>
      <c r="Z171" s="20">
        <f ca="1">OFFSET(환산공식!FX$15,$F171,0)</f>
        <v>0.33</v>
      </c>
      <c r="AA171" s="179">
        <f ca="1">OFFSET(환산공식!FY$15,$F171,0)</f>
        <v>0.28000000000000003</v>
      </c>
      <c r="AC171"/>
      <c r="AD171">
        <f t="shared" ca="1" si="6"/>
        <v>6</v>
      </c>
      <c r="AE171"/>
    </row>
    <row r="172" spans="1:31" s="3" customFormat="1">
      <c r="A172" s="198"/>
      <c r="B172" s="198"/>
      <c r="C172" s="198" t="s">
        <v>733</v>
      </c>
      <c r="D172" s="195">
        <v>222</v>
      </c>
      <c r="E172" s="195">
        <v>28</v>
      </c>
      <c r="F172" s="195">
        <v>28</v>
      </c>
      <c r="G172" s="239">
        <v>165</v>
      </c>
      <c r="H172" s="197" t="s">
        <v>72</v>
      </c>
      <c r="I172" s="242" t="s">
        <v>80</v>
      </c>
      <c r="J172" s="242" t="s">
        <v>8753</v>
      </c>
      <c r="K172" s="195" t="s">
        <v>71</v>
      </c>
      <c r="L172" s="20" t="str">
        <f ca="1">IF(OFFSET(환산공식!$ED$15,$F172,0)=1,"O","X")</f>
        <v>X</v>
      </c>
      <c r="M172" s="188">
        <f ca="1">IFERROR(OFFSET(환산공식!DJ$15,$F172,0),"")</f>
        <v>100</v>
      </c>
      <c r="N172" s="20" t="str">
        <f ca="1">IFERROR(CONCATENATE(ROUND(OFFSET(환산공식!DK$15,$F172,0),1),"%"),"")</f>
        <v>100%</v>
      </c>
      <c r="O172" s="20">
        <f ca="1">IFERROR(OFFSET(환산공식!DL$15,$F172,0),"")</f>
        <v>0</v>
      </c>
      <c r="P172" s="188" t="str">
        <f t="shared" ca="1" si="5"/>
        <v>3% 이하</v>
      </c>
      <c r="Q172" s="194">
        <f ca="1">IFERROR(ROUND(OFFSET(환산공식!$FG$15,$F172,0),3),"")</f>
        <v>0</v>
      </c>
      <c r="R172" s="194">
        <f ca="1">OFFSET('배치점수 계산기'!H$10,$D172,0)</f>
        <v>841.39599999999996</v>
      </c>
      <c r="S172" s="194">
        <f ca="1">OFFSET('배치점수 계산기'!I$10,$D172,0)</f>
        <v>840.21</v>
      </c>
      <c r="T172" s="194">
        <f ca="1">OFFSET('배치점수 계산기'!J$10,$D172,0)</f>
        <v>839.19600000000003</v>
      </c>
      <c r="U172" s="194">
        <f ca="1">OFFSET('배치점수 계산기'!K$10,$D172,0)</f>
        <v>838.048</v>
      </c>
      <c r="V172" s="194">
        <f ca="1">OFFSET('배치점수 계산기'!L$10,$D172,0)</f>
        <v>835.40800000000002</v>
      </c>
      <c r="W172" s="186" t="str">
        <f ca="1">OFFSET('배치점수 계산기'!M$10,$D172,0)</f>
        <v>표점/만점</v>
      </c>
      <c r="X172" s="184" t="str">
        <f ca="1">OFFSET('배치점수 계산기'!N$10,$D172,0)</f>
        <v>변표/만점</v>
      </c>
      <c r="Y172" s="188">
        <f ca="1">OFFSET(환산공식!FW$15,$F172,0)</f>
        <v>0.39</v>
      </c>
      <c r="Z172" s="20">
        <f ca="1">OFFSET(환산공식!FX$15,$F172,0)</f>
        <v>0.33</v>
      </c>
      <c r="AA172" s="179">
        <f ca="1">OFFSET(환산공식!FY$15,$F172,0)</f>
        <v>0.28000000000000003</v>
      </c>
      <c r="AC172"/>
      <c r="AD172">
        <f t="shared" ca="1" si="6"/>
        <v>6</v>
      </c>
      <c r="AE172"/>
    </row>
    <row r="173" spans="1:31" s="3" customFormat="1">
      <c r="A173" s="198"/>
      <c r="B173" s="198"/>
      <c r="C173" s="198" t="s">
        <v>734</v>
      </c>
      <c r="D173" s="195">
        <v>223</v>
      </c>
      <c r="E173" s="195">
        <v>28</v>
      </c>
      <c r="F173" s="195">
        <v>28</v>
      </c>
      <c r="G173" s="239">
        <v>166</v>
      </c>
      <c r="H173" s="197" t="s">
        <v>72</v>
      </c>
      <c r="I173" s="242" t="s">
        <v>80</v>
      </c>
      <c r="J173" s="242" t="s">
        <v>8863</v>
      </c>
      <c r="K173" s="195" t="s">
        <v>71</v>
      </c>
      <c r="L173" s="20" t="str">
        <f ca="1">IF(OFFSET(환산공식!$ED$15,$F173,0)=1,"O","X")</f>
        <v>X</v>
      </c>
      <c r="M173" s="188">
        <f ca="1">IFERROR(OFFSET(환산공식!DJ$15,$F173,0),"")</f>
        <v>100</v>
      </c>
      <c r="N173" s="20" t="str">
        <f ca="1">IFERROR(CONCATENATE(ROUND(OFFSET(환산공식!DK$15,$F173,0),1),"%"),"")</f>
        <v>100%</v>
      </c>
      <c r="O173" s="20">
        <f ca="1">IFERROR(OFFSET(환산공식!DL$15,$F173,0),"")</f>
        <v>0</v>
      </c>
      <c r="P173" s="188" t="str">
        <f t="shared" ca="1" si="5"/>
        <v>3% 이하</v>
      </c>
      <c r="Q173" s="194">
        <f ca="1">IFERROR(ROUND(OFFSET(환산공식!$FG$15,$F173,0),3),"")</f>
        <v>0</v>
      </c>
      <c r="R173" s="194">
        <f ca="1">OFFSET('배치점수 계산기'!H$10,$D173,0)</f>
        <v>840.971</v>
      </c>
      <c r="S173" s="194">
        <f ca="1">OFFSET('배치점수 계산기'!I$10,$D173,0)</f>
        <v>840.03599999999994</v>
      </c>
      <c r="T173" s="194">
        <f ca="1">OFFSET('배치점수 계산기'!J$10,$D173,0)</f>
        <v>838.16200000000003</v>
      </c>
      <c r="U173" s="194">
        <f ca="1">OFFSET('배치점수 계산기'!K$10,$D173,0)</f>
        <v>837.55899999999997</v>
      </c>
      <c r="V173" s="194">
        <f ca="1">OFFSET('배치점수 계산기'!L$10,$D173,0)</f>
        <v>836.41800000000001</v>
      </c>
      <c r="W173" s="186" t="str">
        <f ca="1">OFFSET('배치점수 계산기'!M$10,$D173,0)</f>
        <v>표점/만점</v>
      </c>
      <c r="X173" s="184" t="str">
        <f ca="1">OFFSET('배치점수 계산기'!N$10,$D173,0)</f>
        <v>변표/만점</v>
      </c>
      <c r="Y173" s="188">
        <f ca="1">OFFSET(환산공식!FW$15,$F173,0)</f>
        <v>0.39</v>
      </c>
      <c r="Z173" s="20">
        <f ca="1">OFFSET(환산공식!FX$15,$F173,0)</f>
        <v>0.33</v>
      </c>
      <c r="AA173" s="179">
        <f ca="1">OFFSET(환산공식!FY$15,$F173,0)</f>
        <v>0.28000000000000003</v>
      </c>
      <c r="AC173"/>
      <c r="AD173">
        <f t="shared" ca="1" si="6"/>
        <v>6</v>
      </c>
      <c r="AE173"/>
    </row>
    <row r="174" spans="1:31" s="3" customFormat="1">
      <c r="A174" s="198"/>
      <c r="B174" s="198"/>
      <c r="C174" s="198" t="s">
        <v>735</v>
      </c>
      <c r="D174" s="195">
        <v>224</v>
      </c>
      <c r="E174" s="195">
        <v>28</v>
      </c>
      <c r="F174" s="195">
        <v>28</v>
      </c>
      <c r="G174" s="239">
        <v>167</v>
      </c>
      <c r="H174" s="197" t="s">
        <v>72</v>
      </c>
      <c r="I174" s="242" t="s">
        <v>80</v>
      </c>
      <c r="J174" s="242" t="s">
        <v>9136</v>
      </c>
      <c r="K174" s="195" t="s">
        <v>71</v>
      </c>
      <c r="L174" s="20" t="str">
        <f ca="1">IF(OFFSET(환산공식!$ED$15,$F174,0)=1,"O","X")</f>
        <v>X</v>
      </c>
      <c r="M174" s="188">
        <f ca="1">IFERROR(OFFSET(환산공식!DJ$15,$F174,0),"")</f>
        <v>100</v>
      </c>
      <c r="N174" s="20" t="str">
        <f ca="1">IFERROR(CONCATENATE(ROUND(OFFSET(환산공식!DK$15,$F174,0),1),"%"),"")</f>
        <v>100%</v>
      </c>
      <c r="O174" s="20">
        <f ca="1">IFERROR(OFFSET(환산공식!DL$15,$F174,0),"")</f>
        <v>0</v>
      </c>
      <c r="P174" s="188" t="str">
        <f t="shared" ca="1" si="5"/>
        <v>3% 이하</v>
      </c>
      <c r="Q174" s="194">
        <f ca="1">IFERROR(ROUND(OFFSET(환산공식!$FG$15,$F174,0),3),"")</f>
        <v>0</v>
      </c>
      <c r="R174" s="194">
        <f ca="1">OFFSET('배치점수 계산기'!H$10,$D174,0)</f>
        <v>840.48500000000001</v>
      </c>
      <c r="S174" s="194">
        <f ca="1">OFFSET('배치점수 계산기'!I$10,$D174,0)</f>
        <v>838.86400000000003</v>
      </c>
      <c r="T174" s="194">
        <f ca="1">OFFSET('배치점수 계산기'!J$10,$D174,0)</f>
        <v>837.55899999999997</v>
      </c>
      <c r="U174" s="194">
        <f ca="1">OFFSET('배치점수 계산기'!K$10,$D174,0)</f>
        <v>835.05600000000004</v>
      </c>
      <c r="V174" s="194">
        <f ca="1">OFFSET('배치점수 계산기'!L$10,$D174,0)</f>
        <v>832.29300000000001</v>
      </c>
      <c r="W174" s="186" t="str">
        <f ca="1">OFFSET('배치점수 계산기'!M$10,$D174,0)</f>
        <v>표점/만점</v>
      </c>
      <c r="X174" s="184" t="str">
        <f ca="1">OFFSET('배치점수 계산기'!N$10,$D174,0)</f>
        <v>변표/만점</v>
      </c>
      <c r="Y174" s="188">
        <f ca="1">OFFSET(환산공식!FW$15,$F174,0)</f>
        <v>0.39</v>
      </c>
      <c r="Z174" s="20">
        <f ca="1">OFFSET(환산공식!FX$15,$F174,0)</f>
        <v>0.33</v>
      </c>
      <c r="AA174" s="179">
        <f ca="1">OFFSET(환산공식!FY$15,$F174,0)</f>
        <v>0.28000000000000003</v>
      </c>
      <c r="AC174"/>
      <c r="AD174">
        <f t="shared" ca="1" si="6"/>
        <v>6</v>
      </c>
      <c r="AE174"/>
    </row>
    <row r="175" spans="1:31" s="3" customFormat="1">
      <c r="A175" s="198"/>
      <c r="B175" s="198"/>
      <c r="C175" s="198" t="s">
        <v>736</v>
      </c>
      <c r="D175" s="195">
        <v>225</v>
      </c>
      <c r="E175" s="195">
        <v>28</v>
      </c>
      <c r="F175" s="195">
        <v>28</v>
      </c>
      <c r="G175" s="239">
        <v>168</v>
      </c>
      <c r="H175" s="197" t="s">
        <v>72</v>
      </c>
      <c r="I175" s="242" t="s">
        <v>80</v>
      </c>
      <c r="J175" s="242" t="s">
        <v>8217</v>
      </c>
      <c r="K175" s="195" t="s">
        <v>71</v>
      </c>
      <c r="L175" s="20" t="str">
        <f ca="1">IF(OFFSET(환산공식!$ED$15,$F175,0)=1,"O","X")</f>
        <v>X</v>
      </c>
      <c r="M175" s="188">
        <f ca="1">IFERROR(OFFSET(환산공식!DJ$15,$F175,0),"")</f>
        <v>100</v>
      </c>
      <c r="N175" s="20" t="str">
        <f ca="1">IFERROR(CONCATENATE(ROUND(OFFSET(환산공식!DK$15,$F175,0),1),"%"),"")</f>
        <v>100%</v>
      </c>
      <c r="O175" s="20">
        <f ca="1">IFERROR(OFFSET(환산공식!DL$15,$F175,0),"")</f>
        <v>0</v>
      </c>
      <c r="P175" s="188" t="str">
        <f t="shared" ca="1" si="5"/>
        <v>3% 이하</v>
      </c>
      <c r="Q175" s="194">
        <f ca="1">IFERROR(ROUND(OFFSET(환산공식!$FG$15,$F175,0),3),"")</f>
        <v>0</v>
      </c>
      <c r="R175" s="194">
        <f ca="1">OFFSET('배치점수 계산기'!H$10,$D175,0)</f>
        <v>839.57100000000003</v>
      </c>
      <c r="S175" s="194">
        <f ca="1">OFFSET('배치점수 계산기'!I$10,$D175,0)</f>
        <v>838.16200000000003</v>
      </c>
      <c r="T175" s="194">
        <f ca="1">OFFSET('배치점수 계산기'!J$10,$D175,0)</f>
        <v>836.96400000000006</v>
      </c>
      <c r="U175" s="194">
        <f ca="1">OFFSET('배치점수 계산기'!K$10,$D175,0)</f>
        <v>835.40800000000002</v>
      </c>
      <c r="V175" s="194">
        <f ca="1">OFFSET('배치점수 계산기'!L$10,$D175,0)</f>
        <v>834.12199999999996</v>
      </c>
      <c r="W175" s="186" t="str">
        <f ca="1">OFFSET('배치점수 계산기'!M$10,$D175,0)</f>
        <v>표점/만점</v>
      </c>
      <c r="X175" s="184" t="str">
        <f ca="1">OFFSET('배치점수 계산기'!N$10,$D175,0)</f>
        <v>변표/만점</v>
      </c>
      <c r="Y175" s="188">
        <f ca="1">OFFSET(환산공식!FW$15,$F175,0)</f>
        <v>0.39</v>
      </c>
      <c r="Z175" s="20">
        <f ca="1">OFFSET(환산공식!FX$15,$F175,0)</f>
        <v>0.33</v>
      </c>
      <c r="AA175" s="179">
        <f ca="1">OFFSET(환산공식!FY$15,$F175,0)</f>
        <v>0.28000000000000003</v>
      </c>
      <c r="AC175"/>
      <c r="AD175">
        <f t="shared" ca="1" si="6"/>
        <v>6</v>
      </c>
      <c r="AE175"/>
    </row>
    <row r="176" spans="1:31" s="3" customFormat="1">
      <c r="A176" s="198"/>
      <c r="B176" s="198"/>
      <c r="C176" s="198" t="s">
        <v>737</v>
      </c>
      <c r="D176" s="195">
        <v>226</v>
      </c>
      <c r="E176" s="195">
        <v>28</v>
      </c>
      <c r="F176" s="195">
        <v>28</v>
      </c>
      <c r="G176" s="239">
        <v>169</v>
      </c>
      <c r="H176" s="197" t="s">
        <v>72</v>
      </c>
      <c r="I176" s="242" t="s">
        <v>80</v>
      </c>
      <c r="J176" s="242" t="s">
        <v>8772</v>
      </c>
      <c r="K176" s="195" t="s">
        <v>71</v>
      </c>
      <c r="L176" s="20" t="str">
        <f ca="1">IF(OFFSET(환산공식!$ED$15,$F176,0)=1,"O","X")</f>
        <v>X</v>
      </c>
      <c r="M176" s="188">
        <f ca="1">IFERROR(OFFSET(환산공식!DJ$15,$F176,0),"")</f>
        <v>100</v>
      </c>
      <c r="N176" s="20" t="str">
        <f ca="1">IFERROR(CONCATENATE(ROUND(OFFSET(환산공식!DK$15,$F176,0),1),"%"),"")</f>
        <v>100%</v>
      </c>
      <c r="O176" s="20">
        <f ca="1">IFERROR(OFFSET(환산공식!DL$15,$F176,0),"")</f>
        <v>0</v>
      </c>
      <c r="P176" s="188" t="str">
        <f t="shared" ca="1" si="5"/>
        <v>3% 이하</v>
      </c>
      <c r="Q176" s="194">
        <f ca="1">IFERROR(ROUND(OFFSET(환산공식!$FG$15,$F176,0),3),"")</f>
        <v>0</v>
      </c>
      <c r="R176" s="194">
        <f ca="1">OFFSET('배치점수 계산기'!H$10,$D176,0)</f>
        <v>836.41800000000001</v>
      </c>
      <c r="S176" s="194">
        <f ca="1">OFFSET('배치점수 계산기'!I$10,$D176,0)</f>
        <v>834.86199999999997</v>
      </c>
      <c r="T176" s="194">
        <f ca="1">OFFSET('배치점수 계산기'!J$10,$D176,0)</f>
        <v>833.40800000000002</v>
      </c>
      <c r="U176" s="194">
        <f ca="1">OFFSET('배치점수 계산기'!K$10,$D176,0)</f>
        <v>832.024</v>
      </c>
      <c r="V176" s="194">
        <f ca="1">OFFSET('배치점수 계산기'!L$10,$D176,0)</f>
        <v>831.47799999999995</v>
      </c>
      <c r="W176" s="186" t="str">
        <f ca="1">OFFSET('배치점수 계산기'!M$10,$D176,0)</f>
        <v>표점/만점</v>
      </c>
      <c r="X176" s="184" t="str">
        <f ca="1">OFFSET('배치점수 계산기'!N$10,$D176,0)</f>
        <v>변표/만점</v>
      </c>
      <c r="Y176" s="188">
        <f ca="1">OFFSET(환산공식!FW$15,$F176,0)</f>
        <v>0.39</v>
      </c>
      <c r="Z176" s="20">
        <f ca="1">OFFSET(환산공식!FX$15,$F176,0)</f>
        <v>0.33</v>
      </c>
      <c r="AA176" s="179">
        <f ca="1">OFFSET(환산공식!FY$15,$F176,0)</f>
        <v>0.28000000000000003</v>
      </c>
      <c r="AC176"/>
      <c r="AD176">
        <f t="shared" ca="1" si="6"/>
        <v>6</v>
      </c>
      <c r="AE176"/>
    </row>
    <row r="177" spans="1:31" s="3" customFormat="1">
      <c r="A177" s="198"/>
      <c r="B177" s="198"/>
      <c r="C177" s="198" t="s">
        <v>738</v>
      </c>
      <c r="D177" s="195">
        <v>227</v>
      </c>
      <c r="E177" s="195">
        <v>30</v>
      </c>
      <c r="F177" s="195">
        <v>30</v>
      </c>
      <c r="G177" s="239">
        <v>170</v>
      </c>
      <c r="H177" s="197" t="s">
        <v>72</v>
      </c>
      <c r="I177" s="242" t="s">
        <v>228</v>
      </c>
      <c r="J177" s="242" t="s">
        <v>9173</v>
      </c>
      <c r="K177" s="195" t="s">
        <v>70</v>
      </c>
      <c r="L177" s="20" t="str">
        <f ca="1">IF(OFFSET(환산공식!$ED$15,$F177,0)=1,"O","X")</f>
        <v>X</v>
      </c>
      <c r="M177" s="188">
        <f ca="1">IFERROR(OFFSET(환산공식!DJ$15,$F177,0),"")</f>
        <v>100</v>
      </c>
      <c r="N177" s="20" t="str">
        <f ca="1">IFERROR(CONCATENATE(ROUND(OFFSET(환산공식!DK$15,$F177,0),1),"%"),"")</f>
        <v>100%</v>
      </c>
      <c r="O177" s="20">
        <f ca="1">IFERROR(OFFSET(환산공식!DL$15,$F177,0),"")</f>
        <v>10</v>
      </c>
      <c r="P177" s="188" t="str">
        <f t="shared" ca="1" si="5"/>
        <v>3% 이하</v>
      </c>
      <c r="Q177" s="194">
        <f ca="1">IFERROR(ROUND(OFFSET(환산공식!$FG$15,$F177,0),3),"")</f>
        <v>0</v>
      </c>
      <c r="R177" s="194">
        <f ca="1">OFFSET('배치점수 계산기'!H$10,$D177,0)</f>
        <v>765.43899999999996</v>
      </c>
      <c r="S177" s="194">
        <f ca="1">OFFSET('배치점수 계산기'!I$10,$D177,0)</f>
        <v>764.07399999999996</v>
      </c>
      <c r="T177" s="194">
        <f ca="1">OFFSET('배치점수 계산기'!J$10,$D177,0)</f>
        <v>762.89700000000005</v>
      </c>
      <c r="U177" s="194">
        <f ca="1">OFFSET('배치점수 계산기'!K$10,$D177,0)</f>
        <v>760.90800000000002</v>
      </c>
      <c r="V177" s="194">
        <f ca="1">OFFSET('배치점수 계산기'!L$10,$D177,0)</f>
        <v>756.61099999999999</v>
      </c>
      <c r="W177" s="186" t="str">
        <f ca="1">OFFSET('배치점수 계산기'!M$10,$D177,0)</f>
        <v>표점</v>
      </c>
      <c r="X177" s="184" t="str">
        <f ca="1">OFFSET('배치점수 계산기'!N$10,$D177,0)</f>
        <v>변표</v>
      </c>
      <c r="Y177" s="188">
        <f ca="1">OFFSET(환산공식!FW$15,$F177,0)</f>
        <v>0.3</v>
      </c>
      <c r="Z177" s="20">
        <f ca="1">OFFSET(환산공식!FX$15,$F177,0)</f>
        <v>0.35</v>
      </c>
      <c r="AA177" s="179">
        <f ca="1">OFFSET(환산공식!FY$15,$F177,0)</f>
        <v>0.35</v>
      </c>
      <c r="AC177"/>
      <c r="AD177">
        <f t="shared" ca="1" si="6"/>
        <v>6</v>
      </c>
      <c r="AE177"/>
    </row>
    <row r="178" spans="1:31" s="3" customFormat="1">
      <c r="A178" s="198"/>
      <c r="B178" s="198"/>
      <c r="C178" s="198" t="s">
        <v>739</v>
      </c>
      <c r="D178" s="195">
        <v>228</v>
      </c>
      <c r="E178" s="195">
        <v>30</v>
      </c>
      <c r="F178" s="195">
        <v>30</v>
      </c>
      <c r="G178" s="239">
        <v>171</v>
      </c>
      <c r="H178" s="197" t="s">
        <v>72</v>
      </c>
      <c r="I178" s="242" t="s">
        <v>228</v>
      </c>
      <c r="J178" s="242" t="s">
        <v>555</v>
      </c>
      <c r="K178" s="195" t="s">
        <v>70</v>
      </c>
      <c r="L178" s="20" t="str">
        <f ca="1">IF(OFFSET(환산공식!$ED$15,$F178,0)=1,"O","X")</f>
        <v>X</v>
      </c>
      <c r="M178" s="188">
        <f ca="1">IFERROR(OFFSET(환산공식!DJ$15,$F178,0),"")</f>
        <v>100</v>
      </c>
      <c r="N178" s="20" t="str">
        <f ca="1">IFERROR(CONCATENATE(ROUND(OFFSET(환산공식!DK$15,$F178,0),1),"%"),"")</f>
        <v>100%</v>
      </c>
      <c r="O178" s="20">
        <f ca="1">IFERROR(OFFSET(환산공식!DL$15,$F178,0),"")</f>
        <v>10</v>
      </c>
      <c r="P178" s="188" t="str">
        <f t="shared" ca="1" si="5"/>
        <v>3% 이하</v>
      </c>
      <c r="Q178" s="194">
        <f ca="1">IFERROR(ROUND(OFFSET(환산공식!$FG$15,$F178,0),3),"")</f>
        <v>0</v>
      </c>
      <c r="R178" s="194">
        <f ca="1">OFFSET('배치점수 계산기'!H$10,$D178,0)</f>
        <v>764.07399999999996</v>
      </c>
      <c r="S178" s="194">
        <f ca="1">OFFSET('배치점수 계산기'!I$10,$D178,0)</f>
        <v>763.73699999999997</v>
      </c>
      <c r="T178" s="194">
        <f ca="1">OFFSET('배치점수 계산기'!J$10,$D178,0)</f>
        <v>762.40099999999995</v>
      </c>
      <c r="U178" s="194">
        <f ca="1">OFFSET('배치점수 계산기'!K$10,$D178,0)</f>
        <v>761.23400000000004</v>
      </c>
      <c r="V178" s="194">
        <f ca="1">OFFSET('배치점수 계산기'!L$10,$D178,0)</f>
        <v>759.78200000000004</v>
      </c>
      <c r="W178" s="186" t="str">
        <f ca="1">OFFSET('배치점수 계산기'!M$10,$D178,0)</f>
        <v>표점</v>
      </c>
      <c r="X178" s="184" t="str">
        <f ca="1">OFFSET('배치점수 계산기'!N$10,$D178,0)</f>
        <v>변표</v>
      </c>
      <c r="Y178" s="188">
        <f ca="1">OFFSET(환산공식!FW$15,$F178,0)</f>
        <v>0.3</v>
      </c>
      <c r="Z178" s="20">
        <f ca="1">OFFSET(환산공식!FX$15,$F178,0)</f>
        <v>0.35</v>
      </c>
      <c r="AA178" s="179">
        <f ca="1">OFFSET(환산공식!FY$15,$F178,0)</f>
        <v>0.35</v>
      </c>
      <c r="AC178"/>
      <c r="AD178">
        <f t="shared" ca="1" si="6"/>
        <v>6</v>
      </c>
      <c r="AE178"/>
    </row>
    <row r="179" spans="1:31" s="3" customFormat="1">
      <c r="A179" s="198"/>
      <c r="B179" s="198"/>
      <c r="C179" s="198" t="s">
        <v>740</v>
      </c>
      <c r="D179" s="195">
        <v>229</v>
      </c>
      <c r="E179" s="195">
        <v>30</v>
      </c>
      <c r="F179" s="195">
        <v>30</v>
      </c>
      <c r="G179" s="239">
        <v>172</v>
      </c>
      <c r="H179" s="197" t="s">
        <v>72</v>
      </c>
      <c r="I179" s="242" t="s">
        <v>228</v>
      </c>
      <c r="J179" s="242" t="s">
        <v>551</v>
      </c>
      <c r="K179" s="195" t="s">
        <v>70</v>
      </c>
      <c r="L179" s="20" t="str">
        <f ca="1">IF(OFFSET(환산공식!$ED$15,$F179,0)=1,"O","X")</f>
        <v>X</v>
      </c>
      <c r="M179" s="188">
        <f ca="1">IFERROR(OFFSET(환산공식!DJ$15,$F179,0),"")</f>
        <v>100</v>
      </c>
      <c r="N179" s="20" t="str">
        <f ca="1">IFERROR(CONCATENATE(ROUND(OFFSET(환산공식!DK$15,$F179,0),1),"%"),"")</f>
        <v>100%</v>
      </c>
      <c r="O179" s="20">
        <f ca="1">IFERROR(OFFSET(환산공식!DL$15,$F179,0),"")</f>
        <v>10</v>
      </c>
      <c r="P179" s="188" t="str">
        <f t="shared" ca="1" si="5"/>
        <v>3% 이하</v>
      </c>
      <c r="Q179" s="194">
        <f ca="1">IFERROR(ROUND(OFFSET(환산공식!$FG$15,$F179,0),3),"")</f>
        <v>0</v>
      </c>
      <c r="R179" s="194">
        <f ca="1">OFFSET('배치점수 계산기'!H$10,$D179,0)</f>
        <v>763.92399999999998</v>
      </c>
      <c r="S179" s="194">
        <f ca="1">OFFSET('배치점수 계산기'!I$10,$D179,0)</f>
        <v>762.89700000000005</v>
      </c>
      <c r="T179" s="194">
        <f ca="1">OFFSET('배치점수 계산기'!J$10,$D179,0)</f>
        <v>761.41099999999994</v>
      </c>
      <c r="U179" s="194">
        <f ca="1">OFFSET('배치점수 계산기'!K$10,$D179,0)</f>
        <v>759.78200000000004</v>
      </c>
      <c r="V179" s="194">
        <f ca="1">OFFSET('배치점수 계산기'!L$10,$D179,0)</f>
        <v>756.61099999999999</v>
      </c>
      <c r="W179" s="186" t="str">
        <f ca="1">OFFSET('배치점수 계산기'!M$10,$D179,0)</f>
        <v>표점</v>
      </c>
      <c r="X179" s="184" t="str">
        <f ca="1">OFFSET('배치점수 계산기'!N$10,$D179,0)</f>
        <v>변표</v>
      </c>
      <c r="Y179" s="188">
        <f ca="1">OFFSET(환산공식!FW$15,$F179,0)</f>
        <v>0.3</v>
      </c>
      <c r="Z179" s="20">
        <f ca="1">OFFSET(환산공식!FX$15,$F179,0)</f>
        <v>0.35</v>
      </c>
      <c r="AA179" s="179">
        <f ca="1">OFFSET(환산공식!FY$15,$F179,0)</f>
        <v>0.35</v>
      </c>
      <c r="AC179"/>
      <c r="AD179">
        <f t="shared" ca="1" si="6"/>
        <v>6</v>
      </c>
      <c r="AE179"/>
    </row>
    <row r="180" spans="1:31" s="3" customFormat="1">
      <c r="A180" s="198"/>
      <c r="B180" s="198"/>
      <c r="C180" s="198" t="s">
        <v>741</v>
      </c>
      <c r="D180" s="195">
        <v>230</v>
      </c>
      <c r="E180" s="195">
        <v>30</v>
      </c>
      <c r="F180" s="195">
        <v>30</v>
      </c>
      <c r="G180" s="239">
        <v>173</v>
      </c>
      <c r="H180" s="197" t="s">
        <v>72</v>
      </c>
      <c r="I180" s="242" t="s">
        <v>228</v>
      </c>
      <c r="J180" s="242" t="s">
        <v>8168</v>
      </c>
      <c r="K180" s="195" t="s">
        <v>70</v>
      </c>
      <c r="L180" s="20" t="str">
        <f ca="1">IF(OFFSET(환산공식!$ED$15,$F180,0)=1,"O","X")</f>
        <v>X</v>
      </c>
      <c r="M180" s="188">
        <f ca="1">IFERROR(OFFSET(환산공식!DJ$15,$F180,0),"")</f>
        <v>100</v>
      </c>
      <c r="N180" s="20" t="str">
        <f ca="1">IFERROR(CONCATENATE(ROUND(OFFSET(환산공식!DK$15,$F180,0),1),"%"),"")</f>
        <v>100%</v>
      </c>
      <c r="O180" s="20">
        <f ca="1">IFERROR(OFFSET(환산공식!DL$15,$F180,0),"")</f>
        <v>10</v>
      </c>
      <c r="P180" s="188" t="str">
        <f t="shared" ca="1" si="5"/>
        <v>3% 이하</v>
      </c>
      <c r="Q180" s="194">
        <f ca="1">IFERROR(ROUND(OFFSET(환산공식!$FG$15,$F180,0),3),"")</f>
        <v>0</v>
      </c>
      <c r="R180" s="194">
        <f ca="1">OFFSET('배치점수 계산기'!H$10,$D180,0)</f>
        <v>764.96400000000006</v>
      </c>
      <c r="S180" s="194">
        <f ca="1">OFFSET('배치점수 계산기'!I$10,$D180,0)</f>
        <v>763.04700000000003</v>
      </c>
      <c r="T180" s="194">
        <f ca="1">OFFSET('배치점수 계산기'!J$10,$D180,0)</f>
        <v>759.93200000000002</v>
      </c>
      <c r="U180" s="194">
        <f ca="1">OFFSET('배치점수 계산기'!K$10,$D180,0)</f>
        <v>756.87900000000002</v>
      </c>
      <c r="V180" s="194">
        <f ca="1">OFFSET('배치점수 계산기'!L$10,$D180,0)</f>
        <v>755.15899999999999</v>
      </c>
      <c r="W180" s="186" t="str">
        <f ca="1">OFFSET('배치점수 계산기'!M$10,$D180,0)</f>
        <v>표점</v>
      </c>
      <c r="X180" s="184" t="str">
        <f ca="1">OFFSET('배치점수 계산기'!N$10,$D180,0)</f>
        <v>변표</v>
      </c>
      <c r="Y180" s="188">
        <f ca="1">OFFSET(환산공식!FW$15,$F180,0)</f>
        <v>0.3</v>
      </c>
      <c r="Z180" s="20">
        <f ca="1">OFFSET(환산공식!FX$15,$F180,0)</f>
        <v>0.35</v>
      </c>
      <c r="AA180" s="179">
        <f ca="1">OFFSET(환산공식!FY$15,$F180,0)</f>
        <v>0.35</v>
      </c>
      <c r="AC180"/>
      <c r="AD180">
        <f t="shared" ca="1" si="6"/>
        <v>6</v>
      </c>
      <c r="AE180"/>
    </row>
    <row r="181" spans="1:31" s="3" customFormat="1">
      <c r="A181" s="198"/>
      <c r="B181" s="198"/>
      <c r="C181" s="198" t="s">
        <v>742</v>
      </c>
      <c r="D181" s="195">
        <v>231</v>
      </c>
      <c r="E181" s="195">
        <v>30</v>
      </c>
      <c r="F181" s="195">
        <v>30</v>
      </c>
      <c r="G181" s="239">
        <v>174</v>
      </c>
      <c r="H181" s="197" t="s">
        <v>72</v>
      </c>
      <c r="I181" s="242" t="s">
        <v>228</v>
      </c>
      <c r="J181" s="242" t="s">
        <v>8418</v>
      </c>
      <c r="K181" s="195" t="s">
        <v>70</v>
      </c>
      <c r="L181" s="20" t="str">
        <f ca="1">IF(OFFSET(환산공식!$ED$15,$F181,0)=1,"O","X")</f>
        <v>X</v>
      </c>
      <c r="M181" s="188">
        <f ca="1">IFERROR(OFFSET(환산공식!DJ$15,$F181,0),"")</f>
        <v>100</v>
      </c>
      <c r="N181" s="20" t="str">
        <f ca="1">IFERROR(CONCATENATE(ROUND(OFFSET(환산공식!DK$15,$F181,0),1),"%"),"")</f>
        <v>100%</v>
      </c>
      <c r="O181" s="20">
        <f ca="1">IFERROR(OFFSET(환산공식!DL$15,$F181,0),"")</f>
        <v>10</v>
      </c>
      <c r="P181" s="188" t="str">
        <f t="shared" ca="1" si="5"/>
        <v>3% 이하</v>
      </c>
      <c r="Q181" s="194">
        <f ca="1">IFERROR(ROUND(OFFSET(환산공식!$FG$15,$F181,0),3),"")</f>
        <v>0</v>
      </c>
      <c r="R181" s="194">
        <f ca="1">OFFSET('배치점수 계산기'!H$10,$D181,0)</f>
        <v>763.41200000000003</v>
      </c>
      <c r="S181" s="194">
        <f ca="1">OFFSET('배치점수 계산기'!I$10,$D181,0)</f>
        <v>760.40800000000002</v>
      </c>
      <c r="T181" s="194">
        <f ca="1">OFFSET('배치점수 계산기'!J$10,$D181,0)</f>
        <v>757.55399999999997</v>
      </c>
      <c r="U181" s="194">
        <f ca="1">OFFSET('배치점수 계산기'!K$10,$D181,0)</f>
        <v>754.90899999999999</v>
      </c>
      <c r="V181" s="194">
        <f ca="1">OFFSET('배치점수 계산기'!L$10,$D181,0)</f>
        <v>753.25</v>
      </c>
      <c r="W181" s="186" t="str">
        <f ca="1">OFFSET('배치점수 계산기'!M$10,$D181,0)</f>
        <v>표점</v>
      </c>
      <c r="X181" s="184" t="str">
        <f ca="1">OFFSET('배치점수 계산기'!N$10,$D181,0)</f>
        <v>변표</v>
      </c>
      <c r="Y181" s="188">
        <f ca="1">OFFSET(환산공식!FW$15,$F181,0)</f>
        <v>0.3</v>
      </c>
      <c r="Z181" s="20">
        <f ca="1">OFFSET(환산공식!FX$15,$F181,0)</f>
        <v>0.35</v>
      </c>
      <c r="AA181" s="179">
        <f ca="1">OFFSET(환산공식!FY$15,$F181,0)</f>
        <v>0.35</v>
      </c>
      <c r="AC181"/>
      <c r="AD181">
        <f t="shared" ca="1" si="6"/>
        <v>6</v>
      </c>
      <c r="AE181"/>
    </row>
    <row r="182" spans="1:31" s="3" customFormat="1">
      <c r="A182" s="198"/>
      <c r="B182" s="198"/>
      <c r="C182" s="198" t="s">
        <v>743</v>
      </c>
      <c r="D182" s="195">
        <v>232</v>
      </c>
      <c r="E182" s="195">
        <v>30</v>
      </c>
      <c r="F182" s="195">
        <v>30</v>
      </c>
      <c r="G182" s="239">
        <v>175</v>
      </c>
      <c r="H182" s="197" t="s">
        <v>72</v>
      </c>
      <c r="I182" s="242" t="s">
        <v>228</v>
      </c>
      <c r="J182" s="242" t="s">
        <v>9564</v>
      </c>
      <c r="K182" s="195" t="s">
        <v>70</v>
      </c>
      <c r="L182" s="20" t="str">
        <f ca="1">IF(OFFSET(환산공식!$ED$15,$F182,0)=1,"O","X")</f>
        <v>X</v>
      </c>
      <c r="M182" s="188">
        <f ca="1">IFERROR(OFFSET(환산공식!DJ$15,$F182,0),"")</f>
        <v>100</v>
      </c>
      <c r="N182" s="20" t="str">
        <f ca="1">IFERROR(CONCATENATE(ROUND(OFFSET(환산공식!DK$15,$F182,0),1),"%"),"")</f>
        <v>100%</v>
      </c>
      <c r="O182" s="20">
        <f ca="1">IFERROR(OFFSET(환산공식!DL$15,$F182,0),"")</f>
        <v>10</v>
      </c>
      <c r="P182" s="188" t="str">
        <f t="shared" ca="1" si="5"/>
        <v>3% 이하</v>
      </c>
      <c r="Q182" s="194">
        <f ca="1">IFERROR(ROUND(OFFSET(환산공식!$FG$15,$F182,0),3),"")</f>
        <v>0</v>
      </c>
      <c r="R182" s="194">
        <f ca="1">OFFSET('배치점수 계산기'!H$10,$D182,0)</f>
        <v>760.40800000000002</v>
      </c>
      <c r="S182" s="194">
        <f ca="1">OFFSET('배치점수 계산기'!I$10,$D182,0)</f>
        <v>759.45600000000002</v>
      </c>
      <c r="T182" s="194">
        <f ca="1">OFFSET('배치점수 계산기'!J$10,$D182,0)</f>
        <v>757.55399999999997</v>
      </c>
      <c r="U182" s="194">
        <f ca="1">OFFSET('배치점수 계산기'!K$10,$D182,0)</f>
        <v>756.27</v>
      </c>
      <c r="V182" s="194">
        <f ca="1">OFFSET('배치점수 계산기'!L$10,$D182,0)</f>
        <v>752.995</v>
      </c>
      <c r="W182" s="186" t="str">
        <f ca="1">OFFSET('배치점수 계산기'!M$10,$D182,0)</f>
        <v>표점</v>
      </c>
      <c r="X182" s="184" t="str">
        <f ca="1">OFFSET('배치점수 계산기'!N$10,$D182,0)</f>
        <v>변표</v>
      </c>
      <c r="Y182" s="188">
        <f ca="1">OFFSET(환산공식!FW$15,$F182,0)</f>
        <v>0.3</v>
      </c>
      <c r="Z182" s="20">
        <f ca="1">OFFSET(환산공식!FX$15,$F182,0)</f>
        <v>0.35</v>
      </c>
      <c r="AA182" s="179">
        <f ca="1">OFFSET(환산공식!FY$15,$F182,0)</f>
        <v>0.35</v>
      </c>
      <c r="AC182"/>
      <c r="AD182">
        <f t="shared" ca="1" si="6"/>
        <v>6</v>
      </c>
      <c r="AE182"/>
    </row>
    <row r="183" spans="1:31" s="3" customFormat="1">
      <c r="A183" s="198"/>
      <c r="B183" s="198"/>
      <c r="C183" s="198" t="s">
        <v>744</v>
      </c>
      <c r="D183" s="195">
        <v>233</v>
      </c>
      <c r="E183" s="195">
        <v>30</v>
      </c>
      <c r="F183" s="195">
        <v>30</v>
      </c>
      <c r="G183" s="239">
        <v>176</v>
      </c>
      <c r="H183" s="197" t="s">
        <v>72</v>
      </c>
      <c r="I183" s="242" t="s">
        <v>228</v>
      </c>
      <c r="J183" s="242" t="s">
        <v>12257</v>
      </c>
      <c r="K183" s="195" t="s">
        <v>70</v>
      </c>
      <c r="L183" s="20" t="str">
        <f ca="1">IF(OFFSET(환산공식!$ED$15,$F183,0)=1,"O","X")</f>
        <v>X</v>
      </c>
      <c r="M183" s="188">
        <f ca="1">IFERROR(OFFSET(환산공식!DJ$15,$F183,0),"")</f>
        <v>100</v>
      </c>
      <c r="N183" s="20" t="str">
        <f ca="1">IFERROR(CONCATENATE(ROUND(OFFSET(환산공식!DK$15,$F183,0),1),"%"),"")</f>
        <v>100%</v>
      </c>
      <c r="O183" s="20">
        <f ca="1">IFERROR(OFFSET(환산공식!DL$15,$F183,0),"")</f>
        <v>10</v>
      </c>
      <c r="P183" s="188" t="str">
        <f t="shared" ca="1" si="5"/>
        <v>3% 이하</v>
      </c>
      <c r="Q183" s="194">
        <f ca="1">IFERROR(ROUND(OFFSET(환산공식!$FG$15,$F183,0),3),"")</f>
        <v>0</v>
      </c>
      <c r="R183" s="194">
        <f ca="1">OFFSET('배치점수 계산기'!H$10,$D183,0)</f>
        <v>716.95799999999997</v>
      </c>
      <c r="S183" s="194">
        <f ca="1">OFFSET('배치점수 계산기'!I$10,$D183,0)</f>
        <v>712.88699999999994</v>
      </c>
      <c r="T183" s="194">
        <f ca="1">OFFSET('배치점수 계산기'!J$10,$D183,0)</f>
        <v>708.07500000000005</v>
      </c>
      <c r="U183" s="194">
        <f ca="1">OFFSET('배치점수 계산기'!K$10,$D183,0)</f>
        <v>703.54600000000005</v>
      </c>
      <c r="V183" s="194">
        <f ca="1">OFFSET('배치점수 계산기'!L$10,$D183,0)</f>
        <v>699.51199999999994</v>
      </c>
      <c r="W183" s="186" t="str">
        <f ca="1">OFFSET('배치점수 계산기'!M$10,$D183,0)</f>
        <v>표점</v>
      </c>
      <c r="X183" s="184" t="str">
        <f ca="1">OFFSET('배치점수 계산기'!N$10,$D183,0)</f>
        <v>변표</v>
      </c>
      <c r="Y183" s="188">
        <f ca="1">OFFSET(환산공식!FW$15,$F183,0)</f>
        <v>0.3</v>
      </c>
      <c r="Z183" s="20">
        <f ca="1">OFFSET(환산공식!FX$15,$F183,0)</f>
        <v>0.35</v>
      </c>
      <c r="AA183" s="179">
        <f ca="1">OFFSET(환산공식!FY$15,$F183,0)</f>
        <v>0.35</v>
      </c>
      <c r="AC183"/>
      <c r="AD183">
        <f t="shared" ca="1" si="6"/>
        <v>6</v>
      </c>
      <c r="AE183"/>
    </row>
    <row r="184" spans="1:31" s="3" customFormat="1">
      <c r="A184" s="198"/>
      <c r="B184" s="198"/>
      <c r="C184" s="198" t="s">
        <v>745</v>
      </c>
      <c r="D184" s="195">
        <v>234</v>
      </c>
      <c r="E184" s="195">
        <v>30</v>
      </c>
      <c r="F184" s="195">
        <v>30</v>
      </c>
      <c r="G184" s="239">
        <v>177</v>
      </c>
      <c r="H184" s="197" t="s">
        <v>72</v>
      </c>
      <c r="I184" s="242" t="s">
        <v>228</v>
      </c>
      <c r="J184" s="242" t="s">
        <v>12294</v>
      </c>
      <c r="K184" s="195" t="s">
        <v>70</v>
      </c>
      <c r="L184" s="20" t="str">
        <f ca="1">IF(OFFSET(환산공식!$ED$15,$F184,0)=1,"O","X")</f>
        <v>X</v>
      </c>
      <c r="M184" s="188">
        <f ca="1">IFERROR(OFFSET(환산공식!DJ$15,$F184,0),"")</f>
        <v>100</v>
      </c>
      <c r="N184" s="20" t="str">
        <f ca="1">IFERROR(CONCATENATE(ROUND(OFFSET(환산공식!DK$15,$F184,0),1),"%"),"")</f>
        <v>100%</v>
      </c>
      <c r="O184" s="20">
        <f ca="1">IFERROR(OFFSET(환산공식!DL$15,$F184,0),"")</f>
        <v>10</v>
      </c>
      <c r="P184" s="188" t="str">
        <f t="shared" ca="1" si="5"/>
        <v>3% 이하</v>
      </c>
      <c r="Q184" s="194">
        <f ca="1">IFERROR(ROUND(OFFSET(환산공식!$FG$15,$F184,0),3),"")</f>
        <v>0</v>
      </c>
      <c r="R184" s="194">
        <f ca="1">OFFSET('배치점수 계산기'!H$10,$D184,0)</f>
        <v>716.58900000000006</v>
      </c>
      <c r="S184" s="194">
        <f ca="1">OFFSET('배치점수 계산기'!I$10,$D184,0)</f>
        <v>711.70500000000004</v>
      </c>
      <c r="T184" s="194">
        <f ca="1">OFFSET('배치점수 계산기'!J$10,$D184,0)</f>
        <v>707.11500000000001</v>
      </c>
      <c r="U184" s="194">
        <f ca="1">OFFSET('배치점수 계산기'!K$10,$D184,0)</f>
        <v>702.08199999999999</v>
      </c>
      <c r="V184" s="194">
        <f ca="1">OFFSET('배치점수 계산기'!L$10,$D184,0)</f>
        <v>697.88400000000001</v>
      </c>
      <c r="W184" s="186" t="str">
        <f ca="1">OFFSET('배치점수 계산기'!M$10,$D184,0)</f>
        <v>표점</v>
      </c>
      <c r="X184" s="184" t="str">
        <f ca="1">OFFSET('배치점수 계산기'!N$10,$D184,0)</f>
        <v>변표</v>
      </c>
      <c r="Y184" s="188">
        <f ca="1">OFFSET(환산공식!FW$15,$F184,0)</f>
        <v>0.3</v>
      </c>
      <c r="Z184" s="20">
        <f ca="1">OFFSET(환산공식!FX$15,$F184,0)</f>
        <v>0.35</v>
      </c>
      <c r="AA184" s="179">
        <f ca="1">OFFSET(환산공식!FY$15,$F184,0)</f>
        <v>0.35</v>
      </c>
      <c r="AC184"/>
      <c r="AD184">
        <f t="shared" ca="1" si="6"/>
        <v>6</v>
      </c>
      <c r="AE184"/>
    </row>
    <row r="185" spans="1:31" s="3" customFormat="1">
      <c r="A185" s="198"/>
      <c r="B185" s="198"/>
      <c r="C185" s="198" t="s">
        <v>746</v>
      </c>
      <c r="D185" s="195">
        <v>235</v>
      </c>
      <c r="E185" s="195">
        <v>30</v>
      </c>
      <c r="F185" s="195">
        <v>30</v>
      </c>
      <c r="G185" s="239">
        <v>178</v>
      </c>
      <c r="H185" s="197" t="s">
        <v>72</v>
      </c>
      <c r="I185" s="242" t="s">
        <v>228</v>
      </c>
      <c r="J185" s="242" t="s">
        <v>12384</v>
      </c>
      <c r="K185" s="195" t="s">
        <v>70</v>
      </c>
      <c r="L185" s="20" t="str">
        <f ca="1">IF(OFFSET(환산공식!$ED$15,$F185,0)=1,"O","X")</f>
        <v>X</v>
      </c>
      <c r="M185" s="188">
        <f ca="1">IFERROR(OFFSET(환산공식!DJ$15,$F185,0),"")</f>
        <v>100</v>
      </c>
      <c r="N185" s="20" t="str">
        <f ca="1">IFERROR(CONCATENATE(ROUND(OFFSET(환산공식!DK$15,$F185,0),1),"%"),"")</f>
        <v>100%</v>
      </c>
      <c r="O185" s="20">
        <f ca="1">IFERROR(OFFSET(환산공식!DL$15,$F185,0),"")</f>
        <v>10</v>
      </c>
      <c r="P185" s="188" t="str">
        <f t="shared" ca="1" si="5"/>
        <v>3% 이하</v>
      </c>
      <c r="Q185" s="194">
        <f ca="1">IFERROR(ROUND(OFFSET(환산공식!$FG$15,$F185,0),3),"")</f>
        <v>0</v>
      </c>
      <c r="R185" s="194">
        <f ca="1">OFFSET('배치점수 계산기'!H$10,$D185,0)</f>
        <v>713.59799999999996</v>
      </c>
      <c r="S185" s="194">
        <f ca="1">OFFSET('배치점수 계산기'!I$10,$D185,0)</f>
        <v>709.06899999999996</v>
      </c>
      <c r="T185" s="194">
        <f ca="1">OFFSET('배치점수 계산기'!J$10,$D185,0)</f>
        <v>704.36800000000005</v>
      </c>
      <c r="U185" s="194">
        <f ca="1">OFFSET('배치점수 계산기'!K$10,$D185,0)</f>
        <v>700.03</v>
      </c>
      <c r="V185" s="194">
        <f ca="1">OFFSET('배치점수 계산기'!L$10,$D185,0)</f>
        <v>696.20799999999997</v>
      </c>
      <c r="W185" s="186" t="str">
        <f ca="1">OFFSET('배치점수 계산기'!M$10,$D185,0)</f>
        <v>표점</v>
      </c>
      <c r="X185" s="184" t="str">
        <f ca="1">OFFSET('배치점수 계산기'!N$10,$D185,0)</f>
        <v>변표</v>
      </c>
      <c r="Y185" s="188">
        <f ca="1">OFFSET(환산공식!FW$15,$F185,0)</f>
        <v>0.3</v>
      </c>
      <c r="Z185" s="20">
        <f ca="1">OFFSET(환산공식!FX$15,$F185,0)</f>
        <v>0.35</v>
      </c>
      <c r="AA185" s="179">
        <f ca="1">OFFSET(환산공식!FY$15,$F185,0)</f>
        <v>0.35</v>
      </c>
      <c r="AC185"/>
      <c r="AD185">
        <f t="shared" ca="1" si="6"/>
        <v>6</v>
      </c>
      <c r="AE185"/>
    </row>
    <row r="186" spans="1:31" s="3" customFormat="1">
      <c r="A186" s="198"/>
      <c r="B186" s="198"/>
      <c r="C186" s="198" t="s">
        <v>747</v>
      </c>
      <c r="D186" s="195">
        <v>236</v>
      </c>
      <c r="E186" s="195">
        <v>30</v>
      </c>
      <c r="F186" s="195">
        <v>30</v>
      </c>
      <c r="G186" s="239">
        <v>179</v>
      </c>
      <c r="H186" s="197" t="s">
        <v>72</v>
      </c>
      <c r="I186" s="242" t="s">
        <v>228</v>
      </c>
      <c r="J186" s="242" t="s">
        <v>12470</v>
      </c>
      <c r="K186" s="195" t="s">
        <v>70</v>
      </c>
      <c r="L186" s="20" t="str">
        <f ca="1">IF(OFFSET(환산공식!$ED$15,$F186,0)=1,"O","X")</f>
        <v>X</v>
      </c>
      <c r="M186" s="188">
        <f ca="1">IFERROR(OFFSET(환산공식!DJ$15,$F186,0),"")</f>
        <v>100</v>
      </c>
      <c r="N186" s="20" t="str">
        <f ca="1">IFERROR(CONCATENATE(ROUND(OFFSET(환산공식!DK$15,$F186,0),1),"%"),"")</f>
        <v>100%</v>
      </c>
      <c r="O186" s="20">
        <f ca="1">IFERROR(OFFSET(환산공식!DL$15,$F186,0),"")</f>
        <v>10</v>
      </c>
      <c r="P186" s="188" t="str">
        <f t="shared" ca="1" si="5"/>
        <v>3% 이하</v>
      </c>
      <c r="Q186" s="194">
        <f ca="1">IFERROR(ROUND(OFFSET(환산공식!$FG$15,$F186,0),3),"")</f>
        <v>0</v>
      </c>
      <c r="R186" s="194">
        <f ca="1">OFFSET('배치점수 계산기'!H$10,$D186,0)</f>
        <v>711.59500000000003</v>
      </c>
      <c r="S186" s="194">
        <f ca="1">OFFSET('배치점수 계산기'!I$10,$D186,0)</f>
        <v>706.79100000000005</v>
      </c>
      <c r="T186" s="194">
        <f ca="1">OFFSET('배치점수 계산기'!J$10,$D186,0)</f>
        <v>701.78200000000004</v>
      </c>
      <c r="U186" s="194">
        <f ca="1">OFFSET('배치점수 계산기'!K$10,$D186,0)</f>
        <v>697.096</v>
      </c>
      <c r="V186" s="194">
        <f ca="1">OFFSET('배치점수 계산기'!L$10,$D186,0)</f>
        <v>692.72900000000004</v>
      </c>
      <c r="W186" s="186" t="str">
        <f ca="1">OFFSET('배치점수 계산기'!M$10,$D186,0)</f>
        <v>표점</v>
      </c>
      <c r="X186" s="184" t="str">
        <f ca="1">OFFSET('배치점수 계산기'!N$10,$D186,0)</f>
        <v>변표</v>
      </c>
      <c r="Y186" s="188">
        <f ca="1">OFFSET(환산공식!FW$15,$F186,0)</f>
        <v>0.3</v>
      </c>
      <c r="Z186" s="20">
        <f ca="1">OFFSET(환산공식!FX$15,$F186,0)</f>
        <v>0.35</v>
      </c>
      <c r="AA186" s="179">
        <f ca="1">OFFSET(환산공식!FY$15,$F186,0)</f>
        <v>0.35</v>
      </c>
      <c r="AC186"/>
      <c r="AD186">
        <f t="shared" ca="1" si="6"/>
        <v>6</v>
      </c>
      <c r="AE186"/>
    </row>
    <row r="187" spans="1:31" s="3" customFormat="1">
      <c r="A187" s="198"/>
      <c r="B187" s="198"/>
      <c r="C187" s="198" t="s">
        <v>748</v>
      </c>
      <c r="D187" s="195">
        <v>237</v>
      </c>
      <c r="E187" s="195">
        <v>30</v>
      </c>
      <c r="F187" s="195">
        <v>30</v>
      </c>
      <c r="G187" s="239">
        <v>180</v>
      </c>
      <c r="H187" s="197" t="s">
        <v>72</v>
      </c>
      <c r="I187" s="242" t="s">
        <v>228</v>
      </c>
      <c r="J187" s="242" t="s">
        <v>9261</v>
      </c>
      <c r="K187" s="195" t="s">
        <v>70</v>
      </c>
      <c r="L187" s="20" t="str">
        <f ca="1">IF(OFFSET(환산공식!$ED$15,$F187,0)=1,"O","X")</f>
        <v>X</v>
      </c>
      <c r="M187" s="188">
        <f ca="1">IFERROR(OFFSET(환산공식!DJ$15,$F187,0),"")</f>
        <v>100</v>
      </c>
      <c r="N187" s="20" t="str">
        <f ca="1">IFERROR(CONCATENATE(ROUND(OFFSET(환산공식!DK$15,$F187,0),1),"%"),"")</f>
        <v>100%</v>
      </c>
      <c r="O187" s="20">
        <f ca="1">IFERROR(OFFSET(환산공식!DL$15,$F187,0),"")</f>
        <v>10</v>
      </c>
      <c r="P187" s="188" t="str">
        <f t="shared" ca="1" si="5"/>
        <v>3% 이하</v>
      </c>
      <c r="Q187" s="194">
        <f ca="1">IFERROR(ROUND(OFFSET(환산공식!$FG$15,$F187,0),3),"")</f>
        <v>0</v>
      </c>
      <c r="R187" s="194">
        <f ca="1">OFFSET('배치점수 계산기'!H$10,$D187,0)</f>
        <v>707.81</v>
      </c>
      <c r="S187" s="194">
        <f ca="1">OFFSET('배치점수 계산기'!I$10,$D187,0)</f>
        <v>703.17</v>
      </c>
      <c r="T187" s="194">
        <f ca="1">OFFSET('배치점수 계산기'!J$10,$D187,0)</f>
        <v>699.03200000000004</v>
      </c>
      <c r="U187" s="194">
        <f ca="1">OFFSET('배치점수 계산기'!K$10,$D187,0)</f>
        <v>695.27599999999995</v>
      </c>
      <c r="V187" s="194">
        <f ca="1">OFFSET('배치점수 계산기'!L$10,$D187,0)</f>
        <v>691.61599999999999</v>
      </c>
      <c r="W187" s="186" t="str">
        <f ca="1">OFFSET('배치점수 계산기'!M$10,$D187,0)</f>
        <v>표점</v>
      </c>
      <c r="X187" s="184" t="str">
        <f ca="1">OFFSET('배치점수 계산기'!N$10,$D187,0)</f>
        <v>변표</v>
      </c>
      <c r="Y187" s="188">
        <f ca="1">OFFSET(환산공식!FW$15,$F187,0)</f>
        <v>0.3</v>
      </c>
      <c r="Z187" s="20">
        <f ca="1">OFFSET(환산공식!FX$15,$F187,0)</f>
        <v>0.35</v>
      </c>
      <c r="AA187" s="179">
        <f ca="1">OFFSET(환산공식!FY$15,$F187,0)</f>
        <v>0.35</v>
      </c>
      <c r="AC187"/>
      <c r="AD187">
        <f t="shared" ca="1" si="6"/>
        <v>6</v>
      </c>
      <c r="AE187"/>
    </row>
    <row r="188" spans="1:31" s="3" customFormat="1">
      <c r="A188" s="198"/>
      <c r="B188" s="198"/>
      <c r="C188" s="198" t="s">
        <v>749</v>
      </c>
      <c r="D188" s="195">
        <v>238</v>
      </c>
      <c r="E188" s="195">
        <v>31</v>
      </c>
      <c r="F188" s="195">
        <v>31</v>
      </c>
      <c r="G188" s="239">
        <v>181</v>
      </c>
      <c r="H188" s="197" t="s">
        <v>72</v>
      </c>
      <c r="I188" s="242" t="s">
        <v>228</v>
      </c>
      <c r="J188" s="242" t="s">
        <v>8654</v>
      </c>
      <c r="K188" s="195" t="s">
        <v>71</v>
      </c>
      <c r="L188" s="20" t="str">
        <f ca="1">IF(OFFSET(환산공식!$ED$15,$F188,0)=1,"O","X")</f>
        <v>X</v>
      </c>
      <c r="M188" s="188">
        <f ca="1">IFERROR(OFFSET(환산공식!DJ$15,$F188,0),"")</f>
        <v>100</v>
      </c>
      <c r="N188" s="20" t="str">
        <f ca="1">IFERROR(CONCATENATE(ROUND(OFFSET(환산공식!DK$15,$F188,0),1),"%"),"")</f>
        <v>100%</v>
      </c>
      <c r="O188" s="20">
        <f ca="1">IFERROR(OFFSET(환산공식!DL$15,$F188,0),"")</f>
        <v>10</v>
      </c>
      <c r="P188" s="188" t="str">
        <f t="shared" ca="1" si="5"/>
        <v>3% 이하</v>
      </c>
      <c r="Q188" s="194">
        <f ca="1">IFERROR(ROUND(OFFSET(환산공식!$FG$15,$F188,0),3),"")</f>
        <v>0</v>
      </c>
      <c r="R188" s="194">
        <f ca="1">OFFSET('배치점수 계산기'!H$10,$D188,0)</f>
        <v>761.72900000000004</v>
      </c>
      <c r="S188" s="194">
        <f ca="1">OFFSET('배치점수 계산기'!I$10,$D188,0)</f>
        <v>759.51499999999999</v>
      </c>
      <c r="T188" s="194">
        <f ca="1">OFFSET('배치점수 계산기'!J$10,$D188,0)</f>
        <v>757.96400000000006</v>
      </c>
      <c r="U188" s="194">
        <f ca="1">OFFSET('배치점수 계산기'!K$10,$D188,0)</f>
        <v>754.83799999999997</v>
      </c>
      <c r="V188" s="194">
        <f ca="1">OFFSET('배치점수 계산기'!L$10,$D188,0)</f>
        <v>751.27300000000002</v>
      </c>
      <c r="W188" s="186" t="str">
        <f ca="1">OFFSET('배치점수 계산기'!M$10,$D188,0)</f>
        <v>표점</v>
      </c>
      <c r="X188" s="184" t="str">
        <f ca="1">OFFSET('배치점수 계산기'!N$10,$D188,0)</f>
        <v>변표</v>
      </c>
      <c r="Y188" s="188">
        <f ca="1">OFFSET(환산공식!FW$15,$F188,0)</f>
        <v>0.35</v>
      </c>
      <c r="Z188" s="20">
        <f ca="1">OFFSET(환산공식!FX$15,$F188,0)</f>
        <v>0.3</v>
      </c>
      <c r="AA188" s="179">
        <f ca="1">OFFSET(환산공식!FY$15,$F188,0)</f>
        <v>0.35</v>
      </c>
      <c r="AC188"/>
      <c r="AD188">
        <f t="shared" ca="1" si="6"/>
        <v>6</v>
      </c>
      <c r="AE188"/>
    </row>
    <row r="189" spans="1:31" s="3" customFormat="1">
      <c r="A189" s="198"/>
      <c r="B189" s="198"/>
      <c r="C189" s="198" t="s">
        <v>750</v>
      </c>
      <c r="D189" s="195">
        <v>239</v>
      </c>
      <c r="E189" s="195">
        <v>32</v>
      </c>
      <c r="F189" s="195">
        <v>32</v>
      </c>
      <c r="G189" s="239">
        <v>182</v>
      </c>
      <c r="H189" s="197" t="s">
        <v>72</v>
      </c>
      <c r="I189" s="242" t="s">
        <v>228</v>
      </c>
      <c r="J189" s="242" t="s">
        <v>9407</v>
      </c>
      <c r="K189" s="195" t="s">
        <v>71</v>
      </c>
      <c r="L189" s="20" t="str">
        <f ca="1">IF(OFFSET(환산공식!$ED$15,$F189,0)=1,"O","X")</f>
        <v>X</v>
      </c>
      <c r="M189" s="188">
        <f ca="1">IFERROR(OFFSET(환산공식!DJ$15,$F189,0),"")</f>
        <v>100</v>
      </c>
      <c r="N189" s="20" t="str">
        <f ca="1">IFERROR(CONCATENATE(ROUND(OFFSET(환산공식!DK$15,$F189,0),1),"%"),"")</f>
        <v>100%</v>
      </c>
      <c r="O189" s="20">
        <f ca="1">IFERROR(OFFSET(환산공식!DL$15,$F189,0),"")</f>
        <v>10</v>
      </c>
      <c r="P189" s="188" t="str">
        <f t="shared" ca="1" si="5"/>
        <v>3% 이하</v>
      </c>
      <c r="Q189" s="194">
        <f ca="1">IFERROR(ROUND(OFFSET(환산공식!$FG$15,$F189,0),3),"")</f>
        <v>0</v>
      </c>
      <c r="R189" s="194">
        <f ca="1">OFFSET('배치점수 계산기'!H$10,$D189,0)</f>
        <v>755.21</v>
      </c>
      <c r="S189" s="194">
        <f ca="1">OFFSET('배치점수 계산기'!I$10,$D189,0)</f>
        <v>753.22500000000002</v>
      </c>
      <c r="T189" s="194">
        <f ca="1">OFFSET('배치점수 계산기'!J$10,$D189,0)</f>
        <v>752.05600000000004</v>
      </c>
      <c r="U189" s="194">
        <f ca="1">OFFSET('배치점수 계산기'!K$10,$D189,0)</f>
        <v>750.87300000000005</v>
      </c>
      <c r="V189" s="194">
        <f ca="1">OFFSET('배치점수 계산기'!L$10,$D189,0)</f>
        <v>749.11800000000005</v>
      </c>
      <c r="W189" s="186" t="str">
        <f ca="1">OFFSET('배치점수 계산기'!M$10,$D189,0)</f>
        <v>표점</v>
      </c>
      <c r="X189" s="184" t="str">
        <f ca="1">OFFSET('배치점수 계산기'!N$10,$D189,0)</f>
        <v>변표</v>
      </c>
      <c r="Y189" s="188">
        <f ca="1">OFFSET(환산공식!FW$15,$F189,0)</f>
        <v>0.3</v>
      </c>
      <c r="Z189" s="20">
        <f ca="1">OFFSET(환산공식!FX$15,$F189,0)</f>
        <v>0.4</v>
      </c>
      <c r="AA189" s="179">
        <f ca="1">OFFSET(환산공식!FY$15,$F189,0)</f>
        <v>0.3</v>
      </c>
      <c r="AC189"/>
      <c r="AD189">
        <f t="shared" ca="1" si="6"/>
        <v>6</v>
      </c>
      <c r="AE189"/>
    </row>
    <row r="190" spans="1:31" s="3" customFormat="1">
      <c r="A190" s="198"/>
      <c r="B190" s="198"/>
      <c r="C190" s="198" t="s">
        <v>751</v>
      </c>
      <c r="D190" s="195">
        <v>240</v>
      </c>
      <c r="E190" s="195">
        <v>31</v>
      </c>
      <c r="F190" s="195">
        <v>31</v>
      </c>
      <c r="G190" s="239">
        <v>183</v>
      </c>
      <c r="H190" s="197" t="s">
        <v>72</v>
      </c>
      <c r="I190" s="242" t="s">
        <v>228</v>
      </c>
      <c r="J190" s="242" t="s">
        <v>9405</v>
      </c>
      <c r="K190" s="195" t="s">
        <v>71</v>
      </c>
      <c r="L190" s="20" t="str">
        <f ca="1">IF(OFFSET(환산공식!$ED$15,$F190,0)=1,"O","X")</f>
        <v>X</v>
      </c>
      <c r="M190" s="188">
        <f ca="1">IFERROR(OFFSET(환산공식!DJ$15,$F190,0),"")</f>
        <v>100</v>
      </c>
      <c r="N190" s="20" t="str">
        <f ca="1">IFERROR(CONCATENATE(ROUND(OFFSET(환산공식!DK$15,$F190,0),1),"%"),"")</f>
        <v>100%</v>
      </c>
      <c r="O190" s="20">
        <f ca="1">IFERROR(OFFSET(환산공식!DL$15,$F190,0),"")</f>
        <v>10</v>
      </c>
      <c r="P190" s="188" t="str">
        <f t="shared" ca="1" si="5"/>
        <v>3% 이하</v>
      </c>
      <c r="Q190" s="194">
        <f ca="1">IFERROR(ROUND(OFFSET(환산공식!$FG$15,$F190,0),3),"")</f>
        <v>0</v>
      </c>
      <c r="R190" s="194">
        <f ca="1">OFFSET('배치점수 계산기'!H$10,$D190,0)</f>
        <v>761.23099999999999</v>
      </c>
      <c r="S190" s="194">
        <f ca="1">OFFSET('배치점수 계산기'!I$10,$D190,0)</f>
        <v>758.93100000000004</v>
      </c>
      <c r="T190" s="194">
        <f ca="1">OFFSET('배치점수 계산기'!J$10,$D190,0)</f>
        <v>757.33900000000006</v>
      </c>
      <c r="U190" s="194">
        <f ca="1">OFFSET('배치점수 계산기'!K$10,$D190,0)</f>
        <v>754.72900000000004</v>
      </c>
      <c r="V190" s="194">
        <f ca="1">OFFSET('배치점수 계산기'!L$10,$D190,0)</f>
        <v>751.27300000000002</v>
      </c>
      <c r="W190" s="186" t="str">
        <f ca="1">OFFSET('배치점수 계산기'!M$10,$D190,0)</f>
        <v>표점</v>
      </c>
      <c r="X190" s="184" t="str">
        <f ca="1">OFFSET('배치점수 계산기'!N$10,$D190,0)</f>
        <v>변표</v>
      </c>
      <c r="Y190" s="188">
        <f ca="1">OFFSET(환산공식!FW$15,$F190,0)</f>
        <v>0.35</v>
      </c>
      <c r="Z190" s="20">
        <f ca="1">OFFSET(환산공식!FX$15,$F190,0)</f>
        <v>0.3</v>
      </c>
      <c r="AA190" s="179">
        <f ca="1">OFFSET(환산공식!FY$15,$F190,0)</f>
        <v>0.35</v>
      </c>
      <c r="AC190"/>
      <c r="AD190">
        <f t="shared" ca="1" si="6"/>
        <v>6</v>
      </c>
      <c r="AE190"/>
    </row>
    <row r="191" spans="1:31" s="3" customFormat="1">
      <c r="A191" s="198"/>
      <c r="B191" s="198"/>
      <c r="C191" s="198" t="s">
        <v>752</v>
      </c>
      <c r="D191" s="195">
        <v>241</v>
      </c>
      <c r="E191" s="195">
        <v>31</v>
      </c>
      <c r="F191" s="195">
        <v>31</v>
      </c>
      <c r="G191" s="239">
        <v>184</v>
      </c>
      <c r="H191" s="197" t="s">
        <v>72</v>
      </c>
      <c r="I191" s="242" t="s">
        <v>228</v>
      </c>
      <c r="J191" s="242" t="s">
        <v>8883</v>
      </c>
      <c r="K191" s="195" t="s">
        <v>71</v>
      </c>
      <c r="L191" s="20" t="str">
        <f ca="1">IF(OFFSET(환산공식!$ED$15,$F191,0)=1,"O","X")</f>
        <v>X</v>
      </c>
      <c r="M191" s="188">
        <f ca="1">IFERROR(OFFSET(환산공식!DJ$15,$F191,0),"")</f>
        <v>100</v>
      </c>
      <c r="N191" s="20" t="str">
        <f ca="1">IFERROR(CONCATENATE(ROUND(OFFSET(환산공식!DK$15,$F191,0),1),"%"),"")</f>
        <v>100%</v>
      </c>
      <c r="O191" s="20">
        <f ca="1">IFERROR(OFFSET(환산공식!DL$15,$F191,0),"")</f>
        <v>10</v>
      </c>
      <c r="P191" s="188" t="str">
        <f t="shared" ca="1" si="5"/>
        <v>3% 이하</v>
      </c>
      <c r="Q191" s="194">
        <f ca="1">IFERROR(ROUND(OFFSET(환산공식!$FG$15,$F191,0),3),"")</f>
        <v>0</v>
      </c>
      <c r="R191" s="194">
        <f ca="1">OFFSET('배치점수 계산기'!H$10,$D191,0)</f>
        <v>761.08100000000002</v>
      </c>
      <c r="S191" s="194">
        <f ca="1">OFFSET('배치점수 계산기'!I$10,$D191,0)</f>
        <v>758.87</v>
      </c>
      <c r="T191" s="194">
        <f ca="1">OFFSET('배치점수 계산기'!J$10,$D191,0)</f>
        <v>757.18899999999996</v>
      </c>
      <c r="U191" s="194">
        <f ca="1">OFFSET('배치점수 계산기'!K$10,$D191,0)</f>
        <v>754.72900000000004</v>
      </c>
      <c r="V191" s="194">
        <f ca="1">OFFSET('배치점수 계산기'!L$10,$D191,0)</f>
        <v>751.404</v>
      </c>
      <c r="W191" s="186" t="str">
        <f ca="1">OFFSET('배치점수 계산기'!M$10,$D191,0)</f>
        <v>표점</v>
      </c>
      <c r="X191" s="184" t="str">
        <f ca="1">OFFSET('배치점수 계산기'!N$10,$D191,0)</f>
        <v>변표</v>
      </c>
      <c r="Y191" s="188">
        <f ca="1">OFFSET(환산공식!FW$15,$F191,0)</f>
        <v>0.35</v>
      </c>
      <c r="Z191" s="20">
        <f ca="1">OFFSET(환산공식!FX$15,$F191,0)</f>
        <v>0.3</v>
      </c>
      <c r="AA191" s="179">
        <f ca="1">OFFSET(환산공식!FY$15,$F191,0)</f>
        <v>0.35</v>
      </c>
      <c r="AC191"/>
      <c r="AD191">
        <f t="shared" ca="1" si="6"/>
        <v>6</v>
      </c>
      <c r="AE191"/>
    </row>
    <row r="192" spans="1:31" s="3" customFormat="1">
      <c r="A192" s="198"/>
      <c r="B192" s="198"/>
      <c r="C192" s="198" t="s">
        <v>753</v>
      </c>
      <c r="D192" s="195">
        <v>242</v>
      </c>
      <c r="E192" s="195">
        <v>31</v>
      </c>
      <c r="F192" s="195">
        <v>31</v>
      </c>
      <c r="G192" s="239">
        <v>185</v>
      </c>
      <c r="H192" s="197" t="s">
        <v>72</v>
      </c>
      <c r="I192" s="242" t="s">
        <v>228</v>
      </c>
      <c r="J192" s="242" t="s">
        <v>501</v>
      </c>
      <c r="K192" s="195" t="s">
        <v>71</v>
      </c>
      <c r="L192" s="20" t="str">
        <f ca="1">IF(OFFSET(환산공식!$ED$15,$F192,0)=1,"O","X")</f>
        <v>X</v>
      </c>
      <c r="M192" s="188">
        <f ca="1">IFERROR(OFFSET(환산공식!DJ$15,$F192,0),"")</f>
        <v>100</v>
      </c>
      <c r="N192" s="20" t="str">
        <f ca="1">IFERROR(CONCATENATE(ROUND(OFFSET(환산공식!DK$15,$F192,0),1),"%"),"")</f>
        <v>100%</v>
      </c>
      <c r="O192" s="20">
        <f ca="1">IFERROR(OFFSET(환산공식!DL$15,$F192,0),"")</f>
        <v>10</v>
      </c>
      <c r="P192" s="188" t="str">
        <f t="shared" ca="1" si="5"/>
        <v>3% 이하</v>
      </c>
      <c r="Q192" s="194">
        <f ca="1">IFERROR(ROUND(OFFSET(환산공식!$FG$15,$F192,0),3),"")</f>
        <v>0</v>
      </c>
      <c r="R192" s="194">
        <f ca="1">OFFSET('배치점수 계산기'!H$10,$D192,0)</f>
        <v>760.53700000000003</v>
      </c>
      <c r="S192" s="194">
        <f ca="1">OFFSET('배치점수 계산기'!I$10,$D192,0)</f>
        <v>758.20399999999995</v>
      </c>
      <c r="T192" s="194">
        <f ca="1">OFFSET('배치점수 계산기'!J$10,$D192,0)</f>
        <v>756.577</v>
      </c>
      <c r="U192" s="194">
        <f ca="1">OFFSET('배치점수 계산기'!K$10,$D192,0)</f>
        <v>755.16200000000003</v>
      </c>
      <c r="V192" s="194">
        <f ca="1">OFFSET('배치점수 계산기'!L$10,$D192,0)</f>
        <v>753.20699999999999</v>
      </c>
      <c r="W192" s="186" t="str">
        <f ca="1">OFFSET('배치점수 계산기'!M$10,$D192,0)</f>
        <v>표점</v>
      </c>
      <c r="X192" s="184" t="str">
        <f ca="1">OFFSET('배치점수 계산기'!N$10,$D192,0)</f>
        <v>변표</v>
      </c>
      <c r="Y192" s="188">
        <f ca="1">OFFSET(환산공식!FW$15,$F192,0)</f>
        <v>0.35</v>
      </c>
      <c r="Z192" s="20">
        <f ca="1">OFFSET(환산공식!FX$15,$F192,0)</f>
        <v>0.3</v>
      </c>
      <c r="AA192" s="179">
        <f ca="1">OFFSET(환산공식!FY$15,$F192,0)</f>
        <v>0.35</v>
      </c>
      <c r="AC192"/>
      <c r="AD192">
        <f t="shared" ca="1" si="6"/>
        <v>6</v>
      </c>
      <c r="AE192"/>
    </row>
    <row r="193" spans="1:31" s="3" customFormat="1">
      <c r="A193" s="198"/>
      <c r="B193" s="198"/>
      <c r="C193" s="198" t="s">
        <v>754</v>
      </c>
      <c r="D193" s="195">
        <v>243</v>
      </c>
      <c r="E193" s="195">
        <v>32</v>
      </c>
      <c r="F193" s="195">
        <v>32</v>
      </c>
      <c r="G193" s="239">
        <v>186</v>
      </c>
      <c r="H193" s="197" t="s">
        <v>72</v>
      </c>
      <c r="I193" s="242" t="s">
        <v>228</v>
      </c>
      <c r="J193" s="242" t="s">
        <v>9363</v>
      </c>
      <c r="K193" s="195" t="s">
        <v>71</v>
      </c>
      <c r="L193" s="20" t="str">
        <f ca="1">IF(OFFSET(환산공식!$ED$15,$F193,0)=1,"O","X")</f>
        <v>X</v>
      </c>
      <c r="M193" s="188">
        <f ca="1">IFERROR(OFFSET(환산공식!DJ$15,$F193,0),"")</f>
        <v>100</v>
      </c>
      <c r="N193" s="20" t="str">
        <f ca="1">IFERROR(CONCATENATE(ROUND(OFFSET(환산공식!DK$15,$F193,0),1),"%"),"")</f>
        <v>100%</v>
      </c>
      <c r="O193" s="20">
        <f ca="1">IFERROR(OFFSET(환산공식!DL$15,$F193,0),"")</f>
        <v>10</v>
      </c>
      <c r="P193" s="188" t="str">
        <f t="shared" ca="1" si="5"/>
        <v>3% 이하</v>
      </c>
      <c r="Q193" s="194">
        <f ca="1">IFERROR(ROUND(OFFSET(환산공식!$FG$15,$F193,0),3),"")</f>
        <v>0</v>
      </c>
      <c r="R193" s="194">
        <f ca="1">OFFSET('배치점수 계산기'!H$10,$D193,0)</f>
        <v>752.05600000000004</v>
      </c>
      <c r="S193" s="194">
        <f ca="1">OFFSET('배치점수 계산기'!I$10,$D193,0)</f>
        <v>751.34</v>
      </c>
      <c r="T193" s="194">
        <f ca="1">OFFSET('배치점수 계산기'!J$10,$D193,0)</f>
        <v>750.673</v>
      </c>
      <c r="U193" s="194">
        <f ca="1">OFFSET('배치점수 계산기'!K$10,$D193,0)</f>
        <v>749.74</v>
      </c>
      <c r="V193" s="194">
        <f ca="1">OFFSET('배치점수 계산기'!L$10,$D193,0)</f>
        <v>748.18</v>
      </c>
      <c r="W193" s="186" t="str">
        <f ca="1">OFFSET('배치점수 계산기'!M$10,$D193,0)</f>
        <v>표점</v>
      </c>
      <c r="X193" s="184" t="str">
        <f ca="1">OFFSET('배치점수 계산기'!N$10,$D193,0)</f>
        <v>변표</v>
      </c>
      <c r="Y193" s="188">
        <f ca="1">OFFSET(환산공식!FW$15,$F193,0)</f>
        <v>0.3</v>
      </c>
      <c r="Z193" s="20">
        <f ca="1">OFFSET(환산공식!FX$15,$F193,0)</f>
        <v>0.4</v>
      </c>
      <c r="AA193" s="179">
        <f ca="1">OFFSET(환산공식!FY$15,$F193,0)</f>
        <v>0.3</v>
      </c>
      <c r="AC193"/>
      <c r="AD193">
        <f t="shared" ca="1" si="6"/>
        <v>6</v>
      </c>
      <c r="AE193"/>
    </row>
    <row r="194" spans="1:31" s="3" customFormat="1">
      <c r="A194" s="198"/>
      <c r="B194" s="198"/>
      <c r="C194" s="198" t="s">
        <v>755</v>
      </c>
      <c r="D194" s="195">
        <v>244</v>
      </c>
      <c r="E194" s="195">
        <v>32</v>
      </c>
      <c r="F194" s="195">
        <v>32</v>
      </c>
      <c r="G194" s="239">
        <v>187</v>
      </c>
      <c r="H194" s="197" t="s">
        <v>72</v>
      </c>
      <c r="I194" s="242" t="s">
        <v>228</v>
      </c>
      <c r="J194" s="242" t="s">
        <v>8953</v>
      </c>
      <c r="K194" s="195" t="s">
        <v>71</v>
      </c>
      <c r="L194" s="20" t="str">
        <f ca="1">IF(OFFSET(환산공식!$ED$15,$F194,0)=1,"O","X")</f>
        <v>X</v>
      </c>
      <c r="M194" s="188">
        <f ca="1">IFERROR(OFFSET(환산공식!DJ$15,$F194,0),"")</f>
        <v>100</v>
      </c>
      <c r="N194" s="20" t="str">
        <f ca="1">IFERROR(CONCATENATE(ROUND(OFFSET(환산공식!DK$15,$F194,0),1),"%"),"")</f>
        <v>100%</v>
      </c>
      <c r="O194" s="20">
        <f ca="1">IFERROR(OFFSET(환산공식!DL$15,$F194,0),"")</f>
        <v>10</v>
      </c>
      <c r="P194" s="188" t="str">
        <f t="shared" ca="1" si="5"/>
        <v>3% 이하</v>
      </c>
      <c r="Q194" s="194">
        <f ca="1">IFERROR(ROUND(OFFSET(환산공식!$FG$15,$F194,0),3),"")</f>
        <v>0</v>
      </c>
      <c r="R194" s="194">
        <f ca="1">OFFSET('배치점수 계산기'!H$10,$D194,0)</f>
        <v>753.89499999999998</v>
      </c>
      <c r="S194" s="194">
        <f ca="1">OFFSET('배치점수 계산기'!I$10,$D194,0)</f>
        <v>751.46600000000001</v>
      </c>
      <c r="T194" s="194">
        <f ca="1">OFFSET('배치점수 계산기'!J$10,$D194,0)</f>
        <v>750.24</v>
      </c>
      <c r="U194" s="194">
        <f ca="1">OFFSET('배치점수 계산기'!K$10,$D194,0)</f>
        <v>747.56299999999999</v>
      </c>
      <c r="V194" s="194">
        <f ca="1">OFFSET('배치점수 계산기'!L$10,$D194,0)</f>
        <v>743.92899999999997</v>
      </c>
      <c r="W194" s="186" t="str">
        <f ca="1">OFFSET('배치점수 계산기'!M$10,$D194,0)</f>
        <v>표점</v>
      </c>
      <c r="X194" s="184" t="str">
        <f ca="1">OFFSET('배치점수 계산기'!N$10,$D194,0)</f>
        <v>변표</v>
      </c>
      <c r="Y194" s="188">
        <f ca="1">OFFSET(환산공식!FW$15,$F194,0)</f>
        <v>0.3</v>
      </c>
      <c r="Z194" s="20">
        <f ca="1">OFFSET(환산공식!FX$15,$F194,0)</f>
        <v>0.4</v>
      </c>
      <c r="AA194" s="179">
        <f ca="1">OFFSET(환산공식!FY$15,$F194,0)</f>
        <v>0.3</v>
      </c>
      <c r="AC194"/>
      <c r="AD194">
        <f t="shared" ca="1" si="6"/>
        <v>6</v>
      </c>
      <c r="AE194"/>
    </row>
    <row r="195" spans="1:31" s="3" customFormat="1">
      <c r="A195" s="198"/>
      <c r="B195" s="198"/>
      <c r="C195" s="198" t="s">
        <v>756</v>
      </c>
      <c r="D195" s="195">
        <v>245</v>
      </c>
      <c r="E195" s="195">
        <v>32</v>
      </c>
      <c r="F195" s="195">
        <v>32</v>
      </c>
      <c r="G195" s="239">
        <v>188</v>
      </c>
      <c r="H195" s="197" t="s">
        <v>72</v>
      </c>
      <c r="I195" s="242" t="s">
        <v>228</v>
      </c>
      <c r="J195" s="242" t="s">
        <v>9411</v>
      </c>
      <c r="K195" s="195" t="s">
        <v>71</v>
      </c>
      <c r="L195" s="20" t="str">
        <f ca="1">IF(OFFSET(환산공식!$ED$15,$F195,0)=1,"O","X")</f>
        <v>X</v>
      </c>
      <c r="M195" s="188">
        <f ca="1">IFERROR(OFFSET(환산공식!DJ$15,$F195,0),"")</f>
        <v>100</v>
      </c>
      <c r="N195" s="20" t="str">
        <f ca="1">IFERROR(CONCATENATE(ROUND(OFFSET(환산공식!DK$15,$F195,0),1),"%"),"")</f>
        <v>100%</v>
      </c>
      <c r="O195" s="20">
        <f ca="1">IFERROR(OFFSET(환산공식!DL$15,$F195,0),"")</f>
        <v>10</v>
      </c>
      <c r="P195" s="188" t="str">
        <f t="shared" ca="1" si="5"/>
        <v>3% 이하</v>
      </c>
      <c r="Q195" s="194">
        <f ca="1">IFERROR(ROUND(OFFSET(환산공식!$FG$15,$F195,0),3),"")</f>
        <v>0</v>
      </c>
      <c r="R195" s="194">
        <f ca="1">OFFSET('배치점수 계산기'!H$10,$D195,0)</f>
        <v>755.91700000000003</v>
      </c>
      <c r="S195" s="194">
        <f ca="1">OFFSET('배치점수 계산기'!I$10,$D195,0)</f>
        <v>752.37300000000005</v>
      </c>
      <c r="T195" s="194">
        <f ca="1">OFFSET('배치점수 계산기'!J$10,$D195,0)</f>
        <v>749.11800000000005</v>
      </c>
      <c r="U195" s="194">
        <f ca="1">OFFSET('배치점수 계산기'!K$10,$D195,0)</f>
        <v>747.64599999999996</v>
      </c>
      <c r="V195" s="194">
        <f ca="1">OFFSET('배치점수 계산기'!L$10,$D195,0)</f>
        <v>746.67499999999995</v>
      </c>
      <c r="W195" s="186" t="str">
        <f ca="1">OFFSET('배치점수 계산기'!M$10,$D195,0)</f>
        <v>표점</v>
      </c>
      <c r="X195" s="184" t="str">
        <f ca="1">OFFSET('배치점수 계산기'!N$10,$D195,0)</f>
        <v>변표</v>
      </c>
      <c r="Y195" s="188">
        <f ca="1">OFFSET(환산공식!FW$15,$F195,0)</f>
        <v>0.3</v>
      </c>
      <c r="Z195" s="20">
        <f ca="1">OFFSET(환산공식!FX$15,$F195,0)</f>
        <v>0.4</v>
      </c>
      <c r="AA195" s="179">
        <f ca="1">OFFSET(환산공식!FY$15,$F195,0)</f>
        <v>0.3</v>
      </c>
      <c r="AC195"/>
      <c r="AD195">
        <f t="shared" ca="1" si="6"/>
        <v>6</v>
      </c>
      <c r="AE195"/>
    </row>
    <row r="196" spans="1:31" s="3" customFormat="1">
      <c r="A196" s="198"/>
      <c r="B196" s="198"/>
      <c r="C196" s="198" t="s">
        <v>757</v>
      </c>
      <c r="D196" s="195">
        <v>246</v>
      </c>
      <c r="E196" s="195">
        <v>32</v>
      </c>
      <c r="F196" s="195">
        <v>32</v>
      </c>
      <c r="G196" s="239">
        <v>189</v>
      </c>
      <c r="H196" s="197" t="s">
        <v>72</v>
      </c>
      <c r="I196" s="242" t="s">
        <v>228</v>
      </c>
      <c r="J196" s="242" t="s">
        <v>490</v>
      </c>
      <c r="K196" s="195" t="s">
        <v>71</v>
      </c>
      <c r="L196" s="20" t="str">
        <f ca="1">IF(OFFSET(환산공식!$ED$15,$F196,0)=1,"O","X")</f>
        <v>X</v>
      </c>
      <c r="M196" s="188">
        <f ca="1">IFERROR(OFFSET(환산공식!DJ$15,$F196,0),"")</f>
        <v>100</v>
      </c>
      <c r="N196" s="20" t="str">
        <f ca="1">IFERROR(CONCATENATE(ROUND(OFFSET(환산공식!DK$15,$F196,0),1),"%"),"")</f>
        <v>100%</v>
      </c>
      <c r="O196" s="20">
        <f ca="1">IFERROR(OFFSET(환산공식!DL$15,$F196,0),"")</f>
        <v>10</v>
      </c>
      <c r="P196" s="188" t="str">
        <f t="shared" ca="1" si="5"/>
        <v>3% 이하</v>
      </c>
      <c r="Q196" s="194">
        <f ca="1">IFERROR(ROUND(OFFSET(환산공식!$FG$15,$F196,0),3),"")</f>
        <v>0</v>
      </c>
      <c r="R196" s="194">
        <f ca="1">OFFSET('배치점수 계산기'!H$10,$D196,0)</f>
        <v>755.91700000000003</v>
      </c>
      <c r="S196" s="194">
        <f ca="1">OFFSET('배치점수 계산기'!I$10,$D196,0)</f>
        <v>752.37300000000005</v>
      </c>
      <c r="T196" s="194">
        <f ca="1">OFFSET('배치점수 계산기'!J$10,$D196,0)</f>
        <v>749.11800000000005</v>
      </c>
      <c r="U196" s="194">
        <f ca="1">OFFSET('배치점수 계산기'!K$10,$D196,0)</f>
        <v>747.64599999999996</v>
      </c>
      <c r="V196" s="194">
        <f ca="1">OFFSET('배치점수 계산기'!L$10,$D196,0)</f>
        <v>746.67499999999995</v>
      </c>
      <c r="W196" s="186" t="str">
        <f ca="1">OFFSET('배치점수 계산기'!M$10,$D196,0)</f>
        <v>표점</v>
      </c>
      <c r="X196" s="184" t="str">
        <f ca="1">OFFSET('배치점수 계산기'!N$10,$D196,0)</f>
        <v>변표</v>
      </c>
      <c r="Y196" s="188">
        <f ca="1">OFFSET(환산공식!FW$15,$F196,0)</f>
        <v>0.3</v>
      </c>
      <c r="Z196" s="20">
        <f ca="1">OFFSET(환산공식!FX$15,$F196,0)</f>
        <v>0.4</v>
      </c>
      <c r="AA196" s="179">
        <f ca="1">OFFSET(환산공식!FY$15,$F196,0)</f>
        <v>0.3</v>
      </c>
      <c r="AC196"/>
      <c r="AD196">
        <f t="shared" ca="1" si="6"/>
        <v>6</v>
      </c>
      <c r="AE196"/>
    </row>
    <row r="197" spans="1:31" s="3" customFormat="1">
      <c r="A197" s="198"/>
      <c r="B197" s="198"/>
      <c r="C197" s="198" t="s">
        <v>758</v>
      </c>
      <c r="D197" s="195">
        <v>247</v>
      </c>
      <c r="E197" s="195">
        <v>33</v>
      </c>
      <c r="F197" s="195">
        <v>33</v>
      </c>
      <c r="G197" s="239">
        <v>190</v>
      </c>
      <c r="H197" s="197" t="s">
        <v>72</v>
      </c>
      <c r="I197" s="242" t="s">
        <v>82</v>
      </c>
      <c r="J197" s="242" t="s">
        <v>8715</v>
      </c>
      <c r="K197" s="195" t="s">
        <v>70</v>
      </c>
      <c r="L197" s="20" t="str">
        <f ca="1">IF(OFFSET(환산공식!$ED$15,$F197,0)=1,"O","X")</f>
        <v>X</v>
      </c>
      <c r="M197" s="188">
        <f ca="1">IFERROR(OFFSET(환산공식!DJ$15,$F197,0),"")</f>
        <v>0</v>
      </c>
      <c r="N197" s="20" t="str">
        <f ca="1">IFERROR(CONCATENATE(ROUND(OFFSET(환산공식!DK$15,$F197,0),1),"%"),"")</f>
        <v/>
      </c>
      <c r="O197" s="20">
        <f ca="1">IFERROR(OFFSET(환산공식!DL$15,$F197,0),"")</f>
        <v>0</v>
      </c>
      <c r="P197" s="188" t="str">
        <f t="shared" ca="1" si="5"/>
        <v>3% 이하</v>
      </c>
      <c r="Q197" s="194">
        <f ca="1">IFERROR(ROUND(OFFSET(환산공식!$FG$15,$F197,0),3),"")</f>
        <v>0</v>
      </c>
      <c r="R197" s="194">
        <f ca="1">OFFSET('배치점수 계산기'!H$10,$D197,0)</f>
        <v>396.56900000000002</v>
      </c>
      <c r="S197" s="194">
        <f ca="1">OFFSET('배치점수 계산기'!I$10,$D197,0)</f>
        <v>396.06</v>
      </c>
      <c r="T197" s="194">
        <f ca="1">OFFSET('배치점수 계산기'!J$10,$D197,0)</f>
        <v>394.98399999999998</v>
      </c>
      <c r="U197" s="194">
        <f ca="1">OFFSET('배치점수 계산기'!K$10,$D197,0)</f>
        <v>392.96600000000001</v>
      </c>
      <c r="V197" s="194">
        <f ca="1">OFFSET('배치점수 계산기'!L$10,$D197,0)</f>
        <v>389.87400000000002</v>
      </c>
      <c r="W197" s="186" t="str">
        <f ca="1">OFFSET('배치점수 계산기'!M$10,$D197,0)</f>
        <v>표점</v>
      </c>
      <c r="X197" s="184" t="str">
        <f ca="1">OFFSET('배치점수 계산기'!N$10,$D197,0)</f>
        <v>변표</v>
      </c>
      <c r="Y197" s="188">
        <f ca="1">OFFSET(환산공식!FW$15,$F197,0)</f>
        <v>0.25</v>
      </c>
      <c r="Z197" s="20">
        <f ca="1">OFFSET(환산공식!FX$15,$F197,0)</f>
        <v>0.4</v>
      </c>
      <c r="AA197" s="179">
        <f ca="1">OFFSET(환산공식!FY$15,$F197,0)</f>
        <v>0.35</v>
      </c>
      <c r="AC197"/>
      <c r="AD197">
        <f t="shared" ca="1" si="6"/>
        <v>6</v>
      </c>
      <c r="AE197"/>
    </row>
    <row r="198" spans="1:31" s="3" customFormat="1">
      <c r="A198" s="198"/>
      <c r="B198" s="198"/>
      <c r="C198" s="198" t="s">
        <v>759</v>
      </c>
      <c r="D198" s="195">
        <v>248</v>
      </c>
      <c r="E198" s="195">
        <v>33</v>
      </c>
      <c r="F198" s="195">
        <v>33</v>
      </c>
      <c r="G198" s="239">
        <v>191</v>
      </c>
      <c r="H198" s="197" t="s">
        <v>72</v>
      </c>
      <c r="I198" s="242" t="s">
        <v>82</v>
      </c>
      <c r="J198" s="242" t="s">
        <v>9114</v>
      </c>
      <c r="K198" s="195" t="s">
        <v>70</v>
      </c>
      <c r="L198" s="20" t="str">
        <f ca="1">IF(OFFSET(환산공식!$ED$15,$F198,0)=1,"O","X")</f>
        <v>X</v>
      </c>
      <c r="M198" s="188">
        <f ca="1">IFERROR(OFFSET(환산공식!DJ$15,$F198,0),"")</f>
        <v>0</v>
      </c>
      <c r="N198" s="20" t="str">
        <f ca="1">IFERROR(CONCATENATE(ROUND(OFFSET(환산공식!DK$15,$F198,0),1),"%"),"")</f>
        <v/>
      </c>
      <c r="O198" s="20">
        <f ca="1">IFERROR(OFFSET(환산공식!DL$15,$F198,0),"")</f>
        <v>0</v>
      </c>
      <c r="P198" s="188" t="str">
        <f t="shared" ca="1" si="5"/>
        <v>3% 이하</v>
      </c>
      <c r="Q198" s="194">
        <f ca="1">IFERROR(ROUND(OFFSET(환산공식!$FG$15,$F198,0),3),"")</f>
        <v>0</v>
      </c>
      <c r="R198" s="194">
        <f ca="1">OFFSET('배치점수 계산기'!H$10,$D198,0)</f>
        <v>390.77499999999998</v>
      </c>
      <c r="S198" s="194">
        <f ca="1">OFFSET('배치점수 계산기'!I$10,$D198,0)</f>
        <v>389.94900000000001</v>
      </c>
      <c r="T198" s="194">
        <f ca="1">OFFSET('배치점수 계산기'!J$10,$D198,0)</f>
        <v>389.07499999999999</v>
      </c>
      <c r="U198" s="194">
        <f ca="1">OFFSET('배치점수 계산기'!K$10,$D198,0)</f>
        <v>386.65699999999998</v>
      </c>
      <c r="V198" s="194">
        <f ca="1">OFFSET('배치점수 계산기'!L$10,$D198,0)</f>
        <v>384.87700000000001</v>
      </c>
      <c r="W198" s="186" t="str">
        <f ca="1">OFFSET('배치점수 계산기'!M$10,$D198,0)</f>
        <v>표점</v>
      </c>
      <c r="X198" s="184" t="str">
        <f ca="1">OFFSET('배치점수 계산기'!N$10,$D198,0)</f>
        <v>변표</v>
      </c>
      <c r="Y198" s="188">
        <f ca="1">OFFSET(환산공식!FW$15,$F198,0)</f>
        <v>0.25</v>
      </c>
      <c r="Z198" s="20">
        <f ca="1">OFFSET(환산공식!FX$15,$F198,0)</f>
        <v>0.4</v>
      </c>
      <c r="AA198" s="179">
        <f ca="1">OFFSET(환산공식!FY$15,$F198,0)</f>
        <v>0.35</v>
      </c>
      <c r="AC198"/>
      <c r="AD198">
        <f t="shared" ca="1" si="6"/>
        <v>6</v>
      </c>
      <c r="AE198"/>
    </row>
    <row r="199" spans="1:31" s="3" customFormat="1">
      <c r="A199" s="198"/>
      <c r="B199" s="198"/>
      <c r="C199" s="198" t="s">
        <v>760</v>
      </c>
      <c r="D199" s="195">
        <v>249</v>
      </c>
      <c r="E199" s="195">
        <v>36</v>
      </c>
      <c r="F199" s="195">
        <v>36</v>
      </c>
      <c r="G199" s="239">
        <v>192</v>
      </c>
      <c r="H199" s="197" t="s">
        <v>72</v>
      </c>
      <c r="I199" s="242" t="s">
        <v>82</v>
      </c>
      <c r="J199" s="242" t="s">
        <v>7965</v>
      </c>
      <c r="K199" s="195" t="s">
        <v>70</v>
      </c>
      <c r="L199" s="20" t="str">
        <f ca="1">IF(OFFSET(환산공식!$ED$15,$F199,0)=1,"O","X")</f>
        <v>X</v>
      </c>
      <c r="M199" s="188">
        <f ca="1">IFERROR(OFFSET(환산공식!DJ$15,$F199,0),"")</f>
        <v>0</v>
      </c>
      <c r="N199" s="20" t="str">
        <f ca="1">IFERROR(CONCATENATE(ROUND(OFFSET(환산공식!DK$15,$F199,0),1),"%"),"")</f>
        <v/>
      </c>
      <c r="O199" s="20">
        <f ca="1">IFERROR(OFFSET(환산공식!DL$15,$F199,0),"")</f>
        <v>0</v>
      </c>
      <c r="P199" s="188" t="str">
        <f t="shared" ca="1" si="5"/>
        <v>3% 이하</v>
      </c>
      <c r="Q199" s="194">
        <f ca="1">IFERROR(ROUND(OFFSET(환산공식!$FG$15,$F199,0),3),"")</f>
        <v>0</v>
      </c>
      <c r="R199" s="194">
        <f ca="1">OFFSET('배치점수 계산기'!H$10,$D199,0)</f>
        <v>325.20400000000001</v>
      </c>
      <c r="S199" s="194">
        <f ca="1">OFFSET('배치점수 계산기'!I$10,$D199,0)</f>
        <v>324.02800000000002</v>
      </c>
      <c r="T199" s="194">
        <f ca="1">OFFSET('배치점수 계산기'!J$10,$D199,0)</f>
        <v>322.65499999999997</v>
      </c>
      <c r="U199" s="194">
        <f ca="1">OFFSET('배치점수 계산기'!K$10,$D199,0)</f>
        <v>321.21899999999999</v>
      </c>
      <c r="V199" s="194">
        <f ca="1">OFFSET('배치점수 계산기'!L$10,$D199,0)</f>
        <v>319.26900000000001</v>
      </c>
      <c r="W199" s="186" t="str">
        <f ca="1">OFFSET('배치점수 계산기'!M$10,$D199,0)</f>
        <v>표점</v>
      </c>
      <c r="X199" s="184" t="str">
        <f ca="1">OFFSET('배치점수 계산기'!N$10,$D199,0)</f>
        <v>변표</v>
      </c>
      <c r="Y199" s="188">
        <f ca="1">OFFSET(환산공식!FW$15,$F199,0)</f>
        <v>0.24</v>
      </c>
      <c r="Z199" s="20">
        <f ca="1">OFFSET(환산공식!FX$15,$F199,0)</f>
        <v>0.41</v>
      </c>
      <c r="AA199" s="179">
        <f ca="1">OFFSET(환산공식!FY$15,$F199,0)</f>
        <v>0.35</v>
      </c>
      <c r="AC199"/>
      <c r="AD199">
        <f t="shared" ca="1" si="6"/>
        <v>6</v>
      </c>
      <c r="AE199"/>
    </row>
    <row r="200" spans="1:31" s="3" customFormat="1">
      <c r="A200" s="198"/>
      <c r="B200" s="198"/>
      <c r="C200" s="198" t="s">
        <v>761</v>
      </c>
      <c r="D200" s="195">
        <v>250</v>
      </c>
      <c r="E200" s="195">
        <v>33</v>
      </c>
      <c r="F200" s="195">
        <v>33</v>
      </c>
      <c r="G200" s="239">
        <v>193</v>
      </c>
      <c r="H200" s="197" t="s">
        <v>72</v>
      </c>
      <c r="I200" s="242" t="s">
        <v>82</v>
      </c>
      <c r="J200" s="242" t="s">
        <v>555</v>
      </c>
      <c r="K200" s="195" t="s">
        <v>70</v>
      </c>
      <c r="L200" s="20" t="str">
        <f ca="1">IF(OFFSET(환산공식!$ED$15,$F200,0)=1,"O","X")</f>
        <v>X</v>
      </c>
      <c r="M200" s="188">
        <f ca="1">IFERROR(OFFSET(환산공식!DJ$15,$F200,0),"")</f>
        <v>0</v>
      </c>
      <c r="N200" s="20" t="str">
        <f ca="1">IFERROR(CONCATENATE(ROUND(OFFSET(환산공식!DK$15,$F200,0),1),"%"),"")</f>
        <v/>
      </c>
      <c r="O200" s="20">
        <f ca="1">IFERROR(OFFSET(환산공식!DL$15,$F200,0),"")</f>
        <v>0</v>
      </c>
      <c r="P200" s="188" t="str">
        <f t="shared" ca="1" si="5"/>
        <v>3% 이하</v>
      </c>
      <c r="Q200" s="194">
        <f ca="1">IFERROR(ROUND(OFFSET(환산공식!$FG$15,$F200,0),3),"")</f>
        <v>0</v>
      </c>
      <c r="R200" s="194">
        <f ca="1">OFFSET('배치점수 계산기'!H$10,$D200,0)</f>
        <v>389.94900000000001</v>
      </c>
      <c r="S200" s="194">
        <f ca="1">OFFSET('배치점수 계산기'!I$10,$D200,0)</f>
        <v>389.07499999999999</v>
      </c>
      <c r="T200" s="194">
        <f ca="1">OFFSET('배치점수 계산기'!J$10,$D200,0)</f>
        <v>387.48500000000001</v>
      </c>
      <c r="U200" s="194">
        <f ca="1">OFFSET('배치점수 계산기'!K$10,$D200,0)</f>
        <v>386.05799999999999</v>
      </c>
      <c r="V200" s="194">
        <f ca="1">OFFSET('배치점수 계산기'!L$10,$D200,0)</f>
        <v>383.74</v>
      </c>
      <c r="W200" s="186" t="str">
        <f ca="1">OFFSET('배치점수 계산기'!M$10,$D200,0)</f>
        <v>표점</v>
      </c>
      <c r="X200" s="184" t="str">
        <f ca="1">OFFSET('배치점수 계산기'!N$10,$D200,0)</f>
        <v>변표</v>
      </c>
      <c r="Y200" s="188">
        <f ca="1">OFFSET(환산공식!FW$15,$F200,0)</f>
        <v>0.25</v>
      </c>
      <c r="Z200" s="20">
        <f ca="1">OFFSET(환산공식!FX$15,$F200,0)</f>
        <v>0.4</v>
      </c>
      <c r="AA200" s="179">
        <f ca="1">OFFSET(환산공식!FY$15,$F200,0)</f>
        <v>0.35</v>
      </c>
      <c r="AC200"/>
      <c r="AD200">
        <f t="shared" ca="1" si="6"/>
        <v>6</v>
      </c>
      <c r="AE200"/>
    </row>
    <row r="201" spans="1:31" s="3" customFormat="1">
      <c r="A201" s="198"/>
      <c r="B201" s="198"/>
      <c r="C201" s="198" t="s">
        <v>762</v>
      </c>
      <c r="D201" s="195">
        <v>251</v>
      </c>
      <c r="E201" s="195">
        <v>33</v>
      </c>
      <c r="F201" s="195">
        <v>33</v>
      </c>
      <c r="G201" s="239">
        <v>194</v>
      </c>
      <c r="H201" s="197" t="s">
        <v>72</v>
      </c>
      <c r="I201" s="242" t="s">
        <v>82</v>
      </c>
      <c r="J201" s="242" t="s">
        <v>9110</v>
      </c>
      <c r="K201" s="195" t="s">
        <v>70</v>
      </c>
      <c r="L201" s="20" t="str">
        <f ca="1">IF(OFFSET(환산공식!$ED$15,$F201,0)=1,"O","X")</f>
        <v>X</v>
      </c>
      <c r="M201" s="188">
        <f ca="1">IFERROR(OFFSET(환산공식!DJ$15,$F201,0),"")</f>
        <v>0</v>
      </c>
      <c r="N201" s="20" t="str">
        <f ca="1">IFERROR(CONCATENATE(ROUND(OFFSET(환산공식!DK$15,$F201,0),1),"%"),"")</f>
        <v/>
      </c>
      <c r="O201" s="20">
        <f ca="1">IFERROR(OFFSET(환산공식!DL$15,$F201,0),"")</f>
        <v>0</v>
      </c>
      <c r="P201" s="188" t="str">
        <f t="shared" ref="P201:P264" ca="1" si="7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3% 이하</v>
      </c>
      <c r="Q201" s="194">
        <f ca="1">IFERROR(ROUND(OFFSET(환산공식!$FG$15,$F201,0),3),"")</f>
        <v>0</v>
      </c>
      <c r="R201" s="194">
        <f ca="1">OFFSET('배치점수 계산기'!H$10,$D201,0)</f>
        <v>392.59</v>
      </c>
      <c r="S201" s="194">
        <f ca="1">OFFSET('배치점수 계산기'!I$10,$D201,0)</f>
        <v>390.77499999999998</v>
      </c>
      <c r="T201" s="194">
        <f ca="1">OFFSET('배치점수 계산기'!J$10,$D201,0)</f>
        <v>387.48500000000001</v>
      </c>
      <c r="U201" s="194">
        <f ca="1">OFFSET('배치점수 계산기'!K$10,$D201,0)</f>
        <v>385.44799999999998</v>
      </c>
      <c r="V201" s="194">
        <f ca="1">OFFSET('배치점수 계산기'!L$10,$D201,0)</f>
        <v>383.07499999999999</v>
      </c>
      <c r="W201" s="186" t="str">
        <f ca="1">OFFSET('배치점수 계산기'!M$10,$D201,0)</f>
        <v>표점</v>
      </c>
      <c r="X201" s="184" t="str">
        <f ca="1">OFFSET('배치점수 계산기'!N$10,$D201,0)</f>
        <v>변표</v>
      </c>
      <c r="Y201" s="188">
        <f ca="1">OFFSET(환산공식!FW$15,$F201,0)</f>
        <v>0.25</v>
      </c>
      <c r="Z201" s="20">
        <f ca="1">OFFSET(환산공식!FX$15,$F201,0)</f>
        <v>0.4</v>
      </c>
      <c r="AA201" s="179">
        <f ca="1">OFFSET(환산공식!FY$15,$F201,0)</f>
        <v>0.35</v>
      </c>
      <c r="AC201"/>
      <c r="AD201">
        <f t="shared" ref="AD201:AD264" ca="1" si="8">IF(L201="X",6,IF(Q201&gt;R201,1,IF(Q201&gt;S201,2,IF(Q201&gt;T201,3,IF(Q201&gt;U201,4,IF(Q201&gt;=V201,5,IF(Q201&lt;V201,6,"")))))))</f>
        <v>6</v>
      </c>
      <c r="AE201"/>
    </row>
    <row r="202" spans="1:31" s="3" customFormat="1">
      <c r="A202" s="198"/>
      <c r="B202" s="198"/>
      <c r="C202" s="198" t="s">
        <v>763</v>
      </c>
      <c r="D202" s="195">
        <v>252</v>
      </c>
      <c r="E202" s="195">
        <v>33</v>
      </c>
      <c r="F202" s="195">
        <v>33</v>
      </c>
      <c r="G202" s="239">
        <v>195</v>
      </c>
      <c r="H202" s="197" t="s">
        <v>72</v>
      </c>
      <c r="I202" s="242" t="s">
        <v>82</v>
      </c>
      <c r="J202" s="242" t="s">
        <v>9196</v>
      </c>
      <c r="K202" s="195" t="s">
        <v>70</v>
      </c>
      <c r="L202" s="20" t="str">
        <f ca="1">IF(OFFSET(환산공식!$ED$15,$F202,0)=1,"O","X")</f>
        <v>X</v>
      </c>
      <c r="M202" s="188">
        <f ca="1">IFERROR(OFFSET(환산공식!DJ$15,$F202,0),"")</f>
        <v>0</v>
      </c>
      <c r="N202" s="20" t="str">
        <f ca="1">IFERROR(CONCATENATE(ROUND(OFFSET(환산공식!DK$15,$F202,0),1),"%"),"")</f>
        <v/>
      </c>
      <c r="O202" s="20">
        <f ca="1">IFERROR(OFFSET(환산공식!DL$15,$F202,0),"")</f>
        <v>0</v>
      </c>
      <c r="P202" s="188" t="str">
        <f t="shared" ca="1" si="7"/>
        <v>3% 이하</v>
      </c>
      <c r="Q202" s="194">
        <f ca="1">IFERROR(ROUND(OFFSET(환산공식!$FG$15,$F202,0),3),"")</f>
        <v>0</v>
      </c>
      <c r="R202" s="194">
        <f ca="1">OFFSET('배치점수 계산기'!H$10,$D202,0)</f>
        <v>390.024</v>
      </c>
      <c r="S202" s="194">
        <f ca="1">OFFSET('배치점수 계산기'!I$10,$D202,0)</f>
        <v>388.827</v>
      </c>
      <c r="T202" s="194">
        <f ca="1">OFFSET('배치점수 계산기'!J$10,$D202,0)</f>
        <v>387.48500000000001</v>
      </c>
      <c r="U202" s="194">
        <f ca="1">OFFSET('배치점수 계산기'!K$10,$D202,0)</f>
        <v>385.57799999999997</v>
      </c>
      <c r="V202" s="194">
        <f ca="1">OFFSET('배치점수 계산기'!L$10,$D202,0)</f>
        <v>383.21800000000002</v>
      </c>
      <c r="W202" s="186" t="str">
        <f ca="1">OFFSET('배치점수 계산기'!M$10,$D202,0)</f>
        <v>표점</v>
      </c>
      <c r="X202" s="184" t="str">
        <f ca="1">OFFSET('배치점수 계산기'!N$10,$D202,0)</f>
        <v>변표</v>
      </c>
      <c r="Y202" s="188">
        <f ca="1">OFFSET(환산공식!FW$15,$F202,0)</f>
        <v>0.25</v>
      </c>
      <c r="Z202" s="20">
        <f ca="1">OFFSET(환산공식!FX$15,$F202,0)</f>
        <v>0.4</v>
      </c>
      <c r="AA202" s="179">
        <f ca="1">OFFSET(환산공식!FY$15,$F202,0)</f>
        <v>0.35</v>
      </c>
      <c r="AC202"/>
      <c r="AD202">
        <f t="shared" ca="1" si="8"/>
        <v>6</v>
      </c>
      <c r="AE202"/>
    </row>
    <row r="203" spans="1:31" s="3" customFormat="1">
      <c r="A203" s="198"/>
      <c r="B203" s="198"/>
      <c r="C203" s="198" t="s">
        <v>764</v>
      </c>
      <c r="D203" s="195">
        <v>253</v>
      </c>
      <c r="E203" s="195">
        <v>33</v>
      </c>
      <c r="F203" s="195">
        <v>33</v>
      </c>
      <c r="G203" s="239">
        <v>196</v>
      </c>
      <c r="H203" s="197" t="s">
        <v>72</v>
      </c>
      <c r="I203" s="242" t="s">
        <v>82</v>
      </c>
      <c r="J203" s="242" t="s">
        <v>9212</v>
      </c>
      <c r="K203" s="195" t="s">
        <v>70</v>
      </c>
      <c r="L203" s="20" t="str">
        <f ca="1">IF(OFFSET(환산공식!$ED$15,$F203,0)=1,"O","X")</f>
        <v>X</v>
      </c>
      <c r="M203" s="188">
        <f ca="1">IFERROR(OFFSET(환산공식!DJ$15,$F203,0),"")</f>
        <v>0</v>
      </c>
      <c r="N203" s="20" t="str">
        <f ca="1">IFERROR(CONCATENATE(ROUND(OFFSET(환산공식!DK$15,$F203,0),1),"%"),"")</f>
        <v/>
      </c>
      <c r="O203" s="20">
        <f ca="1">IFERROR(OFFSET(환산공식!DL$15,$F203,0),"")</f>
        <v>0</v>
      </c>
      <c r="P203" s="188" t="str">
        <f t="shared" ca="1" si="7"/>
        <v>3% 이하</v>
      </c>
      <c r="Q203" s="194">
        <f ca="1">IFERROR(ROUND(OFFSET(환산공식!$FG$15,$F203,0),3),"")</f>
        <v>0</v>
      </c>
      <c r="R203" s="194">
        <f ca="1">OFFSET('배치점수 계산기'!H$10,$D203,0)</f>
        <v>389.87400000000002</v>
      </c>
      <c r="S203" s="194">
        <f ca="1">OFFSET('배치점수 계산기'!I$10,$D203,0)</f>
        <v>388.63600000000002</v>
      </c>
      <c r="T203" s="194">
        <f ca="1">OFFSET('배치점수 계산기'!J$10,$D203,0)</f>
        <v>386.98500000000001</v>
      </c>
      <c r="U203" s="194">
        <f ca="1">OFFSET('배치점수 계산기'!K$10,$D203,0)</f>
        <v>385.26</v>
      </c>
      <c r="V203" s="194">
        <f ca="1">OFFSET('배치점수 계산기'!L$10,$D203,0)</f>
        <v>382.90600000000001</v>
      </c>
      <c r="W203" s="186" t="str">
        <f ca="1">OFFSET('배치점수 계산기'!M$10,$D203,0)</f>
        <v>표점</v>
      </c>
      <c r="X203" s="184" t="str">
        <f ca="1">OFFSET('배치점수 계산기'!N$10,$D203,0)</f>
        <v>변표</v>
      </c>
      <c r="Y203" s="188">
        <f ca="1">OFFSET(환산공식!FW$15,$F203,0)</f>
        <v>0.25</v>
      </c>
      <c r="Z203" s="20">
        <f ca="1">OFFSET(환산공식!FX$15,$F203,0)</f>
        <v>0.4</v>
      </c>
      <c r="AA203" s="179">
        <f ca="1">OFFSET(환산공식!FY$15,$F203,0)</f>
        <v>0.35</v>
      </c>
      <c r="AC203"/>
      <c r="AD203">
        <f t="shared" ca="1" si="8"/>
        <v>6</v>
      </c>
      <c r="AE203"/>
    </row>
    <row r="204" spans="1:31" s="3" customFormat="1">
      <c r="A204" s="198"/>
      <c r="B204" s="198"/>
      <c r="C204" s="198" t="s">
        <v>765</v>
      </c>
      <c r="D204" s="195">
        <v>254</v>
      </c>
      <c r="E204" s="195">
        <v>33</v>
      </c>
      <c r="F204" s="195">
        <v>33</v>
      </c>
      <c r="G204" s="239">
        <v>197</v>
      </c>
      <c r="H204" s="197" t="s">
        <v>72</v>
      </c>
      <c r="I204" s="242" t="s">
        <v>82</v>
      </c>
      <c r="J204" s="242" t="s">
        <v>9248</v>
      </c>
      <c r="K204" s="195" t="s">
        <v>70</v>
      </c>
      <c r="L204" s="20" t="str">
        <f ca="1">IF(OFFSET(환산공식!$ED$15,$F204,0)=1,"O","X")</f>
        <v>X</v>
      </c>
      <c r="M204" s="188">
        <f ca="1">IFERROR(OFFSET(환산공식!DJ$15,$F204,0),"")</f>
        <v>0</v>
      </c>
      <c r="N204" s="20" t="str">
        <f ca="1">IFERROR(CONCATENATE(ROUND(OFFSET(환산공식!DK$15,$F204,0),1),"%"),"")</f>
        <v/>
      </c>
      <c r="O204" s="20">
        <f ca="1">IFERROR(OFFSET(환산공식!DL$15,$F204,0),"")</f>
        <v>0</v>
      </c>
      <c r="P204" s="188" t="str">
        <f t="shared" ca="1" si="7"/>
        <v>3% 이하</v>
      </c>
      <c r="Q204" s="194">
        <f ca="1">IFERROR(ROUND(OFFSET(환산공식!$FG$15,$F204,0),3),"")</f>
        <v>0</v>
      </c>
      <c r="R204" s="194">
        <f ca="1">OFFSET('배치점수 계산기'!H$10,$D204,0)</f>
        <v>389.39</v>
      </c>
      <c r="S204" s="194">
        <f ca="1">OFFSET('배치점수 계산기'!I$10,$D204,0)</f>
        <v>388.01900000000001</v>
      </c>
      <c r="T204" s="194">
        <f ca="1">OFFSET('배치점수 계산기'!J$10,$D204,0)</f>
        <v>386.65699999999998</v>
      </c>
      <c r="U204" s="194">
        <f ca="1">OFFSET('배치점수 계산기'!K$10,$D204,0)</f>
        <v>385.00599999999997</v>
      </c>
      <c r="V204" s="194">
        <f ca="1">OFFSET('배치점수 계산기'!L$10,$D204,0)</f>
        <v>382.57299999999998</v>
      </c>
      <c r="W204" s="186" t="str">
        <f ca="1">OFFSET('배치점수 계산기'!M$10,$D204,0)</f>
        <v>표점</v>
      </c>
      <c r="X204" s="184" t="str">
        <f ca="1">OFFSET('배치점수 계산기'!N$10,$D204,0)</f>
        <v>변표</v>
      </c>
      <c r="Y204" s="188">
        <f ca="1">OFFSET(환산공식!FW$15,$F204,0)</f>
        <v>0.25</v>
      </c>
      <c r="Z204" s="20">
        <f ca="1">OFFSET(환산공식!FX$15,$F204,0)</f>
        <v>0.4</v>
      </c>
      <c r="AA204" s="179">
        <f ca="1">OFFSET(환산공식!FY$15,$F204,0)</f>
        <v>0.35</v>
      </c>
      <c r="AC204"/>
      <c r="AD204">
        <f t="shared" ca="1" si="8"/>
        <v>6</v>
      </c>
      <c r="AE204"/>
    </row>
    <row r="205" spans="1:31" s="3" customFormat="1">
      <c r="A205" s="198"/>
      <c r="B205" s="198"/>
      <c r="C205" s="198" t="s">
        <v>766</v>
      </c>
      <c r="D205" s="195">
        <v>255</v>
      </c>
      <c r="E205" s="195">
        <v>33</v>
      </c>
      <c r="F205" s="195">
        <v>33</v>
      </c>
      <c r="G205" s="239">
        <v>198</v>
      </c>
      <c r="H205" s="197" t="s">
        <v>72</v>
      </c>
      <c r="I205" s="242" t="s">
        <v>82</v>
      </c>
      <c r="J205" s="242" t="s">
        <v>9252</v>
      </c>
      <c r="K205" s="195" t="s">
        <v>70</v>
      </c>
      <c r="L205" s="20" t="str">
        <f ca="1">IF(OFFSET(환산공식!$ED$15,$F205,0)=1,"O","X")</f>
        <v>X</v>
      </c>
      <c r="M205" s="188">
        <f ca="1">IFERROR(OFFSET(환산공식!DJ$15,$F205,0),"")</f>
        <v>0</v>
      </c>
      <c r="N205" s="20" t="str">
        <f ca="1">IFERROR(CONCATENATE(ROUND(OFFSET(환산공식!DK$15,$F205,0),1),"%"),"")</f>
        <v/>
      </c>
      <c r="O205" s="20">
        <f ca="1">IFERROR(OFFSET(환산공식!DL$15,$F205,0),"")</f>
        <v>0</v>
      </c>
      <c r="P205" s="188" t="str">
        <f t="shared" ca="1" si="7"/>
        <v>3% 이하</v>
      </c>
      <c r="Q205" s="194">
        <f ca="1">IFERROR(ROUND(OFFSET(환산공식!$FG$15,$F205,0),3),"")</f>
        <v>0</v>
      </c>
      <c r="R205" s="194">
        <f ca="1">OFFSET('배치점수 계산기'!H$10,$D205,0)</f>
        <v>389.00900000000001</v>
      </c>
      <c r="S205" s="194">
        <f ca="1">OFFSET('배치점수 계산기'!I$10,$D205,0)</f>
        <v>388.20100000000002</v>
      </c>
      <c r="T205" s="194">
        <f ca="1">OFFSET('배치점수 계산기'!J$10,$D205,0)</f>
        <v>386.51600000000002</v>
      </c>
      <c r="U205" s="194">
        <f ca="1">OFFSET('배치점수 계산기'!K$10,$D205,0)</f>
        <v>385.90699999999998</v>
      </c>
      <c r="V205" s="194">
        <f ca="1">OFFSET('배치점수 계산기'!L$10,$D205,0)</f>
        <v>383.54500000000002</v>
      </c>
      <c r="W205" s="186" t="str">
        <f ca="1">OFFSET('배치점수 계산기'!M$10,$D205,0)</f>
        <v>표점</v>
      </c>
      <c r="X205" s="184" t="str">
        <f ca="1">OFFSET('배치점수 계산기'!N$10,$D205,0)</f>
        <v>변표</v>
      </c>
      <c r="Y205" s="188">
        <f ca="1">OFFSET(환산공식!FW$15,$F205,0)</f>
        <v>0.25</v>
      </c>
      <c r="Z205" s="20">
        <f ca="1">OFFSET(환산공식!FX$15,$F205,0)</f>
        <v>0.4</v>
      </c>
      <c r="AA205" s="179">
        <f ca="1">OFFSET(환산공식!FY$15,$F205,0)</f>
        <v>0.35</v>
      </c>
      <c r="AC205"/>
      <c r="AD205">
        <f t="shared" ca="1" si="8"/>
        <v>6</v>
      </c>
      <c r="AE205"/>
    </row>
    <row r="206" spans="1:31" s="3" customFormat="1">
      <c r="A206" s="198"/>
      <c r="B206" s="198"/>
      <c r="C206" s="198" t="s">
        <v>767</v>
      </c>
      <c r="D206" s="195">
        <v>256</v>
      </c>
      <c r="E206" s="195">
        <v>33</v>
      </c>
      <c r="F206" s="195">
        <v>33</v>
      </c>
      <c r="G206" s="239">
        <v>199</v>
      </c>
      <c r="H206" s="197" t="s">
        <v>72</v>
      </c>
      <c r="I206" s="242" t="s">
        <v>82</v>
      </c>
      <c r="J206" s="242" t="s">
        <v>9266</v>
      </c>
      <c r="K206" s="195" t="s">
        <v>70</v>
      </c>
      <c r="L206" s="20" t="str">
        <f ca="1">IF(OFFSET(환산공식!$ED$15,$F206,0)=1,"O","X")</f>
        <v>X</v>
      </c>
      <c r="M206" s="188">
        <f ca="1">IFERROR(OFFSET(환산공식!DJ$15,$F206,0),"")</f>
        <v>0</v>
      </c>
      <c r="N206" s="20" t="str">
        <f ca="1">IFERROR(CONCATENATE(ROUND(OFFSET(환산공식!DK$15,$F206,0),1),"%"),"")</f>
        <v/>
      </c>
      <c r="O206" s="20">
        <f ca="1">IFERROR(OFFSET(환산공식!DL$15,$F206,0),"")</f>
        <v>0</v>
      </c>
      <c r="P206" s="188" t="str">
        <f t="shared" ca="1" si="7"/>
        <v>3% 이하</v>
      </c>
      <c r="Q206" s="194">
        <f ca="1">IFERROR(ROUND(OFFSET(환산공식!$FG$15,$F206,0),3),"")</f>
        <v>0</v>
      </c>
      <c r="R206" s="194">
        <f ca="1">OFFSET('배치점수 계산기'!H$10,$D206,0)</f>
        <v>389.07499999999999</v>
      </c>
      <c r="S206" s="194">
        <f ca="1">OFFSET('배치점수 계산기'!I$10,$D206,0)</f>
        <v>387.94400000000002</v>
      </c>
      <c r="T206" s="194">
        <f ca="1">OFFSET('배치점수 계산기'!J$10,$D206,0)</f>
        <v>386.51600000000002</v>
      </c>
      <c r="U206" s="194">
        <f ca="1">OFFSET('배치점수 계산기'!K$10,$D206,0)</f>
        <v>384.87700000000001</v>
      </c>
      <c r="V206" s="194">
        <f ca="1">OFFSET('배치점수 계산기'!L$10,$D206,0)</f>
        <v>382.50200000000001</v>
      </c>
      <c r="W206" s="186" t="str">
        <f ca="1">OFFSET('배치점수 계산기'!M$10,$D206,0)</f>
        <v>표점</v>
      </c>
      <c r="X206" s="184" t="str">
        <f ca="1">OFFSET('배치점수 계산기'!N$10,$D206,0)</f>
        <v>변표</v>
      </c>
      <c r="Y206" s="188">
        <f ca="1">OFFSET(환산공식!FW$15,$F206,0)</f>
        <v>0.25</v>
      </c>
      <c r="Z206" s="20">
        <f ca="1">OFFSET(환산공식!FX$15,$F206,0)</f>
        <v>0.4</v>
      </c>
      <c r="AA206" s="179">
        <f ca="1">OFFSET(환산공식!FY$15,$F206,0)</f>
        <v>0.35</v>
      </c>
      <c r="AC206"/>
      <c r="AD206">
        <f t="shared" ca="1" si="8"/>
        <v>6</v>
      </c>
      <c r="AE206"/>
    </row>
    <row r="207" spans="1:31" s="3" customFormat="1">
      <c r="A207" s="198"/>
      <c r="B207" s="198"/>
      <c r="C207" s="198" t="s">
        <v>768</v>
      </c>
      <c r="D207" s="195">
        <v>257</v>
      </c>
      <c r="E207" s="195">
        <v>33</v>
      </c>
      <c r="F207" s="195">
        <v>33</v>
      </c>
      <c r="G207" s="239">
        <v>200</v>
      </c>
      <c r="H207" s="197" t="s">
        <v>72</v>
      </c>
      <c r="I207" s="242" t="s">
        <v>82</v>
      </c>
      <c r="J207" s="242" t="s">
        <v>9280</v>
      </c>
      <c r="K207" s="195" t="s">
        <v>70</v>
      </c>
      <c r="L207" s="20" t="str">
        <f ca="1">IF(OFFSET(환산공식!$ED$15,$F207,0)=1,"O","X")</f>
        <v>X</v>
      </c>
      <c r="M207" s="188">
        <f ca="1">IFERROR(OFFSET(환산공식!DJ$15,$F207,0),"")</f>
        <v>0</v>
      </c>
      <c r="N207" s="20" t="str">
        <f ca="1">IFERROR(CONCATENATE(ROUND(OFFSET(환산공식!DK$15,$F207,0),1),"%"),"")</f>
        <v/>
      </c>
      <c r="O207" s="20">
        <f ca="1">IFERROR(OFFSET(환산공식!DL$15,$F207,0),"")</f>
        <v>0</v>
      </c>
      <c r="P207" s="188" t="str">
        <f t="shared" ca="1" si="7"/>
        <v>3% 이하</v>
      </c>
      <c r="Q207" s="194">
        <f ca="1">IFERROR(ROUND(OFFSET(환산공식!$FG$15,$F207,0),3),"")</f>
        <v>0</v>
      </c>
      <c r="R207" s="194">
        <f ca="1">OFFSET('배치점수 계산기'!H$10,$D207,0)</f>
        <v>389.07499999999999</v>
      </c>
      <c r="S207" s="194">
        <f ca="1">OFFSET('배치점수 계산기'!I$10,$D207,0)</f>
        <v>387.94400000000002</v>
      </c>
      <c r="T207" s="194">
        <f ca="1">OFFSET('배치점수 계산기'!J$10,$D207,0)</f>
        <v>386.51600000000002</v>
      </c>
      <c r="U207" s="194">
        <f ca="1">OFFSET('배치점수 계산기'!K$10,$D207,0)</f>
        <v>384.87700000000001</v>
      </c>
      <c r="V207" s="194">
        <f ca="1">OFFSET('배치점수 계산기'!L$10,$D207,0)</f>
        <v>382.50200000000001</v>
      </c>
      <c r="W207" s="186" t="str">
        <f ca="1">OFFSET('배치점수 계산기'!M$10,$D207,0)</f>
        <v>표점</v>
      </c>
      <c r="X207" s="184" t="str">
        <f ca="1">OFFSET('배치점수 계산기'!N$10,$D207,0)</f>
        <v>변표</v>
      </c>
      <c r="Y207" s="188">
        <f ca="1">OFFSET(환산공식!FW$15,$F207,0)</f>
        <v>0.25</v>
      </c>
      <c r="Z207" s="20">
        <f ca="1">OFFSET(환산공식!FX$15,$F207,0)</f>
        <v>0.4</v>
      </c>
      <c r="AA207" s="179">
        <f ca="1">OFFSET(환산공식!FY$15,$F207,0)</f>
        <v>0.35</v>
      </c>
      <c r="AC207"/>
      <c r="AD207">
        <f t="shared" ca="1" si="8"/>
        <v>6</v>
      </c>
      <c r="AE207"/>
    </row>
    <row r="208" spans="1:31" s="3" customFormat="1">
      <c r="A208" s="198"/>
      <c r="B208" s="198"/>
      <c r="C208" s="198" t="s">
        <v>769</v>
      </c>
      <c r="D208" s="195">
        <v>258</v>
      </c>
      <c r="E208" s="195">
        <v>33</v>
      </c>
      <c r="F208" s="195">
        <v>33</v>
      </c>
      <c r="G208" s="239">
        <v>201</v>
      </c>
      <c r="H208" s="197" t="s">
        <v>72</v>
      </c>
      <c r="I208" s="242" t="s">
        <v>82</v>
      </c>
      <c r="J208" s="242" t="s">
        <v>551</v>
      </c>
      <c r="K208" s="195" t="s">
        <v>70</v>
      </c>
      <c r="L208" s="20" t="str">
        <f ca="1">IF(OFFSET(환산공식!$ED$15,$F208,0)=1,"O","X")</f>
        <v>X</v>
      </c>
      <c r="M208" s="188">
        <f ca="1">IFERROR(OFFSET(환산공식!DJ$15,$F208,0),"")</f>
        <v>0</v>
      </c>
      <c r="N208" s="20" t="str">
        <f ca="1">IFERROR(CONCATENATE(ROUND(OFFSET(환산공식!DK$15,$F208,0),1),"%"),"")</f>
        <v/>
      </c>
      <c r="O208" s="20">
        <f ca="1">IFERROR(OFFSET(환산공식!DL$15,$F208,0),"")</f>
        <v>0</v>
      </c>
      <c r="P208" s="188" t="str">
        <f t="shared" ca="1" si="7"/>
        <v>3% 이하</v>
      </c>
      <c r="Q208" s="194">
        <f ca="1">IFERROR(ROUND(OFFSET(환산공식!$FG$15,$F208,0),3),"")</f>
        <v>0</v>
      </c>
      <c r="R208" s="194">
        <f ca="1">OFFSET('배치점수 계산기'!H$10,$D208,0)</f>
        <v>389.572</v>
      </c>
      <c r="S208" s="194">
        <f ca="1">OFFSET('배치점수 계산기'!I$10,$D208,0)</f>
        <v>387.94400000000002</v>
      </c>
      <c r="T208" s="194">
        <f ca="1">OFFSET('배치점수 계산기'!J$10,$D208,0)</f>
        <v>386.25299999999999</v>
      </c>
      <c r="U208" s="194">
        <f ca="1">OFFSET('배치점수 계산기'!K$10,$D208,0)</f>
        <v>385.072</v>
      </c>
      <c r="V208" s="194">
        <f ca="1">OFFSET('배치점수 계산기'!L$10,$D208,0)</f>
        <v>383.928</v>
      </c>
      <c r="W208" s="186" t="str">
        <f ca="1">OFFSET('배치점수 계산기'!M$10,$D208,0)</f>
        <v>표점</v>
      </c>
      <c r="X208" s="184" t="str">
        <f ca="1">OFFSET('배치점수 계산기'!N$10,$D208,0)</f>
        <v>변표</v>
      </c>
      <c r="Y208" s="188">
        <f ca="1">OFFSET(환산공식!FW$15,$F208,0)</f>
        <v>0.25</v>
      </c>
      <c r="Z208" s="20">
        <f ca="1">OFFSET(환산공식!FX$15,$F208,0)</f>
        <v>0.4</v>
      </c>
      <c r="AA208" s="179">
        <f ca="1">OFFSET(환산공식!FY$15,$F208,0)</f>
        <v>0.35</v>
      </c>
      <c r="AC208"/>
      <c r="AD208">
        <f t="shared" ca="1" si="8"/>
        <v>6</v>
      </c>
      <c r="AE208"/>
    </row>
    <row r="209" spans="1:31" s="3" customFormat="1">
      <c r="A209" s="198"/>
      <c r="B209" s="198"/>
      <c r="C209" s="198" t="s">
        <v>770</v>
      </c>
      <c r="D209" s="195">
        <v>259</v>
      </c>
      <c r="E209" s="195">
        <v>33</v>
      </c>
      <c r="F209" s="195">
        <v>33</v>
      </c>
      <c r="G209" s="239">
        <v>202</v>
      </c>
      <c r="H209" s="197" t="s">
        <v>72</v>
      </c>
      <c r="I209" s="242" t="s">
        <v>82</v>
      </c>
      <c r="J209" s="242" t="s">
        <v>550</v>
      </c>
      <c r="K209" s="195" t="s">
        <v>70</v>
      </c>
      <c r="L209" s="20" t="str">
        <f ca="1">IF(OFFSET(환산공식!$ED$15,$F209,0)=1,"O","X")</f>
        <v>X</v>
      </c>
      <c r="M209" s="188">
        <f ca="1">IFERROR(OFFSET(환산공식!DJ$15,$F209,0),"")</f>
        <v>0</v>
      </c>
      <c r="N209" s="20" t="str">
        <f ca="1">IFERROR(CONCATENATE(ROUND(OFFSET(환산공식!DK$15,$F209,0),1),"%"),"")</f>
        <v/>
      </c>
      <c r="O209" s="20">
        <f ca="1">IFERROR(OFFSET(환산공식!DL$15,$F209,0),"")</f>
        <v>0</v>
      </c>
      <c r="P209" s="188" t="str">
        <f t="shared" ca="1" si="7"/>
        <v>3% 이하</v>
      </c>
      <c r="Q209" s="194">
        <f ca="1">IFERROR(ROUND(OFFSET(환산공식!$FG$15,$F209,0),3),"")</f>
        <v>0</v>
      </c>
      <c r="R209" s="194">
        <f ca="1">OFFSET('배치점수 계산기'!H$10,$D209,0)</f>
        <v>388.20100000000002</v>
      </c>
      <c r="S209" s="194">
        <f ca="1">OFFSET('배치점수 계산기'!I$10,$D209,0)</f>
        <v>387.42</v>
      </c>
      <c r="T209" s="194">
        <f ca="1">OFFSET('배치점수 계산기'!J$10,$D209,0)</f>
        <v>385.90699999999998</v>
      </c>
      <c r="U209" s="194">
        <f ca="1">OFFSET('배치점수 계산기'!K$10,$D209,0)</f>
        <v>384.76299999999998</v>
      </c>
      <c r="V209" s="194">
        <f ca="1">OFFSET('배치점수 계산기'!L$10,$D209,0)</f>
        <v>382.90600000000001</v>
      </c>
      <c r="W209" s="186" t="str">
        <f ca="1">OFFSET('배치점수 계산기'!M$10,$D209,0)</f>
        <v>표점</v>
      </c>
      <c r="X209" s="184" t="str">
        <f ca="1">OFFSET('배치점수 계산기'!N$10,$D209,0)</f>
        <v>변표</v>
      </c>
      <c r="Y209" s="188">
        <f ca="1">OFFSET(환산공식!FW$15,$F209,0)</f>
        <v>0.25</v>
      </c>
      <c r="Z209" s="20">
        <f ca="1">OFFSET(환산공식!FX$15,$F209,0)</f>
        <v>0.4</v>
      </c>
      <c r="AA209" s="179">
        <f ca="1">OFFSET(환산공식!FY$15,$F209,0)</f>
        <v>0.35</v>
      </c>
      <c r="AC209"/>
      <c r="AD209">
        <f t="shared" ca="1" si="8"/>
        <v>6</v>
      </c>
      <c r="AE209"/>
    </row>
    <row r="210" spans="1:31" s="3" customFormat="1">
      <c r="A210" s="198"/>
      <c r="B210" s="198"/>
      <c r="C210" s="198" t="s">
        <v>771</v>
      </c>
      <c r="D210" s="195">
        <v>260</v>
      </c>
      <c r="E210" s="195">
        <v>33</v>
      </c>
      <c r="F210" s="195">
        <v>33</v>
      </c>
      <c r="G210" s="239">
        <v>203</v>
      </c>
      <c r="H210" s="197" t="s">
        <v>72</v>
      </c>
      <c r="I210" s="242" t="s">
        <v>82</v>
      </c>
      <c r="J210" s="242" t="s">
        <v>8633</v>
      </c>
      <c r="K210" s="195" t="s">
        <v>70</v>
      </c>
      <c r="L210" s="20" t="str">
        <f ca="1">IF(OFFSET(환산공식!$ED$15,$F210,0)=1,"O","X")</f>
        <v>X</v>
      </c>
      <c r="M210" s="188">
        <f ca="1">IFERROR(OFFSET(환산공식!DJ$15,$F210,0),"")</f>
        <v>0</v>
      </c>
      <c r="N210" s="20" t="str">
        <f ca="1">IFERROR(CONCATENATE(ROUND(OFFSET(환산공식!DK$15,$F210,0),1),"%"),"")</f>
        <v/>
      </c>
      <c r="O210" s="20">
        <f ca="1">IFERROR(OFFSET(환산공식!DL$15,$F210,0),"")</f>
        <v>0</v>
      </c>
      <c r="P210" s="188" t="str">
        <f t="shared" ca="1" si="7"/>
        <v>3% 이하</v>
      </c>
      <c r="Q210" s="194">
        <f ca="1">IFERROR(ROUND(OFFSET(환산공식!$FG$15,$F210,0),3),"")</f>
        <v>0</v>
      </c>
      <c r="R210" s="194">
        <f ca="1">OFFSET('배치점수 계산기'!H$10,$D210,0)</f>
        <v>386.86200000000002</v>
      </c>
      <c r="S210" s="194">
        <f ca="1">OFFSET('배치점수 계산기'!I$10,$D210,0)</f>
        <v>385.71800000000002</v>
      </c>
      <c r="T210" s="194">
        <f ca="1">OFFSET('배치점수 계산기'!J$10,$D210,0)</f>
        <v>384.57499999999999</v>
      </c>
      <c r="U210" s="194">
        <f ca="1">OFFSET('배치점수 계산기'!K$10,$D210,0)</f>
        <v>384.00299999999999</v>
      </c>
      <c r="V210" s="194">
        <f ca="1">OFFSET('배치점수 계산기'!L$10,$D210,0)</f>
        <v>383.07499999999999</v>
      </c>
      <c r="W210" s="186" t="str">
        <f ca="1">OFFSET('배치점수 계산기'!M$10,$D210,0)</f>
        <v>표점</v>
      </c>
      <c r="X210" s="184" t="str">
        <f ca="1">OFFSET('배치점수 계산기'!N$10,$D210,0)</f>
        <v>변표</v>
      </c>
      <c r="Y210" s="188">
        <f ca="1">OFFSET(환산공식!FW$15,$F210,0)</f>
        <v>0.25</v>
      </c>
      <c r="Z210" s="20">
        <f ca="1">OFFSET(환산공식!FX$15,$F210,0)</f>
        <v>0.4</v>
      </c>
      <c r="AA210" s="179">
        <f ca="1">OFFSET(환산공식!FY$15,$F210,0)</f>
        <v>0.35</v>
      </c>
      <c r="AC210"/>
      <c r="AD210">
        <f t="shared" ca="1" si="8"/>
        <v>6</v>
      </c>
      <c r="AE210"/>
    </row>
    <row r="211" spans="1:31" s="3" customFormat="1">
      <c r="A211" s="198"/>
      <c r="B211" s="198"/>
      <c r="C211" s="198" t="s">
        <v>772</v>
      </c>
      <c r="D211" s="195">
        <v>261</v>
      </c>
      <c r="E211" s="195">
        <v>33</v>
      </c>
      <c r="F211" s="195">
        <v>33</v>
      </c>
      <c r="G211" s="239">
        <v>204</v>
      </c>
      <c r="H211" s="197" t="s">
        <v>72</v>
      </c>
      <c r="I211" s="242" t="s">
        <v>82</v>
      </c>
      <c r="J211" s="242" t="s">
        <v>9518</v>
      </c>
      <c r="K211" s="195" t="s">
        <v>70</v>
      </c>
      <c r="L211" s="20" t="str">
        <f ca="1">IF(OFFSET(환산공식!$ED$15,$F211,0)=1,"O","X")</f>
        <v>X</v>
      </c>
      <c r="M211" s="188">
        <f ca="1">IFERROR(OFFSET(환산공식!DJ$15,$F211,0),"")</f>
        <v>0</v>
      </c>
      <c r="N211" s="20" t="str">
        <f ca="1">IFERROR(CONCATENATE(ROUND(OFFSET(환산공식!DK$15,$F211,0),1),"%"),"")</f>
        <v/>
      </c>
      <c r="O211" s="20">
        <f ca="1">IFERROR(OFFSET(환산공식!DL$15,$F211,0),"")</f>
        <v>0</v>
      </c>
      <c r="P211" s="188" t="str">
        <f t="shared" ca="1" si="7"/>
        <v>3% 이하</v>
      </c>
      <c r="Q211" s="194">
        <f ca="1">IFERROR(ROUND(OFFSET(환산공식!$FG$15,$F211,0),3),"")</f>
        <v>0</v>
      </c>
      <c r="R211" s="194">
        <f ca="1">OFFSET('배치점수 계산기'!H$10,$D211,0)</f>
        <v>389.07499999999999</v>
      </c>
      <c r="S211" s="194">
        <f ca="1">OFFSET('배치점수 계산기'!I$10,$D211,0)</f>
        <v>386.65699999999998</v>
      </c>
      <c r="T211" s="194">
        <f ca="1">OFFSET('배치점수 계산기'!J$10,$D211,0)</f>
        <v>384.31099999999998</v>
      </c>
      <c r="U211" s="194">
        <f ca="1">OFFSET('배치점수 계산기'!K$10,$D211,0)</f>
        <v>382.50200000000001</v>
      </c>
      <c r="V211" s="194">
        <f ca="1">OFFSET('배치점수 계산기'!L$10,$D211,0)</f>
        <v>379.82100000000003</v>
      </c>
      <c r="W211" s="186" t="str">
        <f ca="1">OFFSET('배치점수 계산기'!M$10,$D211,0)</f>
        <v>표점</v>
      </c>
      <c r="X211" s="184" t="str">
        <f ca="1">OFFSET('배치점수 계산기'!N$10,$D211,0)</f>
        <v>변표</v>
      </c>
      <c r="Y211" s="188">
        <f ca="1">OFFSET(환산공식!FW$15,$F211,0)</f>
        <v>0.25</v>
      </c>
      <c r="Z211" s="20">
        <f ca="1">OFFSET(환산공식!FX$15,$F211,0)</f>
        <v>0.4</v>
      </c>
      <c r="AA211" s="179">
        <f ca="1">OFFSET(환산공식!FY$15,$F211,0)</f>
        <v>0.35</v>
      </c>
      <c r="AC211"/>
      <c r="AD211">
        <f t="shared" ca="1" si="8"/>
        <v>6</v>
      </c>
      <c r="AE211"/>
    </row>
    <row r="212" spans="1:31" s="3" customFormat="1">
      <c r="A212" s="198"/>
      <c r="B212" s="198"/>
      <c r="C212" s="198" t="s">
        <v>773</v>
      </c>
      <c r="D212" s="195">
        <v>262</v>
      </c>
      <c r="E212" s="195">
        <v>33</v>
      </c>
      <c r="F212" s="195">
        <v>33</v>
      </c>
      <c r="G212" s="239">
        <v>205</v>
      </c>
      <c r="H212" s="197" t="s">
        <v>72</v>
      </c>
      <c r="I212" s="242" t="s">
        <v>82</v>
      </c>
      <c r="J212" s="242" t="s">
        <v>9533</v>
      </c>
      <c r="K212" s="195" t="s">
        <v>70</v>
      </c>
      <c r="L212" s="20" t="str">
        <f ca="1">IF(OFFSET(환산공식!$ED$15,$F212,0)=1,"O","X")</f>
        <v>X</v>
      </c>
      <c r="M212" s="188">
        <f ca="1">IFERROR(OFFSET(환산공식!DJ$15,$F212,0),"")</f>
        <v>0</v>
      </c>
      <c r="N212" s="20" t="str">
        <f ca="1">IFERROR(CONCATENATE(ROUND(OFFSET(환산공식!DK$15,$F212,0),1),"%"),"")</f>
        <v/>
      </c>
      <c r="O212" s="20">
        <f ca="1">IFERROR(OFFSET(환산공식!DL$15,$F212,0),"")</f>
        <v>0</v>
      </c>
      <c r="P212" s="188" t="str">
        <f t="shared" ca="1" si="7"/>
        <v>3% 이하</v>
      </c>
      <c r="Q212" s="194">
        <f ca="1">IFERROR(ROUND(OFFSET(환산공식!$FG$15,$F212,0),3),"")</f>
        <v>0</v>
      </c>
      <c r="R212" s="194">
        <f ca="1">OFFSET('배치점수 계산기'!H$10,$D212,0)</f>
        <v>389.00900000000001</v>
      </c>
      <c r="S212" s="194">
        <f ca="1">OFFSET('배치점수 계산기'!I$10,$D212,0)</f>
        <v>386.51600000000002</v>
      </c>
      <c r="T212" s="194">
        <f ca="1">OFFSET('배치점수 계산기'!J$10,$D212,0)</f>
        <v>384.18200000000002</v>
      </c>
      <c r="U212" s="194">
        <f ca="1">OFFSET('배치점수 계산기'!K$10,$D212,0)</f>
        <v>382.31</v>
      </c>
      <c r="V212" s="194">
        <f ca="1">OFFSET('배치점수 계산기'!L$10,$D212,0)</f>
        <v>379.70299999999997</v>
      </c>
      <c r="W212" s="186" t="str">
        <f ca="1">OFFSET('배치점수 계산기'!M$10,$D212,0)</f>
        <v>표점</v>
      </c>
      <c r="X212" s="184" t="str">
        <f ca="1">OFFSET('배치점수 계산기'!N$10,$D212,0)</f>
        <v>변표</v>
      </c>
      <c r="Y212" s="188">
        <f ca="1">OFFSET(환산공식!FW$15,$F212,0)</f>
        <v>0.25</v>
      </c>
      <c r="Z212" s="20">
        <f ca="1">OFFSET(환산공식!FX$15,$F212,0)</f>
        <v>0.4</v>
      </c>
      <c r="AA212" s="179">
        <f ca="1">OFFSET(환산공식!FY$15,$F212,0)</f>
        <v>0.35</v>
      </c>
      <c r="AC212"/>
      <c r="AD212">
        <f t="shared" ca="1" si="8"/>
        <v>6</v>
      </c>
      <c r="AE212"/>
    </row>
    <row r="213" spans="1:31" s="3" customFormat="1">
      <c r="A213" s="198"/>
      <c r="B213" s="198"/>
      <c r="C213" s="198" t="s">
        <v>774</v>
      </c>
      <c r="D213" s="195">
        <v>263</v>
      </c>
      <c r="E213" s="195">
        <v>33</v>
      </c>
      <c r="F213" s="195">
        <v>33</v>
      </c>
      <c r="G213" s="239">
        <v>206</v>
      </c>
      <c r="H213" s="197" t="s">
        <v>72</v>
      </c>
      <c r="I213" s="242" t="s">
        <v>82</v>
      </c>
      <c r="J213" s="242" t="s">
        <v>8307</v>
      </c>
      <c r="K213" s="195" t="s">
        <v>70</v>
      </c>
      <c r="L213" s="20" t="str">
        <f ca="1">IF(OFFSET(환산공식!$ED$15,$F213,0)=1,"O","X")</f>
        <v>X</v>
      </c>
      <c r="M213" s="188">
        <f ca="1">IFERROR(OFFSET(환산공식!DJ$15,$F213,0),"")</f>
        <v>0</v>
      </c>
      <c r="N213" s="20" t="str">
        <f ca="1">IFERROR(CONCATENATE(ROUND(OFFSET(환산공식!DK$15,$F213,0),1),"%"),"")</f>
        <v/>
      </c>
      <c r="O213" s="20">
        <f ca="1">IFERROR(OFFSET(환산공식!DL$15,$F213,0),"")</f>
        <v>0</v>
      </c>
      <c r="P213" s="188" t="str">
        <f t="shared" ca="1" si="7"/>
        <v>3% 이하</v>
      </c>
      <c r="Q213" s="194">
        <f ca="1">IFERROR(ROUND(OFFSET(환산공식!$FG$15,$F213,0),3),"")</f>
        <v>0</v>
      </c>
      <c r="R213" s="194">
        <f ca="1">OFFSET('배치점수 계산기'!H$10,$D213,0)</f>
        <v>388.75200000000001</v>
      </c>
      <c r="S213" s="194">
        <f ca="1">OFFSET('배치점수 계산기'!I$10,$D213,0)</f>
        <v>386.25299999999999</v>
      </c>
      <c r="T213" s="194">
        <f ca="1">OFFSET('배치점수 계산기'!J$10,$D213,0)</f>
        <v>383.928</v>
      </c>
      <c r="U213" s="194">
        <f ca="1">OFFSET('배치점수 계산기'!K$10,$D213,0)</f>
        <v>382.17899999999997</v>
      </c>
      <c r="V213" s="194">
        <f ca="1">OFFSET('배치점수 계산기'!L$10,$D213,0)</f>
        <v>379.36099999999999</v>
      </c>
      <c r="W213" s="186" t="str">
        <f ca="1">OFFSET('배치점수 계산기'!M$10,$D213,0)</f>
        <v>표점</v>
      </c>
      <c r="X213" s="184" t="str">
        <f ca="1">OFFSET('배치점수 계산기'!N$10,$D213,0)</f>
        <v>변표</v>
      </c>
      <c r="Y213" s="188">
        <f ca="1">OFFSET(환산공식!FW$15,$F213,0)</f>
        <v>0.25</v>
      </c>
      <c r="Z213" s="20">
        <f ca="1">OFFSET(환산공식!FX$15,$F213,0)</f>
        <v>0.4</v>
      </c>
      <c r="AA213" s="179">
        <f ca="1">OFFSET(환산공식!FY$15,$F213,0)</f>
        <v>0.35</v>
      </c>
      <c r="AC213"/>
      <c r="AD213">
        <f t="shared" ca="1" si="8"/>
        <v>6</v>
      </c>
      <c r="AE213"/>
    </row>
    <row r="214" spans="1:31" s="3" customFormat="1">
      <c r="A214" s="198"/>
      <c r="B214" s="198"/>
      <c r="C214" s="198" t="s">
        <v>775</v>
      </c>
      <c r="D214" s="195">
        <v>264</v>
      </c>
      <c r="E214" s="195">
        <v>34</v>
      </c>
      <c r="F214" s="195">
        <v>34</v>
      </c>
      <c r="G214" s="239">
        <v>207</v>
      </c>
      <c r="H214" s="197" t="s">
        <v>72</v>
      </c>
      <c r="I214" s="242" t="s">
        <v>82</v>
      </c>
      <c r="J214" s="242" t="s">
        <v>8654</v>
      </c>
      <c r="K214" s="195" t="s">
        <v>71</v>
      </c>
      <c r="L214" s="20" t="str">
        <f ca="1">IF(OFFSET(환산공식!$ED$15,$F214,0)=1,"O","X")</f>
        <v>X</v>
      </c>
      <c r="M214" s="188">
        <f ca="1">IFERROR(OFFSET(환산공식!DJ$15,$F214,0),"")</f>
        <v>0</v>
      </c>
      <c r="N214" s="20" t="str">
        <f ca="1">IFERROR(CONCATENATE(ROUND(OFFSET(환산공식!DK$15,$F214,0),1),"%"),"")</f>
        <v/>
      </c>
      <c r="O214" s="20">
        <f ca="1">IFERROR(OFFSET(환산공식!DL$15,$F214,0),"")</f>
        <v>0</v>
      </c>
      <c r="P214" s="188" t="str">
        <f t="shared" ca="1" si="7"/>
        <v>3% 이하</v>
      </c>
      <c r="Q214" s="194">
        <f ca="1">IFERROR(ROUND(OFFSET(환산공식!$FG$15,$F214,0),3),"")</f>
        <v>0</v>
      </c>
      <c r="R214" s="194">
        <f ca="1">OFFSET('배치점수 계산기'!H$10,$D214,0)</f>
        <v>389.971</v>
      </c>
      <c r="S214" s="194">
        <f ca="1">OFFSET('배치점수 계산기'!I$10,$D214,0)</f>
        <v>388.63900000000001</v>
      </c>
      <c r="T214" s="194">
        <f ca="1">OFFSET('배치점수 계산기'!J$10,$D214,0)</f>
        <v>387.202</v>
      </c>
      <c r="U214" s="194">
        <f ca="1">OFFSET('배치점수 계산기'!K$10,$D214,0)</f>
        <v>386.72500000000002</v>
      </c>
      <c r="V214" s="194">
        <f ca="1">OFFSET('배치점수 계산기'!L$10,$D214,0)</f>
        <v>385.21100000000001</v>
      </c>
      <c r="W214" s="186" t="str">
        <f ca="1">OFFSET('배치점수 계산기'!M$10,$D214,0)</f>
        <v>표점</v>
      </c>
      <c r="X214" s="184" t="str">
        <f ca="1">OFFSET('배치점수 계산기'!N$10,$D214,0)</f>
        <v>변표</v>
      </c>
      <c r="Y214" s="188">
        <f ca="1">OFFSET(환산공식!FW$15,$F214,0)</f>
        <v>0.4</v>
      </c>
      <c r="Z214" s="20">
        <f ca="1">OFFSET(환산공식!FX$15,$F214,0)</f>
        <v>0.25</v>
      </c>
      <c r="AA214" s="179">
        <f ca="1">OFFSET(환산공식!FY$15,$F214,0)</f>
        <v>0.35</v>
      </c>
      <c r="AC214"/>
      <c r="AD214">
        <f t="shared" ca="1" si="8"/>
        <v>6</v>
      </c>
      <c r="AE214"/>
    </row>
    <row r="215" spans="1:31" s="3" customFormat="1">
      <c r="A215" s="198"/>
      <c r="B215" s="198"/>
      <c r="C215" s="198" t="s">
        <v>776</v>
      </c>
      <c r="D215" s="195">
        <v>265</v>
      </c>
      <c r="E215" s="195">
        <v>34</v>
      </c>
      <c r="F215" s="195">
        <v>34</v>
      </c>
      <c r="G215" s="239">
        <v>208</v>
      </c>
      <c r="H215" s="197" t="s">
        <v>72</v>
      </c>
      <c r="I215" s="242" t="s">
        <v>82</v>
      </c>
      <c r="J215" s="242" t="s">
        <v>8883</v>
      </c>
      <c r="K215" s="195" t="s">
        <v>71</v>
      </c>
      <c r="L215" s="20" t="str">
        <f ca="1">IF(OFFSET(환산공식!$ED$15,$F215,0)=1,"O","X")</f>
        <v>X</v>
      </c>
      <c r="M215" s="188">
        <f ca="1">IFERROR(OFFSET(환산공식!DJ$15,$F215,0),"")</f>
        <v>0</v>
      </c>
      <c r="N215" s="20" t="str">
        <f ca="1">IFERROR(CONCATENATE(ROUND(OFFSET(환산공식!DK$15,$F215,0),1),"%"),"")</f>
        <v/>
      </c>
      <c r="O215" s="20">
        <f ca="1">IFERROR(OFFSET(환산공식!DL$15,$F215,0),"")</f>
        <v>0</v>
      </c>
      <c r="P215" s="188" t="str">
        <f t="shared" ca="1" si="7"/>
        <v>3% 이하</v>
      </c>
      <c r="Q215" s="194">
        <f ca="1">IFERROR(ROUND(OFFSET(환산공식!$FG$15,$F215,0),3),"")</f>
        <v>0</v>
      </c>
      <c r="R215" s="194">
        <f ca="1">OFFSET('배치점수 계산기'!H$10,$D215,0)</f>
        <v>390.34699999999998</v>
      </c>
      <c r="S215" s="194">
        <f ca="1">OFFSET('배치점수 계산기'!I$10,$D215,0)</f>
        <v>388.64800000000002</v>
      </c>
      <c r="T215" s="194">
        <f ca="1">OFFSET('배치점수 계산기'!J$10,$D215,0)</f>
        <v>386.03500000000003</v>
      </c>
      <c r="U215" s="194">
        <f ca="1">OFFSET('배치점수 계산기'!K$10,$D215,0)</f>
        <v>384.08199999999999</v>
      </c>
      <c r="V215" s="194">
        <f ca="1">OFFSET('배치점수 계산기'!L$10,$D215,0)</f>
        <v>381.565</v>
      </c>
      <c r="W215" s="186" t="str">
        <f ca="1">OFFSET('배치점수 계산기'!M$10,$D215,0)</f>
        <v>표점</v>
      </c>
      <c r="X215" s="184" t="str">
        <f ca="1">OFFSET('배치점수 계산기'!N$10,$D215,0)</f>
        <v>변표</v>
      </c>
      <c r="Y215" s="188">
        <f ca="1">OFFSET(환산공식!FW$15,$F215,0)</f>
        <v>0.4</v>
      </c>
      <c r="Z215" s="20">
        <f ca="1">OFFSET(환산공식!FX$15,$F215,0)</f>
        <v>0.25</v>
      </c>
      <c r="AA215" s="179">
        <f ca="1">OFFSET(환산공식!FY$15,$F215,0)</f>
        <v>0.35</v>
      </c>
      <c r="AC215"/>
      <c r="AD215">
        <f t="shared" ca="1" si="8"/>
        <v>6</v>
      </c>
      <c r="AE215"/>
    </row>
    <row r="216" spans="1:31" s="3" customFormat="1">
      <c r="A216" s="198"/>
      <c r="B216" s="198"/>
      <c r="C216" s="198" t="s">
        <v>777</v>
      </c>
      <c r="D216" s="195">
        <v>266</v>
      </c>
      <c r="E216" s="195">
        <v>35</v>
      </c>
      <c r="F216" s="195">
        <v>35</v>
      </c>
      <c r="G216" s="239">
        <v>209</v>
      </c>
      <c r="H216" s="197" t="s">
        <v>72</v>
      </c>
      <c r="I216" s="242" t="s">
        <v>82</v>
      </c>
      <c r="J216" s="242" t="s">
        <v>9130</v>
      </c>
      <c r="K216" s="195" t="s">
        <v>71</v>
      </c>
      <c r="L216" s="20" t="str">
        <f ca="1">IF(OFFSET(환산공식!$ED$15,$F216,0)=1,"O","X")</f>
        <v>X</v>
      </c>
      <c r="M216" s="188">
        <f ca="1">IFERROR(OFFSET(환산공식!DJ$15,$F216,0),"")</f>
        <v>0</v>
      </c>
      <c r="N216" s="20" t="str">
        <f ca="1">IFERROR(CONCATENATE(ROUND(OFFSET(환산공식!DK$15,$F216,0),1),"%"),"")</f>
        <v/>
      </c>
      <c r="O216" s="20">
        <f ca="1">IFERROR(OFFSET(환산공식!DL$15,$F216,0),"")</f>
        <v>0</v>
      </c>
      <c r="P216" s="188" t="str">
        <f t="shared" ca="1" si="7"/>
        <v>3% 이하</v>
      </c>
      <c r="Q216" s="194">
        <f ca="1">IFERROR(ROUND(OFFSET(환산공식!$FG$15,$F216,0),3),"")</f>
        <v>0</v>
      </c>
      <c r="R216" s="194">
        <f ca="1">OFFSET('배치점수 계산기'!H$10,$D216,0)</f>
        <v>387.52100000000002</v>
      </c>
      <c r="S216" s="194">
        <f ca="1">OFFSET('배치점수 계산기'!I$10,$D216,0)</f>
        <v>386.37</v>
      </c>
      <c r="T216" s="194">
        <f ca="1">OFFSET('배치점수 계산기'!J$10,$D216,0)</f>
        <v>384.93400000000003</v>
      </c>
      <c r="U216" s="194">
        <f ca="1">OFFSET('배치점수 계산기'!K$10,$D216,0)</f>
        <v>383.471</v>
      </c>
      <c r="V216" s="194">
        <f ca="1">OFFSET('배치점수 계산기'!L$10,$D216,0)</f>
        <v>381.8</v>
      </c>
      <c r="W216" s="186" t="str">
        <f ca="1">OFFSET('배치점수 계산기'!M$10,$D216,0)</f>
        <v>표점</v>
      </c>
      <c r="X216" s="184" t="str">
        <f ca="1">OFFSET('배치점수 계산기'!N$10,$D216,0)</f>
        <v>변표</v>
      </c>
      <c r="Y216" s="188">
        <f ca="1">OFFSET(환산공식!FW$15,$F216,0)</f>
        <v>0.35</v>
      </c>
      <c r="Z216" s="20">
        <f ca="1">OFFSET(환산공식!FX$15,$F216,0)</f>
        <v>0.35</v>
      </c>
      <c r="AA216" s="179">
        <f ca="1">OFFSET(환산공식!FY$15,$F216,0)</f>
        <v>0.3</v>
      </c>
      <c r="AC216"/>
      <c r="AD216">
        <f t="shared" ca="1" si="8"/>
        <v>6</v>
      </c>
      <c r="AE216"/>
    </row>
    <row r="217" spans="1:31" s="3" customFormat="1">
      <c r="A217" s="198"/>
      <c r="B217" s="198"/>
      <c r="C217" s="198" t="s">
        <v>778</v>
      </c>
      <c r="D217" s="195">
        <v>267</v>
      </c>
      <c r="E217" s="195">
        <v>34</v>
      </c>
      <c r="F217" s="195">
        <v>34</v>
      </c>
      <c r="G217" s="239">
        <v>210</v>
      </c>
      <c r="H217" s="197" t="s">
        <v>72</v>
      </c>
      <c r="I217" s="242" t="s">
        <v>82</v>
      </c>
      <c r="J217" s="242" t="s">
        <v>8863</v>
      </c>
      <c r="K217" s="195" t="s">
        <v>71</v>
      </c>
      <c r="L217" s="20" t="str">
        <f ca="1">IF(OFFSET(환산공식!$ED$15,$F217,0)=1,"O","X")</f>
        <v>X</v>
      </c>
      <c r="M217" s="188">
        <f ca="1">IFERROR(OFFSET(환산공식!DJ$15,$F217,0),"")</f>
        <v>0</v>
      </c>
      <c r="N217" s="20" t="str">
        <f ca="1">IFERROR(CONCATENATE(ROUND(OFFSET(환산공식!DK$15,$F217,0),1),"%"),"")</f>
        <v/>
      </c>
      <c r="O217" s="20">
        <f ca="1">IFERROR(OFFSET(환산공식!DL$15,$F217,0),"")</f>
        <v>0</v>
      </c>
      <c r="P217" s="188" t="str">
        <f t="shared" ca="1" si="7"/>
        <v>3% 이하</v>
      </c>
      <c r="Q217" s="194">
        <f ca="1">IFERROR(ROUND(OFFSET(환산공식!$FG$15,$F217,0),3),"")</f>
        <v>0</v>
      </c>
      <c r="R217" s="194">
        <f ca="1">OFFSET('배치점수 계산기'!H$10,$D217,0)</f>
        <v>389.66500000000002</v>
      </c>
      <c r="S217" s="194">
        <f ca="1">OFFSET('배치점수 계산기'!I$10,$D217,0)</f>
        <v>387.72500000000002</v>
      </c>
      <c r="T217" s="194">
        <f ca="1">OFFSET('배치점수 계산기'!J$10,$D217,0)</f>
        <v>384.89600000000002</v>
      </c>
      <c r="U217" s="194">
        <f ca="1">OFFSET('배치점수 계산기'!K$10,$D217,0)</f>
        <v>382.96300000000002</v>
      </c>
      <c r="V217" s="194">
        <f ca="1">OFFSET('배치점수 계산기'!L$10,$D217,0)</f>
        <v>380.76499999999999</v>
      </c>
      <c r="W217" s="186" t="str">
        <f ca="1">OFFSET('배치점수 계산기'!M$10,$D217,0)</f>
        <v>표점</v>
      </c>
      <c r="X217" s="184" t="str">
        <f ca="1">OFFSET('배치점수 계산기'!N$10,$D217,0)</f>
        <v>변표</v>
      </c>
      <c r="Y217" s="188">
        <f ca="1">OFFSET(환산공식!FW$15,$F217,0)</f>
        <v>0.4</v>
      </c>
      <c r="Z217" s="20">
        <f ca="1">OFFSET(환산공식!FX$15,$F217,0)</f>
        <v>0.25</v>
      </c>
      <c r="AA217" s="179">
        <f ca="1">OFFSET(환산공식!FY$15,$F217,0)</f>
        <v>0.35</v>
      </c>
      <c r="AC217"/>
      <c r="AD217">
        <f t="shared" ca="1" si="8"/>
        <v>6</v>
      </c>
      <c r="AE217"/>
    </row>
    <row r="218" spans="1:31" s="3" customFormat="1">
      <c r="A218" s="198"/>
      <c r="B218" s="198"/>
      <c r="C218" s="198" t="s">
        <v>779</v>
      </c>
      <c r="D218" s="195">
        <v>268</v>
      </c>
      <c r="E218" s="195">
        <v>34</v>
      </c>
      <c r="F218" s="195">
        <v>34</v>
      </c>
      <c r="G218" s="239">
        <v>211</v>
      </c>
      <c r="H218" s="197" t="s">
        <v>72</v>
      </c>
      <c r="I218" s="242" t="s">
        <v>82</v>
      </c>
      <c r="J218" s="242" t="s">
        <v>9228</v>
      </c>
      <c r="K218" s="195" t="s">
        <v>71</v>
      </c>
      <c r="L218" s="20" t="str">
        <f ca="1">IF(OFFSET(환산공식!$ED$15,$F218,0)=1,"O","X")</f>
        <v>X</v>
      </c>
      <c r="M218" s="188">
        <f ca="1">IFERROR(OFFSET(환산공식!DJ$15,$F218,0),"")</f>
        <v>0</v>
      </c>
      <c r="N218" s="20" t="str">
        <f ca="1">IFERROR(CONCATENATE(ROUND(OFFSET(환산공식!DK$15,$F218,0),1),"%"),"")</f>
        <v/>
      </c>
      <c r="O218" s="20">
        <f ca="1">IFERROR(OFFSET(환산공식!DL$15,$F218,0),"")</f>
        <v>0</v>
      </c>
      <c r="P218" s="188" t="str">
        <f t="shared" ca="1" si="7"/>
        <v>3% 이하</v>
      </c>
      <c r="Q218" s="194">
        <f ca="1">IFERROR(ROUND(OFFSET(환산공식!$FG$15,$F218,0),3),"")</f>
        <v>0</v>
      </c>
      <c r="R218" s="194">
        <f ca="1">OFFSET('배치점수 계산기'!H$10,$D218,0)</f>
        <v>389.66500000000002</v>
      </c>
      <c r="S218" s="194">
        <f ca="1">OFFSET('배치점수 계산기'!I$10,$D218,0)</f>
        <v>387.72500000000002</v>
      </c>
      <c r="T218" s="194">
        <f ca="1">OFFSET('배치점수 계산기'!J$10,$D218,0)</f>
        <v>384.89600000000002</v>
      </c>
      <c r="U218" s="194">
        <f ca="1">OFFSET('배치점수 계산기'!K$10,$D218,0)</f>
        <v>382.96300000000002</v>
      </c>
      <c r="V218" s="194">
        <f ca="1">OFFSET('배치점수 계산기'!L$10,$D218,0)</f>
        <v>380.76499999999999</v>
      </c>
      <c r="W218" s="186" t="str">
        <f ca="1">OFFSET('배치점수 계산기'!M$10,$D218,0)</f>
        <v>표점</v>
      </c>
      <c r="X218" s="184" t="str">
        <f ca="1">OFFSET('배치점수 계산기'!N$10,$D218,0)</f>
        <v>변표</v>
      </c>
      <c r="Y218" s="188">
        <f ca="1">OFFSET(환산공식!FW$15,$F218,0)</f>
        <v>0.4</v>
      </c>
      <c r="Z218" s="20">
        <f ca="1">OFFSET(환산공식!FX$15,$F218,0)</f>
        <v>0.25</v>
      </c>
      <c r="AA218" s="179">
        <f ca="1">OFFSET(환산공식!FY$15,$F218,0)</f>
        <v>0.35</v>
      </c>
      <c r="AC218"/>
      <c r="AD218">
        <f t="shared" ca="1" si="8"/>
        <v>6</v>
      </c>
      <c r="AE218"/>
    </row>
    <row r="219" spans="1:31" s="3" customFormat="1">
      <c r="A219" s="198"/>
      <c r="B219" s="198"/>
      <c r="C219" s="198" t="s">
        <v>780</v>
      </c>
      <c r="D219" s="195">
        <v>269</v>
      </c>
      <c r="E219" s="195">
        <v>34</v>
      </c>
      <c r="F219" s="195">
        <v>34</v>
      </c>
      <c r="G219" s="239">
        <v>212</v>
      </c>
      <c r="H219" s="197" t="s">
        <v>72</v>
      </c>
      <c r="I219" s="242" t="s">
        <v>82</v>
      </c>
      <c r="J219" s="242" t="s">
        <v>9241</v>
      </c>
      <c r="K219" s="195" t="s">
        <v>71</v>
      </c>
      <c r="L219" s="20" t="str">
        <f ca="1">IF(OFFSET(환산공식!$ED$15,$F219,0)=1,"O","X")</f>
        <v>X</v>
      </c>
      <c r="M219" s="188">
        <f ca="1">IFERROR(OFFSET(환산공식!DJ$15,$F219,0),"")</f>
        <v>0</v>
      </c>
      <c r="N219" s="20" t="str">
        <f ca="1">IFERROR(CONCATENATE(ROUND(OFFSET(환산공식!DK$15,$F219,0),1),"%"),"")</f>
        <v/>
      </c>
      <c r="O219" s="20">
        <f ca="1">IFERROR(OFFSET(환산공식!DL$15,$F219,0),"")</f>
        <v>0</v>
      </c>
      <c r="P219" s="188" t="str">
        <f t="shared" ca="1" si="7"/>
        <v>3% 이하</v>
      </c>
      <c r="Q219" s="194">
        <f ca="1">IFERROR(ROUND(OFFSET(환산공식!$FG$15,$F219,0),3),"")</f>
        <v>0</v>
      </c>
      <c r="R219" s="194">
        <f ca="1">OFFSET('배치점수 계산기'!H$10,$D219,0)</f>
        <v>389.38400000000001</v>
      </c>
      <c r="S219" s="194">
        <f ca="1">OFFSET('배치점수 계산기'!I$10,$D219,0)</f>
        <v>387.47300000000001</v>
      </c>
      <c r="T219" s="194">
        <f ca="1">OFFSET('배치점수 계산기'!J$10,$D219,0)</f>
        <v>384.62599999999998</v>
      </c>
      <c r="U219" s="194">
        <f ca="1">OFFSET('배치점수 계산기'!K$10,$D219,0)</f>
        <v>382.89699999999999</v>
      </c>
      <c r="V219" s="194">
        <f ca="1">OFFSET('배치점수 계산기'!L$10,$D219,0)</f>
        <v>380.43099999999998</v>
      </c>
      <c r="W219" s="186" t="str">
        <f ca="1">OFFSET('배치점수 계산기'!M$10,$D219,0)</f>
        <v>표점</v>
      </c>
      <c r="X219" s="184" t="str">
        <f ca="1">OFFSET('배치점수 계산기'!N$10,$D219,0)</f>
        <v>변표</v>
      </c>
      <c r="Y219" s="188">
        <f ca="1">OFFSET(환산공식!FW$15,$F219,0)</f>
        <v>0.4</v>
      </c>
      <c r="Z219" s="20">
        <f ca="1">OFFSET(환산공식!FX$15,$F219,0)</f>
        <v>0.25</v>
      </c>
      <c r="AA219" s="179">
        <f ca="1">OFFSET(환산공식!FY$15,$F219,0)</f>
        <v>0.35</v>
      </c>
      <c r="AC219"/>
      <c r="AD219">
        <f t="shared" ca="1" si="8"/>
        <v>6</v>
      </c>
      <c r="AE219"/>
    </row>
    <row r="220" spans="1:31" s="3" customFormat="1">
      <c r="A220" s="198"/>
      <c r="B220" s="198"/>
      <c r="C220" s="198" t="s">
        <v>781</v>
      </c>
      <c r="D220" s="195">
        <v>270</v>
      </c>
      <c r="E220" s="195">
        <v>34</v>
      </c>
      <c r="F220" s="195">
        <v>34</v>
      </c>
      <c r="G220" s="239">
        <v>213</v>
      </c>
      <c r="H220" s="197" t="s">
        <v>72</v>
      </c>
      <c r="I220" s="242" t="s">
        <v>82</v>
      </c>
      <c r="J220" s="242" t="s">
        <v>8618</v>
      </c>
      <c r="K220" s="195" t="s">
        <v>71</v>
      </c>
      <c r="L220" s="20" t="str">
        <f ca="1">IF(OFFSET(환산공식!$ED$15,$F220,0)=1,"O","X")</f>
        <v>X</v>
      </c>
      <c r="M220" s="188">
        <f ca="1">IFERROR(OFFSET(환산공식!DJ$15,$F220,0),"")</f>
        <v>0</v>
      </c>
      <c r="N220" s="20" t="str">
        <f ca="1">IFERROR(CONCATENATE(ROUND(OFFSET(환산공식!DK$15,$F220,0),1),"%"),"")</f>
        <v/>
      </c>
      <c r="O220" s="20">
        <f ca="1">IFERROR(OFFSET(환산공식!DL$15,$F220,0),"")</f>
        <v>0</v>
      </c>
      <c r="P220" s="188" t="str">
        <f t="shared" ca="1" si="7"/>
        <v>3% 이하</v>
      </c>
      <c r="Q220" s="194">
        <f ca="1">IFERROR(ROUND(OFFSET(환산공식!$FG$15,$F220,0),3),"")</f>
        <v>0</v>
      </c>
      <c r="R220" s="194">
        <f ca="1">OFFSET('배치점수 계산기'!H$10,$D220,0)</f>
        <v>389.00400000000002</v>
      </c>
      <c r="S220" s="194">
        <f ca="1">OFFSET('배치점수 계산기'!I$10,$D220,0)</f>
        <v>387.05200000000002</v>
      </c>
      <c r="T220" s="194">
        <f ca="1">OFFSET('배치점수 계산기'!J$10,$D220,0)</f>
        <v>384.22300000000001</v>
      </c>
      <c r="U220" s="194">
        <f ca="1">OFFSET('배치점수 계산기'!K$10,$D220,0)</f>
        <v>382.42099999999999</v>
      </c>
      <c r="V220" s="194">
        <f ca="1">OFFSET('배치점수 계산기'!L$10,$D220,0)</f>
        <v>380.01</v>
      </c>
      <c r="W220" s="186" t="str">
        <f ca="1">OFFSET('배치점수 계산기'!M$10,$D220,0)</f>
        <v>표점</v>
      </c>
      <c r="X220" s="184" t="str">
        <f ca="1">OFFSET('배치점수 계산기'!N$10,$D220,0)</f>
        <v>변표</v>
      </c>
      <c r="Y220" s="188">
        <f ca="1">OFFSET(환산공식!FW$15,$F220,0)</f>
        <v>0.4</v>
      </c>
      <c r="Z220" s="20">
        <f ca="1">OFFSET(환산공식!FX$15,$F220,0)</f>
        <v>0.25</v>
      </c>
      <c r="AA220" s="179">
        <f ca="1">OFFSET(환산공식!FY$15,$F220,0)</f>
        <v>0.35</v>
      </c>
      <c r="AC220"/>
      <c r="AD220">
        <f t="shared" ca="1" si="8"/>
        <v>6</v>
      </c>
      <c r="AE220"/>
    </row>
    <row r="221" spans="1:31" s="3" customFormat="1">
      <c r="A221" s="198"/>
      <c r="B221" s="198"/>
      <c r="C221" s="198" t="s">
        <v>782</v>
      </c>
      <c r="D221" s="195">
        <v>271</v>
      </c>
      <c r="E221" s="195">
        <v>34</v>
      </c>
      <c r="F221" s="195">
        <v>34</v>
      </c>
      <c r="G221" s="239">
        <v>214</v>
      </c>
      <c r="H221" s="197" t="s">
        <v>72</v>
      </c>
      <c r="I221" s="242" t="s">
        <v>82</v>
      </c>
      <c r="J221" s="242" t="s">
        <v>9285</v>
      </c>
      <c r="K221" s="195" t="s">
        <v>71</v>
      </c>
      <c r="L221" s="20" t="str">
        <f ca="1">IF(OFFSET(환산공식!$ED$15,$F221,0)=1,"O","X")</f>
        <v>X</v>
      </c>
      <c r="M221" s="188">
        <f ca="1">IFERROR(OFFSET(환산공식!DJ$15,$F221,0),"")</f>
        <v>0</v>
      </c>
      <c r="N221" s="20" t="str">
        <f ca="1">IFERROR(CONCATENATE(ROUND(OFFSET(환산공식!DK$15,$F221,0),1),"%"),"")</f>
        <v/>
      </c>
      <c r="O221" s="20">
        <f ca="1">IFERROR(OFFSET(환산공식!DL$15,$F221,0),"")</f>
        <v>0</v>
      </c>
      <c r="P221" s="188" t="str">
        <f t="shared" ca="1" si="7"/>
        <v>3% 이하</v>
      </c>
      <c r="Q221" s="194">
        <f ca="1">IFERROR(ROUND(OFFSET(환산공식!$FG$15,$F221,0),3),"")</f>
        <v>0</v>
      </c>
      <c r="R221" s="194">
        <f ca="1">OFFSET('배치점수 계산기'!H$10,$D221,0)</f>
        <v>388.84300000000002</v>
      </c>
      <c r="S221" s="194">
        <f ca="1">OFFSET('배치점수 계산기'!I$10,$D221,0)</f>
        <v>386.86599999999999</v>
      </c>
      <c r="T221" s="194">
        <f ca="1">OFFSET('배치점수 계산기'!J$10,$D221,0)</f>
        <v>384.14800000000002</v>
      </c>
      <c r="U221" s="194">
        <f ca="1">OFFSET('배치점수 계산기'!K$10,$D221,0)</f>
        <v>382.29</v>
      </c>
      <c r="V221" s="194">
        <f ca="1">OFFSET('배치점수 계산기'!L$10,$D221,0)</f>
        <v>379.86099999999999</v>
      </c>
      <c r="W221" s="186" t="str">
        <f ca="1">OFFSET('배치점수 계산기'!M$10,$D221,0)</f>
        <v>표점</v>
      </c>
      <c r="X221" s="184" t="str">
        <f ca="1">OFFSET('배치점수 계산기'!N$10,$D221,0)</f>
        <v>변표</v>
      </c>
      <c r="Y221" s="188">
        <f ca="1">OFFSET(환산공식!FW$15,$F221,0)</f>
        <v>0.4</v>
      </c>
      <c r="Z221" s="20">
        <f ca="1">OFFSET(환산공식!FX$15,$F221,0)</f>
        <v>0.25</v>
      </c>
      <c r="AA221" s="179">
        <f ca="1">OFFSET(환산공식!FY$15,$F221,0)</f>
        <v>0.35</v>
      </c>
      <c r="AC221"/>
      <c r="AD221">
        <f t="shared" ca="1" si="8"/>
        <v>6</v>
      </c>
      <c r="AE221"/>
    </row>
    <row r="222" spans="1:31" s="3" customFormat="1">
      <c r="A222" s="198"/>
      <c r="B222" s="198"/>
      <c r="C222" s="198" t="s">
        <v>783</v>
      </c>
      <c r="D222" s="195">
        <v>272</v>
      </c>
      <c r="E222" s="195">
        <v>34</v>
      </c>
      <c r="F222" s="195">
        <v>34</v>
      </c>
      <c r="G222" s="239">
        <v>215</v>
      </c>
      <c r="H222" s="197" t="s">
        <v>72</v>
      </c>
      <c r="I222" s="242" t="s">
        <v>82</v>
      </c>
      <c r="J222" s="242" t="s">
        <v>9297</v>
      </c>
      <c r="K222" s="195" t="s">
        <v>71</v>
      </c>
      <c r="L222" s="20" t="str">
        <f ca="1">IF(OFFSET(환산공식!$ED$15,$F222,0)=1,"O","X")</f>
        <v>X</v>
      </c>
      <c r="M222" s="188">
        <f ca="1">IFERROR(OFFSET(환산공식!DJ$15,$F222,0),"")</f>
        <v>0</v>
      </c>
      <c r="N222" s="20" t="str">
        <f ca="1">IFERROR(CONCATENATE(ROUND(OFFSET(환산공식!DK$15,$F222,0),1),"%"),"")</f>
        <v/>
      </c>
      <c r="O222" s="20">
        <f ca="1">IFERROR(OFFSET(환산공식!DL$15,$F222,0),"")</f>
        <v>0</v>
      </c>
      <c r="P222" s="188" t="str">
        <f t="shared" ca="1" si="7"/>
        <v>3% 이하</v>
      </c>
      <c r="Q222" s="194">
        <f ca="1">IFERROR(ROUND(OFFSET(환산공식!$FG$15,$F222,0),3),"")</f>
        <v>0</v>
      </c>
      <c r="R222" s="194">
        <f ca="1">OFFSET('배치점수 계산기'!H$10,$D222,0)</f>
        <v>388.84300000000002</v>
      </c>
      <c r="S222" s="194">
        <f ca="1">OFFSET('배치점수 계산기'!I$10,$D222,0)</f>
        <v>386.86599999999999</v>
      </c>
      <c r="T222" s="194">
        <f ca="1">OFFSET('배치점수 계산기'!J$10,$D222,0)</f>
        <v>384.14800000000002</v>
      </c>
      <c r="U222" s="194">
        <f ca="1">OFFSET('배치점수 계산기'!K$10,$D222,0)</f>
        <v>382.29</v>
      </c>
      <c r="V222" s="194">
        <f ca="1">OFFSET('배치점수 계산기'!L$10,$D222,0)</f>
        <v>379.86099999999999</v>
      </c>
      <c r="W222" s="186" t="str">
        <f ca="1">OFFSET('배치점수 계산기'!M$10,$D222,0)</f>
        <v>표점</v>
      </c>
      <c r="X222" s="184" t="str">
        <f ca="1">OFFSET('배치점수 계산기'!N$10,$D222,0)</f>
        <v>변표</v>
      </c>
      <c r="Y222" s="188">
        <f ca="1">OFFSET(환산공식!FW$15,$F222,0)</f>
        <v>0.4</v>
      </c>
      <c r="Z222" s="20">
        <f ca="1">OFFSET(환산공식!FX$15,$F222,0)</f>
        <v>0.25</v>
      </c>
      <c r="AA222" s="179">
        <f ca="1">OFFSET(환산공식!FY$15,$F222,0)</f>
        <v>0.35</v>
      </c>
      <c r="AC222"/>
      <c r="AD222">
        <f t="shared" ca="1" si="8"/>
        <v>6</v>
      </c>
      <c r="AE222"/>
    </row>
    <row r="223" spans="1:31" s="3" customFormat="1">
      <c r="A223" s="198"/>
      <c r="B223" s="198"/>
      <c r="C223" s="198" t="s">
        <v>784</v>
      </c>
      <c r="D223" s="195">
        <v>273</v>
      </c>
      <c r="E223" s="195">
        <v>35</v>
      </c>
      <c r="F223" s="195">
        <v>35</v>
      </c>
      <c r="G223" s="239">
        <v>216</v>
      </c>
      <c r="H223" s="197" t="s">
        <v>72</v>
      </c>
      <c r="I223" s="242" t="s">
        <v>82</v>
      </c>
      <c r="J223" s="242" t="s">
        <v>8659</v>
      </c>
      <c r="K223" s="195" t="s">
        <v>71</v>
      </c>
      <c r="L223" s="20" t="str">
        <f ca="1">IF(OFFSET(환산공식!$ED$15,$F223,0)=1,"O","X")</f>
        <v>X</v>
      </c>
      <c r="M223" s="188">
        <f ca="1">IFERROR(OFFSET(환산공식!DJ$15,$F223,0),"")</f>
        <v>0</v>
      </c>
      <c r="N223" s="20" t="str">
        <f ca="1">IFERROR(CONCATENATE(ROUND(OFFSET(환산공식!DK$15,$F223,0),1),"%"),"")</f>
        <v/>
      </c>
      <c r="O223" s="20">
        <f ca="1">IFERROR(OFFSET(환산공식!DL$15,$F223,0),"")</f>
        <v>0</v>
      </c>
      <c r="P223" s="188" t="str">
        <f t="shared" ca="1" si="7"/>
        <v>3% 이하</v>
      </c>
      <c r="Q223" s="194">
        <f ca="1">IFERROR(ROUND(OFFSET(환산공식!$FG$15,$F223,0),3),"")</f>
        <v>0</v>
      </c>
      <c r="R223" s="194">
        <f ca="1">OFFSET('배치점수 계산기'!H$10,$D223,0)</f>
        <v>384.82900000000001</v>
      </c>
      <c r="S223" s="194">
        <f ca="1">OFFSET('배치점수 계산기'!I$10,$D223,0)</f>
        <v>384.15</v>
      </c>
      <c r="T223" s="194">
        <f ca="1">OFFSET('배치점수 계산기'!J$10,$D223,0)</f>
        <v>382.69499999999999</v>
      </c>
      <c r="U223" s="194">
        <f ca="1">OFFSET('배치점수 계산기'!K$10,$D223,0)</f>
        <v>380.48099999999999</v>
      </c>
      <c r="V223" s="194">
        <f ca="1">OFFSET('배치점수 계산기'!L$10,$D223,0)</f>
        <v>378.25799999999998</v>
      </c>
      <c r="W223" s="186" t="str">
        <f ca="1">OFFSET('배치점수 계산기'!M$10,$D223,0)</f>
        <v>표점</v>
      </c>
      <c r="X223" s="184" t="str">
        <f ca="1">OFFSET('배치점수 계산기'!N$10,$D223,0)</f>
        <v>변표</v>
      </c>
      <c r="Y223" s="188">
        <f ca="1">OFFSET(환산공식!FW$15,$F223,0)</f>
        <v>0.35</v>
      </c>
      <c r="Z223" s="20">
        <f ca="1">OFFSET(환산공식!FX$15,$F223,0)</f>
        <v>0.35</v>
      </c>
      <c r="AA223" s="179">
        <f ca="1">OFFSET(환산공식!FY$15,$F223,0)</f>
        <v>0.3</v>
      </c>
      <c r="AC223"/>
      <c r="AD223">
        <f t="shared" ca="1" si="8"/>
        <v>6</v>
      </c>
      <c r="AE223"/>
    </row>
    <row r="224" spans="1:31" s="3" customFormat="1">
      <c r="A224" s="198"/>
      <c r="B224" s="198"/>
      <c r="C224" s="198" t="s">
        <v>785</v>
      </c>
      <c r="D224" s="195">
        <v>274</v>
      </c>
      <c r="E224" s="195">
        <v>35</v>
      </c>
      <c r="F224" s="195">
        <v>35</v>
      </c>
      <c r="G224" s="239">
        <v>217</v>
      </c>
      <c r="H224" s="197" t="s">
        <v>72</v>
      </c>
      <c r="I224" s="242" t="s">
        <v>82</v>
      </c>
      <c r="J224" s="242" t="s">
        <v>9287</v>
      </c>
      <c r="K224" s="195" t="s">
        <v>71</v>
      </c>
      <c r="L224" s="20" t="str">
        <f ca="1">IF(OFFSET(환산공식!$ED$15,$F224,0)=1,"O","X")</f>
        <v>X</v>
      </c>
      <c r="M224" s="188">
        <f ca="1">IFERROR(OFFSET(환산공식!DJ$15,$F224,0),"")</f>
        <v>0</v>
      </c>
      <c r="N224" s="20" t="str">
        <f ca="1">IFERROR(CONCATENATE(ROUND(OFFSET(환산공식!DK$15,$F224,0),1),"%"),"")</f>
        <v/>
      </c>
      <c r="O224" s="20">
        <f ca="1">IFERROR(OFFSET(환산공식!DL$15,$F224,0),"")</f>
        <v>0</v>
      </c>
      <c r="P224" s="188" t="str">
        <f t="shared" ca="1" si="7"/>
        <v>3% 이하</v>
      </c>
      <c r="Q224" s="194">
        <f ca="1">IFERROR(ROUND(OFFSET(환산공식!$FG$15,$F224,0),3),"")</f>
        <v>0</v>
      </c>
      <c r="R224" s="194">
        <f ca="1">OFFSET('배치점수 계산기'!H$10,$D224,0)</f>
        <v>384.82900000000001</v>
      </c>
      <c r="S224" s="194">
        <f ca="1">OFFSET('배치점수 계산기'!I$10,$D224,0)</f>
        <v>384.15</v>
      </c>
      <c r="T224" s="194">
        <f ca="1">OFFSET('배치점수 계산기'!J$10,$D224,0)</f>
        <v>382.69499999999999</v>
      </c>
      <c r="U224" s="194">
        <f ca="1">OFFSET('배치점수 계산기'!K$10,$D224,0)</f>
        <v>381.08100000000002</v>
      </c>
      <c r="V224" s="194">
        <f ca="1">OFFSET('배치점수 계산기'!L$10,$D224,0)</f>
        <v>378.25799999999998</v>
      </c>
      <c r="W224" s="186" t="str">
        <f ca="1">OFFSET('배치점수 계산기'!M$10,$D224,0)</f>
        <v>표점</v>
      </c>
      <c r="X224" s="184" t="str">
        <f ca="1">OFFSET('배치점수 계산기'!N$10,$D224,0)</f>
        <v>변표</v>
      </c>
      <c r="Y224" s="188">
        <f ca="1">OFFSET(환산공식!FW$15,$F224,0)</f>
        <v>0.35</v>
      </c>
      <c r="Z224" s="20">
        <f ca="1">OFFSET(환산공식!FX$15,$F224,0)</f>
        <v>0.35</v>
      </c>
      <c r="AA224" s="179">
        <f ca="1">OFFSET(환산공식!FY$15,$F224,0)</f>
        <v>0.3</v>
      </c>
      <c r="AC224"/>
      <c r="AD224">
        <f t="shared" ca="1" si="8"/>
        <v>6</v>
      </c>
      <c r="AE224"/>
    </row>
    <row r="225" spans="1:31" s="3" customFormat="1">
      <c r="A225" s="198"/>
      <c r="B225" s="198"/>
      <c r="C225" s="198" t="s">
        <v>786</v>
      </c>
      <c r="D225" s="195">
        <v>275</v>
      </c>
      <c r="E225" s="195">
        <v>35</v>
      </c>
      <c r="F225" s="195">
        <v>35</v>
      </c>
      <c r="G225" s="239">
        <v>218</v>
      </c>
      <c r="H225" s="197" t="s">
        <v>72</v>
      </c>
      <c r="I225" s="242" t="s">
        <v>82</v>
      </c>
      <c r="J225" s="242" t="s">
        <v>9451</v>
      </c>
      <c r="K225" s="195" t="s">
        <v>71</v>
      </c>
      <c r="L225" s="20" t="str">
        <f ca="1">IF(OFFSET(환산공식!$ED$15,$F225,0)=1,"O","X")</f>
        <v>X</v>
      </c>
      <c r="M225" s="188">
        <f ca="1">IFERROR(OFFSET(환산공식!DJ$15,$F225,0),"")</f>
        <v>0</v>
      </c>
      <c r="N225" s="20" t="str">
        <f ca="1">IFERROR(CONCATENATE(ROUND(OFFSET(환산공식!DK$15,$F225,0),1),"%"),"")</f>
        <v/>
      </c>
      <c r="O225" s="20">
        <f ca="1">IFERROR(OFFSET(환산공식!DL$15,$F225,0),"")</f>
        <v>0</v>
      </c>
      <c r="P225" s="188" t="str">
        <f t="shared" ca="1" si="7"/>
        <v>3% 이하</v>
      </c>
      <c r="Q225" s="194">
        <f ca="1">IFERROR(ROUND(OFFSET(환산공식!$FG$15,$F225,0),3),"")</f>
        <v>0</v>
      </c>
      <c r="R225" s="194">
        <f ca="1">OFFSET('배치점수 계산기'!H$10,$D225,0)</f>
        <v>383.36399999999998</v>
      </c>
      <c r="S225" s="194">
        <f ca="1">OFFSET('배치점수 계산기'!I$10,$D225,0)</f>
        <v>382.90800000000002</v>
      </c>
      <c r="T225" s="194">
        <f ca="1">OFFSET('배치점수 계산기'!J$10,$D225,0)</f>
        <v>382.38</v>
      </c>
      <c r="U225" s="194">
        <f ca="1">OFFSET('배치점수 계산기'!K$10,$D225,0)</f>
        <v>381.22</v>
      </c>
      <c r="V225" s="194">
        <f ca="1">OFFSET('배치점수 계산기'!L$10,$D225,0)</f>
        <v>380.096</v>
      </c>
      <c r="W225" s="186" t="str">
        <f ca="1">OFFSET('배치점수 계산기'!M$10,$D225,0)</f>
        <v>표점</v>
      </c>
      <c r="X225" s="184" t="str">
        <f ca="1">OFFSET('배치점수 계산기'!N$10,$D225,0)</f>
        <v>변표</v>
      </c>
      <c r="Y225" s="188">
        <f ca="1">OFFSET(환산공식!FW$15,$F225,0)</f>
        <v>0.35</v>
      </c>
      <c r="Z225" s="20">
        <f ca="1">OFFSET(환산공식!FX$15,$F225,0)</f>
        <v>0.35</v>
      </c>
      <c r="AA225" s="179">
        <f ca="1">OFFSET(환산공식!FY$15,$F225,0)</f>
        <v>0.3</v>
      </c>
      <c r="AC225"/>
      <c r="AD225">
        <f t="shared" ca="1" si="8"/>
        <v>6</v>
      </c>
      <c r="AE225"/>
    </row>
    <row r="226" spans="1:31" s="3" customFormat="1">
      <c r="A226" s="198"/>
      <c r="B226" s="198"/>
      <c r="C226" s="198" t="s">
        <v>787</v>
      </c>
      <c r="D226" s="195">
        <v>276</v>
      </c>
      <c r="E226" s="195">
        <v>35</v>
      </c>
      <c r="F226" s="195">
        <v>35</v>
      </c>
      <c r="G226" s="239">
        <v>219</v>
      </c>
      <c r="H226" s="197" t="s">
        <v>72</v>
      </c>
      <c r="I226" s="242" t="s">
        <v>82</v>
      </c>
      <c r="J226" s="242" t="s">
        <v>8534</v>
      </c>
      <c r="K226" s="195" t="s">
        <v>71</v>
      </c>
      <c r="L226" s="20" t="str">
        <f ca="1">IF(OFFSET(환산공식!$ED$15,$F226,0)=1,"O","X")</f>
        <v>X</v>
      </c>
      <c r="M226" s="188">
        <f ca="1">IFERROR(OFFSET(환산공식!DJ$15,$F226,0),"")</f>
        <v>0</v>
      </c>
      <c r="N226" s="20" t="str">
        <f ca="1">IFERROR(CONCATENATE(ROUND(OFFSET(환산공식!DK$15,$F226,0),1),"%"),"")</f>
        <v/>
      </c>
      <c r="O226" s="20">
        <f ca="1">IFERROR(OFFSET(환산공식!DL$15,$F226,0),"")</f>
        <v>0</v>
      </c>
      <c r="P226" s="188" t="str">
        <f t="shared" ca="1" si="7"/>
        <v>3% 이하</v>
      </c>
      <c r="Q226" s="194">
        <f ca="1">IFERROR(ROUND(OFFSET(환산공식!$FG$15,$F226,0),3),"")</f>
        <v>0</v>
      </c>
      <c r="R226" s="194">
        <f ca="1">OFFSET('배치점수 계산기'!H$10,$D226,0)</f>
        <v>384.93400000000003</v>
      </c>
      <c r="S226" s="194">
        <f ca="1">OFFSET('배치점수 계산기'!I$10,$D226,0)</f>
        <v>383.471</v>
      </c>
      <c r="T226" s="194">
        <f ca="1">OFFSET('배치점수 계산기'!J$10,$D226,0)</f>
        <v>382.25599999999997</v>
      </c>
      <c r="U226" s="194">
        <f ca="1">OFFSET('배치점수 계산기'!K$10,$D226,0)</f>
        <v>381.46600000000001</v>
      </c>
      <c r="V226" s="194">
        <f ca="1">OFFSET('배치점수 계산기'!L$10,$D226,0)</f>
        <v>379.47500000000002</v>
      </c>
      <c r="W226" s="186" t="str">
        <f ca="1">OFFSET('배치점수 계산기'!M$10,$D226,0)</f>
        <v>표점</v>
      </c>
      <c r="X226" s="184" t="str">
        <f ca="1">OFFSET('배치점수 계산기'!N$10,$D226,0)</f>
        <v>변표</v>
      </c>
      <c r="Y226" s="188">
        <f ca="1">OFFSET(환산공식!FW$15,$F226,0)</f>
        <v>0.35</v>
      </c>
      <c r="Z226" s="20">
        <f ca="1">OFFSET(환산공식!FX$15,$F226,0)</f>
        <v>0.35</v>
      </c>
      <c r="AA226" s="179">
        <f ca="1">OFFSET(환산공식!FY$15,$F226,0)</f>
        <v>0.3</v>
      </c>
      <c r="AC226"/>
      <c r="AD226">
        <f t="shared" ca="1" si="8"/>
        <v>6</v>
      </c>
      <c r="AE226"/>
    </row>
    <row r="227" spans="1:31" s="3" customFormat="1">
      <c r="A227" s="198"/>
      <c r="B227" s="198"/>
      <c r="C227" s="198" t="s">
        <v>788</v>
      </c>
      <c r="D227" s="195">
        <v>277</v>
      </c>
      <c r="E227" s="195">
        <v>35</v>
      </c>
      <c r="F227" s="195">
        <v>35</v>
      </c>
      <c r="G227" s="239">
        <v>220</v>
      </c>
      <c r="H227" s="197" t="s">
        <v>72</v>
      </c>
      <c r="I227" s="242" t="s">
        <v>82</v>
      </c>
      <c r="J227" s="242" t="s">
        <v>9351</v>
      </c>
      <c r="K227" s="195" t="s">
        <v>71</v>
      </c>
      <c r="L227" s="20" t="str">
        <f ca="1">IF(OFFSET(환산공식!$ED$15,$F227,0)=1,"O","X")</f>
        <v>X</v>
      </c>
      <c r="M227" s="188">
        <f ca="1">IFERROR(OFFSET(환산공식!DJ$15,$F227,0),"")</f>
        <v>0</v>
      </c>
      <c r="N227" s="20" t="str">
        <f ca="1">IFERROR(CONCATENATE(ROUND(OFFSET(환산공식!DK$15,$F227,0),1),"%"),"")</f>
        <v/>
      </c>
      <c r="O227" s="20">
        <f ca="1">IFERROR(OFFSET(환산공식!DL$15,$F227,0),"")</f>
        <v>0</v>
      </c>
      <c r="P227" s="188" t="str">
        <f t="shared" ca="1" si="7"/>
        <v>3% 이하</v>
      </c>
      <c r="Q227" s="194">
        <f ca="1">IFERROR(ROUND(OFFSET(환산공식!$FG$15,$F227,0),3),"")</f>
        <v>0</v>
      </c>
      <c r="R227" s="194">
        <f ca="1">OFFSET('배치점수 계산기'!H$10,$D227,0)</f>
        <v>385.21499999999997</v>
      </c>
      <c r="S227" s="194">
        <f ca="1">OFFSET('배치점수 계산기'!I$10,$D227,0)</f>
        <v>383.471</v>
      </c>
      <c r="T227" s="194">
        <f ca="1">OFFSET('배치점수 계산기'!J$10,$D227,0)</f>
        <v>382.25599999999997</v>
      </c>
      <c r="U227" s="194">
        <f ca="1">OFFSET('배치점수 계산기'!K$10,$D227,0)</f>
        <v>381.22</v>
      </c>
      <c r="V227" s="194">
        <f ca="1">OFFSET('배치점수 계산기'!L$10,$D227,0)</f>
        <v>380.04399999999998</v>
      </c>
      <c r="W227" s="186" t="str">
        <f ca="1">OFFSET('배치점수 계산기'!M$10,$D227,0)</f>
        <v>표점</v>
      </c>
      <c r="X227" s="184" t="str">
        <f ca="1">OFFSET('배치점수 계산기'!N$10,$D227,0)</f>
        <v>변표</v>
      </c>
      <c r="Y227" s="188">
        <f ca="1">OFFSET(환산공식!FW$15,$F227,0)</f>
        <v>0.35</v>
      </c>
      <c r="Z227" s="20">
        <f ca="1">OFFSET(환산공식!FX$15,$F227,0)</f>
        <v>0.35</v>
      </c>
      <c r="AA227" s="179">
        <f ca="1">OFFSET(환산공식!FY$15,$F227,0)</f>
        <v>0.3</v>
      </c>
      <c r="AC227"/>
      <c r="AD227">
        <f t="shared" ca="1" si="8"/>
        <v>6</v>
      </c>
      <c r="AE227"/>
    </row>
    <row r="228" spans="1:31" s="3" customFormat="1">
      <c r="A228" s="198"/>
      <c r="B228" s="198"/>
      <c r="C228" s="198" t="s">
        <v>789</v>
      </c>
      <c r="D228" s="195">
        <v>278</v>
      </c>
      <c r="E228" s="195">
        <v>35</v>
      </c>
      <c r="F228" s="195">
        <v>35</v>
      </c>
      <c r="G228" s="239">
        <v>221</v>
      </c>
      <c r="H228" s="197" t="s">
        <v>72</v>
      </c>
      <c r="I228" s="242" t="s">
        <v>82</v>
      </c>
      <c r="J228" s="242" t="s">
        <v>9396</v>
      </c>
      <c r="K228" s="195" t="s">
        <v>71</v>
      </c>
      <c r="L228" s="20" t="str">
        <f ca="1">IF(OFFSET(환산공식!$ED$15,$F228,0)=1,"O","X")</f>
        <v>X</v>
      </c>
      <c r="M228" s="188">
        <f ca="1">IFERROR(OFFSET(환산공식!DJ$15,$F228,0),"")</f>
        <v>0</v>
      </c>
      <c r="N228" s="20" t="str">
        <f ca="1">IFERROR(CONCATENATE(ROUND(OFFSET(환산공식!DK$15,$F228,0),1),"%"),"")</f>
        <v/>
      </c>
      <c r="O228" s="20">
        <f ca="1">IFERROR(OFFSET(환산공식!DL$15,$F228,0),"")</f>
        <v>0</v>
      </c>
      <c r="P228" s="188" t="str">
        <f t="shared" ca="1" si="7"/>
        <v>3% 이하</v>
      </c>
      <c r="Q228" s="194">
        <f ca="1">IFERROR(ROUND(OFFSET(환산공식!$FG$15,$F228,0),3),"")</f>
        <v>0</v>
      </c>
      <c r="R228" s="194">
        <f ca="1">OFFSET('배치점수 계산기'!H$10,$D228,0)</f>
        <v>385.03899999999999</v>
      </c>
      <c r="S228" s="194">
        <f ca="1">OFFSET('배치점수 계산기'!I$10,$D228,0)</f>
        <v>383.36399999999998</v>
      </c>
      <c r="T228" s="194">
        <f ca="1">OFFSET('배치점수 계산기'!J$10,$D228,0)</f>
        <v>382.08100000000002</v>
      </c>
      <c r="U228" s="194">
        <f ca="1">OFFSET('배치점수 계산기'!K$10,$D228,0)</f>
        <v>381.11500000000001</v>
      </c>
      <c r="V228" s="194">
        <f ca="1">OFFSET('배치점수 계산기'!L$10,$D228,0)</f>
        <v>379.93900000000002</v>
      </c>
      <c r="W228" s="186" t="str">
        <f ca="1">OFFSET('배치점수 계산기'!M$10,$D228,0)</f>
        <v>표점</v>
      </c>
      <c r="X228" s="184" t="str">
        <f ca="1">OFFSET('배치점수 계산기'!N$10,$D228,0)</f>
        <v>변표</v>
      </c>
      <c r="Y228" s="188">
        <f ca="1">OFFSET(환산공식!FW$15,$F228,0)</f>
        <v>0.35</v>
      </c>
      <c r="Z228" s="20">
        <f ca="1">OFFSET(환산공식!FX$15,$F228,0)</f>
        <v>0.35</v>
      </c>
      <c r="AA228" s="179">
        <f ca="1">OFFSET(환산공식!FY$15,$F228,0)</f>
        <v>0.3</v>
      </c>
      <c r="AC228"/>
      <c r="AD228">
        <f t="shared" ca="1" si="8"/>
        <v>6</v>
      </c>
      <c r="AE228"/>
    </row>
    <row r="229" spans="1:31" s="3" customFormat="1">
      <c r="A229" s="198"/>
      <c r="B229" s="198"/>
      <c r="C229" s="198" t="s">
        <v>790</v>
      </c>
      <c r="D229" s="195">
        <v>279</v>
      </c>
      <c r="E229" s="195">
        <v>35</v>
      </c>
      <c r="F229" s="195">
        <v>35</v>
      </c>
      <c r="G229" s="239">
        <v>222</v>
      </c>
      <c r="H229" s="197" t="s">
        <v>72</v>
      </c>
      <c r="I229" s="242" t="s">
        <v>82</v>
      </c>
      <c r="J229" s="242" t="s">
        <v>8696</v>
      </c>
      <c r="K229" s="195" t="s">
        <v>71</v>
      </c>
      <c r="L229" s="20" t="str">
        <f ca="1">IF(OFFSET(환산공식!$ED$15,$F229,0)=1,"O","X")</f>
        <v>X</v>
      </c>
      <c r="M229" s="188">
        <f ca="1">IFERROR(OFFSET(환산공식!DJ$15,$F229,0),"")</f>
        <v>0</v>
      </c>
      <c r="N229" s="20" t="str">
        <f ca="1">IFERROR(CONCATENATE(ROUND(OFFSET(환산공식!DK$15,$F229,0),1),"%"),"")</f>
        <v/>
      </c>
      <c r="O229" s="20">
        <f ca="1">IFERROR(OFFSET(환산공식!DL$15,$F229,0),"")</f>
        <v>0</v>
      </c>
      <c r="P229" s="188" t="str">
        <f t="shared" ca="1" si="7"/>
        <v>3% 이하</v>
      </c>
      <c r="Q229" s="194">
        <f ca="1">IFERROR(ROUND(OFFSET(환산공식!$FG$15,$F229,0),3),"")</f>
        <v>0</v>
      </c>
      <c r="R229" s="194">
        <f ca="1">OFFSET('배치점수 계산기'!H$10,$D229,0)</f>
        <v>384.101</v>
      </c>
      <c r="S229" s="194">
        <f ca="1">OFFSET('배치점수 계산기'!I$10,$D229,0)</f>
        <v>383.471</v>
      </c>
      <c r="T229" s="194">
        <f ca="1">OFFSET('배치점수 계산기'!J$10,$D229,0)</f>
        <v>382.08100000000002</v>
      </c>
      <c r="U229" s="194">
        <f ca="1">OFFSET('배치점수 계산기'!K$10,$D229,0)</f>
        <v>379.93900000000002</v>
      </c>
      <c r="V229" s="194">
        <f ca="1">OFFSET('배치점수 계산기'!L$10,$D229,0)</f>
        <v>377.54399999999998</v>
      </c>
      <c r="W229" s="186" t="str">
        <f ca="1">OFFSET('배치점수 계산기'!M$10,$D229,0)</f>
        <v>표점</v>
      </c>
      <c r="X229" s="184" t="str">
        <f ca="1">OFFSET('배치점수 계산기'!N$10,$D229,0)</f>
        <v>변표</v>
      </c>
      <c r="Y229" s="188">
        <f ca="1">OFFSET(환산공식!FW$15,$F229,0)</f>
        <v>0.35</v>
      </c>
      <c r="Z229" s="20">
        <f ca="1">OFFSET(환산공식!FX$15,$F229,0)</f>
        <v>0.35</v>
      </c>
      <c r="AA229" s="179">
        <f ca="1">OFFSET(환산공식!FY$15,$F229,0)</f>
        <v>0.3</v>
      </c>
      <c r="AC229"/>
      <c r="AD229">
        <f t="shared" ca="1" si="8"/>
        <v>6</v>
      </c>
      <c r="AE229"/>
    </row>
    <row r="230" spans="1:31" s="3" customFormat="1">
      <c r="A230" s="198"/>
      <c r="B230" s="198"/>
      <c r="C230" s="198" t="s">
        <v>791</v>
      </c>
      <c r="D230" s="195">
        <v>280</v>
      </c>
      <c r="E230" s="195">
        <v>35</v>
      </c>
      <c r="F230" s="195">
        <v>35</v>
      </c>
      <c r="G230" s="239">
        <v>223</v>
      </c>
      <c r="H230" s="197" t="s">
        <v>72</v>
      </c>
      <c r="I230" s="242" t="s">
        <v>82</v>
      </c>
      <c r="J230" s="242" t="s">
        <v>9562</v>
      </c>
      <c r="K230" s="195" t="s">
        <v>71</v>
      </c>
      <c r="L230" s="20" t="str">
        <f ca="1">IF(OFFSET(환산공식!$ED$15,$F230,0)=1,"O","X")</f>
        <v>X</v>
      </c>
      <c r="M230" s="188">
        <f ca="1">IFERROR(OFFSET(환산공식!DJ$15,$F230,0),"")</f>
        <v>0</v>
      </c>
      <c r="N230" s="20" t="str">
        <f ca="1">IFERROR(CONCATENATE(ROUND(OFFSET(환산공식!DK$15,$F230,0),1),"%"),"")</f>
        <v/>
      </c>
      <c r="O230" s="20">
        <f ca="1">IFERROR(OFFSET(환산공식!DL$15,$F230,0),"")</f>
        <v>0</v>
      </c>
      <c r="P230" s="188" t="str">
        <f t="shared" ca="1" si="7"/>
        <v>3% 이하</v>
      </c>
      <c r="Q230" s="194">
        <f ca="1">IFERROR(ROUND(OFFSET(환산공식!$FG$15,$F230,0),3),"")</f>
        <v>0</v>
      </c>
      <c r="R230" s="194">
        <f ca="1">OFFSET('배치점수 계산기'!H$10,$D230,0)</f>
        <v>382.97800000000001</v>
      </c>
      <c r="S230" s="194">
        <f ca="1">OFFSET('배치점수 계산기'!I$10,$D230,0)</f>
        <v>382.59</v>
      </c>
      <c r="T230" s="194">
        <f ca="1">OFFSET('배치점수 계산기'!J$10,$D230,0)</f>
        <v>382.01</v>
      </c>
      <c r="U230" s="194">
        <f ca="1">OFFSET('배치점수 계산기'!K$10,$D230,0)</f>
        <v>380.81700000000001</v>
      </c>
      <c r="V230" s="194">
        <f ca="1">OFFSET('배치점수 계산기'!L$10,$D230,0)</f>
        <v>379.86799999999999</v>
      </c>
      <c r="W230" s="186" t="str">
        <f ca="1">OFFSET('배치점수 계산기'!M$10,$D230,0)</f>
        <v>표점</v>
      </c>
      <c r="X230" s="184" t="str">
        <f ca="1">OFFSET('배치점수 계산기'!N$10,$D230,0)</f>
        <v>변표</v>
      </c>
      <c r="Y230" s="188">
        <f ca="1">OFFSET(환산공식!FW$15,$F230,0)</f>
        <v>0.35</v>
      </c>
      <c r="Z230" s="20">
        <f ca="1">OFFSET(환산공식!FX$15,$F230,0)</f>
        <v>0.35</v>
      </c>
      <c r="AA230" s="179">
        <f ca="1">OFFSET(환산공식!FY$15,$F230,0)</f>
        <v>0.3</v>
      </c>
      <c r="AC230"/>
      <c r="AD230">
        <f t="shared" ca="1" si="8"/>
        <v>6</v>
      </c>
      <c r="AE230"/>
    </row>
    <row r="231" spans="1:31" s="3" customFormat="1">
      <c r="A231" s="198"/>
      <c r="B231" s="198"/>
      <c r="C231" s="198" t="s">
        <v>792</v>
      </c>
      <c r="D231" s="195">
        <v>281</v>
      </c>
      <c r="E231" s="195">
        <v>35</v>
      </c>
      <c r="F231" s="195">
        <v>35</v>
      </c>
      <c r="G231" s="239">
        <v>224</v>
      </c>
      <c r="H231" s="197" t="s">
        <v>72</v>
      </c>
      <c r="I231" s="242" t="s">
        <v>82</v>
      </c>
      <c r="J231" s="242" t="s">
        <v>8726</v>
      </c>
      <c r="K231" s="195" t="s">
        <v>71</v>
      </c>
      <c r="L231" s="20" t="str">
        <f ca="1">IF(OFFSET(환산공식!$ED$15,$F231,0)=1,"O","X")</f>
        <v>X</v>
      </c>
      <c r="M231" s="188">
        <f ca="1">IFERROR(OFFSET(환산공식!DJ$15,$F231,0),"")</f>
        <v>0</v>
      </c>
      <c r="N231" s="20" t="str">
        <f ca="1">IFERROR(CONCATENATE(ROUND(OFFSET(환산공식!DK$15,$F231,0),1),"%"),"")</f>
        <v/>
      </c>
      <c r="O231" s="20">
        <f ca="1">IFERROR(OFFSET(환산공식!DL$15,$F231,0),"")</f>
        <v>0</v>
      </c>
      <c r="P231" s="188" t="str">
        <f t="shared" ca="1" si="7"/>
        <v>3% 이하</v>
      </c>
      <c r="Q231" s="194">
        <f ca="1">IFERROR(ROUND(OFFSET(환산공식!$FG$15,$F231,0),3),"")</f>
        <v>0</v>
      </c>
      <c r="R231" s="194">
        <f ca="1">OFFSET('배치점수 계산기'!H$10,$D231,0)</f>
        <v>384.50099999999998</v>
      </c>
      <c r="S231" s="194">
        <f ca="1">OFFSET('배치점수 계산기'!I$10,$D231,0)</f>
        <v>383.08300000000003</v>
      </c>
      <c r="T231" s="194">
        <f ca="1">OFFSET('배치점수 계산기'!J$10,$D231,0)</f>
        <v>381.87099999999998</v>
      </c>
      <c r="U231" s="194">
        <f ca="1">OFFSET('배치점수 계산기'!K$10,$D231,0)</f>
        <v>381.11500000000001</v>
      </c>
      <c r="V231" s="194">
        <f ca="1">OFFSET('배치점수 계산기'!L$10,$D231,0)</f>
        <v>379.04899999999998</v>
      </c>
      <c r="W231" s="186" t="str">
        <f ca="1">OFFSET('배치점수 계산기'!M$10,$D231,0)</f>
        <v>표점</v>
      </c>
      <c r="X231" s="184" t="str">
        <f ca="1">OFFSET('배치점수 계산기'!N$10,$D231,0)</f>
        <v>변표</v>
      </c>
      <c r="Y231" s="188">
        <f ca="1">OFFSET(환산공식!FW$15,$F231,0)</f>
        <v>0.35</v>
      </c>
      <c r="Z231" s="20">
        <f ca="1">OFFSET(환산공식!FX$15,$F231,0)</f>
        <v>0.35</v>
      </c>
      <c r="AA231" s="179">
        <f ca="1">OFFSET(환산공식!FY$15,$F231,0)</f>
        <v>0.3</v>
      </c>
      <c r="AC231"/>
      <c r="AD231">
        <f t="shared" ca="1" si="8"/>
        <v>6</v>
      </c>
      <c r="AE231"/>
    </row>
    <row r="232" spans="1:31" s="3" customFormat="1">
      <c r="A232" s="198"/>
      <c r="B232" s="198"/>
      <c r="C232" s="198" t="s">
        <v>793</v>
      </c>
      <c r="D232" s="195">
        <v>282</v>
      </c>
      <c r="E232" s="195">
        <v>35</v>
      </c>
      <c r="F232" s="195">
        <v>35</v>
      </c>
      <c r="G232" s="239">
        <v>225</v>
      </c>
      <c r="H232" s="197" t="s">
        <v>72</v>
      </c>
      <c r="I232" s="242" t="s">
        <v>82</v>
      </c>
      <c r="J232" s="242" t="s">
        <v>9442</v>
      </c>
      <c r="K232" s="195" t="s">
        <v>71</v>
      </c>
      <c r="L232" s="20" t="str">
        <f ca="1">IF(OFFSET(환산공식!$ED$15,$F232,0)=1,"O","X")</f>
        <v>X</v>
      </c>
      <c r="M232" s="188">
        <f ca="1">IFERROR(OFFSET(환산공식!DJ$15,$F232,0),"")</f>
        <v>0</v>
      </c>
      <c r="N232" s="20" t="str">
        <f ca="1">IFERROR(CONCATENATE(ROUND(OFFSET(환산공식!DK$15,$F232,0),1),"%"),"")</f>
        <v/>
      </c>
      <c r="O232" s="20">
        <f ca="1">IFERROR(OFFSET(환산공식!DL$15,$F232,0),"")</f>
        <v>0</v>
      </c>
      <c r="P232" s="188" t="str">
        <f t="shared" ca="1" si="7"/>
        <v>3% 이하</v>
      </c>
      <c r="Q232" s="194">
        <f ca="1">IFERROR(ROUND(OFFSET(환산공식!$FG$15,$F232,0),3),"")</f>
        <v>0</v>
      </c>
      <c r="R232" s="194">
        <f ca="1">OFFSET('배치점수 계산기'!H$10,$D232,0)</f>
        <v>386.44</v>
      </c>
      <c r="S232" s="194">
        <f ca="1">OFFSET('배치점수 계산기'!I$10,$D232,0)</f>
        <v>384.32499999999999</v>
      </c>
      <c r="T232" s="194">
        <f ca="1">OFFSET('배치점수 계산기'!J$10,$D232,0)</f>
        <v>381.87099999999998</v>
      </c>
      <c r="U232" s="194">
        <f ca="1">OFFSET('배치점수 계산기'!K$10,$D232,0)</f>
        <v>380.096</v>
      </c>
      <c r="V232" s="194">
        <f ca="1">OFFSET('배치점수 계산기'!L$10,$D232,0)</f>
        <v>377.762</v>
      </c>
      <c r="W232" s="186" t="str">
        <f ca="1">OFFSET('배치점수 계산기'!M$10,$D232,0)</f>
        <v>표점</v>
      </c>
      <c r="X232" s="184" t="str">
        <f ca="1">OFFSET('배치점수 계산기'!N$10,$D232,0)</f>
        <v>변표</v>
      </c>
      <c r="Y232" s="188">
        <f ca="1">OFFSET(환산공식!FW$15,$F232,0)</f>
        <v>0.35</v>
      </c>
      <c r="Z232" s="20">
        <f ca="1">OFFSET(환산공식!FX$15,$F232,0)</f>
        <v>0.35</v>
      </c>
      <c r="AA232" s="179">
        <f ca="1">OFFSET(환산공식!FY$15,$F232,0)</f>
        <v>0.3</v>
      </c>
      <c r="AC232"/>
      <c r="AD232">
        <f t="shared" ca="1" si="8"/>
        <v>6</v>
      </c>
      <c r="AE232"/>
    </row>
    <row r="233" spans="1:31" s="3" customFormat="1">
      <c r="A233" s="198"/>
      <c r="B233" s="198"/>
      <c r="C233" s="198" t="s">
        <v>794</v>
      </c>
      <c r="D233" s="195">
        <v>283</v>
      </c>
      <c r="E233" s="195">
        <v>35</v>
      </c>
      <c r="F233" s="195">
        <v>35</v>
      </c>
      <c r="G233" s="239">
        <v>226</v>
      </c>
      <c r="H233" s="197" t="s">
        <v>72</v>
      </c>
      <c r="I233" s="242" t="s">
        <v>82</v>
      </c>
      <c r="J233" s="242" t="s">
        <v>9569</v>
      </c>
      <c r="K233" s="195" t="s">
        <v>71</v>
      </c>
      <c r="L233" s="20" t="str">
        <f ca="1">IF(OFFSET(환산공식!$ED$15,$F233,0)=1,"O","X")</f>
        <v>X</v>
      </c>
      <c r="M233" s="188">
        <f ca="1">IFERROR(OFFSET(환산공식!DJ$15,$F233,0),"")</f>
        <v>0</v>
      </c>
      <c r="N233" s="20" t="str">
        <f ca="1">IFERROR(CONCATENATE(ROUND(OFFSET(환산공식!DK$15,$F233,0),1),"%"),"")</f>
        <v/>
      </c>
      <c r="O233" s="20">
        <f ca="1">IFERROR(OFFSET(환산공식!DL$15,$F233,0),"")</f>
        <v>0</v>
      </c>
      <c r="P233" s="188" t="str">
        <f t="shared" ca="1" si="7"/>
        <v>3% 이하</v>
      </c>
      <c r="Q233" s="194">
        <f ca="1">IFERROR(ROUND(OFFSET(환산공식!$FG$15,$F233,0),3),"")</f>
        <v>0</v>
      </c>
      <c r="R233" s="194">
        <f ca="1">OFFSET('배치점수 계산기'!H$10,$D233,0)</f>
        <v>383.08300000000003</v>
      </c>
      <c r="S233" s="194">
        <f ca="1">OFFSET('배치점수 계산기'!I$10,$D233,0)</f>
        <v>382.69499999999999</v>
      </c>
      <c r="T233" s="194">
        <f ca="1">OFFSET('배치점수 계산기'!J$10,$D233,0)</f>
        <v>381.36099999999999</v>
      </c>
      <c r="U233" s="194">
        <f ca="1">OFFSET('배치점수 계산기'!K$10,$D233,0)</f>
        <v>379.47500000000002</v>
      </c>
      <c r="V233" s="194">
        <f ca="1">OFFSET('배치점수 계산기'!L$10,$D233,0)</f>
        <v>376.62</v>
      </c>
      <c r="W233" s="186" t="str">
        <f ca="1">OFFSET('배치점수 계산기'!M$10,$D233,0)</f>
        <v>표점</v>
      </c>
      <c r="X233" s="184" t="str">
        <f ca="1">OFFSET('배치점수 계산기'!N$10,$D233,0)</f>
        <v>변표</v>
      </c>
      <c r="Y233" s="188">
        <f ca="1">OFFSET(환산공식!FW$15,$F233,0)</f>
        <v>0.35</v>
      </c>
      <c r="Z233" s="20">
        <f ca="1">OFFSET(환산공식!FX$15,$F233,0)</f>
        <v>0.35</v>
      </c>
      <c r="AA233" s="179">
        <f ca="1">OFFSET(환산공식!FY$15,$F233,0)</f>
        <v>0.3</v>
      </c>
      <c r="AC233"/>
      <c r="AD233">
        <f t="shared" ca="1" si="8"/>
        <v>6</v>
      </c>
      <c r="AE233"/>
    </row>
    <row r="234" spans="1:31" s="3" customFormat="1">
      <c r="A234" s="198"/>
      <c r="B234" s="198"/>
      <c r="C234" s="198" t="s">
        <v>795</v>
      </c>
      <c r="D234" s="195">
        <v>284</v>
      </c>
      <c r="E234" s="195">
        <v>35</v>
      </c>
      <c r="F234" s="195">
        <v>35</v>
      </c>
      <c r="G234" s="239">
        <v>227</v>
      </c>
      <c r="H234" s="197" t="s">
        <v>72</v>
      </c>
      <c r="I234" s="242" t="s">
        <v>82</v>
      </c>
      <c r="J234" s="242" t="s">
        <v>8217</v>
      </c>
      <c r="K234" s="195" t="s">
        <v>71</v>
      </c>
      <c r="L234" s="20" t="str">
        <f ca="1">IF(OFFSET(환산공식!$ED$15,$F234,0)=1,"O","X")</f>
        <v>X</v>
      </c>
      <c r="M234" s="188">
        <f ca="1">IFERROR(OFFSET(환산공식!DJ$15,$F234,0),"")</f>
        <v>0</v>
      </c>
      <c r="N234" s="20" t="str">
        <f ca="1">IFERROR(CONCATENATE(ROUND(OFFSET(환산공식!DK$15,$F234,0),1),"%"),"")</f>
        <v/>
      </c>
      <c r="O234" s="20">
        <f ca="1">IFERROR(OFFSET(환산공식!DL$15,$F234,0),"")</f>
        <v>0</v>
      </c>
      <c r="P234" s="188" t="str">
        <f t="shared" ca="1" si="7"/>
        <v>3% 이하</v>
      </c>
      <c r="Q234" s="194">
        <f ca="1">IFERROR(ROUND(OFFSET(환산공식!$FG$15,$F234,0),3),"")</f>
        <v>0</v>
      </c>
      <c r="R234" s="194">
        <f ca="1">OFFSET('배치점수 계산기'!H$10,$D234,0)</f>
        <v>385.46</v>
      </c>
      <c r="S234" s="194">
        <f ca="1">OFFSET('배치점수 계산기'!I$10,$D234,0)</f>
        <v>383.08300000000003</v>
      </c>
      <c r="T234" s="194">
        <f ca="1">OFFSET('배치점수 계산기'!J$10,$D234,0)</f>
        <v>380.81700000000001</v>
      </c>
      <c r="U234" s="194">
        <f ca="1">OFFSET('배치점수 계산기'!K$10,$D234,0)</f>
        <v>379.26499999999999</v>
      </c>
      <c r="V234" s="194">
        <f ca="1">OFFSET('배치점수 계산기'!L$10,$D234,0)</f>
        <v>376.79500000000002</v>
      </c>
      <c r="W234" s="186" t="str">
        <f ca="1">OFFSET('배치점수 계산기'!M$10,$D234,0)</f>
        <v>표점</v>
      </c>
      <c r="X234" s="184" t="str">
        <f ca="1">OFFSET('배치점수 계산기'!N$10,$D234,0)</f>
        <v>변표</v>
      </c>
      <c r="Y234" s="188">
        <f ca="1">OFFSET(환산공식!FW$15,$F234,0)</f>
        <v>0.35</v>
      </c>
      <c r="Z234" s="20">
        <f ca="1">OFFSET(환산공식!FX$15,$F234,0)</f>
        <v>0.35</v>
      </c>
      <c r="AA234" s="179">
        <f ca="1">OFFSET(환산공식!FY$15,$F234,0)</f>
        <v>0.3</v>
      </c>
      <c r="AC234"/>
      <c r="AD234">
        <f t="shared" ca="1" si="8"/>
        <v>6</v>
      </c>
      <c r="AE234"/>
    </row>
    <row r="235" spans="1:31" s="3" customFormat="1">
      <c r="A235" s="198"/>
      <c r="B235" s="198"/>
      <c r="C235" s="198" t="s">
        <v>796</v>
      </c>
      <c r="D235" s="195">
        <v>285</v>
      </c>
      <c r="E235" s="195">
        <v>35</v>
      </c>
      <c r="F235" s="195">
        <v>35</v>
      </c>
      <c r="G235" s="239">
        <v>228</v>
      </c>
      <c r="H235" s="197" t="s">
        <v>72</v>
      </c>
      <c r="I235" s="242" t="s">
        <v>82</v>
      </c>
      <c r="J235" s="242" t="s">
        <v>9498</v>
      </c>
      <c r="K235" s="195" t="s">
        <v>71</v>
      </c>
      <c r="L235" s="20" t="str">
        <f ca="1">IF(OFFSET(환산공식!$ED$15,$F235,0)=1,"O","X")</f>
        <v>X</v>
      </c>
      <c r="M235" s="188">
        <f ca="1">IFERROR(OFFSET(환산공식!DJ$15,$F235,0),"")</f>
        <v>0</v>
      </c>
      <c r="N235" s="20" t="str">
        <f ca="1">IFERROR(CONCATENATE(ROUND(OFFSET(환산공식!DK$15,$F235,0),1),"%"),"")</f>
        <v/>
      </c>
      <c r="O235" s="20">
        <f ca="1">IFERROR(OFFSET(환산공식!DL$15,$F235,0),"")</f>
        <v>0</v>
      </c>
      <c r="P235" s="188" t="str">
        <f t="shared" ca="1" si="7"/>
        <v>3% 이하</v>
      </c>
      <c r="Q235" s="194">
        <f ca="1">IFERROR(ROUND(OFFSET(환산공식!$FG$15,$F235,0),3),"")</f>
        <v>0</v>
      </c>
      <c r="R235" s="194">
        <f ca="1">OFFSET('배치점수 계산기'!H$10,$D235,0)</f>
        <v>385.46</v>
      </c>
      <c r="S235" s="194">
        <f ca="1">OFFSET('배치점수 계산기'!I$10,$D235,0)</f>
        <v>383.08300000000003</v>
      </c>
      <c r="T235" s="194">
        <f ca="1">OFFSET('배치점수 계산기'!J$10,$D235,0)</f>
        <v>380.81700000000001</v>
      </c>
      <c r="U235" s="194">
        <f ca="1">OFFSET('배치점수 계산기'!K$10,$D235,0)</f>
        <v>379.26499999999999</v>
      </c>
      <c r="V235" s="194">
        <f ca="1">OFFSET('배치점수 계산기'!L$10,$D235,0)</f>
        <v>376.79500000000002</v>
      </c>
      <c r="W235" s="186" t="str">
        <f ca="1">OFFSET('배치점수 계산기'!M$10,$D235,0)</f>
        <v>표점</v>
      </c>
      <c r="X235" s="184" t="str">
        <f ca="1">OFFSET('배치점수 계산기'!N$10,$D235,0)</f>
        <v>변표</v>
      </c>
      <c r="Y235" s="188">
        <f ca="1">OFFSET(환산공식!FW$15,$F235,0)</f>
        <v>0.35</v>
      </c>
      <c r="Z235" s="20">
        <f ca="1">OFFSET(환산공식!FX$15,$F235,0)</f>
        <v>0.35</v>
      </c>
      <c r="AA235" s="179">
        <f ca="1">OFFSET(환산공식!FY$15,$F235,0)</f>
        <v>0.3</v>
      </c>
      <c r="AC235"/>
      <c r="AD235">
        <f t="shared" ca="1" si="8"/>
        <v>6</v>
      </c>
      <c r="AE235"/>
    </row>
    <row r="236" spans="1:31" s="3" customFormat="1">
      <c r="A236" s="198"/>
      <c r="B236" s="198"/>
      <c r="C236" s="198" t="s">
        <v>797</v>
      </c>
      <c r="D236" s="195">
        <v>286</v>
      </c>
      <c r="E236" s="195">
        <v>35</v>
      </c>
      <c r="F236" s="195">
        <v>35</v>
      </c>
      <c r="G236" s="239">
        <v>229</v>
      </c>
      <c r="H236" s="197" t="s">
        <v>72</v>
      </c>
      <c r="I236" s="242" t="s">
        <v>82</v>
      </c>
      <c r="J236" s="242" t="s">
        <v>9603</v>
      </c>
      <c r="K236" s="195" t="s">
        <v>71</v>
      </c>
      <c r="L236" s="20" t="str">
        <f ca="1">IF(OFFSET(환산공식!$ED$15,$F236,0)=1,"O","X")</f>
        <v>X</v>
      </c>
      <c r="M236" s="188">
        <f ca="1">IFERROR(OFFSET(환산공식!DJ$15,$F236,0),"")</f>
        <v>0</v>
      </c>
      <c r="N236" s="20" t="str">
        <f ca="1">IFERROR(CONCATENATE(ROUND(OFFSET(환산공식!DK$15,$F236,0),1),"%"),"")</f>
        <v/>
      </c>
      <c r="O236" s="20">
        <f ca="1">IFERROR(OFFSET(환산공식!DL$15,$F236,0),"")</f>
        <v>0</v>
      </c>
      <c r="P236" s="188" t="str">
        <f t="shared" ca="1" si="7"/>
        <v>3% 이하</v>
      </c>
      <c r="Q236" s="194">
        <f ca="1">IFERROR(ROUND(OFFSET(환산공식!$FG$15,$F236,0),3),"")</f>
        <v>0</v>
      </c>
      <c r="R236" s="194">
        <f ca="1">OFFSET('배치점수 계산기'!H$10,$D236,0)</f>
        <v>384.82900000000001</v>
      </c>
      <c r="S236" s="194">
        <f ca="1">OFFSET('배치점수 계산기'!I$10,$D236,0)</f>
        <v>382.69499999999999</v>
      </c>
      <c r="T236" s="194">
        <f ca="1">OFFSET('배치점수 계산기'!J$10,$D236,0)</f>
        <v>380.48099999999999</v>
      </c>
      <c r="U236" s="194">
        <f ca="1">OFFSET('배치점수 계산기'!K$10,$D236,0)</f>
        <v>378.83100000000002</v>
      </c>
      <c r="V236" s="194">
        <f ca="1">OFFSET('배치점수 계산기'!L$10,$D236,0)</f>
        <v>376.31799999999998</v>
      </c>
      <c r="W236" s="186" t="str">
        <f ca="1">OFFSET('배치점수 계산기'!M$10,$D236,0)</f>
        <v>표점</v>
      </c>
      <c r="X236" s="184" t="str">
        <f ca="1">OFFSET('배치점수 계산기'!N$10,$D236,0)</f>
        <v>변표</v>
      </c>
      <c r="Y236" s="188">
        <f ca="1">OFFSET(환산공식!FW$15,$F236,0)</f>
        <v>0.35</v>
      </c>
      <c r="Z236" s="20">
        <f ca="1">OFFSET(환산공식!FX$15,$F236,0)</f>
        <v>0.35</v>
      </c>
      <c r="AA236" s="179">
        <f ca="1">OFFSET(환산공식!FY$15,$F236,0)</f>
        <v>0.3</v>
      </c>
      <c r="AC236"/>
      <c r="AD236">
        <f t="shared" ca="1" si="8"/>
        <v>6</v>
      </c>
      <c r="AE236"/>
    </row>
    <row r="237" spans="1:31" s="3" customFormat="1">
      <c r="A237" s="198"/>
      <c r="B237" s="198"/>
      <c r="C237" s="198" t="s">
        <v>798</v>
      </c>
      <c r="D237" s="195">
        <v>287</v>
      </c>
      <c r="E237" s="195">
        <v>34</v>
      </c>
      <c r="F237" s="195">
        <v>34</v>
      </c>
      <c r="G237" s="239">
        <v>230</v>
      </c>
      <c r="H237" s="197" t="s">
        <v>72</v>
      </c>
      <c r="I237" s="242" t="s">
        <v>82</v>
      </c>
      <c r="J237" s="242" t="s">
        <v>9707</v>
      </c>
      <c r="K237" s="195" t="s">
        <v>71</v>
      </c>
      <c r="L237" s="20" t="str">
        <f ca="1">IF(OFFSET(환산공식!$ED$15,$F237,0)=1,"O","X")</f>
        <v>X</v>
      </c>
      <c r="M237" s="188">
        <f ca="1">IFERROR(OFFSET(환산공식!DJ$15,$F237,0),"")</f>
        <v>0</v>
      </c>
      <c r="N237" s="20" t="str">
        <f ca="1">IFERROR(CONCATENATE(ROUND(OFFSET(환산공식!DK$15,$F237,0),1),"%"),"")</f>
        <v/>
      </c>
      <c r="O237" s="20">
        <f ca="1">IFERROR(OFFSET(환산공식!DL$15,$F237,0),"")</f>
        <v>0</v>
      </c>
      <c r="P237" s="188" t="str">
        <f t="shared" ca="1" si="7"/>
        <v>3% 이하</v>
      </c>
      <c r="Q237" s="194">
        <f ca="1">IFERROR(ROUND(OFFSET(환산공식!$FG$15,$F237,0),3),"")</f>
        <v>0</v>
      </c>
      <c r="R237" s="194">
        <f ca="1">OFFSET('배치점수 계산기'!H$10,$D237,0)</f>
        <v>385.46899999999999</v>
      </c>
      <c r="S237" s="194">
        <f ca="1">OFFSET('배치점수 계산기'!I$10,$D237,0)</f>
        <v>383.505</v>
      </c>
      <c r="T237" s="194">
        <f ca="1">OFFSET('배치점수 계산기'!J$10,$D237,0)</f>
        <v>381.10300000000001</v>
      </c>
      <c r="U237" s="194">
        <f ca="1">OFFSET('배치점수 계산기'!K$10,$D237,0)</f>
        <v>379.31099999999998</v>
      </c>
      <c r="V237" s="194">
        <f ca="1">OFFSET('배치점수 계산기'!L$10,$D237,0)</f>
        <v>375.40199999999999</v>
      </c>
      <c r="W237" s="186" t="str">
        <f ca="1">OFFSET('배치점수 계산기'!M$10,$D237,0)</f>
        <v>표점</v>
      </c>
      <c r="X237" s="184" t="str">
        <f ca="1">OFFSET('배치점수 계산기'!N$10,$D237,0)</f>
        <v>변표</v>
      </c>
      <c r="Y237" s="188">
        <f ca="1">OFFSET(환산공식!FW$15,$F237,0)</f>
        <v>0.4</v>
      </c>
      <c r="Z237" s="20">
        <f ca="1">OFFSET(환산공식!FX$15,$F237,0)</f>
        <v>0.25</v>
      </c>
      <c r="AA237" s="179">
        <f ca="1">OFFSET(환산공식!FY$15,$F237,0)</f>
        <v>0.35</v>
      </c>
      <c r="AC237"/>
      <c r="AD237">
        <f t="shared" ca="1" si="8"/>
        <v>6</v>
      </c>
      <c r="AE237"/>
    </row>
    <row r="238" spans="1:31" s="3" customFormat="1">
      <c r="A238" s="198"/>
      <c r="B238" s="198"/>
      <c r="C238" s="198" t="s">
        <v>799</v>
      </c>
      <c r="D238" s="195">
        <v>288</v>
      </c>
      <c r="E238" s="195">
        <v>34</v>
      </c>
      <c r="F238" s="195">
        <v>34</v>
      </c>
      <c r="G238" s="239">
        <v>231</v>
      </c>
      <c r="H238" s="197" t="s">
        <v>72</v>
      </c>
      <c r="I238" s="242" t="s">
        <v>82</v>
      </c>
      <c r="J238" s="242" t="s">
        <v>503</v>
      </c>
      <c r="K238" s="195" t="s">
        <v>71</v>
      </c>
      <c r="L238" s="20" t="str">
        <f ca="1">IF(OFFSET(환산공식!$ED$15,$F238,0)=1,"O","X")</f>
        <v>X</v>
      </c>
      <c r="M238" s="188">
        <f ca="1">IFERROR(OFFSET(환산공식!DJ$15,$F238,0),"")</f>
        <v>0</v>
      </c>
      <c r="N238" s="20" t="str">
        <f ca="1">IFERROR(CONCATENATE(ROUND(OFFSET(환산공식!DK$15,$F238,0),1),"%"),"")</f>
        <v/>
      </c>
      <c r="O238" s="20">
        <f ca="1">IFERROR(OFFSET(환산공식!DL$15,$F238,0),"")</f>
        <v>0</v>
      </c>
      <c r="P238" s="188" t="str">
        <f t="shared" ca="1" si="7"/>
        <v>3% 이하</v>
      </c>
      <c r="Q238" s="194">
        <f ca="1">IFERROR(ROUND(OFFSET(환산공식!$FG$15,$F238,0),3),"")</f>
        <v>0</v>
      </c>
      <c r="R238" s="194">
        <f ca="1">OFFSET('배치점수 계산기'!H$10,$D238,0)</f>
        <v>383.82</v>
      </c>
      <c r="S238" s="194">
        <f ca="1">OFFSET('배치점수 계산기'!I$10,$D238,0)</f>
        <v>382.161</v>
      </c>
      <c r="T238" s="194">
        <f ca="1">OFFSET('배치점수 계산기'!J$10,$D238,0)</f>
        <v>379.786</v>
      </c>
      <c r="U238" s="194">
        <f ca="1">OFFSET('배치점수 계산기'!K$10,$D238,0)</f>
        <v>377.755</v>
      </c>
      <c r="V238" s="194">
        <f ca="1">OFFSET('배치점수 계산기'!L$10,$D238,0)</f>
        <v>373.74200000000002</v>
      </c>
      <c r="W238" s="186" t="str">
        <f ca="1">OFFSET('배치점수 계산기'!M$10,$D238,0)</f>
        <v>표점</v>
      </c>
      <c r="X238" s="184" t="str">
        <f ca="1">OFFSET('배치점수 계산기'!N$10,$D238,0)</f>
        <v>변표</v>
      </c>
      <c r="Y238" s="188">
        <f ca="1">OFFSET(환산공식!FW$15,$F238,0)</f>
        <v>0.4</v>
      </c>
      <c r="Z238" s="20">
        <f ca="1">OFFSET(환산공식!FX$15,$F238,0)</f>
        <v>0.25</v>
      </c>
      <c r="AA238" s="179">
        <f ca="1">OFFSET(환산공식!FY$15,$F238,0)</f>
        <v>0.35</v>
      </c>
      <c r="AC238"/>
      <c r="AD238">
        <f t="shared" ca="1" si="8"/>
        <v>6</v>
      </c>
      <c r="AE238"/>
    </row>
    <row r="239" spans="1:31" s="3" customFormat="1">
      <c r="A239" s="198"/>
      <c r="B239" s="198"/>
      <c r="C239" s="198" t="s">
        <v>800</v>
      </c>
      <c r="D239" s="195">
        <v>289</v>
      </c>
      <c r="E239" s="195">
        <v>34</v>
      </c>
      <c r="F239" s="195">
        <v>34</v>
      </c>
      <c r="G239" s="239">
        <v>232</v>
      </c>
      <c r="H239" s="197" t="s">
        <v>72</v>
      </c>
      <c r="I239" s="242" t="s">
        <v>82</v>
      </c>
      <c r="J239" s="242" t="s">
        <v>9854</v>
      </c>
      <c r="K239" s="195" t="s">
        <v>71</v>
      </c>
      <c r="L239" s="20" t="str">
        <f ca="1">IF(OFFSET(환산공식!$ED$15,$F239,0)=1,"O","X")</f>
        <v>X</v>
      </c>
      <c r="M239" s="188">
        <f ca="1">IFERROR(OFFSET(환산공식!DJ$15,$F239,0),"")</f>
        <v>0</v>
      </c>
      <c r="N239" s="20" t="str">
        <f ca="1">IFERROR(CONCATENATE(ROUND(OFFSET(환산공식!DK$15,$F239,0),1),"%"),"")</f>
        <v/>
      </c>
      <c r="O239" s="20">
        <f ca="1">IFERROR(OFFSET(환산공식!DL$15,$F239,0),"")</f>
        <v>0</v>
      </c>
      <c r="P239" s="188" t="str">
        <f t="shared" ca="1" si="7"/>
        <v>3% 이하</v>
      </c>
      <c r="Q239" s="194">
        <f ca="1">IFERROR(ROUND(OFFSET(환산공식!$FG$15,$F239,0),3),"")</f>
        <v>0</v>
      </c>
      <c r="R239" s="194">
        <f ca="1">OFFSET('배치점수 계산기'!H$10,$D239,0)</f>
        <v>383.82</v>
      </c>
      <c r="S239" s="194">
        <f ca="1">OFFSET('배치점수 계산기'!I$10,$D239,0)</f>
        <v>381.82499999999999</v>
      </c>
      <c r="T239" s="194">
        <f ca="1">OFFSET('배치점수 계산기'!J$10,$D239,0)</f>
        <v>379.666</v>
      </c>
      <c r="U239" s="194">
        <f ca="1">OFFSET('배치점수 계산기'!K$10,$D239,0)</f>
        <v>377.68900000000002</v>
      </c>
      <c r="V239" s="194">
        <f ca="1">OFFSET('배치점수 계산기'!L$10,$D239,0)</f>
        <v>373.55599999999998</v>
      </c>
      <c r="W239" s="186" t="str">
        <f ca="1">OFFSET('배치점수 계산기'!M$10,$D239,0)</f>
        <v>표점</v>
      </c>
      <c r="X239" s="184" t="str">
        <f ca="1">OFFSET('배치점수 계산기'!N$10,$D239,0)</f>
        <v>변표</v>
      </c>
      <c r="Y239" s="188">
        <f ca="1">OFFSET(환산공식!FW$15,$F239,0)</f>
        <v>0.4</v>
      </c>
      <c r="Z239" s="20">
        <f ca="1">OFFSET(환산공식!FX$15,$F239,0)</f>
        <v>0.25</v>
      </c>
      <c r="AA239" s="179">
        <f ca="1">OFFSET(환산공식!FY$15,$F239,0)</f>
        <v>0.35</v>
      </c>
      <c r="AC239"/>
      <c r="AD239">
        <f t="shared" ca="1" si="8"/>
        <v>6</v>
      </c>
      <c r="AE239"/>
    </row>
    <row r="240" spans="1:31" s="3" customFormat="1">
      <c r="A240" s="198"/>
      <c r="B240" s="198"/>
      <c r="C240" s="198" t="s">
        <v>801</v>
      </c>
      <c r="D240" s="195">
        <v>290</v>
      </c>
      <c r="E240" s="195">
        <v>34</v>
      </c>
      <c r="F240" s="195">
        <v>34</v>
      </c>
      <c r="G240" s="239">
        <v>233</v>
      </c>
      <c r="H240" s="197" t="s">
        <v>72</v>
      </c>
      <c r="I240" s="242" t="s">
        <v>82</v>
      </c>
      <c r="J240" s="242" t="s">
        <v>9990</v>
      </c>
      <c r="K240" s="195" t="s">
        <v>71</v>
      </c>
      <c r="L240" s="20" t="str">
        <f ca="1">IF(OFFSET(환산공식!$ED$15,$F240,0)=1,"O","X")</f>
        <v>X</v>
      </c>
      <c r="M240" s="188">
        <f ca="1">IFERROR(OFFSET(환산공식!DJ$15,$F240,0),"")</f>
        <v>0</v>
      </c>
      <c r="N240" s="20" t="str">
        <f ca="1">IFERROR(CONCATENATE(ROUND(OFFSET(환산공식!DK$15,$F240,0),1),"%"),"")</f>
        <v/>
      </c>
      <c r="O240" s="20">
        <f ca="1">IFERROR(OFFSET(환산공식!DL$15,$F240,0),"")</f>
        <v>0</v>
      </c>
      <c r="P240" s="188" t="str">
        <f t="shared" ca="1" si="7"/>
        <v>3% 이하</v>
      </c>
      <c r="Q240" s="194">
        <f ca="1">IFERROR(ROUND(OFFSET(환산공식!$FG$15,$F240,0),3),"")</f>
        <v>0</v>
      </c>
      <c r="R240" s="194">
        <f ca="1">OFFSET('배치점수 계산기'!H$10,$D240,0)</f>
        <v>382.89699999999999</v>
      </c>
      <c r="S240" s="194">
        <f ca="1">OFFSET('배치점수 계산기'!I$10,$D240,0)</f>
        <v>381.02600000000001</v>
      </c>
      <c r="T240" s="194">
        <f ca="1">OFFSET('배치점수 계산기'!J$10,$D240,0)</f>
        <v>378.59399999999999</v>
      </c>
      <c r="U240" s="194">
        <f ca="1">OFFSET('배치점수 계산기'!K$10,$D240,0)</f>
        <v>376.53399999999999</v>
      </c>
      <c r="V240" s="194">
        <f ca="1">OFFSET('배치점수 계산기'!L$10,$D240,0)</f>
        <v>372.38799999999998</v>
      </c>
      <c r="W240" s="186" t="str">
        <f ca="1">OFFSET('배치점수 계산기'!M$10,$D240,0)</f>
        <v>표점</v>
      </c>
      <c r="X240" s="184" t="str">
        <f ca="1">OFFSET('배치점수 계산기'!N$10,$D240,0)</f>
        <v>변표</v>
      </c>
      <c r="Y240" s="188">
        <f ca="1">OFFSET(환산공식!FW$15,$F240,0)</f>
        <v>0.4</v>
      </c>
      <c r="Z240" s="20">
        <f ca="1">OFFSET(환산공식!FX$15,$F240,0)</f>
        <v>0.25</v>
      </c>
      <c r="AA240" s="179">
        <f ca="1">OFFSET(환산공식!FY$15,$F240,0)</f>
        <v>0.35</v>
      </c>
      <c r="AC240"/>
      <c r="AD240">
        <f t="shared" ca="1" si="8"/>
        <v>6</v>
      </c>
      <c r="AE240"/>
    </row>
    <row r="241" spans="1:31" s="3" customFormat="1">
      <c r="A241" s="198"/>
      <c r="B241" s="198"/>
      <c r="C241" s="198" t="s">
        <v>802</v>
      </c>
      <c r="D241" s="195">
        <v>291</v>
      </c>
      <c r="E241" s="195">
        <v>34</v>
      </c>
      <c r="F241" s="195">
        <v>34</v>
      </c>
      <c r="G241" s="239">
        <v>234</v>
      </c>
      <c r="H241" s="197" t="s">
        <v>72</v>
      </c>
      <c r="I241" s="242" t="s">
        <v>82</v>
      </c>
      <c r="J241" s="242" t="s">
        <v>10011</v>
      </c>
      <c r="K241" s="195" t="s">
        <v>71</v>
      </c>
      <c r="L241" s="20" t="str">
        <f ca="1">IF(OFFSET(환산공식!$ED$15,$F241,0)=1,"O","X")</f>
        <v>X</v>
      </c>
      <c r="M241" s="188">
        <f ca="1">IFERROR(OFFSET(환산공식!DJ$15,$F241,0),"")</f>
        <v>0</v>
      </c>
      <c r="N241" s="20" t="str">
        <f ca="1">IFERROR(CONCATENATE(ROUND(OFFSET(환산공식!DK$15,$F241,0),1),"%"),"")</f>
        <v/>
      </c>
      <c r="O241" s="20">
        <f ca="1">IFERROR(OFFSET(환산공식!DL$15,$F241,0),"")</f>
        <v>0</v>
      </c>
      <c r="P241" s="188" t="str">
        <f t="shared" ca="1" si="7"/>
        <v>3% 이하</v>
      </c>
      <c r="Q241" s="194">
        <f ca="1">IFERROR(ROUND(OFFSET(환산공식!$FG$15,$F241,0),3),"")</f>
        <v>0</v>
      </c>
      <c r="R241" s="194">
        <f ca="1">OFFSET('배치점수 계산기'!H$10,$D241,0)</f>
        <v>382.541</v>
      </c>
      <c r="S241" s="194">
        <f ca="1">OFFSET('배치점수 계산기'!I$10,$D241,0)</f>
        <v>380.84</v>
      </c>
      <c r="T241" s="194">
        <f ca="1">OFFSET('배치점수 계산기'!J$10,$D241,0)</f>
        <v>378.33300000000003</v>
      </c>
      <c r="U241" s="194">
        <f ca="1">OFFSET('배치점수 계산기'!K$10,$D241,0)</f>
        <v>376.339</v>
      </c>
      <c r="V241" s="194">
        <f ca="1">OFFSET('배치점수 계산기'!L$10,$D241,0)</f>
        <v>372.19299999999998</v>
      </c>
      <c r="W241" s="186" t="str">
        <f ca="1">OFFSET('배치점수 계산기'!M$10,$D241,0)</f>
        <v>표점</v>
      </c>
      <c r="X241" s="184" t="str">
        <f ca="1">OFFSET('배치점수 계산기'!N$10,$D241,0)</f>
        <v>변표</v>
      </c>
      <c r="Y241" s="188">
        <f ca="1">OFFSET(환산공식!FW$15,$F241,0)</f>
        <v>0.4</v>
      </c>
      <c r="Z241" s="20">
        <f ca="1">OFFSET(환산공식!FX$15,$F241,0)</f>
        <v>0.25</v>
      </c>
      <c r="AA241" s="179">
        <f ca="1">OFFSET(환산공식!FY$15,$F241,0)</f>
        <v>0.35</v>
      </c>
      <c r="AC241"/>
      <c r="AD241">
        <f t="shared" ca="1" si="8"/>
        <v>6</v>
      </c>
      <c r="AE241"/>
    </row>
    <row r="242" spans="1:31" s="3" customFormat="1">
      <c r="A242" s="198"/>
      <c r="B242" s="198"/>
      <c r="C242" s="198" t="s">
        <v>803</v>
      </c>
      <c r="D242" s="195">
        <v>292</v>
      </c>
      <c r="E242" s="195">
        <v>34</v>
      </c>
      <c r="F242" s="195">
        <v>34</v>
      </c>
      <c r="G242" s="239">
        <v>235</v>
      </c>
      <c r="H242" s="197" t="s">
        <v>72</v>
      </c>
      <c r="I242" s="242" t="s">
        <v>82</v>
      </c>
      <c r="J242" s="242" t="s">
        <v>10038</v>
      </c>
      <c r="K242" s="195" t="s">
        <v>71</v>
      </c>
      <c r="L242" s="20" t="str">
        <f ca="1">IF(OFFSET(환산공식!$ED$15,$F242,0)=1,"O","X")</f>
        <v>X</v>
      </c>
      <c r="M242" s="188">
        <f ca="1">IFERROR(OFFSET(환산공식!DJ$15,$F242,0),"")</f>
        <v>0</v>
      </c>
      <c r="N242" s="20" t="str">
        <f ca="1">IFERROR(CONCATENATE(ROUND(OFFSET(환산공식!DK$15,$F242,0),1),"%"),"")</f>
        <v/>
      </c>
      <c r="O242" s="20">
        <f ca="1">IFERROR(OFFSET(환산공식!DL$15,$F242,0),"")</f>
        <v>0</v>
      </c>
      <c r="P242" s="188" t="str">
        <f t="shared" ca="1" si="7"/>
        <v>3% 이하</v>
      </c>
      <c r="Q242" s="194">
        <f ca="1">IFERROR(ROUND(OFFSET(환산공식!$FG$15,$F242,0),3),"")</f>
        <v>0</v>
      </c>
      <c r="R242" s="194">
        <f ca="1">OFFSET('배치점수 계산기'!H$10,$D242,0)</f>
        <v>382.42099999999999</v>
      </c>
      <c r="S242" s="194">
        <f ca="1">OFFSET('배치점수 계산기'!I$10,$D242,0)</f>
        <v>380.76499999999999</v>
      </c>
      <c r="T242" s="194">
        <f ca="1">OFFSET('배치점수 계산기'!J$10,$D242,0)</f>
        <v>378.14699999999999</v>
      </c>
      <c r="U242" s="194">
        <f ca="1">OFFSET('배치점수 계산기'!K$10,$D242,0)</f>
        <v>376.05799999999999</v>
      </c>
      <c r="V242" s="194">
        <f ca="1">OFFSET('배치점수 계산기'!L$10,$D242,0)</f>
        <v>372.00700000000001</v>
      </c>
      <c r="W242" s="186" t="str">
        <f ca="1">OFFSET('배치점수 계산기'!M$10,$D242,0)</f>
        <v>표점</v>
      </c>
      <c r="X242" s="184" t="str">
        <f ca="1">OFFSET('배치점수 계산기'!N$10,$D242,0)</f>
        <v>변표</v>
      </c>
      <c r="Y242" s="188">
        <f ca="1">OFFSET(환산공식!FW$15,$F242,0)</f>
        <v>0.4</v>
      </c>
      <c r="Z242" s="20">
        <f ca="1">OFFSET(환산공식!FX$15,$F242,0)</f>
        <v>0.25</v>
      </c>
      <c r="AA242" s="179">
        <f ca="1">OFFSET(환산공식!FY$15,$F242,0)</f>
        <v>0.35</v>
      </c>
      <c r="AC242"/>
      <c r="AD242">
        <f t="shared" ca="1" si="8"/>
        <v>6</v>
      </c>
      <c r="AE242"/>
    </row>
    <row r="243" spans="1:31" s="3" customFormat="1">
      <c r="A243" s="198"/>
      <c r="B243" s="198"/>
      <c r="C243" s="198" t="s">
        <v>804</v>
      </c>
      <c r="D243" s="195">
        <v>293</v>
      </c>
      <c r="E243" s="195">
        <v>34</v>
      </c>
      <c r="F243" s="195">
        <v>34</v>
      </c>
      <c r="G243" s="239">
        <v>236</v>
      </c>
      <c r="H243" s="197" t="s">
        <v>72</v>
      </c>
      <c r="I243" s="242" t="s">
        <v>82</v>
      </c>
      <c r="J243" s="242" t="s">
        <v>10037</v>
      </c>
      <c r="K243" s="195" t="s">
        <v>71</v>
      </c>
      <c r="L243" s="20" t="str">
        <f ca="1">IF(OFFSET(환산공식!$ED$15,$F243,0)=1,"O","X")</f>
        <v>X</v>
      </c>
      <c r="M243" s="188">
        <f ca="1">IFERROR(OFFSET(환산공식!DJ$15,$F243,0),"")</f>
        <v>0</v>
      </c>
      <c r="N243" s="20" t="str">
        <f ca="1">IFERROR(CONCATENATE(ROUND(OFFSET(환산공식!DK$15,$F243,0),1),"%"),"")</f>
        <v/>
      </c>
      <c r="O243" s="20">
        <f ca="1">IFERROR(OFFSET(환산공식!DL$15,$F243,0),"")</f>
        <v>0</v>
      </c>
      <c r="P243" s="188" t="str">
        <f t="shared" ca="1" si="7"/>
        <v>3% 이하</v>
      </c>
      <c r="Q243" s="194">
        <f ca="1">IFERROR(ROUND(OFFSET(환산공식!$FG$15,$F243,0),3),"")</f>
        <v>0</v>
      </c>
      <c r="R243" s="194">
        <f ca="1">OFFSET('배치점수 계산기'!H$10,$D243,0)</f>
        <v>382.42099999999999</v>
      </c>
      <c r="S243" s="194">
        <f ca="1">OFFSET('배치점수 계산기'!I$10,$D243,0)</f>
        <v>380.76499999999999</v>
      </c>
      <c r="T243" s="194">
        <f ca="1">OFFSET('배치점수 계산기'!J$10,$D243,0)</f>
        <v>378.14699999999999</v>
      </c>
      <c r="U243" s="194">
        <f ca="1">OFFSET('배치점수 계산기'!K$10,$D243,0)</f>
        <v>376.05799999999999</v>
      </c>
      <c r="V243" s="194">
        <f ca="1">OFFSET('배치점수 계산기'!L$10,$D243,0)</f>
        <v>372.00700000000001</v>
      </c>
      <c r="W243" s="186" t="str">
        <f ca="1">OFFSET('배치점수 계산기'!M$10,$D243,0)</f>
        <v>표점</v>
      </c>
      <c r="X243" s="184" t="str">
        <f ca="1">OFFSET('배치점수 계산기'!N$10,$D243,0)</f>
        <v>변표</v>
      </c>
      <c r="Y243" s="188">
        <f ca="1">OFFSET(환산공식!FW$15,$F243,0)</f>
        <v>0.4</v>
      </c>
      <c r="Z243" s="20">
        <f ca="1">OFFSET(환산공식!FX$15,$F243,0)</f>
        <v>0.25</v>
      </c>
      <c r="AA243" s="179">
        <f ca="1">OFFSET(환산공식!FY$15,$F243,0)</f>
        <v>0.35</v>
      </c>
      <c r="AC243"/>
      <c r="AD243">
        <f t="shared" ca="1" si="8"/>
        <v>6</v>
      </c>
      <c r="AE243"/>
    </row>
    <row r="244" spans="1:31" s="3" customFormat="1">
      <c r="A244" s="198"/>
      <c r="B244" s="198"/>
      <c r="C244" s="198" t="s">
        <v>805</v>
      </c>
      <c r="D244" s="195">
        <v>294</v>
      </c>
      <c r="E244" s="195">
        <v>42</v>
      </c>
      <c r="F244" s="195">
        <v>42</v>
      </c>
      <c r="G244" s="239">
        <v>237</v>
      </c>
      <c r="H244" s="197" t="s">
        <v>72</v>
      </c>
      <c r="I244" s="242" t="s">
        <v>83</v>
      </c>
      <c r="J244" s="242" t="s">
        <v>9103</v>
      </c>
      <c r="K244" s="195" t="s">
        <v>70</v>
      </c>
      <c r="L244" s="20" t="str">
        <f ca="1">IF(OFFSET(환산공식!$ED$15,$F244,0)=1,"O","X")</f>
        <v>X</v>
      </c>
      <c r="M244" s="188">
        <f ca="1">IFERROR(OFFSET(환산공식!DJ$15,$F244,0),"")</f>
        <v>200</v>
      </c>
      <c r="N244" s="20" t="str">
        <f ca="1">IFERROR(CONCATENATE(ROUND(OFFSET(환산공식!DK$15,$F244,0),1),"%"),"")</f>
        <v>100%</v>
      </c>
      <c r="O244" s="20">
        <f ca="1">IFERROR(OFFSET(환산공식!DL$15,$F244,0),"")</f>
        <v>0</v>
      </c>
      <c r="P244" s="188" t="str">
        <f t="shared" ca="1" si="7"/>
        <v>3% 이하</v>
      </c>
      <c r="Q244" s="194">
        <f ca="1">IFERROR(ROUND(OFFSET(환산공식!$FG$15,$F244,0),3),"")</f>
        <v>0</v>
      </c>
      <c r="R244" s="194">
        <f ca="1">OFFSET('배치점수 계산기'!H$10,$D244,0)</f>
        <v>924.13499999999999</v>
      </c>
      <c r="S244" s="194">
        <f ca="1">OFFSET('배치점수 계산기'!I$10,$D244,0)</f>
        <v>921.68600000000004</v>
      </c>
      <c r="T244" s="194">
        <f ca="1">OFFSET('배치점수 계산기'!J$10,$D244,0)</f>
        <v>919.43600000000004</v>
      </c>
      <c r="U244" s="194">
        <f ca="1">OFFSET('배치점수 계산기'!K$10,$D244,0)</f>
        <v>915.96299999999997</v>
      </c>
      <c r="V244" s="194">
        <f ca="1">OFFSET('배치점수 계산기'!L$10,$D244,0)</f>
        <v>910.87400000000002</v>
      </c>
      <c r="W244" s="186" t="str">
        <f ca="1">OFFSET('배치점수 계산기'!M$10,$D244,0)</f>
        <v>표점/만점</v>
      </c>
      <c r="X244" s="184" t="str">
        <f ca="1">OFFSET('배치점수 계산기'!N$10,$D244,0)</f>
        <v>변표/만점</v>
      </c>
      <c r="Y244" s="188">
        <f ca="1">OFFSET(환산공식!FW$15,$F244,0)</f>
        <v>0.44</v>
      </c>
      <c r="Z244" s="20">
        <f ca="1">OFFSET(환산공식!FX$15,$F244,0)</f>
        <v>0.31</v>
      </c>
      <c r="AA244" s="179">
        <f ca="1">OFFSET(환산공식!FY$15,$F244,0)</f>
        <v>0.25</v>
      </c>
      <c r="AC244"/>
      <c r="AD244">
        <f t="shared" ca="1" si="8"/>
        <v>6</v>
      </c>
      <c r="AE244"/>
    </row>
    <row r="245" spans="1:31" s="3" customFormat="1">
      <c r="A245" s="198"/>
      <c r="B245" s="198"/>
      <c r="C245" s="198" t="s">
        <v>806</v>
      </c>
      <c r="D245" s="195">
        <v>295</v>
      </c>
      <c r="E245" s="195">
        <v>44</v>
      </c>
      <c r="F245" s="195">
        <v>44</v>
      </c>
      <c r="G245" s="239">
        <v>238</v>
      </c>
      <c r="H245" s="197" t="s">
        <v>72</v>
      </c>
      <c r="I245" s="242" t="s">
        <v>83</v>
      </c>
      <c r="J245" s="242" t="s">
        <v>8410</v>
      </c>
      <c r="K245" s="195" t="s">
        <v>70</v>
      </c>
      <c r="L245" s="20" t="str">
        <f ca="1">IF(OFFSET(환산공식!$ED$15,$F245,0)=1,"O","X")</f>
        <v>X</v>
      </c>
      <c r="M245" s="188">
        <f ca="1">IFERROR(OFFSET(환산공식!DJ$15,$F245,0),"")</f>
        <v>100</v>
      </c>
      <c r="N245" s="20" t="str">
        <f ca="1">IFERROR(CONCATENATE(ROUND(OFFSET(환산공식!DK$15,$F245,0),1),"%"),"")</f>
        <v>100%</v>
      </c>
      <c r="O245" s="20">
        <f ca="1">IFERROR(OFFSET(환산공식!DL$15,$F245,0),"")</f>
        <v>0</v>
      </c>
      <c r="P245" s="188" t="str">
        <f t="shared" ca="1" si="7"/>
        <v>3% 이하</v>
      </c>
      <c r="Q245" s="194">
        <f ca="1">IFERROR(ROUND(OFFSET(환산공식!$FG$15,$F245,0),3),"")</f>
        <v>0</v>
      </c>
      <c r="R245" s="194">
        <f ca="1">OFFSET('배치점수 계산기'!H$10,$D245,0)</f>
        <v>916.84199999999998</v>
      </c>
      <c r="S245" s="194">
        <f ca="1">OFFSET('배치점수 계산기'!I$10,$D245,0)</f>
        <v>913.93700000000001</v>
      </c>
      <c r="T245" s="194">
        <f ca="1">OFFSET('배치점수 계산기'!J$10,$D245,0)</f>
        <v>911.67600000000004</v>
      </c>
      <c r="U245" s="194">
        <f ca="1">OFFSET('배치점수 계산기'!K$10,$D245,0)</f>
        <v>907.51099999999997</v>
      </c>
      <c r="V245" s="194">
        <f ca="1">OFFSET('배치점수 계산기'!L$10,$D245,0)</f>
        <v>900.54499999999996</v>
      </c>
      <c r="W245" s="186" t="str">
        <f ca="1">OFFSET('배치점수 계산기'!M$10,$D245,0)</f>
        <v>표점/만점</v>
      </c>
      <c r="X245" s="184" t="str">
        <f ca="1">OFFSET('배치점수 계산기'!N$10,$D245,0)</f>
        <v>변표/만점</v>
      </c>
      <c r="Y245" s="188">
        <f ca="1">OFFSET(환산공식!FW$15,$F245,0)</f>
        <v>0.34</v>
      </c>
      <c r="Z245" s="20">
        <f ca="1">OFFSET(환산공식!FX$15,$F245,0)</f>
        <v>0.44</v>
      </c>
      <c r="AA245" s="179">
        <f ca="1">OFFSET(환산공식!FY$15,$F245,0)</f>
        <v>0.22</v>
      </c>
      <c r="AC245"/>
      <c r="AD245">
        <f t="shared" ca="1" si="8"/>
        <v>6</v>
      </c>
      <c r="AE245"/>
    </row>
    <row r="246" spans="1:31" s="3" customFormat="1">
      <c r="A246" s="198"/>
      <c r="B246" s="198"/>
      <c r="C246" s="198" t="s">
        <v>807</v>
      </c>
      <c r="D246" s="195">
        <v>296</v>
      </c>
      <c r="E246" s="195">
        <v>44</v>
      </c>
      <c r="F246" s="195">
        <v>44</v>
      </c>
      <c r="G246" s="239">
        <v>239</v>
      </c>
      <c r="H246" s="197" t="s">
        <v>72</v>
      </c>
      <c r="I246" s="242" t="s">
        <v>83</v>
      </c>
      <c r="J246" s="242" t="s">
        <v>9085</v>
      </c>
      <c r="K246" s="195" t="s">
        <v>70</v>
      </c>
      <c r="L246" s="20" t="str">
        <f ca="1">IF(OFFSET(환산공식!$ED$15,$F246,0)=1,"O","X")</f>
        <v>X</v>
      </c>
      <c r="M246" s="188">
        <f ca="1">IFERROR(OFFSET(환산공식!DJ$15,$F246,0),"")</f>
        <v>100</v>
      </c>
      <c r="N246" s="20" t="str">
        <f ca="1">IFERROR(CONCATENATE(ROUND(OFFSET(환산공식!DK$15,$F246,0),1),"%"),"")</f>
        <v>100%</v>
      </c>
      <c r="O246" s="20">
        <f ca="1">IFERROR(OFFSET(환산공식!DL$15,$F246,0),"")</f>
        <v>0</v>
      </c>
      <c r="P246" s="188" t="str">
        <f t="shared" ca="1" si="7"/>
        <v>3% 이하</v>
      </c>
      <c r="Q246" s="194">
        <f ca="1">IFERROR(ROUND(OFFSET(환산공식!$FG$15,$F246,0),3),"")</f>
        <v>0</v>
      </c>
      <c r="R246" s="194">
        <f ca="1">OFFSET('배치점수 계산기'!H$10,$D246,0)</f>
        <v>915.05600000000004</v>
      </c>
      <c r="S246" s="194">
        <f ca="1">OFFSET('배치점수 계산기'!I$10,$D246,0)</f>
        <v>912.37199999999996</v>
      </c>
      <c r="T246" s="194">
        <f ca="1">OFFSET('배치점수 계산기'!J$10,$D246,0)</f>
        <v>909.64300000000003</v>
      </c>
      <c r="U246" s="194">
        <f ca="1">OFFSET('배치점수 계산기'!K$10,$D246,0)</f>
        <v>904.92100000000005</v>
      </c>
      <c r="V246" s="194">
        <f ca="1">OFFSET('배치점수 계산기'!L$10,$D246,0)</f>
        <v>898.87699999999995</v>
      </c>
      <c r="W246" s="186" t="str">
        <f ca="1">OFFSET('배치점수 계산기'!M$10,$D246,0)</f>
        <v>표점/만점</v>
      </c>
      <c r="X246" s="184" t="str">
        <f ca="1">OFFSET('배치점수 계산기'!N$10,$D246,0)</f>
        <v>변표/만점</v>
      </c>
      <c r="Y246" s="188">
        <f ca="1">OFFSET(환산공식!FW$15,$F246,0)</f>
        <v>0.34</v>
      </c>
      <c r="Z246" s="20">
        <f ca="1">OFFSET(환산공식!FX$15,$F246,0)</f>
        <v>0.44</v>
      </c>
      <c r="AA246" s="179">
        <f ca="1">OFFSET(환산공식!FY$15,$F246,0)</f>
        <v>0.22</v>
      </c>
      <c r="AC246"/>
      <c r="AD246">
        <f t="shared" ca="1" si="8"/>
        <v>6</v>
      </c>
      <c r="AE246"/>
    </row>
    <row r="247" spans="1:31" s="3" customFormat="1">
      <c r="A247" s="198"/>
      <c r="B247" s="198"/>
      <c r="C247" s="198" t="s">
        <v>808</v>
      </c>
      <c r="D247" s="195">
        <v>297</v>
      </c>
      <c r="E247" s="195">
        <v>42</v>
      </c>
      <c r="F247" s="195">
        <v>42</v>
      </c>
      <c r="G247" s="239">
        <v>240</v>
      </c>
      <c r="H247" s="197" t="s">
        <v>72</v>
      </c>
      <c r="I247" s="242" t="s">
        <v>83</v>
      </c>
      <c r="J247" s="242" t="s">
        <v>8938</v>
      </c>
      <c r="K247" s="195" t="s">
        <v>71</v>
      </c>
      <c r="L247" s="20" t="str">
        <f ca="1">IF(OFFSET(환산공식!$ED$15,$F247,0)=1,"O","X")</f>
        <v>X</v>
      </c>
      <c r="M247" s="188">
        <f ca="1">IFERROR(OFFSET(환산공식!DJ$15,$F247,0),"")</f>
        <v>200</v>
      </c>
      <c r="N247" s="20" t="str">
        <f ca="1">IFERROR(CONCATENATE(ROUND(OFFSET(환산공식!DK$15,$F247,0),1),"%"),"")</f>
        <v>100%</v>
      </c>
      <c r="O247" s="20">
        <f ca="1">IFERROR(OFFSET(환산공식!DL$15,$F247,0),"")</f>
        <v>0</v>
      </c>
      <c r="P247" s="188" t="str">
        <f t="shared" ca="1" si="7"/>
        <v>3% 이하</v>
      </c>
      <c r="Q247" s="194">
        <f ca="1">IFERROR(ROUND(OFFSET(환산공식!$FG$15,$F247,0),3),"")</f>
        <v>0</v>
      </c>
      <c r="R247" s="194">
        <f ca="1">OFFSET('배치점수 계산기'!H$10,$D247,0)</f>
        <v>925.59199999999998</v>
      </c>
      <c r="S247" s="194">
        <f ca="1">OFFSET('배치점수 계산기'!I$10,$D247,0)</f>
        <v>923.15899999999999</v>
      </c>
      <c r="T247" s="194">
        <f ca="1">OFFSET('배치점수 계산기'!J$10,$D247,0)</f>
        <v>921.64800000000002</v>
      </c>
      <c r="U247" s="194">
        <f ca="1">OFFSET('배치점수 계산기'!K$10,$D247,0)</f>
        <v>918.221</v>
      </c>
      <c r="V247" s="194">
        <f ca="1">OFFSET('배치점수 계산기'!L$10,$D247,0)</f>
        <v>912.44200000000001</v>
      </c>
      <c r="W247" s="186" t="str">
        <f ca="1">OFFSET('배치점수 계산기'!M$10,$D247,0)</f>
        <v>표점/만점</v>
      </c>
      <c r="X247" s="184" t="str">
        <f ca="1">OFFSET('배치점수 계산기'!N$10,$D247,0)</f>
        <v>변표/만점</v>
      </c>
      <c r="Y247" s="188">
        <f ca="1">OFFSET(환산공식!FW$15,$F247,0)</f>
        <v>0.44</v>
      </c>
      <c r="Z247" s="20">
        <f ca="1">OFFSET(환산공식!FX$15,$F247,0)</f>
        <v>0.31</v>
      </c>
      <c r="AA247" s="179">
        <f ca="1">OFFSET(환산공식!FY$15,$F247,0)</f>
        <v>0.25</v>
      </c>
      <c r="AC247"/>
      <c r="AD247">
        <f t="shared" ca="1" si="8"/>
        <v>6</v>
      </c>
      <c r="AE247"/>
    </row>
    <row r="248" spans="1:31" s="3" customFormat="1">
      <c r="A248" s="198"/>
      <c r="B248" s="198"/>
      <c r="C248" s="198" t="s">
        <v>809</v>
      </c>
      <c r="D248" s="195">
        <v>298</v>
      </c>
      <c r="E248" s="195">
        <v>41</v>
      </c>
      <c r="F248" s="195">
        <v>41</v>
      </c>
      <c r="G248" s="239">
        <v>241</v>
      </c>
      <c r="H248" s="197" t="s">
        <v>72</v>
      </c>
      <c r="I248" s="242" t="s">
        <v>83</v>
      </c>
      <c r="J248" s="242" t="s">
        <v>9305</v>
      </c>
      <c r="K248" s="195" t="s">
        <v>71</v>
      </c>
      <c r="L248" s="20" t="str">
        <f ca="1">IF(OFFSET(환산공식!$ED$15,$F248,0)=1,"O","X")</f>
        <v>X</v>
      </c>
      <c r="M248" s="188">
        <f ca="1">IFERROR(OFFSET(환산공식!DJ$15,$F248,0),"")</f>
        <v>150</v>
      </c>
      <c r="N248" s="20" t="str">
        <f ca="1">IFERROR(CONCATENATE(ROUND(OFFSET(환산공식!DK$15,$F248,0),1),"%"),"")</f>
        <v>100%</v>
      </c>
      <c r="O248" s="20">
        <f ca="1">IFERROR(OFFSET(환산공식!DL$15,$F248,0),"")</f>
        <v>0</v>
      </c>
      <c r="P248" s="188" t="str">
        <f t="shared" ca="1" si="7"/>
        <v>3% 이하</v>
      </c>
      <c r="Q248" s="194">
        <f ca="1">IFERROR(ROUND(OFFSET(환산공식!$FG$15,$F248,0),3),"")</f>
        <v>0</v>
      </c>
      <c r="R248" s="194">
        <f ca="1">OFFSET('배치점수 계산기'!H$10,$D248,0)</f>
        <v>916.14</v>
      </c>
      <c r="S248" s="194">
        <f ca="1">OFFSET('배치점수 계산기'!I$10,$D248,0)</f>
        <v>914.58900000000006</v>
      </c>
      <c r="T248" s="194">
        <f ca="1">OFFSET('배치점수 계산기'!J$10,$D248,0)</f>
        <v>911.52099999999996</v>
      </c>
      <c r="U248" s="194">
        <f ca="1">OFFSET('배치점수 계산기'!K$10,$D248,0)</f>
        <v>906.38699999999994</v>
      </c>
      <c r="V248" s="194">
        <f ca="1">OFFSET('배치점수 계산기'!L$10,$D248,0)</f>
        <v>901.37199999999996</v>
      </c>
      <c r="W248" s="186" t="str">
        <f ca="1">OFFSET('배치점수 계산기'!M$10,$D248,0)</f>
        <v>표점/만점</v>
      </c>
      <c r="X248" s="184" t="str">
        <f ca="1">OFFSET('배치점수 계산기'!N$10,$D248,0)</f>
        <v>변표/만점</v>
      </c>
      <c r="Y248" s="188">
        <f ca="1">OFFSET(환산공식!FW$15,$F248,0)</f>
        <v>0.41</v>
      </c>
      <c r="Z248" s="20">
        <f ca="1">OFFSET(환산공식!FX$15,$F248,0)</f>
        <v>0.41</v>
      </c>
      <c r="AA248" s="179">
        <f ca="1">OFFSET(환산공식!FY$15,$F248,0)</f>
        <v>0.18</v>
      </c>
      <c r="AC248"/>
      <c r="AD248">
        <f t="shared" ca="1" si="8"/>
        <v>6</v>
      </c>
      <c r="AE248"/>
    </row>
    <row r="249" spans="1:31" s="3" customFormat="1">
      <c r="A249" s="198"/>
      <c r="B249" s="198"/>
      <c r="C249" s="198" t="s">
        <v>810</v>
      </c>
      <c r="D249" s="195">
        <v>299</v>
      </c>
      <c r="E249" s="195">
        <v>88</v>
      </c>
      <c r="F249" s="195">
        <v>88</v>
      </c>
      <c r="G249" s="239">
        <v>242</v>
      </c>
      <c r="H249" s="197" t="s">
        <v>72</v>
      </c>
      <c r="I249" s="242" t="s">
        <v>224</v>
      </c>
      <c r="J249" s="242" t="s">
        <v>8283</v>
      </c>
      <c r="K249" s="195" t="s">
        <v>70</v>
      </c>
      <c r="L249" s="20" t="str">
        <f ca="1">IF(OFFSET(환산공식!$ED$15,$F249,0)=1,"O","X")</f>
        <v>X</v>
      </c>
      <c r="M249" s="188">
        <f ca="1">IFERROR(OFFSET(환산공식!DJ$15,$F249,0),"")</f>
        <v>200</v>
      </c>
      <c r="N249" s="20" t="str">
        <f ca="1">IFERROR(CONCATENATE(ROUND(OFFSET(환산공식!DK$15,$F249,0),1),"%"),"")</f>
        <v>100%</v>
      </c>
      <c r="O249" s="20">
        <f ca="1">IFERROR(OFFSET(환산공식!DL$15,$F249,0),"")</f>
        <v>10</v>
      </c>
      <c r="P249" s="188" t="str">
        <f t="shared" ca="1" si="7"/>
        <v>3% 이하</v>
      </c>
      <c r="Q249" s="194">
        <f ca="1">IFERROR(ROUND(OFFSET(환산공식!$FG$15,$F249,0),3),"")</f>
        <v>0</v>
      </c>
      <c r="R249" s="194">
        <f ca="1">OFFSET('배치점수 계산기'!H$10,$D249,0)</f>
        <v>934.83399999999995</v>
      </c>
      <c r="S249" s="194">
        <f ca="1">OFFSET('배치점수 계산기'!I$10,$D249,0)</f>
        <v>932.96</v>
      </c>
      <c r="T249" s="194">
        <f ca="1">OFFSET('배치점수 계산기'!J$10,$D249,0)</f>
        <v>929.94600000000003</v>
      </c>
      <c r="U249" s="194">
        <f ca="1">OFFSET('배치점수 계산기'!K$10,$D249,0)</f>
        <v>927.375</v>
      </c>
      <c r="V249" s="194">
        <f ca="1">OFFSET('배치점수 계산기'!L$10,$D249,0)</f>
        <v>923.53599999999994</v>
      </c>
      <c r="W249" s="186" t="str">
        <f ca="1">OFFSET('배치점수 계산기'!M$10,$D249,0)</f>
        <v>표점/만점</v>
      </c>
      <c r="X249" s="184" t="str">
        <f ca="1">OFFSET('배치점수 계산기'!N$10,$D249,0)</f>
        <v>변표/만점</v>
      </c>
      <c r="Y249" s="188">
        <f ca="1">OFFSET(환산공식!FW$15,$F249,0)</f>
        <v>0.31</v>
      </c>
      <c r="Z249" s="20">
        <f ca="1">OFFSET(환산공식!FX$15,$F249,0)</f>
        <v>0.37</v>
      </c>
      <c r="AA249" s="179">
        <f ca="1">OFFSET(환산공식!FY$15,$F249,0)</f>
        <v>0.31</v>
      </c>
      <c r="AC249"/>
      <c r="AD249">
        <f t="shared" ca="1" si="8"/>
        <v>6</v>
      </c>
      <c r="AE249"/>
    </row>
    <row r="250" spans="1:31" s="3" customFormat="1">
      <c r="A250" s="198"/>
      <c r="B250" s="198"/>
      <c r="C250" s="198" t="s">
        <v>811</v>
      </c>
      <c r="D250" s="195">
        <v>300</v>
      </c>
      <c r="E250" s="195">
        <v>89</v>
      </c>
      <c r="F250" s="195">
        <v>89</v>
      </c>
      <c r="G250" s="239">
        <v>243</v>
      </c>
      <c r="H250" s="197" t="s">
        <v>72</v>
      </c>
      <c r="I250" s="242" t="s">
        <v>224</v>
      </c>
      <c r="J250" s="242" t="s">
        <v>8216</v>
      </c>
      <c r="K250" s="195" t="s">
        <v>71</v>
      </c>
      <c r="L250" s="20" t="str">
        <f ca="1">IF(OFFSET(환산공식!$ED$15,$F250,0)=1,"O","X")</f>
        <v>X</v>
      </c>
      <c r="M250" s="188">
        <f ca="1">IFERROR(OFFSET(환산공식!DJ$15,$F250,0),"")</f>
        <v>200</v>
      </c>
      <c r="N250" s="20" t="str">
        <f ca="1">IFERROR(CONCATENATE(ROUND(OFFSET(환산공식!DK$15,$F250,0),1),"%"),"")</f>
        <v>100%</v>
      </c>
      <c r="O250" s="20">
        <f ca="1">IFERROR(OFFSET(환산공식!DL$15,$F250,0),"")</f>
        <v>10</v>
      </c>
      <c r="P250" s="188" t="str">
        <f t="shared" ca="1" si="7"/>
        <v>3% 이하</v>
      </c>
      <c r="Q250" s="194">
        <f ca="1">IFERROR(ROUND(OFFSET(환산공식!$FG$15,$F250,0),3),"")</f>
        <v>0</v>
      </c>
      <c r="R250" s="194">
        <f ca="1">OFFSET('배치점수 계산기'!H$10,$D250,0)</f>
        <v>926.21600000000001</v>
      </c>
      <c r="S250" s="194">
        <f ca="1">OFFSET('배치점수 계산기'!I$10,$D250,0)</f>
        <v>923.91200000000003</v>
      </c>
      <c r="T250" s="194">
        <f ca="1">OFFSET('배치점수 계산기'!J$10,$D250,0)</f>
        <v>922.04600000000005</v>
      </c>
      <c r="U250" s="194">
        <f ca="1">OFFSET('배치점수 계산기'!K$10,$D250,0)</f>
        <v>920.4</v>
      </c>
      <c r="V250" s="194">
        <f ca="1">OFFSET('배치점수 계산기'!L$10,$D250,0)</f>
        <v>917.96600000000001</v>
      </c>
      <c r="W250" s="186" t="str">
        <f ca="1">OFFSET('배치점수 계산기'!M$10,$D250,0)</f>
        <v>표점/만점</v>
      </c>
      <c r="X250" s="184" t="str">
        <f ca="1">OFFSET('배치점수 계산기'!N$10,$D250,0)</f>
        <v>변표/만점</v>
      </c>
      <c r="Y250" s="188">
        <f ca="1">OFFSET(환산공식!FW$15,$F250,0)</f>
        <v>0.38</v>
      </c>
      <c r="Z250" s="20">
        <f ca="1">OFFSET(환산공식!FX$15,$F250,0)</f>
        <v>0.37</v>
      </c>
      <c r="AA250" s="179">
        <f ca="1">OFFSET(환산공식!FY$15,$F250,0)</f>
        <v>0.25</v>
      </c>
      <c r="AC250"/>
      <c r="AD250">
        <f t="shared" ca="1" si="8"/>
        <v>6</v>
      </c>
      <c r="AE250"/>
    </row>
    <row r="251" spans="1:31" s="3" customFormat="1">
      <c r="A251" s="198"/>
      <c r="B251" s="198"/>
      <c r="C251" s="198" t="s">
        <v>812</v>
      </c>
      <c r="D251" s="195">
        <v>301</v>
      </c>
      <c r="E251" s="195">
        <v>89</v>
      </c>
      <c r="F251" s="195">
        <v>89</v>
      </c>
      <c r="G251" s="239">
        <v>244</v>
      </c>
      <c r="H251" s="197" t="s">
        <v>72</v>
      </c>
      <c r="I251" s="242" t="s">
        <v>224</v>
      </c>
      <c r="J251" s="242" t="s">
        <v>8190</v>
      </c>
      <c r="K251" s="195" t="s">
        <v>71</v>
      </c>
      <c r="L251" s="20" t="str">
        <f ca="1">IF(OFFSET(환산공식!$ED$15,$F251,0)=1,"O","X")</f>
        <v>X</v>
      </c>
      <c r="M251" s="188">
        <f ca="1">IFERROR(OFFSET(환산공식!DJ$15,$F251,0),"")</f>
        <v>200</v>
      </c>
      <c r="N251" s="20" t="str">
        <f ca="1">IFERROR(CONCATENATE(ROUND(OFFSET(환산공식!DK$15,$F251,0),1),"%"),"")</f>
        <v>100%</v>
      </c>
      <c r="O251" s="20">
        <f ca="1">IFERROR(OFFSET(환산공식!DL$15,$F251,0),"")</f>
        <v>10</v>
      </c>
      <c r="P251" s="188" t="str">
        <f t="shared" ca="1" si="7"/>
        <v>3% 이하</v>
      </c>
      <c r="Q251" s="194">
        <f ca="1">IFERROR(ROUND(OFFSET(환산공식!$FG$15,$F251,0),3),"")</f>
        <v>0</v>
      </c>
      <c r="R251" s="194">
        <f ca="1">OFFSET('배치점수 계산기'!H$10,$D251,0)</f>
        <v>926.21600000000001</v>
      </c>
      <c r="S251" s="194">
        <f ca="1">OFFSET('배치점수 계산기'!I$10,$D251,0)</f>
        <v>923.91200000000003</v>
      </c>
      <c r="T251" s="194">
        <f ca="1">OFFSET('배치점수 계산기'!J$10,$D251,0)</f>
        <v>922.04600000000005</v>
      </c>
      <c r="U251" s="194">
        <f ca="1">OFFSET('배치점수 계산기'!K$10,$D251,0)</f>
        <v>920.4</v>
      </c>
      <c r="V251" s="194">
        <f ca="1">OFFSET('배치점수 계산기'!L$10,$D251,0)</f>
        <v>917.96600000000001</v>
      </c>
      <c r="W251" s="186" t="str">
        <f ca="1">OFFSET('배치점수 계산기'!M$10,$D251,0)</f>
        <v>표점/만점</v>
      </c>
      <c r="X251" s="184" t="str">
        <f ca="1">OFFSET('배치점수 계산기'!N$10,$D251,0)</f>
        <v>변표/만점</v>
      </c>
      <c r="Y251" s="188">
        <f ca="1">OFFSET(환산공식!FW$15,$F251,0)</f>
        <v>0.38</v>
      </c>
      <c r="Z251" s="20">
        <f ca="1">OFFSET(환산공식!FX$15,$F251,0)</f>
        <v>0.37</v>
      </c>
      <c r="AA251" s="179">
        <f ca="1">OFFSET(환산공식!FY$15,$F251,0)</f>
        <v>0.25</v>
      </c>
      <c r="AC251"/>
      <c r="AD251">
        <f t="shared" ca="1" si="8"/>
        <v>6</v>
      </c>
      <c r="AE251"/>
    </row>
    <row r="252" spans="1:31" s="3" customFormat="1">
      <c r="A252" s="198"/>
      <c r="B252" s="198"/>
      <c r="C252" s="198" t="s">
        <v>813</v>
      </c>
      <c r="D252" s="195">
        <v>302</v>
      </c>
      <c r="E252" s="195">
        <v>89</v>
      </c>
      <c r="F252" s="195">
        <v>89</v>
      </c>
      <c r="G252" s="239">
        <v>245</v>
      </c>
      <c r="H252" s="197" t="s">
        <v>72</v>
      </c>
      <c r="I252" s="242" t="s">
        <v>224</v>
      </c>
      <c r="J252" s="242" t="s">
        <v>501</v>
      </c>
      <c r="K252" s="195" t="s">
        <v>71</v>
      </c>
      <c r="L252" s="20" t="str">
        <f ca="1">IF(OFFSET(환산공식!$ED$15,$F252,0)=1,"O","X")</f>
        <v>X</v>
      </c>
      <c r="M252" s="188">
        <f ca="1">IFERROR(OFFSET(환산공식!DJ$15,$F252,0),"")</f>
        <v>200</v>
      </c>
      <c r="N252" s="20" t="str">
        <f ca="1">IFERROR(CONCATENATE(ROUND(OFFSET(환산공식!DK$15,$F252,0),1),"%"),"")</f>
        <v>100%</v>
      </c>
      <c r="O252" s="20">
        <f ca="1">IFERROR(OFFSET(환산공식!DL$15,$F252,0),"")</f>
        <v>10</v>
      </c>
      <c r="P252" s="188" t="str">
        <f t="shared" ca="1" si="7"/>
        <v>3% 이하</v>
      </c>
      <c r="Q252" s="194">
        <f ca="1">IFERROR(ROUND(OFFSET(환산공식!$FG$15,$F252,0),3),"")</f>
        <v>0</v>
      </c>
      <c r="R252" s="194">
        <f ca="1">OFFSET('배치점수 계산기'!H$10,$D252,0)</f>
        <v>925.28899999999999</v>
      </c>
      <c r="S252" s="194">
        <f ca="1">OFFSET('배치점수 계산기'!I$10,$D252,0)</f>
        <v>923.06700000000001</v>
      </c>
      <c r="T252" s="194">
        <f ca="1">OFFSET('배치점수 계산기'!J$10,$D252,0)</f>
        <v>920.96100000000001</v>
      </c>
      <c r="U252" s="194">
        <f ca="1">OFFSET('배치점수 계산기'!K$10,$D252,0)</f>
        <v>919.77300000000002</v>
      </c>
      <c r="V252" s="194">
        <f ca="1">OFFSET('배치점수 계산기'!L$10,$D252,0)</f>
        <v>917.16499999999996</v>
      </c>
      <c r="W252" s="186" t="str">
        <f ca="1">OFFSET('배치점수 계산기'!M$10,$D252,0)</f>
        <v>표점/만점</v>
      </c>
      <c r="X252" s="184" t="str">
        <f ca="1">OFFSET('배치점수 계산기'!N$10,$D252,0)</f>
        <v>변표/만점</v>
      </c>
      <c r="Y252" s="188">
        <f ca="1">OFFSET(환산공식!FW$15,$F252,0)</f>
        <v>0.38</v>
      </c>
      <c r="Z252" s="20">
        <f ca="1">OFFSET(환산공식!FX$15,$F252,0)</f>
        <v>0.37</v>
      </c>
      <c r="AA252" s="179">
        <f ca="1">OFFSET(환산공식!FY$15,$F252,0)</f>
        <v>0.25</v>
      </c>
      <c r="AC252"/>
      <c r="AD252">
        <f t="shared" ca="1" si="8"/>
        <v>6</v>
      </c>
      <c r="AE252"/>
    </row>
    <row r="253" spans="1:31" s="3" customFormat="1">
      <c r="A253" s="198"/>
      <c r="B253" s="198"/>
      <c r="C253" s="198" t="s">
        <v>814</v>
      </c>
      <c r="D253" s="195">
        <v>303</v>
      </c>
      <c r="E253" s="195">
        <v>89</v>
      </c>
      <c r="F253" s="195">
        <v>89</v>
      </c>
      <c r="G253" s="239">
        <v>246</v>
      </c>
      <c r="H253" s="197" t="s">
        <v>72</v>
      </c>
      <c r="I253" s="242" t="s">
        <v>224</v>
      </c>
      <c r="J253" s="242" t="s">
        <v>9657</v>
      </c>
      <c r="K253" s="195" t="s">
        <v>71</v>
      </c>
      <c r="L253" s="20" t="str">
        <f ca="1">IF(OFFSET(환산공식!$ED$15,$F253,0)=1,"O","X")</f>
        <v>X</v>
      </c>
      <c r="M253" s="188">
        <f ca="1">IFERROR(OFFSET(환산공식!DJ$15,$F253,0),"")</f>
        <v>200</v>
      </c>
      <c r="N253" s="20" t="str">
        <f ca="1">IFERROR(CONCATENATE(ROUND(OFFSET(환산공식!DK$15,$F253,0),1),"%"),"")</f>
        <v>100%</v>
      </c>
      <c r="O253" s="20">
        <f ca="1">IFERROR(OFFSET(환산공식!DL$15,$F253,0),"")</f>
        <v>10</v>
      </c>
      <c r="P253" s="188" t="str">
        <f t="shared" ca="1" si="7"/>
        <v>3% 이하</v>
      </c>
      <c r="Q253" s="194">
        <f ca="1">IFERROR(ROUND(OFFSET(환산공식!$FG$15,$F253,0),3),"")</f>
        <v>0</v>
      </c>
      <c r="R253" s="194">
        <f ca="1">OFFSET('배치점수 계산기'!H$10,$D253,0)</f>
        <v>924.08900000000006</v>
      </c>
      <c r="S253" s="194">
        <f ca="1">OFFSET('배치점수 계산기'!I$10,$D253,0)</f>
        <v>921.76400000000001</v>
      </c>
      <c r="T253" s="194">
        <f ca="1">OFFSET('배치점수 계산기'!J$10,$D253,0)</f>
        <v>919.91399999999999</v>
      </c>
      <c r="U253" s="194">
        <f ca="1">OFFSET('배치점수 계산기'!K$10,$D253,0)</f>
        <v>918.803</v>
      </c>
      <c r="V253" s="194">
        <f ca="1">OFFSET('배치점수 계산기'!L$10,$D253,0)</f>
        <v>916.03499999999997</v>
      </c>
      <c r="W253" s="186" t="str">
        <f ca="1">OFFSET('배치점수 계산기'!M$10,$D253,0)</f>
        <v>표점/만점</v>
      </c>
      <c r="X253" s="184" t="str">
        <f ca="1">OFFSET('배치점수 계산기'!N$10,$D253,0)</f>
        <v>변표/만점</v>
      </c>
      <c r="Y253" s="188">
        <f ca="1">OFFSET(환산공식!FW$15,$F253,0)</f>
        <v>0.38</v>
      </c>
      <c r="Z253" s="20">
        <f ca="1">OFFSET(환산공식!FX$15,$F253,0)</f>
        <v>0.37</v>
      </c>
      <c r="AA253" s="179">
        <f ca="1">OFFSET(환산공식!FY$15,$F253,0)</f>
        <v>0.25</v>
      </c>
      <c r="AC253"/>
      <c r="AD253">
        <f t="shared" ca="1" si="8"/>
        <v>6</v>
      </c>
      <c r="AE253"/>
    </row>
    <row r="254" spans="1:31" s="3" customFormat="1">
      <c r="A254" s="198"/>
      <c r="B254" s="198"/>
      <c r="C254" s="198" t="s">
        <v>815</v>
      </c>
      <c r="D254" s="195">
        <v>304</v>
      </c>
      <c r="E254" s="195">
        <v>89</v>
      </c>
      <c r="F254" s="195">
        <v>89</v>
      </c>
      <c r="G254" s="239">
        <v>247</v>
      </c>
      <c r="H254" s="197" t="s">
        <v>72</v>
      </c>
      <c r="I254" s="242" t="s">
        <v>224</v>
      </c>
      <c r="J254" s="242" t="s">
        <v>9017</v>
      </c>
      <c r="K254" s="195" t="s">
        <v>71</v>
      </c>
      <c r="L254" s="20" t="str">
        <f ca="1">IF(OFFSET(환산공식!$ED$15,$F254,0)=1,"O","X")</f>
        <v>X</v>
      </c>
      <c r="M254" s="188">
        <f ca="1">IFERROR(OFFSET(환산공식!DJ$15,$F254,0),"")</f>
        <v>200</v>
      </c>
      <c r="N254" s="20" t="str">
        <f ca="1">IFERROR(CONCATENATE(ROUND(OFFSET(환산공식!DK$15,$F254,0),1),"%"),"")</f>
        <v>100%</v>
      </c>
      <c r="O254" s="20">
        <f ca="1">IFERROR(OFFSET(환산공식!DL$15,$F254,0),"")</f>
        <v>10</v>
      </c>
      <c r="P254" s="188" t="str">
        <f t="shared" ca="1" si="7"/>
        <v>3% 이하</v>
      </c>
      <c r="Q254" s="194">
        <f ca="1">IFERROR(ROUND(OFFSET(환산공식!$FG$15,$F254,0),3),"")</f>
        <v>0</v>
      </c>
      <c r="R254" s="194">
        <f ca="1">OFFSET('배치점수 계산기'!H$10,$D254,0)</f>
        <v>920.96100000000001</v>
      </c>
      <c r="S254" s="194">
        <f ca="1">OFFSET('배치점수 계산기'!I$10,$D254,0)</f>
        <v>919.91399999999999</v>
      </c>
      <c r="T254" s="194">
        <f ca="1">OFFSET('배치점수 계산기'!J$10,$D254,0)</f>
        <v>919.09799999999996</v>
      </c>
      <c r="U254" s="194">
        <f ca="1">OFFSET('배치점수 계산기'!K$10,$D254,0)</f>
        <v>917.89099999999996</v>
      </c>
      <c r="V254" s="194">
        <f ca="1">OFFSET('배치점수 계산기'!L$10,$D254,0)</f>
        <v>915.46600000000001</v>
      </c>
      <c r="W254" s="186" t="str">
        <f ca="1">OFFSET('배치점수 계산기'!M$10,$D254,0)</f>
        <v>표점/만점</v>
      </c>
      <c r="X254" s="184" t="str">
        <f ca="1">OFFSET('배치점수 계산기'!N$10,$D254,0)</f>
        <v>변표/만점</v>
      </c>
      <c r="Y254" s="188">
        <f ca="1">OFFSET(환산공식!FW$15,$F254,0)</f>
        <v>0.38</v>
      </c>
      <c r="Z254" s="20">
        <f ca="1">OFFSET(환산공식!FX$15,$F254,0)</f>
        <v>0.37</v>
      </c>
      <c r="AA254" s="179">
        <f ca="1">OFFSET(환산공식!FY$15,$F254,0)</f>
        <v>0.25</v>
      </c>
      <c r="AC254"/>
      <c r="AD254">
        <f t="shared" ca="1" si="8"/>
        <v>6</v>
      </c>
      <c r="AE254"/>
    </row>
    <row r="255" spans="1:31" s="3" customFormat="1">
      <c r="A255" s="198"/>
      <c r="B255" s="198"/>
      <c r="C255" s="198" t="s">
        <v>816</v>
      </c>
      <c r="D255" s="195">
        <v>305</v>
      </c>
      <c r="E255" s="195">
        <v>40</v>
      </c>
      <c r="F255" s="195">
        <v>40</v>
      </c>
      <c r="G255" s="239">
        <v>248</v>
      </c>
      <c r="H255" s="197" t="s">
        <v>72</v>
      </c>
      <c r="I255" s="242" t="s">
        <v>9336</v>
      </c>
      <c r="J255" s="242" t="s">
        <v>11483</v>
      </c>
      <c r="K255" s="195" t="s">
        <v>70</v>
      </c>
      <c r="L255" s="20" t="str">
        <f ca="1">IF(OFFSET(환산공식!$ED$15,$F255,0)=1,"O","X")</f>
        <v>X</v>
      </c>
      <c r="M255" s="188">
        <f ca="1">IFERROR(OFFSET(환산공식!DJ$15,$F255,0),"")</f>
        <v>105</v>
      </c>
      <c r="N255" s="20" t="str">
        <f ca="1">IFERROR(CONCATENATE(ROUND(OFFSET(환산공식!DK$15,$F255,0),1),"%"),"")</f>
        <v>100%</v>
      </c>
      <c r="O255" s="20">
        <f ca="1">IFERROR(OFFSET(환산공식!DL$15,$F255,0),"")</f>
        <v>10</v>
      </c>
      <c r="P255" s="188" t="str">
        <f t="shared" ca="1" si="7"/>
        <v>3% 이하</v>
      </c>
      <c r="Q255" s="194">
        <f ca="1">IFERROR(ROUND(OFFSET(환산공식!$FG$15,$F255,0),3),"")</f>
        <v>0</v>
      </c>
      <c r="R255" s="194">
        <f ca="1">OFFSET('배치점수 계산기'!H$10,$D255,0)</f>
        <v>625.47</v>
      </c>
      <c r="S255" s="194">
        <f ca="1">OFFSET('배치점수 계산기'!I$10,$D255,0)</f>
        <v>623.59500000000003</v>
      </c>
      <c r="T255" s="194">
        <f ca="1">OFFSET('배치점수 계산기'!J$10,$D255,0)</f>
        <v>621.64800000000002</v>
      </c>
      <c r="U255" s="194">
        <f ca="1">OFFSET('배치점수 계산기'!K$10,$D255,0)</f>
        <v>619.18200000000002</v>
      </c>
      <c r="V255" s="194">
        <f ca="1">OFFSET('배치점수 계산기'!L$10,$D255,0)</f>
        <v>611.92499999999995</v>
      </c>
      <c r="W255" s="186" t="str">
        <f ca="1">OFFSET('배치점수 계산기'!M$10,$D255,0)</f>
        <v>표점/만점</v>
      </c>
      <c r="X255" s="184" t="str">
        <f ca="1">OFFSET('배치점수 계산기'!N$10,$D255,0)</f>
        <v>변표/만점</v>
      </c>
      <c r="Y255" s="188">
        <f ca="1">OFFSET(환산공식!FW$15,$F255,0)</f>
        <v>0.24</v>
      </c>
      <c r="Z255" s="20">
        <f ca="1">OFFSET(환산공식!FX$15,$F255,0)</f>
        <v>0.41</v>
      </c>
      <c r="AA255" s="179">
        <f ca="1">OFFSET(환산공식!FY$15,$F255,0)</f>
        <v>0.35</v>
      </c>
      <c r="AC255"/>
      <c r="AD255">
        <f t="shared" ca="1" si="8"/>
        <v>6</v>
      </c>
      <c r="AE255"/>
    </row>
    <row r="256" spans="1:31" s="3" customFormat="1">
      <c r="A256" s="198"/>
      <c r="B256" s="198"/>
      <c r="C256" s="198" t="s">
        <v>817</v>
      </c>
      <c r="D256" s="195">
        <v>306</v>
      </c>
      <c r="E256" s="195">
        <v>40</v>
      </c>
      <c r="F256" s="195">
        <v>40</v>
      </c>
      <c r="G256" s="239">
        <v>249</v>
      </c>
      <c r="H256" s="197" t="s">
        <v>72</v>
      </c>
      <c r="I256" s="242" t="s">
        <v>9336</v>
      </c>
      <c r="J256" s="242" t="s">
        <v>11563</v>
      </c>
      <c r="K256" s="195" t="s">
        <v>70</v>
      </c>
      <c r="L256" s="20" t="str">
        <f ca="1">IF(OFFSET(환산공식!$ED$15,$F256,0)=1,"O","X")</f>
        <v>X</v>
      </c>
      <c r="M256" s="188">
        <f ca="1">IFERROR(OFFSET(환산공식!DJ$15,$F256,0),"")</f>
        <v>105</v>
      </c>
      <c r="N256" s="20" t="str">
        <f ca="1">IFERROR(CONCATENATE(ROUND(OFFSET(환산공식!DK$15,$F256,0),1),"%"),"")</f>
        <v>100%</v>
      </c>
      <c r="O256" s="20">
        <f ca="1">IFERROR(OFFSET(환산공식!DL$15,$F256,0),"")</f>
        <v>10</v>
      </c>
      <c r="P256" s="188" t="str">
        <f t="shared" ca="1" si="7"/>
        <v>3% 이하</v>
      </c>
      <c r="Q256" s="194">
        <f ca="1">IFERROR(ROUND(OFFSET(환산공식!$FG$15,$F256,0),3),"")</f>
        <v>0</v>
      </c>
      <c r="R256" s="194">
        <f ca="1">OFFSET('배치점수 계산기'!H$10,$D256,0)</f>
        <v>624.78800000000001</v>
      </c>
      <c r="S256" s="194">
        <f ca="1">OFFSET('배치점수 계산기'!I$10,$D256,0)</f>
        <v>622.80999999999995</v>
      </c>
      <c r="T256" s="194">
        <f ca="1">OFFSET('배치점수 계산기'!J$10,$D256,0)</f>
        <v>620.96799999999996</v>
      </c>
      <c r="U256" s="194">
        <f ca="1">OFFSET('배치점수 계산기'!K$10,$D256,0)</f>
        <v>618.70299999999997</v>
      </c>
      <c r="V256" s="194">
        <f ca="1">OFFSET('배치점수 계산기'!L$10,$D256,0)</f>
        <v>614.83100000000002</v>
      </c>
      <c r="W256" s="186" t="str">
        <f ca="1">OFFSET('배치점수 계산기'!M$10,$D256,0)</f>
        <v>표점/만점</v>
      </c>
      <c r="X256" s="184" t="str">
        <f ca="1">OFFSET('배치점수 계산기'!N$10,$D256,0)</f>
        <v>변표/만점</v>
      </c>
      <c r="Y256" s="188">
        <f ca="1">OFFSET(환산공식!FW$15,$F256,0)</f>
        <v>0.24</v>
      </c>
      <c r="Z256" s="20">
        <f ca="1">OFFSET(환산공식!FX$15,$F256,0)</f>
        <v>0.41</v>
      </c>
      <c r="AA256" s="179">
        <f ca="1">OFFSET(환산공식!FY$15,$F256,0)</f>
        <v>0.35</v>
      </c>
      <c r="AC256"/>
      <c r="AD256">
        <f t="shared" ca="1" si="8"/>
        <v>6</v>
      </c>
      <c r="AE256"/>
    </row>
    <row r="257" spans="1:31" s="3" customFormat="1">
      <c r="A257" s="198"/>
      <c r="B257" s="198"/>
      <c r="C257" s="198" t="s">
        <v>818</v>
      </c>
      <c r="D257" s="195">
        <v>307</v>
      </c>
      <c r="E257" s="195">
        <v>40</v>
      </c>
      <c r="F257" s="195">
        <v>40</v>
      </c>
      <c r="G257" s="239">
        <v>250</v>
      </c>
      <c r="H257" s="197" t="s">
        <v>72</v>
      </c>
      <c r="I257" s="242" t="s">
        <v>9336</v>
      </c>
      <c r="J257" s="242" t="s">
        <v>11611</v>
      </c>
      <c r="K257" s="195" t="s">
        <v>70</v>
      </c>
      <c r="L257" s="20" t="str">
        <f ca="1">IF(OFFSET(환산공식!$ED$15,$F257,0)=1,"O","X")</f>
        <v>X</v>
      </c>
      <c r="M257" s="188">
        <f ca="1">IFERROR(OFFSET(환산공식!DJ$15,$F257,0),"")</f>
        <v>105</v>
      </c>
      <c r="N257" s="20" t="str">
        <f ca="1">IFERROR(CONCATENATE(ROUND(OFFSET(환산공식!DK$15,$F257,0),1),"%"),"")</f>
        <v>100%</v>
      </c>
      <c r="O257" s="20">
        <f ca="1">IFERROR(OFFSET(환산공식!DL$15,$F257,0),"")</f>
        <v>10</v>
      </c>
      <c r="P257" s="188" t="str">
        <f t="shared" ca="1" si="7"/>
        <v>3% 이하</v>
      </c>
      <c r="Q257" s="194">
        <f ca="1">IFERROR(ROUND(OFFSET(환산공식!$FG$15,$F257,0),3),"")</f>
        <v>0</v>
      </c>
      <c r="R257" s="194">
        <f ca="1">OFFSET('배치점수 계산기'!H$10,$D257,0)</f>
        <v>624.15800000000002</v>
      </c>
      <c r="S257" s="194">
        <f ca="1">OFFSET('배치점수 계산기'!I$10,$D257,0)</f>
        <v>622.30700000000002</v>
      </c>
      <c r="T257" s="194">
        <f ca="1">OFFSET('배치점수 계산기'!J$10,$D257,0)</f>
        <v>620.58399999999995</v>
      </c>
      <c r="U257" s="194">
        <f ca="1">OFFSET('배치점수 계산기'!K$10,$D257,0)</f>
        <v>618.24800000000005</v>
      </c>
      <c r="V257" s="194">
        <f ca="1">OFFSET('배치점수 계산기'!L$10,$D257,0)</f>
        <v>614.37199999999996</v>
      </c>
      <c r="W257" s="186" t="str">
        <f ca="1">OFFSET('배치점수 계산기'!M$10,$D257,0)</f>
        <v>표점/만점</v>
      </c>
      <c r="X257" s="184" t="str">
        <f ca="1">OFFSET('배치점수 계산기'!N$10,$D257,0)</f>
        <v>변표/만점</v>
      </c>
      <c r="Y257" s="188">
        <f ca="1">OFFSET(환산공식!FW$15,$F257,0)</f>
        <v>0.24</v>
      </c>
      <c r="Z257" s="20">
        <f ca="1">OFFSET(환산공식!FX$15,$F257,0)</f>
        <v>0.41</v>
      </c>
      <c r="AA257" s="179">
        <f ca="1">OFFSET(환산공식!FY$15,$F257,0)</f>
        <v>0.35</v>
      </c>
      <c r="AC257"/>
      <c r="AD257">
        <f t="shared" ca="1" si="8"/>
        <v>6</v>
      </c>
      <c r="AE257"/>
    </row>
    <row r="258" spans="1:31" s="3" customFormat="1">
      <c r="A258" s="198"/>
      <c r="B258" s="198"/>
      <c r="C258" s="198" t="s">
        <v>819</v>
      </c>
      <c r="D258" s="195">
        <v>308</v>
      </c>
      <c r="E258" s="195">
        <v>40</v>
      </c>
      <c r="F258" s="195">
        <v>40</v>
      </c>
      <c r="G258" s="239">
        <v>251</v>
      </c>
      <c r="H258" s="197" t="s">
        <v>72</v>
      </c>
      <c r="I258" s="242" t="s">
        <v>9336</v>
      </c>
      <c r="J258" s="242" t="s">
        <v>11958</v>
      </c>
      <c r="K258" s="195" t="s">
        <v>70</v>
      </c>
      <c r="L258" s="20" t="str">
        <f ca="1">IF(OFFSET(환산공식!$ED$15,$F258,0)=1,"O","X")</f>
        <v>X</v>
      </c>
      <c r="M258" s="188">
        <f ca="1">IFERROR(OFFSET(환산공식!DJ$15,$F258,0),"")</f>
        <v>105</v>
      </c>
      <c r="N258" s="20" t="str">
        <f ca="1">IFERROR(CONCATENATE(ROUND(OFFSET(환산공식!DK$15,$F258,0),1),"%"),"")</f>
        <v>100%</v>
      </c>
      <c r="O258" s="20">
        <f ca="1">IFERROR(OFFSET(환산공식!DL$15,$F258,0),"")</f>
        <v>10</v>
      </c>
      <c r="P258" s="188" t="str">
        <f t="shared" ca="1" si="7"/>
        <v>3% 이하</v>
      </c>
      <c r="Q258" s="194">
        <f ca="1">IFERROR(ROUND(OFFSET(환산공식!$FG$15,$F258,0),3),"")</f>
        <v>0</v>
      </c>
      <c r="R258" s="194">
        <f ca="1">OFFSET('배치점수 계산기'!H$10,$D258,0)</f>
        <v>618.24800000000005</v>
      </c>
      <c r="S258" s="194">
        <f ca="1">OFFSET('배치점수 계산기'!I$10,$D258,0)</f>
        <v>616.43700000000001</v>
      </c>
      <c r="T258" s="194">
        <f ca="1">OFFSET('배치점수 계산기'!J$10,$D258,0)</f>
        <v>614.37199999999996</v>
      </c>
      <c r="U258" s="194">
        <f ca="1">OFFSET('배치점수 계산기'!K$10,$D258,0)</f>
        <v>612.28899999999999</v>
      </c>
      <c r="V258" s="194">
        <f ca="1">OFFSET('배치점수 계산기'!L$10,$D258,0)</f>
        <v>609.05200000000002</v>
      </c>
      <c r="W258" s="186" t="str">
        <f ca="1">OFFSET('배치점수 계산기'!M$10,$D258,0)</f>
        <v>표점/만점</v>
      </c>
      <c r="X258" s="184" t="str">
        <f ca="1">OFFSET('배치점수 계산기'!N$10,$D258,0)</f>
        <v>변표/만점</v>
      </c>
      <c r="Y258" s="188">
        <f ca="1">OFFSET(환산공식!FW$15,$F258,0)</f>
        <v>0.24</v>
      </c>
      <c r="Z258" s="20">
        <f ca="1">OFFSET(환산공식!FX$15,$F258,0)</f>
        <v>0.41</v>
      </c>
      <c r="AA258" s="179">
        <f ca="1">OFFSET(환산공식!FY$15,$F258,0)</f>
        <v>0.35</v>
      </c>
      <c r="AC258"/>
      <c r="AD258">
        <f t="shared" ca="1" si="8"/>
        <v>6</v>
      </c>
      <c r="AE258"/>
    </row>
    <row r="259" spans="1:31" s="3" customFormat="1">
      <c r="A259" s="198"/>
      <c r="B259" s="198"/>
      <c r="C259" s="198" t="s">
        <v>820</v>
      </c>
      <c r="D259" s="195">
        <v>309</v>
      </c>
      <c r="E259" s="195">
        <v>39</v>
      </c>
      <c r="F259" s="195">
        <v>39</v>
      </c>
      <c r="G259" s="239">
        <v>252</v>
      </c>
      <c r="H259" s="197" t="s">
        <v>72</v>
      </c>
      <c r="I259" s="242" t="s">
        <v>9336</v>
      </c>
      <c r="J259" s="242" t="s">
        <v>9419</v>
      </c>
      <c r="K259" s="195" t="s">
        <v>71</v>
      </c>
      <c r="L259" s="20" t="str">
        <f ca="1">IF(OFFSET(환산공식!$ED$15,$F259,0)=1,"O","X")</f>
        <v>X</v>
      </c>
      <c r="M259" s="188">
        <f ca="1">IFERROR(OFFSET(환산공식!DJ$15,$F259,0),"")</f>
        <v>105</v>
      </c>
      <c r="N259" s="20" t="str">
        <f ca="1">IFERROR(CONCATENATE(ROUND(OFFSET(환산공식!DK$15,$F259,0),1),"%"),"")</f>
        <v>100%</v>
      </c>
      <c r="O259" s="20">
        <f ca="1">IFERROR(OFFSET(환산공식!DL$15,$F259,0),"")</f>
        <v>10</v>
      </c>
      <c r="P259" s="188" t="str">
        <f t="shared" ca="1" si="7"/>
        <v>3% 이하</v>
      </c>
      <c r="Q259" s="194">
        <f ca="1">IFERROR(ROUND(OFFSET(환산공식!$FG$15,$F259,0),3),"")</f>
        <v>0</v>
      </c>
      <c r="R259" s="194">
        <f ca="1">OFFSET('배치점수 계산기'!H$10,$D259,0)</f>
        <v>652.91999999999996</v>
      </c>
      <c r="S259" s="194">
        <f ca="1">OFFSET('배치점수 계산기'!I$10,$D259,0)</f>
        <v>652.44500000000005</v>
      </c>
      <c r="T259" s="194">
        <f ca="1">OFFSET('배치점수 계산기'!J$10,$D259,0)</f>
        <v>650.798</v>
      </c>
      <c r="U259" s="194">
        <f ca="1">OFFSET('배치점수 계산기'!K$10,$D259,0)</f>
        <v>648.95399999999995</v>
      </c>
      <c r="V259" s="194">
        <f ca="1">OFFSET('배치점수 계산기'!L$10,$D259,0)</f>
        <v>647.22299999999996</v>
      </c>
      <c r="W259" s="186" t="str">
        <f ca="1">OFFSET('배치점수 계산기'!M$10,$D259,0)</f>
        <v>표점/만점</v>
      </c>
      <c r="X259" s="184" t="str">
        <f ca="1">OFFSET('배치점수 계산기'!N$10,$D259,0)</f>
        <v>변표/만점</v>
      </c>
      <c r="Y259" s="188">
        <f ca="1">OFFSET(환산공식!FW$15,$F259,0)</f>
        <v>0.35</v>
      </c>
      <c r="Z259" s="20">
        <f ca="1">OFFSET(환산공식!FX$15,$F259,0)</f>
        <v>0.41</v>
      </c>
      <c r="AA259" s="179">
        <f ca="1">OFFSET(환산공식!FY$15,$F259,0)</f>
        <v>0.23</v>
      </c>
      <c r="AC259"/>
      <c r="AD259">
        <f t="shared" ca="1" si="8"/>
        <v>6</v>
      </c>
      <c r="AE259"/>
    </row>
    <row r="260" spans="1:31" s="3" customFormat="1">
      <c r="A260" s="198"/>
      <c r="B260" s="198"/>
      <c r="C260" s="198" t="s">
        <v>821</v>
      </c>
      <c r="D260" s="195">
        <v>310</v>
      </c>
      <c r="E260" s="195">
        <v>39</v>
      </c>
      <c r="F260" s="195">
        <v>39</v>
      </c>
      <c r="G260" s="239">
        <v>253</v>
      </c>
      <c r="H260" s="197" t="s">
        <v>72</v>
      </c>
      <c r="I260" s="242" t="s">
        <v>9336</v>
      </c>
      <c r="J260" s="242" t="s">
        <v>9625</v>
      </c>
      <c r="K260" s="195" t="s">
        <v>71</v>
      </c>
      <c r="L260" s="20" t="str">
        <f ca="1">IF(OFFSET(환산공식!$ED$15,$F260,0)=1,"O","X")</f>
        <v>X</v>
      </c>
      <c r="M260" s="188">
        <f ca="1">IFERROR(OFFSET(환산공식!DJ$15,$F260,0),"")</f>
        <v>105</v>
      </c>
      <c r="N260" s="20" t="str">
        <f ca="1">IFERROR(CONCATENATE(ROUND(OFFSET(환산공식!DK$15,$F260,0),1),"%"),"")</f>
        <v>100%</v>
      </c>
      <c r="O260" s="20">
        <f ca="1">IFERROR(OFFSET(환산공식!DL$15,$F260,0),"")</f>
        <v>10</v>
      </c>
      <c r="P260" s="188" t="str">
        <f t="shared" ca="1" si="7"/>
        <v>3% 이하</v>
      </c>
      <c r="Q260" s="194">
        <f ca="1">IFERROR(ROUND(OFFSET(환산공식!$FG$15,$F260,0),3),"")</f>
        <v>0</v>
      </c>
      <c r="R260" s="194">
        <f ca="1">OFFSET('배치점수 계산기'!H$10,$D260,0)</f>
        <v>652.91999999999996</v>
      </c>
      <c r="S260" s="194">
        <f ca="1">OFFSET('배치점수 계산기'!I$10,$D260,0)</f>
        <v>651.15499999999997</v>
      </c>
      <c r="T260" s="194">
        <f ca="1">OFFSET('배치점수 계산기'!J$10,$D260,0)</f>
        <v>649.35599999999999</v>
      </c>
      <c r="U260" s="194">
        <f ca="1">OFFSET('배치점수 계산기'!K$10,$D260,0)</f>
        <v>647.85</v>
      </c>
      <c r="V260" s="194">
        <f ca="1">OFFSET('배치점수 계산기'!L$10,$D260,0)</f>
        <v>646.16200000000003</v>
      </c>
      <c r="W260" s="186" t="str">
        <f ca="1">OFFSET('배치점수 계산기'!M$10,$D260,0)</f>
        <v>표점/만점</v>
      </c>
      <c r="X260" s="184" t="str">
        <f ca="1">OFFSET('배치점수 계산기'!N$10,$D260,0)</f>
        <v>변표/만점</v>
      </c>
      <c r="Y260" s="188">
        <f ca="1">OFFSET(환산공식!FW$15,$F260,0)</f>
        <v>0.35</v>
      </c>
      <c r="Z260" s="20">
        <f ca="1">OFFSET(환산공식!FX$15,$F260,0)</f>
        <v>0.41</v>
      </c>
      <c r="AA260" s="179">
        <f ca="1">OFFSET(환산공식!FY$15,$F260,0)</f>
        <v>0.23</v>
      </c>
      <c r="AC260"/>
      <c r="AD260">
        <f t="shared" ca="1" si="8"/>
        <v>6</v>
      </c>
      <c r="AE260"/>
    </row>
    <row r="261" spans="1:31" s="3" customFormat="1">
      <c r="A261" s="198"/>
      <c r="B261" s="198"/>
      <c r="C261" s="198" t="s">
        <v>822</v>
      </c>
      <c r="D261" s="195">
        <v>311</v>
      </c>
      <c r="E261" s="195">
        <v>39</v>
      </c>
      <c r="F261" s="195">
        <v>39</v>
      </c>
      <c r="G261" s="239">
        <v>254</v>
      </c>
      <c r="H261" s="197" t="s">
        <v>72</v>
      </c>
      <c r="I261" s="242" t="s">
        <v>9336</v>
      </c>
      <c r="J261" s="242" t="s">
        <v>7365</v>
      </c>
      <c r="K261" s="195" t="s">
        <v>71</v>
      </c>
      <c r="L261" s="20" t="str">
        <f ca="1">IF(OFFSET(환산공식!$ED$15,$F261,0)=1,"O","X")</f>
        <v>X</v>
      </c>
      <c r="M261" s="188">
        <f ca="1">IFERROR(OFFSET(환산공식!DJ$15,$F261,0),"")</f>
        <v>105</v>
      </c>
      <c r="N261" s="20" t="str">
        <f ca="1">IFERROR(CONCATENATE(ROUND(OFFSET(환산공식!DK$15,$F261,0),1),"%"),"")</f>
        <v>100%</v>
      </c>
      <c r="O261" s="20">
        <f ca="1">IFERROR(OFFSET(환산공식!DL$15,$F261,0),"")</f>
        <v>10</v>
      </c>
      <c r="P261" s="188" t="str">
        <f t="shared" ca="1" si="7"/>
        <v>3% 이하</v>
      </c>
      <c r="Q261" s="194">
        <f ca="1">IFERROR(ROUND(OFFSET(환산공식!$FG$15,$F261,0),3),"")</f>
        <v>0</v>
      </c>
      <c r="R261" s="194">
        <f ca="1">OFFSET('배치점수 계산기'!H$10,$D261,0)</f>
        <v>651.47400000000005</v>
      </c>
      <c r="S261" s="194">
        <f ca="1">OFFSET('배치점수 계산기'!I$10,$D261,0)</f>
        <v>649.90099999999995</v>
      </c>
      <c r="T261" s="194">
        <f ca="1">OFFSET('배치점수 계산기'!J$10,$D261,0)</f>
        <v>648.16300000000001</v>
      </c>
      <c r="U261" s="194">
        <f ca="1">OFFSET('배치점수 계산기'!K$10,$D261,0)</f>
        <v>642.23199999999997</v>
      </c>
      <c r="V261" s="194">
        <f ca="1">OFFSET('배치점수 계산기'!L$10,$D261,0)</f>
        <v>638.976</v>
      </c>
      <c r="W261" s="186" t="str">
        <f ca="1">OFFSET('배치점수 계산기'!M$10,$D261,0)</f>
        <v>표점/만점</v>
      </c>
      <c r="X261" s="184" t="str">
        <f ca="1">OFFSET('배치점수 계산기'!N$10,$D261,0)</f>
        <v>변표/만점</v>
      </c>
      <c r="Y261" s="188">
        <f ca="1">OFFSET(환산공식!FW$15,$F261,0)</f>
        <v>0.35</v>
      </c>
      <c r="Z261" s="20">
        <f ca="1">OFFSET(환산공식!FX$15,$F261,0)</f>
        <v>0.41</v>
      </c>
      <c r="AA261" s="179">
        <f ca="1">OFFSET(환산공식!FY$15,$F261,0)</f>
        <v>0.23</v>
      </c>
      <c r="AC261"/>
      <c r="AD261">
        <f t="shared" ca="1" si="8"/>
        <v>6</v>
      </c>
      <c r="AE261"/>
    </row>
    <row r="262" spans="1:31" s="3" customFormat="1">
      <c r="A262" s="198"/>
      <c r="B262" s="198"/>
      <c r="C262" s="198" t="s">
        <v>823</v>
      </c>
      <c r="D262" s="195">
        <v>312</v>
      </c>
      <c r="E262" s="195">
        <v>38</v>
      </c>
      <c r="F262" s="195">
        <v>38</v>
      </c>
      <c r="G262" s="239">
        <v>255</v>
      </c>
      <c r="H262" s="197" t="s">
        <v>72</v>
      </c>
      <c r="I262" s="242" t="s">
        <v>9336</v>
      </c>
      <c r="J262" s="242" t="s">
        <v>8216</v>
      </c>
      <c r="K262" s="195" t="s">
        <v>71</v>
      </c>
      <c r="L262" s="20" t="str">
        <f ca="1">IF(OFFSET(환산공식!$ED$15,$F262,0)=1,"O","X")</f>
        <v>X</v>
      </c>
      <c r="M262" s="188">
        <f ca="1">IFERROR(OFFSET(환산공식!DJ$15,$F262,0),"")</f>
        <v>140</v>
      </c>
      <c r="N262" s="20" t="str">
        <f ca="1">IFERROR(CONCATENATE(ROUND(OFFSET(환산공식!DK$15,$F262,0),1),"%"),"")</f>
        <v>100%</v>
      </c>
      <c r="O262" s="20">
        <f ca="1">IFERROR(OFFSET(환산공식!DL$15,$F262,0),"")</f>
        <v>10</v>
      </c>
      <c r="P262" s="188" t="str">
        <f t="shared" ca="1" si="7"/>
        <v>3% 이하</v>
      </c>
      <c r="Q262" s="194">
        <f ca="1">IFERROR(ROUND(OFFSET(환산공식!$FG$15,$F262,0),3),"")</f>
        <v>0</v>
      </c>
      <c r="R262" s="194">
        <f ca="1">OFFSET('배치점수 계산기'!H$10,$D262,0)</f>
        <v>655.52</v>
      </c>
      <c r="S262" s="194">
        <f ca="1">OFFSET('배치점수 계산기'!I$10,$D262,0)</f>
        <v>653.06500000000005</v>
      </c>
      <c r="T262" s="194">
        <f ca="1">OFFSET('배치점수 계산기'!J$10,$D262,0)</f>
        <v>649.77300000000002</v>
      </c>
      <c r="U262" s="194">
        <f ca="1">OFFSET('배치점수 계산기'!K$10,$D262,0)</f>
        <v>647.52700000000004</v>
      </c>
      <c r="V262" s="194">
        <f ca="1">OFFSET('배치점수 계산기'!L$10,$D262,0)</f>
        <v>643.20399999999995</v>
      </c>
      <c r="W262" s="186" t="str">
        <f ca="1">OFFSET('배치점수 계산기'!M$10,$D262,0)</f>
        <v>표점/만점</v>
      </c>
      <c r="X262" s="184" t="str">
        <f ca="1">OFFSET('배치점수 계산기'!N$10,$D262,0)</f>
        <v>변표/만점</v>
      </c>
      <c r="Y262" s="188">
        <f ca="1">OFFSET(환산공식!FW$15,$F262,0)</f>
        <v>0.38</v>
      </c>
      <c r="Z262" s="20">
        <f ca="1">OFFSET(환산공식!FX$15,$F262,0)</f>
        <v>0.37</v>
      </c>
      <c r="AA262" s="179">
        <f ca="1">OFFSET(환산공식!FY$15,$F262,0)</f>
        <v>0.25</v>
      </c>
      <c r="AC262"/>
      <c r="AD262">
        <f t="shared" ca="1" si="8"/>
        <v>6</v>
      </c>
      <c r="AE262"/>
    </row>
    <row r="263" spans="1:31" s="3" customFormat="1">
      <c r="A263" s="198"/>
      <c r="B263" s="198"/>
      <c r="C263" s="198" t="s">
        <v>824</v>
      </c>
      <c r="D263" s="195">
        <v>313</v>
      </c>
      <c r="E263" s="195">
        <v>39</v>
      </c>
      <c r="F263" s="195">
        <v>39</v>
      </c>
      <c r="G263" s="239">
        <v>256</v>
      </c>
      <c r="H263" s="197" t="s">
        <v>72</v>
      </c>
      <c r="I263" s="242" t="s">
        <v>9336</v>
      </c>
      <c r="J263" s="242" t="s">
        <v>9738</v>
      </c>
      <c r="K263" s="195" t="s">
        <v>71</v>
      </c>
      <c r="L263" s="20" t="str">
        <f ca="1">IF(OFFSET(환산공식!$ED$15,$F263,0)=1,"O","X")</f>
        <v>X</v>
      </c>
      <c r="M263" s="188">
        <f ca="1">IFERROR(OFFSET(환산공식!DJ$15,$F263,0),"")</f>
        <v>105</v>
      </c>
      <c r="N263" s="20" t="str">
        <f ca="1">IFERROR(CONCATENATE(ROUND(OFFSET(환산공식!DK$15,$F263,0),1),"%"),"")</f>
        <v>100%</v>
      </c>
      <c r="O263" s="20">
        <f ca="1">IFERROR(OFFSET(환산공식!DL$15,$F263,0),"")</f>
        <v>10</v>
      </c>
      <c r="P263" s="188" t="str">
        <f t="shared" ca="1" si="7"/>
        <v>3% 이하</v>
      </c>
      <c r="Q263" s="194">
        <f ca="1">IFERROR(ROUND(OFFSET(환산공식!$FG$15,$F263,0),3),"")</f>
        <v>0</v>
      </c>
      <c r="R263" s="194">
        <f ca="1">OFFSET('배치점수 계산기'!H$10,$D263,0)</f>
        <v>652.44500000000005</v>
      </c>
      <c r="S263" s="194">
        <f ca="1">OFFSET('배치점수 계산기'!I$10,$D263,0)</f>
        <v>649.46299999999997</v>
      </c>
      <c r="T263" s="194">
        <f ca="1">OFFSET('배치점수 계산기'!J$10,$D263,0)</f>
        <v>646.39800000000002</v>
      </c>
      <c r="U263" s="194">
        <f ca="1">OFFSET('배치점수 계산기'!K$10,$D263,0)</f>
        <v>644.13099999999997</v>
      </c>
      <c r="V263" s="194">
        <f ca="1">OFFSET('배치점수 계산기'!L$10,$D263,0)</f>
        <v>639.72900000000004</v>
      </c>
      <c r="W263" s="186" t="str">
        <f ca="1">OFFSET('배치점수 계산기'!M$10,$D263,0)</f>
        <v>표점/만점</v>
      </c>
      <c r="X263" s="184" t="str">
        <f ca="1">OFFSET('배치점수 계산기'!N$10,$D263,0)</f>
        <v>변표/만점</v>
      </c>
      <c r="Y263" s="188">
        <f ca="1">OFFSET(환산공식!FW$15,$F263,0)</f>
        <v>0.35</v>
      </c>
      <c r="Z263" s="20">
        <f ca="1">OFFSET(환산공식!FX$15,$F263,0)</f>
        <v>0.41</v>
      </c>
      <c r="AA263" s="179">
        <f ca="1">OFFSET(환산공식!FY$15,$F263,0)</f>
        <v>0.23</v>
      </c>
      <c r="AC263"/>
      <c r="AD263">
        <f t="shared" ca="1" si="8"/>
        <v>6</v>
      </c>
      <c r="AE263"/>
    </row>
    <row r="264" spans="1:31" s="3" customFormat="1">
      <c r="A264" s="198"/>
      <c r="B264" s="198"/>
      <c r="C264" s="198" t="s">
        <v>825</v>
      </c>
      <c r="D264" s="195">
        <v>314</v>
      </c>
      <c r="E264" s="195">
        <v>38</v>
      </c>
      <c r="F264" s="195">
        <v>38</v>
      </c>
      <c r="G264" s="239">
        <v>257</v>
      </c>
      <c r="H264" s="197" t="s">
        <v>72</v>
      </c>
      <c r="I264" s="242" t="s">
        <v>9336</v>
      </c>
      <c r="J264" s="242" t="s">
        <v>9826</v>
      </c>
      <c r="K264" s="195" t="s">
        <v>71</v>
      </c>
      <c r="L264" s="20" t="str">
        <f ca="1">IF(OFFSET(환산공식!$ED$15,$F264,0)=1,"O","X")</f>
        <v>X</v>
      </c>
      <c r="M264" s="188">
        <f ca="1">IFERROR(OFFSET(환산공식!DJ$15,$F264,0),"")</f>
        <v>140</v>
      </c>
      <c r="N264" s="20" t="str">
        <f ca="1">IFERROR(CONCATENATE(ROUND(OFFSET(환산공식!DK$15,$F264,0),1),"%"),"")</f>
        <v>100%</v>
      </c>
      <c r="O264" s="20">
        <f ca="1">IFERROR(OFFSET(환산공식!DL$15,$F264,0),"")</f>
        <v>10</v>
      </c>
      <c r="P264" s="188" t="str">
        <f t="shared" ca="1" si="7"/>
        <v>3% 이하</v>
      </c>
      <c r="Q264" s="194">
        <f ca="1">IFERROR(ROUND(OFFSET(환산공식!$FG$15,$F264,0),3),"")</f>
        <v>0</v>
      </c>
      <c r="R264" s="194">
        <f ca="1">OFFSET('배치점수 계산기'!H$10,$D264,0)</f>
        <v>654.27099999999996</v>
      </c>
      <c r="S264" s="194">
        <f ca="1">OFFSET('배치점수 계산기'!I$10,$D264,0)</f>
        <v>651.73699999999997</v>
      </c>
      <c r="T264" s="194">
        <f ca="1">OFFSET('배치점수 계산기'!J$10,$D264,0)</f>
        <v>648.70899999999995</v>
      </c>
      <c r="U264" s="194">
        <f ca="1">OFFSET('배치점수 계산기'!K$10,$D264,0)</f>
        <v>646.18100000000004</v>
      </c>
      <c r="V264" s="194">
        <f ca="1">OFFSET('배치점수 계산기'!L$10,$D264,0)</f>
        <v>641.97400000000005</v>
      </c>
      <c r="W264" s="186" t="str">
        <f ca="1">OFFSET('배치점수 계산기'!M$10,$D264,0)</f>
        <v>표점/만점</v>
      </c>
      <c r="X264" s="184" t="str">
        <f ca="1">OFFSET('배치점수 계산기'!N$10,$D264,0)</f>
        <v>변표/만점</v>
      </c>
      <c r="Y264" s="188">
        <f ca="1">OFFSET(환산공식!FW$15,$F264,0)</f>
        <v>0.38</v>
      </c>
      <c r="Z264" s="20">
        <f ca="1">OFFSET(환산공식!FX$15,$F264,0)</f>
        <v>0.37</v>
      </c>
      <c r="AA264" s="179">
        <f ca="1">OFFSET(환산공식!FY$15,$F264,0)</f>
        <v>0.25</v>
      </c>
      <c r="AC264"/>
      <c r="AD264">
        <f t="shared" ca="1" si="8"/>
        <v>6</v>
      </c>
      <c r="AE264"/>
    </row>
    <row r="265" spans="1:31" s="3" customFormat="1">
      <c r="A265" s="198"/>
      <c r="B265" s="198"/>
      <c r="C265" s="198" t="s">
        <v>826</v>
      </c>
      <c r="D265" s="195">
        <v>315</v>
      </c>
      <c r="E265" s="195">
        <v>38</v>
      </c>
      <c r="F265" s="195">
        <v>38</v>
      </c>
      <c r="G265" s="239">
        <v>258</v>
      </c>
      <c r="H265" s="197" t="s">
        <v>72</v>
      </c>
      <c r="I265" s="242" t="s">
        <v>9336</v>
      </c>
      <c r="J265" s="242" t="s">
        <v>9824</v>
      </c>
      <c r="K265" s="195" t="s">
        <v>71</v>
      </c>
      <c r="L265" s="20" t="str">
        <f ca="1">IF(OFFSET(환산공식!$ED$15,$F265,0)=1,"O","X")</f>
        <v>X</v>
      </c>
      <c r="M265" s="188">
        <f ca="1">IFERROR(OFFSET(환산공식!DJ$15,$F265,0),"")</f>
        <v>140</v>
      </c>
      <c r="N265" s="20" t="str">
        <f ca="1">IFERROR(CONCATENATE(ROUND(OFFSET(환산공식!DK$15,$F265,0),1),"%"),"")</f>
        <v>100%</v>
      </c>
      <c r="O265" s="20">
        <f ca="1">IFERROR(OFFSET(환산공식!DL$15,$F265,0),"")</f>
        <v>10</v>
      </c>
      <c r="P265" s="188" t="str">
        <f t="shared" ref="P265:P328" ca="1" si="9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3% 이하</v>
      </c>
      <c r="Q265" s="194">
        <f ca="1">IFERROR(ROUND(OFFSET(환산공식!$FG$15,$F265,0),3),"")</f>
        <v>0</v>
      </c>
      <c r="R265" s="194">
        <f ca="1">OFFSET('배치점수 계산기'!H$10,$D265,0)</f>
        <v>654.27099999999996</v>
      </c>
      <c r="S265" s="194">
        <f ca="1">OFFSET('배치점수 계산기'!I$10,$D265,0)</f>
        <v>651.73699999999997</v>
      </c>
      <c r="T265" s="194">
        <f ca="1">OFFSET('배치점수 계산기'!J$10,$D265,0)</f>
        <v>648.70899999999995</v>
      </c>
      <c r="U265" s="194">
        <f ca="1">OFFSET('배치점수 계산기'!K$10,$D265,0)</f>
        <v>646.18100000000004</v>
      </c>
      <c r="V265" s="194">
        <f ca="1">OFFSET('배치점수 계산기'!L$10,$D265,0)</f>
        <v>641.97400000000005</v>
      </c>
      <c r="W265" s="186" t="str">
        <f ca="1">OFFSET('배치점수 계산기'!M$10,$D265,0)</f>
        <v>표점/만점</v>
      </c>
      <c r="X265" s="184" t="str">
        <f ca="1">OFFSET('배치점수 계산기'!N$10,$D265,0)</f>
        <v>변표/만점</v>
      </c>
      <c r="Y265" s="188">
        <f ca="1">OFFSET(환산공식!FW$15,$F265,0)</f>
        <v>0.38</v>
      </c>
      <c r="Z265" s="20">
        <f ca="1">OFFSET(환산공식!FX$15,$F265,0)</f>
        <v>0.37</v>
      </c>
      <c r="AA265" s="179">
        <f ca="1">OFFSET(환산공식!FY$15,$F265,0)</f>
        <v>0.25</v>
      </c>
      <c r="AC265"/>
      <c r="AD265">
        <f t="shared" ref="AD265:AD328" ca="1" si="10">IF(L265="X",6,IF(Q265&gt;R265,1,IF(Q265&gt;S265,2,IF(Q265&gt;T265,3,IF(Q265&gt;U265,4,IF(Q265&gt;=V265,5,IF(Q265&lt;V265,6,"")))))))</f>
        <v>6</v>
      </c>
      <c r="AE265"/>
    </row>
    <row r="266" spans="1:31" s="3" customFormat="1">
      <c r="A266" s="198"/>
      <c r="B266" s="198"/>
      <c r="C266" s="198" t="s">
        <v>827</v>
      </c>
      <c r="D266" s="195">
        <v>316</v>
      </c>
      <c r="E266" s="195">
        <v>38</v>
      </c>
      <c r="F266" s="195">
        <v>38</v>
      </c>
      <c r="G266" s="239">
        <v>259</v>
      </c>
      <c r="H266" s="197" t="s">
        <v>72</v>
      </c>
      <c r="I266" s="242" t="s">
        <v>9336</v>
      </c>
      <c r="J266" s="242" t="s">
        <v>10002</v>
      </c>
      <c r="K266" s="195" t="s">
        <v>71</v>
      </c>
      <c r="L266" s="20" t="str">
        <f ca="1">IF(OFFSET(환산공식!$ED$15,$F266,0)=1,"O","X")</f>
        <v>X</v>
      </c>
      <c r="M266" s="188">
        <f ca="1">IFERROR(OFFSET(환산공식!DJ$15,$F266,0),"")</f>
        <v>140</v>
      </c>
      <c r="N266" s="20" t="str">
        <f ca="1">IFERROR(CONCATENATE(ROUND(OFFSET(환산공식!DK$15,$F266,0),1),"%"),"")</f>
        <v>100%</v>
      </c>
      <c r="O266" s="20">
        <f ca="1">IFERROR(OFFSET(환산공식!DL$15,$F266,0),"")</f>
        <v>10</v>
      </c>
      <c r="P266" s="188" t="str">
        <f t="shared" ca="1" si="9"/>
        <v>3% 이하</v>
      </c>
      <c r="Q266" s="194">
        <f ca="1">IFERROR(ROUND(OFFSET(환산공식!$FG$15,$F266,0),3),"")</f>
        <v>0</v>
      </c>
      <c r="R266" s="194">
        <f ca="1">OFFSET('배치점수 계산기'!H$10,$D266,0)</f>
        <v>650.67499999999995</v>
      </c>
      <c r="S266" s="194">
        <f ca="1">OFFSET('배치점수 계산기'!I$10,$D266,0)</f>
        <v>649.87199999999996</v>
      </c>
      <c r="T266" s="194">
        <f ca="1">OFFSET('배치점수 계산기'!J$10,$D266,0)</f>
        <v>648.53700000000003</v>
      </c>
      <c r="U266" s="194">
        <f ca="1">OFFSET('배치점수 계산기'!K$10,$D266,0)</f>
        <v>646.97900000000004</v>
      </c>
      <c r="V266" s="194">
        <f ca="1">OFFSET('배치점수 계산기'!L$10,$D266,0)</f>
        <v>643.77800000000002</v>
      </c>
      <c r="W266" s="186" t="str">
        <f ca="1">OFFSET('배치점수 계산기'!M$10,$D266,0)</f>
        <v>표점/만점</v>
      </c>
      <c r="X266" s="184" t="str">
        <f ca="1">OFFSET('배치점수 계산기'!N$10,$D266,0)</f>
        <v>변표/만점</v>
      </c>
      <c r="Y266" s="188">
        <f ca="1">OFFSET(환산공식!FW$15,$F266,0)</f>
        <v>0.38</v>
      </c>
      <c r="Z266" s="20">
        <f ca="1">OFFSET(환산공식!FX$15,$F266,0)</f>
        <v>0.37</v>
      </c>
      <c r="AA266" s="179">
        <f ca="1">OFFSET(환산공식!FY$15,$F266,0)</f>
        <v>0.25</v>
      </c>
      <c r="AC266"/>
      <c r="AD266">
        <f t="shared" ca="1" si="10"/>
        <v>6</v>
      </c>
      <c r="AE266"/>
    </row>
    <row r="267" spans="1:31" s="3" customFormat="1">
      <c r="A267" s="198"/>
      <c r="B267" s="198"/>
      <c r="C267" s="198" t="s">
        <v>828</v>
      </c>
      <c r="D267" s="195">
        <v>317</v>
      </c>
      <c r="E267" s="195">
        <v>38</v>
      </c>
      <c r="F267" s="195">
        <v>38</v>
      </c>
      <c r="G267" s="239">
        <v>260</v>
      </c>
      <c r="H267" s="197" t="s">
        <v>72</v>
      </c>
      <c r="I267" s="242" t="s">
        <v>9336</v>
      </c>
      <c r="J267" s="242" t="s">
        <v>9879</v>
      </c>
      <c r="K267" s="195" t="s">
        <v>71</v>
      </c>
      <c r="L267" s="20" t="str">
        <f ca="1">IF(OFFSET(환산공식!$ED$15,$F267,0)=1,"O","X")</f>
        <v>X</v>
      </c>
      <c r="M267" s="188">
        <f ca="1">IFERROR(OFFSET(환산공식!DJ$15,$F267,0),"")</f>
        <v>140</v>
      </c>
      <c r="N267" s="20" t="str">
        <f ca="1">IFERROR(CONCATENATE(ROUND(OFFSET(환산공식!DK$15,$F267,0),1),"%"),"")</f>
        <v>100%</v>
      </c>
      <c r="O267" s="20">
        <f ca="1">IFERROR(OFFSET(환산공식!DL$15,$F267,0),"")</f>
        <v>10</v>
      </c>
      <c r="P267" s="188" t="str">
        <f t="shared" ca="1" si="9"/>
        <v>3% 이하</v>
      </c>
      <c r="Q267" s="194">
        <f ca="1">IFERROR(ROUND(OFFSET(환산공식!$FG$15,$F267,0),3),"")</f>
        <v>0</v>
      </c>
      <c r="R267" s="194">
        <f ca="1">OFFSET('배치점수 계산기'!H$10,$D267,0)</f>
        <v>653.601</v>
      </c>
      <c r="S267" s="194">
        <f ca="1">OFFSET('배치점수 계산기'!I$10,$D267,0)</f>
        <v>651.24300000000005</v>
      </c>
      <c r="T267" s="194">
        <f ca="1">OFFSET('배치점수 계산기'!J$10,$D267,0)</f>
        <v>648.14499999999998</v>
      </c>
      <c r="U267" s="194">
        <f ca="1">OFFSET('배치점수 계산기'!K$10,$D267,0)</f>
        <v>645.41399999999999</v>
      </c>
      <c r="V267" s="194">
        <f ca="1">OFFSET('배치점수 계산기'!L$10,$D267,0)</f>
        <v>641.274</v>
      </c>
      <c r="W267" s="186" t="str">
        <f ca="1">OFFSET('배치점수 계산기'!M$10,$D267,0)</f>
        <v>표점/만점</v>
      </c>
      <c r="X267" s="184" t="str">
        <f ca="1">OFFSET('배치점수 계산기'!N$10,$D267,0)</f>
        <v>변표/만점</v>
      </c>
      <c r="Y267" s="188">
        <f ca="1">OFFSET(환산공식!FW$15,$F267,0)</f>
        <v>0.38</v>
      </c>
      <c r="Z267" s="20">
        <f ca="1">OFFSET(환산공식!FX$15,$F267,0)</f>
        <v>0.37</v>
      </c>
      <c r="AA267" s="179">
        <f ca="1">OFFSET(환산공식!FY$15,$F267,0)</f>
        <v>0.25</v>
      </c>
      <c r="AC267"/>
      <c r="AD267">
        <f t="shared" ca="1" si="10"/>
        <v>6</v>
      </c>
      <c r="AE267"/>
    </row>
    <row r="268" spans="1:31" s="3" customFormat="1">
      <c r="A268" s="198"/>
      <c r="B268" s="198"/>
      <c r="C268" s="198" t="s">
        <v>829</v>
      </c>
      <c r="D268" s="195">
        <v>318</v>
      </c>
      <c r="E268" s="195">
        <v>38</v>
      </c>
      <c r="F268" s="195">
        <v>38</v>
      </c>
      <c r="G268" s="239">
        <v>261</v>
      </c>
      <c r="H268" s="197" t="s">
        <v>72</v>
      </c>
      <c r="I268" s="242" t="s">
        <v>9336</v>
      </c>
      <c r="J268" s="242" t="s">
        <v>10032</v>
      </c>
      <c r="K268" s="195" t="s">
        <v>71</v>
      </c>
      <c r="L268" s="20" t="str">
        <f ca="1">IF(OFFSET(환산공식!$ED$15,$F268,0)=1,"O","X")</f>
        <v>X</v>
      </c>
      <c r="M268" s="188">
        <f ca="1">IFERROR(OFFSET(환산공식!DJ$15,$F268,0),"")</f>
        <v>140</v>
      </c>
      <c r="N268" s="20" t="str">
        <f ca="1">IFERROR(CONCATENATE(ROUND(OFFSET(환산공식!DK$15,$F268,0),1),"%"),"")</f>
        <v>100%</v>
      </c>
      <c r="O268" s="20">
        <f ca="1">IFERROR(OFFSET(환산공식!DL$15,$F268,0),"")</f>
        <v>10</v>
      </c>
      <c r="P268" s="188" t="str">
        <f t="shared" ca="1" si="9"/>
        <v>3% 이하</v>
      </c>
      <c r="Q268" s="194">
        <f ca="1">IFERROR(ROUND(OFFSET(환산공식!$FG$15,$F268,0),3),"")</f>
        <v>0</v>
      </c>
      <c r="R268" s="194">
        <f ca="1">OFFSET('배치점수 계산기'!H$10,$D268,0)</f>
        <v>652.20799999999997</v>
      </c>
      <c r="S268" s="194">
        <f ca="1">OFFSET('배치점수 계산기'!I$10,$D268,0)</f>
        <v>649.92399999999998</v>
      </c>
      <c r="T268" s="194">
        <f ca="1">OFFSET('배치점수 계산기'!J$10,$D268,0)</f>
        <v>647.82100000000003</v>
      </c>
      <c r="U268" s="194">
        <f ca="1">OFFSET('배치점수 계산기'!K$10,$D268,0)</f>
        <v>644.78599999999994</v>
      </c>
      <c r="V268" s="194">
        <f ca="1">OFFSET('배치점수 계산기'!L$10,$D268,0)</f>
        <v>639.99900000000002</v>
      </c>
      <c r="W268" s="186" t="str">
        <f ca="1">OFFSET('배치점수 계산기'!M$10,$D268,0)</f>
        <v>표점/만점</v>
      </c>
      <c r="X268" s="184" t="str">
        <f ca="1">OFFSET('배치점수 계산기'!N$10,$D268,0)</f>
        <v>변표/만점</v>
      </c>
      <c r="Y268" s="188">
        <f ca="1">OFFSET(환산공식!FW$15,$F268,0)</f>
        <v>0.38</v>
      </c>
      <c r="Z268" s="20">
        <f ca="1">OFFSET(환산공식!FX$15,$F268,0)</f>
        <v>0.37</v>
      </c>
      <c r="AA268" s="179">
        <f ca="1">OFFSET(환산공식!FY$15,$F268,0)</f>
        <v>0.25</v>
      </c>
      <c r="AC268"/>
      <c r="AD268">
        <f t="shared" ca="1" si="10"/>
        <v>6</v>
      </c>
      <c r="AE268"/>
    </row>
    <row r="269" spans="1:31" s="3" customFormat="1">
      <c r="A269" s="198"/>
      <c r="B269" s="198"/>
      <c r="C269" s="198" t="s">
        <v>830</v>
      </c>
      <c r="D269" s="195">
        <v>319</v>
      </c>
      <c r="E269" s="195">
        <v>38</v>
      </c>
      <c r="F269" s="195">
        <v>38</v>
      </c>
      <c r="G269" s="239">
        <v>262</v>
      </c>
      <c r="H269" s="197" t="s">
        <v>72</v>
      </c>
      <c r="I269" s="242" t="s">
        <v>9336</v>
      </c>
      <c r="J269" s="242" t="s">
        <v>10043</v>
      </c>
      <c r="K269" s="195" t="s">
        <v>71</v>
      </c>
      <c r="L269" s="20" t="str">
        <f ca="1">IF(OFFSET(환산공식!$ED$15,$F269,0)=1,"O","X")</f>
        <v>X</v>
      </c>
      <c r="M269" s="188">
        <f ca="1">IFERROR(OFFSET(환산공식!DJ$15,$F269,0),"")</f>
        <v>140</v>
      </c>
      <c r="N269" s="20" t="str">
        <f ca="1">IFERROR(CONCATENATE(ROUND(OFFSET(환산공식!DK$15,$F269,0),1),"%"),"")</f>
        <v>100%</v>
      </c>
      <c r="O269" s="20">
        <f ca="1">IFERROR(OFFSET(환산공식!DL$15,$F269,0),"")</f>
        <v>10</v>
      </c>
      <c r="P269" s="188" t="str">
        <f t="shared" ca="1" si="9"/>
        <v>3% 이하</v>
      </c>
      <c r="Q269" s="194">
        <f ca="1">IFERROR(ROUND(OFFSET(환산공식!$FG$15,$F269,0),3),"")</f>
        <v>0</v>
      </c>
      <c r="R269" s="194">
        <f ca="1">OFFSET('배치점수 계산기'!H$10,$D269,0)</f>
        <v>652.20799999999997</v>
      </c>
      <c r="S269" s="194">
        <f ca="1">OFFSET('배치점수 계산기'!I$10,$D269,0)</f>
        <v>649.87199999999996</v>
      </c>
      <c r="T269" s="194">
        <f ca="1">OFFSET('배치점수 계산기'!J$10,$D269,0)</f>
        <v>647.82100000000003</v>
      </c>
      <c r="U269" s="194">
        <f ca="1">OFFSET('배치점수 계산기'!K$10,$D269,0)</f>
        <v>644.64300000000003</v>
      </c>
      <c r="V269" s="194">
        <f ca="1">OFFSET('배치점수 계산기'!L$10,$D269,0)</f>
        <v>639.84799999999996</v>
      </c>
      <c r="W269" s="186" t="str">
        <f ca="1">OFFSET('배치점수 계산기'!M$10,$D269,0)</f>
        <v>표점/만점</v>
      </c>
      <c r="X269" s="184" t="str">
        <f ca="1">OFFSET('배치점수 계산기'!N$10,$D269,0)</f>
        <v>변표/만점</v>
      </c>
      <c r="Y269" s="188">
        <f ca="1">OFFSET(환산공식!FW$15,$F269,0)</f>
        <v>0.38</v>
      </c>
      <c r="Z269" s="20">
        <f ca="1">OFFSET(환산공식!FX$15,$F269,0)</f>
        <v>0.37</v>
      </c>
      <c r="AA269" s="179">
        <f ca="1">OFFSET(환산공식!FY$15,$F269,0)</f>
        <v>0.25</v>
      </c>
      <c r="AC269"/>
      <c r="AD269">
        <f t="shared" ca="1" si="10"/>
        <v>6</v>
      </c>
      <c r="AE269"/>
    </row>
    <row r="270" spans="1:31" s="3" customFormat="1">
      <c r="A270" s="198"/>
      <c r="B270" s="198"/>
      <c r="C270" s="198" t="s">
        <v>831</v>
      </c>
      <c r="D270" s="195">
        <v>320</v>
      </c>
      <c r="E270" s="195">
        <v>38</v>
      </c>
      <c r="F270" s="195">
        <v>38</v>
      </c>
      <c r="G270" s="239">
        <v>263</v>
      </c>
      <c r="H270" s="197" t="s">
        <v>72</v>
      </c>
      <c r="I270" s="242" t="s">
        <v>9336</v>
      </c>
      <c r="J270" s="242" t="s">
        <v>10041</v>
      </c>
      <c r="K270" s="195" t="s">
        <v>71</v>
      </c>
      <c r="L270" s="20" t="str">
        <f ca="1">IF(OFFSET(환산공식!$ED$15,$F270,0)=1,"O","X")</f>
        <v>X</v>
      </c>
      <c r="M270" s="188">
        <f ca="1">IFERROR(OFFSET(환산공식!DJ$15,$F270,0),"")</f>
        <v>140</v>
      </c>
      <c r="N270" s="20" t="str">
        <f ca="1">IFERROR(CONCATENATE(ROUND(OFFSET(환산공식!DK$15,$F270,0),1),"%"),"")</f>
        <v>100%</v>
      </c>
      <c r="O270" s="20">
        <f ca="1">IFERROR(OFFSET(환산공식!DL$15,$F270,0),"")</f>
        <v>10</v>
      </c>
      <c r="P270" s="188" t="str">
        <f t="shared" ca="1" si="9"/>
        <v>3% 이하</v>
      </c>
      <c r="Q270" s="194">
        <f ca="1">IFERROR(ROUND(OFFSET(환산공식!$FG$15,$F270,0),3),"")</f>
        <v>0</v>
      </c>
      <c r="R270" s="194">
        <f ca="1">OFFSET('배치점수 계산기'!H$10,$D270,0)</f>
        <v>652.20799999999997</v>
      </c>
      <c r="S270" s="194">
        <f ca="1">OFFSET('배치점수 계산기'!I$10,$D270,0)</f>
        <v>649.87199999999996</v>
      </c>
      <c r="T270" s="194">
        <f ca="1">OFFSET('배치점수 계산기'!J$10,$D270,0)</f>
        <v>647.82100000000003</v>
      </c>
      <c r="U270" s="194">
        <f ca="1">OFFSET('배치점수 계산기'!K$10,$D270,0)</f>
        <v>644.64300000000003</v>
      </c>
      <c r="V270" s="194">
        <f ca="1">OFFSET('배치점수 계산기'!L$10,$D270,0)</f>
        <v>639.84799999999996</v>
      </c>
      <c r="W270" s="186" t="str">
        <f ca="1">OFFSET('배치점수 계산기'!M$10,$D270,0)</f>
        <v>표점/만점</v>
      </c>
      <c r="X270" s="184" t="str">
        <f ca="1">OFFSET('배치점수 계산기'!N$10,$D270,0)</f>
        <v>변표/만점</v>
      </c>
      <c r="Y270" s="188">
        <f ca="1">OFFSET(환산공식!FW$15,$F270,0)</f>
        <v>0.38</v>
      </c>
      <c r="Z270" s="20">
        <f ca="1">OFFSET(환산공식!FX$15,$F270,0)</f>
        <v>0.37</v>
      </c>
      <c r="AA270" s="179">
        <f ca="1">OFFSET(환산공식!FY$15,$F270,0)</f>
        <v>0.25</v>
      </c>
      <c r="AC270"/>
      <c r="AD270">
        <f t="shared" ca="1" si="10"/>
        <v>6</v>
      </c>
      <c r="AE270"/>
    </row>
    <row r="271" spans="1:31" s="3" customFormat="1">
      <c r="A271" s="198"/>
      <c r="B271" s="198"/>
      <c r="C271" s="198" t="s">
        <v>832</v>
      </c>
      <c r="D271" s="195">
        <v>321</v>
      </c>
      <c r="E271" s="195">
        <v>38</v>
      </c>
      <c r="F271" s="195">
        <v>38</v>
      </c>
      <c r="G271" s="239">
        <v>264</v>
      </c>
      <c r="H271" s="197" t="s">
        <v>72</v>
      </c>
      <c r="I271" s="242" t="s">
        <v>9336</v>
      </c>
      <c r="J271" s="242" t="s">
        <v>10056</v>
      </c>
      <c r="K271" s="195" t="s">
        <v>71</v>
      </c>
      <c r="L271" s="20" t="str">
        <f ca="1">IF(OFFSET(환산공식!$ED$15,$F271,0)=1,"O","X")</f>
        <v>X</v>
      </c>
      <c r="M271" s="188">
        <f ca="1">IFERROR(OFFSET(환산공식!DJ$15,$F271,0),"")</f>
        <v>140</v>
      </c>
      <c r="N271" s="20" t="str">
        <f ca="1">IFERROR(CONCATENATE(ROUND(OFFSET(환산공식!DK$15,$F271,0),1),"%"),"")</f>
        <v>100%</v>
      </c>
      <c r="O271" s="20">
        <f ca="1">IFERROR(OFFSET(환산공식!DL$15,$F271,0),"")</f>
        <v>10</v>
      </c>
      <c r="P271" s="188" t="str">
        <f t="shared" ca="1" si="9"/>
        <v>3% 이하</v>
      </c>
      <c r="Q271" s="194">
        <f ca="1">IFERROR(ROUND(OFFSET(환산공식!$FG$15,$F271,0),3),"")</f>
        <v>0</v>
      </c>
      <c r="R271" s="194">
        <f ca="1">OFFSET('배치점수 계산기'!H$10,$D271,0)</f>
        <v>652.20799999999997</v>
      </c>
      <c r="S271" s="194">
        <f ca="1">OFFSET('배치점수 계산기'!I$10,$D271,0)</f>
        <v>649.92399999999998</v>
      </c>
      <c r="T271" s="194">
        <f ca="1">OFFSET('배치점수 계산기'!J$10,$D271,0)</f>
        <v>647.12199999999996</v>
      </c>
      <c r="U271" s="194">
        <f ca="1">OFFSET('배치점수 계산기'!K$10,$D271,0)</f>
        <v>643.87599999999998</v>
      </c>
      <c r="V271" s="194">
        <f ca="1">OFFSET('배치점수 계산기'!L$10,$D271,0)</f>
        <v>639.99900000000002</v>
      </c>
      <c r="W271" s="186" t="str">
        <f ca="1">OFFSET('배치점수 계산기'!M$10,$D271,0)</f>
        <v>표점/만점</v>
      </c>
      <c r="X271" s="184" t="str">
        <f ca="1">OFFSET('배치점수 계산기'!N$10,$D271,0)</f>
        <v>변표/만점</v>
      </c>
      <c r="Y271" s="188">
        <f ca="1">OFFSET(환산공식!FW$15,$F271,0)</f>
        <v>0.38</v>
      </c>
      <c r="Z271" s="20">
        <f ca="1">OFFSET(환산공식!FX$15,$F271,0)</f>
        <v>0.37</v>
      </c>
      <c r="AA271" s="179">
        <f ca="1">OFFSET(환산공식!FY$15,$F271,0)</f>
        <v>0.25</v>
      </c>
      <c r="AC271"/>
      <c r="AD271">
        <f t="shared" ca="1" si="10"/>
        <v>6</v>
      </c>
      <c r="AE271"/>
    </row>
    <row r="272" spans="1:31" s="3" customFormat="1">
      <c r="A272" s="198"/>
      <c r="B272" s="198"/>
      <c r="C272" s="198" t="s">
        <v>833</v>
      </c>
      <c r="D272" s="195">
        <v>322</v>
      </c>
      <c r="E272" s="195">
        <v>38</v>
      </c>
      <c r="F272" s="195">
        <v>38</v>
      </c>
      <c r="G272" s="239">
        <v>265</v>
      </c>
      <c r="H272" s="197" t="s">
        <v>72</v>
      </c>
      <c r="I272" s="242" t="s">
        <v>9336</v>
      </c>
      <c r="J272" s="242" t="s">
        <v>10048</v>
      </c>
      <c r="K272" s="195" t="s">
        <v>71</v>
      </c>
      <c r="L272" s="20" t="str">
        <f ca="1">IF(OFFSET(환산공식!$ED$15,$F272,0)=1,"O","X")</f>
        <v>X</v>
      </c>
      <c r="M272" s="188">
        <f ca="1">IFERROR(OFFSET(환산공식!DJ$15,$F272,0),"")</f>
        <v>140</v>
      </c>
      <c r="N272" s="20" t="str">
        <f ca="1">IFERROR(CONCATENATE(ROUND(OFFSET(환산공식!DK$15,$F272,0),1),"%"),"")</f>
        <v>100%</v>
      </c>
      <c r="O272" s="20">
        <f ca="1">IFERROR(OFFSET(환산공식!DL$15,$F272,0),"")</f>
        <v>10</v>
      </c>
      <c r="P272" s="188" t="str">
        <f t="shared" ca="1" si="9"/>
        <v>3% 이하</v>
      </c>
      <c r="Q272" s="194">
        <f ca="1">IFERROR(ROUND(OFFSET(환산공식!$FG$15,$F272,0),3),"")</f>
        <v>0</v>
      </c>
      <c r="R272" s="194">
        <f ca="1">OFFSET('배치점수 계산기'!H$10,$D272,0)</f>
        <v>652.20799999999997</v>
      </c>
      <c r="S272" s="194">
        <f ca="1">OFFSET('배치점수 계산기'!I$10,$D272,0)</f>
        <v>649.92399999999998</v>
      </c>
      <c r="T272" s="194">
        <f ca="1">OFFSET('배치점수 계산기'!J$10,$D272,0)</f>
        <v>647.12199999999996</v>
      </c>
      <c r="U272" s="194">
        <f ca="1">OFFSET('배치점수 계산기'!K$10,$D272,0)</f>
        <v>643.87599999999998</v>
      </c>
      <c r="V272" s="194">
        <f ca="1">OFFSET('배치점수 계산기'!L$10,$D272,0)</f>
        <v>637.98</v>
      </c>
      <c r="W272" s="186" t="str">
        <f ca="1">OFFSET('배치점수 계산기'!M$10,$D272,0)</f>
        <v>표점/만점</v>
      </c>
      <c r="X272" s="184" t="str">
        <f ca="1">OFFSET('배치점수 계산기'!N$10,$D272,0)</f>
        <v>변표/만점</v>
      </c>
      <c r="Y272" s="188">
        <f ca="1">OFFSET(환산공식!FW$15,$F272,0)</f>
        <v>0.38</v>
      </c>
      <c r="Z272" s="20">
        <f ca="1">OFFSET(환산공식!FX$15,$F272,0)</f>
        <v>0.37</v>
      </c>
      <c r="AA272" s="179">
        <f ca="1">OFFSET(환산공식!FY$15,$F272,0)</f>
        <v>0.25</v>
      </c>
      <c r="AC272"/>
      <c r="AD272">
        <f t="shared" ca="1" si="10"/>
        <v>6</v>
      </c>
      <c r="AE272"/>
    </row>
    <row r="273" spans="1:31" s="3" customFormat="1">
      <c r="A273" s="198"/>
      <c r="B273" s="198"/>
      <c r="C273" s="198" t="s">
        <v>834</v>
      </c>
      <c r="D273" s="195">
        <v>323</v>
      </c>
      <c r="E273" s="195">
        <v>38</v>
      </c>
      <c r="F273" s="195">
        <v>38</v>
      </c>
      <c r="G273" s="239">
        <v>266</v>
      </c>
      <c r="H273" s="197" t="s">
        <v>72</v>
      </c>
      <c r="I273" s="242" t="s">
        <v>9336</v>
      </c>
      <c r="J273" s="242" t="s">
        <v>9982</v>
      </c>
      <c r="K273" s="195" t="s">
        <v>71</v>
      </c>
      <c r="L273" s="20" t="str">
        <f ca="1">IF(OFFSET(환산공식!$ED$15,$F273,0)=1,"O","X")</f>
        <v>X</v>
      </c>
      <c r="M273" s="188">
        <f ca="1">IFERROR(OFFSET(환산공식!DJ$15,$F273,0),"")</f>
        <v>140</v>
      </c>
      <c r="N273" s="20" t="str">
        <f ca="1">IFERROR(CONCATENATE(ROUND(OFFSET(환산공식!DK$15,$F273,0),1),"%"),"")</f>
        <v>100%</v>
      </c>
      <c r="O273" s="20">
        <f ca="1">IFERROR(OFFSET(환산공식!DL$15,$F273,0),"")</f>
        <v>10</v>
      </c>
      <c r="P273" s="188" t="str">
        <f t="shared" ca="1" si="9"/>
        <v>3% 이하</v>
      </c>
      <c r="Q273" s="194">
        <f ca="1">IFERROR(ROUND(OFFSET(환산공식!$FG$15,$F273,0),3),"")</f>
        <v>0</v>
      </c>
      <c r="R273" s="194">
        <f ca="1">OFFSET('배치점수 계산기'!H$10,$D273,0)</f>
        <v>654.27099999999996</v>
      </c>
      <c r="S273" s="194">
        <f ca="1">OFFSET('배치점수 계산기'!I$10,$D273,0)</f>
        <v>650.80999999999995</v>
      </c>
      <c r="T273" s="194">
        <f ca="1">OFFSET('배치점수 계산기'!J$10,$D273,0)</f>
        <v>647.12199999999996</v>
      </c>
      <c r="U273" s="194">
        <f ca="1">OFFSET('배치점수 계산기'!K$10,$D273,0)</f>
        <v>640.9</v>
      </c>
      <c r="V273" s="194">
        <f ca="1">OFFSET('배치점수 계산기'!L$10,$D273,0)</f>
        <v>633.01099999999997</v>
      </c>
      <c r="W273" s="186" t="str">
        <f ca="1">OFFSET('배치점수 계산기'!M$10,$D273,0)</f>
        <v>표점/만점</v>
      </c>
      <c r="X273" s="184" t="str">
        <f ca="1">OFFSET('배치점수 계산기'!N$10,$D273,0)</f>
        <v>변표/만점</v>
      </c>
      <c r="Y273" s="188">
        <f ca="1">OFFSET(환산공식!FW$15,$F273,0)</f>
        <v>0.38</v>
      </c>
      <c r="Z273" s="20">
        <f ca="1">OFFSET(환산공식!FX$15,$F273,0)</f>
        <v>0.37</v>
      </c>
      <c r="AA273" s="179">
        <f ca="1">OFFSET(환산공식!FY$15,$F273,0)</f>
        <v>0.25</v>
      </c>
      <c r="AC273"/>
      <c r="AD273">
        <f t="shared" ca="1" si="10"/>
        <v>6</v>
      </c>
      <c r="AE273"/>
    </row>
    <row r="274" spans="1:31" s="3" customFormat="1">
      <c r="A274" s="198"/>
      <c r="B274" s="198"/>
      <c r="C274" s="198" t="s">
        <v>835</v>
      </c>
      <c r="D274" s="195">
        <v>324</v>
      </c>
      <c r="E274" s="195">
        <v>38</v>
      </c>
      <c r="F274" s="195">
        <v>38</v>
      </c>
      <c r="G274" s="239">
        <v>267</v>
      </c>
      <c r="H274" s="197" t="s">
        <v>72</v>
      </c>
      <c r="I274" s="242" t="s">
        <v>9336</v>
      </c>
      <c r="J274" s="242" t="s">
        <v>10101</v>
      </c>
      <c r="K274" s="195" t="s">
        <v>71</v>
      </c>
      <c r="L274" s="20" t="str">
        <f ca="1">IF(OFFSET(환산공식!$ED$15,$F274,0)=1,"O","X")</f>
        <v>X</v>
      </c>
      <c r="M274" s="188">
        <f ca="1">IFERROR(OFFSET(환산공식!DJ$15,$F274,0),"")</f>
        <v>140</v>
      </c>
      <c r="N274" s="20" t="str">
        <f ca="1">IFERROR(CONCATENATE(ROUND(OFFSET(환산공식!DK$15,$F274,0),1),"%"),"")</f>
        <v>100%</v>
      </c>
      <c r="O274" s="20">
        <f ca="1">IFERROR(OFFSET(환산공식!DL$15,$F274,0),"")</f>
        <v>10</v>
      </c>
      <c r="P274" s="188" t="str">
        <f t="shared" ca="1" si="9"/>
        <v>3% 이하</v>
      </c>
      <c r="Q274" s="194">
        <f ca="1">IFERROR(ROUND(OFFSET(환산공식!$FG$15,$F274,0),3),"")</f>
        <v>0</v>
      </c>
      <c r="R274" s="194">
        <f ca="1">OFFSET('배치점수 계산기'!H$10,$D274,0)</f>
        <v>649.11300000000006</v>
      </c>
      <c r="S274" s="194">
        <f ca="1">OFFSET('배치점수 계산기'!I$10,$D274,0)</f>
        <v>648.53700000000003</v>
      </c>
      <c r="T274" s="194">
        <f ca="1">OFFSET('배치점수 계산기'!J$10,$D274,0)</f>
        <v>646.97900000000004</v>
      </c>
      <c r="U274" s="194">
        <f ca="1">OFFSET('배치점수 계산기'!K$10,$D274,0)</f>
        <v>644.64300000000003</v>
      </c>
      <c r="V274" s="194">
        <f ca="1">OFFSET('배치점수 계산기'!L$10,$D274,0)</f>
        <v>641.66700000000003</v>
      </c>
      <c r="W274" s="186" t="str">
        <f ca="1">OFFSET('배치점수 계산기'!M$10,$D274,0)</f>
        <v>표점/만점</v>
      </c>
      <c r="X274" s="184" t="str">
        <f ca="1">OFFSET('배치점수 계산기'!N$10,$D274,0)</f>
        <v>변표/만점</v>
      </c>
      <c r="Y274" s="188">
        <f ca="1">OFFSET(환산공식!FW$15,$F274,0)</f>
        <v>0.38</v>
      </c>
      <c r="Z274" s="20">
        <f ca="1">OFFSET(환산공식!FX$15,$F274,0)</f>
        <v>0.37</v>
      </c>
      <c r="AA274" s="179">
        <f ca="1">OFFSET(환산공식!FY$15,$F274,0)</f>
        <v>0.25</v>
      </c>
      <c r="AC274"/>
      <c r="AD274">
        <f t="shared" ca="1" si="10"/>
        <v>6</v>
      </c>
      <c r="AE274"/>
    </row>
    <row r="275" spans="1:31" s="3" customFormat="1">
      <c r="A275" s="198"/>
      <c r="B275" s="198"/>
      <c r="C275" s="198" t="s">
        <v>836</v>
      </c>
      <c r="D275" s="195">
        <v>325</v>
      </c>
      <c r="E275" s="195">
        <v>38</v>
      </c>
      <c r="F275" s="195">
        <v>38</v>
      </c>
      <c r="G275" s="239">
        <v>268</v>
      </c>
      <c r="H275" s="197" t="s">
        <v>72</v>
      </c>
      <c r="I275" s="242" t="s">
        <v>9336</v>
      </c>
      <c r="J275" s="242" t="s">
        <v>10009</v>
      </c>
      <c r="K275" s="195" t="s">
        <v>71</v>
      </c>
      <c r="L275" s="20" t="str">
        <f ca="1">IF(OFFSET(환산공식!$ED$15,$F275,0)=1,"O","X")</f>
        <v>X</v>
      </c>
      <c r="M275" s="188">
        <f ca="1">IFERROR(OFFSET(환산공식!DJ$15,$F275,0),"")</f>
        <v>140</v>
      </c>
      <c r="N275" s="20" t="str">
        <f ca="1">IFERROR(CONCATENATE(ROUND(OFFSET(환산공식!DK$15,$F275,0),1),"%"),"")</f>
        <v>100%</v>
      </c>
      <c r="O275" s="20">
        <f ca="1">IFERROR(OFFSET(환산공식!DL$15,$F275,0),"")</f>
        <v>10</v>
      </c>
      <c r="P275" s="188" t="str">
        <f t="shared" ca="1" si="9"/>
        <v>3% 이하</v>
      </c>
      <c r="Q275" s="194">
        <f ca="1">IFERROR(ROUND(OFFSET(환산공식!$FG$15,$F275,0),3),"")</f>
        <v>0</v>
      </c>
      <c r="R275" s="194">
        <f ca="1">OFFSET('배치점수 계산기'!H$10,$D275,0)</f>
        <v>654.56500000000005</v>
      </c>
      <c r="S275" s="194">
        <f ca="1">OFFSET('배치점수 계산기'!I$10,$D275,0)</f>
        <v>650.67499999999995</v>
      </c>
      <c r="T275" s="194">
        <f ca="1">OFFSET('배치점수 계산기'!J$10,$D275,0)</f>
        <v>646.88</v>
      </c>
      <c r="U275" s="194">
        <f ca="1">OFFSET('배치점수 계산기'!K$10,$D275,0)</f>
        <v>643.20399999999995</v>
      </c>
      <c r="V275" s="194">
        <f ca="1">OFFSET('배치점수 계산기'!L$10,$D275,0)</f>
        <v>637.13</v>
      </c>
      <c r="W275" s="186" t="str">
        <f ca="1">OFFSET('배치점수 계산기'!M$10,$D275,0)</f>
        <v>표점/만점</v>
      </c>
      <c r="X275" s="184" t="str">
        <f ca="1">OFFSET('배치점수 계산기'!N$10,$D275,0)</f>
        <v>변표/만점</v>
      </c>
      <c r="Y275" s="188">
        <f ca="1">OFFSET(환산공식!FW$15,$F275,0)</f>
        <v>0.38</v>
      </c>
      <c r="Z275" s="20">
        <f ca="1">OFFSET(환산공식!FX$15,$F275,0)</f>
        <v>0.37</v>
      </c>
      <c r="AA275" s="179">
        <f ca="1">OFFSET(환산공식!FY$15,$F275,0)</f>
        <v>0.25</v>
      </c>
      <c r="AC275"/>
      <c r="AD275">
        <f t="shared" ca="1" si="10"/>
        <v>6</v>
      </c>
      <c r="AE275"/>
    </row>
    <row r="276" spans="1:31" s="3" customFormat="1">
      <c r="A276" s="198"/>
      <c r="B276" s="198"/>
      <c r="C276" s="198" t="s">
        <v>837</v>
      </c>
      <c r="D276" s="195">
        <v>326</v>
      </c>
      <c r="E276" s="195">
        <v>38</v>
      </c>
      <c r="F276" s="195">
        <v>38</v>
      </c>
      <c r="G276" s="239">
        <v>269</v>
      </c>
      <c r="H276" s="197" t="s">
        <v>72</v>
      </c>
      <c r="I276" s="242" t="s">
        <v>9336</v>
      </c>
      <c r="J276" s="242" t="s">
        <v>10090</v>
      </c>
      <c r="K276" s="195" t="s">
        <v>71</v>
      </c>
      <c r="L276" s="20" t="str">
        <f ca="1">IF(OFFSET(환산공식!$ED$15,$F276,0)=1,"O","X")</f>
        <v>X</v>
      </c>
      <c r="M276" s="188">
        <f ca="1">IFERROR(OFFSET(환산공식!DJ$15,$F276,0),"")</f>
        <v>140</v>
      </c>
      <c r="N276" s="20" t="str">
        <f ca="1">IFERROR(CONCATENATE(ROUND(OFFSET(환산공식!DK$15,$F276,0),1),"%"),"")</f>
        <v>100%</v>
      </c>
      <c r="O276" s="20">
        <f ca="1">IFERROR(OFFSET(환산공식!DL$15,$F276,0),"")</f>
        <v>10</v>
      </c>
      <c r="P276" s="188" t="str">
        <f t="shared" ca="1" si="9"/>
        <v>3% 이하</v>
      </c>
      <c r="Q276" s="194">
        <f ca="1">IFERROR(ROUND(OFFSET(환산공식!$FG$15,$F276,0),3),"")</f>
        <v>0</v>
      </c>
      <c r="R276" s="194">
        <f ca="1">OFFSET('배치점수 계산기'!H$10,$D276,0)</f>
        <v>651.24300000000005</v>
      </c>
      <c r="S276" s="194">
        <f ca="1">OFFSET('배치점수 계산기'!I$10,$D276,0)</f>
        <v>648.80799999999999</v>
      </c>
      <c r="T276" s="194">
        <f ca="1">OFFSET('배치점수 계산기'!J$10,$D276,0)</f>
        <v>646.58600000000001</v>
      </c>
      <c r="U276" s="194">
        <f ca="1">OFFSET('배치점수 계산기'!K$10,$D276,0)</f>
        <v>643.10599999999999</v>
      </c>
      <c r="V276" s="194">
        <f ca="1">OFFSET('배치점수 계산기'!L$10,$D276,0)</f>
        <v>638.35400000000004</v>
      </c>
      <c r="W276" s="186" t="str">
        <f ca="1">OFFSET('배치점수 계산기'!M$10,$D276,0)</f>
        <v>표점/만점</v>
      </c>
      <c r="X276" s="184" t="str">
        <f ca="1">OFFSET('배치점수 계산기'!N$10,$D276,0)</f>
        <v>변표/만점</v>
      </c>
      <c r="Y276" s="188">
        <f ca="1">OFFSET(환산공식!FW$15,$F276,0)</f>
        <v>0.38</v>
      </c>
      <c r="Z276" s="20">
        <f ca="1">OFFSET(환산공식!FX$15,$F276,0)</f>
        <v>0.37</v>
      </c>
      <c r="AA276" s="179">
        <f ca="1">OFFSET(환산공식!FY$15,$F276,0)</f>
        <v>0.25</v>
      </c>
      <c r="AC276"/>
      <c r="AD276">
        <f t="shared" ca="1" si="10"/>
        <v>6</v>
      </c>
      <c r="AE276"/>
    </row>
    <row r="277" spans="1:31" s="3" customFormat="1">
      <c r="A277" s="198"/>
      <c r="B277" s="198"/>
      <c r="C277" s="198" t="s">
        <v>838</v>
      </c>
      <c r="D277" s="195">
        <v>327</v>
      </c>
      <c r="E277" s="195">
        <v>38</v>
      </c>
      <c r="F277" s="195">
        <v>38</v>
      </c>
      <c r="G277" s="239">
        <v>270</v>
      </c>
      <c r="H277" s="197" t="s">
        <v>72</v>
      </c>
      <c r="I277" s="242" t="s">
        <v>9336</v>
      </c>
      <c r="J277" s="242" t="s">
        <v>10047</v>
      </c>
      <c r="K277" s="195" t="s">
        <v>71</v>
      </c>
      <c r="L277" s="20" t="str">
        <f ca="1">IF(OFFSET(환산공식!$ED$15,$F277,0)=1,"O","X")</f>
        <v>X</v>
      </c>
      <c r="M277" s="188">
        <f ca="1">IFERROR(OFFSET(환산공식!DJ$15,$F277,0),"")</f>
        <v>140</v>
      </c>
      <c r="N277" s="20" t="str">
        <f ca="1">IFERROR(CONCATENATE(ROUND(OFFSET(환산공식!DK$15,$F277,0),1),"%"),"")</f>
        <v>100%</v>
      </c>
      <c r="O277" s="20">
        <f ca="1">IFERROR(OFFSET(환산공식!DL$15,$F277,0),"")</f>
        <v>10</v>
      </c>
      <c r="P277" s="188" t="str">
        <f t="shared" ca="1" si="9"/>
        <v>3% 이하</v>
      </c>
      <c r="Q277" s="194">
        <f ca="1">IFERROR(ROUND(OFFSET(환산공식!$FG$15,$F277,0),3),"")</f>
        <v>0</v>
      </c>
      <c r="R277" s="194">
        <f ca="1">OFFSET('배치점수 계산기'!H$10,$D277,0)</f>
        <v>653.601</v>
      </c>
      <c r="S277" s="194">
        <f ca="1">OFFSET('배치점수 계산기'!I$10,$D277,0)</f>
        <v>650.38099999999997</v>
      </c>
      <c r="T277" s="194">
        <f ca="1">OFFSET('배치점수 계산기'!J$10,$D277,0)</f>
        <v>646.58600000000001</v>
      </c>
      <c r="U277" s="194">
        <f ca="1">OFFSET('배치점수 계산기'!K$10,$D277,0)</f>
        <v>640.48</v>
      </c>
      <c r="V277" s="194">
        <f ca="1">OFFSET('배치점수 계산기'!L$10,$D277,0)</f>
        <v>632.59</v>
      </c>
      <c r="W277" s="186" t="str">
        <f ca="1">OFFSET('배치점수 계산기'!M$10,$D277,0)</f>
        <v>표점/만점</v>
      </c>
      <c r="X277" s="184" t="str">
        <f ca="1">OFFSET('배치점수 계산기'!N$10,$D277,0)</f>
        <v>변표/만점</v>
      </c>
      <c r="Y277" s="188">
        <f ca="1">OFFSET(환산공식!FW$15,$F277,0)</f>
        <v>0.38</v>
      </c>
      <c r="Z277" s="20">
        <f ca="1">OFFSET(환산공식!FX$15,$F277,0)</f>
        <v>0.37</v>
      </c>
      <c r="AA277" s="179">
        <f ca="1">OFFSET(환산공식!FY$15,$F277,0)</f>
        <v>0.25</v>
      </c>
      <c r="AC277"/>
      <c r="AD277">
        <f t="shared" ca="1" si="10"/>
        <v>6</v>
      </c>
      <c r="AE277"/>
    </row>
    <row r="278" spans="1:31" s="3" customFormat="1">
      <c r="A278" s="198"/>
      <c r="B278" s="198"/>
      <c r="C278" s="198" t="s">
        <v>839</v>
      </c>
      <c r="D278" s="195">
        <v>328</v>
      </c>
      <c r="E278" s="195">
        <v>38</v>
      </c>
      <c r="F278" s="195">
        <v>38</v>
      </c>
      <c r="G278" s="239">
        <v>271</v>
      </c>
      <c r="H278" s="197" t="s">
        <v>72</v>
      </c>
      <c r="I278" s="242" t="s">
        <v>9336</v>
      </c>
      <c r="J278" s="242" t="s">
        <v>10189</v>
      </c>
      <c r="K278" s="195" t="s">
        <v>71</v>
      </c>
      <c r="L278" s="20" t="str">
        <f ca="1">IF(OFFSET(환산공식!$ED$15,$F278,0)=1,"O","X")</f>
        <v>X</v>
      </c>
      <c r="M278" s="188">
        <f ca="1">IFERROR(OFFSET(환산공식!DJ$15,$F278,0),"")</f>
        <v>140</v>
      </c>
      <c r="N278" s="20" t="str">
        <f ca="1">IFERROR(CONCATENATE(ROUND(OFFSET(환산공식!DK$15,$F278,0),1),"%"),"")</f>
        <v>100%</v>
      </c>
      <c r="O278" s="20">
        <f ca="1">IFERROR(OFFSET(환산공식!DL$15,$F278,0),"")</f>
        <v>10</v>
      </c>
      <c r="P278" s="188" t="str">
        <f t="shared" ca="1" si="9"/>
        <v>3% 이하</v>
      </c>
      <c r="Q278" s="194">
        <f ca="1">IFERROR(ROUND(OFFSET(환산공식!$FG$15,$F278,0),3),"")</f>
        <v>0</v>
      </c>
      <c r="R278" s="194">
        <f ca="1">OFFSET('배치점수 계산기'!H$10,$D278,0)</f>
        <v>646.97900000000004</v>
      </c>
      <c r="S278" s="194">
        <f ca="1">OFFSET('배치점수 계산기'!I$10,$D278,0)</f>
        <v>645.95799999999997</v>
      </c>
      <c r="T278" s="194">
        <f ca="1">OFFSET('배치점수 계산기'!J$10,$D278,0)</f>
        <v>644.86599999999999</v>
      </c>
      <c r="U278" s="194">
        <f ca="1">OFFSET('배치점수 계산기'!K$10,$D278,0)</f>
        <v>642.91099999999994</v>
      </c>
      <c r="V278" s="194">
        <f ca="1">OFFSET('배치점수 계산기'!L$10,$D278,0)</f>
        <v>641.12300000000005</v>
      </c>
      <c r="W278" s="186" t="str">
        <f ca="1">OFFSET('배치점수 계산기'!M$10,$D278,0)</f>
        <v>표점/만점</v>
      </c>
      <c r="X278" s="184" t="str">
        <f ca="1">OFFSET('배치점수 계산기'!N$10,$D278,0)</f>
        <v>변표/만점</v>
      </c>
      <c r="Y278" s="188">
        <f ca="1">OFFSET(환산공식!FW$15,$F278,0)</f>
        <v>0.38</v>
      </c>
      <c r="Z278" s="20">
        <f ca="1">OFFSET(환산공식!FX$15,$F278,0)</f>
        <v>0.37</v>
      </c>
      <c r="AA278" s="179">
        <f ca="1">OFFSET(환산공식!FY$15,$F278,0)</f>
        <v>0.25</v>
      </c>
      <c r="AC278"/>
      <c r="AD278">
        <f t="shared" ca="1" si="10"/>
        <v>6</v>
      </c>
      <c r="AE278"/>
    </row>
    <row r="279" spans="1:31" s="3" customFormat="1">
      <c r="A279" s="198"/>
      <c r="B279" s="198"/>
      <c r="C279" s="198" t="s">
        <v>840</v>
      </c>
      <c r="D279" s="195">
        <v>329</v>
      </c>
      <c r="E279" s="195">
        <v>38</v>
      </c>
      <c r="F279" s="195">
        <v>38</v>
      </c>
      <c r="G279" s="239">
        <v>272</v>
      </c>
      <c r="H279" s="197" t="s">
        <v>72</v>
      </c>
      <c r="I279" s="242" t="s">
        <v>9336</v>
      </c>
      <c r="J279" s="242" t="s">
        <v>10121</v>
      </c>
      <c r="K279" s="195" t="s">
        <v>71</v>
      </c>
      <c r="L279" s="20" t="str">
        <f ca="1">IF(OFFSET(환산공식!$ED$15,$F279,0)=1,"O","X")</f>
        <v>X</v>
      </c>
      <c r="M279" s="188">
        <f ca="1">IFERROR(OFFSET(환산공식!DJ$15,$F279,0),"")</f>
        <v>140</v>
      </c>
      <c r="N279" s="20" t="str">
        <f ca="1">IFERROR(CONCATENATE(ROUND(OFFSET(환산공식!DK$15,$F279,0),1),"%"),"")</f>
        <v>100%</v>
      </c>
      <c r="O279" s="20">
        <f ca="1">IFERROR(OFFSET(환산공식!DL$15,$F279,0),"")</f>
        <v>10</v>
      </c>
      <c r="P279" s="188" t="str">
        <f t="shared" ca="1" si="9"/>
        <v>3% 이하</v>
      </c>
      <c r="Q279" s="194">
        <f ca="1">IFERROR(ROUND(OFFSET(환산공식!$FG$15,$F279,0),3),"")</f>
        <v>0</v>
      </c>
      <c r="R279" s="194">
        <f ca="1">OFFSET('배치점수 계산기'!H$10,$D279,0)</f>
        <v>653.11800000000005</v>
      </c>
      <c r="S279" s="194">
        <f ca="1">OFFSET('배치점수 계산기'!I$10,$D279,0)</f>
        <v>649.11300000000006</v>
      </c>
      <c r="T279" s="194">
        <f ca="1">OFFSET('배치점수 계산기'!J$10,$D279,0)</f>
        <v>641.66700000000003</v>
      </c>
      <c r="U279" s="194">
        <f ca="1">OFFSET('배치점수 계산기'!K$10,$D279,0)</f>
        <v>638.74599999999998</v>
      </c>
      <c r="V279" s="194">
        <f ca="1">OFFSET('배치점수 계산기'!L$10,$D279,0)</f>
        <v>636.00099999999998</v>
      </c>
      <c r="W279" s="186" t="str">
        <f ca="1">OFFSET('배치점수 계산기'!M$10,$D279,0)</f>
        <v>표점/만점</v>
      </c>
      <c r="X279" s="184" t="str">
        <f ca="1">OFFSET('배치점수 계산기'!N$10,$D279,0)</f>
        <v>변표/만점</v>
      </c>
      <c r="Y279" s="188">
        <f ca="1">OFFSET(환산공식!FW$15,$F279,0)</f>
        <v>0.38</v>
      </c>
      <c r="Z279" s="20">
        <f ca="1">OFFSET(환산공식!FX$15,$F279,0)</f>
        <v>0.37</v>
      </c>
      <c r="AA279" s="179">
        <f ca="1">OFFSET(환산공식!FY$15,$F279,0)</f>
        <v>0.25</v>
      </c>
      <c r="AC279"/>
      <c r="AD279">
        <f t="shared" ca="1" si="10"/>
        <v>6</v>
      </c>
      <c r="AE279"/>
    </row>
    <row r="280" spans="1:31" s="3" customFormat="1">
      <c r="A280" s="198"/>
      <c r="B280" s="198"/>
      <c r="C280" s="198" t="s">
        <v>841</v>
      </c>
      <c r="D280" s="195">
        <v>330</v>
      </c>
      <c r="E280" s="195">
        <v>38</v>
      </c>
      <c r="F280" s="195">
        <v>38</v>
      </c>
      <c r="G280" s="239">
        <v>273</v>
      </c>
      <c r="H280" s="197" t="s">
        <v>72</v>
      </c>
      <c r="I280" s="242" t="s">
        <v>9336</v>
      </c>
      <c r="J280" s="242" t="s">
        <v>12022</v>
      </c>
      <c r="K280" s="195" t="s">
        <v>71</v>
      </c>
      <c r="L280" s="20" t="str">
        <f ca="1">IF(OFFSET(환산공식!$ED$15,$F280,0)=1,"O","X")</f>
        <v>X</v>
      </c>
      <c r="M280" s="188">
        <f ca="1">IFERROR(OFFSET(환산공식!DJ$15,$F280,0),"")</f>
        <v>140</v>
      </c>
      <c r="N280" s="20" t="str">
        <f ca="1">IFERROR(CONCATENATE(ROUND(OFFSET(환산공식!DK$15,$F280,0),1),"%"),"")</f>
        <v>100%</v>
      </c>
      <c r="O280" s="20">
        <f ca="1">IFERROR(OFFSET(환산공식!DL$15,$F280,0),"")</f>
        <v>10</v>
      </c>
      <c r="P280" s="188" t="str">
        <f t="shared" ca="1" si="9"/>
        <v>3% 이하</v>
      </c>
      <c r="Q280" s="194">
        <f ca="1">IFERROR(ROUND(OFFSET(환산공식!$FG$15,$F280,0),3),"")</f>
        <v>0</v>
      </c>
      <c r="R280" s="194">
        <f ca="1">OFFSET('배치점수 계산기'!H$10,$D280,0)</f>
        <v>618.56799999999998</v>
      </c>
      <c r="S280" s="194">
        <f ca="1">OFFSET('배치점수 계산기'!I$10,$D280,0)</f>
        <v>616.65499999999997</v>
      </c>
      <c r="T280" s="194">
        <f ca="1">OFFSET('배치점수 계산기'!J$10,$D280,0)</f>
        <v>614.87900000000002</v>
      </c>
      <c r="U280" s="194">
        <f ca="1">OFFSET('배치점수 계산기'!K$10,$D280,0)</f>
        <v>611.077</v>
      </c>
      <c r="V280" s="194">
        <f ca="1">OFFSET('배치점수 계산기'!L$10,$D280,0)</f>
        <v>607.75099999999998</v>
      </c>
      <c r="W280" s="186" t="str">
        <f ca="1">OFFSET('배치점수 계산기'!M$10,$D280,0)</f>
        <v>표점/만점</v>
      </c>
      <c r="X280" s="184" t="str">
        <f ca="1">OFFSET('배치점수 계산기'!N$10,$D280,0)</f>
        <v>변표/만점</v>
      </c>
      <c r="Y280" s="188">
        <f ca="1">OFFSET(환산공식!FW$15,$F280,0)</f>
        <v>0.38</v>
      </c>
      <c r="Z280" s="20">
        <f ca="1">OFFSET(환산공식!FX$15,$F280,0)</f>
        <v>0.37</v>
      </c>
      <c r="AA280" s="179">
        <f ca="1">OFFSET(환산공식!FY$15,$F280,0)</f>
        <v>0.25</v>
      </c>
      <c r="AC280"/>
      <c r="AD280">
        <f t="shared" ca="1" si="10"/>
        <v>6</v>
      </c>
      <c r="AE280"/>
    </row>
    <row r="281" spans="1:31" s="3" customFormat="1">
      <c r="A281" s="198"/>
      <c r="B281" s="198"/>
      <c r="C281" s="198" t="s">
        <v>842</v>
      </c>
      <c r="D281" s="195">
        <v>331</v>
      </c>
      <c r="E281" s="195">
        <v>38</v>
      </c>
      <c r="F281" s="195">
        <v>38</v>
      </c>
      <c r="G281" s="239">
        <v>274</v>
      </c>
      <c r="H281" s="197" t="s">
        <v>72</v>
      </c>
      <c r="I281" s="242" t="s">
        <v>9336</v>
      </c>
      <c r="J281" s="242" t="s">
        <v>12187</v>
      </c>
      <c r="K281" s="195" t="s">
        <v>71</v>
      </c>
      <c r="L281" s="20" t="str">
        <f ca="1">IF(OFFSET(환산공식!$ED$15,$F281,0)=1,"O","X")</f>
        <v>X</v>
      </c>
      <c r="M281" s="188">
        <f ca="1">IFERROR(OFFSET(환산공식!DJ$15,$F281,0),"")</f>
        <v>140</v>
      </c>
      <c r="N281" s="20" t="str">
        <f ca="1">IFERROR(CONCATENATE(ROUND(OFFSET(환산공식!DK$15,$F281,0),1),"%"),"")</f>
        <v>100%</v>
      </c>
      <c r="O281" s="20">
        <f ca="1">IFERROR(OFFSET(환산공식!DL$15,$F281,0),"")</f>
        <v>10</v>
      </c>
      <c r="P281" s="188" t="str">
        <f t="shared" ca="1" si="9"/>
        <v>3% 이하</v>
      </c>
      <c r="Q281" s="194">
        <f ca="1">IFERROR(ROUND(OFFSET(환산공식!$FG$15,$F281,0),3),"")</f>
        <v>0</v>
      </c>
      <c r="R281" s="194">
        <f ca="1">OFFSET('배치점수 계산기'!H$10,$D281,0)</f>
        <v>617.40800000000002</v>
      </c>
      <c r="S281" s="194">
        <f ca="1">OFFSET('배치점수 계산기'!I$10,$D281,0)</f>
        <v>613.91600000000005</v>
      </c>
      <c r="T281" s="194">
        <f ca="1">OFFSET('배치점수 계산기'!J$10,$D281,0)</f>
        <v>612.18299999999999</v>
      </c>
      <c r="U281" s="194">
        <f ca="1">OFFSET('배치점수 계산기'!K$10,$D281,0)</f>
        <v>610.92600000000004</v>
      </c>
      <c r="V281" s="194">
        <f ca="1">OFFSET('배치점수 계산기'!L$10,$D281,0)</f>
        <v>608.36699999999996</v>
      </c>
      <c r="W281" s="186" t="str">
        <f ca="1">OFFSET('배치점수 계산기'!M$10,$D281,0)</f>
        <v>표점/만점</v>
      </c>
      <c r="X281" s="184" t="str">
        <f ca="1">OFFSET('배치점수 계산기'!N$10,$D281,0)</f>
        <v>변표/만점</v>
      </c>
      <c r="Y281" s="188">
        <f ca="1">OFFSET(환산공식!FW$15,$F281,0)</f>
        <v>0.38</v>
      </c>
      <c r="Z281" s="20">
        <f ca="1">OFFSET(환산공식!FX$15,$F281,0)</f>
        <v>0.37</v>
      </c>
      <c r="AA281" s="179">
        <f ca="1">OFFSET(환산공식!FY$15,$F281,0)</f>
        <v>0.25</v>
      </c>
      <c r="AC281"/>
      <c r="AD281">
        <f t="shared" ca="1" si="10"/>
        <v>6</v>
      </c>
      <c r="AE281"/>
    </row>
    <row r="282" spans="1:31" s="3" customFormat="1">
      <c r="A282" s="198"/>
      <c r="B282" s="198"/>
      <c r="C282" s="198" t="s">
        <v>843</v>
      </c>
      <c r="D282" s="195">
        <v>332</v>
      </c>
      <c r="E282" s="195">
        <v>38</v>
      </c>
      <c r="F282" s="195">
        <v>38</v>
      </c>
      <c r="G282" s="239">
        <v>275</v>
      </c>
      <c r="H282" s="197" t="s">
        <v>72</v>
      </c>
      <c r="I282" s="242" t="s">
        <v>9336</v>
      </c>
      <c r="J282" s="242" t="s">
        <v>12242</v>
      </c>
      <c r="K282" s="195" t="s">
        <v>71</v>
      </c>
      <c r="L282" s="20" t="str">
        <f ca="1">IF(OFFSET(환산공식!$ED$15,$F282,0)=1,"O","X")</f>
        <v>X</v>
      </c>
      <c r="M282" s="188">
        <f ca="1">IFERROR(OFFSET(환산공식!DJ$15,$F282,0),"")</f>
        <v>140</v>
      </c>
      <c r="N282" s="20" t="str">
        <f ca="1">IFERROR(CONCATENATE(ROUND(OFFSET(환산공식!DK$15,$F282,0),1),"%"),"")</f>
        <v>100%</v>
      </c>
      <c r="O282" s="20">
        <f ca="1">IFERROR(OFFSET(환산공식!DL$15,$F282,0),"")</f>
        <v>10</v>
      </c>
      <c r="P282" s="188" t="str">
        <f t="shared" ca="1" si="9"/>
        <v>3% 이하</v>
      </c>
      <c r="Q282" s="194">
        <f ca="1">IFERROR(ROUND(OFFSET(환산공식!$FG$15,$F282,0),3),"")</f>
        <v>0</v>
      </c>
      <c r="R282" s="194">
        <f ca="1">OFFSET('배치점수 계산기'!H$10,$D282,0)</f>
        <v>615.92200000000003</v>
      </c>
      <c r="S282" s="194">
        <f ca="1">OFFSET('배치점수 계산기'!I$10,$D282,0)</f>
        <v>613.23199999999997</v>
      </c>
      <c r="T282" s="194">
        <f ca="1">OFFSET('배치점수 계산기'!J$10,$D282,0)</f>
        <v>610.69200000000001</v>
      </c>
      <c r="U282" s="194">
        <f ca="1">OFFSET('배치점수 계산기'!K$10,$D282,0)</f>
        <v>608.50800000000004</v>
      </c>
      <c r="V282" s="194">
        <f ca="1">OFFSET('배치점수 계산기'!L$10,$D282,0)</f>
        <v>605.47299999999996</v>
      </c>
      <c r="W282" s="186" t="str">
        <f ca="1">OFFSET('배치점수 계산기'!M$10,$D282,0)</f>
        <v>표점/만점</v>
      </c>
      <c r="X282" s="184" t="str">
        <f ca="1">OFFSET('배치점수 계산기'!N$10,$D282,0)</f>
        <v>변표/만점</v>
      </c>
      <c r="Y282" s="188">
        <f ca="1">OFFSET(환산공식!FW$15,$F282,0)</f>
        <v>0.38</v>
      </c>
      <c r="Z282" s="20">
        <f ca="1">OFFSET(환산공식!FX$15,$F282,0)</f>
        <v>0.37</v>
      </c>
      <c r="AA282" s="179">
        <f ca="1">OFFSET(환산공식!FY$15,$F282,0)</f>
        <v>0.25</v>
      </c>
      <c r="AC282"/>
      <c r="AD282">
        <f t="shared" ca="1" si="10"/>
        <v>6</v>
      </c>
      <c r="AE282"/>
    </row>
    <row r="283" spans="1:31" s="3" customFormat="1">
      <c r="A283" s="198"/>
      <c r="B283" s="198"/>
      <c r="C283" s="198" t="s">
        <v>844</v>
      </c>
      <c r="D283" s="195">
        <v>333</v>
      </c>
      <c r="E283" s="195">
        <v>38</v>
      </c>
      <c r="F283" s="195">
        <v>38</v>
      </c>
      <c r="G283" s="239">
        <v>276</v>
      </c>
      <c r="H283" s="197" t="s">
        <v>72</v>
      </c>
      <c r="I283" s="242" t="s">
        <v>9336</v>
      </c>
      <c r="J283" s="242" t="s">
        <v>12275</v>
      </c>
      <c r="K283" s="195" t="s">
        <v>71</v>
      </c>
      <c r="L283" s="20" t="str">
        <f ca="1">IF(OFFSET(환산공식!$ED$15,$F283,0)=1,"O","X")</f>
        <v>X</v>
      </c>
      <c r="M283" s="188">
        <f ca="1">IFERROR(OFFSET(환산공식!DJ$15,$F283,0),"")</f>
        <v>140</v>
      </c>
      <c r="N283" s="20" t="str">
        <f ca="1">IFERROR(CONCATENATE(ROUND(OFFSET(환산공식!DK$15,$F283,0),1),"%"),"")</f>
        <v>100%</v>
      </c>
      <c r="O283" s="20">
        <f ca="1">IFERROR(OFFSET(환산공식!DL$15,$F283,0),"")</f>
        <v>10</v>
      </c>
      <c r="P283" s="188" t="str">
        <f t="shared" ca="1" si="9"/>
        <v>3% 이하</v>
      </c>
      <c r="Q283" s="194">
        <f ca="1">IFERROR(ROUND(OFFSET(환산공식!$FG$15,$F283,0),3),"")</f>
        <v>0</v>
      </c>
      <c r="R283" s="194">
        <f ca="1">OFFSET('배치점수 계산기'!H$10,$D283,0)</f>
        <v>614.87900000000002</v>
      </c>
      <c r="S283" s="194">
        <f ca="1">OFFSET('배치점수 계산기'!I$10,$D283,0)</f>
        <v>612.32500000000005</v>
      </c>
      <c r="T283" s="194">
        <f ca="1">OFFSET('배치점수 계산기'!J$10,$D283,0)</f>
        <v>609.97199999999998</v>
      </c>
      <c r="U283" s="194">
        <f ca="1">OFFSET('배치점수 계산기'!K$10,$D283,0)</f>
        <v>607.75099999999998</v>
      </c>
      <c r="V283" s="194">
        <f ca="1">OFFSET('배치점수 계산기'!L$10,$D283,0)</f>
        <v>604.59799999999996</v>
      </c>
      <c r="W283" s="186" t="str">
        <f ca="1">OFFSET('배치점수 계산기'!M$10,$D283,0)</f>
        <v>표점/만점</v>
      </c>
      <c r="X283" s="184" t="str">
        <f ca="1">OFFSET('배치점수 계산기'!N$10,$D283,0)</f>
        <v>변표/만점</v>
      </c>
      <c r="Y283" s="188">
        <f ca="1">OFFSET(환산공식!FW$15,$F283,0)</f>
        <v>0.38</v>
      </c>
      <c r="Z283" s="20">
        <f ca="1">OFFSET(환산공식!FX$15,$F283,0)</f>
        <v>0.37</v>
      </c>
      <c r="AA283" s="179">
        <f ca="1">OFFSET(환산공식!FY$15,$F283,0)</f>
        <v>0.25</v>
      </c>
      <c r="AC283"/>
      <c r="AD283">
        <f t="shared" ca="1" si="10"/>
        <v>6</v>
      </c>
      <c r="AE283"/>
    </row>
    <row r="284" spans="1:31" s="3" customFormat="1">
      <c r="A284" s="198"/>
      <c r="B284" s="198"/>
      <c r="C284" s="198" t="s">
        <v>845</v>
      </c>
      <c r="D284" s="195">
        <v>334</v>
      </c>
      <c r="E284" s="195">
        <v>38</v>
      </c>
      <c r="F284" s="195">
        <v>38</v>
      </c>
      <c r="G284" s="239">
        <v>277</v>
      </c>
      <c r="H284" s="197" t="s">
        <v>72</v>
      </c>
      <c r="I284" s="242" t="s">
        <v>9336</v>
      </c>
      <c r="J284" s="242" t="s">
        <v>12281</v>
      </c>
      <c r="K284" s="195" t="s">
        <v>71</v>
      </c>
      <c r="L284" s="20" t="str">
        <f ca="1">IF(OFFSET(환산공식!$ED$15,$F284,0)=1,"O","X")</f>
        <v>X</v>
      </c>
      <c r="M284" s="188">
        <f ca="1">IFERROR(OFFSET(환산공식!DJ$15,$F284,0),"")</f>
        <v>140</v>
      </c>
      <c r="N284" s="20" t="str">
        <f ca="1">IFERROR(CONCATENATE(ROUND(OFFSET(환산공식!DK$15,$F284,0),1),"%"),"")</f>
        <v>100%</v>
      </c>
      <c r="O284" s="20">
        <f ca="1">IFERROR(OFFSET(환산공식!DL$15,$F284,0),"")</f>
        <v>10</v>
      </c>
      <c r="P284" s="188" t="str">
        <f t="shared" ca="1" si="9"/>
        <v>3% 이하</v>
      </c>
      <c r="Q284" s="194">
        <f ca="1">IFERROR(ROUND(OFFSET(환산공식!$FG$15,$F284,0),3),"")</f>
        <v>0</v>
      </c>
      <c r="R284" s="194">
        <f ca="1">OFFSET('배치점수 계산기'!H$10,$D284,0)</f>
        <v>616.16399999999999</v>
      </c>
      <c r="S284" s="194">
        <f ca="1">OFFSET('배치점수 계산기'!I$10,$D284,0)</f>
        <v>612.32500000000005</v>
      </c>
      <c r="T284" s="194">
        <f ca="1">OFFSET('배치점수 계산기'!J$10,$D284,0)</f>
        <v>609.68100000000004</v>
      </c>
      <c r="U284" s="194">
        <f ca="1">OFFSET('배치점수 계산기'!K$10,$D284,0)</f>
        <v>607.31700000000001</v>
      </c>
      <c r="V284" s="194">
        <f ca="1">OFFSET('배치점수 계산기'!L$10,$D284,0)</f>
        <v>604.13699999999994</v>
      </c>
      <c r="W284" s="186" t="str">
        <f ca="1">OFFSET('배치점수 계산기'!M$10,$D284,0)</f>
        <v>표점/만점</v>
      </c>
      <c r="X284" s="184" t="str">
        <f ca="1">OFFSET('배치점수 계산기'!N$10,$D284,0)</f>
        <v>변표/만점</v>
      </c>
      <c r="Y284" s="188">
        <f ca="1">OFFSET(환산공식!FW$15,$F284,0)</f>
        <v>0.38</v>
      </c>
      <c r="Z284" s="20">
        <f ca="1">OFFSET(환산공식!FX$15,$F284,0)</f>
        <v>0.37</v>
      </c>
      <c r="AA284" s="179">
        <f ca="1">OFFSET(환산공식!FY$15,$F284,0)</f>
        <v>0.25</v>
      </c>
      <c r="AC284"/>
      <c r="AD284">
        <f t="shared" ca="1" si="10"/>
        <v>6</v>
      </c>
      <c r="AE284"/>
    </row>
    <row r="285" spans="1:31" s="3" customFormat="1">
      <c r="A285" s="198"/>
      <c r="B285" s="198"/>
      <c r="C285" s="198" t="s">
        <v>846</v>
      </c>
      <c r="D285" s="195">
        <v>335</v>
      </c>
      <c r="E285" s="195">
        <v>47</v>
      </c>
      <c r="F285" s="195">
        <v>47</v>
      </c>
      <c r="G285" s="239">
        <v>278</v>
      </c>
      <c r="H285" s="197" t="s">
        <v>72</v>
      </c>
      <c r="I285" s="242" t="s">
        <v>217</v>
      </c>
      <c r="J285" s="242" t="s">
        <v>7250</v>
      </c>
      <c r="K285" s="195" t="s">
        <v>70</v>
      </c>
      <c r="L285" s="20" t="str">
        <f ca="1">IF(OFFSET(환산공식!$ED$15,$F285,0)=1,"O","X")</f>
        <v>X</v>
      </c>
      <c r="M285" s="188">
        <f ca="1">IFERROR(OFFSET(환산공식!DJ$15,$F285,0),"")</f>
        <v>100</v>
      </c>
      <c r="N285" s="20" t="str">
        <f ca="1">IFERROR(CONCATENATE(ROUND(OFFSET(환산공식!DK$15,$F285,0),1),"%"),"")</f>
        <v>100%</v>
      </c>
      <c r="O285" s="20">
        <f ca="1">IFERROR(OFFSET(환산공식!DL$15,$F285,0),"")</f>
        <v>0</v>
      </c>
      <c r="P285" s="188" t="str">
        <f t="shared" ca="1" si="9"/>
        <v>3% 이하</v>
      </c>
      <c r="Q285" s="194">
        <f ca="1">IFERROR(ROUND(OFFSET(환산공식!$FG$15,$F285,0),3),"")</f>
        <v>0</v>
      </c>
      <c r="R285" s="194">
        <f ca="1">OFFSET('배치점수 계산기'!H$10,$D285,0)</f>
        <v>674.23800000000006</v>
      </c>
      <c r="S285" s="194">
        <f ca="1">OFFSET('배치점수 계산기'!I$10,$D285,0)</f>
        <v>672.08199999999999</v>
      </c>
      <c r="T285" s="194">
        <f ca="1">OFFSET('배치점수 계산기'!J$10,$D285,0)</f>
        <v>668.94200000000001</v>
      </c>
      <c r="U285" s="194">
        <f ca="1">OFFSET('배치점수 계산기'!K$10,$D285,0)</f>
        <v>666.53</v>
      </c>
      <c r="V285" s="194">
        <f ca="1">OFFSET('배치점수 계산기'!L$10,$D285,0)</f>
        <v>664.74400000000003</v>
      </c>
      <c r="W285" s="186" t="str">
        <f ca="1">OFFSET('배치점수 계산기'!M$10,$D285,0)</f>
        <v>표점</v>
      </c>
      <c r="X285" s="184" t="str">
        <f ca="1">OFFSET('배치점수 계산기'!N$10,$D285,0)</f>
        <v>변표</v>
      </c>
      <c r="Y285" s="188">
        <f ca="1">OFFSET(환산공식!FW$15,$F285,0)</f>
        <v>0.33</v>
      </c>
      <c r="Z285" s="20">
        <f ca="1">OFFSET(환산공식!FX$15,$F285,0)</f>
        <v>0.44</v>
      </c>
      <c r="AA285" s="179">
        <f ca="1">OFFSET(환산공식!FY$15,$F285,0)</f>
        <v>0.22</v>
      </c>
      <c r="AC285"/>
      <c r="AD285">
        <f t="shared" ca="1" si="10"/>
        <v>6</v>
      </c>
      <c r="AE285"/>
    </row>
    <row r="286" spans="1:31" s="3" customFormat="1">
      <c r="A286" s="198"/>
      <c r="B286" s="198"/>
      <c r="C286" s="198" t="s">
        <v>847</v>
      </c>
      <c r="D286" s="195">
        <v>336</v>
      </c>
      <c r="E286" s="195">
        <v>47</v>
      </c>
      <c r="F286" s="195">
        <v>47</v>
      </c>
      <c r="G286" s="239">
        <v>279</v>
      </c>
      <c r="H286" s="197" t="s">
        <v>72</v>
      </c>
      <c r="I286" s="242" t="s">
        <v>217</v>
      </c>
      <c r="J286" s="242" t="s">
        <v>7825</v>
      </c>
      <c r="K286" s="195" t="s">
        <v>70</v>
      </c>
      <c r="L286" s="20" t="str">
        <f ca="1">IF(OFFSET(환산공식!$ED$15,$F286,0)=1,"O","X")</f>
        <v>X</v>
      </c>
      <c r="M286" s="188">
        <f ca="1">IFERROR(OFFSET(환산공식!DJ$15,$F286,0),"")</f>
        <v>100</v>
      </c>
      <c r="N286" s="20" t="str">
        <f ca="1">IFERROR(CONCATENATE(ROUND(OFFSET(환산공식!DK$15,$F286,0),1),"%"),"")</f>
        <v>100%</v>
      </c>
      <c r="O286" s="20">
        <f ca="1">IFERROR(OFFSET(환산공식!DL$15,$F286,0),"")</f>
        <v>0</v>
      </c>
      <c r="P286" s="188" t="str">
        <f t="shared" ca="1" si="9"/>
        <v>3% 이하</v>
      </c>
      <c r="Q286" s="194">
        <f ca="1">IFERROR(ROUND(OFFSET(환산공식!$FG$15,$F286,0),3),"")</f>
        <v>0</v>
      </c>
      <c r="R286" s="194">
        <f ca="1">OFFSET('배치점수 계산기'!H$10,$D286,0)</f>
        <v>673.73800000000006</v>
      </c>
      <c r="S286" s="194">
        <f ca="1">OFFSET('배치점수 계산기'!I$10,$D286,0)</f>
        <v>671.41399999999999</v>
      </c>
      <c r="T286" s="194">
        <f ca="1">OFFSET('배치점수 계산기'!J$10,$D286,0)</f>
        <v>668.02499999999998</v>
      </c>
      <c r="U286" s="194">
        <f ca="1">OFFSET('배치점수 계산기'!K$10,$D286,0)</f>
        <v>666.27499999999998</v>
      </c>
      <c r="V286" s="194">
        <f ca="1">OFFSET('배치점수 계산기'!L$10,$D286,0)</f>
        <v>664.48599999999999</v>
      </c>
      <c r="W286" s="186" t="str">
        <f ca="1">OFFSET('배치점수 계산기'!M$10,$D286,0)</f>
        <v>표점</v>
      </c>
      <c r="X286" s="184" t="str">
        <f ca="1">OFFSET('배치점수 계산기'!N$10,$D286,0)</f>
        <v>변표</v>
      </c>
      <c r="Y286" s="188">
        <f ca="1">OFFSET(환산공식!FW$15,$F286,0)</f>
        <v>0.33</v>
      </c>
      <c r="Z286" s="20">
        <f ca="1">OFFSET(환산공식!FX$15,$F286,0)</f>
        <v>0.44</v>
      </c>
      <c r="AA286" s="179">
        <f ca="1">OFFSET(환산공식!FY$15,$F286,0)</f>
        <v>0.22</v>
      </c>
      <c r="AC286"/>
      <c r="AD286">
        <f t="shared" ca="1" si="10"/>
        <v>6</v>
      </c>
      <c r="AE286"/>
    </row>
    <row r="287" spans="1:31" s="3" customFormat="1">
      <c r="A287" s="198"/>
      <c r="B287" s="198"/>
      <c r="C287" s="198" t="s">
        <v>848</v>
      </c>
      <c r="D287" s="195">
        <v>337</v>
      </c>
      <c r="E287" s="195">
        <v>47</v>
      </c>
      <c r="F287" s="195">
        <v>47</v>
      </c>
      <c r="G287" s="239">
        <v>280</v>
      </c>
      <c r="H287" s="197" t="s">
        <v>72</v>
      </c>
      <c r="I287" s="242" t="s">
        <v>217</v>
      </c>
      <c r="J287" s="242" t="s">
        <v>16600</v>
      </c>
      <c r="K287" s="195" t="s">
        <v>70</v>
      </c>
      <c r="L287" s="20" t="str">
        <f ca="1">IF(OFFSET(환산공식!$ED$15,$F287,0)=1,"O","X")</f>
        <v>X</v>
      </c>
      <c r="M287" s="188">
        <f ca="1">IFERROR(OFFSET(환산공식!DJ$15,$F287,0),"")</f>
        <v>100</v>
      </c>
      <c r="N287" s="20" t="str">
        <f ca="1">IFERROR(CONCATENATE(ROUND(OFFSET(환산공식!DK$15,$F287,0),1),"%"),"")</f>
        <v>100%</v>
      </c>
      <c r="O287" s="20">
        <f ca="1">IFERROR(OFFSET(환산공식!DL$15,$F287,0),"")</f>
        <v>0</v>
      </c>
      <c r="P287" s="188" t="str">
        <f t="shared" ca="1" si="9"/>
        <v>3% 이하</v>
      </c>
      <c r="Q287" s="194">
        <f ca="1">IFERROR(ROUND(OFFSET(환산공식!$FG$15,$F287,0),3),"")</f>
        <v>0</v>
      </c>
      <c r="R287" s="194">
        <f ca="1">OFFSET('배치점수 계산기'!H$10,$D287,0)</f>
        <v>670.84799999999996</v>
      </c>
      <c r="S287" s="194">
        <f ca="1">OFFSET('배치점수 계산기'!I$10,$D287,0)</f>
        <v>668.02499999999998</v>
      </c>
      <c r="T287" s="194">
        <f ca="1">OFFSET('배치점수 계산기'!J$10,$D287,0)</f>
        <v>666.27499999999998</v>
      </c>
      <c r="U287" s="194">
        <f ca="1">OFFSET('배치점수 계산기'!K$10,$D287,0)</f>
        <v>664.048</v>
      </c>
      <c r="V287" s="194">
        <f ca="1">OFFSET('배치점수 계산기'!L$10,$D287,0)</f>
        <v>662.14200000000005</v>
      </c>
      <c r="W287" s="186" t="str">
        <f ca="1">OFFSET('배치점수 계산기'!M$10,$D287,0)</f>
        <v>표점</v>
      </c>
      <c r="X287" s="184" t="str">
        <f ca="1">OFFSET('배치점수 계산기'!N$10,$D287,0)</f>
        <v>변표</v>
      </c>
      <c r="Y287" s="188">
        <f ca="1">OFFSET(환산공식!FW$15,$F287,0)</f>
        <v>0.33</v>
      </c>
      <c r="Z287" s="20">
        <f ca="1">OFFSET(환산공식!FX$15,$F287,0)</f>
        <v>0.44</v>
      </c>
      <c r="AA287" s="179">
        <f ca="1">OFFSET(환산공식!FY$15,$F287,0)</f>
        <v>0.22</v>
      </c>
      <c r="AC287"/>
      <c r="AD287">
        <f t="shared" ca="1" si="10"/>
        <v>6</v>
      </c>
      <c r="AE287"/>
    </row>
    <row r="288" spans="1:31" s="3" customFormat="1">
      <c r="A288" s="198"/>
      <c r="B288" s="198"/>
      <c r="C288" s="198" t="s">
        <v>849</v>
      </c>
      <c r="D288" s="195">
        <v>338</v>
      </c>
      <c r="E288" s="195">
        <v>47</v>
      </c>
      <c r="F288" s="195">
        <v>47</v>
      </c>
      <c r="G288" s="239">
        <v>281</v>
      </c>
      <c r="H288" s="197" t="s">
        <v>72</v>
      </c>
      <c r="I288" s="242" t="s">
        <v>217</v>
      </c>
      <c r="J288" s="242" t="s">
        <v>9345</v>
      </c>
      <c r="K288" s="195" t="s">
        <v>70</v>
      </c>
      <c r="L288" s="20" t="str">
        <f ca="1">IF(OFFSET(환산공식!$ED$15,$F288,0)=1,"O","X")</f>
        <v>X</v>
      </c>
      <c r="M288" s="188">
        <f ca="1">IFERROR(OFFSET(환산공식!DJ$15,$F288,0),"")</f>
        <v>100</v>
      </c>
      <c r="N288" s="20" t="str">
        <f ca="1">IFERROR(CONCATENATE(ROUND(OFFSET(환산공식!DK$15,$F288,0),1),"%"),"")</f>
        <v>100%</v>
      </c>
      <c r="O288" s="20">
        <f ca="1">IFERROR(OFFSET(환산공식!DL$15,$F288,0),"")</f>
        <v>0</v>
      </c>
      <c r="P288" s="188" t="str">
        <f t="shared" ca="1" si="9"/>
        <v>3% 이하</v>
      </c>
      <c r="Q288" s="194">
        <f ca="1">IFERROR(ROUND(OFFSET(환산공식!$FG$15,$F288,0),3),"")</f>
        <v>0</v>
      </c>
      <c r="R288" s="194">
        <f ca="1">OFFSET('배치점수 계산기'!H$10,$D288,0)</f>
        <v>671.41399999999999</v>
      </c>
      <c r="S288" s="194">
        <f ca="1">OFFSET('배치점수 계산기'!I$10,$D288,0)</f>
        <v>669.06</v>
      </c>
      <c r="T288" s="194">
        <f ca="1">OFFSET('배치점수 계산기'!J$10,$D288,0)</f>
        <v>665.745</v>
      </c>
      <c r="U288" s="194">
        <f ca="1">OFFSET('배치점수 계산기'!K$10,$D288,0)</f>
        <v>663.18200000000002</v>
      </c>
      <c r="V288" s="194">
        <f ca="1">OFFSET('배치점수 계산기'!L$10,$D288,0)</f>
        <v>657.87599999999998</v>
      </c>
      <c r="W288" s="186" t="str">
        <f ca="1">OFFSET('배치점수 계산기'!M$10,$D288,0)</f>
        <v>표점</v>
      </c>
      <c r="X288" s="184" t="str">
        <f ca="1">OFFSET('배치점수 계산기'!N$10,$D288,0)</f>
        <v>변표</v>
      </c>
      <c r="Y288" s="188">
        <f ca="1">OFFSET(환산공식!FW$15,$F288,0)</f>
        <v>0.33</v>
      </c>
      <c r="Z288" s="20">
        <f ca="1">OFFSET(환산공식!FX$15,$F288,0)</f>
        <v>0.44</v>
      </c>
      <c r="AA288" s="179">
        <f ca="1">OFFSET(환산공식!FY$15,$F288,0)</f>
        <v>0.22</v>
      </c>
      <c r="AC288"/>
      <c r="AD288">
        <f t="shared" ca="1" si="10"/>
        <v>6</v>
      </c>
      <c r="AE288"/>
    </row>
    <row r="289" spans="1:31" s="3" customFormat="1">
      <c r="A289" s="198"/>
      <c r="B289" s="198"/>
      <c r="C289" s="198" t="s">
        <v>850</v>
      </c>
      <c r="D289" s="195">
        <v>339</v>
      </c>
      <c r="E289" s="195">
        <v>47</v>
      </c>
      <c r="F289" s="195">
        <v>47</v>
      </c>
      <c r="G289" s="239">
        <v>282</v>
      </c>
      <c r="H289" s="197" t="s">
        <v>72</v>
      </c>
      <c r="I289" s="242" t="s">
        <v>217</v>
      </c>
      <c r="J289" s="242" t="s">
        <v>9312</v>
      </c>
      <c r="K289" s="195" t="s">
        <v>70</v>
      </c>
      <c r="L289" s="20" t="str">
        <f ca="1">IF(OFFSET(환산공식!$ED$15,$F289,0)=1,"O","X")</f>
        <v>X</v>
      </c>
      <c r="M289" s="188">
        <f ca="1">IFERROR(OFFSET(환산공식!DJ$15,$F289,0),"")</f>
        <v>100</v>
      </c>
      <c r="N289" s="20" t="str">
        <f ca="1">IFERROR(CONCATENATE(ROUND(OFFSET(환산공식!DK$15,$F289,0),1),"%"),"")</f>
        <v>100%</v>
      </c>
      <c r="O289" s="20">
        <f ca="1">IFERROR(OFFSET(환산공식!DL$15,$F289,0),"")</f>
        <v>0</v>
      </c>
      <c r="P289" s="188" t="str">
        <f t="shared" ca="1" si="9"/>
        <v>3% 이하</v>
      </c>
      <c r="Q289" s="194">
        <f ca="1">IFERROR(ROUND(OFFSET(환산공식!$FG$15,$F289,0),3),"")</f>
        <v>0</v>
      </c>
      <c r="R289" s="194">
        <f ca="1">OFFSET('배치점수 계산기'!H$10,$D289,0)</f>
        <v>672.96600000000001</v>
      </c>
      <c r="S289" s="194">
        <f ca="1">OFFSET('배치점수 계산기'!I$10,$D289,0)</f>
        <v>669.66600000000005</v>
      </c>
      <c r="T289" s="194">
        <f ca="1">OFFSET('배치점수 계산기'!J$10,$D289,0)</f>
        <v>665.745</v>
      </c>
      <c r="U289" s="194">
        <f ca="1">OFFSET('배치점수 계산기'!K$10,$D289,0)</f>
        <v>663.44</v>
      </c>
      <c r="V289" s="194">
        <f ca="1">OFFSET('배치점수 계산기'!L$10,$D289,0)</f>
        <v>659.79399999999998</v>
      </c>
      <c r="W289" s="186" t="str">
        <f ca="1">OFFSET('배치점수 계산기'!M$10,$D289,0)</f>
        <v>표점</v>
      </c>
      <c r="X289" s="184" t="str">
        <f ca="1">OFFSET('배치점수 계산기'!N$10,$D289,0)</f>
        <v>변표</v>
      </c>
      <c r="Y289" s="188">
        <f ca="1">OFFSET(환산공식!FW$15,$F289,0)</f>
        <v>0.33</v>
      </c>
      <c r="Z289" s="20">
        <f ca="1">OFFSET(환산공식!FX$15,$F289,0)</f>
        <v>0.44</v>
      </c>
      <c r="AA289" s="179">
        <f ca="1">OFFSET(환산공식!FY$15,$F289,0)</f>
        <v>0.22</v>
      </c>
      <c r="AC289"/>
      <c r="AD289">
        <f t="shared" ca="1" si="10"/>
        <v>6</v>
      </c>
      <c r="AE289"/>
    </row>
    <row r="290" spans="1:31" s="3" customFormat="1">
      <c r="A290" s="198"/>
      <c r="B290" s="198"/>
      <c r="C290" s="198" t="s">
        <v>851</v>
      </c>
      <c r="D290" s="195">
        <v>340</v>
      </c>
      <c r="E290" s="195">
        <v>47</v>
      </c>
      <c r="F290" s="195">
        <v>47</v>
      </c>
      <c r="G290" s="239">
        <v>283</v>
      </c>
      <c r="H290" s="197" t="s">
        <v>72</v>
      </c>
      <c r="I290" s="242" t="s">
        <v>217</v>
      </c>
      <c r="J290" s="242" t="s">
        <v>9353</v>
      </c>
      <c r="K290" s="195" t="s">
        <v>70</v>
      </c>
      <c r="L290" s="20" t="str">
        <f ca="1">IF(OFFSET(환산공식!$ED$15,$F290,0)=1,"O","X")</f>
        <v>X</v>
      </c>
      <c r="M290" s="188">
        <f ca="1">IFERROR(OFFSET(환산공식!DJ$15,$F290,0),"")</f>
        <v>100</v>
      </c>
      <c r="N290" s="20" t="str">
        <f ca="1">IFERROR(CONCATENATE(ROUND(OFFSET(환산공식!DK$15,$F290,0),1),"%"),"")</f>
        <v>100%</v>
      </c>
      <c r="O290" s="20">
        <f ca="1">IFERROR(OFFSET(환산공식!DL$15,$F290,0),"")</f>
        <v>0</v>
      </c>
      <c r="P290" s="188" t="str">
        <f t="shared" ca="1" si="9"/>
        <v>3% 이하</v>
      </c>
      <c r="Q290" s="194">
        <f ca="1">IFERROR(ROUND(OFFSET(환산공식!$FG$15,$F290,0),3),"")</f>
        <v>0</v>
      </c>
      <c r="R290" s="194">
        <f ca="1">OFFSET('배치점수 계산기'!H$10,$D290,0)</f>
        <v>672.43600000000004</v>
      </c>
      <c r="S290" s="194">
        <f ca="1">OFFSET('배치점수 계산기'!I$10,$D290,0)</f>
        <v>668.94200000000001</v>
      </c>
      <c r="T290" s="194">
        <f ca="1">OFFSET('배치점수 계산기'!J$10,$D290,0)</f>
        <v>665.23199999999997</v>
      </c>
      <c r="U290" s="194">
        <f ca="1">OFFSET('배치점수 계산기'!K$10,$D290,0)</f>
        <v>662.80200000000002</v>
      </c>
      <c r="V290" s="194">
        <f ca="1">OFFSET('배치점수 계산기'!L$10,$D290,0)</f>
        <v>659.30100000000004</v>
      </c>
      <c r="W290" s="186" t="str">
        <f ca="1">OFFSET('배치점수 계산기'!M$10,$D290,0)</f>
        <v>표점</v>
      </c>
      <c r="X290" s="184" t="str">
        <f ca="1">OFFSET('배치점수 계산기'!N$10,$D290,0)</f>
        <v>변표</v>
      </c>
      <c r="Y290" s="188">
        <f ca="1">OFFSET(환산공식!FW$15,$F290,0)</f>
        <v>0.33</v>
      </c>
      <c r="Z290" s="20">
        <f ca="1">OFFSET(환산공식!FX$15,$F290,0)</f>
        <v>0.44</v>
      </c>
      <c r="AA290" s="179">
        <f ca="1">OFFSET(환산공식!FY$15,$F290,0)</f>
        <v>0.22</v>
      </c>
      <c r="AC290"/>
      <c r="AD290">
        <f t="shared" ca="1" si="10"/>
        <v>6</v>
      </c>
      <c r="AE290"/>
    </row>
    <row r="291" spans="1:31" s="3" customFormat="1">
      <c r="A291" s="198"/>
      <c r="B291" s="198"/>
      <c r="C291" s="198" t="s">
        <v>852</v>
      </c>
      <c r="D291" s="195">
        <v>341</v>
      </c>
      <c r="E291" s="195">
        <v>47</v>
      </c>
      <c r="F291" s="195">
        <v>47</v>
      </c>
      <c r="G291" s="239">
        <v>284</v>
      </c>
      <c r="H291" s="197" t="s">
        <v>72</v>
      </c>
      <c r="I291" s="242" t="s">
        <v>217</v>
      </c>
      <c r="J291" s="242" t="s">
        <v>8283</v>
      </c>
      <c r="K291" s="195" t="s">
        <v>70</v>
      </c>
      <c r="L291" s="20" t="str">
        <f ca="1">IF(OFFSET(환산공식!$ED$15,$F291,0)=1,"O","X")</f>
        <v>X</v>
      </c>
      <c r="M291" s="188">
        <f ca="1">IFERROR(OFFSET(환산공식!DJ$15,$F291,0),"")</f>
        <v>100</v>
      </c>
      <c r="N291" s="20" t="str">
        <f ca="1">IFERROR(CONCATENATE(ROUND(OFFSET(환산공식!DK$15,$F291,0),1),"%"),"")</f>
        <v>100%</v>
      </c>
      <c r="O291" s="20">
        <f ca="1">IFERROR(OFFSET(환산공식!DL$15,$F291,0),"")</f>
        <v>0</v>
      </c>
      <c r="P291" s="188" t="str">
        <f t="shared" ca="1" si="9"/>
        <v>3% 이하</v>
      </c>
      <c r="Q291" s="194">
        <f ca="1">IFERROR(ROUND(OFFSET(환산공식!$FG$15,$F291,0),3),"")</f>
        <v>0</v>
      </c>
      <c r="R291" s="194">
        <f ca="1">OFFSET('배치점수 계산기'!H$10,$D291,0)</f>
        <v>667.72299999999996</v>
      </c>
      <c r="S291" s="194">
        <f ca="1">OFFSET('배치점수 계산기'!I$10,$D291,0)</f>
        <v>666.27499999999998</v>
      </c>
      <c r="T291" s="194">
        <f ca="1">OFFSET('배치점수 계산기'!J$10,$D291,0)</f>
        <v>664.85199999999998</v>
      </c>
      <c r="U291" s="194">
        <f ca="1">OFFSET('배치점수 계산기'!K$10,$D291,0)</f>
        <v>663.18200000000002</v>
      </c>
      <c r="V291" s="194">
        <f ca="1">OFFSET('배치점수 계산기'!L$10,$D291,0)</f>
        <v>657.37900000000002</v>
      </c>
      <c r="W291" s="186" t="str">
        <f ca="1">OFFSET('배치점수 계산기'!M$10,$D291,0)</f>
        <v>표점</v>
      </c>
      <c r="X291" s="184" t="str">
        <f ca="1">OFFSET('배치점수 계산기'!N$10,$D291,0)</f>
        <v>변표</v>
      </c>
      <c r="Y291" s="188">
        <f ca="1">OFFSET(환산공식!FW$15,$F291,0)</f>
        <v>0.33</v>
      </c>
      <c r="Z291" s="20">
        <f ca="1">OFFSET(환산공식!FX$15,$F291,0)</f>
        <v>0.44</v>
      </c>
      <c r="AA291" s="179">
        <f ca="1">OFFSET(환산공식!FY$15,$F291,0)</f>
        <v>0.22</v>
      </c>
      <c r="AC291"/>
      <c r="AD291">
        <f t="shared" ca="1" si="10"/>
        <v>6</v>
      </c>
      <c r="AE291"/>
    </row>
    <row r="292" spans="1:31" s="3" customFormat="1">
      <c r="A292" s="198"/>
      <c r="B292" s="198"/>
      <c r="C292" s="198" t="s">
        <v>853</v>
      </c>
      <c r="D292" s="195">
        <v>342</v>
      </c>
      <c r="E292" s="195">
        <v>47</v>
      </c>
      <c r="F292" s="195">
        <v>47</v>
      </c>
      <c r="G292" s="239">
        <v>285</v>
      </c>
      <c r="H292" s="197" t="s">
        <v>72</v>
      </c>
      <c r="I292" s="242" t="s">
        <v>217</v>
      </c>
      <c r="J292" s="242" t="s">
        <v>9382</v>
      </c>
      <c r="K292" s="195" t="s">
        <v>70</v>
      </c>
      <c r="L292" s="20" t="str">
        <f ca="1">IF(OFFSET(환산공식!$ED$15,$F292,0)=1,"O","X")</f>
        <v>X</v>
      </c>
      <c r="M292" s="188">
        <f ca="1">IFERROR(OFFSET(환산공식!DJ$15,$F292,0),"")</f>
        <v>100</v>
      </c>
      <c r="N292" s="20" t="str">
        <f ca="1">IFERROR(CONCATENATE(ROUND(OFFSET(환산공식!DK$15,$F292,0),1),"%"),"")</f>
        <v>100%</v>
      </c>
      <c r="O292" s="20">
        <f ca="1">IFERROR(OFFSET(환산공식!DL$15,$F292,0),"")</f>
        <v>0</v>
      </c>
      <c r="P292" s="188" t="str">
        <f t="shared" ca="1" si="9"/>
        <v>3% 이하</v>
      </c>
      <c r="Q292" s="194">
        <f ca="1">IFERROR(ROUND(OFFSET(환산공식!$FG$15,$F292,0),3),"")</f>
        <v>0</v>
      </c>
      <c r="R292" s="194">
        <f ca="1">OFFSET('배치점수 계산기'!H$10,$D292,0)</f>
        <v>671.13199999999995</v>
      </c>
      <c r="S292" s="194">
        <f ca="1">OFFSET('배치점수 계산기'!I$10,$D292,0)</f>
        <v>667.67499999999995</v>
      </c>
      <c r="T292" s="194">
        <f ca="1">OFFSET('배치점수 계산기'!J$10,$D292,0)</f>
        <v>664.74400000000003</v>
      </c>
      <c r="U292" s="194">
        <f ca="1">OFFSET('배치점수 계산기'!K$10,$D292,0)</f>
        <v>662.27800000000002</v>
      </c>
      <c r="V292" s="194">
        <f ca="1">OFFSET('배치점수 계산기'!L$10,$D292,0)</f>
        <v>658.54899999999998</v>
      </c>
      <c r="W292" s="186" t="str">
        <f ca="1">OFFSET('배치점수 계산기'!M$10,$D292,0)</f>
        <v>표점</v>
      </c>
      <c r="X292" s="184" t="str">
        <f ca="1">OFFSET('배치점수 계산기'!N$10,$D292,0)</f>
        <v>변표</v>
      </c>
      <c r="Y292" s="188">
        <f ca="1">OFFSET(환산공식!FW$15,$F292,0)</f>
        <v>0.33</v>
      </c>
      <c r="Z292" s="20">
        <f ca="1">OFFSET(환산공식!FX$15,$F292,0)</f>
        <v>0.44</v>
      </c>
      <c r="AA292" s="179">
        <f ca="1">OFFSET(환산공식!FY$15,$F292,0)</f>
        <v>0.22</v>
      </c>
      <c r="AC292"/>
      <c r="AD292">
        <f t="shared" ca="1" si="10"/>
        <v>6</v>
      </c>
      <c r="AE292"/>
    </row>
    <row r="293" spans="1:31" s="3" customFormat="1">
      <c r="A293" s="198"/>
      <c r="B293" s="198"/>
      <c r="C293" s="198" t="s">
        <v>854</v>
      </c>
      <c r="D293" s="195">
        <v>343</v>
      </c>
      <c r="E293" s="195">
        <v>47</v>
      </c>
      <c r="F293" s="195">
        <v>47</v>
      </c>
      <c r="G293" s="239">
        <v>286</v>
      </c>
      <c r="H293" s="197" t="s">
        <v>72</v>
      </c>
      <c r="I293" s="242" t="s">
        <v>217</v>
      </c>
      <c r="J293" s="242" t="s">
        <v>550</v>
      </c>
      <c r="K293" s="195" t="s">
        <v>70</v>
      </c>
      <c r="L293" s="20" t="str">
        <f ca="1">IF(OFFSET(환산공식!$ED$15,$F293,0)=1,"O","X")</f>
        <v>X</v>
      </c>
      <c r="M293" s="188">
        <f ca="1">IFERROR(OFFSET(환산공식!DJ$15,$F293,0),"")</f>
        <v>100</v>
      </c>
      <c r="N293" s="20" t="str">
        <f ca="1">IFERROR(CONCATENATE(ROUND(OFFSET(환산공식!DK$15,$F293,0),1),"%"),"")</f>
        <v>100%</v>
      </c>
      <c r="O293" s="20">
        <f ca="1">IFERROR(OFFSET(환산공식!DL$15,$F293,0),"")</f>
        <v>0</v>
      </c>
      <c r="P293" s="188" t="str">
        <f t="shared" ca="1" si="9"/>
        <v>3% 이하</v>
      </c>
      <c r="Q293" s="194">
        <f ca="1">IFERROR(ROUND(OFFSET(환산공식!$FG$15,$F293,0),3),"")</f>
        <v>0</v>
      </c>
      <c r="R293" s="194">
        <f ca="1">OFFSET('배치점수 계산기'!H$10,$D293,0)</f>
        <v>670.98199999999997</v>
      </c>
      <c r="S293" s="194">
        <f ca="1">OFFSET('배치점수 계산기'!I$10,$D293,0)</f>
        <v>667.05</v>
      </c>
      <c r="T293" s="194">
        <f ca="1">OFFSET('배치점수 계산기'!J$10,$D293,0)</f>
        <v>663.44</v>
      </c>
      <c r="U293" s="194">
        <f ca="1">OFFSET('배치점수 계산기'!K$10,$D293,0)</f>
        <v>660.82600000000002</v>
      </c>
      <c r="V293" s="194">
        <f ca="1">OFFSET('배치점수 계산기'!L$10,$D293,0)</f>
        <v>656.76</v>
      </c>
      <c r="W293" s="186" t="str">
        <f ca="1">OFFSET('배치점수 계산기'!M$10,$D293,0)</f>
        <v>표점</v>
      </c>
      <c r="X293" s="184" t="str">
        <f ca="1">OFFSET('배치점수 계산기'!N$10,$D293,0)</f>
        <v>변표</v>
      </c>
      <c r="Y293" s="188">
        <f ca="1">OFFSET(환산공식!FW$15,$F293,0)</f>
        <v>0.33</v>
      </c>
      <c r="Z293" s="20">
        <f ca="1">OFFSET(환산공식!FX$15,$F293,0)</f>
        <v>0.44</v>
      </c>
      <c r="AA293" s="179">
        <f ca="1">OFFSET(환산공식!FY$15,$F293,0)</f>
        <v>0.22</v>
      </c>
      <c r="AC293"/>
      <c r="AD293">
        <f t="shared" ca="1" si="10"/>
        <v>6</v>
      </c>
      <c r="AE293"/>
    </row>
    <row r="294" spans="1:31" s="3" customFormat="1">
      <c r="A294" s="198"/>
      <c r="B294" s="198"/>
      <c r="C294" s="198" t="s">
        <v>855</v>
      </c>
      <c r="D294" s="195">
        <v>344</v>
      </c>
      <c r="E294" s="195">
        <v>47</v>
      </c>
      <c r="F294" s="195">
        <v>47</v>
      </c>
      <c r="G294" s="239">
        <v>287</v>
      </c>
      <c r="H294" s="197" t="s">
        <v>72</v>
      </c>
      <c r="I294" s="242" t="s">
        <v>217</v>
      </c>
      <c r="J294" s="242" t="s">
        <v>418</v>
      </c>
      <c r="K294" s="195" t="s">
        <v>70</v>
      </c>
      <c r="L294" s="20" t="str">
        <f ca="1">IF(OFFSET(환산공식!$ED$15,$F294,0)=1,"O","X")</f>
        <v>X</v>
      </c>
      <c r="M294" s="188">
        <f ca="1">IFERROR(OFFSET(환산공식!DJ$15,$F294,0),"")</f>
        <v>100</v>
      </c>
      <c r="N294" s="20" t="str">
        <f ca="1">IFERROR(CONCATENATE(ROUND(OFFSET(환산공식!DK$15,$F294,0),1),"%"),"")</f>
        <v>100%</v>
      </c>
      <c r="O294" s="20">
        <f ca="1">IFERROR(OFFSET(환산공식!DL$15,$F294,0),"")</f>
        <v>0</v>
      </c>
      <c r="P294" s="188" t="str">
        <f t="shared" ca="1" si="9"/>
        <v>3% 이하</v>
      </c>
      <c r="Q294" s="194">
        <f ca="1">IFERROR(ROUND(OFFSET(환산공식!$FG$15,$F294,0),3),"")</f>
        <v>0</v>
      </c>
      <c r="R294" s="194">
        <f ca="1">OFFSET('배치점수 계산기'!H$10,$D294,0)</f>
        <v>667.67499999999995</v>
      </c>
      <c r="S294" s="194">
        <f ca="1">OFFSET('배치점수 계산기'!I$10,$D294,0)</f>
        <v>665.11400000000003</v>
      </c>
      <c r="T294" s="194">
        <f ca="1">OFFSET('배치점수 계산기'!J$10,$D294,0)</f>
        <v>661.32799999999997</v>
      </c>
      <c r="U294" s="194">
        <f ca="1">OFFSET('배치점수 계산기'!K$10,$D294,0)</f>
        <v>658.54899999999998</v>
      </c>
      <c r="V294" s="194">
        <f ca="1">OFFSET('배치점수 계산기'!L$10,$D294,0)</f>
        <v>654.505</v>
      </c>
      <c r="W294" s="186" t="str">
        <f ca="1">OFFSET('배치점수 계산기'!M$10,$D294,0)</f>
        <v>표점</v>
      </c>
      <c r="X294" s="184" t="str">
        <f ca="1">OFFSET('배치점수 계산기'!N$10,$D294,0)</f>
        <v>변표</v>
      </c>
      <c r="Y294" s="188">
        <f ca="1">OFFSET(환산공식!FW$15,$F294,0)</f>
        <v>0.33</v>
      </c>
      <c r="Z294" s="20">
        <f ca="1">OFFSET(환산공식!FX$15,$F294,0)</f>
        <v>0.44</v>
      </c>
      <c r="AA294" s="179">
        <f ca="1">OFFSET(환산공식!FY$15,$F294,0)</f>
        <v>0.22</v>
      </c>
      <c r="AC294"/>
      <c r="AD294">
        <f t="shared" ca="1" si="10"/>
        <v>6</v>
      </c>
      <c r="AE294"/>
    </row>
    <row r="295" spans="1:31" s="3" customFormat="1">
      <c r="A295" s="198"/>
      <c r="B295" s="198"/>
      <c r="C295" s="198" t="s">
        <v>856</v>
      </c>
      <c r="D295" s="195">
        <v>345</v>
      </c>
      <c r="E295" s="195">
        <v>50</v>
      </c>
      <c r="F295" s="195">
        <v>50</v>
      </c>
      <c r="G295" s="239">
        <v>288</v>
      </c>
      <c r="H295" s="197" t="s">
        <v>72</v>
      </c>
      <c r="I295" s="242" t="s">
        <v>217</v>
      </c>
      <c r="J295" s="242" t="s">
        <v>9119</v>
      </c>
      <c r="K295" s="195" t="s">
        <v>71</v>
      </c>
      <c r="L295" s="20" t="str">
        <f ca="1">IF(OFFSET(환산공식!$ED$15,$F295,0)=1,"O","X")</f>
        <v>X</v>
      </c>
      <c r="M295" s="188">
        <f ca="1">IFERROR(OFFSET(환산공식!DJ$15,$F295,0),"")</f>
        <v>100</v>
      </c>
      <c r="N295" s="20" t="str">
        <f ca="1">IFERROR(CONCATENATE(ROUND(OFFSET(환산공식!DK$15,$F295,0),1),"%"),"")</f>
        <v>100%</v>
      </c>
      <c r="O295" s="20">
        <f ca="1">IFERROR(OFFSET(환산공식!DL$15,$F295,0),"")</f>
        <v>0</v>
      </c>
      <c r="P295" s="188" t="str">
        <f t="shared" ca="1" si="9"/>
        <v>3% 이하</v>
      </c>
      <c r="Q295" s="194">
        <f ca="1">IFERROR(ROUND(OFFSET(환산공식!$FG$15,$F295,0),3),"")</f>
        <v>0</v>
      </c>
      <c r="R295" s="194">
        <f ca="1">OFFSET('배치점수 계산기'!H$10,$D295,0)</f>
        <v>674.99699999999996</v>
      </c>
      <c r="S295" s="194">
        <f ca="1">OFFSET('배치점수 계산기'!I$10,$D295,0)</f>
        <v>671.90899999999999</v>
      </c>
      <c r="T295" s="194">
        <f ca="1">OFFSET('배치점수 계산기'!J$10,$D295,0)</f>
        <v>667.005</v>
      </c>
      <c r="U295" s="194">
        <f ca="1">OFFSET('배치점수 계산기'!K$10,$D295,0)</f>
        <v>664.63199999999995</v>
      </c>
      <c r="V295" s="194">
        <f ca="1">OFFSET('배치점수 계산기'!L$10,$D295,0)</f>
        <v>660.65300000000002</v>
      </c>
      <c r="W295" s="186" t="str">
        <f ca="1">OFFSET('배치점수 계산기'!M$10,$D295,0)</f>
        <v>표점</v>
      </c>
      <c r="X295" s="184" t="str">
        <f ca="1">OFFSET('배치점수 계산기'!N$10,$D295,0)</f>
        <v>변표</v>
      </c>
      <c r="Y295" s="188">
        <f ca="1">OFFSET(환산공식!FW$15,$F295,0)</f>
        <v>0.44</v>
      </c>
      <c r="Z295" s="20">
        <f ca="1">OFFSET(환산공식!FX$15,$F295,0)</f>
        <v>0.33</v>
      </c>
      <c r="AA295" s="179">
        <f ca="1">OFFSET(환산공식!FY$15,$F295,0)</f>
        <v>0.22</v>
      </c>
      <c r="AC295"/>
      <c r="AD295">
        <f t="shared" ca="1" si="10"/>
        <v>6</v>
      </c>
      <c r="AE295"/>
    </row>
    <row r="296" spans="1:31" s="3" customFormat="1">
      <c r="A296" s="198"/>
      <c r="B296" s="198"/>
      <c r="C296" s="198" t="s">
        <v>857</v>
      </c>
      <c r="D296" s="195">
        <v>346</v>
      </c>
      <c r="E296" s="195">
        <v>48</v>
      </c>
      <c r="F296" s="195">
        <v>48</v>
      </c>
      <c r="G296" s="239">
        <v>289</v>
      </c>
      <c r="H296" s="197" t="s">
        <v>72</v>
      </c>
      <c r="I296" s="242" t="s">
        <v>217</v>
      </c>
      <c r="J296" s="242" t="s">
        <v>8216</v>
      </c>
      <c r="K296" s="195" t="s">
        <v>71</v>
      </c>
      <c r="L296" s="20" t="str">
        <f ca="1">IF(OFFSET(환산공식!$ED$15,$F296,0)=1,"O","X")</f>
        <v>X</v>
      </c>
      <c r="M296" s="188">
        <f ca="1">IFERROR(OFFSET(환산공식!DJ$15,$F296,0),"")</f>
        <v>100</v>
      </c>
      <c r="N296" s="20" t="str">
        <f ca="1">IFERROR(CONCATENATE(ROUND(OFFSET(환산공식!DK$15,$F296,0),1),"%"),"")</f>
        <v>100%</v>
      </c>
      <c r="O296" s="20">
        <f ca="1">IFERROR(OFFSET(환산공식!DL$15,$F296,0),"")</f>
        <v>0</v>
      </c>
      <c r="P296" s="188" t="str">
        <f t="shared" ca="1" si="9"/>
        <v>3% 이하</v>
      </c>
      <c r="Q296" s="194">
        <f ca="1">IFERROR(ROUND(OFFSET(환산공식!$FG$15,$F296,0),3),"")</f>
        <v>0</v>
      </c>
      <c r="R296" s="194">
        <f ca="1">OFFSET('배치점수 계산기'!H$10,$D296,0)</f>
        <v>679.14200000000005</v>
      </c>
      <c r="S296" s="194">
        <f ca="1">OFFSET('배치점수 계산기'!I$10,$D296,0)</f>
        <v>675.51400000000001</v>
      </c>
      <c r="T296" s="194">
        <f ca="1">OFFSET('배치점수 계산기'!J$10,$D296,0)</f>
        <v>671.91</v>
      </c>
      <c r="U296" s="194">
        <f ca="1">OFFSET('배치점수 계산기'!K$10,$D296,0)</f>
        <v>669.452</v>
      </c>
      <c r="V296" s="194">
        <f ca="1">OFFSET('배치점수 계산기'!L$10,$D296,0)</f>
        <v>665.81600000000003</v>
      </c>
      <c r="W296" s="186" t="str">
        <f ca="1">OFFSET('배치점수 계산기'!M$10,$D296,0)</f>
        <v>표점</v>
      </c>
      <c r="X296" s="184" t="str">
        <f ca="1">OFFSET('배치점수 계산기'!N$10,$D296,0)</f>
        <v>변표</v>
      </c>
      <c r="Y296" s="188">
        <f ca="1">OFFSET(환산공식!FW$15,$F296,0)</f>
        <v>0.44</v>
      </c>
      <c r="Z296" s="20">
        <f ca="1">OFFSET(환산공식!FX$15,$F296,0)</f>
        <v>0.33</v>
      </c>
      <c r="AA296" s="179">
        <f ca="1">OFFSET(환산공식!FY$15,$F296,0)</f>
        <v>0.22</v>
      </c>
      <c r="AC296"/>
      <c r="AD296">
        <f t="shared" ca="1" si="10"/>
        <v>6</v>
      </c>
      <c r="AE296"/>
    </row>
    <row r="297" spans="1:31" s="3" customFormat="1">
      <c r="A297" s="198"/>
      <c r="B297" s="198"/>
      <c r="C297" s="198" t="s">
        <v>858</v>
      </c>
      <c r="D297" s="195">
        <v>347</v>
      </c>
      <c r="E297" s="195">
        <v>47</v>
      </c>
      <c r="F297" s="195">
        <v>47</v>
      </c>
      <c r="G297" s="239">
        <v>290</v>
      </c>
      <c r="H297" s="197" t="s">
        <v>72</v>
      </c>
      <c r="I297" s="242" t="s">
        <v>217</v>
      </c>
      <c r="J297" s="242" t="s">
        <v>9652</v>
      </c>
      <c r="K297" s="195" t="s">
        <v>71</v>
      </c>
      <c r="L297" s="20" t="str">
        <f ca="1">IF(OFFSET(환산공식!$ED$15,$F297,0)=1,"O","X")</f>
        <v>X</v>
      </c>
      <c r="M297" s="188">
        <f ca="1">IFERROR(OFFSET(환산공식!DJ$15,$F297,0),"")</f>
        <v>100</v>
      </c>
      <c r="N297" s="20" t="str">
        <f ca="1">IFERROR(CONCATENATE(ROUND(OFFSET(환산공식!DK$15,$F297,0),1),"%"),"")</f>
        <v>100%</v>
      </c>
      <c r="O297" s="20">
        <f ca="1">IFERROR(OFFSET(환산공식!DL$15,$F297,0),"")</f>
        <v>0</v>
      </c>
      <c r="P297" s="188" t="str">
        <f t="shared" ca="1" si="9"/>
        <v>3% 이하</v>
      </c>
      <c r="Q297" s="194">
        <f ca="1">IFERROR(ROUND(OFFSET(환산공식!$FG$15,$F297,0),3),"")</f>
        <v>0</v>
      </c>
      <c r="R297" s="194">
        <f ca="1">OFFSET('배치점수 계산기'!H$10,$D297,0)</f>
        <v>667.45500000000004</v>
      </c>
      <c r="S297" s="194">
        <f ca="1">OFFSET('배치점수 계산기'!I$10,$D297,0)</f>
        <v>664.74400000000003</v>
      </c>
      <c r="T297" s="194">
        <f ca="1">OFFSET('배치점수 계산기'!J$10,$D297,0)</f>
        <v>661.06200000000001</v>
      </c>
      <c r="U297" s="194">
        <f ca="1">OFFSET('배치점수 계산기'!K$10,$D297,0)</f>
        <v>658.13800000000003</v>
      </c>
      <c r="V297" s="194">
        <f ca="1">OFFSET('배치점수 계산기'!L$10,$D297,0)</f>
        <v>654.25300000000004</v>
      </c>
      <c r="W297" s="186" t="str">
        <f ca="1">OFFSET('배치점수 계산기'!M$10,$D297,0)</f>
        <v>표점</v>
      </c>
      <c r="X297" s="184" t="str">
        <f ca="1">OFFSET('배치점수 계산기'!N$10,$D297,0)</f>
        <v>변표</v>
      </c>
      <c r="Y297" s="188">
        <f ca="1">OFFSET(환산공식!FW$15,$F297,0)</f>
        <v>0.33</v>
      </c>
      <c r="Z297" s="20">
        <f ca="1">OFFSET(환산공식!FX$15,$F297,0)</f>
        <v>0.44</v>
      </c>
      <c r="AA297" s="179">
        <f ca="1">OFFSET(환산공식!FY$15,$F297,0)</f>
        <v>0.22</v>
      </c>
      <c r="AC297"/>
      <c r="AD297">
        <f t="shared" ca="1" si="10"/>
        <v>6</v>
      </c>
      <c r="AE297"/>
    </row>
    <row r="298" spans="1:31" s="3" customFormat="1">
      <c r="A298" s="198"/>
      <c r="B298" s="198"/>
      <c r="C298" s="198" t="s">
        <v>859</v>
      </c>
      <c r="D298" s="195">
        <v>348</v>
      </c>
      <c r="E298" s="195">
        <v>47</v>
      </c>
      <c r="F298" s="195">
        <v>47</v>
      </c>
      <c r="G298" s="239">
        <v>291</v>
      </c>
      <c r="H298" s="197" t="s">
        <v>72</v>
      </c>
      <c r="I298" s="242" t="s">
        <v>217</v>
      </c>
      <c r="J298" s="242" t="s">
        <v>9683</v>
      </c>
      <c r="K298" s="195" t="s">
        <v>71</v>
      </c>
      <c r="L298" s="20" t="str">
        <f ca="1">IF(OFFSET(환산공식!$ED$15,$F298,0)=1,"O","X")</f>
        <v>X</v>
      </c>
      <c r="M298" s="188">
        <f ca="1">IFERROR(OFFSET(환산공식!DJ$15,$F298,0),"")</f>
        <v>100</v>
      </c>
      <c r="N298" s="20" t="str">
        <f ca="1">IFERROR(CONCATENATE(ROUND(OFFSET(환산공식!DK$15,$F298,0),1),"%"),"")</f>
        <v>100%</v>
      </c>
      <c r="O298" s="20">
        <f ca="1">IFERROR(OFFSET(환산공식!DL$15,$F298,0),"")</f>
        <v>0</v>
      </c>
      <c r="P298" s="188" t="str">
        <f t="shared" ca="1" si="9"/>
        <v>3% 이하</v>
      </c>
      <c r="Q298" s="194">
        <f ca="1">IFERROR(ROUND(OFFSET(환산공식!$FG$15,$F298,0),3),"")</f>
        <v>0</v>
      </c>
      <c r="R298" s="194">
        <f ca="1">OFFSET('배치점수 계산기'!H$10,$D298,0)</f>
        <v>667.02</v>
      </c>
      <c r="S298" s="194">
        <f ca="1">OFFSET('배치점수 계산기'!I$10,$D298,0)</f>
        <v>664.21799999999996</v>
      </c>
      <c r="T298" s="194">
        <f ca="1">OFFSET('배치점수 계산기'!J$10,$D298,0)</f>
        <v>660.54</v>
      </c>
      <c r="U298" s="194">
        <f ca="1">OFFSET('배치점수 계산기'!K$10,$D298,0)</f>
        <v>657.49699999999996</v>
      </c>
      <c r="V298" s="194">
        <f ca="1">OFFSET('배치점수 계산기'!L$10,$D298,0)</f>
        <v>653.45000000000005</v>
      </c>
      <c r="W298" s="186" t="str">
        <f ca="1">OFFSET('배치점수 계산기'!M$10,$D298,0)</f>
        <v>표점</v>
      </c>
      <c r="X298" s="184" t="str">
        <f ca="1">OFFSET('배치점수 계산기'!N$10,$D298,0)</f>
        <v>변표</v>
      </c>
      <c r="Y298" s="188">
        <f ca="1">OFFSET(환산공식!FW$15,$F298,0)</f>
        <v>0.33</v>
      </c>
      <c r="Z298" s="20">
        <f ca="1">OFFSET(환산공식!FX$15,$F298,0)</f>
        <v>0.44</v>
      </c>
      <c r="AA298" s="179">
        <f ca="1">OFFSET(환산공식!FY$15,$F298,0)</f>
        <v>0.22</v>
      </c>
      <c r="AC298"/>
      <c r="AD298">
        <f t="shared" ca="1" si="10"/>
        <v>6</v>
      </c>
      <c r="AE298"/>
    </row>
    <row r="299" spans="1:31" s="3" customFormat="1">
      <c r="A299" s="198"/>
      <c r="B299" s="198"/>
      <c r="C299" s="198" t="s">
        <v>860</v>
      </c>
      <c r="D299" s="195">
        <v>349</v>
      </c>
      <c r="E299" s="195">
        <v>53</v>
      </c>
      <c r="F299" s="195">
        <v>53</v>
      </c>
      <c r="G299" s="239">
        <v>292</v>
      </c>
      <c r="H299" s="197" t="s">
        <v>72</v>
      </c>
      <c r="I299" s="242" t="s">
        <v>233</v>
      </c>
      <c r="J299" s="242" t="s">
        <v>8916</v>
      </c>
      <c r="K299" s="195" t="s">
        <v>70</v>
      </c>
      <c r="L299" s="20" t="str">
        <f ca="1">IF(OFFSET(환산공식!$ED$15,$F299,0)=1,"O","X")</f>
        <v>X</v>
      </c>
      <c r="M299" s="188">
        <f ca="1">IFERROR(OFFSET(환산공식!DJ$15,$F299,0),"")</f>
        <v>150</v>
      </c>
      <c r="N299" s="20" t="str">
        <f ca="1">IFERROR(CONCATENATE(ROUND(OFFSET(환산공식!DK$15,$F299,0),1),"%"),"")</f>
        <v>100%</v>
      </c>
      <c r="O299" s="20">
        <f ca="1">IFERROR(OFFSET(환산공식!DL$15,$F299,0),"")</f>
        <v>0</v>
      </c>
      <c r="P299" s="188" t="str">
        <f t="shared" ca="1" si="9"/>
        <v>3% 이하</v>
      </c>
      <c r="Q299" s="194">
        <f ca="1">IFERROR(ROUND(OFFSET(환산공식!$FG$15,$F299,0),3),"")</f>
        <v>0</v>
      </c>
      <c r="R299" s="194">
        <f ca="1">OFFSET('배치점수 계산기'!H$10,$D299,0)</f>
        <v>695.125</v>
      </c>
      <c r="S299" s="194">
        <f ca="1">OFFSET('배치점수 계산기'!I$10,$D299,0)</f>
        <v>694.39599999999996</v>
      </c>
      <c r="T299" s="194">
        <f ca="1">OFFSET('배치점수 계산기'!J$10,$D299,0)</f>
        <v>692.55899999999997</v>
      </c>
      <c r="U299" s="194">
        <f ca="1">OFFSET('배치점수 계산기'!K$10,$D299,0)</f>
        <v>691.16399999999999</v>
      </c>
      <c r="V299" s="194">
        <f ca="1">OFFSET('배치점수 계산기'!L$10,$D299,0)</f>
        <v>688.01099999999997</v>
      </c>
      <c r="W299" s="186" t="str">
        <f ca="1">OFFSET('배치점수 계산기'!M$10,$D299,0)</f>
        <v>표점</v>
      </c>
      <c r="X299" s="184" t="str">
        <f ca="1">OFFSET('배치점수 계산기'!N$10,$D299,0)</f>
        <v>변표</v>
      </c>
      <c r="Y299" s="188">
        <f ca="1">OFFSET(환산공식!FW$15,$F299,0)</f>
        <v>0.28999999999999998</v>
      </c>
      <c r="Z299" s="20">
        <f ca="1">OFFSET(환산공식!FX$15,$F299,0)</f>
        <v>0.41</v>
      </c>
      <c r="AA299" s="179">
        <f ca="1">OFFSET(환산공식!FY$15,$F299,0)</f>
        <v>0.28999999999999998</v>
      </c>
      <c r="AC299"/>
      <c r="AD299">
        <f t="shared" ca="1" si="10"/>
        <v>6</v>
      </c>
      <c r="AE299"/>
    </row>
    <row r="300" spans="1:31" s="3" customFormat="1">
      <c r="A300" s="198"/>
      <c r="B300" s="198"/>
      <c r="C300" s="198" t="s">
        <v>861</v>
      </c>
      <c r="D300" s="195">
        <v>350</v>
      </c>
      <c r="E300" s="195">
        <v>53</v>
      </c>
      <c r="F300" s="195">
        <v>53</v>
      </c>
      <c r="G300" s="239">
        <v>293</v>
      </c>
      <c r="H300" s="197" t="s">
        <v>72</v>
      </c>
      <c r="I300" s="242" t="s">
        <v>233</v>
      </c>
      <c r="J300" s="242" t="s">
        <v>8283</v>
      </c>
      <c r="K300" s="195" t="s">
        <v>70</v>
      </c>
      <c r="L300" s="20" t="str">
        <f ca="1">IF(OFFSET(환산공식!$ED$15,$F300,0)=1,"O","X")</f>
        <v>X</v>
      </c>
      <c r="M300" s="188">
        <f ca="1">IFERROR(OFFSET(환산공식!DJ$15,$F300,0),"")</f>
        <v>150</v>
      </c>
      <c r="N300" s="20" t="str">
        <f ca="1">IFERROR(CONCATENATE(ROUND(OFFSET(환산공식!DK$15,$F300,0),1),"%"),"")</f>
        <v>100%</v>
      </c>
      <c r="O300" s="20">
        <f ca="1">IFERROR(OFFSET(환산공식!DL$15,$F300,0),"")</f>
        <v>0</v>
      </c>
      <c r="P300" s="188" t="str">
        <f t="shared" ca="1" si="9"/>
        <v>3% 이하</v>
      </c>
      <c r="Q300" s="194">
        <f ca="1">IFERROR(ROUND(OFFSET(환산공식!$FG$15,$F300,0),3),"")</f>
        <v>0</v>
      </c>
      <c r="R300" s="194">
        <f ca="1">OFFSET('배치점수 계산기'!H$10,$D300,0)</f>
        <v>698.44</v>
      </c>
      <c r="S300" s="194">
        <f ca="1">OFFSET('배치점수 계산기'!I$10,$D300,0)</f>
        <v>695.38800000000003</v>
      </c>
      <c r="T300" s="194">
        <f ca="1">OFFSET('배치점수 계산기'!J$10,$D300,0)</f>
        <v>691.899</v>
      </c>
      <c r="U300" s="194">
        <f ca="1">OFFSET('배치점수 계산기'!K$10,$D300,0)</f>
        <v>689.15</v>
      </c>
      <c r="V300" s="194">
        <f ca="1">OFFSET('배치점수 계산기'!L$10,$D300,0)</f>
        <v>685.39700000000005</v>
      </c>
      <c r="W300" s="186" t="str">
        <f ca="1">OFFSET('배치점수 계산기'!M$10,$D300,0)</f>
        <v>표점</v>
      </c>
      <c r="X300" s="184" t="str">
        <f ca="1">OFFSET('배치점수 계산기'!N$10,$D300,0)</f>
        <v>변표</v>
      </c>
      <c r="Y300" s="188">
        <f ca="1">OFFSET(환산공식!FW$15,$F300,0)</f>
        <v>0.28999999999999998</v>
      </c>
      <c r="Z300" s="20">
        <f ca="1">OFFSET(환산공식!FX$15,$F300,0)</f>
        <v>0.41</v>
      </c>
      <c r="AA300" s="179">
        <f ca="1">OFFSET(환산공식!FY$15,$F300,0)</f>
        <v>0.28999999999999998</v>
      </c>
      <c r="AC300"/>
      <c r="AD300">
        <f t="shared" ca="1" si="10"/>
        <v>6</v>
      </c>
      <c r="AE300"/>
    </row>
    <row r="301" spans="1:31" s="3" customFormat="1">
      <c r="A301" s="198"/>
      <c r="B301" s="198"/>
      <c r="C301" s="198" t="s">
        <v>862</v>
      </c>
      <c r="D301" s="195">
        <v>351</v>
      </c>
      <c r="E301" s="195">
        <v>53</v>
      </c>
      <c r="F301" s="195">
        <v>53</v>
      </c>
      <c r="G301" s="239">
        <v>294</v>
      </c>
      <c r="H301" s="197" t="s">
        <v>72</v>
      </c>
      <c r="I301" s="242" t="s">
        <v>233</v>
      </c>
      <c r="J301" s="242" t="s">
        <v>9745</v>
      </c>
      <c r="K301" s="195" t="s">
        <v>70</v>
      </c>
      <c r="L301" s="20" t="str">
        <f ca="1">IF(OFFSET(환산공식!$ED$15,$F301,0)=1,"O","X")</f>
        <v>X</v>
      </c>
      <c r="M301" s="188">
        <f ca="1">IFERROR(OFFSET(환산공식!DJ$15,$F301,0),"")</f>
        <v>150</v>
      </c>
      <c r="N301" s="20" t="str">
        <f ca="1">IFERROR(CONCATENATE(ROUND(OFFSET(환산공식!DK$15,$F301,0),1),"%"),"")</f>
        <v>100%</v>
      </c>
      <c r="O301" s="20">
        <f ca="1">IFERROR(OFFSET(환산공식!DL$15,$F301,0),"")</f>
        <v>0</v>
      </c>
      <c r="P301" s="188" t="str">
        <f t="shared" ca="1" si="9"/>
        <v>3% 이하</v>
      </c>
      <c r="Q301" s="194">
        <f ca="1">IFERROR(ROUND(OFFSET(환산공식!$FG$15,$F301,0),3),"")</f>
        <v>0</v>
      </c>
      <c r="R301" s="194">
        <f ca="1">OFFSET('배치점수 계산기'!H$10,$D301,0)</f>
        <v>696.85400000000004</v>
      </c>
      <c r="S301" s="194">
        <f ca="1">OFFSET('배치점수 계산기'!I$10,$D301,0)</f>
        <v>694.12900000000002</v>
      </c>
      <c r="T301" s="194">
        <f ca="1">OFFSET('배치점수 계산기'!J$10,$D301,0)</f>
        <v>690.75400000000002</v>
      </c>
      <c r="U301" s="194">
        <f ca="1">OFFSET('배치점수 계산기'!K$10,$D301,0)</f>
        <v>687.779</v>
      </c>
      <c r="V301" s="194">
        <f ca="1">OFFSET('배치점수 계산기'!L$10,$D301,0)</f>
        <v>683.94899999999996</v>
      </c>
      <c r="W301" s="186" t="str">
        <f ca="1">OFFSET('배치점수 계산기'!M$10,$D301,0)</f>
        <v>표점</v>
      </c>
      <c r="X301" s="184" t="str">
        <f ca="1">OFFSET('배치점수 계산기'!N$10,$D301,0)</f>
        <v>변표</v>
      </c>
      <c r="Y301" s="188">
        <f ca="1">OFFSET(환산공식!FW$15,$F301,0)</f>
        <v>0.28999999999999998</v>
      </c>
      <c r="Z301" s="20">
        <f ca="1">OFFSET(환산공식!FX$15,$F301,0)</f>
        <v>0.41</v>
      </c>
      <c r="AA301" s="179">
        <f ca="1">OFFSET(환산공식!FY$15,$F301,0)</f>
        <v>0.28999999999999998</v>
      </c>
      <c r="AC301"/>
      <c r="AD301">
        <f t="shared" ca="1" si="10"/>
        <v>6</v>
      </c>
      <c r="AE301"/>
    </row>
    <row r="302" spans="1:31" s="3" customFormat="1">
      <c r="A302" s="198"/>
      <c r="B302" s="198"/>
      <c r="C302" s="198" t="s">
        <v>863</v>
      </c>
      <c r="D302" s="195">
        <v>352</v>
      </c>
      <c r="E302" s="195">
        <v>51</v>
      </c>
      <c r="F302" s="195">
        <v>51</v>
      </c>
      <c r="G302" s="239">
        <v>295</v>
      </c>
      <c r="H302" s="197" t="s">
        <v>72</v>
      </c>
      <c r="I302" s="242" t="s">
        <v>233</v>
      </c>
      <c r="J302" s="242" t="s">
        <v>9747</v>
      </c>
      <c r="K302" s="195" t="s">
        <v>70</v>
      </c>
      <c r="L302" s="20" t="str">
        <f ca="1">IF(OFFSET(환산공식!$ED$15,$F302,0)=1,"O","X")</f>
        <v>X</v>
      </c>
      <c r="M302" s="188">
        <f ca="1">IFERROR(OFFSET(환산공식!DJ$15,$F302,0),"")</f>
        <v>150</v>
      </c>
      <c r="N302" s="20" t="str">
        <f ca="1">IFERROR(CONCATENATE(ROUND(OFFSET(환산공식!DK$15,$F302,0),1),"%"),"")</f>
        <v>100%</v>
      </c>
      <c r="O302" s="20">
        <f ca="1">IFERROR(OFFSET(환산공식!DL$15,$F302,0),"")</f>
        <v>0</v>
      </c>
      <c r="P302" s="188" t="str">
        <f t="shared" ca="1" si="9"/>
        <v>3% 이하</v>
      </c>
      <c r="Q302" s="194">
        <f ca="1">IFERROR(ROUND(OFFSET(환산공식!$FG$15,$F302,0),3),"")</f>
        <v>0</v>
      </c>
      <c r="R302" s="194">
        <f ca="1">OFFSET('배치점수 계산기'!H$10,$D302,0)</f>
        <v>691.952</v>
      </c>
      <c r="S302" s="194">
        <f ca="1">OFFSET('배치점수 계산기'!I$10,$D302,0)</f>
        <v>689.51300000000003</v>
      </c>
      <c r="T302" s="194">
        <f ca="1">OFFSET('배치점수 계산기'!J$10,$D302,0)</f>
        <v>686.06799999999998</v>
      </c>
      <c r="U302" s="194">
        <f ca="1">OFFSET('배치점수 계산기'!K$10,$D302,0)</f>
        <v>683.12199999999996</v>
      </c>
      <c r="V302" s="194">
        <f ca="1">OFFSET('배치점수 계산기'!L$10,$D302,0)</f>
        <v>679.29600000000005</v>
      </c>
      <c r="W302" s="186" t="str">
        <f ca="1">OFFSET('배치점수 계산기'!M$10,$D302,0)</f>
        <v>표점</v>
      </c>
      <c r="X302" s="184" t="str">
        <f ca="1">OFFSET('배치점수 계산기'!N$10,$D302,0)</f>
        <v>변표</v>
      </c>
      <c r="Y302" s="188">
        <f ca="1">OFFSET(환산공식!FW$15,$F302,0)</f>
        <v>0.28999999999999998</v>
      </c>
      <c r="Z302" s="20">
        <f ca="1">OFFSET(환산공식!FX$15,$F302,0)</f>
        <v>0.41</v>
      </c>
      <c r="AA302" s="179">
        <f ca="1">OFFSET(환산공식!FY$15,$F302,0)</f>
        <v>0.28999999999999998</v>
      </c>
      <c r="AC302"/>
      <c r="AD302">
        <f t="shared" ca="1" si="10"/>
        <v>6</v>
      </c>
      <c r="AE302"/>
    </row>
    <row r="303" spans="1:31" s="3" customFormat="1">
      <c r="A303" s="198"/>
      <c r="B303" s="198"/>
      <c r="C303" s="198" t="s">
        <v>864</v>
      </c>
      <c r="D303" s="195">
        <v>353</v>
      </c>
      <c r="E303" s="195">
        <v>53</v>
      </c>
      <c r="F303" s="195">
        <v>53</v>
      </c>
      <c r="G303" s="239">
        <v>296</v>
      </c>
      <c r="H303" s="197" t="s">
        <v>72</v>
      </c>
      <c r="I303" s="242" t="s">
        <v>233</v>
      </c>
      <c r="J303" s="242" t="s">
        <v>9797</v>
      </c>
      <c r="K303" s="195" t="s">
        <v>70</v>
      </c>
      <c r="L303" s="20" t="str">
        <f ca="1">IF(OFFSET(환산공식!$ED$15,$F303,0)=1,"O","X")</f>
        <v>X</v>
      </c>
      <c r="M303" s="188">
        <f ca="1">IFERROR(OFFSET(환산공식!DJ$15,$F303,0),"")</f>
        <v>150</v>
      </c>
      <c r="N303" s="20" t="str">
        <f ca="1">IFERROR(CONCATENATE(ROUND(OFFSET(환산공식!DK$15,$F303,0),1),"%"),"")</f>
        <v>100%</v>
      </c>
      <c r="O303" s="20">
        <f ca="1">IFERROR(OFFSET(환산공식!DL$15,$F303,0),"")</f>
        <v>0</v>
      </c>
      <c r="P303" s="188" t="str">
        <f t="shared" ca="1" si="9"/>
        <v>3% 이하</v>
      </c>
      <c r="Q303" s="194">
        <f ca="1">IFERROR(ROUND(OFFSET(환산공식!$FG$15,$F303,0),3),"")</f>
        <v>0</v>
      </c>
      <c r="R303" s="194">
        <f ca="1">OFFSET('배치점수 계산기'!H$10,$D303,0)</f>
        <v>695.83299999999997</v>
      </c>
      <c r="S303" s="194">
        <f ca="1">OFFSET('배치점수 계산기'!I$10,$D303,0)</f>
        <v>693.14700000000005</v>
      </c>
      <c r="T303" s="194">
        <f ca="1">OFFSET('배치점수 계산기'!J$10,$D303,0)</f>
        <v>689.62</v>
      </c>
      <c r="U303" s="194">
        <f ca="1">OFFSET('배치점수 계산기'!K$10,$D303,0)</f>
        <v>686.68100000000004</v>
      </c>
      <c r="V303" s="194">
        <f ca="1">OFFSET('배치점수 계산기'!L$10,$D303,0)</f>
        <v>682.99300000000005</v>
      </c>
      <c r="W303" s="186" t="str">
        <f ca="1">OFFSET('배치점수 계산기'!M$10,$D303,0)</f>
        <v>표점</v>
      </c>
      <c r="X303" s="184" t="str">
        <f ca="1">OFFSET('배치점수 계산기'!N$10,$D303,0)</f>
        <v>변표</v>
      </c>
      <c r="Y303" s="188">
        <f ca="1">OFFSET(환산공식!FW$15,$F303,0)</f>
        <v>0.28999999999999998</v>
      </c>
      <c r="Z303" s="20">
        <f ca="1">OFFSET(환산공식!FX$15,$F303,0)</f>
        <v>0.41</v>
      </c>
      <c r="AA303" s="179">
        <f ca="1">OFFSET(환산공식!FY$15,$F303,0)</f>
        <v>0.28999999999999998</v>
      </c>
      <c r="AC303"/>
      <c r="AD303">
        <f t="shared" ca="1" si="10"/>
        <v>6</v>
      </c>
      <c r="AE303"/>
    </row>
    <row r="304" spans="1:31" s="3" customFormat="1">
      <c r="A304" s="198"/>
      <c r="B304" s="198"/>
      <c r="C304" s="198" t="s">
        <v>865</v>
      </c>
      <c r="D304" s="195">
        <v>354</v>
      </c>
      <c r="E304" s="195">
        <v>52</v>
      </c>
      <c r="F304" s="195">
        <v>52</v>
      </c>
      <c r="G304" s="239">
        <v>297</v>
      </c>
      <c r="H304" s="197" t="s">
        <v>72</v>
      </c>
      <c r="I304" s="242" t="s">
        <v>233</v>
      </c>
      <c r="J304" s="242" t="s">
        <v>555</v>
      </c>
      <c r="K304" s="195" t="s">
        <v>70</v>
      </c>
      <c r="L304" s="20" t="str">
        <f ca="1">IF(OFFSET(환산공식!$ED$15,$F304,0)=1,"O","X")</f>
        <v>X</v>
      </c>
      <c r="M304" s="188">
        <f ca="1">IFERROR(OFFSET(환산공식!DJ$15,$F304,0),"")</f>
        <v>150</v>
      </c>
      <c r="N304" s="20" t="str">
        <f ca="1">IFERROR(CONCATENATE(ROUND(OFFSET(환산공식!DK$15,$F304,0),1),"%"),"")</f>
        <v>100%</v>
      </c>
      <c r="O304" s="20">
        <f ca="1">IFERROR(OFFSET(환산공식!DL$15,$F304,0),"")</f>
        <v>0</v>
      </c>
      <c r="P304" s="188" t="str">
        <f t="shared" ca="1" si="9"/>
        <v>3% 이하</v>
      </c>
      <c r="Q304" s="194">
        <f ca="1">IFERROR(ROUND(OFFSET(환산공식!$FG$15,$F304,0),3),"")</f>
        <v>0</v>
      </c>
      <c r="R304" s="194">
        <f ca="1">OFFSET('배치점수 계산기'!H$10,$D304,0)</f>
        <v>688.15499999999997</v>
      </c>
      <c r="S304" s="194">
        <f ca="1">OFFSET('배치점수 계산기'!I$10,$D304,0)</f>
        <v>685.48299999999995</v>
      </c>
      <c r="T304" s="194">
        <f ca="1">OFFSET('배치점수 계산기'!J$10,$D304,0)</f>
        <v>681.93499999999995</v>
      </c>
      <c r="U304" s="194">
        <f ca="1">OFFSET('배치점수 계산기'!K$10,$D304,0)</f>
        <v>679.18100000000004</v>
      </c>
      <c r="V304" s="194">
        <f ca="1">OFFSET('배치점수 계산기'!L$10,$D304,0)</f>
        <v>675.41200000000003</v>
      </c>
      <c r="W304" s="186" t="str">
        <f ca="1">OFFSET('배치점수 계산기'!M$10,$D304,0)</f>
        <v>표점</v>
      </c>
      <c r="X304" s="184" t="str">
        <f ca="1">OFFSET('배치점수 계산기'!N$10,$D304,0)</f>
        <v>변표</v>
      </c>
      <c r="Y304" s="188">
        <f ca="1">OFFSET(환산공식!FW$15,$F304,0)</f>
        <v>0.28999999999999998</v>
      </c>
      <c r="Z304" s="20">
        <f ca="1">OFFSET(환산공식!FX$15,$F304,0)</f>
        <v>0.41</v>
      </c>
      <c r="AA304" s="179">
        <f ca="1">OFFSET(환산공식!FY$15,$F304,0)</f>
        <v>0.28999999999999998</v>
      </c>
      <c r="AC304"/>
      <c r="AD304">
        <f t="shared" ca="1" si="10"/>
        <v>6</v>
      </c>
      <c r="AE304"/>
    </row>
    <row r="305" spans="1:34" s="3" customFormat="1">
      <c r="A305" s="198"/>
      <c r="B305" s="198"/>
      <c r="C305" s="198" t="s">
        <v>866</v>
      </c>
      <c r="D305" s="195">
        <v>355</v>
      </c>
      <c r="E305" s="195">
        <v>53</v>
      </c>
      <c r="F305" s="195">
        <v>53</v>
      </c>
      <c r="G305" s="239">
        <v>298</v>
      </c>
      <c r="H305" s="197" t="s">
        <v>72</v>
      </c>
      <c r="I305" s="242" t="s">
        <v>233</v>
      </c>
      <c r="J305" s="242" t="s">
        <v>8558</v>
      </c>
      <c r="K305" s="195" t="s">
        <v>70</v>
      </c>
      <c r="L305" s="20" t="str">
        <f ca="1">IF(OFFSET(환산공식!$ED$15,$F305,0)=1,"O","X")</f>
        <v>X</v>
      </c>
      <c r="M305" s="188">
        <f ca="1">IFERROR(OFFSET(환산공식!DJ$15,$F305,0),"")</f>
        <v>150</v>
      </c>
      <c r="N305" s="20" t="str">
        <f ca="1">IFERROR(CONCATENATE(ROUND(OFFSET(환산공식!DK$15,$F305,0),1),"%"),"")</f>
        <v>100%</v>
      </c>
      <c r="O305" s="20">
        <f ca="1">IFERROR(OFFSET(환산공식!DL$15,$F305,0),"")</f>
        <v>0</v>
      </c>
      <c r="P305" s="188" t="str">
        <f t="shared" ca="1" si="9"/>
        <v>3% 이하</v>
      </c>
      <c r="Q305" s="194">
        <f ca="1">IFERROR(ROUND(OFFSET(환산공식!$FG$15,$F305,0),3),"")</f>
        <v>0</v>
      </c>
      <c r="R305" s="194">
        <f ca="1">OFFSET('배치점수 계산기'!H$10,$D305,0)</f>
        <v>694.53899999999999</v>
      </c>
      <c r="S305" s="194">
        <f ca="1">OFFSET('배치점수 계산기'!I$10,$D305,0)</f>
        <v>691.899</v>
      </c>
      <c r="T305" s="194">
        <f ca="1">OFFSET('배치점수 계산기'!J$10,$D305,0)</f>
        <v>688.279</v>
      </c>
      <c r="U305" s="194">
        <f ca="1">OFFSET('배치점수 계산기'!K$10,$D305,0)</f>
        <v>685.39700000000005</v>
      </c>
      <c r="V305" s="194">
        <f ca="1">OFFSET('배치점수 계산기'!L$10,$D305,0)</f>
        <v>681.59</v>
      </c>
      <c r="W305" s="186" t="str">
        <f ca="1">OFFSET('배치점수 계산기'!M$10,$D305,0)</f>
        <v>표점</v>
      </c>
      <c r="X305" s="184" t="str">
        <f ca="1">OFFSET('배치점수 계산기'!N$10,$D305,0)</f>
        <v>변표</v>
      </c>
      <c r="Y305" s="188">
        <f ca="1">OFFSET(환산공식!FW$15,$F305,0)</f>
        <v>0.28999999999999998</v>
      </c>
      <c r="Z305" s="20">
        <f ca="1">OFFSET(환산공식!FX$15,$F305,0)</f>
        <v>0.41</v>
      </c>
      <c r="AA305" s="179">
        <f ca="1">OFFSET(환산공식!FY$15,$F305,0)</f>
        <v>0.28999999999999998</v>
      </c>
      <c r="AC305"/>
      <c r="AD305">
        <f t="shared" ca="1" si="10"/>
        <v>6</v>
      </c>
      <c r="AE305"/>
    </row>
    <row r="306" spans="1:34" s="3" customFormat="1">
      <c r="A306" s="198"/>
      <c r="B306" s="198"/>
      <c r="C306" s="198" t="s">
        <v>867</v>
      </c>
      <c r="D306" s="195">
        <v>356</v>
      </c>
      <c r="E306" s="195">
        <v>52</v>
      </c>
      <c r="F306" s="195">
        <v>52</v>
      </c>
      <c r="G306" s="239">
        <v>299</v>
      </c>
      <c r="H306" s="197" t="s">
        <v>72</v>
      </c>
      <c r="I306" s="242" t="s">
        <v>233</v>
      </c>
      <c r="J306" s="242" t="s">
        <v>8538</v>
      </c>
      <c r="K306" s="195" t="s">
        <v>70</v>
      </c>
      <c r="L306" s="20" t="str">
        <f ca="1">IF(OFFSET(환산공식!$ED$15,$F306,0)=1,"O","X")</f>
        <v>X</v>
      </c>
      <c r="M306" s="188">
        <f ca="1">IFERROR(OFFSET(환산공식!DJ$15,$F306,0),"")</f>
        <v>150</v>
      </c>
      <c r="N306" s="20" t="str">
        <f ca="1">IFERROR(CONCATENATE(ROUND(OFFSET(환산공식!DK$15,$F306,0),1),"%"),"")</f>
        <v>100%</v>
      </c>
      <c r="O306" s="20">
        <f ca="1">IFERROR(OFFSET(환산공식!DL$15,$F306,0),"")</f>
        <v>0</v>
      </c>
      <c r="P306" s="188" t="str">
        <f t="shared" ca="1" si="9"/>
        <v>3% 이하</v>
      </c>
      <c r="Q306" s="194">
        <f ca="1">IFERROR(ROUND(OFFSET(환산공식!$FG$15,$F306,0),3),"")</f>
        <v>0</v>
      </c>
      <c r="R306" s="194">
        <f ca="1">OFFSET('배치점수 계산기'!H$10,$D306,0)</f>
        <v>687.43</v>
      </c>
      <c r="S306" s="194">
        <f ca="1">OFFSET('배치점수 계산기'!I$10,$D306,0)</f>
        <v>684.60599999999999</v>
      </c>
      <c r="T306" s="194">
        <f ca="1">OFFSET('배치점수 계산기'!J$10,$D306,0)</f>
        <v>681.01400000000001</v>
      </c>
      <c r="U306" s="194">
        <f ca="1">OFFSET('배치점수 계산기'!K$10,$D306,0)</f>
        <v>678.12</v>
      </c>
      <c r="V306" s="194">
        <f ca="1">OFFSET('배치점수 계산기'!L$10,$D306,0)</f>
        <v>674.49400000000003</v>
      </c>
      <c r="W306" s="186" t="str">
        <f ca="1">OFFSET('배치점수 계산기'!M$10,$D306,0)</f>
        <v>표점</v>
      </c>
      <c r="X306" s="184" t="str">
        <f ca="1">OFFSET('배치점수 계산기'!N$10,$D306,0)</f>
        <v>변표</v>
      </c>
      <c r="Y306" s="188">
        <f ca="1">OFFSET(환산공식!FW$15,$F306,0)</f>
        <v>0.28999999999999998</v>
      </c>
      <c r="Z306" s="20">
        <f ca="1">OFFSET(환산공식!FX$15,$F306,0)</f>
        <v>0.41</v>
      </c>
      <c r="AA306" s="179">
        <f ca="1">OFFSET(환산공식!FY$15,$F306,0)</f>
        <v>0.28999999999999998</v>
      </c>
      <c r="AC306"/>
      <c r="AD306">
        <f t="shared" ca="1" si="10"/>
        <v>6</v>
      </c>
      <c r="AE306"/>
    </row>
    <row r="307" spans="1:34" s="3" customFormat="1">
      <c r="A307" s="198"/>
      <c r="B307" s="198"/>
      <c r="C307" s="198" t="s">
        <v>868</v>
      </c>
      <c r="D307" s="195">
        <v>357</v>
      </c>
      <c r="E307" s="195">
        <v>52</v>
      </c>
      <c r="F307" s="195">
        <v>52</v>
      </c>
      <c r="G307" s="239">
        <v>300</v>
      </c>
      <c r="H307" s="197" t="s">
        <v>72</v>
      </c>
      <c r="I307" s="242" t="s">
        <v>233</v>
      </c>
      <c r="J307" s="242" t="s">
        <v>16601</v>
      </c>
      <c r="K307" s="195" t="s">
        <v>70</v>
      </c>
      <c r="L307" s="20" t="str">
        <f ca="1">IF(OFFSET(환산공식!$ED$15,$F307,0)=1,"O","X")</f>
        <v>X</v>
      </c>
      <c r="M307" s="188">
        <f ca="1">IFERROR(OFFSET(환산공식!DJ$15,$F307,0),"")</f>
        <v>150</v>
      </c>
      <c r="N307" s="20" t="str">
        <f ca="1">IFERROR(CONCATENATE(ROUND(OFFSET(환산공식!DK$15,$F307,0),1),"%"),"")</f>
        <v>100%</v>
      </c>
      <c r="O307" s="20">
        <f ca="1">IFERROR(OFFSET(환산공식!DL$15,$F307,0),"")</f>
        <v>0</v>
      </c>
      <c r="P307" s="188" t="str">
        <f t="shared" ca="1" si="9"/>
        <v>3% 이하</v>
      </c>
      <c r="Q307" s="194">
        <f ca="1">IFERROR(ROUND(OFFSET(환산공식!$FG$15,$F307,0),3),"")</f>
        <v>0</v>
      </c>
      <c r="R307" s="194">
        <f ca="1">OFFSET('배치점수 계산기'!H$10,$D307,0)</f>
        <v>686.45399999999995</v>
      </c>
      <c r="S307" s="194">
        <f ca="1">OFFSET('배치점수 계산기'!I$10,$D307,0)</f>
        <v>683.97</v>
      </c>
      <c r="T307" s="194">
        <f ca="1">OFFSET('배치점수 계산기'!J$10,$D307,0)</f>
        <v>680.024</v>
      </c>
      <c r="U307" s="194">
        <f ca="1">OFFSET('배치점수 계산기'!K$10,$D307,0)</f>
        <v>677.17399999999998</v>
      </c>
      <c r="V307" s="194">
        <f ca="1">OFFSET('배치점수 계산기'!L$10,$D307,0)</f>
        <v>673.37900000000002</v>
      </c>
      <c r="W307" s="186" t="str">
        <f ca="1">OFFSET('배치점수 계산기'!M$10,$D307,0)</f>
        <v>표점</v>
      </c>
      <c r="X307" s="184" t="str">
        <f ca="1">OFFSET('배치점수 계산기'!N$10,$D307,0)</f>
        <v>변표</v>
      </c>
      <c r="Y307" s="188">
        <f ca="1">OFFSET(환산공식!FW$15,$F307,0)</f>
        <v>0.28999999999999998</v>
      </c>
      <c r="Z307" s="20">
        <f ca="1">OFFSET(환산공식!FX$15,$F307,0)</f>
        <v>0.41</v>
      </c>
      <c r="AA307" s="179">
        <f ca="1">OFFSET(환산공식!FY$15,$F307,0)</f>
        <v>0.28999999999999998</v>
      </c>
      <c r="AC307"/>
      <c r="AD307">
        <f t="shared" ca="1" si="10"/>
        <v>6</v>
      </c>
      <c r="AE307"/>
    </row>
    <row r="308" spans="1:34" s="3" customFormat="1">
      <c r="A308" s="198"/>
      <c r="B308" s="198"/>
      <c r="C308" s="198" t="s">
        <v>869</v>
      </c>
      <c r="D308" s="195">
        <v>358</v>
      </c>
      <c r="E308" s="195">
        <v>52</v>
      </c>
      <c r="F308" s="195">
        <v>52</v>
      </c>
      <c r="G308" s="239">
        <v>301</v>
      </c>
      <c r="H308" s="197" t="s">
        <v>72</v>
      </c>
      <c r="I308" s="242" t="s">
        <v>233</v>
      </c>
      <c r="J308" s="242" t="s">
        <v>8742</v>
      </c>
      <c r="K308" s="195" t="s">
        <v>70</v>
      </c>
      <c r="L308" s="20" t="str">
        <f ca="1">IF(OFFSET(환산공식!$ED$15,$F308,0)=1,"O","X")</f>
        <v>X</v>
      </c>
      <c r="M308" s="188">
        <f ca="1">IFERROR(OFFSET(환산공식!DJ$15,$F308,0),"")</f>
        <v>150</v>
      </c>
      <c r="N308" s="20" t="str">
        <f ca="1">IFERROR(CONCATENATE(ROUND(OFFSET(환산공식!DK$15,$F308,0),1),"%"),"")</f>
        <v>100%</v>
      </c>
      <c r="O308" s="20">
        <f ca="1">IFERROR(OFFSET(환산공식!DL$15,$F308,0),"")</f>
        <v>0</v>
      </c>
      <c r="P308" s="188" t="str">
        <f t="shared" ca="1" si="9"/>
        <v>3% 이하</v>
      </c>
      <c r="Q308" s="194">
        <f ca="1">IFERROR(ROUND(OFFSET(환산공식!$FG$15,$F308,0),3),"")</f>
        <v>0</v>
      </c>
      <c r="R308" s="194">
        <f ca="1">OFFSET('배치점수 계산기'!H$10,$D308,0)</f>
        <v>685.21199999999999</v>
      </c>
      <c r="S308" s="194">
        <f ca="1">OFFSET('배치점수 계산기'!I$10,$D308,0)</f>
        <v>682.47699999999998</v>
      </c>
      <c r="T308" s="194">
        <f ca="1">OFFSET('배치점수 계산기'!J$10,$D308,0)</f>
        <v>678.75</v>
      </c>
      <c r="U308" s="194">
        <f ca="1">OFFSET('배치점수 계산기'!K$10,$D308,0)</f>
        <v>675.97400000000005</v>
      </c>
      <c r="V308" s="194">
        <f ca="1">OFFSET('배치점수 계산기'!L$10,$D308,0)</f>
        <v>670.12699999999995</v>
      </c>
      <c r="W308" s="186" t="str">
        <f ca="1">OFFSET('배치점수 계산기'!M$10,$D308,0)</f>
        <v>표점</v>
      </c>
      <c r="X308" s="184" t="str">
        <f ca="1">OFFSET('배치점수 계산기'!N$10,$D308,0)</f>
        <v>변표</v>
      </c>
      <c r="Y308" s="188">
        <f ca="1">OFFSET(환산공식!FW$15,$F308,0)</f>
        <v>0.28999999999999998</v>
      </c>
      <c r="Z308" s="20">
        <f ca="1">OFFSET(환산공식!FX$15,$F308,0)</f>
        <v>0.41</v>
      </c>
      <c r="AA308" s="179">
        <f ca="1">OFFSET(환산공식!FY$15,$F308,0)</f>
        <v>0.28999999999999998</v>
      </c>
      <c r="AC308"/>
      <c r="AD308">
        <f t="shared" ca="1" si="10"/>
        <v>6</v>
      </c>
      <c r="AE308"/>
    </row>
    <row r="309" spans="1:34" s="3" customFormat="1">
      <c r="A309" s="198"/>
      <c r="B309" s="198"/>
      <c r="C309" s="198" t="s">
        <v>870</v>
      </c>
      <c r="D309" s="195">
        <v>359</v>
      </c>
      <c r="E309" s="195">
        <v>54</v>
      </c>
      <c r="F309" s="195">
        <v>54</v>
      </c>
      <c r="G309" s="239">
        <v>302</v>
      </c>
      <c r="H309" s="197" t="s">
        <v>72</v>
      </c>
      <c r="I309" s="242" t="s">
        <v>233</v>
      </c>
      <c r="J309" s="242" t="s">
        <v>9770</v>
      </c>
      <c r="K309" s="195" t="s">
        <v>71</v>
      </c>
      <c r="L309" s="20" t="str">
        <f ca="1">IF(OFFSET(환산공식!$ED$15,$F309,0)=1,"O","X")</f>
        <v>X</v>
      </c>
      <c r="M309" s="188">
        <f ca="1">IFERROR(OFFSET(환산공식!DJ$15,$F309,0),"")</f>
        <v>150</v>
      </c>
      <c r="N309" s="20" t="str">
        <f ca="1">IFERROR(CONCATENATE(ROUND(OFFSET(환산공식!DK$15,$F309,0),1),"%"),"")</f>
        <v>100%</v>
      </c>
      <c r="O309" s="20">
        <f ca="1">IFERROR(OFFSET(환산공식!DL$15,$F309,0),"")</f>
        <v>0</v>
      </c>
      <c r="P309" s="188" t="str">
        <f t="shared" ca="1" si="9"/>
        <v>3% 이하</v>
      </c>
      <c r="Q309" s="194">
        <f ca="1">IFERROR(ROUND(OFFSET(환산공식!$FG$15,$F309,0),3),"")</f>
        <v>0</v>
      </c>
      <c r="R309" s="194">
        <f ca="1">OFFSET('배치점수 계산기'!H$10,$D309,0)</f>
        <v>694.33500000000004</v>
      </c>
      <c r="S309" s="194">
        <f ca="1">OFFSET('배치점수 계산기'!I$10,$D309,0)</f>
        <v>691.86500000000001</v>
      </c>
      <c r="T309" s="194">
        <f ca="1">OFFSET('배치점수 계산기'!J$10,$D309,0)</f>
        <v>688.44399999999996</v>
      </c>
      <c r="U309" s="194">
        <f ca="1">OFFSET('배치점수 계산기'!K$10,$D309,0)</f>
        <v>685.86400000000003</v>
      </c>
      <c r="V309" s="194">
        <f ca="1">OFFSET('배치점수 계산기'!L$10,$D309,0)</f>
        <v>682.29100000000005</v>
      </c>
      <c r="W309" s="186" t="str">
        <f ca="1">OFFSET('배치점수 계산기'!M$10,$D309,0)</f>
        <v>표점</v>
      </c>
      <c r="X309" s="184" t="str">
        <f ca="1">OFFSET('배치점수 계산기'!N$10,$D309,0)</f>
        <v>변표</v>
      </c>
      <c r="Y309" s="188">
        <f ca="1">OFFSET(환산공식!FW$15,$F309,0)</f>
        <v>0.41</v>
      </c>
      <c r="Z309" s="20">
        <f ca="1">OFFSET(환산공식!FX$15,$F309,0)</f>
        <v>0.28999999999999998</v>
      </c>
      <c r="AA309" s="179">
        <f ca="1">OFFSET(환산공식!FY$15,$F309,0)</f>
        <v>0.28999999999999998</v>
      </c>
      <c r="AC309"/>
      <c r="AD309">
        <f t="shared" ca="1" si="10"/>
        <v>6</v>
      </c>
      <c r="AE309"/>
    </row>
    <row r="310" spans="1:34" s="3" customFormat="1">
      <c r="A310" s="198"/>
      <c r="B310" s="198"/>
      <c r="C310" s="198" t="s">
        <v>871</v>
      </c>
      <c r="D310" s="195">
        <v>360</v>
      </c>
      <c r="E310" s="195">
        <v>54</v>
      </c>
      <c r="F310" s="195">
        <v>54</v>
      </c>
      <c r="G310" s="239">
        <v>303</v>
      </c>
      <c r="H310" s="197" t="s">
        <v>72</v>
      </c>
      <c r="I310" s="242" t="s">
        <v>233</v>
      </c>
      <c r="J310" s="242" t="s">
        <v>9774</v>
      </c>
      <c r="K310" s="195" t="s">
        <v>71</v>
      </c>
      <c r="L310" s="20" t="str">
        <f ca="1">IF(OFFSET(환산공식!$ED$15,$F310,0)=1,"O","X")</f>
        <v>X</v>
      </c>
      <c r="M310" s="188">
        <f ca="1">IFERROR(OFFSET(환산공식!DJ$15,$F310,0),"")</f>
        <v>150</v>
      </c>
      <c r="N310" s="20" t="str">
        <f ca="1">IFERROR(CONCATENATE(ROUND(OFFSET(환산공식!DK$15,$F310,0),1),"%"),"")</f>
        <v>100%</v>
      </c>
      <c r="O310" s="20">
        <f ca="1">IFERROR(OFFSET(환산공식!DL$15,$F310,0),"")</f>
        <v>0</v>
      </c>
      <c r="P310" s="188" t="str">
        <f t="shared" ca="1" si="9"/>
        <v>3% 이하</v>
      </c>
      <c r="Q310" s="194">
        <f ca="1">IFERROR(ROUND(OFFSET(환산공식!$FG$15,$F310,0),3),"")</f>
        <v>0</v>
      </c>
      <c r="R310" s="194">
        <f ca="1">OFFSET('배치점수 계산기'!H$10,$D310,0)</f>
        <v>694.21</v>
      </c>
      <c r="S310" s="194">
        <f ca="1">OFFSET('배치점수 계산기'!I$10,$D310,0)</f>
        <v>691.76400000000001</v>
      </c>
      <c r="T310" s="194">
        <f ca="1">OFFSET('배치점수 계산기'!J$10,$D310,0)</f>
        <v>688.29</v>
      </c>
      <c r="U310" s="194">
        <f ca="1">OFFSET('배치점수 계산기'!K$10,$D310,0)</f>
        <v>685.81100000000004</v>
      </c>
      <c r="V310" s="194">
        <f ca="1">OFFSET('배치점수 계산기'!L$10,$D310,0)</f>
        <v>682.11599999999999</v>
      </c>
      <c r="W310" s="186" t="str">
        <f ca="1">OFFSET('배치점수 계산기'!M$10,$D310,0)</f>
        <v>표점</v>
      </c>
      <c r="X310" s="184" t="str">
        <f ca="1">OFFSET('배치점수 계산기'!N$10,$D310,0)</f>
        <v>변표</v>
      </c>
      <c r="Y310" s="188">
        <f ca="1">OFFSET(환산공식!FW$15,$F310,0)</f>
        <v>0.41</v>
      </c>
      <c r="Z310" s="20">
        <f ca="1">OFFSET(환산공식!FX$15,$F310,0)</f>
        <v>0.28999999999999998</v>
      </c>
      <c r="AA310" s="179">
        <f ca="1">OFFSET(환산공식!FY$15,$F310,0)</f>
        <v>0.28999999999999998</v>
      </c>
      <c r="AC310"/>
      <c r="AD310">
        <f t="shared" ca="1" si="10"/>
        <v>6</v>
      </c>
      <c r="AE310"/>
    </row>
    <row r="311" spans="1:34" s="3" customFormat="1">
      <c r="A311" s="198"/>
      <c r="B311" s="198"/>
      <c r="C311" s="198" t="s">
        <v>872</v>
      </c>
      <c r="D311" s="195">
        <v>361</v>
      </c>
      <c r="E311" s="195">
        <v>54</v>
      </c>
      <c r="F311" s="195">
        <v>54</v>
      </c>
      <c r="G311" s="239">
        <v>304</v>
      </c>
      <c r="H311" s="197" t="s">
        <v>72</v>
      </c>
      <c r="I311" s="242" t="s">
        <v>233</v>
      </c>
      <c r="J311" s="242" t="s">
        <v>9781</v>
      </c>
      <c r="K311" s="195" t="s">
        <v>71</v>
      </c>
      <c r="L311" s="20" t="str">
        <f ca="1">IF(OFFSET(환산공식!$ED$15,$F311,0)=1,"O","X")</f>
        <v>X</v>
      </c>
      <c r="M311" s="188">
        <f ca="1">IFERROR(OFFSET(환산공식!DJ$15,$F311,0),"")</f>
        <v>150</v>
      </c>
      <c r="N311" s="20" t="str">
        <f ca="1">IFERROR(CONCATENATE(ROUND(OFFSET(환산공식!DK$15,$F311,0),1),"%"),"")</f>
        <v>100%</v>
      </c>
      <c r="O311" s="20">
        <f ca="1">IFERROR(OFFSET(환산공식!DL$15,$F311,0),"")</f>
        <v>0</v>
      </c>
      <c r="P311" s="188" t="str">
        <f t="shared" ca="1" si="9"/>
        <v>3% 이하</v>
      </c>
      <c r="Q311" s="194">
        <f ca="1">IFERROR(ROUND(OFFSET(환산공식!$FG$15,$F311,0),3),"")</f>
        <v>0</v>
      </c>
      <c r="R311" s="194">
        <f ca="1">OFFSET('배치점수 계산기'!H$10,$D311,0)</f>
        <v>694.21</v>
      </c>
      <c r="S311" s="194">
        <f ca="1">OFFSET('배치점수 계산기'!I$10,$D311,0)</f>
        <v>691.76400000000001</v>
      </c>
      <c r="T311" s="194">
        <f ca="1">OFFSET('배치점수 계산기'!J$10,$D311,0)</f>
        <v>688.29</v>
      </c>
      <c r="U311" s="194">
        <f ca="1">OFFSET('배치점수 계산기'!K$10,$D311,0)</f>
        <v>685.81100000000004</v>
      </c>
      <c r="V311" s="194">
        <f ca="1">OFFSET('배치점수 계산기'!L$10,$D311,0)</f>
        <v>682.11599999999999</v>
      </c>
      <c r="W311" s="186" t="str">
        <f ca="1">OFFSET('배치점수 계산기'!M$10,$D311,0)</f>
        <v>표점</v>
      </c>
      <c r="X311" s="184" t="str">
        <f ca="1">OFFSET('배치점수 계산기'!N$10,$D311,0)</f>
        <v>변표</v>
      </c>
      <c r="Y311" s="188">
        <f ca="1">OFFSET(환산공식!FW$15,$F311,0)</f>
        <v>0.41</v>
      </c>
      <c r="Z311" s="20">
        <f ca="1">OFFSET(환산공식!FX$15,$F311,0)</f>
        <v>0.28999999999999998</v>
      </c>
      <c r="AA311" s="179">
        <f ca="1">OFFSET(환산공식!FY$15,$F311,0)</f>
        <v>0.28999999999999998</v>
      </c>
      <c r="AC311"/>
      <c r="AD311">
        <f t="shared" ca="1" si="10"/>
        <v>6</v>
      </c>
      <c r="AE311"/>
    </row>
    <row r="312" spans="1:34" s="3" customFormat="1">
      <c r="A312" s="198"/>
      <c r="B312" s="198"/>
      <c r="C312" s="198" t="s">
        <v>873</v>
      </c>
      <c r="D312" s="195">
        <v>362</v>
      </c>
      <c r="E312" s="195">
        <v>54</v>
      </c>
      <c r="F312" s="195">
        <v>54</v>
      </c>
      <c r="G312" s="239">
        <v>305</v>
      </c>
      <c r="H312" s="197" t="s">
        <v>72</v>
      </c>
      <c r="I312" s="242" t="s">
        <v>233</v>
      </c>
      <c r="J312" s="242" t="s">
        <v>8659</v>
      </c>
      <c r="K312" s="195" t="s">
        <v>71</v>
      </c>
      <c r="L312" s="20" t="str">
        <f ca="1">IF(OFFSET(환산공식!$ED$15,$F312,0)=1,"O","X")</f>
        <v>X</v>
      </c>
      <c r="M312" s="188">
        <f ca="1">IFERROR(OFFSET(환산공식!DJ$15,$F312,0),"")</f>
        <v>150</v>
      </c>
      <c r="N312" s="20" t="str">
        <f ca="1">IFERROR(CONCATENATE(ROUND(OFFSET(환산공식!DK$15,$F312,0),1),"%"),"")</f>
        <v>100%</v>
      </c>
      <c r="O312" s="20">
        <f ca="1">IFERROR(OFFSET(환산공식!DL$15,$F312,0),"")</f>
        <v>0</v>
      </c>
      <c r="P312" s="188" t="str">
        <f t="shared" ca="1" si="9"/>
        <v>3% 이하</v>
      </c>
      <c r="Q312" s="194">
        <f ca="1">IFERROR(ROUND(OFFSET(환산공식!$FG$15,$F312,0),3),"")</f>
        <v>0</v>
      </c>
      <c r="R312" s="194">
        <f ca="1">OFFSET('배치점수 계산기'!H$10,$D312,0)</f>
        <v>694.06399999999996</v>
      </c>
      <c r="S312" s="194">
        <f ca="1">OFFSET('배치점수 계산기'!I$10,$D312,0)</f>
        <v>691.48800000000006</v>
      </c>
      <c r="T312" s="194">
        <f ca="1">OFFSET('배치점수 계산기'!J$10,$D312,0)</f>
        <v>688.01400000000001</v>
      </c>
      <c r="U312" s="194">
        <f ca="1">OFFSET('배치점수 계산기'!K$10,$D312,0)</f>
        <v>685.53499999999997</v>
      </c>
      <c r="V312" s="194">
        <f ca="1">OFFSET('배치점수 계산기'!L$10,$D312,0)</f>
        <v>681.99099999999999</v>
      </c>
      <c r="W312" s="186" t="str">
        <f ca="1">OFFSET('배치점수 계산기'!M$10,$D312,0)</f>
        <v>표점</v>
      </c>
      <c r="X312" s="184" t="str">
        <f ca="1">OFFSET('배치점수 계산기'!N$10,$D312,0)</f>
        <v>변표</v>
      </c>
      <c r="Y312" s="188">
        <f ca="1">OFFSET(환산공식!FW$15,$F312,0)</f>
        <v>0.41</v>
      </c>
      <c r="Z312" s="20">
        <f ca="1">OFFSET(환산공식!FX$15,$F312,0)</f>
        <v>0.28999999999999998</v>
      </c>
      <c r="AA312" s="179">
        <f ca="1">OFFSET(환산공식!FY$15,$F312,0)</f>
        <v>0.28999999999999998</v>
      </c>
      <c r="AC312"/>
      <c r="AD312">
        <f t="shared" ca="1" si="10"/>
        <v>6</v>
      </c>
      <c r="AE312"/>
    </row>
    <row r="313" spans="1:34" s="3" customFormat="1">
      <c r="A313" s="198"/>
      <c r="B313" s="198"/>
      <c r="C313" s="198" t="s">
        <v>874</v>
      </c>
      <c r="D313" s="195">
        <v>363</v>
      </c>
      <c r="E313" s="195">
        <v>54</v>
      </c>
      <c r="F313" s="195">
        <v>54</v>
      </c>
      <c r="G313" s="239">
        <v>306</v>
      </c>
      <c r="H313" s="197" t="s">
        <v>72</v>
      </c>
      <c r="I313" s="242" t="s">
        <v>233</v>
      </c>
      <c r="J313" s="242" t="s">
        <v>9633</v>
      </c>
      <c r="K313" s="195" t="s">
        <v>71</v>
      </c>
      <c r="L313" s="20" t="str">
        <f ca="1">IF(OFFSET(환산공식!$ED$15,$F313,0)=1,"O","X")</f>
        <v>X</v>
      </c>
      <c r="M313" s="188">
        <f ca="1">IFERROR(OFFSET(환산공식!DJ$15,$F313,0),"")</f>
        <v>150</v>
      </c>
      <c r="N313" s="20" t="str">
        <f ca="1">IFERROR(CONCATENATE(ROUND(OFFSET(환산공식!DK$15,$F313,0),1),"%"),"")</f>
        <v>100%</v>
      </c>
      <c r="O313" s="20">
        <f ca="1">IFERROR(OFFSET(환산공식!DL$15,$F313,0),"")</f>
        <v>0</v>
      </c>
      <c r="P313" s="188" t="str">
        <f t="shared" ca="1" si="9"/>
        <v>3% 이하</v>
      </c>
      <c r="Q313" s="194">
        <f ca="1">IFERROR(ROUND(OFFSET(환산공식!$FG$15,$F313,0),3),"")</f>
        <v>0</v>
      </c>
      <c r="R313" s="194">
        <f ca="1">OFFSET('배치점수 계산기'!H$10,$D313,0)</f>
        <v>693.1</v>
      </c>
      <c r="S313" s="194">
        <f ca="1">OFFSET('배치점수 계산기'!I$10,$D313,0)</f>
        <v>690.27099999999996</v>
      </c>
      <c r="T313" s="194">
        <f ca="1">OFFSET('배치점수 계산기'!J$10,$D313,0)</f>
        <v>687.23</v>
      </c>
      <c r="U313" s="194">
        <f ca="1">OFFSET('배치점수 계산기'!K$10,$D313,0)</f>
        <v>684.52499999999998</v>
      </c>
      <c r="V313" s="194">
        <f ca="1">OFFSET('배치점수 계산기'!L$10,$D313,0)</f>
        <v>678.86099999999999</v>
      </c>
      <c r="W313" s="186" t="str">
        <f ca="1">OFFSET('배치점수 계산기'!M$10,$D313,0)</f>
        <v>표점</v>
      </c>
      <c r="X313" s="184" t="str">
        <f ca="1">OFFSET('배치점수 계산기'!N$10,$D313,0)</f>
        <v>변표</v>
      </c>
      <c r="Y313" s="188">
        <f ca="1">OFFSET(환산공식!FW$15,$F313,0)</f>
        <v>0.41</v>
      </c>
      <c r="Z313" s="20">
        <f ca="1">OFFSET(환산공식!FX$15,$F313,0)</f>
        <v>0.28999999999999998</v>
      </c>
      <c r="AA313" s="179">
        <f ca="1">OFFSET(환산공식!FY$15,$F313,0)</f>
        <v>0.28999999999999998</v>
      </c>
      <c r="AC313"/>
      <c r="AD313">
        <f t="shared" ca="1" si="10"/>
        <v>6</v>
      </c>
      <c r="AE313"/>
    </row>
    <row r="314" spans="1:34" s="3" customFormat="1">
      <c r="A314" s="198"/>
      <c r="B314" s="198"/>
      <c r="C314" s="198" t="s">
        <v>875</v>
      </c>
      <c r="D314" s="195">
        <v>364</v>
      </c>
      <c r="E314" s="195">
        <v>54</v>
      </c>
      <c r="F314" s="195">
        <v>54</v>
      </c>
      <c r="G314" s="239">
        <v>307</v>
      </c>
      <c r="H314" s="197" t="s">
        <v>72</v>
      </c>
      <c r="I314" s="242" t="s">
        <v>233</v>
      </c>
      <c r="J314" s="242" t="s">
        <v>9866</v>
      </c>
      <c r="K314" s="195" t="s">
        <v>71</v>
      </c>
      <c r="L314" s="20" t="str">
        <f ca="1">IF(OFFSET(환산공식!$ED$15,$F314,0)=1,"O","X")</f>
        <v>X</v>
      </c>
      <c r="M314" s="188">
        <f ca="1">IFERROR(OFFSET(환산공식!DJ$15,$F314,0),"")</f>
        <v>150</v>
      </c>
      <c r="N314" s="20" t="str">
        <f ca="1">IFERROR(CONCATENATE(ROUND(OFFSET(환산공식!DK$15,$F314,0),1),"%"),"")</f>
        <v>100%</v>
      </c>
      <c r="O314" s="20">
        <f ca="1">IFERROR(OFFSET(환산공식!DL$15,$F314,0),"")</f>
        <v>0</v>
      </c>
      <c r="P314" s="188" t="str">
        <f t="shared" ca="1" si="9"/>
        <v>3% 이하</v>
      </c>
      <c r="Q314" s="194">
        <f ca="1">IFERROR(ROUND(OFFSET(환산공식!$FG$15,$F314,0),3),"")</f>
        <v>0</v>
      </c>
      <c r="R314" s="194">
        <f ca="1">OFFSET('배치점수 계산기'!H$10,$D314,0)</f>
        <v>693.1</v>
      </c>
      <c r="S314" s="194">
        <f ca="1">OFFSET('배치점수 계산기'!I$10,$D314,0)</f>
        <v>690.27099999999996</v>
      </c>
      <c r="T314" s="194">
        <f ca="1">OFFSET('배치점수 계산기'!J$10,$D314,0)</f>
        <v>687.23</v>
      </c>
      <c r="U314" s="194">
        <f ca="1">OFFSET('배치점수 계산기'!K$10,$D314,0)</f>
        <v>684.52499999999998</v>
      </c>
      <c r="V314" s="194">
        <f ca="1">OFFSET('배치점수 계산기'!L$10,$D314,0)</f>
        <v>681.81600000000003</v>
      </c>
      <c r="W314" s="186" t="str">
        <f ca="1">OFFSET('배치점수 계산기'!M$10,$D314,0)</f>
        <v>표점</v>
      </c>
      <c r="X314" s="184" t="str">
        <f ca="1">OFFSET('배치점수 계산기'!N$10,$D314,0)</f>
        <v>변표</v>
      </c>
      <c r="Y314" s="188">
        <f ca="1">OFFSET(환산공식!FW$15,$F314,0)</f>
        <v>0.41</v>
      </c>
      <c r="Z314" s="20">
        <f ca="1">OFFSET(환산공식!FX$15,$F314,0)</f>
        <v>0.28999999999999998</v>
      </c>
      <c r="AA314" s="179">
        <f ca="1">OFFSET(환산공식!FY$15,$F314,0)</f>
        <v>0.28999999999999998</v>
      </c>
      <c r="AC314"/>
      <c r="AD314">
        <f t="shared" ca="1" si="10"/>
        <v>6</v>
      </c>
      <c r="AE314"/>
    </row>
    <row r="315" spans="1:34" s="3" customFormat="1">
      <c r="A315" s="198"/>
      <c r="B315" s="198"/>
      <c r="C315" s="198" t="s">
        <v>876</v>
      </c>
      <c r="D315" s="195">
        <v>365</v>
      </c>
      <c r="E315" s="195">
        <v>54</v>
      </c>
      <c r="F315" s="195">
        <v>54</v>
      </c>
      <c r="G315" s="239">
        <v>308</v>
      </c>
      <c r="H315" s="197" t="s">
        <v>72</v>
      </c>
      <c r="I315" s="242" t="s">
        <v>233</v>
      </c>
      <c r="J315" s="242" t="s">
        <v>9870</v>
      </c>
      <c r="K315" s="195" t="s">
        <v>71</v>
      </c>
      <c r="L315" s="20" t="str">
        <f ca="1">IF(OFFSET(환산공식!$ED$15,$F315,0)=1,"O","X")</f>
        <v>X</v>
      </c>
      <c r="M315" s="188">
        <f ca="1">IFERROR(OFFSET(환산공식!DJ$15,$F315,0),"")</f>
        <v>150</v>
      </c>
      <c r="N315" s="20" t="str">
        <f ca="1">IFERROR(CONCATENATE(ROUND(OFFSET(환산공식!DK$15,$F315,0),1),"%"),"")</f>
        <v>100%</v>
      </c>
      <c r="O315" s="20">
        <f ca="1">IFERROR(OFFSET(환산공식!DL$15,$F315,0),"")</f>
        <v>0</v>
      </c>
      <c r="P315" s="188" t="str">
        <f t="shared" ca="1" si="9"/>
        <v>3% 이하</v>
      </c>
      <c r="Q315" s="194">
        <f ca="1">IFERROR(ROUND(OFFSET(환산공식!$FG$15,$F315,0),3),"")</f>
        <v>0</v>
      </c>
      <c r="R315" s="194">
        <f ca="1">OFFSET('배치점수 계산기'!H$10,$D315,0)</f>
        <v>693.1</v>
      </c>
      <c r="S315" s="194">
        <f ca="1">OFFSET('배치점수 계산기'!I$10,$D315,0)</f>
        <v>690.27099999999996</v>
      </c>
      <c r="T315" s="194">
        <f ca="1">OFFSET('배치점수 계산기'!J$10,$D315,0)</f>
        <v>687.23</v>
      </c>
      <c r="U315" s="194">
        <f ca="1">OFFSET('배치점수 계산기'!K$10,$D315,0)</f>
        <v>684.52499999999998</v>
      </c>
      <c r="V315" s="194">
        <f ca="1">OFFSET('배치점수 계산기'!L$10,$D315,0)</f>
        <v>680.93399999999997</v>
      </c>
      <c r="W315" s="186" t="str">
        <f ca="1">OFFSET('배치점수 계산기'!M$10,$D315,0)</f>
        <v>표점</v>
      </c>
      <c r="X315" s="184" t="str">
        <f ca="1">OFFSET('배치점수 계산기'!N$10,$D315,0)</f>
        <v>변표</v>
      </c>
      <c r="Y315" s="188">
        <f ca="1">OFFSET(환산공식!FW$15,$F315,0)</f>
        <v>0.41</v>
      </c>
      <c r="Z315" s="20">
        <f ca="1">OFFSET(환산공식!FX$15,$F315,0)</f>
        <v>0.28999999999999998</v>
      </c>
      <c r="AA315" s="179">
        <f ca="1">OFFSET(환산공식!FY$15,$F315,0)</f>
        <v>0.28999999999999998</v>
      </c>
      <c r="AC315"/>
      <c r="AD315">
        <f t="shared" ca="1" si="10"/>
        <v>6</v>
      </c>
      <c r="AE315"/>
    </row>
    <row r="316" spans="1:34" s="3" customFormat="1">
      <c r="A316" s="198"/>
      <c r="B316" s="198"/>
      <c r="C316" s="198" t="s">
        <v>877</v>
      </c>
      <c r="D316" s="195">
        <v>366</v>
      </c>
      <c r="E316" s="195">
        <v>54</v>
      </c>
      <c r="F316" s="195">
        <v>54</v>
      </c>
      <c r="G316" s="239">
        <v>309</v>
      </c>
      <c r="H316" s="197" t="s">
        <v>72</v>
      </c>
      <c r="I316" s="242" t="s">
        <v>233</v>
      </c>
      <c r="J316" s="242" t="s">
        <v>9932</v>
      </c>
      <c r="K316" s="195" t="s">
        <v>71</v>
      </c>
      <c r="L316" s="20" t="str">
        <f ca="1">IF(OFFSET(환산공식!$ED$15,$F316,0)=1,"O","X")</f>
        <v>X</v>
      </c>
      <c r="M316" s="188">
        <f ca="1">IFERROR(OFFSET(환산공식!DJ$15,$F316,0),"")</f>
        <v>150</v>
      </c>
      <c r="N316" s="20" t="str">
        <f ca="1">IFERROR(CONCATENATE(ROUND(OFFSET(환산공식!DK$15,$F316,0),1),"%"),"")</f>
        <v>100%</v>
      </c>
      <c r="O316" s="20">
        <f ca="1">IFERROR(OFFSET(환산공식!DL$15,$F316,0),"")</f>
        <v>0</v>
      </c>
      <c r="P316" s="188" t="str">
        <f t="shared" ca="1" si="9"/>
        <v>3% 이하</v>
      </c>
      <c r="Q316" s="194">
        <f ca="1">IFERROR(ROUND(OFFSET(환산공식!$FG$15,$F316,0),3),"")</f>
        <v>0</v>
      </c>
      <c r="R316" s="194">
        <f ca="1">OFFSET('배치점수 계산기'!H$10,$D316,0)</f>
        <v>692.06399999999996</v>
      </c>
      <c r="S316" s="194">
        <f ca="1">OFFSET('배치점수 계산기'!I$10,$D316,0)</f>
        <v>689.505</v>
      </c>
      <c r="T316" s="194">
        <f ca="1">OFFSET('배치점수 계산기'!J$10,$D316,0)</f>
        <v>686.27099999999996</v>
      </c>
      <c r="U316" s="194">
        <f ca="1">OFFSET('배치점수 계산기'!K$10,$D316,0)</f>
        <v>683.55</v>
      </c>
      <c r="V316" s="194">
        <f ca="1">OFFSET('배치점수 계산기'!L$10,$D316,0)</f>
        <v>677.95399999999995</v>
      </c>
      <c r="W316" s="186" t="str">
        <f ca="1">OFFSET('배치점수 계산기'!M$10,$D316,0)</f>
        <v>표점</v>
      </c>
      <c r="X316" s="184" t="str">
        <f ca="1">OFFSET('배치점수 계산기'!N$10,$D316,0)</f>
        <v>변표</v>
      </c>
      <c r="Y316" s="188">
        <f ca="1">OFFSET(환산공식!FW$15,$F316,0)</f>
        <v>0.41</v>
      </c>
      <c r="Z316" s="20">
        <f ca="1">OFFSET(환산공식!FX$15,$F316,0)</f>
        <v>0.28999999999999998</v>
      </c>
      <c r="AA316" s="179">
        <f ca="1">OFFSET(환산공식!FY$15,$F316,0)</f>
        <v>0.28999999999999998</v>
      </c>
      <c r="AC316"/>
      <c r="AD316">
        <f t="shared" ca="1" si="10"/>
        <v>6</v>
      </c>
      <c r="AE316"/>
    </row>
    <row r="317" spans="1:34" s="3" customFormat="1">
      <c r="A317" s="198"/>
      <c r="B317" s="198"/>
      <c r="C317" s="198" t="s">
        <v>878</v>
      </c>
      <c r="D317" s="195">
        <v>367</v>
      </c>
      <c r="E317" s="195">
        <v>54</v>
      </c>
      <c r="F317" s="195">
        <v>54</v>
      </c>
      <c r="G317" s="239">
        <v>310</v>
      </c>
      <c r="H317" s="197" t="s">
        <v>72</v>
      </c>
      <c r="I317" s="242" t="s">
        <v>233</v>
      </c>
      <c r="J317" s="242" t="s">
        <v>8232</v>
      </c>
      <c r="K317" s="195" t="s">
        <v>71</v>
      </c>
      <c r="L317" s="20" t="str">
        <f ca="1">IF(OFFSET(환산공식!$ED$15,$F317,0)=1,"O","X")</f>
        <v>X</v>
      </c>
      <c r="M317" s="188">
        <f ca="1">IFERROR(OFFSET(환산공식!DJ$15,$F317,0),"")</f>
        <v>150</v>
      </c>
      <c r="N317" s="20" t="str">
        <f ca="1">IFERROR(CONCATENATE(ROUND(OFFSET(환산공식!DK$15,$F317,0),1),"%"),"")</f>
        <v>100%</v>
      </c>
      <c r="O317" s="20">
        <f ca="1">IFERROR(OFFSET(환산공식!DL$15,$F317,0),"")</f>
        <v>0</v>
      </c>
      <c r="P317" s="188" t="str">
        <f t="shared" ca="1" si="9"/>
        <v>3% 이하</v>
      </c>
      <c r="Q317" s="194">
        <f ca="1">IFERROR(ROUND(OFFSET(환산공식!$FG$15,$F317,0),3),"")</f>
        <v>0</v>
      </c>
      <c r="R317" s="194">
        <f ca="1">OFFSET('배치점수 계산기'!H$10,$D317,0)</f>
        <v>692.06399999999996</v>
      </c>
      <c r="S317" s="194">
        <f ca="1">OFFSET('배치점수 계산기'!I$10,$D317,0)</f>
        <v>689.505</v>
      </c>
      <c r="T317" s="194">
        <f ca="1">OFFSET('배치점수 계산기'!J$10,$D317,0)</f>
        <v>686.27099999999996</v>
      </c>
      <c r="U317" s="194">
        <f ca="1">OFFSET('배치점수 계산기'!K$10,$D317,0)</f>
        <v>683.55</v>
      </c>
      <c r="V317" s="194">
        <f ca="1">OFFSET('배치점수 계산기'!L$10,$D317,0)</f>
        <v>677.95399999999995</v>
      </c>
      <c r="W317" s="186" t="str">
        <f ca="1">OFFSET('배치점수 계산기'!M$10,$D317,0)</f>
        <v>표점</v>
      </c>
      <c r="X317" s="184" t="str">
        <f ca="1">OFFSET('배치점수 계산기'!N$10,$D317,0)</f>
        <v>변표</v>
      </c>
      <c r="Y317" s="188">
        <f ca="1">OFFSET(환산공식!FW$15,$F317,0)</f>
        <v>0.41</v>
      </c>
      <c r="Z317" s="20">
        <f ca="1">OFFSET(환산공식!FX$15,$F317,0)</f>
        <v>0.28999999999999998</v>
      </c>
      <c r="AA317" s="179">
        <f ca="1">OFFSET(환산공식!FY$15,$F317,0)</f>
        <v>0.28999999999999998</v>
      </c>
      <c r="AC317"/>
      <c r="AD317">
        <f t="shared" ca="1" si="10"/>
        <v>6</v>
      </c>
      <c r="AE317"/>
    </row>
    <row r="318" spans="1:34" s="3" customFormat="1">
      <c r="A318" s="198"/>
      <c r="B318" s="198"/>
      <c r="C318" s="198" t="s">
        <v>879</v>
      </c>
      <c r="D318" s="195">
        <v>368</v>
      </c>
      <c r="E318" s="195">
        <v>54</v>
      </c>
      <c r="F318" s="195">
        <v>54</v>
      </c>
      <c r="G318" s="239">
        <v>311</v>
      </c>
      <c r="H318" s="197" t="s">
        <v>72</v>
      </c>
      <c r="I318" s="242" t="s">
        <v>233</v>
      </c>
      <c r="J318" s="242" t="s">
        <v>499</v>
      </c>
      <c r="K318" s="195" t="s">
        <v>71</v>
      </c>
      <c r="L318" s="20" t="str">
        <f ca="1">IF(OFFSET(환산공식!$ED$15,$F318,0)=1,"O","X")</f>
        <v>X</v>
      </c>
      <c r="M318" s="188">
        <f ca="1">IFERROR(OFFSET(환산공식!DJ$15,$F318,0),"")</f>
        <v>150</v>
      </c>
      <c r="N318" s="20" t="str">
        <f ca="1">IFERROR(CONCATENATE(ROUND(OFFSET(환산공식!DK$15,$F318,0),1),"%"),"")</f>
        <v>100%</v>
      </c>
      <c r="O318" s="20">
        <f ca="1">IFERROR(OFFSET(환산공식!DL$15,$F318,0),"")</f>
        <v>0</v>
      </c>
      <c r="P318" s="188" t="str">
        <f t="shared" ca="1" si="9"/>
        <v>3% 이하</v>
      </c>
      <c r="Q318" s="194">
        <f ca="1">IFERROR(ROUND(OFFSET(환산공식!$FG$15,$F318,0),3),"")</f>
        <v>0</v>
      </c>
      <c r="R318" s="194">
        <f ca="1">OFFSET('배치점수 계산기'!H$10,$D318,0)</f>
        <v>692.06399999999996</v>
      </c>
      <c r="S318" s="194">
        <f ca="1">OFFSET('배치점수 계산기'!I$10,$D318,0)</f>
        <v>689.505</v>
      </c>
      <c r="T318" s="194">
        <f ca="1">OFFSET('배치점수 계산기'!J$10,$D318,0)</f>
        <v>686.27099999999996</v>
      </c>
      <c r="U318" s="194">
        <f ca="1">OFFSET('배치점수 계산기'!K$10,$D318,0)</f>
        <v>683.55</v>
      </c>
      <c r="V318" s="194">
        <f ca="1">OFFSET('배치점수 계산기'!L$10,$D318,0)</f>
        <v>677.95399999999995</v>
      </c>
      <c r="W318" s="186" t="str">
        <f ca="1">OFFSET('배치점수 계산기'!M$10,$D318,0)</f>
        <v>표점</v>
      </c>
      <c r="X318" s="184" t="str">
        <f ca="1">OFFSET('배치점수 계산기'!N$10,$D318,0)</f>
        <v>변표</v>
      </c>
      <c r="Y318" s="188">
        <f ca="1">OFFSET(환산공식!FW$15,$F318,0)</f>
        <v>0.41</v>
      </c>
      <c r="Z318" s="20">
        <f ca="1">OFFSET(환산공식!FX$15,$F318,0)</f>
        <v>0.28999999999999998</v>
      </c>
      <c r="AA318" s="179">
        <f ca="1">OFFSET(환산공식!FY$15,$F318,0)</f>
        <v>0.28999999999999998</v>
      </c>
      <c r="AC318"/>
      <c r="AD318">
        <f t="shared" ca="1" si="10"/>
        <v>6</v>
      </c>
      <c r="AE318"/>
    </row>
    <row r="319" spans="1:34" s="3" customFormat="1">
      <c r="A319" s="198"/>
      <c r="B319" s="198"/>
      <c r="C319" s="198" t="s">
        <v>880</v>
      </c>
      <c r="D319" s="195">
        <v>369</v>
      </c>
      <c r="E319" s="195">
        <v>54</v>
      </c>
      <c r="F319" s="195">
        <v>54</v>
      </c>
      <c r="G319" s="239">
        <v>312</v>
      </c>
      <c r="H319" s="197" t="s">
        <v>72</v>
      </c>
      <c r="I319" s="242" t="s">
        <v>233</v>
      </c>
      <c r="J319" s="242" t="s">
        <v>8190</v>
      </c>
      <c r="K319" s="195" t="s">
        <v>71</v>
      </c>
      <c r="L319" s="20" t="str">
        <f ca="1">IF(OFFSET(환산공식!$ED$15,$F319,0)=1,"O","X")</f>
        <v>X</v>
      </c>
      <c r="M319" s="188">
        <f ca="1">IFERROR(OFFSET(환산공식!DJ$15,$F319,0),"")</f>
        <v>150</v>
      </c>
      <c r="N319" s="20" t="str">
        <f ca="1">IFERROR(CONCATENATE(ROUND(OFFSET(환산공식!DK$15,$F319,0),1),"%"),"")</f>
        <v>100%</v>
      </c>
      <c r="O319" s="20">
        <f ca="1">IFERROR(OFFSET(환산공식!DL$15,$F319,0),"")</f>
        <v>0</v>
      </c>
      <c r="P319" s="188" t="str">
        <f t="shared" ca="1" si="9"/>
        <v>3% 이하</v>
      </c>
      <c r="Q319" s="194">
        <f ca="1">IFERROR(ROUND(OFFSET(환산공식!$FG$15,$F319,0),3),"")</f>
        <v>0</v>
      </c>
      <c r="R319" s="194">
        <f ca="1">OFFSET('배치점수 계산기'!H$10,$D319,0)</f>
        <v>691.86500000000001</v>
      </c>
      <c r="S319" s="194">
        <f ca="1">OFFSET('배치점수 계산기'!I$10,$D319,0)</f>
        <v>689.404</v>
      </c>
      <c r="T319" s="194">
        <f ca="1">OFFSET('배치점수 계산기'!J$10,$D319,0)</f>
        <v>686.17</v>
      </c>
      <c r="U319" s="194">
        <f ca="1">OFFSET('배치점수 계산기'!K$10,$D319,0)</f>
        <v>683.38900000000001</v>
      </c>
      <c r="V319" s="194">
        <f ca="1">OFFSET('배치점수 계산기'!L$10,$D319,0)</f>
        <v>679.65300000000002</v>
      </c>
      <c r="W319" s="186" t="str">
        <f ca="1">OFFSET('배치점수 계산기'!M$10,$D319,0)</f>
        <v>표점</v>
      </c>
      <c r="X319" s="184" t="str">
        <f ca="1">OFFSET('배치점수 계산기'!N$10,$D319,0)</f>
        <v>변표</v>
      </c>
      <c r="Y319" s="188">
        <f ca="1">OFFSET(환산공식!FW$15,$F319,0)</f>
        <v>0.41</v>
      </c>
      <c r="Z319" s="20">
        <f ca="1">OFFSET(환산공식!FX$15,$F319,0)</f>
        <v>0.28999999999999998</v>
      </c>
      <c r="AA319" s="179">
        <f ca="1">OFFSET(환산공식!FY$15,$F319,0)</f>
        <v>0.28999999999999998</v>
      </c>
      <c r="AC319"/>
      <c r="AD319">
        <f t="shared" ca="1" si="10"/>
        <v>6</v>
      </c>
      <c r="AE319"/>
    </row>
    <row r="320" spans="1:34">
      <c r="A320" s="198"/>
      <c r="B320" s="198"/>
      <c r="C320" s="198" t="s">
        <v>881</v>
      </c>
      <c r="D320" s="195">
        <v>370</v>
      </c>
      <c r="E320" s="195">
        <v>54</v>
      </c>
      <c r="F320" s="195">
        <v>54</v>
      </c>
      <c r="G320" s="239">
        <v>313</v>
      </c>
      <c r="H320" s="197" t="s">
        <v>72</v>
      </c>
      <c r="I320" s="242" t="s">
        <v>233</v>
      </c>
      <c r="J320" s="242" t="s">
        <v>8772</v>
      </c>
      <c r="K320" s="195" t="s">
        <v>71</v>
      </c>
      <c r="L320" s="20" t="str">
        <f ca="1">IF(OFFSET(환산공식!$ED$15,$F320,0)=1,"O","X")</f>
        <v>X</v>
      </c>
      <c r="M320" s="188">
        <f ca="1">IFERROR(OFFSET(환산공식!DJ$15,$F320,0),"")</f>
        <v>150</v>
      </c>
      <c r="N320" s="20" t="str">
        <f ca="1">IFERROR(CONCATENATE(ROUND(OFFSET(환산공식!DK$15,$F320,0),1),"%"),"")</f>
        <v>100%</v>
      </c>
      <c r="O320" s="20">
        <f ca="1">IFERROR(OFFSET(환산공식!DL$15,$F320,0),"")</f>
        <v>0</v>
      </c>
      <c r="P320" s="188" t="str">
        <f t="shared" ca="1" si="9"/>
        <v>3% 이하</v>
      </c>
      <c r="Q320" s="194">
        <f ca="1">IFERROR(ROUND(OFFSET(환산공식!$FG$15,$F320,0),3),"")</f>
        <v>0</v>
      </c>
      <c r="R320" s="194">
        <f ca="1">OFFSET('배치점수 계산기'!H$10,$D320,0)</f>
        <v>691.86500000000001</v>
      </c>
      <c r="S320" s="194">
        <f ca="1">OFFSET('배치점수 계산기'!I$10,$D320,0)</f>
        <v>689.20500000000004</v>
      </c>
      <c r="T320" s="194">
        <f ca="1">OFFSET('배치점수 계산기'!J$10,$D320,0)</f>
        <v>685.86400000000003</v>
      </c>
      <c r="U320" s="194">
        <f ca="1">OFFSET('배치점수 계산기'!K$10,$D320,0)</f>
        <v>683.18399999999997</v>
      </c>
      <c r="V320" s="194">
        <f ca="1">OFFSET('배치점수 계산기'!L$10,$D320,0)</f>
        <v>677.40800000000002</v>
      </c>
      <c r="W320" s="186" t="str">
        <f ca="1">OFFSET('배치점수 계산기'!M$10,$D320,0)</f>
        <v>표점</v>
      </c>
      <c r="X320" s="184" t="str">
        <f ca="1">OFFSET('배치점수 계산기'!N$10,$D320,0)</f>
        <v>변표</v>
      </c>
      <c r="Y320" s="188">
        <f ca="1">OFFSET(환산공식!FW$15,$F320,0)</f>
        <v>0.41</v>
      </c>
      <c r="Z320" s="20">
        <f ca="1">OFFSET(환산공식!FX$15,$F320,0)</f>
        <v>0.28999999999999998</v>
      </c>
      <c r="AA320" s="179">
        <f ca="1">OFFSET(환산공식!FY$15,$F320,0)</f>
        <v>0.28999999999999998</v>
      </c>
      <c r="AB320" s="3"/>
      <c r="AD320">
        <f t="shared" ca="1" si="10"/>
        <v>6</v>
      </c>
      <c r="AF320" s="3"/>
      <c r="AG320" s="3"/>
      <c r="AH320" s="3"/>
    </row>
    <row r="321" spans="1:34">
      <c r="A321" s="198"/>
      <c r="B321" s="198"/>
      <c r="C321" s="198" t="s">
        <v>882</v>
      </c>
      <c r="D321" s="195">
        <v>371</v>
      </c>
      <c r="E321" s="195">
        <v>54</v>
      </c>
      <c r="F321" s="195">
        <v>54</v>
      </c>
      <c r="G321" s="239">
        <v>314</v>
      </c>
      <c r="H321" s="197" t="s">
        <v>72</v>
      </c>
      <c r="I321" s="242" t="s">
        <v>233</v>
      </c>
      <c r="J321" s="242" t="s">
        <v>8753</v>
      </c>
      <c r="K321" s="195" t="s">
        <v>71</v>
      </c>
      <c r="L321" s="20" t="str">
        <f ca="1">IF(OFFSET(환산공식!$ED$15,$F321,0)=1,"O","X")</f>
        <v>X</v>
      </c>
      <c r="M321" s="188">
        <f ca="1">IFERROR(OFFSET(환산공식!DJ$15,$F321,0),"")</f>
        <v>150</v>
      </c>
      <c r="N321" s="20" t="str">
        <f ca="1">IFERROR(CONCATENATE(ROUND(OFFSET(환산공식!DK$15,$F321,0),1),"%"),"")</f>
        <v>100%</v>
      </c>
      <c r="O321" s="20">
        <f ca="1">IFERROR(OFFSET(환산공식!DL$15,$F321,0),"")</f>
        <v>0</v>
      </c>
      <c r="P321" s="188" t="str">
        <f t="shared" ca="1" si="9"/>
        <v>3% 이하</v>
      </c>
      <c r="Q321" s="194">
        <f ca="1">IFERROR(ROUND(OFFSET(환산공식!$FG$15,$F321,0),3),"")</f>
        <v>0</v>
      </c>
      <c r="R321" s="194">
        <f ca="1">OFFSET('배치점수 계산기'!H$10,$D321,0)</f>
        <v>691.48800000000006</v>
      </c>
      <c r="S321" s="194">
        <f ca="1">OFFSET('배치점수 계산기'!I$10,$D321,0)</f>
        <v>688.96100000000001</v>
      </c>
      <c r="T321" s="194">
        <f ca="1">OFFSET('배치점수 계산기'!J$10,$D321,0)</f>
        <v>685.53499999999997</v>
      </c>
      <c r="U321" s="194">
        <f ca="1">OFFSET('배치점수 계산기'!K$10,$D321,0)</f>
        <v>682.78300000000002</v>
      </c>
      <c r="V321" s="194">
        <f ca="1">OFFSET('배치점수 계산기'!L$10,$D321,0)</f>
        <v>677.10799999999995</v>
      </c>
      <c r="W321" s="186" t="str">
        <f ca="1">OFFSET('배치점수 계산기'!M$10,$D321,0)</f>
        <v>표점</v>
      </c>
      <c r="X321" s="184" t="str">
        <f ca="1">OFFSET('배치점수 계산기'!N$10,$D321,0)</f>
        <v>변표</v>
      </c>
      <c r="Y321" s="188">
        <f ca="1">OFFSET(환산공식!FW$15,$F321,0)</f>
        <v>0.41</v>
      </c>
      <c r="Z321" s="20">
        <f ca="1">OFFSET(환산공식!FX$15,$F321,0)</f>
        <v>0.28999999999999998</v>
      </c>
      <c r="AA321" s="179">
        <f ca="1">OFFSET(환산공식!FY$15,$F321,0)</f>
        <v>0.28999999999999998</v>
      </c>
      <c r="AB321" s="3"/>
      <c r="AD321">
        <f t="shared" ca="1" si="10"/>
        <v>6</v>
      </c>
      <c r="AF321" s="3"/>
      <c r="AG321" s="3"/>
      <c r="AH321" s="3"/>
    </row>
    <row r="322" spans="1:34">
      <c r="A322" s="198"/>
      <c r="B322" s="198"/>
      <c r="C322" s="198" t="s">
        <v>883</v>
      </c>
      <c r="D322" s="195">
        <v>372</v>
      </c>
      <c r="E322" s="195">
        <v>54</v>
      </c>
      <c r="F322" s="195">
        <v>54</v>
      </c>
      <c r="G322" s="239">
        <v>315</v>
      </c>
      <c r="H322" s="197" t="s">
        <v>72</v>
      </c>
      <c r="I322" s="242" t="s">
        <v>233</v>
      </c>
      <c r="J322" s="242" t="s">
        <v>542</v>
      </c>
      <c r="K322" s="195" t="s">
        <v>71</v>
      </c>
      <c r="L322" s="20" t="str">
        <f ca="1">IF(OFFSET(환산공식!$ED$15,$F322,0)=1,"O","X")</f>
        <v>X</v>
      </c>
      <c r="M322" s="188">
        <f ca="1">IFERROR(OFFSET(환산공식!DJ$15,$F322,0),"")</f>
        <v>150</v>
      </c>
      <c r="N322" s="20" t="str">
        <f ca="1">IFERROR(CONCATENATE(ROUND(OFFSET(환산공식!DK$15,$F322,0),1),"%"),"")</f>
        <v>100%</v>
      </c>
      <c r="O322" s="20">
        <f ca="1">IFERROR(OFFSET(환산공식!DL$15,$F322,0),"")</f>
        <v>0</v>
      </c>
      <c r="P322" s="188" t="str">
        <f t="shared" ca="1" si="9"/>
        <v>3% 이하</v>
      </c>
      <c r="Q322" s="194">
        <f ca="1">IFERROR(ROUND(OFFSET(환산공식!$FG$15,$F322,0),3),"")</f>
        <v>0</v>
      </c>
      <c r="R322" s="194">
        <f ca="1">OFFSET('배치점수 계산기'!H$10,$D322,0)</f>
        <v>691.28</v>
      </c>
      <c r="S322" s="194">
        <f ca="1">OFFSET('배치점수 계산기'!I$10,$D322,0)</f>
        <v>688.86</v>
      </c>
      <c r="T322" s="194">
        <f ca="1">OFFSET('배치점수 계산기'!J$10,$D322,0)</f>
        <v>685.41</v>
      </c>
      <c r="U322" s="194">
        <f ca="1">OFFSET('배치점수 계산기'!K$10,$D322,0)</f>
        <v>682.65800000000002</v>
      </c>
      <c r="V322" s="194">
        <f ca="1">OFFSET('배치점수 계산기'!L$10,$D322,0)</f>
        <v>676.98299999999995</v>
      </c>
      <c r="W322" s="186" t="str">
        <f ca="1">OFFSET('배치점수 계산기'!M$10,$D322,0)</f>
        <v>표점</v>
      </c>
      <c r="X322" s="184" t="str">
        <f ca="1">OFFSET('배치점수 계산기'!N$10,$D322,0)</f>
        <v>변표</v>
      </c>
      <c r="Y322" s="188">
        <f ca="1">OFFSET(환산공식!FW$15,$F322,0)</f>
        <v>0.41</v>
      </c>
      <c r="Z322" s="20">
        <f ca="1">OFFSET(환산공식!FX$15,$F322,0)</f>
        <v>0.28999999999999998</v>
      </c>
      <c r="AA322" s="179">
        <f ca="1">OFFSET(환산공식!FY$15,$F322,0)</f>
        <v>0.28999999999999998</v>
      </c>
      <c r="AB322" s="3"/>
      <c r="AD322">
        <f t="shared" ca="1" si="10"/>
        <v>6</v>
      </c>
      <c r="AF322" s="3"/>
      <c r="AG322" s="3"/>
      <c r="AH322" s="3"/>
    </row>
    <row r="323" spans="1:34">
      <c r="A323" s="198"/>
      <c r="B323" s="198"/>
      <c r="C323" s="198" t="s">
        <v>884</v>
      </c>
      <c r="D323" s="195">
        <v>373</v>
      </c>
      <c r="E323" s="195">
        <v>54</v>
      </c>
      <c r="F323" s="195">
        <v>54</v>
      </c>
      <c r="G323" s="239">
        <v>316</v>
      </c>
      <c r="H323" s="197" t="s">
        <v>72</v>
      </c>
      <c r="I323" s="242" t="s">
        <v>233</v>
      </c>
      <c r="J323" s="242" t="s">
        <v>10136</v>
      </c>
      <c r="K323" s="195" t="s">
        <v>71</v>
      </c>
      <c r="L323" s="20" t="str">
        <f ca="1">IF(OFFSET(환산공식!$ED$15,$F323,0)=1,"O","X")</f>
        <v>X</v>
      </c>
      <c r="M323" s="188">
        <f ca="1">IFERROR(OFFSET(환산공식!DJ$15,$F323,0),"")</f>
        <v>150</v>
      </c>
      <c r="N323" s="20" t="str">
        <f ca="1">IFERROR(CONCATENATE(ROUND(OFFSET(환산공식!DK$15,$F323,0),1),"%"),"")</f>
        <v>100%</v>
      </c>
      <c r="O323" s="20">
        <f ca="1">IFERROR(OFFSET(환산공식!DL$15,$F323,0),"")</f>
        <v>0</v>
      </c>
      <c r="P323" s="188" t="str">
        <f t="shared" ca="1" si="9"/>
        <v>3% 이하</v>
      </c>
      <c r="Q323" s="194">
        <f ca="1">IFERROR(ROUND(OFFSET(환산공식!$FG$15,$F323,0),3),"")</f>
        <v>0</v>
      </c>
      <c r="R323" s="194">
        <f ca="1">OFFSET('배치점수 계산기'!H$10,$D323,0)</f>
        <v>689.13599999999997</v>
      </c>
      <c r="S323" s="194">
        <f ca="1">OFFSET('배치점수 계산기'!I$10,$D323,0)</f>
        <v>686.72500000000002</v>
      </c>
      <c r="T323" s="194">
        <f ca="1">OFFSET('배치점수 계산기'!J$10,$D323,0)</f>
        <v>682.95799999999997</v>
      </c>
      <c r="U323" s="194">
        <f ca="1">OFFSET('배치점수 계산기'!K$10,$D323,0)</f>
        <v>680.30399999999997</v>
      </c>
      <c r="V323" s="194">
        <f ca="1">OFFSET('배치점수 계산기'!L$10,$D323,0)</f>
        <v>676.33100000000002</v>
      </c>
      <c r="W323" s="186" t="str">
        <f ca="1">OFFSET('배치점수 계산기'!M$10,$D323,0)</f>
        <v>표점</v>
      </c>
      <c r="X323" s="184" t="str">
        <f ca="1">OFFSET('배치점수 계산기'!N$10,$D323,0)</f>
        <v>변표</v>
      </c>
      <c r="Y323" s="188">
        <f ca="1">OFFSET(환산공식!FW$15,$F323,0)</f>
        <v>0.41</v>
      </c>
      <c r="Z323" s="20">
        <f ca="1">OFFSET(환산공식!FX$15,$F323,0)</f>
        <v>0.28999999999999998</v>
      </c>
      <c r="AA323" s="179">
        <f ca="1">OFFSET(환산공식!FY$15,$F323,0)</f>
        <v>0.28999999999999998</v>
      </c>
      <c r="AB323" s="3"/>
      <c r="AD323">
        <f t="shared" ca="1" si="10"/>
        <v>6</v>
      </c>
      <c r="AF323" s="3"/>
      <c r="AG323" s="3"/>
      <c r="AH323" s="3"/>
    </row>
    <row r="324" spans="1:34">
      <c r="A324" s="198"/>
      <c r="B324" s="198"/>
      <c r="C324" s="198" t="s">
        <v>885</v>
      </c>
      <c r="D324" s="195">
        <v>374</v>
      </c>
      <c r="E324" s="195">
        <v>63</v>
      </c>
      <c r="F324" s="195">
        <v>63</v>
      </c>
      <c r="G324" s="239">
        <v>317</v>
      </c>
      <c r="H324" s="197" t="s">
        <v>72</v>
      </c>
      <c r="I324" s="242" t="s">
        <v>254</v>
      </c>
      <c r="J324" s="242" t="s">
        <v>551</v>
      </c>
      <c r="K324" s="195" t="s">
        <v>70</v>
      </c>
      <c r="L324" s="20" t="str">
        <f ca="1">IF(OFFSET(환산공식!$ED$15,$F324,0)=1,"O","X")</f>
        <v>X</v>
      </c>
      <c r="M324" s="188">
        <f ca="1">IFERROR(OFFSET(환산공식!DJ$15,$F324,0),"")</f>
        <v>150</v>
      </c>
      <c r="N324" s="20" t="str">
        <f ca="1">IFERROR(CONCATENATE(ROUND(OFFSET(환산공식!DK$15,$F324,0),1),"%"),"")</f>
        <v>100%</v>
      </c>
      <c r="O324" s="20">
        <f ca="1">IFERROR(OFFSET(환산공식!DL$15,$F324,0),"")</f>
        <v>3</v>
      </c>
      <c r="P324" s="188" t="str">
        <f t="shared" ca="1" si="9"/>
        <v>3% 이하</v>
      </c>
      <c r="Q324" s="194">
        <f ca="1">IFERROR(ROUND(OFFSET(환산공식!$FG$15,$F324,0),3),"")</f>
        <v>0</v>
      </c>
      <c r="R324" s="194">
        <f ca="1">OFFSET('배치점수 계산기'!H$10,$D324,0)</f>
        <v>908.07899999999995</v>
      </c>
      <c r="S324" s="194">
        <f ca="1">OFFSET('배치점수 계산기'!I$10,$D324,0)</f>
        <v>905.75400000000002</v>
      </c>
      <c r="T324" s="194">
        <f ca="1">OFFSET('배치점수 계산기'!J$10,$D324,0)</f>
        <v>901.99599999999998</v>
      </c>
      <c r="U324" s="194">
        <f ca="1">OFFSET('배치점수 계산기'!K$10,$D324,0)</f>
        <v>893.654</v>
      </c>
      <c r="V324" s="194">
        <f ca="1">OFFSET('배치점수 계산기'!L$10,$D324,0)</f>
        <v>884.94399999999996</v>
      </c>
      <c r="W324" s="186" t="str">
        <f ca="1">OFFSET('배치점수 계산기'!M$10,$D324,0)</f>
        <v>표점/만점</v>
      </c>
      <c r="X324" s="184" t="str">
        <f ca="1">OFFSET('배치점수 계산기'!N$10,$D324,0)</f>
        <v>변표/만점</v>
      </c>
      <c r="Y324" s="188">
        <f ca="1">OFFSET(환산공식!FW$15,$F324,0)</f>
        <v>0.3</v>
      </c>
      <c r="Z324" s="20">
        <f ca="1">OFFSET(환산공식!FX$15,$F324,0)</f>
        <v>0.41</v>
      </c>
      <c r="AA324" s="179">
        <f ca="1">OFFSET(환산공식!FY$15,$F324,0)</f>
        <v>0.28999999999999998</v>
      </c>
      <c r="AB324" s="3"/>
      <c r="AD324">
        <f t="shared" ca="1" si="10"/>
        <v>6</v>
      </c>
      <c r="AF324" s="3"/>
      <c r="AG324" s="3"/>
      <c r="AH324" s="3"/>
    </row>
    <row r="325" spans="1:34">
      <c r="A325" s="198"/>
      <c r="B325" s="198"/>
      <c r="C325" s="198" t="s">
        <v>886</v>
      </c>
      <c r="D325" s="195">
        <v>375</v>
      </c>
      <c r="E325" s="195">
        <v>63</v>
      </c>
      <c r="F325" s="195">
        <v>63</v>
      </c>
      <c r="G325" s="239">
        <v>318</v>
      </c>
      <c r="H325" s="197" t="s">
        <v>72</v>
      </c>
      <c r="I325" s="242" t="s">
        <v>254</v>
      </c>
      <c r="J325" s="242" t="s">
        <v>9986</v>
      </c>
      <c r="K325" s="195" t="s">
        <v>70</v>
      </c>
      <c r="L325" s="20" t="str">
        <f ca="1">IF(OFFSET(환산공식!$ED$15,$F325,0)=1,"O","X")</f>
        <v>X</v>
      </c>
      <c r="M325" s="188">
        <f ca="1">IFERROR(OFFSET(환산공식!DJ$15,$F325,0),"")</f>
        <v>150</v>
      </c>
      <c r="N325" s="20" t="str">
        <f ca="1">IFERROR(CONCATENATE(ROUND(OFFSET(환산공식!DK$15,$F325,0),1),"%"),"")</f>
        <v>100%</v>
      </c>
      <c r="O325" s="20">
        <f ca="1">IFERROR(OFFSET(환산공식!DL$15,$F325,0),"")</f>
        <v>3</v>
      </c>
      <c r="P325" s="188" t="str">
        <f t="shared" ca="1" si="9"/>
        <v>3% 이하</v>
      </c>
      <c r="Q325" s="194">
        <f ca="1">IFERROR(ROUND(OFFSET(환산공식!$FG$15,$F325,0),3),"")</f>
        <v>0</v>
      </c>
      <c r="R325" s="194">
        <f ca="1">OFFSET('배치점수 계산기'!H$10,$D325,0)</f>
        <v>906.15200000000004</v>
      </c>
      <c r="S325" s="194">
        <f ca="1">OFFSET('배치점수 계산기'!I$10,$D325,0)</f>
        <v>903.66099999999994</v>
      </c>
      <c r="T325" s="194">
        <f ca="1">OFFSET('배치점수 계산기'!J$10,$D325,0)</f>
        <v>899.61300000000006</v>
      </c>
      <c r="U325" s="194">
        <f ca="1">OFFSET('배치점수 계산기'!K$10,$D325,0)</f>
        <v>891.42200000000003</v>
      </c>
      <c r="V325" s="194">
        <f ca="1">OFFSET('배치점수 계산기'!L$10,$D325,0)</f>
        <v>883.41399999999999</v>
      </c>
      <c r="W325" s="186" t="str">
        <f ca="1">OFFSET('배치점수 계산기'!M$10,$D325,0)</f>
        <v>표점/만점</v>
      </c>
      <c r="X325" s="184" t="str">
        <f ca="1">OFFSET('배치점수 계산기'!N$10,$D325,0)</f>
        <v>변표/만점</v>
      </c>
      <c r="Y325" s="188">
        <f ca="1">OFFSET(환산공식!FW$15,$F325,0)</f>
        <v>0.3</v>
      </c>
      <c r="Z325" s="20">
        <f ca="1">OFFSET(환산공식!FX$15,$F325,0)</f>
        <v>0.41</v>
      </c>
      <c r="AA325" s="179">
        <f ca="1">OFFSET(환산공식!FY$15,$F325,0)</f>
        <v>0.28999999999999998</v>
      </c>
      <c r="AB325" s="3"/>
      <c r="AD325">
        <f t="shared" ca="1" si="10"/>
        <v>6</v>
      </c>
      <c r="AF325" s="3"/>
      <c r="AG325" s="3"/>
      <c r="AH325" s="3"/>
    </row>
    <row r="326" spans="1:34">
      <c r="A326" s="198"/>
      <c r="B326" s="198"/>
      <c r="C326" s="198" t="s">
        <v>887</v>
      </c>
      <c r="D326" s="195">
        <v>376</v>
      </c>
      <c r="E326" s="195">
        <v>63</v>
      </c>
      <c r="F326" s="195">
        <v>63</v>
      </c>
      <c r="G326" s="239">
        <v>319</v>
      </c>
      <c r="H326" s="197" t="s">
        <v>72</v>
      </c>
      <c r="I326" s="242" t="s">
        <v>254</v>
      </c>
      <c r="J326" s="242" t="s">
        <v>8496</v>
      </c>
      <c r="K326" s="195" t="s">
        <v>70</v>
      </c>
      <c r="L326" s="20" t="str">
        <f ca="1">IF(OFFSET(환산공식!$ED$15,$F326,0)=1,"O","X")</f>
        <v>X</v>
      </c>
      <c r="M326" s="188">
        <f ca="1">IFERROR(OFFSET(환산공식!DJ$15,$F326,0),"")</f>
        <v>150</v>
      </c>
      <c r="N326" s="20" t="str">
        <f ca="1">IFERROR(CONCATENATE(ROUND(OFFSET(환산공식!DK$15,$F326,0),1),"%"),"")</f>
        <v>100%</v>
      </c>
      <c r="O326" s="20">
        <f ca="1">IFERROR(OFFSET(환산공식!DL$15,$F326,0),"")</f>
        <v>3</v>
      </c>
      <c r="P326" s="188" t="str">
        <f t="shared" ca="1" si="9"/>
        <v>3% 이하</v>
      </c>
      <c r="Q326" s="194">
        <f ca="1">IFERROR(ROUND(OFFSET(환산공식!$FG$15,$F326,0),3),"")</f>
        <v>0</v>
      </c>
      <c r="R326" s="194">
        <f ca="1">OFFSET('배치점수 계산기'!H$10,$D326,0)</f>
        <v>904.77</v>
      </c>
      <c r="S326" s="194">
        <f ca="1">OFFSET('배치점수 계산기'!I$10,$D326,0)</f>
        <v>902.16600000000005</v>
      </c>
      <c r="T326" s="194">
        <f ca="1">OFFSET('배치점수 계산기'!J$10,$D326,0)</f>
        <v>898.54300000000001</v>
      </c>
      <c r="U326" s="194">
        <f ca="1">OFFSET('배치점수 계산기'!K$10,$D326,0)</f>
        <v>890.03899999999999</v>
      </c>
      <c r="V326" s="194">
        <f ca="1">OFFSET('배치점수 계산기'!L$10,$D326,0)</f>
        <v>882.49699999999996</v>
      </c>
      <c r="W326" s="186" t="str">
        <f ca="1">OFFSET('배치점수 계산기'!M$10,$D326,0)</f>
        <v>표점/만점</v>
      </c>
      <c r="X326" s="184" t="str">
        <f ca="1">OFFSET('배치점수 계산기'!N$10,$D326,0)</f>
        <v>변표/만점</v>
      </c>
      <c r="Y326" s="188">
        <f ca="1">OFFSET(환산공식!FW$15,$F326,0)</f>
        <v>0.3</v>
      </c>
      <c r="Z326" s="20">
        <f ca="1">OFFSET(환산공식!FX$15,$F326,0)</f>
        <v>0.41</v>
      </c>
      <c r="AA326" s="179">
        <f ca="1">OFFSET(환산공식!FY$15,$F326,0)</f>
        <v>0.28999999999999998</v>
      </c>
      <c r="AB326" s="3"/>
      <c r="AD326">
        <f t="shared" ca="1" si="10"/>
        <v>6</v>
      </c>
      <c r="AF326" s="3"/>
      <c r="AG326" s="3"/>
      <c r="AH326" s="3"/>
    </row>
    <row r="327" spans="1:34">
      <c r="A327" s="198"/>
      <c r="B327" s="198"/>
      <c r="C327" s="198" t="s">
        <v>888</v>
      </c>
      <c r="D327" s="195">
        <v>377</v>
      </c>
      <c r="E327" s="195">
        <v>63</v>
      </c>
      <c r="F327" s="195">
        <v>63</v>
      </c>
      <c r="G327" s="239">
        <v>320</v>
      </c>
      <c r="H327" s="197" t="s">
        <v>72</v>
      </c>
      <c r="I327" s="242" t="s">
        <v>254</v>
      </c>
      <c r="J327" s="242" t="s">
        <v>10113</v>
      </c>
      <c r="K327" s="195" t="s">
        <v>70</v>
      </c>
      <c r="L327" s="20" t="str">
        <f ca="1">IF(OFFSET(환산공식!$ED$15,$F327,0)=1,"O","X")</f>
        <v>X</v>
      </c>
      <c r="M327" s="188">
        <f ca="1">IFERROR(OFFSET(환산공식!DJ$15,$F327,0),"")</f>
        <v>150</v>
      </c>
      <c r="N327" s="20" t="str">
        <f ca="1">IFERROR(CONCATENATE(ROUND(OFFSET(환산공식!DK$15,$F327,0),1),"%"),"")</f>
        <v>100%</v>
      </c>
      <c r="O327" s="20">
        <f ca="1">IFERROR(OFFSET(환산공식!DL$15,$F327,0),"")</f>
        <v>3</v>
      </c>
      <c r="P327" s="188" t="str">
        <f t="shared" ca="1" si="9"/>
        <v>3% 이하</v>
      </c>
      <c r="Q327" s="194">
        <f ca="1">IFERROR(ROUND(OFFSET(환산공식!$FG$15,$F327,0),3),"")</f>
        <v>0</v>
      </c>
      <c r="R327" s="194">
        <f ca="1">OFFSET('배치점수 계산기'!H$10,$D327,0)</f>
        <v>903.28599999999994</v>
      </c>
      <c r="S327" s="194">
        <f ca="1">OFFSET('배치점수 계산기'!I$10,$D327,0)</f>
        <v>900.70600000000002</v>
      </c>
      <c r="T327" s="194">
        <f ca="1">OFFSET('배치점수 계산기'!J$10,$D327,0)</f>
        <v>897.57600000000002</v>
      </c>
      <c r="U327" s="194">
        <f ca="1">OFFSET('배치점수 계산기'!K$10,$D327,0)</f>
        <v>888.72799999999995</v>
      </c>
      <c r="V327" s="194">
        <f ca="1">OFFSET('배치점수 계산기'!L$10,$D327,0)</f>
        <v>881.75199999999995</v>
      </c>
      <c r="W327" s="186" t="str">
        <f ca="1">OFFSET('배치점수 계산기'!M$10,$D327,0)</f>
        <v>표점/만점</v>
      </c>
      <c r="X327" s="184" t="str">
        <f ca="1">OFFSET('배치점수 계산기'!N$10,$D327,0)</f>
        <v>변표/만점</v>
      </c>
      <c r="Y327" s="188">
        <f ca="1">OFFSET(환산공식!FW$15,$F327,0)</f>
        <v>0.3</v>
      </c>
      <c r="Z327" s="20">
        <f ca="1">OFFSET(환산공식!FX$15,$F327,0)</f>
        <v>0.41</v>
      </c>
      <c r="AA327" s="179">
        <f ca="1">OFFSET(환산공식!FY$15,$F327,0)</f>
        <v>0.28999999999999998</v>
      </c>
      <c r="AB327" s="3"/>
      <c r="AD327">
        <f t="shared" ca="1" si="10"/>
        <v>6</v>
      </c>
      <c r="AF327" s="3"/>
      <c r="AG327" s="3"/>
      <c r="AH327" s="3"/>
    </row>
    <row r="328" spans="1:34">
      <c r="A328" s="198"/>
      <c r="B328" s="198"/>
      <c r="C328" s="198" t="s">
        <v>889</v>
      </c>
      <c r="D328" s="195">
        <v>378</v>
      </c>
      <c r="E328" s="195">
        <v>63</v>
      </c>
      <c r="F328" s="195">
        <v>63</v>
      </c>
      <c r="G328" s="239">
        <v>321</v>
      </c>
      <c r="H328" s="197" t="s">
        <v>72</v>
      </c>
      <c r="I328" s="242" t="s">
        <v>254</v>
      </c>
      <c r="J328" s="242" t="s">
        <v>10210</v>
      </c>
      <c r="K328" s="195" t="s">
        <v>70</v>
      </c>
      <c r="L328" s="20" t="str">
        <f ca="1">IF(OFFSET(환산공식!$ED$15,$F328,0)=1,"O","X")</f>
        <v>X</v>
      </c>
      <c r="M328" s="188">
        <f ca="1">IFERROR(OFFSET(환산공식!DJ$15,$F328,0),"")</f>
        <v>150</v>
      </c>
      <c r="N328" s="20" t="str">
        <f ca="1">IFERROR(CONCATENATE(ROUND(OFFSET(환산공식!DK$15,$F328,0),1),"%"),"")</f>
        <v>100%</v>
      </c>
      <c r="O328" s="20">
        <f ca="1">IFERROR(OFFSET(환산공식!DL$15,$F328,0),"")</f>
        <v>3</v>
      </c>
      <c r="P328" s="188" t="str">
        <f t="shared" ca="1" si="9"/>
        <v>3% 이하</v>
      </c>
      <c r="Q328" s="194">
        <f ca="1">IFERROR(ROUND(OFFSET(환산공식!$FG$15,$F328,0),3),"")</f>
        <v>0</v>
      </c>
      <c r="R328" s="194">
        <f ca="1">OFFSET('배치점수 계산기'!H$10,$D328,0)</f>
        <v>900.34199999999998</v>
      </c>
      <c r="S328" s="194">
        <f ca="1">OFFSET('배치점수 계산기'!I$10,$D328,0)</f>
        <v>897.96199999999999</v>
      </c>
      <c r="T328" s="194">
        <f ca="1">OFFSET('배치점수 계산기'!J$10,$D328,0)</f>
        <v>894.40800000000002</v>
      </c>
      <c r="U328" s="194">
        <f ca="1">OFFSET('배치점수 계산기'!K$10,$D328,0)</f>
        <v>885.774</v>
      </c>
      <c r="V328" s="194">
        <f ca="1">OFFSET('배치점수 계산기'!L$10,$D328,0)</f>
        <v>878.99099999999999</v>
      </c>
      <c r="W328" s="186" t="str">
        <f ca="1">OFFSET('배치점수 계산기'!M$10,$D328,0)</f>
        <v>표점/만점</v>
      </c>
      <c r="X328" s="184" t="str">
        <f ca="1">OFFSET('배치점수 계산기'!N$10,$D328,0)</f>
        <v>변표/만점</v>
      </c>
      <c r="Y328" s="188">
        <f ca="1">OFFSET(환산공식!FW$15,$F328,0)</f>
        <v>0.3</v>
      </c>
      <c r="Z328" s="20">
        <f ca="1">OFFSET(환산공식!FX$15,$F328,0)</f>
        <v>0.41</v>
      </c>
      <c r="AA328" s="179">
        <f ca="1">OFFSET(환산공식!FY$15,$F328,0)</f>
        <v>0.28999999999999998</v>
      </c>
      <c r="AB328" s="3"/>
      <c r="AD328">
        <f t="shared" ca="1" si="10"/>
        <v>6</v>
      </c>
      <c r="AF328" s="3"/>
      <c r="AG328" s="3"/>
      <c r="AH328" s="3"/>
    </row>
    <row r="329" spans="1:34">
      <c r="A329" s="198"/>
      <c r="B329" s="198"/>
      <c r="C329" s="198" t="s">
        <v>890</v>
      </c>
      <c r="D329" s="195">
        <v>379</v>
      </c>
      <c r="E329" s="195">
        <v>63</v>
      </c>
      <c r="F329" s="195">
        <v>63</v>
      </c>
      <c r="G329" s="239">
        <v>322</v>
      </c>
      <c r="H329" s="197" t="s">
        <v>72</v>
      </c>
      <c r="I329" s="242" t="s">
        <v>254</v>
      </c>
      <c r="J329" s="242" t="s">
        <v>555</v>
      </c>
      <c r="K329" s="195" t="s">
        <v>70</v>
      </c>
      <c r="L329" s="20" t="str">
        <f ca="1">IF(OFFSET(환산공식!$ED$15,$F329,0)=1,"O","X")</f>
        <v>X</v>
      </c>
      <c r="M329" s="188">
        <f ca="1">IFERROR(OFFSET(환산공식!DJ$15,$F329,0),"")</f>
        <v>150</v>
      </c>
      <c r="N329" s="20" t="str">
        <f ca="1">IFERROR(CONCATENATE(ROUND(OFFSET(환산공식!DK$15,$F329,0),1),"%"),"")</f>
        <v>100%</v>
      </c>
      <c r="O329" s="20">
        <f ca="1">IFERROR(OFFSET(환산공식!DL$15,$F329,0),"")</f>
        <v>3</v>
      </c>
      <c r="P329" s="188" t="str">
        <f t="shared" ref="P329:P392" ca="1" si="11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3% 이하</v>
      </c>
      <c r="Q329" s="194">
        <f ca="1">IFERROR(ROUND(OFFSET(환산공식!$FG$15,$F329,0),3),"")</f>
        <v>0</v>
      </c>
      <c r="R329" s="194">
        <f ca="1">OFFSET('배치점수 계산기'!H$10,$D329,0)</f>
        <v>899.61300000000006</v>
      </c>
      <c r="S329" s="194">
        <f ca="1">OFFSET('배치점수 계산기'!I$10,$D329,0)</f>
        <v>897.57600000000002</v>
      </c>
      <c r="T329" s="194">
        <f ca="1">OFFSET('배치점수 계산기'!J$10,$D329,0)</f>
        <v>894.18700000000001</v>
      </c>
      <c r="U329" s="194">
        <f ca="1">OFFSET('배치점수 계산기'!K$10,$D329,0)</f>
        <v>885.38</v>
      </c>
      <c r="V329" s="194">
        <f ca="1">OFFSET('배치점수 계산기'!L$10,$D329,0)</f>
        <v>878.82100000000003</v>
      </c>
      <c r="W329" s="186" t="str">
        <f ca="1">OFFSET('배치점수 계산기'!M$10,$D329,0)</f>
        <v>표점/만점</v>
      </c>
      <c r="X329" s="184" t="str">
        <f ca="1">OFFSET('배치점수 계산기'!N$10,$D329,0)</f>
        <v>변표/만점</v>
      </c>
      <c r="Y329" s="188">
        <f ca="1">OFFSET(환산공식!FW$15,$F329,0)</f>
        <v>0.3</v>
      </c>
      <c r="Z329" s="20">
        <f ca="1">OFFSET(환산공식!FX$15,$F329,0)</f>
        <v>0.41</v>
      </c>
      <c r="AA329" s="179">
        <f ca="1">OFFSET(환산공식!FY$15,$F329,0)</f>
        <v>0.28999999999999998</v>
      </c>
      <c r="AB329" s="3"/>
      <c r="AD329">
        <f t="shared" ref="AD329:AD392" ca="1" si="12">IF(L329="X",6,IF(Q329&gt;R329,1,IF(Q329&gt;S329,2,IF(Q329&gt;T329,3,IF(Q329&gt;U329,4,IF(Q329&gt;=V329,5,IF(Q329&lt;V329,6,"")))))))</f>
        <v>6</v>
      </c>
      <c r="AF329" s="3"/>
      <c r="AG329" s="3"/>
      <c r="AH329" s="3"/>
    </row>
    <row r="330" spans="1:34">
      <c r="A330" s="198"/>
      <c r="B330" s="198"/>
      <c r="C330" s="198" t="s">
        <v>891</v>
      </c>
      <c r="D330" s="195">
        <v>380</v>
      </c>
      <c r="E330" s="195">
        <v>63</v>
      </c>
      <c r="F330" s="195">
        <v>63</v>
      </c>
      <c r="G330" s="239">
        <v>323</v>
      </c>
      <c r="H330" s="197" t="s">
        <v>72</v>
      </c>
      <c r="I330" s="242" t="s">
        <v>254</v>
      </c>
      <c r="J330" s="242" t="s">
        <v>10232</v>
      </c>
      <c r="K330" s="195" t="s">
        <v>70</v>
      </c>
      <c r="L330" s="20" t="str">
        <f ca="1">IF(OFFSET(환산공식!$ED$15,$F330,0)=1,"O","X")</f>
        <v>X</v>
      </c>
      <c r="M330" s="188">
        <f ca="1">IFERROR(OFFSET(환산공식!DJ$15,$F330,0),"")</f>
        <v>150</v>
      </c>
      <c r="N330" s="20" t="str">
        <f ca="1">IFERROR(CONCATENATE(ROUND(OFFSET(환산공식!DK$15,$F330,0),1),"%"),"")</f>
        <v>100%</v>
      </c>
      <c r="O330" s="20">
        <f ca="1">IFERROR(OFFSET(환산공식!DL$15,$F330,0),"")</f>
        <v>3</v>
      </c>
      <c r="P330" s="188" t="str">
        <f t="shared" ca="1" si="11"/>
        <v>3% 이하</v>
      </c>
      <c r="Q330" s="194">
        <f ca="1">IFERROR(ROUND(OFFSET(환산공식!$FG$15,$F330,0),3),"")</f>
        <v>0</v>
      </c>
      <c r="R330" s="194">
        <f ca="1">OFFSET('배치점수 계산기'!H$10,$D330,0)</f>
        <v>900.34199999999998</v>
      </c>
      <c r="S330" s="194">
        <f ca="1">OFFSET('배치점수 계산기'!I$10,$D330,0)</f>
        <v>897.74599999999998</v>
      </c>
      <c r="T330" s="194">
        <f ca="1">OFFSET('배치점수 계산기'!J$10,$D330,0)</f>
        <v>894.01700000000005</v>
      </c>
      <c r="U330" s="194">
        <f ca="1">OFFSET('배치점수 계산기'!K$10,$D330,0)</f>
        <v>885.11400000000003</v>
      </c>
      <c r="V330" s="194">
        <f ca="1">OFFSET('배치점수 계산기'!L$10,$D330,0)</f>
        <v>878.67899999999997</v>
      </c>
      <c r="W330" s="186" t="str">
        <f ca="1">OFFSET('배치점수 계산기'!M$10,$D330,0)</f>
        <v>표점/만점</v>
      </c>
      <c r="X330" s="184" t="str">
        <f ca="1">OFFSET('배치점수 계산기'!N$10,$D330,0)</f>
        <v>변표/만점</v>
      </c>
      <c r="Y330" s="188">
        <f ca="1">OFFSET(환산공식!FW$15,$F330,0)</f>
        <v>0.3</v>
      </c>
      <c r="Z330" s="20">
        <f ca="1">OFFSET(환산공식!FX$15,$F330,0)</f>
        <v>0.41</v>
      </c>
      <c r="AA330" s="179">
        <f ca="1">OFFSET(환산공식!FY$15,$F330,0)</f>
        <v>0.28999999999999998</v>
      </c>
      <c r="AB330" s="3"/>
      <c r="AD330">
        <f t="shared" ca="1" si="12"/>
        <v>6</v>
      </c>
      <c r="AF330" s="3"/>
      <c r="AG330" s="3"/>
      <c r="AH330" s="3"/>
    </row>
    <row r="331" spans="1:34">
      <c r="A331" s="198"/>
      <c r="B331" s="198"/>
      <c r="C331" s="198" t="s">
        <v>892</v>
      </c>
      <c r="D331" s="195">
        <v>381</v>
      </c>
      <c r="E331" s="195">
        <v>63</v>
      </c>
      <c r="F331" s="195">
        <v>63</v>
      </c>
      <c r="G331" s="239">
        <v>324</v>
      </c>
      <c r="H331" s="197" t="s">
        <v>72</v>
      </c>
      <c r="I331" s="242" t="s">
        <v>254</v>
      </c>
      <c r="J331" s="242" t="s">
        <v>10331</v>
      </c>
      <c r="K331" s="195" t="s">
        <v>70</v>
      </c>
      <c r="L331" s="20" t="str">
        <f ca="1">IF(OFFSET(환산공식!$ED$15,$F331,0)=1,"O","X")</f>
        <v>X</v>
      </c>
      <c r="M331" s="188">
        <f ca="1">IFERROR(OFFSET(환산공식!DJ$15,$F331,0),"")</f>
        <v>150</v>
      </c>
      <c r="N331" s="20" t="str">
        <f ca="1">IFERROR(CONCATENATE(ROUND(OFFSET(환산공식!DK$15,$F331,0),1),"%"),"")</f>
        <v>100%</v>
      </c>
      <c r="O331" s="20">
        <f ca="1">IFERROR(OFFSET(환산공식!DL$15,$F331,0),"")</f>
        <v>3</v>
      </c>
      <c r="P331" s="188" t="str">
        <f t="shared" ca="1" si="11"/>
        <v>3% 이하</v>
      </c>
      <c r="Q331" s="194">
        <f ca="1">IFERROR(ROUND(OFFSET(환산공식!$FG$15,$F331,0),3),"")</f>
        <v>0</v>
      </c>
      <c r="R331" s="194">
        <f ca="1">OFFSET('배치점수 계산기'!H$10,$D331,0)</f>
        <v>896.42499999999995</v>
      </c>
      <c r="S331" s="194">
        <f ca="1">OFFSET('배치점수 계산기'!I$10,$D331,0)</f>
        <v>894.81200000000001</v>
      </c>
      <c r="T331" s="194">
        <f ca="1">OFFSET('배치점수 계산기'!J$10,$D331,0)</f>
        <v>892.79</v>
      </c>
      <c r="U331" s="194">
        <f ca="1">OFFSET('배치점수 계산기'!K$10,$D331,0)</f>
        <v>884.52200000000005</v>
      </c>
      <c r="V331" s="194">
        <f ca="1">OFFSET('배치점수 계산기'!L$10,$D331,0)</f>
        <v>877.89200000000005</v>
      </c>
      <c r="W331" s="186" t="str">
        <f ca="1">OFFSET('배치점수 계산기'!M$10,$D331,0)</f>
        <v>표점/만점</v>
      </c>
      <c r="X331" s="184" t="str">
        <f ca="1">OFFSET('배치점수 계산기'!N$10,$D331,0)</f>
        <v>변표/만점</v>
      </c>
      <c r="Y331" s="188">
        <f ca="1">OFFSET(환산공식!FW$15,$F331,0)</f>
        <v>0.3</v>
      </c>
      <c r="Z331" s="20">
        <f ca="1">OFFSET(환산공식!FX$15,$F331,0)</f>
        <v>0.41</v>
      </c>
      <c r="AA331" s="179">
        <f ca="1">OFFSET(환산공식!FY$15,$F331,0)</f>
        <v>0.28999999999999998</v>
      </c>
      <c r="AB331" s="3"/>
      <c r="AD331">
        <f t="shared" ca="1" si="12"/>
        <v>6</v>
      </c>
      <c r="AF331" s="3"/>
      <c r="AG331" s="3"/>
      <c r="AH331" s="3"/>
    </row>
    <row r="332" spans="1:34">
      <c r="A332" s="198"/>
      <c r="B332" s="198"/>
      <c r="C332" s="198" t="s">
        <v>893</v>
      </c>
      <c r="D332" s="195">
        <v>382</v>
      </c>
      <c r="E332" s="195">
        <v>63</v>
      </c>
      <c r="F332" s="195">
        <v>63</v>
      </c>
      <c r="G332" s="239">
        <v>325</v>
      </c>
      <c r="H332" s="197" t="s">
        <v>72</v>
      </c>
      <c r="I332" s="242" t="s">
        <v>254</v>
      </c>
      <c r="J332" s="242" t="s">
        <v>10359</v>
      </c>
      <c r="K332" s="195" t="s">
        <v>70</v>
      </c>
      <c r="L332" s="20" t="str">
        <f ca="1">IF(OFFSET(환산공식!$ED$15,$F332,0)=1,"O","X")</f>
        <v>X</v>
      </c>
      <c r="M332" s="188">
        <f ca="1">IFERROR(OFFSET(환산공식!DJ$15,$F332,0),"")</f>
        <v>150</v>
      </c>
      <c r="N332" s="20" t="str">
        <f ca="1">IFERROR(CONCATENATE(ROUND(OFFSET(환산공식!DK$15,$F332,0),1),"%"),"")</f>
        <v>100%</v>
      </c>
      <c r="O332" s="20">
        <f ca="1">IFERROR(OFFSET(환산공식!DL$15,$F332,0),"")</f>
        <v>3</v>
      </c>
      <c r="P332" s="188" t="str">
        <f t="shared" ca="1" si="11"/>
        <v>3% 이하</v>
      </c>
      <c r="Q332" s="194">
        <f ca="1">IFERROR(ROUND(OFFSET(환산공식!$FG$15,$F332,0),3),"")</f>
        <v>0</v>
      </c>
      <c r="R332" s="194">
        <f ca="1">OFFSET('배치점수 계산기'!H$10,$D332,0)</f>
        <v>896.42499999999995</v>
      </c>
      <c r="S332" s="194">
        <f ca="1">OFFSET('배치점수 계산기'!I$10,$D332,0)</f>
        <v>894.81200000000001</v>
      </c>
      <c r="T332" s="194">
        <f ca="1">OFFSET('배치점수 계산기'!J$10,$D332,0)</f>
        <v>891.14200000000005</v>
      </c>
      <c r="U332" s="194">
        <f ca="1">OFFSET('배치점수 계산기'!K$10,$D332,0)</f>
        <v>883.15099999999995</v>
      </c>
      <c r="V332" s="194">
        <f ca="1">OFFSET('배치점수 계산기'!L$10,$D332,0)</f>
        <v>876.81600000000003</v>
      </c>
      <c r="W332" s="186" t="str">
        <f ca="1">OFFSET('배치점수 계산기'!M$10,$D332,0)</f>
        <v>표점/만점</v>
      </c>
      <c r="X332" s="184" t="str">
        <f ca="1">OFFSET('배치점수 계산기'!N$10,$D332,0)</f>
        <v>변표/만점</v>
      </c>
      <c r="Y332" s="188">
        <f ca="1">OFFSET(환산공식!FW$15,$F332,0)</f>
        <v>0.3</v>
      </c>
      <c r="Z332" s="20">
        <f ca="1">OFFSET(환산공식!FX$15,$F332,0)</f>
        <v>0.41</v>
      </c>
      <c r="AA332" s="179">
        <f ca="1">OFFSET(환산공식!FY$15,$F332,0)</f>
        <v>0.28999999999999998</v>
      </c>
      <c r="AB332" s="3"/>
      <c r="AD332">
        <f t="shared" ca="1" si="12"/>
        <v>6</v>
      </c>
      <c r="AF332" s="3"/>
      <c r="AG332" s="3"/>
      <c r="AH332" s="3"/>
    </row>
    <row r="333" spans="1:34">
      <c r="A333" s="198"/>
      <c r="B333" s="198"/>
      <c r="C333" s="198" t="s">
        <v>894</v>
      </c>
      <c r="D333" s="195">
        <v>383</v>
      </c>
      <c r="E333" s="195">
        <v>63</v>
      </c>
      <c r="F333" s="195">
        <v>63</v>
      </c>
      <c r="G333" s="239">
        <v>326</v>
      </c>
      <c r="H333" s="197" t="s">
        <v>72</v>
      </c>
      <c r="I333" s="242" t="s">
        <v>254</v>
      </c>
      <c r="J333" s="242" t="s">
        <v>8307</v>
      </c>
      <c r="K333" s="195" t="s">
        <v>70</v>
      </c>
      <c r="L333" s="20" t="str">
        <f ca="1">IF(OFFSET(환산공식!$ED$15,$F333,0)=1,"O","X")</f>
        <v>X</v>
      </c>
      <c r="M333" s="188">
        <f ca="1">IFERROR(OFFSET(환산공식!DJ$15,$F333,0),"")</f>
        <v>150</v>
      </c>
      <c r="N333" s="20" t="str">
        <f ca="1">IFERROR(CONCATENATE(ROUND(OFFSET(환산공식!DK$15,$F333,0),1),"%"),"")</f>
        <v>100%</v>
      </c>
      <c r="O333" s="20">
        <f ca="1">IFERROR(OFFSET(환산공식!DL$15,$F333,0),"")</f>
        <v>3</v>
      </c>
      <c r="P333" s="188" t="str">
        <f t="shared" ca="1" si="11"/>
        <v>3% 이하</v>
      </c>
      <c r="Q333" s="194">
        <f ca="1">IFERROR(ROUND(OFFSET(환산공식!$FG$15,$F333,0),3),"")</f>
        <v>0</v>
      </c>
      <c r="R333" s="194">
        <f ca="1">OFFSET('배치점수 계산기'!H$10,$D333,0)</f>
        <v>896.42499999999995</v>
      </c>
      <c r="S333" s="194">
        <f ca="1">OFFSET('배치점수 계산기'!I$10,$D333,0)</f>
        <v>894.81200000000001</v>
      </c>
      <c r="T333" s="194">
        <f ca="1">OFFSET('배치점수 계산기'!J$10,$D333,0)</f>
        <v>891.14200000000005</v>
      </c>
      <c r="U333" s="194">
        <f ca="1">OFFSET('배치점수 계산기'!K$10,$D333,0)</f>
        <v>883.15099999999995</v>
      </c>
      <c r="V333" s="194">
        <f ca="1">OFFSET('배치점수 계산기'!L$10,$D333,0)</f>
        <v>876.81600000000003</v>
      </c>
      <c r="W333" s="186" t="str">
        <f ca="1">OFFSET('배치점수 계산기'!M$10,$D333,0)</f>
        <v>표점/만점</v>
      </c>
      <c r="X333" s="184" t="str">
        <f ca="1">OFFSET('배치점수 계산기'!N$10,$D333,0)</f>
        <v>변표/만점</v>
      </c>
      <c r="Y333" s="188">
        <f ca="1">OFFSET(환산공식!FW$15,$F333,0)</f>
        <v>0.3</v>
      </c>
      <c r="Z333" s="20">
        <f ca="1">OFFSET(환산공식!FX$15,$F333,0)</f>
        <v>0.41</v>
      </c>
      <c r="AA333" s="179">
        <f ca="1">OFFSET(환산공식!FY$15,$F333,0)</f>
        <v>0.28999999999999998</v>
      </c>
      <c r="AB333" s="3"/>
      <c r="AD333">
        <f t="shared" ca="1" si="12"/>
        <v>6</v>
      </c>
      <c r="AF333" s="3"/>
      <c r="AG333" s="3"/>
      <c r="AH333" s="3"/>
    </row>
    <row r="334" spans="1:34">
      <c r="A334" s="198"/>
      <c r="B334" s="198"/>
      <c r="C334" s="198" t="s">
        <v>895</v>
      </c>
      <c r="D334" s="195">
        <v>384</v>
      </c>
      <c r="E334" s="195">
        <v>63</v>
      </c>
      <c r="F334" s="195">
        <v>63</v>
      </c>
      <c r="G334" s="239">
        <v>327</v>
      </c>
      <c r="H334" s="197" t="s">
        <v>72</v>
      </c>
      <c r="I334" s="242" t="s">
        <v>254</v>
      </c>
      <c r="J334" s="242" t="s">
        <v>7910</v>
      </c>
      <c r="K334" s="195" t="s">
        <v>70</v>
      </c>
      <c r="L334" s="20" t="str">
        <f ca="1">IF(OFFSET(환산공식!$ED$15,$F334,0)=1,"O","X")</f>
        <v>X</v>
      </c>
      <c r="M334" s="188">
        <f ca="1">IFERROR(OFFSET(환산공식!DJ$15,$F334,0),"")</f>
        <v>150</v>
      </c>
      <c r="N334" s="20" t="str">
        <f ca="1">IFERROR(CONCATENATE(ROUND(OFFSET(환산공식!DK$15,$F334,0),1),"%"),"")</f>
        <v>100%</v>
      </c>
      <c r="O334" s="20">
        <f ca="1">IFERROR(OFFSET(환산공식!DL$15,$F334,0),"")</f>
        <v>3</v>
      </c>
      <c r="P334" s="188" t="str">
        <f t="shared" ca="1" si="11"/>
        <v>3% 이하</v>
      </c>
      <c r="Q334" s="194">
        <f ca="1">IFERROR(ROUND(OFFSET(환산공식!$FG$15,$F334,0),3),"")</f>
        <v>0</v>
      </c>
      <c r="R334" s="194">
        <f ca="1">OFFSET('배치점수 계산기'!H$10,$D334,0)</f>
        <v>893.654</v>
      </c>
      <c r="S334" s="194">
        <f ca="1">OFFSET('배치점수 계산기'!I$10,$D334,0)</f>
        <v>891.56399999999996</v>
      </c>
      <c r="T334" s="194">
        <f ca="1">OFFSET('배치점수 계산기'!J$10,$D334,0)</f>
        <v>889.41</v>
      </c>
      <c r="U334" s="194">
        <f ca="1">OFFSET('배치점수 계산기'!K$10,$D334,0)</f>
        <v>882.18399999999997</v>
      </c>
      <c r="V334" s="194">
        <f ca="1">OFFSET('배치점수 계산기'!L$10,$D334,0)</f>
        <v>876.178</v>
      </c>
      <c r="W334" s="186" t="str">
        <f ca="1">OFFSET('배치점수 계산기'!M$10,$D334,0)</f>
        <v>표점/만점</v>
      </c>
      <c r="X334" s="184" t="str">
        <f ca="1">OFFSET('배치점수 계산기'!N$10,$D334,0)</f>
        <v>변표/만점</v>
      </c>
      <c r="Y334" s="188">
        <f ca="1">OFFSET(환산공식!FW$15,$F334,0)</f>
        <v>0.3</v>
      </c>
      <c r="Z334" s="20">
        <f ca="1">OFFSET(환산공식!FX$15,$F334,0)</f>
        <v>0.41</v>
      </c>
      <c r="AA334" s="179">
        <f ca="1">OFFSET(환산공식!FY$15,$F334,0)</f>
        <v>0.28999999999999998</v>
      </c>
      <c r="AB334" s="3"/>
      <c r="AD334">
        <f t="shared" ca="1" si="12"/>
        <v>6</v>
      </c>
      <c r="AF334" s="3"/>
      <c r="AG334" s="3"/>
      <c r="AH334" s="3"/>
    </row>
    <row r="335" spans="1:34">
      <c r="A335" s="198"/>
      <c r="B335" s="198"/>
      <c r="C335" s="198" t="s">
        <v>896</v>
      </c>
      <c r="D335" s="195">
        <v>385</v>
      </c>
      <c r="E335" s="195">
        <v>63</v>
      </c>
      <c r="F335" s="195">
        <v>63</v>
      </c>
      <c r="G335" s="239">
        <v>328</v>
      </c>
      <c r="H335" s="197" t="s">
        <v>72</v>
      </c>
      <c r="I335" s="242" t="s">
        <v>254</v>
      </c>
      <c r="J335" s="242" t="s">
        <v>10628</v>
      </c>
      <c r="K335" s="195" t="s">
        <v>70</v>
      </c>
      <c r="L335" s="20" t="str">
        <f ca="1">IF(OFFSET(환산공식!$ED$15,$F335,0)=1,"O","X")</f>
        <v>X</v>
      </c>
      <c r="M335" s="188">
        <f ca="1">IFERROR(OFFSET(환산공식!DJ$15,$F335,0),"")</f>
        <v>150</v>
      </c>
      <c r="N335" s="20" t="str">
        <f ca="1">IFERROR(CONCATENATE(ROUND(OFFSET(환산공식!DK$15,$F335,0),1),"%"),"")</f>
        <v>100%</v>
      </c>
      <c r="O335" s="20">
        <f ca="1">IFERROR(OFFSET(환산공식!DL$15,$F335,0),"")</f>
        <v>3</v>
      </c>
      <c r="P335" s="188" t="str">
        <f t="shared" ca="1" si="11"/>
        <v>3% 이하</v>
      </c>
      <c r="Q335" s="194">
        <f ca="1">IFERROR(ROUND(OFFSET(환산공식!$FG$15,$F335,0),3),"")</f>
        <v>0</v>
      </c>
      <c r="R335" s="194">
        <f ca="1">OFFSET('배치점수 계산기'!H$10,$D335,0)</f>
        <v>891.56399999999996</v>
      </c>
      <c r="S335" s="194">
        <f ca="1">OFFSET('배치점수 계산기'!I$10,$D335,0)</f>
        <v>888.72799999999995</v>
      </c>
      <c r="T335" s="194">
        <f ca="1">OFFSET('배치점수 계산기'!J$10,$D335,0)</f>
        <v>885.774</v>
      </c>
      <c r="U335" s="194">
        <f ca="1">OFFSET('배치점수 계산기'!K$10,$D335,0)</f>
        <v>878.99099999999999</v>
      </c>
      <c r="V335" s="194">
        <f ca="1">OFFSET('배치점수 계산기'!L$10,$D335,0)</f>
        <v>873.971</v>
      </c>
      <c r="W335" s="186" t="str">
        <f ca="1">OFFSET('배치점수 계산기'!M$10,$D335,0)</f>
        <v>표점/만점</v>
      </c>
      <c r="X335" s="184" t="str">
        <f ca="1">OFFSET('배치점수 계산기'!N$10,$D335,0)</f>
        <v>변표/만점</v>
      </c>
      <c r="Y335" s="188">
        <f ca="1">OFFSET(환산공식!FW$15,$F335,0)</f>
        <v>0.3</v>
      </c>
      <c r="Z335" s="20">
        <f ca="1">OFFSET(환산공식!FX$15,$F335,0)</f>
        <v>0.41</v>
      </c>
      <c r="AA335" s="179">
        <f ca="1">OFFSET(환산공식!FY$15,$F335,0)</f>
        <v>0.28999999999999998</v>
      </c>
      <c r="AB335" s="3"/>
      <c r="AD335">
        <f t="shared" ca="1" si="12"/>
        <v>6</v>
      </c>
      <c r="AF335" s="3"/>
      <c r="AG335" s="3"/>
      <c r="AH335" s="3"/>
    </row>
    <row r="336" spans="1:34">
      <c r="A336" s="198"/>
      <c r="B336" s="198"/>
      <c r="C336" s="198" t="s">
        <v>897</v>
      </c>
      <c r="D336" s="195">
        <v>386</v>
      </c>
      <c r="E336" s="195">
        <v>62</v>
      </c>
      <c r="F336" s="195">
        <v>62</v>
      </c>
      <c r="G336" s="239">
        <v>329</v>
      </c>
      <c r="H336" s="197" t="s">
        <v>72</v>
      </c>
      <c r="I336" s="242" t="s">
        <v>254</v>
      </c>
      <c r="J336" s="242" t="s">
        <v>9901</v>
      </c>
      <c r="K336" s="195" t="s">
        <v>71</v>
      </c>
      <c r="L336" s="20" t="str">
        <f ca="1">IF(OFFSET(환산공식!$ED$15,$F336,0)=1,"O","X")</f>
        <v>X</v>
      </c>
      <c r="M336" s="188">
        <f ca="1">IFERROR(OFFSET(환산공식!DJ$15,$F336,0),"")</f>
        <v>150</v>
      </c>
      <c r="N336" s="20" t="str">
        <f ca="1">IFERROR(CONCATENATE(ROUND(OFFSET(환산공식!DK$15,$F336,0),1),"%"),"")</f>
        <v>100%</v>
      </c>
      <c r="O336" s="20">
        <f ca="1">IFERROR(OFFSET(환산공식!DL$15,$F336,0),"")</f>
        <v>3</v>
      </c>
      <c r="P336" s="188" t="str">
        <f t="shared" ca="1" si="11"/>
        <v>3% 이하</v>
      </c>
      <c r="Q336" s="194">
        <f ca="1">IFERROR(ROUND(OFFSET(환산공식!$FG$15,$F336,0),3),"")</f>
        <v>0</v>
      </c>
      <c r="R336" s="194">
        <f ca="1">OFFSET('배치점수 계산기'!H$10,$D336,0)</f>
        <v>910.01400000000001</v>
      </c>
      <c r="S336" s="194">
        <f ca="1">OFFSET('배치점수 계산기'!I$10,$D336,0)</f>
        <v>907.82899999999995</v>
      </c>
      <c r="T336" s="194">
        <f ca="1">OFFSET('배치점수 계산기'!J$10,$D336,0)</f>
        <v>905.26599999999996</v>
      </c>
      <c r="U336" s="194">
        <f ca="1">OFFSET('배치점수 계산기'!K$10,$D336,0)</f>
        <v>899.64800000000002</v>
      </c>
      <c r="V336" s="194">
        <f ca="1">OFFSET('배치점수 계산기'!L$10,$D336,0)</f>
        <v>891.25900000000001</v>
      </c>
      <c r="W336" s="186" t="str">
        <f ca="1">OFFSET('배치점수 계산기'!M$10,$D336,0)</f>
        <v>표점/만점</v>
      </c>
      <c r="X336" s="184" t="str">
        <f ca="1">OFFSET('배치점수 계산기'!N$10,$D336,0)</f>
        <v>변표/만점</v>
      </c>
      <c r="Y336" s="188">
        <f ca="1">OFFSET(환산공식!FW$15,$F336,0)</f>
        <v>0.41</v>
      </c>
      <c r="Z336" s="20">
        <f ca="1">OFFSET(환산공식!FX$15,$F336,0)</f>
        <v>0.28999999999999998</v>
      </c>
      <c r="AA336" s="179">
        <f ca="1">OFFSET(환산공식!FY$15,$F336,0)</f>
        <v>0.28999999999999998</v>
      </c>
      <c r="AB336" s="3"/>
      <c r="AD336">
        <f t="shared" ca="1" si="12"/>
        <v>6</v>
      </c>
      <c r="AF336" s="3"/>
      <c r="AG336" s="3"/>
      <c r="AH336" s="3"/>
    </row>
    <row r="337" spans="1:34">
      <c r="A337" s="198"/>
      <c r="B337" s="198"/>
      <c r="C337" s="198" t="s">
        <v>898</v>
      </c>
      <c r="D337" s="195">
        <v>387</v>
      </c>
      <c r="E337" s="195">
        <v>62</v>
      </c>
      <c r="F337" s="195">
        <v>62</v>
      </c>
      <c r="G337" s="239">
        <v>330</v>
      </c>
      <c r="H337" s="197" t="s">
        <v>72</v>
      </c>
      <c r="I337" s="242" t="s">
        <v>254</v>
      </c>
      <c r="J337" s="242" t="s">
        <v>10175</v>
      </c>
      <c r="K337" s="195" t="s">
        <v>71</v>
      </c>
      <c r="L337" s="20" t="str">
        <f ca="1">IF(OFFSET(환산공식!$ED$15,$F337,0)=1,"O","X")</f>
        <v>X</v>
      </c>
      <c r="M337" s="188">
        <f ca="1">IFERROR(OFFSET(환산공식!DJ$15,$F337,0),"")</f>
        <v>150</v>
      </c>
      <c r="N337" s="20" t="str">
        <f ca="1">IFERROR(CONCATENATE(ROUND(OFFSET(환산공식!DK$15,$F337,0),1),"%"),"")</f>
        <v>100%</v>
      </c>
      <c r="O337" s="20">
        <f ca="1">IFERROR(OFFSET(환산공식!DL$15,$F337,0),"")</f>
        <v>3</v>
      </c>
      <c r="P337" s="188" t="str">
        <f t="shared" ca="1" si="11"/>
        <v>3% 이하</v>
      </c>
      <c r="Q337" s="194">
        <f ca="1">IFERROR(ROUND(OFFSET(환산공식!$FG$15,$F337,0),3),"")</f>
        <v>0</v>
      </c>
      <c r="R337" s="194">
        <f ca="1">OFFSET('배치점수 계산기'!H$10,$D337,0)</f>
        <v>903.56399999999996</v>
      </c>
      <c r="S337" s="194">
        <f ca="1">OFFSET('배치점수 계산기'!I$10,$D337,0)</f>
        <v>901.86199999999997</v>
      </c>
      <c r="T337" s="194">
        <f ca="1">OFFSET('배치점수 계산기'!J$10,$D337,0)</f>
        <v>898.21699999999998</v>
      </c>
      <c r="U337" s="194">
        <f ca="1">OFFSET('배치점수 계산기'!K$10,$D337,0)</f>
        <v>892.51400000000001</v>
      </c>
      <c r="V337" s="194">
        <f ca="1">OFFSET('배치점수 계산기'!L$10,$D337,0)</f>
        <v>885.21299999999997</v>
      </c>
      <c r="W337" s="186" t="str">
        <f ca="1">OFFSET('배치점수 계산기'!M$10,$D337,0)</f>
        <v>표점/만점</v>
      </c>
      <c r="X337" s="184" t="str">
        <f ca="1">OFFSET('배치점수 계산기'!N$10,$D337,0)</f>
        <v>변표/만점</v>
      </c>
      <c r="Y337" s="188">
        <f ca="1">OFFSET(환산공식!FW$15,$F337,0)</f>
        <v>0.41</v>
      </c>
      <c r="Z337" s="20">
        <f ca="1">OFFSET(환산공식!FX$15,$F337,0)</f>
        <v>0.28999999999999998</v>
      </c>
      <c r="AA337" s="179">
        <f ca="1">OFFSET(환산공식!FY$15,$F337,0)</f>
        <v>0.28999999999999998</v>
      </c>
      <c r="AB337" s="3"/>
      <c r="AD337">
        <f t="shared" ca="1" si="12"/>
        <v>6</v>
      </c>
      <c r="AF337" s="3"/>
      <c r="AG337" s="3"/>
      <c r="AH337" s="3"/>
    </row>
    <row r="338" spans="1:34">
      <c r="A338" s="198"/>
      <c r="B338" s="198"/>
      <c r="C338" s="198" t="s">
        <v>899</v>
      </c>
      <c r="D338" s="195">
        <v>388</v>
      </c>
      <c r="E338" s="195">
        <v>62</v>
      </c>
      <c r="F338" s="195">
        <v>62</v>
      </c>
      <c r="G338" s="239">
        <v>331</v>
      </c>
      <c r="H338" s="197" t="s">
        <v>72</v>
      </c>
      <c r="I338" s="242" t="s">
        <v>254</v>
      </c>
      <c r="J338" s="242" t="s">
        <v>8197</v>
      </c>
      <c r="K338" s="195" t="s">
        <v>71</v>
      </c>
      <c r="L338" s="20" t="str">
        <f ca="1">IF(OFFSET(환산공식!$ED$15,$F338,0)=1,"O","X")</f>
        <v>X</v>
      </c>
      <c r="M338" s="188">
        <f ca="1">IFERROR(OFFSET(환산공식!DJ$15,$F338,0),"")</f>
        <v>150</v>
      </c>
      <c r="N338" s="20" t="str">
        <f ca="1">IFERROR(CONCATENATE(ROUND(OFFSET(환산공식!DK$15,$F338,0),1),"%"),"")</f>
        <v>100%</v>
      </c>
      <c r="O338" s="20">
        <f ca="1">IFERROR(OFFSET(환산공식!DL$15,$F338,0),"")</f>
        <v>3</v>
      </c>
      <c r="P338" s="188" t="str">
        <f t="shared" ca="1" si="11"/>
        <v>3% 이하</v>
      </c>
      <c r="Q338" s="194">
        <f ca="1">IFERROR(ROUND(OFFSET(환산공식!$FG$15,$F338,0),3),"")</f>
        <v>0</v>
      </c>
      <c r="R338" s="194">
        <f ca="1">OFFSET('배치점수 계산기'!H$10,$D338,0)</f>
        <v>902.38199999999995</v>
      </c>
      <c r="S338" s="194">
        <f ca="1">OFFSET('배치점수 계산기'!I$10,$D338,0)</f>
        <v>899.88599999999997</v>
      </c>
      <c r="T338" s="194">
        <f ca="1">OFFSET('배치점수 계산기'!J$10,$D338,0)</f>
        <v>897.03499999999997</v>
      </c>
      <c r="U338" s="194">
        <f ca="1">OFFSET('배치점수 계산기'!K$10,$D338,0)</f>
        <v>891.67700000000002</v>
      </c>
      <c r="V338" s="194">
        <f ca="1">OFFSET('배치점수 계산기'!L$10,$D338,0)</f>
        <v>885.21299999999997</v>
      </c>
      <c r="W338" s="186" t="str">
        <f ca="1">OFFSET('배치점수 계산기'!M$10,$D338,0)</f>
        <v>표점/만점</v>
      </c>
      <c r="X338" s="184" t="str">
        <f ca="1">OFFSET('배치점수 계산기'!N$10,$D338,0)</f>
        <v>변표/만점</v>
      </c>
      <c r="Y338" s="188">
        <f ca="1">OFFSET(환산공식!FW$15,$F338,0)</f>
        <v>0.41</v>
      </c>
      <c r="Z338" s="20">
        <f ca="1">OFFSET(환산공식!FX$15,$F338,0)</f>
        <v>0.28999999999999998</v>
      </c>
      <c r="AA338" s="179">
        <f ca="1">OFFSET(환산공식!FY$15,$F338,0)</f>
        <v>0.28999999999999998</v>
      </c>
      <c r="AB338" s="3"/>
      <c r="AD338">
        <f t="shared" ca="1" si="12"/>
        <v>6</v>
      </c>
      <c r="AF338" s="3"/>
      <c r="AG338" s="3"/>
      <c r="AH338" s="3"/>
    </row>
    <row r="339" spans="1:34">
      <c r="A339" s="198"/>
      <c r="B339" s="198"/>
      <c r="C339" s="198" t="s">
        <v>900</v>
      </c>
      <c r="D339" s="195">
        <v>389</v>
      </c>
      <c r="E339" s="195">
        <v>62</v>
      </c>
      <c r="F339" s="195">
        <v>62</v>
      </c>
      <c r="G339" s="239">
        <v>332</v>
      </c>
      <c r="H339" s="197" t="s">
        <v>72</v>
      </c>
      <c r="I339" s="242" t="s">
        <v>254</v>
      </c>
      <c r="J339" s="242" t="s">
        <v>8726</v>
      </c>
      <c r="K339" s="195" t="s">
        <v>71</v>
      </c>
      <c r="L339" s="20" t="str">
        <f ca="1">IF(OFFSET(환산공식!$ED$15,$F339,0)=1,"O","X")</f>
        <v>X</v>
      </c>
      <c r="M339" s="188">
        <f ca="1">IFERROR(OFFSET(환산공식!DJ$15,$F339,0),"")</f>
        <v>150</v>
      </c>
      <c r="N339" s="20" t="str">
        <f ca="1">IFERROR(CONCATENATE(ROUND(OFFSET(환산공식!DK$15,$F339,0),1),"%"),"")</f>
        <v>100%</v>
      </c>
      <c r="O339" s="20">
        <f ca="1">IFERROR(OFFSET(환산공식!DL$15,$F339,0),"")</f>
        <v>3</v>
      </c>
      <c r="P339" s="188" t="str">
        <f t="shared" ca="1" si="11"/>
        <v>3% 이하</v>
      </c>
      <c r="Q339" s="194">
        <f ca="1">IFERROR(ROUND(OFFSET(환산공식!$FG$15,$F339,0),3),"")</f>
        <v>0</v>
      </c>
      <c r="R339" s="194">
        <f ca="1">OFFSET('배치점수 계산기'!H$10,$D339,0)</f>
        <v>902.24099999999999</v>
      </c>
      <c r="S339" s="194">
        <f ca="1">OFFSET('배치점수 계산기'!I$10,$D339,0)</f>
        <v>899.64800000000002</v>
      </c>
      <c r="T339" s="194">
        <f ca="1">OFFSET('배치점수 계산기'!J$10,$D339,0)</f>
        <v>896.89400000000001</v>
      </c>
      <c r="U339" s="194">
        <f ca="1">OFFSET('배치점수 계산기'!K$10,$D339,0)</f>
        <v>891.07899999999995</v>
      </c>
      <c r="V339" s="194">
        <f ca="1">OFFSET('배치점수 계산기'!L$10,$D339,0)</f>
        <v>884.17399999999998</v>
      </c>
      <c r="W339" s="186" t="str">
        <f ca="1">OFFSET('배치점수 계산기'!M$10,$D339,0)</f>
        <v>표점/만점</v>
      </c>
      <c r="X339" s="184" t="str">
        <f ca="1">OFFSET('배치점수 계산기'!N$10,$D339,0)</f>
        <v>변표/만점</v>
      </c>
      <c r="Y339" s="188">
        <f ca="1">OFFSET(환산공식!FW$15,$F339,0)</f>
        <v>0.41</v>
      </c>
      <c r="Z339" s="20">
        <f ca="1">OFFSET(환산공식!FX$15,$F339,0)</f>
        <v>0.28999999999999998</v>
      </c>
      <c r="AA339" s="179">
        <f ca="1">OFFSET(환산공식!FY$15,$F339,0)</f>
        <v>0.28999999999999998</v>
      </c>
      <c r="AB339" s="3"/>
      <c r="AD339">
        <f t="shared" ca="1" si="12"/>
        <v>6</v>
      </c>
      <c r="AF339" s="3"/>
      <c r="AG339" s="3"/>
      <c r="AH339" s="3"/>
    </row>
    <row r="340" spans="1:34">
      <c r="A340" s="198"/>
      <c r="B340" s="198"/>
      <c r="C340" s="198" t="s">
        <v>901</v>
      </c>
      <c r="D340" s="195">
        <v>390</v>
      </c>
      <c r="E340" s="195">
        <v>62</v>
      </c>
      <c r="F340" s="195">
        <v>62</v>
      </c>
      <c r="G340" s="239">
        <v>333</v>
      </c>
      <c r="H340" s="197" t="s">
        <v>72</v>
      </c>
      <c r="I340" s="242" t="s">
        <v>254</v>
      </c>
      <c r="J340" s="242" t="s">
        <v>8534</v>
      </c>
      <c r="K340" s="195" t="s">
        <v>71</v>
      </c>
      <c r="L340" s="20" t="str">
        <f ca="1">IF(OFFSET(환산공식!$ED$15,$F340,0)=1,"O","X")</f>
        <v>X</v>
      </c>
      <c r="M340" s="188">
        <f ca="1">IFERROR(OFFSET(환산공식!DJ$15,$F340,0),"")</f>
        <v>150</v>
      </c>
      <c r="N340" s="20" t="str">
        <f ca="1">IFERROR(CONCATENATE(ROUND(OFFSET(환산공식!DK$15,$F340,0),1),"%"),"")</f>
        <v>100%</v>
      </c>
      <c r="O340" s="20">
        <f ca="1">IFERROR(OFFSET(환산공식!DL$15,$F340,0),"")</f>
        <v>3</v>
      </c>
      <c r="P340" s="188" t="str">
        <f t="shared" ca="1" si="11"/>
        <v>3% 이하</v>
      </c>
      <c r="Q340" s="194">
        <f ca="1">IFERROR(ROUND(OFFSET(환산공식!$FG$15,$F340,0),3),"")</f>
        <v>0</v>
      </c>
      <c r="R340" s="194">
        <f ca="1">OFFSET('배치점수 계산기'!H$10,$D340,0)</f>
        <v>901.86199999999997</v>
      </c>
      <c r="S340" s="194">
        <f ca="1">OFFSET('배치점수 계산기'!I$10,$D340,0)</f>
        <v>899.46799999999996</v>
      </c>
      <c r="T340" s="194">
        <f ca="1">OFFSET('배치점수 계산기'!J$10,$D340,0)</f>
        <v>896.11800000000005</v>
      </c>
      <c r="U340" s="194">
        <f ca="1">OFFSET('배치점수 계산기'!K$10,$D340,0)</f>
        <v>890.31500000000005</v>
      </c>
      <c r="V340" s="194">
        <f ca="1">OFFSET('배치점수 계산기'!L$10,$D340,0)</f>
        <v>883.89700000000005</v>
      </c>
      <c r="W340" s="186" t="str">
        <f ca="1">OFFSET('배치점수 계산기'!M$10,$D340,0)</f>
        <v>표점/만점</v>
      </c>
      <c r="X340" s="184" t="str">
        <f ca="1">OFFSET('배치점수 계산기'!N$10,$D340,0)</f>
        <v>변표/만점</v>
      </c>
      <c r="Y340" s="188">
        <f ca="1">OFFSET(환산공식!FW$15,$F340,0)</f>
        <v>0.41</v>
      </c>
      <c r="Z340" s="20">
        <f ca="1">OFFSET(환산공식!FX$15,$F340,0)</f>
        <v>0.28999999999999998</v>
      </c>
      <c r="AA340" s="179">
        <f ca="1">OFFSET(환산공식!FY$15,$F340,0)</f>
        <v>0.28999999999999998</v>
      </c>
      <c r="AB340" s="3"/>
      <c r="AD340">
        <f t="shared" ca="1" si="12"/>
        <v>6</v>
      </c>
      <c r="AF340" s="3"/>
      <c r="AG340" s="3"/>
      <c r="AH340" s="3"/>
    </row>
    <row r="341" spans="1:34">
      <c r="A341" s="198"/>
      <c r="B341" s="198"/>
      <c r="C341" s="198" t="s">
        <v>902</v>
      </c>
      <c r="D341" s="195">
        <v>391</v>
      </c>
      <c r="E341" s="195">
        <v>62</v>
      </c>
      <c r="F341" s="195">
        <v>62</v>
      </c>
      <c r="G341" s="239">
        <v>334</v>
      </c>
      <c r="H341" s="197" t="s">
        <v>72</v>
      </c>
      <c r="I341" s="242" t="s">
        <v>254</v>
      </c>
      <c r="J341" s="242" t="s">
        <v>10261</v>
      </c>
      <c r="K341" s="195" t="s">
        <v>71</v>
      </c>
      <c r="L341" s="20" t="str">
        <f ca="1">IF(OFFSET(환산공식!$ED$15,$F341,0)=1,"O","X")</f>
        <v>X</v>
      </c>
      <c r="M341" s="188">
        <f ca="1">IFERROR(OFFSET(환산공식!DJ$15,$F341,0),"")</f>
        <v>150</v>
      </c>
      <c r="N341" s="20" t="str">
        <f ca="1">IFERROR(CONCATENATE(ROUND(OFFSET(환산공식!DK$15,$F341,0),1),"%"),"")</f>
        <v>100%</v>
      </c>
      <c r="O341" s="20">
        <f ca="1">IFERROR(OFFSET(환산공식!DL$15,$F341,0),"")</f>
        <v>3</v>
      </c>
      <c r="P341" s="188" t="str">
        <f t="shared" ca="1" si="11"/>
        <v>3% 이하</v>
      </c>
      <c r="Q341" s="194">
        <f ca="1">IFERROR(ROUND(OFFSET(환산공식!$FG$15,$F341,0),3),"")</f>
        <v>0</v>
      </c>
      <c r="R341" s="194">
        <f ca="1">OFFSET('배치점수 계산기'!H$10,$D341,0)</f>
        <v>901.86199999999997</v>
      </c>
      <c r="S341" s="194">
        <f ca="1">OFFSET('배치점수 계산기'!I$10,$D341,0)</f>
        <v>899.46799999999996</v>
      </c>
      <c r="T341" s="194">
        <f ca="1">OFFSET('배치점수 계산기'!J$10,$D341,0)</f>
        <v>895.93799999999999</v>
      </c>
      <c r="U341" s="194">
        <f ca="1">OFFSET('배치점수 계산기'!K$10,$D341,0)</f>
        <v>890.077</v>
      </c>
      <c r="V341" s="194">
        <f ca="1">OFFSET('배치점수 계산기'!L$10,$D341,0)</f>
        <v>883.65899999999999</v>
      </c>
      <c r="W341" s="186" t="str">
        <f ca="1">OFFSET('배치점수 계산기'!M$10,$D341,0)</f>
        <v>표점/만점</v>
      </c>
      <c r="X341" s="184" t="str">
        <f ca="1">OFFSET('배치점수 계산기'!N$10,$D341,0)</f>
        <v>변표/만점</v>
      </c>
      <c r="Y341" s="188">
        <f ca="1">OFFSET(환산공식!FW$15,$F341,0)</f>
        <v>0.41</v>
      </c>
      <c r="Z341" s="20">
        <f ca="1">OFFSET(환산공식!FX$15,$F341,0)</f>
        <v>0.28999999999999998</v>
      </c>
      <c r="AA341" s="179">
        <f ca="1">OFFSET(환산공식!FY$15,$F341,0)</f>
        <v>0.28999999999999998</v>
      </c>
      <c r="AB341" s="3"/>
      <c r="AD341">
        <f t="shared" ca="1" si="12"/>
        <v>6</v>
      </c>
      <c r="AF341" s="3"/>
      <c r="AG341" s="3"/>
      <c r="AH341" s="3"/>
    </row>
    <row r="342" spans="1:34">
      <c r="A342" s="198"/>
      <c r="B342" s="198"/>
      <c r="C342" s="198" t="s">
        <v>903</v>
      </c>
      <c r="D342" s="195">
        <v>392</v>
      </c>
      <c r="E342" s="195">
        <v>62</v>
      </c>
      <c r="F342" s="195">
        <v>62</v>
      </c>
      <c r="G342" s="239">
        <v>335</v>
      </c>
      <c r="H342" s="197" t="s">
        <v>72</v>
      </c>
      <c r="I342" s="242" t="s">
        <v>254</v>
      </c>
      <c r="J342" s="242" t="s">
        <v>8787</v>
      </c>
      <c r="K342" s="195" t="s">
        <v>71</v>
      </c>
      <c r="L342" s="20" t="str">
        <f ca="1">IF(OFFSET(환산공식!$ED$15,$F342,0)=1,"O","X")</f>
        <v>X</v>
      </c>
      <c r="M342" s="188">
        <f ca="1">IFERROR(OFFSET(환산공식!DJ$15,$F342,0),"")</f>
        <v>150</v>
      </c>
      <c r="N342" s="20" t="str">
        <f ca="1">IFERROR(CONCATENATE(ROUND(OFFSET(환산공식!DK$15,$F342,0),1),"%"),"")</f>
        <v>100%</v>
      </c>
      <c r="O342" s="20">
        <f ca="1">IFERROR(OFFSET(환산공식!DL$15,$F342,0),"")</f>
        <v>3</v>
      </c>
      <c r="P342" s="188" t="str">
        <f t="shared" ca="1" si="11"/>
        <v>3% 이하</v>
      </c>
      <c r="Q342" s="194">
        <f ca="1">IFERROR(ROUND(OFFSET(환산공식!$FG$15,$F342,0),3),"")</f>
        <v>0</v>
      </c>
      <c r="R342" s="194">
        <f ca="1">OFFSET('배치점수 계산기'!H$10,$D342,0)</f>
        <v>900.56500000000005</v>
      </c>
      <c r="S342" s="194">
        <f ca="1">OFFSET('배치점수 계산기'!I$10,$D342,0)</f>
        <v>898.45500000000004</v>
      </c>
      <c r="T342" s="194">
        <f ca="1">OFFSET('배치점수 계산기'!J$10,$D342,0)</f>
        <v>895.03399999999999</v>
      </c>
      <c r="U342" s="194">
        <f ca="1">OFFSET('배치점수 계산기'!K$10,$D342,0)</f>
        <v>889.16</v>
      </c>
      <c r="V342" s="194">
        <f ca="1">OFFSET('배치점수 계산기'!L$10,$D342,0)</f>
        <v>882.87300000000005</v>
      </c>
      <c r="W342" s="186" t="str">
        <f ca="1">OFFSET('배치점수 계산기'!M$10,$D342,0)</f>
        <v>표점/만점</v>
      </c>
      <c r="X342" s="184" t="str">
        <f ca="1">OFFSET('배치점수 계산기'!N$10,$D342,0)</f>
        <v>변표/만점</v>
      </c>
      <c r="Y342" s="188">
        <f ca="1">OFFSET(환산공식!FW$15,$F342,0)</f>
        <v>0.41</v>
      </c>
      <c r="Z342" s="20">
        <f ca="1">OFFSET(환산공식!FX$15,$F342,0)</f>
        <v>0.28999999999999998</v>
      </c>
      <c r="AA342" s="179">
        <f ca="1">OFFSET(환산공식!FY$15,$F342,0)</f>
        <v>0.28999999999999998</v>
      </c>
      <c r="AB342" s="3"/>
      <c r="AD342">
        <f t="shared" ca="1" si="12"/>
        <v>6</v>
      </c>
      <c r="AF342" s="3"/>
      <c r="AG342" s="3"/>
      <c r="AH342" s="3"/>
    </row>
    <row r="343" spans="1:34">
      <c r="A343" s="198"/>
      <c r="B343" s="198"/>
      <c r="C343" s="198" t="s">
        <v>904</v>
      </c>
      <c r="D343" s="195">
        <v>393</v>
      </c>
      <c r="E343" s="195">
        <v>62</v>
      </c>
      <c r="F343" s="195">
        <v>62</v>
      </c>
      <c r="G343" s="239">
        <v>336</v>
      </c>
      <c r="H343" s="197" t="s">
        <v>72</v>
      </c>
      <c r="I343" s="242" t="s">
        <v>254</v>
      </c>
      <c r="J343" s="242" t="s">
        <v>9921</v>
      </c>
      <c r="K343" s="195" t="s">
        <v>71</v>
      </c>
      <c r="L343" s="20" t="str">
        <f ca="1">IF(OFFSET(환산공식!$ED$15,$F343,0)=1,"O","X")</f>
        <v>X</v>
      </c>
      <c r="M343" s="188">
        <f ca="1">IFERROR(OFFSET(환산공식!DJ$15,$F343,0),"")</f>
        <v>150</v>
      </c>
      <c r="N343" s="20" t="str">
        <f ca="1">IFERROR(CONCATENATE(ROUND(OFFSET(환산공식!DK$15,$F343,0),1),"%"),"")</f>
        <v>100%</v>
      </c>
      <c r="O343" s="20">
        <f ca="1">IFERROR(OFFSET(환산공식!DL$15,$F343,0),"")</f>
        <v>3</v>
      </c>
      <c r="P343" s="188" t="str">
        <f t="shared" ca="1" si="11"/>
        <v>3% 이하</v>
      </c>
      <c r="Q343" s="194">
        <f ca="1">IFERROR(ROUND(OFFSET(환산공식!$FG$15,$F343,0),3),"")</f>
        <v>0</v>
      </c>
      <c r="R343" s="194">
        <f ca="1">OFFSET('배치점수 계산기'!H$10,$D343,0)</f>
        <v>900.80200000000002</v>
      </c>
      <c r="S343" s="194">
        <f ca="1">OFFSET('배치점수 계산기'!I$10,$D343,0)</f>
        <v>898.45500000000004</v>
      </c>
      <c r="T343" s="194">
        <f ca="1">OFFSET('배치점수 계산기'!J$10,$D343,0)</f>
        <v>894.41700000000003</v>
      </c>
      <c r="U343" s="194">
        <f ca="1">OFFSET('배치점수 계산기'!K$10,$D343,0)</f>
        <v>888.83900000000006</v>
      </c>
      <c r="V343" s="194">
        <f ca="1">OFFSET('배치점수 계산기'!L$10,$D343,0)</f>
        <v>881.774</v>
      </c>
      <c r="W343" s="186" t="str">
        <f ca="1">OFFSET('배치점수 계산기'!M$10,$D343,0)</f>
        <v>표점/만점</v>
      </c>
      <c r="X343" s="184" t="str">
        <f ca="1">OFFSET('배치점수 계산기'!N$10,$D343,0)</f>
        <v>변표/만점</v>
      </c>
      <c r="Y343" s="188">
        <f ca="1">OFFSET(환산공식!FW$15,$F343,0)</f>
        <v>0.41</v>
      </c>
      <c r="Z343" s="20">
        <f ca="1">OFFSET(환산공식!FX$15,$F343,0)</f>
        <v>0.28999999999999998</v>
      </c>
      <c r="AA343" s="179">
        <f ca="1">OFFSET(환산공식!FY$15,$F343,0)</f>
        <v>0.28999999999999998</v>
      </c>
      <c r="AB343" s="3"/>
      <c r="AD343">
        <f t="shared" ca="1" si="12"/>
        <v>6</v>
      </c>
      <c r="AF343" s="3"/>
      <c r="AG343" s="3"/>
      <c r="AH343" s="3"/>
    </row>
    <row r="344" spans="1:34">
      <c r="A344" s="198"/>
      <c r="B344" s="198"/>
      <c r="C344" s="198" t="s">
        <v>905</v>
      </c>
      <c r="D344" s="195">
        <v>394</v>
      </c>
      <c r="E344" s="195">
        <v>62</v>
      </c>
      <c r="F344" s="195">
        <v>62</v>
      </c>
      <c r="G344" s="239">
        <v>337</v>
      </c>
      <c r="H344" s="197" t="s">
        <v>72</v>
      </c>
      <c r="I344" s="242" t="s">
        <v>254</v>
      </c>
      <c r="J344" s="242" t="s">
        <v>10365</v>
      </c>
      <c r="K344" s="195" t="s">
        <v>71</v>
      </c>
      <c r="L344" s="20" t="str">
        <f ca="1">IF(OFFSET(환산공식!$ED$15,$F344,0)=1,"O","X")</f>
        <v>X</v>
      </c>
      <c r="M344" s="188">
        <f ca="1">IFERROR(OFFSET(환산공식!DJ$15,$F344,0),"")</f>
        <v>150</v>
      </c>
      <c r="N344" s="20" t="str">
        <f ca="1">IFERROR(CONCATENATE(ROUND(OFFSET(환산공식!DK$15,$F344,0),1),"%"),"")</f>
        <v>100%</v>
      </c>
      <c r="O344" s="20">
        <f ca="1">IFERROR(OFFSET(환산공식!DL$15,$F344,0),"")</f>
        <v>3</v>
      </c>
      <c r="P344" s="188" t="str">
        <f t="shared" ca="1" si="11"/>
        <v>3% 이하</v>
      </c>
      <c r="Q344" s="194">
        <f ca="1">IFERROR(ROUND(OFFSET(환산공식!$FG$15,$F344,0),3),"")</f>
        <v>0</v>
      </c>
      <c r="R344" s="194">
        <f ca="1">OFFSET('배치점수 계산기'!H$10,$D344,0)</f>
        <v>899.64800000000002</v>
      </c>
      <c r="S344" s="194">
        <f ca="1">OFFSET('배치점수 계산기'!I$10,$D344,0)</f>
        <v>897.39800000000002</v>
      </c>
      <c r="T344" s="194">
        <f ca="1">OFFSET('배치점수 계산기'!J$10,$D344,0)</f>
        <v>894.23699999999997</v>
      </c>
      <c r="U344" s="194">
        <f ca="1">OFFSET('배치점수 계산기'!K$10,$D344,0)</f>
        <v>888.49099999999999</v>
      </c>
      <c r="V344" s="194">
        <f ca="1">OFFSET('배치점수 계산기'!L$10,$D344,0)</f>
        <v>881.774</v>
      </c>
      <c r="W344" s="186" t="str">
        <f ca="1">OFFSET('배치점수 계산기'!M$10,$D344,0)</f>
        <v>표점/만점</v>
      </c>
      <c r="X344" s="184" t="str">
        <f ca="1">OFFSET('배치점수 계산기'!N$10,$D344,0)</f>
        <v>변표/만점</v>
      </c>
      <c r="Y344" s="188">
        <f ca="1">OFFSET(환산공식!FW$15,$F344,0)</f>
        <v>0.41</v>
      </c>
      <c r="Z344" s="20">
        <f ca="1">OFFSET(환산공식!FX$15,$F344,0)</f>
        <v>0.28999999999999998</v>
      </c>
      <c r="AA344" s="179">
        <f ca="1">OFFSET(환산공식!FY$15,$F344,0)</f>
        <v>0.28999999999999998</v>
      </c>
      <c r="AB344" s="3"/>
      <c r="AD344">
        <f t="shared" ca="1" si="12"/>
        <v>6</v>
      </c>
      <c r="AF344" s="3"/>
      <c r="AG344" s="3"/>
      <c r="AH344" s="3"/>
    </row>
    <row r="345" spans="1:34">
      <c r="A345" s="198"/>
      <c r="B345" s="198"/>
      <c r="C345" s="198" t="s">
        <v>906</v>
      </c>
      <c r="D345" s="195">
        <v>395</v>
      </c>
      <c r="E345" s="195">
        <v>62</v>
      </c>
      <c r="F345" s="195">
        <v>62</v>
      </c>
      <c r="G345" s="239">
        <v>338</v>
      </c>
      <c r="H345" s="197" t="s">
        <v>72</v>
      </c>
      <c r="I345" s="242" t="s">
        <v>254</v>
      </c>
      <c r="J345" s="242" t="s">
        <v>10371</v>
      </c>
      <c r="K345" s="195" t="s">
        <v>71</v>
      </c>
      <c r="L345" s="20" t="str">
        <f ca="1">IF(OFFSET(환산공식!$ED$15,$F345,0)=1,"O","X")</f>
        <v>X</v>
      </c>
      <c r="M345" s="188">
        <f ca="1">IFERROR(OFFSET(환산공식!DJ$15,$F345,0),"")</f>
        <v>150</v>
      </c>
      <c r="N345" s="20" t="str">
        <f ca="1">IFERROR(CONCATENATE(ROUND(OFFSET(환산공식!DK$15,$F345,0),1),"%"),"")</f>
        <v>100%</v>
      </c>
      <c r="O345" s="20">
        <f ca="1">IFERROR(OFFSET(환산공식!DL$15,$F345,0),"")</f>
        <v>3</v>
      </c>
      <c r="P345" s="188" t="str">
        <f t="shared" ca="1" si="11"/>
        <v>3% 이하</v>
      </c>
      <c r="Q345" s="194">
        <f ca="1">IFERROR(ROUND(OFFSET(환산공식!$FG$15,$F345,0),3),"")</f>
        <v>0</v>
      </c>
      <c r="R345" s="194">
        <f ca="1">OFFSET('배치점수 계산기'!H$10,$D345,0)</f>
        <v>899.88599999999997</v>
      </c>
      <c r="S345" s="194">
        <f ca="1">OFFSET('배치점수 계산기'!I$10,$D345,0)</f>
        <v>897.53800000000001</v>
      </c>
      <c r="T345" s="194">
        <f ca="1">OFFSET('배치점수 계산기'!J$10,$D345,0)</f>
        <v>893.85799999999995</v>
      </c>
      <c r="U345" s="194">
        <f ca="1">OFFSET('배치점수 계산기'!K$10,$D345,0)</f>
        <v>888.35</v>
      </c>
      <c r="V345" s="194">
        <f ca="1">OFFSET('배치점수 계산기'!L$10,$D345,0)</f>
        <v>881.39499999999998</v>
      </c>
      <c r="W345" s="186" t="str">
        <f ca="1">OFFSET('배치점수 계산기'!M$10,$D345,0)</f>
        <v>표점/만점</v>
      </c>
      <c r="X345" s="184" t="str">
        <f ca="1">OFFSET('배치점수 계산기'!N$10,$D345,0)</f>
        <v>변표/만점</v>
      </c>
      <c r="Y345" s="188">
        <f ca="1">OFFSET(환산공식!FW$15,$F345,0)</f>
        <v>0.41</v>
      </c>
      <c r="Z345" s="20">
        <f ca="1">OFFSET(환산공식!FX$15,$F345,0)</f>
        <v>0.28999999999999998</v>
      </c>
      <c r="AA345" s="179">
        <f ca="1">OFFSET(환산공식!FY$15,$F345,0)</f>
        <v>0.28999999999999998</v>
      </c>
      <c r="AB345" s="3"/>
      <c r="AD345">
        <f t="shared" ca="1" si="12"/>
        <v>6</v>
      </c>
      <c r="AF345" s="3"/>
      <c r="AG345" s="3"/>
      <c r="AH345" s="3"/>
    </row>
    <row r="346" spans="1:34">
      <c r="A346" s="198"/>
      <c r="B346" s="198"/>
      <c r="C346" s="198" t="s">
        <v>907</v>
      </c>
      <c r="D346" s="195">
        <v>396</v>
      </c>
      <c r="E346" s="195">
        <v>62</v>
      </c>
      <c r="F346" s="195">
        <v>62</v>
      </c>
      <c r="G346" s="239">
        <v>339</v>
      </c>
      <c r="H346" s="197" t="s">
        <v>72</v>
      </c>
      <c r="I346" s="242" t="s">
        <v>254</v>
      </c>
      <c r="J346" s="242" t="s">
        <v>10378</v>
      </c>
      <c r="K346" s="195" t="s">
        <v>71</v>
      </c>
      <c r="L346" s="20" t="str">
        <f ca="1">IF(OFFSET(환산공식!$ED$15,$F346,0)=1,"O","X")</f>
        <v>X</v>
      </c>
      <c r="M346" s="188">
        <f ca="1">IFERROR(OFFSET(환산공식!DJ$15,$F346,0),"")</f>
        <v>150</v>
      </c>
      <c r="N346" s="20" t="str">
        <f ca="1">IFERROR(CONCATENATE(ROUND(OFFSET(환산공식!DK$15,$F346,0),1),"%"),"")</f>
        <v>100%</v>
      </c>
      <c r="O346" s="20">
        <f ca="1">IFERROR(OFFSET(환산공식!DL$15,$F346,0),"")</f>
        <v>3</v>
      </c>
      <c r="P346" s="188" t="str">
        <f t="shared" ca="1" si="11"/>
        <v>3% 이하</v>
      </c>
      <c r="Q346" s="194">
        <f ca="1">IFERROR(ROUND(OFFSET(환산공식!$FG$15,$F346,0),3),"")</f>
        <v>0</v>
      </c>
      <c r="R346" s="194">
        <f ca="1">OFFSET('배치점수 계산기'!H$10,$D346,0)</f>
        <v>898.99300000000005</v>
      </c>
      <c r="S346" s="194">
        <f ca="1">OFFSET('배치점수 계산기'!I$10,$D346,0)</f>
        <v>897.03499999999997</v>
      </c>
      <c r="T346" s="194">
        <f ca="1">OFFSET('배치점수 계산기'!J$10,$D346,0)</f>
        <v>893.85799999999995</v>
      </c>
      <c r="U346" s="194">
        <f ca="1">OFFSET('배치점수 계산기'!K$10,$D346,0)</f>
        <v>888.35</v>
      </c>
      <c r="V346" s="194">
        <f ca="1">OFFSET('배치점수 계산기'!L$10,$D346,0)</f>
        <v>880.49</v>
      </c>
      <c r="W346" s="186" t="str">
        <f ca="1">OFFSET('배치점수 계산기'!M$10,$D346,0)</f>
        <v>표점/만점</v>
      </c>
      <c r="X346" s="184" t="str">
        <f ca="1">OFFSET('배치점수 계산기'!N$10,$D346,0)</f>
        <v>변표/만점</v>
      </c>
      <c r="Y346" s="188">
        <f ca="1">OFFSET(환산공식!FW$15,$F346,0)</f>
        <v>0.41</v>
      </c>
      <c r="Z346" s="20">
        <f ca="1">OFFSET(환산공식!FX$15,$F346,0)</f>
        <v>0.28999999999999998</v>
      </c>
      <c r="AA346" s="179">
        <f ca="1">OFFSET(환산공식!FY$15,$F346,0)</f>
        <v>0.28999999999999998</v>
      </c>
      <c r="AB346" s="3"/>
      <c r="AD346">
        <f t="shared" ca="1" si="12"/>
        <v>6</v>
      </c>
      <c r="AF346" s="3"/>
      <c r="AG346" s="3"/>
      <c r="AH346" s="3"/>
    </row>
    <row r="347" spans="1:34">
      <c r="A347" s="198"/>
      <c r="B347" s="198"/>
      <c r="C347" s="198" t="s">
        <v>908</v>
      </c>
      <c r="D347" s="195">
        <v>397</v>
      </c>
      <c r="E347" s="195">
        <v>62</v>
      </c>
      <c r="F347" s="195">
        <v>62</v>
      </c>
      <c r="G347" s="239">
        <v>340</v>
      </c>
      <c r="H347" s="197" t="s">
        <v>72</v>
      </c>
      <c r="I347" s="242" t="s">
        <v>254</v>
      </c>
      <c r="J347" s="242" t="s">
        <v>10416</v>
      </c>
      <c r="K347" s="195" t="s">
        <v>71</v>
      </c>
      <c r="L347" s="20" t="str">
        <f ca="1">IF(OFFSET(환산공식!$ED$15,$F347,0)=1,"O","X")</f>
        <v>X</v>
      </c>
      <c r="M347" s="188">
        <f ca="1">IFERROR(OFFSET(환산공식!DJ$15,$F347,0),"")</f>
        <v>150</v>
      </c>
      <c r="N347" s="20" t="str">
        <f ca="1">IFERROR(CONCATENATE(ROUND(OFFSET(환산공식!DK$15,$F347,0),1),"%"),"")</f>
        <v>100%</v>
      </c>
      <c r="O347" s="20">
        <f ca="1">IFERROR(OFFSET(환산공식!DL$15,$F347,0),"")</f>
        <v>3</v>
      </c>
      <c r="P347" s="188" t="str">
        <f t="shared" ca="1" si="11"/>
        <v>3% 이하</v>
      </c>
      <c r="Q347" s="194">
        <f ca="1">IFERROR(ROUND(OFFSET(환산공식!$FG$15,$F347,0),3),"")</f>
        <v>0</v>
      </c>
      <c r="R347" s="194">
        <f ca="1">OFFSET('배치점수 계산기'!H$10,$D347,0)</f>
        <v>899.64800000000002</v>
      </c>
      <c r="S347" s="194">
        <f ca="1">OFFSET('배치점수 계산기'!I$10,$D347,0)</f>
        <v>897.03499999999997</v>
      </c>
      <c r="T347" s="194">
        <f ca="1">OFFSET('배치점수 계산기'!J$10,$D347,0)</f>
        <v>893.678</v>
      </c>
      <c r="U347" s="194">
        <f ca="1">OFFSET('배치점수 계산기'!K$10,$D347,0)</f>
        <v>888.05</v>
      </c>
      <c r="V347" s="194">
        <f ca="1">OFFSET('배치점수 계산기'!L$10,$D347,0)</f>
        <v>881.35599999999999</v>
      </c>
      <c r="W347" s="186" t="str">
        <f ca="1">OFFSET('배치점수 계산기'!M$10,$D347,0)</f>
        <v>표점/만점</v>
      </c>
      <c r="X347" s="184" t="str">
        <f ca="1">OFFSET('배치점수 계산기'!N$10,$D347,0)</f>
        <v>변표/만점</v>
      </c>
      <c r="Y347" s="188">
        <f ca="1">OFFSET(환산공식!FW$15,$F347,0)</f>
        <v>0.41</v>
      </c>
      <c r="Z347" s="20">
        <f ca="1">OFFSET(환산공식!FX$15,$F347,0)</f>
        <v>0.28999999999999998</v>
      </c>
      <c r="AA347" s="179">
        <f ca="1">OFFSET(환산공식!FY$15,$F347,0)</f>
        <v>0.28999999999999998</v>
      </c>
      <c r="AB347" s="3"/>
      <c r="AD347">
        <f t="shared" ca="1" si="12"/>
        <v>6</v>
      </c>
      <c r="AF347" s="3"/>
      <c r="AG347" s="3"/>
      <c r="AH347" s="3"/>
    </row>
    <row r="348" spans="1:34">
      <c r="A348" s="198"/>
      <c r="B348" s="198"/>
      <c r="C348" s="198" t="s">
        <v>909</v>
      </c>
      <c r="D348" s="195">
        <v>398</v>
      </c>
      <c r="E348" s="195">
        <v>62</v>
      </c>
      <c r="F348" s="195">
        <v>62</v>
      </c>
      <c r="G348" s="239">
        <v>341</v>
      </c>
      <c r="H348" s="197" t="s">
        <v>72</v>
      </c>
      <c r="I348" s="242" t="s">
        <v>254</v>
      </c>
      <c r="J348" s="242" t="s">
        <v>9953</v>
      </c>
      <c r="K348" s="195" t="s">
        <v>71</v>
      </c>
      <c r="L348" s="20" t="str">
        <f ca="1">IF(OFFSET(환산공식!$ED$15,$F348,0)=1,"O","X")</f>
        <v>X</v>
      </c>
      <c r="M348" s="188">
        <f ca="1">IFERROR(OFFSET(환산공식!DJ$15,$F348,0),"")</f>
        <v>150</v>
      </c>
      <c r="N348" s="20" t="str">
        <f ca="1">IFERROR(CONCATENATE(ROUND(OFFSET(환산공식!DK$15,$F348,0),1),"%"),"")</f>
        <v>100%</v>
      </c>
      <c r="O348" s="20">
        <f ca="1">IFERROR(OFFSET(환산공식!DL$15,$F348,0),"")</f>
        <v>3</v>
      </c>
      <c r="P348" s="188" t="str">
        <f t="shared" ca="1" si="11"/>
        <v>3% 이하</v>
      </c>
      <c r="Q348" s="194">
        <f ca="1">IFERROR(ROUND(OFFSET(환산공식!$FG$15,$F348,0),3),"")</f>
        <v>0</v>
      </c>
      <c r="R348" s="194">
        <f ca="1">OFFSET('배치점수 계산기'!H$10,$D348,0)</f>
        <v>898.87300000000005</v>
      </c>
      <c r="S348" s="194">
        <f ca="1">OFFSET('배치점수 계산기'!I$10,$D348,0)</f>
        <v>896.61699999999996</v>
      </c>
      <c r="T348" s="194">
        <f ca="1">OFFSET('배치점수 계산기'!J$10,$D348,0)</f>
        <v>893.03399999999999</v>
      </c>
      <c r="U348" s="194">
        <f ca="1">OFFSET('배치점수 계산기'!K$10,$D348,0)</f>
        <v>887.57500000000005</v>
      </c>
      <c r="V348" s="194">
        <f ca="1">OFFSET('배치점수 계산기'!L$10,$D348,0)</f>
        <v>880.86900000000003</v>
      </c>
      <c r="W348" s="186" t="str">
        <f ca="1">OFFSET('배치점수 계산기'!M$10,$D348,0)</f>
        <v>표점/만점</v>
      </c>
      <c r="X348" s="184" t="str">
        <f ca="1">OFFSET('배치점수 계산기'!N$10,$D348,0)</f>
        <v>변표/만점</v>
      </c>
      <c r="Y348" s="188">
        <f ca="1">OFFSET(환산공식!FW$15,$F348,0)</f>
        <v>0.41</v>
      </c>
      <c r="Z348" s="20">
        <f ca="1">OFFSET(환산공식!FX$15,$F348,0)</f>
        <v>0.28999999999999998</v>
      </c>
      <c r="AA348" s="179">
        <f ca="1">OFFSET(환산공식!FY$15,$F348,0)</f>
        <v>0.28999999999999998</v>
      </c>
      <c r="AB348" s="3"/>
      <c r="AD348">
        <f t="shared" ca="1" si="12"/>
        <v>6</v>
      </c>
      <c r="AF348" s="3"/>
      <c r="AG348" s="3"/>
      <c r="AH348" s="3"/>
    </row>
    <row r="349" spans="1:34">
      <c r="A349" s="198"/>
      <c r="B349" s="198"/>
      <c r="C349" s="198" t="s">
        <v>910</v>
      </c>
      <c r="D349" s="195">
        <v>399</v>
      </c>
      <c r="E349" s="195">
        <v>62</v>
      </c>
      <c r="F349" s="195">
        <v>62</v>
      </c>
      <c r="G349" s="239">
        <v>342</v>
      </c>
      <c r="H349" s="197" t="s">
        <v>72</v>
      </c>
      <c r="I349" s="242" t="s">
        <v>254</v>
      </c>
      <c r="J349" s="242" t="s">
        <v>10449</v>
      </c>
      <c r="K349" s="195" t="s">
        <v>71</v>
      </c>
      <c r="L349" s="20" t="str">
        <f ca="1">IF(OFFSET(환산공식!$ED$15,$F349,0)=1,"O","X")</f>
        <v>X</v>
      </c>
      <c r="M349" s="188">
        <f ca="1">IFERROR(OFFSET(환산공식!DJ$15,$F349,0),"")</f>
        <v>150</v>
      </c>
      <c r="N349" s="20" t="str">
        <f ca="1">IFERROR(CONCATENATE(ROUND(OFFSET(환산공식!DK$15,$F349,0),1),"%"),"")</f>
        <v>100%</v>
      </c>
      <c r="O349" s="20">
        <f ca="1">IFERROR(OFFSET(환산공식!DL$15,$F349,0),"")</f>
        <v>3</v>
      </c>
      <c r="P349" s="188" t="str">
        <f t="shared" ca="1" si="11"/>
        <v>3% 이하</v>
      </c>
      <c r="Q349" s="194">
        <f ca="1">IFERROR(ROUND(OFFSET(환산공식!$FG$15,$F349,0),3),"")</f>
        <v>0</v>
      </c>
      <c r="R349" s="194">
        <f ca="1">OFFSET('배치점수 계산기'!H$10,$D349,0)</f>
        <v>898.63499999999999</v>
      </c>
      <c r="S349" s="194">
        <f ca="1">OFFSET('배치점수 계산기'!I$10,$D349,0)</f>
        <v>896.61699999999996</v>
      </c>
      <c r="T349" s="194">
        <f ca="1">OFFSET('배치점수 계산기'!J$10,$D349,0)</f>
        <v>892.65499999999997</v>
      </c>
      <c r="U349" s="194">
        <f ca="1">OFFSET('배치점수 계산기'!K$10,$D349,0)</f>
        <v>887.33699999999999</v>
      </c>
      <c r="V349" s="194">
        <f ca="1">OFFSET('배치점수 계산기'!L$10,$D349,0)</f>
        <v>880.72799999999995</v>
      </c>
      <c r="W349" s="186" t="str">
        <f ca="1">OFFSET('배치점수 계산기'!M$10,$D349,0)</f>
        <v>표점/만점</v>
      </c>
      <c r="X349" s="184" t="str">
        <f ca="1">OFFSET('배치점수 계산기'!N$10,$D349,0)</f>
        <v>변표/만점</v>
      </c>
      <c r="Y349" s="188">
        <f ca="1">OFFSET(환산공식!FW$15,$F349,0)</f>
        <v>0.41</v>
      </c>
      <c r="Z349" s="20">
        <f ca="1">OFFSET(환산공식!FX$15,$F349,0)</f>
        <v>0.28999999999999998</v>
      </c>
      <c r="AA349" s="179">
        <f ca="1">OFFSET(환산공식!FY$15,$F349,0)</f>
        <v>0.28999999999999998</v>
      </c>
      <c r="AB349" s="3"/>
      <c r="AD349">
        <f t="shared" ca="1" si="12"/>
        <v>6</v>
      </c>
      <c r="AF349" s="3"/>
      <c r="AG349" s="3"/>
      <c r="AH349" s="3"/>
    </row>
    <row r="350" spans="1:34">
      <c r="A350" s="198"/>
      <c r="B350" s="198"/>
      <c r="C350" s="198" t="s">
        <v>911</v>
      </c>
      <c r="D350" s="195">
        <v>400</v>
      </c>
      <c r="E350" s="195">
        <v>62</v>
      </c>
      <c r="F350" s="195">
        <v>62</v>
      </c>
      <c r="G350" s="239">
        <v>343</v>
      </c>
      <c r="H350" s="197" t="s">
        <v>72</v>
      </c>
      <c r="I350" s="242" t="s">
        <v>254</v>
      </c>
      <c r="J350" s="242" t="s">
        <v>10499</v>
      </c>
      <c r="K350" s="195" t="s">
        <v>71</v>
      </c>
      <c r="L350" s="20" t="str">
        <f ca="1">IF(OFFSET(환산공식!$ED$15,$F350,0)=1,"O","X")</f>
        <v>X</v>
      </c>
      <c r="M350" s="188">
        <f ca="1">IFERROR(OFFSET(환산공식!DJ$15,$F350,0),"")</f>
        <v>150</v>
      </c>
      <c r="N350" s="20" t="str">
        <f ca="1">IFERROR(CONCATENATE(ROUND(OFFSET(환산공식!DK$15,$F350,0),1),"%"),"")</f>
        <v>100%</v>
      </c>
      <c r="O350" s="20">
        <f ca="1">IFERROR(OFFSET(환산공식!DL$15,$F350,0),"")</f>
        <v>3</v>
      </c>
      <c r="P350" s="188" t="str">
        <f t="shared" ca="1" si="11"/>
        <v>3% 이하</v>
      </c>
      <c r="Q350" s="194">
        <f ca="1">IFERROR(ROUND(OFFSET(환산공식!$FG$15,$F350,0),3),"")</f>
        <v>0</v>
      </c>
      <c r="R350" s="194">
        <f ca="1">OFFSET('배치점수 계산기'!H$10,$D350,0)</f>
        <v>897.53800000000001</v>
      </c>
      <c r="S350" s="194">
        <f ca="1">OFFSET('배치점수 계산기'!I$10,$D350,0)</f>
        <v>895.03399999999999</v>
      </c>
      <c r="T350" s="194">
        <f ca="1">OFFSET('배치점수 계산기'!J$10,$D350,0)</f>
        <v>891.25900000000001</v>
      </c>
      <c r="U350" s="194">
        <f ca="1">OFFSET('배치점수 계산기'!K$10,$D350,0)</f>
        <v>886.29499999999996</v>
      </c>
      <c r="V350" s="194">
        <f ca="1">OFFSET('배치점수 계산기'!L$10,$D350,0)</f>
        <v>879.94299999999998</v>
      </c>
      <c r="W350" s="186" t="str">
        <f ca="1">OFFSET('배치점수 계산기'!M$10,$D350,0)</f>
        <v>표점/만점</v>
      </c>
      <c r="X350" s="184" t="str">
        <f ca="1">OFFSET('배치점수 계산기'!N$10,$D350,0)</f>
        <v>변표/만점</v>
      </c>
      <c r="Y350" s="188">
        <f ca="1">OFFSET(환산공식!FW$15,$F350,0)</f>
        <v>0.41</v>
      </c>
      <c r="Z350" s="20">
        <f ca="1">OFFSET(환산공식!FX$15,$F350,0)</f>
        <v>0.28999999999999998</v>
      </c>
      <c r="AA350" s="179">
        <f ca="1">OFFSET(환산공식!FY$15,$F350,0)</f>
        <v>0.28999999999999998</v>
      </c>
      <c r="AB350" s="3"/>
      <c r="AD350">
        <f t="shared" ca="1" si="12"/>
        <v>6</v>
      </c>
      <c r="AF350" s="3"/>
      <c r="AG350" s="3"/>
      <c r="AH350" s="3"/>
    </row>
    <row r="351" spans="1:34">
      <c r="A351" s="198"/>
      <c r="B351" s="198"/>
      <c r="C351" s="198" t="s">
        <v>912</v>
      </c>
      <c r="D351" s="195">
        <v>401</v>
      </c>
      <c r="E351" s="195">
        <v>62</v>
      </c>
      <c r="F351" s="195">
        <v>62</v>
      </c>
      <c r="G351" s="239">
        <v>344</v>
      </c>
      <c r="H351" s="197" t="s">
        <v>72</v>
      </c>
      <c r="I351" s="242" t="s">
        <v>254</v>
      </c>
      <c r="J351" s="242" t="s">
        <v>10531</v>
      </c>
      <c r="K351" s="195" t="s">
        <v>71</v>
      </c>
      <c r="L351" s="20" t="str">
        <f ca="1">IF(OFFSET(환산공식!$ED$15,$F351,0)=1,"O","X")</f>
        <v>X</v>
      </c>
      <c r="M351" s="188">
        <f ca="1">IFERROR(OFFSET(환산공식!DJ$15,$F351,0),"")</f>
        <v>150</v>
      </c>
      <c r="N351" s="20" t="str">
        <f ca="1">IFERROR(CONCATENATE(ROUND(OFFSET(환산공식!DK$15,$F351,0),1),"%"),"")</f>
        <v>100%</v>
      </c>
      <c r="O351" s="20">
        <f ca="1">IFERROR(OFFSET(환산공식!DL$15,$F351,0),"")</f>
        <v>3</v>
      </c>
      <c r="P351" s="188" t="str">
        <f t="shared" ca="1" si="11"/>
        <v>3% 이하</v>
      </c>
      <c r="Q351" s="194">
        <f ca="1">IFERROR(ROUND(OFFSET(환산공식!$FG$15,$F351,0),3),"")</f>
        <v>0</v>
      </c>
      <c r="R351" s="194">
        <f ca="1">OFFSET('배치점수 계산기'!H$10,$D351,0)</f>
        <v>896.61699999999996</v>
      </c>
      <c r="S351" s="194">
        <f ca="1">OFFSET('배치점수 계산기'!I$10,$D351,0)</f>
        <v>894.23699999999997</v>
      </c>
      <c r="T351" s="194">
        <f ca="1">OFFSET('배치점수 계산기'!J$10,$D351,0)</f>
        <v>891.07899999999995</v>
      </c>
      <c r="U351" s="194">
        <f ca="1">OFFSET('배치점수 계산기'!K$10,$D351,0)</f>
        <v>886.154</v>
      </c>
      <c r="V351" s="194">
        <f ca="1">OFFSET('배치점수 계산기'!L$10,$D351,0)</f>
        <v>879.70500000000004</v>
      </c>
      <c r="W351" s="186" t="str">
        <f ca="1">OFFSET('배치점수 계산기'!M$10,$D351,0)</f>
        <v>표점/만점</v>
      </c>
      <c r="X351" s="184" t="str">
        <f ca="1">OFFSET('배치점수 계산기'!N$10,$D351,0)</f>
        <v>변표/만점</v>
      </c>
      <c r="Y351" s="188">
        <f ca="1">OFFSET(환산공식!FW$15,$F351,0)</f>
        <v>0.41</v>
      </c>
      <c r="Z351" s="20">
        <f ca="1">OFFSET(환산공식!FX$15,$F351,0)</f>
        <v>0.28999999999999998</v>
      </c>
      <c r="AA351" s="179">
        <f ca="1">OFFSET(환산공식!FY$15,$F351,0)</f>
        <v>0.28999999999999998</v>
      </c>
      <c r="AB351" s="3"/>
      <c r="AD351">
        <f t="shared" ca="1" si="12"/>
        <v>6</v>
      </c>
      <c r="AF351" s="3"/>
      <c r="AG351" s="3"/>
      <c r="AH351" s="3"/>
    </row>
    <row r="352" spans="1:34">
      <c r="A352" s="198"/>
      <c r="B352" s="198"/>
      <c r="C352" s="198" t="s">
        <v>913</v>
      </c>
      <c r="D352" s="195">
        <v>402</v>
      </c>
      <c r="E352" s="195">
        <v>62</v>
      </c>
      <c r="F352" s="195">
        <v>62</v>
      </c>
      <c r="G352" s="239">
        <v>345</v>
      </c>
      <c r="H352" s="197" t="s">
        <v>72</v>
      </c>
      <c r="I352" s="242" t="s">
        <v>254</v>
      </c>
      <c r="J352" s="242" t="s">
        <v>491</v>
      </c>
      <c r="K352" s="195" t="s">
        <v>71</v>
      </c>
      <c r="L352" s="20" t="str">
        <f ca="1">IF(OFFSET(환산공식!$ED$15,$F352,0)=1,"O","X")</f>
        <v>X</v>
      </c>
      <c r="M352" s="188">
        <f ca="1">IFERROR(OFFSET(환산공식!DJ$15,$F352,0),"")</f>
        <v>150</v>
      </c>
      <c r="N352" s="20" t="str">
        <f ca="1">IFERROR(CONCATENATE(ROUND(OFFSET(환산공식!DK$15,$F352,0),1),"%"),"")</f>
        <v>100%</v>
      </c>
      <c r="O352" s="20">
        <f ca="1">IFERROR(OFFSET(환산공식!DL$15,$F352,0),"")</f>
        <v>3</v>
      </c>
      <c r="P352" s="188" t="str">
        <f t="shared" ca="1" si="11"/>
        <v>3% 이하</v>
      </c>
      <c r="Q352" s="194">
        <f ca="1">IFERROR(ROUND(OFFSET(환산공식!$FG$15,$F352,0),3),"")</f>
        <v>0</v>
      </c>
      <c r="R352" s="194">
        <f ca="1">OFFSET('배치점수 계산기'!H$10,$D352,0)</f>
        <v>899.64800000000002</v>
      </c>
      <c r="S352" s="194">
        <f ca="1">OFFSET('배치점수 계산기'!I$10,$D352,0)</f>
        <v>896.61699999999996</v>
      </c>
      <c r="T352" s="194">
        <f ca="1">OFFSET('배치점수 계산기'!J$10,$D352,0)</f>
        <v>891.07899999999995</v>
      </c>
      <c r="U352" s="194">
        <f ca="1">OFFSET('배치점수 계산기'!K$10,$D352,0)</f>
        <v>886.154</v>
      </c>
      <c r="V352" s="194">
        <f ca="1">OFFSET('배치점수 계산기'!L$10,$D352,0)</f>
        <v>879.70500000000004</v>
      </c>
      <c r="W352" s="186" t="str">
        <f ca="1">OFFSET('배치점수 계산기'!M$10,$D352,0)</f>
        <v>표점/만점</v>
      </c>
      <c r="X352" s="184" t="str">
        <f ca="1">OFFSET('배치점수 계산기'!N$10,$D352,0)</f>
        <v>변표/만점</v>
      </c>
      <c r="Y352" s="188">
        <f ca="1">OFFSET(환산공식!FW$15,$F352,0)</f>
        <v>0.41</v>
      </c>
      <c r="Z352" s="20">
        <f ca="1">OFFSET(환산공식!FX$15,$F352,0)</f>
        <v>0.28999999999999998</v>
      </c>
      <c r="AA352" s="179">
        <f ca="1">OFFSET(환산공식!FY$15,$F352,0)</f>
        <v>0.28999999999999998</v>
      </c>
      <c r="AB352" s="3"/>
      <c r="AD352">
        <f t="shared" ca="1" si="12"/>
        <v>6</v>
      </c>
      <c r="AF352" s="3"/>
      <c r="AG352" s="3"/>
      <c r="AH352" s="3"/>
    </row>
    <row r="353" spans="1:34">
      <c r="A353" s="198"/>
      <c r="B353" s="198"/>
      <c r="C353" s="198" t="s">
        <v>914</v>
      </c>
      <c r="D353" s="195">
        <v>403</v>
      </c>
      <c r="E353" s="195">
        <v>62</v>
      </c>
      <c r="F353" s="195">
        <v>62</v>
      </c>
      <c r="G353" s="239">
        <v>346</v>
      </c>
      <c r="H353" s="197" t="s">
        <v>72</v>
      </c>
      <c r="I353" s="242" t="s">
        <v>254</v>
      </c>
      <c r="J353" s="242" t="s">
        <v>10502</v>
      </c>
      <c r="K353" s="195" t="s">
        <v>71</v>
      </c>
      <c r="L353" s="20" t="str">
        <f ca="1">IF(OFFSET(환산공식!$ED$15,$F353,0)=1,"O","X")</f>
        <v>X</v>
      </c>
      <c r="M353" s="188">
        <f ca="1">IFERROR(OFFSET(환산공식!DJ$15,$F353,0),"")</f>
        <v>150</v>
      </c>
      <c r="N353" s="20" t="str">
        <f ca="1">IFERROR(CONCATENATE(ROUND(OFFSET(환산공식!DK$15,$F353,0),1),"%"),"")</f>
        <v>100%</v>
      </c>
      <c r="O353" s="20">
        <f ca="1">IFERROR(OFFSET(환산공식!DL$15,$F353,0),"")</f>
        <v>3</v>
      </c>
      <c r="P353" s="188" t="str">
        <f t="shared" ca="1" si="11"/>
        <v>3% 이하</v>
      </c>
      <c r="Q353" s="194">
        <f ca="1">IFERROR(ROUND(OFFSET(환산공식!$FG$15,$F353,0),3),"")</f>
        <v>0</v>
      </c>
      <c r="R353" s="194">
        <f ca="1">OFFSET('배치점수 계산기'!H$10,$D353,0)</f>
        <v>897.39800000000002</v>
      </c>
      <c r="S353" s="194">
        <f ca="1">OFFSET('배치점수 계산기'!I$10,$D353,0)</f>
        <v>895.31100000000004</v>
      </c>
      <c r="T353" s="194">
        <f ca="1">OFFSET('배치점수 계산기'!J$10,$D353,0)</f>
        <v>891.07899999999995</v>
      </c>
      <c r="U353" s="194">
        <f ca="1">OFFSET('배치점수 계산기'!K$10,$D353,0)</f>
        <v>886.154</v>
      </c>
      <c r="V353" s="194">
        <f ca="1">OFFSET('배치점수 계산기'!L$10,$D353,0)</f>
        <v>879.70500000000004</v>
      </c>
      <c r="W353" s="186" t="str">
        <f ca="1">OFFSET('배치점수 계산기'!M$10,$D353,0)</f>
        <v>표점/만점</v>
      </c>
      <c r="X353" s="184" t="str">
        <f ca="1">OFFSET('배치점수 계산기'!N$10,$D353,0)</f>
        <v>변표/만점</v>
      </c>
      <c r="Y353" s="188">
        <f ca="1">OFFSET(환산공식!FW$15,$F353,0)</f>
        <v>0.41</v>
      </c>
      <c r="Z353" s="20">
        <f ca="1">OFFSET(환산공식!FX$15,$F353,0)</f>
        <v>0.28999999999999998</v>
      </c>
      <c r="AA353" s="179">
        <f ca="1">OFFSET(환산공식!FY$15,$F353,0)</f>
        <v>0.28999999999999998</v>
      </c>
      <c r="AB353" s="3"/>
      <c r="AD353">
        <f t="shared" ca="1" si="12"/>
        <v>6</v>
      </c>
      <c r="AF353" s="3"/>
      <c r="AG353" s="3"/>
      <c r="AH353" s="3"/>
    </row>
    <row r="354" spans="1:34">
      <c r="A354" s="198"/>
      <c r="B354" s="198"/>
      <c r="C354" s="198" t="s">
        <v>915</v>
      </c>
      <c r="D354" s="195">
        <v>404</v>
      </c>
      <c r="E354" s="195">
        <v>62</v>
      </c>
      <c r="F354" s="195">
        <v>62</v>
      </c>
      <c r="G354" s="239">
        <v>347</v>
      </c>
      <c r="H354" s="197" t="s">
        <v>72</v>
      </c>
      <c r="I354" s="242" t="s">
        <v>254</v>
      </c>
      <c r="J354" s="242" t="s">
        <v>8934</v>
      </c>
      <c r="K354" s="195" t="s">
        <v>71</v>
      </c>
      <c r="L354" s="20" t="str">
        <f ca="1">IF(OFFSET(환산공식!$ED$15,$F354,0)=1,"O","X")</f>
        <v>X</v>
      </c>
      <c r="M354" s="188">
        <f ca="1">IFERROR(OFFSET(환산공식!DJ$15,$F354,0),"")</f>
        <v>150</v>
      </c>
      <c r="N354" s="20" t="str">
        <f ca="1">IFERROR(CONCATENATE(ROUND(OFFSET(환산공식!DK$15,$F354,0),1),"%"),"")</f>
        <v>100%</v>
      </c>
      <c r="O354" s="20">
        <f ca="1">IFERROR(OFFSET(환산공식!DL$15,$F354,0),"")</f>
        <v>3</v>
      </c>
      <c r="P354" s="188" t="str">
        <f t="shared" ca="1" si="11"/>
        <v>3% 이하</v>
      </c>
      <c r="Q354" s="194">
        <f ca="1">IFERROR(ROUND(OFFSET(환산공식!$FG$15,$F354,0),3),"")</f>
        <v>0</v>
      </c>
      <c r="R354" s="194">
        <f ca="1">OFFSET('배치점수 계산기'!H$10,$D354,0)</f>
        <v>897.03499999999997</v>
      </c>
      <c r="S354" s="194">
        <f ca="1">OFFSET('배치점수 계산기'!I$10,$D354,0)</f>
        <v>894.41700000000003</v>
      </c>
      <c r="T354" s="194">
        <f ca="1">OFFSET('배치점수 계산기'!J$10,$D354,0)</f>
        <v>890.31500000000005</v>
      </c>
      <c r="U354" s="194">
        <f ca="1">OFFSET('배치점수 계산기'!K$10,$D354,0)</f>
        <v>885.87699999999995</v>
      </c>
      <c r="V354" s="194">
        <f ca="1">OFFSET('배치점수 계산기'!L$10,$D354,0)</f>
        <v>879.44299999999998</v>
      </c>
      <c r="W354" s="186" t="str">
        <f ca="1">OFFSET('배치점수 계산기'!M$10,$D354,0)</f>
        <v>표점/만점</v>
      </c>
      <c r="X354" s="184" t="str">
        <f ca="1">OFFSET('배치점수 계산기'!N$10,$D354,0)</f>
        <v>변표/만점</v>
      </c>
      <c r="Y354" s="188">
        <f ca="1">OFFSET(환산공식!FW$15,$F354,0)</f>
        <v>0.41</v>
      </c>
      <c r="Z354" s="20">
        <f ca="1">OFFSET(환산공식!FX$15,$F354,0)</f>
        <v>0.28999999999999998</v>
      </c>
      <c r="AA354" s="179">
        <f ca="1">OFFSET(환산공식!FY$15,$F354,0)</f>
        <v>0.28999999999999998</v>
      </c>
      <c r="AB354" s="3"/>
      <c r="AD354">
        <f t="shared" ca="1" si="12"/>
        <v>6</v>
      </c>
      <c r="AF354" s="3"/>
      <c r="AG354" s="3"/>
      <c r="AH354" s="3"/>
    </row>
    <row r="355" spans="1:34">
      <c r="A355" s="198"/>
      <c r="B355" s="198"/>
      <c r="C355" s="198" t="s">
        <v>916</v>
      </c>
      <c r="D355" s="195">
        <v>405</v>
      </c>
      <c r="E355" s="195">
        <v>62</v>
      </c>
      <c r="F355" s="195">
        <v>62</v>
      </c>
      <c r="G355" s="239">
        <v>348</v>
      </c>
      <c r="H355" s="197" t="s">
        <v>72</v>
      </c>
      <c r="I355" s="242" t="s">
        <v>254</v>
      </c>
      <c r="J355" s="242" t="s">
        <v>10553</v>
      </c>
      <c r="K355" s="195" t="s">
        <v>71</v>
      </c>
      <c r="L355" s="20" t="str">
        <f ca="1">IF(OFFSET(환산공식!$ED$15,$F355,0)=1,"O","X")</f>
        <v>X</v>
      </c>
      <c r="M355" s="188">
        <f ca="1">IFERROR(OFFSET(환산공식!DJ$15,$F355,0),"")</f>
        <v>150</v>
      </c>
      <c r="N355" s="20" t="str">
        <f ca="1">IFERROR(CONCATENATE(ROUND(OFFSET(환산공식!DK$15,$F355,0),1),"%"),"")</f>
        <v>100%</v>
      </c>
      <c r="O355" s="20">
        <f ca="1">IFERROR(OFFSET(환산공식!DL$15,$F355,0),"")</f>
        <v>3</v>
      </c>
      <c r="P355" s="188" t="str">
        <f t="shared" ca="1" si="11"/>
        <v>3% 이하</v>
      </c>
      <c r="Q355" s="194">
        <f ca="1">IFERROR(ROUND(OFFSET(환산공식!$FG$15,$F355,0),3),"")</f>
        <v>0</v>
      </c>
      <c r="R355" s="194">
        <f ca="1">OFFSET('배치점수 계산기'!H$10,$D355,0)</f>
        <v>896.61699999999996</v>
      </c>
      <c r="S355" s="194">
        <f ca="1">OFFSET('배치점수 계산기'!I$10,$D355,0)</f>
        <v>894.23699999999997</v>
      </c>
      <c r="T355" s="194">
        <f ca="1">OFFSET('배치점수 계산기'!J$10,$D355,0)</f>
        <v>890.31500000000005</v>
      </c>
      <c r="U355" s="194">
        <f ca="1">OFFSET('배치점수 계산기'!K$10,$D355,0)</f>
        <v>885.87699999999995</v>
      </c>
      <c r="V355" s="194">
        <f ca="1">OFFSET('배치점수 계산기'!L$10,$D355,0)</f>
        <v>879.44299999999998</v>
      </c>
      <c r="W355" s="186" t="str">
        <f ca="1">OFFSET('배치점수 계산기'!M$10,$D355,0)</f>
        <v>표점/만점</v>
      </c>
      <c r="X355" s="184" t="str">
        <f ca="1">OFFSET('배치점수 계산기'!N$10,$D355,0)</f>
        <v>변표/만점</v>
      </c>
      <c r="Y355" s="188">
        <f ca="1">OFFSET(환산공식!FW$15,$F355,0)</f>
        <v>0.41</v>
      </c>
      <c r="Z355" s="20">
        <f ca="1">OFFSET(환산공식!FX$15,$F355,0)</f>
        <v>0.28999999999999998</v>
      </c>
      <c r="AA355" s="179">
        <f ca="1">OFFSET(환산공식!FY$15,$F355,0)</f>
        <v>0.28999999999999998</v>
      </c>
      <c r="AB355" s="3"/>
      <c r="AD355">
        <f t="shared" ca="1" si="12"/>
        <v>6</v>
      </c>
      <c r="AF355" s="3"/>
      <c r="AG355" s="3"/>
      <c r="AH355" s="3"/>
    </row>
    <row r="356" spans="1:34">
      <c r="A356" s="198"/>
      <c r="B356" s="198"/>
      <c r="C356" s="198" t="s">
        <v>917</v>
      </c>
      <c r="D356" s="195">
        <v>406</v>
      </c>
      <c r="E356" s="195">
        <v>62</v>
      </c>
      <c r="F356" s="195">
        <v>62</v>
      </c>
      <c r="G356" s="239">
        <v>349</v>
      </c>
      <c r="H356" s="197" t="s">
        <v>72</v>
      </c>
      <c r="I356" s="242" t="s">
        <v>254</v>
      </c>
      <c r="J356" s="242" t="s">
        <v>10575</v>
      </c>
      <c r="K356" s="195" t="s">
        <v>71</v>
      </c>
      <c r="L356" s="20" t="str">
        <f ca="1">IF(OFFSET(환산공식!$ED$15,$F356,0)=1,"O","X")</f>
        <v>X</v>
      </c>
      <c r="M356" s="188">
        <f ca="1">IFERROR(OFFSET(환산공식!DJ$15,$F356,0),"")</f>
        <v>150</v>
      </c>
      <c r="N356" s="20" t="str">
        <f ca="1">IFERROR(CONCATENATE(ROUND(OFFSET(환산공식!DK$15,$F356,0),1),"%"),"")</f>
        <v>100%</v>
      </c>
      <c r="O356" s="20">
        <f ca="1">IFERROR(OFFSET(환산공식!DL$15,$F356,0),"")</f>
        <v>3</v>
      </c>
      <c r="P356" s="188" t="str">
        <f t="shared" ca="1" si="11"/>
        <v>3% 이하</v>
      </c>
      <c r="Q356" s="194">
        <f ca="1">IFERROR(ROUND(OFFSET(환산공식!$FG$15,$F356,0),3),"")</f>
        <v>0</v>
      </c>
      <c r="R356" s="194">
        <f ca="1">OFFSET('배치점수 계산기'!H$10,$D356,0)</f>
        <v>896.61699999999996</v>
      </c>
      <c r="S356" s="194">
        <f ca="1">OFFSET('배치점수 계산기'!I$10,$D356,0)</f>
        <v>893.85799999999995</v>
      </c>
      <c r="T356" s="194">
        <f ca="1">OFFSET('배치점수 계산기'!J$10,$D356,0)</f>
        <v>890.077</v>
      </c>
      <c r="U356" s="194">
        <f ca="1">OFFSET('배치점수 계산기'!K$10,$D356,0)</f>
        <v>885.75099999999998</v>
      </c>
      <c r="V356" s="194">
        <f ca="1">OFFSET('배치점수 계산기'!L$10,$D356,0)</f>
        <v>879.20500000000004</v>
      </c>
      <c r="W356" s="186" t="str">
        <f ca="1">OFFSET('배치점수 계산기'!M$10,$D356,0)</f>
        <v>표점/만점</v>
      </c>
      <c r="X356" s="184" t="str">
        <f ca="1">OFFSET('배치점수 계산기'!N$10,$D356,0)</f>
        <v>변표/만점</v>
      </c>
      <c r="Y356" s="188">
        <f ca="1">OFFSET(환산공식!FW$15,$F356,0)</f>
        <v>0.41</v>
      </c>
      <c r="Z356" s="20">
        <f ca="1">OFFSET(환산공식!FX$15,$F356,0)</f>
        <v>0.28999999999999998</v>
      </c>
      <c r="AA356" s="179">
        <f ca="1">OFFSET(환산공식!FY$15,$F356,0)</f>
        <v>0.28999999999999998</v>
      </c>
      <c r="AB356" s="3"/>
      <c r="AD356">
        <f t="shared" ca="1" si="12"/>
        <v>6</v>
      </c>
      <c r="AF356" s="3"/>
      <c r="AG356" s="3"/>
      <c r="AH356" s="3"/>
    </row>
    <row r="357" spans="1:34">
      <c r="A357" s="198"/>
      <c r="B357" s="198"/>
      <c r="C357" s="198" t="s">
        <v>918</v>
      </c>
      <c r="D357" s="195">
        <v>407</v>
      </c>
      <c r="E357" s="195">
        <v>62</v>
      </c>
      <c r="F357" s="195">
        <v>62</v>
      </c>
      <c r="G357" s="239">
        <v>350</v>
      </c>
      <c r="H357" s="197" t="s">
        <v>72</v>
      </c>
      <c r="I357" s="242" t="s">
        <v>254</v>
      </c>
      <c r="J357" s="242" t="s">
        <v>10609</v>
      </c>
      <c r="K357" s="195" t="s">
        <v>71</v>
      </c>
      <c r="L357" s="20" t="str">
        <f ca="1">IF(OFFSET(환산공식!$ED$15,$F357,0)=1,"O","X")</f>
        <v>X</v>
      </c>
      <c r="M357" s="188">
        <f ca="1">IFERROR(OFFSET(환산공식!DJ$15,$F357,0),"")</f>
        <v>150</v>
      </c>
      <c r="N357" s="20" t="str">
        <f ca="1">IFERROR(CONCATENATE(ROUND(OFFSET(환산공식!DK$15,$F357,0),1),"%"),"")</f>
        <v>100%</v>
      </c>
      <c r="O357" s="20">
        <f ca="1">IFERROR(OFFSET(환산공식!DL$15,$F357,0),"")</f>
        <v>3</v>
      </c>
      <c r="P357" s="188" t="str">
        <f t="shared" ca="1" si="11"/>
        <v>3% 이하</v>
      </c>
      <c r="Q357" s="194">
        <f ca="1">IFERROR(ROUND(OFFSET(환산공식!$FG$15,$F357,0),3),"")</f>
        <v>0</v>
      </c>
      <c r="R357" s="194">
        <f ca="1">OFFSET('배치점수 계산기'!H$10,$D357,0)</f>
        <v>895.59299999999996</v>
      </c>
      <c r="S357" s="194">
        <f ca="1">OFFSET('배치점수 계산기'!I$10,$D357,0)</f>
        <v>893.03399999999999</v>
      </c>
      <c r="T357" s="194">
        <f ca="1">OFFSET('배치점수 계산기'!J$10,$D357,0)</f>
        <v>889.51800000000003</v>
      </c>
      <c r="U357" s="194">
        <f ca="1">OFFSET('배치점수 계산기'!K$10,$D357,0)</f>
        <v>885.21299999999997</v>
      </c>
      <c r="V357" s="194">
        <f ca="1">OFFSET('배치점수 계산기'!L$10,$D357,0)</f>
        <v>878.82600000000002</v>
      </c>
      <c r="W357" s="186" t="str">
        <f ca="1">OFFSET('배치점수 계산기'!M$10,$D357,0)</f>
        <v>표점/만점</v>
      </c>
      <c r="X357" s="184" t="str">
        <f ca="1">OFFSET('배치점수 계산기'!N$10,$D357,0)</f>
        <v>변표/만점</v>
      </c>
      <c r="Y357" s="188">
        <f ca="1">OFFSET(환산공식!FW$15,$F357,0)</f>
        <v>0.41</v>
      </c>
      <c r="Z357" s="20">
        <f ca="1">OFFSET(환산공식!FX$15,$F357,0)</f>
        <v>0.28999999999999998</v>
      </c>
      <c r="AA357" s="179">
        <f ca="1">OFFSET(환산공식!FY$15,$F357,0)</f>
        <v>0.28999999999999998</v>
      </c>
      <c r="AB357" s="3"/>
      <c r="AD357">
        <f t="shared" ca="1" si="12"/>
        <v>6</v>
      </c>
      <c r="AF357" s="3"/>
      <c r="AG357" s="3"/>
      <c r="AH357" s="3"/>
    </row>
    <row r="358" spans="1:34">
      <c r="A358" s="198"/>
      <c r="B358" s="198"/>
      <c r="C358" s="198" t="s">
        <v>919</v>
      </c>
      <c r="D358" s="195">
        <v>408</v>
      </c>
      <c r="E358" s="195">
        <v>62</v>
      </c>
      <c r="F358" s="195">
        <v>62</v>
      </c>
      <c r="G358" s="239">
        <v>351</v>
      </c>
      <c r="H358" s="197" t="s">
        <v>72</v>
      </c>
      <c r="I358" s="242" t="s">
        <v>254</v>
      </c>
      <c r="J358" s="242" t="s">
        <v>10624</v>
      </c>
      <c r="K358" s="195" t="s">
        <v>71</v>
      </c>
      <c r="L358" s="20" t="str">
        <f ca="1">IF(OFFSET(환산공식!$ED$15,$F358,0)=1,"O","X")</f>
        <v>X</v>
      </c>
      <c r="M358" s="188">
        <f ca="1">IFERROR(OFFSET(환산공식!DJ$15,$F358,0),"")</f>
        <v>150</v>
      </c>
      <c r="N358" s="20" t="str">
        <f ca="1">IFERROR(CONCATENATE(ROUND(OFFSET(환산공식!DK$15,$F358,0),1),"%"),"")</f>
        <v>100%</v>
      </c>
      <c r="O358" s="20">
        <f ca="1">IFERROR(OFFSET(환산공식!DL$15,$F358,0),"")</f>
        <v>3</v>
      </c>
      <c r="P358" s="188" t="str">
        <f t="shared" ca="1" si="11"/>
        <v>3% 이하</v>
      </c>
      <c r="Q358" s="194">
        <f ca="1">IFERROR(ROUND(OFFSET(환산공식!$FG$15,$F358,0),3),"")</f>
        <v>0</v>
      </c>
      <c r="R358" s="194">
        <f ca="1">OFFSET('배치점수 계산기'!H$10,$D358,0)</f>
        <v>895.31100000000004</v>
      </c>
      <c r="S358" s="194">
        <f ca="1">OFFSET('배치점수 계산기'!I$10,$D358,0)</f>
        <v>893.03399999999999</v>
      </c>
      <c r="T358" s="194">
        <f ca="1">OFFSET('배치점수 계산기'!J$10,$D358,0)</f>
        <v>888.98</v>
      </c>
      <c r="U358" s="194">
        <f ca="1">OFFSET('배치점수 계산기'!K$10,$D358,0)</f>
        <v>884.83399999999995</v>
      </c>
      <c r="V358" s="194">
        <f ca="1">OFFSET('배치점수 계산기'!L$10,$D358,0)</f>
        <v>878.40800000000002</v>
      </c>
      <c r="W358" s="186" t="str">
        <f ca="1">OFFSET('배치점수 계산기'!M$10,$D358,0)</f>
        <v>표점/만점</v>
      </c>
      <c r="X358" s="184" t="str">
        <f ca="1">OFFSET('배치점수 계산기'!N$10,$D358,0)</f>
        <v>변표/만점</v>
      </c>
      <c r="Y358" s="188">
        <f ca="1">OFFSET(환산공식!FW$15,$F358,0)</f>
        <v>0.41</v>
      </c>
      <c r="Z358" s="20">
        <f ca="1">OFFSET(환산공식!FX$15,$F358,0)</f>
        <v>0.28999999999999998</v>
      </c>
      <c r="AA358" s="179">
        <f ca="1">OFFSET(환산공식!FY$15,$F358,0)</f>
        <v>0.28999999999999998</v>
      </c>
      <c r="AB358" s="3"/>
      <c r="AD358">
        <f t="shared" ca="1" si="12"/>
        <v>6</v>
      </c>
      <c r="AF358" s="3"/>
      <c r="AG358" s="3"/>
      <c r="AH358" s="3"/>
    </row>
    <row r="359" spans="1:34">
      <c r="A359" s="198"/>
      <c r="B359" s="198"/>
      <c r="C359" s="198" t="s">
        <v>920</v>
      </c>
      <c r="D359" s="195">
        <v>409</v>
      </c>
      <c r="E359" s="195">
        <v>62</v>
      </c>
      <c r="F359" s="195">
        <v>62</v>
      </c>
      <c r="G359" s="239">
        <v>352</v>
      </c>
      <c r="H359" s="197" t="s">
        <v>72</v>
      </c>
      <c r="I359" s="242" t="s">
        <v>254</v>
      </c>
      <c r="J359" s="242" t="s">
        <v>8953</v>
      </c>
      <c r="K359" s="195" t="s">
        <v>71</v>
      </c>
      <c r="L359" s="20" t="str">
        <f ca="1">IF(OFFSET(환산공식!$ED$15,$F359,0)=1,"O","X")</f>
        <v>X</v>
      </c>
      <c r="M359" s="188">
        <f ca="1">IFERROR(OFFSET(환산공식!DJ$15,$F359,0),"")</f>
        <v>150</v>
      </c>
      <c r="N359" s="20" t="str">
        <f ca="1">IFERROR(CONCATENATE(ROUND(OFFSET(환산공식!DK$15,$F359,0),1),"%"),"")</f>
        <v>100%</v>
      </c>
      <c r="O359" s="20">
        <f ca="1">IFERROR(OFFSET(환산공식!DL$15,$F359,0),"")</f>
        <v>3</v>
      </c>
      <c r="P359" s="188" t="str">
        <f t="shared" ca="1" si="11"/>
        <v>3% 이하</v>
      </c>
      <c r="Q359" s="194">
        <f ca="1">IFERROR(ROUND(OFFSET(환산공식!$FG$15,$F359,0),3),"")</f>
        <v>0</v>
      </c>
      <c r="R359" s="194">
        <f ca="1">OFFSET('배치점수 계산기'!H$10,$D359,0)</f>
        <v>895.03399999999999</v>
      </c>
      <c r="S359" s="194">
        <f ca="1">OFFSET('배치점수 계산기'!I$10,$D359,0)</f>
        <v>892.51400000000001</v>
      </c>
      <c r="T359" s="194">
        <f ca="1">OFFSET('배치점수 계산기'!J$10,$D359,0)</f>
        <v>888.83900000000006</v>
      </c>
      <c r="U359" s="194">
        <f ca="1">OFFSET('배치점수 계산기'!K$10,$D359,0)</f>
        <v>884.57600000000002</v>
      </c>
      <c r="V359" s="194">
        <f ca="1">OFFSET('배치점수 계산기'!L$10,$D359,0)</f>
        <v>878.3</v>
      </c>
      <c r="W359" s="186" t="str">
        <f ca="1">OFFSET('배치점수 계산기'!M$10,$D359,0)</f>
        <v>표점/만점</v>
      </c>
      <c r="X359" s="184" t="str">
        <f ca="1">OFFSET('배치점수 계산기'!N$10,$D359,0)</f>
        <v>변표/만점</v>
      </c>
      <c r="Y359" s="188">
        <f ca="1">OFFSET(환산공식!FW$15,$F359,0)</f>
        <v>0.41</v>
      </c>
      <c r="Z359" s="20">
        <f ca="1">OFFSET(환산공식!FX$15,$F359,0)</f>
        <v>0.28999999999999998</v>
      </c>
      <c r="AA359" s="179">
        <f ca="1">OFFSET(환산공식!FY$15,$F359,0)</f>
        <v>0.28999999999999998</v>
      </c>
      <c r="AB359" s="3"/>
      <c r="AD359">
        <f t="shared" ca="1" si="12"/>
        <v>6</v>
      </c>
      <c r="AF359" s="3"/>
      <c r="AG359" s="3"/>
      <c r="AH359" s="3"/>
    </row>
    <row r="360" spans="1:34">
      <c r="A360" s="198"/>
      <c r="B360" s="198"/>
      <c r="C360" s="198" t="s">
        <v>921</v>
      </c>
      <c r="D360" s="195">
        <v>410</v>
      </c>
      <c r="E360" s="195">
        <v>62</v>
      </c>
      <c r="F360" s="195">
        <v>62</v>
      </c>
      <c r="G360" s="239">
        <v>353</v>
      </c>
      <c r="H360" s="197" t="s">
        <v>72</v>
      </c>
      <c r="I360" s="242" t="s">
        <v>254</v>
      </c>
      <c r="J360" s="242" t="s">
        <v>10655</v>
      </c>
      <c r="K360" s="195" t="s">
        <v>71</v>
      </c>
      <c r="L360" s="20" t="str">
        <f ca="1">IF(OFFSET(환산공식!$ED$15,$F360,0)=1,"O","X")</f>
        <v>X</v>
      </c>
      <c r="M360" s="188">
        <f ca="1">IFERROR(OFFSET(환산공식!DJ$15,$F360,0),"")</f>
        <v>150</v>
      </c>
      <c r="N360" s="20" t="str">
        <f ca="1">IFERROR(CONCATENATE(ROUND(OFFSET(환산공식!DK$15,$F360,0),1),"%"),"")</f>
        <v>100%</v>
      </c>
      <c r="O360" s="20">
        <f ca="1">IFERROR(OFFSET(환산공식!DL$15,$F360,0),"")</f>
        <v>3</v>
      </c>
      <c r="P360" s="188" t="str">
        <f t="shared" ca="1" si="11"/>
        <v>3% 이하</v>
      </c>
      <c r="Q360" s="194">
        <f ca="1">IFERROR(ROUND(OFFSET(환산공식!$FG$15,$F360,0),3),"")</f>
        <v>0</v>
      </c>
      <c r="R360" s="194">
        <f ca="1">OFFSET('배치점수 계산기'!H$10,$D360,0)</f>
        <v>894.23699999999997</v>
      </c>
      <c r="S360" s="194">
        <f ca="1">OFFSET('배치점수 계산기'!I$10,$D360,0)</f>
        <v>891.49699999999996</v>
      </c>
      <c r="T360" s="194">
        <f ca="1">OFFSET('배치점수 계산기'!J$10,$D360,0)</f>
        <v>888.49099999999999</v>
      </c>
      <c r="U360" s="194">
        <f ca="1">OFFSET('배치점수 계산기'!K$10,$D360,0)</f>
        <v>884.31500000000005</v>
      </c>
      <c r="V360" s="194">
        <f ca="1">OFFSET('배치점수 계산기'!L$10,$D360,0)</f>
        <v>878.03899999999999</v>
      </c>
      <c r="W360" s="186" t="str">
        <f ca="1">OFFSET('배치점수 계산기'!M$10,$D360,0)</f>
        <v>표점/만점</v>
      </c>
      <c r="X360" s="184" t="str">
        <f ca="1">OFFSET('배치점수 계산기'!N$10,$D360,0)</f>
        <v>변표/만점</v>
      </c>
      <c r="Y360" s="188">
        <f ca="1">OFFSET(환산공식!FW$15,$F360,0)</f>
        <v>0.41</v>
      </c>
      <c r="Z360" s="20">
        <f ca="1">OFFSET(환산공식!FX$15,$F360,0)</f>
        <v>0.28999999999999998</v>
      </c>
      <c r="AA360" s="179">
        <f ca="1">OFFSET(환산공식!FY$15,$F360,0)</f>
        <v>0.28999999999999998</v>
      </c>
      <c r="AB360" s="3"/>
      <c r="AD360">
        <f t="shared" ca="1" si="12"/>
        <v>6</v>
      </c>
      <c r="AF360" s="3"/>
      <c r="AG360" s="3"/>
      <c r="AH360" s="3"/>
    </row>
    <row r="361" spans="1:34">
      <c r="A361" s="198"/>
      <c r="B361" s="198"/>
      <c r="C361" s="198" t="s">
        <v>922</v>
      </c>
      <c r="D361" s="195">
        <v>411</v>
      </c>
      <c r="E361" s="195">
        <v>62</v>
      </c>
      <c r="F361" s="195">
        <v>62</v>
      </c>
      <c r="G361" s="239">
        <v>354</v>
      </c>
      <c r="H361" s="197" t="s">
        <v>72</v>
      </c>
      <c r="I361" s="242" t="s">
        <v>254</v>
      </c>
      <c r="J361" s="242" t="s">
        <v>489</v>
      </c>
      <c r="K361" s="195" t="s">
        <v>71</v>
      </c>
      <c r="L361" s="20" t="str">
        <f ca="1">IF(OFFSET(환산공식!$ED$15,$F361,0)=1,"O","X")</f>
        <v>X</v>
      </c>
      <c r="M361" s="188">
        <f ca="1">IFERROR(OFFSET(환산공식!DJ$15,$F361,0),"")</f>
        <v>150</v>
      </c>
      <c r="N361" s="20" t="str">
        <f ca="1">IFERROR(CONCATENATE(ROUND(OFFSET(환산공식!DK$15,$F361,0),1),"%"),"")</f>
        <v>100%</v>
      </c>
      <c r="O361" s="20">
        <f ca="1">IFERROR(OFFSET(환산공식!DL$15,$F361,0),"")</f>
        <v>3</v>
      </c>
      <c r="P361" s="188" t="str">
        <f t="shared" ca="1" si="11"/>
        <v>3% 이하</v>
      </c>
      <c r="Q361" s="194">
        <f ca="1">IFERROR(ROUND(OFFSET(환산공식!$FG$15,$F361,0),3),"")</f>
        <v>0</v>
      </c>
      <c r="R361" s="194">
        <f ca="1">OFFSET('배치점수 계산기'!H$10,$D361,0)</f>
        <v>888.98</v>
      </c>
      <c r="S361" s="194">
        <f ca="1">OFFSET('배치점수 계산기'!I$10,$D361,0)</f>
        <v>886.67399999999998</v>
      </c>
      <c r="T361" s="194">
        <f ca="1">OFFSET('배치점수 계산기'!J$10,$D361,0)</f>
        <v>884.31500000000005</v>
      </c>
      <c r="U361" s="194">
        <f ca="1">OFFSET('배치점수 계산기'!K$10,$D361,0)</f>
        <v>879.94299999999998</v>
      </c>
      <c r="V361" s="194">
        <f ca="1">OFFSET('배치점수 계산기'!L$10,$D361,0)</f>
        <v>874.28</v>
      </c>
      <c r="W361" s="186" t="str">
        <f ca="1">OFFSET('배치점수 계산기'!M$10,$D361,0)</f>
        <v>표점/만점</v>
      </c>
      <c r="X361" s="184" t="str">
        <f ca="1">OFFSET('배치점수 계산기'!N$10,$D361,0)</f>
        <v>변표/만점</v>
      </c>
      <c r="Y361" s="188">
        <f ca="1">OFFSET(환산공식!FW$15,$F361,0)</f>
        <v>0.41</v>
      </c>
      <c r="Z361" s="20">
        <f ca="1">OFFSET(환산공식!FX$15,$F361,0)</f>
        <v>0.28999999999999998</v>
      </c>
      <c r="AA361" s="179">
        <f ca="1">OFFSET(환산공식!FY$15,$F361,0)</f>
        <v>0.28999999999999998</v>
      </c>
      <c r="AB361" s="3"/>
      <c r="AD361">
        <f t="shared" ca="1" si="12"/>
        <v>6</v>
      </c>
      <c r="AF361" s="3"/>
      <c r="AG361" s="3"/>
      <c r="AH361" s="3"/>
    </row>
    <row r="362" spans="1:34">
      <c r="A362" s="198"/>
      <c r="B362" s="198"/>
      <c r="C362" s="198" t="s">
        <v>923</v>
      </c>
      <c r="D362" s="195">
        <v>412</v>
      </c>
      <c r="E362" s="195">
        <v>85</v>
      </c>
      <c r="F362" s="195">
        <v>85</v>
      </c>
      <c r="G362" s="239">
        <v>355</v>
      </c>
      <c r="H362" s="197" t="s">
        <v>72</v>
      </c>
      <c r="I362" s="242" t="s">
        <v>9189</v>
      </c>
      <c r="J362" s="242" t="s">
        <v>9515</v>
      </c>
      <c r="K362" s="195" t="s">
        <v>70</v>
      </c>
      <c r="L362" s="20" t="str">
        <f ca="1">IF(OFFSET(환산공식!$ED$15,$F362,0)=1,"O","X")</f>
        <v>X</v>
      </c>
      <c r="M362" s="188">
        <f ca="1">IFERROR(OFFSET(환산공식!DJ$15,$F362,0),"")</f>
        <v>200</v>
      </c>
      <c r="N362" s="20" t="str">
        <f ca="1">IFERROR(CONCATENATE(ROUND(OFFSET(환산공식!DK$15,$F362,0),1),"%"),"")</f>
        <v>100%</v>
      </c>
      <c r="O362" s="20">
        <f ca="1">IFERROR(OFFSET(환산공식!DL$15,$F362,0),"")</f>
        <v>0</v>
      </c>
      <c r="P362" s="188" t="str">
        <f t="shared" ca="1" si="11"/>
        <v>3% 이하</v>
      </c>
      <c r="Q362" s="194">
        <f ca="1">IFERROR(ROUND(OFFSET(환산공식!$FG$15,$F362,0),3),"")</f>
        <v>0</v>
      </c>
      <c r="R362" s="194">
        <f ca="1">OFFSET('배치점수 계산기'!H$10,$D362,0)</f>
        <v>924.33600000000001</v>
      </c>
      <c r="S362" s="194">
        <f ca="1">OFFSET('배치점수 계산기'!I$10,$D362,0)</f>
        <v>922.07899999999995</v>
      </c>
      <c r="T362" s="194">
        <f ca="1">OFFSET('배치점수 계산기'!J$10,$D362,0)</f>
        <v>919.36</v>
      </c>
      <c r="U362" s="194">
        <f ca="1">OFFSET('배치점수 계산기'!K$10,$D362,0)</f>
        <v>915.30499999999995</v>
      </c>
      <c r="V362" s="194">
        <f ca="1">OFFSET('배치점수 계산기'!L$10,$D362,0)</f>
        <v>907.47299999999996</v>
      </c>
      <c r="W362" s="186" t="str">
        <f ca="1">OFFSET('배치점수 계산기'!M$10,$D362,0)</f>
        <v>표점/만점</v>
      </c>
      <c r="X362" s="184" t="str">
        <f ca="1">OFFSET('배치점수 계산기'!N$10,$D362,0)</f>
        <v>표점/만점</v>
      </c>
      <c r="Y362" s="188">
        <f ca="1">OFFSET(환산공식!FW$15,$F362,0)</f>
        <v>0.25</v>
      </c>
      <c r="Z362" s="20">
        <f ca="1">OFFSET(환산공식!FX$15,$F362,0)</f>
        <v>0.44</v>
      </c>
      <c r="AA362" s="179">
        <f ca="1">OFFSET(환산공식!FY$15,$F362,0)</f>
        <v>0.31</v>
      </c>
      <c r="AB362" s="3"/>
      <c r="AD362">
        <f t="shared" ca="1" si="12"/>
        <v>6</v>
      </c>
      <c r="AF362" s="3"/>
      <c r="AG362" s="3"/>
      <c r="AH362" s="3"/>
    </row>
    <row r="363" spans="1:34">
      <c r="A363" s="198"/>
      <c r="B363" s="198"/>
      <c r="C363" s="198" t="s">
        <v>924</v>
      </c>
      <c r="D363" s="195">
        <v>413</v>
      </c>
      <c r="E363" s="195">
        <v>85</v>
      </c>
      <c r="F363" s="195">
        <v>85</v>
      </c>
      <c r="G363" s="239">
        <v>356</v>
      </c>
      <c r="H363" s="197" t="s">
        <v>72</v>
      </c>
      <c r="I363" s="242" t="s">
        <v>9189</v>
      </c>
      <c r="J363" s="242" t="s">
        <v>9665</v>
      </c>
      <c r="K363" s="195" t="s">
        <v>70</v>
      </c>
      <c r="L363" s="20" t="str">
        <f ca="1">IF(OFFSET(환산공식!$ED$15,$F363,0)=1,"O","X")</f>
        <v>X</v>
      </c>
      <c r="M363" s="188">
        <f ca="1">IFERROR(OFFSET(환산공식!DJ$15,$F363,0),"")</f>
        <v>200</v>
      </c>
      <c r="N363" s="20" t="str">
        <f ca="1">IFERROR(CONCATENATE(ROUND(OFFSET(환산공식!DK$15,$F363,0),1),"%"),"")</f>
        <v>100%</v>
      </c>
      <c r="O363" s="20">
        <f ca="1">IFERROR(OFFSET(환산공식!DL$15,$F363,0),"")</f>
        <v>0</v>
      </c>
      <c r="P363" s="188" t="str">
        <f t="shared" ca="1" si="11"/>
        <v>3% 이하</v>
      </c>
      <c r="Q363" s="194">
        <f ca="1">IFERROR(ROUND(OFFSET(환산공식!$FG$15,$F363,0),3),"")</f>
        <v>0</v>
      </c>
      <c r="R363" s="194">
        <f ca="1">OFFSET('배치점수 계산기'!H$10,$D363,0)</f>
        <v>920.625</v>
      </c>
      <c r="S363" s="194">
        <f ca="1">OFFSET('배치점수 계산기'!I$10,$D363,0)</f>
        <v>919.36</v>
      </c>
      <c r="T363" s="194">
        <f ca="1">OFFSET('배치점수 계산기'!J$10,$D363,0)</f>
        <v>916.77099999999996</v>
      </c>
      <c r="U363" s="194">
        <f ca="1">OFFSET('배치점수 계산기'!K$10,$D363,0)</f>
        <v>912.221</v>
      </c>
      <c r="V363" s="194">
        <f ca="1">OFFSET('배치점수 계산기'!L$10,$D363,0)</f>
        <v>904.45100000000002</v>
      </c>
      <c r="W363" s="186" t="str">
        <f ca="1">OFFSET('배치점수 계산기'!M$10,$D363,0)</f>
        <v>표점/만점</v>
      </c>
      <c r="X363" s="184" t="str">
        <f ca="1">OFFSET('배치점수 계산기'!N$10,$D363,0)</f>
        <v>표점/만점</v>
      </c>
      <c r="Y363" s="188">
        <f ca="1">OFFSET(환산공식!FW$15,$F363,0)</f>
        <v>0.25</v>
      </c>
      <c r="Z363" s="20">
        <f ca="1">OFFSET(환산공식!FX$15,$F363,0)</f>
        <v>0.44</v>
      </c>
      <c r="AA363" s="179">
        <f ca="1">OFFSET(환산공식!FY$15,$F363,0)</f>
        <v>0.31</v>
      </c>
      <c r="AB363" s="3"/>
      <c r="AD363">
        <f t="shared" ca="1" si="12"/>
        <v>6</v>
      </c>
      <c r="AF363" s="3"/>
      <c r="AG363" s="3"/>
      <c r="AH363" s="3"/>
    </row>
    <row r="364" spans="1:34">
      <c r="A364" s="198"/>
      <c r="B364" s="198"/>
      <c r="C364" s="198" t="s">
        <v>925</v>
      </c>
      <c r="D364" s="195">
        <v>414</v>
      </c>
      <c r="E364" s="195">
        <v>85</v>
      </c>
      <c r="F364" s="195">
        <v>85</v>
      </c>
      <c r="G364" s="239">
        <v>357</v>
      </c>
      <c r="H364" s="197" t="s">
        <v>72</v>
      </c>
      <c r="I364" s="242" t="s">
        <v>9189</v>
      </c>
      <c r="J364" s="242" t="s">
        <v>8856</v>
      </c>
      <c r="K364" s="195" t="s">
        <v>70</v>
      </c>
      <c r="L364" s="20" t="str">
        <f ca="1">IF(OFFSET(환산공식!$ED$15,$F364,0)=1,"O","X")</f>
        <v>X</v>
      </c>
      <c r="M364" s="188">
        <f ca="1">IFERROR(OFFSET(환산공식!DJ$15,$F364,0),"")</f>
        <v>200</v>
      </c>
      <c r="N364" s="20" t="str">
        <f ca="1">IFERROR(CONCATENATE(ROUND(OFFSET(환산공식!DK$15,$F364,0),1),"%"),"")</f>
        <v>100%</v>
      </c>
      <c r="O364" s="20">
        <f ca="1">IFERROR(OFFSET(환산공식!DL$15,$F364,0),"")</f>
        <v>0</v>
      </c>
      <c r="P364" s="188" t="str">
        <f t="shared" ca="1" si="11"/>
        <v>3% 이하</v>
      </c>
      <c r="Q364" s="194">
        <f ca="1">IFERROR(ROUND(OFFSET(환산공식!$FG$15,$F364,0),3),"")</f>
        <v>0</v>
      </c>
      <c r="R364" s="194">
        <f ca="1">OFFSET('배치점수 계산기'!H$10,$D364,0)</f>
        <v>917.43100000000004</v>
      </c>
      <c r="S364" s="194">
        <f ca="1">OFFSET('배치점수 계산기'!I$10,$D364,0)</f>
        <v>915.30499999999995</v>
      </c>
      <c r="T364" s="194">
        <f ca="1">OFFSET('배치점수 계산기'!J$10,$D364,0)</f>
        <v>911.96900000000005</v>
      </c>
      <c r="U364" s="194">
        <f ca="1">OFFSET('배치점수 계산기'!K$10,$D364,0)</f>
        <v>907.78099999999995</v>
      </c>
      <c r="V364" s="194">
        <f ca="1">OFFSET('배치점수 계산기'!L$10,$D364,0)</f>
        <v>899.52700000000004</v>
      </c>
      <c r="W364" s="186" t="str">
        <f ca="1">OFFSET('배치점수 계산기'!M$10,$D364,0)</f>
        <v>표점/만점</v>
      </c>
      <c r="X364" s="184" t="str">
        <f ca="1">OFFSET('배치점수 계산기'!N$10,$D364,0)</f>
        <v>표점/만점</v>
      </c>
      <c r="Y364" s="188">
        <f ca="1">OFFSET(환산공식!FW$15,$F364,0)</f>
        <v>0.25</v>
      </c>
      <c r="Z364" s="20">
        <f ca="1">OFFSET(환산공식!FX$15,$F364,0)</f>
        <v>0.44</v>
      </c>
      <c r="AA364" s="179">
        <f ca="1">OFFSET(환산공식!FY$15,$F364,0)</f>
        <v>0.31</v>
      </c>
      <c r="AB364" s="3"/>
      <c r="AD364">
        <f t="shared" ca="1" si="12"/>
        <v>6</v>
      </c>
      <c r="AF364" s="3"/>
      <c r="AG364" s="3"/>
      <c r="AH364" s="3"/>
    </row>
    <row r="365" spans="1:34">
      <c r="A365" s="198"/>
      <c r="B365" s="198"/>
      <c r="C365" s="198" t="s">
        <v>926</v>
      </c>
      <c r="D365" s="195">
        <v>415</v>
      </c>
      <c r="E365" s="195">
        <v>85</v>
      </c>
      <c r="F365" s="195">
        <v>85</v>
      </c>
      <c r="G365" s="239">
        <v>358</v>
      </c>
      <c r="H365" s="197" t="s">
        <v>72</v>
      </c>
      <c r="I365" s="242" t="s">
        <v>9189</v>
      </c>
      <c r="J365" s="242" t="s">
        <v>9888</v>
      </c>
      <c r="K365" s="195" t="s">
        <v>70</v>
      </c>
      <c r="L365" s="20" t="str">
        <f ca="1">IF(OFFSET(환산공식!$ED$15,$F365,0)=1,"O","X")</f>
        <v>X</v>
      </c>
      <c r="M365" s="188">
        <f ca="1">IFERROR(OFFSET(환산공식!DJ$15,$F365,0),"")</f>
        <v>200</v>
      </c>
      <c r="N365" s="20" t="str">
        <f ca="1">IFERROR(CONCATENATE(ROUND(OFFSET(환산공식!DK$15,$F365,0),1),"%"),"")</f>
        <v>100%</v>
      </c>
      <c r="O365" s="20">
        <f ca="1">IFERROR(OFFSET(환산공식!DL$15,$F365,0),"")</f>
        <v>0</v>
      </c>
      <c r="P365" s="188" t="str">
        <f t="shared" ca="1" si="11"/>
        <v>3% 이하</v>
      </c>
      <c r="Q365" s="194">
        <f ca="1">IFERROR(ROUND(OFFSET(환산공식!$FG$15,$F365,0),3),"")</f>
        <v>0</v>
      </c>
      <c r="R365" s="194">
        <f ca="1">OFFSET('배치점수 계산기'!H$10,$D365,0)</f>
        <v>916.90800000000002</v>
      </c>
      <c r="S365" s="194">
        <f ca="1">OFFSET('배치점수 계산기'!I$10,$D365,0)</f>
        <v>914.59100000000001</v>
      </c>
      <c r="T365" s="194">
        <f ca="1">OFFSET('배치점수 계산기'!J$10,$D365,0)</f>
        <v>911.25300000000004</v>
      </c>
      <c r="U365" s="194">
        <f ca="1">OFFSET('배치점수 계산기'!K$10,$D365,0)</f>
        <v>907.01099999999997</v>
      </c>
      <c r="V365" s="194">
        <f ca="1">OFFSET('배치점수 계산기'!L$10,$D365,0)</f>
        <v>898.64099999999996</v>
      </c>
      <c r="W365" s="186" t="str">
        <f ca="1">OFFSET('배치점수 계산기'!M$10,$D365,0)</f>
        <v>표점/만점</v>
      </c>
      <c r="X365" s="184" t="str">
        <f ca="1">OFFSET('배치점수 계산기'!N$10,$D365,0)</f>
        <v>표점/만점</v>
      </c>
      <c r="Y365" s="188">
        <f ca="1">OFFSET(환산공식!FW$15,$F365,0)</f>
        <v>0.25</v>
      </c>
      <c r="Z365" s="20">
        <f ca="1">OFFSET(환산공식!FX$15,$F365,0)</f>
        <v>0.44</v>
      </c>
      <c r="AA365" s="179">
        <f ca="1">OFFSET(환산공식!FY$15,$F365,0)</f>
        <v>0.31</v>
      </c>
      <c r="AB365" s="3"/>
      <c r="AD365">
        <f t="shared" ca="1" si="12"/>
        <v>6</v>
      </c>
      <c r="AF365" s="3"/>
      <c r="AG365" s="3"/>
      <c r="AH365" s="3"/>
    </row>
    <row r="366" spans="1:34">
      <c r="A366" s="198"/>
      <c r="B366" s="198"/>
      <c r="C366" s="198" t="s">
        <v>927</v>
      </c>
      <c r="D366" s="195">
        <v>416</v>
      </c>
      <c r="E366" s="195">
        <v>85</v>
      </c>
      <c r="F366" s="195">
        <v>85</v>
      </c>
      <c r="G366" s="239">
        <v>359</v>
      </c>
      <c r="H366" s="197" t="s">
        <v>72</v>
      </c>
      <c r="I366" s="242" t="s">
        <v>9189</v>
      </c>
      <c r="J366" s="242" t="s">
        <v>8835</v>
      </c>
      <c r="K366" s="195" t="s">
        <v>70</v>
      </c>
      <c r="L366" s="20" t="str">
        <f ca="1">IF(OFFSET(환산공식!$ED$15,$F366,0)=1,"O","X")</f>
        <v>X</v>
      </c>
      <c r="M366" s="188">
        <f ca="1">IFERROR(OFFSET(환산공식!DJ$15,$F366,0),"")</f>
        <v>200</v>
      </c>
      <c r="N366" s="20" t="str">
        <f ca="1">IFERROR(CONCATENATE(ROUND(OFFSET(환산공식!DK$15,$F366,0),1),"%"),"")</f>
        <v>100%</v>
      </c>
      <c r="O366" s="20">
        <f ca="1">IFERROR(OFFSET(환산공식!DL$15,$F366,0),"")</f>
        <v>0</v>
      </c>
      <c r="P366" s="188" t="str">
        <f t="shared" ca="1" si="11"/>
        <v>3% 이하</v>
      </c>
      <c r="Q366" s="194">
        <f ca="1">IFERROR(ROUND(OFFSET(환산공식!$FG$15,$F366,0),3),"")</f>
        <v>0</v>
      </c>
      <c r="R366" s="194">
        <f ca="1">OFFSET('배치점수 계산기'!H$10,$D366,0)</f>
        <v>916.27300000000002</v>
      </c>
      <c r="S366" s="194">
        <f ca="1">OFFSET('배치점수 계산기'!I$10,$D366,0)</f>
        <v>913.56899999999996</v>
      </c>
      <c r="T366" s="194">
        <f ca="1">OFFSET('배치점수 계산기'!J$10,$D366,0)</f>
        <v>910.67499999999995</v>
      </c>
      <c r="U366" s="194">
        <f ca="1">OFFSET('배치점수 계산기'!K$10,$D366,0)</f>
        <v>906.125</v>
      </c>
      <c r="V366" s="194">
        <f ca="1">OFFSET('배치점수 계산기'!L$10,$D366,0)</f>
        <v>897.92700000000002</v>
      </c>
      <c r="W366" s="186" t="str">
        <f ca="1">OFFSET('배치점수 계산기'!M$10,$D366,0)</f>
        <v>표점/만점</v>
      </c>
      <c r="X366" s="184" t="str">
        <f ca="1">OFFSET('배치점수 계산기'!N$10,$D366,0)</f>
        <v>표점/만점</v>
      </c>
      <c r="Y366" s="188">
        <f ca="1">OFFSET(환산공식!FW$15,$F366,0)</f>
        <v>0.25</v>
      </c>
      <c r="Z366" s="20">
        <f ca="1">OFFSET(환산공식!FX$15,$F366,0)</f>
        <v>0.44</v>
      </c>
      <c r="AA366" s="179">
        <f ca="1">OFFSET(환산공식!FY$15,$F366,0)</f>
        <v>0.31</v>
      </c>
      <c r="AB366" s="3"/>
      <c r="AD366">
        <f t="shared" ca="1" si="12"/>
        <v>6</v>
      </c>
      <c r="AF366" s="3"/>
      <c r="AG366" s="3"/>
      <c r="AH366" s="3"/>
    </row>
    <row r="367" spans="1:34">
      <c r="A367" s="198"/>
      <c r="B367" s="198"/>
      <c r="C367" s="198" t="s">
        <v>928</v>
      </c>
      <c r="D367" s="195">
        <v>417</v>
      </c>
      <c r="E367" s="195">
        <v>85</v>
      </c>
      <c r="F367" s="195">
        <v>85</v>
      </c>
      <c r="G367" s="239">
        <v>360</v>
      </c>
      <c r="H367" s="197" t="s">
        <v>72</v>
      </c>
      <c r="I367" s="242" t="s">
        <v>9189</v>
      </c>
      <c r="J367" s="242" t="s">
        <v>10133</v>
      </c>
      <c r="K367" s="195" t="s">
        <v>70</v>
      </c>
      <c r="L367" s="20" t="str">
        <f ca="1">IF(OFFSET(환산공식!$ED$15,$F367,0)=1,"O","X")</f>
        <v>X</v>
      </c>
      <c r="M367" s="188">
        <f ca="1">IFERROR(OFFSET(환산공식!DJ$15,$F367,0),"")</f>
        <v>200</v>
      </c>
      <c r="N367" s="20" t="str">
        <f ca="1">IFERROR(CONCATENATE(ROUND(OFFSET(환산공식!DK$15,$F367,0),1),"%"),"")</f>
        <v>100%</v>
      </c>
      <c r="O367" s="20">
        <f ca="1">IFERROR(OFFSET(환산공식!DL$15,$F367,0),"")</f>
        <v>0</v>
      </c>
      <c r="P367" s="188" t="str">
        <f t="shared" ca="1" si="11"/>
        <v>3% 이하</v>
      </c>
      <c r="Q367" s="194">
        <f ca="1">IFERROR(ROUND(OFFSET(환산공식!$FG$15,$F367,0),3),"")</f>
        <v>0</v>
      </c>
      <c r="R367" s="194">
        <f ca="1">OFFSET('배치점수 계산기'!H$10,$D367,0)</f>
        <v>913.24300000000005</v>
      </c>
      <c r="S367" s="194">
        <f ca="1">OFFSET('배치점수 계산기'!I$10,$D367,0)</f>
        <v>910.67499999999995</v>
      </c>
      <c r="T367" s="194">
        <f ca="1">OFFSET('배치점수 계산기'!J$10,$D367,0)</f>
        <v>907.47299999999996</v>
      </c>
      <c r="U367" s="194">
        <f ca="1">OFFSET('배치점수 계산기'!K$10,$D367,0)</f>
        <v>902.59900000000005</v>
      </c>
      <c r="V367" s="194">
        <f ca="1">OFFSET('배치점수 계산기'!L$10,$D367,0)</f>
        <v>895.88300000000004</v>
      </c>
      <c r="W367" s="186" t="str">
        <f ca="1">OFFSET('배치점수 계산기'!M$10,$D367,0)</f>
        <v>표점/만점</v>
      </c>
      <c r="X367" s="184" t="str">
        <f ca="1">OFFSET('배치점수 계산기'!N$10,$D367,0)</f>
        <v>표점/만점</v>
      </c>
      <c r="Y367" s="188">
        <f ca="1">OFFSET(환산공식!FW$15,$F367,0)</f>
        <v>0.25</v>
      </c>
      <c r="Z367" s="20">
        <f ca="1">OFFSET(환산공식!FX$15,$F367,0)</f>
        <v>0.44</v>
      </c>
      <c r="AA367" s="179">
        <f ca="1">OFFSET(환산공식!FY$15,$F367,0)</f>
        <v>0.31</v>
      </c>
      <c r="AB367" s="3"/>
      <c r="AD367">
        <f t="shared" ca="1" si="12"/>
        <v>6</v>
      </c>
      <c r="AF367" s="3"/>
      <c r="AG367" s="3"/>
      <c r="AH367" s="3"/>
    </row>
    <row r="368" spans="1:34">
      <c r="A368" s="198"/>
      <c r="B368" s="198"/>
      <c r="C368" s="198" t="s">
        <v>929</v>
      </c>
      <c r="D368" s="195">
        <v>418</v>
      </c>
      <c r="E368" s="195">
        <v>85</v>
      </c>
      <c r="F368" s="195">
        <v>85</v>
      </c>
      <c r="G368" s="239">
        <v>361</v>
      </c>
      <c r="H368" s="197" t="s">
        <v>72</v>
      </c>
      <c r="I368" s="242" t="s">
        <v>9189</v>
      </c>
      <c r="J368" s="242" t="s">
        <v>10129</v>
      </c>
      <c r="K368" s="195" t="s">
        <v>70</v>
      </c>
      <c r="L368" s="20" t="str">
        <f ca="1">IF(OFFSET(환산공식!$ED$15,$F368,0)=1,"O","X")</f>
        <v>X</v>
      </c>
      <c r="M368" s="188">
        <f ca="1">IFERROR(OFFSET(환산공식!DJ$15,$F368,0),"")</f>
        <v>200</v>
      </c>
      <c r="N368" s="20" t="str">
        <f ca="1">IFERROR(CONCATENATE(ROUND(OFFSET(환산공식!DK$15,$F368,0),1),"%"),"")</f>
        <v>100%</v>
      </c>
      <c r="O368" s="20">
        <f ca="1">IFERROR(OFFSET(환산공식!DL$15,$F368,0),"")</f>
        <v>0</v>
      </c>
      <c r="P368" s="188" t="str">
        <f t="shared" ca="1" si="11"/>
        <v>3% 이하</v>
      </c>
      <c r="Q368" s="194">
        <f ca="1">IFERROR(ROUND(OFFSET(환산공식!$FG$15,$F368,0),3),"")</f>
        <v>0</v>
      </c>
      <c r="R368" s="194">
        <f ca="1">OFFSET('배치점수 계산기'!H$10,$D368,0)</f>
        <v>913.24300000000005</v>
      </c>
      <c r="S368" s="194">
        <f ca="1">OFFSET('배치점수 계산기'!I$10,$D368,0)</f>
        <v>910.67499999999995</v>
      </c>
      <c r="T368" s="194">
        <f ca="1">OFFSET('배치점수 계산기'!J$10,$D368,0)</f>
        <v>907.47299999999996</v>
      </c>
      <c r="U368" s="194">
        <f ca="1">OFFSET('배치점수 계산기'!K$10,$D368,0)</f>
        <v>902.59900000000005</v>
      </c>
      <c r="V368" s="194">
        <f ca="1">OFFSET('배치점수 계산기'!L$10,$D368,0)</f>
        <v>895.88300000000004</v>
      </c>
      <c r="W368" s="186" t="str">
        <f ca="1">OFFSET('배치점수 계산기'!M$10,$D368,0)</f>
        <v>표점/만점</v>
      </c>
      <c r="X368" s="184" t="str">
        <f ca="1">OFFSET('배치점수 계산기'!N$10,$D368,0)</f>
        <v>표점/만점</v>
      </c>
      <c r="Y368" s="188">
        <f ca="1">OFFSET(환산공식!FW$15,$F368,0)</f>
        <v>0.25</v>
      </c>
      <c r="Z368" s="20">
        <f ca="1">OFFSET(환산공식!FX$15,$F368,0)</f>
        <v>0.44</v>
      </c>
      <c r="AA368" s="179">
        <f ca="1">OFFSET(환산공식!FY$15,$F368,0)</f>
        <v>0.31</v>
      </c>
      <c r="AB368" s="3"/>
      <c r="AD368">
        <f t="shared" ca="1" si="12"/>
        <v>6</v>
      </c>
      <c r="AF368" s="3"/>
      <c r="AG368" s="3"/>
      <c r="AH368" s="3"/>
    </row>
    <row r="369" spans="1:34">
      <c r="A369" s="198"/>
      <c r="B369" s="198"/>
      <c r="C369" s="198" t="s">
        <v>930</v>
      </c>
      <c r="D369" s="195">
        <v>419</v>
      </c>
      <c r="E369" s="195">
        <v>85</v>
      </c>
      <c r="F369" s="195">
        <v>85</v>
      </c>
      <c r="G369" s="239">
        <v>362</v>
      </c>
      <c r="H369" s="197" t="s">
        <v>72</v>
      </c>
      <c r="I369" s="242" t="s">
        <v>9189</v>
      </c>
      <c r="J369" s="242" t="s">
        <v>9971</v>
      </c>
      <c r="K369" s="195" t="s">
        <v>70</v>
      </c>
      <c r="L369" s="20" t="str">
        <f ca="1">IF(OFFSET(환산공식!$ED$15,$F369,0)=1,"O","X")</f>
        <v>X</v>
      </c>
      <c r="M369" s="188">
        <f ca="1">IFERROR(OFFSET(환산공식!DJ$15,$F369,0),"")</f>
        <v>200</v>
      </c>
      <c r="N369" s="20" t="str">
        <f ca="1">IFERROR(CONCATENATE(ROUND(OFFSET(환산공식!DK$15,$F369,0),1),"%"),"")</f>
        <v>100%</v>
      </c>
      <c r="O369" s="20">
        <f ca="1">IFERROR(OFFSET(환산공식!DL$15,$F369,0),"")</f>
        <v>0</v>
      </c>
      <c r="P369" s="188" t="str">
        <f t="shared" ca="1" si="11"/>
        <v>3% 이하</v>
      </c>
      <c r="Q369" s="194">
        <f ca="1">IFERROR(ROUND(OFFSET(환산공식!$FG$15,$F369,0),3),"")</f>
        <v>0</v>
      </c>
      <c r="R369" s="194">
        <f ca="1">OFFSET('배치점수 계산기'!H$10,$D369,0)</f>
        <v>912.221</v>
      </c>
      <c r="S369" s="194">
        <f ca="1">OFFSET('배치점수 계산기'!I$10,$D369,0)</f>
        <v>909.84299999999996</v>
      </c>
      <c r="T369" s="194">
        <f ca="1">OFFSET('배치점수 계산기'!J$10,$D369,0)</f>
        <v>906.68499999999995</v>
      </c>
      <c r="U369" s="194">
        <f ca="1">OFFSET('배치점수 계산기'!K$10,$D369,0)</f>
        <v>901.51499999999999</v>
      </c>
      <c r="V369" s="194">
        <f ca="1">OFFSET('배치점수 계산기'!L$10,$D369,0)</f>
        <v>895.62900000000002</v>
      </c>
      <c r="W369" s="186" t="str">
        <f ca="1">OFFSET('배치점수 계산기'!M$10,$D369,0)</f>
        <v>표점/만점</v>
      </c>
      <c r="X369" s="184" t="str">
        <f ca="1">OFFSET('배치점수 계산기'!N$10,$D369,0)</f>
        <v>표점/만점</v>
      </c>
      <c r="Y369" s="188">
        <f ca="1">OFFSET(환산공식!FW$15,$F369,0)</f>
        <v>0.25</v>
      </c>
      <c r="Z369" s="20">
        <f ca="1">OFFSET(환산공식!FX$15,$F369,0)</f>
        <v>0.44</v>
      </c>
      <c r="AA369" s="179">
        <f ca="1">OFFSET(환산공식!FY$15,$F369,0)</f>
        <v>0.31</v>
      </c>
      <c r="AB369" s="3"/>
      <c r="AD369">
        <f t="shared" ca="1" si="12"/>
        <v>6</v>
      </c>
      <c r="AF369" s="3"/>
      <c r="AG369" s="3"/>
      <c r="AH369" s="3"/>
    </row>
    <row r="370" spans="1:34">
      <c r="A370" s="198"/>
      <c r="B370" s="198"/>
      <c r="C370" s="198" t="s">
        <v>931</v>
      </c>
      <c r="D370" s="195">
        <v>420</v>
      </c>
      <c r="E370" s="195">
        <v>85</v>
      </c>
      <c r="F370" s="195">
        <v>85</v>
      </c>
      <c r="G370" s="239">
        <v>363</v>
      </c>
      <c r="H370" s="197" t="s">
        <v>72</v>
      </c>
      <c r="I370" s="242" t="s">
        <v>9189</v>
      </c>
      <c r="J370" s="242" t="s">
        <v>8480</v>
      </c>
      <c r="K370" s="195" t="s">
        <v>70</v>
      </c>
      <c r="L370" s="20" t="str">
        <f ca="1">IF(OFFSET(환산공식!$ED$15,$F370,0)=1,"O","X")</f>
        <v>X</v>
      </c>
      <c r="M370" s="188">
        <f ca="1">IFERROR(OFFSET(환산공식!DJ$15,$F370,0),"")</f>
        <v>200</v>
      </c>
      <c r="N370" s="20" t="str">
        <f ca="1">IFERROR(CONCATENATE(ROUND(OFFSET(환산공식!DK$15,$F370,0),1),"%"),"")</f>
        <v>100%</v>
      </c>
      <c r="O370" s="20">
        <f ca="1">IFERROR(OFFSET(환산공식!DL$15,$F370,0),"")</f>
        <v>0</v>
      </c>
      <c r="P370" s="188" t="str">
        <f t="shared" ca="1" si="11"/>
        <v>3% 이하</v>
      </c>
      <c r="Q370" s="194">
        <f ca="1">IFERROR(ROUND(OFFSET(환산공식!$FG$15,$F370,0),3),"")</f>
        <v>0</v>
      </c>
      <c r="R370" s="194">
        <f ca="1">OFFSET('배치점수 계산기'!H$10,$D370,0)</f>
        <v>911.64300000000003</v>
      </c>
      <c r="S370" s="194">
        <f ca="1">OFFSET('배치점수 계산기'!I$10,$D370,0)</f>
        <v>909.38099999999997</v>
      </c>
      <c r="T370" s="194">
        <f ca="1">OFFSET('배치점수 계산기'!J$10,$D370,0)</f>
        <v>906.125</v>
      </c>
      <c r="U370" s="194">
        <f ca="1">OFFSET('배치점수 계산기'!K$10,$D370,0)</f>
        <v>900.74699999999996</v>
      </c>
      <c r="V370" s="194">
        <f ca="1">OFFSET('배치점수 계산기'!L$10,$D370,0)</f>
        <v>894.53</v>
      </c>
      <c r="W370" s="186" t="str">
        <f ca="1">OFFSET('배치점수 계산기'!M$10,$D370,0)</f>
        <v>표점/만점</v>
      </c>
      <c r="X370" s="184" t="str">
        <f ca="1">OFFSET('배치점수 계산기'!N$10,$D370,0)</f>
        <v>표점/만점</v>
      </c>
      <c r="Y370" s="188">
        <f ca="1">OFFSET(환산공식!FW$15,$F370,0)</f>
        <v>0.25</v>
      </c>
      <c r="Z370" s="20">
        <f ca="1">OFFSET(환산공식!FX$15,$F370,0)</f>
        <v>0.44</v>
      </c>
      <c r="AA370" s="179">
        <f ca="1">OFFSET(환산공식!FY$15,$F370,0)</f>
        <v>0.31</v>
      </c>
      <c r="AB370" s="3"/>
      <c r="AD370">
        <f t="shared" ca="1" si="12"/>
        <v>6</v>
      </c>
      <c r="AF370" s="3"/>
      <c r="AG370" s="3"/>
      <c r="AH370" s="3"/>
    </row>
    <row r="371" spans="1:34">
      <c r="A371" s="198"/>
      <c r="B371" s="198"/>
      <c r="C371" s="198" t="s">
        <v>932</v>
      </c>
      <c r="D371" s="195">
        <v>421</v>
      </c>
      <c r="E371" s="195">
        <v>85</v>
      </c>
      <c r="F371" s="195">
        <v>85</v>
      </c>
      <c r="G371" s="239">
        <v>364</v>
      </c>
      <c r="H371" s="197" t="s">
        <v>72</v>
      </c>
      <c r="I371" s="242" t="s">
        <v>9189</v>
      </c>
      <c r="J371" s="242" t="s">
        <v>10163</v>
      </c>
      <c r="K371" s="195" t="s">
        <v>70</v>
      </c>
      <c r="L371" s="20" t="str">
        <f ca="1">IF(OFFSET(환산공식!$ED$15,$F371,0)=1,"O","X")</f>
        <v>X</v>
      </c>
      <c r="M371" s="188">
        <f ca="1">IFERROR(OFFSET(환산공식!DJ$15,$F371,0),"")</f>
        <v>200</v>
      </c>
      <c r="N371" s="20" t="str">
        <f ca="1">IFERROR(CONCATENATE(ROUND(OFFSET(환산공식!DK$15,$F371,0),1),"%"),"")</f>
        <v>100%</v>
      </c>
      <c r="O371" s="20">
        <f ca="1">IFERROR(OFFSET(환산공식!DL$15,$F371,0),"")</f>
        <v>0</v>
      </c>
      <c r="P371" s="188" t="str">
        <f t="shared" ca="1" si="11"/>
        <v>3% 이하</v>
      </c>
      <c r="Q371" s="194">
        <f ca="1">IFERROR(ROUND(OFFSET(환산공식!$FG$15,$F371,0),3),"")</f>
        <v>0</v>
      </c>
      <c r="R371" s="194">
        <f ca="1">OFFSET('배치점수 계산기'!H$10,$D371,0)</f>
        <v>911.00099999999998</v>
      </c>
      <c r="S371" s="194">
        <f ca="1">OFFSET('배치점수 계산기'!I$10,$D371,0)</f>
        <v>907.91700000000003</v>
      </c>
      <c r="T371" s="194">
        <f ca="1">OFFSET('배치점수 계산기'!J$10,$D371,0)</f>
        <v>905.08500000000004</v>
      </c>
      <c r="U371" s="194">
        <f ca="1">OFFSET('배치점수 계산기'!K$10,$D371,0)</f>
        <v>899.91499999999996</v>
      </c>
      <c r="V371" s="194">
        <f ca="1">OFFSET('배치점수 계산기'!L$10,$D371,0)</f>
        <v>893.75900000000001</v>
      </c>
      <c r="W371" s="186" t="str">
        <f ca="1">OFFSET('배치점수 계산기'!M$10,$D371,0)</f>
        <v>표점/만점</v>
      </c>
      <c r="X371" s="184" t="str">
        <f ca="1">OFFSET('배치점수 계산기'!N$10,$D371,0)</f>
        <v>표점/만점</v>
      </c>
      <c r="Y371" s="188">
        <f ca="1">OFFSET(환산공식!FW$15,$F371,0)</f>
        <v>0.25</v>
      </c>
      <c r="Z371" s="20">
        <f ca="1">OFFSET(환산공식!FX$15,$F371,0)</f>
        <v>0.44</v>
      </c>
      <c r="AA371" s="179">
        <f ca="1">OFFSET(환산공식!FY$15,$F371,0)</f>
        <v>0.31</v>
      </c>
      <c r="AB371" s="3"/>
      <c r="AD371">
        <f t="shared" ca="1" si="12"/>
        <v>6</v>
      </c>
      <c r="AF371" s="3"/>
      <c r="AG371" s="3"/>
      <c r="AH371" s="3"/>
    </row>
    <row r="372" spans="1:34">
      <c r="A372" s="198"/>
      <c r="B372" s="198"/>
      <c r="C372" s="198" t="s">
        <v>933</v>
      </c>
      <c r="D372" s="195">
        <v>422</v>
      </c>
      <c r="E372" s="195">
        <v>85</v>
      </c>
      <c r="F372" s="195">
        <v>85</v>
      </c>
      <c r="G372" s="239">
        <v>365</v>
      </c>
      <c r="H372" s="197" t="s">
        <v>72</v>
      </c>
      <c r="I372" s="242" t="s">
        <v>9189</v>
      </c>
      <c r="J372" s="242" t="s">
        <v>10216</v>
      </c>
      <c r="K372" s="195" t="s">
        <v>70</v>
      </c>
      <c r="L372" s="20" t="str">
        <f ca="1">IF(OFFSET(환산공식!$ED$15,$F372,0)=1,"O","X")</f>
        <v>X</v>
      </c>
      <c r="M372" s="188">
        <f ca="1">IFERROR(OFFSET(환산공식!DJ$15,$F372,0),"")</f>
        <v>200</v>
      </c>
      <c r="N372" s="20" t="str">
        <f ca="1">IFERROR(CONCATENATE(ROUND(OFFSET(환산공식!DK$15,$F372,0),1),"%"),"")</f>
        <v>100%</v>
      </c>
      <c r="O372" s="20">
        <f ca="1">IFERROR(OFFSET(환산공식!DL$15,$F372,0),"")</f>
        <v>0</v>
      </c>
      <c r="P372" s="188" t="str">
        <f t="shared" ca="1" si="11"/>
        <v>3% 이하</v>
      </c>
      <c r="Q372" s="194">
        <f ca="1">IFERROR(ROUND(OFFSET(환산공식!$FG$15,$F372,0),3),"")</f>
        <v>0</v>
      </c>
      <c r="R372" s="194">
        <f ca="1">OFFSET('배치점수 계산기'!H$10,$D372,0)</f>
        <v>910.34900000000005</v>
      </c>
      <c r="S372" s="194">
        <f ca="1">OFFSET('배치점수 계산기'!I$10,$D372,0)</f>
        <v>907.78099999999995</v>
      </c>
      <c r="T372" s="194">
        <f ca="1">OFFSET('배치점수 계산기'!J$10,$D372,0)</f>
        <v>904.06299999999999</v>
      </c>
      <c r="U372" s="194">
        <f ca="1">OFFSET('배치점수 계산기'!K$10,$D372,0)</f>
        <v>898.83100000000002</v>
      </c>
      <c r="V372" s="194">
        <f ca="1">OFFSET('배치점수 계산기'!L$10,$D372,0)</f>
        <v>892.41099999999994</v>
      </c>
      <c r="W372" s="186" t="str">
        <f ca="1">OFFSET('배치점수 계산기'!M$10,$D372,0)</f>
        <v>표점/만점</v>
      </c>
      <c r="X372" s="184" t="str">
        <f ca="1">OFFSET('배치점수 계산기'!N$10,$D372,0)</f>
        <v>표점/만점</v>
      </c>
      <c r="Y372" s="188">
        <f ca="1">OFFSET(환산공식!FW$15,$F372,0)</f>
        <v>0.25</v>
      </c>
      <c r="Z372" s="20">
        <f ca="1">OFFSET(환산공식!FX$15,$F372,0)</f>
        <v>0.44</v>
      </c>
      <c r="AA372" s="179">
        <f ca="1">OFFSET(환산공식!FY$15,$F372,0)</f>
        <v>0.31</v>
      </c>
      <c r="AB372" s="3"/>
      <c r="AD372">
        <f t="shared" ca="1" si="12"/>
        <v>6</v>
      </c>
      <c r="AF372" s="3"/>
      <c r="AG372" s="3"/>
      <c r="AH372" s="3"/>
    </row>
    <row r="373" spans="1:34">
      <c r="A373" s="198"/>
      <c r="B373" s="198"/>
      <c r="C373" s="198" t="s">
        <v>934</v>
      </c>
      <c r="D373" s="195">
        <v>423</v>
      </c>
      <c r="E373" s="195">
        <v>85</v>
      </c>
      <c r="F373" s="195">
        <v>85</v>
      </c>
      <c r="G373" s="239">
        <v>366</v>
      </c>
      <c r="H373" s="197" t="s">
        <v>72</v>
      </c>
      <c r="I373" s="242" t="s">
        <v>9189</v>
      </c>
      <c r="J373" s="242" t="s">
        <v>10267</v>
      </c>
      <c r="K373" s="195" t="s">
        <v>70</v>
      </c>
      <c r="L373" s="20" t="str">
        <f ca="1">IF(OFFSET(환산공식!$ED$15,$F373,0)=1,"O","X")</f>
        <v>X</v>
      </c>
      <c r="M373" s="188">
        <f ca="1">IFERROR(OFFSET(환산공식!DJ$15,$F373,0),"")</f>
        <v>200</v>
      </c>
      <c r="N373" s="20" t="str">
        <f ca="1">IFERROR(CONCATENATE(ROUND(OFFSET(환산공식!DK$15,$F373,0),1),"%"),"")</f>
        <v>100%</v>
      </c>
      <c r="O373" s="20">
        <f ca="1">IFERROR(OFFSET(환산공식!DL$15,$F373,0),"")</f>
        <v>0</v>
      </c>
      <c r="P373" s="188" t="str">
        <f t="shared" ca="1" si="11"/>
        <v>3% 이하</v>
      </c>
      <c r="Q373" s="194">
        <f ca="1">IFERROR(ROUND(OFFSET(환산공식!$FG$15,$F373,0),3),"")</f>
        <v>0</v>
      </c>
      <c r="R373" s="194">
        <f ca="1">OFFSET('배치점수 계산기'!H$10,$D373,0)</f>
        <v>907.91700000000003</v>
      </c>
      <c r="S373" s="194">
        <f ca="1">OFFSET('배치점수 계산기'!I$10,$D373,0)</f>
        <v>905.41099999999994</v>
      </c>
      <c r="T373" s="194">
        <f ca="1">OFFSET('배치점수 계산기'!J$10,$D373,0)</f>
        <v>901.90300000000002</v>
      </c>
      <c r="U373" s="194">
        <f ca="1">OFFSET('배치점수 계산기'!K$10,$D373,0)</f>
        <v>897.92700000000002</v>
      </c>
      <c r="V373" s="194">
        <f ca="1">OFFSET('배치점수 계산기'!L$10,$D373,0)</f>
        <v>892.16</v>
      </c>
      <c r="W373" s="186" t="str">
        <f ca="1">OFFSET('배치점수 계산기'!M$10,$D373,0)</f>
        <v>표점/만점</v>
      </c>
      <c r="X373" s="184" t="str">
        <f ca="1">OFFSET('배치점수 계산기'!N$10,$D373,0)</f>
        <v>표점/만점</v>
      </c>
      <c r="Y373" s="188">
        <f ca="1">OFFSET(환산공식!FW$15,$F373,0)</f>
        <v>0.25</v>
      </c>
      <c r="Z373" s="20">
        <f ca="1">OFFSET(환산공식!FX$15,$F373,0)</f>
        <v>0.44</v>
      </c>
      <c r="AA373" s="179">
        <f ca="1">OFFSET(환산공식!FY$15,$F373,0)</f>
        <v>0.31</v>
      </c>
      <c r="AB373" s="3"/>
      <c r="AD373">
        <f t="shared" ca="1" si="12"/>
        <v>6</v>
      </c>
      <c r="AF373" s="3"/>
      <c r="AG373" s="3"/>
      <c r="AH373" s="3"/>
    </row>
    <row r="374" spans="1:34">
      <c r="A374" s="198"/>
      <c r="B374" s="198"/>
      <c r="C374" s="198" t="s">
        <v>935</v>
      </c>
      <c r="D374" s="195">
        <v>424</v>
      </c>
      <c r="E374" s="195">
        <v>85</v>
      </c>
      <c r="F374" s="195">
        <v>85</v>
      </c>
      <c r="G374" s="239">
        <v>367</v>
      </c>
      <c r="H374" s="197" t="s">
        <v>72</v>
      </c>
      <c r="I374" s="242" t="s">
        <v>9189</v>
      </c>
      <c r="J374" s="242" t="s">
        <v>10307</v>
      </c>
      <c r="K374" s="195" t="s">
        <v>70</v>
      </c>
      <c r="L374" s="20" t="str">
        <f ca="1">IF(OFFSET(환산공식!$ED$15,$F374,0)=1,"O","X")</f>
        <v>X</v>
      </c>
      <c r="M374" s="188">
        <f ca="1">IFERROR(OFFSET(환산공식!DJ$15,$F374,0),"")</f>
        <v>200</v>
      </c>
      <c r="N374" s="20" t="str">
        <f ca="1">IFERROR(CONCATENATE(ROUND(OFFSET(환산공식!DK$15,$F374,0),1),"%"),"")</f>
        <v>100%</v>
      </c>
      <c r="O374" s="20">
        <f ca="1">IFERROR(OFFSET(환산공식!DL$15,$F374,0),"")</f>
        <v>0</v>
      </c>
      <c r="P374" s="188" t="str">
        <f t="shared" ca="1" si="11"/>
        <v>3% 이하</v>
      </c>
      <c r="Q374" s="194">
        <f ca="1">IFERROR(ROUND(OFFSET(환산공식!$FG$15,$F374,0),3),"")</f>
        <v>0</v>
      </c>
      <c r="R374" s="194">
        <f ca="1">OFFSET('배치점수 계산기'!H$10,$D374,0)</f>
        <v>907.91700000000003</v>
      </c>
      <c r="S374" s="194">
        <f ca="1">OFFSET('배치점수 계산기'!I$10,$D374,0)</f>
        <v>905.41099999999994</v>
      </c>
      <c r="T374" s="194">
        <f ca="1">OFFSET('배치점수 계산기'!J$10,$D374,0)</f>
        <v>901.90300000000002</v>
      </c>
      <c r="U374" s="194">
        <f ca="1">OFFSET('배치점수 계산기'!K$10,$D374,0)</f>
        <v>897.92700000000002</v>
      </c>
      <c r="V374" s="194">
        <f ca="1">OFFSET('배치점수 계산기'!L$10,$D374,0)</f>
        <v>892.16</v>
      </c>
      <c r="W374" s="186" t="str">
        <f ca="1">OFFSET('배치점수 계산기'!M$10,$D374,0)</f>
        <v>표점/만점</v>
      </c>
      <c r="X374" s="184" t="str">
        <f ca="1">OFFSET('배치점수 계산기'!N$10,$D374,0)</f>
        <v>표점/만점</v>
      </c>
      <c r="Y374" s="188">
        <f ca="1">OFFSET(환산공식!FW$15,$F374,0)</f>
        <v>0.25</v>
      </c>
      <c r="Z374" s="20">
        <f ca="1">OFFSET(환산공식!FX$15,$F374,0)</f>
        <v>0.44</v>
      </c>
      <c r="AA374" s="179">
        <f ca="1">OFFSET(환산공식!FY$15,$F374,0)</f>
        <v>0.31</v>
      </c>
      <c r="AB374" s="3"/>
      <c r="AD374">
        <f t="shared" ca="1" si="12"/>
        <v>6</v>
      </c>
      <c r="AF374" s="3"/>
      <c r="AG374" s="3"/>
      <c r="AH374" s="3"/>
    </row>
    <row r="375" spans="1:34">
      <c r="A375" s="198"/>
      <c r="B375" s="198"/>
      <c r="C375" s="198" t="s">
        <v>936</v>
      </c>
      <c r="D375" s="195">
        <v>425</v>
      </c>
      <c r="E375" s="195">
        <v>85</v>
      </c>
      <c r="F375" s="195">
        <v>85</v>
      </c>
      <c r="G375" s="239">
        <v>368</v>
      </c>
      <c r="H375" s="197" t="s">
        <v>72</v>
      </c>
      <c r="I375" s="242" t="s">
        <v>9189</v>
      </c>
      <c r="J375" s="242" t="s">
        <v>10345</v>
      </c>
      <c r="K375" s="195" t="s">
        <v>70</v>
      </c>
      <c r="L375" s="20" t="str">
        <f ca="1">IF(OFFSET(환산공식!$ED$15,$F375,0)=1,"O","X")</f>
        <v>X</v>
      </c>
      <c r="M375" s="188">
        <f ca="1">IFERROR(OFFSET(환산공식!DJ$15,$F375,0),"")</f>
        <v>200</v>
      </c>
      <c r="N375" s="20" t="str">
        <f ca="1">IFERROR(CONCATENATE(ROUND(OFFSET(환산공식!DK$15,$F375,0),1),"%"),"")</f>
        <v>100%</v>
      </c>
      <c r="O375" s="20">
        <f ca="1">IFERROR(OFFSET(환산공식!DL$15,$F375,0),"")</f>
        <v>0</v>
      </c>
      <c r="P375" s="188" t="str">
        <f t="shared" ca="1" si="11"/>
        <v>3% 이하</v>
      </c>
      <c r="Q375" s="194">
        <f ca="1">IFERROR(ROUND(OFFSET(환산공식!$FG$15,$F375,0),3),"")</f>
        <v>0</v>
      </c>
      <c r="R375" s="194">
        <f ca="1">OFFSET('배치점수 계산기'!H$10,$D375,0)</f>
        <v>907.14700000000005</v>
      </c>
      <c r="S375" s="194">
        <f ca="1">OFFSET('배치점수 계산기'!I$10,$D375,0)</f>
        <v>904.45100000000002</v>
      </c>
      <c r="T375" s="194">
        <f ca="1">OFFSET('배치점수 계산기'!J$10,$D375,0)</f>
        <v>900.74699999999996</v>
      </c>
      <c r="U375" s="194">
        <f ca="1">OFFSET('배치점수 계산기'!K$10,$D375,0)</f>
        <v>897.23099999999999</v>
      </c>
      <c r="V375" s="194">
        <f ca="1">OFFSET('배치점수 계산기'!L$10,$D375,0)</f>
        <v>891.64400000000001</v>
      </c>
      <c r="W375" s="186" t="str">
        <f ca="1">OFFSET('배치점수 계산기'!M$10,$D375,0)</f>
        <v>표점/만점</v>
      </c>
      <c r="X375" s="184" t="str">
        <f ca="1">OFFSET('배치점수 계산기'!N$10,$D375,0)</f>
        <v>표점/만점</v>
      </c>
      <c r="Y375" s="188">
        <f ca="1">OFFSET(환산공식!FW$15,$F375,0)</f>
        <v>0.25</v>
      </c>
      <c r="Z375" s="20">
        <f ca="1">OFFSET(환산공식!FX$15,$F375,0)</f>
        <v>0.44</v>
      </c>
      <c r="AA375" s="179">
        <f ca="1">OFFSET(환산공식!FY$15,$F375,0)</f>
        <v>0.31</v>
      </c>
      <c r="AB375" s="3"/>
      <c r="AD375">
        <f t="shared" ca="1" si="12"/>
        <v>6</v>
      </c>
      <c r="AF375" s="3"/>
      <c r="AG375" s="3"/>
      <c r="AH375" s="3"/>
    </row>
    <row r="376" spans="1:34">
      <c r="A376" s="198"/>
      <c r="B376" s="198"/>
      <c r="C376" s="198" t="s">
        <v>937</v>
      </c>
      <c r="D376" s="195">
        <v>426</v>
      </c>
      <c r="E376" s="195">
        <v>85</v>
      </c>
      <c r="F376" s="195">
        <v>85</v>
      </c>
      <c r="G376" s="239">
        <v>369</v>
      </c>
      <c r="H376" s="197" t="s">
        <v>72</v>
      </c>
      <c r="I376" s="242" t="s">
        <v>9189</v>
      </c>
      <c r="J376" s="242" t="s">
        <v>10464</v>
      </c>
      <c r="K376" s="195" t="s">
        <v>70</v>
      </c>
      <c r="L376" s="20" t="str">
        <f ca="1">IF(OFFSET(환산공식!$ED$15,$F376,0)=1,"O","X")</f>
        <v>X</v>
      </c>
      <c r="M376" s="188">
        <f ca="1">IFERROR(OFFSET(환산공식!DJ$15,$F376,0),"")</f>
        <v>200</v>
      </c>
      <c r="N376" s="20" t="str">
        <f ca="1">IFERROR(CONCATENATE(ROUND(OFFSET(환산공식!DK$15,$F376,0),1),"%"),"")</f>
        <v>100%</v>
      </c>
      <c r="O376" s="20">
        <f ca="1">IFERROR(OFFSET(환산공식!DL$15,$F376,0),"")</f>
        <v>0</v>
      </c>
      <c r="P376" s="188" t="str">
        <f t="shared" ca="1" si="11"/>
        <v>3% 이하</v>
      </c>
      <c r="Q376" s="194">
        <f ca="1">IFERROR(ROUND(OFFSET(환산공식!$FG$15,$F376,0),3),"")</f>
        <v>0</v>
      </c>
      <c r="R376" s="194">
        <f ca="1">OFFSET('배치점수 계산기'!H$10,$D376,0)</f>
        <v>903.17700000000002</v>
      </c>
      <c r="S376" s="194">
        <f ca="1">OFFSET('배치점수 계산기'!I$10,$D376,0)</f>
        <v>900.35699999999997</v>
      </c>
      <c r="T376" s="194">
        <f ca="1">OFFSET('배치점수 계산기'!J$10,$D376,0)</f>
        <v>897.55700000000002</v>
      </c>
      <c r="U376" s="194">
        <f ca="1">OFFSET('배치점수 계산기'!K$10,$D376,0)</f>
        <v>893.75900000000001</v>
      </c>
      <c r="V376" s="194">
        <f ca="1">OFFSET('배치점수 계산기'!L$10,$D376,0)</f>
        <v>888.74699999999996</v>
      </c>
      <c r="W376" s="186" t="str">
        <f ca="1">OFFSET('배치점수 계산기'!M$10,$D376,0)</f>
        <v>표점/만점</v>
      </c>
      <c r="X376" s="184" t="str">
        <f ca="1">OFFSET('배치점수 계산기'!N$10,$D376,0)</f>
        <v>표점/만점</v>
      </c>
      <c r="Y376" s="188">
        <f ca="1">OFFSET(환산공식!FW$15,$F376,0)</f>
        <v>0.25</v>
      </c>
      <c r="Z376" s="20">
        <f ca="1">OFFSET(환산공식!FX$15,$F376,0)</f>
        <v>0.44</v>
      </c>
      <c r="AA376" s="179">
        <f ca="1">OFFSET(환산공식!FY$15,$F376,0)</f>
        <v>0.31</v>
      </c>
      <c r="AB376" s="3"/>
      <c r="AD376">
        <f t="shared" ca="1" si="12"/>
        <v>6</v>
      </c>
      <c r="AF376" s="3"/>
      <c r="AG376" s="3"/>
      <c r="AH376" s="3"/>
    </row>
    <row r="377" spans="1:34">
      <c r="A377" s="198"/>
      <c r="B377" s="198"/>
      <c r="C377" s="198" t="s">
        <v>938</v>
      </c>
      <c r="D377" s="195">
        <v>427</v>
      </c>
      <c r="E377" s="195">
        <v>85</v>
      </c>
      <c r="F377" s="195">
        <v>85</v>
      </c>
      <c r="G377" s="239">
        <v>370</v>
      </c>
      <c r="H377" s="197" t="s">
        <v>72</v>
      </c>
      <c r="I377" s="242" t="s">
        <v>9189</v>
      </c>
      <c r="J377" s="242" t="s">
        <v>9544</v>
      </c>
      <c r="K377" s="195" t="s">
        <v>70</v>
      </c>
      <c r="L377" s="20" t="str">
        <f ca="1">IF(OFFSET(환산공식!$ED$15,$F377,0)=1,"O","X")</f>
        <v>X</v>
      </c>
      <c r="M377" s="188">
        <f ca="1">IFERROR(OFFSET(환산공식!DJ$15,$F377,0),"")</f>
        <v>200</v>
      </c>
      <c r="N377" s="20" t="str">
        <f ca="1">IFERROR(CONCATENATE(ROUND(OFFSET(환산공식!DK$15,$F377,0),1),"%"),"")</f>
        <v>100%</v>
      </c>
      <c r="O377" s="20">
        <f ca="1">IFERROR(OFFSET(환산공식!DL$15,$F377,0),"")</f>
        <v>0</v>
      </c>
      <c r="P377" s="188" t="str">
        <f t="shared" ca="1" si="11"/>
        <v>3% 이하</v>
      </c>
      <c r="Q377" s="194">
        <f ca="1">IFERROR(ROUND(OFFSET(환산공식!$FG$15,$F377,0),3),"")</f>
        <v>0</v>
      </c>
      <c r="R377" s="194">
        <f ca="1">OFFSET('배치점수 계산기'!H$10,$D377,0)</f>
        <v>902.59900000000005</v>
      </c>
      <c r="S377" s="194">
        <f ca="1">OFFSET('배치점수 계산기'!I$10,$D377,0)</f>
        <v>899.91499999999996</v>
      </c>
      <c r="T377" s="194">
        <f ca="1">OFFSET('배치점수 계산기'!J$10,$D377,0)</f>
        <v>897.42100000000005</v>
      </c>
      <c r="U377" s="194">
        <f ca="1">OFFSET('배치점수 계산기'!K$10,$D377,0)</f>
        <v>893.75900000000001</v>
      </c>
      <c r="V377" s="194">
        <f ca="1">OFFSET('배치점수 계산기'!L$10,$D377,0)</f>
        <v>889.00199999999995</v>
      </c>
      <c r="W377" s="186" t="str">
        <f ca="1">OFFSET('배치점수 계산기'!M$10,$D377,0)</f>
        <v>표점/만점</v>
      </c>
      <c r="X377" s="184" t="str">
        <f ca="1">OFFSET('배치점수 계산기'!N$10,$D377,0)</f>
        <v>표점/만점</v>
      </c>
      <c r="Y377" s="188">
        <f ca="1">OFFSET(환산공식!FW$15,$F377,0)</f>
        <v>0.25</v>
      </c>
      <c r="Z377" s="20">
        <f ca="1">OFFSET(환산공식!FX$15,$F377,0)</f>
        <v>0.44</v>
      </c>
      <c r="AA377" s="179">
        <f ca="1">OFFSET(환산공식!FY$15,$F377,0)</f>
        <v>0.31</v>
      </c>
      <c r="AB377" s="3"/>
      <c r="AD377">
        <f t="shared" ca="1" si="12"/>
        <v>6</v>
      </c>
      <c r="AF377" s="3"/>
      <c r="AG377" s="3"/>
      <c r="AH377" s="3"/>
    </row>
    <row r="378" spans="1:34">
      <c r="A378" s="198"/>
      <c r="B378" s="198"/>
      <c r="C378" s="198" t="s">
        <v>939</v>
      </c>
      <c r="D378" s="195">
        <v>428</v>
      </c>
      <c r="E378" s="195">
        <v>85</v>
      </c>
      <c r="F378" s="195">
        <v>85</v>
      </c>
      <c r="G378" s="239">
        <v>371</v>
      </c>
      <c r="H378" s="197" t="s">
        <v>72</v>
      </c>
      <c r="I378" s="242" t="s">
        <v>9189</v>
      </c>
      <c r="J378" s="242" t="s">
        <v>10547</v>
      </c>
      <c r="K378" s="195" t="s">
        <v>70</v>
      </c>
      <c r="L378" s="20" t="str">
        <f ca="1">IF(OFFSET(환산공식!$ED$15,$F378,0)=1,"O","X")</f>
        <v>X</v>
      </c>
      <c r="M378" s="188">
        <f ca="1">IFERROR(OFFSET(환산공식!DJ$15,$F378,0),"")</f>
        <v>200</v>
      </c>
      <c r="N378" s="20" t="str">
        <f ca="1">IFERROR(CONCATENATE(ROUND(OFFSET(환산공식!DK$15,$F378,0),1),"%"),"")</f>
        <v>100%</v>
      </c>
      <c r="O378" s="20">
        <f ca="1">IFERROR(OFFSET(환산공식!DL$15,$F378,0),"")</f>
        <v>0</v>
      </c>
      <c r="P378" s="188" t="str">
        <f t="shared" ca="1" si="11"/>
        <v>3% 이하</v>
      </c>
      <c r="Q378" s="194">
        <f ca="1">IFERROR(ROUND(OFFSET(환산공식!$FG$15,$F378,0),3),"")</f>
        <v>0</v>
      </c>
      <c r="R378" s="194">
        <f ca="1">OFFSET('배치점수 계산기'!H$10,$D378,0)</f>
        <v>902.21100000000001</v>
      </c>
      <c r="S378" s="194">
        <f ca="1">OFFSET('배치점수 계산기'!I$10,$D378,0)</f>
        <v>899.779</v>
      </c>
      <c r="T378" s="194">
        <f ca="1">OFFSET('배치점수 계산기'!J$10,$D378,0)</f>
        <v>897.23099999999999</v>
      </c>
      <c r="U378" s="194">
        <f ca="1">OFFSET('배치점수 계산기'!K$10,$D378,0)</f>
        <v>893.57</v>
      </c>
      <c r="V378" s="194">
        <f ca="1">OFFSET('배치점수 계산기'!L$10,$D378,0)</f>
        <v>889.00199999999995</v>
      </c>
      <c r="W378" s="186" t="str">
        <f ca="1">OFFSET('배치점수 계산기'!M$10,$D378,0)</f>
        <v>표점/만점</v>
      </c>
      <c r="X378" s="184" t="str">
        <f ca="1">OFFSET('배치점수 계산기'!N$10,$D378,0)</f>
        <v>표점/만점</v>
      </c>
      <c r="Y378" s="188">
        <f ca="1">OFFSET(환산공식!FW$15,$F378,0)</f>
        <v>0.25</v>
      </c>
      <c r="Z378" s="20">
        <f ca="1">OFFSET(환산공식!FX$15,$F378,0)</f>
        <v>0.44</v>
      </c>
      <c r="AA378" s="179">
        <f ca="1">OFFSET(환산공식!FY$15,$F378,0)</f>
        <v>0.31</v>
      </c>
      <c r="AB378" s="3"/>
      <c r="AD378">
        <f t="shared" ca="1" si="12"/>
        <v>6</v>
      </c>
      <c r="AF378" s="3"/>
      <c r="AG378" s="3"/>
      <c r="AH378" s="3"/>
    </row>
    <row r="379" spans="1:34">
      <c r="A379" s="198"/>
      <c r="B379" s="198"/>
      <c r="C379" s="198" t="s">
        <v>940</v>
      </c>
      <c r="D379" s="195">
        <v>429</v>
      </c>
      <c r="E379" s="195">
        <v>85</v>
      </c>
      <c r="F379" s="195">
        <v>85</v>
      </c>
      <c r="G379" s="239">
        <v>372</v>
      </c>
      <c r="H379" s="197" t="s">
        <v>72</v>
      </c>
      <c r="I379" s="242" t="s">
        <v>9189</v>
      </c>
      <c r="J379" s="242" t="s">
        <v>10734</v>
      </c>
      <c r="K379" s="195" t="s">
        <v>70</v>
      </c>
      <c r="L379" s="20" t="str">
        <f ca="1">IF(OFFSET(환산공식!$ED$15,$F379,0)=1,"O","X")</f>
        <v>X</v>
      </c>
      <c r="M379" s="188">
        <f ca="1">IFERROR(OFFSET(환산공식!DJ$15,$F379,0),"")</f>
        <v>200</v>
      </c>
      <c r="N379" s="20" t="str">
        <f ca="1">IFERROR(CONCATENATE(ROUND(OFFSET(환산공식!DK$15,$F379,0),1),"%"),"")</f>
        <v>100%</v>
      </c>
      <c r="O379" s="20">
        <f ca="1">IFERROR(OFFSET(환산공식!DL$15,$F379,0),"")</f>
        <v>0</v>
      </c>
      <c r="P379" s="188" t="str">
        <f t="shared" ca="1" si="11"/>
        <v>3% 이하</v>
      </c>
      <c r="Q379" s="194">
        <f ca="1">IFERROR(ROUND(OFFSET(환산공식!$FG$15,$F379,0),3),"")</f>
        <v>0</v>
      </c>
      <c r="R379" s="194">
        <f ca="1">OFFSET('배치점수 계산기'!H$10,$D379,0)</f>
        <v>897.23099999999999</v>
      </c>
      <c r="S379" s="194">
        <f ca="1">OFFSET('배치점수 계산기'!I$10,$D379,0)</f>
        <v>895.62900000000002</v>
      </c>
      <c r="T379" s="194">
        <f ca="1">OFFSET('배치점수 계산기'!J$10,$D379,0)</f>
        <v>892.85599999999999</v>
      </c>
      <c r="U379" s="194">
        <f ca="1">OFFSET('배치점수 계산기'!K$10,$D379,0)</f>
        <v>890.16</v>
      </c>
      <c r="V379" s="194">
        <f ca="1">OFFSET('배치점수 계산기'!L$10,$D379,0)</f>
        <v>885.66300000000001</v>
      </c>
      <c r="W379" s="186" t="str">
        <f ca="1">OFFSET('배치점수 계산기'!M$10,$D379,0)</f>
        <v>표점/만점</v>
      </c>
      <c r="X379" s="184" t="str">
        <f ca="1">OFFSET('배치점수 계산기'!N$10,$D379,0)</f>
        <v>표점/만점</v>
      </c>
      <c r="Y379" s="188">
        <f ca="1">OFFSET(환산공식!FW$15,$F379,0)</f>
        <v>0.25</v>
      </c>
      <c r="Z379" s="20">
        <f ca="1">OFFSET(환산공식!FX$15,$F379,0)</f>
        <v>0.44</v>
      </c>
      <c r="AA379" s="179">
        <f ca="1">OFFSET(환산공식!FY$15,$F379,0)</f>
        <v>0.31</v>
      </c>
      <c r="AB379" s="3"/>
      <c r="AD379">
        <f t="shared" ca="1" si="12"/>
        <v>6</v>
      </c>
      <c r="AF379" s="3"/>
      <c r="AG379" s="3"/>
      <c r="AH379" s="3"/>
    </row>
    <row r="380" spans="1:34">
      <c r="A380" s="198"/>
      <c r="B380" s="198"/>
      <c r="C380" s="198" t="s">
        <v>941</v>
      </c>
      <c r="D380" s="195">
        <v>430</v>
      </c>
      <c r="E380" s="195">
        <v>84</v>
      </c>
      <c r="F380" s="195">
        <v>84</v>
      </c>
      <c r="G380" s="239">
        <v>373</v>
      </c>
      <c r="H380" s="197" t="s">
        <v>72</v>
      </c>
      <c r="I380" s="242" t="s">
        <v>9189</v>
      </c>
      <c r="J380" s="242" t="s">
        <v>9190</v>
      </c>
      <c r="K380" s="195" t="s">
        <v>71</v>
      </c>
      <c r="L380" s="20" t="str">
        <f ca="1">IF(OFFSET(환산공식!$ED$15,$F380,0)=1,"O","X")</f>
        <v>X</v>
      </c>
      <c r="M380" s="188">
        <f ca="1">IFERROR(OFFSET(환산공식!DJ$15,$F380,0),"")</f>
        <v>200</v>
      </c>
      <c r="N380" s="20" t="str">
        <f ca="1">IFERROR(CONCATENATE(ROUND(OFFSET(환산공식!DK$15,$F380,0),1),"%"),"")</f>
        <v>100%</v>
      </c>
      <c r="O380" s="20">
        <f ca="1">IFERROR(OFFSET(환산공식!DL$15,$F380,0),"")</f>
        <v>0</v>
      </c>
      <c r="P380" s="188" t="str">
        <f t="shared" ca="1" si="11"/>
        <v>3% 이하</v>
      </c>
      <c r="Q380" s="194">
        <f ca="1">IFERROR(ROUND(OFFSET(환산공식!$FG$15,$F380,0),3),"")</f>
        <v>0</v>
      </c>
      <c r="R380" s="194">
        <f ca="1">OFFSET('배치점수 계산기'!H$10,$D380,0)</f>
        <v>921.08799999999997</v>
      </c>
      <c r="S380" s="194">
        <f ca="1">OFFSET('배치점수 계산기'!I$10,$D380,0)</f>
        <v>919.30499999999995</v>
      </c>
      <c r="T380" s="194">
        <f ca="1">OFFSET('배치점수 계산기'!J$10,$D380,0)</f>
        <v>915.73900000000003</v>
      </c>
      <c r="U380" s="194">
        <f ca="1">OFFSET('배치점수 계산기'!K$10,$D380,0)</f>
        <v>912.03399999999999</v>
      </c>
      <c r="V380" s="194">
        <f ca="1">OFFSET('배치점수 계산기'!L$10,$D380,0)</f>
        <v>904.94500000000005</v>
      </c>
      <c r="W380" s="186" t="str">
        <f ca="1">OFFSET('배치점수 계산기'!M$10,$D380,0)</f>
        <v>표점/만점</v>
      </c>
      <c r="X380" s="184" t="str">
        <f ca="1">OFFSET('배치점수 계산기'!N$10,$D380,0)</f>
        <v>표점/만점</v>
      </c>
      <c r="Y380" s="188">
        <f ca="1">OFFSET(환산공식!FW$15,$F380,0)</f>
        <v>0.38</v>
      </c>
      <c r="Z380" s="20">
        <f ca="1">OFFSET(환산공식!FX$15,$F380,0)</f>
        <v>0.31</v>
      </c>
      <c r="AA380" s="179">
        <f ca="1">OFFSET(환산공식!FY$15,$F380,0)</f>
        <v>0.31</v>
      </c>
      <c r="AB380" s="3"/>
      <c r="AD380">
        <f t="shared" ca="1" si="12"/>
        <v>6</v>
      </c>
      <c r="AF380" s="3"/>
      <c r="AG380" s="3"/>
      <c r="AH380" s="3"/>
    </row>
    <row r="381" spans="1:34">
      <c r="A381" s="198"/>
      <c r="B381" s="198"/>
      <c r="C381" s="198" t="s">
        <v>942</v>
      </c>
      <c r="D381" s="195">
        <v>431</v>
      </c>
      <c r="E381" s="195">
        <v>84</v>
      </c>
      <c r="F381" s="195">
        <v>84</v>
      </c>
      <c r="G381" s="239">
        <v>374</v>
      </c>
      <c r="H381" s="197" t="s">
        <v>72</v>
      </c>
      <c r="I381" s="242" t="s">
        <v>9189</v>
      </c>
      <c r="J381" s="242" t="s">
        <v>9851</v>
      </c>
      <c r="K381" s="195" t="s">
        <v>71</v>
      </c>
      <c r="L381" s="20" t="str">
        <f ca="1">IF(OFFSET(환산공식!$ED$15,$F381,0)=1,"O","X")</f>
        <v>X</v>
      </c>
      <c r="M381" s="188">
        <f ca="1">IFERROR(OFFSET(환산공식!DJ$15,$F381,0),"")</f>
        <v>200</v>
      </c>
      <c r="N381" s="20" t="str">
        <f ca="1">IFERROR(CONCATENATE(ROUND(OFFSET(환산공식!DK$15,$F381,0),1),"%"),"")</f>
        <v>100%</v>
      </c>
      <c r="O381" s="20">
        <f ca="1">IFERROR(OFFSET(환산공식!DL$15,$F381,0),"")</f>
        <v>0</v>
      </c>
      <c r="P381" s="188" t="str">
        <f t="shared" ca="1" si="11"/>
        <v>3% 이하</v>
      </c>
      <c r="Q381" s="194">
        <f ca="1">IFERROR(ROUND(OFFSET(환산공식!$FG$15,$F381,0),3),"")</f>
        <v>0</v>
      </c>
      <c r="R381" s="194">
        <f ca="1">OFFSET('배치점수 계산기'!H$10,$D381,0)</f>
        <v>909.57299999999998</v>
      </c>
      <c r="S381" s="194">
        <f ca="1">OFFSET('배치점수 계산기'!I$10,$D381,0)</f>
        <v>907.46600000000001</v>
      </c>
      <c r="T381" s="194">
        <f ca="1">OFFSET('배치점수 계산기'!J$10,$D381,0)</f>
        <v>904.38</v>
      </c>
      <c r="U381" s="194">
        <f ca="1">OFFSET('배치점수 계산기'!K$10,$D381,0)</f>
        <v>900.04700000000003</v>
      </c>
      <c r="V381" s="194">
        <f ca="1">OFFSET('배치점수 계산기'!L$10,$D381,0)</f>
        <v>892.30499999999995</v>
      </c>
      <c r="W381" s="186" t="str">
        <f ca="1">OFFSET('배치점수 계산기'!M$10,$D381,0)</f>
        <v>표점/만점</v>
      </c>
      <c r="X381" s="184" t="str">
        <f ca="1">OFFSET('배치점수 계산기'!N$10,$D381,0)</f>
        <v>표점/만점</v>
      </c>
      <c r="Y381" s="188">
        <f ca="1">OFFSET(환산공식!FW$15,$F381,0)</f>
        <v>0.38</v>
      </c>
      <c r="Z381" s="20">
        <f ca="1">OFFSET(환산공식!FX$15,$F381,0)</f>
        <v>0.31</v>
      </c>
      <c r="AA381" s="179">
        <f ca="1">OFFSET(환산공식!FY$15,$F381,0)</f>
        <v>0.31</v>
      </c>
      <c r="AB381" s="3"/>
      <c r="AD381">
        <f t="shared" ca="1" si="12"/>
        <v>6</v>
      </c>
      <c r="AF381" s="3"/>
      <c r="AG381" s="3"/>
      <c r="AH381" s="3"/>
    </row>
    <row r="382" spans="1:34">
      <c r="A382" s="198"/>
      <c r="B382" s="198"/>
      <c r="C382" s="198" t="s">
        <v>943</v>
      </c>
      <c r="D382" s="195">
        <v>432</v>
      </c>
      <c r="E382" s="195">
        <v>84</v>
      </c>
      <c r="F382" s="195">
        <v>84</v>
      </c>
      <c r="G382" s="239">
        <v>375</v>
      </c>
      <c r="H382" s="197" t="s">
        <v>72</v>
      </c>
      <c r="I382" s="242" t="s">
        <v>9189</v>
      </c>
      <c r="J382" s="242" t="s">
        <v>9960</v>
      </c>
      <c r="K382" s="195" t="s">
        <v>71</v>
      </c>
      <c r="L382" s="20" t="str">
        <f ca="1">IF(OFFSET(환산공식!$ED$15,$F382,0)=1,"O","X")</f>
        <v>X</v>
      </c>
      <c r="M382" s="188">
        <f ca="1">IFERROR(OFFSET(환산공식!DJ$15,$F382,0),"")</f>
        <v>200</v>
      </c>
      <c r="N382" s="20" t="str">
        <f ca="1">IFERROR(CONCATENATE(ROUND(OFFSET(환산공식!DK$15,$F382,0),1),"%"),"")</f>
        <v>100%</v>
      </c>
      <c r="O382" s="20">
        <f ca="1">IFERROR(OFFSET(환산공식!DL$15,$F382,0),"")</f>
        <v>0</v>
      </c>
      <c r="P382" s="188" t="str">
        <f t="shared" ca="1" si="11"/>
        <v>3% 이하</v>
      </c>
      <c r="Q382" s="194">
        <f ca="1">IFERROR(ROUND(OFFSET(환산공식!$FG$15,$F382,0),3),"")</f>
        <v>0</v>
      </c>
      <c r="R382" s="194">
        <f ca="1">OFFSET('배치점수 계산기'!H$10,$D382,0)</f>
        <v>907.96900000000005</v>
      </c>
      <c r="S382" s="194">
        <f ca="1">OFFSET('배치점수 계산기'!I$10,$D382,0)</f>
        <v>906.01400000000001</v>
      </c>
      <c r="T382" s="194">
        <f ca="1">OFFSET('배치점수 계산기'!J$10,$D382,0)</f>
        <v>902.74699999999996</v>
      </c>
      <c r="U382" s="194">
        <f ca="1">OFFSET('배치점수 계산기'!K$10,$D382,0)</f>
        <v>898.476</v>
      </c>
      <c r="V382" s="194">
        <f ca="1">OFFSET('배치점수 계산기'!L$10,$D382,0)</f>
        <v>890.55499999999995</v>
      </c>
      <c r="W382" s="186" t="str">
        <f ca="1">OFFSET('배치점수 계산기'!M$10,$D382,0)</f>
        <v>표점/만점</v>
      </c>
      <c r="X382" s="184" t="str">
        <f ca="1">OFFSET('배치점수 계산기'!N$10,$D382,0)</f>
        <v>표점/만점</v>
      </c>
      <c r="Y382" s="188">
        <f ca="1">OFFSET(환산공식!FW$15,$F382,0)</f>
        <v>0.38</v>
      </c>
      <c r="Z382" s="20">
        <f ca="1">OFFSET(환산공식!FX$15,$F382,0)</f>
        <v>0.31</v>
      </c>
      <c r="AA382" s="179">
        <f ca="1">OFFSET(환산공식!FY$15,$F382,0)</f>
        <v>0.31</v>
      </c>
      <c r="AB382" s="3"/>
      <c r="AD382">
        <f t="shared" ca="1" si="12"/>
        <v>6</v>
      </c>
      <c r="AF382" s="3"/>
      <c r="AG382" s="3"/>
      <c r="AH382" s="3"/>
    </row>
    <row r="383" spans="1:34">
      <c r="A383" s="198"/>
      <c r="B383" s="198"/>
      <c r="C383" s="198" t="s">
        <v>944</v>
      </c>
      <c r="D383" s="195">
        <v>433</v>
      </c>
      <c r="E383" s="195">
        <v>84</v>
      </c>
      <c r="F383" s="195">
        <v>84</v>
      </c>
      <c r="G383" s="239">
        <v>376</v>
      </c>
      <c r="H383" s="197" t="s">
        <v>72</v>
      </c>
      <c r="I383" s="242" t="s">
        <v>9189</v>
      </c>
      <c r="J383" s="242" t="s">
        <v>10143</v>
      </c>
      <c r="K383" s="195" t="s">
        <v>71</v>
      </c>
      <c r="L383" s="20" t="str">
        <f ca="1">IF(OFFSET(환산공식!$ED$15,$F383,0)=1,"O","X")</f>
        <v>X</v>
      </c>
      <c r="M383" s="188">
        <f ca="1">IFERROR(OFFSET(환산공식!DJ$15,$F383,0),"")</f>
        <v>200</v>
      </c>
      <c r="N383" s="20" t="str">
        <f ca="1">IFERROR(CONCATENATE(ROUND(OFFSET(환산공식!DK$15,$F383,0),1),"%"),"")</f>
        <v>100%</v>
      </c>
      <c r="O383" s="20">
        <f ca="1">IFERROR(OFFSET(환산공식!DL$15,$F383,0),"")</f>
        <v>0</v>
      </c>
      <c r="P383" s="188" t="str">
        <f t="shared" ca="1" si="11"/>
        <v>3% 이하</v>
      </c>
      <c r="Q383" s="194">
        <f ca="1">IFERROR(ROUND(OFFSET(환산공식!$FG$15,$F383,0),3),"")</f>
        <v>0</v>
      </c>
      <c r="R383" s="194">
        <f ca="1">OFFSET('배치점수 계산기'!H$10,$D383,0)</f>
        <v>904.38</v>
      </c>
      <c r="S383" s="194">
        <f ca="1">OFFSET('배치점수 계산기'!I$10,$D383,0)</f>
        <v>902.245</v>
      </c>
      <c r="T383" s="194">
        <f ca="1">OFFSET('배치점수 계산기'!J$10,$D383,0)</f>
        <v>898.97900000000004</v>
      </c>
      <c r="U383" s="194">
        <f ca="1">OFFSET('배치점수 계산기'!K$10,$D383,0)</f>
        <v>894.52800000000002</v>
      </c>
      <c r="V383" s="194">
        <f ca="1">OFFSET('배치점수 계산기'!L$10,$D383,0)</f>
        <v>887.67200000000003</v>
      </c>
      <c r="W383" s="186" t="str">
        <f ca="1">OFFSET('배치점수 계산기'!M$10,$D383,0)</f>
        <v>표점/만점</v>
      </c>
      <c r="X383" s="184" t="str">
        <f ca="1">OFFSET('배치점수 계산기'!N$10,$D383,0)</f>
        <v>표점/만점</v>
      </c>
      <c r="Y383" s="188">
        <f ca="1">OFFSET(환산공식!FW$15,$F383,0)</f>
        <v>0.38</v>
      </c>
      <c r="Z383" s="20">
        <f ca="1">OFFSET(환산공식!FX$15,$F383,0)</f>
        <v>0.31</v>
      </c>
      <c r="AA383" s="179">
        <f ca="1">OFFSET(환산공식!FY$15,$F383,0)</f>
        <v>0.31</v>
      </c>
      <c r="AB383" s="3"/>
      <c r="AD383">
        <f t="shared" ca="1" si="12"/>
        <v>6</v>
      </c>
      <c r="AF383" s="3"/>
      <c r="AG383" s="3"/>
      <c r="AH383" s="3"/>
    </row>
    <row r="384" spans="1:34">
      <c r="A384" s="198"/>
      <c r="B384" s="198"/>
      <c r="C384" s="198" t="s">
        <v>945</v>
      </c>
      <c r="D384" s="195">
        <v>434</v>
      </c>
      <c r="E384" s="195">
        <v>84</v>
      </c>
      <c r="F384" s="195">
        <v>84</v>
      </c>
      <c r="G384" s="239">
        <v>377</v>
      </c>
      <c r="H384" s="197" t="s">
        <v>72</v>
      </c>
      <c r="I384" s="242" t="s">
        <v>9189</v>
      </c>
      <c r="J384" s="242" t="s">
        <v>8726</v>
      </c>
      <c r="K384" s="195" t="s">
        <v>71</v>
      </c>
      <c r="L384" s="20" t="str">
        <f ca="1">IF(OFFSET(환산공식!$ED$15,$F384,0)=1,"O","X")</f>
        <v>X</v>
      </c>
      <c r="M384" s="188">
        <f ca="1">IFERROR(OFFSET(환산공식!DJ$15,$F384,0),"")</f>
        <v>200</v>
      </c>
      <c r="N384" s="20" t="str">
        <f ca="1">IFERROR(CONCATENATE(ROUND(OFFSET(환산공식!DK$15,$F384,0),1),"%"),"")</f>
        <v>100%</v>
      </c>
      <c r="O384" s="20">
        <f ca="1">IFERROR(OFFSET(환산공식!DL$15,$F384,0),"")</f>
        <v>0</v>
      </c>
      <c r="P384" s="188" t="str">
        <f t="shared" ca="1" si="11"/>
        <v>3% 이하</v>
      </c>
      <c r="Q384" s="194">
        <f ca="1">IFERROR(ROUND(OFFSET(환산공식!$FG$15,$F384,0),3),"")</f>
        <v>0</v>
      </c>
      <c r="R384" s="194">
        <f ca="1">OFFSET('배치점수 계산기'!H$10,$D384,0)</f>
        <v>903.697</v>
      </c>
      <c r="S384" s="194">
        <f ca="1">OFFSET('배치점수 계산기'!I$10,$D384,0)</f>
        <v>901.17700000000002</v>
      </c>
      <c r="T384" s="194">
        <f ca="1">OFFSET('배치점수 계산기'!J$10,$D384,0)</f>
        <v>898.476</v>
      </c>
      <c r="U384" s="194">
        <f ca="1">OFFSET('배치점수 계산기'!K$10,$D384,0)</f>
        <v>893.75800000000004</v>
      </c>
      <c r="V384" s="194">
        <f ca="1">OFFSET('배치점수 계산기'!L$10,$D384,0)</f>
        <v>886.96600000000001</v>
      </c>
      <c r="W384" s="186" t="str">
        <f ca="1">OFFSET('배치점수 계산기'!M$10,$D384,0)</f>
        <v>표점/만점</v>
      </c>
      <c r="X384" s="184" t="str">
        <f ca="1">OFFSET('배치점수 계산기'!N$10,$D384,0)</f>
        <v>표점/만점</v>
      </c>
      <c r="Y384" s="188">
        <f ca="1">OFFSET(환산공식!FW$15,$F384,0)</f>
        <v>0.38</v>
      </c>
      <c r="Z384" s="20">
        <f ca="1">OFFSET(환산공식!FX$15,$F384,0)</f>
        <v>0.31</v>
      </c>
      <c r="AA384" s="179">
        <f ca="1">OFFSET(환산공식!FY$15,$F384,0)</f>
        <v>0.31</v>
      </c>
      <c r="AB384" s="3"/>
      <c r="AD384">
        <f t="shared" ca="1" si="12"/>
        <v>6</v>
      </c>
      <c r="AF384" s="3"/>
      <c r="AG384" s="3"/>
      <c r="AH384" s="3"/>
    </row>
    <row r="385" spans="1:34">
      <c r="A385" s="198"/>
      <c r="B385" s="198"/>
      <c r="C385" s="198" t="s">
        <v>946</v>
      </c>
      <c r="D385" s="195">
        <v>435</v>
      </c>
      <c r="E385" s="195">
        <v>84</v>
      </c>
      <c r="F385" s="195">
        <v>84</v>
      </c>
      <c r="G385" s="239">
        <v>378</v>
      </c>
      <c r="H385" s="197" t="s">
        <v>72</v>
      </c>
      <c r="I385" s="242" t="s">
        <v>9189</v>
      </c>
      <c r="J385" s="242" t="s">
        <v>8654</v>
      </c>
      <c r="K385" s="195" t="s">
        <v>71</v>
      </c>
      <c r="L385" s="20" t="str">
        <f ca="1">IF(OFFSET(환산공식!$ED$15,$F385,0)=1,"O","X")</f>
        <v>X</v>
      </c>
      <c r="M385" s="188">
        <f ca="1">IFERROR(OFFSET(환산공식!DJ$15,$F385,0),"")</f>
        <v>200</v>
      </c>
      <c r="N385" s="20" t="str">
        <f ca="1">IFERROR(CONCATENATE(ROUND(OFFSET(환산공식!DK$15,$F385,0),1),"%"),"")</f>
        <v>100%</v>
      </c>
      <c r="O385" s="20">
        <f ca="1">IFERROR(OFFSET(환산공식!DL$15,$F385,0),"")</f>
        <v>0</v>
      </c>
      <c r="P385" s="188" t="str">
        <f t="shared" ca="1" si="11"/>
        <v>3% 이하</v>
      </c>
      <c r="Q385" s="194">
        <f ca="1">IFERROR(ROUND(OFFSET(환산공식!$FG$15,$F385,0),3),"")</f>
        <v>0</v>
      </c>
      <c r="R385" s="194">
        <f ca="1">OFFSET('배치점수 계산기'!H$10,$D385,0)</f>
        <v>902.44899999999996</v>
      </c>
      <c r="S385" s="194">
        <f ca="1">OFFSET('배치점수 계산기'!I$10,$D385,0)</f>
        <v>899.92899999999997</v>
      </c>
      <c r="T385" s="194">
        <f ca="1">OFFSET('배치점수 계산기'!J$10,$D385,0)</f>
        <v>897.024</v>
      </c>
      <c r="U385" s="194">
        <f ca="1">OFFSET('배치점수 계산기'!K$10,$D385,0)</f>
        <v>892.30499999999995</v>
      </c>
      <c r="V385" s="194">
        <f ca="1">OFFSET('배치점수 계산기'!L$10,$D385,0)</f>
        <v>886.10199999999998</v>
      </c>
      <c r="W385" s="186" t="str">
        <f ca="1">OFFSET('배치점수 계산기'!M$10,$D385,0)</f>
        <v>표점/만점</v>
      </c>
      <c r="X385" s="184" t="str">
        <f ca="1">OFFSET('배치점수 계산기'!N$10,$D385,0)</f>
        <v>표점/만점</v>
      </c>
      <c r="Y385" s="188">
        <f ca="1">OFFSET(환산공식!FW$15,$F385,0)</f>
        <v>0.38</v>
      </c>
      <c r="Z385" s="20">
        <f ca="1">OFFSET(환산공식!FX$15,$F385,0)</f>
        <v>0.31</v>
      </c>
      <c r="AA385" s="179">
        <f ca="1">OFFSET(환산공식!FY$15,$F385,0)</f>
        <v>0.31</v>
      </c>
      <c r="AB385" s="3"/>
      <c r="AD385">
        <f t="shared" ca="1" si="12"/>
        <v>6</v>
      </c>
      <c r="AF385" s="3"/>
      <c r="AG385" s="3"/>
      <c r="AH385" s="3"/>
    </row>
    <row r="386" spans="1:34">
      <c r="A386" s="198"/>
      <c r="B386" s="198"/>
      <c r="C386" s="198" t="s">
        <v>947</v>
      </c>
      <c r="D386" s="195">
        <v>436</v>
      </c>
      <c r="E386" s="195">
        <v>75</v>
      </c>
      <c r="F386" s="195">
        <v>75</v>
      </c>
      <c r="G386" s="239">
        <v>379</v>
      </c>
      <c r="H386" s="197" t="s">
        <v>72</v>
      </c>
      <c r="I386" s="242" t="s">
        <v>236</v>
      </c>
      <c r="J386" s="242" t="s">
        <v>9090</v>
      </c>
      <c r="K386" s="195" t="s">
        <v>70</v>
      </c>
      <c r="L386" s="20" t="str">
        <f ca="1">IF(OFFSET(환산공식!$ED$15,$F386,0)=1,"O","X")</f>
        <v>X</v>
      </c>
      <c r="M386" s="188">
        <f ca="1">IFERROR(OFFSET(환산공식!DJ$15,$F386,0),"")</f>
        <v>200</v>
      </c>
      <c r="N386" s="20" t="str">
        <f ca="1">IFERROR(CONCATENATE(ROUND(OFFSET(환산공식!DK$15,$F386,0),1),"%"),"")</f>
        <v>100%</v>
      </c>
      <c r="O386" s="20">
        <f ca="1">IFERROR(OFFSET(환산공식!DL$15,$F386,0),"")</f>
        <v>4</v>
      </c>
      <c r="P386" s="188" t="str">
        <f t="shared" ca="1" si="11"/>
        <v>3% 이하</v>
      </c>
      <c r="Q386" s="194">
        <f ca="1">IFERROR(ROUND(OFFSET(환산공식!$FG$15,$F386,0),3),"")</f>
        <v>0</v>
      </c>
      <c r="R386" s="194">
        <f ca="1">OFFSET('배치점수 계산기'!H$10,$D386,0)</f>
        <v>918.41899999999998</v>
      </c>
      <c r="S386" s="194">
        <f ca="1">OFFSET('배치점수 계산기'!I$10,$D386,0)</f>
        <v>913.52099999999996</v>
      </c>
      <c r="T386" s="194">
        <f ca="1">OFFSET('배치점수 계산기'!J$10,$D386,0)</f>
        <v>909.05200000000002</v>
      </c>
      <c r="U386" s="194">
        <f ca="1">OFFSET('배치점수 계산기'!K$10,$D386,0)</f>
        <v>905.15800000000002</v>
      </c>
      <c r="V386" s="194">
        <f ca="1">OFFSET('배치점수 계산기'!L$10,$D386,0)</f>
        <v>899.51499999999999</v>
      </c>
      <c r="W386" s="186" t="str">
        <f ca="1">OFFSET('배치점수 계산기'!M$10,$D386,0)</f>
        <v>표점/만점</v>
      </c>
      <c r="X386" s="184" t="str">
        <f ca="1">OFFSET('배치점수 계산기'!N$10,$D386,0)</f>
        <v>변표/만점</v>
      </c>
      <c r="Y386" s="188">
        <f ca="1">OFFSET(환산공식!FW$15,$F386,0)</f>
        <v>0.25</v>
      </c>
      <c r="Z386" s="20">
        <f ca="1">OFFSET(환산공식!FX$15,$F386,0)</f>
        <v>0.44</v>
      </c>
      <c r="AA386" s="179">
        <f ca="1">OFFSET(환산공식!FY$15,$F386,0)</f>
        <v>0.31</v>
      </c>
      <c r="AB386" s="3"/>
      <c r="AD386">
        <f t="shared" ca="1" si="12"/>
        <v>6</v>
      </c>
      <c r="AF386" s="3"/>
      <c r="AG386" s="3"/>
      <c r="AH386" s="3"/>
    </row>
    <row r="387" spans="1:34">
      <c r="A387" s="198"/>
      <c r="B387" s="198"/>
      <c r="C387" s="198" t="s">
        <v>948</v>
      </c>
      <c r="D387" s="195">
        <v>437</v>
      </c>
      <c r="E387" s="195">
        <v>75</v>
      </c>
      <c r="F387" s="195">
        <v>75</v>
      </c>
      <c r="G387" s="239">
        <v>380</v>
      </c>
      <c r="H387" s="197" t="s">
        <v>72</v>
      </c>
      <c r="I387" s="242" t="s">
        <v>236</v>
      </c>
      <c r="J387" s="242" t="s">
        <v>10184</v>
      </c>
      <c r="K387" s="195" t="s">
        <v>70</v>
      </c>
      <c r="L387" s="20" t="str">
        <f ca="1">IF(OFFSET(환산공식!$ED$15,$F387,0)=1,"O","X")</f>
        <v>X</v>
      </c>
      <c r="M387" s="188">
        <f ca="1">IFERROR(OFFSET(환산공식!DJ$15,$F387,0),"")</f>
        <v>200</v>
      </c>
      <c r="N387" s="20" t="str">
        <f ca="1">IFERROR(CONCATENATE(ROUND(OFFSET(환산공식!DK$15,$F387,0),1),"%"),"")</f>
        <v>100%</v>
      </c>
      <c r="O387" s="20">
        <f ca="1">IFERROR(OFFSET(환산공식!DL$15,$F387,0),"")</f>
        <v>4</v>
      </c>
      <c r="P387" s="188" t="str">
        <f t="shared" ca="1" si="11"/>
        <v>3% 이하</v>
      </c>
      <c r="Q387" s="194">
        <f ca="1">IFERROR(ROUND(OFFSET(환산공식!$FG$15,$F387,0),3),"")</f>
        <v>0</v>
      </c>
      <c r="R387" s="194">
        <f ca="1">OFFSET('배치점수 계산기'!H$10,$D387,0)</f>
        <v>914.86699999999996</v>
      </c>
      <c r="S387" s="194">
        <f ca="1">OFFSET('배치점수 계산기'!I$10,$D387,0)</f>
        <v>909.63300000000004</v>
      </c>
      <c r="T387" s="194">
        <f ca="1">OFFSET('배치점수 계산기'!J$10,$D387,0)</f>
        <v>905.16099999999994</v>
      </c>
      <c r="U387" s="194">
        <f ca="1">OFFSET('배치점수 계산기'!K$10,$D387,0)</f>
        <v>901.47500000000002</v>
      </c>
      <c r="V387" s="194">
        <f ca="1">OFFSET('배치점수 계산기'!L$10,$D387,0)</f>
        <v>893.60900000000004</v>
      </c>
      <c r="W387" s="186" t="str">
        <f ca="1">OFFSET('배치점수 계산기'!M$10,$D387,0)</f>
        <v>표점/만점</v>
      </c>
      <c r="X387" s="184" t="str">
        <f ca="1">OFFSET('배치점수 계산기'!N$10,$D387,0)</f>
        <v>변표/만점</v>
      </c>
      <c r="Y387" s="188">
        <f ca="1">OFFSET(환산공식!FW$15,$F387,0)</f>
        <v>0.25</v>
      </c>
      <c r="Z387" s="20">
        <f ca="1">OFFSET(환산공식!FX$15,$F387,0)</f>
        <v>0.44</v>
      </c>
      <c r="AA387" s="179">
        <f ca="1">OFFSET(환산공식!FY$15,$F387,0)</f>
        <v>0.31</v>
      </c>
      <c r="AB387" s="3"/>
      <c r="AD387">
        <f t="shared" ca="1" si="12"/>
        <v>6</v>
      </c>
      <c r="AF387" s="3"/>
      <c r="AG387" s="3"/>
      <c r="AH387" s="3"/>
    </row>
    <row r="388" spans="1:34">
      <c r="A388" s="198"/>
      <c r="B388" s="198"/>
      <c r="C388" s="198" t="s">
        <v>949</v>
      </c>
      <c r="D388" s="195">
        <v>438</v>
      </c>
      <c r="E388" s="195">
        <v>75</v>
      </c>
      <c r="F388" s="195">
        <v>75</v>
      </c>
      <c r="G388" s="239">
        <v>381</v>
      </c>
      <c r="H388" s="197" t="s">
        <v>72</v>
      </c>
      <c r="I388" s="242" t="s">
        <v>236</v>
      </c>
      <c r="J388" s="242" t="s">
        <v>10283</v>
      </c>
      <c r="K388" s="195" t="s">
        <v>70</v>
      </c>
      <c r="L388" s="20" t="str">
        <f ca="1">IF(OFFSET(환산공식!$ED$15,$F388,0)=1,"O","X")</f>
        <v>X</v>
      </c>
      <c r="M388" s="188">
        <f ca="1">IFERROR(OFFSET(환산공식!DJ$15,$F388,0),"")</f>
        <v>200</v>
      </c>
      <c r="N388" s="20" t="str">
        <f ca="1">IFERROR(CONCATENATE(ROUND(OFFSET(환산공식!DK$15,$F388,0),1),"%"),"")</f>
        <v>100%</v>
      </c>
      <c r="O388" s="20">
        <f ca="1">IFERROR(OFFSET(환산공식!DL$15,$F388,0),"")</f>
        <v>4</v>
      </c>
      <c r="P388" s="188" t="str">
        <f t="shared" ca="1" si="11"/>
        <v>3% 이하</v>
      </c>
      <c r="Q388" s="194">
        <f ca="1">IFERROR(ROUND(OFFSET(환산공식!$FG$15,$F388,0),3),"")</f>
        <v>0</v>
      </c>
      <c r="R388" s="194">
        <f ca="1">OFFSET('배치점수 계산기'!H$10,$D388,0)</f>
        <v>912.33799999999997</v>
      </c>
      <c r="S388" s="194">
        <f ca="1">OFFSET('배치점수 계산기'!I$10,$D388,0)</f>
        <v>907.15899999999999</v>
      </c>
      <c r="T388" s="194">
        <f ca="1">OFFSET('배치점수 계산기'!J$10,$D388,0)</f>
        <v>903.03399999999999</v>
      </c>
      <c r="U388" s="194">
        <f ca="1">OFFSET('배치점수 계산기'!K$10,$D388,0)</f>
        <v>898.68899999999996</v>
      </c>
      <c r="V388" s="194">
        <f ca="1">OFFSET('배치점수 계산기'!L$10,$D388,0)</f>
        <v>891.05499999999995</v>
      </c>
      <c r="W388" s="186" t="str">
        <f ca="1">OFFSET('배치점수 계산기'!M$10,$D388,0)</f>
        <v>표점/만점</v>
      </c>
      <c r="X388" s="184" t="str">
        <f ca="1">OFFSET('배치점수 계산기'!N$10,$D388,0)</f>
        <v>변표/만점</v>
      </c>
      <c r="Y388" s="188">
        <f ca="1">OFFSET(환산공식!FW$15,$F388,0)</f>
        <v>0.25</v>
      </c>
      <c r="Z388" s="20">
        <f ca="1">OFFSET(환산공식!FX$15,$F388,0)</f>
        <v>0.44</v>
      </c>
      <c r="AA388" s="179">
        <f ca="1">OFFSET(환산공식!FY$15,$F388,0)</f>
        <v>0.31</v>
      </c>
      <c r="AB388" s="3"/>
      <c r="AD388">
        <f t="shared" ca="1" si="12"/>
        <v>6</v>
      </c>
      <c r="AF388" s="3"/>
      <c r="AG388" s="3"/>
      <c r="AH388" s="3"/>
    </row>
    <row r="389" spans="1:34">
      <c r="A389" s="198"/>
      <c r="B389" s="198"/>
      <c r="C389" s="198" t="s">
        <v>950</v>
      </c>
      <c r="D389" s="195">
        <v>439</v>
      </c>
      <c r="E389" s="195">
        <v>75</v>
      </c>
      <c r="F389" s="195">
        <v>75</v>
      </c>
      <c r="G389" s="239">
        <v>382</v>
      </c>
      <c r="H389" s="197" t="s">
        <v>72</v>
      </c>
      <c r="I389" s="242" t="s">
        <v>236</v>
      </c>
      <c r="J389" s="242" t="s">
        <v>10559</v>
      </c>
      <c r="K389" s="195" t="s">
        <v>70</v>
      </c>
      <c r="L389" s="20" t="str">
        <f ca="1">IF(OFFSET(환산공식!$ED$15,$F389,0)=1,"O","X")</f>
        <v>X</v>
      </c>
      <c r="M389" s="188">
        <f ca="1">IFERROR(OFFSET(환산공식!DJ$15,$F389,0),"")</f>
        <v>200</v>
      </c>
      <c r="N389" s="20" t="str">
        <f ca="1">IFERROR(CONCATENATE(ROUND(OFFSET(환산공식!DK$15,$F389,0),1),"%"),"")</f>
        <v>100%</v>
      </c>
      <c r="O389" s="20">
        <f ca="1">IFERROR(OFFSET(환산공식!DL$15,$F389,0),"")</f>
        <v>4</v>
      </c>
      <c r="P389" s="188" t="str">
        <f t="shared" ca="1" si="11"/>
        <v>3% 이하</v>
      </c>
      <c r="Q389" s="194">
        <f ca="1">IFERROR(ROUND(OFFSET(환산공식!$FG$15,$F389,0),3),"")</f>
        <v>0</v>
      </c>
      <c r="R389" s="194">
        <f ca="1">OFFSET('배치점수 계산기'!H$10,$D389,0)</f>
        <v>906.90599999999995</v>
      </c>
      <c r="S389" s="194">
        <f ca="1">OFFSET('배치점수 계산기'!I$10,$D389,0)</f>
        <v>901.86599999999999</v>
      </c>
      <c r="T389" s="194">
        <f ca="1">OFFSET('배치점수 계산기'!J$10,$D389,0)</f>
        <v>896.91</v>
      </c>
      <c r="U389" s="194">
        <f ca="1">OFFSET('배치점수 계산기'!K$10,$D389,0)</f>
        <v>893.90200000000004</v>
      </c>
      <c r="V389" s="194">
        <f ca="1">OFFSET('배치점수 계산기'!L$10,$D389,0)</f>
        <v>887.53599999999994</v>
      </c>
      <c r="W389" s="186" t="str">
        <f ca="1">OFFSET('배치점수 계산기'!M$10,$D389,0)</f>
        <v>표점/만점</v>
      </c>
      <c r="X389" s="184" t="str">
        <f ca="1">OFFSET('배치점수 계산기'!N$10,$D389,0)</f>
        <v>변표/만점</v>
      </c>
      <c r="Y389" s="188">
        <f ca="1">OFFSET(환산공식!FW$15,$F389,0)</f>
        <v>0.25</v>
      </c>
      <c r="Z389" s="20">
        <f ca="1">OFFSET(환산공식!FX$15,$F389,0)</f>
        <v>0.44</v>
      </c>
      <c r="AA389" s="179">
        <f ca="1">OFFSET(환산공식!FY$15,$F389,0)</f>
        <v>0.31</v>
      </c>
      <c r="AB389" s="3"/>
      <c r="AD389">
        <f t="shared" ca="1" si="12"/>
        <v>6</v>
      </c>
      <c r="AF389" s="3"/>
      <c r="AG389" s="3"/>
      <c r="AH389" s="3"/>
    </row>
    <row r="390" spans="1:34">
      <c r="A390" s="198"/>
      <c r="B390" s="198"/>
      <c r="C390" s="198" t="s">
        <v>951</v>
      </c>
      <c r="D390" s="195">
        <v>440</v>
      </c>
      <c r="E390" s="195">
        <v>76</v>
      </c>
      <c r="F390" s="195">
        <v>76</v>
      </c>
      <c r="G390" s="239">
        <v>383</v>
      </c>
      <c r="H390" s="197" t="s">
        <v>72</v>
      </c>
      <c r="I390" s="242" t="s">
        <v>236</v>
      </c>
      <c r="J390" s="242" t="s">
        <v>9835</v>
      </c>
      <c r="K390" s="195" t="s">
        <v>71</v>
      </c>
      <c r="L390" s="20" t="str">
        <f ca="1">IF(OFFSET(환산공식!$ED$15,$F390,0)=1,"O","X")</f>
        <v>X</v>
      </c>
      <c r="M390" s="188">
        <f ca="1">IFERROR(OFFSET(환산공식!DJ$15,$F390,0),"")</f>
        <v>200</v>
      </c>
      <c r="N390" s="20" t="str">
        <f ca="1">IFERROR(CONCATENATE(ROUND(OFFSET(환산공식!DK$15,$F390,0),1),"%"),"")</f>
        <v>100%</v>
      </c>
      <c r="O390" s="20">
        <f ca="1">IFERROR(OFFSET(환산공식!DL$15,$F390,0),"")</f>
        <v>4</v>
      </c>
      <c r="P390" s="188" t="str">
        <f t="shared" ca="1" si="11"/>
        <v>3% 이하</v>
      </c>
      <c r="Q390" s="194">
        <f ca="1">IFERROR(ROUND(OFFSET(환산공식!$FG$15,$F390,0),3),"")</f>
        <v>0</v>
      </c>
      <c r="R390" s="194">
        <f ca="1">OFFSET('배치점수 계산기'!H$10,$D390,0)</f>
        <v>906.93600000000004</v>
      </c>
      <c r="S390" s="194">
        <f ca="1">OFFSET('배치점수 계산기'!I$10,$D390,0)</f>
        <v>901.28800000000001</v>
      </c>
      <c r="T390" s="194">
        <f ca="1">OFFSET('배치점수 계산기'!J$10,$D390,0)</f>
        <v>897.42399999999998</v>
      </c>
      <c r="U390" s="194">
        <f ca="1">OFFSET('배치점수 계산기'!K$10,$D390,0)</f>
        <v>894.18100000000004</v>
      </c>
      <c r="V390" s="194">
        <f ca="1">OFFSET('배치점수 계산기'!L$10,$D390,0)</f>
        <v>886.3</v>
      </c>
      <c r="W390" s="186" t="str">
        <f ca="1">OFFSET('배치점수 계산기'!M$10,$D390,0)</f>
        <v>표점/만점</v>
      </c>
      <c r="X390" s="184" t="str">
        <f ca="1">OFFSET('배치점수 계산기'!N$10,$D390,0)</f>
        <v>변표/만점</v>
      </c>
      <c r="Y390" s="188">
        <f ca="1">OFFSET(환산공식!FW$15,$F390,0)</f>
        <v>0.44</v>
      </c>
      <c r="Z390" s="20">
        <f ca="1">OFFSET(환산공식!FX$15,$F390,0)</f>
        <v>0.25</v>
      </c>
      <c r="AA390" s="179">
        <f ca="1">OFFSET(환산공식!FY$15,$F390,0)</f>
        <v>0.31</v>
      </c>
      <c r="AB390" s="3"/>
      <c r="AD390">
        <f t="shared" ca="1" si="12"/>
        <v>6</v>
      </c>
      <c r="AF390" s="3"/>
      <c r="AG390" s="3"/>
      <c r="AH390" s="3"/>
    </row>
    <row r="391" spans="1:34">
      <c r="A391" s="198"/>
      <c r="B391" s="198"/>
      <c r="C391" s="198" t="s">
        <v>952</v>
      </c>
      <c r="D391" s="195">
        <v>441</v>
      </c>
      <c r="E391" s="195">
        <v>76</v>
      </c>
      <c r="F391" s="195">
        <v>76</v>
      </c>
      <c r="G391" s="239">
        <v>384</v>
      </c>
      <c r="H391" s="197" t="s">
        <v>72</v>
      </c>
      <c r="I391" s="242" t="s">
        <v>236</v>
      </c>
      <c r="J391" s="242" t="s">
        <v>8534</v>
      </c>
      <c r="K391" s="195" t="s">
        <v>71</v>
      </c>
      <c r="L391" s="20" t="str">
        <f ca="1">IF(OFFSET(환산공식!$ED$15,$F391,0)=1,"O","X")</f>
        <v>X</v>
      </c>
      <c r="M391" s="188">
        <f ca="1">IFERROR(OFFSET(환산공식!DJ$15,$F391,0),"")</f>
        <v>200</v>
      </c>
      <c r="N391" s="20" t="str">
        <f ca="1">IFERROR(CONCATENATE(ROUND(OFFSET(환산공식!DK$15,$F391,0),1),"%"),"")</f>
        <v>100%</v>
      </c>
      <c r="O391" s="20">
        <f ca="1">IFERROR(OFFSET(환산공식!DL$15,$F391,0),"")</f>
        <v>4</v>
      </c>
      <c r="P391" s="188" t="str">
        <f t="shared" ca="1" si="11"/>
        <v>3% 이하</v>
      </c>
      <c r="Q391" s="194">
        <f ca="1">IFERROR(ROUND(OFFSET(환산공식!$FG$15,$F391,0),3),"")</f>
        <v>0</v>
      </c>
      <c r="R391" s="194">
        <f ca="1">OFFSET('배치점수 계산기'!H$10,$D391,0)</f>
        <v>902.34100000000001</v>
      </c>
      <c r="S391" s="194">
        <f ca="1">OFFSET('배치점수 계산기'!I$10,$D391,0)</f>
        <v>899.89499999999998</v>
      </c>
      <c r="T391" s="194">
        <f ca="1">OFFSET('배치점수 계산기'!J$10,$D391,0)</f>
        <v>896.25</v>
      </c>
      <c r="U391" s="194">
        <f ca="1">OFFSET('배치점수 계산기'!K$10,$D391,0)</f>
        <v>893.00400000000002</v>
      </c>
      <c r="V391" s="194">
        <f ca="1">OFFSET('배치점수 계산기'!L$10,$D391,0)</f>
        <v>885.68</v>
      </c>
      <c r="W391" s="186" t="str">
        <f ca="1">OFFSET('배치점수 계산기'!M$10,$D391,0)</f>
        <v>표점/만점</v>
      </c>
      <c r="X391" s="184" t="str">
        <f ca="1">OFFSET('배치점수 계산기'!N$10,$D391,0)</f>
        <v>변표/만점</v>
      </c>
      <c r="Y391" s="188">
        <f ca="1">OFFSET(환산공식!FW$15,$F391,0)</f>
        <v>0.44</v>
      </c>
      <c r="Z391" s="20">
        <f ca="1">OFFSET(환산공식!FX$15,$F391,0)</f>
        <v>0.25</v>
      </c>
      <c r="AA391" s="179">
        <f ca="1">OFFSET(환산공식!FY$15,$F391,0)</f>
        <v>0.31</v>
      </c>
      <c r="AB391" s="3"/>
      <c r="AD391">
        <f t="shared" ca="1" si="12"/>
        <v>6</v>
      </c>
      <c r="AF391" s="3"/>
      <c r="AG391" s="3"/>
      <c r="AH391" s="3"/>
    </row>
    <row r="392" spans="1:34">
      <c r="A392" s="198"/>
      <c r="B392" s="198"/>
      <c r="C392" s="198" t="s">
        <v>953</v>
      </c>
      <c r="D392" s="195">
        <v>442</v>
      </c>
      <c r="E392" s="195">
        <v>76</v>
      </c>
      <c r="F392" s="195">
        <v>76</v>
      </c>
      <c r="G392" s="239">
        <v>385</v>
      </c>
      <c r="H392" s="197" t="s">
        <v>72</v>
      </c>
      <c r="I392" s="242" t="s">
        <v>236</v>
      </c>
      <c r="J392" s="242" t="s">
        <v>10339</v>
      </c>
      <c r="K392" s="195" t="s">
        <v>71</v>
      </c>
      <c r="L392" s="20" t="str">
        <f ca="1">IF(OFFSET(환산공식!$ED$15,$F392,0)=1,"O","X")</f>
        <v>X</v>
      </c>
      <c r="M392" s="188">
        <f ca="1">IFERROR(OFFSET(환산공식!DJ$15,$F392,0),"")</f>
        <v>200</v>
      </c>
      <c r="N392" s="20" t="str">
        <f ca="1">IFERROR(CONCATENATE(ROUND(OFFSET(환산공식!DK$15,$F392,0),1),"%"),"")</f>
        <v>100%</v>
      </c>
      <c r="O392" s="20">
        <f ca="1">IFERROR(OFFSET(환산공식!DL$15,$F392,0),"")</f>
        <v>4</v>
      </c>
      <c r="P392" s="188" t="str">
        <f t="shared" ca="1" si="11"/>
        <v>3% 이하</v>
      </c>
      <c r="Q392" s="194">
        <f ca="1">IFERROR(ROUND(OFFSET(환산공식!$FG$15,$F392,0),3),"")</f>
        <v>0</v>
      </c>
      <c r="R392" s="194">
        <f ca="1">OFFSET('배치점수 계산기'!H$10,$D392,0)</f>
        <v>905.28</v>
      </c>
      <c r="S392" s="194">
        <f ca="1">OFFSET('배치점수 계산기'!I$10,$D392,0)</f>
        <v>899.89499999999998</v>
      </c>
      <c r="T392" s="194">
        <f ca="1">OFFSET('배치점수 계산기'!J$10,$D392,0)</f>
        <v>895.73900000000003</v>
      </c>
      <c r="U392" s="194">
        <f ca="1">OFFSET('배치점수 계산기'!K$10,$D392,0)</f>
        <v>892.23699999999997</v>
      </c>
      <c r="V392" s="194">
        <f ca="1">OFFSET('배치점수 계산기'!L$10,$D392,0)</f>
        <v>885.53599999999994</v>
      </c>
      <c r="W392" s="186" t="str">
        <f ca="1">OFFSET('배치점수 계산기'!M$10,$D392,0)</f>
        <v>표점/만점</v>
      </c>
      <c r="X392" s="184" t="str">
        <f ca="1">OFFSET('배치점수 계산기'!N$10,$D392,0)</f>
        <v>변표/만점</v>
      </c>
      <c r="Y392" s="188">
        <f ca="1">OFFSET(환산공식!FW$15,$F392,0)</f>
        <v>0.44</v>
      </c>
      <c r="Z392" s="20">
        <f ca="1">OFFSET(환산공식!FX$15,$F392,0)</f>
        <v>0.25</v>
      </c>
      <c r="AA392" s="179">
        <f ca="1">OFFSET(환산공식!FY$15,$F392,0)</f>
        <v>0.31</v>
      </c>
      <c r="AB392" s="3"/>
      <c r="AD392">
        <f t="shared" ca="1" si="12"/>
        <v>6</v>
      </c>
      <c r="AF392" s="3"/>
      <c r="AG392" s="3"/>
      <c r="AH392" s="3"/>
    </row>
    <row r="393" spans="1:34">
      <c r="A393" s="198"/>
      <c r="B393" s="198"/>
      <c r="C393" s="198" t="s">
        <v>954</v>
      </c>
      <c r="D393" s="195">
        <v>443</v>
      </c>
      <c r="E393" s="195">
        <v>77</v>
      </c>
      <c r="F393" s="195">
        <v>77</v>
      </c>
      <c r="G393" s="239">
        <v>386</v>
      </c>
      <c r="H393" s="197" t="s">
        <v>72</v>
      </c>
      <c r="I393" s="242" t="s">
        <v>236</v>
      </c>
      <c r="J393" s="242" t="s">
        <v>9757</v>
      </c>
      <c r="K393" s="195" t="s">
        <v>71</v>
      </c>
      <c r="L393" s="20" t="str">
        <f ca="1">IF(OFFSET(환산공식!$ED$15,$F393,0)=1,"O","X")</f>
        <v>X</v>
      </c>
      <c r="M393" s="188">
        <f ca="1">IFERROR(OFFSET(환산공식!DJ$15,$F393,0),"")</f>
        <v>200</v>
      </c>
      <c r="N393" s="20" t="str">
        <f ca="1">IFERROR(CONCATENATE(ROUND(OFFSET(환산공식!DK$15,$F393,0),1),"%"),"")</f>
        <v>100%</v>
      </c>
      <c r="O393" s="20">
        <f ca="1">IFERROR(OFFSET(환산공식!DL$15,$F393,0),"")</f>
        <v>4</v>
      </c>
      <c r="P393" s="188" t="str">
        <f t="shared" ref="P393:P456" ca="1" si="13"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>3% 이하</v>
      </c>
      <c r="Q393" s="194">
        <f ca="1">IFERROR(ROUND(OFFSET(환산공식!$FG$15,$F393,0),3),"")</f>
        <v>0</v>
      </c>
      <c r="R393" s="194">
        <f ca="1">OFFSET('배치점수 계산기'!H$10,$D393,0)</f>
        <v>906.22299999999996</v>
      </c>
      <c r="S393" s="194">
        <f ca="1">OFFSET('배치점수 계산기'!I$10,$D393,0)</f>
        <v>900.76800000000003</v>
      </c>
      <c r="T393" s="194">
        <f ca="1">OFFSET('배치점수 계산기'!J$10,$D393,0)</f>
        <v>897.05799999999999</v>
      </c>
      <c r="U393" s="194">
        <f ca="1">OFFSET('배치점수 계산기'!K$10,$D393,0)</f>
        <v>893.65099999999995</v>
      </c>
      <c r="V393" s="194">
        <f ca="1">OFFSET('배치점수 계산기'!L$10,$D393,0)</f>
        <v>886.77300000000002</v>
      </c>
      <c r="W393" s="186" t="str">
        <f ca="1">OFFSET('배치점수 계산기'!M$10,$D393,0)</f>
        <v>표점/만점</v>
      </c>
      <c r="X393" s="184" t="str">
        <f ca="1">OFFSET('배치점수 계산기'!N$10,$D393,0)</f>
        <v>변표/만점</v>
      </c>
      <c r="Y393" s="188">
        <f ca="1">OFFSET(환산공식!FW$15,$F393,0)</f>
        <v>0.31</v>
      </c>
      <c r="Z393" s="20">
        <f ca="1">OFFSET(환산공식!FX$15,$F393,0)</f>
        <v>0.37</v>
      </c>
      <c r="AA393" s="179">
        <f ca="1">OFFSET(환산공식!FY$15,$F393,0)</f>
        <v>0.31</v>
      </c>
      <c r="AB393" s="3"/>
      <c r="AD393">
        <f t="shared" ref="AD393:AD456" ca="1" si="14">IF(L393="X",6,IF(Q393&gt;R393,1,IF(Q393&gt;S393,2,IF(Q393&gt;T393,3,IF(Q393&gt;U393,4,IF(Q393&gt;=V393,5,IF(Q393&lt;V393,6,"")))))))</f>
        <v>6</v>
      </c>
      <c r="AF393" s="3"/>
      <c r="AG393" s="3"/>
      <c r="AH393" s="3"/>
    </row>
    <row r="394" spans="1:34">
      <c r="A394" s="198"/>
      <c r="B394" s="198"/>
      <c r="C394" s="198" t="s">
        <v>955</v>
      </c>
      <c r="D394" s="195">
        <v>444</v>
      </c>
      <c r="E394" s="195">
        <v>77</v>
      </c>
      <c r="F394" s="195">
        <v>77</v>
      </c>
      <c r="G394" s="239">
        <v>387</v>
      </c>
      <c r="H394" s="197" t="s">
        <v>72</v>
      </c>
      <c r="I394" s="242" t="s">
        <v>236</v>
      </c>
      <c r="J394" s="242" t="s">
        <v>10279</v>
      </c>
      <c r="K394" s="195" t="s">
        <v>71</v>
      </c>
      <c r="L394" s="20" t="str">
        <f ca="1">IF(OFFSET(환산공식!$ED$15,$F394,0)=1,"O","X")</f>
        <v>X</v>
      </c>
      <c r="M394" s="188">
        <f ca="1">IFERROR(OFFSET(환산공식!DJ$15,$F394,0),"")</f>
        <v>200</v>
      </c>
      <c r="N394" s="20" t="str">
        <f ca="1">IFERROR(CONCATENATE(ROUND(OFFSET(환산공식!DK$15,$F394,0),1),"%"),"")</f>
        <v>100%</v>
      </c>
      <c r="O394" s="20">
        <f ca="1">IFERROR(OFFSET(환산공식!DL$15,$F394,0),"")</f>
        <v>4</v>
      </c>
      <c r="P394" s="188" t="str">
        <f t="shared" ca="1" si="13"/>
        <v>3% 이하</v>
      </c>
      <c r="Q394" s="194">
        <f ca="1">IFERROR(ROUND(OFFSET(환산공식!$FG$15,$F394,0),3),"")</f>
        <v>0</v>
      </c>
      <c r="R394" s="194">
        <f ca="1">OFFSET('배치점수 계산기'!H$10,$D394,0)</f>
        <v>906.22299999999996</v>
      </c>
      <c r="S394" s="194">
        <f ca="1">OFFSET('배치점수 계산기'!I$10,$D394,0)</f>
        <v>900.76800000000003</v>
      </c>
      <c r="T394" s="194">
        <f ca="1">OFFSET('배치점수 계산기'!J$10,$D394,0)</f>
        <v>897.05799999999999</v>
      </c>
      <c r="U394" s="194">
        <f ca="1">OFFSET('배치점수 계산기'!K$10,$D394,0)</f>
        <v>893.65099999999995</v>
      </c>
      <c r="V394" s="194">
        <f ca="1">OFFSET('배치점수 계산기'!L$10,$D394,0)</f>
        <v>886.77300000000002</v>
      </c>
      <c r="W394" s="186" t="str">
        <f ca="1">OFFSET('배치점수 계산기'!M$10,$D394,0)</f>
        <v>표점/만점</v>
      </c>
      <c r="X394" s="184" t="str">
        <f ca="1">OFFSET('배치점수 계산기'!N$10,$D394,0)</f>
        <v>변표/만점</v>
      </c>
      <c r="Y394" s="188">
        <f ca="1">OFFSET(환산공식!FW$15,$F394,0)</f>
        <v>0.31</v>
      </c>
      <c r="Z394" s="20">
        <f ca="1">OFFSET(환산공식!FX$15,$F394,0)</f>
        <v>0.37</v>
      </c>
      <c r="AA394" s="179">
        <f ca="1">OFFSET(환산공식!FY$15,$F394,0)</f>
        <v>0.31</v>
      </c>
      <c r="AB394" s="3"/>
      <c r="AD394">
        <f t="shared" ca="1" si="14"/>
        <v>6</v>
      </c>
      <c r="AF394" s="3"/>
      <c r="AG394" s="3"/>
      <c r="AH394" s="3"/>
    </row>
    <row r="395" spans="1:34">
      <c r="A395" s="198"/>
      <c r="B395" s="198"/>
      <c r="C395" s="198" t="s">
        <v>956</v>
      </c>
      <c r="D395" s="195">
        <v>445</v>
      </c>
      <c r="E395" s="195">
        <v>76</v>
      </c>
      <c r="F395" s="195">
        <v>76</v>
      </c>
      <c r="G395" s="239">
        <v>388</v>
      </c>
      <c r="H395" s="197" t="s">
        <v>72</v>
      </c>
      <c r="I395" s="242" t="s">
        <v>236</v>
      </c>
      <c r="J395" s="242" t="s">
        <v>10466</v>
      </c>
      <c r="K395" s="195" t="s">
        <v>71</v>
      </c>
      <c r="L395" s="20" t="str">
        <f ca="1">IF(OFFSET(환산공식!$ED$15,$F395,0)=1,"O","X")</f>
        <v>X</v>
      </c>
      <c r="M395" s="188">
        <f ca="1">IFERROR(OFFSET(환산공식!DJ$15,$F395,0),"")</f>
        <v>200</v>
      </c>
      <c r="N395" s="20" t="str">
        <f ca="1">IFERROR(CONCATENATE(ROUND(OFFSET(환산공식!DK$15,$F395,0),1),"%"),"")</f>
        <v>100%</v>
      </c>
      <c r="O395" s="20">
        <f ca="1">IFERROR(OFFSET(환산공식!DL$15,$F395,0),"")</f>
        <v>4</v>
      </c>
      <c r="P395" s="188" t="str">
        <f t="shared" ca="1" si="13"/>
        <v>3% 이하</v>
      </c>
      <c r="Q395" s="194">
        <f ca="1">IFERROR(ROUND(OFFSET(환산공식!$FG$15,$F395,0),3),"")</f>
        <v>0</v>
      </c>
      <c r="R395" s="194">
        <f ca="1">OFFSET('배치점수 계산기'!H$10,$D395,0)</f>
        <v>903.33600000000001</v>
      </c>
      <c r="S395" s="194">
        <f ca="1">OFFSET('배치점수 계산기'!I$10,$D395,0)</f>
        <v>897.8</v>
      </c>
      <c r="T395" s="194">
        <f ca="1">OFFSET('배치점수 계산기'!J$10,$D395,0)</f>
        <v>893.53</v>
      </c>
      <c r="U395" s="194">
        <f ca="1">OFFSET('배치점수 계산기'!K$10,$D395,0)</f>
        <v>890.47500000000002</v>
      </c>
      <c r="V395" s="194">
        <f ca="1">OFFSET('배치점수 계산기'!L$10,$D395,0)</f>
        <v>882.93700000000001</v>
      </c>
      <c r="W395" s="186" t="str">
        <f ca="1">OFFSET('배치점수 계산기'!M$10,$D395,0)</f>
        <v>표점/만점</v>
      </c>
      <c r="X395" s="184" t="str">
        <f ca="1">OFFSET('배치점수 계산기'!N$10,$D395,0)</f>
        <v>변표/만점</v>
      </c>
      <c r="Y395" s="188">
        <f ca="1">OFFSET(환산공식!FW$15,$F395,0)</f>
        <v>0.44</v>
      </c>
      <c r="Z395" s="20">
        <f ca="1">OFFSET(환산공식!FX$15,$F395,0)</f>
        <v>0.25</v>
      </c>
      <c r="AA395" s="179">
        <f ca="1">OFFSET(환산공식!FY$15,$F395,0)</f>
        <v>0.31</v>
      </c>
      <c r="AB395" s="3"/>
      <c r="AD395">
        <f t="shared" ca="1" si="14"/>
        <v>6</v>
      </c>
      <c r="AF395" s="3"/>
      <c r="AG395" s="3"/>
      <c r="AH395" s="3"/>
    </row>
    <row r="396" spans="1:34">
      <c r="A396" s="198"/>
      <c r="B396" s="198"/>
      <c r="C396" s="198" t="s">
        <v>957</v>
      </c>
      <c r="D396" s="195">
        <v>446</v>
      </c>
      <c r="E396" s="195">
        <v>77</v>
      </c>
      <c r="F396" s="195">
        <v>77</v>
      </c>
      <c r="G396" s="239">
        <v>389</v>
      </c>
      <c r="H396" s="197" t="s">
        <v>72</v>
      </c>
      <c r="I396" s="242" t="s">
        <v>236</v>
      </c>
      <c r="J396" s="242" t="s">
        <v>489</v>
      </c>
      <c r="K396" s="195" t="s">
        <v>71</v>
      </c>
      <c r="L396" s="20" t="str">
        <f ca="1">IF(OFFSET(환산공식!$ED$15,$F396,0)=1,"O","X")</f>
        <v>X</v>
      </c>
      <c r="M396" s="188">
        <f ca="1">IFERROR(OFFSET(환산공식!DJ$15,$F396,0),"")</f>
        <v>200</v>
      </c>
      <c r="N396" s="20" t="str">
        <f ca="1">IFERROR(CONCATENATE(ROUND(OFFSET(환산공식!DK$15,$F396,0),1),"%"),"")</f>
        <v>100%</v>
      </c>
      <c r="O396" s="20">
        <f ca="1">IFERROR(OFFSET(환산공식!DL$15,$F396,0),"")</f>
        <v>4</v>
      </c>
      <c r="P396" s="188" t="str">
        <f t="shared" ca="1" si="13"/>
        <v>3% 이하</v>
      </c>
      <c r="Q396" s="194">
        <f ca="1">IFERROR(ROUND(OFFSET(환산공식!$FG$15,$F396,0),3),"")</f>
        <v>0</v>
      </c>
      <c r="R396" s="194">
        <f ca="1">OFFSET('배치점수 계산기'!H$10,$D396,0)</f>
        <v>903.88099999999997</v>
      </c>
      <c r="S396" s="194">
        <f ca="1">OFFSET('배치점수 계산기'!I$10,$D396,0)</f>
        <v>898.38300000000004</v>
      </c>
      <c r="T396" s="194">
        <f ca="1">OFFSET('배치점수 계산기'!J$10,$D396,0)</f>
        <v>894.59100000000001</v>
      </c>
      <c r="U396" s="194">
        <f ca="1">OFFSET('배치점수 계산기'!K$10,$D396,0)</f>
        <v>891.44299999999998</v>
      </c>
      <c r="V396" s="194">
        <f ca="1">OFFSET('배치점수 계산기'!L$10,$D396,0)</f>
        <v>884.30399999999997</v>
      </c>
      <c r="W396" s="186" t="str">
        <f ca="1">OFFSET('배치점수 계산기'!M$10,$D396,0)</f>
        <v>표점/만점</v>
      </c>
      <c r="X396" s="184" t="str">
        <f ca="1">OFFSET('배치점수 계산기'!N$10,$D396,0)</f>
        <v>변표/만점</v>
      </c>
      <c r="Y396" s="188">
        <f ca="1">OFFSET(환산공식!FW$15,$F396,0)</f>
        <v>0.31</v>
      </c>
      <c r="Z396" s="20">
        <f ca="1">OFFSET(환산공식!FX$15,$F396,0)</f>
        <v>0.37</v>
      </c>
      <c r="AA396" s="179">
        <f ca="1">OFFSET(환산공식!FY$15,$F396,0)</f>
        <v>0.31</v>
      </c>
      <c r="AB396" s="3"/>
      <c r="AD396">
        <f t="shared" ca="1" si="14"/>
        <v>6</v>
      </c>
      <c r="AF396" s="3"/>
      <c r="AG396" s="3"/>
      <c r="AH396" s="3"/>
    </row>
    <row r="397" spans="1:34">
      <c r="A397" s="198"/>
      <c r="B397" s="198"/>
      <c r="C397" s="198" t="s">
        <v>958</v>
      </c>
      <c r="D397" s="195">
        <v>447</v>
      </c>
      <c r="E397" s="195">
        <v>77</v>
      </c>
      <c r="F397" s="195">
        <v>77</v>
      </c>
      <c r="G397" s="239">
        <v>390</v>
      </c>
      <c r="H397" s="197" t="s">
        <v>72</v>
      </c>
      <c r="I397" s="242" t="s">
        <v>236</v>
      </c>
      <c r="J397" s="242" t="s">
        <v>8659</v>
      </c>
      <c r="K397" s="195" t="s">
        <v>71</v>
      </c>
      <c r="L397" s="20" t="str">
        <f ca="1">IF(OFFSET(환산공식!$ED$15,$F397,0)=1,"O","X")</f>
        <v>X</v>
      </c>
      <c r="M397" s="188">
        <f ca="1">IFERROR(OFFSET(환산공식!DJ$15,$F397,0),"")</f>
        <v>200</v>
      </c>
      <c r="N397" s="20" t="str">
        <f ca="1">IFERROR(CONCATENATE(ROUND(OFFSET(환산공식!DK$15,$F397,0),1),"%"),"")</f>
        <v>100%</v>
      </c>
      <c r="O397" s="20">
        <f ca="1">IFERROR(OFFSET(환산공식!DL$15,$F397,0),"")</f>
        <v>4</v>
      </c>
      <c r="P397" s="188" t="str">
        <f t="shared" ca="1" si="13"/>
        <v>3% 이하</v>
      </c>
      <c r="Q397" s="194">
        <f ca="1">IFERROR(ROUND(OFFSET(환산공식!$FG$15,$F397,0),3),"")</f>
        <v>0</v>
      </c>
      <c r="R397" s="194">
        <f ca="1">OFFSET('배치점수 계산기'!H$10,$D397,0)</f>
        <v>902.96</v>
      </c>
      <c r="S397" s="194">
        <f ca="1">OFFSET('배치점수 계산기'!I$10,$D397,0)</f>
        <v>897.57299999999998</v>
      </c>
      <c r="T397" s="194">
        <f ca="1">OFFSET('배치점수 계산기'!J$10,$D397,0)</f>
        <v>893.65099999999995</v>
      </c>
      <c r="U397" s="194">
        <f ca="1">OFFSET('배치점수 계산기'!K$10,$D397,0)</f>
        <v>890.81899999999996</v>
      </c>
      <c r="V397" s="194">
        <f ca="1">OFFSET('배치점수 계산기'!L$10,$D397,0)</f>
        <v>883.85400000000004</v>
      </c>
      <c r="W397" s="186" t="str">
        <f ca="1">OFFSET('배치점수 계산기'!M$10,$D397,0)</f>
        <v>표점/만점</v>
      </c>
      <c r="X397" s="184" t="str">
        <f ca="1">OFFSET('배치점수 계산기'!N$10,$D397,0)</f>
        <v>변표/만점</v>
      </c>
      <c r="Y397" s="188">
        <f ca="1">OFFSET(환산공식!FW$15,$F397,0)</f>
        <v>0.31</v>
      </c>
      <c r="Z397" s="20">
        <f ca="1">OFFSET(환산공식!FX$15,$F397,0)</f>
        <v>0.37</v>
      </c>
      <c r="AA397" s="179">
        <f ca="1">OFFSET(환산공식!FY$15,$F397,0)</f>
        <v>0.31</v>
      </c>
      <c r="AB397" s="3"/>
      <c r="AD397">
        <f t="shared" ca="1" si="14"/>
        <v>6</v>
      </c>
      <c r="AF397" s="3"/>
      <c r="AG397" s="3"/>
      <c r="AH397" s="3"/>
    </row>
    <row r="398" spans="1:34">
      <c r="A398" s="198"/>
      <c r="B398" s="198"/>
      <c r="C398" s="198" t="s">
        <v>959</v>
      </c>
      <c r="D398" s="195">
        <v>448</v>
      </c>
      <c r="E398" s="195">
        <v>76</v>
      </c>
      <c r="F398" s="195">
        <v>76</v>
      </c>
      <c r="G398" s="239">
        <v>391</v>
      </c>
      <c r="H398" s="197" t="s">
        <v>72</v>
      </c>
      <c r="I398" s="242" t="s">
        <v>236</v>
      </c>
      <c r="J398" s="242" t="s">
        <v>10555</v>
      </c>
      <c r="K398" s="195" t="s">
        <v>71</v>
      </c>
      <c r="L398" s="20" t="str">
        <f ca="1">IF(OFFSET(환산공식!$ED$15,$F398,0)=1,"O","X")</f>
        <v>X</v>
      </c>
      <c r="M398" s="188">
        <f ca="1">IFERROR(OFFSET(환산공식!DJ$15,$F398,0),"")</f>
        <v>200</v>
      </c>
      <c r="N398" s="20" t="str">
        <f ca="1">IFERROR(CONCATENATE(ROUND(OFFSET(환산공식!DK$15,$F398,0),1),"%"),"")</f>
        <v>100%</v>
      </c>
      <c r="O398" s="20">
        <f ca="1">IFERROR(OFFSET(환산공식!DL$15,$F398,0),"")</f>
        <v>4</v>
      </c>
      <c r="P398" s="188" t="str">
        <f t="shared" ca="1" si="13"/>
        <v>3% 이하</v>
      </c>
      <c r="Q398" s="194">
        <f ca="1">IFERROR(ROUND(OFFSET(환산공식!$FG$15,$F398,0),3),"")</f>
        <v>0</v>
      </c>
      <c r="R398" s="194">
        <f ca="1">OFFSET('배치점수 계산기'!H$10,$D398,0)</f>
        <v>901.67</v>
      </c>
      <c r="S398" s="194">
        <f ca="1">OFFSET('배치점수 계산기'!I$10,$D398,0)</f>
        <v>896.10599999999999</v>
      </c>
      <c r="T398" s="194">
        <f ca="1">OFFSET('배치점수 계산기'!J$10,$D398,0)</f>
        <v>891.99900000000002</v>
      </c>
      <c r="U398" s="194">
        <f ca="1">OFFSET('배치점수 계산기'!K$10,$D398,0)</f>
        <v>889.18299999999999</v>
      </c>
      <c r="V398" s="194">
        <f ca="1">OFFSET('배치점수 계산기'!L$10,$D398,0)</f>
        <v>881.90099999999995</v>
      </c>
      <c r="W398" s="186" t="str">
        <f ca="1">OFFSET('배치점수 계산기'!M$10,$D398,0)</f>
        <v>표점/만점</v>
      </c>
      <c r="X398" s="184" t="str">
        <f ca="1">OFFSET('배치점수 계산기'!N$10,$D398,0)</f>
        <v>변표/만점</v>
      </c>
      <c r="Y398" s="188">
        <f ca="1">OFFSET(환산공식!FW$15,$F398,0)</f>
        <v>0.44</v>
      </c>
      <c r="Z398" s="20">
        <f ca="1">OFFSET(환산공식!FX$15,$F398,0)</f>
        <v>0.25</v>
      </c>
      <c r="AA398" s="179">
        <f ca="1">OFFSET(환산공식!FY$15,$F398,0)</f>
        <v>0.31</v>
      </c>
      <c r="AB398" s="3"/>
      <c r="AD398">
        <f t="shared" ca="1" si="14"/>
        <v>6</v>
      </c>
      <c r="AF398" s="3"/>
      <c r="AG398" s="3"/>
      <c r="AH398" s="3"/>
    </row>
    <row r="399" spans="1:34">
      <c r="A399" s="198"/>
      <c r="B399" s="198"/>
      <c r="C399" s="198" t="s">
        <v>960</v>
      </c>
      <c r="D399" s="195">
        <v>449</v>
      </c>
      <c r="E399" s="195">
        <v>76</v>
      </c>
      <c r="F399" s="195">
        <v>76</v>
      </c>
      <c r="G399" s="239">
        <v>392</v>
      </c>
      <c r="H399" s="197" t="s">
        <v>72</v>
      </c>
      <c r="I399" s="242" t="s">
        <v>236</v>
      </c>
      <c r="J399" s="242" t="s">
        <v>10571</v>
      </c>
      <c r="K399" s="195" t="s">
        <v>71</v>
      </c>
      <c r="L399" s="20" t="str">
        <f ca="1">IF(OFFSET(환산공식!$ED$15,$F399,0)=1,"O","X")</f>
        <v>X</v>
      </c>
      <c r="M399" s="188">
        <f ca="1">IFERROR(OFFSET(환산공식!DJ$15,$F399,0),"")</f>
        <v>200</v>
      </c>
      <c r="N399" s="20" t="str">
        <f ca="1">IFERROR(CONCATENATE(ROUND(OFFSET(환산공식!DK$15,$F399,0),1),"%"),"")</f>
        <v>100%</v>
      </c>
      <c r="O399" s="20">
        <f ca="1">IFERROR(OFFSET(환산공식!DL$15,$F399,0),"")</f>
        <v>4</v>
      </c>
      <c r="P399" s="188" t="str">
        <f t="shared" ca="1" si="13"/>
        <v>3% 이하</v>
      </c>
      <c r="Q399" s="194">
        <f ca="1">IFERROR(ROUND(OFFSET(환산공식!$FG$15,$F399,0),3),"")</f>
        <v>0</v>
      </c>
      <c r="R399" s="194">
        <f ca="1">OFFSET('배치점수 계산기'!H$10,$D399,0)</f>
        <v>901.43200000000002</v>
      </c>
      <c r="S399" s="194">
        <f ca="1">OFFSET('배치점수 계산기'!I$10,$D399,0)</f>
        <v>895.73900000000003</v>
      </c>
      <c r="T399" s="194">
        <f ca="1">OFFSET('배치점수 계산기'!J$10,$D399,0)</f>
        <v>891.63199999999995</v>
      </c>
      <c r="U399" s="194">
        <f ca="1">OFFSET('배치점수 계산기'!K$10,$D399,0)</f>
        <v>889.18299999999999</v>
      </c>
      <c r="V399" s="194">
        <f ca="1">OFFSET('배치점수 계산기'!L$10,$D399,0)</f>
        <v>881.77200000000005</v>
      </c>
      <c r="W399" s="186" t="str">
        <f ca="1">OFFSET('배치점수 계산기'!M$10,$D399,0)</f>
        <v>표점/만점</v>
      </c>
      <c r="X399" s="184" t="str">
        <f ca="1">OFFSET('배치점수 계산기'!N$10,$D399,0)</f>
        <v>변표/만점</v>
      </c>
      <c r="Y399" s="188">
        <f ca="1">OFFSET(환산공식!FW$15,$F399,0)</f>
        <v>0.44</v>
      </c>
      <c r="Z399" s="20">
        <f ca="1">OFFSET(환산공식!FX$15,$F399,0)</f>
        <v>0.25</v>
      </c>
      <c r="AA399" s="179">
        <f ca="1">OFFSET(환산공식!FY$15,$F399,0)</f>
        <v>0.31</v>
      </c>
      <c r="AB399" s="3"/>
      <c r="AD399">
        <f t="shared" ca="1" si="14"/>
        <v>6</v>
      </c>
      <c r="AF399" s="3"/>
      <c r="AG399" s="3"/>
      <c r="AH399" s="3"/>
    </row>
    <row r="400" spans="1:34">
      <c r="A400" s="198"/>
      <c r="B400" s="198"/>
      <c r="C400" s="198" t="s">
        <v>961</v>
      </c>
      <c r="D400" s="195">
        <v>450</v>
      </c>
      <c r="E400" s="195">
        <v>76</v>
      </c>
      <c r="F400" s="195">
        <v>76</v>
      </c>
      <c r="G400" s="239">
        <v>393</v>
      </c>
      <c r="H400" s="197" t="s">
        <v>72</v>
      </c>
      <c r="I400" s="242" t="s">
        <v>236</v>
      </c>
      <c r="J400" s="242" t="s">
        <v>10567</v>
      </c>
      <c r="K400" s="195" t="s">
        <v>71</v>
      </c>
      <c r="L400" s="20" t="str">
        <f ca="1">IF(OFFSET(환산공식!$ED$15,$F400,0)=1,"O","X")</f>
        <v>X</v>
      </c>
      <c r="M400" s="188">
        <f ca="1">IFERROR(OFFSET(환산공식!DJ$15,$F400,0),"")</f>
        <v>200</v>
      </c>
      <c r="N400" s="20" t="str">
        <f ca="1">IFERROR(CONCATENATE(ROUND(OFFSET(환산공식!DK$15,$F400,0),1),"%"),"")</f>
        <v>100%</v>
      </c>
      <c r="O400" s="20">
        <f ca="1">IFERROR(OFFSET(환산공식!DL$15,$F400,0),"")</f>
        <v>4</v>
      </c>
      <c r="P400" s="188" t="str">
        <f t="shared" ca="1" si="13"/>
        <v>3% 이하</v>
      </c>
      <c r="Q400" s="194">
        <f ca="1">IFERROR(ROUND(OFFSET(환산공식!$FG$15,$F400,0),3),"")</f>
        <v>0</v>
      </c>
      <c r="R400" s="194">
        <f ca="1">OFFSET('배치점수 계산기'!H$10,$D400,0)</f>
        <v>901.43200000000002</v>
      </c>
      <c r="S400" s="194">
        <f ca="1">OFFSET('배치점수 계산기'!I$10,$D400,0)</f>
        <v>895.73900000000003</v>
      </c>
      <c r="T400" s="194">
        <f ca="1">OFFSET('배치점수 계산기'!J$10,$D400,0)</f>
        <v>891.63199999999995</v>
      </c>
      <c r="U400" s="194">
        <f ca="1">OFFSET('배치점수 계산기'!K$10,$D400,0)</f>
        <v>889.18299999999999</v>
      </c>
      <c r="V400" s="194">
        <f ca="1">OFFSET('배치점수 계산기'!L$10,$D400,0)</f>
        <v>881.77200000000005</v>
      </c>
      <c r="W400" s="186" t="str">
        <f ca="1">OFFSET('배치점수 계산기'!M$10,$D400,0)</f>
        <v>표점/만점</v>
      </c>
      <c r="X400" s="184" t="str">
        <f ca="1">OFFSET('배치점수 계산기'!N$10,$D400,0)</f>
        <v>변표/만점</v>
      </c>
      <c r="Y400" s="188">
        <f ca="1">OFFSET(환산공식!FW$15,$F400,0)</f>
        <v>0.44</v>
      </c>
      <c r="Z400" s="20">
        <f ca="1">OFFSET(환산공식!FX$15,$F400,0)</f>
        <v>0.25</v>
      </c>
      <c r="AA400" s="179">
        <f ca="1">OFFSET(환산공식!FY$15,$F400,0)</f>
        <v>0.31</v>
      </c>
      <c r="AB400" s="3"/>
      <c r="AD400">
        <f t="shared" ca="1" si="14"/>
        <v>6</v>
      </c>
      <c r="AF400" s="3"/>
      <c r="AG400" s="3"/>
      <c r="AH400" s="3"/>
    </row>
    <row r="401" spans="1:34">
      <c r="A401" s="198"/>
      <c r="B401" s="198"/>
      <c r="C401" s="198" t="s">
        <v>962</v>
      </c>
      <c r="D401" s="195">
        <v>451</v>
      </c>
      <c r="E401" s="195">
        <v>76</v>
      </c>
      <c r="F401" s="195">
        <v>76</v>
      </c>
      <c r="G401" s="239">
        <v>394</v>
      </c>
      <c r="H401" s="197" t="s">
        <v>72</v>
      </c>
      <c r="I401" s="242" t="s">
        <v>236</v>
      </c>
      <c r="J401" s="242" t="s">
        <v>561</v>
      </c>
      <c r="K401" s="195" t="s">
        <v>71</v>
      </c>
      <c r="L401" s="20" t="str">
        <f ca="1">IF(OFFSET(환산공식!$ED$15,$F401,0)=1,"O","X")</f>
        <v>X</v>
      </c>
      <c r="M401" s="188">
        <f ca="1">IFERROR(OFFSET(환산공식!DJ$15,$F401,0),"")</f>
        <v>200</v>
      </c>
      <c r="N401" s="20" t="str">
        <f ca="1">IFERROR(CONCATENATE(ROUND(OFFSET(환산공식!DK$15,$F401,0),1),"%"),"")</f>
        <v>100%</v>
      </c>
      <c r="O401" s="20">
        <f ca="1">IFERROR(OFFSET(환산공식!DL$15,$F401,0),"")</f>
        <v>4</v>
      </c>
      <c r="P401" s="188" t="str">
        <f t="shared" ca="1" si="13"/>
        <v>3% 이하</v>
      </c>
      <c r="Q401" s="194">
        <f ca="1">IFERROR(ROUND(OFFSET(환산공식!$FG$15,$F401,0),3),"")</f>
        <v>0</v>
      </c>
      <c r="R401" s="194">
        <f ca="1">OFFSET('배치점수 계산기'!H$10,$D401,0)</f>
        <v>901.28800000000001</v>
      </c>
      <c r="S401" s="194">
        <f ca="1">OFFSET('배치점수 계산기'!I$10,$D401,0)</f>
        <v>895.59500000000003</v>
      </c>
      <c r="T401" s="194">
        <f ca="1">OFFSET('배치점수 계산기'!J$10,$D401,0)</f>
        <v>891.48800000000006</v>
      </c>
      <c r="U401" s="194">
        <f ca="1">OFFSET('배치점수 계산기'!K$10,$D401,0)</f>
        <v>888.65</v>
      </c>
      <c r="V401" s="194">
        <f ca="1">OFFSET('배치점수 계산기'!L$10,$D401,0)</f>
        <v>881.53399999999999</v>
      </c>
      <c r="W401" s="186" t="str">
        <f ca="1">OFFSET('배치점수 계산기'!M$10,$D401,0)</f>
        <v>표점/만점</v>
      </c>
      <c r="X401" s="184" t="str">
        <f ca="1">OFFSET('배치점수 계산기'!N$10,$D401,0)</f>
        <v>변표/만점</v>
      </c>
      <c r="Y401" s="188">
        <f ca="1">OFFSET(환산공식!FW$15,$F401,0)</f>
        <v>0.44</v>
      </c>
      <c r="Z401" s="20">
        <f ca="1">OFFSET(환산공식!FX$15,$F401,0)</f>
        <v>0.25</v>
      </c>
      <c r="AA401" s="179">
        <f ca="1">OFFSET(환산공식!FY$15,$F401,0)</f>
        <v>0.31</v>
      </c>
      <c r="AB401" s="3"/>
      <c r="AD401">
        <f t="shared" ca="1" si="14"/>
        <v>6</v>
      </c>
      <c r="AF401" s="3"/>
      <c r="AG401" s="3"/>
      <c r="AH401" s="3"/>
    </row>
    <row r="402" spans="1:34">
      <c r="A402" s="198"/>
      <c r="B402" s="198"/>
      <c r="C402" s="198" t="s">
        <v>963</v>
      </c>
      <c r="D402" s="195">
        <v>452</v>
      </c>
      <c r="E402" s="195">
        <v>76</v>
      </c>
      <c r="F402" s="195">
        <v>76</v>
      </c>
      <c r="G402" s="239">
        <v>395</v>
      </c>
      <c r="H402" s="197" t="s">
        <v>72</v>
      </c>
      <c r="I402" s="242" t="s">
        <v>236</v>
      </c>
      <c r="J402" s="242" t="s">
        <v>8618</v>
      </c>
      <c r="K402" s="195" t="s">
        <v>71</v>
      </c>
      <c r="L402" s="20" t="str">
        <f ca="1">IF(OFFSET(환산공식!$ED$15,$F402,0)=1,"O","X")</f>
        <v>X</v>
      </c>
      <c r="M402" s="188">
        <f ca="1">IFERROR(OFFSET(환산공식!DJ$15,$F402,0),"")</f>
        <v>200</v>
      </c>
      <c r="N402" s="20" t="str">
        <f ca="1">IFERROR(CONCATENATE(ROUND(OFFSET(환산공식!DK$15,$F402,0),1),"%"),"")</f>
        <v>100%</v>
      </c>
      <c r="O402" s="20">
        <f ca="1">IFERROR(OFFSET(환산공식!DL$15,$F402,0),"")</f>
        <v>4</v>
      </c>
      <c r="P402" s="188" t="str">
        <f t="shared" ca="1" si="13"/>
        <v>3% 이하</v>
      </c>
      <c r="Q402" s="194">
        <f ca="1">IFERROR(ROUND(OFFSET(환산공식!$FG$15,$F402,0),3),"")</f>
        <v>0</v>
      </c>
      <c r="R402" s="194">
        <f ca="1">OFFSET('배치점수 계산기'!H$10,$D402,0)</f>
        <v>900.80399999999997</v>
      </c>
      <c r="S402" s="194">
        <f ca="1">OFFSET('배치점수 계산기'!I$10,$D402,0)</f>
        <v>895.197</v>
      </c>
      <c r="T402" s="194">
        <f ca="1">OFFSET('배치점수 계산기'!J$10,$D402,0)</f>
        <v>891.09</v>
      </c>
      <c r="U402" s="194">
        <f ca="1">OFFSET('배치점수 계산기'!K$10,$D402,0)</f>
        <v>888.52099999999996</v>
      </c>
      <c r="V402" s="194">
        <f ca="1">OFFSET('배치점수 계산기'!L$10,$D402,0)</f>
        <v>881.35900000000004</v>
      </c>
      <c r="W402" s="186" t="str">
        <f ca="1">OFFSET('배치점수 계산기'!M$10,$D402,0)</f>
        <v>표점/만점</v>
      </c>
      <c r="X402" s="184" t="str">
        <f ca="1">OFFSET('배치점수 계산기'!N$10,$D402,0)</f>
        <v>변표/만점</v>
      </c>
      <c r="Y402" s="188">
        <f ca="1">OFFSET(환산공식!FW$15,$F402,0)</f>
        <v>0.44</v>
      </c>
      <c r="Z402" s="20">
        <f ca="1">OFFSET(환산공식!FX$15,$F402,0)</f>
        <v>0.25</v>
      </c>
      <c r="AA402" s="179">
        <f ca="1">OFFSET(환산공식!FY$15,$F402,0)</f>
        <v>0.31</v>
      </c>
      <c r="AB402" s="3"/>
      <c r="AD402">
        <f t="shared" ca="1" si="14"/>
        <v>6</v>
      </c>
      <c r="AF402" s="3"/>
      <c r="AG402" s="3"/>
      <c r="AH402" s="3"/>
    </row>
    <row r="403" spans="1:34">
      <c r="A403" s="198"/>
      <c r="B403" s="198"/>
      <c r="C403" s="198" t="s">
        <v>964</v>
      </c>
      <c r="D403" s="195">
        <v>453</v>
      </c>
      <c r="E403" s="195">
        <v>76</v>
      </c>
      <c r="F403" s="195">
        <v>76</v>
      </c>
      <c r="G403" s="239">
        <v>396</v>
      </c>
      <c r="H403" s="197" t="s">
        <v>72</v>
      </c>
      <c r="I403" s="242" t="s">
        <v>236</v>
      </c>
      <c r="J403" s="242" t="s">
        <v>8753</v>
      </c>
      <c r="K403" s="195" t="s">
        <v>71</v>
      </c>
      <c r="L403" s="20" t="str">
        <f ca="1">IF(OFFSET(환산공식!$ED$15,$F403,0)=1,"O","X")</f>
        <v>X</v>
      </c>
      <c r="M403" s="188">
        <f ca="1">IFERROR(OFFSET(환산공식!DJ$15,$F403,0),"")</f>
        <v>200</v>
      </c>
      <c r="N403" s="20" t="str">
        <f ca="1">IFERROR(CONCATENATE(ROUND(OFFSET(환산공식!DK$15,$F403,0),1),"%"),"")</f>
        <v>100%</v>
      </c>
      <c r="O403" s="20">
        <f ca="1">IFERROR(OFFSET(환산공식!DL$15,$F403,0),"")</f>
        <v>4</v>
      </c>
      <c r="P403" s="188" t="str">
        <f t="shared" ca="1" si="13"/>
        <v>3% 이하</v>
      </c>
      <c r="Q403" s="194">
        <f ca="1">IFERROR(ROUND(OFFSET(환산공식!$FG$15,$F403,0),3),"")</f>
        <v>0</v>
      </c>
      <c r="R403" s="194">
        <f ca="1">OFFSET('배치점수 계산기'!H$10,$D403,0)</f>
        <v>900.64400000000001</v>
      </c>
      <c r="S403" s="194">
        <f ca="1">OFFSET('배치점수 계산기'!I$10,$D403,0)</f>
        <v>894.91499999999996</v>
      </c>
      <c r="T403" s="194">
        <f ca="1">OFFSET('배치점수 계산기'!J$10,$D403,0)</f>
        <v>890.94600000000003</v>
      </c>
      <c r="U403" s="194">
        <f ca="1">OFFSET('배치점수 계산기'!K$10,$D403,0)</f>
        <v>888.28200000000004</v>
      </c>
      <c r="V403" s="194">
        <f ca="1">OFFSET('배치점수 계산기'!L$10,$D403,0)</f>
        <v>881.24599999999998</v>
      </c>
      <c r="W403" s="186" t="str">
        <f ca="1">OFFSET('배치점수 계산기'!M$10,$D403,0)</f>
        <v>표점/만점</v>
      </c>
      <c r="X403" s="184" t="str">
        <f ca="1">OFFSET('배치점수 계산기'!N$10,$D403,0)</f>
        <v>변표/만점</v>
      </c>
      <c r="Y403" s="188">
        <f ca="1">OFFSET(환산공식!FW$15,$F403,0)</f>
        <v>0.44</v>
      </c>
      <c r="Z403" s="20">
        <f ca="1">OFFSET(환산공식!FX$15,$F403,0)</f>
        <v>0.25</v>
      </c>
      <c r="AA403" s="179">
        <f ca="1">OFFSET(환산공식!FY$15,$F403,0)</f>
        <v>0.31</v>
      </c>
      <c r="AB403" s="3"/>
      <c r="AD403">
        <f t="shared" ca="1" si="14"/>
        <v>6</v>
      </c>
      <c r="AF403" s="3"/>
      <c r="AG403" s="3"/>
      <c r="AH403" s="3"/>
    </row>
    <row r="404" spans="1:34">
      <c r="A404" s="198"/>
      <c r="B404" s="198"/>
      <c r="C404" s="198" t="s">
        <v>965</v>
      </c>
      <c r="D404" s="195">
        <v>454</v>
      </c>
      <c r="E404" s="195">
        <v>76</v>
      </c>
      <c r="F404" s="195">
        <v>76</v>
      </c>
      <c r="G404" s="239">
        <v>397</v>
      </c>
      <c r="H404" s="197" t="s">
        <v>72</v>
      </c>
      <c r="I404" s="242" t="s">
        <v>236</v>
      </c>
      <c r="J404" s="242" t="s">
        <v>8804</v>
      </c>
      <c r="K404" s="195" t="s">
        <v>71</v>
      </c>
      <c r="L404" s="20" t="str">
        <f ca="1">IF(OFFSET(환산공식!$ED$15,$F404,0)=1,"O","X")</f>
        <v>X</v>
      </c>
      <c r="M404" s="188">
        <f ca="1">IFERROR(OFFSET(환산공식!DJ$15,$F404,0),"")</f>
        <v>200</v>
      </c>
      <c r="N404" s="20" t="str">
        <f ca="1">IFERROR(CONCATENATE(ROUND(OFFSET(환산공식!DK$15,$F404,0),1),"%"),"")</f>
        <v>100%</v>
      </c>
      <c r="O404" s="20">
        <f ca="1">IFERROR(OFFSET(환산공식!DL$15,$F404,0),"")</f>
        <v>4</v>
      </c>
      <c r="P404" s="188" t="str">
        <f t="shared" ca="1" si="13"/>
        <v>3% 이하</v>
      </c>
      <c r="Q404" s="194">
        <f ca="1">IFERROR(ROUND(OFFSET(환산공식!$FG$15,$F404,0),3),"")</f>
        <v>0</v>
      </c>
      <c r="R404" s="194">
        <f ca="1">OFFSET('배치점수 계산기'!H$10,$D404,0)</f>
        <v>900.40599999999995</v>
      </c>
      <c r="S404" s="194">
        <f ca="1">OFFSET('배치점수 계산기'!I$10,$D404,0)</f>
        <v>894.548</v>
      </c>
      <c r="T404" s="194">
        <f ca="1">OFFSET('배치점수 계산기'!J$10,$D404,0)</f>
        <v>890.81700000000001</v>
      </c>
      <c r="U404" s="194">
        <f ca="1">OFFSET('배치점수 계산기'!K$10,$D404,0)</f>
        <v>888.15300000000002</v>
      </c>
      <c r="V404" s="194">
        <f ca="1">OFFSET('배치점수 계산기'!L$10,$D404,0)</f>
        <v>881.00699999999995</v>
      </c>
      <c r="W404" s="186" t="str">
        <f ca="1">OFFSET('배치점수 계산기'!M$10,$D404,0)</f>
        <v>표점/만점</v>
      </c>
      <c r="X404" s="184" t="str">
        <f ca="1">OFFSET('배치점수 계산기'!N$10,$D404,0)</f>
        <v>변표/만점</v>
      </c>
      <c r="Y404" s="188">
        <f ca="1">OFFSET(환산공식!FW$15,$F404,0)</f>
        <v>0.44</v>
      </c>
      <c r="Z404" s="20">
        <f ca="1">OFFSET(환산공식!FX$15,$F404,0)</f>
        <v>0.25</v>
      </c>
      <c r="AA404" s="179">
        <f ca="1">OFFSET(환산공식!FY$15,$F404,0)</f>
        <v>0.31</v>
      </c>
      <c r="AB404" s="3"/>
      <c r="AD404">
        <f t="shared" ca="1" si="14"/>
        <v>6</v>
      </c>
      <c r="AF404" s="3"/>
      <c r="AG404" s="3"/>
      <c r="AH404" s="3"/>
    </row>
    <row r="405" spans="1:34">
      <c r="A405" s="198"/>
      <c r="B405" s="198"/>
      <c r="C405" s="198" t="s">
        <v>966</v>
      </c>
      <c r="D405" s="195">
        <v>455</v>
      </c>
      <c r="E405" s="195">
        <v>77</v>
      </c>
      <c r="F405" s="195">
        <v>77</v>
      </c>
      <c r="G405" s="239">
        <v>398</v>
      </c>
      <c r="H405" s="197" t="s">
        <v>72</v>
      </c>
      <c r="I405" s="242" t="s">
        <v>236</v>
      </c>
      <c r="J405" s="242" t="s">
        <v>10544</v>
      </c>
      <c r="K405" s="195" t="s">
        <v>71</v>
      </c>
      <c r="L405" s="20" t="str">
        <f ca="1">IF(OFFSET(환산공식!$ED$15,$F405,0)=1,"O","X")</f>
        <v>X</v>
      </c>
      <c r="M405" s="188">
        <f ca="1">IFERROR(OFFSET(환산공식!DJ$15,$F405,0),"")</f>
        <v>200</v>
      </c>
      <c r="N405" s="20" t="str">
        <f ca="1">IFERROR(CONCATENATE(ROUND(OFFSET(환산공식!DK$15,$F405,0),1),"%"),"")</f>
        <v>100%</v>
      </c>
      <c r="O405" s="20">
        <f ca="1">IFERROR(OFFSET(환산공식!DL$15,$F405,0),"")</f>
        <v>4</v>
      </c>
      <c r="P405" s="188" t="str">
        <f t="shared" ca="1" si="13"/>
        <v>3% 이하</v>
      </c>
      <c r="Q405" s="194">
        <f ca="1">IFERROR(ROUND(OFFSET(환산공식!$FG$15,$F405,0),3),"")</f>
        <v>0</v>
      </c>
      <c r="R405" s="194">
        <f ca="1">OFFSET('배치점수 계산기'!H$10,$D405,0)</f>
        <v>901.31299999999999</v>
      </c>
      <c r="S405" s="194">
        <f ca="1">OFFSET('배치점수 계산기'!I$10,$D405,0)</f>
        <v>895.19299999999998</v>
      </c>
      <c r="T405" s="194">
        <f ca="1">OFFSET('배치점수 계산기'!J$10,$D405,0)</f>
        <v>891.61300000000006</v>
      </c>
      <c r="U405" s="194">
        <f ca="1">OFFSET('배치점수 계산기'!K$10,$D405,0)</f>
        <v>889.53300000000002</v>
      </c>
      <c r="V405" s="194">
        <f ca="1">OFFSET('배치점수 계산기'!L$10,$D405,0)</f>
        <v>882.59500000000003</v>
      </c>
      <c r="W405" s="186" t="str">
        <f ca="1">OFFSET('배치점수 계산기'!M$10,$D405,0)</f>
        <v>표점/만점</v>
      </c>
      <c r="X405" s="184" t="str">
        <f ca="1">OFFSET('배치점수 계산기'!N$10,$D405,0)</f>
        <v>변표/만점</v>
      </c>
      <c r="Y405" s="188">
        <f ca="1">OFFSET(환산공식!FW$15,$F405,0)</f>
        <v>0.31</v>
      </c>
      <c r="Z405" s="20">
        <f ca="1">OFFSET(환산공식!FX$15,$F405,0)</f>
        <v>0.37</v>
      </c>
      <c r="AA405" s="179">
        <f ca="1">OFFSET(환산공식!FY$15,$F405,0)</f>
        <v>0.31</v>
      </c>
      <c r="AB405" s="3"/>
      <c r="AD405">
        <f t="shared" ca="1" si="14"/>
        <v>6</v>
      </c>
      <c r="AF405" s="3"/>
      <c r="AG405" s="3"/>
      <c r="AH405" s="3"/>
    </row>
    <row r="406" spans="1:34">
      <c r="A406" s="198"/>
      <c r="B406" s="198"/>
      <c r="C406" s="198" t="s">
        <v>967</v>
      </c>
      <c r="D406" s="195">
        <v>456</v>
      </c>
      <c r="E406" s="195">
        <v>76</v>
      </c>
      <c r="F406" s="195">
        <v>76</v>
      </c>
      <c r="G406" s="239">
        <v>399</v>
      </c>
      <c r="H406" s="197" t="s">
        <v>72</v>
      </c>
      <c r="I406" s="242" t="s">
        <v>236</v>
      </c>
      <c r="J406" s="242" t="s">
        <v>8863</v>
      </c>
      <c r="K406" s="195" t="s">
        <v>71</v>
      </c>
      <c r="L406" s="20" t="str">
        <f ca="1">IF(OFFSET(환산공식!$ED$15,$F406,0)=1,"O","X")</f>
        <v>X</v>
      </c>
      <c r="M406" s="188">
        <f ca="1">IFERROR(OFFSET(환산공식!DJ$15,$F406,0),"")</f>
        <v>200</v>
      </c>
      <c r="N406" s="20" t="str">
        <f ca="1">IFERROR(CONCATENATE(ROUND(OFFSET(환산공식!DK$15,$F406,0),1),"%"),"")</f>
        <v>100%</v>
      </c>
      <c r="O406" s="20">
        <f ca="1">IFERROR(OFFSET(환산공식!DL$15,$F406,0),"")</f>
        <v>4</v>
      </c>
      <c r="P406" s="188" t="str">
        <f t="shared" ca="1" si="13"/>
        <v>3% 이하</v>
      </c>
      <c r="Q406" s="194">
        <f ca="1">IFERROR(ROUND(OFFSET(환산공식!$FG$15,$F406,0),3),"")</f>
        <v>0</v>
      </c>
      <c r="R406" s="194">
        <f ca="1">OFFSET('배치점수 계산기'!H$10,$D406,0)</f>
        <v>899.22400000000005</v>
      </c>
      <c r="S406" s="194">
        <f ca="1">OFFSET('배치점수 계산기'!I$10,$D406,0)</f>
        <v>893.14800000000002</v>
      </c>
      <c r="T406" s="194">
        <f ca="1">OFFSET('배치점수 계산기'!J$10,$D406,0)</f>
        <v>889.56500000000005</v>
      </c>
      <c r="U406" s="194">
        <f ca="1">OFFSET('배치점수 계산기'!K$10,$D406,0)</f>
        <v>887.22299999999996</v>
      </c>
      <c r="V406" s="194">
        <f ca="1">OFFSET('배치점수 계산기'!L$10,$D406,0)</f>
        <v>880.13699999999994</v>
      </c>
      <c r="W406" s="186" t="str">
        <f ca="1">OFFSET('배치점수 계산기'!M$10,$D406,0)</f>
        <v>표점/만점</v>
      </c>
      <c r="X406" s="184" t="str">
        <f ca="1">OFFSET('배치점수 계산기'!N$10,$D406,0)</f>
        <v>변표/만점</v>
      </c>
      <c r="Y406" s="188">
        <f ca="1">OFFSET(환산공식!FW$15,$F406,0)</f>
        <v>0.44</v>
      </c>
      <c r="Z406" s="20">
        <f ca="1">OFFSET(환산공식!FX$15,$F406,0)</f>
        <v>0.25</v>
      </c>
      <c r="AA406" s="179">
        <f ca="1">OFFSET(환산공식!FY$15,$F406,0)</f>
        <v>0.31</v>
      </c>
      <c r="AB406" s="3"/>
      <c r="AD406">
        <f t="shared" ca="1" si="14"/>
        <v>6</v>
      </c>
      <c r="AF406" s="3"/>
      <c r="AG406" s="3"/>
      <c r="AH406" s="3"/>
    </row>
    <row r="407" spans="1:34">
      <c r="A407" s="198"/>
      <c r="B407" s="198"/>
      <c r="C407" s="198" t="s">
        <v>968</v>
      </c>
      <c r="D407" s="195">
        <v>457</v>
      </c>
      <c r="E407" s="195">
        <v>77</v>
      </c>
      <c r="F407" s="195">
        <v>77</v>
      </c>
      <c r="G407" s="239">
        <v>400</v>
      </c>
      <c r="H407" s="197" t="s">
        <v>72</v>
      </c>
      <c r="I407" s="242" t="s">
        <v>236</v>
      </c>
      <c r="J407" s="242" t="s">
        <v>10604</v>
      </c>
      <c r="K407" s="195" t="s">
        <v>71</v>
      </c>
      <c r="L407" s="20" t="str">
        <f ca="1">IF(OFFSET(환산공식!$ED$15,$F407,0)=1,"O","X")</f>
        <v>X</v>
      </c>
      <c r="M407" s="188">
        <f ca="1">IFERROR(OFFSET(환산공식!DJ$15,$F407,0),"")</f>
        <v>200</v>
      </c>
      <c r="N407" s="20" t="str">
        <f ca="1">IFERROR(CONCATENATE(ROUND(OFFSET(환산공식!DK$15,$F407,0),1),"%"),"")</f>
        <v>100%</v>
      </c>
      <c r="O407" s="20">
        <f ca="1">IFERROR(OFFSET(환산공식!DL$15,$F407,0),"")</f>
        <v>4</v>
      </c>
      <c r="P407" s="188" t="str">
        <f t="shared" ca="1" si="13"/>
        <v>3% 이하</v>
      </c>
      <c r="Q407" s="194">
        <f ca="1">IFERROR(ROUND(OFFSET(환산공식!$FG$15,$F407,0),3),"")</f>
        <v>0</v>
      </c>
      <c r="R407" s="194">
        <f ca="1">OFFSET('배치점수 계산기'!H$10,$D407,0)</f>
        <v>900.26800000000003</v>
      </c>
      <c r="S407" s="194">
        <f ca="1">OFFSET('배치점수 계산기'!I$10,$D407,0)</f>
        <v>894.59100000000001</v>
      </c>
      <c r="T407" s="194">
        <f ca="1">OFFSET('배치점수 계산기'!J$10,$D407,0)</f>
        <v>891.03399999999999</v>
      </c>
      <c r="U407" s="194">
        <f ca="1">OFFSET('배치점수 계산기'!K$10,$D407,0)</f>
        <v>888.81700000000001</v>
      </c>
      <c r="V407" s="194">
        <f ca="1">OFFSET('배치점수 계산기'!L$10,$D407,0)</f>
        <v>881.92899999999997</v>
      </c>
      <c r="W407" s="186" t="str">
        <f ca="1">OFFSET('배치점수 계산기'!M$10,$D407,0)</f>
        <v>표점/만점</v>
      </c>
      <c r="X407" s="184" t="str">
        <f ca="1">OFFSET('배치점수 계산기'!N$10,$D407,0)</f>
        <v>변표/만점</v>
      </c>
      <c r="Y407" s="188">
        <f ca="1">OFFSET(환산공식!FW$15,$F407,0)</f>
        <v>0.31</v>
      </c>
      <c r="Z407" s="20">
        <f ca="1">OFFSET(환산공식!FX$15,$F407,0)</f>
        <v>0.37</v>
      </c>
      <c r="AA407" s="179">
        <f ca="1">OFFSET(환산공식!FY$15,$F407,0)</f>
        <v>0.31</v>
      </c>
      <c r="AB407" s="3"/>
      <c r="AD407">
        <f t="shared" ca="1" si="14"/>
        <v>6</v>
      </c>
      <c r="AF407" s="3"/>
      <c r="AG407" s="3"/>
      <c r="AH407" s="3"/>
    </row>
    <row r="408" spans="1:34">
      <c r="A408" s="198"/>
      <c r="B408" s="198"/>
      <c r="C408" s="198" t="s">
        <v>969</v>
      </c>
      <c r="D408" s="195">
        <v>458</v>
      </c>
      <c r="E408" s="195">
        <v>67</v>
      </c>
      <c r="F408" s="195">
        <v>67</v>
      </c>
      <c r="G408" s="239">
        <v>401</v>
      </c>
      <c r="H408" s="197" t="s">
        <v>72</v>
      </c>
      <c r="I408" s="242" t="s">
        <v>237</v>
      </c>
      <c r="J408" s="242" t="s">
        <v>9929</v>
      </c>
      <c r="K408" s="195" t="s">
        <v>70</v>
      </c>
      <c r="L408" s="20" t="str">
        <f ca="1">IF(OFFSET(환산공식!$ED$15,$F408,0)=1,"O","X")</f>
        <v>X</v>
      </c>
      <c r="M408" s="188">
        <f ca="1">IFERROR(OFFSET(환산공식!DJ$15,$F408,0),"")</f>
        <v>200</v>
      </c>
      <c r="N408" s="20" t="str">
        <f ca="1">IFERROR(CONCATENATE(ROUND(OFFSET(환산공식!DK$15,$F408,0),1),"%"),"")</f>
        <v>100%</v>
      </c>
      <c r="O408" s="20">
        <f ca="1">IFERROR(OFFSET(환산공식!DL$15,$F408,0),"")</f>
        <v>0</v>
      </c>
      <c r="P408" s="188" t="str">
        <f t="shared" ca="1" si="13"/>
        <v>3% 이하</v>
      </c>
      <c r="Q408" s="194">
        <f ca="1">IFERROR(ROUND(OFFSET(환산공식!$FG$15,$F408,0),3),"")</f>
        <v>0</v>
      </c>
      <c r="R408" s="194">
        <f ca="1">OFFSET('배치점수 계산기'!H$10,$D408,0)</f>
        <v>709.12800000000004</v>
      </c>
      <c r="S408" s="194">
        <f ca="1">OFFSET('배치점수 계산기'!I$10,$D408,0)</f>
        <v>706.59400000000005</v>
      </c>
      <c r="T408" s="194">
        <f ca="1">OFFSET('배치점수 계산기'!J$10,$D408,0)</f>
        <v>704.41800000000001</v>
      </c>
      <c r="U408" s="194">
        <f ca="1">OFFSET('배치점수 계산기'!K$10,$D408,0)</f>
        <v>701.45799999999997</v>
      </c>
      <c r="V408" s="194">
        <f ca="1">OFFSET('배치점수 계산기'!L$10,$D408,0)</f>
        <v>696.577</v>
      </c>
      <c r="W408" s="186" t="str">
        <f ca="1">OFFSET('배치점수 계산기'!M$10,$D408,0)</f>
        <v>표점</v>
      </c>
      <c r="X408" s="184" t="str">
        <f ca="1">OFFSET('배치점수 계산기'!N$10,$D408,0)</f>
        <v>표점</v>
      </c>
      <c r="Y408" s="188">
        <f ca="1">OFFSET(환산공식!FW$15,$F408,0)</f>
        <v>0.25</v>
      </c>
      <c r="Z408" s="20">
        <f ca="1">OFFSET(환산공식!FX$15,$F408,0)</f>
        <v>0.38</v>
      </c>
      <c r="AA408" s="179">
        <f ca="1">OFFSET(환산공식!FY$15,$F408,0)</f>
        <v>0.38</v>
      </c>
      <c r="AB408" s="3"/>
      <c r="AD408">
        <f t="shared" ca="1" si="14"/>
        <v>6</v>
      </c>
      <c r="AF408" s="3"/>
      <c r="AG408" s="3"/>
      <c r="AH408" s="3"/>
    </row>
    <row r="409" spans="1:34">
      <c r="A409" s="198"/>
      <c r="B409" s="198"/>
      <c r="C409" s="198" t="s">
        <v>970</v>
      </c>
      <c r="D409" s="195">
        <v>459</v>
      </c>
      <c r="E409" s="195">
        <v>67</v>
      </c>
      <c r="F409" s="195">
        <v>67</v>
      </c>
      <c r="G409" s="239">
        <v>402</v>
      </c>
      <c r="H409" s="197" t="s">
        <v>72</v>
      </c>
      <c r="I409" s="242" t="s">
        <v>237</v>
      </c>
      <c r="J409" s="242" t="s">
        <v>10198</v>
      </c>
      <c r="K409" s="195" t="s">
        <v>70</v>
      </c>
      <c r="L409" s="20" t="str">
        <f ca="1">IF(OFFSET(환산공식!$ED$15,$F409,0)=1,"O","X")</f>
        <v>X</v>
      </c>
      <c r="M409" s="188">
        <f ca="1">IFERROR(OFFSET(환산공식!DJ$15,$F409,0),"")</f>
        <v>200</v>
      </c>
      <c r="N409" s="20" t="str">
        <f ca="1">IFERROR(CONCATENATE(ROUND(OFFSET(환산공식!DK$15,$F409,0),1),"%"),"")</f>
        <v>100%</v>
      </c>
      <c r="O409" s="20">
        <f ca="1">IFERROR(OFFSET(환산공식!DL$15,$F409,0),"")</f>
        <v>0</v>
      </c>
      <c r="P409" s="188" t="str">
        <f t="shared" ca="1" si="13"/>
        <v>3% 이하</v>
      </c>
      <c r="Q409" s="194">
        <f ca="1">IFERROR(ROUND(OFFSET(환산공식!$FG$15,$F409,0),3),"")</f>
        <v>0</v>
      </c>
      <c r="R409" s="194">
        <f ca="1">OFFSET('배치점수 계산기'!H$10,$D409,0)</f>
        <v>704.31799999999998</v>
      </c>
      <c r="S409" s="194">
        <f ca="1">OFFSET('배치점수 계산기'!I$10,$D409,0)</f>
        <v>702.39599999999996</v>
      </c>
      <c r="T409" s="194">
        <f ca="1">OFFSET('배치점수 계산기'!J$10,$D409,0)</f>
        <v>700.47500000000002</v>
      </c>
      <c r="U409" s="194">
        <f ca="1">OFFSET('배치점수 계산기'!K$10,$D409,0)</f>
        <v>696.47699999999998</v>
      </c>
      <c r="V409" s="194">
        <f ca="1">OFFSET('배치점수 계산기'!L$10,$D409,0)</f>
        <v>691.43299999999999</v>
      </c>
      <c r="W409" s="186" t="str">
        <f ca="1">OFFSET('배치점수 계산기'!M$10,$D409,0)</f>
        <v>표점</v>
      </c>
      <c r="X409" s="184" t="str">
        <f ca="1">OFFSET('배치점수 계산기'!N$10,$D409,0)</f>
        <v>표점</v>
      </c>
      <c r="Y409" s="188">
        <f ca="1">OFFSET(환산공식!FW$15,$F409,0)</f>
        <v>0.25</v>
      </c>
      <c r="Z409" s="20">
        <f ca="1">OFFSET(환산공식!FX$15,$F409,0)</f>
        <v>0.38</v>
      </c>
      <c r="AA409" s="179">
        <f ca="1">OFFSET(환산공식!FY$15,$F409,0)</f>
        <v>0.38</v>
      </c>
      <c r="AB409" s="3"/>
      <c r="AD409">
        <f t="shared" ca="1" si="14"/>
        <v>6</v>
      </c>
      <c r="AF409" s="3"/>
      <c r="AG409" s="3"/>
      <c r="AH409" s="3"/>
    </row>
    <row r="410" spans="1:34">
      <c r="A410" s="198"/>
      <c r="B410" s="198"/>
      <c r="C410" s="198" t="s">
        <v>971</v>
      </c>
      <c r="D410" s="195">
        <v>460</v>
      </c>
      <c r="E410" s="195">
        <v>67</v>
      </c>
      <c r="F410" s="195">
        <v>67</v>
      </c>
      <c r="G410" s="239">
        <v>403</v>
      </c>
      <c r="H410" s="197" t="s">
        <v>72</v>
      </c>
      <c r="I410" s="242" t="s">
        <v>237</v>
      </c>
      <c r="J410" s="242" t="s">
        <v>16602</v>
      </c>
      <c r="K410" s="195" t="s">
        <v>70</v>
      </c>
      <c r="L410" s="20" t="str">
        <f ca="1">IF(OFFSET(환산공식!$ED$15,$F410,0)=1,"O","X")</f>
        <v>X</v>
      </c>
      <c r="M410" s="188">
        <f ca="1">IFERROR(OFFSET(환산공식!DJ$15,$F410,0),"")</f>
        <v>200</v>
      </c>
      <c r="N410" s="20" t="str">
        <f ca="1">IFERROR(CONCATENATE(ROUND(OFFSET(환산공식!DK$15,$F410,0),1),"%"),"")</f>
        <v>100%</v>
      </c>
      <c r="O410" s="20">
        <f ca="1">IFERROR(OFFSET(환산공식!DL$15,$F410,0),"")</f>
        <v>0</v>
      </c>
      <c r="P410" s="188" t="str">
        <f t="shared" ca="1" si="13"/>
        <v>3% 이하</v>
      </c>
      <c r="Q410" s="194">
        <f ca="1">IFERROR(ROUND(OFFSET(환산공식!$FG$15,$F410,0),3),"")</f>
        <v>0</v>
      </c>
      <c r="R410" s="194">
        <f ca="1">OFFSET('배치점수 계산기'!H$10,$D410,0)</f>
        <v>703.63400000000001</v>
      </c>
      <c r="S410" s="194">
        <f ca="1">OFFSET('배치점수 계산기'!I$10,$D410,0)</f>
        <v>701.71299999999997</v>
      </c>
      <c r="T410" s="194">
        <f ca="1">OFFSET('배치점수 계산기'!J$10,$D410,0)</f>
        <v>699.69100000000003</v>
      </c>
      <c r="U410" s="194">
        <f ca="1">OFFSET('배치점수 계산기'!K$10,$D410,0)</f>
        <v>695.84799999999996</v>
      </c>
      <c r="V410" s="194">
        <f ca="1">OFFSET('배치점수 계산기'!L$10,$D410,0)</f>
        <v>690.92100000000005</v>
      </c>
      <c r="W410" s="186" t="str">
        <f ca="1">OFFSET('배치점수 계산기'!M$10,$D410,0)</f>
        <v>표점</v>
      </c>
      <c r="X410" s="184" t="str">
        <f ca="1">OFFSET('배치점수 계산기'!N$10,$D410,0)</f>
        <v>표점</v>
      </c>
      <c r="Y410" s="188">
        <f ca="1">OFFSET(환산공식!FW$15,$F410,0)</f>
        <v>0.25</v>
      </c>
      <c r="Z410" s="20">
        <f ca="1">OFFSET(환산공식!FX$15,$F410,0)</f>
        <v>0.38</v>
      </c>
      <c r="AA410" s="179">
        <f ca="1">OFFSET(환산공식!FY$15,$F410,0)</f>
        <v>0.38</v>
      </c>
      <c r="AB410" s="3"/>
      <c r="AD410">
        <f t="shared" ca="1" si="14"/>
        <v>6</v>
      </c>
      <c r="AF410" s="3"/>
      <c r="AG410" s="3"/>
      <c r="AH410" s="3"/>
    </row>
    <row r="411" spans="1:34">
      <c r="A411" s="198"/>
      <c r="B411" s="198"/>
      <c r="C411" s="198" t="s">
        <v>972</v>
      </c>
      <c r="D411" s="195">
        <v>461</v>
      </c>
      <c r="E411" s="195">
        <v>67</v>
      </c>
      <c r="F411" s="195">
        <v>67</v>
      </c>
      <c r="G411" s="239">
        <v>404</v>
      </c>
      <c r="H411" s="197" t="s">
        <v>72</v>
      </c>
      <c r="I411" s="242" t="s">
        <v>237</v>
      </c>
      <c r="J411" s="242" t="s">
        <v>16603</v>
      </c>
      <c r="K411" s="195" t="s">
        <v>70</v>
      </c>
      <c r="L411" s="20" t="str">
        <f ca="1">IF(OFFSET(환산공식!$ED$15,$F411,0)=1,"O","X")</f>
        <v>X</v>
      </c>
      <c r="M411" s="188">
        <f ca="1">IFERROR(OFFSET(환산공식!DJ$15,$F411,0),"")</f>
        <v>200</v>
      </c>
      <c r="N411" s="20" t="str">
        <f ca="1">IFERROR(CONCATENATE(ROUND(OFFSET(환산공식!DK$15,$F411,0),1),"%"),"")</f>
        <v>100%</v>
      </c>
      <c r="O411" s="20">
        <f ca="1">IFERROR(OFFSET(환산공식!DL$15,$F411,0),"")</f>
        <v>0</v>
      </c>
      <c r="P411" s="188" t="str">
        <f t="shared" ca="1" si="13"/>
        <v>3% 이하</v>
      </c>
      <c r="Q411" s="194">
        <f ca="1">IFERROR(ROUND(OFFSET(환산공식!$FG$15,$F411,0),3),"")</f>
        <v>0</v>
      </c>
      <c r="R411" s="194">
        <f ca="1">OFFSET('배치점수 계산기'!H$10,$D411,0)</f>
        <v>702.39599999999996</v>
      </c>
      <c r="S411" s="194">
        <f ca="1">OFFSET('배치점수 계산기'!I$10,$D411,0)</f>
        <v>699.59100000000001</v>
      </c>
      <c r="T411" s="194">
        <f ca="1">OFFSET('배치점수 계산기'!J$10,$D411,0)</f>
        <v>697.08600000000001</v>
      </c>
      <c r="U411" s="194">
        <f ca="1">OFFSET('배치점수 계산기'!K$10,$D411,0)</f>
        <v>693.95399999999995</v>
      </c>
      <c r="V411" s="194">
        <f ca="1">OFFSET('배치점수 계산기'!L$10,$D411,0)</f>
        <v>690.00199999999995</v>
      </c>
      <c r="W411" s="186" t="str">
        <f ca="1">OFFSET('배치점수 계산기'!M$10,$D411,0)</f>
        <v>표점</v>
      </c>
      <c r="X411" s="184" t="str">
        <f ca="1">OFFSET('배치점수 계산기'!N$10,$D411,0)</f>
        <v>표점</v>
      </c>
      <c r="Y411" s="188">
        <f ca="1">OFFSET(환산공식!FW$15,$F411,0)</f>
        <v>0.25</v>
      </c>
      <c r="Z411" s="20">
        <f ca="1">OFFSET(환산공식!FX$15,$F411,0)</f>
        <v>0.38</v>
      </c>
      <c r="AA411" s="179">
        <f ca="1">OFFSET(환산공식!FY$15,$F411,0)</f>
        <v>0.38</v>
      </c>
      <c r="AB411" s="3"/>
      <c r="AD411">
        <f t="shared" ca="1" si="14"/>
        <v>6</v>
      </c>
      <c r="AF411" s="3"/>
      <c r="AG411" s="3"/>
      <c r="AH411" s="3"/>
    </row>
    <row r="412" spans="1:34">
      <c r="A412" s="198"/>
      <c r="B412" s="198"/>
      <c r="C412" s="198" t="s">
        <v>973</v>
      </c>
      <c r="D412" s="195">
        <v>462</v>
      </c>
      <c r="E412" s="195">
        <v>67</v>
      </c>
      <c r="F412" s="195">
        <v>67</v>
      </c>
      <c r="G412" s="239">
        <v>405</v>
      </c>
      <c r="H412" s="197" t="s">
        <v>72</v>
      </c>
      <c r="I412" s="242" t="s">
        <v>237</v>
      </c>
      <c r="J412" s="242" t="s">
        <v>16604</v>
      </c>
      <c r="K412" s="195" t="s">
        <v>70</v>
      </c>
      <c r="L412" s="20" t="str">
        <f ca="1">IF(OFFSET(환산공식!$ED$15,$F412,0)=1,"O","X")</f>
        <v>X</v>
      </c>
      <c r="M412" s="188">
        <f ca="1">IFERROR(OFFSET(환산공식!DJ$15,$F412,0),"")</f>
        <v>200</v>
      </c>
      <c r="N412" s="20" t="str">
        <f ca="1">IFERROR(CONCATENATE(ROUND(OFFSET(환산공식!DK$15,$F412,0),1),"%"),"")</f>
        <v>100%</v>
      </c>
      <c r="O412" s="20">
        <f ca="1">IFERROR(OFFSET(환산공식!DL$15,$F412,0),"")</f>
        <v>0</v>
      </c>
      <c r="P412" s="188" t="str">
        <f t="shared" ca="1" si="13"/>
        <v>3% 이하</v>
      </c>
      <c r="Q412" s="194">
        <f ca="1">IFERROR(ROUND(OFFSET(환산공식!$FG$15,$F412,0),3),"")</f>
        <v>0</v>
      </c>
      <c r="R412" s="194">
        <f ca="1">OFFSET('배치점수 계산기'!H$10,$D412,0)</f>
        <v>701.86699999999996</v>
      </c>
      <c r="S412" s="194">
        <f ca="1">OFFSET('배치점수 계산기'!I$10,$D412,0)</f>
        <v>699.06200000000001</v>
      </c>
      <c r="T412" s="194">
        <f ca="1">OFFSET('배치점수 계산기'!J$10,$D412,0)</f>
        <v>696.73199999999997</v>
      </c>
      <c r="U412" s="194">
        <f ca="1">OFFSET('배치점수 계산기'!K$10,$D412,0)</f>
        <v>693.54499999999996</v>
      </c>
      <c r="V412" s="194">
        <f ca="1">OFFSET('배치점수 계산기'!L$10,$D412,0)</f>
        <v>688.41700000000003</v>
      </c>
      <c r="W412" s="186" t="str">
        <f ca="1">OFFSET('배치점수 계산기'!M$10,$D412,0)</f>
        <v>표점</v>
      </c>
      <c r="X412" s="184" t="str">
        <f ca="1">OFFSET('배치점수 계산기'!N$10,$D412,0)</f>
        <v>표점</v>
      </c>
      <c r="Y412" s="188">
        <f ca="1">OFFSET(환산공식!FW$15,$F412,0)</f>
        <v>0.25</v>
      </c>
      <c r="Z412" s="20">
        <f ca="1">OFFSET(환산공식!FX$15,$F412,0)</f>
        <v>0.38</v>
      </c>
      <c r="AA412" s="179">
        <f ca="1">OFFSET(환산공식!FY$15,$F412,0)</f>
        <v>0.38</v>
      </c>
      <c r="AB412" s="3"/>
      <c r="AD412">
        <f t="shared" ca="1" si="14"/>
        <v>6</v>
      </c>
      <c r="AF412" s="3"/>
      <c r="AG412" s="3"/>
      <c r="AH412" s="3"/>
    </row>
    <row r="413" spans="1:34">
      <c r="A413" s="198"/>
      <c r="B413" s="198"/>
      <c r="C413" s="198" t="s">
        <v>974</v>
      </c>
      <c r="D413" s="195">
        <v>463</v>
      </c>
      <c r="E413" s="195">
        <v>67</v>
      </c>
      <c r="F413" s="195">
        <v>67</v>
      </c>
      <c r="G413" s="239">
        <v>406</v>
      </c>
      <c r="H413" s="197" t="s">
        <v>72</v>
      </c>
      <c r="I413" s="242" t="s">
        <v>237</v>
      </c>
      <c r="J413" s="242" t="s">
        <v>7353</v>
      </c>
      <c r="K413" s="195" t="s">
        <v>70</v>
      </c>
      <c r="L413" s="20" t="str">
        <f ca="1">IF(OFFSET(환산공식!$ED$15,$F413,0)=1,"O","X")</f>
        <v>X</v>
      </c>
      <c r="M413" s="188">
        <f ca="1">IFERROR(OFFSET(환산공식!DJ$15,$F413,0),"")</f>
        <v>200</v>
      </c>
      <c r="N413" s="20" t="str">
        <f ca="1">IFERROR(CONCATENATE(ROUND(OFFSET(환산공식!DK$15,$F413,0),1),"%"),"")</f>
        <v>100%</v>
      </c>
      <c r="O413" s="20">
        <f ca="1">IFERROR(OFFSET(환산공식!DL$15,$F413,0),"")</f>
        <v>0</v>
      </c>
      <c r="P413" s="188" t="str">
        <f t="shared" ca="1" si="13"/>
        <v>3% 이하</v>
      </c>
      <c r="Q413" s="194">
        <f ca="1">IFERROR(ROUND(OFFSET(환산공식!$FG$15,$F413,0),3),"")</f>
        <v>0</v>
      </c>
      <c r="R413" s="194">
        <f ca="1">OFFSET('배치점수 계산기'!H$10,$D413,0)</f>
        <v>701.35799999999995</v>
      </c>
      <c r="S413" s="194">
        <f ca="1">OFFSET('배치점수 계산기'!I$10,$D413,0)</f>
        <v>698.63499999999999</v>
      </c>
      <c r="T413" s="194">
        <f ca="1">OFFSET('배치점수 계산기'!J$10,$D413,0)</f>
        <v>696.10299999999995</v>
      </c>
      <c r="U413" s="194">
        <f ca="1">OFFSET('배치점수 계산기'!K$10,$D413,0)</f>
        <v>692.952</v>
      </c>
      <c r="V413" s="194">
        <f ca="1">OFFSET('배치점수 계산기'!L$10,$D413,0)</f>
        <v>689.40899999999999</v>
      </c>
      <c r="W413" s="186" t="str">
        <f ca="1">OFFSET('배치점수 계산기'!M$10,$D413,0)</f>
        <v>표점</v>
      </c>
      <c r="X413" s="184" t="str">
        <f ca="1">OFFSET('배치점수 계산기'!N$10,$D413,0)</f>
        <v>표점</v>
      </c>
      <c r="Y413" s="188">
        <f ca="1">OFFSET(환산공식!FW$15,$F413,0)</f>
        <v>0.25</v>
      </c>
      <c r="Z413" s="20">
        <f ca="1">OFFSET(환산공식!FX$15,$F413,0)</f>
        <v>0.38</v>
      </c>
      <c r="AA413" s="179">
        <f ca="1">OFFSET(환산공식!FY$15,$F413,0)</f>
        <v>0.38</v>
      </c>
      <c r="AB413" s="3"/>
      <c r="AD413">
        <f t="shared" ca="1" si="14"/>
        <v>6</v>
      </c>
      <c r="AF413" s="3"/>
      <c r="AG413" s="3"/>
      <c r="AH413" s="3"/>
    </row>
    <row r="414" spans="1:34">
      <c r="A414" s="198"/>
      <c r="B414" s="198"/>
      <c r="C414" s="198" t="s">
        <v>975</v>
      </c>
      <c r="D414" s="195">
        <v>464</v>
      </c>
      <c r="E414" s="195">
        <v>69</v>
      </c>
      <c r="F414" s="195">
        <v>69</v>
      </c>
      <c r="G414" s="239">
        <v>407</v>
      </c>
      <c r="H414" s="197" t="s">
        <v>72</v>
      </c>
      <c r="I414" s="242" t="s">
        <v>237</v>
      </c>
      <c r="J414" s="242" t="s">
        <v>16605</v>
      </c>
      <c r="K414" s="195" t="s">
        <v>70</v>
      </c>
      <c r="L414" s="20" t="str">
        <f ca="1">IF(OFFSET(환산공식!$ED$15,$F414,0)=1,"O","X")</f>
        <v>X</v>
      </c>
      <c r="M414" s="188">
        <f ca="1">IFERROR(OFFSET(환산공식!DJ$15,$F414,0),"")</f>
        <v>100</v>
      </c>
      <c r="N414" s="20" t="str">
        <f ca="1">IFERROR(CONCATENATE(ROUND(OFFSET(환산공식!DK$15,$F414,0),1),"%"),"")</f>
        <v>100%</v>
      </c>
      <c r="O414" s="20">
        <f ca="1">IFERROR(OFFSET(환산공식!DL$15,$F414,0),"")</f>
        <v>0</v>
      </c>
      <c r="P414" s="188" t="str">
        <f t="shared" ca="1" si="13"/>
        <v>3% 이하</v>
      </c>
      <c r="Q414" s="194">
        <f ca="1">IFERROR(ROUND(OFFSET(환산공식!$FG$15,$F414,0),3),"")</f>
        <v>0</v>
      </c>
      <c r="R414" s="194">
        <f ca="1">OFFSET('배치점수 계산기'!H$10,$D414,0)</f>
        <v>675.09500000000003</v>
      </c>
      <c r="S414" s="194">
        <f ca="1">OFFSET('배치점수 계산기'!I$10,$D414,0)</f>
        <v>672.45500000000004</v>
      </c>
      <c r="T414" s="194">
        <f ca="1">OFFSET('배치점수 계산기'!J$10,$D414,0)</f>
        <v>669.56</v>
      </c>
      <c r="U414" s="194">
        <f ca="1">OFFSET('배치점수 계산기'!K$10,$D414,0)</f>
        <v>666.13400000000001</v>
      </c>
      <c r="V414" s="194">
        <f ca="1">OFFSET('배치점수 계산기'!L$10,$D414,0)</f>
        <v>662.81</v>
      </c>
      <c r="W414" s="186" t="str">
        <f ca="1">OFFSET('배치점수 계산기'!M$10,$D414,0)</f>
        <v>표점</v>
      </c>
      <c r="X414" s="184" t="str">
        <f ca="1">OFFSET('배치점수 계산기'!N$10,$D414,0)</f>
        <v>표점</v>
      </c>
      <c r="Y414" s="188">
        <f ca="1">OFFSET(환산공식!FW$15,$F414,0)</f>
        <v>0.33</v>
      </c>
      <c r="Z414" s="20">
        <f ca="1">OFFSET(환산공식!FX$15,$F414,0)</f>
        <v>0.44</v>
      </c>
      <c r="AA414" s="179">
        <f ca="1">OFFSET(환산공식!FY$15,$F414,0)</f>
        <v>0.22</v>
      </c>
      <c r="AB414" s="3"/>
      <c r="AD414">
        <f t="shared" ca="1" si="14"/>
        <v>6</v>
      </c>
      <c r="AF414" s="3"/>
      <c r="AG414" s="3"/>
      <c r="AH414" s="3"/>
    </row>
    <row r="415" spans="1:34">
      <c r="A415" s="198"/>
      <c r="B415" s="198"/>
      <c r="C415" s="198" t="s">
        <v>976</v>
      </c>
      <c r="D415" s="195">
        <v>465</v>
      </c>
      <c r="E415" s="195">
        <v>67</v>
      </c>
      <c r="F415" s="195">
        <v>67</v>
      </c>
      <c r="G415" s="239">
        <v>408</v>
      </c>
      <c r="H415" s="197" t="s">
        <v>72</v>
      </c>
      <c r="I415" s="242" t="s">
        <v>237</v>
      </c>
      <c r="J415" s="242" t="s">
        <v>10674</v>
      </c>
      <c r="K415" s="195" t="s">
        <v>70</v>
      </c>
      <c r="L415" s="20" t="str">
        <f ca="1">IF(OFFSET(환산공식!$ED$15,$F415,0)=1,"O","X")</f>
        <v>X</v>
      </c>
      <c r="M415" s="188">
        <f ca="1">IFERROR(OFFSET(환산공식!DJ$15,$F415,0),"")</f>
        <v>200</v>
      </c>
      <c r="N415" s="20" t="str">
        <f ca="1">IFERROR(CONCATENATE(ROUND(OFFSET(환산공식!DK$15,$F415,0),1),"%"),"")</f>
        <v>100%</v>
      </c>
      <c r="O415" s="20">
        <f ca="1">IFERROR(OFFSET(환산공식!DL$15,$F415,0),"")</f>
        <v>0</v>
      </c>
      <c r="P415" s="188" t="str">
        <f t="shared" ca="1" si="13"/>
        <v>3% 이하</v>
      </c>
      <c r="Q415" s="194">
        <f ca="1">IFERROR(ROUND(OFFSET(환산공식!$FG$15,$F415,0),3),"")</f>
        <v>0</v>
      </c>
      <c r="R415" s="194">
        <f ca="1">OFFSET('배치점수 계산기'!H$10,$D415,0)</f>
        <v>698.53499999999997</v>
      </c>
      <c r="S415" s="194">
        <f ca="1">OFFSET('배치점수 계산기'!I$10,$D415,0)</f>
        <v>695.43899999999996</v>
      </c>
      <c r="T415" s="194">
        <f ca="1">OFFSET('배치점수 계산기'!J$10,$D415,0)</f>
        <v>692.625</v>
      </c>
      <c r="U415" s="194">
        <f ca="1">OFFSET('배치점수 계산기'!K$10,$D415,0)</f>
        <v>690.80399999999997</v>
      </c>
      <c r="V415" s="194">
        <f ca="1">OFFSET('배치점수 계산기'!L$10,$D415,0)</f>
        <v>682.77</v>
      </c>
      <c r="W415" s="186" t="str">
        <f ca="1">OFFSET('배치점수 계산기'!M$10,$D415,0)</f>
        <v>표점</v>
      </c>
      <c r="X415" s="184" t="str">
        <f ca="1">OFFSET('배치점수 계산기'!N$10,$D415,0)</f>
        <v>표점</v>
      </c>
      <c r="Y415" s="188">
        <f ca="1">OFFSET(환산공식!FW$15,$F415,0)</f>
        <v>0.25</v>
      </c>
      <c r="Z415" s="20">
        <f ca="1">OFFSET(환산공식!FX$15,$F415,0)</f>
        <v>0.38</v>
      </c>
      <c r="AA415" s="179">
        <f ca="1">OFFSET(환산공식!FY$15,$F415,0)</f>
        <v>0.38</v>
      </c>
      <c r="AB415" s="3"/>
      <c r="AD415">
        <f t="shared" ca="1" si="14"/>
        <v>6</v>
      </c>
      <c r="AF415" s="3"/>
      <c r="AG415" s="3"/>
      <c r="AH415" s="3"/>
    </row>
    <row r="416" spans="1:34">
      <c r="A416" s="198"/>
      <c r="B416" s="198"/>
      <c r="C416" s="198" t="s">
        <v>977</v>
      </c>
      <c r="D416" s="195">
        <v>469</v>
      </c>
      <c r="E416" s="195">
        <v>68</v>
      </c>
      <c r="F416" s="195">
        <v>68</v>
      </c>
      <c r="G416" s="239">
        <v>409</v>
      </c>
      <c r="H416" s="197" t="s">
        <v>72</v>
      </c>
      <c r="I416" s="242" t="s">
        <v>237</v>
      </c>
      <c r="J416" s="242" t="s">
        <v>489</v>
      </c>
      <c r="K416" s="195" t="s">
        <v>71</v>
      </c>
      <c r="L416" s="20" t="str">
        <f ca="1">IF(OFFSET(환산공식!$ED$15,$F416,0)=1,"O","X")</f>
        <v>X</v>
      </c>
      <c r="M416" s="188">
        <f ca="1">IFERROR(OFFSET(환산공식!DJ$15,$F416,0),"")</f>
        <v>200</v>
      </c>
      <c r="N416" s="20" t="str">
        <f ca="1">IFERROR(CONCATENATE(ROUND(OFFSET(환산공식!DK$15,$F416,0),1),"%"),"")</f>
        <v>100%</v>
      </c>
      <c r="O416" s="20">
        <f ca="1">IFERROR(OFFSET(환산공식!DL$15,$F416,0),"")</f>
        <v>0</v>
      </c>
      <c r="P416" s="188" t="str">
        <f t="shared" ca="1" si="13"/>
        <v>3% 이하</v>
      </c>
      <c r="Q416" s="194">
        <f ca="1">IFERROR(ROUND(OFFSET(환산공식!$FG$15,$F416,0),3),"")</f>
        <v>0</v>
      </c>
      <c r="R416" s="194">
        <f ca="1">OFFSET('배치점수 계산기'!H$10,$D416,0)</f>
        <v>696.2</v>
      </c>
      <c r="S416" s="194">
        <f ca="1">OFFSET('배치점수 계산기'!I$10,$D416,0)</f>
        <v>693.60599999999999</v>
      </c>
      <c r="T416" s="194">
        <f ca="1">OFFSET('배치점수 계산기'!J$10,$D416,0)</f>
        <v>691.04600000000005</v>
      </c>
      <c r="U416" s="194">
        <f ca="1">OFFSET('배치점수 계산기'!K$10,$D416,0)</f>
        <v>687.78599999999994</v>
      </c>
      <c r="V416" s="194">
        <f ca="1">OFFSET('배치점수 계산기'!L$10,$D416,0)</f>
        <v>682.76599999999996</v>
      </c>
      <c r="W416" s="186" t="str">
        <f ca="1">OFFSET('배치점수 계산기'!M$10,$D416,0)</f>
        <v>표점</v>
      </c>
      <c r="X416" s="184" t="str">
        <f ca="1">OFFSET('배치점수 계산기'!N$10,$D416,0)</f>
        <v>표점</v>
      </c>
      <c r="Y416" s="188">
        <f ca="1">OFFSET(환산공식!FW$15,$F416,0)</f>
        <v>0.38</v>
      </c>
      <c r="Z416" s="20">
        <f ca="1">OFFSET(환산공식!FX$15,$F416,0)</f>
        <v>0.38</v>
      </c>
      <c r="AA416" s="179">
        <f ca="1">OFFSET(환산공식!FY$15,$F416,0)</f>
        <v>0.25</v>
      </c>
      <c r="AB416" s="3"/>
      <c r="AD416">
        <f t="shared" ca="1" si="14"/>
        <v>6</v>
      </c>
      <c r="AF416" s="3"/>
      <c r="AG416" s="3"/>
      <c r="AH416" s="3"/>
    </row>
    <row r="417" spans="1:34">
      <c r="A417" s="198"/>
      <c r="B417" s="198"/>
      <c r="C417" s="198" t="s">
        <v>978</v>
      </c>
      <c r="D417" s="195">
        <v>470</v>
      </c>
      <c r="E417" s="195">
        <v>70</v>
      </c>
      <c r="F417" s="195">
        <v>70</v>
      </c>
      <c r="G417" s="239">
        <v>410</v>
      </c>
      <c r="H417" s="197" t="s">
        <v>72</v>
      </c>
      <c r="I417" s="242" t="s">
        <v>237</v>
      </c>
      <c r="J417" s="242" t="s">
        <v>16608</v>
      </c>
      <c r="K417" s="195" t="s">
        <v>71</v>
      </c>
      <c r="L417" s="20" t="str">
        <f ca="1">IF(OFFSET(환산공식!$ED$15,$F417,0)=1,"O","X")</f>
        <v>X</v>
      </c>
      <c r="M417" s="188">
        <f ca="1">IFERROR(OFFSET(환산공식!DJ$15,$F417,0),"")</f>
        <v>100</v>
      </c>
      <c r="N417" s="20" t="str">
        <f ca="1">IFERROR(CONCATENATE(ROUND(OFFSET(환산공식!DK$15,$F417,0),1),"%"),"")</f>
        <v>100%</v>
      </c>
      <c r="O417" s="20">
        <f ca="1">IFERROR(OFFSET(환산공식!DL$15,$F417,0),"")</f>
        <v>0</v>
      </c>
      <c r="P417" s="188" t="str">
        <f t="shared" ca="1" si="13"/>
        <v>3% 이하</v>
      </c>
      <c r="Q417" s="194">
        <f ca="1">IFERROR(ROUND(OFFSET(환산공식!$FG$15,$F417,0),3),"")</f>
        <v>0</v>
      </c>
      <c r="R417" s="194">
        <f ca="1">OFFSET('배치점수 계산기'!H$10,$D417,0)</f>
        <v>661.84</v>
      </c>
      <c r="S417" s="194">
        <f ca="1">OFFSET('배치점수 계산기'!I$10,$D417,0)</f>
        <v>659.30899999999997</v>
      </c>
      <c r="T417" s="194">
        <f ca="1">OFFSET('배치점수 계산기'!J$10,$D417,0)</f>
        <v>656.28</v>
      </c>
      <c r="U417" s="194">
        <f ca="1">OFFSET('배치점수 계산기'!K$10,$D417,0)</f>
        <v>653.44899999999996</v>
      </c>
      <c r="V417" s="194">
        <f ca="1">OFFSET('배치점수 계산기'!L$10,$D417,0)</f>
        <v>650.26900000000001</v>
      </c>
      <c r="W417" s="186" t="str">
        <f ca="1">OFFSET('배치점수 계산기'!M$10,$D417,0)</f>
        <v>표점</v>
      </c>
      <c r="X417" s="184" t="str">
        <f ca="1">OFFSET('배치점수 계산기'!N$10,$D417,0)</f>
        <v>표점</v>
      </c>
      <c r="Y417" s="188">
        <f ca="1">OFFSET(환산공식!FW$15,$F417,0)</f>
        <v>0.44</v>
      </c>
      <c r="Z417" s="20">
        <f ca="1">OFFSET(환산공식!FX$15,$F417,0)</f>
        <v>0.33</v>
      </c>
      <c r="AA417" s="179">
        <f ca="1">OFFSET(환산공식!FY$15,$F417,0)</f>
        <v>0.22</v>
      </c>
      <c r="AB417" s="3"/>
      <c r="AD417">
        <f t="shared" ca="1" si="14"/>
        <v>6</v>
      </c>
      <c r="AF417" s="3"/>
      <c r="AG417" s="3"/>
      <c r="AH417" s="3"/>
    </row>
    <row r="418" spans="1:34">
      <c r="A418" s="198"/>
      <c r="B418" s="198"/>
      <c r="C418" s="198" t="s">
        <v>979</v>
      </c>
      <c r="D418" s="195">
        <v>471</v>
      </c>
      <c r="E418" s="195">
        <v>68</v>
      </c>
      <c r="F418" s="195">
        <v>68</v>
      </c>
      <c r="G418" s="239">
        <v>411</v>
      </c>
      <c r="H418" s="197" t="s">
        <v>72</v>
      </c>
      <c r="I418" s="242" t="s">
        <v>237</v>
      </c>
      <c r="J418" s="242" t="s">
        <v>16609</v>
      </c>
      <c r="K418" s="195" t="s">
        <v>71</v>
      </c>
      <c r="L418" s="20" t="str">
        <f ca="1">IF(OFFSET(환산공식!$ED$15,$F418,0)=1,"O","X")</f>
        <v>X</v>
      </c>
      <c r="M418" s="188">
        <f ca="1">IFERROR(OFFSET(환산공식!DJ$15,$F418,0),"")</f>
        <v>200</v>
      </c>
      <c r="N418" s="20" t="str">
        <f ca="1">IFERROR(CONCATENATE(ROUND(OFFSET(환산공식!DK$15,$F418,0),1),"%"),"")</f>
        <v>100%</v>
      </c>
      <c r="O418" s="20">
        <f ca="1">IFERROR(OFFSET(환산공식!DL$15,$F418,0),"")</f>
        <v>0</v>
      </c>
      <c r="P418" s="188" t="str">
        <f t="shared" ca="1" si="13"/>
        <v>3% 이하</v>
      </c>
      <c r="Q418" s="194">
        <f ca="1">IFERROR(ROUND(OFFSET(환산공식!$FG$15,$F418,0),3),"")</f>
        <v>0</v>
      </c>
      <c r="R418" s="194">
        <f ca="1">OFFSET('배치점수 계산기'!H$10,$D418,0)</f>
        <v>694.94399999999996</v>
      </c>
      <c r="S418" s="194">
        <f ca="1">OFFSET('배치점수 계산기'!I$10,$D418,0)</f>
        <v>692.37</v>
      </c>
      <c r="T418" s="194">
        <f ca="1">OFFSET('배치점수 계산기'!J$10,$D418,0)</f>
        <v>689.91</v>
      </c>
      <c r="U418" s="194">
        <f ca="1">OFFSET('배치점수 계산기'!K$10,$D418,0)</f>
        <v>687.3</v>
      </c>
      <c r="V418" s="194">
        <f ca="1">OFFSET('배치점수 계산기'!L$10,$D418,0)</f>
        <v>682.43</v>
      </c>
      <c r="W418" s="186" t="str">
        <f ca="1">OFFSET('배치점수 계산기'!M$10,$D418,0)</f>
        <v>표점</v>
      </c>
      <c r="X418" s="184" t="str">
        <f ca="1">OFFSET('배치점수 계산기'!N$10,$D418,0)</f>
        <v>표점</v>
      </c>
      <c r="Y418" s="188">
        <f ca="1">OFFSET(환산공식!FW$15,$F418,0)</f>
        <v>0.38</v>
      </c>
      <c r="Z418" s="20">
        <f ca="1">OFFSET(환산공식!FX$15,$F418,0)</f>
        <v>0.38</v>
      </c>
      <c r="AA418" s="179">
        <f ca="1">OFFSET(환산공식!FY$15,$F418,0)</f>
        <v>0.25</v>
      </c>
      <c r="AB418" s="3"/>
      <c r="AD418">
        <f t="shared" ca="1" si="14"/>
        <v>6</v>
      </c>
      <c r="AF418" s="3"/>
      <c r="AG418" s="3"/>
      <c r="AH418" s="3"/>
    </row>
    <row r="419" spans="1:34">
      <c r="A419" s="198"/>
      <c r="B419" s="198"/>
      <c r="C419" s="198" t="s">
        <v>980</v>
      </c>
      <c r="D419" s="195">
        <v>472</v>
      </c>
      <c r="E419" s="195">
        <v>68</v>
      </c>
      <c r="F419" s="195">
        <v>68</v>
      </c>
      <c r="G419" s="239">
        <v>412</v>
      </c>
      <c r="H419" s="197" t="s">
        <v>72</v>
      </c>
      <c r="I419" s="242" t="s">
        <v>237</v>
      </c>
      <c r="J419" s="242" t="s">
        <v>8772</v>
      </c>
      <c r="K419" s="195" t="s">
        <v>71</v>
      </c>
      <c r="L419" s="20" t="str">
        <f ca="1">IF(OFFSET(환산공식!$ED$15,$F419,0)=1,"O","X")</f>
        <v>X</v>
      </c>
      <c r="M419" s="188">
        <f ca="1">IFERROR(OFFSET(환산공식!DJ$15,$F419,0),"")</f>
        <v>200</v>
      </c>
      <c r="N419" s="20" t="str">
        <f ca="1">IFERROR(CONCATENATE(ROUND(OFFSET(환산공식!DK$15,$F419,0),1),"%"),"")</f>
        <v>100%</v>
      </c>
      <c r="O419" s="20">
        <f ca="1">IFERROR(OFFSET(환산공식!DL$15,$F419,0),"")</f>
        <v>0</v>
      </c>
      <c r="P419" s="188" t="str">
        <f t="shared" ca="1" si="13"/>
        <v>3% 이하</v>
      </c>
      <c r="Q419" s="194">
        <f ca="1">IFERROR(ROUND(OFFSET(환산공식!$FG$15,$F419,0),3),"")</f>
        <v>0</v>
      </c>
      <c r="R419" s="194">
        <f ca="1">OFFSET('배치점수 계산기'!H$10,$D419,0)</f>
        <v>689.76</v>
      </c>
      <c r="S419" s="194">
        <f ca="1">OFFSET('배치점수 계산기'!I$10,$D419,0)</f>
        <v>687.51599999999996</v>
      </c>
      <c r="T419" s="194">
        <f ca="1">OFFSET('배치점수 계산기'!J$10,$D419,0)</f>
        <v>685.31</v>
      </c>
      <c r="U419" s="194">
        <f ca="1">OFFSET('배치점수 계산기'!K$10,$D419,0)</f>
        <v>683.05</v>
      </c>
      <c r="V419" s="194">
        <f ca="1">OFFSET('배치점수 계산기'!L$10,$D419,0)</f>
        <v>680.39</v>
      </c>
      <c r="W419" s="186" t="str">
        <f ca="1">OFFSET('배치점수 계산기'!M$10,$D419,0)</f>
        <v>표점</v>
      </c>
      <c r="X419" s="184" t="str">
        <f ca="1">OFFSET('배치점수 계산기'!N$10,$D419,0)</f>
        <v>표점</v>
      </c>
      <c r="Y419" s="188">
        <f ca="1">OFFSET(환산공식!FW$15,$F419,0)</f>
        <v>0.38</v>
      </c>
      <c r="Z419" s="20">
        <f ca="1">OFFSET(환산공식!FX$15,$F419,0)</f>
        <v>0.38</v>
      </c>
      <c r="AA419" s="179">
        <f ca="1">OFFSET(환산공식!FY$15,$F419,0)</f>
        <v>0.25</v>
      </c>
      <c r="AB419" s="3"/>
      <c r="AD419">
        <f t="shared" ca="1" si="14"/>
        <v>6</v>
      </c>
      <c r="AF419" s="3"/>
      <c r="AG419" s="3"/>
      <c r="AH419" s="3"/>
    </row>
    <row r="420" spans="1:34">
      <c r="A420" s="198"/>
      <c r="B420" s="198"/>
      <c r="C420" s="198" t="s">
        <v>981</v>
      </c>
      <c r="D420" s="195">
        <v>473</v>
      </c>
      <c r="E420" s="195">
        <v>79</v>
      </c>
      <c r="F420" s="195">
        <v>79</v>
      </c>
      <c r="G420" s="239">
        <v>413</v>
      </c>
      <c r="H420" s="197" t="s">
        <v>72</v>
      </c>
      <c r="I420" s="242" t="s">
        <v>301</v>
      </c>
      <c r="J420" s="242" t="s">
        <v>419</v>
      </c>
      <c r="K420" s="195" t="s">
        <v>70</v>
      </c>
      <c r="L420" s="20" t="str">
        <f ca="1">IF(OFFSET(환산공식!$ED$15,$F420,0)=1,"O","X")</f>
        <v>X</v>
      </c>
      <c r="M420" s="188">
        <f ca="1">IFERROR(OFFSET(환산공식!DJ$15,$F420,0),"")</f>
        <v>200</v>
      </c>
      <c r="N420" s="20" t="str">
        <f ca="1">IFERROR(CONCATENATE(ROUND(OFFSET(환산공식!DK$15,$F420,0),1),"%"),"")</f>
        <v>100%</v>
      </c>
      <c r="O420" s="20">
        <f ca="1">IFERROR(OFFSET(환산공식!DL$15,$F420,0),"")</f>
        <v>10</v>
      </c>
      <c r="P420" s="188" t="str">
        <f t="shared" ca="1" si="13"/>
        <v>3% 이하</v>
      </c>
      <c r="Q420" s="194">
        <f ca="1">IFERROR(ROUND(OFFSET(환산공식!$FG$15,$F420,0),3),"")</f>
        <v>0</v>
      </c>
      <c r="R420" s="194">
        <f ca="1">OFFSET('배치점수 계산기'!H$10,$D420,0)</f>
        <v>713.11599999999999</v>
      </c>
      <c r="S420" s="194">
        <f ca="1">OFFSET('배치점수 계산기'!I$10,$D420,0)</f>
        <v>710.60599999999999</v>
      </c>
      <c r="T420" s="194">
        <f ca="1">OFFSET('배치점수 계산기'!J$10,$D420,0)</f>
        <v>706.61699999999996</v>
      </c>
      <c r="U420" s="194">
        <f ca="1">OFFSET('배치점수 계산기'!K$10,$D420,0)</f>
        <v>704.68200000000002</v>
      </c>
      <c r="V420" s="194">
        <f ca="1">OFFSET('배치점수 계산기'!L$10,$D420,0)</f>
        <v>700.928</v>
      </c>
      <c r="W420" s="186" t="str">
        <f ca="1">OFFSET('배치점수 계산기'!M$10,$D420,0)</f>
        <v>표점</v>
      </c>
      <c r="X420" s="184" t="str">
        <f ca="1">OFFSET('배치점수 계산기'!N$10,$D420,0)</f>
        <v>변표</v>
      </c>
      <c r="Y420" s="188">
        <f ca="1">OFFSET(환산공식!FW$15,$F420,0)</f>
        <v>0.25</v>
      </c>
      <c r="Z420" s="20">
        <f ca="1">OFFSET(환산공식!FX$15,$F420,0)</f>
        <v>0.44</v>
      </c>
      <c r="AA420" s="179">
        <f ca="1">OFFSET(환산공식!FY$15,$F420,0)</f>
        <v>0.31</v>
      </c>
      <c r="AB420" s="3"/>
      <c r="AD420">
        <f t="shared" ca="1" si="14"/>
        <v>6</v>
      </c>
      <c r="AF420" s="3"/>
      <c r="AG420" s="3"/>
      <c r="AH420" s="3"/>
    </row>
    <row r="421" spans="1:34">
      <c r="A421" s="198"/>
      <c r="B421" s="198"/>
      <c r="C421" s="198" t="s">
        <v>982</v>
      </c>
      <c r="D421" s="195">
        <v>474</v>
      </c>
      <c r="E421" s="195">
        <v>79</v>
      </c>
      <c r="F421" s="195">
        <v>79</v>
      </c>
      <c r="G421" s="239">
        <v>414</v>
      </c>
      <c r="H421" s="197" t="s">
        <v>72</v>
      </c>
      <c r="I421" s="242" t="s">
        <v>301</v>
      </c>
      <c r="J421" s="242" t="s">
        <v>10867</v>
      </c>
      <c r="K421" s="195" t="s">
        <v>70</v>
      </c>
      <c r="L421" s="20" t="str">
        <f ca="1">IF(OFFSET(환산공식!$ED$15,$F421,0)=1,"O","X")</f>
        <v>X</v>
      </c>
      <c r="M421" s="188">
        <f ca="1">IFERROR(OFFSET(환산공식!DJ$15,$F421,0),"")</f>
        <v>200</v>
      </c>
      <c r="N421" s="20" t="str">
        <f ca="1">IFERROR(CONCATENATE(ROUND(OFFSET(환산공식!DK$15,$F421,0),1),"%"),"")</f>
        <v>100%</v>
      </c>
      <c r="O421" s="20">
        <f ca="1">IFERROR(OFFSET(환산공식!DL$15,$F421,0),"")</f>
        <v>10</v>
      </c>
      <c r="P421" s="188" t="str">
        <f t="shared" ca="1" si="13"/>
        <v>3% 이하</v>
      </c>
      <c r="Q421" s="194">
        <f ca="1">IFERROR(ROUND(OFFSET(환산공식!$FG$15,$F421,0),3),"")</f>
        <v>0</v>
      </c>
      <c r="R421" s="194">
        <f ca="1">OFFSET('배치점수 계산기'!H$10,$D421,0)</f>
        <v>708.46500000000003</v>
      </c>
      <c r="S421" s="194">
        <f ca="1">OFFSET('배치점수 계산기'!I$10,$D421,0)</f>
        <v>705.74599999999998</v>
      </c>
      <c r="T421" s="194">
        <f ca="1">OFFSET('배치점수 계산기'!J$10,$D421,0)</f>
        <v>703.08199999999999</v>
      </c>
      <c r="U421" s="194">
        <f ca="1">OFFSET('배치점수 계산기'!K$10,$D421,0)</f>
        <v>701.35400000000004</v>
      </c>
      <c r="V421" s="194">
        <f ca="1">OFFSET('배치점수 계산기'!L$10,$D421,0)</f>
        <v>698.11900000000003</v>
      </c>
      <c r="W421" s="186" t="str">
        <f ca="1">OFFSET('배치점수 계산기'!M$10,$D421,0)</f>
        <v>표점</v>
      </c>
      <c r="X421" s="184" t="str">
        <f ca="1">OFFSET('배치점수 계산기'!N$10,$D421,0)</f>
        <v>변표</v>
      </c>
      <c r="Y421" s="188">
        <f ca="1">OFFSET(환산공식!FW$15,$F421,0)</f>
        <v>0.25</v>
      </c>
      <c r="Z421" s="20">
        <f ca="1">OFFSET(환산공식!FX$15,$F421,0)</f>
        <v>0.44</v>
      </c>
      <c r="AA421" s="179">
        <f ca="1">OFFSET(환산공식!FY$15,$F421,0)</f>
        <v>0.31</v>
      </c>
      <c r="AB421" s="3"/>
      <c r="AD421">
        <f t="shared" ca="1" si="14"/>
        <v>6</v>
      </c>
      <c r="AF421" s="3"/>
      <c r="AG421" s="3"/>
      <c r="AH421" s="3"/>
    </row>
    <row r="422" spans="1:34">
      <c r="A422" s="198"/>
      <c r="B422" s="198"/>
      <c r="C422" s="198" t="s">
        <v>983</v>
      </c>
      <c r="D422" s="195">
        <v>475</v>
      </c>
      <c r="E422" s="195">
        <v>78</v>
      </c>
      <c r="F422" s="195">
        <v>78</v>
      </c>
      <c r="G422" s="239">
        <v>415</v>
      </c>
      <c r="H422" s="197" t="s">
        <v>72</v>
      </c>
      <c r="I422" s="242" t="s">
        <v>301</v>
      </c>
      <c r="J422" s="242" t="s">
        <v>10785</v>
      </c>
      <c r="K422" s="195" t="s">
        <v>70</v>
      </c>
      <c r="L422" s="20" t="str">
        <f ca="1">IF(OFFSET(환산공식!$ED$15,$F422,0)=1,"O","X")</f>
        <v>X</v>
      </c>
      <c r="M422" s="188">
        <f ca="1">IFERROR(OFFSET(환산공식!DJ$15,$F422,0),"")</f>
        <v>200</v>
      </c>
      <c r="N422" s="20" t="str">
        <f ca="1">IFERROR(CONCATENATE(ROUND(OFFSET(환산공식!DK$15,$F422,0),1),"%"),"")</f>
        <v>100%</v>
      </c>
      <c r="O422" s="20">
        <f ca="1">IFERROR(OFFSET(환산공식!DL$15,$F422,0),"")</f>
        <v>10</v>
      </c>
      <c r="P422" s="188" t="str">
        <f t="shared" ca="1" si="13"/>
        <v>3% 이하</v>
      </c>
      <c r="Q422" s="194">
        <f ca="1">IFERROR(ROUND(OFFSET(환산공식!$FG$15,$F422,0),3),"")</f>
        <v>0</v>
      </c>
      <c r="R422" s="194">
        <f ca="1">OFFSET('배치점수 계산기'!H$10,$D422,0)</f>
        <v>714.82500000000005</v>
      </c>
      <c r="S422" s="194">
        <f ca="1">OFFSET('배치점수 계산기'!I$10,$D422,0)</f>
        <v>712.39599999999996</v>
      </c>
      <c r="T422" s="194">
        <f ca="1">OFFSET('배치점수 계산기'!J$10,$D422,0)</f>
        <v>709.82600000000002</v>
      </c>
      <c r="U422" s="194">
        <f ca="1">OFFSET('배치점수 계산기'!K$10,$D422,0)</f>
        <v>708.08900000000006</v>
      </c>
      <c r="V422" s="194">
        <f ca="1">OFFSET('배치점수 계산기'!L$10,$D422,0)</f>
        <v>704.85199999999998</v>
      </c>
      <c r="W422" s="186" t="str">
        <f ca="1">OFFSET('배치점수 계산기'!M$10,$D422,0)</f>
        <v>표점</v>
      </c>
      <c r="X422" s="184" t="str">
        <f ca="1">OFFSET('배치점수 계산기'!N$10,$D422,0)</f>
        <v>변표</v>
      </c>
      <c r="Y422" s="188">
        <f ca="1">OFFSET(환산공식!FW$15,$F422,0)</f>
        <v>0.25</v>
      </c>
      <c r="Z422" s="20">
        <f ca="1">OFFSET(환산공식!FX$15,$F422,0)</f>
        <v>0.44</v>
      </c>
      <c r="AA422" s="179">
        <f ca="1">OFFSET(환산공식!FY$15,$F422,0)</f>
        <v>0.31</v>
      </c>
      <c r="AB422" s="3"/>
      <c r="AD422">
        <f t="shared" ca="1" si="14"/>
        <v>6</v>
      </c>
      <c r="AF422" s="3"/>
      <c r="AG422" s="3"/>
      <c r="AH422" s="3"/>
    </row>
    <row r="423" spans="1:34">
      <c r="A423" s="198"/>
      <c r="B423" s="198"/>
      <c r="C423" s="198" t="s">
        <v>984</v>
      </c>
      <c r="D423" s="195">
        <v>476</v>
      </c>
      <c r="E423" s="195">
        <v>78</v>
      </c>
      <c r="F423" s="195">
        <v>78</v>
      </c>
      <c r="G423" s="239">
        <v>416</v>
      </c>
      <c r="H423" s="197" t="s">
        <v>72</v>
      </c>
      <c r="I423" s="242" t="s">
        <v>301</v>
      </c>
      <c r="J423" s="242" t="s">
        <v>10927</v>
      </c>
      <c r="K423" s="195" t="s">
        <v>70</v>
      </c>
      <c r="L423" s="20" t="str">
        <f ca="1">IF(OFFSET(환산공식!$ED$15,$F423,0)=1,"O","X")</f>
        <v>X</v>
      </c>
      <c r="M423" s="188">
        <f ca="1">IFERROR(OFFSET(환산공식!DJ$15,$F423,0),"")</f>
        <v>200</v>
      </c>
      <c r="N423" s="20" t="str">
        <f ca="1">IFERROR(CONCATENATE(ROUND(OFFSET(환산공식!DK$15,$F423,0),1),"%"),"")</f>
        <v>100%</v>
      </c>
      <c r="O423" s="20">
        <f ca="1">IFERROR(OFFSET(환산공식!DL$15,$F423,0),"")</f>
        <v>10</v>
      </c>
      <c r="P423" s="188" t="str">
        <f t="shared" ca="1" si="13"/>
        <v>3% 이하</v>
      </c>
      <c r="Q423" s="194">
        <f ca="1">IFERROR(ROUND(OFFSET(환산공식!$FG$15,$F423,0),3),"")</f>
        <v>0</v>
      </c>
      <c r="R423" s="194">
        <f ca="1">OFFSET('배치점수 계산기'!H$10,$D423,0)</f>
        <v>713.98199999999997</v>
      </c>
      <c r="S423" s="194">
        <f ca="1">OFFSET('배치점수 계산기'!I$10,$D423,0)</f>
        <v>712.02300000000002</v>
      </c>
      <c r="T423" s="194">
        <f ca="1">OFFSET('배치점수 계산기'!J$10,$D423,0)</f>
        <v>709.34699999999998</v>
      </c>
      <c r="U423" s="194">
        <f ca="1">OFFSET('배치점수 계산기'!K$10,$D423,0)</f>
        <v>707.66800000000001</v>
      </c>
      <c r="V423" s="194">
        <f ca="1">OFFSET('배치점수 계산기'!L$10,$D423,0)</f>
        <v>704.327</v>
      </c>
      <c r="W423" s="186" t="str">
        <f ca="1">OFFSET('배치점수 계산기'!M$10,$D423,0)</f>
        <v>표점</v>
      </c>
      <c r="X423" s="184" t="str">
        <f ca="1">OFFSET('배치점수 계산기'!N$10,$D423,0)</f>
        <v>변표</v>
      </c>
      <c r="Y423" s="188">
        <f ca="1">OFFSET(환산공식!FW$15,$F423,0)</f>
        <v>0.25</v>
      </c>
      <c r="Z423" s="20">
        <f ca="1">OFFSET(환산공식!FX$15,$F423,0)</f>
        <v>0.44</v>
      </c>
      <c r="AA423" s="179">
        <f ca="1">OFFSET(환산공식!FY$15,$F423,0)</f>
        <v>0.31</v>
      </c>
      <c r="AB423" s="3"/>
      <c r="AD423">
        <f t="shared" ca="1" si="14"/>
        <v>6</v>
      </c>
      <c r="AF423" s="3"/>
      <c r="AG423" s="3"/>
      <c r="AH423" s="3"/>
    </row>
    <row r="424" spans="1:34">
      <c r="A424" s="198"/>
      <c r="B424" s="198"/>
      <c r="C424" s="198" t="s">
        <v>985</v>
      </c>
      <c r="D424" s="195">
        <v>477</v>
      </c>
      <c r="E424" s="195">
        <v>79</v>
      </c>
      <c r="F424" s="195">
        <v>79</v>
      </c>
      <c r="G424" s="239">
        <v>417</v>
      </c>
      <c r="H424" s="197" t="s">
        <v>72</v>
      </c>
      <c r="I424" s="242" t="s">
        <v>301</v>
      </c>
      <c r="J424" s="242" t="s">
        <v>545</v>
      </c>
      <c r="K424" s="195" t="s">
        <v>70</v>
      </c>
      <c r="L424" s="20" t="str">
        <f ca="1">IF(OFFSET(환산공식!$ED$15,$F424,0)=1,"O","X")</f>
        <v>X</v>
      </c>
      <c r="M424" s="188">
        <f ca="1">IFERROR(OFFSET(환산공식!DJ$15,$F424,0),"")</f>
        <v>200</v>
      </c>
      <c r="N424" s="20" t="str">
        <f ca="1">IFERROR(CONCATENATE(ROUND(OFFSET(환산공식!DK$15,$F424,0),1),"%"),"")</f>
        <v>100%</v>
      </c>
      <c r="O424" s="20">
        <f ca="1">IFERROR(OFFSET(환산공식!DL$15,$F424,0),"")</f>
        <v>10</v>
      </c>
      <c r="P424" s="188" t="str">
        <f t="shared" ca="1" si="13"/>
        <v>3% 이하</v>
      </c>
      <c r="Q424" s="194">
        <f ca="1">IFERROR(ROUND(OFFSET(환산공식!$FG$15,$F424,0),3),"")</f>
        <v>0</v>
      </c>
      <c r="R424" s="194">
        <f ca="1">OFFSET('배치점수 계산기'!H$10,$D424,0)</f>
        <v>691.63499999999999</v>
      </c>
      <c r="S424" s="194">
        <f ca="1">OFFSET('배치점수 계산기'!I$10,$D424,0)</f>
        <v>689.06299999999999</v>
      </c>
      <c r="T424" s="194">
        <f ca="1">OFFSET('배치점수 계산기'!J$10,$D424,0)</f>
        <v>687.90099999999995</v>
      </c>
      <c r="U424" s="194">
        <f ca="1">OFFSET('배치점수 계산기'!K$10,$D424,0)</f>
        <v>682.17700000000002</v>
      </c>
      <c r="V424" s="194">
        <f ca="1">OFFSET('배치점수 계산기'!L$10,$D424,0)</f>
        <v>675.03599999999994</v>
      </c>
      <c r="W424" s="186" t="str">
        <f ca="1">OFFSET('배치점수 계산기'!M$10,$D424,0)</f>
        <v>표점</v>
      </c>
      <c r="X424" s="184" t="str">
        <f ca="1">OFFSET('배치점수 계산기'!N$10,$D424,0)</f>
        <v>변표</v>
      </c>
      <c r="Y424" s="188">
        <f ca="1">OFFSET(환산공식!FW$15,$F424,0)</f>
        <v>0.25</v>
      </c>
      <c r="Z424" s="20">
        <f ca="1">OFFSET(환산공식!FX$15,$F424,0)</f>
        <v>0.44</v>
      </c>
      <c r="AA424" s="179">
        <f ca="1">OFFSET(환산공식!FY$15,$F424,0)</f>
        <v>0.31</v>
      </c>
      <c r="AB424" s="3"/>
      <c r="AD424">
        <f t="shared" ca="1" si="14"/>
        <v>6</v>
      </c>
      <c r="AF424" s="3"/>
      <c r="AG424" s="3"/>
      <c r="AH424" s="3"/>
    </row>
    <row r="425" spans="1:34">
      <c r="A425" s="198"/>
      <c r="B425" s="198"/>
      <c r="C425" s="198" t="s">
        <v>986</v>
      </c>
      <c r="D425" s="195">
        <v>478</v>
      </c>
      <c r="E425" s="195">
        <v>79</v>
      </c>
      <c r="F425" s="195">
        <v>79</v>
      </c>
      <c r="G425" s="239">
        <v>418</v>
      </c>
      <c r="H425" s="197" t="s">
        <v>72</v>
      </c>
      <c r="I425" s="242" t="s">
        <v>301</v>
      </c>
      <c r="J425" s="242" t="s">
        <v>12200</v>
      </c>
      <c r="K425" s="195" t="s">
        <v>70</v>
      </c>
      <c r="L425" s="20" t="str">
        <f ca="1">IF(OFFSET(환산공식!$ED$15,$F425,0)=1,"O","X")</f>
        <v>X</v>
      </c>
      <c r="M425" s="188">
        <f ca="1">IFERROR(OFFSET(환산공식!DJ$15,$F425,0),"")</f>
        <v>200</v>
      </c>
      <c r="N425" s="20" t="str">
        <f ca="1">IFERROR(CONCATENATE(ROUND(OFFSET(환산공식!DK$15,$F425,0),1),"%"),"")</f>
        <v>100%</v>
      </c>
      <c r="O425" s="20">
        <f ca="1">IFERROR(OFFSET(환산공식!DL$15,$F425,0),"")</f>
        <v>10</v>
      </c>
      <c r="P425" s="188" t="str">
        <f t="shared" ca="1" si="13"/>
        <v>3% 이하</v>
      </c>
      <c r="Q425" s="194">
        <f ca="1">IFERROR(ROUND(OFFSET(환산공식!$FG$15,$F425,0),3),"")</f>
        <v>0</v>
      </c>
      <c r="R425" s="194">
        <f ca="1">OFFSET('배치점수 계산기'!H$10,$D425,0)</f>
        <v>689.93899999999996</v>
      </c>
      <c r="S425" s="194">
        <f ca="1">OFFSET('배치점수 계산기'!I$10,$D425,0)</f>
        <v>688.37199999999996</v>
      </c>
      <c r="T425" s="194">
        <f ca="1">OFFSET('배치점수 계산기'!J$10,$D425,0)</f>
        <v>685.59900000000005</v>
      </c>
      <c r="U425" s="194">
        <f ca="1">OFFSET('배치점수 계산기'!K$10,$D425,0)</f>
        <v>682.81200000000001</v>
      </c>
      <c r="V425" s="194">
        <f ca="1">OFFSET('배치점수 계산기'!L$10,$D425,0)</f>
        <v>679.23400000000004</v>
      </c>
      <c r="W425" s="186" t="str">
        <f ca="1">OFFSET('배치점수 계산기'!M$10,$D425,0)</f>
        <v>표점</v>
      </c>
      <c r="X425" s="184" t="str">
        <f ca="1">OFFSET('배치점수 계산기'!N$10,$D425,0)</f>
        <v>변표</v>
      </c>
      <c r="Y425" s="188">
        <f ca="1">OFFSET(환산공식!FW$15,$F425,0)</f>
        <v>0.25</v>
      </c>
      <c r="Z425" s="20">
        <f ca="1">OFFSET(환산공식!FX$15,$F425,0)</f>
        <v>0.44</v>
      </c>
      <c r="AA425" s="179">
        <f ca="1">OFFSET(환산공식!FY$15,$F425,0)</f>
        <v>0.31</v>
      </c>
      <c r="AB425" s="3"/>
      <c r="AD425">
        <f t="shared" ca="1" si="14"/>
        <v>6</v>
      </c>
      <c r="AF425" s="3"/>
      <c r="AG425" s="3"/>
      <c r="AH425" s="3"/>
    </row>
    <row r="426" spans="1:34">
      <c r="A426" s="198"/>
      <c r="B426" s="198"/>
      <c r="C426" s="198" t="s">
        <v>987</v>
      </c>
      <c r="D426" s="195">
        <v>479</v>
      </c>
      <c r="E426" s="195">
        <v>78</v>
      </c>
      <c r="F426" s="195">
        <v>78</v>
      </c>
      <c r="G426" s="239">
        <v>419</v>
      </c>
      <c r="H426" s="197" t="s">
        <v>72</v>
      </c>
      <c r="I426" s="242" t="s">
        <v>301</v>
      </c>
      <c r="J426" s="242" t="s">
        <v>12331</v>
      </c>
      <c r="K426" s="195" t="s">
        <v>70</v>
      </c>
      <c r="L426" s="20" t="str">
        <f ca="1">IF(OFFSET(환산공식!$ED$15,$F426,0)=1,"O","X")</f>
        <v>X</v>
      </c>
      <c r="M426" s="188">
        <f ca="1">IFERROR(OFFSET(환산공식!DJ$15,$F426,0),"")</f>
        <v>200</v>
      </c>
      <c r="N426" s="20" t="str">
        <f ca="1">IFERROR(CONCATENATE(ROUND(OFFSET(환산공식!DK$15,$F426,0),1),"%"),"")</f>
        <v>100%</v>
      </c>
      <c r="O426" s="20">
        <f ca="1">IFERROR(OFFSET(환산공식!DL$15,$F426,0),"")</f>
        <v>10</v>
      </c>
      <c r="P426" s="188" t="str">
        <f t="shared" ca="1" si="13"/>
        <v>3% 이하</v>
      </c>
      <c r="Q426" s="194">
        <f ca="1">IFERROR(ROUND(OFFSET(환산공식!$FG$15,$F426,0),3),"")</f>
        <v>0</v>
      </c>
      <c r="R426" s="194">
        <f ca="1">OFFSET('배치점수 계산기'!H$10,$D426,0)</f>
        <v>694.947</v>
      </c>
      <c r="S426" s="194">
        <f ca="1">OFFSET('배치점수 계산기'!I$10,$D426,0)</f>
        <v>693.28300000000002</v>
      </c>
      <c r="T426" s="194">
        <f ca="1">OFFSET('배치점수 계산기'!J$10,$D426,0)</f>
        <v>690.64</v>
      </c>
      <c r="U426" s="194">
        <f ca="1">OFFSET('배치점수 계산기'!K$10,$D426,0)</f>
        <v>688.09900000000005</v>
      </c>
      <c r="V426" s="194">
        <f ca="1">OFFSET('배치점수 계산기'!L$10,$D426,0)</f>
        <v>684.42700000000002</v>
      </c>
      <c r="W426" s="186" t="str">
        <f ca="1">OFFSET('배치점수 계산기'!M$10,$D426,0)</f>
        <v>표점</v>
      </c>
      <c r="X426" s="184" t="str">
        <f ca="1">OFFSET('배치점수 계산기'!N$10,$D426,0)</f>
        <v>변표</v>
      </c>
      <c r="Y426" s="188">
        <f ca="1">OFFSET(환산공식!FW$15,$F426,0)</f>
        <v>0.25</v>
      </c>
      <c r="Z426" s="20">
        <f ca="1">OFFSET(환산공식!FX$15,$F426,0)</f>
        <v>0.44</v>
      </c>
      <c r="AA426" s="179">
        <f ca="1">OFFSET(환산공식!FY$15,$F426,0)</f>
        <v>0.31</v>
      </c>
      <c r="AB426" s="3"/>
      <c r="AD426">
        <f t="shared" ca="1" si="14"/>
        <v>6</v>
      </c>
      <c r="AF426" s="3"/>
      <c r="AG426" s="3"/>
      <c r="AH426" s="3"/>
    </row>
    <row r="427" spans="1:34">
      <c r="A427" s="198"/>
      <c r="B427" s="198"/>
      <c r="C427" s="198" t="s">
        <v>988</v>
      </c>
      <c r="D427" s="195">
        <v>480</v>
      </c>
      <c r="E427" s="195">
        <v>80</v>
      </c>
      <c r="F427" s="195">
        <v>80</v>
      </c>
      <c r="G427" s="239">
        <v>420</v>
      </c>
      <c r="H427" s="197" t="s">
        <v>72</v>
      </c>
      <c r="I427" s="242" t="s">
        <v>301</v>
      </c>
      <c r="J427" s="242" t="s">
        <v>10742</v>
      </c>
      <c r="K427" s="195" t="s">
        <v>71</v>
      </c>
      <c r="L427" s="20" t="str">
        <f ca="1">IF(OFFSET(환산공식!$ED$15,$F427,0)=1,"O","X")</f>
        <v>X</v>
      </c>
      <c r="M427" s="188">
        <f ca="1">IFERROR(OFFSET(환산공식!DJ$15,$F427,0),"")</f>
        <v>200</v>
      </c>
      <c r="N427" s="20" t="str">
        <f ca="1">IFERROR(CONCATENATE(ROUND(OFFSET(환산공식!DK$15,$F427,0),1),"%"),"")</f>
        <v>100%</v>
      </c>
      <c r="O427" s="20">
        <f ca="1">IFERROR(OFFSET(환산공식!DL$15,$F427,0),"")</f>
        <v>10</v>
      </c>
      <c r="P427" s="188" t="str">
        <f t="shared" ca="1" si="13"/>
        <v>3% 이하</v>
      </c>
      <c r="Q427" s="194">
        <f ca="1">IFERROR(ROUND(OFFSET(환산공식!$FG$15,$F427,0),3),"")</f>
        <v>0</v>
      </c>
      <c r="R427" s="194">
        <f ca="1">OFFSET('배치점수 계산기'!H$10,$D427,0)</f>
        <v>701.2</v>
      </c>
      <c r="S427" s="194">
        <f ca="1">OFFSET('배치점수 계산기'!I$10,$D427,0)</f>
        <v>698.43200000000002</v>
      </c>
      <c r="T427" s="194">
        <f ca="1">OFFSET('배치점수 계산기'!J$10,$D427,0)</f>
        <v>695.72199999999998</v>
      </c>
      <c r="U427" s="194">
        <f ca="1">OFFSET('배치점수 계산기'!K$10,$D427,0)</f>
        <v>693.20100000000002</v>
      </c>
      <c r="V427" s="194">
        <f ca="1">OFFSET('배치점수 계산기'!L$10,$D427,0)</f>
        <v>689.63099999999997</v>
      </c>
      <c r="W427" s="186" t="str">
        <f ca="1">OFFSET('배치점수 계산기'!M$10,$D427,0)</f>
        <v>표점</v>
      </c>
      <c r="X427" s="184" t="str">
        <f ca="1">OFFSET('배치점수 계산기'!N$10,$D427,0)</f>
        <v>변표</v>
      </c>
      <c r="Y427" s="188">
        <f ca="1">OFFSET(환산공식!FW$15,$F427,0)</f>
        <v>0.38</v>
      </c>
      <c r="Z427" s="20">
        <f ca="1">OFFSET(환산공식!FX$15,$F427,0)</f>
        <v>0.38</v>
      </c>
      <c r="AA427" s="179">
        <f ca="1">OFFSET(환산공식!FY$15,$F427,0)</f>
        <v>0.25</v>
      </c>
      <c r="AB427" s="3"/>
      <c r="AD427">
        <f t="shared" ca="1" si="14"/>
        <v>6</v>
      </c>
      <c r="AF427" s="3"/>
      <c r="AG427" s="3"/>
      <c r="AH427" s="3"/>
    </row>
    <row r="428" spans="1:34">
      <c r="A428" s="198"/>
      <c r="B428" s="198"/>
      <c r="C428" s="198" t="s">
        <v>989</v>
      </c>
      <c r="D428" s="195">
        <v>481</v>
      </c>
      <c r="E428" s="195">
        <v>80</v>
      </c>
      <c r="F428" s="195">
        <v>80</v>
      </c>
      <c r="G428" s="239">
        <v>421</v>
      </c>
      <c r="H428" s="197" t="s">
        <v>72</v>
      </c>
      <c r="I428" s="242" t="s">
        <v>301</v>
      </c>
      <c r="J428" s="242" t="s">
        <v>12284</v>
      </c>
      <c r="K428" s="195" t="s">
        <v>71</v>
      </c>
      <c r="L428" s="20" t="str">
        <f ca="1">IF(OFFSET(환산공식!$ED$15,$F428,0)=1,"O","X")</f>
        <v>X</v>
      </c>
      <c r="M428" s="188">
        <f ca="1">IFERROR(OFFSET(환산공식!DJ$15,$F428,0),"")</f>
        <v>200</v>
      </c>
      <c r="N428" s="20" t="str">
        <f ca="1">IFERROR(CONCATENATE(ROUND(OFFSET(환산공식!DK$15,$F428,0),1),"%"),"")</f>
        <v>100%</v>
      </c>
      <c r="O428" s="20">
        <f ca="1">IFERROR(OFFSET(환산공식!DL$15,$F428,0),"")</f>
        <v>10</v>
      </c>
      <c r="P428" s="188" t="str">
        <f t="shared" ca="1" si="13"/>
        <v>3% 이하</v>
      </c>
      <c r="Q428" s="194">
        <f ca="1">IFERROR(ROUND(OFFSET(환산공식!$FG$15,$F428,0),3),"")</f>
        <v>0</v>
      </c>
      <c r="R428" s="194">
        <f ca="1">OFFSET('배치점수 계산기'!H$10,$D428,0)</f>
        <v>678.33100000000002</v>
      </c>
      <c r="S428" s="194">
        <f ca="1">OFFSET('배치점수 계산기'!I$10,$D428,0)</f>
        <v>676.85</v>
      </c>
      <c r="T428" s="194">
        <f ca="1">OFFSET('배치점수 계산기'!J$10,$D428,0)</f>
        <v>674.31700000000001</v>
      </c>
      <c r="U428" s="194">
        <f ca="1">OFFSET('배치점수 계산기'!K$10,$D428,0)</f>
        <v>671.72699999999998</v>
      </c>
      <c r="V428" s="194">
        <f ca="1">OFFSET('배치점수 계산기'!L$10,$D428,0)</f>
        <v>667.72500000000002</v>
      </c>
      <c r="W428" s="186" t="str">
        <f ca="1">OFFSET('배치점수 계산기'!M$10,$D428,0)</f>
        <v>표점</v>
      </c>
      <c r="X428" s="184" t="str">
        <f ca="1">OFFSET('배치점수 계산기'!N$10,$D428,0)</f>
        <v>변표</v>
      </c>
      <c r="Y428" s="188">
        <f ca="1">OFFSET(환산공식!FW$15,$F428,0)</f>
        <v>0.38</v>
      </c>
      <c r="Z428" s="20">
        <f ca="1">OFFSET(환산공식!FX$15,$F428,0)</f>
        <v>0.38</v>
      </c>
      <c r="AA428" s="179">
        <f ca="1">OFFSET(환산공식!FY$15,$F428,0)</f>
        <v>0.25</v>
      </c>
      <c r="AB428" s="3"/>
      <c r="AD428">
        <f t="shared" ca="1" si="14"/>
        <v>6</v>
      </c>
      <c r="AF428" s="3"/>
      <c r="AG428" s="3"/>
      <c r="AH428" s="3"/>
    </row>
    <row r="429" spans="1:34">
      <c r="A429" s="198"/>
      <c r="B429" s="198"/>
      <c r="C429" s="198" t="s">
        <v>990</v>
      </c>
      <c r="D429" s="195">
        <v>482</v>
      </c>
      <c r="E429" s="195">
        <v>115</v>
      </c>
      <c r="F429" s="195">
        <v>115</v>
      </c>
      <c r="G429" s="239">
        <v>422</v>
      </c>
      <c r="H429" s="197" t="s">
        <v>72</v>
      </c>
      <c r="I429" s="242" t="s">
        <v>238</v>
      </c>
      <c r="J429" s="242" t="s">
        <v>9439</v>
      </c>
      <c r="K429" s="195" t="s">
        <v>70</v>
      </c>
      <c r="L429" s="20" t="str">
        <f ca="1">IF(OFFSET(환산공식!$ED$15,$F429,0)=1,"O","X")</f>
        <v>X</v>
      </c>
      <c r="M429" s="188">
        <f ca="1">IFERROR(OFFSET(환산공식!DJ$15,$F429,0),"")</f>
        <v>100</v>
      </c>
      <c r="N429" s="20" t="str">
        <f ca="1">IFERROR(CONCATENATE(ROUND(OFFSET(환산공식!DK$15,$F429,0),1),"%"),"")</f>
        <v>100%</v>
      </c>
      <c r="O429" s="20">
        <f ca="1">IFERROR(OFFSET(환산공식!DL$15,$F429,0),"")</f>
        <v>0</v>
      </c>
      <c r="P429" s="188" t="str">
        <f t="shared" ca="1" si="13"/>
        <v>3% 이하</v>
      </c>
      <c r="Q429" s="194">
        <f ca="1">IFERROR(ROUND(OFFSET(환산공식!$FG$15,$F429,0),3),"")</f>
        <v>0</v>
      </c>
      <c r="R429" s="194">
        <f ca="1">OFFSET('배치점수 계산기'!H$10,$D429,0)</f>
        <v>892.56700000000001</v>
      </c>
      <c r="S429" s="194">
        <f ca="1">OFFSET('배치점수 계산기'!I$10,$D429,0)</f>
        <v>887.86800000000005</v>
      </c>
      <c r="T429" s="194">
        <f ca="1">OFFSET('배치점수 계산기'!J$10,$D429,0)</f>
        <v>884.16300000000001</v>
      </c>
      <c r="U429" s="194">
        <f ca="1">OFFSET('배치점수 계산기'!K$10,$D429,0)</f>
        <v>881.08799999999997</v>
      </c>
      <c r="V429" s="194">
        <f ca="1">OFFSET('배치점수 계산기'!L$10,$D429,0)</f>
        <v>876.90499999999997</v>
      </c>
      <c r="W429" s="186" t="str">
        <f ca="1">OFFSET('배치점수 계산기'!M$10,$D429,0)</f>
        <v>표점/만점</v>
      </c>
      <c r="X429" s="184" t="str">
        <f ca="1">OFFSET('배치점수 계산기'!N$10,$D429,0)</f>
        <v>변표/만점</v>
      </c>
      <c r="Y429" s="188">
        <f ca="1">OFFSET(환산공식!FW$15,$F429,0)</f>
        <v>0.28000000000000003</v>
      </c>
      <c r="Z429" s="20">
        <f ca="1">OFFSET(환산공식!FX$15,$F429,0)</f>
        <v>0.39</v>
      </c>
      <c r="AA429" s="179">
        <f ca="1">OFFSET(환산공식!FY$15,$F429,0)</f>
        <v>0.33</v>
      </c>
      <c r="AB429" s="3"/>
      <c r="AD429">
        <f t="shared" ca="1" si="14"/>
        <v>6</v>
      </c>
      <c r="AF429" s="3"/>
      <c r="AG429" s="3"/>
      <c r="AH429" s="3"/>
    </row>
    <row r="430" spans="1:34">
      <c r="A430" s="198"/>
      <c r="B430" s="198"/>
      <c r="C430" s="198" t="s">
        <v>991</v>
      </c>
      <c r="D430" s="195">
        <v>483</v>
      </c>
      <c r="E430" s="195">
        <v>115</v>
      </c>
      <c r="F430" s="195">
        <v>115</v>
      </c>
      <c r="G430" s="239">
        <v>423</v>
      </c>
      <c r="H430" s="197" t="s">
        <v>72</v>
      </c>
      <c r="I430" s="242" t="s">
        <v>238</v>
      </c>
      <c r="J430" s="242" t="s">
        <v>559</v>
      </c>
      <c r="K430" s="195" t="s">
        <v>70</v>
      </c>
      <c r="L430" s="20" t="str">
        <f ca="1">IF(OFFSET(환산공식!$ED$15,$F430,0)=1,"O","X")</f>
        <v>X</v>
      </c>
      <c r="M430" s="188">
        <f ca="1">IFERROR(OFFSET(환산공식!DJ$15,$F430,0),"")</f>
        <v>100</v>
      </c>
      <c r="N430" s="20" t="str">
        <f ca="1">IFERROR(CONCATENATE(ROUND(OFFSET(환산공식!DK$15,$F430,0),1),"%"),"")</f>
        <v>100%</v>
      </c>
      <c r="O430" s="20">
        <f ca="1">IFERROR(OFFSET(환산공식!DL$15,$F430,0),"")</f>
        <v>0</v>
      </c>
      <c r="P430" s="188" t="str">
        <f t="shared" ca="1" si="13"/>
        <v>3% 이하</v>
      </c>
      <c r="Q430" s="194">
        <f ca="1">IFERROR(ROUND(OFFSET(환산공식!$FG$15,$F430,0),3),"")</f>
        <v>0</v>
      </c>
      <c r="R430" s="194">
        <f ca="1">OFFSET('배치점수 계산기'!H$10,$D430,0)</f>
        <v>891.24199999999996</v>
      </c>
      <c r="S430" s="194">
        <f ca="1">OFFSET('배치점수 계산기'!I$10,$D430,0)</f>
        <v>887.08</v>
      </c>
      <c r="T430" s="194">
        <f ca="1">OFFSET('배치점수 계산기'!J$10,$D430,0)</f>
        <v>883.33900000000006</v>
      </c>
      <c r="U430" s="194">
        <f ca="1">OFFSET('배치점수 계산기'!K$10,$D430,0)</f>
        <v>880.51900000000001</v>
      </c>
      <c r="V430" s="194">
        <f ca="1">OFFSET('배치점수 계산기'!L$10,$D430,0)</f>
        <v>876.26700000000005</v>
      </c>
      <c r="W430" s="186" t="str">
        <f ca="1">OFFSET('배치점수 계산기'!M$10,$D430,0)</f>
        <v>표점/만점</v>
      </c>
      <c r="X430" s="184" t="str">
        <f ca="1">OFFSET('배치점수 계산기'!N$10,$D430,0)</f>
        <v>변표/만점</v>
      </c>
      <c r="Y430" s="188">
        <f ca="1">OFFSET(환산공식!FW$15,$F430,0)</f>
        <v>0.28000000000000003</v>
      </c>
      <c r="Z430" s="20">
        <f ca="1">OFFSET(환산공식!FX$15,$F430,0)</f>
        <v>0.39</v>
      </c>
      <c r="AA430" s="179">
        <f ca="1">OFFSET(환산공식!FY$15,$F430,0)</f>
        <v>0.33</v>
      </c>
      <c r="AB430" s="3"/>
      <c r="AD430">
        <f t="shared" ca="1" si="14"/>
        <v>6</v>
      </c>
      <c r="AF430" s="3"/>
      <c r="AG430" s="3"/>
      <c r="AH430" s="3"/>
    </row>
    <row r="431" spans="1:34">
      <c r="A431" s="198"/>
      <c r="B431" s="198"/>
      <c r="C431" s="198" t="s">
        <v>992</v>
      </c>
      <c r="D431" s="195">
        <v>484</v>
      </c>
      <c r="E431" s="195">
        <v>115</v>
      </c>
      <c r="F431" s="195">
        <v>115</v>
      </c>
      <c r="G431" s="239">
        <v>424</v>
      </c>
      <c r="H431" s="197" t="s">
        <v>72</v>
      </c>
      <c r="I431" s="242" t="s">
        <v>238</v>
      </c>
      <c r="J431" s="242" t="s">
        <v>418</v>
      </c>
      <c r="K431" s="195" t="s">
        <v>70</v>
      </c>
      <c r="L431" s="20" t="str">
        <f ca="1">IF(OFFSET(환산공식!$ED$15,$F431,0)=1,"O","X")</f>
        <v>X</v>
      </c>
      <c r="M431" s="188">
        <f ca="1">IFERROR(OFFSET(환산공식!DJ$15,$F431,0),"")</f>
        <v>100</v>
      </c>
      <c r="N431" s="20" t="str">
        <f ca="1">IFERROR(CONCATENATE(ROUND(OFFSET(환산공식!DK$15,$F431,0),1),"%"),"")</f>
        <v>100%</v>
      </c>
      <c r="O431" s="20">
        <f ca="1">IFERROR(OFFSET(환산공식!DL$15,$F431,0),"")</f>
        <v>0</v>
      </c>
      <c r="P431" s="188" t="str">
        <f t="shared" ca="1" si="13"/>
        <v>3% 이하</v>
      </c>
      <c r="Q431" s="194">
        <f ca="1">IFERROR(ROUND(OFFSET(환산공식!$FG$15,$F431,0),3),"")</f>
        <v>0</v>
      </c>
      <c r="R431" s="194">
        <f ca="1">OFFSET('배치점수 계산기'!H$10,$D431,0)</f>
        <v>888.74099999999999</v>
      </c>
      <c r="S431" s="194">
        <f ca="1">OFFSET('배치점수 계산기'!I$10,$D431,0)</f>
        <v>885.75300000000004</v>
      </c>
      <c r="T431" s="194">
        <f ca="1">OFFSET('배치점수 계산기'!J$10,$D431,0)</f>
        <v>882.65899999999999</v>
      </c>
      <c r="U431" s="194">
        <f ca="1">OFFSET('배치점수 계산기'!K$10,$D431,0)</f>
        <v>879.79300000000001</v>
      </c>
      <c r="V431" s="194">
        <f ca="1">OFFSET('배치점수 계산기'!L$10,$D431,0)</f>
        <v>875.77099999999996</v>
      </c>
      <c r="W431" s="186" t="str">
        <f ca="1">OFFSET('배치점수 계산기'!M$10,$D431,0)</f>
        <v>표점/만점</v>
      </c>
      <c r="X431" s="184" t="str">
        <f ca="1">OFFSET('배치점수 계산기'!N$10,$D431,0)</f>
        <v>변표/만점</v>
      </c>
      <c r="Y431" s="188">
        <f ca="1">OFFSET(환산공식!FW$15,$F431,0)</f>
        <v>0.28000000000000003</v>
      </c>
      <c r="Z431" s="20">
        <f ca="1">OFFSET(환산공식!FX$15,$F431,0)</f>
        <v>0.39</v>
      </c>
      <c r="AA431" s="179">
        <f ca="1">OFFSET(환산공식!FY$15,$F431,0)</f>
        <v>0.33</v>
      </c>
      <c r="AB431" s="3"/>
      <c r="AD431">
        <f t="shared" ca="1" si="14"/>
        <v>6</v>
      </c>
      <c r="AF431" s="3"/>
      <c r="AG431" s="3"/>
      <c r="AH431" s="3"/>
    </row>
    <row r="432" spans="1:34">
      <c r="A432" s="198"/>
      <c r="B432" s="198"/>
      <c r="C432" s="198" t="s">
        <v>993</v>
      </c>
      <c r="D432" s="195">
        <v>485</v>
      </c>
      <c r="E432" s="195">
        <v>115</v>
      </c>
      <c r="F432" s="195">
        <v>115</v>
      </c>
      <c r="G432" s="239">
        <v>425</v>
      </c>
      <c r="H432" s="197" t="s">
        <v>72</v>
      </c>
      <c r="I432" s="242" t="s">
        <v>238</v>
      </c>
      <c r="J432" s="242" t="s">
        <v>10547</v>
      </c>
      <c r="K432" s="195" t="s">
        <v>70</v>
      </c>
      <c r="L432" s="20" t="str">
        <f ca="1">IF(OFFSET(환산공식!$ED$15,$F432,0)=1,"O","X")</f>
        <v>X</v>
      </c>
      <c r="M432" s="188">
        <f ca="1">IFERROR(OFFSET(환산공식!DJ$15,$F432,0),"")</f>
        <v>100</v>
      </c>
      <c r="N432" s="20" t="str">
        <f ca="1">IFERROR(CONCATENATE(ROUND(OFFSET(환산공식!DK$15,$F432,0),1),"%"),"")</f>
        <v>100%</v>
      </c>
      <c r="O432" s="20">
        <f ca="1">IFERROR(OFFSET(환산공식!DL$15,$F432,0),"")</f>
        <v>0</v>
      </c>
      <c r="P432" s="188" t="str">
        <f t="shared" ca="1" si="13"/>
        <v>3% 이하</v>
      </c>
      <c r="Q432" s="194">
        <f ca="1">IFERROR(ROUND(OFFSET(환산공식!$FG$15,$F432,0),3),"")</f>
        <v>0</v>
      </c>
      <c r="R432" s="194">
        <f ca="1">OFFSET('배치점수 계산기'!H$10,$D432,0)</f>
        <v>887.86800000000005</v>
      </c>
      <c r="S432" s="194">
        <f ca="1">OFFSET('배치점수 계산기'!I$10,$D432,0)</f>
        <v>884.51900000000001</v>
      </c>
      <c r="T432" s="194">
        <f ca="1">OFFSET('배치점수 계산기'!J$10,$D432,0)</f>
        <v>880.779</v>
      </c>
      <c r="U432" s="194">
        <f ca="1">OFFSET('배치점수 계산기'!K$10,$D432,0)</f>
        <v>878.452</v>
      </c>
      <c r="V432" s="194">
        <f ca="1">OFFSET('배치점수 계산기'!L$10,$D432,0)</f>
        <v>874.08100000000002</v>
      </c>
      <c r="W432" s="186" t="str">
        <f ca="1">OFFSET('배치점수 계산기'!M$10,$D432,0)</f>
        <v>표점/만점</v>
      </c>
      <c r="X432" s="184" t="str">
        <f ca="1">OFFSET('배치점수 계산기'!N$10,$D432,0)</f>
        <v>변표/만점</v>
      </c>
      <c r="Y432" s="188">
        <f ca="1">OFFSET(환산공식!FW$15,$F432,0)</f>
        <v>0.28000000000000003</v>
      </c>
      <c r="Z432" s="20">
        <f ca="1">OFFSET(환산공식!FX$15,$F432,0)</f>
        <v>0.39</v>
      </c>
      <c r="AA432" s="179">
        <f ca="1">OFFSET(환산공식!FY$15,$F432,0)</f>
        <v>0.33</v>
      </c>
      <c r="AB432" s="3"/>
      <c r="AD432">
        <f t="shared" ca="1" si="14"/>
        <v>6</v>
      </c>
      <c r="AF432" s="3"/>
      <c r="AG432" s="3"/>
      <c r="AH432" s="3"/>
    </row>
    <row r="433" spans="1:34">
      <c r="A433" s="198"/>
      <c r="B433" s="198"/>
      <c r="C433" s="198" t="s">
        <v>994</v>
      </c>
      <c r="D433" s="195">
        <v>486</v>
      </c>
      <c r="E433" s="195">
        <v>127</v>
      </c>
      <c r="F433" s="195">
        <v>127</v>
      </c>
      <c r="G433" s="239">
        <v>426</v>
      </c>
      <c r="H433" s="197" t="s">
        <v>72</v>
      </c>
      <c r="I433" s="242" t="s">
        <v>478</v>
      </c>
      <c r="J433" s="242" t="s">
        <v>7351</v>
      </c>
      <c r="K433" s="195" t="s">
        <v>70</v>
      </c>
      <c r="L433" s="20" t="str">
        <f ca="1">IF(OFFSET(환산공식!$ED$15,$F433,0)=1,"O","X")</f>
        <v>X</v>
      </c>
      <c r="M433" s="188">
        <f ca="1">IFERROR(OFFSET(환산공식!DJ$15,$F433,0),"")</f>
        <v>150</v>
      </c>
      <c r="N433" s="20" t="str">
        <f ca="1">IFERROR(CONCATENATE(ROUND(OFFSET(환산공식!DK$15,$F433,0),1),"%"),"")</f>
        <v>100%</v>
      </c>
      <c r="O433" s="20">
        <f ca="1">IFERROR(OFFSET(환산공식!DL$15,$F433,0),"")</f>
        <v>10</v>
      </c>
      <c r="P433" s="188" t="str">
        <f t="shared" ca="1" si="13"/>
        <v>3% 이하</v>
      </c>
      <c r="Q433" s="194">
        <f ca="1">IFERROR(ROUND(OFFSET(환산공식!$FG$15,$F433,0),3),"")</f>
        <v>0</v>
      </c>
      <c r="R433" s="194">
        <f ca="1">OFFSET('배치점수 계산기'!H$10,$D433,0)</f>
        <v>892.04700000000003</v>
      </c>
      <c r="S433" s="194">
        <f ca="1">OFFSET('배치점수 계산기'!I$10,$D433,0)</f>
        <v>888.40099999999995</v>
      </c>
      <c r="T433" s="194">
        <f ca="1">OFFSET('배치점수 계산기'!J$10,$D433,0)</f>
        <v>885.45699999999999</v>
      </c>
      <c r="U433" s="194">
        <f ca="1">OFFSET('배치점수 계산기'!K$10,$D433,0)</f>
        <v>882.13300000000004</v>
      </c>
      <c r="V433" s="194">
        <f ca="1">OFFSET('배치점수 계산기'!L$10,$D433,0)</f>
        <v>880.13900000000001</v>
      </c>
      <c r="W433" s="186" t="str">
        <f ca="1">OFFSET('배치점수 계산기'!M$10,$D433,0)</f>
        <v>표점/만점</v>
      </c>
      <c r="X433" s="184" t="str">
        <f ca="1">OFFSET('배치점수 계산기'!N$10,$D433,0)</f>
        <v>변표/만점</v>
      </c>
      <c r="Y433" s="188">
        <f ca="1">OFFSET(환산공식!FW$15,$F433,0)</f>
        <v>0.3</v>
      </c>
      <c r="Z433" s="20">
        <f ca="1">OFFSET(환산공식!FX$15,$F433,0)</f>
        <v>0.41</v>
      </c>
      <c r="AA433" s="179">
        <f ca="1">OFFSET(환산공식!FY$15,$F433,0)</f>
        <v>0.28999999999999998</v>
      </c>
      <c r="AB433" s="3"/>
      <c r="AD433">
        <f t="shared" ca="1" si="14"/>
        <v>6</v>
      </c>
      <c r="AF433" s="3"/>
      <c r="AG433" s="3"/>
      <c r="AH433" s="3"/>
    </row>
    <row r="434" spans="1:34">
      <c r="A434" s="198"/>
      <c r="B434" s="198"/>
      <c r="C434" s="198" t="s">
        <v>995</v>
      </c>
      <c r="D434" s="195">
        <v>487</v>
      </c>
      <c r="E434" s="195">
        <v>127</v>
      </c>
      <c r="F434" s="195">
        <v>127</v>
      </c>
      <c r="G434" s="239">
        <v>427</v>
      </c>
      <c r="H434" s="197" t="s">
        <v>72</v>
      </c>
      <c r="I434" s="242" t="s">
        <v>478</v>
      </c>
      <c r="J434" s="242" t="s">
        <v>11009</v>
      </c>
      <c r="K434" s="195" t="s">
        <v>70</v>
      </c>
      <c r="L434" s="20" t="str">
        <f ca="1">IF(OFFSET(환산공식!$ED$15,$F434,0)=1,"O","X")</f>
        <v>X</v>
      </c>
      <c r="M434" s="188">
        <f ca="1">IFERROR(OFFSET(환산공식!DJ$15,$F434,0),"")</f>
        <v>150</v>
      </c>
      <c r="N434" s="20" t="str">
        <f ca="1">IFERROR(CONCATENATE(ROUND(OFFSET(환산공식!DK$15,$F434,0),1),"%"),"")</f>
        <v>100%</v>
      </c>
      <c r="O434" s="20">
        <f ca="1">IFERROR(OFFSET(환산공식!DL$15,$F434,0),"")</f>
        <v>10</v>
      </c>
      <c r="P434" s="188" t="str">
        <f t="shared" ca="1" si="13"/>
        <v>3% 이하</v>
      </c>
      <c r="Q434" s="194">
        <f ca="1">IFERROR(ROUND(OFFSET(환산공식!$FG$15,$F434,0),3),"")</f>
        <v>0</v>
      </c>
      <c r="R434" s="194">
        <f ca="1">OFFSET('배치점수 계산기'!H$10,$D434,0)</f>
        <v>891.72</v>
      </c>
      <c r="S434" s="194">
        <f ca="1">OFFSET('배치점수 계산기'!I$10,$D434,0)</f>
        <v>887.952</v>
      </c>
      <c r="T434" s="194">
        <f ca="1">OFFSET('배치점수 계산기'!J$10,$D434,0)</f>
        <v>883.70500000000004</v>
      </c>
      <c r="U434" s="194">
        <f ca="1">OFFSET('배치점수 계산기'!K$10,$D434,0)</f>
        <v>879.74</v>
      </c>
      <c r="V434" s="194">
        <f ca="1">OFFSET('배치점수 계산기'!L$10,$D434,0)</f>
        <v>877.77499999999998</v>
      </c>
      <c r="W434" s="186" t="str">
        <f ca="1">OFFSET('배치점수 계산기'!M$10,$D434,0)</f>
        <v>표점/만점</v>
      </c>
      <c r="X434" s="184" t="str">
        <f ca="1">OFFSET('배치점수 계산기'!N$10,$D434,0)</f>
        <v>변표/만점</v>
      </c>
      <c r="Y434" s="188">
        <f ca="1">OFFSET(환산공식!FW$15,$F434,0)</f>
        <v>0.3</v>
      </c>
      <c r="Z434" s="20">
        <f ca="1">OFFSET(환산공식!FX$15,$F434,0)</f>
        <v>0.41</v>
      </c>
      <c r="AA434" s="179">
        <f ca="1">OFFSET(환산공식!FY$15,$F434,0)</f>
        <v>0.28999999999999998</v>
      </c>
      <c r="AB434" s="3"/>
      <c r="AD434">
        <f t="shared" ca="1" si="14"/>
        <v>6</v>
      </c>
      <c r="AF434" s="3"/>
      <c r="AG434" s="3"/>
      <c r="AH434" s="3"/>
    </row>
    <row r="435" spans="1:34">
      <c r="A435" s="198"/>
      <c r="B435" s="198"/>
      <c r="C435" s="198" t="s">
        <v>996</v>
      </c>
      <c r="D435" s="195">
        <v>488</v>
      </c>
      <c r="E435" s="195">
        <v>126</v>
      </c>
      <c r="F435" s="195">
        <v>126</v>
      </c>
      <c r="G435" s="239">
        <v>428</v>
      </c>
      <c r="H435" s="197" t="s">
        <v>72</v>
      </c>
      <c r="I435" s="242" t="s">
        <v>478</v>
      </c>
      <c r="J435" s="242" t="s">
        <v>74</v>
      </c>
      <c r="K435" s="195" t="s">
        <v>70</v>
      </c>
      <c r="L435" s="20" t="str">
        <f ca="1">IF(OFFSET(환산공식!$ED$15,$F435,0)=1,"O","X")</f>
        <v>X</v>
      </c>
      <c r="M435" s="188">
        <f ca="1">IFERROR(OFFSET(환산공식!DJ$15,$F435,0),"")</f>
        <v>150</v>
      </c>
      <c r="N435" s="20" t="str">
        <f ca="1">IFERROR(CONCATENATE(ROUND(OFFSET(환산공식!DK$15,$F435,0),1),"%"),"")</f>
        <v>100%</v>
      </c>
      <c r="O435" s="20">
        <f ca="1">IFERROR(OFFSET(환산공식!DL$15,$F435,0),"")</f>
        <v>10</v>
      </c>
      <c r="P435" s="188" t="str">
        <f t="shared" ca="1" si="13"/>
        <v>3% 이하</v>
      </c>
      <c r="Q435" s="194">
        <f ca="1">IFERROR(ROUND(OFFSET(환산공식!$FG$15,$F435,0),3),"")</f>
        <v>0</v>
      </c>
      <c r="R435" s="194">
        <f ca="1">OFFSET('배치점수 계산기'!H$10,$D435,0)</f>
        <v>896.33399999999995</v>
      </c>
      <c r="S435" s="194">
        <f ca="1">OFFSET('배치점수 계산기'!I$10,$D435,0)</f>
        <v>893.46699999999998</v>
      </c>
      <c r="T435" s="194">
        <f ca="1">OFFSET('배치점수 계산기'!J$10,$D435,0)</f>
        <v>889.48800000000006</v>
      </c>
      <c r="U435" s="194">
        <f ca="1">OFFSET('배치점수 계산기'!K$10,$D435,0)</f>
        <v>885.98599999999999</v>
      </c>
      <c r="V435" s="194">
        <f ca="1">OFFSET('배치점수 계산기'!L$10,$D435,0)</f>
        <v>883.72900000000004</v>
      </c>
      <c r="W435" s="186" t="str">
        <f ca="1">OFFSET('배치점수 계산기'!M$10,$D435,0)</f>
        <v>표점/만점</v>
      </c>
      <c r="X435" s="184" t="str">
        <f ca="1">OFFSET('배치점수 계산기'!N$10,$D435,0)</f>
        <v>변표/만점</v>
      </c>
      <c r="Y435" s="188">
        <f ca="1">OFFSET(환산공식!FW$15,$F435,0)</f>
        <v>0.3</v>
      </c>
      <c r="Z435" s="20">
        <f ca="1">OFFSET(환산공식!FX$15,$F435,0)</f>
        <v>0.41</v>
      </c>
      <c r="AA435" s="179">
        <f ca="1">OFFSET(환산공식!FY$15,$F435,0)</f>
        <v>0.28999999999999998</v>
      </c>
      <c r="AB435" s="3"/>
      <c r="AD435">
        <f t="shared" ca="1" si="14"/>
        <v>6</v>
      </c>
      <c r="AF435" s="3"/>
      <c r="AG435" s="3"/>
      <c r="AH435" s="3"/>
    </row>
    <row r="436" spans="1:34">
      <c r="A436" s="198"/>
      <c r="B436" s="198"/>
      <c r="C436" s="198" t="s">
        <v>997</v>
      </c>
      <c r="D436" s="195">
        <v>489</v>
      </c>
      <c r="E436" s="195">
        <v>126</v>
      </c>
      <c r="F436" s="195">
        <v>126</v>
      </c>
      <c r="G436" s="239">
        <v>429</v>
      </c>
      <c r="H436" s="197" t="s">
        <v>72</v>
      </c>
      <c r="I436" s="242" t="s">
        <v>478</v>
      </c>
      <c r="J436" s="242" t="s">
        <v>300</v>
      </c>
      <c r="K436" s="195" t="s">
        <v>70</v>
      </c>
      <c r="L436" s="20" t="str">
        <f ca="1">IF(OFFSET(환산공식!$ED$15,$F436,0)=1,"O","X")</f>
        <v>X</v>
      </c>
      <c r="M436" s="188">
        <f ca="1">IFERROR(OFFSET(환산공식!DJ$15,$F436,0),"")</f>
        <v>150</v>
      </c>
      <c r="N436" s="20" t="str">
        <f ca="1">IFERROR(CONCATENATE(ROUND(OFFSET(환산공식!DK$15,$F436,0),1),"%"),"")</f>
        <v>100%</v>
      </c>
      <c r="O436" s="20">
        <f ca="1">IFERROR(OFFSET(환산공식!DL$15,$F436,0),"")</f>
        <v>10</v>
      </c>
      <c r="P436" s="188" t="str">
        <f t="shared" ca="1" si="13"/>
        <v>3% 이하</v>
      </c>
      <c r="Q436" s="194">
        <f ca="1">IFERROR(ROUND(OFFSET(환산공식!$FG$15,$F436,0),3),"")</f>
        <v>0</v>
      </c>
      <c r="R436" s="194">
        <f ca="1">OFFSET('배치점수 계산기'!H$10,$D436,0)</f>
        <v>895.46500000000003</v>
      </c>
      <c r="S436" s="194">
        <f ca="1">OFFSET('배치점수 계산기'!I$10,$D436,0)</f>
        <v>892.99699999999996</v>
      </c>
      <c r="T436" s="194">
        <f ca="1">OFFSET('배치점수 계산기'!J$10,$D436,0)</f>
        <v>889.00400000000002</v>
      </c>
      <c r="U436" s="194">
        <f ca="1">OFFSET('배치점수 계산기'!K$10,$D436,0)</f>
        <v>885.53</v>
      </c>
      <c r="V436" s="194">
        <f ca="1">OFFSET('배치점수 계산기'!L$10,$D436,0)</f>
        <v>882.91099999999994</v>
      </c>
      <c r="W436" s="186" t="str">
        <f ca="1">OFFSET('배치점수 계산기'!M$10,$D436,0)</f>
        <v>표점/만점</v>
      </c>
      <c r="X436" s="184" t="str">
        <f ca="1">OFFSET('배치점수 계산기'!N$10,$D436,0)</f>
        <v>변표/만점</v>
      </c>
      <c r="Y436" s="188">
        <f ca="1">OFFSET(환산공식!FW$15,$F436,0)</f>
        <v>0.3</v>
      </c>
      <c r="Z436" s="20">
        <f ca="1">OFFSET(환산공식!FX$15,$F436,0)</f>
        <v>0.41</v>
      </c>
      <c r="AA436" s="179">
        <f ca="1">OFFSET(환산공식!FY$15,$F436,0)</f>
        <v>0.28999999999999998</v>
      </c>
      <c r="AB436" s="3"/>
      <c r="AD436">
        <f t="shared" ca="1" si="14"/>
        <v>6</v>
      </c>
      <c r="AF436" s="3"/>
      <c r="AG436" s="3"/>
      <c r="AH436" s="3"/>
    </row>
    <row r="437" spans="1:34">
      <c r="A437" s="198"/>
      <c r="B437" s="198"/>
      <c r="C437" s="198" t="s">
        <v>998</v>
      </c>
      <c r="D437" s="195">
        <v>490</v>
      </c>
      <c r="E437" s="195">
        <v>126</v>
      </c>
      <c r="F437" s="195">
        <v>126</v>
      </c>
      <c r="G437" s="239">
        <v>430</v>
      </c>
      <c r="H437" s="197" t="s">
        <v>72</v>
      </c>
      <c r="I437" s="242" t="s">
        <v>478</v>
      </c>
      <c r="J437" s="242" t="s">
        <v>11112</v>
      </c>
      <c r="K437" s="195" t="s">
        <v>70</v>
      </c>
      <c r="L437" s="20" t="str">
        <f ca="1">IF(OFFSET(환산공식!$ED$15,$F437,0)=1,"O","X")</f>
        <v>X</v>
      </c>
      <c r="M437" s="188">
        <f ca="1">IFERROR(OFFSET(환산공식!DJ$15,$F437,0),"")</f>
        <v>150</v>
      </c>
      <c r="N437" s="20" t="str">
        <f ca="1">IFERROR(CONCATENATE(ROUND(OFFSET(환산공식!DK$15,$F437,0),1),"%"),"")</f>
        <v>100%</v>
      </c>
      <c r="O437" s="20">
        <f ca="1">IFERROR(OFFSET(환산공식!DL$15,$F437,0),"")</f>
        <v>10</v>
      </c>
      <c r="P437" s="188" t="str">
        <f t="shared" ca="1" si="13"/>
        <v>3% 이하</v>
      </c>
      <c r="Q437" s="194">
        <f ca="1">IFERROR(ROUND(OFFSET(환산공식!$FG$15,$F437,0),3),"")</f>
        <v>0</v>
      </c>
      <c r="R437" s="194">
        <f ca="1">OFFSET('배치점수 계산기'!H$10,$D437,0)</f>
        <v>895.88699999999994</v>
      </c>
      <c r="S437" s="194">
        <f ca="1">OFFSET('배치점수 계산기'!I$10,$D437,0)</f>
        <v>892.37699999999995</v>
      </c>
      <c r="T437" s="194">
        <f ca="1">OFFSET('배치점수 계산기'!J$10,$D437,0)</f>
        <v>888.75199999999995</v>
      </c>
      <c r="U437" s="194">
        <f ca="1">OFFSET('배치점수 계산기'!K$10,$D437,0)</f>
        <v>885.53</v>
      </c>
      <c r="V437" s="194">
        <f ca="1">OFFSET('배치점수 계산기'!L$10,$D437,0)</f>
        <v>883.08100000000002</v>
      </c>
      <c r="W437" s="186" t="str">
        <f ca="1">OFFSET('배치점수 계산기'!M$10,$D437,0)</f>
        <v>표점/만점</v>
      </c>
      <c r="X437" s="184" t="str">
        <f ca="1">OFFSET('배치점수 계산기'!N$10,$D437,0)</f>
        <v>변표/만점</v>
      </c>
      <c r="Y437" s="188">
        <f ca="1">OFFSET(환산공식!FW$15,$F437,0)</f>
        <v>0.3</v>
      </c>
      <c r="Z437" s="20">
        <f ca="1">OFFSET(환산공식!FX$15,$F437,0)</f>
        <v>0.41</v>
      </c>
      <c r="AA437" s="179">
        <f ca="1">OFFSET(환산공식!FY$15,$F437,0)</f>
        <v>0.28999999999999998</v>
      </c>
      <c r="AB437" s="3"/>
      <c r="AD437">
        <f t="shared" ca="1" si="14"/>
        <v>6</v>
      </c>
      <c r="AF437" s="3"/>
      <c r="AG437" s="3"/>
      <c r="AH437" s="3"/>
    </row>
    <row r="438" spans="1:34">
      <c r="A438" s="198"/>
      <c r="B438" s="198"/>
      <c r="C438" s="198" t="s">
        <v>999</v>
      </c>
      <c r="D438" s="195">
        <v>491</v>
      </c>
      <c r="E438" s="195">
        <v>126</v>
      </c>
      <c r="F438" s="195">
        <v>126</v>
      </c>
      <c r="G438" s="239">
        <v>431</v>
      </c>
      <c r="H438" s="197" t="s">
        <v>72</v>
      </c>
      <c r="I438" s="242" t="s">
        <v>478</v>
      </c>
      <c r="J438" s="242" t="s">
        <v>11115</v>
      </c>
      <c r="K438" s="195" t="s">
        <v>70</v>
      </c>
      <c r="L438" s="20" t="str">
        <f ca="1">IF(OFFSET(환산공식!$ED$15,$F438,0)=1,"O","X")</f>
        <v>X</v>
      </c>
      <c r="M438" s="188">
        <f ca="1">IFERROR(OFFSET(환산공식!DJ$15,$F438,0),"")</f>
        <v>150</v>
      </c>
      <c r="N438" s="20" t="str">
        <f ca="1">IFERROR(CONCATENATE(ROUND(OFFSET(환산공식!DK$15,$F438,0),1),"%"),"")</f>
        <v>100%</v>
      </c>
      <c r="O438" s="20">
        <f ca="1">IFERROR(OFFSET(환산공식!DL$15,$F438,0),"")</f>
        <v>10</v>
      </c>
      <c r="P438" s="188" t="str">
        <f t="shared" ca="1" si="13"/>
        <v>3% 이하</v>
      </c>
      <c r="Q438" s="194">
        <f ca="1">IFERROR(ROUND(OFFSET(환산공식!$FG$15,$F438,0),3),"")</f>
        <v>0</v>
      </c>
      <c r="R438" s="194">
        <f ca="1">OFFSET('배치점수 계산기'!H$10,$D438,0)</f>
        <v>896.72799999999995</v>
      </c>
      <c r="S438" s="194">
        <f ca="1">OFFSET('배치점수 계산기'!I$10,$D438,0)</f>
        <v>892.37699999999995</v>
      </c>
      <c r="T438" s="194">
        <f ca="1">OFFSET('배치점수 계산기'!J$10,$D438,0)</f>
        <v>888.09</v>
      </c>
      <c r="U438" s="194">
        <f ca="1">OFFSET('배치점수 계산기'!K$10,$D438,0)</f>
        <v>884.31100000000004</v>
      </c>
      <c r="V438" s="194">
        <f ca="1">OFFSET('배치점수 계산기'!L$10,$D438,0)</f>
        <v>882.10400000000004</v>
      </c>
      <c r="W438" s="186" t="str">
        <f ca="1">OFFSET('배치점수 계산기'!M$10,$D438,0)</f>
        <v>표점/만점</v>
      </c>
      <c r="X438" s="184" t="str">
        <f ca="1">OFFSET('배치점수 계산기'!N$10,$D438,0)</f>
        <v>변표/만점</v>
      </c>
      <c r="Y438" s="188">
        <f ca="1">OFFSET(환산공식!FW$15,$F438,0)</f>
        <v>0.3</v>
      </c>
      <c r="Z438" s="20">
        <f ca="1">OFFSET(환산공식!FX$15,$F438,0)</f>
        <v>0.41</v>
      </c>
      <c r="AA438" s="179">
        <f ca="1">OFFSET(환산공식!FY$15,$F438,0)</f>
        <v>0.28999999999999998</v>
      </c>
      <c r="AB438" s="3"/>
      <c r="AD438">
        <f t="shared" ca="1" si="14"/>
        <v>6</v>
      </c>
      <c r="AF438" s="3"/>
      <c r="AG438" s="3"/>
      <c r="AH438" s="3"/>
    </row>
    <row r="439" spans="1:34">
      <c r="A439" s="198"/>
      <c r="B439" s="198"/>
      <c r="C439" s="198" t="s">
        <v>1000</v>
      </c>
      <c r="D439" s="195">
        <v>492</v>
      </c>
      <c r="E439" s="195">
        <v>126</v>
      </c>
      <c r="F439" s="195">
        <v>126</v>
      </c>
      <c r="G439" s="239">
        <v>432</v>
      </c>
      <c r="H439" s="197" t="s">
        <v>72</v>
      </c>
      <c r="I439" s="242" t="s">
        <v>478</v>
      </c>
      <c r="J439" s="242" t="s">
        <v>11177</v>
      </c>
      <c r="K439" s="195" t="s">
        <v>70</v>
      </c>
      <c r="L439" s="20" t="str">
        <f ca="1">IF(OFFSET(환산공식!$ED$15,$F439,0)=1,"O","X")</f>
        <v>X</v>
      </c>
      <c r="M439" s="188">
        <f ca="1">IFERROR(OFFSET(환산공식!DJ$15,$F439,0),"")</f>
        <v>150</v>
      </c>
      <c r="N439" s="20" t="str">
        <f ca="1">IFERROR(CONCATENATE(ROUND(OFFSET(환산공식!DK$15,$F439,0),1),"%"),"")</f>
        <v>100%</v>
      </c>
      <c r="O439" s="20">
        <f ca="1">IFERROR(OFFSET(환산공식!DL$15,$F439,0),"")</f>
        <v>10</v>
      </c>
      <c r="P439" s="188" t="str">
        <f t="shared" ca="1" si="13"/>
        <v>3% 이하</v>
      </c>
      <c r="Q439" s="194">
        <f ca="1">IFERROR(ROUND(OFFSET(환산공식!$FG$15,$F439,0),3),"")</f>
        <v>0</v>
      </c>
      <c r="R439" s="194">
        <f ca="1">OFFSET('배치점수 계산기'!H$10,$D439,0)</f>
        <v>894.44899999999996</v>
      </c>
      <c r="S439" s="194">
        <f ca="1">OFFSET('배치점수 계산기'!I$10,$D439,0)</f>
        <v>891.39499999999998</v>
      </c>
      <c r="T439" s="194">
        <f ca="1">OFFSET('배치점수 계산기'!J$10,$D439,0)</f>
        <v>888.09</v>
      </c>
      <c r="U439" s="194">
        <f ca="1">OFFSET('배치점수 계산기'!K$10,$D439,0)</f>
        <v>884.56299999999999</v>
      </c>
      <c r="V439" s="194">
        <f ca="1">OFFSET('배치점수 계산기'!L$10,$D439,0)</f>
        <v>882.10400000000004</v>
      </c>
      <c r="W439" s="186" t="str">
        <f ca="1">OFFSET('배치점수 계산기'!M$10,$D439,0)</f>
        <v>표점/만점</v>
      </c>
      <c r="X439" s="184" t="str">
        <f ca="1">OFFSET('배치점수 계산기'!N$10,$D439,0)</f>
        <v>변표/만점</v>
      </c>
      <c r="Y439" s="188">
        <f ca="1">OFFSET(환산공식!FW$15,$F439,0)</f>
        <v>0.3</v>
      </c>
      <c r="Z439" s="20">
        <f ca="1">OFFSET(환산공식!FX$15,$F439,0)</f>
        <v>0.41</v>
      </c>
      <c r="AA439" s="179">
        <f ca="1">OFFSET(환산공식!FY$15,$F439,0)</f>
        <v>0.28999999999999998</v>
      </c>
      <c r="AB439" s="3"/>
      <c r="AD439">
        <f t="shared" ca="1" si="14"/>
        <v>6</v>
      </c>
      <c r="AF439" s="3"/>
      <c r="AG439" s="3"/>
      <c r="AH439" s="3"/>
    </row>
    <row r="440" spans="1:34">
      <c r="A440" s="198"/>
      <c r="B440" s="198"/>
      <c r="C440" s="198" t="s">
        <v>1001</v>
      </c>
      <c r="D440" s="195">
        <v>493</v>
      </c>
      <c r="E440" s="195">
        <v>126</v>
      </c>
      <c r="F440" s="195">
        <v>126</v>
      </c>
      <c r="G440" s="239">
        <v>433</v>
      </c>
      <c r="H440" s="197" t="s">
        <v>72</v>
      </c>
      <c r="I440" s="242" t="s">
        <v>478</v>
      </c>
      <c r="J440" s="242" t="s">
        <v>7259</v>
      </c>
      <c r="K440" s="195" t="s">
        <v>70</v>
      </c>
      <c r="L440" s="20" t="str">
        <f ca="1">IF(OFFSET(환산공식!$ED$15,$F440,0)=1,"O","X")</f>
        <v>X</v>
      </c>
      <c r="M440" s="188">
        <f ca="1">IFERROR(OFFSET(환산공식!DJ$15,$F440,0),"")</f>
        <v>150</v>
      </c>
      <c r="N440" s="20" t="str">
        <f ca="1">IFERROR(CONCATENATE(ROUND(OFFSET(환산공식!DK$15,$F440,0),1),"%"),"")</f>
        <v>100%</v>
      </c>
      <c r="O440" s="20">
        <f ca="1">IFERROR(OFFSET(환산공식!DL$15,$F440,0),"")</f>
        <v>10</v>
      </c>
      <c r="P440" s="188" t="str">
        <f t="shared" ca="1" si="13"/>
        <v>3% 이하</v>
      </c>
      <c r="Q440" s="194">
        <f ca="1">IFERROR(ROUND(OFFSET(환산공식!$FG$15,$F440,0),3),"")</f>
        <v>0</v>
      </c>
      <c r="R440" s="194">
        <f ca="1">OFFSET('배치점수 계산기'!H$10,$D440,0)</f>
        <v>894.44899999999996</v>
      </c>
      <c r="S440" s="194">
        <f ca="1">OFFSET('배치점수 계산기'!I$10,$D440,0)</f>
        <v>891.53700000000003</v>
      </c>
      <c r="T440" s="194">
        <f ca="1">OFFSET('배치점수 계산기'!J$10,$D440,0)</f>
        <v>887.94799999999998</v>
      </c>
      <c r="U440" s="194">
        <f ca="1">OFFSET('배치점수 계산기'!K$10,$D440,0)</f>
        <v>884.14099999999996</v>
      </c>
      <c r="V440" s="194">
        <f ca="1">OFFSET('배치점수 계산기'!L$10,$D440,0)</f>
        <v>881.70899999999995</v>
      </c>
      <c r="W440" s="186" t="str">
        <f ca="1">OFFSET('배치점수 계산기'!M$10,$D440,0)</f>
        <v>표점/만점</v>
      </c>
      <c r="X440" s="184" t="str">
        <f ca="1">OFFSET('배치점수 계산기'!N$10,$D440,0)</f>
        <v>변표/만점</v>
      </c>
      <c r="Y440" s="188">
        <f ca="1">OFFSET(환산공식!FW$15,$F440,0)</f>
        <v>0.3</v>
      </c>
      <c r="Z440" s="20">
        <f ca="1">OFFSET(환산공식!FX$15,$F440,0)</f>
        <v>0.41</v>
      </c>
      <c r="AA440" s="179">
        <f ca="1">OFFSET(환산공식!FY$15,$F440,0)</f>
        <v>0.28999999999999998</v>
      </c>
      <c r="AB440" s="3"/>
      <c r="AD440">
        <f t="shared" ca="1" si="14"/>
        <v>6</v>
      </c>
      <c r="AF440" s="3"/>
      <c r="AG440" s="3"/>
      <c r="AH440" s="3"/>
    </row>
    <row r="441" spans="1:34">
      <c r="A441" s="198"/>
      <c r="B441" s="198"/>
      <c r="C441" s="198" t="s">
        <v>1002</v>
      </c>
      <c r="D441" s="195">
        <v>494</v>
      </c>
      <c r="E441" s="195">
        <v>127</v>
      </c>
      <c r="F441" s="195">
        <v>127</v>
      </c>
      <c r="G441" s="239">
        <v>434</v>
      </c>
      <c r="H441" s="197" t="s">
        <v>72</v>
      </c>
      <c r="I441" s="242" t="s">
        <v>478</v>
      </c>
      <c r="J441" s="242" t="s">
        <v>11214</v>
      </c>
      <c r="K441" s="195" t="s">
        <v>70</v>
      </c>
      <c r="L441" s="20" t="str">
        <f ca="1">IF(OFFSET(환산공식!$ED$15,$F441,0)=1,"O","X")</f>
        <v>X</v>
      </c>
      <c r="M441" s="188">
        <f ca="1">IFERROR(OFFSET(환산공식!DJ$15,$F441,0),"")</f>
        <v>150</v>
      </c>
      <c r="N441" s="20" t="str">
        <f ca="1">IFERROR(CONCATENATE(ROUND(OFFSET(환산공식!DK$15,$F441,0),1),"%"),"")</f>
        <v>100%</v>
      </c>
      <c r="O441" s="20">
        <f ca="1">IFERROR(OFFSET(환산공식!DL$15,$F441,0),"")</f>
        <v>10</v>
      </c>
      <c r="P441" s="188" t="str">
        <f t="shared" ca="1" si="13"/>
        <v>3% 이하</v>
      </c>
      <c r="Q441" s="194">
        <f ca="1">IFERROR(ROUND(OFFSET(환산공식!$FG$15,$F441,0),3),"")</f>
        <v>0</v>
      </c>
      <c r="R441" s="194">
        <f ca="1">OFFSET('배치점수 계산기'!H$10,$D441,0)</f>
        <v>886.30700000000002</v>
      </c>
      <c r="S441" s="194">
        <f ca="1">OFFSET('배치점수 계산기'!I$10,$D441,0)</f>
        <v>883.81399999999996</v>
      </c>
      <c r="T441" s="194">
        <f ca="1">OFFSET('배치점수 계산기'!J$10,$D441,0)</f>
        <v>880.80799999999999</v>
      </c>
      <c r="U441" s="194">
        <f ca="1">OFFSET('배치점수 계산기'!K$10,$D441,0)</f>
        <v>877.52800000000002</v>
      </c>
      <c r="V441" s="194">
        <f ca="1">OFFSET('배치점수 계산기'!L$10,$D441,0)</f>
        <v>875.13699999999994</v>
      </c>
      <c r="W441" s="186" t="str">
        <f ca="1">OFFSET('배치점수 계산기'!M$10,$D441,0)</f>
        <v>표점/만점</v>
      </c>
      <c r="X441" s="184" t="str">
        <f ca="1">OFFSET('배치점수 계산기'!N$10,$D441,0)</f>
        <v>변표/만점</v>
      </c>
      <c r="Y441" s="188">
        <f ca="1">OFFSET(환산공식!FW$15,$F441,0)</f>
        <v>0.3</v>
      </c>
      <c r="Z441" s="20">
        <f ca="1">OFFSET(환산공식!FX$15,$F441,0)</f>
        <v>0.41</v>
      </c>
      <c r="AA441" s="179">
        <f ca="1">OFFSET(환산공식!FY$15,$F441,0)</f>
        <v>0.28999999999999998</v>
      </c>
      <c r="AB441" s="3"/>
      <c r="AD441">
        <f t="shared" ca="1" si="14"/>
        <v>6</v>
      </c>
      <c r="AF441" s="3"/>
      <c r="AG441" s="3"/>
      <c r="AH441" s="3"/>
    </row>
    <row r="442" spans="1:34">
      <c r="A442" s="198"/>
      <c r="B442" s="198"/>
      <c r="C442" s="198" t="s">
        <v>1003</v>
      </c>
      <c r="D442" s="195">
        <v>495</v>
      </c>
      <c r="E442" s="195">
        <v>126</v>
      </c>
      <c r="F442" s="195">
        <v>126</v>
      </c>
      <c r="G442" s="239">
        <v>435</v>
      </c>
      <c r="H442" s="197" t="s">
        <v>72</v>
      </c>
      <c r="I442" s="242" t="s">
        <v>478</v>
      </c>
      <c r="J442" s="242" t="s">
        <v>11199</v>
      </c>
      <c r="K442" s="195" t="s">
        <v>70</v>
      </c>
      <c r="L442" s="20" t="str">
        <f ca="1">IF(OFFSET(환산공식!$ED$15,$F442,0)=1,"O","X")</f>
        <v>X</v>
      </c>
      <c r="M442" s="188">
        <f ca="1">IFERROR(OFFSET(환산공식!DJ$15,$F442,0),"")</f>
        <v>150</v>
      </c>
      <c r="N442" s="20" t="str">
        <f ca="1">IFERROR(CONCATENATE(ROUND(OFFSET(환산공식!DK$15,$F442,0),1),"%"),"")</f>
        <v>100%</v>
      </c>
      <c r="O442" s="20">
        <f ca="1">IFERROR(OFFSET(환산공식!DL$15,$F442,0),"")</f>
        <v>10</v>
      </c>
      <c r="P442" s="188" t="str">
        <f t="shared" ca="1" si="13"/>
        <v>3% 이하</v>
      </c>
      <c r="Q442" s="194">
        <f ca="1">IFERROR(ROUND(OFFSET(환산공식!$FG$15,$F442,0),3),"")</f>
        <v>0</v>
      </c>
      <c r="R442" s="194">
        <f ca="1">OFFSET('배치점수 계산기'!H$10,$D442,0)</f>
        <v>895.46500000000003</v>
      </c>
      <c r="S442" s="194">
        <f ca="1">OFFSET('배치점수 계산기'!I$10,$D442,0)</f>
        <v>890.97299999999996</v>
      </c>
      <c r="T442" s="194">
        <f ca="1">OFFSET('배치점수 계산기'!J$10,$D442,0)</f>
        <v>886.89599999999996</v>
      </c>
      <c r="U442" s="194">
        <f ca="1">OFFSET('배치점수 계산기'!K$10,$D442,0)</f>
        <v>883.22400000000005</v>
      </c>
      <c r="V442" s="194">
        <f ca="1">OFFSET('배치점수 계산기'!L$10,$D442,0)</f>
        <v>880.86300000000006</v>
      </c>
      <c r="W442" s="186" t="str">
        <f ca="1">OFFSET('배치점수 계산기'!M$10,$D442,0)</f>
        <v>표점/만점</v>
      </c>
      <c r="X442" s="184" t="str">
        <f ca="1">OFFSET('배치점수 계산기'!N$10,$D442,0)</f>
        <v>변표/만점</v>
      </c>
      <c r="Y442" s="188">
        <f ca="1">OFFSET(환산공식!FW$15,$F442,0)</f>
        <v>0.3</v>
      </c>
      <c r="Z442" s="20">
        <f ca="1">OFFSET(환산공식!FX$15,$F442,0)</f>
        <v>0.41</v>
      </c>
      <c r="AA442" s="179">
        <f ca="1">OFFSET(환산공식!FY$15,$F442,0)</f>
        <v>0.28999999999999998</v>
      </c>
      <c r="AB442" s="3"/>
      <c r="AD442">
        <f t="shared" ca="1" si="14"/>
        <v>6</v>
      </c>
      <c r="AF442" s="3"/>
      <c r="AG442" s="3"/>
      <c r="AH442" s="3"/>
    </row>
    <row r="443" spans="1:34">
      <c r="A443" s="198"/>
      <c r="B443" s="198"/>
      <c r="C443" s="198" t="s">
        <v>1004</v>
      </c>
      <c r="D443" s="195">
        <v>496</v>
      </c>
      <c r="E443" s="195">
        <v>126</v>
      </c>
      <c r="F443" s="195">
        <v>126</v>
      </c>
      <c r="G443" s="239">
        <v>436</v>
      </c>
      <c r="H443" s="197" t="s">
        <v>72</v>
      </c>
      <c r="I443" s="242" t="s">
        <v>478</v>
      </c>
      <c r="J443" s="242" t="s">
        <v>11169</v>
      </c>
      <c r="K443" s="195" t="s">
        <v>70</v>
      </c>
      <c r="L443" s="20" t="str">
        <f ca="1">IF(OFFSET(환산공식!$ED$15,$F443,0)=1,"O","X")</f>
        <v>X</v>
      </c>
      <c r="M443" s="188">
        <f ca="1">IFERROR(OFFSET(환산공식!DJ$15,$F443,0),"")</f>
        <v>150</v>
      </c>
      <c r="N443" s="20" t="str">
        <f ca="1">IFERROR(CONCATENATE(ROUND(OFFSET(환산공식!DK$15,$F443,0),1),"%"),"")</f>
        <v>100%</v>
      </c>
      <c r="O443" s="20">
        <f ca="1">IFERROR(OFFSET(환산공식!DL$15,$F443,0),"")</f>
        <v>10</v>
      </c>
      <c r="P443" s="188" t="str">
        <f t="shared" ca="1" si="13"/>
        <v>3% 이하</v>
      </c>
      <c r="Q443" s="194">
        <f ca="1">IFERROR(ROUND(OFFSET(환산공식!$FG$15,$F443,0),3),"")</f>
        <v>0</v>
      </c>
      <c r="R443" s="194">
        <f ca="1">OFFSET('배치점수 계산기'!H$10,$D443,0)</f>
        <v>894.74900000000002</v>
      </c>
      <c r="S443" s="194">
        <f ca="1">OFFSET('배치점수 계산기'!I$10,$D443,0)</f>
        <v>890.803</v>
      </c>
      <c r="T443" s="194">
        <f ca="1">OFFSET('배치점수 계산기'!J$10,$D443,0)</f>
        <v>886.71900000000005</v>
      </c>
      <c r="U443" s="194">
        <f ca="1">OFFSET('배치점수 계산기'!K$10,$D443,0)</f>
        <v>882.82799999999997</v>
      </c>
      <c r="V443" s="194">
        <f ca="1">OFFSET('배치점수 계산기'!L$10,$D443,0)</f>
        <v>880.86300000000006</v>
      </c>
      <c r="W443" s="186" t="str">
        <f ca="1">OFFSET('배치점수 계산기'!M$10,$D443,0)</f>
        <v>표점/만점</v>
      </c>
      <c r="X443" s="184" t="str">
        <f ca="1">OFFSET('배치점수 계산기'!N$10,$D443,0)</f>
        <v>변표/만점</v>
      </c>
      <c r="Y443" s="188">
        <f ca="1">OFFSET(환산공식!FW$15,$F443,0)</f>
        <v>0.3</v>
      </c>
      <c r="Z443" s="20">
        <f ca="1">OFFSET(환산공식!FX$15,$F443,0)</f>
        <v>0.41</v>
      </c>
      <c r="AA443" s="179">
        <f ca="1">OFFSET(환산공식!FY$15,$F443,0)</f>
        <v>0.28999999999999998</v>
      </c>
      <c r="AB443" s="3"/>
      <c r="AD443">
        <f t="shared" ca="1" si="14"/>
        <v>6</v>
      </c>
      <c r="AF443" s="3"/>
      <c r="AG443" s="3"/>
      <c r="AH443" s="3"/>
    </row>
    <row r="444" spans="1:34">
      <c r="A444" s="198"/>
      <c r="B444" s="198"/>
      <c r="C444" s="198" t="s">
        <v>1005</v>
      </c>
      <c r="D444" s="195">
        <v>497</v>
      </c>
      <c r="E444" s="195">
        <v>127</v>
      </c>
      <c r="F444" s="195">
        <v>127</v>
      </c>
      <c r="G444" s="239">
        <v>437</v>
      </c>
      <c r="H444" s="197" t="s">
        <v>72</v>
      </c>
      <c r="I444" s="242" t="s">
        <v>478</v>
      </c>
      <c r="J444" s="242" t="s">
        <v>84</v>
      </c>
      <c r="K444" s="195" t="s">
        <v>70</v>
      </c>
      <c r="L444" s="20" t="str">
        <f ca="1">IF(OFFSET(환산공식!$ED$15,$F444,0)=1,"O","X")</f>
        <v>X</v>
      </c>
      <c r="M444" s="188">
        <f ca="1">IFERROR(OFFSET(환산공식!DJ$15,$F444,0),"")</f>
        <v>150</v>
      </c>
      <c r="N444" s="20" t="str">
        <f ca="1">IFERROR(CONCATENATE(ROUND(OFFSET(환산공식!DK$15,$F444,0),1),"%"),"")</f>
        <v>100%</v>
      </c>
      <c r="O444" s="20">
        <f ca="1">IFERROR(OFFSET(환산공식!DL$15,$F444,0),"")</f>
        <v>10</v>
      </c>
      <c r="P444" s="188" t="str">
        <f t="shared" ca="1" si="13"/>
        <v>3% 이하</v>
      </c>
      <c r="Q444" s="194">
        <f ca="1">IFERROR(ROUND(OFFSET(환산공식!$FG$15,$F444,0),3),"")</f>
        <v>0</v>
      </c>
      <c r="R444" s="194">
        <f ca="1">OFFSET('배치점수 계산기'!H$10,$D444,0)</f>
        <v>887.13800000000003</v>
      </c>
      <c r="S444" s="194">
        <f ca="1">OFFSET('배치점수 계산기'!I$10,$D444,0)</f>
        <v>883.70500000000004</v>
      </c>
      <c r="T444" s="194">
        <f ca="1">OFFSET('배치점수 계산기'!J$10,$D444,0)</f>
        <v>880.13900000000001</v>
      </c>
      <c r="U444" s="194">
        <f ca="1">OFFSET('배치점수 계산기'!K$10,$D444,0)</f>
        <v>876.09199999999998</v>
      </c>
      <c r="V444" s="194">
        <f ca="1">OFFSET('배치점수 계산기'!L$10,$D444,0)</f>
        <v>873.57299999999998</v>
      </c>
      <c r="W444" s="186" t="str">
        <f ca="1">OFFSET('배치점수 계산기'!M$10,$D444,0)</f>
        <v>표점/만점</v>
      </c>
      <c r="X444" s="184" t="str">
        <f ca="1">OFFSET('배치점수 계산기'!N$10,$D444,0)</f>
        <v>변표/만점</v>
      </c>
      <c r="Y444" s="188">
        <f ca="1">OFFSET(환산공식!FW$15,$F444,0)</f>
        <v>0.3</v>
      </c>
      <c r="Z444" s="20">
        <f ca="1">OFFSET(환산공식!FX$15,$F444,0)</f>
        <v>0.41</v>
      </c>
      <c r="AA444" s="179">
        <f ca="1">OFFSET(환산공식!FY$15,$F444,0)</f>
        <v>0.28999999999999998</v>
      </c>
      <c r="AB444" s="3"/>
      <c r="AD444">
        <f t="shared" ca="1" si="14"/>
        <v>6</v>
      </c>
      <c r="AF444" s="3"/>
      <c r="AG444" s="3"/>
      <c r="AH444" s="3"/>
    </row>
    <row r="445" spans="1:34">
      <c r="A445" s="198"/>
      <c r="B445" s="198"/>
      <c r="C445" s="198" t="s">
        <v>1006</v>
      </c>
      <c r="D445" s="195">
        <v>498</v>
      </c>
      <c r="E445" s="195">
        <v>127</v>
      </c>
      <c r="F445" s="195">
        <v>127</v>
      </c>
      <c r="G445" s="239">
        <v>438</v>
      </c>
      <c r="H445" s="197" t="s">
        <v>72</v>
      </c>
      <c r="I445" s="242" t="s">
        <v>478</v>
      </c>
      <c r="J445" s="242" t="s">
        <v>11230</v>
      </c>
      <c r="K445" s="195" t="s">
        <v>70</v>
      </c>
      <c r="L445" s="20" t="str">
        <f ca="1">IF(OFFSET(환산공식!$ED$15,$F445,0)=1,"O","X")</f>
        <v>X</v>
      </c>
      <c r="M445" s="188">
        <f ca="1">IFERROR(OFFSET(환산공식!DJ$15,$F445,0),"")</f>
        <v>150</v>
      </c>
      <c r="N445" s="20" t="str">
        <f ca="1">IFERROR(CONCATENATE(ROUND(OFFSET(환산공식!DK$15,$F445,0),1),"%"),"")</f>
        <v>100%</v>
      </c>
      <c r="O445" s="20">
        <f ca="1">IFERROR(OFFSET(환산공식!DL$15,$F445,0),"")</f>
        <v>10</v>
      </c>
      <c r="P445" s="188" t="str">
        <f t="shared" ca="1" si="13"/>
        <v>3% 이하</v>
      </c>
      <c r="Q445" s="194">
        <f ca="1">IFERROR(ROUND(OFFSET(환산공식!$FG$15,$F445,0),3),"")</f>
        <v>0</v>
      </c>
      <c r="R445" s="194">
        <f ca="1">OFFSET('배치점수 계산기'!H$10,$D445,0)</f>
        <v>887.51800000000003</v>
      </c>
      <c r="S445" s="194">
        <f ca="1">OFFSET('배치점수 계산기'!I$10,$D445,0)</f>
        <v>883.81399999999996</v>
      </c>
      <c r="T445" s="194">
        <f ca="1">OFFSET('배치점수 계산기'!J$10,$D445,0)</f>
        <v>880.13900000000001</v>
      </c>
      <c r="U445" s="194">
        <f ca="1">OFFSET('배치점수 계산기'!K$10,$D445,0)</f>
        <v>876.09199999999998</v>
      </c>
      <c r="V445" s="194">
        <f ca="1">OFFSET('배치점수 계산기'!L$10,$D445,0)</f>
        <v>873.57299999999998</v>
      </c>
      <c r="W445" s="186" t="str">
        <f ca="1">OFFSET('배치점수 계산기'!M$10,$D445,0)</f>
        <v>표점/만점</v>
      </c>
      <c r="X445" s="184" t="str">
        <f ca="1">OFFSET('배치점수 계산기'!N$10,$D445,0)</f>
        <v>변표/만점</v>
      </c>
      <c r="Y445" s="188">
        <f ca="1">OFFSET(환산공식!FW$15,$F445,0)</f>
        <v>0.3</v>
      </c>
      <c r="Z445" s="20">
        <f ca="1">OFFSET(환산공식!FX$15,$F445,0)</f>
        <v>0.41</v>
      </c>
      <c r="AA445" s="179">
        <f ca="1">OFFSET(환산공식!FY$15,$F445,0)</f>
        <v>0.28999999999999998</v>
      </c>
      <c r="AB445" s="3"/>
      <c r="AD445">
        <f t="shared" ca="1" si="14"/>
        <v>6</v>
      </c>
      <c r="AF445" s="3"/>
      <c r="AG445" s="3"/>
      <c r="AH445" s="3"/>
    </row>
    <row r="446" spans="1:34">
      <c r="A446" s="198"/>
      <c r="B446" s="198"/>
      <c r="C446" s="198" t="s">
        <v>1007</v>
      </c>
      <c r="D446" s="195">
        <v>499</v>
      </c>
      <c r="E446" s="195">
        <v>126</v>
      </c>
      <c r="F446" s="195">
        <v>126</v>
      </c>
      <c r="G446" s="239">
        <v>439</v>
      </c>
      <c r="H446" s="197" t="s">
        <v>72</v>
      </c>
      <c r="I446" s="242" t="s">
        <v>478</v>
      </c>
      <c r="J446" s="242" t="s">
        <v>11254</v>
      </c>
      <c r="K446" s="195" t="s">
        <v>70</v>
      </c>
      <c r="L446" s="20" t="str">
        <f ca="1">IF(OFFSET(환산공식!$ED$15,$F446,0)=1,"O","X")</f>
        <v>X</v>
      </c>
      <c r="M446" s="188">
        <f ca="1">IFERROR(OFFSET(환산공식!DJ$15,$F446,0),"")</f>
        <v>150</v>
      </c>
      <c r="N446" s="20" t="str">
        <f ca="1">IFERROR(CONCATENATE(ROUND(OFFSET(환산공식!DK$15,$F446,0),1),"%"),"")</f>
        <v>100%</v>
      </c>
      <c r="O446" s="20">
        <f ca="1">IFERROR(OFFSET(환산공식!DL$15,$F446,0),"")</f>
        <v>10</v>
      </c>
      <c r="P446" s="188" t="str">
        <f t="shared" ca="1" si="13"/>
        <v>3% 이하</v>
      </c>
      <c r="Q446" s="194">
        <f ca="1">IFERROR(ROUND(OFFSET(환산공식!$FG$15,$F446,0),3),"")</f>
        <v>0</v>
      </c>
      <c r="R446" s="194">
        <f ca="1">OFFSET('배치점수 계산기'!H$10,$D446,0)</f>
        <v>893.63699999999994</v>
      </c>
      <c r="S446" s="194">
        <f ca="1">OFFSET('배치점수 계산기'!I$10,$D446,0)</f>
        <v>889.851</v>
      </c>
      <c r="T446" s="194">
        <f ca="1">OFFSET('배치점수 계산기'!J$10,$D446,0)</f>
        <v>885.81600000000003</v>
      </c>
      <c r="U446" s="194">
        <f ca="1">OFFSET('배치점수 계산기'!K$10,$D446,0)</f>
        <v>881.70899999999995</v>
      </c>
      <c r="V446" s="194">
        <f ca="1">OFFSET('배치점수 계산기'!L$10,$D446,0)</f>
        <v>879.70299999999997</v>
      </c>
      <c r="W446" s="186" t="str">
        <f ca="1">OFFSET('배치점수 계산기'!M$10,$D446,0)</f>
        <v>표점/만점</v>
      </c>
      <c r="X446" s="184" t="str">
        <f ca="1">OFFSET('배치점수 계산기'!N$10,$D446,0)</f>
        <v>변표/만점</v>
      </c>
      <c r="Y446" s="188">
        <f ca="1">OFFSET(환산공식!FW$15,$F446,0)</f>
        <v>0.3</v>
      </c>
      <c r="Z446" s="20">
        <f ca="1">OFFSET(환산공식!FX$15,$F446,0)</f>
        <v>0.41</v>
      </c>
      <c r="AA446" s="179">
        <f ca="1">OFFSET(환산공식!FY$15,$F446,0)</f>
        <v>0.28999999999999998</v>
      </c>
      <c r="AB446" s="3"/>
      <c r="AD446">
        <f t="shared" ca="1" si="14"/>
        <v>6</v>
      </c>
      <c r="AF446" s="3"/>
      <c r="AG446" s="3"/>
      <c r="AH446" s="3"/>
    </row>
    <row r="447" spans="1:34">
      <c r="A447" s="198"/>
      <c r="B447" s="198"/>
      <c r="C447" s="198" t="s">
        <v>1008</v>
      </c>
      <c r="D447" s="195">
        <v>500</v>
      </c>
      <c r="E447" s="195">
        <v>127</v>
      </c>
      <c r="F447" s="195">
        <v>127</v>
      </c>
      <c r="G447" s="239">
        <v>440</v>
      </c>
      <c r="H447" s="197" t="s">
        <v>72</v>
      </c>
      <c r="I447" s="242" t="s">
        <v>478</v>
      </c>
      <c r="J447" s="242" t="s">
        <v>69</v>
      </c>
      <c r="K447" s="195" t="s">
        <v>70</v>
      </c>
      <c r="L447" s="20" t="str">
        <f ca="1">IF(OFFSET(환산공식!$ED$15,$F447,0)=1,"O","X")</f>
        <v>X</v>
      </c>
      <c r="M447" s="188">
        <f ca="1">IFERROR(OFFSET(환산공식!DJ$15,$F447,0),"")</f>
        <v>150</v>
      </c>
      <c r="N447" s="20" t="str">
        <f ca="1">IFERROR(CONCATENATE(ROUND(OFFSET(환산공식!DK$15,$F447,0),1),"%"),"")</f>
        <v>100%</v>
      </c>
      <c r="O447" s="20">
        <f ca="1">IFERROR(OFFSET(환산공식!DL$15,$F447,0),"")</f>
        <v>10</v>
      </c>
      <c r="P447" s="188" t="str">
        <f t="shared" ca="1" si="13"/>
        <v>3% 이하</v>
      </c>
      <c r="Q447" s="194">
        <f ca="1">IFERROR(ROUND(OFFSET(환산공식!$FG$15,$F447,0),3),"")</f>
        <v>0</v>
      </c>
      <c r="R447" s="194">
        <f ca="1">OFFSET('배치점수 계산기'!H$10,$D447,0)</f>
        <v>886.66800000000001</v>
      </c>
      <c r="S447" s="194">
        <f ca="1">OFFSET('배치점수 계산기'!I$10,$D447,0)</f>
        <v>882.91</v>
      </c>
      <c r="T447" s="194">
        <f ca="1">OFFSET('배치점수 계산기'!J$10,$D447,0)</f>
        <v>879.11800000000005</v>
      </c>
      <c r="U447" s="194">
        <f ca="1">OFFSET('배치점수 계산기'!K$10,$D447,0)</f>
        <v>874.82399999999996</v>
      </c>
      <c r="V447" s="194">
        <f ca="1">OFFSET('배치점수 계산기'!L$10,$D447,0)</f>
        <v>872.82299999999998</v>
      </c>
      <c r="W447" s="186" t="str">
        <f ca="1">OFFSET('배치점수 계산기'!M$10,$D447,0)</f>
        <v>표점/만점</v>
      </c>
      <c r="X447" s="184" t="str">
        <f ca="1">OFFSET('배치점수 계산기'!N$10,$D447,0)</f>
        <v>변표/만점</v>
      </c>
      <c r="Y447" s="188">
        <f ca="1">OFFSET(환산공식!FW$15,$F447,0)</f>
        <v>0.3</v>
      </c>
      <c r="Z447" s="20">
        <f ca="1">OFFSET(환산공식!FX$15,$F447,0)</f>
        <v>0.41</v>
      </c>
      <c r="AA447" s="179">
        <f ca="1">OFFSET(환산공식!FY$15,$F447,0)</f>
        <v>0.28999999999999998</v>
      </c>
      <c r="AB447" s="3"/>
      <c r="AD447">
        <f t="shared" ca="1" si="14"/>
        <v>6</v>
      </c>
      <c r="AF447" s="3"/>
      <c r="AG447" s="3"/>
      <c r="AH447" s="3"/>
    </row>
    <row r="448" spans="1:34">
      <c r="A448" s="198"/>
      <c r="B448" s="198"/>
      <c r="C448" s="198" t="s">
        <v>1009</v>
      </c>
      <c r="D448" s="195">
        <v>501</v>
      </c>
      <c r="E448" s="195">
        <v>126</v>
      </c>
      <c r="F448" s="195">
        <v>126</v>
      </c>
      <c r="G448" s="239">
        <v>441</v>
      </c>
      <c r="H448" s="197" t="s">
        <v>72</v>
      </c>
      <c r="I448" s="242" t="s">
        <v>478</v>
      </c>
      <c r="J448" s="242" t="s">
        <v>7258</v>
      </c>
      <c r="K448" s="195" t="s">
        <v>70</v>
      </c>
      <c r="L448" s="20" t="str">
        <f ca="1">IF(OFFSET(환산공식!$ED$15,$F448,0)=1,"O","X")</f>
        <v>X</v>
      </c>
      <c r="M448" s="188">
        <f ca="1">IFERROR(OFFSET(환산공식!DJ$15,$F448,0),"")</f>
        <v>150</v>
      </c>
      <c r="N448" s="20" t="str">
        <f ca="1">IFERROR(CONCATENATE(ROUND(OFFSET(환산공식!DK$15,$F448,0),1),"%"),"")</f>
        <v>100%</v>
      </c>
      <c r="O448" s="20">
        <f ca="1">IFERROR(OFFSET(환산공식!DL$15,$F448,0),"")</f>
        <v>10</v>
      </c>
      <c r="P448" s="188" t="str">
        <f t="shared" ca="1" si="13"/>
        <v>3% 이하</v>
      </c>
      <c r="Q448" s="194">
        <f ca="1">IFERROR(ROUND(OFFSET(환산공식!$FG$15,$F448,0),3),"")</f>
        <v>0</v>
      </c>
      <c r="R448" s="194">
        <f ca="1">OFFSET('배치점수 계산기'!H$10,$D448,0)</f>
        <v>891.53700000000003</v>
      </c>
      <c r="S448" s="194">
        <f ca="1">OFFSET('배치점수 계산기'!I$10,$D448,0)</f>
        <v>888.40300000000002</v>
      </c>
      <c r="T448" s="194">
        <f ca="1">OFFSET('배치점수 계산기'!J$10,$D448,0)</f>
        <v>885.19600000000003</v>
      </c>
      <c r="U448" s="194">
        <f ca="1">OFFSET('배치점수 계산기'!K$10,$D448,0)</f>
        <v>881.31899999999996</v>
      </c>
      <c r="V448" s="194">
        <f ca="1">OFFSET('배치점수 계산기'!L$10,$D448,0)</f>
        <v>879.12300000000005</v>
      </c>
      <c r="W448" s="186" t="str">
        <f ca="1">OFFSET('배치점수 계산기'!M$10,$D448,0)</f>
        <v>표점/만점</v>
      </c>
      <c r="X448" s="184" t="str">
        <f ca="1">OFFSET('배치점수 계산기'!N$10,$D448,0)</f>
        <v>변표/만점</v>
      </c>
      <c r="Y448" s="188">
        <f ca="1">OFFSET(환산공식!FW$15,$F448,0)</f>
        <v>0.3</v>
      </c>
      <c r="Z448" s="20">
        <f ca="1">OFFSET(환산공식!FX$15,$F448,0)</f>
        <v>0.41</v>
      </c>
      <c r="AA448" s="179">
        <f ca="1">OFFSET(환산공식!FY$15,$F448,0)</f>
        <v>0.28999999999999998</v>
      </c>
      <c r="AB448" s="3"/>
      <c r="AD448">
        <f t="shared" ca="1" si="14"/>
        <v>6</v>
      </c>
      <c r="AF448" s="3"/>
      <c r="AG448" s="3"/>
      <c r="AH448" s="3"/>
    </row>
    <row r="449" spans="1:34">
      <c r="A449" s="198"/>
      <c r="B449" s="198"/>
      <c r="C449" s="198" t="s">
        <v>1010</v>
      </c>
      <c r="D449" s="195">
        <v>502</v>
      </c>
      <c r="E449" s="195">
        <v>126</v>
      </c>
      <c r="F449" s="195">
        <v>126</v>
      </c>
      <c r="G449" s="239">
        <v>442</v>
      </c>
      <c r="H449" s="197" t="s">
        <v>72</v>
      </c>
      <c r="I449" s="242" t="s">
        <v>478</v>
      </c>
      <c r="J449" s="242" t="s">
        <v>7257</v>
      </c>
      <c r="K449" s="195" t="s">
        <v>70</v>
      </c>
      <c r="L449" s="20" t="str">
        <f ca="1">IF(OFFSET(환산공식!$ED$15,$F449,0)=1,"O","X")</f>
        <v>X</v>
      </c>
      <c r="M449" s="188">
        <f ca="1">IFERROR(OFFSET(환산공식!DJ$15,$F449,0),"")</f>
        <v>150</v>
      </c>
      <c r="N449" s="20" t="str">
        <f ca="1">IFERROR(CONCATENATE(ROUND(OFFSET(환산공식!DK$15,$F449,0),1),"%"),"")</f>
        <v>100%</v>
      </c>
      <c r="O449" s="20">
        <f ca="1">IFERROR(OFFSET(환산공식!DL$15,$F449,0),"")</f>
        <v>10</v>
      </c>
      <c r="P449" s="188" t="str">
        <f t="shared" ca="1" si="13"/>
        <v>3% 이하</v>
      </c>
      <c r="Q449" s="194">
        <f ca="1">IFERROR(ROUND(OFFSET(환산공식!$FG$15,$F449,0),3),"")</f>
        <v>0</v>
      </c>
      <c r="R449" s="194">
        <f ca="1">OFFSET('배치점수 계산기'!H$10,$D449,0)</f>
        <v>890.10299999999995</v>
      </c>
      <c r="S449" s="194">
        <f ca="1">OFFSET('배치점수 계산기'!I$10,$D449,0)</f>
        <v>887.94799999999998</v>
      </c>
      <c r="T449" s="194">
        <f ca="1">OFFSET('배치점수 계산기'!J$10,$D449,0)</f>
        <v>885.02599999999995</v>
      </c>
      <c r="U449" s="194">
        <f ca="1">OFFSET('배치점수 계산기'!K$10,$D449,0)</f>
        <v>881.17600000000004</v>
      </c>
      <c r="V449" s="194">
        <f ca="1">OFFSET('배치점수 계산기'!L$10,$D449,0)</f>
        <v>879.12300000000005</v>
      </c>
      <c r="W449" s="186" t="str">
        <f ca="1">OFFSET('배치점수 계산기'!M$10,$D449,0)</f>
        <v>표점/만점</v>
      </c>
      <c r="X449" s="184" t="str">
        <f ca="1">OFFSET('배치점수 계산기'!N$10,$D449,0)</f>
        <v>변표/만점</v>
      </c>
      <c r="Y449" s="188">
        <f ca="1">OFFSET(환산공식!FW$15,$F449,0)</f>
        <v>0.3</v>
      </c>
      <c r="Z449" s="20">
        <f ca="1">OFFSET(환산공식!FX$15,$F449,0)</f>
        <v>0.41</v>
      </c>
      <c r="AA449" s="179">
        <f ca="1">OFFSET(환산공식!FY$15,$F449,0)</f>
        <v>0.28999999999999998</v>
      </c>
      <c r="AB449" s="3"/>
      <c r="AD449">
        <f t="shared" ca="1" si="14"/>
        <v>6</v>
      </c>
      <c r="AF449" s="3"/>
      <c r="AG449" s="3"/>
      <c r="AH449" s="3"/>
    </row>
    <row r="450" spans="1:34">
      <c r="A450" s="198"/>
      <c r="B450" s="198"/>
      <c r="C450" s="198" t="s">
        <v>1011</v>
      </c>
      <c r="D450" s="195">
        <v>503</v>
      </c>
      <c r="E450" s="195">
        <v>127</v>
      </c>
      <c r="F450" s="195">
        <v>127</v>
      </c>
      <c r="G450" s="239">
        <v>443</v>
      </c>
      <c r="H450" s="197" t="s">
        <v>72</v>
      </c>
      <c r="I450" s="242" t="s">
        <v>478</v>
      </c>
      <c r="J450" s="242" t="s">
        <v>16610</v>
      </c>
      <c r="K450" s="195" t="s">
        <v>70</v>
      </c>
      <c r="L450" s="20" t="str">
        <f ca="1">IF(OFFSET(환산공식!$ED$15,$F450,0)=1,"O","X")</f>
        <v>X</v>
      </c>
      <c r="M450" s="188">
        <f ca="1">IFERROR(OFFSET(환산공식!DJ$15,$F450,0),"")</f>
        <v>150</v>
      </c>
      <c r="N450" s="20" t="str">
        <f ca="1">IFERROR(CONCATENATE(ROUND(OFFSET(환산공식!DK$15,$F450,0),1),"%"),"")</f>
        <v>100%</v>
      </c>
      <c r="O450" s="20">
        <f ca="1">IFERROR(OFFSET(환산공식!DL$15,$F450,0),"")</f>
        <v>10</v>
      </c>
      <c r="P450" s="188" t="str">
        <f t="shared" ca="1" si="13"/>
        <v>3% 이하</v>
      </c>
      <c r="Q450" s="194">
        <f ca="1">IFERROR(ROUND(OFFSET(환산공식!$FG$15,$F450,0),3),"")</f>
        <v>0</v>
      </c>
      <c r="R450" s="194">
        <f ca="1">OFFSET('배치점수 계산기'!H$10,$D450,0)</f>
        <v>883.70500000000004</v>
      </c>
      <c r="S450" s="194">
        <f ca="1">OFFSET('배치점수 계산기'!I$10,$D450,0)</f>
        <v>881.23</v>
      </c>
      <c r="T450" s="194">
        <f ca="1">OFFSET('배치점수 계산기'!J$10,$D450,0)</f>
        <v>878.79</v>
      </c>
      <c r="U450" s="194">
        <f ca="1">OFFSET('배치점수 계산기'!K$10,$D450,0)</f>
        <v>875.13699999999994</v>
      </c>
      <c r="V450" s="194">
        <f ca="1">OFFSET('배치점수 계산기'!L$10,$D450,0)</f>
        <v>873.15099999999995</v>
      </c>
      <c r="W450" s="186" t="str">
        <f ca="1">OFFSET('배치점수 계산기'!M$10,$D450,0)</f>
        <v>표점/만점</v>
      </c>
      <c r="X450" s="184" t="str">
        <f ca="1">OFFSET('배치점수 계산기'!N$10,$D450,0)</f>
        <v>변표/만점</v>
      </c>
      <c r="Y450" s="188">
        <f ca="1">OFFSET(환산공식!FW$15,$F450,0)</f>
        <v>0.3</v>
      </c>
      <c r="Z450" s="20">
        <f ca="1">OFFSET(환산공식!FX$15,$F450,0)</f>
        <v>0.41</v>
      </c>
      <c r="AA450" s="179">
        <f ca="1">OFFSET(환산공식!FY$15,$F450,0)</f>
        <v>0.28999999999999998</v>
      </c>
      <c r="AB450" s="3"/>
      <c r="AD450">
        <f t="shared" ca="1" si="14"/>
        <v>6</v>
      </c>
      <c r="AF450" s="3"/>
      <c r="AG450" s="3"/>
      <c r="AH450" s="3"/>
    </row>
    <row r="451" spans="1:34">
      <c r="A451" s="198"/>
      <c r="B451" s="198"/>
      <c r="C451" s="198" t="s">
        <v>1012</v>
      </c>
      <c r="D451" s="195">
        <v>504</v>
      </c>
      <c r="E451" s="195">
        <v>127</v>
      </c>
      <c r="F451" s="195">
        <v>127</v>
      </c>
      <c r="G451" s="239">
        <v>444</v>
      </c>
      <c r="H451" s="197" t="s">
        <v>72</v>
      </c>
      <c r="I451" s="242" t="s">
        <v>478</v>
      </c>
      <c r="J451" s="242" t="s">
        <v>68</v>
      </c>
      <c r="K451" s="195" t="s">
        <v>70</v>
      </c>
      <c r="L451" s="20" t="str">
        <f ca="1">IF(OFFSET(환산공식!$ED$15,$F451,0)=1,"O","X")</f>
        <v>X</v>
      </c>
      <c r="M451" s="188">
        <f ca="1">IFERROR(OFFSET(환산공식!DJ$15,$F451,0),"")</f>
        <v>150</v>
      </c>
      <c r="N451" s="20" t="str">
        <f ca="1">IFERROR(CONCATENATE(ROUND(OFFSET(환산공식!DK$15,$F451,0),1),"%"),"")</f>
        <v>100%</v>
      </c>
      <c r="O451" s="20">
        <f ca="1">IFERROR(OFFSET(환산공식!DL$15,$F451,0),"")</f>
        <v>10</v>
      </c>
      <c r="P451" s="188" t="str">
        <f t="shared" ca="1" si="13"/>
        <v>3% 이하</v>
      </c>
      <c r="Q451" s="194">
        <f ca="1">IFERROR(ROUND(OFFSET(환산공식!$FG$15,$F451,0),3),"")</f>
        <v>0</v>
      </c>
      <c r="R451" s="194">
        <f ca="1">OFFSET('배치점수 계산기'!H$10,$D451,0)</f>
        <v>886.05499999999995</v>
      </c>
      <c r="S451" s="194">
        <f ca="1">OFFSET('배치점수 계산기'!I$10,$D451,0)</f>
        <v>882.47299999999996</v>
      </c>
      <c r="T451" s="194">
        <f ca="1">OFFSET('배치점수 계산기'!J$10,$D451,0)</f>
        <v>878.79</v>
      </c>
      <c r="U451" s="194">
        <f ca="1">OFFSET('배치점수 계산기'!K$10,$D451,0)</f>
        <v>874.68100000000004</v>
      </c>
      <c r="V451" s="194">
        <f ca="1">OFFSET('배치점수 계산기'!L$10,$D451,0)</f>
        <v>872.18700000000001</v>
      </c>
      <c r="W451" s="186" t="str">
        <f ca="1">OFFSET('배치점수 계산기'!M$10,$D451,0)</f>
        <v>표점/만점</v>
      </c>
      <c r="X451" s="184" t="str">
        <f ca="1">OFFSET('배치점수 계산기'!N$10,$D451,0)</f>
        <v>변표/만점</v>
      </c>
      <c r="Y451" s="188">
        <f ca="1">OFFSET(환산공식!FW$15,$F451,0)</f>
        <v>0.3</v>
      </c>
      <c r="Z451" s="20">
        <f ca="1">OFFSET(환산공식!FX$15,$F451,0)</f>
        <v>0.41</v>
      </c>
      <c r="AA451" s="179">
        <f ca="1">OFFSET(환산공식!FY$15,$F451,0)</f>
        <v>0.28999999999999998</v>
      </c>
      <c r="AB451" s="3"/>
      <c r="AD451">
        <f t="shared" ca="1" si="14"/>
        <v>6</v>
      </c>
      <c r="AF451" s="3"/>
      <c r="AG451" s="3"/>
      <c r="AH451" s="3"/>
    </row>
    <row r="452" spans="1:34">
      <c r="A452" s="198"/>
      <c r="B452" s="198"/>
      <c r="C452" s="198" t="s">
        <v>1013</v>
      </c>
      <c r="D452" s="195">
        <v>505</v>
      </c>
      <c r="E452" s="195">
        <v>126</v>
      </c>
      <c r="F452" s="195">
        <v>126</v>
      </c>
      <c r="G452" s="239">
        <v>445</v>
      </c>
      <c r="H452" s="197" t="s">
        <v>72</v>
      </c>
      <c r="I452" s="242" t="s">
        <v>478</v>
      </c>
      <c r="J452" s="242" t="s">
        <v>11328</v>
      </c>
      <c r="K452" s="195" t="s">
        <v>70</v>
      </c>
      <c r="L452" s="20" t="str">
        <f ca="1">IF(OFFSET(환산공식!$ED$15,$F452,0)=1,"O","X")</f>
        <v>X</v>
      </c>
      <c r="M452" s="188">
        <f ca="1">IFERROR(OFFSET(환산공식!DJ$15,$F452,0),"")</f>
        <v>150</v>
      </c>
      <c r="N452" s="20" t="str">
        <f ca="1">IFERROR(CONCATENATE(ROUND(OFFSET(환산공식!DK$15,$F452,0),1),"%"),"")</f>
        <v>100%</v>
      </c>
      <c r="O452" s="20">
        <f ca="1">IFERROR(OFFSET(환산공식!DL$15,$F452,0),"")</f>
        <v>10</v>
      </c>
      <c r="P452" s="188" t="str">
        <f t="shared" ca="1" si="13"/>
        <v>3% 이하</v>
      </c>
      <c r="Q452" s="194">
        <f ca="1">IFERROR(ROUND(OFFSET(환산공식!$FG$15,$F452,0),3),"")</f>
        <v>0</v>
      </c>
      <c r="R452" s="194">
        <f ca="1">OFFSET('배치점수 계산기'!H$10,$D452,0)</f>
        <v>892.99699999999996</v>
      </c>
      <c r="S452" s="194">
        <f ca="1">OFFSET('배치점수 계산기'!I$10,$D452,0)</f>
        <v>888.75199999999995</v>
      </c>
      <c r="T452" s="194">
        <f ca="1">OFFSET('배치점수 계산기'!J$10,$D452,0)</f>
        <v>884.85599999999999</v>
      </c>
      <c r="U452" s="194">
        <f ca="1">OFFSET('배치점수 계산기'!K$10,$D452,0)</f>
        <v>880.86300000000006</v>
      </c>
      <c r="V452" s="194">
        <f ca="1">OFFSET('배치점수 계산기'!L$10,$D452,0)</f>
        <v>878.43799999999999</v>
      </c>
      <c r="W452" s="186" t="str">
        <f ca="1">OFFSET('배치점수 계산기'!M$10,$D452,0)</f>
        <v>표점/만점</v>
      </c>
      <c r="X452" s="184" t="str">
        <f ca="1">OFFSET('배치점수 계산기'!N$10,$D452,0)</f>
        <v>변표/만점</v>
      </c>
      <c r="Y452" s="188">
        <f ca="1">OFFSET(환산공식!FW$15,$F452,0)</f>
        <v>0.3</v>
      </c>
      <c r="Z452" s="20">
        <f ca="1">OFFSET(환산공식!FX$15,$F452,0)</f>
        <v>0.41</v>
      </c>
      <c r="AA452" s="179">
        <f ca="1">OFFSET(환산공식!FY$15,$F452,0)</f>
        <v>0.28999999999999998</v>
      </c>
      <c r="AB452" s="3"/>
      <c r="AD452">
        <f t="shared" ca="1" si="14"/>
        <v>6</v>
      </c>
      <c r="AF452" s="3"/>
      <c r="AG452" s="3"/>
      <c r="AH452" s="3"/>
    </row>
    <row r="453" spans="1:34">
      <c r="A453" s="198"/>
      <c r="B453" s="198"/>
      <c r="C453" s="198" t="s">
        <v>1014</v>
      </c>
      <c r="D453" s="195">
        <v>506</v>
      </c>
      <c r="E453" s="195">
        <v>126</v>
      </c>
      <c r="F453" s="195">
        <v>126</v>
      </c>
      <c r="G453" s="239">
        <v>446</v>
      </c>
      <c r="H453" s="197" t="s">
        <v>72</v>
      </c>
      <c r="I453" s="242" t="s">
        <v>478</v>
      </c>
      <c r="J453" s="242" t="s">
        <v>11342</v>
      </c>
      <c r="K453" s="195" t="s">
        <v>70</v>
      </c>
      <c r="L453" s="20" t="str">
        <f ca="1">IF(OFFSET(환산공식!$ED$15,$F453,0)=1,"O","X")</f>
        <v>X</v>
      </c>
      <c r="M453" s="188">
        <f ca="1">IFERROR(OFFSET(환산공식!DJ$15,$F453,0),"")</f>
        <v>150</v>
      </c>
      <c r="N453" s="20" t="str">
        <f ca="1">IFERROR(CONCATENATE(ROUND(OFFSET(환산공식!DK$15,$F453,0),1),"%"),"")</f>
        <v>100%</v>
      </c>
      <c r="O453" s="20">
        <f ca="1">IFERROR(OFFSET(환산공식!DL$15,$F453,0),"")</f>
        <v>10</v>
      </c>
      <c r="P453" s="188" t="str">
        <f t="shared" ca="1" si="13"/>
        <v>3% 이하</v>
      </c>
      <c r="Q453" s="194">
        <f ca="1">IFERROR(ROUND(OFFSET(환산공식!$FG$15,$F453,0),3),"")</f>
        <v>0</v>
      </c>
      <c r="R453" s="194">
        <f ca="1">OFFSET('배치점수 계산기'!H$10,$D453,0)</f>
        <v>892.12699999999995</v>
      </c>
      <c r="S453" s="194">
        <f ca="1">OFFSET('배치점수 계산기'!I$10,$D453,0)</f>
        <v>888.62300000000005</v>
      </c>
      <c r="T453" s="194">
        <f ca="1">OFFSET('배치점수 계산기'!J$10,$D453,0)</f>
        <v>884.85599999999999</v>
      </c>
      <c r="U453" s="194">
        <f ca="1">OFFSET('배치점수 계산기'!K$10,$D453,0)</f>
        <v>880.46299999999997</v>
      </c>
      <c r="V453" s="194">
        <f ca="1">OFFSET('배치점수 계산기'!L$10,$D453,0)</f>
        <v>878.18600000000004</v>
      </c>
      <c r="W453" s="186" t="str">
        <f ca="1">OFFSET('배치점수 계산기'!M$10,$D453,0)</f>
        <v>표점/만점</v>
      </c>
      <c r="X453" s="184" t="str">
        <f ca="1">OFFSET('배치점수 계산기'!N$10,$D453,0)</f>
        <v>변표/만점</v>
      </c>
      <c r="Y453" s="188">
        <f ca="1">OFFSET(환산공식!FW$15,$F453,0)</f>
        <v>0.3</v>
      </c>
      <c r="Z453" s="20">
        <f ca="1">OFFSET(환산공식!FX$15,$F453,0)</f>
        <v>0.41</v>
      </c>
      <c r="AA453" s="179">
        <f ca="1">OFFSET(환산공식!FY$15,$F453,0)</f>
        <v>0.28999999999999998</v>
      </c>
      <c r="AB453" s="3"/>
      <c r="AD453">
        <f t="shared" ca="1" si="14"/>
        <v>6</v>
      </c>
      <c r="AF453" s="3"/>
      <c r="AG453" s="3"/>
      <c r="AH453" s="3"/>
    </row>
    <row r="454" spans="1:34">
      <c r="A454" s="198"/>
      <c r="B454" s="198"/>
      <c r="C454" s="198" t="s">
        <v>1015</v>
      </c>
      <c r="D454" s="195">
        <v>507</v>
      </c>
      <c r="E454" s="195">
        <v>126</v>
      </c>
      <c r="F454" s="195">
        <v>126</v>
      </c>
      <c r="G454" s="239">
        <v>447</v>
      </c>
      <c r="H454" s="197" t="s">
        <v>72</v>
      </c>
      <c r="I454" s="242" t="s">
        <v>478</v>
      </c>
      <c r="J454" s="242" t="s">
        <v>234</v>
      </c>
      <c r="K454" s="195" t="s">
        <v>70</v>
      </c>
      <c r="L454" s="20" t="str">
        <f ca="1">IF(OFFSET(환산공식!$ED$15,$F454,0)=1,"O","X")</f>
        <v>X</v>
      </c>
      <c r="M454" s="188">
        <f ca="1">IFERROR(OFFSET(환산공식!DJ$15,$F454,0),"")</f>
        <v>150</v>
      </c>
      <c r="N454" s="20" t="str">
        <f ca="1">IFERROR(CONCATENATE(ROUND(OFFSET(환산공식!DK$15,$F454,0),1),"%"),"")</f>
        <v>100%</v>
      </c>
      <c r="O454" s="20">
        <f ca="1">IFERROR(OFFSET(환산공식!DL$15,$F454,0),"")</f>
        <v>10</v>
      </c>
      <c r="P454" s="188" t="str">
        <f t="shared" ca="1" si="13"/>
        <v>3% 이하</v>
      </c>
      <c r="Q454" s="194">
        <f ca="1">IFERROR(ROUND(OFFSET(환산공식!$FG$15,$F454,0),3),"")</f>
        <v>0</v>
      </c>
      <c r="R454" s="194">
        <f ca="1">OFFSET('배치점수 계산기'!H$10,$D454,0)</f>
        <v>892.12699999999995</v>
      </c>
      <c r="S454" s="194">
        <f ca="1">OFFSET('배치점수 계산기'!I$10,$D454,0)</f>
        <v>888.40300000000002</v>
      </c>
      <c r="T454" s="194">
        <f ca="1">OFFSET('배치점수 계산기'!J$10,$D454,0)</f>
        <v>884.31100000000004</v>
      </c>
      <c r="U454" s="194">
        <f ca="1">OFFSET('배치점수 계산기'!K$10,$D454,0)</f>
        <v>880.17700000000002</v>
      </c>
      <c r="V454" s="194">
        <f ca="1">OFFSET('배치점수 계산기'!L$10,$D454,0)</f>
        <v>877.976</v>
      </c>
      <c r="W454" s="186" t="str">
        <f ca="1">OFFSET('배치점수 계산기'!M$10,$D454,0)</f>
        <v>표점/만점</v>
      </c>
      <c r="X454" s="184" t="str">
        <f ca="1">OFFSET('배치점수 계산기'!N$10,$D454,0)</f>
        <v>변표/만점</v>
      </c>
      <c r="Y454" s="188">
        <f ca="1">OFFSET(환산공식!FW$15,$F454,0)</f>
        <v>0.3</v>
      </c>
      <c r="Z454" s="20">
        <f ca="1">OFFSET(환산공식!FX$15,$F454,0)</f>
        <v>0.41</v>
      </c>
      <c r="AA454" s="179">
        <f ca="1">OFFSET(환산공식!FY$15,$F454,0)</f>
        <v>0.28999999999999998</v>
      </c>
      <c r="AB454" s="3"/>
      <c r="AD454">
        <f t="shared" ca="1" si="14"/>
        <v>6</v>
      </c>
      <c r="AF454" s="3"/>
      <c r="AG454" s="3"/>
      <c r="AH454" s="3"/>
    </row>
    <row r="455" spans="1:34">
      <c r="A455" s="198"/>
      <c r="B455" s="198"/>
      <c r="C455" s="198" t="s">
        <v>1016</v>
      </c>
      <c r="D455" s="195">
        <v>508</v>
      </c>
      <c r="E455" s="195">
        <v>126</v>
      </c>
      <c r="F455" s="195">
        <v>126</v>
      </c>
      <c r="G455" s="239">
        <v>448</v>
      </c>
      <c r="H455" s="197" t="s">
        <v>72</v>
      </c>
      <c r="I455" s="242" t="s">
        <v>478</v>
      </c>
      <c r="J455" s="242" t="s">
        <v>11156</v>
      </c>
      <c r="K455" s="195" t="s">
        <v>70</v>
      </c>
      <c r="L455" s="20" t="str">
        <f ca="1">IF(OFFSET(환산공식!$ED$15,$F455,0)=1,"O","X")</f>
        <v>X</v>
      </c>
      <c r="M455" s="188">
        <f ca="1">IFERROR(OFFSET(환산공식!DJ$15,$F455,0),"")</f>
        <v>150</v>
      </c>
      <c r="N455" s="20" t="str">
        <f ca="1">IFERROR(CONCATENATE(ROUND(OFFSET(환산공식!DK$15,$F455,0),1),"%"),"")</f>
        <v>100%</v>
      </c>
      <c r="O455" s="20">
        <f ca="1">IFERROR(OFFSET(환산공식!DL$15,$F455,0),"")</f>
        <v>10</v>
      </c>
      <c r="P455" s="188" t="str">
        <f t="shared" ca="1" si="13"/>
        <v>3% 이하</v>
      </c>
      <c r="Q455" s="194">
        <f ca="1">IFERROR(ROUND(OFFSET(환산공식!$FG$15,$F455,0),3),"")</f>
        <v>0</v>
      </c>
      <c r="R455" s="194">
        <f ca="1">OFFSET('배치점수 계산기'!H$10,$D455,0)</f>
        <v>890.97299999999996</v>
      </c>
      <c r="S455" s="194">
        <f ca="1">OFFSET('배치점수 계산기'!I$10,$D455,0)</f>
        <v>887.94799999999998</v>
      </c>
      <c r="T455" s="194">
        <f ca="1">OFFSET('배치점수 계산기'!J$10,$D455,0)</f>
        <v>883.99800000000005</v>
      </c>
      <c r="U455" s="194">
        <f ca="1">OFFSET('배치점수 계산기'!K$10,$D455,0)</f>
        <v>880.15</v>
      </c>
      <c r="V455" s="194">
        <f ca="1">OFFSET('배치점수 계산기'!L$10,$D455,0)</f>
        <v>877.66300000000001</v>
      </c>
      <c r="W455" s="186" t="str">
        <f ca="1">OFFSET('배치점수 계산기'!M$10,$D455,0)</f>
        <v>표점/만점</v>
      </c>
      <c r="X455" s="184" t="str">
        <f ca="1">OFFSET('배치점수 계산기'!N$10,$D455,0)</f>
        <v>변표/만점</v>
      </c>
      <c r="Y455" s="188">
        <f ca="1">OFFSET(환산공식!FW$15,$F455,0)</f>
        <v>0.3</v>
      </c>
      <c r="Z455" s="20">
        <f ca="1">OFFSET(환산공식!FX$15,$F455,0)</f>
        <v>0.41</v>
      </c>
      <c r="AA455" s="179">
        <f ca="1">OFFSET(환산공식!FY$15,$F455,0)</f>
        <v>0.28999999999999998</v>
      </c>
      <c r="AB455" s="3"/>
      <c r="AD455">
        <f t="shared" ca="1" si="14"/>
        <v>6</v>
      </c>
      <c r="AF455" s="3"/>
      <c r="AG455" s="3"/>
      <c r="AH455" s="3"/>
    </row>
    <row r="456" spans="1:34">
      <c r="A456" s="198"/>
      <c r="B456" s="198"/>
      <c r="C456" s="198" t="s">
        <v>1017</v>
      </c>
      <c r="D456" s="195">
        <v>509</v>
      </c>
      <c r="E456" s="195">
        <v>126</v>
      </c>
      <c r="F456" s="195">
        <v>126</v>
      </c>
      <c r="G456" s="239">
        <v>449</v>
      </c>
      <c r="H456" s="197" t="s">
        <v>72</v>
      </c>
      <c r="I456" s="242" t="s">
        <v>478</v>
      </c>
      <c r="J456" s="242" t="s">
        <v>11473</v>
      </c>
      <c r="K456" s="195" t="s">
        <v>70</v>
      </c>
      <c r="L456" s="20" t="str">
        <f ca="1">IF(OFFSET(환산공식!$ED$15,$F456,0)=1,"O","X")</f>
        <v>X</v>
      </c>
      <c r="M456" s="188">
        <f ca="1">IFERROR(OFFSET(환산공식!DJ$15,$F456,0),"")</f>
        <v>150</v>
      </c>
      <c r="N456" s="20" t="str">
        <f ca="1">IFERROR(CONCATENATE(ROUND(OFFSET(환산공식!DK$15,$F456,0),1),"%"),"")</f>
        <v>100%</v>
      </c>
      <c r="O456" s="20">
        <f ca="1">IFERROR(OFFSET(환산공식!DL$15,$F456,0),"")</f>
        <v>10</v>
      </c>
      <c r="P456" s="188" t="str">
        <f t="shared" ca="1" si="13"/>
        <v>3% 이하</v>
      </c>
      <c r="Q456" s="194">
        <f ca="1">IFERROR(ROUND(OFFSET(환산공식!$FG$15,$F456,0),3),"")</f>
        <v>0</v>
      </c>
      <c r="R456" s="194">
        <f ca="1">OFFSET('배치점수 계산기'!H$10,$D456,0)</f>
        <v>890.10299999999995</v>
      </c>
      <c r="S456" s="194">
        <f ca="1">OFFSET('배치점수 계산기'!I$10,$D456,0)</f>
        <v>886.54899999999998</v>
      </c>
      <c r="T456" s="194">
        <f ca="1">OFFSET('배치점수 계산기'!J$10,$D456,0)</f>
        <v>882.28899999999999</v>
      </c>
      <c r="U456" s="194">
        <f ca="1">OFFSET('배치점수 계산기'!K$10,$D456,0)</f>
        <v>878.18600000000004</v>
      </c>
      <c r="V456" s="194">
        <f ca="1">OFFSET('배치점수 계산기'!L$10,$D456,0)</f>
        <v>875.95399999999995</v>
      </c>
      <c r="W456" s="186" t="str">
        <f ca="1">OFFSET('배치점수 계산기'!M$10,$D456,0)</f>
        <v>표점/만점</v>
      </c>
      <c r="X456" s="184" t="str">
        <f ca="1">OFFSET('배치점수 계산기'!N$10,$D456,0)</f>
        <v>변표/만점</v>
      </c>
      <c r="Y456" s="188">
        <f ca="1">OFFSET(환산공식!FW$15,$F456,0)</f>
        <v>0.3</v>
      </c>
      <c r="Z456" s="20">
        <f ca="1">OFFSET(환산공식!FX$15,$F456,0)</f>
        <v>0.41</v>
      </c>
      <c r="AA456" s="179">
        <f ca="1">OFFSET(환산공식!FY$15,$F456,0)</f>
        <v>0.28999999999999998</v>
      </c>
      <c r="AB456" s="3"/>
      <c r="AD456">
        <f t="shared" ca="1" si="14"/>
        <v>6</v>
      </c>
      <c r="AF456" s="3"/>
      <c r="AG456" s="3"/>
      <c r="AH456" s="3"/>
    </row>
    <row r="457" spans="1:34">
      <c r="A457" s="198"/>
      <c r="B457" s="198"/>
      <c r="C457" s="198" t="s">
        <v>1018</v>
      </c>
      <c r="D457" s="195">
        <v>510</v>
      </c>
      <c r="E457" s="195">
        <v>127</v>
      </c>
      <c r="F457" s="195">
        <v>127</v>
      </c>
      <c r="G457" s="239">
        <v>450</v>
      </c>
      <c r="H457" s="197" t="s">
        <v>72</v>
      </c>
      <c r="I457" s="242" t="s">
        <v>478</v>
      </c>
      <c r="J457" s="242" t="s">
        <v>16611</v>
      </c>
      <c r="K457" s="195" t="s">
        <v>70</v>
      </c>
      <c r="L457" s="20" t="str">
        <f ca="1">IF(OFFSET(환산공식!$ED$15,$F457,0)=1,"O","X")</f>
        <v>X</v>
      </c>
      <c r="M457" s="188">
        <f ca="1">IFERROR(OFFSET(환산공식!DJ$15,$F457,0),"")</f>
        <v>150</v>
      </c>
      <c r="N457" s="20" t="str">
        <f ca="1">IFERROR(CONCATENATE(ROUND(OFFSET(환산공식!DK$15,$F457,0),1),"%"),"")</f>
        <v>100%</v>
      </c>
      <c r="O457" s="20">
        <f ca="1">IFERROR(OFFSET(환산공식!DL$15,$F457,0),"")</f>
        <v>10</v>
      </c>
      <c r="P457" s="188" t="str">
        <f t="shared" ref="P457:P520" ca="1" si="15"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>3% 이하</v>
      </c>
      <c r="Q457" s="194">
        <f ca="1">IFERROR(ROUND(OFFSET(환산공식!$FG$15,$F457,0),3),"")</f>
        <v>0</v>
      </c>
      <c r="R457" s="194">
        <f ca="1">OFFSET('배치점수 계산기'!H$10,$D457,0)</f>
        <v>883.20500000000004</v>
      </c>
      <c r="S457" s="194">
        <f ca="1">OFFSET('배치점수 계산기'!I$10,$D457,0)</f>
        <v>879.74</v>
      </c>
      <c r="T457" s="194">
        <f ca="1">OFFSET('배치점수 계산기'!J$10,$D457,0)</f>
        <v>875.51300000000003</v>
      </c>
      <c r="U457" s="194">
        <f ca="1">OFFSET('배치점수 계산기'!K$10,$D457,0)</f>
        <v>871.53099999999995</v>
      </c>
      <c r="V457" s="194">
        <f ca="1">OFFSET('배치점수 계산기'!L$10,$D457,0)</f>
        <v>869.51800000000003</v>
      </c>
      <c r="W457" s="186" t="str">
        <f ca="1">OFFSET('배치점수 계산기'!M$10,$D457,0)</f>
        <v>표점/만점</v>
      </c>
      <c r="X457" s="184" t="str">
        <f ca="1">OFFSET('배치점수 계산기'!N$10,$D457,0)</f>
        <v>변표/만점</v>
      </c>
      <c r="Y457" s="188">
        <f ca="1">OFFSET(환산공식!FW$15,$F457,0)</f>
        <v>0.3</v>
      </c>
      <c r="Z457" s="20">
        <f ca="1">OFFSET(환산공식!FX$15,$F457,0)</f>
        <v>0.41</v>
      </c>
      <c r="AA457" s="179">
        <f ca="1">OFFSET(환산공식!FY$15,$F457,0)</f>
        <v>0.28999999999999998</v>
      </c>
      <c r="AB457" s="3"/>
      <c r="AD457">
        <f t="shared" ref="AD457:AD520" ca="1" si="16">IF(L457="X",6,IF(Q457&gt;R457,1,IF(Q457&gt;S457,2,IF(Q457&gt;T457,3,IF(Q457&gt;U457,4,IF(Q457&gt;=V457,5,IF(Q457&lt;V457,6,"")))))))</f>
        <v>6</v>
      </c>
      <c r="AF457" s="3"/>
      <c r="AG457" s="3"/>
      <c r="AH457" s="3"/>
    </row>
    <row r="458" spans="1:34">
      <c r="A458" s="198"/>
      <c r="B458" s="198"/>
      <c r="C458" s="198" t="s">
        <v>1019</v>
      </c>
      <c r="D458" s="195">
        <v>511</v>
      </c>
      <c r="E458" s="195">
        <v>127</v>
      </c>
      <c r="F458" s="195">
        <v>127</v>
      </c>
      <c r="G458" s="239">
        <v>451</v>
      </c>
      <c r="H458" s="197" t="s">
        <v>72</v>
      </c>
      <c r="I458" s="242" t="s">
        <v>478</v>
      </c>
      <c r="J458" s="242" t="s">
        <v>16612</v>
      </c>
      <c r="K458" s="195" t="s">
        <v>70</v>
      </c>
      <c r="L458" s="20" t="str">
        <f ca="1">IF(OFFSET(환산공식!$ED$15,$F458,0)=1,"O","X")</f>
        <v>X</v>
      </c>
      <c r="M458" s="188">
        <f ca="1">IFERROR(OFFSET(환산공식!DJ$15,$F458,0),"")</f>
        <v>150</v>
      </c>
      <c r="N458" s="20" t="str">
        <f ca="1">IFERROR(CONCATENATE(ROUND(OFFSET(환산공식!DK$15,$F458,0),1),"%"),"")</f>
        <v>100%</v>
      </c>
      <c r="O458" s="20">
        <f ca="1">IFERROR(OFFSET(환산공식!DL$15,$F458,0),"")</f>
        <v>10</v>
      </c>
      <c r="P458" s="188" t="str">
        <f t="shared" ca="1" si="15"/>
        <v>3% 이하</v>
      </c>
      <c r="Q458" s="194">
        <f ca="1">IFERROR(ROUND(OFFSET(환산공식!$FG$15,$F458,0),3),"")</f>
        <v>0</v>
      </c>
      <c r="R458" s="194">
        <f ca="1">OFFSET('배치점수 계산기'!H$10,$D458,0)</f>
        <v>882.13300000000004</v>
      </c>
      <c r="S458" s="194">
        <f ca="1">OFFSET('배치점수 계산기'!I$10,$D458,0)</f>
        <v>878.62</v>
      </c>
      <c r="T458" s="194">
        <f ca="1">OFFSET('배치점수 계산기'!J$10,$D458,0)</f>
        <v>874.15</v>
      </c>
      <c r="U458" s="194">
        <f ca="1">OFFSET('배치점수 계산기'!K$10,$D458,0)</f>
        <v>870.01599999999996</v>
      </c>
      <c r="V458" s="194">
        <f ca="1">OFFSET('배치점수 계산기'!L$10,$D458,0)</f>
        <v>868.39499999999998</v>
      </c>
      <c r="W458" s="186" t="str">
        <f ca="1">OFFSET('배치점수 계산기'!M$10,$D458,0)</f>
        <v>표점/만점</v>
      </c>
      <c r="X458" s="184" t="str">
        <f ca="1">OFFSET('배치점수 계산기'!N$10,$D458,0)</f>
        <v>변표/만점</v>
      </c>
      <c r="Y458" s="188">
        <f ca="1">OFFSET(환산공식!FW$15,$F458,0)</f>
        <v>0.3</v>
      </c>
      <c r="Z458" s="20">
        <f ca="1">OFFSET(환산공식!FX$15,$F458,0)</f>
        <v>0.41</v>
      </c>
      <c r="AA458" s="179">
        <f ca="1">OFFSET(환산공식!FY$15,$F458,0)</f>
        <v>0.28999999999999998</v>
      </c>
      <c r="AB458" s="3"/>
      <c r="AD458">
        <f t="shared" ca="1" si="16"/>
        <v>6</v>
      </c>
      <c r="AF458" s="3"/>
      <c r="AG458" s="3"/>
      <c r="AH458" s="3"/>
    </row>
    <row r="459" spans="1:34">
      <c r="A459" s="198"/>
      <c r="B459" s="198"/>
      <c r="C459" s="198" t="s">
        <v>1020</v>
      </c>
      <c r="D459" s="195">
        <v>512</v>
      </c>
      <c r="E459" s="195">
        <v>126</v>
      </c>
      <c r="F459" s="195">
        <v>126</v>
      </c>
      <c r="G459" s="239">
        <v>452</v>
      </c>
      <c r="H459" s="197" t="s">
        <v>72</v>
      </c>
      <c r="I459" s="242" t="s">
        <v>478</v>
      </c>
      <c r="J459" s="242" t="s">
        <v>7260</v>
      </c>
      <c r="K459" s="195" t="s">
        <v>70</v>
      </c>
      <c r="L459" s="20" t="str">
        <f ca="1">IF(OFFSET(환산공식!$ED$15,$F459,0)=1,"O","X")</f>
        <v>X</v>
      </c>
      <c r="M459" s="188">
        <f ca="1">IFERROR(OFFSET(환산공식!DJ$15,$F459,0),"")</f>
        <v>150</v>
      </c>
      <c r="N459" s="20" t="str">
        <f ca="1">IFERROR(CONCATENATE(ROUND(OFFSET(환산공식!DK$15,$F459,0),1),"%"),"")</f>
        <v>100%</v>
      </c>
      <c r="O459" s="20">
        <f ca="1">IFERROR(OFFSET(환산공식!DL$15,$F459,0),"")</f>
        <v>10</v>
      </c>
      <c r="P459" s="188" t="str">
        <f t="shared" ca="1" si="15"/>
        <v>3% 이하</v>
      </c>
      <c r="Q459" s="194">
        <f ca="1">IFERROR(ROUND(OFFSET(환산공식!$FG$15,$F459,0),3),"")</f>
        <v>0</v>
      </c>
      <c r="R459" s="194">
        <f ca="1">OFFSET('배치점수 계산기'!H$10,$D459,0)</f>
        <v>887.46</v>
      </c>
      <c r="S459" s="194">
        <f ca="1">OFFSET('배치점수 계산기'!I$10,$D459,0)</f>
        <v>884.14099999999996</v>
      </c>
      <c r="T459" s="194">
        <f ca="1">OFFSET('배치점수 계산기'!J$10,$D459,0)</f>
        <v>879.73</v>
      </c>
      <c r="U459" s="194">
        <f ca="1">OFFSET('배치점수 계산기'!K$10,$D459,0)</f>
        <v>875.625</v>
      </c>
      <c r="V459" s="194">
        <f ca="1">OFFSET('배치점수 계산기'!L$10,$D459,0)</f>
        <v>873.63800000000003</v>
      </c>
      <c r="W459" s="186" t="str">
        <f ca="1">OFFSET('배치점수 계산기'!M$10,$D459,0)</f>
        <v>표점/만점</v>
      </c>
      <c r="X459" s="184" t="str">
        <f ca="1">OFFSET('배치점수 계산기'!N$10,$D459,0)</f>
        <v>변표/만점</v>
      </c>
      <c r="Y459" s="188">
        <f ca="1">OFFSET(환산공식!FW$15,$F459,0)</f>
        <v>0.3</v>
      </c>
      <c r="Z459" s="20">
        <f ca="1">OFFSET(환산공식!FX$15,$F459,0)</f>
        <v>0.41</v>
      </c>
      <c r="AA459" s="179">
        <f ca="1">OFFSET(환산공식!FY$15,$F459,0)</f>
        <v>0.28999999999999998</v>
      </c>
      <c r="AB459" s="3"/>
      <c r="AD459">
        <f t="shared" ca="1" si="16"/>
        <v>6</v>
      </c>
      <c r="AF459" s="3"/>
      <c r="AG459" s="3"/>
      <c r="AH459" s="3"/>
    </row>
    <row r="460" spans="1:34">
      <c r="A460" s="198"/>
      <c r="B460" s="198"/>
      <c r="C460" s="198" t="s">
        <v>1021</v>
      </c>
      <c r="D460" s="195">
        <v>513</v>
      </c>
      <c r="E460" s="195">
        <v>125</v>
      </c>
      <c r="F460" s="195">
        <v>125</v>
      </c>
      <c r="G460" s="239">
        <v>453</v>
      </c>
      <c r="H460" s="197" t="s">
        <v>72</v>
      </c>
      <c r="I460" s="242" t="s">
        <v>478</v>
      </c>
      <c r="J460" s="242" t="s">
        <v>235</v>
      </c>
      <c r="K460" s="195" t="s">
        <v>71</v>
      </c>
      <c r="L460" s="20" t="str">
        <f ca="1">IF(OFFSET(환산공식!$ED$15,$F460,0)=1,"O","X")</f>
        <v>X</v>
      </c>
      <c r="M460" s="188">
        <f ca="1">IFERROR(OFFSET(환산공식!DJ$15,$F460,0),"")</f>
        <v>150</v>
      </c>
      <c r="N460" s="20" t="str">
        <f ca="1">IFERROR(CONCATENATE(ROUND(OFFSET(환산공식!DK$15,$F460,0),1),"%"),"")</f>
        <v>100%</v>
      </c>
      <c r="O460" s="20">
        <f ca="1">IFERROR(OFFSET(환산공식!DL$15,$F460,0),"")</f>
        <v>10</v>
      </c>
      <c r="P460" s="188" t="str">
        <f t="shared" ca="1" si="15"/>
        <v>3% 이하</v>
      </c>
      <c r="Q460" s="194">
        <f ca="1">IFERROR(ROUND(OFFSET(환산공식!$FG$15,$F460,0),3),"")</f>
        <v>0</v>
      </c>
      <c r="R460" s="194">
        <f ca="1">OFFSET('배치점수 계산기'!H$10,$D460,0)</f>
        <v>895.98699999999997</v>
      </c>
      <c r="S460" s="194">
        <f ca="1">OFFSET('배치점수 계산기'!I$10,$D460,0)</f>
        <v>893.07600000000002</v>
      </c>
      <c r="T460" s="194">
        <f ca="1">OFFSET('배치점수 계산기'!J$10,$D460,0)</f>
        <v>889.23</v>
      </c>
      <c r="U460" s="194">
        <f ca="1">OFFSET('배치점수 계산기'!K$10,$D460,0)</f>
        <v>885.10199999999998</v>
      </c>
      <c r="V460" s="194">
        <f ca="1">OFFSET('배치점수 계산기'!L$10,$D460,0)</f>
        <v>882.75400000000002</v>
      </c>
      <c r="W460" s="186" t="str">
        <f ca="1">OFFSET('배치점수 계산기'!M$10,$D460,0)</f>
        <v>표점/만점</v>
      </c>
      <c r="X460" s="184" t="str">
        <f ca="1">OFFSET('배치점수 계산기'!N$10,$D460,0)</f>
        <v>변표/만점</v>
      </c>
      <c r="Y460" s="188">
        <f ca="1">OFFSET(환산공식!FW$15,$F460,0)</f>
        <v>0.35</v>
      </c>
      <c r="Z460" s="20">
        <f ca="1">OFFSET(환산공식!FX$15,$F460,0)</f>
        <v>0.35</v>
      </c>
      <c r="AA460" s="179">
        <f ca="1">OFFSET(환산공식!FY$15,$F460,0)</f>
        <v>0.28999999999999998</v>
      </c>
      <c r="AB460" s="3"/>
      <c r="AD460">
        <f t="shared" ca="1" si="16"/>
        <v>6</v>
      </c>
      <c r="AF460" s="3"/>
      <c r="AG460" s="3"/>
      <c r="AH460" s="3"/>
    </row>
    <row r="461" spans="1:34">
      <c r="A461" s="198"/>
      <c r="B461" s="198"/>
      <c r="C461" s="198" t="s">
        <v>1022</v>
      </c>
      <c r="D461" s="195">
        <v>514</v>
      </c>
      <c r="E461" s="195">
        <v>125</v>
      </c>
      <c r="F461" s="195">
        <v>125</v>
      </c>
      <c r="G461" s="239">
        <v>454</v>
      </c>
      <c r="H461" s="197" t="s">
        <v>72</v>
      </c>
      <c r="I461" s="242" t="s">
        <v>478</v>
      </c>
      <c r="J461" s="242" t="s">
        <v>76</v>
      </c>
      <c r="K461" s="195" t="s">
        <v>71</v>
      </c>
      <c r="L461" s="20" t="str">
        <f ca="1">IF(OFFSET(환산공식!$ED$15,$F461,0)=1,"O","X")</f>
        <v>X</v>
      </c>
      <c r="M461" s="188">
        <f ca="1">IFERROR(OFFSET(환산공식!DJ$15,$F461,0),"")</f>
        <v>150</v>
      </c>
      <c r="N461" s="20" t="str">
        <f ca="1">IFERROR(CONCATENATE(ROUND(OFFSET(환산공식!DK$15,$F461,0),1),"%"),"")</f>
        <v>100%</v>
      </c>
      <c r="O461" s="20">
        <f ca="1">IFERROR(OFFSET(환산공식!DL$15,$F461,0),"")</f>
        <v>10</v>
      </c>
      <c r="P461" s="188" t="str">
        <f t="shared" ca="1" si="15"/>
        <v>3% 이하</v>
      </c>
      <c r="Q461" s="194">
        <f ca="1">IFERROR(ROUND(OFFSET(환산공식!$FG$15,$F461,0),3),"")</f>
        <v>0</v>
      </c>
      <c r="R461" s="194">
        <f ca="1">OFFSET('배치점수 계산기'!H$10,$D461,0)</f>
        <v>895.98699999999997</v>
      </c>
      <c r="S461" s="194">
        <f ca="1">OFFSET('배치점수 계산기'!I$10,$D461,0)</f>
        <v>892.19299999999998</v>
      </c>
      <c r="T461" s="194">
        <f ca="1">OFFSET('배치점수 계산기'!J$10,$D461,0)</f>
        <v>887.53599999999994</v>
      </c>
      <c r="U461" s="194">
        <f ca="1">OFFSET('배치점수 계산기'!K$10,$D461,0)</f>
        <v>883.43899999999996</v>
      </c>
      <c r="V461" s="194">
        <f ca="1">OFFSET('배치점수 계산기'!L$10,$D461,0)</f>
        <v>881.21799999999996</v>
      </c>
      <c r="W461" s="186" t="str">
        <f ca="1">OFFSET('배치점수 계산기'!M$10,$D461,0)</f>
        <v>표점/만점</v>
      </c>
      <c r="X461" s="184" t="str">
        <f ca="1">OFFSET('배치점수 계산기'!N$10,$D461,0)</f>
        <v>변표/만점</v>
      </c>
      <c r="Y461" s="188">
        <f ca="1">OFFSET(환산공식!FW$15,$F461,0)</f>
        <v>0.35</v>
      </c>
      <c r="Z461" s="20">
        <f ca="1">OFFSET(환산공식!FX$15,$F461,0)</f>
        <v>0.35</v>
      </c>
      <c r="AA461" s="179">
        <f ca="1">OFFSET(환산공식!FY$15,$F461,0)</f>
        <v>0.28999999999999998</v>
      </c>
      <c r="AB461" s="3"/>
      <c r="AD461">
        <f t="shared" ca="1" si="16"/>
        <v>6</v>
      </c>
      <c r="AF461" s="3"/>
      <c r="AG461" s="3"/>
      <c r="AH461" s="3"/>
    </row>
    <row r="462" spans="1:34">
      <c r="A462" s="198"/>
      <c r="B462" s="198"/>
      <c r="C462" s="198" t="s">
        <v>1023</v>
      </c>
      <c r="D462" s="195">
        <v>515</v>
      </c>
      <c r="E462" s="195">
        <v>125</v>
      </c>
      <c r="F462" s="195">
        <v>125</v>
      </c>
      <c r="G462" s="239">
        <v>455</v>
      </c>
      <c r="H462" s="197" t="s">
        <v>72</v>
      </c>
      <c r="I462" s="242" t="s">
        <v>478</v>
      </c>
      <c r="J462" s="242" t="s">
        <v>232</v>
      </c>
      <c r="K462" s="195" t="s">
        <v>71</v>
      </c>
      <c r="L462" s="20" t="str">
        <f ca="1">IF(OFFSET(환산공식!$ED$15,$F462,0)=1,"O","X")</f>
        <v>X</v>
      </c>
      <c r="M462" s="188">
        <f ca="1">IFERROR(OFFSET(환산공식!DJ$15,$F462,0),"")</f>
        <v>150</v>
      </c>
      <c r="N462" s="20" t="str">
        <f ca="1">IFERROR(CONCATENATE(ROUND(OFFSET(환산공식!DK$15,$F462,0),1),"%"),"")</f>
        <v>100%</v>
      </c>
      <c r="O462" s="20">
        <f ca="1">IFERROR(OFFSET(환산공식!DL$15,$F462,0),"")</f>
        <v>10</v>
      </c>
      <c r="P462" s="188" t="str">
        <f t="shared" ca="1" si="15"/>
        <v>3% 이하</v>
      </c>
      <c r="Q462" s="194">
        <f ca="1">IFERROR(ROUND(OFFSET(환산공식!$FG$15,$F462,0),3),"")</f>
        <v>0</v>
      </c>
      <c r="R462" s="194">
        <f ca="1">OFFSET('배치점수 계산기'!H$10,$D462,0)</f>
        <v>893.07600000000002</v>
      </c>
      <c r="S462" s="194">
        <f ca="1">OFFSET('배치점수 계산기'!I$10,$D462,0)</f>
        <v>889.43399999999997</v>
      </c>
      <c r="T462" s="194">
        <f ca="1">OFFSET('배치점수 계산기'!J$10,$D462,0)</f>
        <v>885.24300000000005</v>
      </c>
      <c r="U462" s="194">
        <f ca="1">OFFSET('배치점수 계산기'!K$10,$D462,0)</f>
        <v>881.01400000000001</v>
      </c>
      <c r="V462" s="194">
        <f ca="1">OFFSET('배치점수 계산기'!L$10,$D462,0)</f>
        <v>878.71400000000006</v>
      </c>
      <c r="W462" s="186" t="str">
        <f ca="1">OFFSET('배치점수 계산기'!M$10,$D462,0)</f>
        <v>표점/만점</v>
      </c>
      <c r="X462" s="184" t="str">
        <f ca="1">OFFSET('배치점수 계산기'!N$10,$D462,0)</f>
        <v>변표/만점</v>
      </c>
      <c r="Y462" s="188">
        <f ca="1">OFFSET(환산공식!FW$15,$F462,0)</f>
        <v>0.35</v>
      </c>
      <c r="Z462" s="20">
        <f ca="1">OFFSET(환산공식!FX$15,$F462,0)</f>
        <v>0.35</v>
      </c>
      <c r="AA462" s="179">
        <f ca="1">OFFSET(환산공식!FY$15,$F462,0)</f>
        <v>0.28999999999999998</v>
      </c>
      <c r="AB462" s="3"/>
      <c r="AD462">
        <f t="shared" ca="1" si="16"/>
        <v>6</v>
      </c>
      <c r="AF462" s="3"/>
      <c r="AG462" s="3"/>
      <c r="AH462" s="3"/>
    </row>
    <row r="463" spans="1:34">
      <c r="A463" s="198"/>
      <c r="B463" s="198"/>
      <c r="C463" s="198" t="s">
        <v>1024</v>
      </c>
      <c r="D463" s="195">
        <v>516</v>
      </c>
      <c r="E463" s="195">
        <v>128</v>
      </c>
      <c r="F463" s="195">
        <v>128</v>
      </c>
      <c r="G463" s="239">
        <v>456</v>
      </c>
      <c r="H463" s="197" t="s">
        <v>72</v>
      </c>
      <c r="I463" s="242" t="s">
        <v>478</v>
      </c>
      <c r="J463" s="242" t="s">
        <v>11049</v>
      </c>
      <c r="K463" s="195" t="s">
        <v>71</v>
      </c>
      <c r="L463" s="20" t="str">
        <f ca="1">IF(OFFSET(환산공식!$ED$15,$F463,0)=1,"O","X")</f>
        <v>X</v>
      </c>
      <c r="M463" s="188">
        <f ca="1">IFERROR(OFFSET(환산공식!DJ$15,$F463,0),"")</f>
        <v>100</v>
      </c>
      <c r="N463" s="20" t="str">
        <f ca="1">IFERROR(CONCATENATE(ROUND(OFFSET(환산공식!DK$15,$F463,0),1),"%"),"")</f>
        <v>100%</v>
      </c>
      <c r="O463" s="20">
        <f ca="1">IFERROR(OFFSET(환산공식!DL$15,$F463,0),"")</f>
        <v>10</v>
      </c>
      <c r="P463" s="188" t="str">
        <f t="shared" ca="1" si="15"/>
        <v>3% 이하</v>
      </c>
      <c r="Q463" s="194">
        <f ca="1">IFERROR(ROUND(OFFSET(환산공식!$FG$15,$F463,0),3),"")</f>
        <v>0</v>
      </c>
      <c r="R463" s="194">
        <f ca="1">OFFSET('배치점수 계산기'!H$10,$D463,0)</f>
        <v>874.72199999999998</v>
      </c>
      <c r="S463" s="194">
        <f ca="1">OFFSET('배치점수 계산기'!I$10,$D463,0)</f>
        <v>871.64300000000003</v>
      </c>
      <c r="T463" s="194">
        <f ca="1">OFFSET('배치점수 계산기'!J$10,$D463,0)</f>
        <v>867.36800000000005</v>
      </c>
      <c r="U463" s="194">
        <f ca="1">OFFSET('배치점수 계산기'!K$10,$D463,0)</f>
        <v>863.46699999999998</v>
      </c>
      <c r="V463" s="194">
        <f ca="1">OFFSET('배치점수 계산기'!L$10,$D463,0)</f>
        <v>860.87800000000004</v>
      </c>
      <c r="W463" s="186" t="str">
        <f ca="1">OFFSET('배치점수 계산기'!M$10,$D463,0)</f>
        <v>표점/만점</v>
      </c>
      <c r="X463" s="184" t="str">
        <f ca="1">OFFSET('배치점수 계산기'!N$10,$D463,0)</f>
        <v>변표/만점</v>
      </c>
      <c r="Y463" s="188">
        <f ca="1">OFFSET(환산공식!FW$15,$F463,0)</f>
        <v>0.33</v>
      </c>
      <c r="Z463" s="20">
        <f ca="1">OFFSET(환산공식!FX$15,$F463,0)</f>
        <v>0.39</v>
      </c>
      <c r="AA463" s="179">
        <f ca="1">OFFSET(환산공식!FY$15,$F463,0)</f>
        <v>0.28000000000000003</v>
      </c>
      <c r="AB463" s="3"/>
      <c r="AD463">
        <f t="shared" ca="1" si="16"/>
        <v>6</v>
      </c>
      <c r="AF463" s="3"/>
      <c r="AG463" s="3"/>
      <c r="AH463" s="3"/>
    </row>
    <row r="464" spans="1:34">
      <c r="A464" s="198"/>
      <c r="B464" s="198"/>
      <c r="C464" s="198" t="s">
        <v>1025</v>
      </c>
      <c r="D464" s="195">
        <v>517</v>
      </c>
      <c r="E464" s="195">
        <v>125</v>
      </c>
      <c r="F464" s="195">
        <v>125</v>
      </c>
      <c r="G464" s="239">
        <v>457</v>
      </c>
      <c r="H464" s="197" t="s">
        <v>72</v>
      </c>
      <c r="I464" s="242" t="s">
        <v>478</v>
      </c>
      <c r="J464" s="242" t="s">
        <v>11319</v>
      </c>
      <c r="K464" s="195" t="s">
        <v>71</v>
      </c>
      <c r="L464" s="20" t="str">
        <f ca="1">IF(OFFSET(환산공식!$ED$15,$F464,0)=1,"O","X")</f>
        <v>X</v>
      </c>
      <c r="M464" s="188">
        <f ca="1">IFERROR(OFFSET(환산공식!DJ$15,$F464,0),"")</f>
        <v>150</v>
      </c>
      <c r="N464" s="20" t="str">
        <f ca="1">IFERROR(CONCATENATE(ROUND(OFFSET(환산공식!DK$15,$F464,0),1),"%"),"")</f>
        <v>100%</v>
      </c>
      <c r="O464" s="20">
        <f ca="1">IFERROR(OFFSET(환산공식!DL$15,$F464,0),"")</f>
        <v>10</v>
      </c>
      <c r="P464" s="188" t="str">
        <f t="shared" ca="1" si="15"/>
        <v>3% 이하</v>
      </c>
      <c r="Q464" s="194">
        <f ca="1">IFERROR(ROUND(OFFSET(환산공식!$FG$15,$F464,0),3),"")</f>
        <v>0</v>
      </c>
      <c r="R464" s="194">
        <f ca="1">OFFSET('배치점수 계산기'!H$10,$D464,0)</f>
        <v>892.93499999999995</v>
      </c>
      <c r="S464" s="194">
        <f ca="1">OFFSET('배치점수 계산기'!I$10,$D464,0)</f>
        <v>888.84199999999998</v>
      </c>
      <c r="T464" s="194">
        <f ca="1">OFFSET('배치점수 계산기'!J$10,$D464,0)</f>
        <v>884.54</v>
      </c>
      <c r="U464" s="194">
        <f ca="1">OFFSET('배치점수 계산기'!K$10,$D464,0)</f>
        <v>880.65599999999995</v>
      </c>
      <c r="V464" s="194">
        <f ca="1">OFFSET('배치점수 계산기'!L$10,$D464,0)</f>
        <v>878.06899999999996</v>
      </c>
      <c r="W464" s="186" t="str">
        <f ca="1">OFFSET('배치점수 계산기'!M$10,$D464,0)</f>
        <v>표점/만점</v>
      </c>
      <c r="X464" s="184" t="str">
        <f ca="1">OFFSET('배치점수 계산기'!N$10,$D464,0)</f>
        <v>변표/만점</v>
      </c>
      <c r="Y464" s="188">
        <f ca="1">OFFSET(환산공식!FW$15,$F464,0)</f>
        <v>0.35</v>
      </c>
      <c r="Z464" s="20">
        <f ca="1">OFFSET(환산공식!FX$15,$F464,0)</f>
        <v>0.35</v>
      </c>
      <c r="AA464" s="179">
        <f ca="1">OFFSET(환산공식!FY$15,$F464,0)</f>
        <v>0.28999999999999998</v>
      </c>
      <c r="AB464" s="3"/>
      <c r="AD464">
        <f t="shared" ca="1" si="16"/>
        <v>6</v>
      </c>
      <c r="AF464" s="3"/>
      <c r="AG464" s="3"/>
      <c r="AH464" s="3"/>
    </row>
    <row r="465" spans="1:34">
      <c r="A465" s="198"/>
      <c r="B465" s="198"/>
      <c r="C465" s="198" t="s">
        <v>1026</v>
      </c>
      <c r="D465" s="195">
        <v>518</v>
      </c>
      <c r="E465" s="195">
        <v>125</v>
      </c>
      <c r="F465" s="195">
        <v>125</v>
      </c>
      <c r="G465" s="239">
        <v>458</v>
      </c>
      <c r="H465" s="197" t="s">
        <v>72</v>
      </c>
      <c r="I465" s="242" t="s">
        <v>478</v>
      </c>
      <c r="J465" s="242" t="s">
        <v>414</v>
      </c>
      <c r="K465" s="195" t="s">
        <v>71</v>
      </c>
      <c r="L465" s="20" t="str">
        <f ca="1">IF(OFFSET(환산공식!$ED$15,$F465,0)=1,"O","X")</f>
        <v>X</v>
      </c>
      <c r="M465" s="188">
        <f ca="1">IFERROR(OFFSET(환산공식!DJ$15,$F465,0),"")</f>
        <v>150</v>
      </c>
      <c r="N465" s="20" t="str">
        <f ca="1">IFERROR(CONCATENATE(ROUND(OFFSET(환산공식!DK$15,$F465,0),1),"%"),"")</f>
        <v>100%</v>
      </c>
      <c r="O465" s="20">
        <f ca="1">IFERROR(OFFSET(환산공식!DL$15,$F465,0),"")</f>
        <v>10</v>
      </c>
      <c r="P465" s="188" t="str">
        <f t="shared" ca="1" si="15"/>
        <v>3% 이하</v>
      </c>
      <c r="Q465" s="194">
        <f ca="1">IFERROR(ROUND(OFFSET(환산공식!$FG$15,$F465,0),3),"")</f>
        <v>0</v>
      </c>
      <c r="R465" s="194">
        <f ca="1">OFFSET('배치점수 계산기'!H$10,$D465,0)</f>
        <v>891.84699999999998</v>
      </c>
      <c r="S465" s="194">
        <f ca="1">OFFSET('배치점수 계산기'!I$10,$D465,0)</f>
        <v>887.81399999999996</v>
      </c>
      <c r="T465" s="194">
        <f ca="1">OFFSET('배치점수 계산기'!J$10,$D465,0)</f>
        <v>883.43899999999996</v>
      </c>
      <c r="U465" s="194">
        <f ca="1">OFFSET('배치점수 계산기'!K$10,$D465,0)</f>
        <v>878.42600000000004</v>
      </c>
      <c r="V465" s="194">
        <f ca="1">OFFSET('배치점수 계산기'!L$10,$D465,0)</f>
        <v>876.19100000000003</v>
      </c>
      <c r="W465" s="186" t="str">
        <f ca="1">OFFSET('배치점수 계산기'!M$10,$D465,0)</f>
        <v>표점/만점</v>
      </c>
      <c r="X465" s="184" t="str">
        <f ca="1">OFFSET('배치점수 계산기'!N$10,$D465,0)</f>
        <v>변표/만점</v>
      </c>
      <c r="Y465" s="188">
        <f ca="1">OFFSET(환산공식!FW$15,$F465,0)</f>
        <v>0.35</v>
      </c>
      <c r="Z465" s="20">
        <f ca="1">OFFSET(환산공식!FX$15,$F465,0)</f>
        <v>0.35</v>
      </c>
      <c r="AA465" s="179">
        <f ca="1">OFFSET(환산공식!FY$15,$F465,0)</f>
        <v>0.28999999999999998</v>
      </c>
      <c r="AB465" s="3"/>
      <c r="AD465">
        <f t="shared" ca="1" si="16"/>
        <v>6</v>
      </c>
      <c r="AF465" s="3"/>
      <c r="AG465" s="3"/>
      <c r="AH465" s="3"/>
    </row>
    <row r="466" spans="1:34">
      <c r="A466" s="198"/>
      <c r="B466" s="198"/>
      <c r="C466" s="198" t="s">
        <v>1027</v>
      </c>
      <c r="D466" s="195">
        <v>519</v>
      </c>
      <c r="E466" s="195">
        <v>91</v>
      </c>
      <c r="F466" s="195">
        <v>91</v>
      </c>
      <c r="G466" s="239">
        <v>459</v>
      </c>
      <c r="H466" s="197" t="s">
        <v>72</v>
      </c>
      <c r="I466" s="242" t="s">
        <v>422</v>
      </c>
      <c r="J466" s="242" t="s">
        <v>8418</v>
      </c>
      <c r="K466" s="195" t="s">
        <v>70</v>
      </c>
      <c r="L466" s="20" t="str">
        <f ca="1">IF(OFFSET(환산공식!$ED$15,$F466,0)=1,"O","X")</f>
        <v>X</v>
      </c>
      <c r="M466" s="188">
        <f ca="1">IFERROR(OFFSET(환산공식!DJ$15,$F466,0),"")</f>
        <v>150</v>
      </c>
      <c r="N466" s="20" t="str">
        <f ca="1">IFERROR(CONCATENATE(ROUND(OFFSET(환산공식!DK$15,$F466,0),1),"%"),"")</f>
        <v>100%</v>
      </c>
      <c r="O466" s="20">
        <f ca="1">IFERROR(OFFSET(환산공식!DL$15,$F466,0),"")</f>
        <v>5</v>
      </c>
      <c r="P466" s="188" t="str">
        <f t="shared" ca="1" si="15"/>
        <v>3% 이하</v>
      </c>
      <c r="Q466" s="194">
        <f ca="1">IFERROR(ROUND(OFFSET(환산공식!$FG$15,$F466,0),3),"")</f>
        <v>0</v>
      </c>
      <c r="R466" s="194">
        <f ca="1">OFFSET('배치점수 계산기'!H$10,$D466,0)</f>
        <v>889.21500000000003</v>
      </c>
      <c r="S466" s="194">
        <f ca="1">OFFSET('배치점수 계산기'!I$10,$D466,0)</f>
        <v>883.08</v>
      </c>
      <c r="T466" s="194">
        <f ca="1">OFFSET('배치점수 계산기'!J$10,$D466,0)</f>
        <v>874.62199999999996</v>
      </c>
      <c r="U466" s="194">
        <f ca="1">OFFSET('배치점수 계산기'!K$10,$D466,0)</f>
        <v>869.85799999999995</v>
      </c>
      <c r="V466" s="194">
        <f ca="1">OFFSET('배치점수 계산기'!L$10,$D466,0)</f>
        <v>860.76199999999994</v>
      </c>
      <c r="W466" s="186" t="str">
        <f ca="1">OFFSET('배치점수 계산기'!M$10,$D466,0)</f>
        <v>백분위</v>
      </c>
      <c r="X466" s="184" t="str">
        <f ca="1">OFFSET('배치점수 계산기'!N$10,$D466,0)</f>
        <v>백분위</v>
      </c>
      <c r="Y466" s="188">
        <f ca="1">OFFSET(환산공식!FW$15,$F466,0)</f>
        <v>0.24</v>
      </c>
      <c r="Z466" s="20">
        <f ca="1">OFFSET(환산공식!FX$15,$F466,0)</f>
        <v>0.41</v>
      </c>
      <c r="AA466" s="179">
        <f ca="1">OFFSET(환산공식!FY$15,$F466,0)</f>
        <v>0.35</v>
      </c>
      <c r="AB466" s="3"/>
      <c r="AD466">
        <f t="shared" ca="1" si="16"/>
        <v>6</v>
      </c>
      <c r="AF466" s="3"/>
      <c r="AG466" s="3"/>
      <c r="AH466" s="3"/>
    </row>
    <row r="467" spans="1:34">
      <c r="A467" s="198"/>
      <c r="B467" s="198"/>
      <c r="C467" s="198" t="s">
        <v>1028</v>
      </c>
      <c r="D467" s="195">
        <v>520</v>
      </c>
      <c r="E467" s="195">
        <v>91</v>
      </c>
      <c r="F467" s="195">
        <v>91</v>
      </c>
      <c r="G467" s="239">
        <v>460</v>
      </c>
      <c r="H467" s="197" t="s">
        <v>72</v>
      </c>
      <c r="I467" s="242" t="s">
        <v>422</v>
      </c>
      <c r="J467" s="242" t="s">
        <v>8757</v>
      </c>
      <c r="K467" s="195" t="s">
        <v>70</v>
      </c>
      <c r="L467" s="20" t="str">
        <f ca="1">IF(OFFSET(환산공식!$ED$15,$F467,0)=1,"O","X")</f>
        <v>X</v>
      </c>
      <c r="M467" s="188">
        <f ca="1">IFERROR(OFFSET(환산공식!DJ$15,$F467,0),"")</f>
        <v>150</v>
      </c>
      <c r="N467" s="20" t="str">
        <f ca="1">IFERROR(CONCATENATE(ROUND(OFFSET(환산공식!DK$15,$F467,0),1),"%"),"")</f>
        <v>100%</v>
      </c>
      <c r="O467" s="20">
        <f ca="1">IFERROR(OFFSET(환산공식!DL$15,$F467,0),"")</f>
        <v>5</v>
      </c>
      <c r="P467" s="188" t="str">
        <f t="shared" ca="1" si="15"/>
        <v>3% 이하</v>
      </c>
      <c r="Q467" s="194">
        <f ca="1">IFERROR(ROUND(OFFSET(환산공식!$FG$15,$F467,0),3),"")</f>
        <v>0</v>
      </c>
      <c r="R467" s="194">
        <f ca="1">OFFSET('배치점수 계산기'!H$10,$D467,0)</f>
        <v>881.29700000000003</v>
      </c>
      <c r="S467" s="194">
        <f ca="1">OFFSET('배치점수 계산기'!I$10,$D467,0)</f>
        <v>876.255</v>
      </c>
      <c r="T467" s="194">
        <f ca="1">OFFSET('배치점수 계산기'!J$10,$D467,0)</f>
        <v>868.71299999999997</v>
      </c>
      <c r="U467" s="194">
        <f ca="1">OFFSET('배치점수 계산기'!K$10,$D467,0)</f>
        <v>862.97900000000004</v>
      </c>
      <c r="V467" s="194">
        <f ca="1">OFFSET('배치점수 계산기'!L$10,$D467,0)</f>
        <v>851.87400000000002</v>
      </c>
      <c r="W467" s="186" t="str">
        <f ca="1">OFFSET('배치점수 계산기'!M$10,$D467,0)</f>
        <v>백분위</v>
      </c>
      <c r="X467" s="184" t="str">
        <f ca="1">OFFSET('배치점수 계산기'!N$10,$D467,0)</f>
        <v>백분위</v>
      </c>
      <c r="Y467" s="188">
        <f ca="1">OFFSET(환산공식!FW$15,$F467,0)</f>
        <v>0.24</v>
      </c>
      <c r="Z467" s="20">
        <f ca="1">OFFSET(환산공식!FX$15,$F467,0)</f>
        <v>0.41</v>
      </c>
      <c r="AA467" s="179">
        <f ca="1">OFFSET(환산공식!FY$15,$F467,0)</f>
        <v>0.35</v>
      </c>
      <c r="AB467" s="3"/>
      <c r="AD467">
        <f t="shared" ca="1" si="16"/>
        <v>6</v>
      </c>
      <c r="AF467" s="3"/>
      <c r="AG467" s="3"/>
      <c r="AH467" s="3"/>
    </row>
    <row r="468" spans="1:34">
      <c r="A468" s="198"/>
      <c r="B468" s="198"/>
      <c r="C468" s="198" t="s">
        <v>1029</v>
      </c>
      <c r="D468" s="195">
        <v>521</v>
      </c>
      <c r="E468" s="195">
        <v>94</v>
      </c>
      <c r="F468" s="195">
        <v>94</v>
      </c>
      <c r="G468" s="239">
        <v>461</v>
      </c>
      <c r="H468" s="197" t="s">
        <v>72</v>
      </c>
      <c r="I468" s="242" t="s">
        <v>422</v>
      </c>
      <c r="J468" s="242" t="s">
        <v>11191</v>
      </c>
      <c r="K468" s="195" t="s">
        <v>71</v>
      </c>
      <c r="L468" s="20" t="str">
        <f ca="1">IF(OFFSET(환산공식!$ED$15,$F468,0)=1,"O","X")</f>
        <v>X</v>
      </c>
      <c r="M468" s="188">
        <f ca="1">IFERROR(OFFSET(환산공식!DJ$15,$F468,0),"")</f>
        <v>200</v>
      </c>
      <c r="N468" s="20" t="str">
        <f ca="1">IFERROR(CONCATENATE(ROUND(OFFSET(환산공식!DK$15,$F468,0),1),"%"),"")</f>
        <v>100%</v>
      </c>
      <c r="O468" s="20">
        <f ca="1">IFERROR(OFFSET(환산공식!DL$15,$F468,0),"")</f>
        <v>5</v>
      </c>
      <c r="P468" s="188" t="str">
        <f t="shared" ca="1" si="15"/>
        <v>3% 이하</v>
      </c>
      <c r="Q468" s="194">
        <f ca="1">IFERROR(ROUND(OFFSET(환산공식!$FG$15,$F468,0),3),"")</f>
        <v>0</v>
      </c>
      <c r="R468" s="194">
        <f ca="1">OFFSET('배치점수 계산기'!H$10,$D468,0)</f>
        <v>862.29</v>
      </c>
      <c r="S468" s="194">
        <f ca="1">OFFSET('배치점수 계산기'!I$10,$D468,0)</f>
        <v>858.22</v>
      </c>
      <c r="T468" s="194">
        <f ca="1">OFFSET('배치점수 계산기'!J$10,$D468,0)</f>
        <v>850.51</v>
      </c>
      <c r="U468" s="194">
        <f ca="1">OFFSET('배치점수 계산기'!K$10,$D468,0)</f>
        <v>845.24</v>
      </c>
      <c r="V468" s="194">
        <f ca="1">OFFSET('배치점수 계산기'!L$10,$D468,0)</f>
        <v>835.08</v>
      </c>
      <c r="W468" s="186" t="str">
        <f ca="1">OFFSET('배치점수 계산기'!M$10,$D468,0)</f>
        <v>백분위</v>
      </c>
      <c r="X468" s="184" t="str">
        <f ca="1">OFFSET('배치점수 계산기'!N$10,$D468,0)</f>
        <v>백분위</v>
      </c>
      <c r="Y468" s="188">
        <f ca="1">OFFSET(환산공식!FW$15,$F468,0)</f>
        <v>0.31</v>
      </c>
      <c r="Z468" s="20">
        <f ca="1">OFFSET(환산공식!FX$15,$F468,0)</f>
        <v>0.44</v>
      </c>
      <c r="AA468" s="179">
        <f ca="1">OFFSET(환산공식!FY$15,$F468,0)</f>
        <v>0.25</v>
      </c>
      <c r="AB468" s="3"/>
      <c r="AD468">
        <f t="shared" ca="1" si="16"/>
        <v>6</v>
      </c>
      <c r="AF468" s="3"/>
      <c r="AG468" s="3"/>
      <c r="AH468" s="3"/>
    </row>
    <row r="469" spans="1:34">
      <c r="A469" s="198"/>
      <c r="B469" s="198"/>
      <c r="C469" s="198" t="s">
        <v>1030</v>
      </c>
      <c r="D469" s="195">
        <v>522</v>
      </c>
      <c r="E469" s="195">
        <v>93</v>
      </c>
      <c r="F469" s="195">
        <v>93</v>
      </c>
      <c r="G469" s="239">
        <v>462</v>
      </c>
      <c r="H469" s="197" t="s">
        <v>72</v>
      </c>
      <c r="I469" s="242" t="s">
        <v>422</v>
      </c>
      <c r="J469" s="242" t="s">
        <v>9411</v>
      </c>
      <c r="K469" s="195" t="s">
        <v>71</v>
      </c>
      <c r="L469" s="20" t="str">
        <f ca="1">IF(OFFSET(환산공식!$ED$15,$F469,0)=1,"O","X")</f>
        <v>X</v>
      </c>
      <c r="M469" s="188">
        <f ca="1">IFERROR(OFFSET(환산공식!DJ$15,$F469,0),"")</f>
        <v>200</v>
      </c>
      <c r="N469" s="20" t="str">
        <f ca="1">IFERROR(CONCATENATE(ROUND(OFFSET(환산공식!DK$15,$F469,0),1),"%"),"")</f>
        <v>100%</v>
      </c>
      <c r="O469" s="20">
        <f ca="1">IFERROR(OFFSET(환산공식!DL$15,$F469,0),"")</f>
        <v>5</v>
      </c>
      <c r="P469" s="188" t="str">
        <f t="shared" ca="1" si="15"/>
        <v>3% 이하</v>
      </c>
      <c r="Q469" s="194">
        <f ca="1">IFERROR(ROUND(OFFSET(환산공식!$FG$15,$F469,0),3),"")</f>
        <v>0</v>
      </c>
      <c r="R469" s="194">
        <f ca="1">OFFSET('배치점수 계산기'!H$10,$D469,0)</f>
        <v>868.86500000000001</v>
      </c>
      <c r="S469" s="194">
        <f ca="1">OFFSET('배치점수 계산기'!I$10,$D469,0)</f>
        <v>864.29499999999996</v>
      </c>
      <c r="T469" s="194">
        <f ca="1">OFFSET('배치점수 계산기'!J$10,$D469,0)</f>
        <v>857.13499999999999</v>
      </c>
      <c r="U469" s="194">
        <f ca="1">OFFSET('배치점수 계산기'!K$10,$D469,0)</f>
        <v>852.09</v>
      </c>
      <c r="V469" s="194">
        <f ca="1">OFFSET('배치점수 계산기'!L$10,$D469,0)</f>
        <v>842.08</v>
      </c>
      <c r="W469" s="186" t="str">
        <f ca="1">OFFSET('배치점수 계산기'!M$10,$D469,0)</f>
        <v>백분위</v>
      </c>
      <c r="X469" s="184" t="str">
        <f ca="1">OFFSET('배치점수 계산기'!N$10,$D469,0)</f>
        <v>백분위</v>
      </c>
      <c r="Y469" s="188">
        <f ca="1">OFFSET(환산공식!FW$15,$F469,0)</f>
        <v>0.44</v>
      </c>
      <c r="Z469" s="20">
        <f ca="1">OFFSET(환산공식!FX$15,$F469,0)</f>
        <v>0.31</v>
      </c>
      <c r="AA469" s="179">
        <f ca="1">OFFSET(환산공식!FY$15,$F469,0)</f>
        <v>0.25</v>
      </c>
      <c r="AB469" s="3"/>
      <c r="AD469">
        <f t="shared" ca="1" si="16"/>
        <v>6</v>
      </c>
      <c r="AF469" s="3"/>
      <c r="AG469" s="3"/>
      <c r="AH469" s="3"/>
    </row>
    <row r="470" spans="1:34">
      <c r="A470" s="198"/>
      <c r="B470" s="198"/>
      <c r="C470" s="198" t="s">
        <v>1031</v>
      </c>
      <c r="D470" s="195">
        <v>523</v>
      </c>
      <c r="E470" s="195">
        <v>93</v>
      </c>
      <c r="F470" s="195">
        <v>93</v>
      </c>
      <c r="G470" s="239">
        <v>463</v>
      </c>
      <c r="H470" s="197" t="s">
        <v>72</v>
      </c>
      <c r="I470" s="242" t="s">
        <v>422</v>
      </c>
      <c r="J470" s="242" t="s">
        <v>11238</v>
      </c>
      <c r="K470" s="195" t="s">
        <v>71</v>
      </c>
      <c r="L470" s="20" t="str">
        <f ca="1">IF(OFFSET(환산공식!$ED$15,$F470,0)=1,"O","X")</f>
        <v>X</v>
      </c>
      <c r="M470" s="188">
        <f ca="1">IFERROR(OFFSET(환산공식!DJ$15,$F470,0),"")</f>
        <v>200</v>
      </c>
      <c r="N470" s="20" t="str">
        <f ca="1">IFERROR(CONCATENATE(ROUND(OFFSET(환산공식!DK$15,$F470,0),1),"%"),"")</f>
        <v>100%</v>
      </c>
      <c r="O470" s="20">
        <f ca="1">IFERROR(OFFSET(환산공식!DL$15,$F470,0),"")</f>
        <v>5</v>
      </c>
      <c r="P470" s="188" t="str">
        <f t="shared" ca="1" si="15"/>
        <v>3% 이하</v>
      </c>
      <c r="Q470" s="194">
        <f ca="1">IFERROR(ROUND(OFFSET(환산공식!$FG$15,$F470,0),3),"")</f>
        <v>0</v>
      </c>
      <c r="R470" s="194">
        <f ca="1">OFFSET('배치점수 계산기'!H$10,$D470,0)</f>
        <v>868.39</v>
      </c>
      <c r="S470" s="194">
        <f ca="1">OFFSET('배치점수 계산기'!I$10,$D470,0)</f>
        <v>862.97500000000002</v>
      </c>
      <c r="T470" s="194">
        <f ca="1">OFFSET('배치점수 계산기'!J$10,$D470,0)</f>
        <v>855.63499999999999</v>
      </c>
      <c r="U470" s="194">
        <f ca="1">OFFSET('배치점수 계산기'!K$10,$D470,0)</f>
        <v>850.245</v>
      </c>
      <c r="V470" s="194">
        <f ca="1">OFFSET('배치점수 계산기'!L$10,$D470,0)</f>
        <v>840.53499999999997</v>
      </c>
      <c r="W470" s="186" t="str">
        <f ca="1">OFFSET('배치점수 계산기'!M$10,$D470,0)</f>
        <v>백분위</v>
      </c>
      <c r="X470" s="184" t="str">
        <f ca="1">OFFSET('배치점수 계산기'!N$10,$D470,0)</f>
        <v>백분위</v>
      </c>
      <c r="Y470" s="188">
        <f ca="1">OFFSET(환산공식!FW$15,$F470,0)</f>
        <v>0.44</v>
      </c>
      <c r="Z470" s="20">
        <f ca="1">OFFSET(환산공식!FX$15,$F470,0)</f>
        <v>0.31</v>
      </c>
      <c r="AA470" s="179">
        <f ca="1">OFFSET(환산공식!FY$15,$F470,0)</f>
        <v>0.25</v>
      </c>
      <c r="AB470" s="3"/>
      <c r="AD470">
        <f t="shared" ca="1" si="16"/>
        <v>6</v>
      </c>
      <c r="AF470" s="3"/>
      <c r="AG470" s="3"/>
      <c r="AH470" s="3"/>
    </row>
    <row r="471" spans="1:34">
      <c r="A471" s="198"/>
      <c r="B471" s="198"/>
      <c r="C471" s="198" t="s">
        <v>1032</v>
      </c>
      <c r="D471" s="195">
        <v>524</v>
      </c>
      <c r="E471" s="195">
        <v>93</v>
      </c>
      <c r="F471" s="195">
        <v>93</v>
      </c>
      <c r="G471" s="239">
        <v>464</v>
      </c>
      <c r="H471" s="197" t="s">
        <v>72</v>
      </c>
      <c r="I471" s="242" t="s">
        <v>422</v>
      </c>
      <c r="J471" s="242" t="s">
        <v>11296</v>
      </c>
      <c r="K471" s="195" t="s">
        <v>71</v>
      </c>
      <c r="L471" s="20" t="str">
        <f ca="1">IF(OFFSET(환산공식!$ED$15,$F471,0)=1,"O","X")</f>
        <v>X</v>
      </c>
      <c r="M471" s="188">
        <f ca="1">IFERROR(OFFSET(환산공식!DJ$15,$F471,0),"")</f>
        <v>200</v>
      </c>
      <c r="N471" s="20" t="str">
        <f ca="1">IFERROR(CONCATENATE(ROUND(OFFSET(환산공식!DK$15,$F471,0),1),"%"),"")</f>
        <v>100%</v>
      </c>
      <c r="O471" s="20">
        <f ca="1">IFERROR(OFFSET(환산공식!DL$15,$F471,0),"")</f>
        <v>5</v>
      </c>
      <c r="P471" s="188" t="str">
        <f t="shared" ca="1" si="15"/>
        <v>3% 이하</v>
      </c>
      <c r="Q471" s="194">
        <f ca="1">IFERROR(ROUND(OFFSET(환산공식!$FG$15,$F471,0),3),"")</f>
        <v>0</v>
      </c>
      <c r="R471" s="194">
        <f ca="1">OFFSET('배치점수 계산기'!H$10,$D471,0)</f>
        <v>865.79499999999996</v>
      </c>
      <c r="S471" s="194">
        <f ca="1">OFFSET('배치점수 계산기'!I$10,$D471,0)</f>
        <v>860.43</v>
      </c>
      <c r="T471" s="194">
        <f ca="1">OFFSET('배치점수 계산기'!J$10,$D471,0)</f>
        <v>853.29</v>
      </c>
      <c r="U471" s="194">
        <f ca="1">OFFSET('배치점수 계산기'!K$10,$D471,0)</f>
        <v>847.57500000000005</v>
      </c>
      <c r="V471" s="194">
        <f ca="1">OFFSET('배치점수 계산기'!L$10,$D471,0)</f>
        <v>838.73500000000001</v>
      </c>
      <c r="W471" s="186" t="str">
        <f ca="1">OFFSET('배치점수 계산기'!M$10,$D471,0)</f>
        <v>백분위</v>
      </c>
      <c r="X471" s="184" t="str">
        <f ca="1">OFFSET('배치점수 계산기'!N$10,$D471,0)</f>
        <v>백분위</v>
      </c>
      <c r="Y471" s="188">
        <f ca="1">OFFSET(환산공식!FW$15,$F471,0)</f>
        <v>0.44</v>
      </c>
      <c r="Z471" s="20">
        <f ca="1">OFFSET(환산공식!FX$15,$F471,0)</f>
        <v>0.31</v>
      </c>
      <c r="AA471" s="179">
        <f ca="1">OFFSET(환산공식!FY$15,$F471,0)</f>
        <v>0.25</v>
      </c>
      <c r="AB471" s="3"/>
      <c r="AD471">
        <f t="shared" ca="1" si="16"/>
        <v>6</v>
      </c>
      <c r="AF471" s="3"/>
      <c r="AG471" s="3"/>
      <c r="AH471" s="3"/>
    </row>
    <row r="472" spans="1:34">
      <c r="A472" s="198"/>
      <c r="B472" s="198"/>
      <c r="C472" s="198" t="s">
        <v>1033</v>
      </c>
      <c r="D472" s="195">
        <v>525</v>
      </c>
      <c r="E472" s="195">
        <v>93</v>
      </c>
      <c r="F472" s="195">
        <v>93</v>
      </c>
      <c r="G472" s="239">
        <v>465</v>
      </c>
      <c r="H472" s="197" t="s">
        <v>72</v>
      </c>
      <c r="I472" s="242" t="s">
        <v>422</v>
      </c>
      <c r="J472" s="242" t="s">
        <v>11301</v>
      </c>
      <c r="K472" s="195" t="s">
        <v>71</v>
      </c>
      <c r="L472" s="20" t="str">
        <f ca="1">IF(OFFSET(환산공식!$ED$15,$F472,0)=1,"O","X")</f>
        <v>X</v>
      </c>
      <c r="M472" s="188">
        <f ca="1">IFERROR(OFFSET(환산공식!DJ$15,$F472,0),"")</f>
        <v>200</v>
      </c>
      <c r="N472" s="20" t="str">
        <f ca="1">IFERROR(CONCATENATE(ROUND(OFFSET(환산공식!DK$15,$F472,0),1),"%"),"")</f>
        <v>100%</v>
      </c>
      <c r="O472" s="20">
        <f ca="1">IFERROR(OFFSET(환산공식!DL$15,$F472,0),"")</f>
        <v>5</v>
      </c>
      <c r="P472" s="188" t="str">
        <f t="shared" ca="1" si="15"/>
        <v>3% 이하</v>
      </c>
      <c r="Q472" s="194">
        <f ca="1">IFERROR(ROUND(OFFSET(환산공식!$FG$15,$F472,0),3),"")</f>
        <v>0</v>
      </c>
      <c r="R472" s="194">
        <f ca="1">OFFSET('배치점수 계산기'!H$10,$D472,0)</f>
        <v>864.64499999999998</v>
      </c>
      <c r="S472" s="194">
        <f ca="1">OFFSET('배치점수 계산기'!I$10,$D472,0)</f>
        <v>860.08</v>
      </c>
      <c r="T472" s="194">
        <f ca="1">OFFSET('배치점수 계산기'!J$10,$D472,0)</f>
        <v>852.44</v>
      </c>
      <c r="U472" s="194">
        <f ca="1">OFFSET('배치점수 계산기'!K$10,$D472,0)</f>
        <v>846.92499999999995</v>
      </c>
      <c r="V472" s="194">
        <f ca="1">OFFSET('배치점수 계산기'!L$10,$D472,0)</f>
        <v>837.54</v>
      </c>
      <c r="W472" s="186" t="str">
        <f ca="1">OFFSET('배치점수 계산기'!M$10,$D472,0)</f>
        <v>백분위</v>
      </c>
      <c r="X472" s="184" t="str">
        <f ca="1">OFFSET('배치점수 계산기'!N$10,$D472,0)</f>
        <v>백분위</v>
      </c>
      <c r="Y472" s="188">
        <f ca="1">OFFSET(환산공식!FW$15,$F472,0)</f>
        <v>0.44</v>
      </c>
      <c r="Z472" s="20">
        <f ca="1">OFFSET(환산공식!FX$15,$F472,0)</f>
        <v>0.31</v>
      </c>
      <c r="AA472" s="179">
        <f ca="1">OFFSET(환산공식!FY$15,$F472,0)</f>
        <v>0.25</v>
      </c>
      <c r="AB472" s="3"/>
      <c r="AD472">
        <f t="shared" ca="1" si="16"/>
        <v>6</v>
      </c>
      <c r="AF472" s="3"/>
      <c r="AG472" s="3"/>
      <c r="AH472" s="3"/>
    </row>
    <row r="473" spans="1:34">
      <c r="A473" s="198"/>
      <c r="B473" s="198"/>
      <c r="C473" s="198" t="s">
        <v>1034</v>
      </c>
      <c r="D473" s="195">
        <v>526</v>
      </c>
      <c r="E473" s="195">
        <v>93</v>
      </c>
      <c r="F473" s="195">
        <v>93</v>
      </c>
      <c r="G473" s="239">
        <v>466</v>
      </c>
      <c r="H473" s="197" t="s">
        <v>72</v>
      </c>
      <c r="I473" s="242" t="s">
        <v>422</v>
      </c>
      <c r="J473" s="242" t="s">
        <v>11351</v>
      </c>
      <c r="K473" s="195" t="s">
        <v>71</v>
      </c>
      <c r="L473" s="20" t="str">
        <f ca="1">IF(OFFSET(환산공식!$ED$15,$F473,0)=1,"O","X")</f>
        <v>X</v>
      </c>
      <c r="M473" s="188">
        <f ca="1">IFERROR(OFFSET(환산공식!DJ$15,$F473,0),"")</f>
        <v>200</v>
      </c>
      <c r="N473" s="20" t="str">
        <f ca="1">IFERROR(CONCATENATE(ROUND(OFFSET(환산공식!DK$15,$F473,0),1),"%"),"")</f>
        <v>100%</v>
      </c>
      <c r="O473" s="20">
        <f ca="1">IFERROR(OFFSET(환산공식!DL$15,$F473,0),"")</f>
        <v>5</v>
      </c>
      <c r="P473" s="188" t="str">
        <f t="shared" ca="1" si="15"/>
        <v>3% 이하</v>
      </c>
      <c r="Q473" s="194">
        <f ca="1">IFERROR(ROUND(OFFSET(환산공식!$FG$15,$F473,0),3),"")</f>
        <v>0</v>
      </c>
      <c r="R473" s="194">
        <f ca="1">OFFSET('배치점수 계산기'!H$10,$D473,0)</f>
        <v>862.97500000000002</v>
      </c>
      <c r="S473" s="194">
        <f ca="1">OFFSET('배치점수 계산기'!I$10,$D473,0)</f>
        <v>858.45500000000004</v>
      </c>
      <c r="T473" s="194">
        <f ca="1">OFFSET('배치점수 계산기'!J$10,$D473,0)</f>
        <v>850.77</v>
      </c>
      <c r="U473" s="194">
        <f ca="1">OFFSET('배치점수 계산기'!K$10,$D473,0)</f>
        <v>845</v>
      </c>
      <c r="V473" s="194">
        <f ca="1">OFFSET('배치점수 계산기'!L$10,$D473,0)</f>
        <v>836.04</v>
      </c>
      <c r="W473" s="186" t="str">
        <f ca="1">OFFSET('배치점수 계산기'!M$10,$D473,0)</f>
        <v>백분위</v>
      </c>
      <c r="X473" s="184" t="str">
        <f ca="1">OFFSET('배치점수 계산기'!N$10,$D473,0)</f>
        <v>백분위</v>
      </c>
      <c r="Y473" s="188">
        <f ca="1">OFFSET(환산공식!FW$15,$F473,0)</f>
        <v>0.44</v>
      </c>
      <c r="Z473" s="20">
        <f ca="1">OFFSET(환산공식!FX$15,$F473,0)</f>
        <v>0.31</v>
      </c>
      <c r="AA473" s="179">
        <f ca="1">OFFSET(환산공식!FY$15,$F473,0)</f>
        <v>0.25</v>
      </c>
      <c r="AB473" s="3"/>
      <c r="AD473">
        <f t="shared" ca="1" si="16"/>
        <v>6</v>
      </c>
      <c r="AF473" s="3"/>
      <c r="AG473" s="3"/>
      <c r="AH473" s="3"/>
    </row>
    <row r="474" spans="1:34">
      <c r="A474" s="198"/>
      <c r="B474" s="198"/>
      <c r="C474" s="198" t="s">
        <v>1035</v>
      </c>
      <c r="D474" s="195">
        <v>527</v>
      </c>
      <c r="E474" s="195">
        <v>96</v>
      </c>
      <c r="F474" s="195">
        <v>96</v>
      </c>
      <c r="G474" s="239">
        <v>467</v>
      </c>
      <c r="H474" s="197" t="s">
        <v>72</v>
      </c>
      <c r="I474" s="242" t="s">
        <v>423</v>
      </c>
      <c r="J474" s="242" t="s">
        <v>8856</v>
      </c>
      <c r="K474" s="195" t="s">
        <v>70</v>
      </c>
      <c r="L474" s="20" t="str">
        <f ca="1">IF(OFFSET(환산공식!$ED$15,$F474,0)=1,"O","X")</f>
        <v>X</v>
      </c>
      <c r="M474" s="188">
        <f ca="1">IFERROR(OFFSET(환산공식!DJ$15,$F474,0),"")</f>
        <v>200</v>
      </c>
      <c r="N474" s="20" t="str">
        <f ca="1">IFERROR(CONCATENATE(ROUND(OFFSET(환산공식!DK$15,$F474,0),1),"%"),"")</f>
        <v>100%</v>
      </c>
      <c r="O474" s="20">
        <f ca="1">IFERROR(OFFSET(환산공식!DL$15,$F474,0),"")</f>
        <v>10</v>
      </c>
      <c r="P474" s="188" t="str">
        <f t="shared" ca="1" si="15"/>
        <v>3% 이하</v>
      </c>
      <c r="Q474" s="194">
        <f ca="1">IFERROR(ROUND(OFFSET(환산공식!$FG$15,$F474,0),3),"")</f>
        <v>0</v>
      </c>
      <c r="R474" s="194">
        <f ca="1">OFFSET('배치점수 계산기'!H$10,$D474,0)</f>
        <v>699.74400000000003</v>
      </c>
      <c r="S474" s="194">
        <f ca="1">OFFSET('배치점수 계산기'!I$10,$D474,0)</f>
        <v>698.53499999999997</v>
      </c>
      <c r="T474" s="194">
        <f ca="1">OFFSET('배치점수 계산기'!J$10,$D474,0)</f>
        <v>696.64200000000005</v>
      </c>
      <c r="U474" s="194">
        <f ca="1">OFFSET('배치점수 계산기'!K$10,$D474,0)</f>
        <v>693.68499999999995</v>
      </c>
      <c r="V474" s="194">
        <f ca="1">OFFSET('배치점수 계산기'!L$10,$D474,0)</f>
        <v>690.97</v>
      </c>
      <c r="W474" s="186" t="str">
        <f ca="1">OFFSET('배치점수 계산기'!M$10,$D474,0)</f>
        <v>표점</v>
      </c>
      <c r="X474" s="184" t="str">
        <f ca="1">OFFSET('배치점수 계산기'!N$10,$D474,0)</f>
        <v>변표</v>
      </c>
      <c r="Y474" s="188">
        <f ca="1">OFFSET(환산공식!FW$15,$F474,0)</f>
        <v>0.25</v>
      </c>
      <c r="Z474" s="20">
        <f ca="1">OFFSET(환산공식!FX$15,$F474,0)</f>
        <v>0.44</v>
      </c>
      <c r="AA474" s="179">
        <f ca="1">OFFSET(환산공식!FY$15,$F474,0)</f>
        <v>0.31</v>
      </c>
      <c r="AB474" s="3"/>
      <c r="AD474">
        <f t="shared" ca="1" si="16"/>
        <v>6</v>
      </c>
      <c r="AF474" s="3"/>
      <c r="AG474" s="3"/>
      <c r="AH474" s="3"/>
    </row>
    <row r="475" spans="1:34">
      <c r="A475" s="198"/>
      <c r="B475" s="198"/>
      <c r="C475" s="198" t="s">
        <v>1036</v>
      </c>
      <c r="D475" s="195">
        <v>528</v>
      </c>
      <c r="E475" s="195">
        <v>96</v>
      </c>
      <c r="F475" s="195">
        <v>96</v>
      </c>
      <c r="G475" s="239">
        <v>468</v>
      </c>
      <c r="H475" s="197" t="s">
        <v>72</v>
      </c>
      <c r="I475" s="242" t="s">
        <v>423</v>
      </c>
      <c r="J475" s="242" t="s">
        <v>9611</v>
      </c>
      <c r="K475" s="195" t="s">
        <v>70</v>
      </c>
      <c r="L475" s="20" t="str">
        <f ca="1">IF(OFFSET(환산공식!$ED$15,$F475,0)=1,"O","X")</f>
        <v>X</v>
      </c>
      <c r="M475" s="188">
        <f ca="1">IFERROR(OFFSET(환산공식!DJ$15,$F475,0),"")</f>
        <v>200</v>
      </c>
      <c r="N475" s="20" t="str">
        <f ca="1">IFERROR(CONCATENATE(ROUND(OFFSET(환산공식!DK$15,$F475,0),1),"%"),"")</f>
        <v>100%</v>
      </c>
      <c r="O475" s="20">
        <f ca="1">IFERROR(OFFSET(환산공식!DL$15,$F475,0),"")</f>
        <v>10</v>
      </c>
      <c r="P475" s="188" t="str">
        <f t="shared" ca="1" si="15"/>
        <v>3% 이하</v>
      </c>
      <c r="Q475" s="194">
        <f ca="1">IFERROR(ROUND(OFFSET(환산공식!$FG$15,$F475,0),3),"")</f>
        <v>0</v>
      </c>
      <c r="R475" s="194">
        <f ca="1">OFFSET('배치점수 계산기'!H$10,$D475,0)</f>
        <v>697.74300000000005</v>
      </c>
      <c r="S475" s="194">
        <f ca="1">OFFSET('배치점수 계산기'!I$10,$D475,0)</f>
        <v>695.89800000000002</v>
      </c>
      <c r="T475" s="194">
        <f ca="1">OFFSET('배치점수 계산기'!J$10,$D475,0)</f>
        <v>693.98299999999995</v>
      </c>
      <c r="U475" s="194">
        <f ca="1">OFFSET('배치점수 계산기'!K$10,$D475,0)</f>
        <v>691.327</v>
      </c>
      <c r="V475" s="194">
        <f ca="1">OFFSET('배치점수 계산기'!L$10,$D475,0)</f>
        <v>688.48299999999995</v>
      </c>
      <c r="W475" s="186" t="str">
        <f ca="1">OFFSET('배치점수 계산기'!M$10,$D475,0)</f>
        <v>표점</v>
      </c>
      <c r="X475" s="184" t="str">
        <f ca="1">OFFSET('배치점수 계산기'!N$10,$D475,0)</f>
        <v>변표</v>
      </c>
      <c r="Y475" s="188">
        <f ca="1">OFFSET(환산공식!FW$15,$F475,0)</f>
        <v>0.25</v>
      </c>
      <c r="Z475" s="20">
        <f ca="1">OFFSET(환산공식!FX$15,$F475,0)</f>
        <v>0.44</v>
      </c>
      <c r="AA475" s="179">
        <f ca="1">OFFSET(환산공식!FY$15,$F475,0)</f>
        <v>0.31</v>
      </c>
      <c r="AB475" s="3"/>
      <c r="AD475">
        <f t="shared" ca="1" si="16"/>
        <v>6</v>
      </c>
      <c r="AF475" s="3"/>
      <c r="AG475" s="3"/>
      <c r="AH475" s="3"/>
    </row>
    <row r="476" spans="1:34">
      <c r="A476" s="198"/>
      <c r="B476" s="198"/>
      <c r="C476" s="198" t="s">
        <v>1037</v>
      </c>
      <c r="D476" s="195">
        <v>529</v>
      </c>
      <c r="E476" s="195">
        <v>96</v>
      </c>
      <c r="F476" s="195">
        <v>96</v>
      </c>
      <c r="G476" s="239">
        <v>469</v>
      </c>
      <c r="H476" s="197" t="s">
        <v>72</v>
      </c>
      <c r="I476" s="242" t="s">
        <v>423</v>
      </c>
      <c r="J476" s="242" t="s">
        <v>11851</v>
      </c>
      <c r="K476" s="195" t="s">
        <v>70</v>
      </c>
      <c r="L476" s="20" t="str">
        <f ca="1">IF(OFFSET(환산공식!$ED$15,$F476,0)=1,"O","X")</f>
        <v>X</v>
      </c>
      <c r="M476" s="188">
        <f ca="1">IFERROR(OFFSET(환산공식!DJ$15,$F476,0),"")</f>
        <v>200</v>
      </c>
      <c r="N476" s="20" t="str">
        <f ca="1">IFERROR(CONCATENATE(ROUND(OFFSET(환산공식!DK$15,$F476,0),1),"%"),"")</f>
        <v>100%</v>
      </c>
      <c r="O476" s="20">
        <f ca="1">IFERROR(OFFSET(환산공식!DL$15,$F476,0),"")</f>
        <v>10</v>
      </c>
      <c r="P476" s="188" t="str">
        <f t="shared" ca="1" si="15"/>
        <v>3% 이하</v>
      </c>
      <c r="Q476" s="194">
        <f ca="1">IFERROR(ROUND(OFFSET(환산공식!$FG$15,$F476,0),3),"")</f>
        <v>0</v>
      </c>
      <c r="R476" s="194">
        <f ca="1">OFFSET('배치점수 계산기'!H$10,$D476,0)</f>
        <v>696.14300000000003</v>
      </c>
      <c r="S476" s="194">
        <f ca="1">OFFSET('배치점수 계산기'!I$10,$D476,0)</f>
        <v>694.89800000000002</v>
      </c>
      <c r="T476" s="194">
        <f ca="1">OFFSET('배치점수 계산기'!J$10,$D476,0)</f>
        <v>693.154</v>
      </c>
      <c r="U476" s="194">
        <f ca="1">OFFSET('배치점수 계산기'!K$10,$D476,0)</f>
        <v>690.36199999999997</v>
      </c>
      <c r="V476" s="194">
        <f ca="1">OFFSET('배치점수 계산기'!L$10,$D476,0)</f>
        <v>687.62199999999996</v>
      </c>
      <c r="W476" s="186" t="str">
        <f ca="1">OFFSET('배치점수 계산기'!M$10,$D476,0)</f>
        <v>표점</v>
      </c>
      <c r="X476" s="184" t="str">
        <f ca="1">OFFSET('배치점수 계산기'!N$10,$D476,0)</f>
        <v>변표</v>
      </c>
      <c r="Y476" s="188">
        <f ca="1">OFFSET(환산공식!FW$15,$F476,0)</f>
        <v>0.25</v>
      </c>
      <c r="Z476" s="20">
        <f ca="1">OFFSET(환산공식!FX$15,$F476,0)</f>
        <v>0.44</v>
      </c>
      <c r="AA476" s="179">
        <f ca="1">OFFSET(환산공식!FY$15,$F476,0)</f>
        <v>0.31</v>
      </c>
      <c r="AB476" s="3"/>
      <c r="AD476">
        <f t="shared" ca="1" si="16"/>
        <v>6</v>
      </c>
      <c r="AF476" s="3"/>
      <c r="AG476" s="3"/>
      <c r="AH476" s="3"/>
    </row>
    <row r="477" spans="1:34">
      <c r="A477" s="198"/>
      <c r="B477" s="198"/>
      <c r="C477" s="198" t="s">
        <v>1038</v>
      </c>
      <c r="D477" s="195">
        <v>530</v>
      </c>
      <c r="E477" s="195">
        <v>96</v>
      </c>
      <c r="F477" s="195">
        <v>96</v>
      </c>
      <c r="G477" s="239">
        <v>470</v>
      </c>
      <c r="H477" s="197" t="s">
        <v>72</v>
      </c>
      <c r="I477" s="242" t="s">
        <v>423</v>
      </c>
      <c r="J477" s="242" t="s">
        <v>8418</v>
      </c>
      <c r="K477" s="195" t="s">
        <v>70</v>
      </c>
      <c r="L477" s="20" t="str">
        <f ca="1">IF(OFFSET(환산공식!$ED$15,$F477,0)=1,"O","X")</f>
        <v>X</v>
      </c>
      <c r="M477" s="188">
        <f ca="1">IFERROR(OFFSET(환산공식!DJ$15,$F477,0),"")</f>
        <v>200</v>
      </c>
      <c r="N477" s="20" t="str">
        <f ca="1">IFERROR(CONCATENATE(ROUND(OFFSET(환산공식!DK$15,$F477,0),1),"%"),"")</f>
        <v>100%</v>
      </c>
      <c r="O477" s="20">
        <f ca="1">IFERROR(OFFSET(환산공식!DL$15,$F477,0),"")</f>
        <v>10</v>
      </c>
      <c r="P477" s="188" t="str">
        <f t="shared" ca="1" si="15"/>
        <v>3% 이하</v>
      </c>
      <c r="Q477" s="194">
        <f ca="1">IFERROR(ROUND(OFFSET(환산공식!$FG$15,$F477,0),3),"")</f>
        <v>0</v>
      </c>
      <c r="R477" s="194">
        <f ca="1">OFFSET('배치점수 계산기'!H$10,$D477,0)</f>
        <v>696.14300000000003</v>
      </c>
      <c r="S477" s="194">
        <f ca="1">OFFSET('배치점수 계산기'!I$10,$D477,0)</f>
        <v>694.25900000000001</v>
      </c>
      <c r="T477" s="194">
        <f ca="1">OFFSET('배치점수 계산기'!J$10,$D477,0)</f>
        <v>692.58500000000004</v>
      </c>
      <c r="U477" s="194">
        <f ca="1">OFFSET('배치점수 계산기'!K$10,$D477,0)</f>
        <v>689.79100000000005</v>
      </c>
      <c r="V477" s="194">
        <f ca="1">OFFSET('배치점수 계산기'!L$10,$D477,0)</f>
        <v>686.86699999999996</v>
      </c>
      <c r="W477" s="186" t="str">
        <f ca="1">OFFSET('배치점수 계산기'!M$10,$D477,0)</f>
        <v>표점</v>
      </c>
      <c r="X477" s="184" t="str">
        <f ca="1">OFFSET('배치점수 계산기'!N$10,$D477,0)</f>
        <v>변표</v>
      </c>
      <c r="Y477" s="188">
        <f ca="1">OFFSET(환산공식!FW$15,$F477,0)</f>
        <v>0.25</v>
      </c>
      <c r="Z477" s="20">
        <f ca="1">OFFSET(환산공식!FX$15,$F477,0)</f>
        <v>0.44</v>
      </c>
      <c r="AA477" s="179">
        <f ca="1">OFFSET(환산공식!FY$15,$F477,0)</f>
        <v>0.31</v>
      </c>
      <c r="AB477" s="3"/>
      <c r="AD477">
        <f t="shared" ca="1" si="16"/>
        <v>6</v>
      </c>
      <c r="AF477" s="3"/>
      <c r="AG477" s="3"/>
      <c r="AH477" s="3"/>
    </row>
    <row r="478" spans="1:34">
      <c r="A478" s="198"/>
      <c r="B478" s="198"/>
      <c r="C478" s="198" t="s">
        <v>1039</v>
      </c>
      <c r="D478" s="195">
        <v>531</v>
      </c>
      <c r="E478" s="195">
        <v>96</v>
      </c>
      <c r="F478" s="195">
        <v>96</v>
      </c>
      <c r="G478" s="239">
        <v>471</v>
      </c>
      <c r="H478" s="197" t="s">
        <v>72</v>
      </c>
      <c r="I478" s="242" t="s">
        <v>423</v>
      </c>
      <c r="J478" s="242" t="s">
        <v>9090</v>
      </c>
      <c r="K478" s="195" t="s">
        <v>70</v>
      </c>
      <c r="L478" s="20" t="str">
        <f ca="1">IF(OFFSET(환산공식!$ED$15,$F478,0)=1,"O","X")</f>
        <v>X</v>
      </c>
      <c r="M478" s="188">
        <f ca="1">IFERROR(OFFSET(환산공식!DJ$15,$F478,0),"")</f>
        <v>200</v>
      </c>
      <c r="N478" s="20" t="str">
        <f ca="1">IFERROR(CONCATENATE(ROUND(OFFSET(환산공식!DK$15,$F478,0),1),"%"),"")</f>
        <v>100%</v>
      </c>
      <c r="O478" s="20">
        <f ca="1">IFERROR(OFFSET(환산공식!DL$15,$F478,0),"")</f>
        <v>10</v>
      </c>
      <c r="P478" s="188" t="str">
        <f t="shared" ca="1" si="15"/>
        <v>3% 이하</v>
      </c>
      <c r="Q478" s="194">
        <f ca="1">IFERROR(ROUND(OFFSET(환산공식!$FG$15,$F478,0),3),"")</f>
        <v>0</v>
      </c>
      <c r="R478" s="194">
        <f ca="1">OFFSET('배치점수 계산기'!H$10,$D478,0)</f>
        <v>693.98299999999995</v>
      </c>
      <c r="S478" s="194">
        <f ca="1">OFFSET('배치점수 계산기'!I$10,$D478,0)</f>
        <v>692.89700000000005</v>
      </c>
      <c r="T478" s="194">
        <f ca="1">OFFSET('배치점수 계산기'!J$10,$D478,0)</f>
        <v>691.327</v>
      </c>
      <c r="U478" s="194">
        <f ca="1">OFFSET('배치점수 계산기'!K$10,$D478,0)</f>
        <v>688.48299999999995</v>
      </c>
      <c r="V478" s="194">
        <f ca="1">OFFSET('배치점수 계산기'!L$10,$D478,0)</f>
        <v>685.62199999999996</v>
      </c>
      <c r="W478" s="186" t="str">
        <f ca="1">OFFSET('배치점수 계산기'!M$10,$D478,0)</f>
        <v>표점</v>
      </c>
      <c r="X478" s="184" t="str">
        <f ca="1">OFFSET('배치점수 계산기'!N$10,$D478,0)</f>
        <v>변표</v>
      </c>
      <c r="Y478" s="188">
        <f ca="1">OFFSET(환산공식!FW$15,$F478,0)</f>
        <v>0.25</v>
      </c>
      <c r="Z478" s="20">
        <f ca="1">OFFSET(환산공식!FX$15,$F478,0)</f>
        <v>0.44</v>
      </c>
      <c r="AA478" s="179">
        <f ca="1">OFFSET(환산공식!FY$15,$F478,0)</f>
        <v>0.31</v>
      </c>
      <c r="AB478" s="3"/>
      <c r="AD478">
        <f t="shared" ca="1" si="16"/>
        <v>6</v>
      </c>
      <c r="AF478" s="3"/>
      <c r="AG478" s="3"/>
      <c r="AH478" s="3"/>
    </row>
    <row r="479" spans="1:34">
      <c r="A479" s="198"/>
      <c r="B479" s="198"/>
      <c r="C479" s="198" t="s">
        <v>1040</v>
      </c>
      <c r="D479" s="195">
        <v>532</v>
      </c>
      <c r="E479" s="195">
        <v>96</v>
      </c>
      <c r="F479" s="195">
        <v>96</v>
      </c>
      <c r="G479" s="239">
        <v>472</v>
      </c>
      <c r="H479" s="197" t="s">
        <v>72</v>
      </c>
      <c r="I479" s="242" t="s">
        <v>423</v>
      </c>
      <c r="J479" s="242" t="s">
        <v>8148</v>
      </c>
      <c r="K479" s="195" t="s">
        <v>70</v>
      </c>
      <c r="L479" s="20" t="str">
        <f ca="1">IF(OFFSET(환산공식!$ED$15,$F479,0)=1,"O","X")</f>
        <v>X</v>
      </c>
      <c r="M479" s="188">
        <f ca="1">IFERROR(OFFSET(환산공식!DJ$15,$F479,0),"")</f>
        <v>200</v>
      </c>
      <c r="N479" s="20" t="str">
        <f ca="1">IFERROR(CONCATENATE(ROUND(OFFSET(환산공식!DK$15,$F479,0),1),"%"),"")</f>
        <v>100%</v>
      </c>
      <c r="O479" s="20">
        <f ca="1">IFERROR(OFFSET(환산공식!DL$15,$F479,0),"")</f>
        <v>10</v>
      </c>
      <c r="P479" s="188" t="str">
        <f t="shared" ca="1" si="15"/>
        <v>3% 이하</v>
      </c>
      <c r="Q479" s="194">
        <f ca="1">IFERROR(ROUND(OFFSET(환산공식!$FG$15,$F479,0),3),"")</f>
        <v>0</v>
      </c>
      <c r="R479" s="194">
        <f ca="1">OFFSET('배치점수 계산기'!H$10,$D479,0)</f>
        <v>693.529</v>
      </c>
      <c r="S479" s="194">
        <f ca="1">OFFSET('배치점수 계산기'!I$10,$D479,0)</f>
        <v>692.02499999999998</v>
      </c>
      <c r="T479" s="194">
        <f ca="1">OFFSET('배치점수 계산기'!J$10,$D479,0)</f>
        <v>689.98199999999997</v>
      </c>
      <c r="U479" s="194">
        <f ca="1">OFFSET('배치점수 계산기'!K$10,$D479,0)</f>
        <v>687.125</v>
      </c>
      <c r="V479" s="194">
        <f ca="1">OFFSET('배치점수 계산기'!L$10,$D479,0)</f>
        <v>681.95899999999995</v>
      </c>
      <c r="W479" s="186" t="str">
        <f ca="1">OFFSET('배치점수 계산기'!M$10,$D479,0)</f>
        <v>표점</v>
      </c>
      <c r="X479" s="184" t="str">
        <f ca="1">OFFSET('배치점수 계산기'!N$10,$D479,0)</f>
        <v>변표</v>
      </c>
      <c r="Y479" s="188">
        <f ca="1">OFFSET(환산공식!FW$15,$F479,0)</f>
        <v>0.25</v>
      </c>
      <c r="Z479" s="20">
        <f ca="1">OFFSET(환산공식!FX$15,$F479,0)</f>
        <v>0.44</v>
      </c>
      <c r="AA479" s="179">
        <f ca="1">OFFSET(환산공식!FY$15,$F479,0)</f>
        <v>0.31</v>
      </c>
      <c r="AB479" s="3"/>
      <c r="AD479">
        <f t="shared" ca="1" si="16"/>
        <v>6</v>
      </c>
      <c r="AF479" s="3"/>
      <c r="AG479" s="3"/>
      <c r="AH479" s="3"/>
    </row>
    <row r="480" spans="1:34">
      <c r="A480" s="198"/>
      <c r="B480" s="198"/>
      <c r="C480" s="198" t="s">
        <v>1041</v>
      </c>
      <c r="D480" s="195">
        <v>533</v>
      </c>
      <c r="E480" s="195">
        <v>96</v>
      </c>
      <c r="F480" s="195">
        <v>96</v>
      </c>
      <c r="G480" s="239">
        <v>473</v>
      </c>
      <c r="H480" s="197" t="s">
        <v>72</v>
      </c>
      <c r="I480" s="242" t="s">
        <v>423</v>
      </c>
      <c r="J480" s="242" t="s">
        <v>12120</v>
      </c>
      <c r="K480" s="195" t="s">
        <v>70</v>
      </c>
      <c r="L480" s="20" t="str">
        <f ca="1">IF(OFFSET(환산공식!$ED$15,$F480,0)=1,"O","X")</f>
        <v>X</v>
      </c>
      <c r="M480" s="188">
        <f ca="1">IFERROR(OFFSET(환산공식!DJ$15,$F480,0),"")</f>
        <v>200</v>
      </c>
      <c r="N480" s="20" t="str">
        <f ca="1">IFERROR(CONCATENATE(ROUND(OFFSET(환산공식!DK$15,$F480,0),1),"%"),"")</f>
        <v>100%</v>
      </c>
      <c r="O480" s="20">
        <f ca="1">IFERROR(OFFSET(환산공식!DL$15,$F480,0),"")</f>
        <v>10</v>
      </c>
      <c r="P480" s="188" t="str">
        <f t="shared" ca="1" si="15"/>
        <v>3% 이하</v>
      </c>
      <c r="Q480" s="194">
        <f ca="1">IFERROR(ROUND(OFFSET(환산공식!$FG$15,$F480,0),3),"")</f>
        <v>0</v>
      </c>
      <c r="R480" s="194">
        <f ca="1">OFFSET('배치점수 계산기'!H$10,$D480,0)</f>
        <v>692.99300000000005</v>
      </c>
      <c r="S480" s="194">
        <f ca="1">OFFSET('배치점수 계산기'!I$10,$D480,0)</f>
        <v>691.42700000000002</v>
      </c>
      <c r="T480" s="194">
        <f ca="1">OFFSET('배치점수 계산기'!J$10,$D480,0)</f>
        <v>689.79100000000005</v>
      </c>
      <c r="U480" s="194">
        <f ca="1">OFFSET('배치점수 계산기'!K$10,$D480,0)</f>
        <v>686.86699999999996</v>
      </c>
      <c r="V480" s="194">
        <f ca="1">OFFSET('배치점수 계산기'!L$10,$D480,0)</f>
        <v>684.21199999999999</v>
      </c>
      <c r="W480" s="186" t="str">
        <f ca="1">OFFSET('배치점수 계산기'!M$10,$D480,0)</f>
        <v>표점</v>
      </c>
      <c r="X480" s="184" t="str">
        <f ca="1">OFFSET('배치점수 계산기'!N$10,$D480,0)</f>
        <v>변표</v>
      </c>
      <c r="Y480" s="188">
        <f ca="1">OFFSET(환산공식!FW$15,$F480,0)</f>
        <v>0.25</v>
      </c>
      <c r="Z480" s="20">
        <f ca="1">OFFSET(환산공식!FX$15,$F480,0)</f>
        <v>0.44</v>
      </c>
      <c r="AA480" s="179">
        <f ca="1">OFFSET(환산공식!FY$15,$F480,0)</f>
        <v>0.31</v>
      </c>
      <c r="AB480" s="3"/>
      <c r="AD480">
        <f t="shared" ca="1" si="16"/>
        <v>6</v>
      </c>
      <c r="AF480" s="3"/>
      <c r="AG480" s="3"/>
      <c r="AH480" s="3"/>
    </row>
    <row r="481" spans="1:34">
      <c r="A481" s="198"/>
      <c r="B481" s="198"/>
      <c r="C481" s="198" t="s">
        <v>1042</v>
      </c>
      <c r="D481" s="195">
        <v>534</v>
      </c>
      <c r="E481" s="195">
        <v>96</v>
      </c>
      <c r="F481" s="195">
        <v>96</v>
      </c>
      <c r="G481" s="239">
        <v>474</v>
      </c>
      <c r="H481" s="197" t="s">
        <v>72</v>
      </c>
      <c r="I481" s="242" t="s">
        <v>423</v>
      </c>
      <c r="J481" s="242" t="s">
        <v>551</v>
      </c>
      <c r="K481" s="195" t="s">
        <v>70</v>
      </c>
      <c r="L481" s="20" t="str">
        <f ca="1">IF(OFFSET(환산공식!$ED$15,$F481,0)=1,"O","X")</f>
        <v>X</v>
      </c>
      <c r="M481" s="188">
        <f ca="1">IFERROR(OFFSET(환산공식!DJ$15,$F481,0),"")</f>
        <v>200</v>
      </c>
      <c r="N481" s="20" t="str">
        <f ca="1">IFERROR(CONCATENATE(ROUND(OFFSET(환산공식!DK$15,$F481,0),1),"%"),"")</f>
        <v>100%</v>
      </c>
      <c r="O481" s="20">
        <f ca="1">IFERROR(OFFSET(환산공식!DL$15,$F481,0),"")</f>
        <v>10</v>
      </c>
      <c r="P481" s="188" t="str">
        <f t="shared" ca="1" si="15"/>
        <v>3% 이하</v>
      </c>
      <c r="Q481" s="194">
        <f ca="1">IFERROR(ROUND(OFFSET(환산공식!$FG$15,$F481,0),3),"")</f>
        <v>0</v>
      </c>
      <c r="R481" s="194">
        <f ca="1">OFFSET('배치점수 계산기'!H$10,$D481,0)</f>
        <v>692.89700000000005</v>
      </c>
      <c r="S481" s="194">
        <f ca="1">OFFSET('배치점수 계산기'!I$10,$D481,0)</f>
        <v>690.97</v>
      </c>
      <c r="T481" s="194">
        <f ca="1">OFFSET('배치점수 계산기'!J$10,$D481,0)</f>
        <v>689.16300000000001</v>
      </c>
      <c r="U481" s="194">
        <f ca="1">OFFSET('배치점수 계산기'!K$10,$D481,0)</f>
        <v>686.33399999999995</v>
      </c>
      <c r="V481" s="194">
        <f ca="1">OFFSET('배치점수 계산기'!L$10,$D481,0)</f>
        <v>683.63</v>
      </c>
      <c r="W481" s="186" t="str">
        <f ca="1">OFFSET('배치점수 계산기'!M$10,$D481,0)</f>
        <v>표점</v>
      </c>
      <c r="X481" s="184" t="str">
        <f ca="1">OFFSET('배치점수 계산기'!N$10,$D481,0)</f>
        <v>변표</v>
      </c>
      <c r="Y481" s="188">
        <f ca="1">OFFSET(환산공식!FW$15,$F481,0)</f>
        <v>0.25</v>
      </c>
      <c r="Z481" s="20">
        <f ca="1">OFFSET(환산공식!FX$15,$F481,0)</f>
        <v>0.44</v>
      </c>
      <c r="AA481" s="179">
        <f ca="1">OFFSET(환산공식!FY$15,$F481,0)</f>
        <v>0.31</v>
      </c>
      <c r="AB481" s="3"/>
      <c r="AD481">
        <f t="shared" ca="1" si="16"/>
        <v>6</v>
      </c>
      <c r="AF481" s="3"/>
      <c r="AG481" s="3"/>
      <c r="AH481" s="3"/>
    </row>
    <row r="482" spans="1:34">
      <c r="A482" s="198"/>
      <c r="B482" s="198"/>
      <c r="C482" s="198" t="s">
        <v>1043</v>
      </c>
      <c r="D482" s="195">
        <v>535</v>
      </c>
      <c r="E482" s="195">
        <v>96</v>
      </c>
      <c r="F482" s="195">
        <v>96</v>
      </c>
      <c r="G482" s="239">
        <v>475</v>
      </c>
      <c r="H482" s="197" t="s">
        <v>72</v>
      </c>
      <c r="I482" s="242" t="s">
        <v>423</v>
      </c>
      <c r="J482" s="242" t="s">
        <v>12428</v>
      </c>
      <c r="K482" s="195" t="s">
        <v>70</v>
      </c>
      <c r="L482" s="20" t="str">
        <f ca="1">IF(OFFSET(환산공식!$ED$15,$F482,0)=1,"O","X")</f>
        <v>X</v>
      </c>
      <c r="M482" s="188">
        <f ca="1">IFERROR(OFFSET(환산공식!DJ$15,$F482,0),"")</f>
        <v>200</v>
      </c>
      <c r="N482" s="20" t="str">
        <f ca="1">IFERROR(CONCATENATE(ROUND(OFFSET(환산공식!DK$15,$F482,0),1),"%"),"")</f>
        <v>100%</v>
      </c>
      <c r="O482" s="20">
        <f ca="1">IFERROR(OFFSET(환산공식!DL$15,$F482,0),"")</f>
        <v>10</v>
      </c>
      <c r="P482" s="188" t="str">
        <f t="shared" ca="1" si="15"/>
        <v>3% 이하</v>
      </c>
      <c r="Q482" s="194">
        <f ca="1">IFERROR(ROUND(OFFSET(환산공식!$FG$15,$F482,0),3),"")</f>
        <v>0</v>
      </c>
      <c r="R482" s="194">
        <f ca="1">OFFSET('배치점수 계산기'!H$10,$D482,0)</f>
        <v>687.18899999999996</v>
      </c>
      <c r="S482" s="194">
        <f ca="1">OFFSET('배치점수 계산기'!I$10,$D482,0)</f>
        <v>685.62199999999996</v>
      </c>
      <c r="T482" s="194">
        <f ca="1">OFFSET('배치점수 계산기'!J$10,$D482,0)</f>
        <v>683.63400000000001</v>
      </c>
      <c r="U482" s="194">
        <f ca="1">OFFSET('배치점수 계산기'!K$10,$D482,0)</f>
        <v>681.28399999999999</v>
      </c>
      <c r="V482" s="194">
        <f ca="1">OFFSET('배치점수 계산기'!L$10,$D482,0)</f>
        <v>678.98800000000006</v>
      </c>
      <c r="W482" s="186" t="str">
        <f ca="1">OFFSET('배치점수 계산기'!M$10,$D482,0)</f>
        <v>표점</v>
      </c>
      <c r="X482" s="184" t="str">
        <f ca="1">OFFSET('배치점수 계산기'!N$10,$D482,0)</f>
        <v>변표</v>
      </c>
      <c r="Y482" s="188">
        <f ca="1">OFFSET(환산공식!FW$15,$F482,0)</f>
        <v>0.25</v>
      </c>
      <c r="Z482" s="20">
        <f ca="1">OFFSET(환산공식!FX$15,$F482,0)</f>
        <v>0.44</v>
      </c>
      <c r="AA482" s="179">
        <f ca="1">OFFSET(환산공식!FY$15,$F482,0)</f>
        <v>0.31</v>
      </c>
      <c r="AB482" s="3"/>
      <c r="AD482">
        <f t="shared" ca="1" si="16"/>
        <v>6</v>
      </c>
      <c r="AF482" s="3"/>
      <c r="AG482" s="3"/>
      <c r="AH482" s="3"/>
    </row>
    <row r="483" spans="1:34">
      <c r="A483" s="198"/>
      <c r="B483" s="198"/>
      <c r="C483" s="198" t="s">
        <v>1044</v>
      </c>
      <c r="D483" s="195">
        <v>536</v>
      </c>
      <c r="E483" s="195">
        <v>96</v>
      </c>
      <c r="F483" s="195">
        <v>96</v>
      </c>
      <c r="G483" s="239">
        <v>476</v>
      </c>
      <c r="H483" s="197" t="s">
        <v>72</v>
      </c>
      <c r="I483" s="242" t="s">
        <v>423</v>
      </c>
      <c r="J483" s="242" t="s">
        <v>12908</v>
      </c>
      <c r="K483" s="195" t="s">
        <v>70</v>
      </c>
      <c r="L483" s="20" t="str">
        <f ca="1">IF(OFFSET(환산공식!$ED$15,$F483,0)=1,"O","X")</f>
        <v>X</v>
      </c>
      <c r="M483" s="188">
        <f ca="1">IFERROR(OFFSET(환산공식!DJ$15,$F483,0),"")</f>
        <v>200</v>
      </c>
      <c r="N483" s="20" t="str">
        <f ca="1">IFERROR(CONCATENATE(ROUND(OFFSET(환산공식!DK$15,$F483,0),1),"%"),"")</f>
        <v>100%</v>
      </c>
      <c r="O483" s="20">
        <f ca="1">IFERROR(OFFSET(환산공식!DL$15,$F483,0),"")</f>
        <v>10</v>
      </c>
      <c r="P483" s="188" t="str">
        <f t="shared" ca="1" si="15"/>
        <v>3% 이하</v>
      </c>
      <c r="Q483" s="194">
        <f ca="1">IFERROR(ROUND(OFFSET(환산공식!$FG$15,$F483,0),3),"")</f>
        <v>0</v>
      </c>
      <c r="R483" s="194">
        <f ca="1">OFFSET('배치점수 계산기'!H$10,$D483,0)</f>
        <v>677.29100000000005</v>
      </c>
      <c r="S483" s="194">
        <f ca="1">OFFSET('배치점수 계산기'!I$10,$D483,0)</f>
        <v>675.74</v>
      </c>
      <c r="T483" s="194">
        <f ca="1">OFFSET('배치점수 계산기'!J$10,$D483,0)</f>
        <v>673.79700000000003</v>
      </c>
      <c r="U483" s="194">
        <f ca="1">OFFSET('배치점수 계산기'!K$10,$D483,0)</f>
        <v>671.33799999999997</v>
      </c>
      <c r="V483" s="194">
        <f ca="1">OFFSET('배치점수 계산기'!L$10,$D483,0)</f>
        <v>668.64400000000001</v>
      </c>
      <c r="W483" s="186" t="str">
        <f ca="1">OFFSET('배치점수 계산기'!M$10,$D483,0)</f>
        <v>표점</v>
      </c>
      <c r="X483" s="184" t="str">
        <f ca="1">OFFSET('배치점수 계산기'!N$10,$D483,0)</f>
        <v>변표</v>
      </c>
      <c r="Y483" s="188">
        <f ca="1">OFFSET(환산공식!FW$15,$F483,0)</f>
        <v>0.25</v>
      </c>
      <c r="Z483" s="20">
        <f ca="1">OFFSET(환산공식!FX$15,$F483,0)</f>
        <v>0.44</v>
      </c>
      <c r="AA483" s="179">
        <f ca="1">OFFSET(환산공식!FY$15,$F483,0)</f>
        <v>0.31</v>
      </c>
      <c r="AB483" s="3"/>
      <c r="AD483">
        <f t="shared" ca="1" si="16"/>
        <v>6</v>
      </c>
      <c r="AF483" s="3"/>
      <c r="AG483" s="3"/>
      <c r="AH483" s="3"/>
    </row>
    <row r="484" spans="1:34">
      <c r="A484" s="198"/>
      <c r="B484" s="198"/>
      <c r="C484" s="198" t="s">
        <v>1045</v>
      </c>
      <c r="D484" s="195">
        <v>537</v>
      </c>
      <c r="E484" s="195">
        <v>96</v>
      </c>
      <c r="F484" s="195">
        <v>96</v>
      </c>
      <c r="G484" s="239">
        <v>477</v>
      </c>
      <c r="H484" s="197" t="s">
        <v>72</v>
      </c>
      <c r="I484" s="242" t="s">
        <v>423</v>
      </c>
      <c r="J484" s="242" t="s">
        <v>13031</v>
      </c>
      <c r="K484" s="195" t="s">
        <v>70</v>
      </c>
      <c r="L484" s="20" t="str">
        <f ca="1">IF(OFFSET(환산공식!$ED$15,$F484,0)=1,"O","X")</f>
        <v>X</v>
      </c>
      <c r="M484" s="188">
        <f ca="1">IFERROR(OFFSET(환산공식!DJ$15,$F484,0),"")</f>
        <v>200</v>
      </c>
      <c r="N484" s="20" t="str">
        <f ca="1">IFERROR(CONCATENATE(ROUND(OFFSET(환산공식!DK$15,$F484,0),1),"%"),"")</f>
        <v>100%</v>
      </c>
      <c r="O484" s="20">
        <f ca="1">IFERROR(OFFSET(환산공식!DL$15,$F484,0),"")</f>
        <v>10</v>
      </c>
      <c r="P484" s="188" t="str">
        <f t="shared" ca="1" si="15"/>
        <v>3% 이하</v>
      </c>
      <c r="Q484" s="194">
        <f ca="1">IFERROR(ROUND(OFFSET(환산공식!$FG$15,$F484,0),3),"")</f>
        <v>0</v>
      </c>
      <c r="R484" s="194">
        <f ca="1">OFFSET('배치점수 계산기'!H$10,$D484,0)</f>
        <v>675.40599999999995</v>
      </c>
      <c r="S484" s="194">
        <f ca="1">OFFSET('배치점수 계산기'!I$10,$D484,0)</f>
        <v>673.79700000000003</v>
      </c>
      <c r="T484" s="194">
        <f ca="1">OFFSET('배치점수 계산기'!J$10,$D484,0)</f>
        <v>671.77599999999995</v>
      </c>
      <c r="U484" s="194">
        <f ca="1">OFFSET('배치점수 계산기'!K$10,$D484,0)</f>
        <v>668.96500000000003</v>
      </c>
      <c r="V484" s="194">
        <f ca="1">OFFSET('배치점수 계산기'!L$10,$D484,0)</f>
        <v>665.89700000000005</v>
      </c>
      <c r="W484" s="186" t="str">
        <f ca="1">OFFSET('배치점수 계산기'!M$10,$D484,0)</f>
        <v>표점</v>
      </c>
      <c r="X484" s="184" t="str">
        <f ca="1">OFFSET('배치점수 계산기'!N$10,$D484,0)</f>
        <v>변표</v>
      </c>
      <c r="Y484" s="188">
        <f ca="1">OFFSET(환산공식!FW$15,$F484,0)</f>
        <v>0.25</v>
      </c>
      <c r="Z484" s="20">
        <f ca="1">OFFSET(환산공식!FX$15,$F484,0)</f>
        <v>0.44</v>
      </c>
      <c r="AA484" s="179">
        <f ca="1">OFFSET(환산공식!FY$15,$F484,0)</f>
        <v>0.31</v>
      </c>
      <c r="AB484" s="3"/>
      <c r="AD484">
        <f t="shared" ca="1" si="16"/>
        <v>6</v>
      </c>
      <c r="AF484" s="3"/>
      <c r="AG484" s="3"/>
      <c r="AH484" s="3"/>
    </row>
    <row r="485" spans="1:34">
      <c r="A485" s="198"/>
      <c r="B485" s="198"/>
      <c r="C485" s="198" t="s">
        <v>1046</v>
      </c>
      <c r="D485" s="195">
        <v>538</v>
      </c>
      <c r="E485" s="195">
        <v>96</v>
      </c>
      <c r="F485" s="195">
        <v>96</v>
      </c>
      <c r="G485" s="239">
        <v>478</v>
      </c>
      <c r="H485" s="197" t="s">
        <v>72</v>
      </c>
      <c r="I485" s="242" t="s">
        <v>423</v>
      </c>
      <c r="J485" s="242" t="s">
        <v>13197</v>
      </c>
      <c r="K485" s="195" t="s">
        <v>70</v>
      </c>
      <c r="L485" s="20" t="str">
        <f ca="1">IF(OFFSET(환산공식!$ED$15,$F485,0)=1,"O","X")</f>
        <v>X</v>
      </c>
      <c r="M485" s="188">
        <f ca="1">IFERROR(OFFSET(환산공식!DJ$15,$F485,0),"")</f>
        <v>200</v>
      </c>
      <c r="N485" s="20" t="str">
        <f ca="1">IFERROR(CONCATENATE(ROUND(OFFSET(환산공식!DK$15,$F485,0),1),"%"),"")</f>
        <v>100%</v>
      </c>
      <c r="O485" s="20">
        <f ca="1">IFERROR(OFFSET(환산공식!DL$15,$F485,0),"")</f>
        <v>10</v>
      </c>
      <c r="P485" s="188" t="str">
        <f t="shared" ca="1" si="15"/>
        <v>3% 이하</v>
      </c>
      <c r="Q485" s="194">
        <f ca="1">IFERROR(ROUND(OFFSET(환산공식!$FG$15,$F485,0),3),"")</f>
        <v>0</v>
      </c>
      <c r="R485" s="194">
        <f ca="1">OFFSET('배치점수 계산기'!H$10,$D485,0)</f>
        <v>673.005</v>
      </c>
      <c r="S485" s="194">
        <f ca="1">OFFSET('배치점수 계산기'!I$10,$D485,0)</f>
        <v>671.43399999999997</v>
      </c>
      <c r="T485" s="194">
        <f ca="1">OFFSET('배치점수 계산기'!J$10,$D485,0)</f>
        <v>669.404</v>
      </c>
      <c r="U485" s="194">
        <f ca="1">OFFSET('배치점수 계산기'!K$10,$D485,0)</f>
        <v>666.49900000000002</v>
      </c>
      <c r="V485" s="194">
        <f ca="1">OFFSET('배치점수 계산기'!L$10,$D485,0)</f>
        <v>663.91800000000001</v>
      </c>
      <c r="W485" s="186" t="str">
        <f ca="1">OFFSET('배치점수 계산기'!M$10,$D485,0)</f>
        <v>표점</v>
      </c>
      <c r="X485" s="184" t="str">
        <f ca="1">OFFSET('배치점수 계산기'!N$10,$D485,0)</f>
        <v>변표</v>
      </c>
      <c r="Y485" s="188">
        <f ca="1">OFFSET(환산공식!FW$15,$F485,0)</f>
        <v>0.25</v>
      </c>
      <c r="Z485" s="20">
        <f ca="1">OFFSET(환산공식!FX$15,$F485,0)</f>
        <v>0.44</v>
      </c>
      <c r="AA485" s="179">
        <f ca="1">OFFSET(환산공식!FY$15,$F485,0)</f>
        <v>0.31</v>
      </c>
      <c r="AB485" s="3"/>
      <c r="AD485">
        <f t="shared" ca="1" si="16"/>
        <v>6</v>
      </c>
      <c r="AF485" s="3"/>
      <c r="AG485" s="3"/>
      <c r="AH485" s="3"/>
    </row>
    <row r="486" spans="1:34">
      <c r="A486" s="198"/>
      <c r="B486" s="198"/>
      <c r="C486" s="198" t="s">
        <v>1047</v>
      </c>
      <c r="D486" s="195">
        <v>539</v>
      </c>
      <c r="E486" s="195">
        <v>96</v>
      </c>
      <c r="F486" s="195">
        <v>96</v>
      </c>
      <c r="G486" s="239">
        <v>479</v>
      </c>
      <c r="H486" s="197" t="s">
        <v>72</v>
      </c>
      <c r="I486" s="242" t="s">
        <v>423</v>
      </c>
      <c r="J486" s="242" t="s">
        <v>13229</v>
      </c>
      <c r="K486" s="195" t="s">
        <v>70</v>
      </c>
      <c r="L486" s="20" t="str">
        <f ca="1">IF(OFFSET(환산공식!$ED$15,$F486,0)=1,"O","X")</f>
        <v>X</v>
      </c>
      <c r="M486" s="188">
        <f ca="1">IFERROR(OFFSET(환산공식!DJ$15,$F486,0),"")</f>
        <v>200</v>
      </c>
      <c r="N486" s="20" t="str">
        <f ca="1">IFERROR(CONCATENATE(ROUND(OFFSET(환산공식!DK$15,$F486,0),1),"%"),"")</f>
        <v>100%</v>
      </c>
      <c r="O486" s="20">
        <f ca="1">IFERROR(OFFSET(환산공식!DL$15,$F486,0),"")</f>
        <v>10</v>
      </c>
      <c r="P486" s="188" t="str">
        <f t="shared" ca="1" si="15"/>
        <v>3% 이하</v>
      </c>
      <c r="Q486" s="194">
        <f ca="1">IFERROR(ROUND(OFFSET(환산공식!$FG$15,$F486,0),3),"")</f>
        <v>0</v>
      </c>
      <c r="R486" s="194">
        <f ca="1">OFFSET('배치점수 계산기'!H$10,$D486,0)</f>
        <v>672.56700000000001</v>
      </c>
      <c r="S486" s="194">
        <f ca="1">OFFSET('배치점수 계산기'!I$10,$D486,0)</f>
        <v>670.9</v>
      </c>
      <c r="T486" s="194">
        <f ca="1">OFFSET('배치점수 계산기'!J$10,$D486,0)</f>
        <v>668.86500000000001</v>
      </c>
      <c r="U486" s="194">
        <f ca="1">OFFSET('배치점수 계산기'!K$10,$D486,0)</f>
        <v>666.31899999999996</v>
      </c>
      <c r="V486" s="194">
        <f ca="1">OFFSET('배치점수 계산기'!L$10,$D486,0)</f>
        <v>663.39499999999998</v>
      </c>
      <c r="W486" s="186" t="str">
        <f ca="1">OFFSET('배치점수 계산기'!M$10,$D486,0)</f>
        <v>표점</v>
      </c>
      <c r="X486" s="184" t="str">
        <f ca="1">OFFSET('배치점수 계산기'!N$10,$D486,0)</f>
        <v>변표</v>
      </c>
      <c r="Y486" s="188">
        <f ca="1">OFFSET(환산공식!FW$15,$F486,0)</f>
        <v>0.25</v>
      </c>
      <c r="Z486" s="20">
        <f ca="1">OFFSET(환산공식!FX$15,$F486,0)</f>
        <v>0.44</v>
      </c>
      <c r="AA486" s="179">
        <f ca="1">OFFSET(환산공식!FY$15,$F486,0)</f>
        <v>0.31</v>
      </c>
      <c r="AB486" s="3"/>
      <c r="AD486">
        <f t="shared" ca="1" si="16"/>
        <v>6</v>
      </c>
      <c r="AF486" s="3"/>
      <c r="AG486" s="3"/>
      <c r="AH486" s="3"/>
    </row>
    <row r="487" spans="1:34">
      <c r="A487" s="198"/>
      <c r="B487" s="198"/>
      <c r="C487" s="198" t="s">
        <v>1048</v>
      </c>
      <c r="D487" s="195">
        <v>540</v>
      </c>
      <c r="E487" s="195">
        <v>96</v>
      </c>
      <c r="F487" s="195">
        <v>96</v>
      </c>
      <c r="G487" s="239">
        <v>480</v>
      </c>
      <c r="H487" s="197" t="s">
        <v>72</v>
      </c>
      <c r="I487" s="242" t="s">
        <v>423</v>
      </c>
      <c r="J487" s="242" t="s">
        <v>13248</v>
      </c>
      <c r="K487" s="195" t="s">
        <v>70</v>
      </c>
      <c r="L487" s="20" t="str">
        <f ca="1">IF(OFFSET(환산공식!$ED$15,$F487,0)=1,"O","X")</f>
        <v>X</v>
      </c>
      <c r="M487" s="188">
        <f ca="1">IFERROR(OFFSET(환산공식!DJ$15,$F487,0),"")</f>
        <v>200</v>
      </c>
      <c r="N487" s="20" t="str">
        <f ca="1">IFERROR(CONCATENATE(ROUND(OFFSET(환산공식!DK$15,$F487,0),1),"%"),"")</f>
        <v>100%</v>
      </c>
      <c r="O487" s="20">
        <f ca="1">IFERROR(OFFSET(환산공식!DL$15,$F487,0),"")</f>
        <v>10</v>
      </c>
      <c r="P487" s="188" t="str">
        <f t="shared" ca="1" si="15"/>
        <v>3% 이하</v>
      </c>
      <c r="Q487" s="194">
        <f ca="1">IFERROR(ROUND(OFFSET(환산공식!$FG$15,$F487,0),3),"")</f>
        <v>0</v>
      </c>
      <c r="R487" s="194">
        <f ca="1">OFFSET('배치점수 계산기'!H$10,$D487,0)</f>
        <v>672.029</v>
      </c>
      <c r="S487" s="194">
        <f ca="1">OFFSET('배치점수 계산기'!I$10,$D487,0)</f>
        <v>670.37300000000005</v>
      </c>
      <c r="T487" s="194">
        <f ca="1">OFFSET('배치점수 계산기'!J$10,$D487,0)</f>
        <v>668.09199999999998</v>
      </c>
      <c r="U487" s="194">
        <f ca="1">OFFSET('배치점수 계산기'!K$10,$D487,0)</f>
        <v>665.03099999999995</v>
      </c>
      <c r="V487" s="194">
        <f ca="1">OFFSET('배치점수 계산기'!L$10,$D487,0)</f>
        <v>661.52499999999998</v>
      </c>
      <c r="W487" s="186" t="str">
        <f ca="1">OFFSET('배치점수 계산기'!M$10,$D487,0)</f>
        <v>표점</v>
      </c>
      <c r="X487" s="184" t="str">
        <f ca="1">OFFSET('배치점수 계산기'!N$10,$D487,0)</f>
        <v>변표</v>
      </c>
      <c r="Y487" s="188">
        <f ca="1">OFFSET(환산공식!FW$15,$F487,0)</f>
        <v>0.25</v>
      </c>
      <c r="Z487" s="20">
        <f ca="1">OFFSET(환산공식!FX$15,$F487,0)</f>
        <v>0.44</v>
      </c>
      <c r="AA487" s="179">
        <f ca="1">OFFSET(환산공식!FY$15,$F487,0)</f>
        <v>0.31</v>
      </c>
      <c r="AB487" s="3"/>
      <c r="AD487">
        <f t="shared" ca="1" si="16"/>
        <v>6</v>
      </c>
      <c r="AF487" s="3"/>
      <c r="AG487" s="3"/>
      <c r="AH487" s="3"/>
    </row>
    <row r="488" spans="1:34">
      <c r="A488" s="198"/>
      <c r="B488" s="198"/>
      <c r="C488" s="198" t="s">
        <v>1049</v>
      </c>
      <c r="D488" s="195">
        <v>541</v>
      </c>
      <c r="E488" s="195">
        <v>96</v>
      </c>
      <c r="F488" s="195">
        <v>96</v>
      </c>
      <c r="G488" s="239">
        <v>481</v>
      </c>
      <c r="H488" s="197" t="s">
        <v>72</v>
      </c>
      <c r="I488" s="242" t="s">
        <v>423</v>
      </c>
      <c r="J488" s="242" t="s">
        <v>13284</v>
      </c>
      <c r="K488" s="195" t="s">
        <v>70</v>
      </c>
      <c r="L488" s="20" t="str">
        <f ca="1">IF(OFFSET(환산공식!$ED$15,$F488,0)=1,"O","X")</f>
        <v>X</v>
      </c>
      <c r="M488" s="188">
        <f ca="1">IFERROR(OFFSET(환산공식!DJ$15,$F488,0),"")</f>
        <v>200</v>
      </c>
      <c r="N488" s="20" t="str">
        <f ca="1">IFERROR(CONCATENATE(ROUND(OFFSET(환산공식!DK$15,$F488,0),1),"%"),"")</f>
        <v>100%</v>
      </c>
      <c r="O488" s="20">
        <f ca="1">IFERROR(OFFSET(환산공식!DL$15,$F488,0),"")</f>
        <v>10</v>
      </c>
      <c r="P488" s="188" t="str">
        <f t="shared" ca="1" si="15"/>
        <v>3% 이하</v>
      </c>
      <c r="Q488" s="194">
        <f ca="1">IFERROR(ROUND(OFFSET(환산공식!$FG$15,$F488,0),3),"")</f>
        <v>0</v>
      </c>
      <c r="R488" s="194">
        <f ca="1">OFFSET('배치점수 계산기'!H$10,$D488,0)</f>
        <v>671.23800000000006</v>
      </c>
      <c r="S488" s="194">
        <f ca="1">OFFSET('배치점수 계산기'!I$10,$D488,0)</f>
        <v>669.601</v>
      </c>
      <c r="T488" s="194">
        <f ca="1">OFFSET('배치점수 계산기'!J$10,$D488,0)</f>
        <v>667.70600000000002</v>
      </c>
      <c r="U488" s="194">
        <f ca="1">OFFSET('배치점수 계산기'!K$10,$D488,0)</f>
        <v>665.21400000000006</v>
      </c>
      <c r="V488" s="194">
        <f ca="1">OFFSET('배치점수 계산기'!L$10,$D488,0)</f>
        <v>662.1</v>
      </c>
      <c r="W488" s="186" t="str">
        <f ca="1">OFFSET('배치점수 계산기'!M$10,$D488,0)</f>
        <v>표점</v>
      </c>
      <c r="X488" s="184" t="str">
        <f ca="1">OFFSET('배치점수 계산기'!N$10,$D488,0)</f>
        <v>변표</v>
      </c>
      <c r="Y488" s="188">
        <f ca="1">OFFSET(환산공식!FW$15,$F488,0)</f>
        <v>0.25</v>
      </c>
      <c r="Z488" s="20">
        <f ca="1">OFFSET(환산공식!FX$15,$F488,0)</f>
        <v>0.44</v>
      </c>
      <c r="AA488" s="179">
        <f ca="1">OFFSET(환산공식!FY$15,$F488,0)</f>
        <v>0.31</v>
      </c>
      <c r="AB488" s="3"/>
      <c r="AD488">
        <f t="shared" ca="1" si="16"/>
        <v>6</v>
      </c>
      <c r="AF488" s="3"/>
      <c r="AG488" s="3"/>
      <c r="AH488" s="3"/>
    </row>
    <row r="489" spans="1:34">
      <c r="A489" s="198"/>
      <c r="B489" s="198"/>
      <c r="C489" s="198" t="s">
        <v>1050</v>
      </c>
      <c r="D489" s="195">
        <v>542</v>
      </c>
      <c r="E489" s="195">
        <v>96</v>
      </c>
      <c r="F489" s="195">
        <v>96</v>
      </c>
      <c r="G489" s="239">
        <v>482</v>
      </c>
      <c r="H489" s="197" t="s">
        <v>72</v>
      </c>
      <c r="I489" s="242" t="s">
        <v>423</v>
      </c>
      <c r="J489" s="242" t="s">
        <v>13358</v>
      </c>
      <c r="K489" s="195" t="s">
        <v>70</v>
      </c>
      <c r="L489" s="20" t="str">
        <f ca="1">IF(OFFSET(환산공식!$ED$15,$F489,0)=1,"O","X")</f>
        <v>X</v>
      </c>
      <c r="M489" s="188">
        <f ca="1">IFERROR(OFFSET(환산공식!DJ$15,$F489,0),"")</f>
        <v>200</v>
      </c>
      <c r="N489" s="20" t="str">
        <f ca="1">IFERROR(CONCATENATE(ROUND(OFFSET(환산공식!DK$15,$F489,0),1),"%"),"")</f>
        <v>100%</v>
      </c>
      <c r="O489" s="20">
        <f ca="1">IFERROR(OFFSET(환산공식!DL$15,$F489,0),"")</f>
        <v>10</v>
      </c>
      <c r="P489" s="188" t="str">
        <f t="shared" ca="1" si="15"/>
        <v>3% 이하</v>
      </c>
      <c r="Q489" s="194">
        <f ca="1">IFERROR(ROUND(OFFSET(환산공식!$FG$15,$F489,0),3),"")</f>
        <v>0</v>
      </c>
      <c r="R489" s="194">
        <f ca="1">OFFSET('배치점수 계산기'!H$10,$D489,0)</f>
        <v>668.36099999999999</v>
      </c>
      <c r="S489" s="194">
        <f ca="1">OFFSET('배치점수 계산기'!I$10,$D489,0)</f>
        <v>666.98099999999999</v>
      </c>
      <c r="T489" s="194">
        <f ca="1">OFFSET('배치점수 계산기'!J$10,$D489,0)</f>
        <v>665.12699999999995</v>
      </c>
      <c r="U489" s="194">
        <f ca="1">OFFSET('배치점수 계산기'!K$10,$D489,0)</f>
        <v>662</v>
      </c>
      <c r="V489" s="194">
        <f ca="1">OFFSET('배치점수 계산기'!L$10,$D489,0)</f>
        <v>658.72199999999998</v>
      </c>
      <c r="W489" s="186" t="str">
        <f ca="1">OFFSET('배치점수 계산기'!M$10,$D489,0)</f>
        <v>표점</v>
      </c>
      <c r="X489" s="184" t="str">
        <f ca="1">OFFSET('배치점수 계산기'!N$10,$D489,0)</f>
        <v>변표</v>
      </c>
      <c r="Y489" s="188">
        <f ca="1">OFFSET(환산공식!FW$15,$F489,0)</f>
        <v>0.25</v>
      </c>
      <c r="Z489" s="20">
        <f ca="1">OFFSET(환산공식!FX$15,$F489,0)</f>
        <v>0.44</v>
      </c>
      <c r="AA489" s="179">
        <f ca="1">OFFSET(환산공식!FY$15,$F489,0)</f>
        <v>0.31</v>
      </c>
      <c r="AB489" s="3"/>
      <c r="AD489">
        <f t="shared" ca="1" si="16"/>
        <v>6</v>
      </c>
      <c r="AF489" s="3"/>
      <c r="AG489" s="3"/>
      <c r="AH489" s="3"/>
    </row>
    <row r="490" spans="1:34">
      <c r="A490" s="198"/>
      <c r="B490" s="198"/>
      <c r="C490" s="198" t="s">
        <v>1051</v>
      </c>
      <c r="D490" s="195">
        <v>543</v>
      </c>
      <c r="E490" s="195">
        <v>96</v>
      </c>
      <c r="F490" s="195">
        <v>96</v>
      </c>
      <c r="G490" s="239">
        <v>483</v>
      </c>
      <c r="H490" s="197" t="s">
        <v>72</v>
      </c>
      <c r="I490" s="242" t="s">
        <v>423</v>
      </c>
      <c r="J490" s="242" t="s">
        <v>13446</v>
      </c>
      <c r="K490" s="195" t="s">
        <v>70</v>
      </c>
      <c r="L490" s="20" t="str">
        <f ca="1">IF(OFFSET(환산공식!$ED$15,$F490,0)=1,"O","X")</f>
        <v>X</v>
      </c>
      <c r="M490" s="188">
        <f ca="1">IFERROR(OFFSET(환산공식!DJ$15,$F490,0),"")</f>
        <v>200</v>
      </c>
      <c r="N490" s="20" t="str">
        <f ca="1">IFERROR(CONCATENATE(ROUND(OFFSET(환산공식!DK$15,$F490,0),1),"%"),"")</f>
        <v>100%</v>
      </c>
      <c r="O490" s="20">
        <f ca="1">IFERROR(OFFSET(환산공식!DL$15,$F490,0),"")</f>
        <v>10</v>
      </c>
      <c r="P490" s="188" t="str">
        <f t="shared" ca="1" si="15"/>
        <v>3% 이하</v>
      </c>
      <c r="Q490" s="194">
        <f ca="1">IFERROR(ROUND(OFFSET(환산공식!$FG$15,$F490,0),3),"")</f>
        <v>0</v>
      </c>
      <c r="R490" s="194">
        <f ca="1">OFFSET('배치점수 계산기'!H$10,$D490,0)</f>
        <v>666.19399999999996</v>
      </c>
      <c r="S490" s="194">
        <f ca="1">OFFSET('배치점수 계산기'!I$10,$D490,0)</f>
        <v>664.71699999999998</v>
      </c>
      <c r="T490" s="194">
        <f ca="1">OFFSET('배치점수 계산기'!J$10,$D490,0)</f>
        <v>663.29499999999996</v>
      </c>
      <c r="U490" s="194">
        <f ca="1">OFFSET('배치점수 계산기'!K$10,$D490,0)</f>
        <v>661.15800000000002</v>
      </c>
      <c r="V490" s="194">
        <f ca="1">OFFSET('배치점수 계산기'!L$10,$D490,0)</f>
        <v>659.05899999999997</v>
      </c>
      <c r="W490" s="186" t="str">
        <f ca="1">OFFSET('배치점수 계산기'!M$10,$D490,0)</f>
        <v>표점</v>
      </c>
      <c r="X490" s="184" t="str">
        <f ca="1">OFFSET('배치점수 계산기'!N$10,$D490,0)</f>
        <v>변표</v>
      </c>
      <c r="Y490" s="188">
        <f ca="1">OFFSET(환산공식!FW$15,$F490,0)</f>
        <v>0.25</v>
      </c>
      <c r="Z490" s="20">
        <f ca="1">OFFSET(환산공식!FX$15,$F490,0)</f>
        <v>0.44</v>
      </c>
      <c r="AA490" s="179">
        <f ca="1">OFFSET(환산공식!FY$15,$F490,0)</f>
        <v>0.31</v>
      </c>
      <c r="AB490" s="3"/>
      <c r="AD490">
        <f t="shared" ca="1" si="16"/>
        <v>6</v>
      </c>
      <c r="AF490" s="3"/>
      <c r="AG490" s="3"/>
      <c r="AH490" s="3"/>
    </row>
    <row r="491" spans="1:34">
      <c r="A491" s="198"/>
      <c r="B491" s="198"/>
      <c r="C491" s="198" t="s">
        <v>1052</v>
      </c>
      <c r="D491" s="195">
        <v>544</v>
      </c>
      <c r="E491" s="195">
        <v>96</v>
      </c>
      <c r="F491" s="195">
        <v>96</v>
      </c>
      <c r="G491" s="239">
        <v>484</v>
      </c>
      <c r="H491" s="197" t="s">
        <v>72</v>
      </c>
      <c r="I491" s="242" t="s">
        <v>423</v>
      </c>
      <c r="J491" s="242" t="s">
        <v>13474</v>
      </c>
      <c r="K491" s="195" t="s">
        <v>70</v>
      </c>
      <c r="L491" s="20" t="str">
        <f ca="1">IF(OFFSET(환산공식!$ED$15,$F491,0)=1,"O","X")</f>
        <v>X</v>
      </c>
      <c r="M491" s="188">
        <f ca="1">IFERROR(OFFSET(환산공식!DJ$15,$F491,0),"")</f>
        <v>200</v>
      </c>
      <c r="N491" s="20" t="str">
        <f ca="1">IFERROR(CONCATENATE(ROUND(OFFSET(환산공식!DK$15,$F491,0),1),"%"),"")</f>
        <v>100%</v>
      </c>
      <c r="O491" s="20">
        <f ca="1">IFERROR(OFFSET(환산공식!DL$15,$F491,0),"")</f>
        <v>10</v>
      </c>
      <c r="P491" s="188" t="str">
        <f t="shared" ca="1" si="15"/>
        <v>3% 이하</v>
      </c>
      <c r="Q491" s="194">
        <f ca="1">IFERROR(ROUND(OFFSET(환산공식!$FG$15,$F491,0),3),"")</f>
        <v>0</v>
      </c>
      <c r="R491" s="194">
        <f ca="1">OFFSET('배치점수 계산기'!H$10,$D491,0)</f>
        <v>664.39099999999996</v>
      </c>
      <c r="S491" s="194">
        <f ca="1">OFFSET('배치점수 계산기'!I$10,$D491,0)</f>
        <v>663.49199999999996</v>
      </c>
      <c r="T491" s="194">
        <f ca="1">OFFSET('배치점수 계산기'!J$10,$D491,0)</f>
        <v>662.197</v>
      </c>
      <c r="U491" s="194">
        <f ca="1">OFFSET('배치점수 계산기'!K$10,$D491,0)</f>
        <v>660.16800000000001</v>
      </c>
      <c r="V491" s="194">
        <f ca="1">OFFSET('배치점수 계산기'!L$10,$D491,0)</f>
        <v>658.03499999999997</v>
      </c>
      <c r="W491" s="186" t="str">
        <f ca="1">OFFSET('배치점수 계산기'!M$10,$D491,0)</f>
        <v>표점</v>
      </c>
      <c r="X491" s="184" t="str">
        <f ca="1">OFFSET('배치점수 계산기'!N$10,$D491,0)</f>
        <v>변표</v>
      </c>
      <c r="Y491" s="188">
        <f ca="1">OFFSET(환산공식!FW$15,$F491,0)</f>
        <v>0.25</v>
      </c>
      <c r="Z491" s="20">
        <f ca="1">OFFSET(환산공식!FX$15,$F491,0)</f>
        <v>0.44</v>
      </c>
      <c r="AA491" s="179">
        <f ca="1">OFFSET(환산공식!FY$15,$F491,0)</f>
        <v>0.31</v>
      </c>
      <c r="AB491" s="3"/>
      <c r="AD491">
        <f t="shared" ca="1" si="16"/>
        <v>6</v>
      </c>
      <c r="AF491" s="3"/>
      <c r="AG491" s="3"/>
      <c r="AH491" s="3"/>
    </row>
    <row r="492" spans="1:34">
      <c r="A492" s="198"/>
      <c r="B492" s="198"/>
      <c r="C492" s="198" t="s">
        <v>1053</v>
      </c>
      <c r="D492" s="195">
        <v>545</v>
      </c>
      <c r="E492" s="195">
        <v>132</v>
      </c>
      <c r="F492" s="195">
        <v>132</v>
      </c>
      <c r="G492" s="239">
        <v>485</v>
      </c>
      <c r="H492" s="197" t="s">
        <v>72</v>
      </c>
      <c r="I492" s="242" t="s">
        <v>446</v>
      </c>
      <c r="J492" s="242" t="s">
        <v>486</v>
      </c>
      <c r="K492" s="195" t="s">
        <v>70</v>
      </c>
      <c r="L492" s="20" t="str">
        <f ca="1">IF(OFFSET(환산공식!$ED$15,$F492,0)=1,"O","X")</f>
        <v>X</v>
      </c>
      <c r="M492" s="188">
        <f ca="1">IFERROR(OFFSET(환산공식!DJ$15,$F492,0),"")</f>
        <v>100</v>
      </c>
      <c r="N492" s="20" t="str">
        <f ca="1">IFERROR(CONCATENATE(ROUND(OFFSET(환산공식!DK$15,$F492,0),1),"%"),"")</f>
        <v>100%</v>
      </c>
      <c r="O492" s="20">
        <f ca="1">IFERROR(OFFSET(환산공식!DL$15,$F492,0),"")</f>
        <v>0</v>
      </c>
      <c r="P492" s="188" t="str">
        <f t="shared" ca="1" si="15"/>
        <v>3% 이하</v>
      </c>
      <c r="Q492" s="194">
        <f ca="1">IFERROR(ROUND(OFFSET(환산공식!$FG$15,$F492,0),3),"")</f>
        <v>0</v>
      </c>
      <c r="R492" s="194">
        <f ca="1">OFFSET('배치점수 계산기'!H$10,$D492,0)</f>
        <v>824.4</v>
      </c>
      <c r="S492" s="194">
        <f ca="1">OFFSET('배치점수 계산기'!I$10,$D492,0)</f>
        <v>815.82</v>
      </c>
      <c r="T492" s="194">
        <f ca="1">OFFSET('배치점수 계산기'!J$10,$D492,0)</f>
        <v>802.64</v>
      </c>
      <c r="U492" s="194">
        <f ca="1">OFFSET('배치점수 계산기'!K$10,$D492,0)</f>
        <v>793.23</v>
      </c>
      <c r="V492" s="194">
        <f ca="1">OFFSET('배치점수 계산기'!L$10,$D492,0)</f>
        <v>781.83</v>
      </c>
      <c r="W492" s="186" t="str">
        <f ca="1">OFFSET('배치점수 계산기'!M$10,$D492,0)</f>
        <v>백분위</v>
      </c>
      <c r="X492" s="184" t="str">
        <f ca="1">OFFSET('배치점수 계산기'!N$10,$D492,0)</f>
        <v>백분위</v>
      </c>
      <c r="Y492" s="188">
        <f ca="1">OFFSET(환산공식!FW$15,$F492,0)</f>
        <v>0.28000000000000003</v>
      </c>
      <c r="Z492" s="20">
        <f ca="1">OFFSET(환산공식!FX$15,$F492,0)</f>
        <v>0.39</v>
      </c>
      <c r="AA492" s="179">
        <f ca="1">OFFSET(환산공식!FY$15,$F492,0)</f>
        <v>0.33</v>
      </c>
      <c r="AB492" s="3"/>
      <c r="AD492">
        <f t="shared" ca="1" si="16"/>
        <v>6</v>
      </c>
      <c r="AF492" s="3"/>
      <c r="AG492" s="3"/>
      <c r="AH492" s="3"/>
    </row>
    <row r="493" spans="1:34">
      <c r="A493" s="198"/>
      <c r="B493" s="198"/>
      <c r="C493" s="198" t="s">
        <v>1054</v>
      </c>
      <c r="D493" s="195">
        <v>546</v>
      </c>
      <c r="E493" s="195">
        <v>132</v>
      </c>
      <c r="F493" s="195">
        <v>132</v>
      </c>
      <c r="G493" s="239">
        <v>486</v>
      </c>
      <c r="H493" s="197" t="s">
        <v>72</v>
      </c>
      <c r="I493" s="242" t="s">
        <v>446</v>
      </c>
      <c r="J493" s="242" t="s">
        <v>8283</v>
      </c>
      <c r="K493" s="195" t="s">
        <v>70</v>
      </c>
      <c r="L493" s="20" t="str">
        <f ca="1">IF(OFFSET(환산공식!$ED$15,$F493,0)=1,"O","X")</f>
        <v>X</v>
      </c>
      <c r="M493" s="188">
        <f ca="1">IFERROR(OFFSET(환산공식!DJ$15,$F493,0),"")</f>
        <v>100</v>
      </c>
      <c r="N493" s="20" t="str">
        <f ca="1">IFERROR(CONCATENATE(ROUND(OFFSET(환산공식!DK$15,$F493,0),1),"%"),"")</f>
        <v>100%</v>
      </c>
      <c r="O493" s="20">
        <f ca="1">IFERROR(OFFSET(환산공식!DL$15,$F493,0),"")</f>
        <v>0</v>
      </c>
      <c r="P493" s="188" t="str">
        <f t="shared" ca="1" si="15"/>
        <v>3% 이하</v>
      </c>
      <c r="Q493" s="194">
        <f ca="1">IFERROR(ROUND(OFFSET(환산공식!$FG$15,$F493,0),3),"")</f>
        <v>0</v>
      </c>
      <c r="R493" s="194">
        <f ca="1">OFFSET('배치점수 계산기'!H$10,$D493,0)</f>
        <v>817.74</v>
      </c>
      <c r="S493" s="194">
        <f ca="1">OFFSET('배치점수 계산기'!I$10,$D493,0)</f>
        <v>808.01</v>
      </c>
      <c r="T493" s="194">
        <f ca="1">OFFSET('배치점수 계산기'!J$10,$D493,0)</f>
        <v>797.51</v>
      </c>
      <c r="U493" s="194">
        <f ca="1">OFFSET('배치점수 계산기'!K$10,$D493,0)</f>
        <v>787.85</v>
      </c>
      <c r="V493" s="194">
        <f ca="1">OFFSET('배치점수 계산기'!L$10,$D493,0)</f>
        <v>776.67</v>
      </c>
      <c r="W493" s="186" t="str">
        <f ca="1">OFFSET('배치점수 계산기'!M$10,$D493,0)</f>
        <v>백분위</v>
      </c>
      <c r="X493" s="184" t="str">
        <f ca="1">OFFSET('배치점수 계산기'!N$10,$D493,0)</f>
        <v>백분위</v>
      </c>
      <c r="Y493" s="188">
        <f ca="1">OFFSET(환산공식!FW$15,$F493,0)</f>
        <v>0.28000000000000003</v>
      </c>
      <c r="Z493" s="20">
        <f ca="1">OFFSET(환산공식!FX$15,$F493,0)</f>
        <v>0.39</v>
      </c>
      <c r="AA493" s="179">
        <f ca="1">OFFSET(환산공식!FY$15,$F493,0)</f>
        <v>0.33</v>
      </c>
      <c r="AB493" s="3"/>
      <c r="AD493">
        <f t="shared" ca="1" si="16"/>
        <v>6</v>
      </c>
      <c r="AF493" s="3"/>
      <c r="AG493" s="3"/>
      <c r="AH493" s="3"/>
    </row>
    <row r="494" spans="1:34">
      <c r="A494" s="198"/>
      <c r="B494" s="198"/>
      <c r="C494" s="198" t="s">
        <v>1055</v>
      </c>
      <c r="D494" s="195">
        <v>547</v>
      </c>
      <c r="E494" s="195">
        <v>132</v>
      </c>
      <c r="F494" s="195">
        <v>132</v>
      </c>
      <c r="G494" s="239">
        <v>487</v>
      </c>
      <c r="H494" s="197" t="s">
        <v>72</v>
      </c>
      <c r="I494" s="242" t="s">
        <v>446</v>
      </c>
      <c r="J494" s="242" t="s">
        <v>9074</v>
      </c>
      <c r="K494" s="195" t="s">
        <v>70</v>
      </c>
      <c r="L494" s="20" t="str">
        <f ca="1">IF(OFFSET(환산공식!$ED$15,$F494,0)=1,"O","X")</f>
        <v>X</v>
      </c>
      <c r="M494" s="188">
        <f ca="1">IFERROR(OFFSET(환산공식!DJ$15,$F494,0),"")</f>
        <v>100</v>
      </c>
      <c r="N494" s="20" t="str">
        <f ca="1">IFERROR(CONCATENATE(ROUND(OFFSET(환산공식!DK$15,$F494,0),1),"%"),"")</f>
        <v>100%</v>
      </c>
      <c r="O494" s="20">
        <f ca="1">IFERROR(OFFSET(환산공식!DL$15,$F494,0),"")</f>
        <v>0</v>
      </c>
      <c r="P494" s="188" t="str">
        <f t="shared" ca="1" si="15"/>
        <v>3% 이하</v>
      </c>
      <c r="Q494" s="194">
        <f ca="1">IFERROR(ROUND(OFFSET(환산공식!$FG$15,$F494,0),3),"")</f>
        <v>0</v>
      </c>
      <c r="R494" s="194">
        <f ca="1">OFFSET('배치점수 계산기'!H$10,$D494,0)</f>
        <v>820.13</v>
      </c>
      <c r="S494" s="194">
        <f ca="1">OFFSET('배치점수 계산기'!I$10,$D494,0)</f>
        <v>809.38</v>
      </c>
      <c r="T494" s="194">
        <f ca="1">OFFSET('배치점수 계산기'!J$10,$D494,0)</f>
        <v>797.51</v>
      </c>
      <c r="U494" s="194">
        <f ca="1">OFFSET('배치점수 계산기'!K$10,$D494,0)</f>
        <v>787.92</v>
      </c>
      <c r="V494" s="194">
        <f ca="1">OFFSET('배치점수 계산기'!L$10,$D494,0)</f>
        <v>778.27</v>
      </c>
      <c r="W494" s="186" t="str">
        <f ca="1">OFFSET('배치점수 계산기'!M$10,$D494,0)</f>
        <v>백분위</v>
      </c>
      <c r="X494" s="184" t="str">
        <f ca="1">OFFSET('배치점수 계산기'!N$10,$D494,0)</f>
        <v>백분위</v>
      </c>
      <c r="Y494" s="188">
        <f ca="1">OFFSET(환산공식!FW$15,$F494,0)</f>
        <v>0.28000000000000003</v>
      </c>
      <c r="Z494" s="20">
        <f ca="1">OFFSET(환산공식!FX$15,$F494,0)</f>
        <v>0.39</v>
      </c>
      <c r="AA494" s="179">
        <f ca="1">OFFSET(환산공식!FY$15,$F494,0)</f>
        <v>0.33</v>
      </c>
      <c r="AB494" s="3"/>
      <c r="AD494">
        <f t="shared" ca="1" si="16"/>
        <v>6</v>
      </c>
      <c r="AF494" s="3"/>
      <c r="AG494" s="3"/>
      <c r="AH494" s="3"/>
    </row>
    <row r="495" spans="1:34">
      <c r="A495" s="198"/>
      <c r="B495" s="198"/>
      <c r="C495" s="198" t="s">
        <v>1056</v>
      </c>
      <c r="D495" s="195">
        <v>548</v>
      </c>
      <c r="E495" s="195">
        <v>132</v>
      </c>
      <c r="F495" s="195">
        <v>132</v>
      </c>
      <c r="G495" s="239">
        <v>488</v>
      </c>
      <c r="H495" s="197" t="s">
        <v>72</v>
      </c>
      <c r="I495" s="242" t="s">
        <v>446</v>
      </c>
      <c r="J495" s="242" t="s">
        <v>9611</v>
      </c>
      <c r="K495" s="195" t="s">
        <v>70</v>
      </c>
      <c r="L495" s="20" t="str">
        <f ca="1">IF(OFFSET(환산공식!$ED$15,$F495,0)=1,"O","X")</f>
        <v>X</v>
      </c>
      <c r="M495" s="188">
        <f ca="1">IFERROR(OFFSET(환산공식!DJ$15,$F495,0),"")</f>
        <v>100</v>
      </c>
      <c r="N495" s="20" t="str">
        <f ca="1">IFERROR(CONCATENATE(ROUND(OFFSET(환산공식!DK$15,$F495,0),1),"%"),"")</f>
        <v>100%</v>
      </c>
      <c r="O495" s="20">
        <f ca="1">IFERROR(OFFSET(환산공식!DL$15,$F495,0),"")</f>
        <v>0</v>
      </c>
      <c r="P495" s="188" t="str">
        <f t="shared" ca="1" si="15"/>
        <v>3% 이하</v>
      </c>
      <c r="Q495" s="194">
        <f ca="1">IFERROR(ROUND(OFFSET(환산공식!$FG$15,$F495,0),3),"")</f>
        <v>0</v>
      </c>
      <c r="R495" s="194">
        <f ca="1">OFFSET('배치점수 계산기'!H$10,$D495,0)</f>
        <v>812.83</v>
      </c>
      <c r="S495" s="194">
        <f ca="1">OFFSET('배치점수 계산기'!I$10,$D495,0)</f>
        <v>801.68</v>
      </c>
      <c r="T495" s="194">
        <f ca="1">OFFSET('배치점수 계산기'!J$10,$D495,0)</f>
        <v>789.75</v>
      </c>
      <c r="U495" s="194">
        <f ca="1">OFFSET('배치점수 계산기'!K$10,$D495,0)</f>
        <v>780.7</v>
      </c>
      <c r="V495" s="194">
        <f ca="1">OFFSET('배치점수 계산기'!L$10,$D495,0)</f>
        <v>772.58</v>
      </c>
      <c r="W495" s="186" t="str">
        <f ca="1">OFFSET('배치점수 계산기'!M$10,$D495,0)</f>
        <v>백분위</v>
      </c>
      <c r="X495" s="184" t="str">
        <f ca="1">OFFSET('배치점수 계산기'!N$10,$D495,0)</f>
        <v>백분위</v>
      </c>
      <c r="Y495" s="188">
        <f ca="1">OFFSET(환산공식!FW$15,$F495,0)</f>
        <v>0.28000000000000003</v>
      </c>
      <c r="Z495" s="20">
        <f ca="1">OFFSET(환산공식!FX$15,$F495,0)</f>
        <v>0.39</v>
      </c>
      <c r="AA495" s="179">
        <f ca="1">OFFSET(환산공식!FY$15,$F495,0)</f>
        <v>0.33</v>
      </c>
      <c r="AB495" s="3"/>
      <c r="AD495">
        <f t="shared" ca="1" si="16"/>
        <v>6</v>
      </c>
      <c r="AF495" s="3"/>
      <c r="AG495" s="3"/>
      <c r="AH495" s="3"/>
    </row>
    <row r="496" spans="1:34">
      <c r="A496" s="198"/>
      <c r="B496" s="198"/>
      <c r="C496" s="198" t="s">
        <v>1057</v>
      </c>
      <c r="D496" s="195">
        <v>549</v>
      </c>
      <c r="E496" s="195">
        <v>132</v>
      </c>
      <c r="F496" s="195">
        <v>132</v>
      </c>
      <c r="G496" s="239">
        <v>489</v>
      </c>
      <c r="H496" s="197" t="s">
        <v>72</v>
      </c>
      <c r="I496" s="242" t="s">
        <v>446</v>
      </c>
      <c r="J496" s="242" t="s">
        <v>8757</v>
      </c>
      <c r="K496" s="195" t="s">
        <v>70</v>
      </c>
      <c r="L496" s="20" t="str">
        <f ca="1">IF(OFFSET(환산공식!$ED$15,$F496,0)=1,"O","X")</f>
        <v>X</v>
      </c>
      <c r="M496" s="188">
        <f ca="1">IFERROR(OFFSET(환산공식!DJ$15,$F496,0),"")</f>
        <v>100</v>
      </c>
      <c r="N496" s="20" t="str">
        <f ca="1">IFERROR(CONCATENATE(ROUND(OFFSET(환산공식!DK$15,$F496,0),1),"%"),"")</f>
        <v>100%</v>
      </c>
      <c r="O496" s="20">
        <f ca="1">IFERROR(OFFSET(환산공식!DL$15,$F496,0),"")</f>
        <v>0</v>
      </c>
      <c r="P496" s="188" t="str">
        <f t="shared" ca="1" si="15"/>
        <v>3% 이하</v>
      </c>
      <c r="Q496" s="194">
        <f ca="1">IFERROR(ROUND(OFFSET(환산공식!$FG$15,$F496,0),3),"")</f>
        <v>0</v>
      </c>
      <c r="R496" s="194">
        <f ca="1">OFFSET('배치점수 계산기'!H$10,$D496,0)</f>
        <v>810.72</v>
      </c>
      <c r="S496" s="194">
        <f ca="1">OFFSET('배치점수 계산기'!I$10,$D496,0)</f>
        <v>800.2</v>
      </c>
      <c r="T496" s="194">
        <f ca="1">OFFSET('배치점수 계산기'!J$10,$D496,0)</f>
        <v>787.85</v>
      </c>
      <c r="U496" s="194">
        <f ca="1">OFFSET('배치점수 계산기'!K$10,$D496,0)</f>
        <v>780.38</v>
      </c>
      <c r="V496" s="194">
        <f ca="1">OFFSET('배치점수 계산기'!L$10,$D496,0)</f>
        <v>771.67</v>
      </c>
      <c r="W496" s="186" t="str">
        <f ca="1">OFFSET('배치점수 계산기'!M$10,$D496,0)</f>
        <v>백분위</v>
      </c>
      <c r="X496" s="184" t="str">
        <f ca="1">OFFSET('배치점수 계산기'!N$10,$D496,0)</f>
        <v>백분위</v>
      </c>
      <c r="Y496" s="188">
        <f ca="1">OFFSET(환산공식!FW$15,$F496,0)</f>
        <v>0.28000000000000003</v>
      </c>
      <c r="Z496" s="20">
        <f ca="1">OFFSET(환산공식!FX$15,$F496,0)</f>
        <v>0.39</v>
      </c>
      <c r="AA496" s="179">
        <f ca="1">OFFSET(환산공식!FY$15,$F496,0)</f>
        <v>0.33</v>
      </c>
      <c r="AB496" s="3"/>
      <c r="AD496">
        <f t="shared" ca="1" si="16"/>
        <v>6</v>
      </c>
      <c r="AF496" s="3"/>
      <c r="AG496" s="3"/>
      <c r="AH496" s="3"/>
    </row>
    <row r="497" spans="1:34">
      <c r="A497" s="198"/>
      <c r="B497" s="198"/>
      <c r="C497" s="198" t="s">
        <v>1058</v>
      </c>
      <c r="D497" s="195">
        <v>550</v>
      </c>
      <c r="E497" s="195">
        <v>132</v>
      </c>
      <c r="F497" s="195">
        <v>132</v>
      </c>
      <c r="G497" s="239">
        <v>490</v>
      </c>
      <c r="H497" s="197" t="s">
        <v>72</v>
      </c>
      <c r="I497" s="242" t="s">
        <v>446</v>
      </c>
      <c r="J497" s="242" t="s">
        <v>11943</v>
      </c>
      <c r="K497" s="195" t="s">
        <v>70</v>
      </c>
      <c r="L497" s="20" t="str">
        <f ca="1">IF(OFFSET(환산공식!$ED$15,$F497,0)=1,"O","X")</f>
        <v>X</v>
      </c>
      <c r="M497" s="188">
        <f ca="1">IFERROR(OFFSET(환산공식!DJ$15,$F497,0),"")</f>
        <v>100</v>
      </c>
      <c r="N497" s="20" t="str">
        <f ca="1">IFERROR(CONCATENATE(ROUND(OFFSET(환산공식!DK$15,$F497,0),1),"%"),"")</f>
        <v>100%</v>
      </c>
      <c r="O497" s="20">
        <f ca="1">IFERROR(OFFSET(환산공식!DL$15,$F497,0),"")</f>
        <v>0</v>
      </c>
      <c r="P497" s="188" t="str">
        <f t="shared" ca="1" si="15"/>
        <v>3% 이하</v>
      </c>
      <c r="Q497" s="194">
        <f ca="1">IFERROR(ROUND(OFFSET(환산공식!$FG$15,$F497,0),3),"")</f>
        <v>0</v>
      </c>
      <c r="R497" s="194">
        <f ca="1">OFFSET('배치점수 계산기'!H$10,$D497,0)</f>
        <v>808.61</v>
      </c>
      <c r="S497" s="194">
        <f ca="1">OFFSET('배치점수 계산기'!I$10,$D497,0)</f>
        <v>798.87</v>
      </c>
      <c r="T497" s="194">
        <f ca="1">OFFSET('배치점수 계산기'!J$10,$D497,0)</f>
        <v>786.14</v>
      </c>
      <c r="U497" s="194">
        <f ca="1">OFFSET('배치점수 계산기'!K$10,$D497,0)</f>
        <v>778.27</v>
      </c>
      <c r="V497" s="194">
        <f ca="1">OFFSET('배치점수 계산기'!L$10,$D497,0)</f>
        <v>768.87</v>
      </c>
      <c r="W497" s="186" t="str">
        <f ca="1">OFFSET('배치점수 계산기'!M$10,$D497,0)</f>
        <v>백분위</v>
      </c>
      <c r="X497" s="184" t="str">
        <f ca="1">OFFSET('배치점수 계산기'!N$10,$D497,0)</f>
        <v>백분위</v>
      </c>
      <c r="Y497" s="188">
        <f ca="1">OFFSET(환산공식!FW$15,$F497,0)</f>
        <v>0.28000000000000003</v>
      </c>
      <c r="Z497" s="20">
        <f ca="1">OFFSET(환산공식!FX$15,$F497,0)</f>
        <v>0.39</v>
      </c>
      <c r="AA497" s="179">
        <f ca="1">OFFSET(환산공식!FY$15,$F497,0)</f>
        <v>0.33</v>
      </c>
      <c r="AB497" s="3"/>
      <c r="AD497">
        <f t="shared" ca="1" si="16"/>
        <v>6</v>
      </c>
      <c r="AF497" s="3"/>
      <c r="AG497" s="3"/>
      <c r="AH497" s="3"/>
    </row>
    <row r="498" spans="1:34">
      <c r="A498" s="198"/>
      <c r="B498" s="198"/>
      <c r="C498" s="198" t="s">
        <v>1059</v>
      </c>
      <c r="D498" s="195">
        <v>551</v>
      </c>
      <c r="E498" s="195">
        <v>132</v>
      </c>
      <c r="F498" s="195">
        <v>132</v>
      </c>
      <c r="G498" s="239">
        <v>491</v>
      </c>
      <c r="H498" s="197" t="s">
        <v>72</v>
      </c>
      <c r="I498" s="242" t="s">
        <v>446</v>
      </c>
      <c r="J498" s="242" t="s">
        <v>11479</v>
      </c>
      <c r="K498" s="195" t="s">
        <v>70</v>
      </c>
      <c r="L498" s="20" t="str">
        <f ca="1">IF(OFFSET(환산공식!$ED$15,$F498,0)=1,"O","X")</f>
        <v>X</v>
      </c>
      <c r="M498" s="188">
        <f ca="1">IFERROR(OFFSET(환산공식!DJ$15,$F498,0),"")</f>
        <v>100</v>
      </c>
      <c r="N498" s="20" t="str">
        <f ca="1">IFERROR(CONCATENATE(ROUND(OFFSET(환산공식!DK$15,$F498,0),1),"%"),"")</f>
        <v>100%</v>
      </c>
      <c r="O498" s="20">
        <f ca="1">IFERROR(OFFSET(환산공식!DL$15,$F498,0),"")</f>
        <v>0</v>
      </c>
      <c r="P498" s="188" t="str">
        <f t="shared" ca="1" si="15"/>
        <v>3% 이하</v>
      </c>
      <c r="Q498" s="194">
        <f ca="1">IFERROR(ROUND(OFFSET(환산공식!$FG$15,$F498,0),3),"")</f>
        <v>0</v>
      </c>
      <c r="R498" s="194">
        <f ca="1">OFFSET('배치점수 계산기'!H$10,$D498,0)</f>
        <v>801.11</v>
      </c>
      <c r="S498" s="194">
        <f ca="1">OFFSET('배치점수 계산기'!I$10,$D498,0)</f>
        <v>790.68</v>
      </c>
      <c r="T498" s="194">
        <f ca="1">OFFSET('배치점수 계산기'!J$10,$D498,0)</f>
        <v>781.33</v>
      </c>
      <c r="U498" s="194">
        <f ca="1">OFFSET('배치점수 계산기'!K$10,$D498,0)</f>
        <v>772.69</v>
      </c>
      <c r="V498" s="194">
        <f ca="1">OFFSET('배치점수 계산기'!L$10,$D498,0)</f>
        <v>762.03</v>
      </c>
      <c r="W498" s="186" t="str">
        <f ca="1">OFFSET('배치점수 계산기'!M$10,$D498,0)</f>
        <v>백분위</v>
      </c>
      <c r="X498" s="184" t="str">
        <f ca="1">OFFSET('배치점수 계산기'!N$10,$D498,0)</f>
        <v>백분위</v>
      </c>
      <c r="Y498" s="188">
        <f ca="1">OFFSET(환산공식!FW$15,$F498,0)</f>
        <v>0.28000000000000003</v>
      </c>
      <c r="Z498" s="20">
        <f ca="1">OFFSET(환산공식!FX$15,$F498,0)</f>
        <v>0.39</v>
      </c>
      <c r="AA498" s="179">
        <f ca="1">OFFSET(환산공식!FY$15,$F498,0)</f>
        <v>0.33</v>
      </c>
      <c r="AB498" s="3"/>
      <c r="AD498">
        <f t="shared" ca="1" si="16"/>
        <v>6</v>
      </c>
      <c r="AF498" s="3"/>
      <c r="AG498" s="3"/>
      <c r="AH498" s="3"/>
    </row>
    <row r="499" spans="1:34">
      <c r="A499" s="198"/>
      <c r="B499" s="198"/>
      <c r="C499" s="198" t="s">
        <v>1060</v>
      </c>
      <c r="D499" s="195">
        <v>552</v>
      </c>
      <c r="E499" s="195">
        <v>132</v>
      </c>
      <c r="F499" s="195">
        <v>132</v>
      </c>
      <c r="G499" s="239">
        <v>492</v>
      </c>
      <c r="H499" s="197" t="s">
        <v>72</v>
      </c>
      <c r="I499" s="242" t="s">
        <v>446</v>
      </c>
      <c r="J499" s="242" t="s">
        <v>12105</v>
      </c>
      <c r="K499" s="195" t="s">
        <v>70</v>
      </c>
      <c r="L499" s="20" t="str">
        <f ca="1">IF(OFFSET(환산공식!$ED$15,$F499,0)=1,"O","X")</f>
        <v>X</v>
      </c>
      <c r="M499" s="188">
        <f ca="1">IFERROR(OFFSET(환산공식!DJ$15,$F499,0),"")</f>
        <v>100</v>
      </c>
      <c r="N499" s="20" t="str">
        <f ca="1">IFERROR(CONCATENATE(ROUND(OFFSET(환산공식!DK$15,$F499,0),1),"%"),"")</f>
        <v>100%</v>
      </c>
      <c r="O499" s="20">
        <f ca="1">IFERROR(OFFSET(환산공식!DL$15,$F499,0),"")</f>
        <v>0</v>
      </c>
      <c r="P499" s="188" t="str">
        <f t="shared" ca="1" si="15"/>
        <v>3% 이하</v>
      </c>
      <c r="Q499" s="194">
        <f ca="1">IFERROR(ROUND(OFFSET(환산공식!$FG$15,$F499,0),3),"")</f>
        <v>0</v>
      </c>
      <c r="R499" s="194">
        <f ca="1">OFFSET('배치점수 계산기'!H$10,$D499,0)</f>
        <v>797.96</v>
      </c>
      <c r="S499" s="194">
        <f ca="1">OFFSET('배치점수 계산기'!I$10,$D499,0)</f>
        <v>788.17</v>
      </c>
      <c r="T499" s="194">
        <f ca="1">OFFSET('배치점수 계산기'!J$10,$D499,0)</f>
        <v>779.64</v>
      </c>
      <c r="U499" s="194">
        <f ca="1">OFFSET('배치점수 계산기'!K$10,$D499,0)</f>
        <v>770.75</v>
      </c>
      <c r="V499" s="194">
        <f ca="1">OFFSET('배치점수 계산기'!L$10,$D499,0)</f>
        <v>759.42</v>
      </c>
      <c r="W499" s="186" t="str">
        <f ca="1">OFFSET('배치점수 계산기'!M$10,$D499,0)</f>
        <v>백분위</v>
      </c>
      <c r="X499" s="184" t="str">
        <f ca="1">OFFSET('배치점수 계산기'!N$10,$D499,0)</f>
        <v>백분위</v>
      </c>
      <c r="Y499" s="188">
        <f ca="1">OFFSET(환산공식!FW$15,$F499,0)</f>
        <v>0.28000000000000003</v>
      </c>
      <c r="Z499" s="20">
        <f ca="1">OFFSET(환산공식!FX$15,$F499,0)</f>
        <v>0.39</v>
      </c>
      <c r="AA499" s="179">
        <f ca="1">OFFSET(환산공식!FY$15,$F499,0)</f>
        <v>0.33</v>
      </c>
      <c r="AB499" s="3"/>
      <c r="AD499">
        <f t="shared" ca="1" si="16"/>
        <v>6</v>
      </c>
      <c r="AF499" s="3"/>
      <c r="AG499" s="3"/>
      <c r="AH499" s="3"/>
    </row>
    <row r="500" spans="1:34">
      <c r="A500" s="198"/>
      <c r="B500" s="198"/>
      <c r="C500" s="198" t="s">
        <v>1061</v>
      </c>
      <c r="D500" s="195">
        <v>553</v>
      </c>
      <c r="E500" s="195">
        <v>132</v>
      </c>
      <c r="F500" s="195">
        <v>132</v>
      </c>
      <c r="G500" s="239">
        <v>493</v>
      </c>
      <c r="H500" s="197" t="s">
        <v>72</v>
      </c>
      <c r="I500" s="242" t="s">
        <v>446</v>
      </c>
      <c r="J500" s="242" t="s">
        <v>12094</v>
      </c>
      <c r="K500" s="195" t="s">
        <v>70</v>
      </c>
      <c r="L500" s="20" t="str">
        <f ca="1">IF(OFFSET(환산공식!$ED$15,$F500,0)=1,"O","X")</f>
        <v>X</v>
      </c>
      <c r="M500" s="188">
        <f ca="1">IFERROR(OFFSET(환산공식!DJ$15,$F500,0),"")</f>
        <v>100</v>
      </c>
      <c r="N500" s="20" t="str">
        <f ca="1">IFERROR(CONCATENATE(ROUND(OFFSET(환산공식!DK$15,$F500,0),1),"%"),"")</f>
        <v>100%</v>
      </c>
      <c r="O500" s="20">
        <f ca="1">IFERROR(OFFSET(환산공식!DL$15,$F500,0),"")</f>
        <v>0</v>
      </c>
      <c r="P500" s="188" t="str">
        <f t="shared" ca="1" si="15"/>
        <v>3% 이하</v>
      </c>
      <c r="Q500" s="194">
        <f ca="1">IFERROR(ROUND(OFFSET(환산공식!$FG$15,$F500,0),3),"")</f>
        <v>0</v>
      </c>
      <c r="R500" s="194">
        <f ca="1">OFFSET('배치점수 계산기'!H$10,$D500,0)</f>
        <v>799.3</v>
      </c>
      <c r="S500" s="194">
        <f ca="1">OFFSET('배치점수 계산기'!I$10,$D500,0)</f>
        <v>789.75</v>
      </c>
      <c r="T500" s="194">
        <f ca="1">OFFSET('배치점수 계산기'!J$10,$D500,0)</f>
        <v>778.27</v>
      </c>
      <c r="U500" s="194">
        <f ca="1">OFFSET('배치점수 계산기'!K$10,$D500,0)</f>
        <v>770.75</v>
      </c>
      <c r="V500" s="194">
        <f ca="1">OFFSET('배치점수 계산기'!L$10,$D500,0)</f>
        <v>761</v>
      </c>
      <c r="W500" s="186" t="str">
        <f ca="1">OFFSET('배치점수 계산기'!M$10,$D500,0)</f>
        <v>백분위</v>
      </c>
      <c r="X500" s="184" t="str">
        <f ca="1">OFFSET('배치점수 계산기'!N$10,$D500,0)</f>
        <v>백분위</v>
      </c>
      <c r="Y500" s="188">
        <f ca="1">OFFSET(환산공식!FW$15,$F500,0)</f>
        <v>0.28000000000000003</v>
      </c>
      <c r="Z500" s="20">
        <f ca="1">OFFSET(환산공식!FX$15,$F500,0)</f>
        <v>0.39</v>
      </c>
      <c r="AA500" s="179">
        <f ca="1">OFFSET(환산공식!FY$15,$F500,0)</f>
        <v>0.33</v>
      </c>
      <c r="AB500" s="3"/>
      <c r="AD500">
        <f t="shared" ca="1" si="16"/>
        <v>6</v>
      </c>
      <c r="AF500" s="3"/>
      <c r="AG500" s="3"/>
      <c r="AH500" s="3"/>
    </row>
    <row r="501" spans="1:34">
      <c r="A501" s="198"/>
      <c r="B501" s="198"/>
      <c r="C501" s="198" t="s">
        <v>1062</v>
      </c>
      <c r="D501" s="195">
        <v>554</v>
      </c>
      <c r="E501" s="195">
        <v>132</v>
      </c>
      <c r="F501" s="195">
        <v>132</v>
      </c>
      <c r="G501" s="239">
        <v>494</v>
      </c>
      <c r="H501" s="197" t="s">
        <v>72</v>
      </c>
      <c r="I501" s="242" t="s">
        <v>446</v>
      </c>
      <c r="J501" s="242" t="s">
        <v>12103</v>
      </c>
      <c r="K501" s="195" t="s">
        <v>70</v>
      </c>
      <c r="L501" s="20" t="str">
        <f ca="1">IF(OFFSET(환산공식!$ED$15,$F501,0)=1,"O","X")</f>
        <v>X</v>
      </c>
      <c r="M501" s="188">
        <f ca="1">IFERROR(OFFSET(환산공식!DJ$15,$F501,0),"")</f>
        <v>100</v>
      </c>
      <c r="N501" s="20" t="str">
        <f ca="1">IFERROR(CONCATENATE(ROUND(OFFSET(환산공식!DK$15,$F501,0),1),"%"),"")</f>
        <v>100%</v>
      </c>
      <c r="O501" s="20">
        <f ca="1">IFERROR(OFFSET(환산공식!DL$15,$F501,0),"")</f>
        <v>0</v>
      </c>
      <c r="P501" s="188" t="str">
        <f t="shared" ca="1" si="15"/>
        <v>3% 이하</v>
      </c>
      <c r="Q501" s="194">
        <f ca="1">IFERROR(ROUND(OFFSET(환산공식!$FG$15,$F501,0),3),"")</f>
        <v>0</v>
      </c>
      <c r="R501" s="194">
        <f ca="1">OFFSET('배치점수 계산기'!H$10,$D501,0)</f>
        <v>799.18</v>
      </c>
      <c r="S501" s="194">
        <f ca="1">OFFSET('배치점수 계산기'!I$10,$D501,0)</f>
        <v>789.07</v>
      </c>
      <c r="T501" s="194">
        <f ca="1">OFFSET('배치점수 계산기'!J$10,$D501,0)</f>
        <v>778.02</v>
      </c>
      <c r="U501" s="194">
        <f ca="1">OFFSET('배치점수 계산기'!K$10,$D501,0)</f>
        <v>770.43</v>
      </c>
      <c r="V501" s="194">
        <f ca="1">OFFSET('배치점수 계산기'!L$10,$D501,0)</f>
        <v>760.95</v>
      </c>
      <c r="W501" s="186" t="str">
        <f ca="1">OFFSET('배치점수 계산기'!M$10,$D501,0)</f>
        <v>백분위</v>
      </c>
      <c r="X501" s="184" t="str">
        <f ca="1">OFFSET('배치점수 계산기'!N$10,$D501,0)</f>
        <v>백분위</v>
      </c>
      <c r="Y501" s="188">
        <f ca="1">OFFSET(환산공식!FW$15,$F501,0)</f>
        <v>0.28000000000000003</v>
      </c>
      <c r="Z501" s="20">
        <f ca="1">OFFSET(환산공식!FX$15,$F501,0)</f>
        <v>0.39</v>
      </c>
      <c r="AA501" s="179">
        <f ca="1">OFFSET(환산공식!FY$15,$F501,0)</f>
        <v>0.33</v>
      </c>
      <c r="AB501" s="3"/>
      <c r="AD501">
        <f t="shared" ca="1" si="16"/>
        <v>6</v>
      </c>
      <c r="AF501" s="3"/>
      <c r="AG501" s="3"/>
      <c r="AH501" s="3"/>
    </row>
    <row r="502" spans="1:34">
      <c r="A502" s="198"/>
      <c r="B502" s="198"/>
      <c r="C502" s="198" t="s">
        <v>1063</v>
      </c>
      <c r="D502" s="195">
        <v>555</v>
      </c>
      <c r="E502" s="195">
        <v>132</v>
      </c>
      <c r="F502" s="195">
        <v>132</v>
      </c>
      <c r="G502" s="239">
        <v>495</v>
      </c>
      <c r="H502" s="197" t="s">
        <v>72</v>
      </c>
      <c r="I502" s="242" t="s">
        <v>446</v>
      </c>
      <c r="J502" s="242" t="s">
        <v>10636</v>
      </c>
      <c r="K502" s="195" t="s">
        <v>70</v>
      </c>
      <c r="L502" s="20" t="str">
        <f ca="1">IF(OFFSET(환산공식!$ED$15,$F502,0)=1,"O","X")</f>
        <v>X</v>
      </c>
      <c r="M502" s="188">
        <f ca="1">IFERROR(OFFSET(환산공식!DJ$15,$F502,0),"")</f>
        <v>100</v>
      </c>
      <c r="N502" s="20" t="str">
        <f ca="1">IFERROR(CONCATENATE(ROUND(OFFSET(환산공식!DK$15,$F502,0),1),"%"),"")</f>
        <v>100%</v>
      </c>
      <c r="O502" s="20">
        <f ca="1">IFERROR(OFFSET(환산공식!DL$15,$F502,0),"")</f>
        <v>0</v>
      </c>
      <c r="P502" s="188" t="str">
        <f t="shared" ca="1" si="15"/>
        <v>3% 이하</v>
      </c>
      <c r="Q502" s="194">
        <f ca="1">IFERROR(ROUND(OFFSET(환산공식!$FG$15,$F502,0),3),"")</f>
        <v>0</v>
      </c>
      <c r="R502" s="194">
        <f ca="1">OFFSET('배치점수 계산기'!H$10,$D502,0)</f>
        <v>796.19</v>
      </c>
      <c r="S502" s="194">
        <f ca="1">OFFSET('배치점수 계산기'!I$10,$D502,0)</f>
        <v>784.31</v>
      </c>
      <c r="T502" s="194">
        <f ca="1">OFFSET('배치점수 계산기'!J$10,$D502,0)</f>
        <v>774.94</v>
      </c>
      <c r="U502" s="194">
        <f ca="1">OFFSET('배치점수 계산기'!K$10,$D502,0)</f>
        <v>767.86</v>
      </c>
      <c r="V502" s="194">
        <f ca="1">OFFSET('배치점수 계산기'!L$10,$D502,0)</f>
        <v>759.42</v>
      </c>
      <c r="W502" s="186" t="str">
        <f ca="1">OFFSET('배치점수 계산기'!M$10,$D502,0)</f>
        <v>백분위</v>
      </c>
      <c r="X502" s="184" t="str">
        <f ca="1">OFFSET('배치점수 계산기'!N$10,$D502,0)</f>
        <v>백분위</v>
      </c>
      <c r="Y502" s="188">
        <f ca="1">OFFSET(환산공식!FW$15,$F502,0)</f>
        <v>0.28000000000000003</v>
      </c>
      <c r="Z502" s="20">
        <f ca="1">OFFSET(환산공식!FX$15,$F502,0)</f>
        <v>0.39</v>
      </c>
      <c r="AA502" s="179">
        <f ca="1">OFFSET(환산공식!FY$15,$F502,0)</f>
        <v>0.33</v>
      </c>
      <c r="AB502" s="3"/>
      <c r="AD502">
        <f t="shared" ca="1" si="16"/>
        <v>6</v>
      </c>
      <c r="AF502" s="3"/>
      <c r="AG502" s="3"/>
      <c r="AH502" s="3"/>
    </row>
    <row r="503" spans="1:34">
      <c r="A503" s="198"/>
      <c r="B503" s="198"/>
      <c r="C503" s="198" t="s">
        <v>1064</v>
      </c>
      <c r="D503" s="195">
        <v>556</v>
      </c>
      <c r="E503" s="195">
        <v>132</v>
      </c>
      <c r="F503" s="195">
        <v>132</v>
      </c>
      <c r="G503" s="239">
        <v>496</v>
      </c>
      <c r="H503" s="197" t="s">
        <v>72</v>
      </c>
      <c r="I503" s="242" t="s">
        <v>446</v>
      </c>
      <c r="J503" s="242" t="s">
        <v>12231</v>
      </c>
      <c r="K503" s="195" t="s">
        <v>70</v>
      </c>
      <c r="L503" s="20" t="str">
        <f ca="1">IF(OFFSET(환산공식!$ED$15,$F503,0)=1,"O","X")</f>
        <v>X</v>
      </c>
      <c r="M503" s="188">
        <f ca="1">IFERROR(OFFSET(환산공식!DJ$15,$F503,0),"")</f>
        <v>100</v>
      </c>
      <c r="N503" s="20" t="str">
        <f ca="1">IFERROR(CONCATENATE(ROUND(OFFSET(환산공식!DK$15,$F503,0),1),"%"),"")</f>
        <v>100%</v>
      </c>
      <c r="O503" s="20">
        <f ca="1">IFERROR(OFFSET(환산공식!DL$15,$F503,0),"")</f>
        <v>0</v>
      </c>
      <c r="P503" s="188" t="str">
        <f t="shared" ca="1" si="15"/>
        <v>3% 이하</v>
      </c>
      <c r="Q503" s="194">
        <f ca="1">IFERROR(ROUND(OFFSET(환산공식!$FG$15,$F503,0),3),"")</f>
        <v>0</v>
      </c>
      <c r="R503" s="194">
        <f ca="1">OFFSET('배치점수 계산기'!H$10,$D503,0)</f>
        <v>791.13</v>
      </c>
      <c r="S503" s="194">
        <f ca="1">OFFSET('배치점수 계산기'!I$10,$D503,0)</f>
        <v>781.83</v>
      </c>
      <c r="T503" s="194">
        <f ca="1">OFFSET('배치점수 계산기'!J$10,$D503,0)</f>
        <v>771.67</v>
      </c>
      <c r="U503" s="194">
        <f ca="1">OFFSET('배치점수 계산기'!K$10,$D503,0)</f>
        <v>763.96</v>
      </c>
      <c r="V503" s="194">
        <f ca="1">OFFSET('배치점수 계산기'!L$10,$D503,0)</f>
        <v>753.54</v>
      </c>
      <c r="W503" s="186" t="str">
        <f ca="1">OFFSET('배치점수 계산기'!M$10,$D503,0)</f>
        <v>백분위</v>
      </c>
      <c r="X503" s="184" t="str">
        <f ca="1">OFFSET('배치점수 계산기'!N$10,$D503,0)</f>
        <v>백분위</v>
      </c>
      <c r="Y503" s="188">
        <f ca="1">OFFSET(환산공식!FW$15,$F503,0)</f>
        <v>0.28000000000000003</v>
      </c>
      <c r="Z503" s="20">
        <f ca="1">OFFSET(환산공식!FX$15,$F503,0)</f>
        <v>0.39</v>
      </c>
      <c r="AA503" s="179">
        <f ca="1">OFFSET(환산공식!FY$15,$F503,0)</f>
        <v>0.33</v>
      </c>
      <c r="AB503" s="3"/>
      <c r="AD503">
        <f t="shared" ca="1" si="16"/>
        <v>6</v>
      </c>
      <c r="AF503" s="3"/>
      <c r="AG503" s="3"/>
      <c r="AH503" s="3"/>
    </row>
    <row r="504" spans="1:34">
      <c r="A504" s="198"/>
      <c r="B504" s="198"/>
      <c r="C504" s="198" t="s">
        <v>1065</v>
      </c>
      <c r="D504" s="195">
        <v>557</v>
      </c>
      <c r="E504" s="195">
        <v>132</v>
      </c>
      <c r="F504" s="195">
        <v>132</v>
      </c>
      <c r="G504" s="239">
        <v>497</v>
      </c>
      <c r="H504" s="197" t="s">
        <v>72</v>
      </c>
      <c r="I504" s="242" t="s">
        <v>446</v>
      </c>
      <c r="J504" s="242" t="s">
        <v>9439</v>
      </c>
      <c r="K504" s="195" t="s">
        <v>70</v>
      </c>
      <c r="L504" s="20" t="str">
        <f ca="1">IF(OFFSET(환산공식!$ED$15,$F504,0)=1,"O","X")</f>
        <v>X</v>
      </c>
      <c r="M504" s="188">
        <f ca="1">IFERROR(OFFSET(환산공식!DJ$15,$F504,0),"")</f>
        <v>100</v>
      </c>
      <c r="N504" s="20" t="str">
        <f ca="1">IFERROR(CONCATENATE(ROUND(OFFSET(환산공식!DK$15,$F504,0),1),"%"),"")</f>
        <v>100%</v>
      </c>
      <c r="O504" s="20">
        <f ca="1">IFERROR(OFFSET(환산공식!DL$15,$F504,0),"")</f>
        <v>0</v>
      </c>
      <c r="P504" s="188" t="str">
        <f t="shared" ca="1" si="15"/>
        <v>3% 이하</v>
      </c>
      <c r="Q504" s="194">
        <f ca="1">IFERROR(ROUND(OFFSET(환산공식!$FG$15,$F504,0),3),"")</f>
        <v>0</v>
      </c>
      <c r="R504" s="194">
        <f ca="1">OFFSET('배치점수 계산기'!H$10,$D504,0)</f>
        <v>788.17</v>
      </c>
      <c r="S504" s="194">
        <f ca="1">OFFSET('배치점수 계산기'!I$10,$D504,0)</f>
        <v>778.27</v>
      </c>
      <c r="T504" s="194">
        <f ca="1">OFFSET('배치점수 계산기'!J$10,$D504,0)</f>
        <v>768.11</v>
      </c>
      <c r="U504" s="194">
        <f ca="1">OFFSET('배치점수 계산기'!K$10,$D504,0)</f>
        <v>760.95</v>
      </c>
      <c r="V504" s="194">
        <f ca="1">OFFSET('배치점수 계산기'!L$10,$D504,0)</f>
        <v>752.22</v>
      </c>
      <c r="W504" s="186" t="str">
        <f ca="1">OFFSET('배치점수 계산기'!M$10,$D504,0)</f>
        <v>백분위</v>
      </c>
      <c r="X504" s="184" t="str">
        <f ca="1">OFFSET('배치점수 계산기'!N$10,$D504,0)</f>
        <v>백분위</v>
      </c>
      <c r="Y504" s="188">
        <f ca="1">OFFSET(환산공식!FW$15,$F504,0)</f>
        <v>0.28000000000000003</v>
      </c>
      <c r="Z504" s="20">
        <f ca="1">OFFSET(환산공식!FX$15,$F504,0)</f>
        <v>0.39</v>
      </c>
      <c r="AA504" s="179">
        <f ca="1">OFFSET(환산공식!FY$15,$F504,0)</f>
        <v>0.33</v>
      </c>
      <c r="AB504" s="3"/>
      <c r="AD504">
        <f t="shared" ca="1" si="16"/>
        <v>6</v>
      </c>
      <c r="AF504" s="3"/>
      <c r="AG504" s="3"/>
      <c r="AH504" s="3"/>
    </row>
    <row r="505" spans="1:34">
      <c r="A505" s="198"/>
      <c r="B505" s="198"/>
      <c r="C505" s="198" t="s">
        <v>1066</v>
      </c>
      <c r="D505" s="195">
        <v>558</v>
      </c>
      <c r="E505" s="195">
        <v>129</v>
      </c>
      <c r="F505" s="195">
        <v>129</v>
      </c>
      <c r="G505" s="239">
        <v>498</v>
      </c>
      <c r="H505" s="197" t="s">
        <v>72</v>
      </c>
      <c r="I505" s="242" t="s">
        <v>446</v>
      </c>
      <c r="J505" s="242" t="s">
        <v>8232</v>
      </c>
      <c r="K505" s="195" t="s">
        <v>71</v>
      </c>
      <c r="L505" s="20" t="str">
        <f ca="1">IF(OFFSET(환산공식!$ED$15,$F505,0)=1,"O","X")</f>
        <v>X</v>
      </c>
      <c r="M505" s="188">
        <f ca="1">IFERROR(OFFSET(환산공식!DJ$15,$F505,0),"")</f>
        <v>100</v>
      </c>
      <c r="N505" s="20" t="str">
        <f ca="1">IFERROR(CONCATENATE(ROUND(OFFSET(환산공식!DK$15,$F505,0),1),"%"),"")</f>
        <v>100%</v>
      </c>
      <c r="O505" s="20">
        <f ca="1">IFERROR(OFFSET(환산공식!DL$15,$F505,0),"")</f>
        <v>0</v>
      </c>
      <c r="P505" s="188" t="str">
        <f t="shared" ca="1" si="15"/>
        <v>3% 이하</v>
      </c>
      <c r="Q505" s="194">
        <f ca="1">IFERROR(ROUND(OFFSET(환산공식!$FG$15,$F505,0),3),"")</f>
        <v>0</v>
      </c>
      <c r="R505" s="194">
        <f ca="1">OFFSET('배치점수 계산기'!H$10,$D505,0)</f>
        <v>846.06</v>
      </c>
      <c r="S505" s="194">
        <f ca="1">OFFSET('배치점수 계산기'!I$10,$D505,0)</f>
        <v>840.27499999999998</v>
      </c>
      <c r="T505" s="194">
        <f ca="1">OFFSET('배치점수 계산기'!J$10,$D505,0)</f>
        <v>834.505</v>
      </c>
      <c r="U505" s="194">
        <f ca="1">OFFSET('배치점수 계산기'!K$10,$D505,0)</f>
        <v>824.52499999999998</v>
      </c>
      <c r="V505" s="194">
        <f ca="1">OFFSET('배치점수 계산기'!L$10,$D505,0)</f>
        <v>814.88</v>
      </c>
      <c r="W505" s="186" t="str">
        <f ca="1">OFFSET('배치점수 계산기'!M$10,$D505,0)</f>
        <v>백분위</v>
      </c>
      <c r="X505" s="184" t="str">
        <f ca="1">OFFSET('배치점수 계산기'!N$10,$D505,0)</f>
        <v>백분위</v>
      </c>
      <c r="Y505" s="188">
        <f ca="1">OFFSET(환산공식!FW$15,$F505,0)</f>
        <v>0.39</v>
      </c>
      <c r="Z505" s="20">
        <f ca="1">OFFSET(환산공식!FX$15,$F505,0)</f>
        <v>0.33</v>
      </c>
      <c r="AA505" s="179">
        <f ca="1">OFFSET(환산공식!FY$15,$F505,0)</f>
        <v>0.28000000000000003</v>
      </c>
      <c r="AB505" s="3"/>
      <c r="AD505">
        <f t="shared" ca="1" si="16"/>
        <v>6</v>
      </c>
      <c r="AF505" s="3"/>
      <c r="AG505" s="3"/>
      <c r="AH505" s="3"/>
    </row>
    <row r="506" spans="1:34">
      <c r="A506" s="198"/>
      <c r="B506" s="198"/>
      <c r="C506" s="198" t="s">
        <v>1067</v>
      </c>
      <c r="D506" s="195">
        <v>559</v>
      </c>
      <c r="E506" s="195">
        <v>129</v>
      </c>
      <c r="F506" s="195">
        <v>129</v>
      </c>
      <c r="G506" s="239">
        <v>499</v>
      </c>
      <c r="H506" s="197" t="s">
        <v>72</v>
      </c>
      <c r="I506" s="242" t="s">
        <v>446</v>
      </c>
      <c r="J506" s="242" t="s">
        <v>11543</v>
      </c>
      <c r="K506" s="195" t="s">
        <v>71</v>
      </c>
      <c r="L506" s="20" t="str">
        <f ca="1">IF(OFFSET(환산공식!$ED$15,$F506,0)=1,"O","X")</f>
        <v>X</v>
      </c>
      <c r="M506" s="188">
        <f ca="1">IFERROR(OFFSET(환산공식!DJ$15,$F506,0),"")</f>
        <v>100</v>
      </c>
      <c r="N506" s="20" t="str">
        <f ca="1">IFERROR(CONCATENATE(ROUND(OFFSET(환산공식!DK$15,$F506,0),1),"%"),"")</f>
        <v>100%</v>
      </c>
      <c r="O506" s="20">
        <f ca="1">IFERROR(OFFSET(환산공식!DL$15,$F506,0),"")</f>
        <v>0</v>
      </c>
      <c r="P506" s="188" t="str">
        <f t="shared" ca="1" si="15"/>
        <v>3% 이하</v>
      </c>
      <c r="Q506" s="194">
        <f ca="1">IFERROR(ROUND(OFFSET(환산공식!$FG$15,$F506,0),3),"")</f>
        <v>0</v>
      </c>
      <c r="R506" s="194">
        <f ca="1">OFFSET('배치점수 계산기'!H$10,$D506,0)</f>
        <v>832.90499999999997</v>
      </c>
      <c r="S506" s="194">
        <f ca="1">OFFSET('배치점수 계산기'!I$10,$D506,0)</f>
        <v>826.93499999999995</v>
      </c>
      <c r="T506" s="194">
        <f ca="1">OFFSET('배치점수 계산기'!J$10,$D506,0)</f>
        <v>819.94</v>
      </c>
      <c r="U506" s="194">
        <f ca="1">OFFSET('배치점수 계산기'!K$10,$D506,0)</f>
        <v>810.59500000000003</v>
      </c>
      <c r="V506" s="194">
        <f ca="1">OFFSET('배치점수 계산기'!L$10,$D506,0)</f>
        <v>802.11500000000001</v>
      </c>
      <c r="W506" s="186" t="str">
        <f ca="1">OFFSET('배치점수 계산기'!M$10,$D506,0)</f>
        <v>백분위</v>
      </c>
      <c r="X506" s="184" t="str">
        <f ca="1">OFFSET('배치점수 계산기'!N$10,$D506,0)</f>
        <v>백분위</v>
      </c>
      <c r="Y506" s="188">
        <f ca="1">OFFSET(환산공식!FW$15,$F506,0)</f>
        <v>0.39</v>
      </c>
      <c r="Z506" s="20">
        <f ca="1">OFFSET(환산공식!FX$15,$F506,0)</f>
        <v>0.33</v>
      </c>
      <c r="AA506" s="179">
        <f ca="1">OFFSET(환산공식!FY$15,$F506,0)</f>
        <v>0.28000000000000003</v>
      </c>
      <c r="AB506" s="3"/>
      <c r="AD506">
        <f t="shared" ca="1" si="16"/>
        <v>6</v>
      </c>
      <c r="AF506" s="3"/>
      <c r="AG506" s="3"/>
      <c r="AH506" s="3"/>
    </row>
    <row r="507" spans="1:34">
      <c r="A507" s="198"/>
      <c r="B507" s="198"/>
      <c r="C507" s="198" t="s">
        <v>1068</v>
      </c>
      <c r="D507" s="195">
        <v>560</v>
      </c>
      <c r="E507" s="195">
        <v>129</v>
      </c>
      <c r="F507" s="195">
        <v>129</v>
      </c>
      <c r="G507" s="239">
        <v>500</v>
      </c>
      <c r="H507" s="197" t="s">
        <v>72</v>
      </c>
      <c r="I507" s="242" t="s">
        <v>446</v>
      </c>
      <c r="J507" s="242" t="s">
        <v>9141</v>
      </c>
      <c r="K507" s="195" t="s">
        <v>71</v>
      </c>
      <c r="L507" s="20" t="str">
        <f ca="1">IF(OFFSET(환산공식!$ED$15,$F507,0)=1,"O","X")</f>
        <v>X</v>
      </c>
      <c r="M507" s="188">
        <f ca="1">IFERROR(OFFSET(환산공식!DJ$15,$F507,0),"")</f>
        <v>100</v>
      </c>
      <c r="N507" s="20" t="str">
        <f ca="1">IFERROR(CONCATENATE(ROUND(OFFSET(환산공식!DK$15,$F507,0),1),"%"),"")</f>
        <v>100%</v>
      </c>
      <c r="O507" s="20">
        <f ca="1">IFERROR(OFFSET(환산공식!DL$15,$F507,0),"")</f>
        <v>0</v>
      </c>
      <c r="P507" s="188" t="str">
        <f t="shared" ca="1" si="15"/>
        <v>3% 이하</v>
      </c>
      <c r="Q507" s="194">
        <f ca="1">IFERROR(ROUND(OFFSET(환산공식!$FG$15,$F507,0),3),"")</f>
        <v>0</v>
      </c>
      <c r="R507" s="194">
        <f ca="1">OFFSET('배치점수 계산기'!H$10,$D507,0)</f>
        <v>830.82</v>
      </c>
      <c r="S507" s="194">
        <f ca="1">OFFSET('배치점수 계산기'!I$10,$D507,0)</f>
        <v>824.67499999999995</v>
      </c>
      <c r="T507" s="194">
        <f ca="1">OFFSET('배치점수 계산기'!J$10,$D507,0)</f>
        <v>817.74</v>
      </c>
      <c r="U507" s="194">
        <f ca="1">OFFSET('배치점수 계산기'!K$10,$D507,0)</f>
        <v>809.53499999999997</v>
      </c>
      <c r="V507" s="194">
        <f ca="1">OFFSET('배치점수 계산기'!L$10,$D507,0)</f>
        <v>800.61500000000001</v>
      </c>
      <c r="W507" s="186" t="str">
        <f ca="1">OFFSET('배치점수 계산기'!M$10,$D507,0)</f>
        <v>백분위</v>
      </c>
      <c r="X507" s="184" t="str">
        <f ca="1">OFFSET('배치점수 계산기'!N$10,$D507,0)</f>
        <v>백분위</v>
      </c>
      <c r="Y507" s="188">
        <f ca="1">OFFSET(환산공식!FW$15,$F507,0)</f>
        <v>0.39</v>
      </c>
      <c r="Z507" s="20">
        <f ca="1">OFFSET(환산공식!FX$15,$F507,0)</f>
        <v>0.33</v>
      </c>
      <c r="AA507" s="179">
        <f ca="1">OFFSET(환산공식!FY$15,$F507,0)</f>
        <v>0.28000000000000003</v>
      </c>
      <c r="AB507" s="3"/>
      <c r="AD507">
        <f t="shared" ca="1" si="16"/>
        <v>6</v>
      </c>
      <c r="AF507" s="3"/>
      <c r="AG507" s="3"/>
      <c r="AH507" s="3"/>
    </row>
    <row r="508" spans="1:34">
      <c r="A508" s="198"/>
      <c r="B508" s="198"/>
      <c r="C508" s="198" t="s">
        <v>1069</v>
      </c>
      <c r="D508" s="195">
        <v>561</v>
      </c>
      <c r="E508" s="195">
        <v>129</v>
      </c>
      <c r="F508" s="195">
        <v>129</v>
      </c>
      <c r="G508" s="239">
        <v>501</v>
      </c>
      <c r="H508" s="197" t="s">
        <v>72</v>
      </c>
      <c r="I508" s="242" t="s">
        <v>446</v>
      </c>
      <c r="J508" s="242" t="s">
        <v>489</v>
      </c>
      <c r="K508" s="195" t="s">
        <v>71</v>
      </c>
      <c r="L508" s="20" t="str">
        <f ca="1">IF(OFFSET(환산공식!$ED$15,$F508,0)=1,"O","X")</f>
        <v>X</v>
      </c>
      <c r="M508" s="188">
        <f ca="1">IFERROR(OFFSET(환산공식!DJ$15,$F508,0),"")</f>
        <v>100</v>
      </c>
      <c r="N508" s="20" t="str">
        <f ca="1">IFERROR(CONCATENATE(ROUND(OFFSET(환산공식!DK$15,$F508,0),1),"%"),"")</f>
        <v>100%</v>
      </c>
      <c r="O508" s="20">
        <f ca="1">IFERROR(OFFSET(환산공식!DL$15,$F508,0),"")</f>
        <v>0</v>
      </c>
      <c r="P508" s="188" t="str">
        <f t="shared" ca="1" si="15"/>
        <v>3% 이하</v>
      </c>
      <c r="Q508" s="194">
        <f ca="1">IFERROR(ROUND(OFFSET(환산공식!$FG$15,$F508,0),3),"")</f>
        <v>0</v>
      </c>
      <c r="R508" s="194">
        <f ca="1">OFFSET('배치점수 계산기'!H$10,$D508,0)</f>
        <v>820.09</v>
      </c>
      <c r="S508" s="194">
        <f ca="1">OFFSET('배치점수 계산기'!I$10,$D508,0)</f>
        <v>814.88</v>
      </c>
      <c r="T508" s="194">
        <f ca="1">OFFSET('배치점수 계산기'!J$10,$D508,0)</f>
        <v>808.16</v>
      </c>
      <c r="U508" s="194">
        <f ca="1">OFFSET('배치점수 계산기'!K$10,$D508,0)</f>
        <v>800.61500000000001</v>
      </c>
      <c r="V508" s="194">
        <f ca="1">OFFSET('배치점수 계산기'!L$10,$D508,0)</f>
        <v>791.16</v>
      </c>
      <c r="W508" s="186" t="str">
        <f ca="1">OFFSET('배치점수 계산기'!M$10,$D508,0)</f>
        <v>백분위</v>
      </c>
      <c r="X508" s="184" t="str">
        <f ca="1">OFFSET('배치점수 계산기'!N$10,$D508,0)</f>
        <v>백분위</v>
      </c>
      <c r="Y508" s="188">
        <f ca="1">OFFSET(환산공식!FW$15,$F508,0)</f>
        <v>0.39</v>
      </c>
      <c r="Z508" s="20">
        <f ca="1">OFFSET(환산공식!FX$15,$F508,0)</f>
        <v>0.33</v>
      </c>
      <c r="AA508" s="179">
        <f ca="1">OFFSET(환산공식!FY$15,$F508,0)</f>
        <v>0.28000000000000003</v>
      </c>
      <c r="AB508" s="3"/>
      <c r="AD508">
        <f t="shared" ca="1" si="16"/>
        <v>6</v>
      </c>
      <c r="AF508" s="3"/>
      <c r="AG508" s="3"/>
      <c r="AH508" s="3"/>
    </row>
    <row r="509" spans="1:34">
      <c r="A509" s="198"/>
      <c r="B509" s="198"/>
      <c r="C509" s="198" t="s">
        <v>1070</v>
      </c>
      <c r="D509" s="195">
        <v>562</v>
      </c>
      <c r="E509" s="195">
        <v>129</v>
      </c>
      <c r="F509" s="195">
        <v>129</v>
      </c>
      <c r="G509" s="239">
        <v>502</v>
      </c>
      <c r="H509" s="197" t="s">
        <v>72</v>
      </c>
      <c r="I509" s="242" t="s">
        <v>446</v>
      </c>
      <c r="J509" s="242" t="s">
        <v>8190</v>
      </c>
      <c r="K509" s="195" t="s">
        <v>71</v>
      </c>
      <c r="L509" s="20" t="str">
        <f ca="1">IF(OFFSET(환산공식!$ED$15,$F509,0)=1,"O","X")</f>
        <v>X</v>
      </c>
      <c r="M509" s="188">
        <f ca="1">IFERROR(OFFSET(환산공식!DJ$15,$F509,0),"")</f>
        <v>100</v>
      </c>
      <c r="N509" s="20" t="str">
        <f ca="1">IFERROR(CONCATENATE(ROUND(OFFSET(환산공식!DK$15,$F509,0),1),"%"),"")</f>
        <v>100%</v>
      </c>
      <c r="O509" s="20">
        <f ca="1">IFERROR(OFFSET(환산공식!DL$15,$F509,0),"")</f>
        <v>0</v>
      </c>
      <c r="P509" s="188" t="str">
        <f t="shared" ca="1" si="15"/>
        <v>3% 이하</v>
      </c>
      <c r="Q509" s="194">
        <f ca="1">IFERROR(ROUND(OFFSET(환산공식!$FG$15,$F509,0),3),"")</f>
        <v>0</v>
      </c>
      <c r="R509" s="194">
        <f ca="1">OFFSET('배치점수 계산기'!H$10,$D509,0)</f>
        <v>809.08500000000004</v>
      </c>
      <c r="S509" s="194">
        <f ca="1">OFFSET('배치점수 계산기'!I$10,$D509,0)</f>
        <v>803.67499999999995</v>
      </c>
      <c r="T509" s="194">
        <f ca="1">OFFSET('배치점수 계산기'!J$10,$D509,0)</f>
        <v>798.08</v>
      </c>
      <c r="U509" s="194">
        <f ca="1">OFFSET('배치점수 계산기'!K$10,$D509,0)</f>
        <v>789.86</v>
      </c>
      <c r="V509" s="194">
        <f ca="1">OFFSET('배치점수 계산기'!L$10,$D509,0)</f>
        <v>782.48</v>
      </c>
      <c r="W509" s="186" t="str">
        <f ca="1">OFFSET('배치점수 계산기'!M$10,$D509,0)</f>
        <v>백분위</v>
      </c>
      <c r="X509" s="184" t="str">
        <f ca="1">OFFSET('배치점수 계산기'!N$10,$D509,0)</f>
        <v>백분위</v>
      </c>
      <c r="Y509" s="188">
        <f ca="1">OFFSET(환산공식!FW$15,$F509,0)</f>
        <v>0.39</v>
      </c>
      <c r="Z509" s="20">
        <f ca="1">OFFSET(환산공식!FX$15,$F509,0)</f>
        <v>0.33</v>
      </c>
      <c r="AA509" s="179">
        <f ca="1">OFFSET(환산공식!FY$15,$F509,0)</f>
        <v>0.28000000000000003</v>
      </c>
      <c r="AB509" s="3"/>
      <c r="AD509">
        <f t="shared" ca="1" si="16"/>
        <v>6</v>
      </c>
      <c r="AF509" s="3"/>
      <c r="AG509" s="3"/>
      <c r="AH509" s="3"/>
    </row>
    <row r="510" spans="1:34">
      <c r="A510" s="198"/>
      <c r="B510" s="198"/>
      <c r="C510" s="198" t="s">
        <v>1071</v>
      </c>
      <c r="D510" s="195">
        <v>563</v>
      </c>
      <c r="E510" s="195">
        <v>129</v>
      </c>
      <c r="F510" s="195">
        <v>129</v>
      </c>
      <c r="G510" s="239">
        <v>503</v>
      </c>
      <c r="H510" s="197" t="s">
        <v>72</v>
      </c>
      <c r="I510" s="242" t="s">
        <v>446</v>
      </c>
      <c r="J510" s="242" t="s">
        <v>8527</v>
      </c>
      <c r="K510" s="195" t="s">
        <v>71</v>
      </c>
      <c r="L510" s="20" t="str">
        <f ca="1">IF(OFFSET(환산공식!$ED$15,$F510,0)=1,"O","X")</f>
        <v>X</v>
      </c>
      <c r="M510" s="188">
        <f ca="1">IFERROR(OFFSET(환산공식!DJ$15,$F510,0),"")</f>
        <v>100</v>
      </c>
      <c r="N510" s="20" t="str">
        <f ca="1">IFERROR(CONCATENATE(ROUND(OFFSET(환산공식!DK$15,$F510,0),1),"%"),"")</f>
        <v>100%</v>
      </c>
      <c r="O510" s="20">
        <f ca="1">IFERROR(OFFSET(환산공식!DL$15,$F510,0),"")</f>
        <v>0</v>
      </c>
      <c r="P510" s="188" t="str">
        <f t="shared" ca="1" si="15"/>
        <v>3% 이하</v>
      </c>
      <c r="Q510" s="194">
        <f ca="1">IFERROR(ROUND(OFFSET(환산공식!$FG$15,$F510,0),3),"")</f>
        <v>0</v>
      </c>
      <c r="R510" s="194">
        <f ca="1">OFFSET('배치점수 계산기'!H$10,$D510,0)</f>
        <v>807.36</v>
      </c>
      <c r="S510" s="194">
        <f ca="1">OFFSET('배치점수 계산기'!I$10,$D510,0)</f>
        <v>802.76499999999999</v>
      </c>
      <c r="T510" s="194">
        <f ca="1">OFFSET('배치점수 계산기'!J$10,$D510,0)</f>
        <v>796.73</v>
      </c>
      <c r="U510" s="194">
        <f ca="1">OFFSET('배치점수 계산기'!K$10,$D510,0)</f>
        <v>785.29</v>
      </c>
      <c r="V510" s="194">
        <f ca="1">OFFSET('배치점수 계산기'!L$10,$D510,0)</f>
        <v>775.18499999999995</v>
      </c>
      <c r="W510" s="186" t="str">
        <f ca="1">OFFSET('배치점수 계산기'!M$10,$D510,0)</f>
        <v>백분위</v>
      </c>
      <c r="X510" s="184" t="str">
        <f ca="1">OFFSET('배치점수 계산기'!N$10,$D510,0)</f>
        <v>백분위</v>
      </c>
      <c r="Y510" s="188">
        <f ca="1">OFFSET(환산공식!FW$15,$F510,0)</f>
        <v>0.39</v>
      </c>
      <c r="Z510" s="20">
        <f ca="1">OFFSET(환산공식!FX$15,$F510,0)</f>
        <v>0.33</v>
      </c>
      <c r="AA510" s="179">
        <f ca="1">OFFSET(환산공식!FY$15,$F510,0)</f>
        <v>0.28000000000000003</v>
      </c>
      <c r="AB510" s="3"/>
      <c r="AD510">
        <f t="shared" ca="1" si="16"/>
        <v>6</v>
      </c>
      <c r="AF510" s="3"/>
      <c r="AG510" s="3"/>
      <c r="AH510" s="3"/>
    </row>
    <row r="511" spans="1:34">
      <c r="A511" s="198"/>
      <c r="B511" s="198"/>
      <c r="C511" s="198" t="s">
        <v>1072</v>
      </c>
      <c r="D511" s="195">
        <v>564</v>
      </c>
      <c r="E511" s="195">
        <v>129</v>
      </c>
      <c r="F511" s="195">
        <v>129</v>
      </c>
      <c r="G511" s="239">
        <v>504</v>
      </c>
      <c r="H511" s="197" t="s">
        <v>72</v>
      </c>
      <c r="I511" s="242" t="s">
        <v>446</v>
      </c>
      <c r="J511" s="242" t="s">
        <v>12016</v>
      </c>
      <c r="K511" s="195" t="s">
        <v>71</v>
      </c>
      <c r="L511" s="20" t="str">
        <f ca="1">IF(OFFSET(환산공식!$ED$15,$F511,0)=1,"O","X")</f>
        <v>X</v>
      </c>
      <c r="M511" s="188">
        <f ca="1">IFERROR(OFFSET(환산공식!DJ$15,$F511,0),"")</f>
        <v>100</v>
      </c>
      <c r="N511" s="20" t="str">
        <f ca="1">IFERROR(CONCATENATE(ROUND(OFFSET(환산공식!DK$15,$F511,0),1),"%"),"")</f>
        <v>100%</v>
      </c>
      <c r="O511" s="20">
        <f ca="1">IFERROR(OFFSET(환산공식!DL$15,$F511,0),"")</f>
        <v>0</v>
      </c>
      <c r="P511" s="188" t="str">
        <f t="shared" ca="1" si="15"/>
        <v>3% 이하</v>
      </c>
      <c r="Q511" s="194">
        <f ca="1">IFERROR(ROUND(OFFSET(환산공식!$FG$15,$F511,0),3),"")</f>
        <v>0</v>
      </c>
      <c r="R511" s="194">
        <f ca="1">OFFSET('배치점수 계산기'!H$10,$D511,0)</f>
        <v>805.55</v>
      </c>
      <c r="S511" s="194">
        <f ca="1">OFFSET('배치점수 계산기'!I$10,$D511,0)</f>
        <v>800.79</v>
      </c>
      <c r="T511" s="194">
        <f ca="1">OFFSET('배치점수 계산기'!J$10,$D511,0)</f>
        <v>794.84500000000003</v>
      </c>
      <c r="U511" s="194">
        <f ca="1">OFFSET('배치점수 계산기'!K$10,$D511,0)</f>
        <v>787.4</v>
      </c>
      <c r="V511" s="194">
        <f ca="1">OFFSET('배치점수 계산기'!L$10,$D511,0)</f>
        <v>778.84500000000003</v>
      </c>
      <c r="W511" s="186" t="str">
        <f ca="1">OFFSET('배치점수 계산기'!M$10,$D511,0)</f>
        <v>백분위</v>
      </c>
      <c r="X511" s="184" t="str">
        <f ca="1">OFFSET('배치점수 계산기'!N$10,$D511,0)</f>
        <v>백분위</v>
      </c>
      <c r="Y511" s="188">
        <f ca="1">OFFSET(환산공식!FW$15,$F511,0)</f>
        <v>0.39</v>
      </c>
      <c r="Z511" s="20">
        <f ca="1">OFFSET(환산공식!FX$15,$F511,0)</f>
        <v>0.33</v>
      </c>
      <c r="AA511" s="179">
        <f ca="1">OFFSET(환산공식!FY$15,$F511,0)</f>
        <v>0.28000000000000003</v>
      </c>
      <c r="AB511" s="3"/>
      <c r="AD511">
        <f t="shared" ca="1" si="16"/>
        <v>6</v>
      </c>
      <c r="AF511" s="3"/>
      <c r="AG511" s="3"/>
      <c r="AH511" s="3"/>
    </row>
    <row r="512" spans="1:34">
      <c r="A512" s="198"/>
      <c r="B512" s="198"/>
      <c r="C512" s="198" t="s">
        <v>1073</v>
      </c>
      <c r="D512" s="195">
        <v>565</v>
      </c>
      <c r="E512" s="195">
        <v>129</v>
      </c>
      <c r="F512" s="195">
        <v>129</v>
      </c>
      <c r="G512" s="239">
        <v>505</v>
      </c>
      <c r="H512" s="197" t="s">
        <v>72</v>
      </c>
      <c r="I512" s="242" t="s">
        <v>446</v>
      </c>
      <c r="J512" s="242" t="s">
        <v>499</v>
      </c>
      <c r="K512" s="195" t="s">
        <v>71</v>
      </c>
      <c r="L512" s="20" t="str">
        <f ca="1">IF(OFFSET(환산공식!$ED$15,$F512,0)=1,"O","X")</f>
        <v>X</v>
      </c>
      <c r="M512" s="188">
        <f ca="1">IFERROR(OFFSET(환산공식!DJ$15,$F512,0),"")</f>
        <v>100</v>
      </c>
      <c r="N512" s="20" t="str">
        <f ca="1">IFERROR(CONCATENATE(ROUND(OFFSET(환산공식!DK$15,$F512,0),1),"%"),"")</f>
        <v>100%</v>
      </c>
      <c r="O512" s="20">
        <f ca="1">IFERROR(OFFSET(환산공식!DL$15,$F512,0),"")</f>
        <v>0</v>
      </c>
      <c r="P512" s="188" t="str">
        <f t="shared" ca="1" si="15"/>
        <v>3% 이하</v>
      </c>
      <c r="Q512" s="194">
        <f ca="1">IFERROR(ROUND(OFFSET(환산공식!$FG$15,$F512,0),3),"")</f>
        <v>0</v>
      </c>
      <c r="R512" s="194">
        <f ca="1">OFFSET('배치점수 계산기'!H$10,$D512,0)</f>
        <v>804.92499999999995</v>
      </c>
      <c r="S512" s="194">
        <f ca="1">OFFSET('배치점수 계산기'!I$10,$D512,0)</f>
        <v>799.08</v>
      </c>
      <c r="T512" s="194">
        <f ca="1">OFFSET('배치점수 계산기'!J$10,$D512,0)</f>
        <v>793.42</v>
      </c>
      <c r="U512" s="194">
        <f ca="1">OFFSET('배치점수 계산기'!K$10,$D512,0)</f>
        <v>785.85</v>
      </c>
      <c r="V512" s="194">
        <f ca="1">OFFSET('배치점수 계산기'!L$10,$D512,0)</f>
        <v>777.82</v>
      </c>
      <c r="W512" s="186" t="str">
        <f ca="1">OFFSET('배치점수 계산기'!M$10,$D512,0)</f>
        <v>백분위</v>
      </c>
      <c r="X512" s="184" t="str">
        <f ca="1">OFFSET('배치점수 계산기'!N$10,$D512,0)</f>
        <v>백분위</v>
      </c>
      <c r="Y512" s="188">
        <f ca="1">OFFSET(환산공식!FW$15,$F512,0)</f>
        <v>0.39</v>
      </c>
      <c r="Z512" s="20">
        <f ca="1">OFFSET(환산공식!FX$15,$F512,0)</f>
        <v>0.33</v>
      </c>
      <c r="AA512" s="179">
        <f ca="1">OFFSET(환산공식!FY$15,$F512,0)</f>
        <v>0.28000000000000003</v>
      </c>
      <c r="AB512" s="3"/>
      <c r="AD512">
        <f t="shared" ca="1" si="16"/>
        <v>6</v>
      </c>
      <c r="AF512" s="3"/>
      <c r="AG512" s="3"/>
      <c r="AH512" s="3"/>
    </row>
    <row r="513" spans="1:34">
      <c r="A513" s="198"/>
      <c r="B513" s="198"/>
      <c r="C513" s="198" t="s">
        <v>1074</v>
      </c>
      <c r="D513" s="195">
        <v>566</v>
      </c>
      <c r="E513" s="195">
        <v>129</v>
      </c>
      <c r="F513" s="195">
        <v>129</v>
      </c>
      <c r="G513" s="239">
        <v>506</v>
      </c>
      <c r="H513" s="197" t="s">
        <v>72</v>
      </c>
      <c r="I513" s="242" t="s">
        <v>446</v>
      </c>
      <c r="J513" s="242" t="s">
        <v>8216</v>
      </c>
      <c r="K513" s="195" t="s">
        <v>71</v>
      </c>
      <c r="L513" s="20" t="str">
        <f ca="1">IF(OFFSET(환산공식!$ED$15,$F513,0)=1,"O","X")</f>
        <v>X</v>
      </c>
      <c r="M513" s="188">
        <f ca="1">IFERROR(OFFSET(환산공식!DJ$15,$F513,0),"")</f>
        <v>100</v>
      </c>
      <c r="N513" s="20" t="str">
        <f ca="1">IFERROR(CONCATENATE(ROUND(OFFSET(환산공식!DK$15,$F513,0),1),"%"),"")</f>
        <v>100%</v>
      </c>
      <c r="O513" s="20">
        <f ca="1">IFERROR(OFFSET(환산공식!DL$15,$F513,0),"")</f>
        <v>0</v>
      </c>
      <c r="P513" s="188" t="str">
        <f t="shared" ca="1" si="15"/>
        <v>3% 이하</v>
      </c>
      <c r="Q513" s="194">
        <f ca="1">IFERROR(ROUND(OFFSET(환산공식!$FG$15,$F513,0),3),"")</f>
        <v>0</v>
      </c>
      <c r="R513" s="194">
        <f ca="1">OFFSET('배치점수 계산기'!H$10,$D513,0)</f>
        <v>803.15</v>
      </c>
      <c r="S513" s="194">
        <f ca="1">OFFSET('배치점수 계산기'!I$10,$D513,0)</f>
        <v>798.40499999999997</v>
      </c>
      <c r="T513" s="194">
        <f ca="1">OFFSET('배치점수 계산기'!J$10,$D513,0)</f>
        <v>792.23500000000001</v>
      </c>
      <c r="U513" s="194">
        <f ca="1">OFFSET('배치점수 계산기'!K$10,$D513,0)</f>
        <v>785.11500000000001</v>
      </c>
      <c r="V513" s="194">
        <f ca="1">OFFSET('배치점수 계산기'!L$10,$D513,0)</f>
        <v>777.19500000000005</v>
      </c>
      <c r="W513" s="186" t="str">
        <f ca="1">OFFSET('배치점수 계산기'!M$10,$D513,0)</f>
        <v>백분위</v>
      </c>
      <c r="X513" s="184" t="str">
        <f ca="1">OFFSET('배치점수 계산기'!N$10,$D513,0)</f>
        <v>백분위</v>
      </c>
      <c r="Y513" s="188">
        <f ca="1">OFFSET(환산공식!FW$15,$F513,0)</f>
        <v>0.39</v>
      </c>
      <c r="Z513" s="20">
        <f ca="1">OFFSET(환산공식!FX$15,$F513,0)</f>
        <v>0.33</v>
      </c>
      <c r="AA513" s="179">
        <f ca="1">OFFSET(환산공식!FY$15,$F513,0)</f>
        <v>0.28000000000000003</v>
      </c>
      <c r="AB513" s="3"/>
      <c r="AD513">
        <f t="shared" ca="1" si="16"/>
        <v>6</v>
      </c>
      <c r="AF513" s="3"/>
      <c r="AG513" s="3"/>
      <c r="AH513" s="3"/>
    </row>
    <row r="514" spans="1:34">
      <c r="A514" s="198"/>
      <c r="B514" s="198"/>
      <c r="C514" s="198" t="s">
        <v>1075</v>
      </c>
      <c r="D514" s="195">
        <v>567</v>
      </c>
      <c r="E514" s="195">
        <v>129</v>
      </c>
      <c r="F514" s="195">
        <v>129</v>
      </c>
      <c r="G514" s="239">
        <v>507</v>
      </c>
      <c r="H514" s="197" t="s">
        <v>72</v>
      </c>
      <c r="I514" s="242" t="s">
        <v>446</v>
      </c>
      <c r="J514" s="242" t="s">
        <v>8618</v>
      </c>
      <c r="K514" s="195" t="s">
        <v>71</v>
      </c>
      <c r="L514" s="20" t="str">
        <f ca="1">IF(OFFSET(환산공식!$ED$15,$F514,0)=1,"O","X")</f>
        <v>X</v>
      </c>
      <c r="M514" s="188">
        <f ca="1">IFERROR(OFFSET(환산공식!DJ$15,$F514,0),"")</f>
        <v>100</v>
      </c>
      <c r="N514" s="20" t="str">
        <f ca="1">IFERROR(CONCATENATE(ROUND(OFFSET(환산공식!DK$15,$F514,0),1),"%"),"")</f>
        <v>100%</v>
      </c>
      <c r="O514" s="20">
        <f ca="1">IFERROR(OFFSET(환산공식!DL$15,$F514,0),"")</f>
        <v>0</v>
      </c>
      <c r="P514" s="188" t="str">
        <f t="shared" ca="1" si="15"/>
        <v>3% 이하</v>
      </c>
      <c r="Q514" s="194">
        <f ca="1">IFERROR(ROUND(OFFSET(환산공식!$FG$15,$F514,0),3),"")</f>
        <v>0</v>
      </c>
      <c r="R514" s="194">
        <f ca="1">OFFSET('배치점수 계산기'!H$10,$D514,0)</f>
        <v>803.15</v>
      </c>
      <c r="S514" s="194">
        <f ca="1">OFFSET('배치점수 계산기'!I$10,$D514,0)</f>
        <v>798.40499999999997</v>
      </c>
      <c r="T514" s="194">
        <f ca="1">OFFSET('배치점수 계산기'!J$10,$D514,0)</f>
        <v>792.23500000000001</v>
      </c>
      <c r="U514" s="194">
        <f ca="1">OFFSET('배치점수 계산기'!K$10,$D514,0)</f>
        <v>785.11500000000001</v>
      </c>
      <c r="V514" s="194">
        <f ca="1">OFFSET('배치점수 계산기'!L$10,$D514,0)</f>
        <v>777.19500000000005</v>
      </c>
      <c r="W514" s="186" t="str">
        <f ca="1">OFFSET('배치점수 계산기'!M$10,$D514,0)</f>
        <v>백분위</v>
      </c>
      <c r="X514" s="184" t="str">
        <f ca="1">OFFSET('배치점수 계산기'!N$10,$D514,0)</f>
        <v>백분위</v>
      </c>
      <c r="Y514" s="188">
        <f ca="1">OFFSET(환산공식!FW$15,$F514,0)</f>
        <v>0.39</v>
      </c>
      <c r="Z514" s="20">
        <f ca="1">OFFSET(환산공식!FX$15,$F514,0)</f>
        <v>0.33</v>
      </c>
      <c r="AA514" s="179">
        <f ca="1">OFFSET(환산공식!FY$15,$F514,0)</f>
        <v>0.28000000000000003</v>
      </c>
      <c r="AB514" s="3"/>
      <c r="AD514">
        <f t="shared" ca="1" si="16"/>
        <v>6</v>
      </c>
      <c r="AF514" s="3"/>
      <c r="AG514" s="3"/>
      <c r="AH514" s="3"/>
    </row>
    <row r="515" spans="1:34">
      <c r="A515" s="198"/>
      <c r="B515" s="198"/>
      <c r="C515" s="198" t="s">
        <v>1076</v>
      </c>
      <c r="D515" s="195">
        <v>568</v>
      </c>
      <c r="E515" s="195">
        <v>129</v>
      </c>
      <c r="F515" s="195">
        <v>129</v>
      </c>
      <c r="G515" s="239">
        <v>508</v>
      </c>
      <c r="H515" s="197" t="s">
        <v>72</v>
      </c>
      <c r="I515" s="242" t="s">
        <v>446</v>
      </c>
      <c r="J515" s="242" t="s">
        <v>8654</v>
      </c>
      <c r="K515" s="195" t="s">
        <v>71</v>
      </c>
      <c r="L515" s="20" t="str">
        <f ca="1">IF(OFFSET(환산공식!$ED$15,$F515,0)=1,"O","X")</f>
        <v>X</v>
      </c>
      <c r="M515" s="188">
        <f ca="1">IFERROR(OFFSET(환산공식!DJ$15,$F515,0),"")</f>
        <v>100</v>
      </c>
      <c r="N515" s="20" t="str">
        <f ca="1">IFERROR(CONCATENATE(ROUND(OFFSET(환산공식!DK$15,$F515,0),1),"%"),"")</f>
        <v>100%</v>
      </c>
      <c r="O515" s="20">
        <f ca="1">IFERROR(OFFSET(환산공식!DL$15,$F515,0),"")</f>
        <v>0</v>
      </c>
      <c r="P515" s="188" t="str">
        <f t="shared" ca="1" si="15"/>
        <v>3% 이하</v>
      </c>
      <c r="Q515" s="194">
        <f ca="1">IFERROR(ROUND(OFFSET(환산공식!$FG$15,$F515,0),3),"")</f>
        <v>0</v>
      </c>
      <c r="R515" s="194">
        <f ca="1">OFFSET('배치점수 계산기'!H$10,$D515,0)</f>
        <v>803.15</v>
      </c>
      <c r="S515" s="194">
        <f ca="1">OFFSET('배치점수 계산기'!I$10,$D515,0)</f>
        <v>798.40499999999997</v>
      </c>
      <c r="T515" s="194">
        <f ca="1">OFFSET('배치점수 계산기'!J$10,$D515,0)</f>
        <v>792.23500000000001</v>
      </c>
      <c r="U515" s="194">
        <f ca="1">OFFSET('배치점수 계산기'!K$10,$D515,0)</f>
        <v>785.11500000000001</v>
      </c>
      <c r="V515" s="194">
        <f ca="1">OFFSET('배치점수 계산기'!L$10,$D515,0)</f>
        <v>777.19500000000005</v>
      </c>
      <c r="W515" s="186" t="str">
        <f ca="1">OFFSET('배치점수 계산기'!M$10,$D515,0)</f>
        <v>백분위</v>
      </c>
      <c r="X515" s="184" t="str">
        <f ca="1">OFFSET('배치점수 계산기'!N$10,$D515,0)</f>
        <v>백분위</v>
      </c>
      <c r="Y515" s="188">
        <f ca="1">OFFSET(환산공식!FW$15,$F515,0)</f>
        <v>0.39</v>
      </c>
      <c r="Z515" s="20">
        <f ca="1">OFFSET(환산공식!FX$15,$F515,0)</f>
        <v>0.33</v>
      </c>
      <c r="AA515" s="179">
        <f ca="1">OFFSET(환산공식!FY$15,$F515,0)</f>
        <v>0.28000000000000003</v>
      </c>
      <c r="AB515" s="3"/>
      <c r="AD515">
        <f t="shared" ca="1" si="16"/>
        <v>6</v>
      </c>
      <c r="AF515" s="3"/>
      <c r="AG515" s="3"/>
      <c r="AH515" s="3"/>
    </row>
    <row r="516" spans="1:34">
      <c r="A516" s="198"/>
      <c r="B516" s="198"/>
      <c r="C516" s="198" t="s">
        <v>1077</v>
      </c>
      <c r="D516" s="195">
        <v>569</v>
      </c>
      <c r="E516" s="195">
        <v>129</v>
      </c>
      <c r="F516" s="195">
        <v>129</v>
      </c>
      <c r="G516" s="239">
        <v>509</v>
      </c>
      <c r="H516" s="197" t="s">
        <v>72</v>
      </c>
      <c r="I516" s="242" t="s">
        <v>446</v>
      </c>
      <c r="J516" s="242" t="s">
        <v>8953</v>
      </c>
      <c r="K516" s="195" t="s">
        <v>71</v>
      </c>
      <c r="L516" s="20" t="str">
        <f ca="1">IF(OFFSET(환산공식!$ED$15,$F516,0)=1,"O","X")</f>
        <v>X</v>
      </c>
      <c r="M516" s="188">
        <f ca="1">IFERROR(OFFSET(환산공식!DJ$15,$F516,0),"")</f>
        <v>100</v>
      </c>
      <c r="N516" s="20" t="str">
        <f ca="1">IFERROR(CONCATENATE(ROUND(OFFSET(환산공식!DK$15,$F516,0),1),"%"),"")</f>
        <v>100%</v>
      </c>
      <c r="O516" s="20">
        <f ca="1">IFERROR(OFFSET(환산공식!DL$15,$F516,0),"")</f>
        <v>0</v>
      </c>
      <c r="P516" s="188" t="str">
        <f t="shared" ca="1" si="15"/>
        <v>3% 이하</v>
      </c>
      <c r="Q516" s="194">
        <f ca="1">IFERROR(ROUND(OFFSET(환산공식!$FG$15,$F516,0),3),"")</f>
        <v>0</v>
      </c>
      <c r="R516" s="194">
        <f ca="1">OFFSET('배치점수 계산기'!H$10,$D516,0)</f>
        <v>802.91499999999996</v>
      </c>
      <c r="S516" s="194">
        <f ca="1">OFFSET('배치점수 계산기'!I$10,$D516,0)</f>
        <v>798.08</v>
      </c>
      <c r="T516" s="194">
        <f ca="1">OFFSET('배치점수 계산기'!J$10,$D516,0)</f>
        <v>791.91</v>
      </c>
      <c r="U516" s="194">
        <f ca="1">OFFSET('배치점수 계산기'!K$10,$D516,0)</f>
        <v>784.66499999999996</v>
      </c>
      <c r="V516" s="194">
        <f ca="1">OFFSET('배치점수 계산기'!L$10,$D516,0)</f>
        <v>775.77</v>
      </c>
      <c r="W516" s="186" t="str">
        <f ca="1">OFFSET('배치점수 계산기'!M$10,$D516,0)</f>
        <v>백분위</v>
      </c>
      <c r="X516" s="184" t="str">
        <f ca="1">OFFSET('배치점수 계산기'!N$10,$D516,0)</f>
        <v>백분위</v>
      </c>
      <c r="Y516" s="188">
        <f ca="1">OFFSET(환산공식!FW$15,$F516,0)</f>
        <v>0.39</v>
      </c>
      <c r="Z516" s="20">
        <f ca="1">OFFSET(환산공식!FX$15,$F516,0)</f>
        <v>0.33</v>
      </c>
      <c r="AA516" s="179">
        <f ca="1">OFFSET(환산공식!FY$15,$F516,0)</f>
        <v>0.28000000000000003</v>
      </c>
      <c r="AB516" s="3"/>
      <c r="AD516">
        <f t="shared" ca="1" si="16"/>
        <v>6</v>
      </c>
      <c r="AF516" s="3"/>
      <c r="AG516" s="3"/>
      <c r="AH516" s="3"/>
    </row>
    <row r="517" spans="1:34">
      <c r="A517" s="198"/>
      <c r="B517" s="198"/>
      <c r="C517" s="198" t="s">
        <v>1078</v>
      </c>
      <c r="D517" s="195">
        <v>570</v>
      </c>
      <c r="E517" s="195">
        <v>129</v>
      </c>
      <c r="F517" s="195">
        <v>129</v>
      </c>
      <c r="G517" s="239">
        <v>510</v>
      </c>
      <c r="H517" s="197" t="s">
        <v>72</v>
      </c>
      <c r="I517" s="242" t="s">
        <v>446</v>
      </c>
      <c r="J517" s="242" t="s">
        <v>560</v>
      </c>
      <c r="K517" s="195" t="s">
        <v>71</v>
      </c>
      <c r="L517" s="20" t="str">
        <f ca="1">IF(OFFSET(환산공식!$ED$15,$F517,0)=1,"O","X")</f>
        <v>X</v>
      </c>
      <c r="M517" s="188">
        <f ca="1">IFERROR(OFFSET(환산공식!DJ$15,$F517,0),"")</f>
        <v>100</v>
      </c>
      <c r="N517" s="20" t="str">
        <f ca="1">IFERROR(CONCATENATE(ROUND(OFFSET(환산공식!DK$15,$F517,0),1),"%"),"")</f>
        <v>100%</v>
      </c>
      <c r="O517" s="20">
        <f ca="1">IFERROR(OFFSET(환산공식!DL$15,$F517,0),"")</f>
        <v>0</v>
      </c>
      <c r="P517" s="188" t="str">
        <f t="shared" ca="1" si="15"/>
        <v>3% 이하</v>
      </c>
      <c r="Q517" s="194">
        <f ca="1">IFERROR(ROUND(OFFSET(환산공식!$FG$15,$F517,0),3),"")</f>
        <v>0</v>
      </c>
      <c r="R517" s="194">
        <f ca="1">OFFSET('배치점수 계산기'!H$10,$D517,0)</f>
        <v>798.93</v>
      </c>
      <c r="S517" s="194">
        <f ca="1">OFFSET('배치점수 계산기'!I$10,$D517,0)</f>
        <v>793.94500000000005</v>
      </c>
      <c r="T517" s="194">
        <f ca="1">OFFSET('배치점수 계산기'!J$10,$D517,0)</f>
        <v>788.22500000000002</v>
      </c>
      <c r="U517" s="194">
        <f ca="1">OFFSET('배치점수 계산기'!K$10,$D517,0)</f>
        <v>780.78</v>
      </c>
      <c r="V517" s="194">
        <f ca="1">OFFSET('배치점수 계산기'!L$10,$D517,0)</f>
        <v>772.18499999999995</v>
      </c>
      <c r="W517" s="186" t="str">
        <f ca="1">OFFSET('배치점수 계산기'!M$10,$D517,0)</f>
        <v>백분위</v>
      </c>
      <c r="X517" s="184" t="str">
        <f ca="1">OFFSET('배치점수 계산기'!N$10,$D517,0)</f>
        <v>백분위</v>
      </c>
      <c r="Y517" s="188">
        <f ca="1">OFFSET(환산공식!FW$15,$F517,0)</f>
        <v>0.39</v>
      </c>
      <c r="Z517" s="20">
        <f ca="1">OFFSET(환산공식!FX$15,$F517,0)</f>
        <v>0.33</v>
      </c>
      <c r="AA517" s="179">
        <f ca="1">OFFSET(환산공식!FY$15,$F517,0)</f>
        <v>0.28000000000000003</v>
      </c>
      <c r="AB517" s="3"/>
      <c r="AD517">
        <f t="shared" ca="1" si="16"/>
        <v>6</v>
      </c>
      <c r="AF517" s="3"/>
      <c r="AG517" s="3"/>
      <c r="AH517" s="3"/>
    </row>
    <row r="518" spans="1:34">
      <c r="A518" s="198"/>
      <c r="B518" s="198"/>
      <c r="C518" s="198" t="s">
        <v>1079</v>
      </c>
      <c r="D518" s="195">
        <v>571</v>
      </c>
      <c r="E518" s="195">
        <v>129</v>
      </c>
      <c r="F518" s="195">
        <v>129</v>
      </c>
      <c r="G518" s="239">
        <v>511</v>
      </c>
      <c r="H518" s="197" t="s">
        <v>72</v>
      </c>
      <c r="I518" s="242" t="s">
        <v>446</v>
      </c>
      <c r="J518" s="242" t="s">
        <v>12171</v>
      </c>
      <c r="K518" s="195" t="s">
        <v>71</v>
      </c>
      <c r="L518" s="20" t="str">
        <f ca="1">IF(OFFSET(환산공식!$ED$15,$F518,0)=1,"O","X")</f>
        <v>X</v>
      </c>
      <c r="M518" s="188">
        <f ca="1">IFERROR(OFFSET(환산공식!DJ$15,$F518,0),"")</f>
        <v>100</v>
      </c>
      <c r="N518" s="20" t="str">
        <f ca="1">IFERROR(CONCATENATE(ROUND(OFFSET(환산공식!DK$15,$F518,0),1),"%"),"")</f>
        <v>100%</v>
      </c>
      <c r="O518" s="20">
        <f ca="1">IFERROR(OFFSET(환산공식!DL$15,$F518,0),"")</f>
        <v>0</v>
      </c>
      <c r="P518" s="188" t="str">
        <f t="shared" ca="1" si="15"/>
        <v>3% 이하</v>
      </c>
      <c r="Q518" s="194">
        <f ca="1">IFERROR(ROUND(OFFSET(환산공식!$FG$15,$F518,0),3),"")</f>
        <v>0</v>
      </c>
      <c r="R518" s="194">
        <f ca="1">OFFSET('배치점수 계산기'!H$10,$D518,0)</f>
        <v>798.40499999999997</v>
      </c>
      <c r="S518" s="194">
        <f ca="1">OFFSET('배치점수 계산기'!I$10,$D518,0)</f>
        <v>793.42</v>
      </c>
      <c r="T518" s="194">
        <f ca="1">OFFSET('배치점수 계산기'!J$10,$D518,0)</f>
        <v>787.72500000000002</v>
      </c>
      <c r="U518" s="194">
        <f ca="1">OFFSET('배치점수 계산기'!K$10,$D518,0)</f>
        <v>780.78</v>
      </c>
      <c r="V518" s="194">
        <f ca="1">OFFSET('배치점수 계산기'!L$10,$D518,0)</f>
        <v>772.125</v>
      </c>
      <c r="W518" s="186" t="str">
        <f ca="1">OFFSET('배치점수 계산기'!M$10,$D518,0)</f>
        <v>백분위</v>
      </c>
      <c r="X518" s="184" t="str">
        <f ca="1">OFFSET('배치점수 계산기'!N$10,$D518,0)</f>
        <v>백분위</v>
      </c>
      <c r="Y518" s="188">
        <f ca="1">OFFSET(환산공식!FW$15,$F518,0)</f>
        <v>0.39</v>
      </c>
      <c r="Z518" s="20">
        <f ca="1">OFFSET(환산공식!FX$15,$F518,0)</f>
        <v>0.33</v>
      </c>
      <c r="AA518" s="179">
        <f ca="1">OFFSET(환산공식!FY$15,$F518,0)</f>
        <v>0.28000000000000003</v>
      </c>
      <c r="AB518" s="3"/>
      <c r="AD518">
        <f t="shared" ca="1" si="16"/>
        <v>6</v>
      </c>
      <c r="AF518" s="3"/>
      <c r="AG518" s="3"/>
      <c r="AH518" s="3"/>
    </row>
    <row r="519" spans="1:34">
      <c r="A519" s="198"/>
      <c r="B519" s="198"/>
      <c r="C519" s="198" t="s">
        <v>1080</v>
      </c>
      <c r="D519" s="195">
        <v>572</v>
      </c>
      <c r="E519" s="195">
        <v>129</v>
      </c>
      <c r="F519" s="195">
        <v>129</v>
      </c>
      <c r="G519" s="239">
        <v>512</v>
      </c>
      <c r="H519" s="197" t="s">
        <v>72</v>
      </c>
      <c r="I519" s="242" t="s">
        <v>446</v>
      </c>
      <c r="J519" s="242" t="s">
        <v>561</v>
      </c>
      <c r="K519" s="195" t="s">
        <v>71</v>
      </c>
      <c r="L519" s="20" t="str">
        <f ca="1">IF(OFFSET(환산공식!$ED$15,$F519,0)=1,"O","X")</f>
        <v>X</v>
      </c>
      <c r="M519" s="188">
        <f ca="1">IFERROR(OFFSET(환산공식!DJ$15,$F519,0),"")</f>
        <v>100</v>
      </c>
      <c r="N519" s="20" t="str">
        <f ca="1">IFERROR(CONCATENATE(ROUND(OFFSET(환산공식!DK$15,$F519,0),1),"%"),"")</f>
        <v>100%</v>
      </c>
      <c r="O519" s="20">
        <f ca="1">IFERROR(OFFSET(환산공식!DL$15,$F519,0),"")</f>
        <v>0</v>
      </c>
      <c r="P519" s="188" t="str">
        <f t="shared" ca="1" si="15"/>
        <v>3% 이하</v>
      </c>
      <c r="Q519" s="194">
        <f ca="1">IFERROR(ROUND(OFFSET(환산공식!$FG$15,$F519,0),3),"")</f>
        <v>0</v>
      </c>
      <c r="R519" s="194">
        <f ca="1">OFFSET('배치점수 계산기'!H$10,$D519,0)</f>
        <v>798.08</v>
      </c>
      <c r="S519" s="194">
        <f ca="1">OFFSET('배치점수 계산기'!I$10,$D519,0)</f>
        <v>792.44500000000005</v>
      </c>
      <c r="T519" s="194">
        <f ca="1">OFFSET('배치점수 계산기'!J$10,$D519,0)</f>
        <v>787.55</v>
      </c>
      <c r="U519" s="194">
        <f ca="1">OFFSET('배치점수 계산기'!K$10,$D519,0)</f>
        <v>779.98</v>
      </c>
      <c r="V519" s="194">
        <f ca="1">OFFSET('배치점수 계산기'!L$10,$D519,0)</f>
        <v>771.65</v>
      </c>
      <c r="W519" s="186" t="str">
        <f ca="1">OFFSET('배치점수 계산기'!M$10,$D519,0)</f>
        <v>백분위</v>
      </c>
      <c r="X519" s="184" t="str">
        <f ca="1">OFFSET('배치점수 계산기'!N$10,$D519,0)</f>
        <v>백분위</v>
      </c>
      <c r="Y519" s="188">
        <f ca="1">OFFSET(환산공식!FW$15,$F519,0)</f>
        <v>0.39</v>
      </c>
      <c r="Z519" s="20">
        <f ca="1">OFFSET(환산공식!FX$15,$F519,0)</f>
        <v>0.33</v>
      </c>
      <c r="AA519" s="179">
        <f ca="1">OFFSET(환산공식!FY$15,$F519,0)</f>
        <v>0.28000000000000003</v>
      </c>
      <c r="AB519" s="3"/>
      <c r="AD519">
        <f t="shared" ca="1" si="16"/>
        <v>6</v>
      </c>
      <c r="AF519" s="3"/>
      <c r="AG519" s="3"/>
      <c r="AH519" s="3"/>
    </row>
    <row r="520" spans="1:34">
      <c r="A520" s="198"/>
      <c r="B520" s="198"/>
      <c r="C520" s="198" t="s">
        <v>1081</v>
      </c>
      <c r="D520" s="195">
        <v>573</v>
      </c>
      <c r="E520" s="195">
        <v>129</v>
      </c>
      <c r="F520" s="195">
        <v>129</v>
      </c>
      <c r="G520" s="239">
        <v>513</v>
      </c>
      <c r="H520" s="197" t="s">
        <v>72</v>
      </c>
      <c r="I520" s="242" t="s">
        <v>446</v>
      </c>
      <c r="J520" s="242" t="s">
        <v>12228</v>
      </c>
      <c r="K520" s="195" t="s">
        <v>71</v>
      </c>
      <c r="L520" s="20" t="str">
        <f ca="1">IF(OFFSET(환산공식!$ED$15,$F520,0)=1,"O","X")</f>
        <v>X</v>
      </c>
      <c r="M520" s="188">
        <f ca="1">IFERROR(OFFSET(환산공식!DJ$15,$F520,0),"")</f>
        <v>100</v>
      </c>
      <c r="N520" s="20" t="str">
        <f ca="1">IFERROR(CONCATENATE(ROUND(OFFSET(환산공식!DK$15,$F520,0),1),"%"),"")</f>
        <v>100%</v>
      </c>
      <c r="O520" s="20">
        <f ca="1">IFERROR(OFFSET(환산공식!DL$15,$F520,0),"")</f>
        <v>0</v>
      </c>
      <c r="P520" s="188" t="str">
        <f t="shared" ca="1" si="15"/>
        <v>3% 이하</v>
      </c>
      <c r="Q520" s="194">
        <f ca="1">IFERROR(ROUND(OFFSET(환산공식!$FG$15,$F520,0),3),"")</f>
        <v>0</v>
      </c>
      <c r="R520" s="194">
        <f ca="1">OFFSET('배치점수 계산기'!H$10,$D520,0)</f>
        <v>795.17</v>
      </c>
      <c r="S520" s="194">
        <f ca="1">OFFSET('배치점수 계산기'!I$10,$D520,0)</f>
        <v>790.01</v>
      </c>
      <c r="T520" s="194">
        <f ca="1">OFFSET('배치점수 계산기'!J$10,$D520,0)</f>
        <v>785.11500000000001</v>
      </c>
      <c r="U520" s="194">
        <f ca="1">OFFSET('배치점수 계산기'!K$10,$D520,0)</f>
        <v>777.37</v>
      </c>
      <c r="V520" s="194">
        <f ca="1">OFFSET('배치점수 계산기'!L$10,$D520,0)</f>
        <v>769.1</v>
      </c>
      <c r="W520" s="186" t="str">
        <f ca="1">OFFSET('배치점수 계산기'!M$10,$D520,0)</f>
        <v>백분위</v>
      </c>
      <c r="X520" s="184" t="str">
        <f ca="1">OFFSET('배치점수 계산기'!N$10,$D520,0)</f>
        <v>백분위</v>
      </c>
      <c r="Y520" s="188">
        <f ca="1">OFFSET(환산공식!FW$15,$F520,0)</f>
        <v>0.39</v>
      </c>
      <c r="Z520" s="20">
        <f ca="1">OFFSET(환산공식!FX$15,$F520,0)</f>
        <v>0.33</v>
      </c>
      <c r="AA520" s="179">
        <f ca="1">OFFSET(환산공식!FY$15,$F520,0)</f>
        <v>0.28000000000000003</v>
      </c>
      <c r="AB520" s="3"/>
      <c r="AD520">
        <f t="shared" ca="1" si="16"/>
        <v>6</v>
      </c>
      <c r="AF520" s="3"/>
      <c r="AG520" s="3"/>
      <c r="AH520" s="3"/>
    </row>
    <row r="521" spans="1:34">
      <c r="A521" s="198"/>
      <c r="B521" s="198"/>
      <c r="C521" s="198" t="s">
        <v>1082</v>
      </c>
      <c r="D521" s="195">
        <v>574</v>
      </c>
      <c r="E521" s="195">
        <v>129</v>
      </c>
      <c r="F521" s="195">
        <v>129</v>
      </c>
      <c r="G521" s="239">
        <v>514</v>
      </c>
      <c r="H521" s="197" t="s">
        <v>72</v>
      </c>
      <c r="I521" s="242" t="s">
        <v>446</v>
      </c>
      <c r="J521" s="242" t="s">
        <v>501</v>
      </c>
      <c r="K521" s="195" t="s">
        <v>71</v>
      </c>
      <c r="L521" s="20" t="str">
        <f ca="1">IF(OFFSET(환산공식!$ED$15,$F521,0)=1,"O","X")</f>
        <v>X</v>
      </c>
      <c r="M521" s="188">
        <f ca="1">IFERROR(OFFSET(환산공식!DJ$15,$F521,0),"")</f>
        <v>100</v>
      </c>
      <c r="N521" s="20" t="str">
        <f ca="1">IFERROR(CONCATENATE(ROUND(OFFSET(환산공식!DK$15,$F521,0),1),"%"),"")</f>
        <v>100%</v>
      </c>
      <c r="O521" s="20">
        <f ca="1">IFERROR(OFFSET(환산공식!DL$15,$F521,0),"")</f>
        <v>0</v>
      </c>
      <c r="P521" s="188" t="str">
        <f t="shared" ref="P521:P584" ca="1" si="17"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>3% 이하</v>
      </c>
      <c r="Q521" s="194">
        <f ca="1">IFERROR(ROUND(OFFSET(환산공식!$FG$15,$F521,0),3),"")</f>
        <v>0</v>
      </c>
      <c r="R521" s="194">
        <f ca="1">OFFSET('배치점수 계산기'!H$10,$D521,0)</f>
        <v>790.18499999999995</v>
      </c>
      <c r="S521" s="194">
        <f ca="1">OFFSET('배치점수 계산기'!I$10,$D521,0)</f>
        <v>785.85</v>
      </c>
      <c r="T521" s="194">
        <f ca="1">OFFSET('배치점수 계산기'!J$10,$D521,0)</f>
        <v>780.78</v>
      </c>
      <c r="U521" s="194">
        <f ca="1">OFFSET('배치점수 계산기'!K$10,$D521,0)</f>
        <v>772.86</v>
      </c>
      <c r="V521" s="194">
        <f ca="1">OFFSET('배치점수 계산기'!L$10,$D521,0)</f>
        <v>764.42499999999995</v>
      </c>
      <c r="W521" s="186" t="str">
        <f ca="1">OFFSET('배치점수 계산기'!M$10,$D521,0)</f>
        <v>백분위</v>
      </c>
      <c r="X521" s="184" t="str">
        <f ca="1">OFFSET('배치점수 계산기'!N$10,$D521,0)</f>
        <v>백분위</v>
      </c>
      <c r="Y521" s="188">
        <f ca="1">OFFSET(환산공식!FW$15,$F521,0)</f>
        <v>0.39</v>
      </c>
      <c r="Z521" s="20">
        <f ca="1">OFFSET(환산공식!FX$15,$F521,0)</f>
        <v>0.33</v>
      </c>
      <c r="AA521" s="179">
        <f ca="1">OFFSET(환산공식!FY$15,$F521,0)</f>
        <v>0.28000000000000003</v>
      </c>
      <c r="AB521" s="3"/>
      <c r="AD521">
        <f t="shared" ref="AD521:AD584" ca="1" si="18">IF(L521="X",6,IF(Q521&gt;R521,1,IF(Q521&gt;S521,2,IF(Q521&gt;T521,3,IF(Q521&gt;U521,4,IF(Q521&gt;=V521,5,IF(Q521&lt;V521,6,"")))))))</f>
        <v>6</v>
      </c>
      <c r="AF521" s="3"/>
      <c r="AG521" s="3"/>
      <c r="AH521" s="3"/>
    </row>
    <row r="522" spans="1:34">
      <c r="A522" s="198"/>
      <c r="B522" s="198"/>
      <c r="C522" s="198" t="s">
        <v>1083</v>
      </c>
      <c r="D522" s="195">
        <v>575</v>
      </c>
      <c r="E522" s="195">
        <v>129</v>
      </c>
      <c r="F522" s="195">
        <v>129</v>
      </c>
      <c r="G522" s="239">
        <v>515</v>
      </c>
      <c r="H522" s="197" t="s">
        <v>72</v>
      </c>
      <c r="I522" s="242" t="s">
        <v>446</v>
      </c>
      <c r="J522" s="242" t="s">
        <v>8337</v>
      </c>
      <c r="K522" s="195" t="s">
        <v>71</v>
      </c>
      <c r="L522" s="20" t="str">
        <f ca="1">IF(OFFSET(환산공식!$ED$15,$F522,0)=1,"O","X")</f>
        <v>X</v>
      </c>
      <c r="M522" s="188">
        <f ca="1">IFERROR(OFFSET(환산공식!DJ$15,$F522,0),"")</f>
        <v>100</v>
      </c>
      <c r="N522" s="20" t="str">
        <f ca="1">IFERROR(CONCATENATE(ROUND(OFFSET(환산공식!DK$15,$F522,0),1),"%"),"")</f>
        <v>100%</v>
      </c>
      <c r="O522" s="20">
        <f ca="1">IFERROR(OFFSET(환산공식!DL$15,$F522,0),"")</f>
        <v>0</v>
      </c>
      <c r="P522" s="188" t="str">
        <f t="shared" ca="1" si="17"/>
        <v>3% 이하</v>
      </c>
      <c r="Q522" s="194">
        <f ca="1">IFERROR(ROUND(OFFSET(환산공식!$FG$15,$F522,0),3),"")</f>
        <v>0</v>
      </c>
      <c r="R522" s="194">
        <f ca="1">OFFSET('배치점수 계산기'!H$10,$D522,0)</f>
        <v>787.72500000000002</v>
      </c>
      <c r="S522" s="194">
        <f ca="1">OFFSET('배치점수 계산기'!I$10,$D522,0)</f>
        <v>783.21500000000003</v>
      </c>
      <c r="T522" s="194">
        <f ca="1">OFFSET('배치점수 계산기'!J$10,$D522,0)</f>
        <v>777.37</v>
      </c>
      <c r="U522" s="194">
        <f ca="1">OFFSET('배치점수 계산기'!K$10,$D522,0)</f>
        <v>769.77499999999998</v>
      </c>
      <c r="V522" s="194">
        <f ca="1">OFFSET('배치점수 계산기'!L$10,$D522,0)</f>
        <v>760.7</v>
      </c>
      <c r="W522" s="186" t="str">
        <f ca="1">OFFSET('배치점수 계산기'!M$10,$D522,0)</f>
        <v>백분위</v>
      </c>
      <c r="X522" s="184" t="str">
        <f ca="1">OFFSET('배치점수 계산기'!N$10,$D522,0)</f>
        <v>백분위</v>
      </c>
      <c r="Y522" s="188">
        <f ca="1">OFFSET(환산공식!FW$15,$F522,0)</f>
        <v>0.39</v>
      </c>
      <c r="Z522" s="20">
        <f ca="1">OFFSET(환산공식!FX$15,$F522,0)</f>
        <v>0.33</v>
      </c>
      <c r="AA522" s="179">
        <f ca="1">OFFSET(환산공식!FY$15,$F522,0)</f>
        <v>0.28000000000000003</v>
      </c>
      <c r="AB522" s="3"/>
      <c r="AD522">
        <f t="shared" ca="1" si="18"/>
        <v>6</v>
      </c>
      <c r="AF522" s="3"/>
      <c r="AG522" s="3"/>
      <c r="AH522" s="3"/>
    </row>
    <row r="523" spans="1:34">
      <c r="A523" s="198"/>
      <c r="B523" s="198"/>
      <c r="C523" s="198" t="s">
        <v>1084</v>
      </c>
      <c r="D523" s="195">
        <v>576</v>
      </c>
      <c r="E523" s="195">
        <v>254</v>
      </c>
      <c r="F523" s="195">
        <v>254</v>
      </c>
      <c r="G523" s="239">
        <v>516</v>
      </c>
      <c r="H523" s="197" t="s">
        <v>72</v>
      </c>
      <c r="I523" s="242" t="s">
        <v>479</v>
      </c>
      <c r="J523" s="242" t="s">
        <v>9564</v>
      </c>
      <c r="K523" s="195" t="s">
        <v>70</v>
      </c>
      <c r="L523" s="20" t="str">
        <f ca="1">IF(OFFSET(환산공식!$ED$15,$F523,0)=1,"O","X")</f>
        <v>X</v>
      </c>
      <c r="M523" s="188">
        <f ca="1">IFERROR(OFFSET(환산공식!DJ$15,$F523,0),"")</f>
        <v>100</v>
      </c>
      <c r="N523" s="20" t="str">
        <f ca="1">IFERROR(CONCATENATE(ROUND(OFFSET(환산공식!DK$15,$F523,0),1),"%"),"")</f>
        <v>100%</v>
      </c>
      <c r="O523" s="20">
        <f ca="1">IFERROR(OFFSET(환산공식!DL$15,$F523,0),"")</f>
        <v>2</v>
      </c>
      <c r="P523" s="188" t="str">
        <f t="shared" ca="1" si="17"/>
        <v>3% 이하</v>
      </c>
      <c r="Q523" s="194">
        <f ca="1">IFERROR(ROUND(OFFSET(환산공식!$FG$15,$F523,0),3),"")</f>
        <v>0</v>
      </c>
      <c r="R523" s="194">
        <f ca="1">OFFSET('배치점수 계산기'!H$10,$D523,0)</f>
        <v>441.14499999999998</v>
      </c>
      <c r="S523" s="194">
        <f ca="1">OFFSET('배치점수 계산기'!I$10,$D523,0)</f>
        <v>438.77</v>
      </c>
      <c r="T523" s="194">
        <f ca="1">OFFSET('배치점수 계산기'!J$10,$D523,0)</f>
        <v>435.84500000000003</v>
      </c>
      <c r="U523" s="194">
        <f ca="1">OFFSET('배치점수 계산기'!K$10,$D523,0)</f>
        <v>434.185</v>
      </c>
      <c r="V523" s="194">
        <f ca="1">OFFSET('배치점수 계산기'!L$10,$D523,0)</f>
        <v>432.67500000000001</v>
      </c>
      <c r="W523" s="186" t="str">
        <f ca="1">OFFSET('배치점수 계산기'!M$10,$D523,0)</f>
        <v>백분위</v>
      </c>
      <c r="X523" s="184" t="str">
        <f ca="1">OFFSET('배치점수 계산기'!N$10,$D523,0)</f>
        <v>백분위</v>
      </c>
      <c r="Y523" s="188">
        <f ca="1">OFFSET(환산공식!FW$15,$F523,0)</f>
        <v>0.25</v>
      </c>
      <c r="Z523" s="20">
        <f ca="1">OFFSET(환산공식!FX$15,$F523,0)</f>
        <v>0.38</v>
      </c>
      <c r="AA523" s="179">
        <f ca="1">OFFSET(환산공식!FY$15,$F523,0)</f>
        <v>0.38</v>
      </c>
      <c r="AB523" s="3"/>
      <c r="AD523">
        <f t="shared" ca="1" si="18"/>
        <v>6</v>
      </c>
      <c r="AF523" s="3"/>
      <c r="AG523" s="3"/>
      <c r="AH523" s="3"/>
    </row>
    <row r="524" spans="1:34">
      <c r="A524" s="198"/>
      <c r="B524" s="198"/>
      <c r="C524" s="198" t="s">
        <v>1085</v>
      </c>
      <c r="D524" s="195">
        <v>577</v>
      </c>
      <c r="E524" s="195">
        <v>249</v>
      </c>
      <c r="F524" s="195">
        <v>249</v>
      </c>
      <c r="G524" s="239">
        <v>517</v>
      </c>
      <c r="H524" s="197" t="s">
        <v>72</v>
      </c>
      <c r="I524" s="242" t="s">
        <v>479</v>
      </c>
      <c r="J524" s="242" t="s">
        <v>481</v>
      </c>
      <c r="K524" s="195" t="s">
        <v>70</v>
      </c>
      <c r="L524" s="20" t="str">
        <f ca="1">IF(OFFSET(환산공식!$ED$15,$F524,0)=1,"O","X")</f>
        <v>X</v>
      </c>
      <c r="M524" s="188">
        <f ca="1">IFERROR(OFFSET(환산공식!DJ$15,$F524,0),"")</f>
        <v>100</v>
      </c>
      <c r="N524" s="20" t="str">
        <f ca="1">IFERROR(CONCATENATE(ROUND(OFFSET(환산공식!DK$15,$F524,0),1),"%"),"")</f>
        <v>100%</v>
      </c>
      <c r="O524" s="20">
        <f ca="1">IFERROR(OFFSET(환산공식!DL$15,$F524,0),"")</f>
        <v>2</v>
      </c>
      <c r="P524" s="188" t="str">
        <f t="shared" ca="1" si="17"/>
        <v>3% 이하</v>
      </c>
      <c r="Q524" s="194">
        <f ca="1">IFERROR(ROUND(OFFSET(환산공식!$FG$15,$F524,0),3),"")</f>
        <v>0</v>
      </c>
      <c r="R524" s="194">
        <f ca="1">OFFSET('배치점수 계산기'!H$10,$D524,0)</f>
        <v>444.565</v>
      </c>
      <c r="S524" s="194">
        <f ca="1">OFFSET('배치점수 계산기'!I$10,$D524,0)</f>
        <v>440.745</v>
      </c>
      <c r="T524" s="194">
        <f ca="1">OFFSET('배치점수 계산기'!J$10,$D524,0)</f>
        <v>435.84500000000003</v>
      </c>
      <c r="U524" s="194">
        <f ca="1">OFFSET('배치점수 계산기'!K$10,$D524,0)</f>
        <v>431.24</v>
      </c>
      <c r="V524" s="194">
        <f ca="1">OFFSET('배치점수 계산기'!L$10,$D524,0)</f>
        <v>428.84500000000003</v>
      </c>
      <c r="W524" s="186" t="str">
        <f ca="1">OFFSET('배치점수 계산기'!M$10,$D524,0)</f>
        <v>백분위</v>
      </c>
      <c r="X524" s="184" t="str">
        <f ca="1">OFFSET('배치점수 계산기'!N$10,$D524,0)</f>
        <v>백분위</v>
      </c>
      <c r="Y524" s="188">
        <f ca="1">OFFSET(환산공식!FW$15,$F524,0)</f>
        <v>0.25</v>
      </c>
      <c r="Z524" s="20">
        <f ca="1">OFFSET(환산공식!FX$15,$F524,0)</f>
        <v>0.38</v>
      </c>
      <c r="AA524" s="179">
        <f ca="1">OFFSET(환산공식!FY$15,$F524,0)</f>
        <v>0.38</v>
      </c>
      <c r="AB524" s="3"/>
      <c r="AD524">
        <f t="shared" ca="1" si="18"/>
        <v>6</v>
      </c>
      <c r="AF524" s="3"/>
      <c r="AG524" s="3"/>
      <c r="AH524" s="3"/>
    </row>
    <row r="525" spans="1:34">
      <c r="A525" s="198"/>
      <c r="B525" s="198"/>
      <c r="C525" s="198" t="s">
        <v>1086</v>
      </c>
      <c r="D525" s="195">
        <v>578</v>
      </c>
      <c r="E525" s="195">
        <v>250</v>
      </c>
      <c r="F525" s="195">
        <v>250</v>
      </c>
      <c r="G525" s="239">
        <v>518</v>
      </c>
      <c r="H525" s="197" t="s">
        <v>72</v>
      </c>
      <c r="I525" s="242" t="s">
        <v>479</v>
      </c>
      <c r="J525" s="242" t="s">
        <v>11412</v>
      </c>
      <c r="K525" s="195" t="s">
        <v>70</v>
      </c>
      <c r="L525" s="20" t="str">
        <f ca="1">IF(OFFSET(환산공식!$ED$15,$F525,0)=1,"O","X")</f>
        <v>X</v>
      </c>
      <c r="M525" s="188">
        <f ca="1">IFERROR(OFFSET(환산공식!DJ$15,$F525,0),"")</f>
        <v>100</v>
      </c>
      <c r="N525" s="20" t="str">
        <f ca="1">IFERROR(CONCATENATE(ROUND(OFFSET(환산공식!DK$15,$F525,0),1),"%"),"")</f>
        <v>100%</v>
      </c>
      <c r="O525" s="20">
        <f ca="1">IFERROR(OFFSET(환산공식!DL$15,$F525,0),"")</f>
        <v>2</v>
      </c>
      <c r="P525" s="188" t="str">
        <f t="shared" ca="1" si="17"/>
        <v>3% 이하</v>
      </c>
      <c r="Q525" s="194">
        <f ca="1">IFERROR(ROUND(OFFSET(환산공식!$FG$15,$F525,0),3),"")</f>
        <v>0</v>
      </c>
      <c r="R525" s="194">
        <f ca="1">OFFSET('배치점수 계산기'!H$10,$D525,0)</f>
        <v>433.73</v>
      </c>
      <c r="S525" s="194">
        <f ca="1">OFFSET('배치점수 계산기'!I$10,$D525,0)</f>
        <v>430.54500000000002</v>
      </c>
      <c r="T525" s="194">
        <f ca="1">OFFSET('배치점수 계산기'!J$10,$D525,0)</f>
        <v>425.39499999999998</v>
      </c>
      <c r="U525" s="194">
        <f ca="1">OFFSET('배치점수 계산기'!K$10,$D525,0)</f>
        <v>419.66</v>
      </c>
      <c r="V525" s="194">
        <f ca="1">OFFSET('배치점수 계산기'!L$10,$D525,0)</f>
        <v>416.35</v>
      </c>
      <c r="W525" s="186" t="str">
        <f ca="1">OFFSET('배치점수 계산기'!M$10,$D525,0)</f>
        <v>백분위</v>
      </c>
      <c r="X525" s="184" t="str">
        <f ca="1">OFFSET('배치점수 계산기'!N$10,$D525,0)</f>
        <v>백분위</v>
      </c>
      <c r="Y525" s="188">
        <f ca="1">OFFSET(환산공식!FW$15,$F525,0)</f>
        <v>0.25</v>
      </c>
      <c r="Z525" s="20">
        <f ca="1">OFFSET(환산공식!FX$15,$F525,0)</f>
        <v>0.38</v>
      </c>
      <c r="AA525" s="179">
        <f ca="1">OFFSET(환산공식!FY$15,$F525,0)</f>
        <v>0.38</v>
      </c>
      <c r="AB525" s="3"/>
      <c r="AD525">
        <f t="shared" ca="1" si="18"/>
        <v>6</v>
      </c>
      <c r="AF525" s="3"/>
      <c r="AG525" s="3"/>
      <c r="AH525" s="3"/>
    </row>
    <row r="526" spans="1:34">
      <c r="A526" s="198"/>
      <c r="B526" s="198"/>
      <c r="C526" s="198" t="s">
        <v>1087</v>
      </c>
      <c r="D526" s="195">
        <v>579</v>
      </c>
      <c r="E526" s="195">
        <v>249</v>
      </c>
      <c r="F526" s="195">
        <v>249</v>
      </c>
      <c r="G526" s="239">
        <v>519</v>
      </c>
      <c r="H526" s="197" t="s">
        <v>72</v>
      </c>
      <c r="I526" s="242" t="s">
        <v>479</v>
      </c>
      <c r="J526" s="242" t="s">
        <v>482</v>
      </c>
      <c r="K526" s="195" t="s">
        <v>70</v>
      </c>
      <c r="L526" s="20" t="str">
        <f ca="1">IF(OFFSET(환산공식!$ED$15,$F526,0)=1,"O","X")</f>
        <v>X</v>
      </c>
      <c r="M526" s="188">
        <f ca="1">IFERROR(OFFSET(환산공식!DJ$15,$F526,0),"")</f>
        <v>100</v>
      </c>
      <c r="N526" s="20" t="str">
        <f ca="1">IFERROR(CONCATENATE(ROUND(OFFSET(환산공식!DK$15,$F526,0),1),"%"),"")</f>
        <v>100%</v>
      </c>
      <c r="O526" s="20">
        <f ca="1">IFERROR(OFFSET(환산공식!DL$15,$F526,0),"")</f>
        <v>2</v>
      </c>
      <c r="P526" s="188" t="str">
        <f t="shared" ca="1" si="17"/>
        <v>3% 이하</v>
      </c>
      <c r="Q526" s="194">
        <f ca="1">IFERROR(ROUND(OFFSET(환산공식!$FG$15,$F526,0),3),"")</f>
        <v>0</v>
      </c>
      <c r="R526" s="194">
        <f ca="1">OFFSET('배치점수 계산기'!H$10,$D526,0)</f>
        <v>432.065</v>
      </c>
      <c r="S526" s="194">
        <f ca="1">OFFSET('배치점수 계산기'!I$10,$D526,0)</f>
        <v>428.94499999999999</v>
      </c>
      <c r="T526" s="194">
        <f ca="1">OFFSET('배치점수 계산기'!J$10,$D526,0)</f>
        <v>422.88</v>
      </c>
      <c r="U526" s="194">
        <f ca="1">OFFSET('배치점수 계산기'!K$10,$D526,0)</f>
        <v>417.42</v>
      </c>
      <c r="V526" s="194">
        <f ca="1">OFFSET('배치점수 계산기'!L$10,$D526,0)</f>
        <v>414.63</v>
      </c>
      <c r="W526" s="186" t="str">
        <f ca="1">OFFSET('배치점수 계산기'!M$10,$D526,0)</f>
        <v>백분위</v>
      </c>
      <c r="X526" s="184" t="str">
        <f ca="1">OFFSET('배치점수 계산기'!N$10,$D526,0)</f>
        <v>백분위</v>
      </c>
      <c r="Y526" s="188">
        <f ca="1">OFFSET(환산공식!FW$15,$F526,0)</f>
        <v>0.25</v>
      </c>
      <c r="Z526" s="20">
        <f ca="1">OFFSET(환산공식!FX$15,$F526,0)</f>
        <v>0.38</v>
      </c>
      <c r="AA526" s="179">
        <f ca="1">OFFSET(환산공식!FY$15,$F526,0)</f>
        <v>0.38</v>
      </c>
      <c r="AB526" s="3"/>
      <c r="AD526">
        <f t="shared" ca="1" si="18"/>
        <v>6</v>
      </c>
      <c r="AF526" s="3"/>
      <c r="AG526" s="3"/>
      <c r="AH526" s="3"/>
    </row>
    <row r="527" spans="1:34">
      <c r="A527" s="198"/>
      <c r="B527" s="198"/>
      <c r="C527" s="198" t="s">
        <v>1088</v>
      </c>
      <c r="D527" s="195">
        <v>580</v>
      </c>
      <c r="E527" s="195">
        <v>251</v>
      </c>
      <c r="F527" s="195">
        <v>251</v>
      </c>
      <c r="G527" s="239">
        <v>520</v>
      </c>
      <c r="H527" s="197" t="s">
        <v>72</v>
      </c>
      <c r="I527" s="242" t="s">
        <v>479</v>
      </c>
      <c r="J527" s="242" t="s">
        <v>480</v>
      </c>
      <c r="K527" s="195" t="s">
        <v>70</v>
      </c>
      <c r="L527" s="20" t="str">
        <f ca="1">IF(OFFSET(환산공식!$ED$15,$F527,0)=1,"O","X")</f>
        <v>X</v>
      </c>
      <c r="M527" s="188">
        <f ca="1">IFERROR(OFFSET(환산공식!DJ$15,$F527,0),"")</f>
        <v>150</v>
      </c>
      <c r="N527" s="20" t="str">
        <f ca="1">IFERROR(CONCATENATE(ROUND(OFFSET(환산공식!DK$15,$F527,0),1),"%"),"")</f>
        <v>100%</v>
      </c>
      <c r="O527" s="20">
        <f ca="1">IFERROR(OFFSET(환산공식!DL$15,$F527,0),"")</f>
        <v>2</v>
      </c>
      <c r="P527" s="188" t="str">
        <f t="shared" ca="1" si="17"/>
        <v>3% 이하</v>
      </c>
      <c r="Q527" s="194">
        <f ca="1">IFERROR(ROUND(OFFSET(환산공식!$FG$15,$F527,0),3),"")</f>
        <v>0</v>
      </c>
      <c r="R527" s="194">
        <f ca="1">OFFSET('배치점수 계산기'!H$10,$D527,0)</f>
        <v>441.71499999999997</v>
      </c>
      <c r="S527" s="194">
        <f ca="1">OFFSET('배치점수 계산기'!I$10,$D527,0)</f>
        <v>439.09</v>
      </c>
      <c r="T527" s="194">
        <f ca="1">OFFSET('배치점수 계산기'!J$10,$D527,0)</f>
        <v>434.91</v>
      </c>
      <c r="U527" s="194">
        <f ca="1">OFFSET('배치점수 계산기'!K$10,$D527,0)</f>
        <v>429.81</v>
      </c>
      <c r="V527" s="194">
        <f ca="1">OFFSET('배치점수 계산기'!L$10,$D527,0)</f>
        <v>426.46499999999997</v>
      </c>
      <c r="W527" s="186" t="str">
        <f ca="1">OFFSET('배치점수 계산기'!M$10,$D527,0)</f>
        <v>백분위</v>
      </c>
      <c r="X527" s="184" t="str">
        <f ca="1">OFFSET('배치점수 계산기'!N$10,$D527,0)</f>
        <v>백분위</v>
      </c>
      <c r="Y527" s="188">
        <f ca="1">OFFSET(환산공식!FW$15,$F527,0)</f>
        <v>0.14000000000000001</v>
      </c>
      <c r="Z527" s="20">
        <f ca="1">OFFSET(환산공식!FX$15,$F527,0)</f>
        <v>0.5</v>
      </c>
      <c r="AA527" s="179">
        <f ca="1">OFFSET(환산공식!FY$15,$F527,0)</f>
        <v>0.36</v>
      </c>
      <c r="AB527" s="3"/>
      <c r="AD527">
        <f t="shared" ca="1" si="18"/>
        <v>6</v>
      </c>
      <c r="AF527" s="3"/>
      <c r="AG527" s="3"/>
      <c r="AH527" s="3"/>
    </row>
    <row r="528" spans="1:34">
      <c r="A528" s="198"/>
      <c r="B528" s="198"/>
      <c r="C528" s="198" t="s">
        <v>1089</v>
      </c>
      <c r="D528" s="195">
        <v>581</v>
      </c>
      <c r="E528" s="195">
        <v>255</v>
      </c>
      <c r="F528" s="195">
        <v>255</v>
      </c>
      <c r="G528" s="239">
        <v>521</v>
      </c>
      <c r="H528" s="197" t="s">
        <v>72</v>
      </c>
      <c r="I528" s="242" t="s">
        <v>479</v>
      </c>
      <c r="J528" s="242" t="s">
        <v>9423</v>
      </c>
      <c r="K528" s="195" t="s">
        <v>71</v>
      </c>
      <c r="L528" s="20" t="str">
        <f ca="1">IF(OFFSET(환산공식!$ED$15,$F528,0)=1,"O","X")</f>
        <v>X</v>
      </c>
      <c r="M528" s="188">
        <f ca="1">IFERROR(OFFSET(환산공식!DJ$15,$F528,0),"")</f>
        <v>100</v>
      </c>
      <c r="N528" s="20" t="str">
        <f ca="1">IFERROR(CONCATENATE(ROUND(OFFSET(환산공식!DK$15,$F528,0),1),"%"),"")</f>
        <v>100%</v>
      </c>
      <c r="O528" s="20">
        <f ca="1">IFERROR(OFFSET(환산공식!DL$15,$F528,0),"")</f>
        <v>2</v>
      </c>
      <c r="P528" s="188" t="str">
        <f t="shared" ca="1" si="17"/>
        <v>3% 이하</v>
      </c>
      <c r="Q528" s="194">
        <f ca="1">IFERROR(ROUND(OFFSET(환산공식!$FG$15,$F528,0),3),"")</f>
        <v>0</v>
      </c>
      <c r="R528" s="194">
        <f ca="1">OFFSET('배치점수 계산기'!H$10,$D528,0)</f>
        <v>447.40499999999997</v>
      </c>
      <c r="S528" s="194">
        <f ca="1">OFFSET('배치점수 계산기'!I$10,$D528,0)</f>
        <v>442.95</v>
      </c>
      <c r="T528" s="194">
        <f ca="1">OFFSET('배치점수 계산기'!J$10,$D528,0)</f>
        <v>437.91</v>
      </c>
      <c r="U528" s="194">
        <f ca="1">OFFSET('배치점수 계산기'!K$10,$D528,0)</f>
        <v>432.06</v>
      </c>
      <c r="V528" s="194">
        <f ca="1">OFFSET('배치점수 계산기'!L$10,$D528,0)</f>
        <v>428.48</v>
      </c>
      <c r="W528" s="186" t="str">
        <f ca="1">OFFSET('배치점수 계산기'!M$10,$D528,0)</f>
        <v>백분위</v>
      </c>
      <c r="X528" s="184" t="str">
        <f ca="1">OFFSET('배치점수 계산기'!N$10,$D528,0)</f>
        <v>백분위</v>
      </c>
      <c r="Y528" s="188">
        <f ca="1">OFFSET(환산공식!FW$15,$F528,0)</f>
        <v>0.25</v>
      </c>
      <c r="Z528" s="20">
        <f ca="1">OFFSET(환산공식!FX$15,$F528,0)</f>
        <v>0.38</v>
      </c>
      <c r="AA528" s="179">
        <f ca="1">OFFSET(환산공식!FY$15,$F528,0)</f>
        <v>0.38</v>
      </c>
      <c r="AB528" s="3"/>
      <c r="AD528">
        <f t="shared" ca="1" si="18"/>
        <v>6</v>
      </c>
      <c r="AF528" s="3"/>
      <c r="AG528" s="3"/>
      <c r="AH528" s="3"/>
    </row>
    <row r="529" spans="1:34">
      <c r="A529" s="198"/>
      <c r="B529" s="198"/>
      <c r="C529" s="198" t="s">
        <v>1090</v>
      </c>
      <c r="D529" s="195">
        <v>582</v>
      </c>
      <c r="E529" s="195">
        <v>256</v>
      </c>
      <c r="F529" s="195">
        <v>256</v>
      </c>
      <c r="G529" s="239">
        <v>522</v>
      </c>
      <c r="H529" s="197" t="s">
        <v>72</v>
      </c>
      <c r="I529" s="242" t="s">
        <v>479</v>
      </c>
      <c r="J529" s="242" t="s">
        <v>8772</v>
      </c>
      <c r="K529" s="195" t="s">
        <v>71</v>
      </c>
      <c r="L529" s="20" t="str">
        <f ca="1">IF(OFFSET(환산공식!$ED$15,$F529,0)=1,"O","X")</f>
        <v>X</v>
      </c>
      <c r="M529" s="188">
        <f ca="1">IFERROR(OFFSET(환산공식!DJ$15,$F529,0),"")</f>
        <v>100</v>
      </c>
      <c r="N529" s="20" t="str">
        <f ca="1">IFERROR(CONCATENATE(ROUND(OFFSET(환산공식!DK$15,$F529,0),1),"%"),"")</f>
        <v>100%</v>
      </c>
      <c r="O529" s="20">
        <f ca="1">IFERROR(OFFSET(환산공식!DL$15,$F529,0),"")</f>
        <v>2</v>
      </c>
      <c r="P529" s="188" t="str">
        <f t="shared" ca="1" si="17"/>
        <v>3% 이하</v>
      </c>
      <c r="Q529" s="194">
        <f ca="1">IFERROR(ROUND(OFFSET(환산공식!$FG$15,$F529,0),3),"")</f>
        <v>0</v>
      </c>
      <c r="R529" s="194">
        <f ca="1">OFFSET('배치점수 계산기'!H$10,$D529,0)</f>
        <v>438.74</v>
      </c>
      <c r="S529" s="194">
        <f ca="1">OFFSET('배치점수 계산기'!I$10,$D529,0)</f>
        <v>435.23500000000001</v>
      </c>
      <c r="T529" s="194">
        <f ca="1">OFFSET('배치점수 계산기'!J$10,$D529,0)</f>
        <v>430.54500000000002</v>
      </c>
      <c r="U529" s="194">
        <f ca="1">OFFSET('배치점수 계산기'!K$10,$D529,0)</f>
        <v>426.21499999999997</v>
      </c>
      <c r="V529" s="194">
        <f ca="1">OFFSET('배치점수 계산기'!L$10,$D529,0)</f>
        <v>424.40499999999997</v>
      </c>
      <c r="W529" s="186" t="str">
        <f ca="1">OFFSET('배치점수 계산기'!M$10,$D529,0)</f>
        <v>백분위</v>
      </c>
      <c r="X529" s="184" t="str">
        <f ca="1">OFFSET('배치점수 계산기'!N$10,$D529,0)</f>
        <v>백분위</v>
      </c>
      <c r="Y529" s="188">
        <f ca="1">OFFSET(환산공식!FW$15,$F529,0)</f>
        <v>0.38</v>
      </c>
      <c r="Z529" s="20">
        <f ca="1">OFFSET(환산공식!FX$15,$F529,0)</f>
        <v>0.25</v>
      </c>
      <c r="AA529" s="179">
        <f ca="1">OFFSET(환산공식!FY$15,$F529,0)</f>
        <v>0.38</v>
      </c>
      <c r="AB529" s="3"/>
      <c r="AD529">
        <f t="shared" ca="1" si="18"/>
        <v>6</v>
      </c>
      <c r="AF529" s="3"/>
      <c r="AG529" s="3"/>
      <c r="AH529" s="3"/>
    </row>
    <row r="530" spans="1:34">
      <c r="A530" s="198"/>
      <c r="B530" s="198"/>
      <c r="C530" s="198" t="s">
        <v>1091</v>
      </c>
      <c r="D530" s="195">
        <v>583</v>
      </c>
      <c r="E530" s="195">
        <v>256</v>
      </c>
      <c r="F530" s="195">
        <v>256</v>
      </c>
      <c r="G530" s="239">
        <v>523</v>
      </c>
      <c r="H530" s="197" t="s">
        <v>72</v>
      </c>
      <c r="I530" s="242" t="s">
        <v>479</v>
      </c>
      <c r="J530" s="242" t="s">
        <v>8337</v>
      </c>
      <c r="K530" s="195" t="s">
        <v>71</v>
      </c>
      <c r="L530" s="20" t="str">
        <f ca="1">IF(OFFSET(환산공식!$ED$15,$F530,0)=1,"O","X")</f>
        <v>X</v>
      </c>
      <c r="M530" s="188">
        <f ca="1">IFERROR(OFFSET(환산공식!DJ$15,$F530,0),"")</f>
        <v>100</v>
      </c>
      <c r="N530" s="20" t="str">
        <f ca="1">IFERROR(CONCATENATE(ROUND(OFFSET(환산공식!DK$15,$F530,0),1),"%"),"")</f>
        <v>100%</v>
      </c>
      <c r="O530" s="20">
        <f ca="1">IFERROR(OFFSET(환산공식!DL$15,$F530,0),"")</f>
        <v>2</v>
      </c>
      <c r="P530" s="188" t="str">
        <f t="shared" ca="1" si="17"/>
        <v>3% 이하</v>
      </c>
      <c r="Q530" s="194">
        <f ca="1">IFERROR(ROUND(OFFSET(환산공식!$FG$15,$F530,0),3),"")</f>
        <v>0</v>
      </c>
      <c r="R530" s="194">
        <f ca="1">OFFSET('배치점수 계산기'!H$10,$D530,0)</f>
        <v>433.49</v>
      </c>
      <c r="S530" s="194">
        <f ca="1">OFFSET('배치점수 계산기'!I$10,$D530,0)</f>
        <v>430.745</v>
      </c>
      <c r="T530" s="194">
        <f ca="1">OFFSET('배치점수 계산기'!J$10,$D530,0)</f>
        <v>426.77499999999998</v>
      </c>
      <c r="U530" s="194">
        <f ca="1">OFFSET('배치점수 계산기'!K$10,$D530,0)</f>
        <v>422.27</v>
      </c>
      <c r="V530" s="194">
        <f ca="1">OFFSET('배치점수 계산기'!L$10,$D530,0)</f>
        <v>419.82499999999999</v>
      </c>
      <c r="W530" s="186" t="str">
        <f ca="1">OFFSET('배치점수 계산기'!M$10,$D530,0)</f>
        <v>백분위</v>
      </c>
      <c r="X530" s="184" t="str">
        <f ca="1">OFFSET('배치점수 계산기'!N$10,$D530,0)</f>
        <v>백분위</v>
      </c>
      <c r="Y530" s="188">
        <f ca="1">OFFSET(환산공식!FW$15,$F530,0)</f>
        <v>0.38</v>
      </c>
      <c r="Z530" s="20">
        <f ca="1">OFFSET(환산공식!FX$15,$F530,0)</f>
        <v>0.25</v>
      </c>
      <c r="AA530" s="179">
        <f ca="1">OFFSET(환산공식!FY$15,$F530,0)</f>
        <v>0.38</v>
      </c>
      <c r="AB530" s="3"/>
      <c r="AD530">
        <f t="shared" ca="1" si="18"/>
        <v>6</v>
      </c>
      <c r="AF530" s="3"/>
      <c r="AG530" s="3"/>
      <c r="AH530" s="3"/>
    </row>
    <row r="531" spans="1:34">
      <c r="A531" s="198"/>
      <c r="B531" s="198"/>
      <c r="C531" s="198" t="s">
        <v>1092</v>
      </c>
      <c r="D531" s="195">
        <v>584</v>
      </c>
      <c r="E531" s="195">
        <v>256</v>
      </c>
      <c r="F531" s="195">
        <v>256</v>
      </c>
      <c r="G531" s="239">
        <v>524</v>
      </c>
      <c r="H531" s="197" t="s">
        <v>72</v>
      </c>
      <c r="I531" s="242" t="s">
        <v>479</v>
      </c>
      <c r="J531" s="242" t="s">
        <v>501</v>
      </c>
      <c r="K531" s="195" t="s">
        <v>71</v>
      </c>
      <c r="L531" s="20" t="str">
        <f ca="1">IF(OFFSET(환산공식!$ED$15,$F531,0)=1,"O","X")</f>
        <v>X</v>
      </c>
      <c r="M531" s="188">
        <f ca="1">IFERROR(OFFSET(환산공식!DJ$15,$F531,0),"")</f>
        <v>100</v>
      </c>
      <c r="N531" s="20" t="str">
        <f ca="1">IFERROR(CONCATENATE(ROUND(OFFSET(환산공식!DK$15,$F531,0),1),"%"),"")</f>
        <v>100%</v>
      </c>
      <c r="O531" s="20">
        <f ca="1">IFERROR(OFFSET(환산공식!DL$15,$F531,0),"")</f>
        <v>2</v>
      </c>
      <c r="P531" s="188" t="str">
        <f t="shared" ca="1" si="17"/>
        <v>3% 이하</v>
      </c>
      <c r="Q531" s="194">
        <f ca="1">IFERROR(ROUND(OFFSET(환산공식!$FG$15,$F531,0),3),"")</f>
        <v>0</v>
      </c>
      <c r="R531" s="194">
        <f ca="1">OFFSET('배치점수 계산기'!H$10,$D531,0)</f>
        <v>433.49</v>
      </c>
      <c r="S531" s="194">
        <f ca="1">OFFSET('배치점수 계산기'!I$10,$D531,0)</f>
        <v>430.84500000000003</v>
      </c>
      <c r="T531" s="194">
        <f ca="1">OFFSET('배치점수 계산기'!J$10,$D531,0)</f>
        <v>426.21499999999997</v>
      </c>
      <c r="U531" s="194">
        <f ca="1">OFFSET('배치점수 계산기'!K$10,$D531,0)</f>
        <v>422.12</v>
      </c>
      <c r="V531" s="194">
        <f ca="1">OFFSET('배치점수 계산기'!L$10,$D531,0)</f>
        <v>419.55</v>
      </c>
      <c r="W531" s="186" t="str">
        <f ca="1">OFFSET('배치점수 계산기'!M$10,$D531,0)</f>
        <v>백분위</v>
      </c>
      <c r="X531" s="184" t="str">
        <f ca="1">OFFSET('배치점수 계산기'!N$10,$D531,0)</f>
        <v>백분위</v>
      </c>
      <c r="Y531" s="188">
        <f ca="1">OFFSET(환산공식!FW$15,$F531,0)</f>
        <v>0.38</v>
      </c>
      <c r="Z531" s="20">
        <f ca="1">OFFSET(환산공식!FX$15,$F531,0)</f>
        <v>0.25</v>
      </c>
      <c r="AA531" s="179">
        <f ca="1">OFFSET(환산공식!FY$15,$F531,0)</f>
        <v>0.38</v>
      </c>
      <c r="AB531" s="3"/>
      <c r="AD531">
        <f t="shared" ca="1" si="18"/>
        <v>6</v>
      </c>
      <c r="AF531" s="3"/>
      <c r="AG531" s="3"/>
      <c r="AH531" s="3"/>
    </row>
    <row r="532" spans="1:34">
      <c r="A532" s="198"/>
      <c r="B532" s="198"/>
      <c r="C532" s="198" t="s">
        <v>1093</v>
      </c>
      <c r="D532" s="195">
        <v>585</v>
      </c>
      <c r="E532" s="195">
        <v>256</v>
      </c>
      <c r="F532" s="195">
        <v>256</v>
      </c>
      <c r="G532" s="239">
        <v>525</v>
      </c>
      <c r="H532" s="197" t="s">
        <v>72</v>
      </c>
      <c r="I532" s="242" t="s">
        <v>479</v>
      </c>
      <c r="J532" s="242" t="s">
        <v>8269</v>
      </c>
      <c r="K532" s="195" t="s">
        <v>71</v>
      </c>
      <c r="L532" s="20" t="str">
        <f ca="1">IF(OFFSET(환산공식!$ED$15,$F532,0)=1,"O","X")</f>
        <v>X</v>
      </c>
      <c r="M532" s="188">
        <f ca="1">IFERROR(OFFSET(환산공식!DJ$15,$F532,0),"")</f>
        <v>100</v>
      </c>
      <c r="N532" s="20" t="str">
        <f ca="1">IFERROR(CONCATENATE(ROUND(OFFSET(환산공식!DK$15,$F532,0),1),"%"),"")</f>
        <v>100%</v>
      </c>
      <c r="O532" s="20">
        <f ca="1">IFERROR(OFFSET(환산공식!DL$15,$F532,0),"")</f>
        <v>2</v>
      </c>
      <c r="P532" s="188" t="str">
        <f t="shared" ca="1" si="17"/>
        <v>3% 이하</v>
      </c>
      <c r="Q532" s="194">
        <f ca="1">IFERROR(ROUND(OFFSET(환산공식!$FG$15,$F532,0),3),"")</f>
        <v>0</v>
      </c>
      <c r="R532" s="194">
        <f ca="1">OFFSET('배치점수 계산기'!H$10,$D532,0)</f>
        <v>432.84</v>
      </c>
      <c r="S532" s="194">
        <f ca="1">OFFSET('배치점수 계산기'!I$10,$D532,0)</f>
        <v>430.54500000000002</v>
      </c>
      <c r="T532" s="194">
        <f ca="1">OFFSET('배치점수 계산기'!J$10,$D532,0)</f>
        <v>425.91500000000002</v>
      </c>
      <c r="U532" s="194">
        <f ca="1">OFFSET('배치점수 계산기'!K$10,$D532,0)</f>
        <v>421.36</v>
      </c>
      <c r="V532" s="194">
        <f ca="1">OFFSET('배치점수 계산기'!L$10,$D532,0)</f>
        <v>418.67500000000001</v>
      </c>
      <c r="W532" s="186" t="str">
        <f ca="1">OFFSET('배치점수 계산기'!M$10,$D532,0)</f>
        <v>백분위</v>
      </c>
      <c r="X532" s="184" t="str">
        <f ca="1">OFFSET('배치점수 계산기'!N$10,$D532,0)</f>
        <v>백분위</v>
      </c>
      <c r="Y532" s="188">
        <f ca="1">OFFSET(환산공식!FW$15,$F532,0)</f>
        <v>0.38</v>
      </c>
      <c r="Z532" s="20">
        <f ca="1">OFFSET(환산공식!FX$15,$F532,0)</f>
        <v>0.25</v>
      </c>
      <c r="AA532" s="179">
        <f ca="1">OFFSET(환산공식!FY$15,$F532,0)</f>
        <v>0.38</v>
      </c>
      <c r="AB532" s="3"/>
      <c r="AD532">
        <f t="shared" ca="1" si="18"/>
        <v>6</v>
      </c>
      <c r="AF532" s="3"/>
      <c r="AG532" s="3"/>
      <c r="AH532" s="3"/>
    </row>
    <row r="533" spans="1:34">
      <c r="A533" s="198"/>
      <c r="B533" s="198"/>
      <c r="C533" s="198" t="s">
        <v>1094</v>
      </c>
      <c r="D533" s="195">
        <v>586</v>
      </c>
      <c r="E533" s="195">
        <v>256</v>
      </c>
      <c r="F533" s="195">
        <v>256</v>
      </c>
      <c r="G533" s="239">
        <v>526</v>
      </c>
      <c r="H533" s="197" t="s">
        <v>72</v>
      </c>
      <c r="I533" s="242" t="s">
        <v>479</v>
      </c>
      <c r="J533" s="242" t="s">
        <v>8974</v>
      </c>
      <c r="K533" s="195" t="s">
        <v>71</v>
      </c>
      <c r="L533" s="20" t="str">
        <f ca="1">IF(OFFSET(환산공식!$ED$15,$F533,0)=1,"O","X")</f>
        <v>X</v>
      </c>
      <c r="M533" s="188">
        <f ca="1">IFERROR(OFFSET(환산공식!DJ$15,$F533,0),"")</f>
        <v>100</v>
      </c>
      <c r="N533" s="20" t="str">
        <f ca="1">IFERROR(CONCATENATE(ROUND(OFFSET(환산공식!DK$15,$F533,0),1),"%"),"")</f>
        <v>100%</v>
      </c>
      <c r="O533" s="20">
        <f ca="1">IFERROR(OFFSET(환산공식!DL$15,$F533,0),"")</f>
        <v>2</v>
      </c>
      <c r="P533" s="188" t="str">
        <f t="shared" ca="1" si="17"/>
        <v>3% 이하</v>
      </c>
      <c r="Q533" s="194">
        <f ca="1">IFERROR(ROUND(OFFSET(환산공식!$FG$15,$F533,0),3),"")</f>
        <v>0</v>
      </c>
      <c r="R533" s="194">
        <f ca="1">OFFSET('배치점수 계산기'!H$10,$D533,0)</f>
        <v>431.63</v>
      </c>
      <c r="S533" s="194">
        <f ca="1">OFFSET('배치점수 계산기'!I$10,$D533,0)</f>
        <v>428.53500000000003</v>
      </c>
      <c r="T533" s="194">
        <f ca="1">OFFSET('배치점수 계산기'!J$10,$D533,0)</f>
        <v>424.45499999999998</v>
      </c>
      <c r="U533" s="194">
        <f ca="1">OFFSET('배치점수 계산기'!K$10,$D533,0)</f>
        <v>418.32499999999999</v>
      </c>
      <c r="V533" s="194">
        <f ca="1">OFFSET('배치점수 계산기'!L$10,$D533,0)</f>
        <v>416.33</v>
      </c>
      <c r="W533" s="186" t="str">
        <f ca="1">OFFSET('배치점수 계산기'!M$10,$D533,0)</f>
        <v>백분위</v>
      </c>
      <c r="X533" s="184" t="str">
        <f ca="1">OFFSET('배치점수 계산기'!N$10,$D533,0)</f>
        <v>백분위</v>
      </c>
      <c r="Y533" s="188">
        <f ca="1">OFFSET(환산공식!FW$15,$F533,0)</f>
        <v>0.38</v>
      </c>
      <c r="Z533" s="20">
        <f ca="1">OFFSET(환산공식!FX$15,$F533,0)</f>
        <v>0.25</v>
      </c>
      <c r="AA533" s="179">
        <f ca="1">OFFSET(환산공식!FY$15,$F533,0)</f>
        <v>0.38</v>
      </c>
      <c r="AB533" s="3"/>
      <c r="AD533">
        <f t="shared" ca="1" si="18"/>
        <v>6</v>
      </c>
      <c r="AF533" s="3"/>
      <c r="AG533" s="3"/>
      <c r="AH533" s="3"/>
    </row>
    <row r="534" spans="1:34">
      <c r="A534" s="198"/>
      <c r="B534" s="198"/>
      <c r="C534" s="198" t="s">
        <v>1095</v>
      </c>
      <c r="D534" s="195">
        <v>587</v>
      </c>
      <c r="E534" s="195">
        <v>257</v>
      </c>
      <c r="F534" s="195">
        <v>257</v>
      </c>
      <c r="G534" s="239">
        <v>527</v>
      </c>
      <c r="H534" s="197" t="s">
        <v>72</v>
      </c>
      <c r="I534" s="242" t="s">
        <v>479</v>
      </c>
      <c r="J534" s="242" t="s">
        <v>11430</v>
      </c>
      <c r="K534" s="195" t="s">
        <v>71</v>
      </c>
      <c r="L534" s="20" t="str">
        <f ca="1">IF(OFFSET(환산공식!$ED$15,$F534,0)=1,"O","X")</f>
        <v>X</v>
      </c>
      <c r="M534" s="188">
        <f ca="1">IFERROR(OFFSET(환산공식!DJ$15,$F534,0),"")</f>
        <v>100</v>
      </c>
      <c r="N534" s="20" t="str">
        <f ca="1">IFERROR(CONCATENATE(ROUND(OFFSET(환산공식!DK$15,$F534,0),1),"%"),"")</f>
        <v>100%</v>
      </c>
      <c r="O534" s="20">
        <f ca="1">IFERROR(OFFSET(환산공식!DL$15,$F534,0),"")</f>
        <v>2</v>
      </c>
      <c r="P534" s="188" t="str">
        <f t="shared" ca="1" si="17"/>
        <v>3% 이하</v>
      </c>
      <c r="Q534" s="194">
        <f ca="1">IFERROR(ROUND(OFFSET(환산공식!$FG$15,$F534,0),3),"")</f>
        <v>0</v>
      </c>
      <c r="R534" s="194">
        <f ca="1">OFFSET('배치점수 계산기'!H$10,$D534,0)</f>
        <v>425.74</v>
      </c>
      <c r="S534" s="194">
        <f ca="1">OFFSET('배치점수 계산기'!I$10,$D534,0)</f>
        <v>422.92</v>
      </c>
      <c r="T534" s="194">
        <f ca="1">OFFSET('배치점수 계산기'!J$10,$D534,0)</f>
        <v>417.86500000000001</v>
      </c>
      <c r="U534" s="194">
        <f ca="1">OFFSET('배치점수 계산기'!K$10,$D534,0)</f>
        <v>413.88499999999999</v>
      </c>
      <c r="V534" s="194">
        <f ca="1">OFFSET('배치점수 계산기'!L$10,$D534,0)</f>
        <v>411.35</v>
      </c>
      <c r="W534" s="186" t="str">
        <f ca="1">OFFSET('배치점수 계산기'!M$10,$D534,0)</f>
        <v>백분위</v>
      </c>
      <c r="X534" s="184" t="str">
        <f ca="1">OFFSET('배치점수 계산기'!N$10,$D534,0)</f>
        <v>백분위</v>
      </c>
      <c r="Y534" s="188">
        <f ca="1">OFFSET(환산공식!FW$15,$F534,0)</f>
        <v>0.38</v>
      </c>
      <c r="Z534" s="20">
        <f ca="1">OFFSET(환산공식!FX$15,$F534,0)</f>
        <v>0.38</v>
      </c>
      <c r="AA534" s="179">
        <f ca="1">OFFSET(환산공식!FY$15,$F534,0)</f>
        <v>0.25</v>
      </c>
      <c r="AB534" s="3"/>
      <c r="AD534">
        <f t="shared" ca="1" si="18"/>
        <v>6</v>
      </c>
      <c r="AF534" s="3"/>
      <c r="AG534" s="3"/>
      <c r="AH534" s="3"/>
    </row>
    <row r="535" spans="1:34">
      <c r="A535" s="198"/>
      <c r="B535" s="198"/>
      <c r="C535" s="198" t="s">
        <v>1096</v>
      </c>
      <c r="D535" s="195">
        <v>588</v>
      </c>
      <c r="E535" s="195">
        <v>105</v>
      </c>
      <c r="F535" s="195">
        <v>105</v>
      </c>
      <c r="G535" s="239">
        <v>528</v>
      </c>
      <c r="H535" s="197" t="s">
        <v>72</v>
      </c>
      <c r="I535" s="242" t="s">
        <v>239</v>
      </c>
      <c r="J535" s="242" t="s">
        <v>10462</v>
      </c>
      <c r="K535" s="195" t="s">
        <v>70</v>
      </c>
      <c r="L535" s="20" t="str">
        <f ca="1">IF(OFFSET(환산공식!$ED$15,$F535,0)=1,"O","X")</f>
        <v>X</v>
      </c>
      <c r="M535" s="188">
        <f ca="1">IFERROR(OFFSET(환산공식!DJ$15,$F535,0),"")</f>
        <v>200</v>
      </c>
      <c r="N535" s="20" t="str">
        <f ca="1">IFERROR(CONCATENATE(ROUND(OFFSET(환산공식!DK$15,$F535,0),1),"%"),"")</f>
        <v>100%</v>
      </c>
      <c r="O535" s="20">
        <f ca="1">IFERROR(OFFSET(환산공식!DL$15,$F535,0),"")</f>
        <v>10</v>
      </c>
      <c r="P535" s="188" t="str">
        <f t="shared" ca="1" si="17"/>
        <v>3% 이하</v>
      </c>
      <c r="Q535" s="194">
        <f ca="1">IFERROR(ROUND(OFFSET(환산공식!$FG$15,$F535,0),3),"")</f>
        <v>0</v>
      </c>
      <c r="R535" s="194">
        <f ca="1">OFFSET('배치점수 계산기'!H$10,$D535,0)</f>
        <v>894.9</v>
      </c>
      <c r="S535" s="194">
        <f ca="1">OFFSET('배치점수 계산기'!I$10,$D535,0)</f>
        <v>890.28</v>
      </c>
      <c r="T535" s="194">
        <f ca="1">OFFSET('배치점수 계산기'!J$10,$D535,0)</f>
        <v>882.52</v>
      </c>
      <c r="U535" s="194">
        <f ca="1">OFFSET('배치점수 계산기'!K$10,$D535,0)</f>
        <v>875.52</v>
      </c>
      <c r="V535" s="194">
        <f ca="1">OFFSET('배치점수 계산기'!L$10,$D535,0)</f>
        <v>863.44</v>
      </c>
      <c r="W535" s="186" t="str">
        <f ca="1">OFFSET('배치점수 계산기'!M$10,$D535,0)</f>
        <v>백분위</v>
      </c>
      <c r="X535" s="184" t="str">
        <f ca="1">OFFSET('배치점수 계산기'!N$10,$D535,0)</f>
        <v>백분위</v>
      </c>
      <c r="Y535" s="188">
        <f ca="1">OFFSET(환산공식!FW$15,$F535,0)</f>
        <v>0.38</v>
      </c>
      <c r="Z535" s="20">
        <f ca="1">OFFSET(환산공식!FX$15,$F535,0)</f>
        <v>0.38</v>
      </c>
      <c r="AA535" s="179">
        <f ca="1">OFFSET(환산공식!FY$15,$F535,0)</f>
        <v>0.25</v>
      </c>
      <c r="AB535" s="3"/>
      <c r="AD535">
        <f t="shared" ca="1" si="18"/>
        <v>6</v>
      </c>
      <c r="AF535" s="3"/>
      <c r="AG535" s="3"/>
      <c r="AH535" s="3"/>
    </row>
    <row r="536" spans="1:34">
      <c r="A536" s="198"/>
      <c r="B536" s="198"/>
      <c r="C536" s="198" t="s">
        <v>1097</v>
      </c>
      <c r="D536" s="195">
        <v>589</v>
      </c>
      <c r="E536" s="195">
        <v>105</v>
      </c>
      <c r="F536" s="195">
        <v>105</v>
      </c>
      <c r="G536" s="239">
        <v>529</v>
      </c>
      <c r="H536" s="197" t="s">
        <v>72</v>
      </c>
      <c r="I536" s="242" t="s">
        <v>239</v>
      </c>
      <c r="J536" s="242" t="s">
        <v>8410</v>
      </c>
      <c r="K536" s="195" t="s">
        <v>70</v>
      </c>
      <c r="L536" s="20" t="str">
        <f ca="1">IF(OFFSET(환산공식!$ED$15,$F536,0)=1,"O","X")</f>
        <v>X</v>
      </c>
      <c r="M536" s="188">
        <f ca="1">IFERROR(OFFSET(환산공식!DJ$15,$F536,0),"")</f>
        <v>200</v>
      </c>
      <c r="N536" s="20" t="str">
        <f ca="1">IFERROR(CONCATENATE(ROUND(OFFSET(환산공식!DK$15,$F536,0),1),"%"),"")</f>
        <v>100%</v>
      </c>
      <c r="O536" s="20">
        <f ca="1">IFERROR(OFFSET(환산공식!DL$15,$F536,0),"")</f>
        <v>10</v>
      </c>
      <c r="P536" s="188" t="str">
        <f t="shared" ca="1" si="17"/>
        <v>3% 이하</v>
      </c>
      <c r="Q536" s="194">
        <f ca="1">IFERROR(ROUND(OFFSET(환산공식!$FG$15,$F536,0),3),"")</f>
        <v>0</v>
      </c>
      <c r="R536" s="194">
        <f ca="1">OFFSET('배치점수 계산기'!H$10,$D536,0)</f>
        <v>873.86</v>
      </c>
      <c r="S536" s="194">
        <f ca="1">OFFSET('배치점수 계산기'!I$10,$D536,0)</f>
        <v>868.72</v>
      </c>
      <c r="T536" s="194">
        <f ca="1">OFFSET('배치점수 계산기'!J$10,$D536,0)</f>
        <v>862.74</v>
      </c>
      <c r="U536" s="194">
        <f ca="1">OFFSET('배치점수 계산기'!K$10,$D536,0)</f>
        <v>855.42</v>
      </c>
      <c r="V536" s="194">
        <f ca="1">OFFSET('배치점수 계산기'!L$10,$D536,0)</f>
        <v>846.2</v>
      </c>
      <c r="W536" s="186" t="str">
        <f ca="1">OFFSET('배치점수 계산기'!M$10,$D536,0)</f>
        <v>백분위</v>
      </c>
      <c r="X536" s="184" t="str">
        <f ca="1">OFFSET('배치점수 계산기'!N$10,$D536,0)</f>
        <v>백분위</v>
      </c>
      <c r="Y536" s="188">
        <f ca="1">OFFSET(환산공식!FW$15,$F536,0)</f>
        <v>0.38</v>
      </c>
      <c r="Z536" s="20">
        <f ca="1">OFFSET(환산공식!FX$15,$F536,0)</f>
        <v>0.38</v>
      </c>
      <c r="AA536" s="179">
        <f ca="1">OFFSET(환산공식!FY$15,$F536,0)</f>
        <v>0.25</v>
      </c>
      <c r="AB536" s="3"/>
      <c r="AD536">
        <f t="shared" ca="1" si="18"/>
        <v>6</v>
      </c>
      <c r="AF536" s="3"/>
      <c r="AG536" s="3"/>
      <c r="AH536" s="3"/>
    </row>
    <row r="537" spans="1:34">
      <c r="A537" s="198"/>
      <c r="B537" s="198"/>
      <c r="C537" s="198" t="s">
        <v>1098</v>
      </c>
      <c r="D537" s="195">
        <v>590</v>
      </c>
      <c r="E537" s="195">
        <v>107</v>
      </c>
      <c r="F537" s="195">
        <v>107</v>
      </c>
      <c r="G537" s="239">
        <v>530</v>
      </c>
      <c r="H537" s="197" t="s">
        <v>72</v>
      </c>
      <c r="I537" s="242" t="s">
        <v>239</v>
      </c>
      <c r="J537" s="242" t="s">
        <v>10052</v>
      </c>
      <c r="K537" s="195" t="s">
        <v>71</v>
      </c>
      <c r="L537" s="20" t="str">
        <f ca="1">IF(OFFSET(환산공식!$ED$15,$F537,0)=1,"O","X")</f>
        <v>X</v>
      </c>
      <c r="M537" s="188">
        <f ca="1">IFERROR(OFFSET(환산공식!DJ$15,$F537,0),"")</f>
        <v>0</v>
      </c>
      <c r="N537" s="20" t="str">
        <f ca="1">IFERROR(CONCATENATE(ROUND(OFFSET(환산공식!DK$15,$F537,0),1),"%"),"")</f>
        <v/>
      </c>
      <c r="O537" s="20">
        <f ca="1">IFERROR(OFFSET(환산공식!DL$15,$F537,0),"")</f>
        <v>0</v>
      </c>
      <c r="P537" s="188" t="str">
        <f t="shared" ca="1" si="17"/>
        <v>3% 이하</v>
      </c>
      <c r="Q537" s="194">
        <f ca="1">IFERROR(ROUND(OFFSET(환산공식!$FG$15,$F537,0),3),"")</f>
        <v>0</v>
      </c>
      <c r="R537" s="194">
        <f ca="1">OFFSET('배치점수 계산기'!H$10,$D537,0)</f>
        <v>841.28</v>
      </c>
      <c r="S537" s="194">
        <f ca="1">OFFSET('배치점수 계산기'!I$10,$D537,0)</f>
        <v>834.7</v>
      </c>
      <c r="T537" s="194">
        <f ca="1">OFFSET('배치점수 계산기'!J$10,$D537,0)</f>
        <v>824.92</v>
      </c>
      <c r="U537" s="194">
        <f ca="1">OFFSET('배치점수 계산기'!K$10,$D537,0)</f>
        <v>812.96</v>
      </c>
      <c r="V537" s="194">
        <f ca="1">OFFSET('배치점수 계산기'!L$10,$D537,0)</f>
        <v>796.5</v>
      </c>
      <c r="W537" s="186" t="str">
        <f ca="1">OFFSET('배치점수 계산기'!M$10,$D537,0)</f>
        <v>백분위</v>
      </c>
      <c r="X537" s="184" t="str">
        <f ca="1">OFFSET('배치점수 계산기'!N$10,$D537,0)</f>
        <v>백분위</v>
      </c>
      <c r="Y537" s="188">
        <f ca="1">OFFSET(환산공식!FW$15,$F537,0)</f>
        <v>0.5</v>
      </c>
      <c r="Z537" s="20">
        <f ca="1">OFFSET(환산공식!FX$15,$F537,0)</f>
        <v>0</v>
      </c>
      <c r="AA537" s="179">
        <f ca="1">OFFSET(환산공식!FY$15,$F537,0)</f>
        <v>0.5</v>
      </c>
      <c r="AB537" s="3"/>
      <c r="AD537">
        <f t="shared" ca="1" si="18"/>
        <v>6</v>
      </c>
      <c r="AF537" s="3"/>
      <c r="AG537" s="3"/>
      <c r="AH537" s="3"/>
    </row>
    <row r="538" spans="1:34">
      <c r="A538" s="198"/>
      <c r="B538" s="198"/>
      <c r="C538" s="198" t="s">
        <v>1099</v>
      </c>
      <c r="D538" s="195">
        <v>591</v>
      </c>
      <c r="E538" s="195">
        <v>106</v>
      </c>
      <c r="F538" s="195">
        <v>106</v>
      </c>
      <c r="G538" s="239">
        <v>531</v>
      </c>
      <c r="H538" s="197" t="s">
        <v>72</v>
      </c>
      <c r="I538" s="242" t="s">
        <v>239</v>
      </c>
      <c r="J538" s="242" t="s">
        <v>7262</v>
      </c>
      <c r="K538" s="195" t="s">
        <v>71</v>
      </c>
      <c r="L538" s="20" t="str">
        <f ca="1">IF(OFFSET(환산공식!$ED$15,$F538,0)=1,"O","X")</f>
        <v>X</v>
      </c>
      <c r="M538" s="188">
        <f ca="1">IFERROR(OFFSET(환산공식!DJ$15,$F538,0),"")</f>
        <v>200</v>
      </c>
      <c r="N538" s="20" t="str">
        <f ca="1">IFERROR(CONCATENATE(ROUND(OFFSET(환산공식!DK$15,$F538,0),1),"%"),"")</f>
        <v>100%</v>
      </c>
      <c r="O538" s="20">
        <f ca="1">IFERROR(OFFSET(환산공식!DL$15,$F538,0),"")</f>
        <v>10</v>
      </c>
      <c r="P538" s="188" t="str">
        <f t="shared" ca="1" si="17"/>
        <v>3% 이하</v>
      </c>
      <c r="Q538" s="194">
        <f ca="1">IFERROR(ROUND(OFFSET(환산공식!$FG$15,$F538,0),3),"")</f>
        <v>0</v>
      </c>
      <c r="R538" s="194">
        <f ca="1">OFFSET('배치점수 계산기'!H$10,$D538,0)</f>
        <v>858.25</v>
      </c>
      <c r="S538" s="194">
        <f ca="1">OFFSET('배치점수 계산기'!I$10,$D538,0)</f>
        <v>852.65</v>
      </c>
      <c r="T538" s="194">
        <f ca="1">OFFSET('배치점수 계산기'!J$10,$D538,0)</f>
        <v>845.65</v>
      </c>
      <c r="U538" s="194">
        <f ca="1">OFFSET('배치점수 계산기'!K$10,$D538,0)</f>
        <v>836.1</v>
      </c>
      <c r="V538" s="194">
        <f ca="1">OFFSET('배치점수 계산기'!L$10,$D538,0)</f>
        <v>827.45</v>
      </c>
      <c r="W538" s="186" t="str">
        <f ca="1">OFFSET('배치점수 계산기'!M$10,$D538,0)</f>
        <v>백분위</v>
      </c>
      <c r="X538" s="184" t="str">
        <f ca="1">OFFSET('배치점수 계산기'!N$10,$D538,0)</f>
        <v>백분위</v>
      </c>
      <c r="Y538" s="188">
        <f ca="1">OFFSET(환산공식!FW$15,$F538,0)</f>
        <v>0.38</v>
      </c>
      <c r="Z538" s="20">
        <f ca="1">OFFSET(환산공식!FX$15,$F538,0)</f>
        <v>0.38</v>
      </c>
      <c r="AA538" s="179">
        <f ca="1">OFFSET(환산공식!FY$15,$F538,0)</f>
        <v>0.25</v>
      </c>
      <c r="AB538" s="3"/>
      <c r="AD538">
        <f t="shared" ca="1" si="18"/>
        <v>6</v>
      </c>
      <c r="AF538" s="3"/>
      <c r="AG538" s="3"/>
      <c r="AH538" s="3"/>
    </row>
    <row r="539" spans="1:34">
      <c r="A539" s="198"/>
      <c r="B539" s="198"/>
      <c r="C539" s="198" t="s">
        <v>1100</v>
      </c>
      <c r="D539" s="195">
        <v>592</v>
      </c>
      <c r="E539" s="195">
        <v>106</v>
      </c>
      <c r="F539" s="195">
        <v>106</v>
      </c>
      <c r="G539" s="239">
        <v>532</v>
      </c>
      <c r="H539" s="197" t="s">
        <v>72</v>
      </c>
      <c r="I539" s="242" t="s">
        <v>239</v>
      </c>
      <c r="J539" s="242" t="s">
        <v>9657</v>
      </c>
      <c r="K539" s="195" t="s">
        <v>71</v>
      </c>
      <c r="L539" s="20" t="str">
        <f ca="1">IF(OFFSET(환산공식!$ED$15,$F539,0)=1,"O","X")</f>
        <v>X</v>
      </c>
      <c r="M539" s="188">
        <f ca="1">IFERROR(OFFSET(환산공식!DJ$15,$F539,0),"")</f>
        <v>200</v>
      </c>
      <c r="N539" s="20" t="str">
        <f ca="1">IFERROR(CONCATENATE(ROUND(OFFSET(환산공식!DK$15,$F539,0),1),"%"),"")</f>
        <v>100%</v>
      </c>
      <c r="O539" s="20">
        <f ca="1">IFERROR(OFFSET(환산공식!DL$15,$F539,0),"")</f>
        <v>10</v>
      </c>
      <c r="P539" s="188" t="str">
        <f t="shared" ca="1" si="17"/>
        <v>3% 이하</v>
      </c>
      <c r="Q539" s="194">
        <f ca="1">IFERROR(ROUND(OFFSET(환산공식!$FG$15,$F539,0),3),"")</f>
        <v>0</v>
      </c>
      <c r="R539" s="194">
        <f ca="1">OFFSET('배치점수 계산기'!H$10,$D539,0)</f>
        <v>850.85</v>
      </c>
      <c r="S539" s="194">
        <f ca="1">OFFSET('배치점수 계산기'!I$10,$D539,0)</f>
        <v>846.1</v>
      </c>
      <c r="T539" s="194">
        <f ca="1">OFFSET('배치점수 계산기'!J$10,$D539,0)</f>
        <v>840.25</v>
      </c>
      <c r="U539" s="194">
        <f ca="1">OFFSET('배치점수 계산기'!K$10,$D539,0)</f>
        <v>832</v>
      </c>
      <c r="V539" s="194">
        <f ca="1">OFFSET('배치점수 계산기'!L$10,$D539,0)</f>
        <v>824.4</v>
      </c>
      <c r="W539" s="186" t="str">
        <f ca="1">OFFSET('배치점수 계산기'!M$10,$D539,0)</f>
        <v>백분위</v>
      </c>
      <c r="X539" s="184" t="str">
        <f ca="1">OFFSET('배치점수 계산기'!N$10,$D539,0)</f>
        <v>백분위</v>
      </c>
      <c r="Y539" s="188">
        <f ca="1">OFFSET(환산공식!FW$15,$F539,0)</f>
        <v>0.38</v>
      </c>
      <c r="Z539" s="20">
        <f ca="1">OFFSET(환산공식!FX$15,$F539,0)</f>
        <v>0.38</v>
      </c>
      <c r="AA539" s="179">
        <f ca="1">OFFSET(환산공식!FY$15,$F539,0)</f>
        <v>0.25</v>
      </c>
      <c r="AB539" s="3"/>
      <c r="AD539">
        <f t="shared" ca="1" si="18"/>
        <v>6</v>
      </c>
      <c r="AF539" s="3"/>
      <c r="AG539" s="3"/>
      <c r="AH539" s="3"/>
    </row>
    <row r="540" spans="1:34">
      <c r="A540" s="198"/>
      <c r="B540" s="198"/>
      <c r="C540" s="198" t="s">
        <v>1101</v>
      </c>
      <c r="D540" s="195">
        <v>593</v>
      </c>
      <c r="E540" s="195">
        <v>101</v>
      </c>
      <c r="F540" s="195">
        <v>101</v>
      </c>
      <c r="G540" s="239">
        <v>533</v>
      </c>
      <c r="H540" s="197" t="s">
        <v>72</v>
      </c>
      <c r="I540" s="242" t="s">
        <v>424</v>
      </c>
      <c r="J540" s="242" t="s">
        <v>11700</v>
      </c>
      <c r="K540" s="195" t="s">
        <v>70</v>
      </c>
      <c r="L540" s="20" t="str">
        <f ca="1">IF(OFFSET(환산공식!$ED$15,$F540,0)=1,"O","X")</f>
        <v>X</v>
      </c>
      <c r="M540" s="188">
        <f ca="1">IFERROR(OFFSET(환산공식!DJ$15,$F540,0),"")</f>
        <v>200</v>
      </c>
      <c r="N540" s="20" t="str">
        <f ca="1">IFERROR(CONCATENATE(ROUND(OFFSET(환산공식!DK$15,$F540,0),1),"%"),"")</f>
        <v>100%</v>
      </c>
      <c r="O540" s="20">
        <f ca="1">IFERROR(OFFSET(환산공식!DL$15,$F540,0),"")</f>
        <v>3</v>
      </c>
      <c r="P540" s="188" t="str">
        <f t="shared" ca="1" si="17"/>
        <v>3% 이하</v>
      </c>
      <c r="Q540" s="194">
        <f ca="1">IFERROR(ROUND(OFFSET(환산공식!$FG$15,$F540,0),3),"")</f>
        <v>0</v>
      </c>
      <c r="R540" s="194">
        <f ca="1">OFFSET('배치점수 계산기'!H$10,$D540,0)</f>
        <v>853.7</v>
      </c>
      <c r="S540" s="194">
        <f ca="1">OFFSET('배치점수 계산기'!I$10,$D540,0)</f>
        <v>848.99</v>
      </c>
      <c r="T540" s="194">
        <f ca="1">OFFSET('배치점수 계산기'!J$10,$D540,0)</f>
        <v>844.28</v>
      </c>
      <c r="U540" s="194">
        <f ca="1">OFFSET('배치점수 계산기'!K$10,$D540,0)</f>
        <v>834.81</v>
      </c>
      <c r="V540" s="194">
        <f ca="1">OFFSET('배치점수 계산기'!L$10,$D540,0)</f>
        <v>826.28</v>
      </c>
      <c r="W540" s="186" t="str">
        <f ca="1">OFFSET('배치점수 계산기'!M$10,$D540,0)</f>
        <v>백분위</v>
      </c>
      <c r="X540" s="184" t="str">
        <f ca="1">OFFSET('배치점수 계산기'!N$10,$D540,0)</f>
        <v>백분위</v>
      </c>
      <c r="Y540" s="188">
        <f ca="1">OFFSET(환산공식!FW$15,$F540,0)</f>
        <v>0.31</v>
      </c>
      <c r="Z540" s="20">
        <f ca="1">OFFSET(환산공식!FX$15,$F540,0)</f>
        <v>0.44</v>
      </c>
      <c r="AA540" s="179">
        <f ca="1">OFFSET(환산공식!FY$15,$F540,0)</f>
        <v>0.25</v>
      </c>
      <c r="AB540" s="3"/>
      <c r="AD540">
        <f t="shared" ca="1" si="18"/>
        <v>6</v>
      </c>
      <c r="AF540" s="3"/>
      <c r="AG540" s="3"/>
      <c r="AH540" s="3"/>
    </row>
    <row r="541" spans="1:34">
      <c r="A541" s="198"/>
      <c r="B541" s="198"/>
      <c r="C541" s="198" t="s">
        <v>1102</v>
      </c>
      <c r="D541" s="195">
        <v>594</v>
      </c>
      <c r="E541" s="195">
        <v>101</v>
      </c>
      <c r="F541" s="195">
        <v>101</v>
      </c>
      <c r="G541" s="239">
        <v>534</v>
      </c>
      <c r="H541" s="197" t="s">
        <v>72</v>
      </c>
      <c r="I541" s="242" t="s">
        <v>424</v>
      </c>
      <c r="J541" s="242" t="s">
        <v>11768</v>
      </c>
      <c r="K541" s="195" t="s">
        <v>70</v>
      </c>
      <c r="L541" s="20" t="str">
        <f ca="1">IF(OFFSET(환산공식!$ED$15,$F541,0)=1,"O","X")</f>
        <v>X</v>
      </c>
      <c r="M541" s="188">
        <f ca="1">IFERROR(OFFSET(환산공식!DJ$15,$F541,0),"")</f>
        <v>200</v>
      </c>
      <c r="N541" s="20" t="str">
        <f ca="1">IFERROR(CONCATENATE(ROUND(OFFSET(환산공식!DK$15,$F541,0),1),"%"),"")</f>
        <v>100%</v>
      </c>
      <c r="O541" s="20">
        <f ca="1">IFERROR(OFFSET(환산공식!DL$15,$F541,0),"")</f>
        <v>3</v>
      </c>
      <c r="P541" s="188" t="str">
        <f t="shared" ca="1" si="17"/>
        <v>3% 이하</v>
      </c>
      <c r="Q541" s="194">
        <f ca="1">IFERROR(ROUND(OFFSET(환산공식!$FG$15,$F541,0),3),"")</f>
        <v>0</v>
      </c>
      <c r="R541" s="194">
        <f ca="1">OFFSET('배치점수 계산기'!H$10,$D541,0)</f>
        <v>851.48</v>
      </c>
      <c r="S541" s="194">
        <f ca="1">OFFSET('배치점수 계산기'!I$10,$D541,0)</f>
        <v>846.72</v>
      </c>
      <c r="T541" s="194">
        <f ca="1">OFFSET('배치점수 계산기'!J$10,$D541,0)</f>
        <v>840.81</v>
      </c>
      <c r="U541" s="194">
        <f ca="1">OFFSET('배치점수 계산기'!K$10,$D541,0)</f>
        <v>831.66</v>
      </c>
      <c r="V541" s="194">
        <f ca="1">OFFSET('배치점수 계산기'!L$10,$D541,0)</f>
        <v>823.59</v>
      </c>
      <c r="W541" s="186" t="str">
        <f ca="1">OFFSET('배치점수 계산기'!M$10,$D541,0)</f>
        <v>백분위</v>
      </c>
      <c r="X541" s="184" t="str">
        <f ca="1">OFFSET('배치점수 계산기'!N$10,$D541,0)</f>
        <v>백분위</v>
      </c>
      <c r="Y541" s="188">
        <f ca="1">OFFSET(환산공식!FW$15,$F541,0)</f>
        <v>0.31</v>
      </c>
      <c r="Z541" s="20">
        <f ca="1">OFFSET(환산공식!FX$15,$F541,0)</f>
        <v>0.44</v>
      </c>
      <c r="AA541" s="179">
        <f ca="1">OFFSET(환산공식!FY$15,$F541,0)</f>
        <v>0.25</v>
      </c>
      <c r="AB541" s="3"/>
      <c r="AD541">
        <f t="shared" ca="1" si="18"/>
        <v>6</v>
      </c>
      <c r="AF541" s="3"/>
      <c r="AG541" s="3"/>
      <c r="AH541" s="3"/>
    </row>
    <row r="542" spans="1:34">
      <c r="A542" s="198"/>
      <c r="B542" s="198"/>
      <c r="C542" s="198" t="s">
        <v>1103</v>
      </c>
      <c r="D542" s="195">
        <v>595</v>
      </c>
      <c r="E542" s="195">
        <v>100</v>
      </c>
      <c r="F542" s="195">
        <v>100</v>
      </c>
      <c r="G542" s="239">
        <v>535</v>
      </c>
      <c r="H542" s="197" t="s">
        <v>72</v>
      </c>
      <c r="I542" s="242" t="s">
        <v>424</v>
      </c>
      <c r="J542" s="242" t="s">
        <v>11197</v>
      </c>
      <c r="K542" s="195" t="s">
        <v>71</v>
      </c>
      <c r="L542" s="20" t="str">
        <f ca="1">IF(OFFSET(환산공식!$ED$15,$F542,0)=1,"O","X")</f>
        <v>X</v>
      </c>
      <c r="M542" s="188">
        <f ca="1">IFERROR(OFFSET(환산공식!DJ$15,$F542,0),"")</f>
        <v>200</v>
      </c>
      <c r="N542" s="20" t="str">
        <f ca="1">IFERROR(CONCATENATE(ROUND(OFFSET(환산공식!DK$15,$F542,0),1),"%"),"")</f>
        <v>100%</v>
      </c>
      <c r="O542" s="20">
        <f ca="1">IFERROR(OFFSET(환산공식!DL$15,$F542,0),"")</f>
        <v>3</v>
      </c>
      <c r="P542" s="188" t="str">
        <f t="shared" ca="1" si="17"/>
        <v>3% 이하</v>
      </c>
      <c r="Q542" s="194">
        <f ca="1">IFERROR(ROUND(OFFSET(환산공식!$FG$15,$F542,0),3),"")</f>
        <v>0</v>
      </c>
      <c r="R542" s="194">
        <f ca="1">OFFSET('배치점수 계산기'!H$10,$D542,0)</f>
        <v>865.43</v>
      </c>
      <c r="S542" s="194">
        <f ca="1">OFFSET('배치점수 계산기'!I$10,$D542,0)</f>
        <v>861.45</v>
      </c>
      <c r="T542" s="194">
        <f ca="1">OFFSET('배치점수 계산기'!J$10,$D542,0)</f>
        <v>857.32</v>
      </c>
      <c r="U542" s="194">
        <f ca="1">OFFSET('배치점수 계산기'!K$10,$D542,0)</f>
        <v>848.80499999999995</v>
      </c>
      <c r="V542" s="194">
        <f ca="1">OFFSET('배치점수 계산기'!L$10,$D542,0)</f>
        <v>839.01499999999999</v>
      </c>
      <c r="W542" s="186" t="str">
        <f ca="1">OFFSET('배치점수 계산기'!M$10,$D542,0)</f>
        <v>백분위</v>
      </c>
      <c r="X542" s="184" t="str">
        <f ca="1">OFFSET('배치점수 계산기'!N$10,$D542,0)</f>
        <v>백분위</v>
      </c>
      <c r="Y542" s="188">
        <f ca="1">OFFSET(환산공식!FW$15,$F542,0)</f>
        <v>0.44</v>
      </c>
      <c r="Z542" s="20">
        <f ca="1">OFFSET(환산공식!FX$15,$F542,0)</f>
        <v>0.31</v>
      </c>
      <c r="AA542" s="179">
        <f ca="1">OFFSET(환산공식!FY$15,$F542,0)</f>
        <v>0.25</v>
      </c>
      <c r="AB542" s="3"/>
      <c r="AD542">
        <f t="shared" ca="1" si="18"/>
        <v>6</v>
      </c>
      <c r="AF542" s="3"/>
      <c r="AG542" s="3"/>
      <c r="AH542" s="3"/>
    </row>
    <row r="543" spans="1:34">
      <c r="A543" s="198"/>
      <c r="B543" s="198"/>
      <c r="C543" s="198" t="s">
        <v>1104</v>
      </c>
      <c r="D543" s="195">
        <v>596</v>
      </c>
      <c r="E543" s="195">
        <v>244</v>
      </c>
      <c r="F543" s="195">
        <v>244</v>
      </c>
      <c r="G543" s="239">
        <v>536</v>
      </c>
      <c r="H543" s="197" t="s">
        <v>72</v>
      </c>
      <c r="I543" s="242" t="s">
        <v>195</v>
      </c>
      <c r="J543" s="242" t="s">
        <v>16613</v>
      </c>
      <c r="K543" s="195" t="s">
        <v>70</v>
      </c>
      <c r="L543" s="20" t="str">
        <f ca="1">IF(OFFSET(환산공식!$ED$15,$F543,0)=1,"O","X")</f>
        <v>X</v>
      </c>
      <c r="M543" s="188">
        <f ca="1">IFERROR(OFFSET(환산공식!DJ$15,$F543,0),"")</f>
        <v>19.600000000000001</v>
      </c>
      <c r="N543" s="20" t="str">
        <f ca="1">IFERROR(CONCATENATE(ROUND(OFFSET(환산공식!DK$15,$F543,0),1),"%"),"")</f>
        <v/>
      </c>
      <c r="O543" s="20">
        <f ca="1">IFERROR(OFFSET(환산공식!DL$15,$F543,0),"")</f>
        <v>0</v>
      </c>
      <c r="P543" s="188" t="str">
        <f t="shared" ca="1" si="17"/>
        <v>90% 이상</v>
      </c>
      <c r="Q543" s="194" t="str">
        <f ca="1">IFERROR(ROUND(OFFSET(환산공식!$FG$15,$F543,0),3),"")</f>
        <v/>
      </c>
      <c r="R543" s="194">
        <f ca="1">OFFSET('배치점수 계산기'!H$10,$D543,0)</f>
        <v>88.873999999999995</v>
      </c>
      <c r="S543" s="194">
        <f ca="1">OFFSET('배치점수 계산기'!I$10,$D543,0)</f>
        <v>88.501999999999995</v>
      </c>
      <c r="T543" s="194">
        <f ca="1">OFFSET('배치점수 계산기'!J$10,$D543,0)</f>
        <v>87.753</v>
      </c>
      <c r="U543" s="194">
        <f ca="1">OFFSET('배치점수 계산기'!K$10,$D543,0)</f>
        <v>87.134</v>
      </c>
      <c r="V543" s="194">
        <f ca="1">OFFSET('배치점수 계산기'!L$10,$D543,0)</f>
        <v>85.882000000000005</v>
      </c>
      <c r="W543" s="186" t="str">
        <f ca="1">OFFSET('배치점수 계산기'!M$10,$D543,0)</f>
        <v>백분위</v>
      </c>
      <c r="X543" s="184" t="str">
        <f ca="1">OFFSET('배치점수 계산기'!N$10,$D543,0)</f>
        <v>백분위</v>
      </c>
      <c r="Y543" s="188" t="e">
        <f ca="1">OFFSET(환산공식!FW$15,$F543,0)</f>
        <v>#VALUE!</v>
      </c>
      <c r="Z543" s="20" t="e">
        <f ca="1">OFFSET(환산공식!FX$15,$F543,0)</f>
        <v>#VALUE!</v>
      </c>
      <c r="AA543" s="179" t="e">
        <f ca="1">OFFSET(환산공식!FY$15,$F543,0)</f>
        <v>#VALUE!</v>
      </c>
      <c r="AB543" s="3"/>
      <c r="AD543">
        <f t="shared" ca="1" si="18"/>
        <v>6</v>
      </c>
      <c r="AF543" s="3"/>
      <c r="AG543" s="3"/>
      <c r="AH543" s="3"/>
    </row>
    <row r="544" spans="1:34">
      <c r="A544" s="198"/>
      <c r="B544" s="198"/>
      <c r="C544" s="198" t="s">
        <v>1105</v>
      </c>
      <c r="D544" s="195">
        <v>597</v>
      </c>
      <c r="E544" s="195">
        <v>244</v>
      </c>
      <c r="F544" s="195">
        <v>244</v>
      </c>
      <c r="G544" s="239">
        <v>537</v>
      </c>
      <c r="H544" s="197" t="s">
        <v>72</v>
      </c>
      <c r="I544" s="242" t="s">
        <v>195</v>
      </c>
      <c r="J544" s="242" t="s">
        <v>16614</v>
      </c>
      <c r="K544" s="195" t="s">
        <v>70</v>
      </c>
      <c r="L544" s="20" t="str">
        <f ca="1">IF(OFFSET(환산공식!$ED$15,$F544,0)=1,"O","X")</f>
        <v>X</v>
      </c>
      <c r="M544" s="188">
        <f ca="1">IFERROR(OFFSET(환산공식!DJ$15,$F544,0),"")</f>
        <v>19.600000000000001</v>
      </c>
      <c r="N544" s="20" t="str">
        <f ca="1">IFERROR(CONCATENATE(ROUND(OFFSET(환산공식!DK$15,$F544,0),1),"%"),"")</f>
        <v/>
      </c>
      <c r="O544" s="20">
        <f ca="1">IFERROR(OFFSET(환산공식!DL$15,$F544,0),"")</f>
        <v>0</v>
      </c>
      <c r="P544" s="188" t="str">
        <f t="shared" ca="1" si="17"/>
        <v>90% 이상</v>
      </c>
      <c r="Q544" s="194" t="str">
        <f ca="1">IFERROR(ROUND(OFFSET(환산공식!$FG$15,$F544,0),3),"")</f>
        <v/>
      </c>
      <c r="R544" s="194">
        <f ca="1">OFFSET('배치점수 계산기'!H$10,$D544,0)</f>
        <v>86.373999999999995</v>
      </c>
      <c r="S544" s="194">
        <f ca="1">OFFSET('배치점수 계산기'!I$10,$D544,0)</f>
        <v>85.882000000000005</v>
      </c>
      <c r="T544" s="194">
        <f ca="1">OFFSET('배치점수 계산기'!J$10,$D544,0)</f>
        <v>85.343000000000004</v>
      </c>
      <c r="U544" s="194">
        <f ca="1">OFFSET('배치점수 계산기'!K$10,$D544,0)</f>
        <v>84.712999999999994</v>
      </c>
      <c r="V544" s="194">
        <f ca="1">OFFSET('배치점수 계산기'!L$10,$D544,0)</f>
        <v>84.182000000000002</v>
      </c>
      <c r="W544" s="186" t="str">
        <f ca="1">OFFSET('배치점수 계산기'!M$10,$D544,0)</f>
        <v>백분위</v>
      </c>
      <c r="X544" s="184" t="str">
        <f ca="1">OFFSET('배치점수 계산기'!N$10,$D544,0)</f>
        <v>백분위</v>
      </c>
      <c r="Y544" s="188" t="e">
        <f ca="1">OFFSET(환산공식!FW$15,$F544,0)</f>
        <v>#VALUE!</v>
      </c>
      <c r="Z544" s="20" t="e">
        <f ca="1">OFFSET(환산공식!FX$15,$F544,0)</f>
        <v>#VALUE!</v>
      </c>
      <c r="AA544" s="179" t="e">
        <f ca="1">OFFSET(환산공식!FY$15,$F544,0)</f>
        <v>#VALUE!</v>
      </c>
      <c r="AB544" s="3"/>
      <c r="AD544">
        <f t="shared" ca="1" si="18"/>
        <v>6</v>
      </c>
      <c r="AF544" s="3"/>
      <c r="AG544" s="3"/>
      <c r="AH544" s="3"/>
    </row>
    <row r="545" spans="1:34">
      <c r="A545" s="198"/>
      <c r="B545" s="198"/>
      <c r="C545" s="198" t="s">
        <v>1106</v>
      </c>
      <c r="D545" s="195">
        <v>598</v>
      </c>
      <c r="E545" s="195">
        <v>244</v>
      </c>
      <c r="F545" s="195">
        <v>244</v>
      </c>
      <c r="G545" s="239">
        <v>538</v>
      </c>
      <c r="H545" s="197" t="s">
        <v>72</v>
      </c>
      <c r="I545" s="242" t="s">
        <v>195</v>
      </c>
      <c r="J545" s="242" t="s">
        <v>16615</v>
      </c>
      <c r="K545" s="195" t="s">
        <v>70</v>
      </c>
      <c r="L545" s="20" t="str">
        <f ca="1">IF(OFFSET(환산공식!$ED$15,$F545,0)=1,"O","X")</f>
        <v>X</v>
      </c>
      <c r="M545" s="188">
        <f ca="1">IFERROR(OFFSET(환산공식!DJ$15,$F545,0),"")</f>
        <v>19.600000000000001</v>
      </c>
      <c r="N545" s="20" t="str">
        <f ca="1">IFERROR(CONCATENATE(ROUND(OFFSET(환산공식!DK$15,$F545,0),1),"%"),"")</f>
        <v/>
      </c>
      <c r="O545" s="20">
        <f ca="1">IFERROR(OFFSET(환산공식!DL$15,$F545,0),"")</f>
        <v>0</v>
      </c>
      <c r="P545" s="188" t="str">
        <f t="shared" ca="1" si="17"/>
        <v>90% 이상</v>
      </c>
      <c r="Q545" s="194" t="str">
        <f ca="1">IFERROR(ROUND(OFFSET(환산공식!$FG$15,$F545,0),3),"")</f>
        <v/>
      </c>
      <c r="R545" s="194">
        <f ca="1">OFFSET('배치점수 계산기'!H$10,$D545,0)</f>
        <v>86.224000000000004</v>
      </c>
      <c r="S545" s="194">
        <f ca="1">OFFSET('배치점수 계산기'!I$10,$D545,0)</f>
        <v>85.814999999999998</v>
      </c>
      <c r="T545" s="194">
        <f ca="1">OFFSET('배치점수 계산기'!J$10,$D545,0)</f>
        <v>85.290999999999997</v>
      </c>
      <c r="U545" s="194">
        <f ca="1">OFFSET('배치점수 계산기'!K$10,$D545,0)</f>
        <v>84.578999999999994</v>
      </c>
      <c r="V545" s="194">
        <f ca="1">OFFSET('배치점수 계산기'!L$10,$D545,0)</f>
        <v>83.778999999999996</v>
      </c>
      <c r="W545" s="186" t="str">
        <f ca="1">OFFSET('배치점수 계산기'!M$10,$D545,0)</f>
        <v>백분위</v>
      </c>
      <c r="X545" s="184" t="str">
        <f ca="1">OFFSET('배치점수 계산기'!N$10,$D545,0)</f>
        <v>백분위</v>
      </c>
      <c r="Y545" s="188" t="e">
        <f ca="1">OFFSET(환산공식!FW$15,$F545,0)</f>
        <v>#VALUE!</v>
      </c>
      <c r="Z545" s="20" t="e">
        <f ca="1">OFFSET(환산공식!FX$15,$F545,0)</f>
        <v>#VALUE!</v>
      </c>
      <c r="AA545" s="179" t="e">
        <f ca="1">OFFSET(환산공식!FY$15,$F545,0)</f>
        <v>#VALUE!</v>
      </c>
      <c r="AB545" s="3"/>
      <c r="AD545">
        <f t="shared" ca="1" si="18"/>
        <v>6</v>
      </c>
      <c r="AF545" s="3"/>
      <c r="AG545" s="3"/>
      <c r="AH545" s="3"/>
    </row>
    <row r="546" spans="1:34">
      <c r="A546" s="198"/>
      <c r="B546" s="198"/>
      <c r="C546" s="198" t="s">
        <v>1107</v>
      </c>
      <c r="D546" s="195">
        <v>599</v>
      </c>
      <c r="E546" s="195">
        <v>244</v>
      </c>
      <c r="F546" s="195">
        <v>244</v>
      </c>
      <c r="G546" s="239">
        <v>539</v>
      </c>
      <c r="H546" s="197" t="s">
        <v>72</v>
      </c>
      <c r="I546" s="242" t="s">
        <v>195</v>
      </c>
      <c r="J546" s="242" t="s">
        <v>16616</v>
      </c>
      <c r="K546" s="195" t="s">
        <v>70</v>
      </c>
      <c r="L546" s="20" t="str">
        <f ca="1">IF(OFFSET(환산공식!$ED$15,$F546,0)=1,"O","X")</f>
        <v>X</v>
      </c>
      <c r="M546" s="188">
        <f ca="1">IFERROR(OFFSET(환산공식!DJ$15,$F546,0),"")</f>
        <v>19.600000000000001</v>
      </c>
      <c r="N546" s="20" t="str">
        <f ca="1">IFERROR(CONCATENATE(ROUND(OFFSET(환산공식!DK$15,$F546,0),1),"%"),"")</f>
        <v/>
      </c>
      <c r="O546" s="20">
        <f ca="1">IFERROR(OFFSET(환산공식!DL$15,$F546,0),"")</f>
        <v>0</v>
      </c>
      <c r="P546" s="188" t="str">
        <f t="shared" ca="1" si="17"/>
        <v>90% 이상</v>
      </c>
      <c r="Q546" s="194" t="str">
        <f ca="1">IFERROR(ROUND(OFFSET(환산공식!$FG$15,$F546,0),3),"")</f>
        <v/>
      </c>
      <c r="R546" s="194">
        <f ca="1">OFFSET('배치점수 계산기'!H$10,$D546,0)</f>
        <v>86.183000000000007</v>
      </c>
      <c r="S546" s="194">
        <f ca="1">OFFSET('배치점수 계산기'!I$10,$D546,0)</f>
        <v>85.762</v>
      </c>
      <c r="T546" s="194">
        <f ca="1">OFFSET('배치점수 계산기'!J$10,$D546,0)</f>
        <v>85.203999999999994</v>
      </c>
      <c r="U546" s="194">
        <f ca="1">OFFSET('배치점수 계산기'!K$10,$D546,0)</f>
        <v>84.534000000000006</v>
      </c>
      <c r="V546" s="194">
        <f ca="1">OFFSET('배치점수 계산기'!L$10,$D546,0)</f>
        <v>84.116</v>
      </c>
      <c r="W546" s="186" t="str">
        <f ca="1">OFFSET('배치점수 계산기'!M$10,$D546,0)</f>
        <v>백분위</v>
      </c>
      <c r="X546" s="184" t="str">
        <f ca="1">OFFSET('배치점수 계산기'!N$10,$D546,0)</f>
        <v>백분위</v>
      </c>
      <c r="Y546" s="188" t="e">
        <f ca="1">OFFSET(환산공식!FW$15,$F546,0)</f>
        <v>#VALUE!</v>
      </c>
      <c r="Z546" s="20" t="e">
        <f ca="1">OFFSET(환산공식!FX$15,$F546,0)</f>
        <v>#VALUE!</v>
      </c>
      <c r="AA546" s="179" t="e">
        <f ca="1">OFFSET(환산공식!FY$15,$F546,0)</f>
        <v>#VALUE!</v>
      </c>
      <c r="AB546" s="3"/>
      <c r="AD546">
        <f t="shared" ca="1" si="18"/>
        <v>6</v>
      </c>
      <c r="AF546" s="3"/>
      <c r="AG546" s="3"/>
      <c r="AH546" s="3"/>
    </row>
    <row r="547" spans="1:34">
      <c r="A547" s="198"/>
      <c r="B547" s="198"/>
      <c r="C547" s="198" t="s">
        <v>1108</v>
      </c>
      <c r="D547" s="195">
        <v>600</v>
      </c>
      <c r="E547" s="195">
        <v>244</v>
      </c>
      <c r="F547" s="195">
        <v>244</v>
      </c>
      <c r="G547" s="239">
        <v>540</v>
      </c>
      <c r="H547" s="197" t="s">
        <v>72</v>
      </c>
      <c r="I547" s="242" t="s">
        <v>195</v>
      </c>
      <c r="J547" s="242" t="s">
        <v>16617</v>
      </c>
      <c r="K547" s="195" t="s">
        <v>70</v>
      </c>
      <c r="L547" s="20" t="str">
        <f ca="1">IF(OFFSET(환산공식!$ED$15,$F547,0)=1,"O","X")</f>
        <v>X</v>
      </c>
      <c r="M547" s="188">
        <f ca="1">IFERROR(OFFSET(환산공식!DJ$15,$F547,0),"")</f>
        <v>19.600000000000001</v>
      </c>
      <c r="N547" s="20" t="str">
        <f ca="1">IFERROR(CONCATENATE(ROUND(OFFSET(환산공식!DK$15,$F547,0),1),"%"),"")</f>
        <v/>
      </c>
      <c r="O547" s="20">
        <f ca="1">IFERROR(OFFSET(환산공식!DL$15,$F547,0),"")</f>
        <v>0</v>
      </c>
      <c r="P547" s="188" t="str">
        <f t="shared" ca="1" si="17"/>
        <v>90% 이상</v>
      </c>
      <c r="Q547" s="194" t="str">
        <f ca="1">IFERROR(ROUND(OFFSET(환산공식!$FG$15,$F547,0),3),"")</f>
        <v/>
      </c>
      <c r="R547" s="194">
        <f ca="1">OFFSET('배치점수 계산기'!H$10,$D547,0)</f>
        <v>85.814999999999998</v>
      </c>
      <c r="S547" s="194">
        <f ca="1">OFFSET('배치점수 계산기'!I$10,$D547,0)</f>
        <v>85.492999999999995</v>
      </c>
      <c r="T547" s="194">
        <f ca="1">OFFSET('배치점수 계산기'!J$10,$D547,0)</f>
        <v>84.814999999999998</v>
      </c>
      <c r="U547" s="194">
        <f ca="1">OFFSET('배치점수 계산기'!K$10,$D547,0)</f>
        <v>84.182000000000002</v>
      </c>
      <c r="V547" s="194">
        <f ca="1">OFFSET('배치점수 계산기'!L$10,$D547,0)</f>
        <v>83.67</v>
      </c>
      <c r="W547" s="186" t="str">
        <f ca="1">OFFSET('배치점수 계산기'!M$10,$D547,0)</f>
        <v>백분위</v>
      </c>
      <c r="X547" s="184" t="str">
        <f ca="1">OFFSET('배치점수 계산기'!N$10,$D547,0)</f>
        <v>백분위</v>
      </c>
      <c r="Y547" s="188" t="e">
        <f ca="1">OFFSET(환산공식!FW$15,$F547,0)</f>
        <v>#VALUE!</v>
      </c>
      <c r="Z547" s="20" t="e">
        <f ca="1">OFFSET(환산공식!FX$15,$F547,0)</f>
        <v>#VALUE!</v>
      </c>
      <c r="AA547" s="179" t="e">
        <f ca="1">OFFSET(환산공식!FY$15,$F547,0)</f>
        <v>#VALUE!</v>
      </c>
      <c r="AB547" s="3"/>
      <c r="AD547">
        <f t="shared" ca="1" si="18"/>
        <v>6</v>
      </c>
      <c r="AF547" s="3"/>
      <c r="AG547" s="3"/>
      <c r="AH547" s="3"/>
    </row>
    <row r="548" spans="1:34">
      <c r="A548" s="198"/>
      <c r="B548" s="198"/>
      <c r="C548" s="198" t="s">
        <v>1109</v>
      </c>
      <c r="D548" s="195">
        <v>601</v>
      </c>
      <c r="E548" s="195">
        <v>244</v>
      </c>
      <c r="F548" s="195">
        <v>244</v>
      </c>
      <c r="G548" s="239">
        <v>541</v>
      </c>
      <c r="H548" s="197" t="s">
        <v>72</v>
      </c>
      <c r="I548" s="242" t="s">
        <v>195</v>
      </c>
      <c r="J548" s="242" t="s">
        <v>16618</v>
      </c>
      <c r="K548" s="195" t="s">
        <v>70</v>
      </c>
      <c r="L548" s="20" t="str">
        <f ca="1">IF(OFFSET(환산공식!$ED$15,$F548,0)=1,"O","X")</f>
        <v>X</v>
      </c>
      <c r="M548" s="188">
        <f ca="1">IFERROR(OFFSET(환산공식!DJ$15,$F548,0),"")</f>
        <v>19.600000000000001</v>
      </c>
      <c r="N548" s="20" t="str">
        <f ca="1">IFERROR(CONCATENATE(ROUND(OFFSET(환산공식!DK$15,$F548,0),1),"%"),"")</f>
        <v/>
      </c>
      <c r="O548" s="20">
        <f ca="1">IFERROR(OFFSET(환산공식!DL$15,$F548,0),"")</f>
        <v>0</v>
      </c>
      <c r="P548" s="188" t="str">
        <f t="shared" ca="1" si="17"/>
        <v>90% 이상</v>
      </c>
      <c r="Q548" s="194" t="str">
        <f ca="1">IFERROR(ROUND(OFFSET(환산공식!$FG$15,$F548,0),3),"")</f>
        <v/>
      </c>
      <c r="R548" s="194">
        <f ca="1">OFFSET('배치점수 계산기'!H$10,$D548,0)</f>
        <v>85.317999999999998</v>
      </c>
      <c r="S548" s="194">
        <f ca="1">OFFSET('배치점수 계산기'!I$10,$D548,0)</f>
        <v>84.823999999999998</v>
      </c>
      <c r="T548" s="194">
        <f ca="1">OFFSET('배치점수 계산기'!J$10,$D548,0)</f>
        <v>84.24</v>
      </c>
      <c r="U548" s="194">
        <f ca="1">OFFSET('배치점수 계산기'!K$10,$D548,0)</f>
        <v>83.451999999999998</v>
      </c>
      <c r="V548" s="194">
        <f ca="1">OFFSET('배치점수 계산기'!L$10,$D548,0)</f>
        <v>82.972999999999999</v>
      </c>
      <c r="W548" s="186" t="str">
        <f ca="1">OFFSET('배치점수 계산기'!M$10,$D548,0)</f>
        <v>백분위</v>
      </c>
      <c r="X548" s="184" t="str">
        <f ca="1">OFFSET('배치점수 계산기'!N$10,$D548,0)</f>
        <v>백분위</v>
      </c>
      <c r="Y548" s="188" t="e">
        <f ca="1">OFFSET(환산공식!FW$15,$F548,0)</f>
        <v>#VALUE!</v>
      </c>
      <c r="Z548" s="20" t="e">
        <f ca="1">OFFSET(환산공식!FX$15,$F548,0)</f>
        <v>#VALUE!</v>
      </c>
      <c r="AA548" s="179" t="e">
        <f ca="1">OFFSET(환산공식!FY$15,$F548,0)</f>
        <v>#VALUE!</v>
      </c>
      <c r="AB548" s="3"/>
      <c r="AD548">
        <f t="shared" ca="1" si="18"/>
        <v>6</v>
      </c>
      <c r="AF548" s="3"/>
      <c r="AG548" s="3"/>
      <c r="AH548" s="3"/>
    </row>
    <row r="549" spans="1:34">
      <c r="A549" s="198"/>
      <c r="B549" s="198"/>
      <c r="C549" s="198" t="s">
        <v>1110</v>
      </c>
      <c r="D549" s="195">
        <v>602</v>
      </c>
      <c r="E549" s="195">
        <v>245</v>
      </c>
      <c r="F549" s="195">
        <v>245</v>
      </c>
      <c r="G549" s="239">
        <v>542</v>
      </c>
      <c r="H549" s="197" t="s">
        <v>72</v>
      </c>
      <c r="I549" s="242" t="s">
        <v>195</v>
      </c>
      <c r="J549" s="242" t="s">
        <v>16619</v>
      </c>
      <c r="K549" s="195" t="s">
        <v>71</v>
      </c>
      <c r="L549" s="20" t="str">
        <f ca="1">IF(OFFSET(환산공식!$ED$15,$F549,0)=1,"O","X")</f>
        <v>X</v>
      </c>
      <c r="M549" s="188">
        <f ca="1">IFERROR(OFFSET(환산공식!DJ$15,$F549,0),"")</f>
        <v>19.600000000000001</v>
      </c>
      <c r="N549" s="20" t="str">
        <f ca="1">IFERROR(CONCATENATE(ROUND(OFFSET(환산공식!DK$15,$F549,0),1),"%"),"")</f>
        <v/>
      </c>
      <c r="O549" s="20">
        <f ca="1">IFERROR(OFFSET(환산공식!DL$15,$F549,0),"")</f>
        <v>0</v>
      </c>
      <c r="P549" s="188" t="str">
        <f t="shared" ca="1" si="17"/>
        <v>90% 이상</v>
      </c>
      <c r="Q549" s="194" t="str">
        <f ca="1">IFERROR(ROUND(OFFSET(환산공식!$FG$15,$F549,0),3),"")</f>
        <v/>
      </c>
      <c r="R549" s="194">
        <f ca="1">OFFSET('배치점수 계산기'!H$10,$D549,0)</f>
        <v>86.941999999999993</v>
      </c>
      <c r="S549" s="194">
        <f ca="1">OFFSET('배치점수 계산기'!I$10,$D549,0)</f>
        <v>86.518000000000001</v>
      </c>
      <c r="T549" s="194">
        <f ca="1">OFFSET('배치점수 계산기'!J$10,$D549,0)</f>
        <v>85.936000000000007</v>
      </c>
      <c r="U549" s="194">
        <f ca="1">OFFSET('배치점수 계산기'!K$10,$D549,0)</f>
        <v>85.331999999999994</v>
      </c>
      <c r="V549" s="194">
        <f ca="1">OFFSET('배치점수 계산기'!L$10,$D549,0)</f>
        <v>84.911000000000001</v>
      </c>
      <c r="W549" s="186" t="str">
        <f ca="1">OFFSET('배치점수 계산기'!M$10,$D549,0)</f>
        <v>백분위</v>
      </c>
      <c r="X549" s="184" t="str">
        <f ca="1">OFFSET('배치점수 계산기'!N$10,$D549,0)</f>
        <v>백분위</v>
      </c>
      <c r="Y549" s="188" t="e">
        <f ca="1">OFFSET(환산공식!FW$15,$F549,0)</f>
        <v>#VALUE!</v>
      </c>
      <c r="Z549" s="20" t="e">
        <f ca="1">OFFSET(환산공식!FX$15,$F549,0)</f>
        <v>#VALUE!</v>
      </c>
      <c r="AA549" s="179" t="e">
        <f ca="1">OFFSET(환산공식!FY$15,$F549,0)</f>
        <v>#VALUE!</v>
      </c>
      <c r="AB549" s="3"/>
      <c r="AD549">
        <f t="shared" ca="1" si="18"/>
        <v>6</v>
      </c>
      <c r="AF549" s="3"/>
      <c r="AG549" s="3"/>
      <c r="AH549" s="3"/>
    </row>
    <row r="550" spans="1:34">
      <c r="A550" s="198"/>
      <c r="B550" s="198"/>
      <c r="C550" s="198" t="s">
        <v>1111</v>
      </c>
      <c r="D550" s="195">
        <v>603</v>
      </c>
      <c r="E550" s="195">
        <v>245</v>
      </c>
      <c r="F550" s="195">
        <v>245</v>
      </c>
      <c r="G550" s="239">
        <v>543</v>
      </c>
      <c r="H550" s="197" t="s">
        <v>72</v>
      </c>
      <c r="I550" s="242" t="s">
        <v>195</v>
      </c>
      <c r="J550" s="242" t="s">
        <v>16620</v>
      </c>
      <c r="K550" s="195" t="s">
        <v>71</v>
      </c>
      <c r="L550" s="20" t="str">
        <f ca="1">IF(OFFSET(환산공식!$ED$15,$F550,0)=1,"O","X")</f>
        <v>X</v>
      </c>
      <c r="M550" s="188">
        <f ca="1">IFERROR(OFFSET(환산공식!DJ$15,$F550,0),"")</f>
        <v>19.600000000000001</v>
      </c>
      <c r="N550" s="20" t="str">
        <f ca="1">IFERROR(CONCATENATE(ROUND(OFFSET(환산공식!DK$15,$F550,0),1),"%"),"")</f>
        <v/>
      </c>
      <c r="O550" s="20">
        <f ca="1">IFERROR(OFFSET(환산공식!DL$15,$F550,0),"")</f>
        <v>0</v>
      </c>
      <c r="P550" s="188" t="str">
        <f t="shared" ca="1" si="17"/>
        <v>90% 이상</v>
      </c>
      <c r="Q550" s="194" t="str">
        <f ca="1">IFERROR(ROUND(OFFSET(환산공식!$FG$15,$F550,0),3),"")</f>
        <v/>
      </c>
      <c r="R550" s="194">
        <f ca="1">OFFSET('배치점수 계산기'!H$10,$D550,0)</f>
        <v>86.733999999999995</v>
      </c>
      <c r="S550" s="194">
        <f ca="1">OFFSET('배치점수 계산기'!I$10,$D550,0)</f>
        <v>86.325000000000003</v>
      </c>
      <c r="T550" s="194">
        <f ca="1">OFFSET('배치점수 계산기'!J$10,$D550,0)</f>
        <v>85.686999999999998</v>
      </c>
      <c r="U550" s="194">
        <f ca="1">OFFSET('배치점수 계산기'!K$10,$D550,0)</f>
        <v>85.081999999999994</v>
      </c>
      <c r="V550" s="194">
        <f ca="1">OFFSET('배치점수 계산기'!L$10,$D550,0)</f>
        <v>84.582999999999998</v>
      </c>
      <c r="W550" s="186" t="str">
        <f ca="1">OFFSET('배치점수 계산기'!M$10,$D550,0)</f>
        <v>백분위</v>
      </c>
      <c r="X550" s="184" t="str">
        <f ca="1">OFFSET('배치점수 계산기'!N$10,$D550,0)</f>
        <v>백분위</v>
      </c>
      <c r="Y550" s="188" t="e">
        <f ca="1">OFFSET(환산공식!FW$15,$F550,0)</f>
        <v>#VALUE!</v>
      </c>
      <c r="Z550" s="20" t="e">
        <f ca="1">OFFSET(환산공식!FX$15,$F550,0)</f>
        <v>#VALUE!</v>
      </c>
      <c r="AA550" s="179" t="e">
        <f ca="1">OFFSET(환산공식!FY$15,$F550,0)</f>
        <v>#VALUE!</v>
      </c>
      <c r="AB550" s="3"/>
      <c r="AD550">
        <f t="shared" ca="1" si="18"/>
        <v>6</v>
      </c>
      <c r="AF550" s="3"/>
      <c r="AG550" s="3"/>
      <c r="AH550" s="3"/>
    </row>
    <row r="551" spans="1:34">
      <c r="A551" s="198"/>
      <c r="B551" s="198"/>
      <c r="C551" s="198" t="s">
        <v>1112</v>
      </c>
      <c r="D551" s="195">
        <v>604</v>
      </c>
      <c r="E551" s="195">
        <v>245</v>
      </c>
      <c r="F551" s="195">
        <v>245</v>
      </c>
      <c r="G551" s="239">
        <v>544</v>
      </c>
      <c r="H551" s="197" t="s">
        <v>72</v>
      </c>
      <c r="I551" s="242" t="s">
        <v>195</v>
      </c>
      <c r="J551" s="242" t="s">
        <v>16621</v>
      </c>
      <c r="K551" s="195" t="s">
        <v>71</v>
      </c>
      <c r="L551" s="20" t="str">
        <f ca="1">IF(OFFSET(환산공식!$ED$15,$F551,0)=1,"O","X")</f>
        <v>X</v>
      </c>
      <c r="M551" s="188">
        <f ca="1">IFERROR(OFFSET(환산공식!DJ$15,$F551,0),"")</f>
        <v>19.600000000000001</v>
      </c>
      <c r="N551" s="20" t="str">
        <f ca="1">IFERROR(CONCATENATE(ROUND(OFFSET(환산공식!DK$15,$F551,0),1),"%"),"")</f>
        <v/>
      </c>
      <c r="O551" s="20">
        <f ca="1">IFERROR(OFFSET(환산공식!DL$15,$F551,0),"")</f>
        <v>0</v>
      </c>
      <c r="P551" s="188" t="str">
        <f t="shared" ca="1" si="17"/>
        <v>90% 이상</v>
      </c>
      <c r="Q551" s="194" t="str">
        <f ca="1">IFERROR(ROUND(OFFSET(환산공식!$FG$15,$F551,0),3),"")</f>
        <v/>
      </c>
      <c r="R551" s="194">
        <f ca="1">OFFSET('배치점수 계산기'!H$10,$D551,0)</f>
        <v>86.484999999999999</v>
      </c>
      <c r="S551" s="194">
        <f ca="1">OFFSET('배치점수 계산기'!I$10,$D551,0)</f>
        <v>86.075000000000003</v>
      </c>
      <c r="T551" s="194">
        <f ca="1">OFFSET('배치점수 계산기'!J$10,$D551,0)</f>
        <v>85.481999999999999</v>
      </c>
      <c r="U551" s="194">
        <f ca="1">OFFSET('배치점수 계산기'!K$10,$D551,0)</f>
        <v>84.671000000000006</v>
      </c>
      <c r="V551" s="194">
        <f ca="1">OFFSET('배치점수 계산기'!L$10,$D551,0)</f>
        <v>84.191999999999993</v>
      </c>
      <c r="W551" s="186" t="str">
        <f ca="1">OFFSET('배치점수 계산기'!M$10,$D551,0)</f>
        <v>백분위</v>
      </c>
      <c r="X551" s="184" t="str">
        <f ca="1">OFFSET('배치점수 계산기'!N$10,$D551,0)</f>
        <v>백분위</v>
      </c>
      <c r="Y551" s="188" t="e">
        <f ca="1">OFFSET(환산공식!FW$15,$F551,0)</f>
        <v>#VALUE!</v>
      </c>
      <c r="Z551" s="20" t="e">
        <f ca="1">OFFSET(환산공식!FX$15,$F551,0)</f>
        <v>#VALUE!</v>
      </c>
      <c r="AA551" s="179" t="e">
        <f ca="1">OFFSET(환산공식!FY$15,$F551,0)</f>
        <v>#VALUE!</v>
      </c>
      <c r="AB551" s="3"/>
      <c r="AD551">
        <f t="shared" ca="1" si="18"/>
        <v>6</v>
      </c>
      <c r="AF551" s="3"/>
      <c r="AG551" s="3"/>
      <c r="AH551" s="3"/>
    </row>
    <row r="552" spans="1:34">
      <c r="A552" s="198"/>
      <c r="B552" s="198"/>
      <c r="C552" s="198" t="s">
        <v>1113</v>
      </c>
      <c r="D552" s="195">
        <v>605</v>
      </c>
      <c r="E552" s="195">
        <v>245</v>
      </c>
      <c r="F552" s="195">
        <v>245</v>
      </c>
      <c r="G552" s="239">
        <v>545</v>
      </c>
      <c r="H552" s="197" t="s">
        <v>72</v>
      </c>
      <c r="I552" s="242" t="s">
        <v>195</v>
      </c>
      <c r="J552" s="242" t="s">
        <v>16622</v>
      </c>
      <c r="K552" s="195" t="s">
        <v>71</v>
      </c>
      <c r="L552" s="20" t="str">
        <f ca="1">IF(OFFSET(환산공식!$ED$15,$F552,0)=1,"O","X")</f>
        <v>X</v>
      </c>
      <c r="M552" s="188">
        <f ca="1">IFERROR(OFFSET(환산공식!DJ$15,$F552,0),"")</f>
        <v>19.600000000000001</v>
      </c>
      <c r="N552" s="20" t="str">
        <f ca="1">IFERROR(CONCATENATE(ROUND(OFFSET(환산공식!DK$15,$F552,0),1),"%"),"")</f>
        <v/>
      </c>
      <c r="O552" s="20">
        <f ca="1">IFERROR(OFFSET(환산공식!DL$15,$F552,0),"")</f>
        <v>0</v>
      </c>
      <c r="P552" s="188" t="str">
        <f t="shared" ca="1" si="17"/>
        <v>90% 이상</v>
      </c>
      <c r="Q552" s="194" t="str">
        <f ca="1">IFERROR(ROUND(OFFSET(환산공식!$FG$15,$F552,0),3),"")</f>
        <v/>
      </c>
      <c r="R552" s="194">
        <f ca="1">OFFSET('배치점수 계산기'!H$10,$D552,0)</f>
        <v>86.174999999999997</v>
      </c>
      <c r="S552" s="194">
        <f ca="1">OFFSET('배치점수 계산기'!I$10,$D552,0)</f>
        <v>85.765000000000001</v>
      </c>
      <c r="T552" s="194">
        <f ca="1">OFFSET('배치점수 계산기'!J$10,$D552,0)</f>
        <v>85.15</v>
      </c>
      <c r="U552" s="194">
        <f ca="1">OFFSET('배치점수 계산기'!K$10,$D552,0)</f>
        <v>84.388000000000005</v>
      </c>
      <c r="V552" s="194">
        <f ca="1">OFFSET('배치점수 계산기'!L$10,$D552,0)</f>
        <v>83.858999999999995</v>
      </c>
      <c r="W552" s="186" t="str">
        <f ca="1">OFFSET('배치점수 계산기'!M$10,$D552,0)</f>
        <v>백분위</v>
      </c>
      <c r="X552" s="184" t="str">
        <f ca="1">OFFSET('배치점수 계산기'!N$10,$D552,0)</f>
        <v>백분위</v>
      </c>
      <c r="Y552" s="188" t="e">
        <f ca="1">OFFSET(환산공식!FW$15,$F552,0)</f>
        <v>#VALUE!</v>
      </c>
      <c r="Z552" s="20" t="e">
        <f ca="1">OFFSET(환산공식!FX$15,$F552,0)</f>
        <v>#VALUE!</v>
      </c>
      <c r="AA552" s="179" t="e">
        <f ca="1">OFFSET(환산공식!FY$15,$F552,0)</f>
        <v>#VALUE!</v>
      </c>
      <c r="AB552" s="3"/>
      <c r="AD552">
        <f t="shared" ca="1" si="18"/>
        <v>6</v>
      </c>
      <c r="AF552" s="3"/>
      <c r="AG552" s="3"/>
      <c r="AH552" s="3"/>
    </row>
    <row r="553" spans="1:34">
      <c r="A553" s="198"/>
      <c r="B553" s="198"/>
      <c r="C553" s="198" t="s">
        <v>1114</v>
      </c>
      <c r="D553" s="195">
        <v>606</v>
      </c>
      <c r="E553" s="195">
        <v>245</v>
      </c>
      <c r="F553" s="195">
        <v>245</v>
      </c>
      <c r="G553" s="239">
        <v>546</v>
      </c>
      <c r="H553" s="197" t="s">
        <v>72</v>
      </c>
      <c r="I553" s="242" t="s">
        <v>195</v>
      </c>
      <c r="J553" s="242" t="s">
        <v>16623</v>
      </c>
      <c r="K553" s="195" t="s">
        <v>71</v>
      </c>
      <c r="L553" s="20" t="str">
        <f ca="1">IF(OFFSET(환산공식!$ED$15,$F553,0)=1,"O","X")</f>
        <v>X</v>
      </c>
      <c r="M553" s="188">
        <f ca="1">IFERROR(OFFSET(환산공식!DJ$15,$F553,0),"")</f>
        <v>19.600000000000001</v>
      </c>
      <c r="N553" s="20" t="str">
        <f ca="1">IFERROR(CONCATENATE(ROUND(OFFSET(환산공식!DK$15,$F553,0),1),"%"),"")</f>
        <v/>
      </c>
      <c r="O553" s="20">
        <f ca="1">IFERROR(OFFSET(환산공식!DL$15,$F553,0),"")</f>
        <v>0</v>
      </c>
      <c r="P553" s="188" t="str">
        <f t="shared" ca="1" si="17"/>
        <v>90% 이상</v>
      </c>
      <c r="Q553" s="194" t="str">
        <f ca="1">IFERROR(ROUND(OFFSET(환산공식!$FG$15,$F553,0),3),"")</f>
        <v/>
      </c>
      <c r="R553" s="194">
        <f ca="1">OFFSET('배치점수 계산기'!H$10,$D553,0)</f>
        <v>86.075000000000003</v>
      </c>
      <c r="S553" s="194">
        <f ca="1">OFFSET('배치점수 계산기'!I$10,$D553,0)</f>
        <v>85.697999999999993</v>
      </c>
      <c r="T553" s="194">
        <f ca="1">OFFSET('배치점수 계산기'!J$10,$D553,0)</f>
        <v>85.081999999999994</v>
      </c>
      <c r="U553" s="194">
        <f ca="1">OFFSET('배치점수 계산기'!K$10,$D553,0)</f>
        <v>84.281999999999996</v>
      </c>
      <c r="V553" s="194">
        <f ca="1">OFFSET('배치점수 계산기'!L$10,$D553,0)</f>
        <v>83.805000000000007</v>
      </c>
      <c r="W553" s="186" t="str">
        <f ca="1">OFFSET('배치점수 계산기'!M$10,$D553,0)</f>
        <v>백분위</v>
      </c>
      <c r="X553" s="184" t="str">
        <f ca="1">OFFSET('배치점수 계산기'!N$10,$D553,0)</f>
        <v>백분위</v>
      </c>
      <c r="Y553" s="188" t="e">
        <f ca="1">OFFSET(환산공식!FW$15,$F553,0)</f>
        <v>#VALUE!</v>
      </c>
      <c r="Z553" s="20" t="e">
        <f ca="1">OFFSET(환산공식!FX$15,$F553,0)</f>
        <v>#VALUE!</v>
      </c>
      <c r="AA553" s="179" t="e">
        <f ca="1">OFFSET(환산공식!FY$15,$F553,0)</f>
        <v>#VALUE!</v>
      </c>
      <c r="AB553" s="3"/>
      <c r="AD553">
        <f t="shared" ca="1" si="18"/>
        <v>6</v>
      </c>
      <c r="AF553" s="3"/>
      <c r="AG553" s="3"/>
      <c r="AH553" s="3"/>
    </row>
    <row r="554" spans="1:34">
      <c r="A554" s="198"/>
      <c r="B554" s="198"/>
      <c r="C554" s="198" t="s">
        <v>1115</v>
      </c>
      <c r="D554" s="195">
        <v>607</v>
      </c>
      <c r="E554" s="195">
        <v>245</v>
      </c>
      <c r="F554" s="195">
        <v>245</v>
      </c>
      <c r="G554" s="239">
        <v>547</v>
      </c>
      <c r="H554" s="197" t="s">
        <v>72</v>
      </c>
      <c r="I554" s="242" t="s">
        <v>195</v>
      </c>
      <c r="J554" s="242" t="s">
        <v>16624</v>
      </c>
      <c r="K554" s="195" t="s">
        <v>71</v>
      </c>
      <c r="L554" s="20" t="str">
        <f ca="1">IF(OFFSET(환산공식!$ED$15,$F554,0)=1,"O","X")</f>
        <v>X</v>
      </c>
      <c r="M554" s="188">
        <f ca="1">IFERROR(OFFSET(환산공식!DJ$15,$F554,0),"")</f>
        <v>19.600000000000001</v>
      </c>
      <c r="N554" s="20" t="str">
        <f ca="1">IFERROR(CONCATENATE(ROUND(OFFSET(환산공식!DK$15,$F554,0),1),"%"),"")</f>
        <v/>
      </c>
      <c r="O554" s="20">
        <f ca="1">IFERROR(OFFSET(환산공식!DL$15,$F554,0),"")</f>
        <v>0</v>
      </c>
      <c r="P554" s="188" t="str">
        <f t="shared" ca="1" si="17"/>
        <v>90% 이상</v>
      </c>
      <c r="Q554" s="194" t="str">
        <f ca="1">IFERROR(ROUND(OFFSET(환산공식!$FG$15,$F554,0),3),"")</f>
        <v/>
      </c>
      <c r="R554" s="194">
        <f ca="1">OFFSET('배치점수 계산기'!H$10,$D554,0)</f>
        <v>85.593000000000004</v>
      </c>
      <c r="S554" s="194">
        <f ca="1">OFFSET('배치점수 계산기'!I$10,$D554,0)</f>
        <v>85.105000000000004</v>
      </c>
      <c r="T554" s="194">
        <f ca="1">OFFSET('배치점수 계산기'!J$10,$D554,0)</f>
        <v>84.388000000000005</v>
      </c>
      <c r="U554" s="194">
        <f ca="1">OFFSET('배치점수 계산기'!K$10,$D554,0)</f>
        <v>83.793000000000006</v>
      </c>
      <c r="V554" s="194">
        <f ca="1">OFFSET('배치점수 계산기'!L$10,$D554,0)</f>
        <v>83.382000000000005</v>
      </c>
      <c r="W554" s="186" t="str">
        <f ca="1">OFFSET('배치점수 계산기'!M$10,$D554,0)</f>
        <v>백분위</v>
      </c>
      <c r="X554" s="184" t="str">
        <f ca="1">OFFSET('배치점수 계산기'!N$10,$D554,0)</f>
        <v>백분위</v>
      </c>
      <c r="Y554" s="188" t="e">
        <f ca="1">OFFSET(환산공식!FW$15,$F554,0)</f>
        <v>#VALUE!</v>
      </c>
      <c r="Z554" s="20" t="e">
        <f ca="1">OFFSET(환산공식!FX$15,$F554,0)</f>
        <v>#VALUE!</v>
      </c>
      <c r="AA554" s="179" t="e">
        <f ca="1">OFFSET(환산공식!FY$15,$F554,0)</f>
        <v>#VALUE!</v>
      </c>
      <c r="AB554" s="3"/>
      <c r="AD554">
        <f t="shared" ca="1" si="18"/>
        <v>6</v>
      </c>
      <c r="AF554" s="3"/>
      <c r="AG554" s="3"/>
      <c r="AH554" s="3"/>
    </row>
    <row r="555" spans="1:34">
      <c r="A555" s="198"/>
      <c r="B555" s="198"/>
      <c r="C555" s="198" t="s">
        <v>1116</v>
      </c>
      <c r="D555" s="195">
        <v>608</v>
      </c>
      <c r="E555" s="195">
        <v>246</v>
      </c>
      <c r="F555" s="195">
        <v>246</v>
      </c>
      <c r="G555" s="239">
        <v>548</v>
      </c>
      <c r="H555" s="197" t="s">
        <v>72</v>
      </c>
      <c r="I555" s="242" t="s">
        <v>485</v>
      </c>
      <c r="J555" s="242" t="s">
        <v>16625</v>
      </c>
      <c r="K555" s="195" t="s">
        <v>70</v>
      </c>
      <c r="L555" s="20" t="str">
        <f ca="1">IF(OFFSET(환산공식!$ED$15,$F555,0)=1,"O","X")</f>
        <v>X</v>
      </c>
      <c r="M555" s="188">
        <f ca="1">IFERROR(OFFSET(환산공식!DJ$15,$F555,0),"")</f>
        <v>20</v>
      </c>
      <c r="N555" s="20" t="str">
        <f ca="1">IFERROR(CONCATENATE(ROUND(OFFSET(환산공식!DK$15,$F555,0),1),"%"),"")</f>
        <v>100%</v>
      </c>
      <c r="O555" s="20">
        <f ca="1">IFERROR(OFFSET(환산공식!DL$15,$F555,0),"")</f>
        <v>0</v>
      </c>
      <c r="P555" s="188" t="str">
        <f t="shared" ca="1" si="17"/>
        <v>3% 이하</v>
      </c>
      <c r="Q555" s="194">
        <f ca="1">IFERROR(ROUND(OFFSET(환산공식!$FG$15,$F555,0),3),"")</f>
        <v>0</v>
      </c>
      <c r="R555" s="194">
        <f ca="1">OFFSET('배치점수 계산기'!H$10,$D555,0)</f>
        <v>83.277000000000001</v>
      </c>
      <c r="S555" s="194">
        <f ca="1">OFFSET('배치점수 계산기'!I$10,$D555,0)</f>
        <v>82.927000000000007</v>
      </c>
      <c r="T555" s="194">
        <f ca="1">OFFSET('배치점수 계산기'!J$10,$D555,0)</f>
        <v>81.959000000000003</v>
      </c>
      <c r="U555" s="194">
        <f ca="1">OFFSET('배치점수 계산기'!K$10,$D555,0)</f>
        <v>81.218000000000004</v>
      </c>
      <c r="V555" s="194">
        <f ca="1">OFFSET('배치점수 계산기'!L$10,$D555,0)</f>
        <v>80.222999999999999</v>
      </c>
      <c r="W555" s="186" t="str">
        <f ca="1">OFFSET('배치점수 계산기'!M$10,$D555,0)</f>
        <v>백분위</v>
      </c>
      <c r="X555" s="184" t="str">
        <f ca="1">OFFSET('배치점수 계산기'!N$10,$D555,0)</f>
        <v>백분위</v>
      </c>
      <c r="Y555" s="188">
        <f ca="1">OFFSET(환산공식!FW$15,$F555,0)</f>
        <v>0.38</v>
      </c>
      <c r="Z555" s="20">
        <f ca="1">OFFSET(환산공식!FX$15,$F555,0)</f>
        <v>0.44</v>
      </c>
      <c r="AA555" s="179">
        <f ca="1">OFFSET(환산공식!FY$15,$F555,0)</f>
        <v>0.19</v>
      </c>
      <c r="AB555" s="3"/>
      <c r="AD555">
        <f t="shared" ca="1" si="18"/>
        <v>6</v>
      </c>
      <c r="AF555" s="3"/>
      <c r="AG555" s="3"/>
      <c r="AH555" s="3"/>
    </row>
    <row r="556" spans="1:34">
      <c r="A556" s="198"/>
      <c r="B556" s="198"/>
      <c r="C556" s="198" t="s">
        <v>1117</v>
      </c>
      <c r="D556" s="195">
        <v>609</v>
      </c>
      <c r="E556" s="195">
        <v>247</v>
      </c>
      <c r="F556" s="195">
        <v>247</v>
      </c>
      <c r="G556" s="239">
        <v>549</v>
      </c>
      <c r="H556" s="197" t="s">
        <v>72</v>
      </c>
      <c r="I556" s="242" t="s">
        <v>485</v>
      </c>
      <c r="J556" s="242" t="s">
        <v>9002</v>
      </c>
      <c r="K556" s="195" t="s">
        <v>71</v>
      </c>
      <c r="L556" s="20" t="str">
        <f ca="1">IF(OFFSET(환산공식!$ED$15,$F556,0)=1,"O","X")</f>
        <v>X</v>
      </c>
      <c r="M556" s="188">
        <f ca="1">IFERROR(OFFSET(환산공식!DJ$15,$F556,0),"")</f>
        <v>20</v>
      </c>
      <c r="N556" s="20" t="str">
        <f ca="1">IFERROR(CONCATENATE(ROUND(OFFSET(환산공식!DK$15,$F556,0),1),"%"),"")</f>
        <v>100%</v>
      </c>
      <c r="O556" s="20">
        <f ca="1">IFERROR(OFFSET(환산공식!DL$15,$F556,0),"")</f>
        <v>0</v>
      </c>
      <c r="P556" s="188" t="str">
        <f t="shared" ca="1" si="17"/>
        <v>3% 이하</v>
      </c>
      <c r="Q556" s="194">
        <f ca="1">IFERROR(ROUND(OFFSET(환산공식!$FG$15,$F556,0),3),"")</f>
        <v>0</v>
      </c>
      <c r="R556" s="194">
        <f ca="1">OFFSET('배치점수 계산기'!H$10,$D556,0)</f>
        <v>82.372</v>
      </c>
      <c r="S556" s="194">
        <f ca="1">OFFSET('배치점수 계산기'!I$10,$D556,0)</f>
        <v>81.822999999999993</v>
      </c>
      <c r="T556" s="194">
        <f ca="1">OFFSET('배치점수 계산기'!J$10,$D556,0)</f>
        <v>81.001000000000005</v>
      </c>
      <c r="U556" s="194">
        <f ca="1">OFFSET('배치점수 계산기'!K$10,$D556,0)</f>
        <v>80.316000000000003</v>
      </c>
      <c r="V556" s="194">
        <f ca="1">OFFSET('배치점수 계산기'!L$10,$D556,0)</f>
        <v>79.352000000000004</v>
      </c>
      <c r="W556" s="186" t="str">
        <f ca="1">OFFSET('배치점수 계산기'!M$10,$D556,0)</f>
        <v>백분위</v>
      </c>
      <c r="X556" s="184" t="str">
        <f ca="1">OFFSET('배치점수 계산기'!N$10,$D556,0)</f>
        <v>백분위</v>
      </c>
      <c r="Y556" s="188">
        <f ca="1">OFFSET(환산공식!FW$15,$F556,0)</f>
        <v>0.44</v>
      </c>
      <c r="Z556" s="20">
        <f ca="1">OFFSET(환산공식!FX$15,$F556,0)</f>
        <v>0.38</v>
      </c>
      <c r="AA556" s="179">
        <f ca="1">OFFSET(환산공식!FY$15,$F556,0)</f>
        <v>0.19</v>
      </c>
      <c r="AB556" s="3"/>
      <c r="AD556">
        <f t="shared" ca="1" si="18"/>
        <v>6</v>
      </c>
      <c r="AF556" s="3"/>
      <c r="AG556" s="3"/>
      <c r="AH556" s="3"/>
    </row>
    <row r="557" spans="1:34">
      <c r="A557" s="198"/>
      <c r="B557" s="198"/>
      <c r="C557" s="198" t="s">
        <v>1118</v>
      </c>
      <c r="D557" s="195">
        <v>610</v>
      </c>
      <c r="E557" s="195">
        <v>134</v>
      </c>
      <c r="F557" s="195">
        <v>134</v>
      </c>
      <c r="G557" s="239">
        <v>550</v>
      </c>
      <c r="H557" s="197" t="s">
        <v>72</v>
      </c>
      <c r="I557" s="242" t="s">
        <v>494</v>
      </c>
      <c r="J557" s="242" t="s">
        <v>9971</v>
      </c>
      <c r="K557" s="195" t="s">
        <v>70</v>
      </c>
      <c r="L557" s="20" t="str">
        <f ca="1">IF(OFFSET(환산공식!$ED$15,$F557,0)=1,"O","X")</f>
        <v>X</v>
      </c>
      <c r="M557" s="188">
        <f ca="1">IFERROR(OFFSET(환산공식!DJ$15,$F557,0),"")</f>
        <v>200</v>
      </c>
      <c r="N557" s="20" t="str">
        <f ca="1">IFERROR(CONCATENATE(ROUND(OFFSET(환산공식!DK$15,$F557,0),1),"%"),"")</f>
        <v>100%</v>
      </c>
      <c r="O557" s="20">
        <f ca="1">IFERROR(OFFSET(환산공식!DL$15,$F557,0),"")</f>
        <v>0</v>
      </c>
      <c r="P557" s="188" t="str">
        <f t="shared" ca="1" si="17"/>
        <v>3% 이하</v>
      </c>
      <c r="Q557" s="194">
        <f ca="1">IFERROR(ROUND(OFFSET(환산공식!$FG$15,$F557,0),3),"")</f>
        <v>0</v>
      </c>
      <c r="R557" s="194">
        <f ca="1">OFFSET('배치점수 계산기'!H$10,$D557,0)</f>
        <v>810.16800000000001</v>
      </c>
      <c r="S557" s="194">
        <f ca="1">OFFSET('배치점수 계산기'!I$10,$D557,0)</f>
        <v>807.803</v>
      </c>
      <c r="T557" s="194">
        <f ca="1">OFFSET('배치점수 계산기'!J$10,$D557,0)</f>
        <v>804.327</v>
      </c>
      <c r="U557" s="194">
        <f ca="1">OFFSET('배치점수 계산기'!K$10,$D557,0)</f>
        <v>800.91899999999998</v>
      </c>
      <c r="V557" s="194">
        <f ca="1">OFFSET('배치점수 계산기'!L$10,$D557,0)</f>
        <v>798.19</v>
      </c>
      <c r="W557" s="186" t="str">
        <f ca="1">OFFSET('배치점수 계산기'!M$10,$D557,0)</f>
        <v>표점/만점</v>
      </c>
      <c r="X557" s="184" t="str">
        <f ca="1">OFFSET('배치점수 계산기'!N$10,$D557,0)</f>
        <v>변표/만점</v>
      </c>
      <c r="Y557" s="188">
        <f ca="1">OFFSET(환산공식!FW$15,$F557,0)</f>
        <v>0.25</v>
      </c>
      <c r="Z557" s="20">
        <f ca="1">OFFSET(환산공식!FX$15,$F557,0)</f>
        <v>0.44</v>
      </c>
      <c r="AA557" s="179">
        <f ca="1">OFFSET(환산공식!FY$15,$F557,0)</f>
        <v>0.31</v>
      </c>
      <c r="AB557" s="3"/>
      <c r="AD557">
        <f t="shared" ca="1" si="18"/>
        <v>6</v>
      </c>
      <c r="AF557" s="3"/>
      <c r="AG557" s="3"/>
      <c r="AH557" s="3"/>
    </row>
    <row r="558" spans="1:34">
      <c r="A558" s="198"/>
      <c r="B558" s="198"/>
      <c r="C558" s="198" t="s">
        <v>1119</v>
      </c>
      <c r="D558" s="195">
        <v>611</v>
      </c>
      <c r="E558" s="195">
        <v>133</v>
      </c>
      <c r="F558" s="195">
        <v>133</v>
      </c>
      <c r="G558" s="239">
        <v>551</v>
      </c>
      <c r="H558" s="197" t="s">
        <v>72</v>
      </c>
      <c r="I558" s="242" t="s">
        <v>494</v>
      </c>
      <c r="J558" s="242" t="s">
        <v>16626</v>
      </c>
      <c r="K558" s="195" t="s">
        <v>70</v>
      </c>
      <c r="L558" s="20" t="str">
        <f ca="1">IF(OFFSET(환산공식!$ED$15,$F558,0)=1,"O","X")</f>
        <v>X</v>
      </c>
      <c r="M558" s="188">
        <f ca="1">IFERROR(OFFSET(환산공식!DJ$15,$F558,0),"")</f>
        <v>200</v>
      </c>
      <c r="N558" s="20" t="str">
        <f ca="1">IFERROR(CONCATENATE(ROUND(OFFSET(환산공식!DK$15,$F558,0),1),"%"),"")</f>
        <v>100%</v>
      </c>
      <c r="O558" s="20">
        <f ca="1">IFERROR(OFFSET(환산공식!DL$15,$F558,0),"")</f>
        <v>0</v>
      </c>
      <c r="P558" s="188" t="str">
        <f t="shared" ca="1" si="17"/>
        <v>3% 이하</v>
      </c>
      <c r="Q558" s="194">
        <f ca="1">IFERROR(ROUND(OFFSET(환산공식!$FG$15,$F558,0),3),"")</f>
        <v>0</v>
      </c>
      <c r="R558" s="194">
        <f ca="1">OFFSET('배치점수 계산기'!H$10,$D558,0)</f>
        <v>815.76499999999999</v>
      </c>
      <c r="S558" s="194">
        <f ca="1">OFFSET('배치점수 계산기'!I$10,$D558,0)</f>
        <v>813.375</v>
      </c>
      <c r="T558" s="194">
        <f ca="1">OFFSET('배치점수 계산기'!J$10,$D558,0)</f>
        <v>809.86599999999999</v>
      </c>
      <c r="U558" s="194">
        <f ca="1">OFFSET('배치점수 계산기'!K$10,$D558,0)</f>
        <v>806.423</v>
      </c>
      <c r="V558" s="194">
        <f ca="1">OFFSET('배치점수 계산기'!L$10,$D558,0)</f>
        <v>803.66800000000001</v>
      </c>
      <c r="W558" s="186" t="str">
        <f ca="1">OFFSET('배치점수 계산기'!M$10,$D558,0)</f>
        <v>표점/만점</v>
      </c>
      <c r="X558" s="184" t="str">
        <f ca="1">OFFSET('배치점수 계산기'!N$10,$D558,0)</f>
        <v>변표/만점</v>
      </c>
      <c r="Y558" s="188">
        <f ca="1">OFFSET(환산공식!FW$15,$F558,0)</f>
        <v>0.25</v>
      </c>
      <c r="Z558" s="20">
        <f ca="1">OFFSET(환산공식!FX$15,$F558,0)</f>
        <v>0.44</v>
      </c>
      <c r="AA558" s="179">
        <f ca="1">OFFSET(환산공식!FY$15,$F558,0)</f>
        <v>0.31</v>
      </c>
      <c r="AB558" s="3"/>
      <c r="AD558">
        <f t="shared" ca="1" si="18"/>
        <v>6</v>
      </c>
      <c r="AF558" s="3"/>
      <c r="AG558" s="3"/>
      <c r="AH558" s="3"/>
    </row>
    <row r="559" spans="1:34">
      <c r="A559" s="198"/>
      <c r="B559" s="198"/>
      <c r="C559" s="198" t="s">
        <v>1120</v>
      </c>
      <c r="D559" s="195">
        <v>612</v>
      </c>
      <c r="E559" s="195">
        <v>134</v>
      </c>
      <c r="F559" s="195">
        <v>134</v>
      </c>
      <c r="G559" s="239">
        <v>552</v>
      </c>
      <c r="H559" s="197" t="s">
        <v>72</v>
      </c>
      <c r="I559" s="242" t="s">
        <v>494</v>
      </c>
      <c r="J559" s="242" t="s">
        <v>13649</v>
      </c>
      <c r="K559" s="195" t="s">
        <v>70</v>
      </c>
      <c r="L559" s="20" t="str">
        <f ca="1">IF(OFFSET(환산공식!$ED$15,$F559,0)=1,"O","X")</f>
        <v>X</v>
      </c>
      <c r="M559" s="188">
        <f ca="1">IFERROR(OFFSET(환산공식!DJ$15,$F559,0),"")</f>
        <v>200</v>
      </c>
      <c r="N559" s="20" t="str">
        <f ca="1">IFERROR(CONCATENATE(ROUND(OFFSET(환산공식!DK$15,$F559,0),1),"%"),"")</f>
        <v>100%</v>
      </c>
      <c r="O559" s="20">
        <f ca="1">IFERROR(OFFSET(환산공식!DL$15,$F559,0),"")</f>
        <v>0</v>
      </c>
      <c r="P559" s="188" t="str">
        <f t="shared" ca="1" si="17"/>
        <v>3% 이하</v>
      </c>
      <c r="Q559" s="194">
        <f ca="1">IFERROR(ROUND(OFFSET(환산공식!$FG$15,$F559,0),3),"")</f>
        <v>0</v>
      </c>
      <c r="R559" s="194">
        <f ca="1">OFFSET('배치점수 계산기'!H$10,$D559,0)</f>
        <v>807.55799999999999</v>
      </c>
      <c r="S559" s="194">
        <f ca="1">OFFSET('배치점수 계산기'!I$10,$D559,0)</f>
        <v>804.82799999999997</v>
      </c>
      <c r="T559" s="194">
        <f ca="1">OFFSET('배치점수 계산기'!J$10,$D559,0)</f>
        <v>801.60299999999995</v>
      </c>
      <c r="U559" s="194">
        <f ca="1">OFFSET('배치점수 계산기'!K$10,$D559,0)</f>
        <v>798.19</v>
      </c>
      <c r="V559" s="194">
        <f ca="1">OFFSET('배치점수 계산기'!L$10,$D559,0)</f>
        <v>795.65200000000004</v>
      </c>
      <c r="W559" s="186" t="str">
        <f ca="1">OFFSET('배치점수 계산기'!M$10,$D559,0)</f>
        <v>표점/만점</v>
      </c>
      <c r="X559" s="184" t="str">
        <f ca="1">OFFSET('배치점수 계산기'!N$10,$D559,0)</f>
        <v>변표/만점</v>
      </c>
      <c r="Y559" s="188">
        <f ca="1">OFFSET(환산공식!FW$15,$F559,0)</f>
        <v>0.25</v>
      </c>
      <c r="Z559" s="20">
        <f ca="1">OFFSET(환산공식!FX$15,$F559,0)</f>
        <v>0.44</v>
      </c>
      <c r="AA559" s="179">
        <f ca="1">OFFSET(환산공식!FY$15,$F559,0)</f>
        <v>0.31</v>
      </c>
      <c r="AB559" s="3"/>
      <c r="AD559">
        <f t="shared" ca="1" si="18"/>
        <v>6</v>
      </c>
      <c r="AF559" s="3"/>
      <c r="AG559" s="3"/>
      <c r="AH559" s="3"/>
    </row>
    <row r="560" spans="1:34">
      <c r="A560" s="198"/>
      <c r="B560" s="198"/>
      <c r="C560" s="198" t="s">
        <v>1121</v>
      </c>
      <c r="D560" s="195">
        <v>613</v>
      </c>
      <c r="E560" s="195">
        <v>134</v>
      </c>
      <c r="F560" s="195">
        <v>134</v>
      </c>
      <c r="G560" s="239">
        <v>553</v>
      </c>
      <c r="H560" s="197" t="s">
        <v>72</v>
      </c>
      <c r="I560" s="242" t="s">
        <v>494</v>
      </c>
      <c r="J560" s="242" t="s">
        <v>10236</v>
      </c>
      <c r="K560" s="195" t="s">
        <v>70</v>
      </c>
      <c r="L560" s="20" t="str">
        <f ca="1">IF(OFFSET(환산공식!$ED$15,$F560,0)=1,"O","X")</f>
        <v>X</v>
      </c>
      <c r="M560" s="188">
        <f ca="1">IFERROR(OFFSET(환산공식!DJ$15,$F560,0),"")</f>
        <v>200</v>
      </c>
      <c r="N560" s="20" t="str">
        <f ca="1">IFERROR(CONCATENATE(ROUND(OFFSET(환산공식!DK$15,$F560,0),1),"%"),"")</f>
        <v>100%</v>
      </c>
      <c r="O560" s="20">
        <f ca="1">IFERROR(OFFSET(환산공식!DL$15,$F560,0),"")</f>
        <v>0</v>
      </c>
      <c r="P560" s="188" t="str">
        <f t="shared" ca="1" si="17"/>
        <v>3% 이하</v>
      </c>
      <c r="Q560" s="194">
        <f ca="1">IFERROR(ROUND(OFFSET(환산공식!$FG$15,$F560,0),3),"")</f>
        <v>0</v>
      </c>
      <c r="R560" s="194">
        <f ca="1">OFFSET('배치점수 계산기'!H$10,$D560,0)</f>
        <v>804.82799999999997</v>
      </c>
      <c r="S560" s="194">
        <f ca="1">OFFSET('배치점수 계산기'!I$10,$D560,0)</f>
        <v>802.70100000000002</v>
      </c>
      <c r="T560" s="194">
        <f ca="1">OFFSET('배치점수 계산기'!J$10,$D560,0)</f>
        <v>799.221</v>
      </c>
      <c r="U560" s="194">
        <f ca="1">OFFSET('배치점수 계산기'!K$10,$D560,0)</f>
        <v>795.65200000000004</v>
      </c>
      <c r="V560" s="194">
        <f ca="1">OFFSET('배치점수 계산기'!L$10,$D560,0)</f>
        <v>792.49699999999996</v>
      </c>
      <c r="W560" s="186" t="str">
        <f ca="1">OFFSET('배치점수 계산기'!M$10,$D560,0)</f>
        <v>표점/만점</v>
      </c>
      <c r="X560" s="184" t="str">
        <f ca="1">OFFSET('배치점수 계산기'!N$10,$D560,0)</f>
        <v>변표/만점</v>
      </c>
      <c r="Y560" s="188">
        <f ca="1">OFFSET(환산공식!FW$15,$F560,0)</f>
        <v>0.25</v>
      </c>
      <c r="Z560" s="20">
        <f ca="1">OFFSET(환산공식!FX$15,$F560,0)</f>
        <v>0.44</v>
      </c>
      <c r="AA560" s="179">
        <f ca="1">OFFSET(환산공식!FY$15,$F560,0)</f>
        <v>0.31</v>
      </c>
      <c r="AB560" s="3"/>
      <c r="AD560">
        <f t="shared" ca="1" si="18"/>
        <v>6</v>
      </c>
      <c r="AF560" s="3"/>
      <c r="AG560" s="3"/>
      <c r="AH560" s="3"/>
    </row>
    <row r="561" spans="1:34">
      <c r="A561" s="198"/>
      <c r="B561" s="198"/>
      <c r="C561" s="198" t="s">
        <v>1122</v>
      </c>
      <c r="D561" s="195">
        <v>614</v>
      </c>
      <c r="E561" s="195">
        <v>138</v>
      </c>
      <c r="F561" s="195">
        <v>138</v>
      </c>
      <c r="G561" s="239">
        <v>554</v>
      </c>
      <c r="H561" s="197" t="s">
        <v>72</v>
      </c>
      <c r="I561" s="242" t="s">
        <v>494</v>
      </c>
      <c r="J561" s="242" t="s">
        <v>13221</v>
      </c>
      <c r="K561" s="195" t="s">
        <v>71</v>
      </c>
      <c r="L561" s="20" t="str">
        <f ca="1">IF(OFFSET(환산공식!$ED$15,$F561,0)=1,"O","X")</f>
        <v>X</v>
      </c>
      <c r="M561" s="188">
        <f ca="1">IFERROR(OFFSET(환산공식!DJ$15,$F561,0),"")</f>
        <v>200</v>
      </c>
      <c r="N561" s="20" t="str">
        <f ca="1">IFERROR(CONCATENATE(ROUND(OFFSET(환산공식!DK$15,$F561,0),1),"%"),"")</f>
        <v>100%</v>
      </c>
      <c r="O561" s="20">
        <f ca="1">IFERROR(OFFSET(환산공식!DL$15,$F561,0),"")</f>
        <v>0</v>
      </c>
      <c r="P561" s="188" t="str">
        <f t="shared" ca="1" si="17"/>
        <v>3% 이하</v>
      </c>
      <c r="Q561" s="194">
        <f ca="1">IFERROR(ROUND(OFFSET(환산공식!$FG$15,$F561,0),3),"")</f>
        <v>0</v>
      </c>
      <c r="R561" s="194">
        <f ca="1">OFFSET('배치점수 계산기'!H$10,$D561,0)</f>
        <v>829.96299999999997</v>
      </c>
      <c r="S561" s="194">
        <f ca="1">OFFSET('배치점수 계산기'!I$10,$D561,0)</f>
        <v>827.55899999999997</v>
      </c>
      <c r="T561" s="194">
        <f ca="1">OFFSET('배치점수 계산기'!J$10,$D561,0)</f>
        <v>822.51300000000003</v>
      </c>
      <c r="U561" s="194">
        <f ca="1">OFFSET('배치점수 계산기'!K$10,$D561,0)</f>
        <v>818.41700000000003</v>
      </c>
      <c r="V561" s="194">
        <f ca="1">OFFSET('배치점수 계산기'!L$10,$D561,0)</f>
        <v>816.20600000000002</v>
      </c>
      <c r="W561" s="186" t="str">
        <f ca="1">OFFSET('배치점수 계산기'!M$10,$D561,0)</f>
        <v>표점/만점</v>
      </c>
      <c r="X561" s="184" t="str">
        <f ca="1">OFFSET('배치점수 계산기'!N$10,$D561,0)</f>
        <v>변표/만점</v>
      </c>
      <c r="Y561" s="188">
        <f ca="1">OFFSET(환산공식!FW$15,$F561,0)</f>
        <v>0.38</v>
      </c>
      <c r="Z561" s="20">
        <f ca="1">OFFSET(환산공식!FX$15,$F561,0)</f>
        <v>0.37</v>
      </c>
      <c r="AA561" s="179">
        <f ca="1">OFFSET(환산공식!FY$15,$F561,0)</f>
        <v>0.25</v>
      </c>
      <c r="AB561" s="3"/>
      <c r="AD561">
        <f t="shared" ca="1" si="18"/>
        <v>6</v>
      </c>
      <c r="AF561" s="3"/>
      <c r="AG561" s="3"/>
      <c r="AH561" s="3"/>
    </row>
    <row r="562" spans="1:34">
      <c r="A562" s="198"/>
      <c r="B562" s="198"/>
      <c r="C562" s="198" t="s">
        <v>1123</v>
      </c>
      <c r="D562" s="195">
        <v>615</v>
      </c>
      <c r="E562" s="195">
        <v>138</v>
      </c>
      <c r="F562" s="195">
        <v>138</v>
      </c>
      <c r="G562" s="239">
        <v>555</v>
      </c>
      <c r="H562" s="197" t="s">
        <v>72</v>
      </c>
      <c r="I562" s="242" t="s">
        <v>494</v>
      </c>
      <c r="J562" s="242" t="s">
        <v>495</v>
      </c>
      <c r="K562" s="195" t="s">
        <v>71</v>
      </c>
      <c r="L562" s="20" t="str">
        <f ca="1">IF(OFFSET(환산공식!$ED$15,$F562,0)=1,"O","X")</f>
        <v>X</v>
      </c>
      <c r="M562" s="188">
        <f ca="1">IFERROR(OFFSET(환산공식!DJ$15,$F562,0),"")</f>
        <v>200</v>
      </c>
      <c r="N562" s="20" t="str">
        <f ca="1">IFERROR(CONCATENATE(ROUND(OFFSET(환산공식!DK$15,$F562,0),1),"%"),"")</f>
        <v>100%</v>
      </c>
      <c r="O562" s="20">
        <f ca="1">IFERROR(OFFSET(환산공식!DL$15,$F562,0),"")</f>
        <v>0</v>
      </c>
      <c r="P562" s="188" t="str">
        <f t="shared" ca="1" si="17"/>
        <v>3% 이하</v>
      </c>
      <c r="Q562" s="194">
        <f ca="1">IFERROR(ROUND(OFFSET(환산공식!$FG$15,$F562,0),3),"")</f>
        <v>0</v>
      </c>
      <c r="R562" s="194">
        <f ca="1">OFFSET('배치점수 계산기'!H$10,$D562,0)</f>
        <v>825.97</v>
      </c>
      <c r="S562" s="194">
        <f ca="1">OFFSET('배치점수 계산기'!I$10,$D562,0)</f>
        <v>822.58699999999999</v>
      </c>
      <c r="T562" s="194">
        <f ca="1">OFFSET('배치점수 계산기'!J$10,$D562,0)</f>
        <v>818.76300000000003</v>
      </c>
      <c r="U562" s="194">
        <f ca="1">OFFSET('배치점수 계산기'!K$10,$D562,0)</f>
        <v>814.44100000000003</v>
      </c>
      <c r="V562" s="194">
        <f ca="1">OFFSET('배치점수 계산기'!L$10,$D562,0)</f>
        <v>811.64700000000005</v>
      </c>
      <c r="W562" s="186" t="str">
        <f ca="1">OFFSET('배치점수 계산기'!M$10,$D562,0)</f>
        <v>표점/만점</v>
      </c>
      <c r="X562" s="184" t="str">
        <f ca="1">OFFSET('배치점수 계산기'!N$10,$D562,0)</f>
        <v>변표/만점</v>
      </c>
      <c r="Y562" s="188">
        <f ca="1">OFFSET(환산공식!FW$15,$F562,0)</f>
        <v>0.38</v>
      </c>
      <c r="Z562" s="20">
        <f ca="1">OFFSET(환산공식!FX$15,$F562,0)</f>
        <v>0.37</v>
      </c>
      <c r="AA562" s="179">
        <f ca="1">OFFSET(환산공식!FY$15,$F562,0)</f>
        <v>0.25</v>
      </c>
      <c r="AB562" s="3"/>
      <c r="AD562">
        <f t="shared" ca="1" si="18"/>
        <v>6</v>
      </c>
      <c r="AF562" s="3"/>
      <c r="AG562" s="3"/>
      <c r="AH562" s="3"/>
    </row>
    <row r="563" spans="1:34">
      <c r="A563" s="198"/>
      <c r="B563" s="198"/>
      <c r="C563" s="198" t="s">
        <v>1124</v>
      </c>
      <c r="D563" s="195">
        <v>616</v>
      </c>
      <c r="E563" s="195">
        <v>138</v>
      </c>
      <c r="F563" s="195">
        <v>138</v>
      </c>
      <c r="G563" s="239">
        <v>556</v>
      </c>
      <c r="H563" s="197" t="s">
        <v>72</v>
      </c>
      <c r="I563" s="242" t="s">
        <v>494</v>
      </c>
      <c r="J563" s="242" t="s">
        <v>13508</v>
      </c>
      <c r="K563" s="195" t="s">
        <v>71</v>
      </c>
      <c r="L563" s="20" t="str">
        <f ca="1">IF(OFFSET(환산공식!$ED$15,$F563,0)=1,"O","X")</f>
        <v>X</v>
      </c>
      <c r="M563" s="188">
        <f ca="1">IFERROR(OFFSET(환산공식!DJ$15,$F563,0),"")</f>
        <v>200</v>
      </c>
      <c r="N563" s="20" t="str">
        <f ca="1">IFERROR(CONCATENATE(ROUND(OFFSET(환산공식!DK$15,$F563,0),1),"%"),"")</f>
        <v>100%</v>
      </c>
      <c r="O563" s="20">
        <f ca="1">IFERROR(OFFSET(환산공식!DL$15,$F563,0),"")</f>
        <v>0</v>
      </c>
      <c r="P563" s="188" t="str">
        <f t="shared" ca="1" si="17"/>
        <v>3% 이하</v>
      </c>
      <c r="Q563" s="194">
        <f ca="1">IFERROR(ROUND(OFFSET(환산공식!$FG$15,$F563,0),3),"")</f>
        <v>0</v>
      </c>
      <c r="R563" s="194">
        <f ca="1">OFFSET('배치점수 계산기'!H$10,$D563,0)</f>
        <v>816.62599999999998</v>
      </c>
      <c r="S563" s="194">
        <f ca="1">OFFSET('배치점수 계산기'!I$10,$D563,0)</f>
        <v>813.65700000000004</v>
      </c>
      <c r="T563" s="194">
        <f ca="1">OFFSET('배치점수 계산기'!J$10,$D563,0)</f>
        <v>809.798</v>
      </c>
      <c r="U563" s="194">
        <f ca="1">OFFSET('배치점수 계산기'!K$10,$D563,0)</f>
        <v>806.33500000000004</v>
      </c>
      <c r="V563" s="194">
        <f ca="1">OFFSET('배치점수 계산기'!L$10,$D563,0)</f>
        <v>804.19799999999998</v>
      </c>
      <c r="W563" s="186" t="str">
        <f ca="1">OFFSET('배치점수 계산기'!M$10,$D563,0)</f>
        <v>표점/만점</v>
      </c>
      <c r="X563" s="184" t="str">
        <f ca="1">OFFSET('배치점수 계산기'!N$10,$D563,0)</f>
        <v>변표/만점</v>
      </c>
      <c r="Y563" s="188">
        <f ca="1">OFFSET(환산공식!FW$15,$F563,0)</f>
        <v>0.38</v>
      </c>
      <c r="Z563" s="20">
        <f ca="1">OFFSET(환산공식!FX$15,$F563,0)</f>
        <v>0.37</v>
      </c>
      <c r="AA563" s="179">
        <f ca="1">OFFSET(환산공식!FY$15,$F563,0)</f>
        <v>0.25</v>
      </c>
      <c r="AB563" s="3"/>
      <c r="AD563">
        <f t="shared" ca="1" si="18"/>
        <v>6</v>
      </c>
      <c r="AF563" s="3"/>
      <c r="AG563" s="3"/>
      <c r="AH563" s="3"/>
    </row>
    <row r="564" spans="1:34">
      <c r="A564" s="198"/>
      <c r="B564" s="198"/>
      <c r="C564" s="198" t="s">
        <v>1125</v>
      </c>
      <c r="D564" s="195">
        <v>617</v>
      </c>
      <c r="E564" s="195">
        <v>261</v>
      </c>
      <c r="F564" s="195">
        <v>261</v>
      </c>
      <c r="G564" s="239">
        <v>557</v>
      </c>
      <c r="H564" s="197" t="s">
        <v>72</v>
      </c>
      <c r="I564" s="242" t="s">
        <v>496</v>
      </c>
      <c r="J564" s="242" t="s">
        <v>10125</v>
      </c>
      <c r="K564" s="195" t="s">
        <v>70</v>
      </c>
      <c r="L564" s="20" t="str">
        <f ca="1">IF(OFFSET(환산공식!$ED$15,$F564,0)=1,"O","X")</f>
        <v>X</v>
      </c>
      <c r="M564" s="188">
        <f ca="1">IFERROR(OFFSET(환산공식!DJ$15,$F564,0),"")</f>
        <v>125</v>
      </c>
      <c r="N564" s="20" t="str">
        <f ca="1">IFERROR(CONCATENATE(ROUND(OFFSET(환산공식!DK$15,$F564,0),1),"%"),"")</f>
        <v>100%</v>
      </c>
      <c r="O564" s="20">
        <f ca="1">IFERROR(OFFSET(환산공식!DL$15,$F564,0),"")</f>
        <v>10</v>
      </c>
      <c r="P564" s="188" t="str">
        <f t="shared" ca="1" si="17"/>
        <v>3% 이하</v>
      </c>
      <c r="Q564" s="194">
        <f ca="1">IFERROR(ROUND(OFFSET(환산공식!$FG$15,$F564,0),3),"")</f>
        <v>0</v>
      </c>
      <c r="R564" s="194">
        <f ca="1">OFFSET('배치점수 계산기'!H$10,$D564,0)</f>
        <v>675.45799999999997</v>
      </c>
      <c r="S564" s="194">
        <f ca="1">OFFSET('배치점수 계산기'!I$10,$D564,0)</f>
        <v>672.70500000000004</v>
      </c>
      <c r="T564" s="194">
        <f ca="1">OFFSET('배치점수 계산기'!J$10,$D564,0)</f>
        <v>667.70299999999997</v>
      </c>
      <c r="U564" s="194">
        <f ca="1">OFFSET('배치점수 계산기'!K$10,$D564,0)</f>
        <v>662.495</v>
      </c>
      <c r="V564" s="194">
        <f ca="1">OFFSET('배치점수 계산기'!L$10,$D564,0)</f>
        <v>659.04300000000001</v>
      </c>
      <c r="W564" s="186" t="str">
        <f ca="1">OFFSET('배치점수 계산기'!M$10,$D564,0)</f>
        <v>표점</v>
      </c>
      <c r="X564" s="184" t="str">
        <f ca="1">OFFSET('배치점수 계산기'!N$10,$D564,0)</f>
        <v>변표</v>
      </c>
      <c r="Y564" s="188">
        <f ca="1">OFFSET(환산공식!FW$15,$F564,0)</f>
        <v>0.22</v>
      </c>
      <c r="Z564" s="20">
        <f ca="1">OFFSET(환산공식!FX$15,$F564,0)</f>
        <v>0.33</v>
      </c>
      <c r="AA564" s="179">
        <f ca="1">OFFSET(환산공식!FY$15,$F564,0)</f>
        <v>0.44</v>
      </c>
      <c r="AB564" s="3"/>
      <c r="AD564">
        <f t="shared" ca="1" si="18"/>
        <v>6</v>
      </c>
      <c r="AF564" s="3"/>
      <c r="AG564" s="3"/>
      <c r="AH564" s="3"/>
    </row>
    <row r="565" spans="1:34">
      <c r="A565" s="198"/>
      <c r="B565" s="198"/>
      <c r="C565" s="198" t="s">
        <v>1126</v>
      </c>
      <c r="D565" s="195">
        <v>618</v>
      </c>
      <c r="E565" s="195">
        <v>261</v>
      </c>
      <c r="F565" s="195">
        <v>261</v>
      </c>
      <c r="G565" s="239">
        <v>558</v>
      </c>
      <c r="H565" s="197" t="s">
        <v>72</v>
      </c>
      <c r="I565" s="242" t="s">
        <v>496</v>
      </c>
      <c r="J565" s="242" t="s">
        <v>10721</v>
      </c>
      <c r="K565" s="195" t="s">
        <v>70</v>
      </c>
      <c r="L565" s="20" t="str">
        <f ca="1">IF(OFFSET(환산공식!$ED$15,$F565,0)=1,"O","X")</f>
        <v>X</v>
      </c>
      <c r="M565" s="188">
        <f ca="1">IFERROR(OFFSET(환산공식!DJ$15,$F565,0),"")</f>
        <v>125</v>
      </c>
      <c r="N565" s="20" t="str">
        <f ca="1">IFERROR(CONCATENATE(ROUND(OFFSET(환산공식!DK$15,$F565,0),1),"%"),"")</f>
        <v>100%</v>
      </c>
      <c r="O565" s="20">
        <f ca="1">IFERROR(OFFSET(환산공식!DL$15,$F565,0),"")</f>
        <v>10</v>
      </c>
      <c r="P565" s="188" t="str">
        <f t="shared" ca="1" si="17"/>
        <v>3% 이하</v>
      </c>
      <c r="Q565" s="194">
        <f ca="1">IFERROR(ROUND(OFFSET(환산공식!$FG$15,$F565,0),3),"")</f>
        <v>0</v>
      </c>
      <c r="R565" s="194">
        <f ca="1">OFFSET('배치점수 계산기'!H$10,$D565,0)</f>
        <v>673.67</v>
      </c>
      <c r="S565" s="194">
        <f ca="1">OFFSET('배치점수 계산기'!I$10,$D565,0)</f>
        <v>670.11800000000005</v>
      </c>
      <c r="T565" s="194">
        <f ca="1">OFFSET('배치점수 계산기'!J$10,$D565,0)</f>
        <v>665.31500000000005</v>
      </c>
      <c r="U565" s="194">
        <f ca="1">OFFSET('배치점수 계산기'!K$10,$D565,0)</f>
        <v>660.51499999999999</v>
      </c>
      <c r="V565" s="194">
        <f ca="1">OFFSET('배치점수 계산기'!L$10,$D565,0)</f>
        <v>657.86900000000003</v>
      </c>
      <c r="W565" s="186" t="str">
        <f ca="1">OFFSET('배치점수 계산기'!M$10,$D565,0)</f>
        <v>표점</v>
      </c>
      <c r="X565" s="184" t="str">
        <f ca="1">OFFSET('배치점수 계산기'!N$10,$D565,0)</f>
        <v>변표</v>
      </c>
      <c r="Y565" s="188">
        <f ca="1">OFFSET(환산공식!FW$15,$F565,0)</f>
        <v>0.22</v>
      </c>
      <c r="Z565" s="20">
        <f ca="1">OFFSET(환산공식!FX$15,$F565,0)</f>
        <v>0.33</v>
      </c>
      <c r="AA565" s="179">
        <f ca="1">OFFSET(환산공식!FY$15,$F565,0)</f>
        <v>0.44</v>
      </c>
      <c r="AB565" s="3"/>
      <c r="AD565">
        <f t="shared" ca="1" si="18"/>
        <v>6</v>
      </c>
      <c r="AF565" s="3"/>
      <c r="AG565" s="3"/>
      <c r="AH565" s="3"/>
    </row>
    <row r="566" spans="1:34">
      <c r="A566" s="198"/>
      <c r="B566" s="198"/>
      <c r="C566" s="198" t="s">
        <v>1127</v>
      </c>
      <c r="D566" s="195">
        <v>619</v>
      </c>
      <c r="E566" s="195">
        <v>261</v>
      </c>
      <c r="F566" s="195">
        <v>261</v>
      </c>
      <c r="G566" s="239">
        <v>559</v>
      </c>
      <c r="H566" s="197" t="s">
        <v>72</v>
      </c>
      <c r="I566" s="242" t="s">
        <v>496</v>
      </c>
      <c r="J566" s="242" t="s">
        <v>12715</v>
      </c>
      <c r="K566" s="195" t="s">
        <v>70</v>
      </c>
      <c r="L566" s="20" t="str">
        <f ca="1">IF(OFFSET(환산공식!$ED$15,$F566,0)=1,"O","X")</f>
        <v>X</v>
      </c>
      <c r="M566" s="188">
        <f ca="1">IFERROR(OFFSET(환산공식!DJ$15,$F566,0),"")</f>
        <v>125</v>
      </c>
      <c r="N566" s="20" t="str">
        <f ca="1">IFERROR(CONCATENATE(ROUND(OFFSET(환산공식!DK$15,$F566,0),1),"%"),"")</f>
        <v>100%</v>
      </c>
      <c r="O566" s="20">
        <f ca="1">IFERROR(OFFSET(환산공식!DL$15,$F566,0),"")</f>
        <v>10</v>
      </c>
      <c r="P566" s="188" t="str">
        <f t="shared" ca="1" si="17"/>
        <v>3% 이하</v>
      </c>
      <c r="Q566" s="194">
        <f ca="1">IFERROR(ROUND(OFFSET(환산공식!$FG$15,$F566,0),3),"")</f>
        <v>0</v>
      </c>
      <c r="R566" s="194">
        <f ca="1">OFFSET('배치점수 계산기'!H$10,$D566,0)</f>
        <v>632.37300000000005</v>
      </c>
      <c r="S566" s="194">
        <f ca="1">OFFSET('배치점수 계산기'!I$10,$D566,0)</f>
        <v>630.59900000000005</v>
      </c>
      <c r="T566" s="194">
        <f ca="1">OFFSET('배치점수 계산기'!J$10,$D566,0)</f>
        <v>627.57299999999998</v>
      </c>
      <c r="U566" s="194">
        <f ca="1">OFFSET('배치점수 계산기'!K$10,$D566,0)</f>
        <v>624.23800000000006</v>
      </c>
      <c r="V566" s="194">
        <f ca="1">OFFSET('배치점수 계산기'!L$10,$D566,0)</f>
        <v>621.82299999999998</v>
      </c>
      <c r="W566" s="186" t="str">
        <f ca="1">OFFSET('배치점수 계산기'!M$10,$D566,0)</f>
        <v>표점</v>
      </c>
      <c r="X566" s="184" t="str">
        <f ca="1">OFFSET('배치점수 계산기'!N$10,$D566,0)</f>
        <v>변표</v>
      </c>
      <c r="Y566" s="188">
        <f ca="1">OFFSET(환산공식!FW$15,$F566,0)</f>
        <v>0.22</v>
      </c>
      <c r="Z566" s="20">
        <f ca="1">OFFSET(환산공식!FX$15,$F566,0)</f>
        <v>0.33</v>
      </c>
      <c r="AA566" s="179">
        <f ca="1">OFFSET(환산공식!FY$15,$F566,0)</f>
        <v>0.44</v>
      </c>
      <c r="AB566" s="3"/>
      <c r="AD566">
        <f t="shared" ca="1" si="18"/>
        <v>6</v>
      </c>
      <c r="AF566" s="3"/>
      <c r="AG566" s="3"/>
      <c r="AH566" s="3"/>
    </row>
    <row r="567" spans="1:34">
      <c r="A567" s="198"/>
      <c r="B567" s="198"/>
      <c r="C567" s="198" t="s">
        <v>1128</v>
      </c>
      <c r="D567" s="195">
        <v>620</v>
      </c>
      <c r="E567" s="195">
        <v>261</v>
      </c>
      <c r="F567" s="195">
        <v>261</v>
      </c>
      <c r="G567" s="239">
        <v>560</v>
      </c>
      <c r="H567" s="197" t="s">
        <v>72</v>
      </c>
      <c r="I567" s="242" t="s">
        <v>496</v>
      </c>
      <c r="J567" s="242" t="s">
        <v>9090</v>
      </c>
      <c r="K567" s="195" t="s">
        <v>70</v>
      </c>
      <c r="L567" s="20" t="str">
        <f ca="1">IF(OFFSET(환산공식!$ED$15,$F567,0)=1,"O","X")</f>
        <v>X</v>
      </c>
      <c r="M567" s="188">
        <f ca="1">IFERROR(OFFSET(환산공식!DJ$15,$F567,0),"")</f>
        <v>125</v>
      </c>
      <c r="N567" s="20" t="str">
        <f ca="1">IFERROR(CONCATENATE(ROUND(OFFSET(환산공식!DK$15,$F567,0),1),"%"),"")</f>
        <v>100%</v>
      </c>
      <c r="O567" s="20">
        <f ca="1">IFERROR(OFFSET(환산공식!DL$15,$F567,0),"")</f>
        <v>10</v>
      </c>
      <c r="P567" s="188" t="str">
        <f t="shared" ca="1" si="17"/>
        <v>3% 이하</v>
      </c>
      <c r="Q567" s="194">
        <f ca="1">IFERROR(ROUND(OFFSET(환산공식!$FG$15,$F567,0),3),"")</f>
        <v>0</v>
      </c>
      <c r="R567" s="194">
        <f ca="1">OFFSET('배치점수 계산기'!H$10,$D567,0)</f>
        <v>629.29999999999995</v>
      </c>
      <c r="S567" s="194">
        <f ca="1">OFFSET('배치점수 계산기'!I$10,$D567,0)</f>
        <v>627.57299999999998</v>
      </c>
      <c r="T567" s="194">
        <f ca="1">OFFSET('배치점수 계산기'!J$10,$D567,0)</f>
        <v>624.76499999999999</v>
      </c>
      <c r="U567" s="194">
        <f ca="1">OFFSET('배치점수 계산기'!K$10,$D567,0)</f>
        <v>621.63499999999999</v>
      </c>
      <c r="V567" s="194">
        <f ca="1">OFFSET('배치점수 계산기'!L$10,$D567,0)</f>
        <v>619.26900000000001</v>
      </c>
      <c r="W567" s="186" t="str">
        <f ca="1">OFFSET('배치점수 계산기'!M$10,$D567,0)</f>
        <v>표점</v>
      </c>
      <c r="X567" s="184" t="str">
        <f ca="1">OFFSET('배치점수 계산기'!N$10,$D567,0)</f>
        <v>변표</v>
      </c>
      <c r="Y567" s="188">
        <f ca="1">OFFSET(환산공식!FW$15,$F567,0)</f>
        <v>0.22</v>
      </c>
      <c r="Z567" s="20">
        <f ca="1">OFFSET(환산공식!FX$15,$F567,0)</f>
        <v>0.33</v>
      </c>
      <c r="AA567" s="179">
        <f ca="1">OFFSET(환산공식!FY$15,$F567,0)</f>
        <v>0.44</v>
      </c>
      <c r="AB567" s="3"/>
      <c r="AD567">
        <f t="shared" ca="1" si="18"/>
        <v>6</v>
      </c>
      <c r="AF567" s="3"/>
      <c r="AG567" s="3"/>
      <c r="AH567" s="3"/>
    </row>
    <row r="568" spans="1:34">
      <c r="A568" s="198"/>
      <c r="B568" s="198"/>
      <c r="C568" s="198" t="s">
        <v>1129</v>
      </c>
      <c r="D568" s="195">
        <v>621</v>
      </c>
      <c r="E568" s="195">
        <v>261</v>
      </c>
      <c r="F568" s="195">
        <v>261</v>
      </c>
      <c r="G568" s="239">
        <v>561</v>
      </c>
      <c r="H568" s="197" t="s">
        <v>72</v>
      </c>
      <c r="I568" s="242" t="s">
        <v>496</v>
      </c>
      <c r="J568" s="242" t="s">
        <v>13036</v>
      </c>
      <c r="K568" s="195" t="s">
        <v>70</v>
      </c>
      <c r="L568" s="20" t="str">
        <f ca="1">IF(OFFSET(환산공식!$ED$15,$F568,0)=1,"O","X")</f>
        <v>X</v>
      </c>
      <c r="M568" s="188">
        <f ca="1">IFERROR(OFFSET(환산공식!DJ$15,$F568,0),"")</f>
        <v>125</v>
      </c>
      <c r="N568" s="20" t="str">
        <f ca="1">IFERROR(CONCATENATE(ROUND(OFFSET(환산공식!DK$15,$F568,0),1),"%"),"")</f>
        <v>100%</v>
      </c>
      <c r="O568" s="20">
        <f ca="1">IFERROR(OFFSET(환산공식!DL$15,$F568,0),"")</f>
        <v>10</v>
      </c>
      <c r="P568" s="188" t="str">
        <f t="shared" ca="1" si="17"/>
        <v>3% 이하</v>
      </c>
      <c r="Q568" s="194">
        <f ca="1">IFERROR(ROUND(OFFSET(환산공식!$FG$15,$F568,0),3),"")</f>
        <v>0</v>
      </c>
      <c r="R568" s="194">
        <f ca="1">OFFSET('배치점수 계산기'!H$10,$D568,0)</f>
        <v>625.60299999999995</v>
      </c>
      <c r="S568" s="194">
        <f ca="1">OFFSET('배치점수 계산기'!I$10,$D568,0)</f>
        <v>623.52300000000002</v>
      </c>
      <c r="T568" s="194">
        <f ca="1">OFFSET('배치점수 계산기'!J$10,$D568,0)</f>
        <v>620.33500000000004</v>
      </c>
      <c r="U568" s="194">
        <f ca="1">OFFSET('배치점수 계산기'!K$10,$D568,0)</f>
        <v>617.01800000000003</v>
      </c>
      <c r="V568" s="194">
        <f ca="1">OFFSET('배치점수 계산기'!L$10,$D568,0)</f>
        <v>615.12</v>
      </c>
      <c r="W568" s="186" t="str">
        <f ca="1">OFFSET('배치점수 계산기'!M$10,$D568,0)</f>
        <v>표점</v>
      </c>
      <c r="X568" s="184" t="str">
        <f ca="1">OFFSET('배치점수 계산기'!N$10,$D568,0)</f>
        <v>변표</v>
      </c>
      <c r="Y568" s="188">
        <f ca="1">OFFSET(환산공식!FW$15,$F568,0)</f>
        <v>0.22</v>
      </c>
      <c r="Z568" s="20">
        <f ca="1">OFFSET(환산공식!FX$15,$F568,0)</f>
        <v>0.33</v>
      </c>
      <c r="AA568" s="179">
        <f ca="1">OFFSET(환산공식!FY$15,$F568,0)</f>
        <v>0.44</v>
      </c>
      <c r="AB568" s="3"/>
      <c r="AD568">
        <f t="shared" ca="1" si="18"/>
        <v>6</v>
      </c>
      <c r="AF568" s="3"/>
      <c r="AG568" s="3"/>
      <c r="AH568" s="3"/>
    </row>
    <row r="569" spans="1:34">
      <c r="A569" s="198"/>
      <c r="B569" s="198"/>
      <c r="C569" s="198" t="s">
        <v>1130</v>
      </c>
      <c r="D569" s="195">
        <v>622</v>
      </c>
      <c r="E569" s="195">
        <v>261</v>
      </c>
      <c r="F569" s="195">
        <v>261</v>
      </c>
      <c r="G569" s="239">
        <v>562</v>
      </c>
      <c r="H569" s="197" t="s">
        <v>72</v>
      </c>
      <c r="I569" s="242" t="s">
        <v>496</v>
      </c>
      <c r="J569" s="242" t="s">
        <v>8396</v>
      </c>
      <c r="K569" s="195" t="s">
        <v>70</v>
      </c>
      <c r="L569" s="20" t="str">
        <f ca="1">IF(OFFSET(환산공식!$ED$15,$F569,0)=1,"O","X")</f>
        <v>X</v>
      </c>
      <c r="M569" s="188">
        <f ca="1">IFERROR(OFFSET(환산공식!DJ$15,$F569,0),"")</f>
        <v>125</v>
      </c>
      <c r="N569" s="20" t="str">
        <f ca="1">IFERROR(CONCATENATE(ROUND(OFFSET(환산공식!DK$15,$F569,0),1),"%"),"")</f>
        <v>100%</v>
      </c>
      <c r="O569" s="20">
        <f ca="1">IFERROR(OFFSET(환산공식!DL$15,$F569,0),"")</f>
        <v>10</v>
      </c>
      <c r="P569" s="188" t="str">
        <f t="shared" ca="1" si="17"/>
        <v>3% 이하</v>
      </c>
      <c r="Q569" s="194">
        <f ca="1">IFERROR(ROUND(OFFSET(환산공식!$FG$15,$F569,0),3),"")</f>
        <v>0</v>
      </c>
      <c r="R569" s="194">
        <f ca="1">OFFSET('배치점수 계산기'!H$10,$D569,0)</f>
        <v>624.23800000000006</v>
      </c>
      <c r="S569" s="194">
        <f ca="1">OFFSET('배치점수 계산기'!I$10,$D569,0)</f>
        <v>621.82299999999998</v>
      </c>
      <c r="T569" s="194">
        <f ca="1">OFFSET('배치점수 계산기'!J$10,$D569,0)</f>
        <v>618.06799999999998</v>
      </c>
      <c r="U569" s="194">
        <f ca="1">OFFSET('배치점수 계산기'!K$10,$D569,0)</f>
        <v>614.48599999999999</v>
      </c>
      <c r="V569" s="194">
        <f ca="1">OFFSET('배치점수 계산기'!L$10,$D569,0)</f>
        <v>612.46799999999996</v>
      </c>
      <c r="W569" s="186" t="str">
        <f ca="1">OFFSET('배치점수 계산기'!M$10,$D569,0)</f>
        <v>표점</v>
      </c>
      <c r="X569" s="184" t="str">
        <f ca="1">OFFSET('배치점수 계산기'!N$10,$D569,0)</f>
        <v>변표</v>
      </c>
      <c r="Y569" s="188">
        <f ca="1">OFFSET(환산공식!FW$15,$F569,0)</f>
        <v>0.22</v>
      </c>
      <c r="Z569" s="20">
        <f ca="1">OFFSET(환산공식!FX$15,$F569,0)</f>
        <v>0.33</v>
      </c>
      <c r="AA569" s="179">
        <f ca="1">OFFSET(환산공식!FY$15,$F569,0)</f>
        <v>0.44</v>
      </c>
      <c r="AB569" s="3"/>
      <c r="AD569">
        <f t="shared" ca="1" si="18"/>
        <v>6</v>
      </c>
      <c r="AF569" s="3"/>
      <c r="AG569" s="3"/>
      <c r="AH569" s="3"/>
    </row>
    <row r="570" spans="1:34">
      <c r="A570" s="198"/>
      <c r="B570" s="198"/>
      <c r="C570" s="198" t="s">
        <v>1131</v>
      </c>
      <c r="D570" s="195">
        <v>623</v>
      </c>
      <c r="E570" s="195">
        <v>262</v>
      </c>
      <c r="F570" s="195">
        <v>262</v>
      </c>
      <c r="G570" s="239">
        <v>563</v>
      </c>
      <c r="H570" s="197" t="s">
        <v>72</v>
      </c>
      <c r="I570" s="242" t="s">
        <v>496</v>
      </c>
      <c r="J570" s="242" t="s">
        <v>8633</v>
      </c>
      <c r="K570" s="195" t="s">
        <v>71</v>
      </c>
      <c r="L570" s="20" t="str">
        <f ca="1">IF(OFFSET(환산공식!$ED$15,$F570,0)=1,"O","X")</f>
        <v>X</v>
      </c>
      <c r="M570" s="188">
        <f ca="1">IFERROR(OFFSET(환산공식!DJ$15,$F570,0),"")</f>
        <v>142.9</v>
      </c>
      <c r="N570" s="20" t="str">
        <f ca="1">IFERROR(CONCATENATE(ROUND(OFFSET(환산공식!DK$15,$F570,0),1),"%"),"")</f>
        <v>100%</v>
      </c>
      <c r="O570" s="20">
        <f ca="1">IFERROR(OFFSET(환산공식!DL$15,$F570,0),"")</f>
        <v>10</v>
      </c>
      <c r="P570" s="188" t="str">
        <f t="shared" ca="1" si="17"/>
        <v>3% 이하</v>
      </c>
      <c r="Q570" s="194">
        <f ca="1">IFERROR(ROUND(OFFSET(환산공식!$FG$15,$F570,0),3),"")</f>
        <v>0</v>
      </c>
      <c r="R570" s="194">
        <f ca="1">OFFSET('배치점수 계산기'!H$10,$D570,0)</f>
        <v>679.45100000000002</v>
      </c>
      <c r="S570" s="194">
        <f ca="1">OFFSET('배치점수 계산기'!I$10,$D570,0)</f>
        <v>676.298</v>
      </c>
      <c r="T570" s="194">
        <f ca="1">OFFSET('배치점수 계산기'!J$10,$D570,0)</f>
        <v>671.90899999999999</v>
      </c>
      <c r="U570" s="194">
        <f ca="1">OFFSET('배치점수 계산기'!K$10,$D570,0)</f>
        <v>667.33100000000002</v>
      </c>
      <c r="V570" s="194">
        <f ca="1">OFFSET('배치점수 계산기'!L$10,$D570,0)</f>
        <v>663.58900000000006</v>
      </c>
      <c r="W570" s="186" t="str">
        <f ca="1">OFFSET('배치점수 계산기'!M$10,$D570,0)</f>
        <v>표점</v>
      </c>
      <c r="X570" s="184" t="str">
        <f ca="1">OFFSET('배치점수 계산기'!N$10,$D570,0)</f>
        <v>변표</v>
      </c>
      <c r="Y570" s="188">
        <f ca="1">OFFSET(환산공식!FW$15,$F570,0)</f>
        <v>0.25</v>
      </c>
      <c r="Z570" s="20">
        <f ca="1">OFFSET(환산공식!FX$15,$F570,0)</f>
        <v>0.25</v>
      </c>
      <c r="AA570" s="179">
        <f ca="1">OFFSET(환산공식!FY$15,$F570,0)</f>
        <v>0.5</v>
      </c>
      <c r="AB570" s="3"/>
      <c r="AD570">
        <f t="shared" ca="1" si="18"/>
        <v>6</v>
      </c>
      <c r="AF570" s="3"/>
      <c r="AG570" s="3"/>
      <c r="AH570" s="3"/>
    </row>
    <row r="571" spans="1:34">
      <c r="A571" s="198"/>
      <c r="B571" s="198"/>
      <c r="C571" s="198" t="s">
        <v>1132</v>
      </c>
      <c r="D571" s="195">
        <v>624</v>
      </c>
      <c r="E571" s="195">
        <v>262</v>
      </c>
      <c r="F571" s="195">
        <v>262</v>
      </c>
      <c r="G571" s="239">
        <v>564</v>
      </c>
      <c r="H571" s="197" t="s">
        <v>72</v>
      </c>
      <c r="I571" s="242" t="s">
        <v>496</v>
      </c>
      <c r="J571" s="242" t="s">
        <v>10246</v>
      </c>
      <c r="K571" s="195" t="s">
        <v>71</v>
      </c>
      <c r="L571" s="20" t="str">
        <f ca="1">IF(OFFSET(환산공식!$ED$15,$F571,0)=1,"O","X")</f>
        <v>X</v>
      </c>
      <c r="M571" s="188">
        <f ca="1">IFERROR(OFFSET(환산공식!DJ$15,$F571,0),"")</f>
        <v>142.9</v>
      </c>
      <c r="N571" s="20" t="str">
        <f ca="1">IFERROR(CONCATENATE(ROUND(OFFSET(환산공식!DK$15,$F571,0),1),"%"),"")</f>
        <v>100%</v>
      </c>
      <c r="O571" s="20">
        <f ca="1">IFERROR(OFFSET(환산공식!DL$15,$F571,0),"")</f>
        <v>10</v>
      </c>
      <c r="P571" s="188" t="str">
        <f t="shared" ca="1" si="17"/>
        <v>3% 이하</v>
      </c>
      <c r="Q571" s="194">
        <f ca="1">IFERROR(ROUND(OFFSET(환산공식!$FG$15,$F571,0),3),"")</f>
        <v>0</v>
      </c>
      <c r="R571" s="194">
        <f ca="1">OFFSET('배치점수 계산기'!H$10,$D571,0)</f>
        <v>660.82299999999998</v>
      </c>
      <c r="S571" s="194">
        <f ca="1">OFFSET('배치점수 계산기'!I$10,$D571,0)</f>
        <v>658</v>
      </c>
      <c r="T571" s="194">
        <f ca="1">OFFSET('배치점수 계산기'!J$10,$D571,0)</f>
        <v>655.24300000000005</v>
      </c>
      <c r="U571" s="194">
        <f ca="1">OFFSET('배치점수 계산기'!K$10,$D571,0)</f>
        <v>651.99400000000003</v>
      </c>
      <c r="V571" s="194">
        <f ca="1">OFFSET('배치점수 계산기'!L$10,$D571,0)</f>
        <v>649.36500000000001</v>
      </c>
      <c r="W571" s="186" t="str">
        <f ca="1">OFFSET('배치점수 계산기'!M$10,$D571,0)</f>
        <v>표점</v>
      </c>
      <c r="X571" s="184" t="str">
        <f ca="1">OFFSET('배치점수 계산기'!N$10,$D571,0)</f>
        <v>변표</v>
      </c>
      <c r="Y571" s="188">
        <f ca="1">OFFSET(환산공식!FW$15,$F571,0)</f>
        <v>0.25</v>
      </c>
      <c r="Z571" s="20">
        <f ca="1">OFFSET(환산공식!FX$15,$F571,0)</f>
        <v>0.25</v>
      </c>
      <c r="AA571" s="179">
        <f ca="1">OFFSET(환산공식!FY$15,$F571,0)</f>
        <v>0.5</v>
      </c>
      <c r="AB571" s="3"/>
      <c r="AD571">
        <f t="shared" ca="1" si="18"/>
        <v>6</v>
      </c>
      <c r="AF571" s="3"/>
      <c r="AG571" s="3"/>
      <c r="AH571" s="3"/>
    </row>
    <row r="572" spans="1:34">
      <c r="A572" s="198"/>
      <c r="B572" s="198"/>
      <c r="C572" s="198" t="s">
        <v>1133</v>
      </c>
      <c r="D572" s="195">
        <v>625</v>
      </c>
      <c r="E572" s="195">
        <v>262</v>
      </c>
      <c r="F572" s="195">
        <v>262</v>
      </c>
      <c r="G572" s="239">
        <v>565</v>
      </c>
      <c r="H572" s="197" t="s">
        <v>72</v>
      </c>
      <c r="I572" s="242" t="s">
        <v>496</v>
      </c>
      <c r="J572" s="242" t="s">
        <v>540</v>
      </c>
      <c r="K572" s="195" t="s">
        <v>71</v>
      </c>
      <c r="L572" s="20" t="str">
        <f ca="1">IF(OFFSET(환산공식!$ED$15,$F572,0)=1,"O","X")</f>
        <v>X</v>
      </c>
      <c r="M572" s="188">
        <f ca="1">IFERROR(OFFSET(환산공식!DJ$15,$F572,0),"")</f>
        <v>142.9</v>
      </c>
      <c r="N572" s="20" t="str">
        <f ca="1">IFERROR(CONCATENATE(ROUND(OFFSET(환산공식!DK$15,$F572,0),1),"%"),"")</f>
        <v>100%</v>
      </c>
      <c r="O572" s="20">
        <f ca="1">IFERROR(OFFSET(환산공식!DL$15,$F572,0),"")</f>
        <v>10</v>
      </c>
      <c r="P572" s="188" t="str">
        <f t="shared" ca="1" si="17"/>
        <v>3% 이하</v>
      </c>
      <c r="Q572" s="194">
        <f ca="1">IFERROR(ROUND(OFFSET(환산공식!$FG$15,$F572,0),3),"")</f>
        <v>0</v>
      </c>
      <c r="R572" s="194">
        <f ca="1">OFFSET('배치점수 계산기'!H$10,$D572,0)</f>
        <v>644.73099999999999</v>
      </c>
      <c r="S572" s="194">
        <f ca="1">OFFSET('배치점수 계산기'!I$10,$D572,0)</f>
        <v>643.61099999999999</v>
      </c>
      <c r="T572" s="194">
        <f ca="1">OFFSET('배치점수 계산기'!J$10,$D572,0)</f>
        <v>641.79999999999995</v>
      </c>
      <c r="U572" s="194">
        <f ca="1">OFFSET('배치점수 계산기'!K$10,$D572,0)</f>
        <v>639.154</v>
      </c>
      <c r="V572" s="194">
        <f ca="1">OFFSET('배치점수 계산기'!L$10,$D572,0)</f>
        <v>636.56299999999999</v>
      </c>
      <c r="W572" s="186" t="str">
        <f ca="1">OFFSET('배치점수 계산기'!M$10,$D572,0)</f>
        <v>표점</v>
      </c>
      <c r="X572" s="184" t="str">
        <f ca="1">OFFSET('배치점수 계산기'!N$10,$D572,0)</f>
        <v>변표</v>
      </c>
      <c r="Y572" s="188">
        <f ca="1">OFFSET(환산공식!FW$15,$F572,0)</f>
        <v>0.25</v>
      </c>
      <c r="Z572" s="20">
        <f ca="1">OFFSET(환산공식!FX$15,$F572,0)</f>
        <v>0.25</v>
      </c>
      <c r="AA572" s="179">
        <f ca="1">OFFSET(환산공식!FY$15,$F572,0)</f>
        <v>0.5</v>
      </c>
      <c r="AB572" s="3"/>
      <c r="AD572">
        <f t="shared" ca="1" si="18"/>
        <v>6</v>
      </c>
      <c r="AF572" s="3"/>
      <c r="AG572" s="3"/>
      <c r="AH572" s="3"/>
    </row>
    <row r="573" spans="1:34">
      <c r="A573" s="198"/>
      <c r="B573" s="198"/>
      <c r="C573" s="198" t="s">
        <v>1134</v>
      </c>
      <c r="D573" s="195">
        <v>626</v>
      </c>
      <c r="E573" s="195">
        <v>262</v>
      </c>
      <c r="F573" s="195">
        <v>262</v>
      </c>
      <c r="G573" s="239">
        <v>566</v>
      </c>
      <c r="H573" s="197" t="s">
        <v>72</v>
      </c>
      <c r="I573" s="242" t="s">
        <v>496</v>
      </c>
      <c r="J573" s="242" t="s">
        <v>11776</v>
      </c>
      <c r="K573" s="195" t="s">
        <v>71</v>
      </c>
      <c r="L573" s="20" t="str">
        <f ca="1">IF(OFFSET(환산공식!$ED$15,$F573,0)=1,"O","X")</f>
        <v>X</v>
      </c>
      <c r="M573" s="188">
        <f ca="1">IFERROR(OFFSET(환산공식!DJ$15,$F573,0),"")</f>
        <v>142.9</v>
      </c>
      <c r="N573" s="20" t="str">
        <f ca="1">IFERROR(CONCATENATE(ROUND(OFFSET(환산공식!DK$15,$F573,0),1),"%"),"")</f>
        <v>100%</v>
      </c>
      <c r="O573" s="20">
        <f ca="1">IFERROR(OFFSET(환산공식!DL$15,$F573,0),"")</f>
        <v>10</v>
      </c>
      <c r="P573" s="188" t="str">
        <f t="shared" ca="1" si="17"/>
        <v>3% 이하</v>
      </c>
      <c r="Q573" s="194">
        <f ca="1">IFERROR(ROUND(OFFSET(환산공식!$FG$15,$F573,0),3),"")</f>
        <v>0</v>
      </c>
      <c r="R573" s="194">
        <f ca="1">OFFSET('배치점수 계산기'!H$10,$D573,0)</f>
        <v>646.78899999999999</v>
      </c>
      <c r="S573" s="194">
        <f ca="1">OFFSET('배치점수 계산기'!I$10,$D573,0)</f>
        <v>644.125</v>
      </c>
      <c r="T573" s="194">
        <f ca="1">OFFSET('배치점수 계산기'!J$10,$D573,0)</f>
        <v>640.65099999999995</v>
      </c>
      <c r="U573" s="194">
        <f ca="1">OFFSET('배치점수 계산기'!K$10,$D573,0)</f>
        <v>637.20000000000005</v>
      </c>
      <c r="V573" s="194">
        <f ca="1">OFFSET('배치점수 계산기'!L$10,$D573,0)</f>
        <v>635.40099999999995</v>
      </c>
      <c r="W573" s="186" t="str">
        <f ca="1">OFFSET('배치점수 계산기'!M$10,$D573,0)</f>
        <v>표점</v>
      </c>
      <c r="X573" s="184" t="str">
        <f ca="1">OFFSET('배치점수 계산기'!N$10,$D573,0)</f>
        <v>변표</v>
      </c>
      <c r="Y573" s="188">
        <f ca="1">OFFSET(환산공식!FW$15,$F573,0)</f>
        <v>0.25</v>
      </c>
      <c r="Z573" s="20">
        <f ca="1">OFFSET(환산공식!FX$15,$F573,0)</f>
        <v>0.25</v>
      </c>
      <c r="AA573" s="179">
        <f ca="1">OFFSET(환산공식!FY$15,$F573,0)</f>
        <v>0.5</v>
      </c>
      <c r="AB573" s="3"/>
      <c r="AD573">
        <f t="shared" ca="1" si="18"/>
        <v>6</v>
      </c>
      <c r="AF573" s="3"/>
      <c r="AG573" s="3"/>
      <c r="AH573" s="3"/>
    </row>
    <row r="574" spans="1:34">
      <c r="A574" s="198"/>
      <c r="B574" s="198"/>
      <c r="C574" s="198" t="s">
        <v>1135</v>
      </c>
      <c r="D574" s="195">
        <v>627</v>
      </c>
      <c r="E574" s="195">
        <v>262</v>
      </c>
      <c r="F574" s="195">
        <v>262</v>
      </c>
      <c r="G574" s="239">
        <v>567</v>
      </c>
      <c r="H574" s="197" t="s">
        <v>72</v>
      </c>
      <c r="I574" s="242" t="s">
        <v>496</v>
      </c>
      <c r="J574" s="242" t="s">
        <v>12421</v>
      </c>
      <c r="K574" s="195" t="s">
        <v>71</v>
      </c>
      <c r="L574" s="20" t="str">
        <f ca="1">IF(OFFSET(환산공식!$ED$15,$F574,0)=1,"O","X")</f>
        <v>X</v>
      </c>
      <c r="M574" s="188">
        <f ca="1">IFERROR(OFFSET(환산공식!DJ$15,$F574,0),"")</f>
        <v>142.9</v>
      </c>
      <c r="N574" s="20" t="str">
        <f ca="1">IFERROR(CONCATENATE(ROUND(OFFSET(환산공식!DK$15,$F574,0),1),"%"),"")</f>
        <v>100%</v>
      </c>
      <c r="O574" s="20">
        <f ca="1">IFERROR(OFFSET(환산공식!DL$15,$F574,0),"")</f>
        <v>10</v>
      </c>
      <c r="P574" s="188" t="str">
        <f t="shared" ca="1" si="17"/>
        <v>3% 이하</v>
      </c>
      <c r="Q574" s="194">
        <f ca="1">IFERROR(ROUND(OFFSET(환산공식!$FG$15,$F574,0),3),"")</f>
        <v>0</v>
      </c>
      <c r="R574" s="194">
        <f ca="1">OFFSET('배치점수 계산기'!H$10,$D574,0)</f>
        <v>641.51400000000001</v>
      </c>
      <c r="S574" s="194">
        <f ca="1">OFFSET('배치점수 계산기'!I$10,$D574,0)</f>
        <v>639.05799999999999</v>
      </c>
      <c r="T574" s="194">
        <f ca="1">OFFSET('배치점수 계산기'!J$10,$D574,0)</f>
        <v>635.25800000000004</v>
      </c>
      <c r="U574" s="194">
        <f ca="1">OFFSET('배치점수 계산기'!K$10,$D574,0)</f>
        <v>631.61099999999999</v>
      </c>
      <c r="V574" s="194">
        <f ca="1">OFFSET('배치점수 계산기'!L$10,$D574,0)</f>
        <v>629.44000000000005</v>
      </c>
      <c r="W574" s="186" t="str">
        <f ca="1">OFFSET('배치점수 계산기'!M$10,$D574,0)</f>
        <v>표점</v>
      </c>
      <c r="X574" s="184" t="str">
        <f ca="1">OFFSET('배치점수 계산기'!N$10,$D574,0)</f>
        <v>변표</v>
      </c>
      <c r="Y574" s="188">
        <f ca="1">OFFSET(환산공식!FW$15,$F574,0)</f>
        <v>0.25</v>
      </c>
      <c r="Z574" s="20">
        <f ca="1">OFFSET(환산공식!FX$15,$F574,0)</f>
        <v>0.25</v>
      </c>
      <c r="AA574" s="179">
        <f ca="1">OFFSET(환산공식!FY$15,$F574,0)</f>
        <v>0.5</v>
      </c>
      <c r="AB574" s="3"/>
      <c r="AD574">
        <f t="shared" ca="1" si="18"/>
        <v>6</v>
      </c>
      <c r="AF574" s="3"/>
      <c r="AG574" s="3"/>
      <c r="AH574" s="3"/>
    </row>
    <row r="575" spans="1:34">
      <c r="A575" s="198"/>
      <c r="B575" s="198"/>
      <c r="C575" s="198" t="s">
        <v>1136</v>
      </c>
      <c r="D575" s="195">
        <v>628</v>
      </c>
      <c r="E575" s="195">
        <v>187</v>
      </c>
      <c r="F575" s="195">
        <v>187</v>
      </c>
      <c r="G575" s="239">
        <v>568</v>
      </c>
      <c r="H575" s="197" t="s">
        <v>72</v>
      </c>
      <c r="I575" s="242" t="s">
        <v>197</v>
      </c>
      <c r="J575" s="242" t="s">
        <v>9754</v>
      </c>
      <c r="K575" s="195" t="s">
        <v>70</v>
      </c>
      <c r="L575" s="20" t="str">
        <f ca="1">IF(OFFSET(환산공식!$ED$15,$F575,0)=1,"O","X")</f>
        <v>X</v>
      </c>
      <c r="M575" s="188">
        <f ca="1">IFERROR(OFFSET(환산공식!DJ$15,$F575,0),"")</f>
        <v>100</v>
      </c>
      <c r="N575" s="20" t="str">
        <f ca="1">IFERROR(CONCATENATE(ROUND(OFFSET(환산공식!DK$15,$F575,0),1),"%"),"")</f>
        <v>100%</v>
      </c>
      <c r="O575" s="20">
        <f ca="1">IFERROR(OFFSET(환산공식!DL$15,$F575,0),"")</f>
        <v>1.5</v>
      </c>
      <c r="P575" s="188" t="str">
        <f t="shared" ca="1" si="17"/>
        <v>3% 이하</v>
      </c>
      <c r="Q575" s="194">
        <f ca="1">IFERROR(ROUND(OFFSET(환산공식!$FG$15,$F575,0),3),"")</f>
        <v>0</v>
      </c>
      <c r="R575" s="194">
        <f ca="1">OFFSET('배치점수 계산기'!H$10,$D575,0)</f>
        <v>401.36599999999999</v>
      </c>
      <c r="S575" s="194">
        <f ca="1">OFFSET('배치점수 계산기'!I$10,$D575,0)</f>
        <v>398.536</v>
      </c>
      <c r="T575" s="194">
        <f ca="1">OFFSET('배치점수 계산기'!J$10,$D575,0)</f>
        <v>392.55200000000002</v>
      </c>
      <c r="U575" s="194">
        <f ca="1">OFFSET('배치점수 계산기'!K$10,$D575,0)</f>
        <v>386.54599999999999</v>
      </c>
      <c r="V575" s="194">
        <f ca="1">OFFSET('배치점수 계산기'!L$10,$D575,0)</f>
        <v>378.42700000000002</v>
      </c>
      <c r="W575" s="186" t="str">
        <f ca="1">OFFSET('배치점수 계산기'!M$10,$D575,0)</f>
        <v>백분위</v>
      </c>
      <c r="X575" s="184" t="str">
        <f ca="1">OFFSET('배치점수 계산기'!N$10,$D575,0)</f>
        <v>백분위</v>
      </c>
      <c r="Y575" s="188">
        <f ca="1">OFFSET(환산공식!FW$15,$F575,0)</f>
        <v>0.25</v>
      </c>
      <c r="Z575" s="20">
        <f ca="1">OFFSET(환산공식!FX$15,$F575,0)</f>
        <v>0.38</v>
      </c>
      <c r="AA575" s="179">
        <f ca="1">OFFSET(환산공식!FY$15,$F575,0)</f>
        <v>0.38</v>
      </c>
      <c r="AB575" s="3"/>
      <c r="AD575">
        <f t="shared" ca="1" si="18"/>
        <v>6</v>
      </c>
      <c r="AF575" s="3"/>
      <c r="AG575" s="3"/>
      <c r="AH575" s="3"/>
    </row>
    <row r="576" spans="1:34">
      <c r="A576" s="198"/>
      <c r="B576" s="198"/>
      <c r="C576" s="198" t="s">
        <v>1137</v>
      </c>
      <c r="D576" s="195">
        <v>629</v>
      </c>
      <c r="E576" s="195">
        <v>187</v>
      </c>
      <c r="F576" s="195">
        <v>187</v>
      </c>
      <c r="G576" s="239">
        <v>569</v>
      </c>
      <c r="H576" s="197" t="s">
        <v>72</v>
      </c>
      <c r="I576" s="242" t="s">
        <v>197</v>
      </c>
      <c r="J576" s="242" t="s">
        <v>8323</v>
      </c>
      <c r="K576" s="195" t="s">
        <v>70</v>
      </c>
      <c r="L576" s="20" t="str">
        <f ca="1">IF(OFFSET(환산공식!$ED$15,$F576,0)=1,"O","X")</f>
        <v>X</v>
      </c>
      <c r="M576" s="188">
        <f ca="1">IFERROR(OFFSET(환산공식!DJ$15,$F576,0),"")</f>
        <v>100</v>
      </c>
      <c r="N576" s="20" t="str">
        <f ca="1">IFERROR(CONCATENATE(ROUND(OFFSET(환산공식!DK$15,$F576,0),1),"%"),"")</f>
        <v>100%</v>
      </c>
      <c r="O576" s="20">
        <f ca="1">IFERROR(OFFSET(환산공식!DL$15,$F576,0),"")</f>
        <v>1.5</v>
      </c>
      <c r="P576" s="188" t="str">
        <f t="shared" ca="1" si="17"/>
        <v>3% 이하</v>
      </c>
      <c r="Q576" s="194">
        <f ca="1">IFERROR(ROUND(OFFSET(환산공식!$FG$15,$F576,0),3),"")</f>
        <v>0</v>
      </c>
      <c r="R576" s="194">
        <f ca="1">OFFSET('배치점수 계산기'!H$10,$D576,0)</f>
        <v>390.29899999999998</v>
      </c>
      <c r="S576" s="194">
        <f ca="1">OFFSET('배치점수 계산기'!I$10,$D576,0)</f>
        <v>387.67099999999999</v>
      </c>
      <c r="T576" s="194">
        <f ca="1">OFFSET('배치점수 계산기'!J$10,$D576,0)</f>
        <v>381.36700000000002</v>
      </c>
      <c r="U576" s="194">
        <f ca="1">OFFSET('배치점수 계산기'!K$10,$D576,0)</f>
        <v>375.18200000000002</v>
      </c>
      <c r="V576" s="194">
        <f ca="1">OFFSET('배치점수 계산기'!L$10,$D576,0)</f>
        <v>368.38</v>
      </c>
      <c r="W576" s="186" t="str">
        <f ca="1">OFFSET('배치점수 계산기'!M$10,$D576,0)</f>
        <v>백분위</v>
      </c>
      <c r="X576" s="184" t="str">
        <f ca="1">OFFSET('배치점수 계산기'!N$10,$D576,0)</f>
        <v>백분위</v>
      </c>
      <c r="Y576" s="188">
        <f ca="1">OFFSET(환산공식!FW$15,$F576,0)</f>
        <v>0.25</v>
      </c>
      <c r="Z576" s="20">
        <f ca="1">OFFSET(환산공식!FX$15,$F576,0)</f>
        <v>0.38</v>
      </c>
      <c r="AA576" s="179">
        <f ca="1">OFFSET(환산공식!FY$15,$F576,0)</f>
        <v>0.38</v>
      </c>
      <c r="AB576" s="3"/>
      <c r="AD576">
        <f t="shared" ca="1" si="18"/>
        <v>6</v>
      </c>
      <c r="AF576" s="3"/>
      <c r="AG576" s="3"/>
      <c r="AH576" s="3"/>
    </row>
    <row r="577" spans="1:34">
      <c r="A577" s="198"/>
      <c r="B577" s="198"/>
      <c r="C577" s="198" t="s">
        <v>1138</v>
      </c>
      <c r="D577" s="195">
        <v>630</v>
      </c>
      <c r="E577" s="195">
        <v>187</v>
      </c>
      <c r="F577" s="195">
        <v>187</v>
      </c>
      <c r="G577" s="239">
        <v>570</v>
      </c>
      <c r="H577" s="197" t="s">
        <v>72</v>
      </c>
      <c r="I577" s="242" t="s">
        <v>197</v>
      </c>
      <c r="J577" s="242" t="s">
        <v>12993</v>
      </c>
      <c r="K577" s="195" t="s">
        <v>70</v>
      </c>
      <c r="L577" s="20" t="str">
        <f ca="1">IF(OFFSET(환산공식!$ED$15,$F577,0)=1,"O","X")</f>
        <v>X</v>
      </c>
      <c r="M577" s="188">
        <f ca="1">IFERROR(OFFSET(환산공식!DJ$15,$F577,0),"")</f>
        <v>100</v>
      </c>
      <c r="N577" s="20" t="str">
        <f ca="1">IFERROR(CONCATENATE(ROUND(OFFSET(환산공식!DK$15,$F577,0),1),"%"),"")</f>
        <v>100%</v>
      </c>
      <c r="O577" s="20">
        <f ca="1">IFERROR(OFFSET(환산공식!DL$15,$F577,0),"")</f>
        <v>1.5</v>
      </c>
      <c r="P577" s="188" t="str">
        <f t="shared" ca="1" si="17"/>
        <v>3% 이하</v>
      </c>
      <c r="Q577" s="194">
        <f ca="1">IFERROR(ROUND(OFFSET(환산공식!$FG$15,$F577,0),3),"")</f>
        <v>0</v>
      </c>
      <c r="R577" s="194">
        <f ca="1">OFFSET('배치점수 계산기'!H$10,$D577,0)</f>
        <v>385.45600000000002</v>
      </c>
      <c r="S577" s="194">
        <f ca="1">OFFSET('배치점수 계산기'!I$10,$D577,0)</f>
        <v>382.63900000000001</v>
      </c>
      <c r="T577" s="194">
        <f ca="1">OFFSET('배치점수 계산기'!J$10,$D577,0)</f>
        <v>376.49200000000002</v>
      </c>
      <c r="U577" s="194">
        <f ca="1">OFFSET('배치점수 계산기'!K$10,$D577,0)</f>
        <v>370.64600000000002</v>
      </c>
      <c r="V577" s="194">
        <f ca="1">OFFSET('배치점수 계산기'!L$10,$D577,0)</f>
        <v>364.39400000000001</v>
      </c>
      <c r="W577" s="186" t="str">
        <f ca="1">OFFSET('배치점수 계산기'!M$10,$D577,0)</f>
        <v>백분위</v>
      </c>
      <c r="X577" s="184" t="str">
        <f ca="1">OFFSET('배치점수 계산기'!N$10,$D577,0)</f>
        <v>백분위</v>
      </c>
      <c r="Y577" s="188">
        <f ca="1">OFFSET(환산공식!FW$15,$F577,0)</f>
        <v>0.25</v>
      </c>
      <c r="Z577" s="20">
        <f ca="1">OFFSET(환산공식!FX$15,$F577,0)</f>
        <v>0.38</v>
      </c>
      <c r="AA577" s="179">
        <f ca="1">OFFSET(환산공식!FY$15,$F577,0)</f>
        <v>0.38</v>
      </c>
      <c r="AB577" s="3"/>
      <c r="AD577">
        <f t="shared" ca="1" si="18"/>
        <v>6</v>
      </c>
      <c r="AF577" s="3"/>
      <c r="AG577" s="3"/>
      <c r="AH577" s="3"/>
    </row>
    <row r="578" spans="1:34">
      <c r="A578" s="198"/>
      <c r="B578" s="198"/>
      <c r="C578" s="198" t="s">
        <v>1139</v>
      </c>
      <c r="D578" s="195">
        <v>631</v>
      </c>
      <c r="E578" s="195">
        <v>186</v>
      </c>
      <c r="F578" s="195">
        <v>186</v>
      </c>
      <c r="G578" s="239">
        <v>571</v>
      </c>
      <c r="H578" s="197" t="s">
        <v>72</v>
      </c>
      <c r="I578" s="242" t="s">
        <v>197</v>
      </c>
      <c r="J578" s="242" t="s">
        <v>13082</v>
      </c>
      <c r="K578" s="195" t="s">
        <v>70</v>
      </c>
      <c r="L578" s="20" t="str">
        <f ca="1">IF(OFFSET(환산공식!$ED$15,$F578,0)=1,"O","X")</f>
        <v>X</v>
      </c>
      <c r="M578" s="188">
        <f ca="1">IFERROR(OFFSET(환산공식!DJ$15,$F578,0),"")</f>
        <v>100</v>
      </c>
      <c r="N578" s="20" t="str">
        <f ca="1">IFERROR(CONCATENATE(ROUND(OFFSET(환산공식!DK$15,$F578,0),1),"%"),"")</f>
        <v>100%</v>
      </c>
      <c r="O578" s="20">
        <f ca="1">IFERROR(OFFSET(환산공식!DL$15,$F578,0),"")</f>
        <v>1.5</v>
      </c>
      <c r="P578" s="188" t="str">
        <f t="shared" ca="1" si="17"/>
        <v>3% 이하</v>
      </c>
      <c r="Q578" s="194">
        <f ca="1">IFERROR(ROUND(OFFSET(환산공식!$FG$15,$F578,0),3),"")</f>
        <v>0</v>
      </c>
      <c r="R578" s="194">
        <f ca="1">OFFSET('배치점수 계산기'!H$10,$D578,0)</f>
        <v>393.24700000000001</v>
      </c>
      <c r="S578" s="194">
        <f ca="1">OFFSET('배치점수 계산기'!I$10,$D578,0)</f>
        <v>390.024</v>
      </c>
      <c r="T578" s="194">
        <f ca="1">OFFSET('배치점수 계산기'!J$10,$D578,0)</f>
        <v>383.66500000000002</v>
      </c>
      <c r="U578" s="194">
        <f ca="1">OFFSET('배치점수 계산기'!K$10,$D578,0)</f>
        <v>377.96100000000001</v>
      </c>
      <c r="V578" s="194">
        <f ca="1">OFFSET('배치점수 계산기'!L$10,$D578,0)</f>
        <v>371.65300000000002</v>
      </c>
      <c r="W578" s="186" t="str">
        <f ca="1">OFFSET('배치점수 계산기'!M$10,$D578,0)</f>
        <v>백분위</v>
      </c>
      <c r="X578" s="184" t="str">
        <f ca="1">OFFSET('배치점수 계산기'!N$10,$D578,0)</f>
        <v>백분위</v>
      </c>
      <c r="Y578" s="188">
        <f ca="1">OFFSET(환산공식!FW$15,$F578,0)</f>
        <v>0.25</v>
      </c>
      <c r="Z578" s="20">
        <f ca="1">OFFSET(환산공식!FX$15,$F578,0)</f>
        <v>0.38</v>
      </c>
      <c r="AA578" s="179">
        <f ca="1">OFFSET(환산공식!FY$15,$F578,0)</f>
        <v>0.38</v>
      </c>
      <c r="AB578" s="3"/>
      <c r="AD578">
        <f t="shared" ca="1" si="18"/>
        <v>6</v>
      </c>
      <c r="AF578" s="3"/>
      <c r="AG578" s="3"/>
      <c r="AH578" s="3"/>
    </row>
    <row r="579" spans="1:34">
      <c r="A579" s="198"/>
      <c r="B579" s="198"/>
      <c r="C579" s="198" t="s">
        <v>1140</v>
      </c>
      <c r="D579" s="195">
        <v>632</v>
      </c>
      <c r="E579" s="195">
        <v>187</v>
      </c>
      <c r="F579" s="195">
        <v>187</v>
      </c>
      <c r="G579" s="239">
        <v>572</v>
      </c>
      <c r="H579" s="197" t="s">
        <v>72</v>
      </c>
      <c r="I579" s="242" t="s">
        <v>197</v>
      </c>
      <c r="J579" s="242" t="s">
        <v>13059</v>
      </c>
      <c r="K579" s="195" t="s">
        <v>70</v>
      </c>
      <c r="L579" s="20" t="str">
        <f ca="1">IF(OFFSET(환산공식!$ED$15,$F579,0)=1,"O","X")</f>
        <v>X</v>
      </c>
      <c r="M579" s="188">
        <f ca="1">IFERROR(OFFSET(환산공식!DJ$15,$F579,0),"")</f>
        <v>100</v>
      </c>
      <c r="N579" s="20" t="str">
        <f ca="1">IFERROR(CONCATENATE(ROUND(OFFSET(환산공식!DK$15,$F579,0),1),"%"),"")</f>
        <v>100%</v>
      </c>
      <c r="O579" s="20">
        <f ca="1">IFERROR(OFFSET(환산공식!DL$15,$F579,0),"")</f>
        <v>1.5</v>
      </c>
      <c r="P579" s="188" t="str">
        <f t="shared" ca="1" si="17"/>
        <v>3% 이하</v>
      </c>
      <c r="Q579" s="194">
        <f ca="1">IFERROR(ROUND(OFFSET(환산공식!$FG$15,$F579,0),3),"")</f>
        <v>0</v>
      </c>
      <c r="R579" s="194">
        <f ca="1">OFFSET('배치점수 계산기'!H$10,$D579,0)</f>
        <v>383.58600000000001</v>
      </c>
      <c r="S579" s="194">
        <f ca="1">OFFSET('배치점수 계산기'!I$10,$D579,0)</f>
        <v>380.41699999999997</v>
      </c>
      <c r="T579" s="194">
        <f ca="1">OFFSET('배치점수 계산기'!J$10,$D579,0)</f>
        <v>374.178</v>
      </c>
      <c r="U579" s="194">
        <f ca="1">OFFSET('배치점수 계산기'!K$10,$D579,0)</f>
        <v>369.00099999999998</v>
      </c>
      <c r="V579" s="194">
        <f ca="1">OFFSET('배치점수 계산기'!L$10,$D579,0)</f>
        <v>363.11599999999999</v>
      </c>
      <c r="W579" s="186" t="str">
        <f ca="1">OFFSET('배치점수 계산기'!M$10,$D579,0)</f>
        <v>백분위</v>
      </c>
      <c r="X579" s="184" t="str">
        <f ca="1">OFFSET('배치점수 계산기'!N$10,$D579,0)</f>
        <v>백분위</v>
      </c>
      <c r="Y579" s="188">
        <f ca="1">OFFSET(환산공식!FW$15,$F579,0)</f>
        <v>0.25</v>
      </c>
      <c r="Z579" s="20">
        <f ca="1">OFFSET(환산공식!FX$15,$F579,0)</f>
        <v>0.38</v>
      </c>
      <c r="AA579" s="179">
        <f ca="1">OFFSET(환산공식!FY$15,$F579,0)</f>
        <v>0.38</v>
      </c>
      <c r="AB579" s="3"/>
      <c r="AD579">
        <f t="shared" ca="1" si="18"/>
        <v>6</v>
      </c>
      <c r="AF579" s="3"/>
      <c r="AG579" s="3"/>
      <c r="AH579" s="3"/>
    </row>
    <row r="580" spans="1:34">
      <c r="A580" s="198"/>
      <c r="B580" s="198"/>
      <c r="C580" s="198" t="s">
        <v>1141</v>
      </c>
      <c r="D580" s="195">
        <v>633</v>
      </c>
      <c r="E580" s="195">
        <v>187</v>
      </c>
      <c r="F580" s="195">
        <v>187</v>
      </c>
      <c r="G580" s="239">
        <v>573</v>
      </c>
      <c r="H580" s="197" t="s">
        <v>72</v>
      </c>
      <c r="I580" s="242" t="s">
        <v>197</v>
      </c>
      <c r="J580" s="242" t="s">
        <v>16627</v>
      </c>
      <c r="K580" s="195" t="s">
        <v>70</v>
      </c>
      <c r="L580" s="20" t="str">
        <f ca="1">IF(OFFSET(환산공식!$ED$15,$F580,0)=1,"O","X")</f>
        <v>X</v>
      </c>
      <c r="M580" s="188">
        <f ca="1">IFERROR(OFFSET(환산공식!DJ$15,$F580,0),"")</f>
        <v>100</v>
      </c>
      <c r="N580" s="20" t="str">
        <f ca="1">IFERROR(CONCATENATE(ROUND(OFFSET(환산공식!DK$15,$F580,0),1),"%"),"")</f>
        <v>100%</v>
      </c>
      <c r="O580" s="20">
        <f ca="1">IFERROR(OFFSET(환산공식!DL$15,$F580,0),"")</f>
        <v>1.5</v>
      </c>
      <c r="P580" s="188" t="str">
        <f t="shared" ca="1" si="17"/>
        <v>3% 이하</v>
      </c>
      <c r="Q580" s="194">
        <f ca="1">IFERROR(ROUND(OFFSET(환산공식!$FG$15,$F580,0),3),"")</f>
        <v>0</v>
      </c>
      <c r="R580" s="194">
        <f ca="1">OFFSET('배치점수 계산기'!H$10,$D580,0)</f>
        <v>382.63900000000001</v>
      </c>
      <c r="S580" s="194">
        <f ca="1">OFFSET('배치점수 계산기'!I$10,$D580,0)</f>
        <v>379.35199999999998</v>
      </c>
      <c r="T580" s="194">
        <f ca="1">OFFSET('배치점수 계산기'!J$10,$D580,0)</f>
        <v>373.572</v>
      </c>
      <c r="U580" s="194">
        <f ca="1">OFFSET('배치점수 계산기'!K$10,$D580,0)</f>
        <v>368.38</v>
      </c>
      <c r="V580" s="194">
        <f ca="1">OFFSET('배치점수 계산기'!L$10,$D580,0)</f>
        <v>362.07600000000002</v>
      </c>
      <c r="W580" s="186" t="str">
        <f ca="1">OFFSET('배치점수 계산기'!M$10,$D580,0)</f>
        <v>백분위</v>
      </c>
      <c r="X580" s="184" t="str">
        <f ca="1">OFFSET('배치점수 계산기'!N$10,$D580,0)</f>
        <v>백분위</v>
      </c>
      <c r="Y580" s="188">
        <f ca="1">OFFSET(환산공식!FW$15,$F580,0)</f>
        <v>0.25</v>
      </c>
      <c r="Z580" s="20">
        <f ca="1">OFFSET(환산공식!FX$15,$F580,0)</f>
        <v>0.38</v>
      </c>
      <c r="AA580" s="179">
        <f ca="1">OFFSET(환산공식!FY$15,$F580,0)</f>
        <v>0.38</v>
      </c>
      <c r="AB580" s="3"/>
      <c r="AD580">
        <f t="shared" ca="1" si="18"/>
        <v>6</v>
      </c>
      <c r="AF580" s="3"/>
      <c r="AG580" s="3"/>
      <c r="AH580" s="3"/>
    </row>
    <row r="581" spans="1:34">
      <c r="A581" s="198"/>
      <c r="B581" s="198"/>
      <c r="C581" s="198" t="s">
        <v>1142</v>
      </c>
      <c r="D581" s="195">
        <v>634</v>
      </c>
      <c r="E581" s="195">
        <v>187</v>
      </c>
      <c r="F581" s="195">
        <v>187</v>
      </c>
      <c r="G581" s="239">
        <v>574</v>
      </c>
      <c r="H581" s="197" t="s">
        <v>72</v>
      </c>
      <c r="I581" s="242" t="s">
        <v>197</v>
      </c>
      <c r="J581" s="242" t="s">
        <v>13141</v>
      </c>
      <c r="K581" s="195" t="s">
        <v>70</v>
      </c>
      <c r="L581" s="20" t="str">
        <f ca="1">IF(OFFSET(환산공식!$ED$15,$F581,0)=1,"O","X")</f>
        <v>X</v>
      </c>
      <c r="M581" s="188">
        <f ca="1">IFERROR(OFFSET(환산공식!DJ$15,$F581,0),"")</f>
        <v>100</v>
      </c>
      <c r="N581" s="20" t="str">
        <f ca="1">IFERROR(CONCATENATE(ROUND(OFFSET(환산공식!DK$15,$F581,0),1),"%"),"")</f>
        <v>100%</v>
      </c>
      <c r="O581" s="20">
        <f ca="1">IFERROR(OFFSET(환산공식!DL$15,$F581,0),"")</f>
        <v>1.5</v>
      </c>
      <c r="P581" s="188" t="str">
        <f t="shared" ca="1" si="17"/>
        <v>3% 이하</v>
      </c>
      <c r="Q581" s="194">
        <f ca="1">IFERROR(ROUND(OFFSET(환산공식!$FG$15,$F581,0),3),"")</f>
        <v>0</v>
      </c>
      <c r="R581" s="194">
        <f ca="1">OFFSET('배치점수 계산기'!H$10,$D581,0)</f>
        <v>381.36700000000002</v>
      </c>
      <c r="S581" s="194">
        <f ca="1">OFFSET('배치점수 계산기'!I$10,$D581,0)</f>
        <v>378.87599999999998</v>
      </c>
      <c r="T581" s="194">
        <f ca="1">OFFSET('배치점수 계산기'!J$10,$D581,0)</f>
        <v>372.99700000000001</v>
      </c>
      <c r="U581" s="194">
        <f ca="1">OFFSET('배치점수 계산기'!K$10,$D581,0)</f>
        <v>367.78</v>
      </c>
      <c r="V581" s="194">
        <f ca="1">OFFSET('배치점수 계산기'!L$10,$D581,0)</f>
        <v>361.61799999999999</v>
      </c>
      <c r="W581" s="186" t="str">
        <f ca="1">OFFSET('배치점수 계산기'!M$10,$D581,0)</f>
        <v>백분위</v>
      </c>
      <c r="X581" s="184" t="str">
        <f ca="1">OFFSET('배치점수 계산기'!N$10,$D581,0)</f>
        <v>백분위</v>
      </c>
      <c r="Y581" s="188">
        <f ca="1">OFFSET(환산공식!FW$15,$F581,0)</f>
        <v>0.25</v>
      </c>
      <c r="Z581" s="20">
        <f ca="1">OFFSET(환산공식!FX$15,$F581,0)</f>
        <v>0.38</v>
      </c>
      <c r="AA581" s="179">
        <f ca="1">OFFSET(환산공식!FY$15,$F581,0)</f>
        <v>0.38</v>
      </c>
      <c r="AB581" s="3"/>
      <c r="AD581">
        <f t="shared" ca="1" si="18"/>
        <v>6</v>
      </c>
      <c r="AF581" s="3"/>
      <c r="AG581" s="3"/>
      <c r="AH581" s="3"/>
    </row>
    <row r="582" spans="1:34">
      <c r="A582" s="198"/>
      <c r="B582" s="198"/>
      <c r="C582" s="198" t="s">
        <v>1143</v>
      </c>
      <c r="D582" s="195">
        <v>635</v>
      </c>
      <c r="E582" s="195">
        <v>187</v>
      </c>
      <c r="F582" s="195">
        <v>187</v>
      </c>
      <c r="G582" s="239">
        <v>575</v>
      </c>
      <c r="H582" s="197" t="s">
        <v>72</v>
      </c>
      <c r="I582" s="242" t="s">
        <v>197</v>
      </c>
      <c r="J582" s="242" t="s">
        <v>13154</v>
      </c>
      <c r="K582" s="195" t="s">
        <v>70</v>
      </c>
      <c r="L582" s="20" t="str">
        <f ca="1">IF(OFFSET(환산공식!$ED$15,$F582,0)=1,"O","X")</f>
        <v>X</v>
      </c>
      <c r="M582" s="188">
        <f ca="1">IFERROR(OFFSET(환산공식!DJ$15,$F582,0),"")</f>
        <v>100</v>
      </c>
      <c r="N582" s="20" t="str">
        <f ca="1">IFERROR(CONCATENATE(ROUND(OFFSET(환산공식!DK$15,$F582,0),1),"%"),"")</f>
        <v>100%</v>
      </c>
      <c r="O582" s="20">
        <f ca="1">IFERROR(OFFSET(환산공식!DL$15,$F582,0),"")</f>
        <v>1.5</v>
      </c>
      <c r="P582" s="188" t="str">
        <f t="shared" ca="1" si="17"/>
        <v>3% 이하</v>
      </c>
      <c r="Q582" s="194">
        <f ca="1">IFERROR(ROUND(OFFSET(환산공식!$FG$15,$F582,0),3),"")</f>
        <v>0</v>
      </c>
      <c r="R582" s="194">
        <f ca="1">OFFSET('배치점수 계산기'!H$10,$D582,0)</f>
        <v>381.12400000000002</v>
      </c>
      <c r="S582" s="194">
        <f ca="1">OFFSET('배치점수 계산기'!I$10,$D582,0)</f>
        <v>378.42700000000002</v>
      </c>
      <c r="T582" s="194">
        <f ca="1">OFFSET('배치점수 계산기'!J$10,$D582,0)</f>
        <v>372.65199999999999</v>
      </c>
      <c r="U582" s="194">
        <f ca="1">OFFSET('배치점수 계산기'!K$10,$D582,0)</f>
        <v>367.45499999999998</v>
      </c>
      <c r="V582" s="194">
        <f ca="1">OFFSET('배치점수 계산기'!L$10,$D582,0)</f>
        <v>361.02100000000002</v>
      </c>
      <c r="W582" s="186" t="str">
        <f ca="1">OFFSET('배치점수 계산기'!M$10,$D582,0)</f>
        <v>백분위</v>
      </c>
      <c r="X582" s="184" t="str">
        <f ca="1">OFFSET('배치점수 계산기'!N$10,$D582,0)</f>
        <v>백분위</v>
      </c>
      <c r="Y582" s="188">
        <f ca="1">OFFSET(환산공식!FW$15,$F582,0)</f>
        <v>0.25</v>
      </c>
      <c r="Z582" s="20">
        <f ca="1">OFFSET(환산공식!FX$15,$F582,0)</f>
        <v>0.38</v>
      </c>
      <c r="AA582" s="179">
        <f ca="1">OFFSET(환산공식!FY$15,$F582,0)</f>
        <v>0.38</v>
      </c>
      <c r="AB582" s="3"/>
      <c r="AD582">
        <f t="shared" ca="1" si="18"/>
        <v>6</v>
      </c>
      <c r="AF582" s="3"/>
      <c r="AG582" s="3"/>
      <c r="AH582" s="3"/>
    </row>
    <row r="583" spans="1:34">
      <c r="A583" s="198"/>
      <c r="B583" s="198"/>
      <c r="C583" s="198" t="s">
        <v>1144</v>
      </c>
      <c r="D583" s="195">
        <v>636</v>
      </c>
      <c r="E583" s="195">
        <v>186</v>
      </c>
      <c r="F583" s="195">
        <v>186</v>
      </c>
      <c r="G583" s="239">
        <v>576</v>
      </c>
      <c r="H583" s="197" t="s">
        <v>72</v>
      </c>
      <c r="I583" s="242" t="s">
        <v>197</v>
      </c>
      <c r="J583" s="242" t="s">
        <v>13206</v>
      </c>
      <c r="K583" s="195" t="s">
        <v>70</v>
      </c>
      <c r="L583" s="20" t="str">
        <f ca="1">IF(OFFSET(환산공식!$ED$15,$F583,0)=1,"O","X")</f>
        <v>X</v>
      </c>
      <c r="M583" s="188">
        <f ca="1">IFERROR(OFFSET(환산공식!DJ$15,$F583,0),"")</f>
        <v>100</v>
      </c>
      <c r="N583" s="20" t="str">
        <f ca="1">IFERROR(CONCATENATE(ROUND(OFFSET(환산공식!DK$15,$F583,0),1),"%"),"")</f>
        <v>100%</v>
      </c>
      <c r="O583" s="20">
        <f ca="1">IFERROR(OFFSET(환산공식!DL$15,$F583,0),"")</f>
        <v>1.5</v>
      </c>
      <c r="P583" s="188" t="str">
        <f t="shared" ca="1" si="17"/>
        <v>3% 이하</v>
      </c>
      <c r="Q583" s="194">
        <f ca="1">IFERROR(ROUND(OFFSET(환산공식!$FG$15,$F583,0),3),"")</f>
        <v>0</v>
      </c>
      <c r="R583" s="194">
        <f ca="1">OFFSET('배치점수 계산기'!H$10,$D583,0)</f>
        <v>389.327</v>
      </c>
      <c r="S583" s="194">
        <f ca="1">OFFSET('배치점수 계산기'!I$10,$D583,0)</f>
        <v>386.53199999999998</v>
      </c>
      <c r="T583" s="194">
        <f ca="1">OFFSET('배치점수 계산기'!J$10,$D583,0)</f>
        <v>380.42200000000003</v>
      </c>
      <c r="U583" s="194">
        <f ca="1">OFFSET('배치점수 계산기'!K$10,$D583,0)</f>
        <v>374.97800000000001</v>
      </c>
      <c r="V583" s="194">
        <f ca="1">OFFSET('배치점수 계산기'!L$10,$D583,0)</f>
        <v>368.87099999999998</v>
      </c>
      <c r="W583" s="186" t="str">
        <f ca="1">OFFSET('배치점수 계산기'!M$10,$D583,0)</f>
        <v>백분위</v>
      </c>
      <c r="X583" s="184" t="str">
        <f ca="1">OFFSET('배치점수 계산기'!N$10,$D583,0)</f>
        <v>백분위</v>
      </c>
      <c r="Y583" s="188">
        <f ca="1">OFFSET(환산공식!FW$15,$F583,0)</f>
        <v>0.25</v>
      </c>
      <c r="Z583" s="20">
        <f ca="1">OFFSET(환산공식!FX$15,$F583,0)</f>
        <v>0.38</v>
      </c>
      <c r="AA583" s="179">
        <f ca="1">OFFSET(환산공식!FY$15,$F583,0)</f>
        <v>0.38</v>
      </c>
      <c r="AB583" s="3"/>
      <c r="AD583">
        <f t="shared" ca="1" si="18"/>
        <v>6</v>
      </c>
      <c r="AF583" s="3"/>
      <c r="AG583" s="3"/>
      <c r="AH583" s="3"/>
    </row>
    <row r="584" spans="1:34">
      <c r="A584" s="198"/>
      <c r="B584" s="198"/>
      <c r="C584" s="198" t="s">
        <v>1145</v>
      </c>
      <c r="D584" s="195">
        <v>637</v>
      </c>
      <c r="E584" s="195">
        <v>187</v>
      </c>
      <c r="F584" s="195">
        <v>187</v>
      </c>
      <c r="G584" s="239">
        <v>577</v>
      </c>
      <c r="H584" s="197" t="s">
        <v>72</v>
      </c>
      <c r="I584" s="242" t="s">
        <v>197</v>
      </c>
      <c r="J584" s="242" t="s">
        <v>8744</v>
      </c>
      <c r="K584" s="195" t="s">
        <v>70</v>
      </c>
      <c r="L584" s="20" t="str">
        <f ca="1">IF(OFFSET(환산공식!$ED$15,$F584,0)=1,"O","X")</f>
        <v>X</v>
      </c>
      <c r="M584" s="188">
        <f ca="1">IFERROR(OFFSET(환산공식!DJ$15,$F584,0),"")</f>
        <v>100</v>
      </c>
      <c r="N584" s="20" t="str">
        <f ca="1">IFERROR(CONCATENATE(ROUND(OFFSET(환산공식!DK$15,$F584,0),1),"%"),"")</f>
        <v>100%</v>
      </c>
      <c r="O584" s="20">
        <f ca="1">IFERROR(OFFSET(환산공식!DL$15,$F584,0),"")</f>
        <v>1.5</v>
      </c>
      <c r="P584" s="188" t="str">
        <f t="shared" ca="1" si="17"/>
        <v>3% 이하</v>
      </c>
      <c r="Q584" s="194">
        <f ca="1">IFERROR(ROUND(OFFSET(환산공식!$FG$15,$F584,0),3),"")</f>
        <v>0</v>
      </c>
      <c r="R584" s="194">
        <f ca="1">OFFSET('배치점수 계산기'!H$10,$D584,0)</f>
        <v>380.20400000000001</v>
      </c>
      <c r="S584" s="194">
        <f ca="1">OFFSET('배치점수 계산기'!I$10,$D584,0)</f>
        <v>377.529</v>
      </c>
      <c r="T584" s="194">
        <f ca="1">OFFSET('배치점수 계산기'!J$10,$D584,0)</f>
        <v>371.63099999999997</v>
      </c>
      <c r="U584" s="194">
        <f ca="1">OFFSET('배치점수 계산기'!K$10,$D584,0)</f>
        <v>366.48200000000003</v>
      </c>
      <c r="V584" s="194">
        <f ca="1">OFFSET('배치점수 계산기'!L$10,$D584,0)</f>
        <v>360.226</v>
      </c>
      <c r="W584" s="186" t="str">
        <f ca="1">OFFSET('배치점수 계산기'!M$10,$D584,0)</f>
        <v>백분위</v>
      </c>
      <c r="X584" s="184" t="str">
        <f ca="1">OFFSET('배치점수 계산기'!N$10,$D584,0)</f>
        <v>백분위</v>
      </c>
      <c r="Y584" s="188">
        <f ca="1">OFFSET(환산공식!FW$15,$F584,0)</f>
        <v>0.25</v>
      </c>
      <c r="Z584" s="20">
        <f ca="1">OFFSET(환산공식!FX$15,$F584,0)</f>
        <v>0.38</v>
      </c>
      <c r="AA584" s="179">
        <f ca="1">OFFSET(환산공식!FY$15,$F584,0)</f>
        <v>0.38</v>
      </c>
      <c r="AB584" s="3"/>
      <c r="AD584">
        <f t="shared" ca="1" si="18"/>
        <v>6</v>
      </c>
      <c r="AF584" s="3"/>
      <c r="AG584" s="3"/>
      <c r="AH584" s="3"/>
    </row>
    <row r="585" spans="1:34">
      <c r="A585" s="198"/>
      <c r="B585" s="198"/>
      <c r="C585" s="198" t="s">
        <v>1146</v>
      </c>
      <c r="D585" s="195">
        <v>638</v>
      </c>
      <c r="E585" s="195">
        <v>187</v>
      </c>
      <c r="F585" s="195">
        <v>187</v>
      </c>
      <c r="G585" s="239">
        <v>578</v>
      </c>
      <c r="H585" s="197" t="s">
        <v>72</v>
      </c>
      <c r="I585" s="242" t="s">
        <v>197</v>
      </c>
      <c r="J585" s="242" t="s">
        <v>13211</v>
      </c>
      <c r="K585" s="195" t="s">
        <v>70</v>
      </c>
      <c r="L585" s="20" t="str">
        <f ca="1">IF(OFFSET(환산공식!$ED$15,$F585,0)=1,"O","X")</f>
        <v>X</v>
      </c>
      <c r="M585" s="188">
        <f ca="1">IFERROR(OFFSET(환산공식!DJ$15,$F585,0),"")</f>
        <v>100</v>
      </c>
      <c r="N585" s="20" t="str">
        <f ca="1">IFERROR(CONCATENATE(ROUND(OFFSET(환산공식!DK$15,$F585,0),1),"%"),"")</f>
        <v>100%</v>
      </c>
      <c r="O585" s="20">
        <f ca="1">IFERROR(OFFSET(환산공식!DL$15,$F585,0),"")</f>
        <v>1.5</v>
      </c>
      <c r="P585" s="188" t="str">
        <f t="shared" ref="P585:P648" ca="1" si="19"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>3% 이하</v>
      </c>
      <c r="Q585" s="194">
        <f ca="1">IFERROR(ROUND(OFFSET(환산공식!$FG$15,$F585,0),3),"")</f>
        <v>0</v>
      </c>
      <c r="R585" s="194">
        <f ca="1">OFFSET('배치점수 계산기'!H$10,$D585,0)</f>
        <v>379.27199999999999</v>
      </c>
      <c r="S585" s="194">
        <f ca="1">OFFSET('배치점수 계산기'!I$10,$D585,0)</f>
        <v>376.49200000000002</v>
      </c>
      <c r="T585" s="194">
        <f ca="1">OFFSET('배치점수 계산기'!J$10,$D585,0)</f>
        <v>371.05099999999999</v>
      </c>
      <c r="U585" s="194">
        <f ca="1">OFFSET('배치점수 계산기'!K$10,$D585,0)</f>
        <v>365.84</v>
      </c>
      <c r="V585" s="194">
        <f ca="1">OFFSET('배치점수 계산기'!L$10,$D585,0)</f>
        <v>359.471</v>
      </c>
      <c r="W585" s="186" t="str">
        <f ca="1">OFFSET('배치점수 계산기'!M$10,$D585,0)</f>
        <v>백분위</v>
      </c>
      <c r="X585" s="184" t="str">
        <f ca="1">OFFSET('배치점수 계산기'!N$10,$D585,0)</f>
        <v>백분위</v>
      </c>
      <c r="Y585" s="188">
        <f ca="1">OFFSET(환산공식!FW$15,$F585,0)</f>
        <v>0.25</v>
      </c>
      <c r="Z585" s="20">
        <f ca="1">OFFSET(환산공식!FX$15,$F585,0)</f>
        <v>0.38</v>
      </c>
      <c r="AA585" s="179">
        <f ca="1">OFFSET(환산공식!FY$15,$F585,0)</f>
        <v>0.38</v>
      </c>
      <c r="AB585" s="3"/>
      <c r="AD585">
        <f t="shared" ref="AD585:AD648" ca="1" si="20">IF(L585="X",6,IF(Q585&gt;R585,1,IF(Q585&gt;S585,2,IF(Q585&gt;T585,3,IF(Q585&gt;U585,4,IF(Q585&gt;=V585,5,IF(Q585&lt;V585,6,"")))))))</f>
        <v>6</v>
      </c>
      <c r="AF585" s="3"/>
      <c r="AG585" s="3"/>
      <c r="AH585" s="3"/>
    </row>
    <row r="586" spans="1:34">
      <c r="A586" s="198"/>
      <c r="B586" s="198"/>
      <c r="C586" s="198" t="s">
        <v>1147</v>
      </c>
      <c r="D586" s="195">
        <v>639</v>
      </c>
      <c r="E586" s="195">
        <v>186</v>
      </c>
      <c r="F586" s="195">
        <v>186</v>
      </c>
      <c r="G586" s="239">
        <v>579</v>
      </c>
      <c r="H586" s="197" t="s">
        <v>72</v>
      </c>
      <c r="I586" s="242" t="s">
        <v>197</v>
      </c>
      <c r="J586" s="242" t="s">
        <v>13292</v>
      </c>
      <c r="K586" s="195" t="s">
        <v>70</v>
      </c>
      <c r="L586" s="20" t="str">
        <f ca="1">IF(OFFSET(환산공식!$ED$15,$F586,0)=1,"O","X")</f>
        <v>X</v>
      </c>
      <c r="M586" s="188">
        <f ca="1">IFERROR(OFFSET(환산공식!DJ$15,$F586,0),"")</f>
        <v>100</v>
      </c>
      <c r="N586" s="20" t="str">
        <f ca="1">IFERROR(CONCATENATE(ROUND(OFFSET(환산공식!DK$15,$F586,0),1),"%"),"")</f>
        <v>100%</v>
      </c>
      <c r="O586" s="20">
        <f ca="1">IFERROR(OFFSET(환산공식!DL$15,$F586,0),"")</f>
        <v>1.5</v>
      </c>
      <c r="P586" s="188" t="str">
        <f t="shared" ca="1" si="19"/>
        <v>3% 이하</v>
      </c>
      <c r="Q586" s="194">
        <f ca="1">IFERROR(ROUND(OFFSET(환산공식!$FG$15,$F586,0),3),"")</f>
        <v>0</v>
      </c>
      <c r="R586" s="194">
        <f ca="1">OFFSET('배치점수 계산기'!H$10,$D586,0)</f>
        <v>385.26</v>
      </c>
      <c r="S586" s="194">
        <f ca="1">OFFSET('배치점수 계산기'!I$10,$D586,0)</f>
        <v>382.23500000000001</v>
      </c>
      <c r="T586" s="194">
        <f ca="1">OFFSET('배치점수 계산기'!J$10,$D586,0)</f>
        <v>376.87799999999999</v>
      </c>
      <c r="U586" s="194">
        <f ca="1">OFFSET('배치점수 계산기'!K$10,$D586,0)</f>
        <v>371.73899999999998</v>
      </c>
      <c r="V586" s="194">
        <f ca="1">OFFSET('배치점수 계산기'!L$10,$D586,0)</f>
        <v>365.26</v>
      </c>
      <c r="W586" s="186" t="str">
        <f ca="1">OFFSET('배치점수 계산기'!M$10,$D586,0)</f>
        <v>백분위</v>
      </c>
      <c r="X586" s="184" t="str">
        <f ca="1">OFFSET('배치점수 계산기'!N$10,$D586,0)</f>
        <v>백분위</v>
      </c>
      <c r="Y586" s="188">
        <f ca="1">OFFSET(환산공식!FW$15,$F586,0)</f>
        <v>0.25</v>
      </c>
      <c r="Z586" s="20">
        <f ca="1">OFFSET(환산공식!FX$15,$F586,0)</f>
        <v>0.38</v>
      </c>
      <c r="AA586" s="179">
        <f ca="1">OFFSET(환산공식!FY$15,$F586,0)</f>
        <v>0.38</v>
      </c>
      <c r="AB586" s="3"/>
      <c r="AD586">
        <f t="shared" ca="1" si="20"/>
        <v>6</v>
      </c>
      <c r="AF586" s="3"/>
      <c r="AG586" s="3"/>
      <c r="AH586" s="3"/>
    </row>
    <row r="587" spans="1:34">
      <c r="A587" s="198"/>
      <c r="B587" s="198"/>
      <c r="C587" s="198" t="s">
        <v>1148</v>
      </c>
      <c r="D587" s="195">
        <v>640</v>
      </c>
      <c r="E587" s="195">
        <v>187</v>
      </c>
      <c r="F587" s="195">
        <v>187</v>
      </c>
      <c r="G587" s="239">
        <v>580</v>
      </c>
      <c r="H587" s="197" t="s">
        <v>72</v>
      </c>
      <c r="I587" s="242" t="s">
        <v>197</v>
      </c>
      <c r="J587" s="242" t="s">
        <v>10030</v>
      </c>
      <c r="K587" s="195" t="s">
        <v>70</v>
      </c>
      <c r="L587" s="20" t="str">
        <f ca="1">IF(OFFSET(환산공식!$ED$15,$F587,0)=1,"O","X")</f>
        <v>X</v>
      </c>
      <c r="M587" s="188">
        <f ca="1">IFERROR(OFFSET(환산공식!DJ$15,$F587,0),"")</f>
        <v>100</v>
      </c>
      <c r="N587" s="20" t="str">
        <f ca="1">IFERROR(CONCATENATE(ROUND(OFFSET(환산공식!DK$15,$F587,0),1),"%"),"")</f>
        <v>100%</v>
      </c>
      <c r="O587" s="20">
        <f ca="1">IFERROR(OFFSET(환산공식!DL$15,$F587,0),"")</f>
        <v>1.5</v>
      </c>
      <c r="P587" s="188" t="str">
        <f t="shared" ca="1" si="19"/>
        <v>3% 이하</v>
      </c>
      <c r="Q587" s="194">
        <f ca="1">IFERROR(ROUND(OFFSET(환산공식!$FG$15,$F587,0),3),"")</f>
        <v>0</v>
      </c>
      <c r="R587" s="194">
        <f ca="1">OFFSET('배치점수 계산기'!H$10,$D587,0)</f>
        <v>376.49200000000002</v>
      </c>
      <c r="S587" s="194">
        <f ca="1">OFFSET('배치점수 계산기'!I$10,$D587,0)</f>
        <v>373.572</v>
      </c>
      <c r="T587" s="194">
        <f ca="1">OFFSET('배치점수 계산기'!J$10,$D587,0)</f>
        <v>368.43299999999999</v>
      </c>
      <c r="U587" s="194">
        <f ca="1">OFFSET('배치점수 계산기'!K$10,$D587,0)</f>
        <v>363.51900000000001</v>
      </c>
      <c r="V587" s="194">
        <f ca="1">OFFSET('배치점수 계산기'!L$10,$D587,0)</f>
        <v>357.28</v>
      </c>
      <c r="W587" s="186" t="str">
        <f ca="1">OFFSET('배치점수 계산기'!M$10,$D587,0)</f>
        <v>백분위</v>
      </c>
      <c r="X587" s="184" t="str">
        <f ca="1">OFFSET('배치점수 계산기'!N$10,$D587,0)</f>
        <v>백분위</v>
      </c>
      <c r="Y587" s="188">
        <f ca="1">OFFSET(환산공식!FW$15,$F587,0)</f>
        <v>0.25</v>
      </c>
      <c r="Z587" s="20">
        <f ca="1">OFFSET(환산공식!FX$15,$F587,0)</f>
        <v>0.38</v>
      </c>
      <c r="AA587" s="179">
        <f ca="1">OFFSET(환산공식!FY$15,$F587,0)</f>
        <v>0.38</v>
      </c>
      <c r="AB587" s="3"/>
      <c r="AD587">
        <f t="shared" ca="1" si="20"/>
        <v>6</v>
      </c>
      <c r="AF587" s="3"/>
      <c r="AG587" s="3"/>
      <c r="AH587" s="3"/>
    </row>
    <row r="588" spans="1:34">
      <c r="A588" s="198"/>
      <c r="B588" s="198"/>
      <c r="C588" s="198" t="s">
        <v>1149</v>
      </c>
      <c r="D588" s="195">
        <v>641</v>
      </c>
      <c r="E588" s="195">
        <v>187</v>
      </c>
      <c r="F588" s="195">
        <v>187</v>
      </c>
      <c r="G588" s="239">
        <v>581</v>
      </c>
      <c r="H588" s="197" t="s">
        <v>72</v>
      </c>
      <c r="I588" s="242" t="s">
        <v>197</v>
      </c>
      <c r="J588" s="242" t="s">
        <v>13367</v>
      </c>
      <c r="K588" s="195" t="s">
        <v>70</v>
      </c>
      <c r="L588" s="20" t="str">
        <f ca="1">IF(OFFSET(환산공식!$ED$15,$F588,0)=1,"O","X")</f>
        <v>X</v>
      </c>
      <c r="M588" s="188">
        <f ca="1">IFERROR(OFFSET(환산공식!DJ$15,$F588,0),"")</f>
        <v>100</v>
      </c>
      <c r="N588" s="20" t="str">
        <f ca="1">IFERROR(CONCATENATE(ROUND(OFFSET(환산공식!DK$15,$F588,0),1),"%"),"")</f>
        <v>100%</v>
      </c>
      <c r="O588" s="20">
        <f ca="1">IFERROR(OFFSET(환산공식!DL$15,$F588,0),"")</f>
        <v>1.5</v>
      </c>
      <c r="P588" s="188" t="str">
        <f t="shared" ca="1" si="19"/>
        <v>3% 이하</v>
      </c>
      <c r="Q588" s="194">
        <f ca="1">IFERROR(ROUND(OFFSET(환산공식!$FG$15,$F588,0),3),"")</f>
        <v>0</v>
      </c>
      <c r="R588" s="194">
        <f ca="1">OFFSET('배치점수 계산기'!H$10,$D588,0)</f>
        <v>371.084</v>
      </c>
      <c r="S588" s="194">
        <f ca="1">OFFSET('배치점수 계산기'!I$10,$D588,0)</f>
        <v>368.90100000000001</v>
      </c>
      <c r="T588" s="194">
        <f ca="1">OFFSET('배치점수 계산기'!J$10,$D588,0)</f>
        <v>364.39400000000001</v>
      </c>
      <c r="U588" s="194">
        <f ca="1">OFFSET('배치점수 계산기'!K$10,$D588,0)</f>
        <v>359.25799999999998</v>
      </c>
      <c r="V588" s="194">
        <f ca="1">OFFSET('배치점수 계산기'!L$10,$D588,0)</f>
        <v>352.40699999999998</v>
      </c>
      <c r="W588" s="186" t="str">
        <f ca="1">OFFSET('배치점수 계산기'!M$10,$D588,0)</f>
        <v>백분위</v>
      </c>
      <c r="X588" s="184" t="str">
        <f ca="1">OFFSET('배치점수 계산기'!N$10,$D588,0)</f>
        <v>백분위</v>
      </c>
      <c r="Y588" s="188">
        <f ca="1">OFFSET(환산공식!FW$15,$F588,0)</f>
        <v>0.25</v>
      </c>
      <c r="Z588" s="20">
        <f ca="1">OFFSET(환산공식!FX$15,$F588,0)</f>
        <v>0.38</v>
      </c>
      <c r="AA588" s="179">
        <f ca="1">OFFSET(환산공식!FY$15,$F588,0)</f>
        <v>0.38</v>
      </c>
      <c r="AB588" s="3"/>
      <c r="AD588">
        <f t="shared" ca="1" si="20"/>
        <v>6</v>
      </c>
      <c r="AF588" s="3"/>
      <c r="AG588" s="3"/>
      <c r="AH588" s="3"/>
    </row>
    <row r="589" spans="1:34">
      <c r="A589" s="198"/>
      <c r="B589" s="198"/>
      <c r="C589" s="198" t="s">
        <v>1150</v>
      </c>
      <c r="D589" s="195">
        <v>642</v>
      </c>
      <c r="E589" s="195">
        <v>185</v>
      </c>
      <c r="F589" s="195">
        <v>185</v>
      </c>
      <c r="G589" s="239">
        <v>582</v>
      </c>
      <c r="H589" s="197" t="s">
        <v>72</v>
      </c>
      <c r="I589" s="242" t="s">
        <v>197</v>
      </c>
      <c r="J589" s="242" t="s">
        <v>9141</v>
      </c>
      <c r="K589" s="195" t="s">
        <v>71</v>
      </c>
      <c r="L589" s="20" t="str">
        <f ca="1">IF(OFFSET(환산공식!$ED$15,$F589,0)=1,"O","X")</f>
        <v>X</v>
      </c>
      <c r="M589" s="188">
        <f ca="1">IFERROR(OFFSET(환산공식!DJ$15,$F589,0),"")</f>
        <v>150</v>
      </c>
      <c r="N589" s="20" t="str">
        <f ca="1">IFERROR(CONCATENATE(ROUND(OFFSET(환산공식!DK$15,$F589,0),1),"%"),"")</f>
        <v>100%</v>
      </c>
      <c r="O589" s="20">
        <f ca="1">IFERROR(OFFSET(환산공식!DL$15,$F589,0),"")</f>
        <v>1.5</v>
      </c>
      <c r="P589" s="188" t="str">
        <f t="shared" ca="1" si="19"/>
        <v>3% 이하</v>
      </c>
      <c r="Q589" s="194">
        <f ca="1">IFERROR(ROUND(OFFSET(환산공식!$FG$15,$F589,0),3),"")</f>
        <v>0</v>
      </c>
      <c r="R589" s="194">
        <f ca="1">OFFSET('배치점수 계산기'!H$10,$D589,0)</f>
        <v>418.476</v>
      </c>
      <c r="S589" s="194">
        <f ca="1">OFFSET('배치점수 계산기'!I$10,$D589,0)</f>
        <v>415.87400000000002</v>
      </c>
      <c r="T589" s="194">
        <f ca="1">OFFSET('배치점수 계산기'!J$10,$D589,0)</f>
        <v>410.976</v>
      </c>
      <c r="U589" s="194">
        <f ca="1">OFFSET('배치점수 계산기'!K$10,$D589,0)</f>
        <v>405.42099999999999</v>
      </c>
      <c r="V589" s="194">
        <f ca="1">OFFSET('배치점수 계산기'!L$10,$D589,0)</f>
        <v>398.67500000000001</v>
      </c>
      <c r="W589" s="186" t="str">
        <f ca="1">OFFSET('배치점수 계산기'!M$10,$D589,0)</f>
        <v>백분위</v>
      </c>
      <c r="X589" s="184" t="str">
        <f ca="1">OFFSET('배치점수 계산기'!N$10,$D589,0)</f>
        <v>백분위</v>
      </c>
      <c r="Y589" s="188">
        <f ca="1">OFFSET(환산공식!FW$15,$F589,0)</f>
        <v>0.43</v>
      </c>
      <c r="Z589" s="20">
        <f ca="1">OFFSET(환산공식!FX$15,$F589,0)</f>
        <v>0.28999999999999998</v>
      </c>
      <c r="AA589" s="179">
        <f ca="1">OFFSET(환산공식!FY$15,$F589,0)</f>
        <v>0.28999999999999998</v>
      </c>
      <c r="AB589" s="3"/>
      <c r="AD589">
        <f t="shared" ca="1" si="20"/>
        <v>6</v>
      </c>
      <c r="AF589" s="3"/>
      <c r="AG589" s="3"/>
      <c r="AH589" s="3"/>
    </row>
    <row r="590" spans="1:34">
      <c r="A590" s="198"/>
      <c r="B590" s="198"/>
      <c r="C590" s="198" t="s">
        <v>1151</v>
      </c>
      <c r="D590" s="195">
        <v>643</v>
      </c>
      <c r="E590" s="195">
        <v>185</v>
      </c>
      <c r="F590" s="195">
        <v>185</v>
      </c>
      <c r="G590" s="239">
        <v>583</v>
      </c>
      <c r="H590" s="197" t="s">
        <v>72</v>
      </c>
      <c r="I590" s="242" t="s">
        <v>197</v>
      </c>
      <c r="J590" s="242" t="s">
        <v>12632</v>
      </c>
      <c r="K590" s="195" t="s">
        <v>71</v>
      </c>
      <c r="L590" s="20" t="str">
        <f ca="1">IF(OFFSET(환산공식!$ED$15,$F590,0)=1,"O","X")</f>
        <v>X</v>
      </c>
      <c r="M590" s="188">
        <f ca="1">IFERROR(OFFSET(환산공식!DJ$15,$F590,0),"")</f>
        <v>150</v>
      </c>
      <c r="N590" s="20" t="str">
        <f ca="1">IFERROR(CONCATENATE(ROUND(OFFSET(환산공식!DK$15,$F590,0),1),"%"),"")</f>
        <v>100%</v>
      </c>
      <c r="O590" s="20">
        <f ca="1">IFERROR(OFFSET(환산공식!DL$15,$F590,0),"")</f>
        <v>1.5</v>
      </c>
      <c r="P590" s="188" t="str">
        <f t="shared" ca="1" si="19"/>
        <v>3% 이하</v>
      </c>
      <c r="Q590" s="194">
        <f ca="1">IFERROR(ROUND(OFFSET(환산공식!$FG$15,$F590,0),3),"")</f>
        <v>0</v>
      </c>
      <c r="R590" s="194">
        <f ca="1">OFFSET('배치점수 계산기'!H$10,$D590,0)</f>
        <v>405.57100000000003</v>
      </c>
      <c r="S590" s="194">
        <f ca="1">OFFSET('배치점수 계산기'!I$10,$D590,0)</f>
        <v>403.39400000000001</v>
      </c>
      <c r="T590" s="194">
        <f ca="1">OFFSET('배치점수 계산기'!J$10,$D590,0)</f>
        <v>398.32499999999999</v>
      </c>
      <c r="U590" s="194">
        <f ca="1">OFFSET('배치점수 계산기'!K$10,$D590,0)</f>
        <v>392.88400000000001</v>
      </c>
      <c r="V590" s="194">
        <f ca="1">OFFSET('배치점수 계산기'!L$10,$D590,0)</f>
        <v>387.02100000000002</v>
      </c>
      <c r="W590" s="186" t="str">
        <f ca="1">OFFSET('배치점수 계산기'!M$10,$D590,0)</f>
        <v>백분위</v>
      </c>
      <c r="X590" s="184" t="str">
        <f ca="1">OFFSET('배치점수 계산기'!N$10,$D590,0)</f>
        <v>백분위</v>
      </c>
      <c r="Y590" s="188">
        <f ca="1">OFFSET(환산공식!FW$15,$F590,0)</f>
        <v>0.43</v>
      </c>
      <c r="Z590" s="20">
        <f ca="1">OFFSET(환산공식!FX$15,$F590,0)</f>
        <v>0.28999999999999998</v>
      </c>
      <c r="AA590" s="179">
        <f ca="1">OFFSET(환산공식!FY$15,$F590,0)</f>
        <v>0.28999999999999998</v>
      </c>
      <c r="AB590" s="3"/>
      <c r="AD590">
        <f t="shared" ca="1" si="20"/>
        <v>6</v>
      </c>
      <c r="AF590" s="3"/>
      <c r="AG590" s="3"/>
      <c r="AH590" s="3"/>
    </row>
    <row r="591" spans="1:34">
      <c r="A591" s="198"/>
      <c r="B591" s="198"/>
      <c r="C591" s="198" t="s">
        <v>1152</v>
      </c>
      <c r="D591" s="195">
        <v>644</v>
      </c>
      <c r="E591" s="195">
        <v>185</v>
      </c>
      <c r="F591" s="195">
        <v>185</v>
      </c>
      <c r="G591" s="239">
        <v>584</v>
      </c>
      <c r="H591" s="197" t="s">
        <v>72</v>
      </c>
      <c r="I591" s="242" t="s">
        <v>197</v>
      </c>
      <c r="J591" s="242" t="s">
        <v>12762</v>
      </c>
      <c r="K591" s="195" t="s">
        <v>71</v>
      </c>
      <c r="L591" s="20" t="str">
        <f ca="1">IF(OFFSET(환산공식!$ED$15,$F591,0)=1,"O","X")</f>
        <v>X</v>
      </c>
      <c r="M591" s="188">
        <f ca="1">IFERROR(OFFSET(환산공식!DJ$15,$F591,0),"")</f>
        <v>150</v>
      </c>
      <c r="N591" s="20" t="str">
        <f ca="1">IFERROR(CONCATENATE(ROUND(OFFSET(환산공식!DK$15,$F591,0),1),"%"),"")</f>
        <v>100%</v>
      </c>
      <c r="O591" s="20">
        <f ca="1">IFERROR(OFFSET(환산공식!DL$15,$F591,0),"")</f>
        <v>1.5</v>
      </c>
      <c r="P591" s="188" t="str">
        <f t="shared" ca="1" si="19"/>
        <v>3% 이하</v>
      </c>
      <c r="Q591" s="194">
        <f ca="1">IFERROR(ROUND(OFFSET(환산공식!$FG$15,$F591,0),3),"")</f>
        <v>0</v>
      </c>
      <c r="R591" s="194">
        <f ca="1">OFFSET('배치점수 계산기'!H$10,$D591,0)</f>
        <v>401.86399999999998</v>
      </c>
      <c r="S591" s="194">
        <f ca="1">OFFSET('배치점수 계산기'!I$10,$D591,0)</f>
        <v>399.60500000000002</v>
      </c>
      <c r="T591" s="194">
        <f ca="1">OFFSET('배치점수 계산기'!J$10,$D591,0)</f>
        <v>394.39600000000002</v>
      </c>
      <c r="U591" s="194">
        <f ca="1">OFFSET('배치점수 계산기'!K$10,$D591,0)</f>
        <v>389.62</v>
      </c>
      <c r="V591" s="194">
        <f ca="1">OFFSET('배치점수 계산기'!L$10,$D591,0)</f>
        <v>383.17099999999999</v>
      </c>
      <c r="W591" s="186" t="str">
        <f ca="1">OFFSET('배치점수 계산기'!M$10,$D591,0)</f>
        <v>백분위</v>
      </c>
      <c r="X591" s="184" t="str">
        <f ca="1">OFFSET('배치점수 계산기'!N$10,$D591,0)</f>
        <v>백분위</v>
      </c>
      <c r="Y591" s="188">
        <f ca="1">OFFSET(환산공식!FW$15,$F591,0)</f>
        <v>0.43</v>
      </c>
      <c r="Z591" s="20">
        <f ca="1">OFFSET(환산공식!FX$15,$F591,0)</f>
        <v>0.28999999999999998</v>
      </c>
      <c r="AA591" s="179">
        <f ca="1">OFFSET(환산공식!FY$15,$F591,0)</f>
        <v>0.28999999999999998</v>
      </c>
      <c r="AB591" s="3"/>
      <c r="AD591">
        <f t="shared" ca="1" si="20"/>
        <v>6</v>
      </c>
      <c r="AF591" s="3"/>
      <c r="AG591" s="3"/>
      <c r="AH591" s="3"/>
    </row>
    <row r="592" spans="1:34">
      <c r="A592" s="198"/>
      <c r="B592" s="198"/>
      <c r="C592" s="198" t="s">
        <v>1153</v>
      </c>
      <c r="D592" s="195">
        <v>645</v>
      </c>
      <c r="E592" s="195">
        <v>185</v>
      </c>
      <c r="F592" s="195">
        <v>185</v>
      </c>
      <c r="G592" s="239">
        <v>585</v>
      </c>
      <c r="H592" s="197" t="s">
        <v>72</v>
      </c>
      <c r="I592" s="242" t="s">
        <v>197</v>
      </c>
      <c r="J592" s="242" t="s">
        <v>8726</v>
      </c>
      <c r="K592" s="195" t="s">
        <v>71</v>
      </c>
      <c r="L592" s="20" t="str">
        <f ca="1">IF(OFFSET(환산공식!$ED$15,$F592,0)=1,"O","X")</f>
        <v>X</v>
      </c>
      <c r="M592" s="188">
        <f ca="1">IFERROR(OFFSET(환산공식!DJ$15,$F592,0),"")</f>
        <v>150</v>
      </c>
      <c r="N592" s="20" t="str">
        <f ca="1">IFERROR(CONCATENATE(ROUND(OFFSET(환산공식!DK$15,$F592,0),1),"%"),"")</f>
        <v>100%</v>
      </c>
      <c r="O592" s="20">
        <f ca="1">IFERROR(OFFSET(환산공식!DL$15,$F592,0),"")</f>
        <v>1.5</v>
      </c>
      <c r="P592" s="188" t="str">
        <f t="shared" ca="1" si="19"/>
        <v>3% 이하</v>
      </c>
      <c r="Q592" s="194">
        <f ca="1">IFERROR(ROUND(OFFSET(환산공식!$FG$15,$F592,0),3),"")</f>
        <v>0</v>
      </c>
      <c r="R592" s="194">
        <f ca="1">OFFSET('배치점수 계산기'!H$10,$D592,0)</f>
        <v>401.13099999999997</v>
      </c>
      <c r="S592" s="194">
        <f ca="1">OFFSET('배치점수 계산기'!I$10,$D592,0)</f>
        <v>398.4</v>
      </c>
      <c r="T592" s="194">
        <f ca="1">OFFSET('배치점수 계산기'!J$10,$D592,0)</f>
        <v>393.56</v>
      </c>
      <c r="U592" s="194">
        <f ca="1">OFFSET('배치점수 계산기'!K$10,$D592,0)</f>
        <v>388.49400000000003</v>
      </c>
      <c r="V592" s="194">
        <f ca="1">OFFSET('배치점수 계산기'!L$10,$D592,0)</f>
        <v>382.50599999999997</v>
      </c>
      <c r="W592" s="186" t="str">
        <f ca="1">OFFSET('배치점수 계산기'!M$10,$D592,0)</f>
        <v>백분위</v>
      </c>
      <c r="X592" s="184" t="str">
        <f ca="1">OFFSET('배치점수 계산기'!N$10,$D592,0)</f>
        <v>백분위</v>
      </c>
      <c r="Y592" s="188">
        <f ca="1">OFFSET(환산공식!FW$15,$F592,0)</f>
        <v>0.43</v>
      </c>
      <c r="Z592" s="20">
        <f ca="1">OFFSET(환산공식!FX$15,$F592,0)</f>
        <v>0.28999999999999998</v>
      </c>
      <c r="AA592" s="179">
        <f ca="1">OFFSET(환산공식!FY$15,$F592,0)</f>
        <v>0.28999999999999998</v>
      </c>
      <c r="AB592" s="3"/>
      <c r="AD592">
        <f t="shared" ca="1" si="20"/>
        <v>6</v>
      </c>
      <c r="AF592" s="3"/>
      <c r="AG592" s="3"/>
      <c r="AH592" s="3"/>
    </row>
    <row r="593" spans="1:34">
      <c r="A593" s="198"/>
      <c r="B593" s="198"/>
      <c r="C593" s="198" t="s">
        <v>1154</v>
      </c>
      <c r="D593" s="195">
        <v>646</v>
      </c>
      <c r="E593" s="195">
        <v>185</v>
      </c>
      <c r="F593" s="195">
        <v>185</v>
      </c>
      <c r="G593" s="239">
        <v>586</v>
      </c>
      <c r="H593" s="197" t="s">
        <v>72</v>
      </c>
      <c r="I593" s="242" t="s">
        <v>197</v>
      </c>
      <c r="J593" s="242" t="s">
        <v>9652</v>
      </c>
      <c r="K593" s="195" t="s">
        <v>71</v>
      </c>
      <c r="L593" s="20" t="str">
        <f ca="1">IF(OFFSET(환산공식!$ED$15,$F593,0)=1,"O","X")</f>
        <v>X</v>
      </c>
      <c r="M593" s="188">
        <f ca="1">IFERROR(OFFSET(환산공식!DJ$15,$F593,0),"")</f>
        <v>150</v>
      </c>
      <c r="N593" s="20" t="str">
        <f ca="1">IFERROR(CONCATENATE(ROUND(OFFSET(환산공식!DK$15,$F593,0),1),"%"),"")</f>
        <v>100%</v>
      </c>
      <c r="O593" s="20">
        <f ca="1">IFERROR(OFFSET(환산공식!DL$15,$F593,0),"")</f>
        <v>1.5</v>
      </c>
      <c r="P593" s="188" t="str">
        <f t="shared" ca="1" si="19"/>
        <v>3% 이하</v>
      </c>
      <c r="Q593" s="194">
        <f ca="1">IFERROR(ROUND(OFFSET(환산공식!$FG$15,$F593,0),3),"")</f>
        <v>0</v>
      </c>
      <c r="R593" s="194">
        <f ca="1">OFFSET('배치점수 계산기'!H$10,$D593,0)</f>
        <v>400.33</v>
      </c>
      <c r="S593" s="194">
        <f ca="1">OFFSET('배치점수 계산기'!I$10,$D593,0)</f>
        <v>397.66399999999999</v>
      </c>
      <c r="T593" s="194">
        <f ca="1">OFFSET('배치점수 계산기'!J$10,$D593,0)</f>
        <v>392.78399999999999</v>
      </c>
      <c r="U593" s="194">
        <f ca="1">OFFSET('배치점수 계산기'!K$10,$D593,0)</f>
        <v>387.99400000000003</v>
      </c>
      <c r="V593" s="194">
        <f ca="1">OFFSET('배치점수 계산기'!L$10,$D593,0)</f>
        <v>381.97</v>
      </c>
      <c r="W593" s="186" t="str">
        <f ca="1">OFFSET('배치점수 계산기'!M$10,$D593,0)</f>
        <v>백분위</v>
      </c>
      <c r="X593" s="184" t="str">
        <f ca="1">OFFSET('배치점수 계산기'!N$10,$D593,0)</f>
        <v>백분위</v>
      </c>
      <c r="Y593" s="188">
        <f ca="1">OFFSET(환산공식!FW$15,$F593,0)</f>
        <v>0.43</v>
      </c>
      <c r="Z593" s="20">
        <f ca="1">OFFSET(환산공식!FX$15,$F593,0)</f>
        <v>0.28999999999999998</v>
      </c>
      <c r="AA593" s="179">
        <f ca="1">OFFSET(환산공식!FY$15,$F593,0)</f>
        <v>0.28999999999999998</v>
      </c>
      <c r="AB593" s="3"/>
      <c r="AD593">
        <f t="shared" ca="1" si="20"/>
        <v>6</v>
      </c>
      <c r="AF593" s="3"/>
      <c r="AG593" s="3"/>
      <c r="AH593" s="3"/>
    </row>
    <row r="594" spans="1:34">
      <c r="A594" s="198"/>
      <c r="B594" s="198"/>
      <c r="C594" s="198" t="s">
        <v>1155</v>
      </c>
      <c r="D594" s="195">
        <v>647</v>
      </c>
      <c r="E594" s="195">
        <v>185</v>
      </c>
      <c r="F594" s="195">
        <v>185</v>
      </c>
      <c r="G594" s="239">
        <v>587</v>
      </c>
      <c r="H594" s="197" t="s">
        <v>72</v>
      </c>
      <c r="I594" s="242" t="s">
        <v>197</v>
      </c>
      <c r="J594" s="242" t="s">
        <v>12852</v>
      </c>
      <c r="K594" s="195" t="s">
        <v>71</v>
      </c>
      <c r="L594" s="20" t="str">
        <f ca="1">IF(OFFSET(환산공식!$ED$15,$F594,0)=1,"O","X")</f>
        <v>X</v>
      </c>
      <c r="M594" s="188">
        <f ca="1">IFERROR(OFFSET(환산공식!DJ$15,$F594,0),"")</f>
        <v>150</v>
      </c>
      <c r="N594" s="20" t="str">
        <f ca="1">IFERROR(CONCATENATE(ROUND(OFFSET(환산공식!DK$15,$F594,0),1),"%"),"")</f>
        <v>100%</v>
      </c>
      <c r="O594" s="20">
        <f ca="1">IFERROR(OFFSET(환산공식!DL$15,$F594,0),"")</f>
        <v>1.5</v>
      </c>
      <c r="P594" s="188" t="str">
        <f t="shared" ca="1" si="19"/>
        <v>3% 이하</v>
      </c>
      <c r="Q594" s="194">
        <f ca="1">IFERROR(ROUND(OFFSET(환산공식!$FG$15,$F594,0),3),"")</f>
        <v>0</v>
      </c>
      <c r="R594" s="194">
        <f ca="1">OFFSET('배치점수 계산기'!H$10,$D594,0)</f>
        <v>399.05</v>
      </c>
      <c r="S594" s="194">
        <f ca="1">OFFSET('배치점수 계산기'!I$10,$D594,0)</f>
        <v>396.613</v>
      </c>
      <c r="T594" s="194">
        <f ca="1">OFFSET('배치점수 계산기'!J$10,$D594,0)</f>
        <v>391.74799999999999</v>
      </c>
      <c r="U594" s="194">
        <f ca="1">OFFSET('배치점수 계산기'!K$10,$D594,0)</f>
        <v>387.24599999999998</v>
      </c>
      <c r="V594" s="194">
        <f ca="1">OFFSET('배치점수 계산기'!L$10,$D594,0)</f>
        <v>381.19799999999998</v>
      </c>
      <c r="W594" s="186" t="str">
        <f ca="1">OFFSET('배치점수 계산기'!M$10,$D594,0)</f>
        <v>백분위</v>
      </c>
      <c r="X594" s="184" t="str">
        <f ca="1">OFFSET('배치점수 계산기'!N$10,$D594,0)</f>
        <v>백분위</v>
      </c>
      <c r="Y594" s="188">
        <f ca="1">OFFSET(환산공식!FW$15,$F594,0)</f>
        <v>0.43</v>
      </c>
      <c r="Z594" s="20">
        <f ca="1">OFFSET(환산공식!FX$15,$F594,0)</f>
        <v>0.28999999999999998</v>
      </c>
      <c r="AA594" s="179">
        <f ca="1">OFFSET(환산공식!FY$15,$F594,0)</f>
        <v>0.28999999999999998</v>
      </c>
      <c r="AB594" s="3"/>
      <c r="AD594">
        <f t="shared" ca="1" si="20"/>
        <v>6</v>
      </c>
      <c r="AF594" s="3"/>
      <c r="AG594" s="3"/>
      <c r="AH594" s="3"/>
    </row>
    <row r="595" spans="1:34">
      <c r="A595" s="198"/>
      <c r="B595" s="198"/>
      <c r="C595" s="198" t="s">
        <v>1156</v>
      </c>
      <c r="D595" s="195">
        <v>648</v>
      </c>
      <c r="E595" s="195">
        <v>185</v>
      </c>
      <c r="F595" s="195">
        <v>185</v>
      </c>
      <c r="G595" s="239">
        <v>588</v>
      </c>
      <c r="H595" s="197" t="s">
        <v>72</v>
      </c>
      <c r="I595" s="242" t="s">
        <v>197</v>
      </c>
      <c r="J595" s="242" t="s">
        <v>8217</v>
      </c>
      <c r="K595" s="195" t="s">
        <v>71</v>
      </c>
      <c r="L595" s="20" t="str">
        <f ca="1">IF(OFFSET(환산공식!$ED$15,$F595,0)=1,"O","X")</f>
        <v>X</v>
      </c>
      <c r="M595" s="188">
        <f ca="1">IFERROR(OFFSET(환산공식!DJ$15,$F595,0),"")</f>
        <v>150</v>
      </c>
      <c r="N595" s="20" t="str">
        <f ca="1">IFERROR(CONCATENATE(ROUND(OFFSET(환산공식!DK$15,$F595,0),1),"%"),"")</f>
        <v>100%</v>
      </c>
      <c r="O595" s="20">
        <f ca="1">IFERROR(OFFSET(환산공식!DL$15,$F595,0),"")</f>
        <v>1.5</v>
      </c>
      <c r="P595" s="188" t="str">
        <f t="shared" ca="1" si="19"/>
        <v>3% 이하</v>
      </c>
      <c r="Q595" s="194">
        <f ca="1">IFERROR(ROUND(OFFSET(환산공식!$FG$15,$F595,0),3),"")</f>
        <v>0</v>
      </c>
      <c r="R595" s="194">
        <f ca="1">OFFSET('배치점수 계산기'!H$10,$D595,0)</f>
        <v>397.86399999999998</v>
      </c>
      <c r="S595" s="194">
        <f ca="1">OFFSET('배치점수 계산기'!I$10,$D595,0)</f>
        <v>395.33600000000001</v>
      </c>
      <c r="T595" s="194">
        <f ca="1">OFFSET('배치점수 계산기'!J$10,$D595,0)</f>
        <v>390.94600000000003</v>
      </c>
      <c r="U595" s="194">
        <f ca="1">OFFSET('배치점수 계산기'!K$10,$D595,0)</f>
        <v>386.06</v>
      </c>
      <c r="V595" s="194">
        <f ca="1">OFFSET('배치점수 계산기'!L$10,$D595,0)</f>
        <v>380.62299999999999</v>
      </c>
      <c r="W595" s="186" t="str">
        <f ca="1">OFFSET('배치점수 계산기'!M$10,$D595,0)</f>
        <v>백분위</v>
      </c>
      <c r="X595" s="184" t="str">
        <f ca="1">OFFSET('배치점수 계산기'!N$10,$D595,0)</f>
        <v>백분위</v>
      </c>
      <c r="Y595" s="188">
        <f ca="1">OFFSET(환산공식!FW$15,$F595,0)</f>
        <v>0.43</v>
      </c>
      <c r="Z595" s="20">
        <f ca="1">OFFSET(환산공식!FX$15,$F595,0)</f>
        <v>0.28999999999999998</v>
      </c>
      <c r="AA595" s="179">
        <f ca="1">OFFSET(환산공식!FY$15,$F595,0)</f>
        <v>0.28999999999999998</v>
      </c>
      <c r="AB595" s="3"/>
      <c r="AD595">
        <f t="shared" ca="1" si="20"/>
        <v>6</v>
      </c>
      <c r="AF595" s="3"/>
      <c r="AG595" s="3"/>
      <c r="AH595" s="3"/>
    </row>
    <row r="596" spans="1:34">
      <c r="A596" s="198"/>
      <c r="B596" s="198"/>
      <c r="C596" s="198" t="s">
        <v>1157</v>
      </c>
      <c r="D596" s="195">
        <v>649</v>
      </c>
      <c r="E596" s="195">
        <v>185</v>
      </c>
      <c r="F596" s="195">
        <v>185</v>
      </c>
      <c r="G596" s="239">
        <v>589</v>
      </c>
      <c r="H596" s="197" t="s">
        <v>72</v>
      </c>
      <c r="I596" s="242" t="s">
        <v>197</v>
      </c>
      <c r="J596" s="242" t="s">
        <v>12937</v>
      </c>
      <c r="K596" s="195" t="s">
        <v>71</v>
      </c>
      <c r="L596" s="20" t="str">
        <f ca="1">IF(OFFSET(환산공식!$ED$15,$F596,0)=1,"O","X")</f>
        <v>X</v>
      </c>
      <c r="M596" s="188">
        <f ca="1">IFERROR(OFFSET(환산공식!DJ$15,$F596,0),"")</f>
        <v>150</v>
      </c>
      <c r="N596" s="20" t="str">
        <f ca="1">IFERROR(CONCATENATE(ROUND(OFFSET(환산공식!DK$15,$F596,0),1),"%"),"")</f>
        <v>100%</v>
      </c>
      <c r="O596" s="20">
        <f ca="1">IFERROR(OFFSET(환산공식!DL$15,$F596,0),"")</f>
        <v>1.5</v>
      </c>
      <c r="P596" s="188" t="str">
        <f t="shared" ca="1" si="19"/>
        <v>3% 이하</v>
      </c>
      <c r="Q596" s="194">
        <f ca="1">IFERROR(ROUND(OFFSET(환산공식!$FG$15,$F596,0),3),"")</f>
        <v>0</v>
      </c>
      <c r="R596" s="194">
        <f ca="1">OFFSET('배치점수 계산기'!H$10,$D596,0)</f>
        <v>396.613</v>
      </c>
      <c r="S596" s="194">
        <f ca="1">OFFSET('배치점수 계산기'!I$10,$D596,0)</f>
        <v>394.24599999999998</v>
      </c>
      <c r="T596" s="194">
        <f ca="1">OFFSET('배치점수 계산기'!J$10,$D596,0)</f>
        <v>389.67</v>
      </c>
      <c r="U596" s="194">
        <f ca="1">OFFSET('배치점수 계산기'!K$10,$D596,0)</f>
        <v>384.959</v>
      </c>
      <c r="V596" s="194">
        <f ca="1">OFFSET('배치점수 계산기'!L$10,$D596,0)</f>
        <v>379.43900000000002</v>
      </c>
      <c r="W596" s="186" t="str">
        <f ca="1">OFFSET('배치점수 계산기'!M$10,$D596,0)</f>
        <v>백분위</v>
      </c>
      <c r="X596" s="184" t="str">
        <f ca="1">OFFSET('배치점수 계산기'!N$10,$D596,0)</f>
        <v>백분위</v>
      </c>
      <c r="Y596" s="188">
        <f ca="1">OFFSET(환산공식!FW$15,$F596,0)</f>
        <v>0.43</v>
      </c>
      <c r="Z596" s="20">
        <f ca="1">OFFSET(환산공식!FX$15,$F596,0)</f>
        <v>0.28999999999999998</v>
      </c>
      <c r="AA596" s="179">
        <f ca="1">OFFSET(환산공식!FY$15,$F596,0)</f>
        <v>0.28999999999999998</v>
      </c>
      <c r="AB596" s="3"/>
      <c r="AD596">
        <f t="shared" ca="1" si="20"/>
        <v>6</v>
      </c>
      <c r="AF596" s="3"/>
      <c r="AG596" s="3"/>
      <c r="AH596" s="3"/>
    </row>
    <row r="597" spans="1:34">
      <c r="A597" s="198"/>
      <c r="B597" s="198"/>
      <c r="C597" s="198" t="s">
        <v>1158</v>
      </c>
      <c r="D597" s="195">
        <v>650</v>
      </c>
      <c r="E597" s="195">
        <v>185</v>
      </c>
      <c r="F597" s="195">
        <v>185</v>
      </c>
      <c r="G597" s="239">
        <v>590</v>
      </c>
      <c r="H597" s="197" t="s">
        <v>72</v>
      </c>
      <c r="I597" s="242" t="s">
        <v>197</v>
      </c>
      <c r="J597" s="242" t="s">
        <v>9540</v>
      </c>
      <c r="K597" s="195" t="s">
        <v>71</v>
      </c>
      <c r="L597" s="20" t="str">
        <f ca="1">IF(OFFSET(환산공식!$ED$15,$F597,0)=1,"O","X")</f>
        <v>X</v>
      </c>
      <c r="M597" s="188">
        <f ca="1">IFERROR(OFFSET(환산공식!DJ$15,$F597,0),"")</f>
        <v>150</v>
      </c>
      <c r="N597" s="20" t="str">
        <f ca="1">IFERROR(CONCATENATE(ROUND(OFFSET(환산공식!DK$15,$F597,0),1),"%"),"")</f>
        <v>100%</v>
      </c>
      <c r="O597" s="20">
        <f ca="1">IFERROR(OFFSET(환산공식!DL$15,$F597,0),"")</f>
        <v>1.5</v>
      </c>
      <c r="P597" s="188" t="str">
        <f t="shared" ca="1" si="19"/>
        <v>3% 이하</v>
      </c>
      <c r="Q597" s="194">
        <f ca="1">IFERROR(ROUND(OFFSET(환산공식!$FG$15,$F597,0),3),"")</f>
        <v>0</v>
      </c>
      <c r="R597" s="194">
        <f ca="1">OFFSET('배치점수 계산기'!H$10,$D597,0)</f>
        <v>396.613</v>
      </c>
      <c r="S597" s="194">
        <f ca="1">OFFSET('배치점수 계산기'!I$10,$D597,0)</f>
        <v>394.24599999999998</v>
      </c>
      <c r="T597" s="194">
        <f ca="1">OFFSET('배치점수 계산기'!J$10,$D597,0)</f>
        <v>389.67</v>
      </c>
      <c r="U597" s="194">
        <f ca="1">OFFSET('배치점수 계산기'!K$10,$D597,0)</f>
        <v>384.959</v>
      </c>
      <c r="V597" s="194">
        <f ca="1">OFFSET('배치점수 계산기'!L$10,$D597,0)</f>
        <v>379.43900000000002</v>
      </c>
      <c r="W597" s="186" t="str">
        <f ca="1">OFFSET('배치점수 계산기'!M$10,$D597,0)</f>
        <v>백분위</v>
      </c>
      <c r="X597" s="184" t="str">
        <f ca="1">OFFSET('배치점수 계산기'!N$10,$D597,0)</f>
        <v>백분위</v>
      </c>
      <c r="Y597" s="188">
        <f ca="1">OFFSET(환산공식!FW$15,$F597,0)</f>
        <v>0.43</v>
      </c>
      <c r="Z597" s="20">
        <f ca="1">OFFSET(환산공식!FX$15,$F597,0)</f>
        <v>0.28999999999999998</v>
      </c>
      <c r="AA597" s="179">
        <f ca="1">OFFSET(환산공식!FY$15,$F597,0)</f>
        <v>0.28999999999999998</v>
      </c>
      <c r="AB597" s="3"/>
      <c r="AD597">
        <f t="shared" ca="1" si="20"/>
        <v>6</v>
      </c>
      <c r="AF597" s="3"/>
      <c r="AG597" s="3"/>
      <c r="AH597" s="3"/>
    </row>
    <row r="598" spans="1:34">
      <c r="A598" s="198"/>
      <c r="B598" s="198"/>
      <c r="C598" s="198" t="s">
        <v>1159</v>
      </c>
      <c r="D598" s="195">
        <v>651</v>
      </c>
      <c r="E598" s="195">
        <v>185</v>
      </c>
      <c r="F598" s="195">
        <v>185</v>
      </c>
      <c r="G598" s="239">
        <v>591</v>
      </c>
      <c r="H598" s="197" t="s">
        <v>72</v>
      </c>
      <c r="I598" s="242" t="s">
        <v>197</v>
      </c>
      <c r="J598" s="242" t="s">
        <v>11380</v>
      </c>
      <c r="K598" s="195" t="s">
        <v>71</v>
      </c>
      <c r="L598" s="20" t="str">
        <f ca="1">IF(OFFSET(환산공식!$ED$15,$F598,0)=1,"O","X")</f>
        <v>X</v>
      </c>
      <c r="M598" s="188">
        <f ca="1">IFERROR(OFFSET(환산공식!DJ$15,$F598,0),"")</f>
        <v>150</v>
      </c>
      <c r="N598" s="20" t="str">
        <f ca="1">IFERROR(CONCATENATE(ROUND(OFFSET(환산공식!DK$15,$F598,0),1),"%"),"")</f>
        <v>100%</v>
      </c>
      <c r="O598" s="20">
        <f ca="1">IFERROR(OFFSET(환산공식!DL$15,$F598,0),"")</f>
        <v>1.5</v>
      </c>
      <c r="P598" s="188" t="str">
        <f t="shared" ca="1" si="19"/>
        <v>3% 이하</v>
      </c>
      <c r="Q598" s="194">
        <f ca="1">IFERROR(ROUND(OFFSET(환산공식!$FG$15,$F598,0),3),"")</f>
        <v>0</v>
      </c>
      <c r="R598" s="194">
        <f ca="1">OFFSET('배치점수 계산기'!H$10,$D598,0)</f>
        <v>396.238</v>
      </c>
      <c r="S598" s="194">
        <f ca="1">OFFSET('배치점수 계산기'!I$10,$D598,0)</f>
        <v>393.71</v>
      </c>
      <c r="T598" s="194">
        <f ca="1">OFFSET('배치점수 계산기'!J$10,$D598,0)</f>
        <v>389.39499999999998</v>
      </c>
      <c r="U598" s="194">
        <f ca="1">OFFSET('배치점수 계산기'!K$10,$D598,0)</f>
        <v>384.27300000000002</v>
      </c>
      <c r="V598" s="194">
        <f ca="1">OFFSET('배치점수 계산기'!L$10,$D598,0)</f>
        <v>379.23899999999998</v>
      </c>
      <c r="W598" s="186" t="str">
        <f ca="1">OFFSET('배치점수 계산기'!M$10,$D598,0)</f>
        <v>백분위</v>
      </c>
      <c r="X598" s="184" t="str">
        <f ca="1">OFFSET('배치점수 계산기'!N$10,$D598,0)</f>
        <v>백분위</v>
      </c>
      <c r="Y598" s="188">
        <f ca="1">OFFSET(환산공식!FW$15,$F598,0)</f>
        <v>0.43</v>
      </c>
      <c r="Z598" s="20">
        <f ca="1">OFFSET(환산공식!FX$15,$F598,0)</f>
        <v>0.28999999999999998</v>
      </c>
      <c r="AA598" s="179">
        <f ca="1">OFFSET(환산공식!FY$15,$F598,0)</f>
        <v>0.28999999999999998</v>
      </c>
      <c r="AB598" s="3"/>
      <c r="AD598">
        <f t="shared" ca="1" si="20"/>
        <v>6</v>
      </c>
      <c r="AF598" s="3"/>
      <c r="AG598" s="3"/>
      <c r="AH598" s="3"/>
    </row>
    <row r="599" spans="1:34">
      <c r="A599" s="198"/>
      <c r="B599" s="198"/>
      <c r="C599" s="198" t="s">
        <v>1160</v>
      </c>
      <c r="D599" s="195">
        <v>652</v>
      </c>
      <c r="E599" s="195">
        <v>185</v>
      </c>
      <c r="F599" s="195">
        <v>185</v>
      </c>
      <c r="G599" s="239">
        <v>592</v>
      </c>
      <c r="H599" s="197" t="s">
        <v>72</v>
      </c>
      <c r="I599" s="242" t="s">
        <v>197</v>
      </c>
      <c r="J599" s="242" t="s">
        <v>8534</v>
      </c>
      <c r="K599" s="195" t="s">
        <v>71</v>
      </c>
      <c r="L599" s="20" t="str">
        <f ca="1">IF(OFFSET(환산공식!$ED$15,$F599,0)=1,"O","X")</f>
        <v>X</v>
      </c>
      <c r="M599" s="188">
        <f ca="1">IFERROR(OFFSET(환산공식!DJ$15,$F599,0),"")</f>
        <v>150</v>
      </c>
      <c r="N599" s="20" t="str">
        <f ca="1">IFERROR(CONCATENATE(ROUND(OFFSET(환산공식!DK$15,$F599,0),1),"%"),"")</f>
        <v>100%</v>
      </c>
      <c r="O599" s="20">
        <f ca="1">IFERROR(OFFSET(환산공식!DL$15,$F599,0),"")</f>
        <v>1.5</v>
      </c>
      <c r="P599" s="188" t="str">
        <f t="shared" ca="1" si="19"/>
        <v>3% 이하</v>
      </c>
      <c r="Q599" s="194">
        <f ca="1">IFERROR(ROUND(OFFSET(환산공식!$FG$15,$F599,0),3),"")</f>
        <v>0</v>
      </c>
      <c r="R599" s="194">
        <f ca="1">OFFSET('배치점수 계산기'!H$10,$D599,0)</f>
        <v>393.71</v>
      </c>
      <c r="S599" s="194">
        <f ca="1">OFFSET('배치점수 계산기'!I$10,$D599,0)</f>
        <v>391.58300000000003</v>
      </c>
      <c r="T599" s="194">
        <f ca="1">OFFSET('배치점수 계산기'!J$10,$D599,0)</f>
        <v>387.24599999999998</v>
      </c>
      <c r="U599" s="194">
        <f ca="1">OFFSET('배치점수 계산기'!K$10,$D599,0)</f>
        <v>382.43099999999998</v>
      </c>
      <c r="V599" s="194">
        <f ca="1">OFFSET('배치점수 계산기'!L$10,$D599,0)</f>
        <v>377.01100000000002</v>
      </c>
      <c r="W599" s="186" t="str">
        <f ca="1">OFFSET('배치점수 계산기'!M$10,$D599,0)</f>
        <v>백분위</v>
      </c>
      <c r="X599" s="184" t="str">
        <f ca="1">OFFSET('배치점수 계산기'!N$10,$D599,0)</f>
        <v>백분위</v>
      </c>
      <c r="Y599" s="188">
        <f ca="1">OFFSET(환산공식!FW$15,$F599,0)</f>
        <v>0.43</v>
      </c>
      <c r="Z599" s="20">
        <f ca="1">OFFSET(환산공식!FX$15,$F599,0)</f>
        <v>0.28999999999999998</v>
      </c>
      <c r="AA599" s="179">
        <f ca="1">OFFSET(환산공식!FY$15,$F599,0)</f>
        <v>0.28999999999999998</v>
      </c>
      <c r="AB599" s="3"/>
      <c r="AD599">
        <f t="shared" ca="1" si="20"/>
        <v>6</v>
      </c>
      <c r="AF599" s="3"/>
      <c r="AG599" s="3"/>
      <c r="AH599" s="3"/>
    </row>
    <row r="600" spans="1:34">
      <c r="A600" s="198"/>
      <c r="B600" s="198"/>
      <c r="C600" s="198" t="s">
        <v>1161</v>
      </c>
      <c r="D600" s="195">
        <v>653</v>
      </c>
      <c r="E600" s="195">
        <v>185</v>
      </c>
      <c r="F600" s="195">
        <v>185</v>
      </c>
      <c r="G600" s="239">
        <v>593</v>
      </c>
      <c r="H600" s="197" t="s">
        <v>72</v>
      </c>
      <c r="I600" s="242" t="s">
        <v>197</v>
      </c>
      <c r="J600" s="242" t="s">
        <v>9220</v>
      </c>
      <c r="K600" s="195" t="s">
        <v>71</v>
      </c>
      <c r="L600" s="20" t="str">
        <f ca="1">IF(OFFSET(환산공식!$ED$15,$F600,0)=1,"O","X")</f>
        <v>X</v>
      </c>
      <c r="M600" s="188">
        <f ca="1">IFERROR(OFFSET(환산공식!DJ$15,$F600,0),"")</f>
        <v>150</v>
      </c>
      <c r="N600" s="20" t="str">
        <f ca="1">IFERROR(CONCATENATE(ROUND(OFFSET(환산공식!DK$15,$F600,0),1),"%"),"")</f>
        <v>100%</v>
      </c>
      <c r="O600" s="20">
        <f ca="1">IFERROR(OFFSET(환산공식!DL$15,$F600,0),"")</f>
        <v>1.5</v>
      </c>
      <c r="P600" s="188" t="str">
        <f t="shared" ca="1" si="19"/>
        <v>3% 이하</v>
      </c>
      <c r="Q600" s="194">
        <f ca="1">IFERROR(ROUND(OFFSET(환산공식!$FG$15,$F600,0),3),"")</f>
        <v>0</v>
      </c>
      <c r="R600" s="194">
        <f ca="1">OFFSET('배치점수 계산기'!H$10,$D600,0)</f>
        <v>393.56</v>
      </c>
      <c r="S600" s="194">
        <f ca="1">OFFSET('배치점수 계산기'!I$10,$D600,0)</f>
        <v>391.53300000000002</v>
      </c>
      <c r="T600" s="194">
        <f ca="1">OFFSET('배치점수 계산기'!J$10,$D600,0)</f>
        <v>387.24599999999998</v>
      </c>
      <c r="U600" s="194">
        <f ca="1">OFFSET('배치점수 계산기'!K$10,$D600,0)</f>
        <v>382.43099999999998</v>
      </c>
      <c r="V600" s="194">
        <f ca="1">OFFSET('배치점수 계산기'!L$10,$D600,0)</f>
        <v>376.93599999999998</v>
      </c>
      <c r="W600" s="186" t="str">
        <f ca="1">OFFSET('배치점수 계산기'!M$10,$D600,0)</f>
        <v>백분위</v>
      </c>
      <c r="X600" s="184" t="str">
        <f ca="1">OFFSET('배치점수 계산기'!N$10,$D600,0)</f>
        <v>백분위</v>
      </c>
      <c r="Y600" s="188">
        <f ca="1">OFFSET(환산공식!FW$15,$F600,0)</f>
        <v>0.43</v>
      </c>
      <c r="Z600" s="20">
        <f ca="1">OFFSET(환산공식!FX$15,$F600,0)</f>
        <v>0.28999999999999998</v>
      </c>
      <c r="AA600" s="179">
        <f ca="1">OFFSET(환산공식!FY$15,$F600,0)</f>
        <v>0.28999999999999998</v>
      </c>
      <c r="AB600" s="3"/>
      <c r="AD600">
        <f t="shared" ca="1" si="20"/>
        <v>6</v>
      </c>
      <c r="AF600" s="3"/>
      <c r="AG600" s="3"/>
      <c r="AH600" s="3"/>
    </row>
    <row r="601" spans="1:34">
      <c r="A601" s="198"/>
      <c r="B601" s="198"/>
      <c r="C601" s="198" t="s">
        <v>1162</v>
      </c>
      <c r="D601" s="195">
        <v>654</v>
      </c>
      <c r="E601" s="195">
        <v>292</v>
      </c>
      <c r="F601" s="195">
        <v>292</v>
      </c>
      <c r="G601" s="239">
        <v>594</v>
      </c>
      <c r="H601" s="197" t="s">
        <v>72</v>
      </c>
      <c r="I601" s="242" t="s">
        <v>497</v>
      </c>
      <c r="J601" s="242" t="s">
        <v>16628</v>
      </c>
      <c r="K601" s="195" t="s">
        <v>71</v>
      </c>
      <c r="L601" s="20" t="str">
        <f ca="1">IF(OFFSET(환산공식!$ED$15,$F601,0)=1,"O","X")</f>
        <v>X</v>
      </c>
      <c r="M601" s="188">
        <f ca="1">IFERROR(OFFSET(환산공식!DJ$15,$F601,0),"")</f>
        <v>100</v>
      </c>
      <c r="N601" s="20" t="str">
        <f ca="1">IFERROR(CONCATENATE(ROUND(OFFSET(환산공식!DK$15,$F601,0),1),"%"),"")</f>
        <v>100%</v>
      </c>
      <c r="O601" s="20">
        <f ca="1">IFERROR(OFFSET(환산공식!DL$15,$F601,0),"")</f>
        <v>1.5</v>
      </c>
      <c r="P601" s="188" t="str">
        <f t="shared" ca="1" si="19"/>
        <v>3% 이하</v>
      </c>
      <c r="Q601" s="194">
        <f ca="1">IFERROR(ROUND(OFFSET(환산공식!$FG$15,$F601,0),3),"")</f>
        <v>0</v>
      </c>
      <c r="R601" s="194">
        <f ca="1">OFFSET('배치점수 계산기'!H$10,$D601,0)</f>
        <v>235.06</v>
      </c>
      <c r="S601" s="194">
        <f ca="1">OFFSET('배치점수 계산기'!I$10,$D601,0)</f>
        <v>232.43</v>
      </c>
      <c r="T601" s="194">
        <f ca="1">OFFSET('배치점수 계산기'!J$10,$D601,0)</f>
        <v>228.63</v>
      </c>
      <c r="U601" s="194">
        <f ca="1">OFFSET('배치점수 계산기'!K$10,$D601,0)</f>
        <v>225.14</v>
      </c>
      <c r="V601" s="194">
        <f ca="1">OFFSET('배치점수 계산기'!L$10,$D601,0)</f>
        <v>221.75</v>
      </c>
      <c r="W601" s="186" t="str">
        <f ca="1">OFFSET('배치점수 계산기'!M$10,$D601,0)</f>
        <v>백분위</v>
      </c>
      <c r="X601" s="184" t="str">
        <f ca="1">OFFSET('배치점수 계산기'!N$10,$D601,0)</f>
        <v>백분위</v>
      </c>
      <c r="Y601" s="188">
        <f ca="1">OFFSET(환산공식!FW$15,$F601,0)</f>
        <v>0.33</v>
      </c>
      <c r="Z601" s="20">
        <f ca="1">OFFSET(환산공식!FX$15,$F601,0)</f>
        <v>0.33</v>
      </c>
      <c r="AA601" s="179">
        <f ca="1">OFFSET(환산공식!FY$15,$F601,0)</f>
        <v>0.33</v>
      </c>
      <c r="AB601" s="3"/>
      <c r="AD601">
        <f t="shared" ca="1" si="20"/>
        <v>6</v>
      </c>
      <c r="AF601" s="3"/>
      <c r="AG601" s="3"/>
      <c r="AH601" s="3"/>
    </row>
    <row r="602" spans="1:34">
      <c r="A602" s="198"/>
      <c r="B602" s="198"/>
      <c r="C602" s="198" t="s">
        <v>1163</v>
      </c>
      <c r="D602" s="195">
        <v>655</v>
      </c>
      <c r="E602" s="195">
        <v>292</v>
      </c>
      <c r="F602" s="195">
        <v>292</v>
      </c>
      <c r="G602" s="239">
        <v>595</v>
      </c>
      <c r="H602" s="197" t="s">
        <v>72</v>
      </c>
      <c r="I602" s="242" t="s">
        <v>497</v>
      </c>
      <c r="J602" s="242" t="s">
        <v>16629</v>
      </c>
      <c r="K602" s="195" t="s">
        <v>71</v>
      </c>
      <c r="L602" s="20" t="str">
        <f ca="1">IF(OFFSET(환산공식!$ED$15,$F602,0)=1,"O","X")</f>
        <v>X</v>
      </c>
      <c r="M602" s="188">
        <f ca="1">IFERROR(OFFSET(환산공식!DJ$15,$F602,0),"")</f>
        <v>100</v>
      </c>
      <c r="N602" s="20" t="str">
        <f ca="1">IFERROR(CONCATENATE(ROUND(OFFSET(환산공식!DK$15,$F602,0),1),"%"),"")</f>
        <v>100%</v>
      </c>
      <c r="O602" s="20">
        <f ca="1">IFERROR(OFFSET(환산공식!DL$15,$F602,0),"")</f>
        <v>1.5</v>
      </c>
      <c r="P602" s="188" t="str">
        <f t="shared" ca="1" si="19"/>
        <v>3% 이하</v>
      </c>
      <c r="Q602" s="194">
        <f ca="1">IFERROR(ROUND(OFFSET(환산공식!$FG$15,$F602,0),3),"")</f>
        <v>0</v>
      </c>
      <c r="R602" s="194">
        <f ca="1">OFFSET('배치점수 계산기'!H$10,$D602,0)</f>
        <v>217.9</v>
      </c>
      <c r="S602" s="194">
        <f ca="1">OFFSET('배치점수 계산기'!I$10,$D602,0)</f>
        <v>213.46</v>
      </c>
      <c r="T602" s="194">
        <f ca="1">OFFSET('배치점수 계산기'!J$10,$D602,0)</f>
        <v>211.64</v>
      </c>
      <c r="U602" s="194">
        <f ca="1">OFFSET('배치점수 계산기'!K$10,$D602,0)</f>
        <v>206.68</v>
      </c>
      <c r="V602" s="194">
        <f ca="1">OFFSET('배치점수 계산기'!L$10,$D602,0)</f>
        <v>198.9</v>
      </c>
      <c r="W602" s="186" t="str">
        <f ca="1">OFFSET('배치점수 계산기'!M$10,$D602,0)</f>
        <v>백분위</v>
      </c>
      <c r="X602" s="184" t="str">
        <f ca="1">OFFSET('배치점수 계산기'!N$10,$D602,0)</f>
        <v>백분위</v>
      </c>
      <c r="Y602" s="188">
        <f ca="1">OFFSET(환산공식!FW$15,$F602,0)</f>
        <v>0.33</v>
      </c>
      <c r="Z602" s="20">
        <f ca="1">OFFSET(환산공식!FX$15,$F602,0)</f>
        <v>0.33</v>
      </c>
      <c r="AA602" s="179">
        <f ca="1">OFFSET(환산공식!FY$15,$F602,0)</f>
        <v>0.33</v>
      </c>
      <c r="AB602" s="3"/>
      <c r="AD602">
        <f t="shared" ca="1" si="20"/>
        <v>6</v>
      </c>
      <c r="AF602" s="3"/>
      <c r="AG602" s="3"/>
      <c r="AH602" s="3"/>
    </row>
    <row r="603" spans="1:34">
      <c r="A603" s="198"/>
      <c r="B603" s="198"/>
      <c r="C603" s="198" t="s">
        <v>1164</v>
      </c>
      <c r="D603" s="195">
        <v>656</v>
      </c>
      <c r="E603" s="195">
        <v>196</v>
      </c>
      <c r="F603" s="195">
        <v>196</v>
      </c>
      <c r="G603" s="239">
        <v>596</v>
      </c>
      <c r="H603" s="197" t="s">
        <v>72</v>
      </c>
      <c r="I603" s="242" t="s">
        <v>215</v>
      </c>
      <c r="J603" s="242" t="s">
        <v>8461</v>
      </c>
      <c r="K603" s="195" t="s">
        <v>70</v>
      </c>
      <c r="L603" s="20" t="str">
        <f ca="1">IF(OFFSET(환산공식!$ED$15,$F603,0)=1,"O","X")</f>
        <v>X</v>
      </c>
      <c r="M603" s="188">
        <f ca="1">IFERROR(OFFSET(환산공식!DJ$15,$F603,0),"")</f>
        <v>125</v>
      </c>
      <c r="N603" s="20" t="str">
        <f ca="1">IFERROR(CONCATENATE(ROUND(OFFSET(환산공식!DK$15,$F603,0),1),"%"),"")</f>
        <v>100%</v>
      </c>
      <c r="O603" s="20">
        <f ca="1">IFERROR(OFFSET(환산공식!DL$15,$F603,0),"")</f>
        <v>10</v>
      </c>
      <c r="P603" s="188" t="str">
        <f t="shared" ca="1" si="19"/>
        <v>3% 이하</v>
      </c>
      <c r="Q603" s="194">
        <f ca="1">IFERROR(ROUND(OFFSET(환산공식!$FG$15,$F603,0),3),"")</f>
        <v>0</v>
      </c>
      <c r="R603" s="194">
        <f ca="1">OFFSET('배치점수 계산기'!H$10,$D603,0)</f>
        <v>702.62</v>
      </c>
      <c r="S603" s="194">
        <f ca="1">OFFSET('배치점수 계산기'!I$10,$D603,0)</f>
        <v>701.85400000000004</v>
      </c>
      <c r="T603" s="194">
        <f ca="1">OFFSET('배치점수 계산기'!J$10,$D603,0)</f>
        <v>699.25599999999997</v>
      </c>
      <c r="U603" s="194">
        <f ca="1">OFFSET('배치점수 계산기'!K$10,$D603,0)</f>
        <v>697.48500000000001</v>
      </c>
      <c r="V603" s="194">
        <f ca="1">OFFSET('배치점수 계산기'!L$10,$D603,0)</f>
        <v>693.35799999999995</v>
      </c>
      <c r="W603" s="186" t="str">
        <f ca="1">OFFSET('배치점수 계산기'!M$10,$D603,0)</f>
        <v>표점</v>
      </c>
      <c r="X603" s="184" t="str">
        <f ca="1">OFFSET('배치점수 계산기'!N$10,$D603,0)</f>
        <v>변표</v>
      </c>
      <c r="Y603" s="188">
        <f ca="1">OFFSET(환산공식!FW$15,$F603,0)</f>
        <v>0.28999999999999998</v>
      </c>
      <c r="Z603" s="20">
        <f ca="1">OFFSET(환산공식!FX$15,$F603,0)</f>
        <v>0.43</v>
      </c>
      <c r="AA603" s="179">
        <f ca="1">OFFSET(환산공식!FY$15,$F603,0)</f>
        <v>0.28999999999999998</v>
      </c>
      <c r="AB603" s="3"/>
      <c r="AD603">
        <f t="shared" ca="1" si="20"/>
        <v>6</v>
      </c>
      <c r="AF603" s="3"/>
      <c r="AG603" s="3"/>
      <c r="AH603" s="3"/>
    </row>
    <row r="604" spans="1:34">
      <c r="A604" s="198"/>
      <c r="B604" s="198"/>
      <c r="C604" s="198" t="s">
        <v>1165</v>
      </c>
      <c r="D604" s="195">
        <v>657</v>
      </c>
      <c r="E604" s="195">
        <v>195</v>
      </c>
      <c r="F604" s="195">
        <v>195</v>
      </c>
      <c r="G604" s="239">
        <v>597</v>
      </c>
      <c r="H604" s="197" t="s">
        <v>72</v>
      </c>
      <c r="I604" s="242" t="s">
        <v>215</v>
      </c>
      <c r="J604" s="242" t="s">
        <v>486</v>
      </c>
      <c r="K604" s="195" t="s">
        <v>70</v>
      </c>
      <c r="L604" s="20" t="str">
        <f ca="1">IF(OFFSET(환산공식!$ED$15,$F604,0)=1,"O","X")</f>
        <v>X</v>
      </c>
      <c r="M604" s="188">
        <f ca="1">IFERROR(OFFSET(환산공식!DJ$15,$F604,0),"")</f>
        <v>125</v>
      </c>
      <c r="N604" s="20" t="str">
        <f ca="1">IFERROR(CONCATENATE(ROUND(OFFSET(환산공식!DK$15,$F604,0),1),"%"),"")</f>
        <v>100%</v>
      </c>
      <c r="O604" s="20">
        <f ca="1">IFERROR(OFFSET(환산공식!DL$15,$F604,0),"")</f>
        <v>10</v>
      </c>
      <c r="P604" s="188" t="str">
        <f t="shared" ca="1" si="19"/>
        <v>3% 이하</v>
      </c>
      <c r="Q604" s="194">
        <f ca="1">IFERROR(ROUND(OFFSET(환산공식!$FG$15,$F604,0),3),"")</f>
        <v>0</v>
      </c>
      <c r="R604" s="194">
        <f ca="1">OFFSET('배치점수 계산기'!H$10,$D604,0)</f>
        <v>685.32</v>
      </c>
      <c r="S604" s="194">
        <f ca="1">OFFSET('배치점수 계산기'!I$10,$D604,0)</f>
        <v>682.78899999999999</v>
      </c>
      <c r="T604" s="194">
        <f ca="1">OFFSET('배치점수 계산기'!J$10,$D604,0)</f>
        <v>677.94799999999998</v>
      </c>
      <c r="U604" s="194">
        <f ca="1">OFFSET('배치점수 계산기'!K$10,$D604,0)</f>
        <v>673.75900000000001</v>
      </c>
      <c r="V604" s="194">
        <f ca="1">OFFSET('배치점수 계산기'!L$10,$D604,0)</f>
        <v>667.52700000000004</v>
      </c>
      <c r="W604" s="186" t="str">
        <f ca="1">OFFSET('배치점수 계산기'!M$10,$D604,0)</f>
        <v>표점</v>
      </c>
      <c r="X604" s="184" t="str">
        <f ca="1">OFFSET('배치점수 계산기'!N$10,$D604,0)</f>
        <v>변표</v>
      </c>
      <c r="Y604" s="188">
        <f ca="1">OFFSET(환산공식!FW$15,$F604,0)</f>
        <v>0.28999999999999998</v>
      </c>
      <c r="Z604" s="20">
        <f ca="1">OFFSET(환산공식!FX$15,$F604,0)</f>
        <v>0.43</v>
      </c>
      <c r="AA604" s="179">
        <f ca="1">OFFSET(환산공식!FY$15,$F604,0)</f>
        <v>0.28999999999999998</v>
      </c>
      <c r="AB604" s="3"/>
      <c r="AD604">
        <f t="shared" ca="1" si="20"/>
        <v>6</v>
      </c>
      <c r="AF604" s="3"/>
      <c r="AG604" s="3"/>
      <c r="AH604" s="3"/>
    </row>
    <row r="605" spans="1:34">
      <c r="A605" s="198"/>
      <c r="B605" s="198"/>
      <c r="C605" s="198" t="s">
        <v>1166</v>
      </c>
      <c r="D605" s="195">
        <v>658</v>
      </c>
      <c r="E605" s="195">
        <v>195</v>
      </c>
      <c r="F605" s="195">
        <v>195</v>
      </c>
      <c r="G605" s="239">
        <v>598</v>
      </c>
      <c r="H605" s="197" t="s">
        <v>72</v>
      </c>
      <c r="I605" s="242" t="s">
        <v>215</v>
      </c>
      <c r="J605" s="242" t="s">
        <v>10314</v>
      </c>
      <c r="K605" s="195" t="s">
        <v>70</v>
      </c>
      <c r="L605" s="20" t="str">
        <f ca="1">IF(OFFSET(환산공식!$ED$15,$F605,0)=1,"O","X")</f>
        <v>X</v>
      </c>
      <c r="M605" s="188">
        <f ca="1">IFERROR(OFFSET(환산공식!DJ$15,$F605,0),"")</f>
        <v>125</v>
      </c>
      <c r="N605" s="20" t="str">
        <f ca="1">IFERROR(CONCATENATE(ROUND(OFFSET(환산공식!DK$15,$F605,0),1),"%"),"")</f>
        <v>100%</v>
      </c>
      <c r="O605" s="20">
        <f ca="1">IFERROR(OFFSET(환산공식!DL$15,$F605,0),"")</f>
        <v>10</v>
      </c>
      <c r="P605" s="188" t="str">
        <f t="shared" ca="1" si="19"/>
        <v>3% 이하</v>
      </c>
      <c r="Q605" s="194">
        <f ca="1">IFERROR(ROUND(OFFSET(환산공식!$FG$15,$F605,0),3),"")</f>
        <v>0</v>
      </c>
      <c r="R605" s="194">
        <f ca="1">OFFSET('배치점수 계산기'!H$10,$D605,0)</f>
        <v>679.09100000000001</v>
      </c>
      <c r="S605" s="194">
        <f ca="1">OFFSET('배치점수 계산기'!I$10,$D605,0)</f>
        <v>677.38099999999997</v>
      </c>
      <c r="T605" s="194">
        <f ca="1">OFFSET('배치점수 계산기'!J$10,$D605,0)</f>
        <v>674.38199999999995</v>
      </c>
      <c r="U605" s="194">
        <f ca="1">OFFSET('배치점수 계산기'!K$10,$D605,0)</f>
        <v>670.93799999999999</v>
      </c>
      <c r="V605" s="194">
        <f ca="1">OFFSET('배치점수 계산기'!L$10,$D605,0)</f>
        <v>667.17100000000005</v>
      </c>
      <c r="W605" s="186" t="str">
        <f ca="1">OFFSET('배치점수 계산기'!M$10,$D605,0)</f>
        <v>표점</v>
      </c>
      <c r="X605" s="184" t="str">
        <f ca="1">OFFSET('배치점수 계산기'!N$10,$D605,0)</f>
        <v>변표</v>
      </c>
      <c r="Y605" s="188">
        <f ca="1">OFFSET(환산공식!FW$15,$F605,0)</f>
        <v>0.28999999999999998</v>
      </c>
      <c r="Z605" s="20">
        <f ca="1">OFFSET(환산공식!FX$15,$F605,0)</f>
        <v>0.43</v>
      </c>
      <c r="AA605" s="179">
        <f ca="1">OFFSET(환산공식!FY$15,$F605,0)</f>
        <v>0.28999999999999998</v>
      </c>
      <c r="AB605" s="3"/>
      <c r="AD605">
        <f t="shared" ca="1" si="20"/>
        <v>6</v>
      </c>
      <c r="AF605" s="3"/>
      <c r="AG605" s="3"/>
      <c r="AH605" s="3"/>
    </row>
    <row r="606" spans="1:34">
      <c r="A606" s="198"/>
      <c r="B606" s="198"/>
      <c r="C606" s="198" t="s">
        <v>1167</v>
      </c>
      <c r="D606" s="195">
        <v>659</v>
      </c>
      <c r="E606" s="195">
        <v>195</v>
      </c>
      <c r="F606" s="195">
        <v>195</v>
      </c>
      <c r="G606" s="239">
        <v>599</v>
      </c>
      <c r="H606" s="197" t="s">
        <v>72</v>
      </c>
      <c r="I606" s="242" t="s">
        <v>215</v>
      </c>
      <c r="J606" s="242" t="s">
        <v>8633</v>
      </c>
      <c r="K606" s="195" t="s">
        <v>70</v>
      </c>
      <c r="L606" s="20" t="str">
        <f ca="1">IF(OFFSET(환산공식!$ED$15,$F606,0)=1,"O","X")</f>
        <v>X</v>
      </c>
      <c r="M606" s="188">
        <f ca="1">IFERROR(OFFSET(환산공식!DJ$15,$F606,0),"")</f>
        <v>125</v>
      </c>
      <c r="N606" s="20" t="str">
        <f ca="1">IFERROR(CONCATENATE(ROUND(OFFSET(환산공식!DK$15,$F606,0),1),"%"),"")</f>
        <v>100%</v>
      </c>
      <c r="O606" s="20">
        <f ca="1">IFERROR(OFFSET(환산공식!DL$15,$F606,0),"")</f>
        <v>10</v>
      </c>
      <c r="P606" s="188" t="str">
        <f t="shared" ca="1" si="19"/>
        <v>3% 이하</v>
      </c>
      <c r="Q606" s="194">
        <f ca="1">IFERROR(ROUND(OFFSET(환산공식!$FG$15,$F606,0),3),"")</f>
        <v>0</v>
      </c>
      <c r="R606" s="194">
        <f ca="1">OFFSET('배치점수 계산기'!H$10,$D606,0)</f>
        <v>681.77099999999996</v>
      </c>
      <c r="S606" s="194">
        <f ca="1">OFFSET('배치점수 계산기'!I$10,$D606,0)</f>
        <v>678.95699999999999</v>
      </c>
      <c r="T606" s="194">
        <f ca="1">OFFSET('배치점수 계산기'!J$10,$D606,0)</f>
        <v>674.23400000000004</v>
      </c>
      <c r="U606" s="194">
        <f ca="1">OFFSET('배치점수 계산기'!K$10,$D606,0)</f>
        <v>669.77200000000005</v>
      </c>
      <c r="V606" s="194">
        <f ca="1">OFFSET('배치점수 계산기'!L$10,$D606,0)</f>
        <v>663.78700000000003</v>
      </c>
      <c r="W606" s="186" t="str">
        <f ca="1">OFFSET('배치점수 계산기'!M$10,$D606,0)</f>
        <v>표점</v>
      </c>
      <c r="X606" s="184" t="str">
        <f ca="1">OFFSET('배치점수 계산기'!N$10,$D606,0)</f>
        <v>변표</v>
      </c>
      <c r="Y606" s="188">
        <f ca="1">OFFSET(환산공식!FW$15,$F606,0)</f>
        <v>0.28999999999999998</v>
      </c>
      <c r="Z606" s="20">
        <f ca="1">OFFSET(환산공식!FX$15,$F606,0)</f>
        <v>0.43</v>
      </c>
      <c r="AA606" s="179">
        <f ca="1">OFFSET(환산공식!FY$15,$F606,0)</f>
        <v>0.28999999999999998</v>
      </c>
      <c r="AB606" s="3"/>
      <c r="AD606">
        <f t="shared" ca="1" si="20"/>
        <v>6</v>
      </c>
      <c r="AF606" s="3"/>
      <c r="AG606" s="3"/>
      <c r="AH606" s="3"/>
    </row>
    <row r="607" spans="1:34">
      <c r="A607" s="198"/>
      <c r="B607" s="198"/>
      <c r="C607" s="198" t="s">
        <v>1168</v>
      </c>
      <c r="D607" s="195">
        <v>660</v>
      </c>
      <c r="E607" s="195">
        <v>195</v>
      </c>
      <c r="F607" s="195">
        <v>195</v>
      </c>
      <c r="G607" s="239">
        <v>600</v>
      </c>
      <c r="H607" s="197" t="s">
        <v>72</v>
      </c>
      <c r="I607" s="242" t="s">
        <v>215</v>
      </c>
      <c r="J607" s="242" t="s">
        <v>10514</v>
      </c>
      <c r="K607" s="195" t="s">
        <v>70</v>
      </c>
      <c r="L607" s="20" t="str">
        <f ca="1">IF(OFFSET(환산공식!$ED$15,$F607,0)=1,"O","X")</f>
        <v>X</v>
      </c>
      <c r="M607" s="188">
        <f ca="1">IFERROR(OFFSET(환산공식!DJ$15,$F607,0),"")</f>
        <v>125</v>
      </c>
      <c r="N607" s="20" t="str">
        <f ca="1">IFERROR(CONCATENATE(ROUND(OFFSET(환산공식!DK$15,$F607,0),1),"%"),"")</f>
        <v>100%</v>
      </c>
      <c r="O607" s="20">
        <f ca="1">IFERROR(OFFSET(환산공식!DL$15,$F607,0),"")</f>
        <v>10</v>
      </c>
      <c r="P607" s="188" t="str">
        <f t="shared" ca="1" si="19"/>
        <v>3% 이하</v>
      </c>
      <c r="Q607" s="194">
        <f ca="1">IFERROR(ROUND(OFFSET(환산공식!$FG$15,$F607,0),3),"")</f>
        <v>0</v>
      </c>
      <c r="R607" s="194">
        <f ca="1">OFFSET('배치점수 계산기'!H$10,$D607,0)</f>
        <v>677.76900000000001</v>
      </c>
      <c r="S607" s="194">
        <f ca="1">OFFSET('배치점수 계산기'!I$10,$D607,0)</f>
        <v>675.27800000000002</v>
      </c>
      <c r="T607" s="194">
        <f ca="1">OFFSET('배치점수 계산기'!J$10,$D607,0)</f>
        <v>669.89700000000005</v>
      </c>
      <c r="U607" s="194">
        <f ca="1">OFFSET('배치점수 계산기'!K$10,$D607,0)</f>
        <v>666.66899999999998</v>
      </c>
      <c r="V607" s="194">
        <f ca="1">OFFSET('배치점수 계산기'!L$10,$D607,0)</f>
        <v>661.67399999999998</v>
      </c>
      <c r="W607" s="186" t="str">
        <f ca="1">OFFSET('배치점수 계산기'!M$10,$D607,0)</f>
        <v>표점</v>
      </c>
      <c r="X607" s="184" t="str">
        <f ca="1">OFFSET('배치점수 계산기'!N$10,$D607,0)</f>
        <v>변표</v>
      </c>
      <c r="Y607" s="188">
        <f ca="1">OFFSET(환산공식!FW$15,$F607,0)</f>
        <v>0.28999999999999998</v>
      </c>
      <c r="Z607" s="20">
        <f ca="1">OFFSET(환산공식!FX$15,$F607,0)</f>
        <v>0.43</v>
      </c>
      <c r="AA607" s="179">
        <f ca="1">OFFSET(환산공식!FY$15,$F607,0)</f>
        <v>0.28999999999999998</v>
      </c>
      <c r="AB607" s="3"/>
      <c r="AD607">
        <f t="shared" ca="1" si="20"/>
        <v>6</v>
      </c>
      <c r="AF607" s="3"/>
      <c r="AG607" s="3"/>
      <c r="AH607" s="3"/>
    </row>
    <row r="608" spans="1:34">
      <c r="A608" s="198"/>
      <c r="B608" s="198"/>
      <c r="C608" s="198" t="s">
        <v>1169</v>
      </c>
      <c r="D608" s="195">
        <v>661</v>
      </c>
      <c r="E608" s="195">
        <v>195</v>
      </c>
      <c r="F608" s="195">
        <v>195</v>
      </c>
      <c r="G608" s="239">
        <v>601</v>
      </c>
      <c r="H608" s="197" t="s">
        <v>72</v>
      </c>
      <c r="I608" s="242" t="s">
        <v>215</v>
      </c>
      <c r="J608" s="242" t="s">
        <v>16630</v>
      </c>
      <c r="K608" s="195" t="s">
        <v>70</v>
      </c>
      <c r="L608" s="20" t="str">
        <f ca="1">IF(OFFSET(환산공식!$ED$15,$F608,0)=1,"O","X")</f>
        <v>X</v>
      </c>
      <c r="M608" s="188">
        <f ca="1">IFERROR(OFFSET(환산공식!DJ$15,$F608,0),"")</f>
        <v>125</v>
      </c>
      <c r="N608" s="20" t="str">
        <f ca="1">IFERROR(CONCATENATE(ROUND(OFFSET(환산공식!DK$15,$F608,0),1),"%"),"")</f>
        <v>100%</v>
      </c>
      <c r="O608" s="20">
        <f ca="1">IFERROR(OFFSET(환산공식!DL$15,$F608,0),"")</f>
        <v>10</v>
      </c>
      <c r="P608" s="188" t="str">
        <f t="shared" ca="1" si="19"/>
        <v>3% 이하</v>
      </c>
      <c r="Q608" s="194">
        <f ca="1">IFERROR(ROUND(OFFSET(환산공식!$FG$15,$F608,0),3),"")</f>
        <v>0</v>
      </c>
      <c r="R608" s="194">
        <f ca="1">OFFSET('배치점수 계산기'!H$10,$D608,0)</f>
        <v>674.23400000000004</v>
      </c>
      <c r="S608" s="194">
        <f ca="1">OFFSET('배치점수 계산기'!I$10,$D608,0)</f>
        <v>671.279</v>
      </c>
      <c r="T608" s="194">
        <f ca="1">OFFSET('배치점수 계산기'!J$10,$D608,0)</f>
        <v>667.17100000000005</v>
      </c>
      <c r="U608" s="194">
        <f ca="1">OFFSET('배치점수 계산기'!K$10,$D608,0)</f>
        <v>663.68200000000002</v>
      </c>
      <c r="V608" s="194">
        <f ca="1">OFFSET('배치점수 계산기'!L$10,$D608,0)</f>
        <v>659.55100000000004</v>
      </c>
      <c r="W608" s="186" t="str">
        <f ca="1">OFFSET('배치점수 계산기'!M$10,$D608,0)</f>
        <v>표점</v>
      </c>
      <c r="X608" s="184" t="str">
        <f ca="1">OFFSET('배치점수 계산기'!N$10,$D608,0)</f>
        <v>변표</v>
      </c>
      <c r="Y608" s="188">
        <f ca="1">OFFSET(환산공식!FW$15,$F608,0)</f>
        <v>0.28999999999999998</v>
      </c>
      <c r="Z608" s="20">
        <f ca="1">OFFSET(환산공식!FX$15,$F608,0)</f>
        <v>0.43</v>
      </c>
      <c r="AA608" s="179">
        <f ca="1">OFFSET(환산공식!FY$15,$F608,0)</f>
        <v>0.28999999999999998</v>
      </c>
      <c r="AB608" s="3"/>
      <c r="AD608">
        <f t="shared" ca="1" si="20"/>
        <v>6</v>
      </c>
      <c r="AF608" s="3"/>
      <c r="AG608" s="3"/>
      <c r="AH608" s="3"/>
    </row>
    <row r="609" spans="1:34">
      <c r="A609" s="198"/>
      <c r="B609" s="198"/>
      <c r="C609" s="198" t="s">
        <v>1170</v>
      </c>
      <c r="D609" s="195">
        <v>662</v>
      </c>
      <c r="E609" s="195">
        <v>195</v>
      </c>
      <c r="F609" s="195">
        <v>195</v>
      </c>
      <c r="G609" s="239">
        <v>602</v>
      </c>
      <c r="H609" s="197" t="s">
        <v>72</v>
      </c>
      <c r="I609" s="242" t="s">
        <v>215</v>
      </c>
      <c r="J609" s="242" t="s">
        <v>16631</v>
      </c>
      <c r="K609" s="195" t="s">
        <v>70</v>
      </c>
      <c r="L609" s="20" t="str">
        <f ca="1">IF(OFFSET(환산공식!$ED$15,$F609,0)=1,"O","X")</f>
        <v>X</v>
      </c>
      <c r="M609" s="188">
        <f ca="1">IFERROR(OFFSET(환산공식!DJ$15,$F609,0),"")</f>
        <v>125</v>
      </c>
      <c r="N609" s="20" t="str">
        <f ca="1">IFERROR(CONCATENATE(ROUND(OFFSET(환산공식!DK$15,$F609,0),1),"%"),"")</f>
        <v>100%</v>
      </c>
      <c r="O609" s="20">
        <f ca="1">IFERROR(OFFSET(환산공식!DL$15,$F609,0),"")</f>
        <v>10</v>
      </c>
      <c r="P609" s="188" t="str">
        <f t="shared" ca="1" si="19"/>
        <v>3% 이하</v>
      </c>
      <c r="Q609" s="194">
        <f ca="1">IFERROR(ROUND(OFFSET(환산공식!$FG$15,$F609,0),3),"")</f>
        <v>0</v>
      </c>
      <c r="R609" s="194">
        <f ca="1">OFFSET('배치점수 계산기'!H$10,$D609,0)</f>
        <v>673.654</v>
      </c>
      <c r="S609" s="194">
        <f ca="1">OFFSET('배치점수 계산기'!I$10,$D609,0)</f>
        <v>670.47699999999998</v>
      </c>
      <c r="T609" s="194">
        <f ca="1">OFFSET('배치점수 계산기'!J$10,$D609,0)</f>
        <v>666.66899999999998</v>
      </c>
      <c r="U609" s="194">
        <f ca="1">OFFSET('배치점수 계산기'!K$10,$D609,0)</f>
        <v>663.02499999999998</v>
      </c>
      <c r="V609" s="194">
        <f ca="1">OFFSET('배치점수 계산기'!L$10,$D609,0)</f>
        <v>659.34299999999996</v>
      </c>
      <c r="W609" s="186" t="str">
        <f ca="1">OFFSET('배치점수 계산기'!M$10,$D609,0)</f>
        <v>표점</v>
      </c>
      <c r="X609" s="184" t="str">
        <f ca="1">OFFSET('배치점수 계산기'!N$10,$D609,0)</f>
        <v>변표</v>
      </c>
      <c r="Y609" s="188">
        <f ca="1">OFFSET(환산공식!FW$15,$F609,0)</f>
        <v>0.28999999999999998</v>
      </c>
      <c r="Z609" s="20">
        <f ca="1">OFFSET(환산공식!FX$15,$F609,0)</f>
        <v>0.43</v>
      </c>
      <c r="AA609" s="179">
        <f ca="1">OFFSET(환산공식!FY$15,$F609,0)</f>
        <v>0.28999999999999998</v>
      </c>
      <c r="AB609" s="3"/>
      <c r="AD609">
        <f t="shared" ca="1" si="20"/>
        <v>6</v>
      </c>
      <c r="AF609" s="3"/>
      <c r="AG609" s="3"/>
      <c r="AH609" s="3"/>
    </row>
    <row r="610" spans="1:34">
      <c r="A610" s="198"/>
      <c r="B610" s="198"/>
      <c r="C610" s="198" t="s">
        <v>1171</v>
      </c>
      <c r="D610" s="195">
        <v>663</v>
      </c>
      <c r="E610" s="195">
        <v>195</v>
      </c>
      <c r="F610" s="195">
        <v>195</v>
      </c>
      <c r="G610" s="239">
        <v>603</v>
      </c>
      <c r="H610" s="197" t="s">
        <v>72</v>
      </c>
      <c r="I610" s="242" t="s">
        <v>215</v>
      </c>
      <c r="J610" s="242" t="s">
        <v>8478</v>
      </c>
      <c r="K610" s="195" t="s">
        <v>70</v>
      </c>
      <c r="L610" s="20" t="str">
        <f ca="1">IF(OFFSET(환산공식!$ED$15,$F610,0)=1,"O","X")</f>
        <v>X</v>
      </c>
      <c r="M610" s="188">
        <f ca="1">IFERROR(OFFSET(환산공식!DJ$15,$F610,0),"")</f>
        <v>125</v>
      </c>
      <c r="N610" s="20" t="str">
        <f ca="1">IFERROR(CONCATENATE(ROUND(OFFSET(환산공식!DK$15,$F610,0),1),"%"),"")</f>
        <v>100%</v>
      </c>
      <c r="O610" s="20">
        <f ca="1">IFERROR(OFFSET(환산공식!DL$15,$F610,0),"")</f>
        <v>10</v>
      </c>
      <c r="P610" s="188" t="str">
        <f t="shared" ca="1" si="19"/>
        <v>3% 이하</v>
      </c>
      <c r="Q610" s="194">
        <f ca="1">IFERROR(ROUND(OFFSET(환산공식!$FG$15,$F610,0),3),"")</f>
        <v>0</v>
      </c>
      <c r="R610" s="194">
        <f ca="1">OFFSET('배치점수 계산기'!H$10,$D610,0)</f>
        <v>672.14800000000002</v>
      </c>
      <c r="S610" s="194">
        <f ca="1">OFFSET('배치점수 계산기'!I$10,$D610,0)</f>
        <v>668.82399999999996</v>
      </c>
      <c r="T610" s="194">
        <f ca="1">OFFSET('배치점수 계산기'!J$10,$D610,0)</f>
        <v>664.33100000000002</v>
      </c>
      <c r="U610" s="194">
        <f ca="1">OFFSET('배치점수 계산기'!K$10,$D610,0)</f>
        <v>660.32500000000005</v>
      </c>
      <c r="V610" s="194">
        <f ca="1">OFFSET('배치점수 계산기'!L$10,$D610,0)</f>
        <v>654.97699999999998</v>
      </c>
      <c r="W610" s="186" t="str">
        <f ca="1">OFFSET('배치점수 계산기'!M$10,$D610,0)</f>
        <v>표점</v>
      </c>
      <c r="X610" s="184" t="str">
        <f ca="1">OFFSET('배치점수 계산기'!N$10,$D610,0)</f>
        <v>변표</v>
      </c>
      <c r="Y610" s="188">
        <f ca="1">OFFSET(환산공식!FW$15,$F610,0)</f>
        <v>0.28999999999999998</v>
      </c>
      <c r="Z610" s="20">
        <f ca="1">OFFSET(환산공식!FX$15,$F610,0)</f>
        <v>0.43</v>
      </c>
      <c r="AA610" s="179">
        <f ca="1">OFFSET(환산공식!FY$15,$F610,0)</f>
        <v>0.28999999999999998</v>
      </c>
      <c r="AB610" s="3"/>
      <c r="AD610">
        <f t="shared" ca="1" si="20"/>
        <v>6</v>
      </c>
      <c r="AF610" s="3"/>
      <c r="AG610" s="3"/>
      <c r="AH610" s="3"/>
    </row>
    <row r="611" spans="1:34">
      <c r="A611" s="198"/>
      <c r="B611" s="198"/>
      <c r="C611" s="198" t="s">
        <v>1172</v>
      </c>
      <c r="D611" s="195">
        <v>664</v>
      </c>
      <c r="E611" s="195">
        <v>195</v>
      </c>
      <c r="F611" s="195">
        <v>195</v>
      </c>
      <c r="G611" s="239">
        <v>604</v>
      </c>
      <c r="H611" s="197" t="s">
        <v>72</v>
      </c>
      <c r="I611" s="242" t="s">
        <v>215</v>
      </c>
      <c r="J611" s="242" t="s">
        <v>11043</v>
      </c>
      <c r="K611" s="195" t="s">
        <v>70</v>
      </c>
      <c r="L611" s="20" t="str">
        <f ca="1">IF(OFFSET(환산공식!$ED$15,$F611,0)=1,"O","X")</f>
        <v>X</v>
      </c>
      <c r="M611" s="188">
        <f ca="1">IFERROR(OFFSET(환산공식!DJ$15,$F611,0),"")</f>
        <v>125</v>
      </c>
      <c r="N611" s="20" t="str">
        <f ca="1">IFERROR(CONCATENATE(ROUND(OFFSET(환산공식!DK$15,$F611,0),1),"%"),"")</f>
        <v>100%</v>
      </c>
      <c r="O611" s="20">
        <f ca="1">IFERROR(OFFSET(환산공식!DL$15,$F611,0),"")</f>
        <v>10</v>
      </c>
      <c r="P611" s="188" t="str">
        <f t="shared" ca="1" si="19"/>
        <v>3% 이하</v>
      </c>
      <c r="Q611" s="194">
        <f ca="1">IFERROR(ROUND(OFFSET(환산공식!$FG$15,$F611,0),3),"")</f>
        <v>0</v>
      </c>
      <c r="R611" s="194">
        <f ca="1">OFFSET('배치점수 계산기'!H$10,$D611,0)</f>
        <v>669.04200000000003</v>
      </c>
      <c r="S611" s="194">
        <f ca="1">OFFSET('배치점수 계산기'!I$10,$D611,0)</f>
        <v>666.95100000000002</v>
      </c>
      <c r="T611" s="194">
        <f ca="1">OFFSET('배치점수 계산기'!J$10,$D611,0)</f>
        <v>663.02499999999998</v>
      </c>
      <c r="U611" s="194">
        <f ca="1">OFFSET('배치점수 계산기'!K$10,$D611,0)</f>
        <v>660.45100000000002</v>
      </c>
      <c r="V611" s="194">
        <f ca="1">OFFSET('배치점수 계산기'!L$10,$D611,0)</f>
        <v>656.01499999999999</v>
      </c>
      <c r="W611" s="186" t="str">
        <f ca="1">OFFSET('배치점수 계산기'!M$10,$D611,0)</f>
        <v>표점</v>
      </c>
      <c r="X611" s="184" t="str">
        <f ca="1">OFFSET('배치점수 계산기'!N$10,$D611,0)</f>
        <v>변표</v>
      </c>
      <c r="Y611" s="188">
        <f ca="1">OFFSET(환산공식!FW$15,$F611,0)</f>
        <v>0.28999999999999998</v>
      </c>
      <c r="Z611" s="20">
        <f ca="1">OFFSET(환산공식!FX$15,$F611,0)</f>
        <v>0.43</v>
      </c>
      <c r="AA611" s="179">
        <f ca="1">OFFSET(환산공식!FY$15,$F611,0)</f>
        <v>0.28999999999999998</v>
      </c>
      <c r="AB611" s="3"/>
      <c r="AD611">
        <f t="shared" ca="1" si="20"/>
        <v>6</v>
      </c>
      <c r="AF611" s="3"/>
      <c r="AG611" s="3"/>
      <c r="AH611" s="3"/>
    </row>
    <row r="612" spans="1:34">
      <c r="A612" s="198"/>
      <c r="B612" s="198"/>
      <c r="C612" s="198" t="s">
        <v>1173</v>
      </c>
      <c r="D612" s="195">
        <v>665</v>
      </c>
      <c r="E612" s="195">
        <v>195</v>
      </c>
      <c r="F612" s="195">
        <v>195</v>
      </c>
      <c r="G612" s="239">
        <v>605</v>
      </c>
      <c r="H612" s="197" t="s">
        <v>72</v>
      </c>
      <c r="I612" s="242" t="s">
        <v>215</v>
      </c>
      <c r="J612" s="242" t="s">
        <v>10769</v>
      </c>
      <c r="K612" s="195" t="s">
        <v>70</v>
      </c>
      <c r="L612" s="20" t="str">
        <f ca="1">IF(OFFSET(환산공식!$ED$15,$F612,0)=1,"O","X")</f>
        <v>X</v>
      </c>
      <c r="M612" s="188">
        <f ca="1">IFERROR(OFFSET(환산공식!DJ$15,$F612,0),"")</f>
        <v>125</v>
      </c>
      <c r="N612" s="20" t="str">
        <f ca="1">IFERROR(CONCATENATE(ROUND(OFFSET(환산공식!DK$15,$F612,0),1),"%"),"")</f>
        <v>100%</v>
      </c>
      <c r="O612" s="20">
        <f ca="1">IFERROR(OFFSET(환산공식!DL$15,$F612,0),"")</f>
        <v>10</v>
      </c>
      <c r="P612" s="188" t="str">
        <f t="shared" ca="1" si="19"/>
        <v>3% 이하</v>
      </c>
      <c r="Q612" s="194">
        <f ca="1">IFERROR(ROUND(OFFSET(환산공식!$FG$15,$F612,0),3),"")</f>
        <v>0</v>
      </c>
      <c r="R612" s="194">
        <f ca="1">OFFSET('배치점수 계산기'!H$10,$D612,0)</f>
        <v>668.38699999999994</v>
      </c>
      <c r="S612" s="194">
        <f ca="1">OFFSET('배치점수 계산기'!I$10,$D612,0)</f>
        <v>665.255</v>
      </c>
      <c r="T612" s="194">
        <f ca="1">OFFSET('배치점수 계산기'!J$10,$D612,0)</f>
        <v>661.67399999999998</v>
      </c>
      <c r="U612" s="194">
        <f ca="1">OFFSET('배치점수 계산기'!K$10,$D612,0)</f>
        <v>657.98500000000001</v>
      </c>
      <c r="V612" s="194">
        <f ca="1">OFFSET('배치점수 계산기'!L$10,$D612,0)</f>
        <v>652.553</v>
      </c>
      <c r="W612" s="186" t="str">
        <f ca="1">OFFSET('배치점수 계산기'!M$10,$D612,0)</f>
        <v>표점</v>
      </c>
      <c r="X612" s="184" t="str">
        <f ca="1">OFFSET('배치점수 계산기'!N$10,$D612,0)</f>
        <v>변표</v>
      </c>
      <c r="Y612" s="188">
        <f ca="1">OFFSET(환산공식!FW$15,$F612,0)</f>
        <v>0.28999999999999998</v>
      </c>
      <c r="Z612" s="20">
        <f ca="1">OFFSET(환산공식!FX$15,$F612,0)</f>
        <v>0.43</v>
      </c>
      <c r="AA612" s="179">
        <f ca="1">OFFSET(환산공식!FY$15,$F612,0)</f>
        <v>0.28999999999999998</v>
      </c>
      <c r="AB612" s="3"/>
      <c r="AD612">
        <f t="shared" ca="1" si="20"/>
        <v>6</v>
      </c>
      <c r="AF612" s="3"/>
      <c r="AG612" s="3"/>
      <c r="AH612" s="3"/>
    </row>
    <row r="613" spans="1:34">
      <c r="A613" s="198"/>
      <c r="B613" s="198"/>
      <c r="C613" s="198" t="s">
        <v>1174</v>
      </c>
      <c r="D613" s="195">
        <v>666</v>
      </c>
      <c r="E613" s="195">
        <v>195</v>
      </c>
      <c r="F613" s="195">
        <v>195</v>
      </c>
      <c r="G613" s="239">
        <v>606</v>
      </c>
      <c r="H613" s="197" t="s">
        <v>72</v>
      </c>
      <c r="I613" s="242" t="s">
        <v>215</v>
      </c>
      <c r="J613" s="242" t="s">
        <v>11222</v>
      </c>
      <c r="K613" s="195" t="s">
        <v>70</v>
      </c>
      <c r="L613" s="20" t="str">
        <f ca="1">IF(OFFSET(환산공식!$ED$15,$F613,0)=1,"O","X")</f>
        <v>X</v>
      </c>
      <c r="M613" s="188">
        <f ca="1">IFERROR(OFFSET(환산공식!DJ$15,$F613,0),"")</f>
        <v>125</v>
      </c>
      <c r="N613" s="20" t="str">
        <f ca="1">IFERROR(CONCATENATE(ROUND(OFFSET(환산공식!DK$15,$F613,0),1),"%"),"")</f>
        <v>100%</v>
      </c>
      <c r="O613" s="20">
        <f ca="1">IFERROR(OFFSET(환산공식!DL$15,$F613,0),"")</f>
        <v>10</v>
      </c>
      <c r="P613" s="188" t="str">
        <f t="shared" ca="1" si="19"/>
        <v>3% 이하</v>
      </c>
      <c r="Q613" s="194">
        <f ca="1">IFERROR(ROUND(OFFSET(환산공식!$FG$15,$F613,0),3),"")</f>
        <v>0</v>
      </c>
      <c r="R613" s="194">
        <f ca="1">OFFSET('배치점수 계산기'!H$10,$D613,0)</f>
        <v>665.06700000000001</v>
      </c>
      <c r="S613" s="194">
        <f ca="1">OFFSET('배치점수 계산기'!I$10,$D613,0)</f>
        <v>663.78700000000003</v>
      </c>
      <c r="T613" s="194">
        <f ca="1">OFFSET('배치점수 계산기'!J$10,$D613,0)</f>
        <v>661.44399999999996</v>
      </c>
      <c r="U613" s="194">
        <f ca="1">OFFSET('배치점수 계산기'!K$10,$D613,0)</f>
        <v>658.86099999999999</v>
      </c>
      <c r="V613" s="194">
        <f ca="1">OFFSET('배치점수 계산기'!L$10,$D613,0)</f>
        <v>654.97699999999998</v>
      </c>
      <c r="W613" s="186" t="str">
        <f ca="1">OFFSET('배치점수 계산기'!M$10,$D613,0)</f>
        <v>표점</v>
      </c>
      <c r="X613" s="184" t="str">
        <f ca="1">OFFSET('배치점수 계산기'!N$10,$D613,0)</f>
        <v>변표</v>
      </c>
      <c r="Y613" s="188">
        <f ca="1">OFFSET(환산공식!FW$15,$F613,0)</f>
        <v>0.28999999999999998</v>
      </c>
      <c r="Z613" s="20">
        <f ca="1">OFFSET(환산공식!FX$15,$F613,0)</f>
        <v>0.43</v>
      </c>
      <c r="AA613" s="179">
        <f ca="1">OFFSET(환산공식!FY$15,$F613,0)</f>
        <v>0.28999999999999998</v>
      </c>
      <c r="AB613" s="3"/>
      <c r="AD613">
        <f t="shared" ca="1" si="20"/>
        <v>6</v>
      </c>
      <c r="AF613" s="3"/>
      <c r="AG613" s="3"/>
      <c r="AH613" s="3"/>
    </row>
    <row r="614" spans="1:34">
      <c r="A614" s="198"/>
      <c r="B614" s="198"/>
      <c r="C614" s="198" t="s">
        <v>1175</v>
      </c>
      <c r="D614" s="195">
        <v>667</v>
      </c>
      <c r="E614" s="195">
        <v>195</v>
      </c>
      <c r="F614" s="195">
        <v>195</v>
      </c>
      <c r="G614" s="239">
        <v>607</v>
      </c>
      <c r="H614" s="197" t="s">
        <v>72</v>
      </c>
      <c r="I614" s="242" t="s">
        <v>215</v>
      </c>
      <c r="J614" s="242" t="s">
        <v>11233</v>
      </c>
      <c r="K614" s="195" t="s">
        <v>70</v>
      </c>
      <c r="L614" s="20" t="str">
        <f ca="1">IF(OFFSET(환산공식!$ED$15,$F614,0)=1,"O","X")</f>
        <v>X</v>
      </c>
      <c r="M614" s="188">
        <f ca="1">IFERROR(OFFSET(환산공식!DJ$15,$F614,0),"")</f>
        <v>125</v>
      </c>
      <c r="N614" s="20" t="str">
        <f ca="1">IFERROR(CONCATENATE(ROUND(OFFSET(환산공식!DK$15,$F614,0),1),"%"),"")</f>
        <v>100%</v>
      </c>
      <c r="O614" s="20">
        <f ca="1">IFERROR(OFFSET(환산공식!DL$15,$F614,0),"")</f>
        <v>10</v>
      </c>
      <c r="P614" s="188" t="str">
        <f t="shared" ca="1" si="19"/>
        <v>3% 이하</v>
      </c>
      <c r="Q614" s="194">
        <f ca="1">IFERROR(ROUND(OFFSET(환산공식!$FG$15,$F614,0),3),"")</f>
        <v>0</v>
      </c>
      <c r="R614" s="194">
        <f ca="1">OFFSET('배치점수 계산기'!H$10,$D614,0)</f>
        <v>666.56299999999999</v>
      </c>
      <c r="S614" s="194">
        <f ca="1">OFFSET('배치점수 계산기'!I$10,$D614,0)</f>
        <v>663.78700000000003</v>
      </c>
      <c r="T614" s="194">
        <f ca="1">OFFSET('배치점수 계산기'!J$10,$D614,0)</f>
        <v>660.86900000000003</v>
      </c>
      <c r="U614" s="194">
        <f ca="1">OFFSET('배치점수 계산기'!K$10,$D614,0)</f>
        <v>657.63599999999997</v>
      </c>
      <c r="V614" s="194">
        <f ca="1">OFFSET('배치점수 계산기'!L$10,$D614,0)</f>
        <v>652.74</v>
      </c>
      <c r="W614" s="186" t="str">
        <f ca="1">OFFSET('배치점수 계산기'!M$10,$D614,0)</f>
        <v>표점</v>
      </c>
      <c r="X614" s="184" t="str">
        <f ca="1">OFFSET('배치점수 계산기'!N$10,$D614,0)</f>
        <v>변표</v>
      </c>
      <c r="Y614" s="188">
        <f ca="1">OFFSET(환산공식!FW$15,$F614,0)</f>
        <v>0.28999999999999998</v>
      </c>
      <c r="Z614" s="20">
        <f ca="1">OFFSET(환산공식!FX$15,$F614,0)</f>
        <v>0.43</v>
      </c>
      <c r="AA614" s="179">
        <f ca="1">OFFSET(환산공식!FY$15,$F614,0)</f>
        <v>0.28999999999999998</v>
      </c>
      <c r="AB614" s="3"/>
      <c r="AD614">
        <f t="shared" ca="1" si="20"/>
        <v>6</v>
      </c>
      <c r="AF614" s="3"/>
      <c r="AG614" s="3"/>
      <c r="AH614" s="3"/>
    </row>
    <row r="615" spans="1:34">
      <c r="A615" s="198"/>
      <c r="B615" s="198"/>
      <c r="C615" s="198" t="s">
        <v>1176</v>
      </c>
      <c r="D615" s="195">
        <v>668</v>
      </c>
      <c r="E615" s="195">
        <v>195</v>
      </c>
      <c r="F615" s="195">
        <v>195</v>
      </c>
      <c r="G615" s="239">
        <v>608</v>
      </c>
      <c r="H615" s="197" t="s">
        <v>72</v>
      </c>
      <c r="I615" s="242" t="s">
        <v>215</v>
      </c>
      <c r="J615" s="242" t="s">
        <v>11331</v>
      </c>
      <c r="K615" s="195" t="s">
        <v>70</v>
      </c>
      <c r="L615" s="20" t="str">
        <f ca="1">IF(OFFSET(환산공식!$ED$15,$F615,0)=1,"O","X")</f>
        <v>X</v>
      </c>
      <c r="M615" s="188">
        <f ca="1">IFERROR(OFFSET(환산공식!DJ$15,$F615,0),"")</f>
        <v>125</v>
      </c>
      <c r="N615" s="20" t="str">
        <f ca="1">IFERROR(CONCATENATE(ROUND(OFFSET(환산공식!DK$15,$F615,0),1),"%"),"")</f>
        <v>100%</v>
      </c>
      <c r="O615" s="20">
        <f ca="1">IFERROR(OFFSET(환산공식!DL$15,$F615,0),"")</f>
        <v>10</v>
      </c>
      <c r="P615" s="188" t="str">
        <f t="shared" ca="1" si="19"/>
        <v>3% 이하</v>
      </c>
      <c r="Q615" s="194">
        <f ca="1">IFERROR(ROUND(OFFSET(환산공식!$FG$15,$F615,0),3),"")</f>
        <v>0</v>
      </c>
      <c r="R615" s="194">
        <f ca="1">OFFSET('배치점수 계산기'!H$10,$D615,0)</f>
        <v>664.88300000000004</v>
      </c>
      <c r="S615" s="194">
        <f ca="1">OFFSET('배치점수 계산기'!I$10,$D615,0)</f>
        <v>662.63300000000004</v>
      </c>
      <c r="T615" s="194">
        <f ca="1">OFFSET('배치점수 계산기'!J$10,$D615,0)</f>
        <v>659.46900000000005</v>
      </c>
      <c r="U615" s="194">
        <f ca="1">OFFSET('배치점수 계산기'!K$10,$D615,0)</f>
        <v>655.78399999999999</v>
      </c>
      <c r="V615" s="194">
        <f ca="1">OFFSET('배치점수 계산기'!L$10,$D615,0)</f>
        <v>650.346</v>
      </c>
      <c r="W615" s="186" t="str">
        <f ca="1">OFFSET('배치점수 계산기'!M$10,$D615,0)</f>
        <v>표점</v>
      </c>
      <c r="X615" s="184" t="str">
        <f ca="1">OFFSET('배치점수 계산기'!N$10,$D615,0)</f>
        <v>변표</v>
      </c>
      <c r="Y615" s="188">
        <f ca="1">OFFSET(환산공식!FW$15,$F615,0)</f>
        <v>0.28999999999999998</v>
      </c>
      <c r="Z615" s="20">
        <f ca="1">OFFSET(환산공식!FX$15,$F615,0)</f>
        <v>0.43</v>
      </c>
      <c r="AA615" s="179">
        <f ca="1">OFFSET(환산공식!FY$15,$F615,0)</f>
        <v>0.28999999999999998</v>
      </c>
      <c r="AB615" s="3"/>
      <c r="AD615">
        <f t="shared" ca="1" si="20"/>
        <v>6</v>
      </c>
      <c r="AF615" s="3"/>
      <c r="AG615" s="3"/>
      <c r="AH615" s="3"/>
    </row>
    <row r="616" spans="1:34">
      <c r="A616" s="198"/>
      <c r="B616" s="198"/>
      <c r="C616" s="198" t="s">
        <v>1177</v>
      </c>
      <c r="D616" s="195">
        <v>669</v>
      </c>
      <c r="E616" s="195">
        <v>195</v>
      </c>
      <c r="F616" s="195">
        <v>195</v>
      </c>
      <c r="G616" s="239">
        <v>609</v>
      </c>
      <c r="H616" s="197" t="s">
        <v>72</v>
      </c>
      <c r="I616" s="242" t="s">
        <v>215</v>
      </c>
      <c r="J616" s="242" t="s">
        <v>551</v>
      </c>
      <c r="K616" s="195" t="s">
        <v>70</v>
      </c>
      <c r="L616" s="20" t="str">
        <f ca="1">IF(OFFSET(환산공식!$ED$15,$F616,0)=1,"O","X")</f>
        <v>X</v>
      </c>
      <c r="M616" s="188">
        <f ca="1">IFERROR(OFFSET(환산공식!DJ$15,$F616,0),"")</f>
        <v>125</v>
      </c>
      <c r="N616" s="20" t="str">
        <f ca="1">IFERROR(CONCATENATE(ROUND(OFFSET(환산공식!DK$15,$F616,0),1),"%"),"")</f>
        <v>100%</v>
      </c>
      <c r="O616" s="20">
        <f ca="1">IFERROR(OFFSET(환산공식!DL$15,$F616,0),"")</f>
        <v>10</v>
      </c>
      <c r="P616" s="188" t="str">
        <f t="shared" ca="1" si="19"/>
        <v>3% 이하</v>
      </c>
      <c r="Q616" s="194">
        <f ca="1">IFERROR(ROUND(OFFSET(환산공식!$FG$15,$F616,0),3),"")</f>
        <v>0</v>
      </c>
      <c r="R616" s="194">
        <f ca="1">OFFSET('배치점수 계산기'!H$10,$D616,0)</f>
        <v>663.91200000000003</v>
      </c>
      <c r="S616" s="194">
        <f ca="1">OFFSET('배치점수 계산기'!I$10,$D616,0)</f>
        <v>662.15</v>
      </c>
      <c r="T616" s="194">
        <f ca="1">OFFSET('배치점수 계산기'!J$10,$D616,0)</f>
        <v>659.34299999999996</v>
      </c>
      <c r="U616" s="194">
        <f ca="1">OFFSET('배치점수 계산기'!K$10,$D616,0)</f>
        <v>656.12099999999998</v>
      </c>
      <c r="V616" s="194">
        <f ca="1">OFFSET('배치점수 계산기'!L$10,$D616,0)</f>
        <v>651.25099999999998</v>
      </c>
      <c r="W616" s="186" t="str">
        <f ca="1">OFFSET('배치점수 계산기'!M$10,$D616,0)</f>
        <v>표점</v>
      </c>
      <c r="X616" s="184" t="str">
        <f ca="1">OFFSET('배치점수 계산기'!N$10,$D616,0)</f>
        <v>변표</v>
      </c>
      <c r="Y616" s="188">
        <f ca="1">OFFSET(환산공식!FW$15,$F616,0)</f>
        <v>0.28999999999999998</v>
      </c>
      <c r="Z616" s="20">
        <f ca="1">OFFSET(환산공식!FX$15,$F616,0)</f>
        <v>0.43</v>
      </c>
      <c r="AA616" s="179">
        <f ca="1">OFFSET(환산공식!FY$15,$F616,0)</f>
        <v>0.28999999999999998</v>
      </c>
      <c r="AB616" s="3"/>
      <c r="AD616">
        <f t="shared" ca="1" si="20"/>
        <v>6</v>
      </c>
      <c r="AF616" s="3"/>
      <c r="AG616" s="3"/>
      <c r="AH616" s="3"/>
    </row>
    <row r="617" spans="1:34">
      <c r="A617" s="198"/>
      <c r="B617" s="198"/>
      <c r="C617" s="198" t="s">
        <v>1178</v>
      </c>
      <c r="D617" s="195">
        <v>670</v>
      </c>
      <c r="E617" s="195">
        <v>195</v>
      </c>
      <c r="F617" s="195">
        <v>195</v>
      </c>
      <c r="G617" s="239">
        <v>610</v>
      </c>
      <c r="H617" s="197" t="s">
        <v>72</v>
      </c>
      <c r="I617" s="242" t="s">
        <v>215</v>
      </c>
      <c r="J617" s="242" t="s">
        <v>8316</v>
      </c>
      <c r="K617" s="195" t="s">
        <v>70</v>
      </c>
      <c r="L617" s="20" t="str">
        <f ca="1">IF(OFFSET(환산공식!$ED$15,$F617,0)=1,"O","X")</f>
        <v>X</v>
      </c>
      <c r="M617" s="188">
        <f ca="1">IFERROR(OFFSET(환산공식!DJ$15,$F617,0),"")</f>
        <v>125</v>
      </c>
      <c r="N617" s="20" t="str">
        <f ca="1">IFERROR(CONCATENATE(ROUND(OFFSET(환산공식!DK$15,$F617,0),1),"%"),"")</f>
        <v>100%</v>
      </c>
      <c r="O617" s="20">
        <f ca="1">IFERROR(OFFSET(환산공식!DL$15,$F617,0),"")</f>
        <v>10</v>
      </c>
      <c r="P617" s="188" t="str">
        <f t="shared" ca="1" si="19"/>
        <v>3% 이하</v>
      </c>
      <c r="Q617" s="194">
        <f ca="1">IFERROR(ROUND(OFFSET(환산공식!$FG$15,$F617,0),3),"")</f>
        <v>0</v>
      </c>
      <c r="R617" s="194">
        <f ca="1">OFFSET('배치점수 계산기'!H$10,$D617,0)</f>
        <v>663.02499999999998</v>
      </c>
      <c r="S617" s="194">
        <f ca="1">OFFSET('배치점수 계산기'!I$10,$D617,0)</f>
        <v>661.44399999999996</v>
      </c>
      <c r="T617" s="194">
        <f ca="1">OFFSET('배치점수 계산기'!J$10,$D617,0)</f>
        <v>658.56399999999996</v>
      </c>
      <c r="U617" s="194">
        <f ca="1">OFFSET('배치점수 계산기'!K$10,$D617,0)</f>
        <v>652.28099999999995</v>
      </c>
      <c r="V617" s="194">
        <f ca="1">OFFSET('배치점수 계산기'!L$10,$D617,0)</f>
        <v>645.73</v>
      </c>
      <c r="W617" s="186" t="str">
        <f ca="1">OFFSET('배치점수 계산기'!M$10,$D617,0)</f>
        <v>표점</v>
      </c>
      <c r="X617" s="184" t="str">
        <f ca="1">OFFSET('배치점수 계산기'!N$10,$D617,0)</f>
        <v>변표</v>
      </c>
      <c r="Y617" s="188">
        <f ca="1">OFFSET(환산공식!FW$15,$F617,0)</f>
        <v>0.28999999999999998</v>
      </c>
      <c r="Z617" s="20">
        <f ca="1">OFFSET(환산공식!FX$15,$F617,0)</f>
        <v>0.43</v>
      </c>
      <c r="AA617" s="179">
        <f ca="1">OFFSET(환산공식!FY$15,$F617,0)</f>
        <v>0.28999999999999998</v>
      </c>
      <c r="AB617" s="3"/>
      <c r="AD617">
        <f t="shared" ca="1" si="20"/>
        <v>6</v>
      </c>
      <c r="AF617" s="3"/>
      <c r="AG617" s="3"/>
      <c r="AH617" s="3"/>
    </row>
    <row r="618" spans="1:34">
      <c r="A618" s="198"/>
      <c r="B618" s="198"/>
      <c r="C618" s="198" t="s">
        <v>1179</v>
      </c>
      <c r="D618" s="195">
        <v>671</v>
      </c>
      <c r="E618" s="195">
        <v>195</v>
      </c>
      <c r="F618" s="195">
        <v>195</v>
      </c>
      <c r="G618" s="239">
        <v>611</v>
      </c>
      <c r="H618" s="197" t="s">
        <v>72</v>
      </c>
      <c r="I618" s="242" t="s">
        <v>215</v>
      </c>
      <c r="J618" s="242" t="s">
        <v>541</v>
      </c>
      <c r="K618" s="195" t="s">
        <v>70</v>
      </c>
      <c r="L618" s="20" t="str">
        <f ca="1">IF(OFFSET(환산공식!$ED$15,$F618,0)=1,"O","X")</f>
        <v>X</v>
      </c>
      <c r="M618" s="188">
        <f ca="1">IFERROR(OFFSET(환산공식!DJ$15,$F618,0),"")</f>
        <v>125</v>
      </c>
      <c r="N618" s="20" t="str">
        <f ca="1">IFERROR(CONCATENATE(ROUND(OFFSET(환산공식!DK$15,$F618,0),1),"%"),"")</f>
        <v>100%</v>
      </c>
      <c r="O618" s="20">
        <f ca="1">IFERROR(OFFSET(환산공식!DL$15,$F618,0),"")</f>
        <v>10</v>
      </c>
      <c r="P618" s="188" t="str">
        <f t="shared" ca="1" si="19"/>
        <v>3% 이하</v>
      </c>
      <c r="Q618" s="194">
        <f ca="1">IFERROR(ROUND(OFFSET(환산공식!$FG$15,$F618,0),3),"")</f>
        <v>0</v>
      </c>
      <c r="R618" s="194">
        <f ca="1">OFFSET('배치점수 계산기'!H$10,$D618,0)</f>
        <v>663.02499999999998</v>
      </c>
      <c r="S618" s="194">
        <f ca="1">OFFSET('배치점수 계산기'!I$10,$D618,0)</f>
        <v>661.44399999999996</v>
      </c>
      <c r="T618" s="194">
        <f ca="1">OFFSET('배치점수 계산기'!J$10,$D618,0)</f>
        <v>658.56399999999996</v>
      </c>
      <c r="U618" s="194">
        <f ca="1">OFFSET('배치점수 계산기'!K$10,$D618,0)</f>
        <v>652.28099999999995</v>
      </c>
      <c r="V618" s="194">
        <f ca="1">OFFSET('배치점수 계산기'!L$10,$D618,0)</f>
        <v>645.73</v>
      </c>
      <c r="W618" s="186" t="str">
        <f ca="1">OFFSET('배치점수 계산기'!M$10,$D618,0)</f>
        <v>표점</v>
      </c>
      <c r="X618" s="184" t="str">
        <f ca="1">OFFSET('배치점수 계산기'!N$10,$D618,0)</f>
        <v>변표</v>
      </c>
      <c r="Y618" s="188">
        <f ca="1">OFFSET(환산공식!FW$15,$F618,0)</f>
        <v>0.28999999999999998</v>
      </c>
      <c r="Z618" s="20">
        <f ca="1">OFFSET(환산공식!FX$15,$F618,0)</f>
        <v>0.43</v>
      </c>
      <c r="AA618" s="179">
        <f ca="1">OFFSET(환산공식!FY$15,$F618,0)</f>
        <v>0.28999999999999998</v>
      </c>
      <c r="AB618" s="3"/>
      <c r="AD618">
        <f t="shared" ca="1" si="20"/>
        <v>6</v>
      </c>
      <c r="AF618" s="3"/>
      <c r="AG618" s="3"/>
      <c r="AH618" s="3"/>
    </row>
    <row r="619" spans="1:34">
      <c r="A619" s="198"/>
      <c r="B619" s="198"/>
      <c r="C619" s="198" t="s">
        <v>1180</v>
      </c>
      <c r="D619" s="195">
        <v>672</v>
      </c>
      <c r="E619" s="195">
        <v>195</v>
      </c>
      <c r="F619" s="195">
        <v>195</v>
      </c>
      <c r="G619" s="239">
        <v>612</v>
      </c>
      <c r="H619" s="197" t="s">
        <v>72</v>
      </c>
      <c r="I619" s="242" t="s">
        <v>215</v>
      </c>
      <c r="J619" s="242" t="s">
        <v>8224</v>
      </c>
      <c r="K619" s="195" t="s">
        <v>70</v>
      </c>
      <c r="L619" s="20" t="str">
        <f ca="1">IF(OFFSET(환산공식!$ED$15,$F619,0)=1,"O","X")</f>
        <v>X</v>
      </c>
      <c r="M619" s="188">
        <f ca="1">IFERROR(OFFSET(환산공식!DJ$15,$F619,0),"")</f>
        <v>125</v>
      </c>
      <c r="N619" s="20" t="str">
        <f ca="1">IFERROR(CONCATENATE(ROUND(OFFSET(환산공식!DK$15,$F619,0),1),"%"),"")</f>
        <v>100%</v>
      </c>
      <c r="O619" s="20">
        <f ca="1">IFERROR(OFFSET(환산공식!DL$15,$F619,0),"")</f>
        <v>10</v>
      </c>
      <c r="P619" s="188" t="str">
        <f t="shared" ca="1" si="19"/>
        <v>3% 이하</v>
      </c>
      <c r="Q619" s="194">
        <f ca="1">IFERROR(ROUND(OFFSET(환산공식!$FG$15,$F619,0),3),"")</f>
        <v>0</v>
      </c>
      <c r="R619" s="194">
        <f ca="1">OFFSET('배치점수 계산기'!H$10,$D619,0)</f>
        <v>663.02499999999998</v>
      </c>
      <c r="S619" s="194">
        <f ca="1">OFFSET('배치점수 계산기'!I$10,$D619,0)</f>
        <v>661.44399999999996</v>
      </c>
      <c r="T619" s="194">
        <f ca="1">OFFSET('배치점수 계산기'!J$10,$D619,0)</f>
        <v>658.56399999999996</v>
      </c>
      <c r="U619" s="194">
        <f ca="1">OFFSET('배치점수 계산기'!K$10,$D619,0)</f>
        <v>652.28099999999995</v>
      </c>
      <c r="V619" s="194">
        <f ca="1">OFFSET('배치점수 계산기'!L$10,$D619,0)</f>
        <v>645.73</v>
      </c>
      <c r="W619" s="186" t="str">
        <f ca="1">OFFSET('배치점수 계산기'!M$10,$D619,0)</f>
        <v>표점</v>
      </c>
      <c r="X619" s="184" t="str">
        <f ca="1">OFFSET('배치점수 계산기'!N$10,$D619,0)</f>
        <v>변표</v>
      </c>
      <c r="Y619" s="188">
        <f ca="1">OFFSET(환산공식!FW$15,$F619,0)</f>
        <v>0.28999999999999998</v>
      </c>
      <c r="Z619" s="20">
        <f ca="1">OFFSET(환산공식!FX$15,$F619,0)</f>
        <v>0.43</v>
      </c>
      <c r="AA619" s="179">
        <f ca="1">OFFSET(환산공식!FY$15,$F619,0)</f>
        <v>0.28999999999999998</v>
      </c>
      <c r="AB619" s="3"/>
      <c r="AD619">
        <f t="shared" ca="1" si="20"/>
        <v>6</v>
      </c>
      <c r="AF619" s="3"/>
      <c r="AG619" s="3"/>
      <c r="AH619" s="3"/>
    </row>
    <row r="620" spans="1:34">
      <c r="A620" s="198"/>
      <c r="B620" s="198"/>
      <c r="C620" s="198" t="s">
        <v>1181</v>
      </c>
      <c r="D620" s="195">
        <v>673</v>
      </c>
      <c r="E620" s="195">
        <v>195</v>
      </c>
      <c r="F620" s="195">
        <v>195</v>
      </c>
      <c r="G620" s="239">
        <v>613</v>
      </c>
      <c r="H620" s="197" t="s">
        <v>72</v>
      </c>
      <c r="I620" s="242" t="s">
        <v>215</v>
      </c>
      <c r="J620" s="242" t="s">
        <v>11541</v>
      </c>
      <c r="K620" s="195" t="s">
        <v>70</v>
      </c>
      <c r="L620" s="20" t="str">
        <f ca="1">IF(OFFSET(환산공식!$ED$15,$F620,0)=1,"O","X")</f>
        <v>X</v>
      </c>
      <c r="M620" s="188">
        <f ca="1">IFERROR(OFFSET(환산공식!DJ$15,$F620,0),"")</f>
        <v>125</v>
      </c>
      <c r="N620" s="20" t="str">
        <f ca="1">IFERROR(CONCATENATE(ROUND(OFFSET(환산공식!DK$15,$F620,0),1),"%"),"")</f>
        <v>100%</v>
      </c>
      <c r="O620" s="20">
        <f ca="1">IFERROR(OFFSET(환산공식!DL$15,$F620,0),"")</f>
        <v>10</v>
      </c>
      <c r="P620" s="188" t="str">
        <f t="shared" ca="1" si="19"/>
        <v>3% 이하</v>
      </c>
      <c r="Q620" s="194">
        <f ca="1">IFERROR(ROUND(OFFSET(환산공식!$FG$15,$F620,0),3),"")</f>
        <v>0</v>
      </c>
      <c r="R620" s="194">
        <f ca="1">OFFSET('배치점수 계산기'!H$10,$D620,0)</f>
        <v>662.91899999999998</v>
      </c>
      <c r="S620" s="194">
        <f ca="1">OFFSET('배치점수 계산기'!I$10,$D620,0)</f>
        <v>660.65700000000004</v>
      </c>
      <c r="T620" s="194">
        <f ca="1">OFFSET('배치점수 계산기'!J$10,$D620,0)</f>
        <v>656.99699999999996</v>
      </c>
      <c r="U620" s="194">
        <f ca="1">OFFSET('배치점수 계산기'!K$10,$D620,0)</f>
        <v>652.553</v>
      </c>
      <c r="V620" s="194">
        <f ca="1">OFFSET('배치점수 계산기'!L$10,$D620,0)</f>
        <v>646.59699999999998</v>
      </c>
      <c r="W620" s="186" t="str">
        <f ca="1">OFFSET('배치점수 계산기'!M$10,$D620,0)</f>
        <v>표점</v>
      </c>
      <c r="X620" s="184" t="str">
        <f ca="1">OFFSET('배치점수 계산기'!N$10,$D620,0)</f>
        <v>변표</v>
      </c>
      <c r="Y620" s="188">
        <f ca="1">OFFSET(환산공식!FW$15,$F620,0)</f>
        <v>0.28999999999999998</v>
      </c>
      <c r="Z620" s="20">
        <f ca="1">OFFSET(환산공식!FX$15,$F620,0)</f>
        <v>0.43</v>
      </c>
      <c r="AA620" s="179">
        <f ca="1">OFFSET(환산공식!FY$15,$F620,0)</f>
        <v>0.28999999999999998</v>
      </c>
      <c r="AB620" s="3"/>
      <c r="AD620">
        <f t="shared" ca="1" si="20"/>
        <v>6</v>
      </c>
      <c r="AF620" s="3"/>
      <c r="AG620" s="3"/>
      <c r="AH620" s="3"/>
    </row>
    <row r="621" spans="1:34">
      <c r="A621" s="198"/>
      <c r="B621" s="198"/>
      <c r="C621" s="198" t="s">
        <v>1182</v>
      </c>
      <c r="D621" s="195">
        <v>674</v>
      </c>
      <c r="E621" s="195">
        <v>195</v>
      </c>
      <c r="F621" s="195">
        <v>195</v>
      </c>
      <c r="G621" s="239">
        <v>614</v>
      </c>
      <c r="H621" s="197" t="s">
        <v>72</v>
      </c>
      <c r="I621" s="242" t="s">
        <v>215</v>
      </c>
      <c r="J621" s="242" t="s">
        <v>9339</v>
      </c>
      <c r="K621" s="195" t="s">
        <v>70</v>
      </c>
      <c r="L621" s="20" t="str">
        <f ca="1">IF(OFFSET(환산공식!$ED$15,$F621,0)=1,"O","X")</f>
        <v>X</v>
      </c>
      <c r="M621" s="188">
        <f ca="1">IFERROR(OFFSET(환산공식!DJ$15,$F621,0),"")</f>
        <v>125</v>
      </c>
      <c r="N621" s="20" t="str">
        <f ca="1">IFERROR(CONCATENATE(ROUND(OFFSET(환산공식!DK$15,$F621,0),1),"%"),"")</f>
        <v>100%</v>
      </c>
      <c r="O621" s="20">
        <f ca="1">IFERROR(OFFSET(환산공식!DL$15,$F621,0),"")</f>
        <v>10</v>
      </c>
      <c r="P621" s="188" t="str">
        <f t="shared" ca="1" si="19"/>
        <v>3% 이하</v>
      </c>
      <c r="Q621" s="194">
        <f ca="1">IFERROR(ROUND(OFFSET(환산공식!$FG$15,$F621,0),3),"")</f>
        <v>0</v>
      </c>
      <c r="R621" s="194">
        <f ca="1">OFFSET('배치점수 계산기'!H$10,$D621,0)</f>
        <v>661.08799999999997</v>
      </c>
      <c r="S621" s="194">
        <f ca="1">OFFSET('배치점수 계산기'!I$10,$D621,0)</f>
        <v>659.34299999999996</v>
      </c>
      <c r="T621" s="194">
        <f ca="1">OFFSET('배치점수 계산기'!J$10,$D621,0)</f>
        <v>656.01499999999999</v>
      </c>
      <c r="U621" s="194">
        <f ca="1">OFFSET('배치점수 계산기'!K$10,$D621,0)</f>
        <v>652.28099999999995</v>
      </c>
      <c r="V621" s="194">
        <f ca="1">OFFSET('배치점수 계산기'!L$10,$D621,0)</f>
        <v>647.00099999999998</v>
      </c>
      <c r="W621" s="186" t="str">
        <f ca="1">OFFSET('배치점수 계산기'!M$10,$D621,0)</f>
        <v>표점</v>
      </c>
      <c r="X621" s="184" t="str">
        <f ca="1">OFFSET('배치점수 계산기'!N$10,$D621,0)</f>
        <v>변표</v>
      </c>
      <c r="Y621" s="188">
        <f ca="1">OFFSET(환산공식!FW$15,$F621,0)</f>
        <v>0.28999999999999998</v>
      </c>
      <c r="Z621" s="20">
        <f ca="1">OFFSET(환산공식!FX$15,$F621,0)</f>
        <v>0.43</v>
      </c>
      <c r="AA621" s="179">
        <f ca="1">OFFSET(환산공식!FY$15,$F621,0)</f>
        <v>0.28999999999999998</v>
      </c>
      <c r="AB621" s="3"/>
      <c r="AD621">
        <f t="shared" ca="1" si="20"/>
        <v>6</v>
      </c>
      <c r="AF621" s="3"/>
      <c r="AG621" s="3"/>
      <c r="AH621" s="3"/>
    </row>
    <row r="622" spans="1:34">
      <c r="A622" s="198"/>
      <c r="B622" s="198"/>
      <c r="C622" s="198" t="s">
        <v>1183</v>
      </c>
      <c r="D622" s="195">
        <v>675</v>
      </c>
      <c r="E622" s="195">
        <v>195</v>
      </c>
      <c r="F622" s="195">
        <v>195</v>
      </c>
      <c r="G622" s="239">
        <v>615</v>
      </c>
      <c r="H622" s="197" t="s">
        <v>72</v>
      </c>
      <c r="I622" s="242" t="s">
        <v>215</v>
      </c>
      <c r="J622" s="242" t="s">
        <v>11657</v>
      </c>
      <c r="K622" s="195" t="s">
        <v>70</v>
      </c>
      <c r="L622" s="20" t="str">
        <f ca="1">IF(OFFSET(환산공식!$ED$15,$F622,0)=1,"O","X")</f>
        <v>X</v>
      </c>
      <c r="M622" s="188">
        <f ca="1">IFERROR(OFFSET(환산공식!DJ$15,$F622,0),"")</f>
        <v>125</v>
      </c>
      <c r="N622" s="20" t="str">
        <f ca="1">IFERROR(CONCATENATE(ROUND(OFFSET(환산공식!DK$15,$F622,0),1),"%"),"")</f>
        <v>100%</v>
      </c>
      <c r="O622" s="20">
        <f ca="1">IFERROR(OFFSET(환산공식!DL$15,$F622,0),"")</f>
        <v>10</v>
      </c>
      <c r="P622" s="188" t="str">
        <f t="shared" ca="1" si="19"/>
        <v>3% 이하</v>
      </c>
      <c r="Q622" s="194">
        <f ca="1">IFERROR(ROUND(OFFSET(환산공식!$FG$15,$F622,0),3),"")</f>
        <v>0</v>
      </c>
      <c r="R622" s="194">
        <f ca="1">OFFSET('배치점수 계산기'!H$10,$D622,0)</f>
        <v>660.57600000000002</v>
      </c>
      <c r="S622" s="194">
        <f ca="1">OFFSET('배치점수 계산기'!I$10,$D622,0)</f>
        <v>658.56399999999996</v>
      </c>
      <c r="T622" s="194">
        <f ca="1">OFFSET('배치점수 계산기'!J$10,$D622,0)</f>
        <v>654.76499999999999</v>
      </c>
      <c r="U622" s="194">
        <f ca="1">OFFSET('배치점수 계산기'!K$10,$D622,0)</f>
        <v>650.346</v>
      </c>
      <c r="V622" s="194">
        <f ca="1">OFFSET('배치점수 계산기'!L$10,$D622,0)</f>
        <v>644.39800000000002</v>
      </c>
      <c r="W622" s="186" t="str">
        <f ca="1">OFFSET('배치점수 계산기'!M$10,$D622,0)</f>
        <v>표점</v>
      </c>
      <c r="X622" s="184" t="str">
        <f ca="1">OFFSET('배치점수 계산기'!N$10,$D622,0)</f>
        <v>변표</v>
      </c>
      <c r="Y622" s="188">
        <f ca="1">OFFSET(환산공식!FW$15,$F622,0)</f>
        <v>0.28999999999999998</v>
      </c>
      <c r="Z622" s="20">
        <f ca="1">OFFSET(환산공식!FX$15,$F622,0)</f>
        <v>0.43</v>
      </c>
      <c r="AA622" s="179">
        <f ca="1">OFFSET(환산공식!FY$15,$F622,0)</f>
        <v>0.28999999999999998</v>
      </c>
      <c r="AB622" s="3"/>
      <c r="AD622">
        <f t="shared" ca="1" si="20"/>
        <v>6</v>
      </c>
      <c r="AF622" s="3"/>
      <c r="AG622" s="3"/>
      <c r="AH622" s="3"/>
    </row>
    <row r="623" spans="1:34">
      <c r="A623" s="198"/>
      <c r="B623" s="198"/>
      <c r="C623" s="198" t="s">
        <v>1184</v>
      </c>
      <c r="D623" s="195">
        <v>676</v>
      </c>
      <c r="E623" s="195">
        <v>195</v>
      </c>
      <c r="F623" s="195">
        <v>195</v>
      </c>
      <c r="G623" s="239">
        <v>616</v>
      </c>
      <c r="H623" s="197" t="s">
        <v>72</v>
      </c>
      <c r="I623" s="242" t="s">
        <v>215</v>
      </c>
      <c r="J623" s="242" t="s">
        <v>11676</v>
      </c>
      <c r="K623" s="195" t="s">
        <v>70</v>
      </c>
      <c r="L623" s="20" t="str">
        <f ca="1">IF(OFFSET(환산공식!$ED$15,$F623,0)=1,"O","X")</f>
        <v>X</v>
      </c>
      <c r="M623" s="188">
        <f ca="1">IFERROR(OFFSET(환산공식!DJ$15,$F623,0),"")</f>
        <v>125</v>
      </c>
      <c r="N623" s="20" t="str">
        <f ca="1">IFERROR(CONCATENATE(ROUND(OFFSET(환산공식!DK$15,$F623,0),1),"%"),"")</f>
        <v>100%</v>
      </c>
      <c r="O623" s="20">
        <f ca="1">IFERROR(OFFSET(환산공식!DL$15,$F623,0),"")</f>
        <v>10</v>
      </c>
      <c r="P623" s="188" t="str">
        <f t="shared" ca="1" si="19"/>
        <v>3% 이하</v>
      </c>
      <c r="Q623" s="194">
        <f ca="1">IFERROR(ROUND(OFFSET(환산공식!$FG$15,$F623,0),3),"")</f>
        <v>0</v>
      </c>
      <c r="R623" s="194">
        <f ca="1">OFFSET('배치점수 계산기'!H$10,$D623,0)</f>
        <v>660.2</v>
      </c>
      <c r="S623" s="194">
        <f ca="1">OFFSET('배치점수 계산기'!I$10,$D623,0)</f>
        <v>658.14499999999998</v>
      </c>
      <c r="T623" s="194">
        <f ca="1">OFFSET('배치점수 계산기'!J$10,$D623,0)</f>
        <v>654.32799999999997</v>
      </c>
      <c r="U623" s="194">
        <f ca="1">OFFSET('배치점수 계산기'!K$10,$D623,0)</f>
        <v>650.01800000000003</v>
      </c>
      <c r="V623" s="194">
        <f ca="1">OFFSET('배치점수 계산기'!L$10,$D623,0)</f>
        <v>644.03800000000001</v>
      </c>
      <c r="W623" s="186" t="str">
        <f ca="1">OFFSET('배치점수 계산기'!M$10,$D623,0)</f>
        <v>표점</v>
      </c>
      <c r="X623" s="184" t="str">
        <f ca="1">OFFSET('배치점수 계산기'!N$10,$D623,0)</f>
        <v>변표</v>
      </c>
      <c r="Y623" s="188">
        <f ca="1">OFFSET(환산공식!FW$15,$F623,0)</f>
        <v>0.28999999999999998</v>
      </c>
      <c r="Z623" s="20">
        <f ca="1">OFFSET(환산공식!FX$15,$F623,0)</f>
        <v>0.43</v>
      </c>
      <c r="AA623" s="179">
        <f ca="1">OFFSET(환산공식!FY$15,$F623,0)</f>
        <v>0.28999999999999998</v>
      </c>
      <c r="AB623" s="3"/>
      <c r="AD623">
        <f t="shared" ca="1" si="20"/>
        <v>6</v>
      </c>
      <c r="AF623" s="3"/>
      <c r="AG623" s="3"/>
      <c r="AH623" s="3"/>
    </row>
    <row r="624" spans="1:34">
      <c r="A624" s="198"/>
      <c r="B624" s="198"/>
      <c r="C624" s="198" t="s">
        <v>1185</v>
      </c>
      <c r="D624" s="195">
        <v>677</v>
      </c>
      <c r="E624" s="195">
        <v>195</v>
      </c>
      <c r="F624" s="195">
        <v>195</v>
      </c>
      <c r="G624" s="239">
        <v>617</v>
      </c>
      <c r="H624" s="197" t="s">
        <v>72</v>
      </c>
      <c r="I624" s="242" t="s">
        <v>215</v>
      </c>
      <c r="J624" s="242" t="s">
        <v>8742</v>
      </c>
      <c r="K624" s="195" t="s">
        <v>70</v>
      </c>
      <c r="L624" s="20" t="str">
        <f ca="1">IF(OFFSET(환산공식!$ED$15,$F624,0)=1,"O","X")</f>
        <v>X</v>
      </c>
      <c r="M624" s="188">
        <f ca="1">IFERROR(OFFSET(환산공식!DJ$15,$F624,0),"")</f>
        <v>125</v>
      </c>
      <c r="N624" s="20" t="str">
        <f ca="1">IFERROR(CONCATENATE(ROUND(OFFSET(환산공식!DK$15,$F624,0),1),"%"),"")</f>
        <v>100%</v>
      </c>
      <c r="O624" s="20">
        <f ca="1">IFERROR(OFFSET(환산공식!DL$15,$F624,0),"")</f>
        <v>10</v>
      </c>
      <c r="P624" s="188" t="str">
        <f t="shared" ca="1" si="19"/>
        <v>3% 이하</v>
      </c>
      <c r="Q624" s="194">
        <f ca="1">IFERROR(ROUND(OFFSET(환산공식!$FG$15,$F624,0),3),"")</f>
        <v>0</v>
      </c>
      <c r="R624" s="194">
        <f ca="1">OFFSET('배치점수 계산기'!H$10,$D624,0)</f>
        <v>656.62199999999996</v>
      </c>
      <c r="S624" s="194">
        <f ca="1">OFFSET('배치점수 계산기'!I$10,$D624,0)</f>
        <v>656.32799999999997</v>
      </c>
      <c r="T624" s="194">
        <f ca="1">OFFSET('배치점수 계산기'!J$10,$D624,0)</f>
        <v>653.56899999999996</v>
      </c>
      <c r="U624" s="194">
        <f ca="1">OFFSET('배치점수 계산기'!K$10,$D624,0)</f>
        <v>647.23199999999997</v>
      </c>
      <c r="V624" s="194">
        <f ca="1">OFFSET('배치점수 계산기'!L$10,$D624,0)</f>
        <v>640.83199999999999</v>
      </c>
      <c r="W624" s="186" t="str">
        <f ca="1">OFFSET('배치점수 계산기'!M$10,$D624,0)</f>
        <v>표점</v>
      </c>
      <c r="X624" s="184" t="str">
        <f ca="1">OFFSET('배치점수 계산기'!N$10,$D624,0)</f>
        <v>변표</v>
      </c>
      <c r="Y624" s="188">
        <f ca="1">OFFSET(환산공식!FW$15,$F624,0)</f>
        <v>0.28999999999999998</v>
      </c>
      <c r="Z624" s="20">
        <f ca="1">OFFSET(환산공식!FX$15,$F624,0)</f>
        <v>0.43</v>
      </c>
      <c r="AA624" s="179">
        <f ca="1">OFFSET(환산공식!FY$15,$F624,0)</f>
        <v>0.28999999999999998</v>
      </c>
      <c r="AB624" s="3"/>
      <c r="AD624">
        <f t="shared" ca="1" si="20"/>
        <v>6</v>
      </c>
      <c r="AF624" s="3"/>
      <c r="AG624" s="3"/>
      <c r="AH624" s="3"/>
    </row>
    <row r="625" spans="1:34">
      <c r="A625" s="198"/>
      <c r="B625" s="198"/>
      <c r="C625" s="198" t="s">
        <v>1186</v>
      </c>
      <c r="D625" s="195">
        <v>678</v>
      </c>
      <c r="E625" s="195">
        <v>195</v>
      </c>
      <c r="F625" s="195">
        <v>195</v>
      </c>
      <c r="G625" s="239">
        <v>618</v>
      </c>
      <c r="H625" s="197" t="s">
        <v>72</v>
      </c>
      <c r="I625" s="242" t="s">
        <v>215</v>
      </c>
      <c r="J625" s="242" t="s">
        <v>11782</v>
      </c>
      <c r="K625" s="195" t="s">
        <v>70</v>
      </c>
      <c r="L625" s="20" t="str">
        <f ca="1">IF(OFFSET(환산공식!$ED$15,$F625,0)=1,"O","X")</f>
        <v>X</v>
      </c>
      <c r="M625" s="188">
        <f ca="1">IFERROR(OFFSET(환산공식!DJ$15,$F625,0),"")</f>
        <v>125</v>
      </c>
      <c r="N625" s="20" t="str">
        <f ca="1">IFERROR(CONCATENATE(ROUND(OFFSET(환산공식!DK$15,$F625,0),1),"%"),"")</f>
        <v>100%</v>
      </c>
      <c r="O625" s="20">
        <f ca="1">IFERROR(OFFSET(환산공식!DL$15,$F625,0),"")</f>
        <v>10</v>
      </c>
      <c r="P625" s="188" t="str">
        <f t="shared" ca="1" si="19"/>
        <v>3% 이하</v>
      </c>
      <c r="Q625" s="194">
        <f ca="1">IFERROR(ROUND(OFFSET(환산공식!$FG$15,$F625,0),3),"")</f>
        <v>0</v>
      </c>
      <c r="R625" s="194">
        <f ca="1">OFFSET('배치점수 계산기'!H$10,$D625,0)</f>
        <v>658.56399999999996</v>
      </c>
      <c r="S625" s="194">
        <f ca="1">OFFSET('배치점수 계산기'!I$10,$D625,0)</f>
        <v>656.32799999999997</v>
      </c>
      <c r="T625" s="194">
        <f ca="1">OFFSET('배치점수 계산기'!J$10,$D625,0)</f>
        <v>652.74</v>
      </c>
      <c r="U625" s="194">
        <f ca="1">OFFSET('배치점수 계산기'!K$10,$D625,0)</f>
        <v>648.26900000000001</v>
      </c>
      <c r="V625" s="194">
        <f ca="1">OFFSET('배치점수 계산기'!L$10,$D625,0)</f>
        <v>642.29600000000005</v>
      </c>
      <c r="W625" s="186" t="str">
        <f ca="1">OFFSET('배치점수 계산기'!M$10,$D625,0)</f>
        <v>표점</v>
      </c>
      <c r="X625" s="184" t="str">
        <f ca="1">OFFSET('배치점수 계산기'!N$10,$D625,0)</f>
        <v>변표</v>
      </c>
      <c r="Y625" s="188">
        <f ca="1">OFFSET(환산공식!FW$15,$F625,0)</f>
        <v>0.28999999999999998</v>
      </c>
      <c r="Z625" s="20">
        <f ca="1">OFFSET(환산공식!FX$15,$F625,0)</f>
        <v>0.43</v>
      </c>
      <c r="AA625" s="179">
        <f ca="1">OFFSET(환산공식!FY$15,$F625,0)</f>
        <v>0.28999999999999998</v>
      </c>
      <c r="AB625" s="3"/>
      <c r="AD625">
        <f t="shared" ca="1" si="20"/>
        <v>6</v>
      </c>
      <c r="AF625" s="3"/>
      <c r="AG625" s="3"/>
      <c r="AH625" s="3"/>
    </row>
    <row r="626" spans="1:34">
      <c r="A626" s="198"/>
      <c r="B626" s="198"/>
      <c r="C626" s="198" t="s">
        <v>1187</v>
      </c>
      <c r="D626" s="195">
        <v>679</v>
      </c>
      <c r="E626" s="195">
        <v>195</v>
      </c>
      <c r="F626" s="195">
        <v>195</v>
      </c>
      <c r="G626" s="239">
        <v>619</v>
      </c>
      <c r="H626" s="197" t="s">
        <v>72</v>
      </c>
      <c r="I626" s="242" t="s">
        <v>215</v>
      </c>
      <c r="J626" s="242" t="s">
        <v>11954</v>
      </c>
      <c r="K626" s="195" t="s">
        <v>70</v>
      </c>
      <c r="L626" s="20" t="str">
        <f ca="1">IF(OFFSET(환산공식!$ED$15,$F626,0)=1,"O","X")</f>
        <v>X</v>
      </c>
      <c r="M626" s="188">
        <f ca="1">IFERROR(OFFSET(환산공식!DJ$15,$F626,0),"")</f>
        <v>125</v>
      </c>
      <c r="N626" s="20" t="str">
        <f ca="1">IFERROR(CONCATENATE(ROUND(OFFSET(환산공식!DK$15,$F626,0),1),"%"),"")</f>
        <v>100%</v>
      </c>
      <c r="O626" s="20">
        <f ca="1">IFERROR(OFFSET(환산공식!DL$15,$F626,0),"")</f>
        <v>10</v>
      </c>
      <c r="P626" s="188" t="str">
        <f t="shared" ca="1" si="19"/>
        <v>3% 이하</v>
      </c>
      <c r="Q626" s="194">
        <f ca="1">IFERROR(ROUND(OFFSET(환산공식!$FG$15,$F626,0),3),"")</f>
        <v>0</v>
      </c>
      <c r="R626" s="194">
        <f ca="1">OFFSET('배치점수 계산기'!H$10,$D626,0)</f>
        <v>656.32799999999997</v>
      </c>
      <c r="S626" s="194">
        <f ca="1">OFFSET('배치점수 계산기'!I$10,$D626,0)</f>
        <v>654.32799999999997</v>
      </c>
      <c r="T626" s="194">
        <f ca="1">OFFSET('배치점수 계산기'!J$10,$D626,0)</f>
        <v>650.57799999999997</v>
      </c>
      <c r="U626" s="194">
        <f ca="1">OFFSET('배치점수 계산기'!K$10,$D626,0)</f>
        <v>646.28499999999997</v>
      </c>
      <c r="V626" s="194">
        <f ca="1">OFFSET('배치점수 계산기'!L$10,$D626,0)</f>
        <v>640.29600000000005</v>
      </c>
      <c r="W626" s="186" t="str">
        <f ca="1">OFFSET('배치점수 계산기'!M$10,$D626,0)</f>
        <v>표점</v>
      </c>
      <c r="X626" s="184" t="str">
        <f ca="1">OFFSET('배치점수 계산기'!N$10,$D626,0)</f>
        <v>변표</v>
      </c>
      <c r="Y626" s="188">
        <f ca="1">OFFSET(환산공식!FW$15,$F626,0)</f>
        <v>0.28999999999999998</v>
      </c>
      <c r="Z626" s="20">
        <f ca="1">OFFSET(환산공식!FX$15,$F626,0)</f>
        <v>0.43</v>
      </c>
      <c r="AA626" s="179">
        <f ca="1">OFFSET(환산공식!FY$15,$F626,0)</f>
        <v>0.28999999999999998</v>
      </c>
      <c r="AB626" s="3"/>
      <c r="AD626">
        <f t="shared" ca="1" si="20"/>
        <v>6</v>
      </c>
      <c r="AF626" s="3"/>
      <c r="AG626" s="3"/>
      <c r="AH626" s="3"/>
    </row>
    <row r="627" spans="1:34">
      <c r="A627" s="198"/>
      <c r="B627" s="198"/>
      <c r="C627" s="198" t="s">
        <v>1188</v>
      </c>
      <c r="D627" s="195">
        <v>680</v>
      </c>
      <c r="E627" s="195">
        <v>195</v>
      </c>
      <c r="F627" s="195">
        <v>195</v>
      </c>
      <c r="G627" s="239">
        <v>620</v>
      </c>
      <c r="H627" s="197" t="s">
        <v>72</v>
      </c>
      <c r="I627" s="242" t="s">
        <v>215</v>
      </c>
      <c r="J627" s="242" t="s">
        <v>12277</v>
      </c>
      <c r="K627" s="195" t="s">
        <v>70</v>
      </c>
      <c r="L627" s="20" t="str">
        <f ca="1">IF(OFFSET(환산공식!$ED$15,$F627,0)=1,"O","X")</f>
        <v>X</v>
      </c>
      <c r="M627" s="188">
        <f ca="1">IFERROR(OFFSET(환산공식!DJ$15,$F627,0),"")</f>
        <v>125</v>
      </c>
      <c r="N627" s="20" t="str">
        <f ca="1">IFERROR(CONCATENATE(ROUND(OFFSET(환산공식!DK$15,$F627,0),1),"%"),"")</f>
        <v>100%</v>
      </c>
      <c r="O627" s="20">
        <f ca="1">IFERROR(OFFSET(환산공식!DL$15,$F627,0),"")</f>
        <v>10</v>
      </c>
      <c r="P627" s="188" t="str">
        <f t="shared" ca="1" si="19"/>
        <v>3% 이하</v>
      </c>
      <c r="Q627" s="194">
        <f ca="1">IFERROR(ROUND(OFFSET(환산공식!$FG$15,$F627,0),3),"")</f>
        <v>0</v>
      </c>
      <c r="R627" s="194">
        <f ca="1">OFFSET('배치점수 계산기'!H$10,$D627,0)</f>
        <v>651.35699999999997</v>
      </c>
      <c r="S627" s="194">
        <f ca="1">OFFSET('배치점수 계산기'!I$10,$D627,0)</f>
        <v>649.45600000000002</v>
      </c>
      <c r="T627" s="194">
        <f ca="1">OFFSET('배치점수 계산기'!J$10,$D627,0)</f>
        <v>645.41700000000003</v>
      </c>
      <c r="U627" s="194">
        <f ca="1">OFFSET('배치점수 계산기'!K$10,$D627,0)</f>
        <v>641.06299999999999</v>
      </c>
      <c r="V627" s="194">
        <f ca="1">OFFSET('배치점수 계산기'!L$10,$D627,0)</f>
        <v>636.12400000000002</v>
      </c>
      <c r="W627" s="186" t="str">
        <f ca="1">OFFSET('배치점수 계산기'!M$10,$D627,0)</f>
        <v>표점</v>
      </c>
      <c r="X627" s="184" t="str">
        <f ca="1">OFFSET('배치점수 계산기'!N$10,$D627,0)</f>
        <v>변표</v>
      </c>
      <c r="Y627" s="188">
        <f ca="1">OFFSET(환산공식!FW$15,$F627,0)</f>
        <v>0.28999999999999998</v>
      </c>
      <c r="Z627" s="20">
        <f ca="1">OFFSET(환산공식!FX$15,$F627,0)</f>
        <v>0.43</v>
      </c>
      <c r="AA627" s="179">
        <f ca="1">OFFSET(환산공식!FY$15,$F627,0)</f>
        <v>0.28999999999999998</v>
      </c>
      <c r="AB627" s="3"/>
      <c r="AD627">
        <f t="shared" ca="1" si="20"/>
        <v>6</v>
      </c>
      <c r="AF627" s="3"/>
      <c r="AG627" s="3"/>
      <c r="AH627" s="3"/>
    </row>
    <row r="628" spans="1:34">
      <c r="A628" s="198"/>
      <c r="B628" s="198"/>
      <c r="C628" s="198" t="s">
        <v>1189</v>
      </c>
      <c r="D628" s="195">
        <v>682</v>
      </c>
      <c r="E628" s="195">
        <v>193</v>
      </c>
      <c r="F628" s="195">
        <v>193</v>
      </c>
      <c r="G628" s="239">
        <v>621</v>
      </c>
      <c r="H628" s="197" t="s">
        <v>72</v>
      </c>
      <c r="I628" s="242" t="s">
        <v>215</v>
      </c>
      <c r="J628" s="242" t="s">
        <v>8214</v>
      </c>
      <c r="K628" s="195" t="s">
        <v>71</v>
      </c>
      <c r="L628" s="20" t="str">
        <f ca="1">IF(OFFSET(환산공식!$ED$15,$F628,0)=1,"O","X")</f>
        <v>X</v>
      </c>
      <c r="M628" s="188">
        <f ca="1">IFERROR(OFFSET(환산공식!DJ$15,$F628,0),"")</f>
        <v>125</v>
      </c>
      <c r="N628" s="20" t="str">
        <f ca="1">IFERROR(CONCATENATE(ROUND(OFFSET(환산공식!DK$15,$F628,0),1),"%"),"")</f>
        <v>100%</v>
      </c>
      <c r="O628" s="20">
        <f ca="1">IFERROR(OFFSET(환산공식!DL$15,$F628,0),"")</f>
        <v>10</v>
      </c>
      <c r="P628" s="188" t="str">
        <f t="shared" ca="1" si="19"/>
        <v>3% 이하</v>
      </c>
      <c r="Q628" s="194">
        <f ca="1">IFERROR(ROUND(OFFSET(환산공식!$FG$15,$F628,0),3),"")</f>
        <v>0</v>
      </c>
      <c r="R628" s="194">
        <f ca="1">OFFSET('배치점수 계산기'!H$10,$D628,0)</f>
        <v>684.13</v>
      </c>
      <c r="S628" s="194">
        <f ca="1">OFFSET('배치점수 계산기'!I$10,$D628,0)</f>
        <v>680.97699999999998</v>
      </c>
      <c r="T628" s="194">
        <f ca="1">OFFSET('배치점수 계산기'!J$10,$D628,0)</f>
        <v>675.68799999999999</v>
      </c>
      <c r="U628" s="194">
        <f ca="1">OFFSET('배치점수 계산기'!K$10,$D628,0)</f>
        <v>670.22299999999996</v>
      </c>
      <c r="V628" s="194">
        <f ca="1">OFFSET('배치점수 계산기'!L$10,$D628,0)</f>
        <v>664.12300000000005</v>
      </c>
      <c r="W628" s="186" t="str">
        <f ca="1">OFFSET('배치점수 계산기'!M$10,$D628,0)</f>
        <v>표점</v>
      </c>
      <c r="X628" s="184" t="str">
        <f ca="1">OFFSET('배치점수 계산기'!N$10,$D628,0)</f>
        <v>변표</v>
      </c>
      <c r="Y628" s="188">
        <f ca="1">OFFSET(환산공식!FW$15,$F628,0)</f>
        <v>0.43</v>
      </c>
      <c r="Z628" s="20">
        <f ca="1">OFFSET(환산공식!FX$15,$F628,0)</f>
        <v>0.28999999999999998</v>
      </c>
      <c r="AA628" s="179">
        <f ca="1">OFFSET(환산공식!FY$15,$F628,0)</f>
        <v>0.28999999999999998</v>
      </c>
      <c r="AB628" s="3"/>
      <c r="AD628">
        <f t="shared" ca="1" si="20"/>
        <v>6</v>
      </c>
      <c r="AF628" s="3"/>
      <c r="AG628" s="3"/>
      <c r="AH628" s="3"/>
    </row>
    <row r="629" spans="1:34">
      <c r="A629" s="198"/>
      <c r="B629" s="198"/>
      <c r="C629" s="198" t="s">
        <v>1190</v>
      </c>
      <c r="D629" s="195">
        <v>683</v>
      </c>
      <c r="E629" s="195">
        <v>193</v>
      </c>
      <c r="F629" s="195">
        <v>193</v>
      </c>
      <c r="G629" s="239">
        <v>622</v>
      </c>
      <c r="H629" s="197" t="s">
        <v>72</v>
      </c>
      <c r="I629" s="242" t="s">
        <v>215</v>
      </c>
      <c r="J629" s="242" t="s">
        <v>489</v>
      </c>
      <c r="K629" s="195" t="s">
        <v>71</v>
      </c>
      <c r="L629" s="20" t="str">
        <f ca="1">IF(OFFSET(환산공식!$ED$15,$F629,0)=1,"O","X")</f>
        <v>X</v>
      </c>
      <c r="M629" s="188">
        <f ca="1">IFERROR(OFFSET(환산공식!DJ$15,$F629,0),"")</f>
        <v>125</v>
      </c>
      <c r="N629" s="20" t="str">
        <f ca="1">IFERROR(CONCATENATE(ROUND(OFFSET(환산공식!DK$15,$F629,0),1),"%"),"")</f>
        <v>100%</v>
      </c>
      <c r="O629" s="20">
        <f ca="1">IFERROR(OFFSET(환산공식!DL$15,$F629,0),"")</f>
        <v>10</v>
      </c>
      <c r="P629" s="188" t="str">
        <f t="shared" ca="1" si="19"/>
        <v>3% 이하</v>
      </c>
      <c r="Q629" s="194">
        <f ca="1">IFERROR(ROUND(OFFSET(환산공식!$FG$15,$F629,0),3),"")</f>
        <v>0</v>
      </c>
      <c r="R629" s="194">
        <f ca="1">OFFSET('배치점수 계산기'!H$10,$D629,0)</f>
        <v>680.12099999999998</v>
      </c>
      <c r="S629" s="194">
        <f ca="1">OFFSET('배치점수 계산기'!I$10,$D629,0)</f>
        <v>678.60500000000002</v>
      </c>
      <c r="T629" s="194">
        <f ca="1">OFFSET('배치점수 계산기'!J$10,$D629,0)</f>
        <v>673.81600000000003</v>
      </c>
      <c r="U629" s="194">
        <f ca="1">OFFSET('배치점수 계산기'!K$10,$D629,0)</f>
        <v>669.74199999999996</v>
      </c>
      <c r="V629" s="194">
        <f ca="1">OFFSET('배치점수 계산기'!L$10,$D629,0)</f>
        <v>664.66800000000001</v>
      </c>
      <c r="W629" s="186" t="str">
        <f ca="1">OFFSET('배치점수 계산기'!M$10,$D629,0)</f>
        <v>표점</v>
      </c>
      <c r="X629" s="184" t="str">
        <f ca="1">OFFSET('배치점수 계산기'!N$10,$D629,0)</f>
        <v>변표</v>
      </c>
      <c r="Y629" s="188">
        <f ca="1">OFFSET(환산공식!FW$15,$F629,0)</f>
        <v>0.43</v>
      </c>
      <c r="Z629" s="20">
        <f ca="1">OFFSET(환산공식!FX$15,$F629,0)</f>
        <v>0.28999999999999998</v>
      </c>
      <c r="AA629" s="179">
        <f ca="1">OFFSET(환산공식!FY$15,$F629,0)</f>
        <v>0.28999999999999998</v>
      </c>
      <c r="AB629" s="3"/>
      <c r="AD629">
        <f t="shared" ca="1" si="20"/>
        <v>6</v>
      </c>
      <c r="AF629" s="3"/>
      <c r="AG629" s="3"/>
      <c r="AH629" s="3"/>
    </row>
    <row r="630" spans="1:34">
      <c r="A630" s="198"/>
      <c r="B630" s="198"/>
      <c r="C630" s="198" t="s">
        <v>1191</v>
      </c>
      <c r="D630" s="195">
        <v>684</v>
      </c>
      <c r="E630" s="195">
        <v>193</v>
      </c>
      <c r="F630" s="195">
        <v>193</v>
      </c>
      <c r="G630" s="239">
        <v>623</v>
      </c>
      <c r="H630" s="197" t="s">
        <v>72</v>
      </c>
      <c r="I630" s="242" t="s">
        <v>215</v>
      </c>
      <c r="J630" s="242" t="s">
        <v>8216</v>
      </c>
      <c r="K630" s="195" t="s">
        <v>71</v>
      </c>
      <c r="L630" s="20" t="str">
        <f ca="1">IF(OFFSET(환산공식!$ED$15,$F630,0)=1,"O","X")</f>
        <v>X</v>
      </c>
      <c r="M630" s="188">
        <f ca="1">IFERROR(OFFSET(환산공식!DJ$15,$F630,0),"")</f>
        <v>125</v>
      </c>
      <c r="N630" s="20" t="str">
        <f ca="1">IFERROR(CONCATENATE(ROUND(OFFSET(환산공식!DK$15,$F630,0),1),"%"),"")</f>
        <v>100%</v>
      </c>
      <c r="O630" s="20">
        <f ca="1">IFERROR(OFFSET(환산공식!DL$15,$F630,0),"")</f>
        <v>10</v>
      </c>
      <c r="P630" s="188" t="str">
        <f t="shared" ca="1" si="19"/>
        <v>3% 이하</v>
      </c>
      <c r="Q630" s="194">
        <f ca="1">IFERROR(ROUND(OFFSET(환산공식!$FG$15,$F630,0),3),"")</f>
        <v>0</v>
      </c>
      <c r="R630" s="194">
        <f ca="1">OFFSET('배치점수 계산기'!H$10,$D630,0)</f>
        <v>674.00400000000002</v>
      </c>
      <c r="S630" s="194">
        <f ca="1">OFFSET('배치점수 계산기'!I$10,$D630,0)</f>
        <v>671.96</v>
      </c>
      <c r="T630" s="194">
        <f ca="1">OFFSET('배치점수 계산기'!J$10,$D630,0)</f>
        <v>668.74099999999999</v>
      </c>
      <c r="U630" s="194">
        <f ca="1">OFFSET('배치점수 계산기'!K$10,$D630,0)</f>
        <v>664.12300000000005</v>
      </c>
      <c r="V630" s="194">
        <f ca="1">OFFSET('배치점수 계산기'!L$10,$D630,0)</f>
        <v>658.83799999999997</v>
      </c>
      <c r="W630" s="186" t="str">
        <f ca="1">OFFSET('배치점수 계산기'!M$10,$D630,0)</f>
        <v>표점</v>
      </c>
      <c r="X630" s="184" t="str">
        <f ca="1">OFFSET('배치점수 계산기'!N$10,$D630,0)</f>
        <v>변표</v>
      </c>
      <c r="Y630" s="188">
        <f ca="1">OFFSET(환산공식!FW$15,$F630,0)</f>
        <v>0.43</v>
      </c>
      <c r="Z630" s="20">
        <f ca="1">OFFSET(환산공식!FX$15,$F630,0)</f>
        <v>0.28999999999999998</v>
      </c>
      <c r="AA630" s="179">
        <f ca="1">OFFSET(환산공식!FY$15,$F630,0)</f>
        <v>0.28999999999999998</v>
      </c>
      <c r="AB630" s="3"/>
      <c r="AD630">
        <f t="shared" ca="1" si="20"/>
        <v>6</v>
      </c>
      <c r="AF630" s="3"/>
      <c r="AG630" s="3"/>
      <c r="AH630" s="3"/>
    </row>
    <row r="631" spans="1:34">
      <c r="A631" s="198"/>
      <c r="B631" s="198"/>
      <c r="C631" s="198" t="s">
        <v>1192</v>
      </c>
      <c r="D631" s="195">
        <v>685</v>
      </c>
      <c r="E631" s="195">
        <v>193</v>
      </c>
      <c r="F631" s="195">
        <v>193</v>
      </c>
      <c r="G631" s="239">
        <v>624</v>
      </c>
      <c r="H631" s="197" t="s">
        <v>72</v>
      </c>
      <c r="I631" s="242" t="s">
        <v>215</v>
      </c>
      <c r="J631" s="242" t="s">
        <v>11132</v>
      </c>
      <c r="K631" s="195" t="s">
        <v>71</v>
      </c>
      <c r="L631" s="20" t="str">
        <f ca="1">IF(OFFSET(환산공식!$ED$15,$F631,0)=1,"O","X")</f>
        <v>X</v>
      </c>
      <c r="M631" s="188">
        <f ca="1">IFERROR(OFFSET(환산공식!DJ$15,$F631,0),"")</f>
        <v>125</v>
      </c>
      <c r="N631" s="20" t="str">
        <f ca="1">IFERROR(CONCATENATE(ROUND(OFFSET(환산공식!DK$15,$F631,0),1),"%"),"")</f>
        <v>100%</v>
      </c>
      <c r="O631" s="20">
        <f ca="1">IFERROR(OFFSET(환산공식!DL$15,$F631,0),"")</f>
        <v>10</v>
      </c>
      <c r="P631" s="188" t="str">
        <f t="shared" ca="1" si="19"/>
        <v>3% 이하</v>
      </c>
      <c r="Q631" s="194">
        <f ca="1">IFERROR(ROUND(OFFSET(환산공식!$FG$15,$F631,0),3),"")</f>
        <v>0</v>
      </c>
      <c r="R631" s="194">
        <f ca="1">OFFSET('배치점수 계산기'!H$10,$D631,0)</f>
        <v>668.91300000000001</v>
      </c>
      <c r="S631" s="194">
        <f ca="1">OFFSET('배치점수 계산기'!I$10,$D631,0)</f>
        <v>666.053</v>
      </c>
      <c r="T631" s="194">
        <f ca="1">OFFSET('배치점수 계산기'!J$10,$D631,0)</f>
        <v>663.09299999999996</v>
      </c>
      <c r="U631" s="194">
        <f ca="1">OFFSET('배치점수 계산기'!K$10,$D631,0)</f>
        <v>659.53700000000003</v>
      </c>
      <c r="V631" s="194">
        <f ca="1">OFFSET('배치점수 계산기'!L$10,$D631,0)</f>
        <v>654.68299999999999</v>
      </c>
      <c r="W631" s="186" t="str">
        <f ca="1">OFFSET('배치점수 계산기'!M$10,$D631,0)</f>
        <v>표점</v>
      </c>
      <c r="X631" s="184" t="str">
        <f ca="1">OFFSET('배치점수 계산기'!N$10,$D631,0)</f>
        <v>변표</v>
      </c>
      <c r="Y631" s="188">
        <f ca="1">OFFSET(환산공식!FW$15,$F631,0)</f>
        <v>0.43</v>
      </c>
      <c r="Z631" s="20">
        <f ca="1">OFFSET(환산공식!FX$15,$F631,0)</f>
        <v>0.28999999999999998</v>
      </c>
      <c r="AA631" s="179">
        <f ca="1">OFFSET(환산공식!FY$15,$F631,0)</f>
        <v>0.28999999999999998</v>
      </c>
      <c r="AB631" s="3"/>
      <c r="AD631">
        <f t="shared" ca="1" si="20"/>
        <v>6</v>
      </c>
      <c r="AF631" s="3"/>
      <c r="AG631" s="3"/>
      <c r="AH631" s="3"/>
    </row>
    <row r="632" spans="1:34">
      <c r="A632" s="198"/>
      <c r="B632" s="198"/>
      <c r="C632" s="198" t="s">
        <v>1193</v>
      </c>
      <c r="D632" s="195">
        <v>686</v>
      </c>
      <c r="E632" s="195">
        <v>193</v>
      </c>
      <c r="F632" s="195">
        <v>193</v>
      </c>
      <c r="G632" s="239">
        <v>625</v>
      </c>
      <c r="H632" s="197" t="s">
        <v>72</v>
      </c>
      <c r="I632" s="242" t="s">
        <v>215</v>
      </c>
      <c r="J632" s="242" t="s">
        <v>8217</v>
      </c>
      <c r="K632" s="195" t="s">
        <v>71</v>
      </c>
      <c r="L632" s="20" t="str">
        <f ca="1">IF(OFFSET(환산공식!$ED$15,$F632,0)=1,"O","X")</f>
        <v>X</v>
      </c>
      <c r="M632" s="188">
        <f ca="1">IFERROR(OFFSET(환산공식!DJ$15,$F632,0),"")</f>
        <v>125</v>
      </c>
      <c r="N632" s="20" t="str">
        <f ca="1">IFERROR(CONCATENATE(ROUND(OFFSET(환산공식!DK$15,$F632,0),1),"%"),"")</f>
        <v>100%</v>
      </c>
      <c r="O632" s="20">
        <f ca="1">IFERROR(OFFSET(환산공식!DL$15,$F632,0),"")</f>
        <v>10</v>
      </c>
      <c r="P632" s="188" t="str">
        <f t="shared" ca="1" si="19"/>
        <v>3% 이하</v>
      </c>
      <c r="Q632" s="194">
        <f ca="1">IFERROR(ROUND(OFFSET(환산공식!$FG$15,$F632,0),3),"")</f>
        <v>0</v>
      </c>
      <c r="R632" s="194">
        <f ca="1">OFFSET('배치점수 계산기'!H$10,$D632,0)</f>
        <v>669.33</v>
      </c>
      <c r="S632" s="194">
        <f ca="1">OFFSET('배치점수 계산기'!I$10,$D632,0)</f>
        <v>666.36500000000001</v>
      </c>
      <c r="T632" s="194">
        <f ca="1">OFFSET('배치점수 계산기'!J$10,$D632,0)</f>
        <v>662.90599999999995</v>
      </c>
      <c r="U632" s="194">
        <f ca="1">OFFSET('배치점수 계산기'!K$10,$D632,0)</f>
        <v>659.02499999999998</v>
      </c>
      <c r="V632" s="194">
        <f ca="1">OFFSET('배치점수 계산기'!L$10,$D632,0)</f>
        <v>653.90800000000002</v>
      </c>
      <c r="W632" s="186" t="str">
        <f ca="1">OFFSET('배치점수 계산기'!M$10,$D632,0)</f>
        <v>표점</v>
      </c>
      <c r="X632" s="184" t="str">
        <f ca="1">OFFSET('배치점수 계산기'!N$10,$D632,0)</f>
        <v>변표</v>
      </c>
      <c r="Y632" s="188">
        <f ca="1">OFFSET(환산공식!FW$15,$F632,0)</f>
        <v>0.43</v>
      </c>
      <c r="Z632" s="20">
        <f ca="1">OFFSET(환산공식!FX$15,$F632,0)</f>
        <v>0.28999999999999998</v>
      </c>
      <c r="AA632" s="179">
        <f ca="1">OFFSET(환산공식!FY$15,$F632,0)</f>
        <v>0.28999999999999998</v>
      </c>
      <c r="AB632" s="3"/>
      <c r="AD632">
        <f t="shared" ca="1" si="20"/>
        <v>6</v>
      </c>
      <c r="AF632" s="3"/>
      <c r="AG632" s="3"/>
      <c r="AH632" s="3"/>
    </row>
    <row r="633" spans="1:34">
      <c r="A633" s="198"/>
      <c r="B633" s="198"/>
      <c r="C633" s="198" t="s">
        <v>1194</v>
      </c>
      <c r="D633" s="195">
        <v>687</v>
      </c>
      <c r="E633" s="195">
        <v>193</v>
      </c>
      <c r="F633" s="195">
        <v>193</v>
      </c>
      <c r="G633" s="239">
        <v>626</v>
      </c>
      <c r="H633" s="197" t="s">
        <v>72</v>
      </c>
      <c r="I633" s="242" t="s">
        <v>215</v>
      </c>
      <c r="J633" s="242" t="s">
        <v>8877</v>
      </c>
      <c r="K633" s="195" t="s">
        <v>71</v>
      </c>
      <c r="L633" s="20" t="str">
        <f ca="1">IF(OFFSET(환산공식!$ED$15,$F633,0)=1,"O","X")</f>
        <v>X</v>
      </c>
      <c r="M633" s="188">
        <f ca="1">IFERROR(OFFSET(환산공식!DJ$15,$F633,0),"")</f>
        <v>125</v>
      </c>
      <c r="N633" s="20" t="str">
        <f ca="1">IFERROR(CONCATENATE(ROUND(OFFSET(환산공식!DK$15,$F633,0),1),"%"),"")</f>
        <v>100%</v>
      </c>
      <c r="O633" s="20">
        <f ca="1">IFERROR(OFFSET(환산공식!DL$15,$F633,0),"")</f>
        <v>10</v>
      </c>
      <c r="P633" s="188" t="str">
        <f t="shared" ca="1" si="19"/>
        <v>3% 이하</v>
      </c>
      <c r="Q633" s="194">
        <f ca="1">IFERROR(ROUND(OFFSET(환산공식!$FG$15,$F633,0),3),"")</f>
        <v>0</v>
      </c>
      <c r="R633" s="194">
        <f ca="1">OFFSET('배치점수 계산기'!H$10,$D633,0)</f>
        <v>668.74099999999999</v>
      </c>
      <c r="S633" s="194">
        <f ca="1">OFFSET('배치점수 계산기'!I$10,$D633,0)</f>
        <v>665.673</v>
      </c>
      <c r="T633" s="194">
        <f ca="1">OFFSET('배치점수 계산기'!J$10,$D633,0)</f>
        <v>662.202</v>
      </c>
      <c r="U633" s="194">
        <f ca="1">OFFSET('배치점수 계산기'!K$10,$D633,0)</f>
        <v>658.4</v>
      </c>
      <c r="V633" s="194">
        <f ca="1">OFFSET('배치점수 계산기'!L$10,$D633,0)</f>
        <v>653.178</v>
      </c>
      <c r="W633" s="186" t="str">
        <f ca="1">OFFSET('배치점수 계산기'!M$10,$D633,0)</f>
        <v>표점</v>
      </c>
      <c r="X633" s="184" t="str">
        <f ca="1">OFFSET('배치점수 계산기'!N$10,$D633,0)</f>
        <v>변표</v>
      </c>
      <c r="Y633" s="188">
        <f ca="1">OFFSET(환산공식!FW$15,$F633,0)</f>
        <v>0.43</v>
      </c>
      <c r="Z633" s="20">
        <f ca="1">OFFSET(환산공식!FX$15,$F633,0)</f>
        <v>0.28999999999999998</v>
      </c>
      <c r="AA633" s="179">
        <f ca="1">OFFSET(환산공식!FY$15,$F633,0)</f>
        <v>0.28999999999999998</v>
      </c>
      <c r="AB633" s="3"/>
      <c r="AD633">
        <f t="shared" ca="1" si="20"/>
        <v>6</v>
      </c>
      <c r="AF633" s="3"/>
      <c r="AG633" s="3"/>
      <c r="AH633" s="3"/>
    </row>
    <row r="634" spans="1:34">
      <c r="A634" s="198"/>
      <c r="B634" s="198"/>
      <c r="C634" s="198" t="s">
        <v>1195</v>
      </c>
      <c r="D634" s="195">
        <v>688</v>
      </c>
      <c r="E634" s="195">
        <v>193</v>
      </c>
      <c r="F634" s="195">
        <v>193</v>
      </c>
      <c r="G634" s="239">
        <v>627</v>
      </c>
      <c r="H634" s="197" t="s">
        <v>72</v>
      </c>
      <c r="I634" s="242" t="s">
        <v>215</v>
      </c>
      <c r="J634" s="242" t="s">
        <v>8337</v>
      </c>
      <c r="K634" s="195" t="s">
        <v>71</v>
      </c>
      <c r="L634" s="20" t="str">
        <f ca="1">IF(OFFSET(환산공식!$ED$15,$F634,0)=1,"O","X")</f>
        <v>X</v>
      </c>
      <c r="M634" s="188">
        <f ca="1">IFERROR(OFFSET(환산공식!DJ$15,$F634,0),"")</f>
        <v>125</v>
      </c>
      <c r="N634" s="20" t="str">
        <f ca="1">IFERROR(CONCATENATE(ROUND(OFFSET(환산공식!DK$15,$F634,0),1),"%"),"")</f>
        <v>100%</v>
      </c>
      <c r="O634" s="20">
        <f ca="1">IFERROR(OFFSET(환산공식!DL$15,$F634,0),"")</f>
        <v>10</v>
      </c>
      <c r="P634" s="188" t="str">
        <f t="shared" ca="1" si="19"/>
        <v>3% 이하</v>
      </c>
      <c r="Q634" s="194">
        <f ca="1">IFERROR(ROUND(OFFSET(환산공식!$FG$15,$F634,0),3),"")</f>
        <v>0</v>
      </c>
      <c r="R634" s="194">
        <f ca="1">OFFSET('배치점수 계산기'!H$10,$D634,0)</f>
        <v>664.60299999999995</v>
      </c>
      <c r="S634" s="194">
        <f ca="1">OFFSET('배치점수 계산기'!I$10,$D634,0)</f>
        <v>663.19899999999996</v>
      </c>
      <c r="T634" s="194">
        <f ca="1">OFFSET('배치점수 계산기'!J$10,$D634,0)</f>
        <v>660.15</v>
      </c>
      <c r="U634" s="194">
        <f ca="1">OFFSET('배치점수 계산기'!K$10,$D634,0)</f>
        <v>656.50300000000004</v>
      </c>
      <c r="V634" s="194">
        <f ca="1">OFFSET('배치점수 계산기'!L$10,$D634,0)</f>
        <v>651.52200000000005</v>
      </c>
      <c r="W634" s="186" t="str">
        <f ca="1">OFFSET('배치점수 계산기'!M$10,$D634,0)</f>
        <v>표점</v>
      </c>
      <c r="X634" s="184" t="str">
        <f ca="1">OFFSET('배치점수 계산기'!N$10,$D634,0)</f>
        <v>변표</v>
      </c>
      <c r="Y634" s="188">
        <f ca="1">OFFSET(환산공식!FW$15,$F634,0)</f>
        <v>0.43</v>
      </c>
      <c r="Z634" s="20">
        <f ca="1">OFFSET(환산공식!FX$15,$F634,0)</f>
        <v>0.28999999999999998</v>
      </c>
      <c r="AA634" s="179">
        <f ca="1">OFFSET(환산공식!FY$15,$F634,0)</f>
        <v>0.28999999999999998</v>
      </c>
      <c r="AB634" s="3"/>
      <c r="AD634">
        <f t="shared" ca="1" si="20"/>
        <v>6</v>
      </c>
      <c r="AF634" s="3"/>
      <c r="AG634" s="3"/>
      <c r="AH634" s="3"/>
    </row>
    <row r="635" spans="1:34">
      <c r="A635" s="198"/>
      <c r="B635" s="198"/>
      <c r="C635" s="198" t="s">
        <v>1196</v>
      </c>
      <c r="D635" s="195">
        <v>689</v>
      </c>
      <c r="E635" s="195">
        <v>193</v>
      </c>
      <c r="F635" s="195">
        <v>193</v>
      </c>
      <c r="G635" s="239">
        <v>628</v>
      </c>
      <c r="H635" s="197" t="s">
        <v>72</v>
      </c>
      <c r="I635" s="242" t="s">
        <v>215</v>
      </c>
      <c r="J635" s="242" t="s">
        <v>11323</v>
      </c>
      <c r="K635" s="195" t="s">
        <v>71</v>
      </c>
      <c r="L635" s="20" t="str">
        <f ca="1">IF(OFFSET(환산공식!$ED$15,$F635,0)=1,"O","X")</f>
        <v>X</v>
      </c>
      <c r="M635" s="188">
        <f ca="1">IFERROR(OFFSET(환산공식!DJ$15,$F635,0),"")</f>
        <v>125</v>
      </c>
      <c r="N635" s="20" t="str">
        <f ca="1">IFERROR(CONCATENATE(ROUND(OFFSET(환산공식!DK$15,$F635,0),1),"%"),"")</f>
        <v>100%</v>
      </c>
      <c r="O635" s="20">
        <f ca="1">IFERROR(OFFSET(환산공식!DL$15,$F635,0),"")</f>
        <v>10</v>
      </c>
      <c r="P635" s="188" t="str">
        <f t="shared" ca="1" si="19"/>
        <v>3% 이하</v>
      </c>
      <c r="Q635" s="194">
        <f ca="1">IFERROR(ROUND(OFFSET(환산공식!$FG$15,$F635,0),3),"")</f>
        <v>0</v>
      </c>
      <c r="R635" s="194">
        <f ca="1">OFFSET('배치점수 계산기'!H$10,$D635,0)</f>
        <v>664.01700000000005</v>
      </c>
      <c r="S635" s="194">
        <f ca="1">OFFSET('배치점수 계산기'!I$10,$D635,0)</f>
        <v>662.53800000000001</v>
      </c>
      <c r="T635" s="194">
        <f ca="1">OFFSET('배치점수 계산기'!J$10,$D635,0)</f>
        <v>659.72400000000005</v>
      </c>
      <c r="U635" s="194">
        <f ca="1">OFFSET('배치점수 계산기'!K$10,$D635,0)</f>
        <v>653.90800000000002</v>
      </c>
      <c r="V635" s="194">
        <f ca="1">OFFSET('배치점수 계산기'!L$10,$D635,0)</f>
        <v>647.20299999999997</v>
      </c>
      <c r="W635" s="186" t="str">
        <f ca="1">OFFSET('배치점수 계산기'!M$10,$D635,0)</f>
        <v>표점</v>
      </c>
      <c r="X635" s="184" t="str">
        <f ca="1">OFFSET('배치점수 계산기'!N$10,$D635,0)</f>
        <v>변표</v>
      </c>
      <c r="Y635" s="188">
        <f ca="1">OFFSET(환산공식!FW$15,$F635,0)</f>
        <v>0.43</v>
      </c>
      <c r="Z635" s="20">
        <f ca="1">OFFSET(환산공식!FX$15,$F635,0)</f>
        <v>0.28999999999999998</v>
      </c>
      <c r="AA635" s="179">
        <f ca="1">OFFSET(환산공식!FY$15,$F635,0)</f>
        <v>0.28999999999999998</v>
      </c>
      <c r="AB635" s="3"/>
      <c r="AD635">
        <f t="shared" ca="1" si="20"/>
        <v>6</v>
      </c>
      <c r="AF635" s="3"/>
      <c r="AG635" s="3"/>
      <c r="AH635" s="3"/>
    </row>
    <row r="636" spans="1:34">
      <c r="A636" s="198"/>
      <c r="B636" s="198"/>
      <c r="C636" s="198" t="s">
        <v>1197</v>
      </c>
      <c r="D636" s="195">
        <v>690</v>
      </c>
      <c r="E636" s="195">
        <v>193</v>
      </c>
      <c r="F636" s="195">
        <v>193</v>
      </c>
      <c r="G636" s="239">
        <v>629</v>
      </c>
      <c r="H636" s="197" t="s">
        <v>72</v>
      </c>
      <c r="I636" s="242" t="s">
        <v>215</v>
      </c>
      <c r="J636" s="242" t="s">
        <v>8107</v>
      </c>
      <c r="K636" s="195" t="s">
        <v>71</v>
      </c>
      <c r="L636" s="20" t="str">
        <f ca="1">IF(OFFSET(환산공식!$ED$15,$F636,0)=1,"O","X")</f>
        <v>X</v>
      </c>
      <c r="M636" s="188">
        <f ca="1">IFERROR(OFFSET(환산공식!DJ$15,$F636,0),"")</f>
        <v>125</v>
      </c>
      <c r="N636" s="20" t="str">
        <f ca="1">IFERROR(CONCATENATE(ROUND(OFFSET(환산공식!DK$15,$F636,0),1),"%"),"")</f>
        <v>100%</v>
      </c>
      <c r="O636" s="20">
        <f ca="1">IFERROR(OFFSET(환산공식!DL$15,$F636,0),"")</f>
        <v>10</v>
      </c>
      <c r="P636" s="188" t="str">
        <f t="shared" ca="1" si="19"/>
        <v>3% 이하</v>
      </c>
      <c r="Q636" s="194">
        <f ca="1">IFERROR(ROUND(OFFSET(환산공식!$FG$15,$F636,0),3),"")</f>
        <v>0</v>
      </c>
      <c r="R636" s="194">
        <f ca="1">OFFSET('배치점수 계산기'!H$10,$D636,0)</f>
        <v>664.81200000000001</v>
      </c>
      <c r="S636" s="194">
        <f ca="1">OFFSET('배치점수 계산기'!I$10,$D636,0)</f>
        <v>662.726</v>
      </c>
      <c r="T636" s="194">
        <f ca="1">OFFSET('배치점수 계산기'!J$10,$D636,0)</f>
        <v>659.20100000000002</v>
      </c>
      <c r="U636" s="194">
        <f ca="1">OFFSET('배치점수 계산기'!K$10,$D636,0)</f>
        <v>655.29999999999995</v>
      </c>
      <c r="V636" s="194">
        <f ca="1">OFFSET('배치점수 계산기'!L$10,$D636,0)</f>
        <v>650.08799999999997</v>
      </c>
      <c r="W636" s="186" t="str">
        <f ca="1">OFFSET('배치점수 계산기'!M$10,$D636,0)</f>
        <v>표점</v>
      </c>
      <c r="X636" s="184" t="str">
        <f ca="1">OFFSET('배치점수 계산기'!N$10,$D636,0)</f>
        <v>변표</v>
      </c>
      <c r="Y636" s="188">
        <f ca="1">OFFSET(환산공식!FW$15,$F636,0)</f>
        <v>0.43</v>
      </c>
      <c r="Z636" s="20">
        <f ca="1">OFFSET(환산공식!FX$15,$F636,0)</f>
        <v>0.28999999999999998</v>
      </c>
      <c r="AA636" s="179">
        <f ca="1">OFFSET(환산공식!FY$15,$F636,0)</f>
        <v>0.28999999999999998</v>
      </c>
      <c r="AB636" s="3"/>
      <c r="AD636">
        <f t="shared" ca="1" si="20"/>
        <v>6</v>
      </c>
      <c r="AF636" s="3"/>
      <c r="AG636" s="3"/>
      <c r="AH636" s="3"/>
    </row>
    <row r="637" spans="1:34">
      <c r="A637" s="198"/>
      <c r="B637" s="198"/>
      <c r="C637" s="198" t="s">
        <v>1198</v>
      </c>
      <c r="D637" s="195">
        <v>691</v>
      </c>
      <c r="E637" s="195">
        <v>193</v>
      </c>
      <c r="F637" s="195">
        <v>193</v>
      </c>
      <c r="G637" s="239">
        <v>630</v>
      </c>
      <c r="H637" s="197" t="s">
        <v>72</v>
      </c>
      <c r="I637" s="242" t="s">
        <v>215</v>
      </c>
      <c r="J637" s="242" t="s">
        <v>561</v>
      </c>
      <c r="K637" s="195" t="s">
        <v>71</v>
      </c>
      <c r="L637" s="20" t="str">
        <f ca="1">IF(OFFSET(환산공식!$ED$15,$F637,0)=1,"O","X")</f>
        <v>X</v>
      </c>
      <c r="M637" s="188">
        <f ca="1">IFERROR(OFFSET(환산공식!DJ$15,$F637,0),"")</f>
        <v>125</v>
      </c>
      <c r="N637" s="20" t="str">
        <f ca="1">IFERROR(CONCATENATE(ROUND(OFFSET(환산공식!DK$15,$F637,0),1),"%"),"")</f>
        <v>100%</v>
      </c>
      <c r="O637" s="20">
        <f ca="1">IFERROR(OFFSET(환산공식!DL$15,$F637,0),"")</f>
        <v>10</v>
      </c>
      <c r="P637" s="188" t="str">
        <f t="shared" ca="1" si="19"/>
        <v>3% 이하</v>
      </c>
      <c r="Q637" s="194">
        <f ca="1">IFERROR(ROUND(OFFSET(환산공식!$FG$15,$F637,0),3),"")</f>
        <v>0</v>
      </c>
      <c r="R637" s="194">
        <f ca="1">OFFSET('배치점수 계산기'!H$10,$D637,0)</f>
        <v>664.60299999999995</v>
      </c>
      <c r="S637" s="194">
        <f ca="1">OFFSET('배치점수 계산기'!I$10,$D637,0)</f>
        <v>662.43299999999999</v>
      </c>
      <c r="T637" s="194">
        <f ca="1">OFFSET('배치점수 계산기'!J$10,$D637,0)</f>
        <v>658.83799999999997</v>
      </c>
      <c r="U637" s="194">
        <f ca="1">OFFSET('배치점수 계산기'!K$10,$D637,0)</f>
        <v>655.00699999999995</v>
      </c>
      <c r="V637" s="194">
        <f ca="1">OFFSET('배치점수 계산기'!L$10,$D637,0)</f>
        <v>649.85799999999995</v>
      </c>
      <c r="W637" s="186" t="str">
        <f ca="1">OFFSET('배치점수 계산기'!M$10,$D637,0)</f>
        <v>표점</v>
      </c>
      <c r="X637" s="184" t="str">
        <f ca="1">OFFSET('배치점수 계산기'!N$10,$D637,0)</f>
        <v>변표</v>
      </c>
      <c r="Y637" s="188">
        <f ca="1">OFFSET(환산공식!FW$15,$F637,0)</f>
        <v>0.43</v>
      </c>
      <c r="Z637" s="20">
        <f ca="1">OFFSET(환산공식!FX$15,$F637,0)</f>
        <v>0.28999999999999998</v>
      </c>
      <c r="AA637" s="179">
        <f ca="1">OFFSET(환산공식!FY$15,$F637,0)</f>
        <v>0.28999999999999998</v>
      </c>
      <c r="AB637" s="3"/>
      <c r="AD637">
        <f t="shared" ca="1" si="20"/>
        <v>6</v>
      </c>
      <c r="AF637" s="3"/>
      <c r="AG637" s="3"/>
      <c r="AH637" s="3"/>
    </row>
    <row r="638" spans="1:34">
      <c r="A638" s="198"/>
      <c r="B638" s="198"/>
      <c r="C638" s="198" t="s">
        <v>1199</v>
      </c>
      <c r="D638" s="195">
        <v>692</v>
      </c>
      <c r="E638" s="195">
        <v>193</v>
      </c>
      <c r="F638" s="195">
        <v>193</v>
      </c>
      <c r="G638" s="239">
        <v>631</v>
      </c>
      <c r="H638" s="197" t="s">
        <v>72</v>
      </c>
      <c r="I638" s="242" t="s">
        <v>215</v>
      </c>
      <c r="J638" s="242" t="s">
        <v>8883</v>
      </c>
      <c r="K638" s="195" t="s">
        <v>71</v>
      </c>
      <c r="L638" s="20" t="str">
        <f ca="1">IF(OFFSET(환산공식!$ED$15,$F638,0)=1,"O","X")</f>
        <v>X</v>
      </c>
      <c r="M638" s="188">
        <f ca="1">IFERROR(OFFSET(환산공식!DJ$15,$F638,0),"")</f>
        <v>125</v>
      </c>
      <c r="N638" s="20" t="str">
        <f ca="1">IFERROR(CONCATENATE(ROUND(OFFSET(환산공식!DK$15,$F638,0),1),"%"),"")</f>
        <v>100%</v>
      </c>
      <c r="O638" s="20">
        <f ca="1">IFERROR(OFFSET(환산공식!DL$15,$F638,0),"")</f>
        <v>10</v>
      </c>
      <c r="P638" s="188" t="str">
        <f t="shared" ca="1" si="19"/>
        <v>3% 이하</v>
      </c>
      <c r="Q638" s="194">
        <f ca="1">IFERROR(ROUND(OFFSET(환산공식!$FG$15,$F638,0),3),"")</f>
        <v>0</v>
      </c>
      <c r="R638" s="194">
        <f ca="1">OFFSET('배치점수 계산기'!H$10,$D638,0)</f>
        <v>663.49199999999996</v>
      </c>
      <c r="S638" s="194">
        <f ca="1">OFFSET('배치점수 계산기'!I$10,$D638,0)</f>
        <v>661.22900000000004</v>
      </c>
      <c r="T638" s="194">
        <f ca="1">OFFSET('배치점수 계산기'!J$10,$D638,0)</f>
        <v>657.61900000000003</v>
      </c>
      <c r="U638" s="194">
        <f ca="1">OFFSET('배치점수 계산기'!K$10,$D638,0)</f>
        <v>653.90800000000002</v>
      </c>
      <c r="V638" s="194">
        <f ca="1">OFFSET('배치점수 계산기'!L$10,$D638,0)</f>
        <v>648.96299999999997</v>
      </c>
      <c r="W638" s="186" t="str">
        <f ca="1">OFFSET('배치점수 계산기'!M$10,$D638,0)</f>
        <v>표점</v>
      </c>
      <c r="X638" s="184" t="str">
        <f ca="1">OFFSET('배치점수 계산기'!N$10,$D638,0)</f>
        <v>변표</v>
      </c>
      <c r="Y638" s="188">
        <f ca="1">OFFSET(환산공식!FW$15,$F638,0)</f>
        <v>0.43</v>
      </c>
      <c r="Z638" s="20">
        <f ca="1">OFFSET(환산공식!FX$15,$F638,0)</f>
        <v>0.28999999999999998</v>
      </c>
      <c r="AA638" s="179">
        <f ca="1">OFFSET(환산공식!FY$15,$F638,0)</f>
        <v>0.28999999999999998</v>
      </c>
      <c r="AB638" s="3"/>
      <c r="AD638">
        <f t="shared" ca="1" si="20"/>
        <v>6</v>
      </c>
      <c r="AF638" s="3"/>
      <c r="AG638" s="3"/>
      <c r="AH638" s="3"/>
    </row>
    <row r="639" spans="1:34">
      <c r="A639" s="198"/>
      <c r="B639" s="198"/>
      <c r="C639" s="198" t="s">
        <v>1200</v>
      </c>
      <c r="D639" s="195">
        <v>693</v>
      </c>
      <c r="E639" s="195">
        <v>193</v>
      </c>
      <c r="F639" s="195">
        <v>193</v>
      </c>
      <c r="G639" s="239">
        <v>632</v>
      </c>
      <c r="H639" s="197" t="s">
        <v>72</v>
      </c>
      <c r="I639" s="242" t="s">
        <v>215</v>
      </c>
      <c r="J639" s="242" t="s">
        <v>16632</v>
      </c>
      <c r="K639" s="195" t="s">
        <v>71</v>
      </c>
      <c r="L639" s="20" t="str">
        <f ca="1">IF(OFFSET(환산공식!$ED$15,$F639,0)=1,"O","X")</f>
        <v>X</v>
      </c>
      <c r="M639" s="188">
        <f ca="1">IFERROR(OFFSET(환산공식!DJ$15,$F639,0),"")</f>
        <v>125</v>
      </c>
      <c r="N639" s="20" t="str">
        <f ca="1">IFERROR(CONCATENATE(ROUND(OFFSET(환산공식!DK$15,$F639,0),1),"%"),"")</f>
        <v>100%</v>
      </c>
      <c r="O639" s="20">
        <f ca="1">IFERROR(OFFSET(환산공식!DL$15,$F639,0),"")</f>
        <v>10</v>
      </c>
      <c r="P639" s="188" t="str">
        <f t="shared" ca="1" si="19"/>
        <v>3% 이하</v>
      </c>
      <c r="Q639" s="194">
        <f ca="1">IFERROR(ROUND(OFFSET(환산공식!$FG$15,$F639,0),3),"")</f>
        <v>0</v>
      </c>
      <c r="R639" s="194">
        <f ca="1">OFFSET('배치점수 계산기'!H$10,$D639,0)</f>
        <v>661.54100000000005</v>
      </c>
      <c r="S639" s="194">
        <f ca="1">OFFSET('배치점수 계산기'!I$10,$D639,0)</f>
        <v>660.13</v>
      </c>
      <c r="T639" s="194">
        <f ca="1">OFFSET('배치점수 계산기'!J$10,$D639,0)</f>
        <v>657.18100000000004</v>
      </c>
      <c r="U639" s="194">
        <f ca="1">OFFSET('배치점수 계산기'!K$10,$D639,0)</f>
        <v>651.52200000000005</v>
      </c>
      <c r="V639" s="194">
        <f ca="1">OFFSET('배치점수 계산기'!L$10,$D639,0)</f>
        <v>645.50800000000004</v>
      </c>
      <c r="W639" s="186" t="str">
        <f ca="1">OFFSET('배치점수 계산기'!M$10,$D639,0)</f>
        <v>표점</v>
      </c>
      <c r="X639" s="184" t="str">
        <f ca="1">OFFSET('배치점수 계산기'!N$10,$D639,0)</f>
        <v>변표</v>
      </c>
      <c r="Y639" s="188">
        <f ca="1">OFFSET(환산공식!FW$15,$F639,0)</f>
        <v>0.43</v>
      </c>
      <c r="Z639" s="20">
        <f ca="1">OFFSET(환산공식!FX$15,$F639,0)</f>
        <v>0.28999999999999998</v>
      </c>
      <c r="AA639" s="179">
        <f ca="1">OFFSET(환산공식!FY$15,$F639,0)</f>
        <v>0.28999999999999998</v>
      </c>
      <c r="AB639" s="3"/>
      <c r="AD639">
        <f t="shared" ca="1" si="20"/>
        <v>6</v>
      </c>
      <c r="AF639" s="3"/>
      <c r="AG639" s="3"/>
      <c r="AH639" s="3"/>
    </row>
    <row r="640" spans="1:34">
      <c r="A640" s="198"/>
      <c r="B640" s="198"/>
      <c r="C640" s="198" t="s">
        <v>1201</v>
      </c>
      <c r="D640" s="195">
        <v>694</v>
      </c>
      <c r="E640" s="195">
        <v>193</v>
      </c>
      <c r="F640" s="195">
        <v>193</v>
      </c>
      <c r="G640" s="239">
        <v>633</v>
      </c>
      <c r="H640" s="197" t="s">
        <v>72</v>
      </c>
      <c r="I640" s="242" t="s">
        <v>215</v>
      </c>
      <c r="J640" s="242" t="s">
        <v>8863</v>
      </c>
      <c r="K640" s="195" t="s">
        <v>71</v>
      </c>
      <c r="L640" s="20" t="str">
        <f ca="1">IF(OFFSET(환산공식!$ED$15,$F640,0)=1,"O","X")</f>
        <v>X</v>
      </c>
      <c r="M640" s="188">
        <f ca="1">IFERROR(OFFSET(환산공식!DJ$15,$F640,0),"")</f>
        <v>125</v>
      </c>
      <c r="N640" s="20" t="str">
        <f ca="1">IFERROR(CONCATENATE(ROUND(OFFSET(환산공식!DK$15,$F640,0),1),"%"),"")</f>
        <v>100%</v>
      </c>
      <c r="O640" s="20">
        <f ca="1">IFERROR(OFFSET(환산공식!DL$15,$F640,0),"")</f>
        <v>10</v>
      </c>
      <c r="P640" s="188" t="str">
        <f t="shared" ca="1" si="19"/>
        <v>3% 이하</v>
      </c>
      <c r="Q640" s="194">
        <f ca="1">IFERROR(ROUND(OFFSET(환산공식!$FG$15,$F640,0),3),"")</f>
        <v>0</v>
      </c>
      <c r="R640" s="194">
        <f ca="1">OFFSET('배치점수 계산기'!H$10,$D640,0)</f>
        <v>660.65</v>
      </c>
      <c r="S640" s="194">
        <f ca="1">OFFSET('배치점수 계산기'!I$10,$D640,0)</f>
        <v>658.50599999999997</v>
      </c>
      <c r="T640" s="194">
        <f ca="1">OFFSET('배치점수 계산기'!J$10,$D640,0)</f>
        <v>655.00699999999995</v>
      </c>
      <c r="U640" s="194">
        <f ca="1">OFFSET('배치점수 계산기'!K$10,$D640,0)</f>
        <v>651.52200000000005</v>
      </c>
      <c r="V640" s="194">
        <f ca="1">OFFSET('배치점수 계산기'!L$10,$D640,0)</f>
        <v>646.54600000000005</v>
      </c>
      <c r="W640" s="186" t="str">
        <f ca="1">OFFSET('배치점수 계산기'!M$10,$D640,0)</f>
        <v>표점</v>
      </c>
      <c r="X640" s="184" t="str">
        <f ca="1">OFFSET('배치점수 계산기'!N$10,$D640,0)</f>
        <v>변표</v>
      </c>
      <c r="Y640" s="188">
        <f ca="1">OFFSET(환산공식!FW$15,$F640,0)</f>
        <v>0.43</v>
      </c>
      <c r="Z640" s="20">
        <f ca="1">OFFSET(환산공식!FX$15,$F640,0)</f>
        <v>0.28999999999999998</v>
      </c>
      <c r="AA640" s="179">
        <f ca="1">OFFSET(환산공식!FY$15,$F640,0)</f>
        <v>0.28999999999999998</v>
      </c>
      <c r="AB640" s="3"/>
      <c r="AD640">
        <f t="shared" ca="1" si="20"/>
        <v>6</v>
      </c>
      <c r="AF640" s="3"/>
      <c r="AG640" s="3"/>
      <c r="AH640" s="3"/>
    </row>
    <row r="641" spans="1:34">
      <c r="A641" s="198"/>
      <c r="B641" s="198"/>
      <c r="C641" s="198" t="s">
        <v>1202</v>
      </c>
      <c r="D641" s="195">
        <v>695</v>
      </c>
      <c r="E641" s="195">
        <v>193</v>
      </c>
      <c r="F641" s="195">
        <v>193</v>
      </c>
      <c r="G641" s="239">
        <v>634</v>
      </c>
      <c r="H641" s="197" t="s">
        <v>72</v>
      </c>
      <c r="I641" s="242" t="s">
        <v>215</v>
      </c>
      <c r="J641" s="242" t="s">
        <v>8753</v>
      </c>
      <c r="K641" s="195" t="s">
        <v>71</v>
      </c>
      <c r="L641" s="20" t="str">
        <f ca="1">IF(OFFSET(환산공식!$ED$15,$F641,0)=1,"O","X")</f>
        <v>X</v>
      </c>
      <c r="M641" s="188">
        <f ca="1">IFERROR(OFFSET(환산공식!DJ$15,$F641,0),"")</f>
        <v>125</v>
      </c>
      <c r="N641" s="20" t="str">
        <f ca="1">IFERROR(CONCATENATE(ROUND(OFFSET(환산공식!DK$15,$F641,0),1),"%"),"")</f>
        <v>100%</v>
      </c>
      <c r="O641" s="20">
        <f ca="1">IFERROR(OFFSET(환산공식!DL$15,$F641,0),"")</f>
        <v>10</v>
      </c>
      <c r="P641" s="188" t="str">
        <f t="shared" ca="1" si="19"/>
        <v>3% 이하</v>
      </c>
      <c r="Q641" s="194">
        <f ca="1">IFERROR(ROUND(OFFSET(환산공식!$FG$15,$F641,0),3),"")</f>
        <v>0</v>
      </c>
      <c r="R641" s="194">
        <f ca="1">OFFSET('배치점수 계산기'!H$10,$D641,0)</f>
        <v>660.65</v>
      </c>
      <c r="S641" s="194">
        <f ca="1">OFFSET('배치점수 계산기'!I$10,$D641,0)</f>
        <v>658.50599999999997</v>
      </c>
      <c r="T641" s="194">
        <f ca="1">OFFSET('배치점수 계산기'!J$10,$D641,0)</f>
        <v>655.00699999999995</v>
      </c>
      <c r="U641" s="194">
        <f ca="1">OFFSET('배치점수 계산기'!K$10,$D641,0)</f>
        <v>651.52200000000005</v>
      </c>
      <c r="V641" s="194">
        <f ca="1">OFFSET('배치점수 계산기'!L$10,$D641,0)</f>
        <v>646.54600000000005</v>
      </c>
      <c r="W641" s="186" t="str">
        <f ca="1">OFFSET('배치점수 계산기'!M$10,$D641,0)</f>
        <v>표점</v>
      </c>
      <c r="X641" s="184" t="str">
        <f ca="1">OFFSET('배치점수 계산기'!N$10,$D641,0)</f>
        <v>변표</v>
      </c>
      <c r="Y641" s="188">
        <f ca="1">OFFSET(환산공식!FW$15,$F641,0)</f>
        <v>0.43</v>
      </c>
      <c r="Z641" s="20">
        <f ca="1">OFFSET(환산공식!FX$15,$F641,0)</f>
        <v>0.28999999999999998</v>
      </c>
      <c r="AA641" s="179">
        <f ca="1">OFFSET(환산공식!FY$15,$F641,0)</f>
        <v>0.28999999999999998</v>
      </c>
      <c r="AB641" s="3"/>
      <c r="AD641">
        <f t="shared" ca="1" si="20"/>
        <v>6</v>
      </c>
      <c r="AF641" s="3"/>
      <c r="AG641" s="3"/>
      <c r="AH641" s="3"/>
    </row>
    <row r="642" spans="1:34">
      <c r="A642" s="198"/>
      <c r="B642" s="198"/>
      <c r="C642" s="198" t="s">
        <v>1203</v>
      </c>
      <c r="D642" s="195">
        <v>696</v>
      </c>
      <c r="E642" s="195">
        <v>193</v>
      </c>
      <c r="F642" s="195">
        <v>193</v>
      </c>
      <c r="G642" s="239">
        <v>635</v>
      </c>
      <c r="H642" s="197" t="s">
        <v>72</v>
      </c>
      <c r="I642" s="242" t="s">
        <v>215</v>
      </c>
      <c r="J642" s="242" t="s">
        <v>8618</v>
      </c>
      <c r="K642" s="195" t="s">
        <v>71</v>
      </c>
      <c r="L642" s="20" t="str">
        <f ca="1">IF(OFFSET(환산공식!$ED$15,$F642,0)=1,"O","X")</f>
        <v>X</v>
      </c>
      <c r="M642" s="188">
        <f ca="1">IFERROR(OFFSET(환산공식!DJ$15,$F642,0),"")</f>
        <v>125</v>
      </c>
      <c r="N642" s="20" t="str">
        <f ca="1">IFERROR(CONCATENATE(ROUND(OFFSET(환산공식!DK$15,$F642,0),1),"%"),"")</f>
        <v>100%</v>
      </c>
      <c r="O642" s="20">
        <f ca="1">IFERROR(OFFSET(환산공식!DL$15,$F642,0),"")</f>
        <v>10</v>
      </c>
      <c r="P642" s="188" t="str">
        <f t="shared" ca="1" si="19"/>
        <v>3% 이하</v>
      </c>
      <c r="Q642" s="194">
        <f ca="1">IFERROR(ROUND(OFFSET(환산공식!$FG$15,$F642,0),3),"")</f>
        <v>0</v>
      </c>
      <c r="R642" s="194">
        <f ca="1">OFFSET('배치점수 계산기'!H$10,$D642,0)</f>
        <v>658.71299999999997</v>
      </c>
      <c r="S642" s="194">
        <f ca="1">OFFSET('배치점수 계산기'!I$10,$D642,0)</f>
        <v>656.71</v>
      </c>
      <c r="T642" s="194">
        <f ca="1">OFFSET('배치점수 계산기'!J$10,$D642,0)</f>
        <v>653.072</v>
      </c>
      <c r="U642" s="194">
        <f ca="1">OFFSET('배치점수 계산기'!K$10,$D642,0)</f>
        <v>649.75199999999995</v>
      </c>
      <c r="V642" s="194">
        <f ca="1">OFFSET('배치점수 계산기'!L$10,$D642,0)</f>
        <v>644.98800000000006</v>
      </c>
      <c r="W642" s="186" t="str">
        <f ca="1">OFFSET('배치점수 계산기'!M$10,$D642,0)</f>
        <v>표점</v>
      </c>
      <c r="X642" s="184" t="str">
        <f ca="1">OFFSET('배치점수 계산기'!N$10,$D642,0)</f>
        <v>변표</v>
      </c>
      <c r="Y642" s="188">
        <f ca="1">OFFSET(환산공식!FW$15,$F642,0)</f>
        <v>0.43</v>
      </c>
      <c r="Z642" s="20">
        <f ca="1">OFFSET(환산공식!FX$15,$F642,0)</f>
        <v>0.28999999999999998</v>
      </c>
      <c r="AA642" s="179">
        <f ca="1">OFFSET(환산공식!FY$15,$F642,0)</f>
        <v>0.28999999999999998</v>
      </c>
      <c r="AB642" s="3"/>
      <c r="AD642">
        <f t="shared" ca="1" si="20"/>
        <v>6</v>
      </c>
      <c r="AF642" s="3"/>
      <c r="AG642" s="3"/>
      <c r="AH642" s="3"/>
    </row>
    <row r="643" spans="1:34">
      <c r="A643" s="198"/>
      <c r="B643" s="198"/>
      <c r="C643" s="198" t="s">
        <v>1204</v>
      </c>
      <c r="D643" s="195">
        <v>697</v>
      </c>
      <c r="E643" s="195">
        <v>193</v>
      </c>
      <c r="F643" s="195">
        <v>193</v>
      </c>
      <c r="G643" s="239">
        <v>636</v>
      </c>
      <c r="H643" s="197" t="s">
        <v>72</v>
      </c>
      <c r="I643" s="242" t="s">
        <v>215</v>
      </c>
      <c r="J643" s="242" t="s">
        <v>8797</v>
      </c>
      <c r="K643" s="195" t="s">
        <v>71</v>
      </c>
      <c r="L643" s="20" t="str">
        <f ca="1">IF(OFFSET(환산공식!$ED$15,$F643,0)=1,"O","X")</f>
        <v>X</v>
      </c>
      <c r="M643" s="188">
        <f ca="1">IFERROR(OFFSET(환산공식!DJ$15,$F643,0),"")</f>
        <v>125</v>
      </c>
      <c r="N643" s="20" t="str">
        <f ca="1">IFERROR(CONCATENATE(ROUND(OFFSET(환산공식!DK$15,$F643,0),1),"%"),"")</f>
        <v>100%</v>
      </c>
      <c r="O643" s="20">
        <f ca="1">IFERROR(OFFSET(환산공식!DL$15,$F643,0),"")</f>
        <v>10</v>
      </c>
      <c r="P643" s="188" t="str">
        <f t="shared" ca="1" si="19"/>
        <v>3% 이하</v>
      </c>
      <c r="Q643" s="194">
        <f ca="1">IFERROR(ROUND(OFFSET(환산공식!$FG$15,$F643,0),3),"")</f>
        <v>0</v>
      </c>
      <c r="R643" s="194">
        <f ca="1">OFFSET('배치점수 계산기'!H$10,$D643,0)</f>
        <v>656.50300000000004</v>
      </c>
      <c r="S643" s="194">
        <f ca="1">OFFSET('배치점수 계산기'!I$10,$D643,0)</f>
        <v>654.39</v>
      </c>
      <c r="T643" s="194">
        <f ca="1">OFFSET('배치점수 계산기'!J$10,$D643,0)</f>
        <v>651.05999999999995</v>
      </c>
      <c r="U643" s="194">
        <f ca="1">OFFSET('배치점수 계산기'!K$10,$D643,0)</f>
        <v>647.62099999999998</v>
      </c>
      <c r="V643" s="194">
        <f ca="1">OFFSET('배치점수 계산기'!L$10,$D643,0)</f>
        <v>643.19500000000005</v>
      </c>
      <c r="W643" s="186" t="str">
        <f ca="1">OFFSET('배치점수 계산기'!M$10,$D643,0)</f>
        <v>표점</v>
      </c>
      <c r="X643" s="184" t="str">
        <f ca="1">OFFSET('배치점수 계산기'!N$10,$D643,0)</f>
        <v>변표</v>
      </c>
      <c r="Y643" s="188">
        <f ca="1">OFFSET(환산공식!FW$15,$F643,0)</f>
        <v>0.43</v>
      </c>
      <c r="Z643" s="20">
        <f ca="1">OFFSET(환산공식!FX$15,$F643,0)</f>
        <v>0.28999999999999998</v>
      </c>
      <c r="AA643" s="179">
        <f ca="1">OFFSET(환산공식!FY$15,$F643,0)</f>
        <v>0.28999999999999998</v>
      </c>
      <c r="AB643" s="3"/>
      <c r="AD643">
        <f t="shared" ca="1" si="20"/>
        <v>6</v>
      </c>
      <c r="AF643" s="3"/>
      <c r="AG643" s="3"/>
      <c r="AH643" s="3"/>
    </row>
    <row r="644" spans="1:34">
      <c r="A644" s="198"/>
      <c r="B644" s="198"/>
      <c r="C644" s="198" t="s">
        <v>1205</v>
      </c>
      <c r="D644" s="195">
        <v>698</v>
      </c>
      <c r="E644" s="195">
        <v>197</v>
      </c>
      <c r="F644" s="195">
        <v>197</v>
      </c>
      <c r="G644" s="239">
        <v>637</v>
      </c>
      <c r="H644" s="197" t="s">
        <v>72</v>
      </c>
      <c r="I644" s="242" t="s">
        <v>215</v>
      </c>
      <c r="J644" s="242" t="s">
        <v>13468</v>
      </c>
      <c r="K644" s="195" t="s">
        <v>71</v>
      </c>
      <c r="L644" s="20" t="str">
        <f ca="1">IF(OFFSET(환산공식!$ED$15,$F644,0)=1,"O","X")</f>
        <v>X</v>
      </c>
      <c r="M644" s="188">
        <f ca="1">IFERROR(OFFSET(환산공식!DJ$15,$F644,0),"")</f>
        <v>250</v>
      </c>
      <c r="N644" s="20" t="str">
        <f ca="1">IFERROR(CONCATENATE(ROUND(OFFSET(환산공식!DK$15,$F644,0),1),"%"),"")</f>
        <v>100%</v>
      </c>
      <c r="O644" s="20">
        <f ca="1">IFERROR(OFFSET(환산공식!DL$15,$F644,0),"")</f>
        <v>10</v>
      </c>
      <c r="P644" s="188" t="str">
        <f t="shared" ca="1" si="19"/>
        <v>3% 이하</v>
      </c>
      <c r="Q644" s="194">
        <f ca="1">IFERROR(ROUND(OFFSET(환산공식!$FG$15,$F644,0),3),"")</f>
        <v>0</v>
      </c>
      <c r="R644" s="194">
        <f ca="1">OFFSET('배치점수 계산기'!H$10,$D644,0)</f>
        <v>665.12</v>
      </c>
      <c r="S644" s="194">
        <f ca="1">OFFSET('배치점수 계산기'!I$10,$D644,0)</f>
        <v>662.73500000000001</v>
      </c>
      <c r="T644" s="194">
        <f ca="1">OFFSET('배치점수 계산기'!J$10,$D644,0)</f>
        <v>659.15300000000002</v>
      </c>
      <c r="U644" s="194">
        <f ca="1">OFFSET('배치점수 계산기'!K$10,$D644,0)</f>
        <v>655.24300000000005</v>
      </c>
      <c r="V644" s="194">
        <f ca="1">OFFSET('배치점수 계산기'!L$10,$D644,0)</f>
        <v>649.61199999999997</v>
      </c>
      <c r="W644" s="186" t="str">
        <f ca="1">OFFSET('배치점수 계산기'!M$10,$D644,0)</f>
        <v>표점</v>
      </c>
      <c r="X644" s="184" t="str">
        <f ca="1">OFFSET('배치점수 계산기'!N$10,$D644,0)</f>
        <v>변표</v>
      </c>
      <c r="Y644" s="188">
        <f ca="1">OFFSET(환산공식!FW$15,$F644,0)</f>
        <v>0</v>
      </c>
      <c r="Z644" s="20">
        <f ca="1">OFFSET(환산공식!FX$15,$F644,0)</f>
        <v>0.67</v>
      </c>
      <c r="AA644" s="179">
        <f ca="1">OFFSET(환산공식!FY$15,$F644,0)</f>
        <v>0.33</v>
      </c>
      <c r="AB644" s="3"/>
      <c r="AD644">
        <f t="shared" ca="1" si="20"/>
        <v>6</v>
      </c>
      <c r="AF644" s="3"/>
      <c r="AG644" s="3"/>
      <c r="AH644" s="3"/>
    </row>
    <row r="645" spans="1:34">
      <c r="A645" s="198"/>
      <c r="B645" s="198"/>
      <c r="C645" s="198" t="s">
        <v>1206</v>
      </c>
      <c r="D645" s="195">
        <v>699</v>
      </c>
      <c r="E645" s="195">
        <v>197</v>
      </c>
      <c r="F645" s="195">
        <v>197</v>
      </c>
      <c r="G645" s="239">
        <v>638</v>
      </c>
      <c r="H645" s="197" t="s">
        <v>72</v>
      </c>
      <c r="I645" s="242" t="s">
        <v>215</v>
      </c>
      <c r="J645" s="242" t="s">
        <v>11776</v>
      </c>
      <c r="K645" s="195" t="s">
        <v>71</v>
      </c>
      <c r="L645" s="20" t="str">
        <f ca="1">IF(OFFSET(환산공식!$ED$15,$F645,0)=1,"O","X")</f>
        <v>X</v>
      </c>
      <c r="M645" s="188">
        <f ca="1">IFERROR(OFFSET(환산공식!DJ$15,$F645,0),"")</f>
        <v>250</v>
      </c>
      <c r="N645" s="20" t="str">
        <f ca="1">IFERROR(CONCATENATE(ROUND(OFFSET(환산공식!DK$15,$F645,0),1),"%"),"")</f>
        <v>100%</v>
      </c>
      <c r="O645" s="20">
        <f ca="1">IFERROR(OFFSET(환산공식!DL$15,$F645,0),"")</f>
        <v>10</v>
      </c>
      <c r="P645" s="188" t="str">
        <f t="shared" ca="1" si="19"/>
        <v>3% 이하</v>
      </c>
      <c r="Q645" s="194">
        <f ca="1">IFERROR(ROUND(OFFSET(환산공식!$FG$15,$F645,0),3),"")</f>
        <v>0</v>
      </c>
      <c r="R645" s="194">
        <f ca="1">OFFSET('배치점수 계산기'!H$10,$D645,0)</f>
        <v>660.596</v>
      </c>
      <c r="S645" s="194">
        <f ca="1">OFFSET('배치점수 계산기'!I$10,$D645,0)</f>
        <v>659.91600000000005</v>
      </c>
      <c r="T645" s="194">
        <f ca="1">OFFSET('배치점수 계산기'!J$10,$D645,0)</f>
        <v>658.39099999999996</v>
      </c>
      <c r="U645" s="194">
        <f ca="1">OFFSET('배치점수 계산기'!K$10,$D645,0)</f>
        <v>657.02700000000004</v>
      </c>
      <c r="V645" s="194">
        <f ca="1">OFFSET('배치점수 계산기'!L$10,$D645,0)</f>
        <v>655.24300000000005</v>
      </c>
      <c r="W645" s="186" t="str">
        <f ca="1">OFFSET('배치점수 계산기'!M$10,$D645,0)</f>
        <v>표점</v>
      </c>
      <c r="X645" s="184" t="str">
        <f ca="1">OFFSET('배치점수 계산기'!N$10,$D645,0)</f>
        <v>변표</v>
      </c>
      <c r="Y645" s="188">
        <f ca="1">OFFSET(환산공식!FW$15,$F645,0)</f>
        <v>0</v>
      </c>
      <c r="Z645" s="20">
        <f ca="1">OFFSET(환산공식!FX$15,$F645,0)</f>
        <v>0.67</v>
      </c>
      <c r="AA645" s="179">
        <f ca="1">OFFSET(환산공식!FY$15,$F645,0)</f>
        <v>0.33</v>
      </c>
      <c r="AB645" s="3"/>
      <c r="AD645">
        <f t="shared" ca="1" si="20"/>
        <v>6</v>
      </c>
      <c r="AF645" s="3"/>
      <c r="AG645" s="3"/>
      <c r="AH645" s="3"/>
    </row>
    <row r="646" spans="1:34">
      <c r="A646" s="198"/>
      <c r="B646" s="198"/>
      <c r="C646" s="198" t="s">
        <v>1207</v>
      </c>
      <c r="D646" s="195">
        <v>700</v>
      </c>
      <c r="E646" s="195">
        <v>197</v>
      </c>
      <c r="F646" s="195">
        <v>197</v>
      </c>
      <c r="G646" s="239">
        <v>639</v>
      </c>
      <c r="H646" s="197" t="s">
        <v>72</v>
      </c>
      <c r="I646" s="242" t="s">
        <v>215</v>
      </c>
      <c r="J646" s="242" t="s">
        <v>13517</v>
      </c>
      <c r="K646" s="195" t="s">
        <v>71</v>
      </c>
      <c r="L646" s="20" t="str">
        <f ca="1">IF(OFFSET(환산공식!$ED$15,$F646,0)=1,"O","X")</f>
        <v>X</v>
      </c>
      <c r="M646" s="188">
        <f ca="1">IFERROR(OFFSET(환산공식!DJ$15,$F646,0),"")</f>
        <v>250</v>
      </c>
      <c r="N646" s="20" t="str">
        <f ca="1">IFERROR(CONCATENATE(ROUND(OFFSET(환산공식!DK$15,$F646,0),1),"%"),"")</f>
        <v>100%</v>
      </c>
      <c r="O646" s="20">
        <f ca="1">IFERROR(OFFSET(환산공식!DL$15,$F646,0),"")</f>
        <v>10</v>
      </c>
      <c r="P646" s="188" t="str">
        <f t="shared" ca="1" si="19"/>
        <v>3% 이하</v>
      </c>
      <c r="Q646" s="194">
        <f ca="1">IFERROR(ROUND(OFFSET(환산공식!$FG$15,$F646,0),3),"")</f>
        <v>0</v>
      </c>
      <c r="R646" s="194">
        <f ca="1">OFFSET('배치점수 계산기'!H$10,$D646,0)</f>
        <v>662.81899999999996</v>
      </c>
      <c r="S646" s="194">
        <f ca="1">OFFSET('배치점수 계산기'!I$10,$D646,0)</f>
        <v>660.76400000000001</v>
      </c>
      <c r="T646" s="194">
        <f ca="1">OFFSET('배치점수 계산기'!J$10,$D646,0)</f>
        <v>657.27700000000004</v>
      </c>
      <c r="U646" s="194">
        <f ca="1">OFFSET('배치점수 계산기'!K$10,$D646,0)</f>
        <v>653.327</v>
      </c>
      <c r="V646" s="194">
        <f ca="1">OFFSET('배치점수 계산기'!L$10,$D646,0)</f>
        <v>647.43499999999995</v>
      </c>
      <c r="W646" s="186" t="str">
        <f ca="1">OFFSET('배치점수 계산기'!M$10,$D646,0)</f>
        <v>표점</v>
      </c>
      <c r="X646" s="184" t="str">
        <f ca="1">OFFSET('배치점수 계산기'!N$10,$D646,0)</f>
        <v>변표</v>
      </c>
      <c r="Y646" s="188">
        <f ca="1">OFFSET(환산공식!FW$15,$F646,0)</f>
        <v>0</v>
      </c>
      <c r="Z646" s="20">
        <f ca="1">OFFSET(환산공식!FX$15,$F646,0)</f>
        <v>0.67</v>
      </c>
      <c r="AA646" s="179">
        <f ca="1">OFFSET(환산공식!FY$15,$F646,0)</f>
        <v>0.33</v>
      </c>
      <c r="AB646" s="3"/>
      <c r="AD646">
        <f t="shared" ca="1" si="20"/>
        <v>6</v>
      </c>
      <c r="AF646" s="3"/>
      <c r="AG646" s="3"/>
      <c r="AH646" s="3"/>
    </row>
    <row r="647" spans="1:34">
      <c r="A647" s="198"/>
      <c r="B647" s="198"/>
      <c r="C647" s="198" t="s">
        <v>1208</v>
      </c>
      <c r="D647" s="195">
        <v>701</v>
      </c>
      <c r="E647" s="195">
        <v>197</v>
      </c>
      <c r="F647" s="195">
        <v>197</v>
      </c>
      <c r="G647" s="239">
        <v>640</v>
      </c>
      <c r="H647" s="197" t="s">
        <v>72</v>
      </c>
      <c r="I647" s="242" t="s">
        <v>215</v>
      </c>
      <c r="J647" s="242" t="s">
        <v>12645</v>
      </c>
      <c r="K647" s="195" t="s">
        <v>71</v>
      </c>
      <c r="L647" s="20" t="str">
        <f ca="1">IF(OFFSET(환산공식!$ED$15,$F647,0)=1,"O","X")</f>
        <v>X</v>
      </c>
      <c r="M647" s="188">
        <f ca="1">IFERROR(OFFSET(환산공식!DJ$15,$F647,0),"")</f>
        <v>250</v>
      </c>
      <c r="N647" s="20" t="str">
        <f ca="1">IFERROR(CONCATENATE(ROUND(OFFSET(환산공식!DK$15,$F647,0),1),"%"),"")</f>
        <v>100%</v>
      </c>
      <c r="O647" s="20">
        <f ca="1">IFERROR(OFFSET(환산공식!DL$15,$F647,0),"")</f>
        <v>10</v>
      </c>
      <c r="P647" s="188" t="str">
        <f t="shared" ca="1" si="19"/>
        <v>3% 이하</v>
      </c>
      <c r="Q647" s="194">
        <f ca="1">IFERROR(ROUND(OFFSET(환산공식!$FG$15,$F647,0),3),"")</f>
        <v>0</v>
      </c>
      <c r="R647" s="194">
        <f ca="1">OFFSET('배치점수 계산기'!H$10,$D647,0)</f>
        <v>658.04700000000003</v>
      </c>
      <c r="S647" s="194">
        <f ca="1">OFFSET('배치점수 계산기'!I$10,$D647,0)</f>
        <v>656.25699999999995</v>
      </c>
      <c r="T647" s="194">
        <f ca="1">OFFSET('배치점수 계산기'!J$10,$D647,0)</f>
        <v>652.70799999999997</v>
      </c>
      <c r="U647" s="194">
        <f ca="1">OFFSET('배치점수 계산기'!K$10,$D647,0)</f>
        <v>647.52</v>
      </c>
      <c r="V647" s="194">
        <f ca="1">OFFSET('배치점수 계산기'!L$10,$D647,0)</f>
        <v>642.99699999999996</v>
      </c>
      <c r="W647" s="186" t="str">
        <f ca="1">OFFSET('배치점수 계산기'!M$10,$D647,0)</f>
        <v>표점</v>
      </c>
      <c r="X647" s="184" t="str">
        <f ca="1">OFFSET('배치점수 계산기'!N$10,$D647,0)</f>
        <v>변표</v>
      </c>
      <c r="Y647" s="188">
        <f ca="1">OFFSET(환산공식!FW$15,$F647,0)</f>
        <v>0</v>
      </c>
      <c r="Z647" s="20">
        <f ca="1">OFFSET(환산공식!FX$15,$F647,0)</f>
        <v>0.67</v>
      </c>
      <c r="AA647" s="179">
        <f ca="1">OFFSET(환산공식!FY$15,$F647,0)</f>
        <v>0.33</v>
      </c>
      <c r="AB647" s="3"/>
      <c r="AD647">
        <f t="shared" ca="1" si="20"/>
        <v>6</v>
      </c>
      <c r="AF647" s="3"/>
      <c r="AG647" s="3"/>
      <c r="AH647" s="3"/>
    </row>
    <row r="648" spans="1:34">
      <c r="A648" s="198"/>
      <c r="B648" s="198"/>
      <c r="C648" s="198" t="s">
        <v>1209</v>
      </c>
      <c r="D648" s="195">
        <v>702</v>
      </c>
      <c r="E648" s="195">
        <v>197</v>
      </c>
      <c r="F648" s="195">
        <v>197</v>
      </c>
      <c r="G648" s="239">
        <v>641</v>
      </c>
      <c r="H648" s="197" t="s">
        <v>72</v>
      </c>
      <c r="I648" s="242" t="s">
        <v>215</v>
      </c>
      <c r="J648" s="242" t="s">
        <v>13673</v>
      </c>
      <c r="K648" s="195" t="s">
        <v>71</v>
      </c>
      <c r="L648" s="20" t="str">
        <f ca="1">IF(OFFSET(환산공식!$ED$15,$F648,0)=1,"O","X")</f>
        <v>X</v>
      </c>
      <c r="M648" s="188">
        <f ca="1">IFERROR(OFFSET(환산공식!DJ$15,$F648,0),"")</f>
        <v>250</v>
      </c>
      <c r="N648" s="20" t="str">
        <f ca="1">IFERROR(CONCATENATE(ROUND(OFFSET(환산공식!DK$15,$F648,0),1),"%"),"")</f>
        <v>100%</v>
      </c>
      <c r="O648" s="20">
        <f ca="1">IFERROR(OFFSET(환산공식!DL$15,$F648,0),"")</f>
        <v>10</v>
      </c>
      <c r="P648" s="188" t="str">
        <f t="shared" ca="1" si="19"/>
        <v>3% 이하</v>
      </c>
      <c r="Q648" s="194">
        <f ca="1">IFERROR(ROUND(OFFSET(환산공식!$FG$15,$F648,0),3),"")</f>
        <v>0</v>
      </c>
      <c r="R648" s="194">
        <f ca="1">OFFSET('배치점수 계산기'!H$10,$D648,0)</f>
        <v>657.62800000000004</v>
      </c>
      <c r="S648" s="194">
        <f ca="1">OFFSET('배치점수 계산기'!I$10,$D648,0)</f>
        <v>656.00699999999995</v>
      </c>
      <c r="T648" s="194">
        <f ca="1">OFFSET('배치점수 계산기'!J$10,$D648,0)</f>
        <v>652.20799999999997</v>
      </c>
      <c r="U648" s="194">
        <f ca="1">OFFSET('배치점수 계산기'!K$10,$D648,0)</f>
        <v>647.43499999999995</v>
      </c>
      <c r="V648" s="194">
        <f ca="1">OFFSET('배치점수 계산기'!L$10,$D648,0)</f>
        <v>642.74699999999996</v>
      </c>
      <c r="W648" s="186" t="str">
        <f ca="1">OFFSET('배치점수 계산기'!M$10,$D648,0)</f>
        <v>표점</v>
      </c>
      <c r="X648" s="184" t="str">
        <f ca="1">OFFSET('배치점수 계산기'!N$10,$D648,0)</f>
        <v>변표</v>
      </c>
      <c r="Y648" s="188">
        <f ca="1">OFFSET(환산공식!FW$15,$F648,0)</f>
        <v>0</v>
      </c>
      <c r="Z648" s="20">
        <f ca="1">OFFSET(환산공식!FX$15,$F648,0)</f>
        <v>0.67</v>
      </c>
      <c r="AA648" s="179">
        <f ca="1">OFFSET(환산공식!FY$15,$F648,0)</f>
        <v>0.33</v>
      </c>
      <c r="AB648" s="3"/>
      <c r="AD648">
        <f t="shared" ca="1" si="20"/>
        <v>6</v>
      </c>
      <c r="AF648" s="3"/>
      <c r="AG648" s="3"/>
      <c r="AH648" s="3"/>
    </row>
    <row r="649" spans="1:34">
      <c r="A649" s="198"/>
      <c r="B649" s="198"/>
      <c r="C649" s="198" t="s">
        <v>1210</v>
      </c>
      <c r="D649" s="195">
        <v>703</v>
      </c>
      <c r="E649" s="195">
        <v>197</v>
      </c>
      <c r="F649" s="195">
        <v>197</v>
      </c>
      <c r="G649" s="239">
        <v>642</v>
      </c>
      <c r="H649" s="197" t="s">
        <v>72</v>
      </c>
      <c r="I649" s="242" t="s">
        <v>215</v>
      </c>
      <c r="J649" s="242" t="s">
        <v>10846</v>
      </c>
      <c r="K649" s="195" t="s">
        <v>71</v>
      </c>
      <c r="L649" s="20" t="str">
        <f ca="1">IF(OFFSET(환산공식!$ED$15,$F649,0)=1,"O","X")</f>
        <v>X</v>
      </c>
      <c r="M649" s="188">
        <f ca="1">IFERROR(OFFSET(환산공식!DJ$15,$F649,0),"")</f>
        <v>250</v>
      </c>
      <c r="N649" s="20" t="str">
        <f ca="1">IFERROR(CONCATENATE(ROUND(OFFSET(환산공식!DK$15,$F649,0),1),"%"),"")</f>
        <v>100%</v>
      </c>
      <c r="O649" s="20">
        <f ca="1">IFERROR(OFFSET(환산공식!DL$15,$F649,0),"")</f>
        <v>10</v>
      </c>
      <c r="P649" s="188" t="str">
        <f t="shared" ref="P649:P712" ca="1" si="21"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>3% 이하</v>
      </c>
      <c r="Q649" s="194">
        <f ca="1">IFERROR(ROUND(OFFSET(환산공식!$FG$15,$F649,0),3),"")</f>
        <v>0</v>
      </c>
      <c r="R649" s="194">
        <f ca="1">OFFSET('배치점수 계산기'!H$10,$D649,0)</f>
        <v>655.49300000000005</v>
      </c>
      <c r="S649" s="194">
        <f ca="1">OFFSET('배치점수 계산기'!I$10,$D649,0)</f>
        <v>654.46799999999996</v>
      </c>
      <c r="T649" s="194">
        <f ca="1">OFFSET('배치점수 계산기'!J$10,$D649,0)</f>
        <v>652.20799999999997</v>
      </c>
      <c r="U649" s="194">
        <f ca="1">OFFSET('배치점수 계산기'!K$10,$D649,0)</f>
        <v>649.61199999999997</v>
      </c>
      <c r="V649" s="194">
        <f ca="1">OFFSET('배치점수 계산기'!L$10,$D649,0)</f>
        <v>646.38099999999997</v>
      </c>
      <c r="W649" s="186" t="str">
        <f ca="1">OFFSET('배치점수 계산기'!M$10,$D649,0)</f>
        <v>표점</v>
      </c>
      <c r="X649" s="184" t="str">
        <f ca="1">OFFSET('배치점수 계산기'!N$10,$D649,0)</f>
        <v>변표</v>
      </c>
      <c r="Y649" s="188">
        <f ca="1">OFFSET(환산공식!FW$15,$F649,0)</f>
        <v>0</v>
      </c>
      <c r="Z649" s="20">
        <f ca="1">OFFSET(환산공식!FX$15,$F649,0)</f>
        <v>0.67</v>
      </c>
      <c r="AA649" s="179">
        <f ca="1">OFFSET(환산공식!FY$15,$F649,0)</f>
        <v>0.33</v>
      </c>
      <c r="AB649" s="3"/>
      <c r="AD649">
        <f t="shared" ref="AD649:AD712" ca="1" si="22">IF(L649="X",6,IF(Q649&gt;R649,1,IF(Q649&gt;S649,2,IF(Q649&gt;T649,3,IF(Q649&gt;U649,4,IF(Q649&gt;=V649,5,IF(Q649&lt;V649,6,"")))))))</f>
        <v>6</v>
      </c>
      <c r="AF649" s="3"/>
      <c r="AG649" s="3"/>
      <c r="AH649" s="3"/>
    </row>
    <row r="650" spans="1:34">
      <c r="A650" s="198"/>
      <c r="B650" s="198"/>
      <c r="C650" s="198" t="s">
        <v>1211</v>
      </c>
      <c r="D650" s="195">
        <v>704</v>
      </c>
      <c r="E650" s="195">
        <v>197</v>
      </c>
      <c r="F650" s="195">
        <v>197</v>
      </c>
      <c r="G650" s="239">
        <v>643</v>
      </c>
      <c r="H650" s="197" t="s">
        <v>72</v>
      </c>
      <c r="I650" s="242" t="s">
        <v>215</v>
      </c>
      <c r="J650" s="242" t="s">
        <v>13760</v>
      </c>
      <c r="K650" s="195" t="s">
        <v>71</v>
      </c>
      <c r="L650" s="20" t="str">
        <f ca="1">IF(OFFSET(환산공식!$ED$15,$F650,0)=1,"O","X")</f>
        <v>X</v>
      </c>
      <c r="M650" s="188">
        <f ca="1">IFERROR(OFFSET(환산공식!DJ$15,$F650,0),"")</f>
        <v>250</v>
      </c>
      <c r="N650" s="20" t="str">
        <f ca="1">IFERROR(CONCATENATE(ROUND(OFFSET(환산공식!DK$15,$F650,0),1),"%"),"")</f>
        <v>100%</v>
      </c>
      <c r="O650" s="20">
        <f ca="1">IFERROR(OFFSET(환산공식!DL$15,$F650,0),"")</f>
        <v>10</v>
      </c>
      <c r="P650" s="188" t="str">
        <f t="shared" ca="1" si="21"/>
        <v>3% 이하</v>
      </c>
      <c r="Q650" s="194">
        <f ca="1">IFERROR(ROUND(OFFSET(환산공식!$FG$15,$F650,0),3),"")</f>
        <v>0</v>
      </c>
      <c r="R650" s="194">
        <f ca="1">OFFSET('배치점수 계산기'!H$10,$D650,0)</f>
        <v>654.02800000000002</v>
      </c>
      <c r="S650" s="194">
        <f ca="1">OFFSET('배치점수 계산기'!I$10,$D650,0)</f>
        <v>652.20799999999997</v>
      </c>
      <c r="T650" s="194">
        <f ca="1">OFFSET('배치점수 계산기'!J$10,$D650,0)</f>
        <v>650.13800000000003</v>
      </c>
      <c r="U650" s="194">
        <f ca="1">OFFSET('배치점수 계산기'!K$10,$D650,0)</f>
        <v>647.35</v>
      </c>
      <c r="V650" s="194">
        <f ca="1">OFFSET('배치점수 계산기'!L$10,$D650,0)</f>
        <v>644.28300000000002</v>
      </c>
      <c r="W650" s="186" t="str">
        <f ca="1">OFFSET('배치점수 계산기'!M$10,$D650,0)</f>
        <v>표점</v>
      </c>
      <c r="X650" s="184" t="str">
        <f ca="1">OFFSET('배치점수 계산기'!N$10,$D650,0)</f>
        <v>변표</v>
      </c>
      <c r="Y650" s="188">
        <f ca="1">OFFSET(환산공식!FW$15,$F650,0)</f>
        <v>0</v>
      </c>
      <c r="Z650" s="20">
        <f ca="1">OFFSET(환산공식!FX$15,$F650,0)</f>
        <v>0.67</v>
      </c>
      <c r="AA650" s="179">
        <f ca="1">OFFSET(환산공식!FY$15,$F650,0)</f>
        <v>0.33</v>
      </c>
      <c r="AB650" s="3"/>
      <c r="AD650">
        <f t="shared" ca="1" si="22"/>
        <v>6</v>
      </c>
      <c r="AF650" s="3"/>
      <c r="AG650" s="3"/>
      <c r="AH650" s="3"/>
    </row>
    <row r="651" spans="1:34">
      <c r="A651" s="198"/>
      <c r="B651" s="198"/>
      <c r="C651" s="198" t="s">
        <v>1212</v>
      </c>
      <c r="D651" s="195">
        <v>705</v>
      </c>
      <c r="E651" s="195">
        <v>197</v>
      </c>
      <c r="F651" s="195">
        <v>197</v>
      </c>
      <c r="G651" s="239">
        <v>644</v>
      </c>
      <c r="H651" s="197" t="s">
        <v>72</v>
      </c>
      <c r="I651" s="242" t="s">
        <v>215</v>
      </c>
      <c r="J651" s="242" t="s">
        <v>13756</v>
      </c>
      <c r="K651" s="195" t="s">
        <v>71</v>
      </c>
      <c r="L651" s="20" t="str">
        <f ca="1">IF(OFFSET(환산공식!$ED$15,$F651,0)=1,"O","X")</f>
        <v>X</v>
      </c>
      <c r="M651" s="188">
        <f ca="1">IFERROR(OFFSET(환산공식!DJ$15,$F651,0),"")</f>
        <v>250</v>
      </c>
      <c r="N651" s="20" t="str">
        <f ca="1">IFERROR(CONCATENATE(ROUND(OFFSET(환산공식!DK$15,$F651,0),1),"%"),"")</f>
        <v>100%</v>
      </c>
      <c r="O651" s="20">
        <f ca="1">IFERROR(OFFSET(환산공식!DL$15,$F651,0),"")</f>
        <v>10</v>
      </c>
      <c r="P651" s="188" t="str">
        <f t="shared" ca="1" si="21"/>
        <v>3% 이하</v>
      </c>
      <c r="Q651" s="194">
        <f ca="1">IFERROR(ROUND(OFFSET(환산공식!$FG$15,$F651,0),3),"")</f>
        <v>0</v>
      </c>
      <c r="R651" s="194">
        <f ca="1">OFFSET('배치점수 계산기'!H$10,$D651,0)</f>
        <v>655.49300000000005</v>
      </c>
      <c r="S651" s="194">
        <f ca="1">OFFSET('배치점수 계산기'!I$10,$D651,0)</f>
        <v>653.327</v>
      </c>
      <c r="T651" s="194">
        <f ca="1">OFFSET('배치점수 계산기'!J$10,$D651,0)</f>
        <v>649.27800000000002</v>
      </c>
      <c r="U651" s="194">
        <f ca="1">OFFSET('배치점수 계산기'!K$10,$D651,0)</f>
        <v>645.24300000000005</v>
      </c>
      <c r="V651" s="194">
        <f ca="1">OFFSET('배치점수 계산기'!L$10,$D651,0)</f>
        <v>640.53899999999999</v>
      </c>
      <c r="W651" s="186" t="str">
        <f ca="1">OFFSET('배치점수 계산기'!M$10,$D651,0)</f>
        <v>표점</v>
      </c>
      <c r="X651" s="184" t="str">
        <f ca="1">OFFSET('배치점수 계산기'!N$10,$D651,0)</f>
        <v>변표</v>
      </c>
      <c r="Y651" s="188">
        <f ca="1">OFFSET(환산공식!FW$15,$F651,0)</f>
        <v>0</v>
      </c>
      <c r="Z651" s="20">
        <f ca="1">OFFSET(환산공식!FX$15,$F651,0)</f>
        <v>0.67</v>
      </c>
      <c r="AA651" s="179">
        <f ca="1">OFFSET(환산공식!FY$15,$F651,0)</f>
        <v>0.33</v>
      </c>
      <c r="AB651" s="3"/>
      <c r="AD651">
        <f t="shared" ca="1" si="22"/>
        <v>6</v>
      </c>
      <c r="AF651" s="3"/>
      <c r="AG651" s="3"/>
      <c r="AH651" s="3"/>
    </row>
    <row r="652" spans="1:34">
      <c r="A652" s="198"/>
      <c r="B652" s="198"/>
      <c r="C652" s="198" t="s">
        <v>1213</v>
      </c>
      <c r="D652" s="195">
        <v>706</v>
      </c>
      <c r="E652" s="195">
        <v>197</v>
      </c>
      <c r="F652" s="195">
        <v>197</v>
      </c>
      <c r="G652" s="239">
        <v>645</v>
      </c>
      <c r="H652" s="197" t="s">
        <v>72</v>
      </c>
      <c r="I652" s="242" t="s">
        <v>215</v>
      </c>
      <c r="J652" s="242" t="s">
        <v>13810</v>
      </c>
      <c r="K652" s="195" t="s">
        <v>71</v>
      </c>
      <c r="L652" s="20" t="str">
        <f ca="1">IF(OFFSET(환산공식!$ED$15,$F652,0)=1,"O","X")</f>
        <v>X</v>
      </c>
      <c r="M652" s="188">
        <f ca="1">IFERROR(OFFSET(환산공식!DJ$15,$F652,0),"")</f>
        <v>250</v>
      </c>
      <c r="N652" s="20" t="str">
        <f ca="1">IFERROR(CONCATENATE(ROUND(OFFSET(환산공식!DK$15,$F652,0),1),"%"),"")</f>
        <v>100%</v>
      </c>
      <c r="O652" s="20">
        <f ca="1">IFERROR(OFFSET(환산공식!DL$15,$F652,0),"")</f>
        <v>10</v>
      </c>
      <c r="P652" s="188" t="str">
        <f t="shared" ca="1" si="21"/>
        <v>3% 이하</v>
      </c>
      <c r="Q652" s="194">
        <f ca="1">IFERROR(ROUND(OFFSET(환산공식!$FG$15,$F652,0),3),"")</f>
        <v>0</v>
      </c>
      <c r="R652" s="194">
        <f ca="1">OFFSET('배치점수 계산기'!H$10,$D652,0)</f>
        <v>651.87300000000005</v>
      </c>
      <c r="S652" s="194">
        <f ca="1">OFFSET('배치점수 계산기'!I$10,$D652,0)</f>
        <v>649.27800000000002</v>
      </c>
      <c r="T652" s="194">
        <f ca="1">OFFSET('배치점수 계산기'!J$10,$D652,0)</f>
        <v>645.41200000000003</v>
      </c>
      <c r="U652" s="194">
        <f ca="1">OFFSET('배치점수 계산기'!K$10,$D652,0)</f>
        <v>641.79999999999995</v>
      </c>
      <c r="V652" s="194">
        <f ca="1">OFFSET('배치점수 계산기'!L$10,$D652,0)</f>
        <v>637.12300000000005</v>
      </c>
      <c r="W652" s="186" t="str">
        <f ca="1">OFFSET('배치점수 계산기'!M$10,$D652,0)</f>
        <v>표점</v>
      </c>
      <c r="X652" s="184" t="str">
        <f ca="1">OFFSET('배치점수 계산기'!N$10,$D652,0)</f>
        <v>변표</v>
      </c>
      <c r="Y652" s="188">
        <f ca="1">OFFSET(환산공식!FW$15,$F652,0)</f>
        <v>0</v>
      </c>
      <c r="Z652" s="20">
        <f ca="1">OFFSET(환산공식!FX$15,$F652,0)</f>
        <v>0.67</v>
      </c>
      <c r="AA652" s="179">
        <f ca="1">OFFSET(환산공식!FY$15,$F652,0)</f>
        <v>0.33</v>
      </c>
      <c r="AB652" s="3"/>
      <c r="AD652">
        <f t="shared" ca="1" si="22"/>
        <v>6</v>
      </c>
      <c r="AF652" s="3"/>
      <c r="AG652" s="3"/>
      <c r="AH652" s="3"/>
    </row>
    <row r="653" spans="1:34">
      <c r="A653" s="198"/>
      <c r="B653" s="198"/>
      <c r="C653" s="198" t="s">
        <v>1214</v>
      </c>
      <c r="D653" s="195">
        <v>707</v>
      </c>
      <c r="E653" s="195">
        <v>197</v>
      </c>
      <c r="F653" s="195">
        <v>197</v>
      </c>
      <c r="G653" s="239">
        <v>646</v>
      </c>
      <c r="H653" s="197" t="s">
        <v>72</v>
      </c>
      <c r="I653" s="242" t="s">
        <v>215</v>
      </c>
      <c r="J653" s="242" t="s">
        <v>8491</v>
      </c>
      <c r="K653" s="195" t="s">
        <v>71</v>
      </c>
      <c r="L653" s="20" t="str">
        <f ca="1">IF(OFFSET(환산공식!$ED$15,$F653,0)=1,"O","X")</f>
        <v>X</v>
      </c>
      <c r="M653" s="188">
        <f ca="1">IFERROR(OFFSET(환산공식!DJ$15,$F653,0),"")</f>
        <v>250</v>
      </c>
      <c r="N653" s="20" t="str">
        <f ca="1">IFERROR(CONCATENATE(ROUND(OFFSET(환산공식!DK$15,$F653,0),1),"%"),"")</f>
        <v>100%</v>
      </c>
      <c r="O653" s="20">
        <f ca="1">IFERROR(OFFSET(환산공식!DL$15,$F653,0),"")</f>
        <v>10</v>
      </c>
      <c r="P653" s="188" t="str">
        <f t="shared" ca="1" si="21"/>
        <v>3% 이하</v>
      </c>
      <c r="Q653" s="194">
        <f ca="1">IFERROR(ROUND(OFFSET(환산공식!$FG$15,$F653,0),3),"")</f>
        <v>0</v>
      </c>
      <c r="R653" s="194">
        <f ca="1">OFFSET('배치점수 계산기'!H$10,$D653,0)</f>
        <v>641.36800000000005</v>
      </c>
      <c r="S653" s="194">
        <f ca="1">OFFSET('배치점수 계산기'!I$10,$D653,0)</f>
        <v>640.45500000000004</v>
      </c>
      <c r="T653" s="194">
        <f ca="1">OFFSET('배치점수 계산기'!J$10,$D653,0)</f>
        <v>639.45699999999999</v>
      </c>
      <c r="U653" s="194">
        <f ca="1">OFFSET('배치점수 계산기'!K$10,$D653,0)</f>
        <v>638.45799999999997</v>
      </c>
      <c r="V653" s="194">
        <f ca="1">OFFSET('배치점수 계산기'!L$10,$D653,0)</f>
        <v>635.79499999999996</v>
      </c>
      <c r="W653" s="186" t="str">
        <f ca="1">OFFSET('배치점수 계산기'!M$10,$D653,0)</f>
        <v>표점</v>
      </c>
      <c r="X653" s="184" t="str">
        <f ca="1">OFFSET('배치점수 계산기'!N$10,$D653,0)</f>
        <v>변표</v>
      </c>
      <c r="Y653" s="188">
        <f ca="1">OFFSET(환산공식!FW$15,$F653,0)</f>
        <v>0</v>
      </c>
      <c r="Z653" s="20">
        <f ca="1">OFFSET(환산공식!FX$15,$F653,0)</f>
        <v>0.67</v>
      </c>
      <c r="AA653" s="179">
        <f ca="1">OFFSET(환산공식!FY$15,$F653,0)</f>
        <v>0.33</v>
      </c>
      <c r="AB653" s="3"/>
      <c r="AD653">
        <f t="shared" ca="1" si="22"/>
        <v>6</v>
      </c>
      <c r="AF653" s="3"/>
      <c r="AG653" s="3"/>
      <c r="AH653" s="3"/>
    </row>
    <row r="654" spans="1:34">
      <c r="A654" s="198"/>
      <c r="B654" s="198"/>
      <c r="C654" s="198" t="s">
        <v>1215</v>
      </c>
      <c r="D654" s="195">
        <v>708</v>
      </c>
      <c r="E654" s="195">
        <v>193</v>
      </c>
      <c r="F654" s="195">
        <v>193</v>
      </c>
      <c r="G654" s="239">
        <v>647</v>
      </c>
      <c r="H654" s="197" t="s">
        <v>72</v>
      </c>
      <c r="I654" s="242" t="s">
        <v>215</v>
      </c>
      <c r="J654" s="242" t="s">
        <v>13945</v>
      </c>
      <c r="K654" s="195" t="s">
        <v>71</v>
      </c>
      <c r="L654" s="20" t="str">
        <f ca="1">IF(OFFSET(환산공식!$ED$15,$F654,0)=1,"O","X")</f>
        <v>X</v>
      </c>
      <c r="M654" s="188">
        <f ca="1">IFERROR(OFFSET(환산공식!DJ$15,$F654,0),"")</f>
        <v>125</v>
      </c>
      <c r="N654" s="20" t="str">
        <f ca="1">IFERROR(CONCATENATE(ROUND(OFFSET(환산공식!DK$15,$F654,0),1),"%"),"")</f>
        <v>100%</v>
      </c>
      <c r="O654" s="20">
        <f ca="1">IFERROR(OFFSET(환산공식!DL$15,$F654,0),"")</f>
        <v>10</v>
      </c>
      <c r="P654" s="188" t="str">
        <f t="shared" ca="1" si="21"/>
        <v>3% 이하</v>
      </c>
      <c r="Q654" s="194">
        <f ca="1">IFERROR(ROUND(OFFSET(환산공식!$FG$15,$F654,0),3),"")</f>
        <v>0</v>
      </c>
      <c r="R654" s="194">
        <f ca="1">OFFSET('배치점수 계산기'!H$10,$D654,0)</f>
        <v>600.44799999999998</v>
      </c>
      <c r="S654" s="194">
        <f ca="1">OFFSET('배치점수 계산기'!I$10,$D654,0)</f>
        <v>598.66300000000001</v>
      </c>
      <c r="T654" s="194">
        <f ca="1">OFFSET('배치점수 계산기'!J$10,$D654,0)</f>
        <v>595.37099999999998</v>
      </c>
      <c r="U654" s="194">
        <f ca="1">OFFSET('배치점수 계산기'!K$10,$D654,0)</f>
        <v>591.48199999999997</v>
      </c>
      <c r="V654" s="194">
        <f ca="1">OFFSET('배치점수 계산기'!L$10,$D654,0)</f>
        <v>585.39400000000001</v>
      </c>
      <c r="W654" s="186" t="str">
        <f ca="1">OFFSET('배치점수 계산기'!M$10,$D654,0)</f>
        <v>표점</v>
      </c>
      <c r="X654" s="184" t="str">
        <f ca="1">OFFSET('배치점수 계산기'!N$10,$D654,0)</f>
        <v>변표</v>
      </c>
      <c r="Y654" s="188">
        <f ca="1">OFFSET(환산공식!FW$15,$F654,0)</f>
        <v>0.43</v>
      </c>
      <c r="Z654" s="20">
        <f ca="1">OFFSET(환산공식!FX$15,$F654,0)</f>
        <v>0.28999999999999998</v>
      </c>
      <c r="AA654" s="179">
        <f ca="1">OFFSET(환산공식!FY$15,$F654,0)</f>
        <v>0.28999999999999998</v>
      </c>
      <c r="AB654" s="3"/>
      <c r="AD654">
        <f t="shared" ca="1" si="22"/>
        <v>6</v>
      </c>
      <c r="AF654" s="3"/>
      <c r="AG654" s="3"/>
      <c r="AH654" s="3"/>
    </row>
    <row r="655" spans="1:34">
      <c r="A655" s="198"/>
      <c r="B655" s="198"/>
      <c r="C655" s="198" t="s">
        <v>1216</v>
      </c>
      <c r="D655" s="195">
        <v>709</v>
      </c>
      <c r="E655" s="195">
        <v>190</v>
      </c>
      <c r="F655" s="195">
        <v>190</v>
      </c>
      <c r="G655" s="239">
        <v>648</v>
      </c>
      <c r="H655" s="197" t="s">
        <v>72</v>
      </c>
      <c r="I655" s="242" t="s">
        <v>8000</v>
      </c>
      <c r="J655" s="242" t="s">
        <v>11074</v>
      </c>
      <c r="K655" s="195" t="s">
        <v>70</v>
      </c>
      <c r="L655" s="20" t="str">
        <f ca="1">IF(OFFSET(환산공식!$ED$15,$F655,0)=1,"O","X")</f>
        <v>X</v>
      </c>
      <c r="M655" s="188">
        <f ca="1">IFERROR(OFFSET(환산공식!DJ$15,$F655,0),"")</f>
        <v>200</v>
      </c>
      <c r="N655" s="20" t="str">
        <f ca="1">IFERROR(CONCATENATE(ROUND(OFFSET(환산공식!DK$15,$F655,0),1),"%"),"")</f>
        <v>100%</v>
      </c>
      <c r="O655" s="20">
        <f ca="1">IFERROR(OFFSET(환산공식!DL$15,$F655,0),"")</f>
        <v>0</v>
      </c>
      <c r="P655" s="188" t="str">
        <f t="shared" ca="1" si="21"/>
        <v>3% 이하</v>
      </c>
      <c r="Q655" s="194">
        <f ca="1">IFERROR(ROUND(OFFSET(환산공식!$FG$15,$F655,0),3),"")</f>
        <v>0</v>
      </c>
      <c r="R655" s="194">
        <f ca="1">OFFSET('배치점수 계산기'!H$10,$D655,0)</f>
        <v>853.072</v>
      </c>
      <c r="S655" s="194">
        <f ca="1">OFFSET('배치점수 계산기'!I$10,$D655,0)</f>
        <v>849.97799999999995</v>
      </c>
      <c r="T655" s="194">
        <f ca="1">OFFSET('배치점수 계산기'!J$10,$D655,0)</f>
        <v>846.21600000000001</v>
      </c>
      <c r="U655" s="194">
        <f ca="1">OFFSET('배치점수 계산기'!K$10,$D655,0)</f>
        <v>843.08900000000006</v>
      </c>
      <c r="V655" s="194">
        <f ca="1">OFFSET('배치점수 계산기'!L$10,$D655,0)</f>
        <v>830.81799999999998</v>
      </c>
      <c r="W655" s="186" t="str">
        <f ca="1">OFFSET('배치점수 계산기'!M$10,$D655,0)</f>
        <v>표점/만점</v>
      </c>
      <c r="X655" s="184" t="str">
        <f ca="1">OFFSET('배치점수 계산기'!N$10,$D655,0)</f>
        <v>표점/만점</v>
      </c>
      <c r="Y655" s="188">
        <f ca="1">OFFSET(환산공식!FW$15,$F655,0)</f>
        <v>0.31</v>
      </c>
      <c r="Z655" s="20">
        <f ca="1">OFFSET(환산공식!FX$15,$F655,0)</f>
        <v>0.37</v>
      </c>
      <c r="AA655" s="179">
        <f ca="1">OFFSET(환산공식!FY$15,$F655,0)</f>
        <v>0.31</v>
      </c>
      <c r="AB655" s="3"/>
      <c r="AD655">
        <f t="shared" ca="1" si="22"/>
        <v>6</v>
      </c>
      <c r="AF655" s="3"/>
      <c r="AG655" s="3"/>
      <c r="AH655" s="3"/>
    </row>
    <row r="656" spans="1:34">
      <c r="A656" s="198"/>
      <c r="B656" s="198"/>
      <c r="C656" s="198" t="s">
        <v>1217</v>
      </c>
      <c r="D656" s="195">
        <v>710</v>
      </c>
      <c r="E656" s="195">
        <v>190</v>
      </c>
      <c r="F656" s="195">
        <v>190</v>
      </c>
      <c r="G656" s="239">
        <v>649</v>
      </c>
      <c r="H656" s="197" t="s">
        <v>72</v>
      </c>
      <c r="I656" s="242" t="s">
        <v>8000</v>
      </c>
      <c r="J656" s="242" t="s">
        <v>8633</v>
      </c>
      <c r="K656" s="195" t="s">
        <v>70</v>
      </c>
      <c r="L656" s="20" t="str">
        <f ca="1">IF(OFFSET(환산공식!$ED$15,$F656,0)=1,"O","X")</f>
        <v>X</v>
      </c>
      <c r="M656" s="188">
        <f ca="1">IFERROR(OFFSET(환산공식!DJ$15,$F656,0),"")</f>
        <v>200</v>
      </c>
      <c r="N656" s="20" t="str">
        <f ca="1">IFERROR(CONCATENATE(ROUND(OFFSET(환산공식!DK$15,$F656,0),1),"%"),"")</f>
        <v>100%</v>
      </c>
      <c r="O656" s="20">
        <f ca="1">IFERROR(OFFSET(환산공식!DL$15,$F656,0),"")</f>
        <v>0</v>
      </c>
      <c r="P656" s="188" t="str">
        <f t="shared" ca="1" si="21"/>
        <v>3% 이하</v>
      </c>
      <c r="Q656" s="194">
        <f ca="1">IFERROR(ROUND(OFFSET(환산공식!$FG$15,$F656,0),3),"")</f>
        <v>0</v>
      </c>
      <c r="R656" s="194">
        <f ca="1">OFFSET('배치점수 계산기'!H$10,$D656,0)</f>
        <v>847.76800000000003</v>
      </c>
      <c r="S656" s="194">
        <f ca="1">OFFSET('배치점수 계산기'!I$10,$D656,0)</f>
        <v>845.61900000000003</v>
      </c>
      <c r="T656" s="194">
        <f ca="1">OFFSET('배치점수 계산기'!J$10,$D656,0)</f>
        <v>841.34900000000005</v>
      </c>
      <c r="U656" s="194">
        <f ca="1">OFFSET('배치점수 계산기'!K$10,$D656,0)</f>
        <v>836.47</v>
      </c>
      <c r="V656" s="194">
        <f ca="1">OFFSET('배치점수 계산기'!L$10,$D656,0)</f>
        <v>830.19399999999996</v>
      </c>
      <c r="W656" s="186" t="str">
        <f ca="1">OFFSET('배치점수 계산기'!M$10,$D656,0)</f>
        <v>표점/만점</v>
      </c>
      <c r="X656" s="184" t="str">
        <f ca="1">OFFSET('배치점수 계산기'!N$10,$D656,0)</f>
        <v>표점/만점</v>
      </c>
      <c r="Y656" s="188">
        <f ca="1">OFFSET(환산공식!FW$15,$F656,0)</f>
        <v>0.31</v>
      </c>
      <c r="Z656" s="20">
        <f ca="1">OFFSET(환산공식!FX$15,$F656,0)</f>
        <v>0.37</v>
      </c>
      <c r="AA656" s="179">
        <f ca="1">OFFSET(환산공식!FY$15,$F656,0)</f>
        <v>0.31</v>
      </c>
      <c r="AB656" s="3"/>
      <c r="AD656">
        <f t="shared" ca="1" si="22"/>
        <v>6</v>
      </c>
      <c r="AF656" s="3"/>
      <c r="AG656" s="3"/>
      <c r="AH656" s="3"/>
    </row>
    <row r="657" spans="1:34">
      <c r="A657" s="198"/>
      <c r="B657" s="198"/>
      <c r="C657" s="198" t="s">
        <v>1218</v>
      </c>
      <c r="D657" s="195">
        <v>711</v>
      </c>
      <c r="E657" s="195">
        <v>190</v>
      </c>
      <c r="F657" s="195">
        <v>190</v>
      </c>
      <c r="G657" s="239">
        <v>650</v>
      </c>
      <c r="H657" s="197" t="s">
        <v>72</v>
      </c>
      <c r="I657" s="242" t="s">
        <v>8000</v>
      </c>
      <c r="J657" s="242" t="s">
        <v>8283</v>
      </c>
      <c r="K657" s="195" t="s">
        <v>70</v>
      </c>
      <c r="L657" s="20" t="str">
        <f ca="1">IF(OFFSET(환산공식!$ED$15,$F657,0)=1,"O","X")</f>
        <v>X</v>
      </c>
      <c r="M657" s="188">
        <f ca="1">IFERROR(OFFSET(환산공식!DJ$15,$F657,0),"")</f>
        <v>200</v>
      </c>
      <c r="N657" s="20" t="str">
        <f ca="1">IFERROR(CONCATENATE(ROUND(OFFSET(환산공식!DK$15,$F657,0),1),"%"),"")</f>
        <v>100%</v>
      </c>
      <c r="O657" s="20">
        <f ca="1">IFERROR(OFFSET(환산공식!DL$15,$F657,0),"")</f>
        <v>0</v>
      </c>
      <c r="P657" s="188" t="str">
        <f t="shared" ca="1" si="21"/>
        <v>3% 이하</v>
      </c>
      <c r="Q657" s="194">
        <f ca="1">IFERROR(ROUND(OFFSET(환산공식!$FG$15,$F657,0),3),"")</f>
        <v>0</v>
      </c>
      <c r="R657" s="194">
        <f ca="1">OFFSET('배치점수 계산기'!H$10,$D657,0)</f>
        <v>844.45299999999997</v>
      </c>
      <c r="S657" s="194">
        <f ca="1">OFFSET('배치점수 계산기'!I$10,$D657,0)</f>
        <v>842.25199999999995</v>
      </c>
      <c r="T657" s="194">
        <f ca="1">OFFSET('배치점수 계산기'!J$10,$D657,0)</f>
        <v>837.84</v>
      </c>
      <c r="U657" s="194">
        <f ca="1">OFFSET('배치점수 계산기'!K$10,$D657,0)</f>
        <v>832.93899999999996</v>
      </c>
      <c r="V657" s="194">
        <f ca="1">OFFSET('배치점수 계산기'!L$10,$D657,0)</f>
        <v>826.54200000000003</v>
      </c>
      <c r="W657" s="186" t="str">
        <f ca="1">OFFSET('배치점수 계산기'!M$10,$D657,0)</f>
        <v>표점/만점</v>
      </c>
      <c r="X657" s="184" t="str">
        <f ca="1">OFFSET('배치점수 계산기'!N$10,$D657,0)</f>
        <v>표점/만점</v>
      </c>
      <c r="Y657" s="188">
        <f ca="1">OFFSET(환산공식!FW$15,$F657,0)</f>
        <v>0.31</v>
      </c>
      <c r="Z657" s="20">
        <f ca="1">OFFSET(환산공식!FX$15,$F657,0)</f>
        <v>0.37</v>
      </c>
      <c r="AA657" s="179">
        <f ca="1">OFFSET(환산공식!FY$15,$F657,0)</f>
        <v>0.31</v>
      </c>
      <c r="AB657" s="3"/>
      <c r="AD657">
        <f t="shared" ca="1" si="22"/>
        <v>6</v>
      </c>
      <c r="AF657" s="3"/>
      <c r="AG657" s="3"/>
      <c r="AH657" s="3"/>
    </row>
    <row r="658" spans="1:34">
      <c r="A658" s="198"/>
      <c r="B658" s="198"/>
      <c r="C658" s="198" t="s">
        <v>1219</v>
      </c>
      <c r="D658" s="195">
        <v>712</v>
      </c>
      <c r="E658" s="195">
        <v>190</v>
      </c>
      <c r="F658" s="195">
        <v>190</v>
      </c>
      <c r="G658" s="239">
        <v>651</v>
      </c>
      <c r="H658" s="197" t="s">
        <v>72</v>
      </c>
      <c r="I658" s="242" t="s">
        <v>8000</v>
      </c>
      <c r="J658" s="242" t="s">
        <v>541</v>
      </c>
      <c r="K658" s="195" t="s">
        <v>70</v>
      </c>
      <c r="L658" s="20" t="str">
        <f ca="1">IF(OFFSET(환산공식!$ED$15,$F658,0)=1,"O","X")</f>
        <v>X</v>
      </c>
      <c r="M658" s="188">
        <f ca="1">IFERROR(OFFSET(환산공식!DJ$15,$F658,0),"")</f>
        <v>200</v>
      </c>
      <c r="N658" s="20" t="str">
        <f ca="1">IFERROR(CONCATENATE(ROUND(OFFSET(환산공식!DK$15,$F658,0),1),"%"),"")</f>
        <v>100%</v>
      </c>
      <c r="O658" s="20">
        <f ca="1">IFERROR(OFFSET(환산공식!DL$15,$F658,0),"")</f>
        <v>0</v>
      </c>
      <c r="P658" s="188" t="str">
        <f t="shared" ca="1" si="21"/>
        <v>3% 이하</v>
      </c>
      <c r="Q658" s="194">
        <f ca="1">IFERROR(ROUND(OFFSET(환산공식!$FG$15,$F658,0),3),"")</f>
        <v>0</v>
      </c>
      <c r="R658" s="194">
        <f ca="1">OFFSET('배치점수 계산기'!H$10,$D658,0)</f>
        <v>824.46699999999998</v>
      </c>
      <c r="S658" s="194">
        <f ca="1">OFFSET('배치점수 계산기'!I$10,$D658,0)</f>
        <v>821.947</v>
      </c>
      <c r="T658" s="194">
        <f ca="1">OFFSET('배치점수 계산기'!J$10,$D658,0)</f>
        <v>817.68299999999999</v>
      </c>
      <c r="U658" s="194">
        <f ca="1">OFFSET('배치점수 계산기'!K$10,$D658,0)</f>
        <v>813.23699999999997</v>
      </c>
      <c r="V658" s="194">
        <f ca="1">OFFSET('배치점수 계산기'!L$10,$D658,0)</f>
        <v>807.93200000000002</v>
      </c>
      <c r="W658" s="186" t="str">
        <f ca="1">OFFSET('배치점수 계산기'!M$10,$D658,0)</f>
        <v>표점/만점</v>
      </c>
      <c r="X658" s="184" t="str">
        <f ca="1">OFFSET('배치점수 계산기'!N$10,$D658,0)</f>
        <v>표점/만점</v>
      </c>
      <c r="Y658" s="188">
        <f ca="1">OFFSET(환산공식!FW$15,$F658,0)</f>
        <v>0.31</v>
      </c>
      <c r="Z658" s="20">
        <f ca="1">OFFSET(환산공식!FX$15,$F658,0)</f>
        <v>0.37</v>
      </c>
      <c r="AA658" s="179">
        <f ca="1">OFFSET(환산공식!FY$15,$F658,0)</f>
        <v>0.31</v>
      </c>
      <c r="AB658" s="3"/>
      <c r="AD658">
        <f t="shared" ca="1" si="22"/>
        <v>6</v>
      </c>
      <c r="AF658" s="3"/>
      <c r="AG658" s="3"/>
      <c r="AH658" s="3"/>
    </row>
    <row r="659" spans="1:34">
      <c r="A659" s="198"/>
      <c r="B659" s="198"/>
      <c r="C659" s="198" t="s">
        <v>1220</v>
      </c>
      <c r="D659" s="195">
        <v>713</v>
      </c>
      <c r="E659" s="195">
        <v>190</v>
      </c>
      <c r="F659" s="195">
        <v>190</v>
      </c>
      <c r="G659" s="239">
        <v>652</v>
      </c>
      <c r="H659" s="197" t="s">
        <v>72</v>
      </c>
      <c r="I659" s="242" t="s">
        <v>8000</v>
      </c>
      <c r="J659" s="242" t="s">
        <v>8224</v>
      </c>
      <c r="K659" s="195" t="s">
        <v>70</v>
      </c>
      <c r="L659" s="20" t="str">
        <f ca="1">IF(OFFSET(환산공식!$ED$15,$F659,0)=1,"O","X")</f>
        <v>X</v>
      </c>
      <c r="M659" s="188">
        <f ca="1">IFERROR(OFFSET(환산공식!DJ$15,$F659,0),"")</f>
        <v>200</v>
      </c>
      <c r="N659" s="20" t="str">
        <f ca="1">IFERROR(CONCATENATE(ROUND(OFFSET(환산공식!DK$15,$F659,0),1),"%"),"")</f>
        <v>100%</v>
      </c>
      <c r="O659" s="20">
        <f ca="1">IFERROR(OFFSET(환산공식!DL$15,$F659,0),"")</f>
        <v>0</v>
      </c>
      <c r="P659" s="188" t="str">
        <f t="shared" ca="1" si="21"/>
        <v>3% 이하</v>
      </c>
      <c r="Q659" s="194">
        <f ca="1">IFERROR(ROUND(OFFSET(환산공식!$FG$15,$F659,0),3),"")</f>
        <v>0</v>
      </c>
      <c r="R659" s="194">
        <f ca="1">OFFSET('배치점수 계산기'!H$10,$D659,0)</f>
        <v>815.5</v>
      </c>
      <c r="S659" s="194">
        <f ca="1">OFFSET('배치점수 계산기'!I$10,$D659,0)</f>
        <v>813.40700000000004</v>
      </c>
      <c r="T659" s="194">
        <f ca="1">OFFSET('배치점수 계산기'!J$10,$D659,0)</f>
        <v>809.48400000000004</v>
      </c>
      <c r="U659" s="194">
        <f ca="1">OFFSET('배치점수 계산기'!K$10,$D659,0)</f>
        <v>805.21400000000006</v>
      </c>
      <c r="V659" s="194">
        <f ca="1">OFFSET('배치점수 계산기'!L$10,$D659,0)</f>
        <v>800.74099999999999</v>
      </c>
      <c r="W659" s="186" t="str">
        <f ca="1">OFFSET('배치점수 계산기'!M$10,$D659,0)</f>
        <v>표점/만점</v>
      </c>
      <c r="X659" s="184" t="str">
        <f ca="1">OFFSET('배치점수 계산기'!N$10,$D659,0)</f>
        <v>표점/만점</v>
      </c>
      <c r="Y659" s="188">
        <f ca="1">OFFSET(환산공식!FW$15,$F659,0)</f>
        <v>0.31</v>
      </c>
      <c r="Z659" s="20">
        <f ca="1">OFFSET(환산공식!FX$15,$F659,0)</f>
        <v>0.37</v>
      </c>
      <c r="AA659" s="179">
        <f ca="1">OFFSET(환산공식!FY$15,$F659,0)</f>
        <v>0.31</v>
      </c>
      <c r="AB659" s="3"/>
      <c r="AD659">
        <f t="shared" ca="1" si="22"/>
        <v>6</v>
      </c>
      <c r="AF659" s="3"/>
      <c r="AG659" s="3"/>
      <c r="AH659" s="3"/>
    </row>
    <row r="660" spans="1:34">
      <c r="A660" s="198"/>
      <c r="B660" s="198"/>
      <c r="C660" s="198" t="s">
        <v>1221</v>
      </c>
      <c r="D660" s="195">
        <v>715</v>
      </c>
      <c r="E660" s="195">
        <v>189</v>
      </c>
      <c r="F660" s="195">
        <v>189</v>
      </c>
      <c r="G660" s="239">
        <v>653</v>
      </c>
      <c r="H660" s="197" t="s">
        <v>72</v>
      </c>
      <c r="I660" s="242" t="s">
        <v>8000</v>
      </c>
      <c r="J660" s="242" t="s">
        <v>11323</v>
      </c>
      <c r="K660" s="195" t="s">
        <v>71</v>
      </c>
      <c r="L660" s="20" t="str">
        <f ca="1">IF(OFFSET(환산공식!$ED$15,$F660,0)=1,"O","X")</f>
        <v>X</v>
      </c>
      <c r="M660" s="188">
        <f ca="1">IFERROR(OFFSET(환산공식!DJ$15,$F660,0),"")</f>
        <v>200</v>
      </c>
      <c r="N660" s="20" t="str">
        <f ca="1">IFERROR(CONCATENATE(ROUND(OFFSET(환산공식!DK$15,$F660,0),1),"%"),"")</f>
        <v>100%</v>
      </c>
      <c r="O660" s="20">
        <f ca="1">IFERROR(OFFSET(환산공식!DL$15,$F660,0),"")</f>
        <v>0</v>
      </c>
      <c r="P660" s="188" t="str">
        <f t="shared" ca="1" si="21"/>
        <v>3% 이하</v>
      </c>
      <c r="Q660" s="194">
        <f ca="1">IFERROR(ROUND(OFFSET(환산공식!$FG$15,$F660,0),3),"")</f>
        <v>0</v>
      </c>
      <c r="R660" s="194">
        <f ca="1">OFFSET('배치점수 계산기'!H$10,$D660,0)</f>
        <v>860.303</v>
      </c>
      <c r="S660" s="194">
        <f ca="1">OFFSET('배치점수 계산기'!I$10,$D660,0)</f>
        <v>857.68</v>
      </c>
      <c r="T660" s="194">
        <f ca="1">OFFSET('배치점수 계산기'!J$10,$D660,0)</f>
        <v>852.48900000000003</v>
      </c>
      <c r="U660" s="194">
        <f ca="1">OFFSET('배치점수 계산기'!K$10,$D660,0)</f>
        <v>847.16099999999994</v>
      </c>
      <c r="V660" s="194">
        <f ca="1">OFFSET('배치점수 계산기'!L$10,$D660,0)</f>
        <v>840.91499999999996</v>
      </c>
      <c r="W660" s="186" t="str">
        <f ca="1">OFFSET('배치점수 계산기'!M$10,$D660,0)</f>
        <v>표점/만점</v>
      </c>
      <c r="X660" s="184" t="str">
        <f ca="1">OFFSET('배치점수 계산기'!N$10,$D660,0)</f>
        <v>표점/만점</v>
      </c>
      <c r="Y660" s="188">
        <f ca="1">OFFSET(환산공식!FW$15,$F660,0)</f>
        <v>0.38</v>
      </c>
      <c r="Z660" s="20">
        <f ca="1">OFFSET(환산공식!FX$15,$F660,0)</f>
        <v>0.31</v>
      </c>
      <c r="AA660" s="179">
        <f ca="1">OFFSET(환산공식!FY$15,$F660,0)</f>
        <v>0.31</v>
      </c>
      <c r="AB660" s="3"/>
      <c r="AD660">
        <f t="shared" ca="1" si="22"/>
        <v>6</v>
      </c>
      <c r="AF660" s="3"/>
      <c r="AG660" s="3"/>
      <c r="AH660" s="3"/>
    </row>
    <row r="661" spans="1:34">
      <c r="A661" s="198"/>
      <c r="B661" s="198"/>
      <c r="C661" s="198" t="s">
        <v>1222</v>
      </c>
      <c r="D661" s="195">
        <v>716</v>
      </c>
      <c r="E661" s="195">
        <v>189</v>
      </c>
      <c r="F661" s="195">
        <v>189</v>
      </c>
      <c r="G661" s="239">
        <v>654</v>
      </c>
      <c r="H661" s="197" t="s">
        <v>72</v>
      </c>
      <c r="I661" s="242" t="s">
        <v>8000</v>
      </c>
      <c r="J661" s="242" t="s">
        <v>8190</v>
      </c>
      <c r="K661" s="195" t="s">
        <v>71</v>
      </c>
      <c r="L661" s="20" t="str">
        <f ca="1">IF(OFFSET(환산공식!$ED$15,$F661,0)=1,"O","X")</f>
        <v>X</v>
      </c>
      <c r="M661" s="188">
        <f ca="1">IFERROR(OFFSET(환산공식!DJ$15,$F661,0),"")</f>
        <v>200</v>
      </c>
      <c r="N661" s="20" t="str">
        <f ca="1">IFERROR(CONCATENATE(ROUND(OFFSET(환산공식!DK$15,$F661,0),1),"%"),"")</f>
        <v>100%</v>
      </c>
      <c r="O661" s="20">
        <f ca="1">IFERROR(OFFSET(환산공식!DL$15,$F661,0),"")</f>
        <v>0</v>
      </c>
      <c r="P661" s="188" t="str">
        <f t="shared" ca="1" si="21"/>
        <v>3% 이하</v>
      </c>
      <c r="Q661" s="194">
        <f ca="1">IFERROR(ROUND(OFFSET(환산공식!$FG$15,$F661,0),3),"")</f>
        <v>0</v>
      </c>
      <c r="R661" s="194">
        <f ca="1">OFFSET('배치점수 계산기'!H$10,$D661,0)</f>
        <v>847.34500000000003</v>
      </c>
      <c r="S661" s="194">
        <f ca="1">OFFSET('배치점수 계산기'!I$10,$D661,0)</f>
        <v>844.93700000000001</v>
      </c>
      <c r="T661" s="194">
        <f ca="1">OFFSET('배치점수 계산기'!J$10,$D661,0)</f>
        <v>840.35699999999997</v>
      </c>
      <c r="U661" s="194">
        <f ca="1">OFFSET('배치점수 계산기'!K$10,$D661,0)</f>
        <v>835.5</v>
      </c>
      <c r="V661" s="194">
        <f ca="1">OFFSET('배치점수 계산기'!L$10,$D661,0)</f>
        <v>829.01099999999997</v>
      </c>
      <c r="W661" s="186" t="str">
        <f ca="1">OFFSET('배치점수 계산기'!M$10,$D661,0)</f>
        <v>표점/만점</v>
      </c>
      <c r="X661" s="184" t="str">
        <f ca="1">OFFSET('배치점수 계산기'!N$10,$D661,0)</f>
        <v>표점/만점</v>
      </c>
      <c r="Y661" s="188">
        <f ca="1">OFFSET(환산공식!FW$15,$F661,0)</f>
        <v>0.38</v>
      </c>
      <c r="Z661" s="20">
        <f ca="1">OFFSET(환산공식!FX$15,$F661,0)</f>
        <v>0.31</v>
      </c>
      <c r="AA661" s="179">
        <f ca="1">OFFSET(환산공식!FY$15,$F661,0)</f>
        <v>0.31</v>
      </c>
      <c r="AB661" s="3"/>
      <c r="AD661">
        <f t="shared" ca="1" si="22"/>
        <v>6</v>
      </c>
      <c r="AF661" s="3"/>
      <c r="AG661" s="3"/>
      <c r="AH661" s="3"/>
    </row>
    <row r="662" spans="1:34">
      <c r="A662" s="198"/>
      <c r="B662" s="198"/>
      <c r="C662" s="198" t="s">
        <v>1223</v>
      </c>
      <c r="D662" s="195">
        <v>717</v>
      </c>
      <c r="E662" s="195">
        <v>189</v>
      </c>
      <c r="F662" s="195">
        <v>189</v>
      </c>
      <c r="G662" s="239">
        <v>655</v>
      </c>
      <c r="H662" s="197" t="s">
        <v>72</v>
      </c>
      <c r="I662" s="242" t="s">
        <v>8000</v>
      </c>
      <c r="J662" s="242" t="s">
        <v>8337</v>
      </c>
      <c r="K662" s="195" t="s">
        <v>71</v>
      </c>
      <c r="L662" s="20" t="str">
        <f ca="1">IF(OFFSET(환산공식!$ED$15,$F662,0)=1,"O","X")</f>
        <v>X</v>
      </c>
      <c r="M662" s="188">
        <f ca="1">IFERROR(OFFSET(환산공식!DJ$15,$F662,0),"")</f>
        <v>200</v>
      </c>
      <c r="N662" s="20" t="str">
        <f ca="1">IFERROR(CONCATENATE(ROUND(OFFSET(환산공식!DK$15,$F662,0),1),"%"),"")</f>
        <v>100%</v>
      </c>
      <c r="O662" s="20">
        <f ca="1">IFERROR(OFFSET(환산공식!DL$15,$F662,0),"")</f>
        <v>0</v>
      </c>
      <c r="P662" s="188" t="str">
        <f t="shared" ca="1" si="21"/>
        <v>3% 이하</v>
      </c>
      <c r="Q662" s="194">
        <f ca="1">IFERROR(ROUND(OFFSET(환산공식!$FG$15,$F662,0),3),"")</f>
        <v>0</v>
      </c>
      <c r="R662" s="194">
        <f ca="1">OFFSET('배치점수 계산기'!H$10,$D662,0)</f>
        <v>842.32100000000003</v>
      </c>
      <c r="S662" s="194">
        <f ca="1">OFFSET('배치점수 계산기'!I$10,$D662,0)</f>
        <v>840.09699999999998</v>
      </c>
      <c r="T662" s="194">
        <f ca="1">OFFSET('배치점수 계산기'!J$10,$D662,0)</f>
        <v>835.5</v>
      </c>
      <c r="U662" s="194">
        <f ca="1">OFFSET('배치점수 계산기'!K$10,$D662,0)</f>
        <v>830.38</v>
      </c>
      <c r="V662" s="194">
        <f ca="1">OFFSET('배치점수 계산기'!L$10,$D662,0)</f>
        <v>824.19500000000005</v>
      </c>
      <c r="W662" s="186" t="str">
        <f ca="1">OFFSET('배치점수 계산기'!M$10,$D662,0)</f>
        <v>표점/만점</v>
      </c>
      <c r="X662" s="184" t="str">
        <f ca="1">OFFSET('배치점수 계산기'!N$10,$D662,0)</f>
        <v>표점/만점</v>
      </c>
      <c r="Y662" s="188">
        <f ca="1">OFFSET(환산공식!FW$15,$F662,0)</f>
        <v>0.38</v>
      </c>
      <c r="Z662" s="20">
        <f ca="1">OFFSET(환산공식!FX$15,$F662,0)</f>
        <v>0.31</v>
      </c>
      <c r="AA662" s="179">
        <f ca="1">OFFSET(환산공식!FY$15,$F662,0)</f>
        <v>0.31</v>
      </c>
      <c r="AB662" s="3"/>
      <c r="AD662">
        <f t="shared" ca="1" si="22"/>
        <v>6</v>
      </c>
      <c r="AF662" s="3"/>
      <c r="AG662" s="3"/>
      <c r="AH662" s="3"/>
    </row>
    <row r="663" spans="1:34">
      <c r="A663" s="198"/>
      <c r="B663" s="198"/>
      <c r="C663" s="198" t="s">
        <v>1224</v>
      </c>
      <c r="D663" s="195">
        <v>718</v>
      </c>
      <c r="E663" s="195">
        <v>189</v>
      </c>
      <c r="F663" s="195">
        <v>189</v>
      </c>
      <c r="G663" s="239">
        <v>656</v>
      </c>
      <c r="H663" s="197" t="s">
        <v>72</v>
      </c>
      <c r="I663" s="242" t="s">
        <v>8000</v>
      </c>
      <c r="J663" s="242" t="s">
        <v>8232</v>
      </c>
      <c r="K663" s="195" t="s">
        <v>71</v>
      </c>
      <c r="L663" s="20" t="str">
        <f ca="1">IF(OFFSET(환산공식!$ED$15,$F663,0)=1,"O","X")</f>
        <v>X</v>
      </c>
      <c r="M663" s="188">
        <f ca="1">IFERROR(OFFSET(환산공식!DJ$15,$F663,0),"")</f>
        <v>200</v>
      </c>
      <c r="N663" s="20" t="str">
        <f ca="1">IFERROR(CONCATENATE(ROUND(OFFSET(환산공식!DK$15,$F663,0),1),"%"),"")</f>
        <v>100%</v>
      </c>
      <c r="O663" s="20">
        <f ca="1">IFERROR(OFFSET(환산공식!DL$15,$F663,0),"")</f>
        <v>0</v>
      </c>
      <c r="P663" s="188" t="str">
        <f t="shared" ca="1" si="21"/>
        <v>3% 이하</v>
      </c>
      <c r="Q663" s="194">
        <f ca="1">IFERROR(ROUND(OFFSET(환산공식!$FG$15,$F663,0),3),"")</f>
        <v>0</v>
      </c>
      <c r="R663" s="194">
        <f ca="1">OFFSET('배치점수 계산기'!H$10,$D663,0)</f>
        <v>839.50099999999998</v>
      </c>
      <c r="S663" s="194">
        <f ca="1">OFFSET('배치점수 계산기'!I$10,$D663,0)</f>
        <v>837.54399999999998</v>
      </c>
      <c r="T663" s="194">
        <f ca="1">OFFSET('배치점수 계산기'!J$10,$D663,0)</f>
        <v>832.74800000000005</v>
      </c>
      <c r="U663" s="194">
        <f ca="1">OFFSET('배치점수 계산기'!K$10,$D663,0)</f>
        <v>827.80899999999997</v>
      </c>
      <c r="V663" s="194">
        <f ca="1">OFFSET('배치점수 계산기'!L$10,$D663,0)</f>
        <v>821.89099999999996</v>
      </c>
      <c r="W663" s="186" t="str">
        <f ca="1">OFFSET('배치점수 계산기'!M$10,$D663,0)</f>
        <v>표점/만점</v>
      </c>
      <c r="X663" s="184" t="str">
        <f ca="1">OFFSET('배치점수 계산기'!N$10,$D663,0)</f>
        <v>표점/만점</v>
      </c>
      <c r="Y663" s="188">
        <f ca="1">OFFSET(환산공식!FW$15,$F663,0)</f>
        <v>0.38</v>
      </c>
      <c r="Z663" s="20">
        <f ca="1">OFFSET(환산공식!FX$15,$F663,0)</f>
        <v>0.31</v>
      </c>
      <c r="AA663" s="179">
        <f ca="1">OFFSET(환산공식!FY$15,$F663,0)</f>
        <v>0.31</v>
      </c>
      <c r="AB663" s="3"/>
      <c r="AD663">
        <f t="shared" ca="1" si="22"/>
        <v>6</v>
      </c>
      <c r="AF663" s="3"/>
      <c r="AG663" s="3"/>
      <c r="AH663" s="3"/>
    </row>
    <row r="664" spans="1:34">
      <c r="A664" s="198"/>
      <c r="B664" s="198"/>
      <c r="C664" s="198" t="s">
        <v>1225</v>
      </c>
      <c r="D664" s="195">
        <v>719</v>
      </c>
      <c r="E664" s="195">
        <v>189</v>
      </c>
      <c r="F664" s="195">
        <v>189</v>
      </c>
      <c r="G664" s="239">
        <v>657</v>
      </c>
      <c r="H664" s="197" t="s">
        <v>72</v>
      </c>
      <c r="I664" s="242" t="s">
        <v>8000</v>
      </c>
      <c r="J664" s="242" t="s">
        <v>542</v>
      </c>
      <c r="K664" s="195" t="s">
        <v>71</v>
      </c>
      <c r="L664" s="20" t="str">
        <f ca="1">IF(OFFSET(환산공식!$ED$15,$F664,0)=1,"O","X")</f>
        <v>X</v>
      </c>
      <c r="M664" s="188">
        <f ca="1">IFERROR(OFFSET(환산공식!DJ$15,$F664,0),"")</f>
        <v>200</v>
      </c>
      <c r="N664" s="20" t="str">
        <f ca="1">IFERROR(CONCATENATE(ROUND(OFFSET(환산공식!DK$15,$F664,0),1),"%"),"")</f>
        <v>100%</v>
      </c>
      <c r="O664" s="20">
        <f ca="1">IFERROR(OFFSET(환산공식!DL$15,$F664,0),"")</f>
        <v>0</v>
      </c>
      <c r="P664" s="188" t="str">
        <f t="shared" ca="1" si="21"/>
        <v>3% 이하</v>
      </c>
      <c r="Q664" s="194">
        <f ca="1">IFERROR(ROUND(OFFSET(환산공식!$FG$15,$F664,0),3),"")</f>
        <v>0</v>
      </c>
      <c r="R664" s="194">
        <f ca="1">OFFSET('배치점수 계산기'!H$10,$D664,0)</f>
        <v>838.13199999999995</v>
      </c>
      <c r="S664" s="194">
        <f ca="1">OFFSET('배치점수 계산기'!I$10,$D664,0)</f>
        <v>835.89099999999996</v>
      </c>
      <c r="T664" s="194">
        <f ca="1">OFFSET('배치점수 계산기'!J$10,$D664,0)</f>
        <v>830.97500000000002</v>
      </c>
      <c r="U664" s="194">
        <f ca="1">OFFSET('배치점수 계산기'!K$10,$D664,0)</f>
        <v>826.03499999999997</v>
      </c>
      <c r="V664" s="194">
        <f ca="1">OFFSET('배치점수 계산기'!L$10,$D664,0)</f>
        <v>820.21699999999998</v>
      </c>
      <c r="W664" s="186" t="str">
        <f ca="1">OFFSET('배치점수 계산기'!M$10,$D664,0)</f>
        <v>표점/만점</v>
      </c>
      <c r="X664" s="184" t="str">
        <f ca="1">OFFSET('배치점수 계산기'!N$10,$D664,0)</f>
        <v>표점/만점</v>
      </c>
      <c r="Y664" s="188">
        <f ca="1">OFFSET(환산공식!FW$15,$F664,0)</f>
        <v>0.38</v>
      </c>
      <c r="Z664" s="20">
        <f ca="1">OFFSET(환산공식!FX$15,$F664,0)</f>
        <v>0.31</v>
      </c>
      <c r="AA664" s="179">
        <f ca="1">OFFSET(환산공식!FY$15,$F664,0)</f>
        <v>0.31</v>
      </c>
      <c r="AB664" s="3"/>
      <c r="AD664">
        <f t="shared" ca="1" si="22"/>
        <v>6</v>
      </c>
      <c r="AF664" s="3"/>
      <c r="AG664" s="3"/>
      <c r="AH664" s="3"/>
    </row>
    <row r="665" spans="1:34">
      <c r="A665" s="198"/>
      <c r="B665" s="198"/>
      <c r="C665" s="198" t="s">
        <v>1226</v>
      </c>
      <c r="D665" s="195">
        <v>720</v>
      </c>
      <c r="E665" s="195">
        <v>189</v>
      </c>
      <c r="F665" s="195">
        <v>189</v>
      </c>
      <c r="G665" s="239">
        <v>658</v>
      </c>
      <c r="H665" s="197" t="s">
        <v>72</v>
      </c>
      <c r="I665" s="242" t="s">
        <v>8000</v>
      </c>
      <c r="J665" s="242" t="s">
        <v>8216</v>
      </c>
      <c r="K665" s="195" t="s">
        <v>71</v>
      </c>
      <c r="L665" s="20" t="str">
        <f ca="1">IF(OFFSET(환산공식!$ED$15,$F665,0)=1,"O","X")</f>
        <v>X</v>
      </c>
      <c r="M665" s="188">
        <f ca="1">IFERROR(OFFSET(환산공식!DJ$15,$F665,0),"")</f>
        <v>200</v>
      </c>
      <c r="N665" s="20" t="str">
        <f ca="1">IFERROR(CONCATENATE(ROUND(OFFSET(환산공식!DK$15,$F665,0),1),"%"),"")</f>
        <v>100%</v>
      </c>
      <c r="O665" s="20">
        <f ca="1">IFERROR(OFFSET(환산공식!DL$15,$F665,0),"")</f>
        <v>0</v>
      </c>
      <c r="P665" s="188" t="str">
        <f t="shared" ca="1" si="21"/>
        <v>3% 이하</v>
      </c>
      <c r="Q665" s="194">
        <f ca="1">IFERROR(ROUND(OFFSET(환산공식!$FG$15,$F665,0),3),"")</f>
        <v>0</v>
      </c>
      <c r="R665" s="194">
        <f ca="1">OFFSET('배치점수 계산기'!H$10,$D665,0)</f>
        <v>831.97299999999996</v>
      </c>
      <c r="S665" s="194">
        <f ca="1">OFFSET('배치점수 계산기'!I$10,$D665,0)</f>
        <v>829.56200000000001</v>
      </c>
      <c r="T665" s="194">
        <f ca="1">OFFSET('배치점수 계산기'!J$10,$D665,0)</f>
        <v>825.01300000000003</v>
      </c>
      <c r="U665" s="194">
        <f ca="1">OFFSET('배치점수 계산기'!K$10,$D665,0)</f>
        <v>820.48400000000004</v>
      </c>
      <c r="V665" s="194">
        <f ca="1">OFFSET('배치점수 계산기'!L$10,$D665,0)</f>
        <v>814.90599999999995</v>
      </c>
      <c r="W665" s="186" t="str">
        <f ca="1">OFFSET('배치점수 계산기'!M$10,$D665,0)</f>
        <v>표점/만점</v>
      </c>
      <c r="X665" s="184" t="str">
        <f ca="1">OFFSET('배치점수 계산기'!N$10,$D665,0)</f>
        <v>표점/만점</v>
      </c>
      <c r="Y665" s="188">
        <f ca="1">OFFSET(환산공식!FW$15,$F665,0)</f>
        <v>0.38</v>
      </c>
      <c r="Z665" s="20">
        <f ca="1">OFFSET(환산공식!FX$15,$F665,0)</f>
        <v>0.31</v>
      </c>
      <c r="AA665" s="179">
        <f ca="1">OFFSET(환산공식!FY$15,$F665,0)</f>
        <v>0.31</v>
      </c>
      <c r="AB665" s="3"/>
      <c r="AD665">
        <f t="shared" ca="1" si="22"/>
        <v>6</v>
      </c>
      <c r="AF665" s="3"/>
      <c r="AG665" s="3"/>
      <c r="AH665" s="3"/>
    </row>
    <row r="666" spans="1:34">
      <c r="A666" s="198"/>
      <c r="B666" s="198"/>
      <c r="C666" s="198" t="s">
        <v>1227</v>
      </c>
      <c r="D666" s="195">
        <v>721</v>
      </c>
      <c r="E666" s="195">
        <v>189</v>
      </c>
      <c r="F666" s="195">
        <v>189</v>
      </c>
      <c r="G666" s="239">
        <v>659</v>
      </c>
      <c r="H666" s="197" t="s">
        <v>72</v>
      </c>
      <c r="I666" s="242" t="s">
        <v>8000</v>
      </c>
      <c r="J666" s="242" t="s">
        <v>491</v>
      </c>
      <c r="K666" s="195" t="s">
        <v>71</v>
      </c>
      <c r="L666" s="20" t="str">
        <f ca="1">IF(OFFSET(환산공식!$ED$15,$F666,0)=1,"O","X")</f>
        <v>X</v>
      </c>
      <c r="M666" s="188">
        <f ca="1">IFERROR(OFFSET(환산공식!DJ$15,$F666,0),"")</f>
        <v>200</v>
      </c>
      <c r="N666" s="20" t="str">
        <f ca="1">IFERROR(CONCATENATE(ROUND(OFFSET(환산공식!DK$15,$F666,0),1),"%"),"")</f>
        <v>100%</v>
      </c>
      <c r="O666" s="20">
        <f ca="1">IFERROR(OFFSET(환산공식!DL$15,$F666,0),"")</f>
        <v>0</v>
      </c>
      <c r="P666" s="188" t="str">
        <f t="shared" ca="1" si="21"/>
        <v>3% 이하</v>
      </c>
      <c r="Q666" s="194">
        <f ca="1">IFERROR(ROUND(OFFSET(환산공식!$FG$15,$F666,0),3),"")</f>
        <v>0</v>
      </c>
      <c r="R666" s="194">
        <f ca="1">OFFSET('배치점수 계산기'!H$10,$D666,0)</f>
        <v>831.97299999999996</v>
      </c>
      <c r="S666" s="194">
        <f ca="1">OFFSET('배치점수 계산기'!I$10,$D666,0)</f>
        <v>829.56200000000001</v>
      </c>
      <c r="T666" s="194">
        <f ca="1">OFFSET('배치점수 계산기'!J$10,$D666,0)</f>
        <v>825.01300000000003</v>
      </c>
      <c r="U666" s="194">
        <f ca="1">OFFSET('배치점수 계산기'!K$10,$D666,0)</f>
        <v>820.48400000000004</v>
      </c>
      <c r="V666" s="194">
        <f ca="1">OFFSET('배치점수 계산기'!L$10,$D666,0)</f>
        <v>814.90599999999995</v>
      </c>
      <c r="W666" s="186" t="str">
        <f ca="1">OFFSET('배치점수 계산기'!M$10,$D666,0)</f>
        <v>표점/만점</v>
      </c>
      <c r="X666" s="184" t="str">
        <f ca="1">OFFSET('배치점수 계산기'!N$10,$D666,0)</f>
        <v>표점/만점</v>
      </c>
      <c r="Y666" s="188">
        <f ca="1">OFFSET(환산공식!FW$15,$F666,0)</f>
        <v>0.38</v>
      </c>
      <c r="Z666" s="20">
        <f ca="1">OFFSET(환산공식!FX$15,$F666,0)</f>
        <v>0.31</v>
      </c>
      <c r="AA666" s="179">
        <f ca="1">OFFSET(환산공식!FY$15,$F666,0)</f>
        <v>0.31</v>
      </c>
      <c r="AB666" s="3"/>
      <c r="AD666">
        <f t="shared" ca="1" si="22"/>
        <v>6</v>
      </c>
      <c r="AF666" s="3"/>
      <c r="AG666" s="3"/>
      <c r="AH666" s="3"/>
    </row>
    <row r="667" spans="1:34">
      <c r="A667" s="198"/>
      <c r="B667" s="198"/>
      <c r="C667" s="198" t="s">
        <v>1228</v>
      </c>
      <c r="D667" s="195">
        <v>722</v>
      </c>
      <c r="E667" s="195">
        <v>189</v>
      </c>
      <c r="F667" s="195">
        <v>189</v>
      </c>
      <c r="G667" s="239">
        <v>660</v>
      </c>
      <c r="H667" s="197" t="s">
        <v>72</v>
      </c>
      <c r="I667" s="242" t="s">
        <v>8000</v>
      </c>
      <c r="J667" s="242" t="s">
        <v>9141</v>
      </c>
      <c r="K667" s="195" t="s">
        <v>71</v>
      </c>
      <c r="L667" s="20" t="str">
        <f ca="1">IF(OFFSET(환산공식!$ED$15,$F667,0)=1,"O","X")</f>
        <v>X</v>
      </c>
      <c r="M667" s="188">
        <f ca="1">IFERROR(OFFSET(환산공식!DJ$15,$F667,0),"")</f>
        <v>200</v>
      </c>
      <c r="N667" s="20" t="str">
        <f ca="1">IFERROR(CONCATENATE(ROUND(OFFSET(환산공식!DK$15,$F667,0),1),"%"),"")</f>
        <v>100%</v>
      </c>
      <c r="O667" s="20">
        <f ca="1">IFERROR(OFFSET(환산공식!DL$15,$F667,0),"")</f>
        <v>0</v>
      </c>
      <c r="P667" s="188" t="str">
        <f t="shared" ca="1" si="21"/>
        <v>3% 이하</v>
      </c>
      <c r="Q667" s="194">
        <f ca="1">IFERROR(ROUND(OFFSET(환산공식!$FG$15,$F667,0),3),"")</f>
        <v>0</v>
      </c>
      <c r="R667" s="194">
        <f ca="1">OFFSET('배치점수 계산기'!H$10,$D667,0)</f>
        <v>831.15499999999997</v>
      </c>
      <c r="S667" s="194">
        <f ca="1">OFFSET('배치점수 계산기'!I$10,$D667,0)</f>
        <v>828.83100000000002</v>
      </c>
      <c r="T667" s="194">
        <f ca="1">OFFSET('배치점수 계산기'!J$10,$D667,0)</f>
        <v>824.38199999999995</v>
      </c>
      <c r="U667" s="194">
        <f ca="1">OFFSET('배치점수 계산기'!K$10,$D667,0)</f>
        <v>819.83299999999997</v>
      </c>
      <c r="V667" s="194">
        <f ca="1">OFFSET('배치점수 계산기'!L$10,$D667,0)</f>
        <v>813.90800000000002</v>
      </c>
      <c r="W667" s="186" t="str">
        <f ca="1">OFFSET('배치점수 계산기'!M$10,$D667,0)</f>
        <v>표점/만점</v>
      </c>
      <c r="X667" s="184" t="str">
        <f ca="1">OFFSET('배치점수 계산기'!N$10,$D667,0)</f>
        <v>표점/만점</v>
      </c>
      <c r="Y667" s="188">
        <f ca="1">OFFSET(환산공식!FW$15,$F667,0)</f>
        <v>0.38</v>
      </c>
      <c r="Z667" s="20">
        <f ca="1">OFFSET(환산공식!FX$15,$F667,0)</f>
        <v>0.31</v>
      </c>
      <c r="AA667" s="179">
        <f ca="1">OFFSET(환산공식!FY$15,$F667,0)</f>
        <v>0.31</v>
      </c>
      <c r="AB667" s="3"/>
      <c r="AD667">
        <f t="shared" ca="1" si="22"/>
        <v>6</v>
      </c>
      <c r="AF667" s="3"/>
      <c r="AG667" s="3"/>
      <c r="AH667" s="3"/>
    </row>
    <row r="668" spans="1:34">
      <c r="A668" s="198"/>
      <c r="B668" s="198"/>
      <c r="C668" s="198" t="s">
        <v>1229</v>
      </c>
      <c r="D668" s="195">
        <v>723</v>
      </c>
      <c r="E668" s="195">
        <v>189</v>
      </c>
      <c r="F668" s="195">
        <v>189</v>
      </c>
      <c r="G668" s="239">
        <v>661</v>
      </c>
      <c r="H668" s="197" t="s">
        <v>72</v>
      </c>
      <c r="I668" s="242" t="s">
        <v>8000</v>
      </c>
      <c r="J668" s="242" t="s">
        <v>8772</v>
      </c>
      <c r="K668" s="195" t="s">
        <v>71</v>
      </c>
      <c r="L668" s="20" t="str">
        <f ca="1">IF(OFFSET(환산공식!$ED$15,$F668,0)=1,"O","X")</f>
        <v>X</v>
      </c>
      <c r="M668" s="188">
        <f ca="1">IFERROR(OFFSET(환산공식!DJ$15,$F668,0),"")</f>
        <v>200</v>
      </c>
      <c r="N668" s="20" t="str">
        <f ca="1">IFERROR(CONCATENATE(ROUND(OFFSET(환산공식!DK$15,$F668,0),1),"%"),"")</f>
        <v>100%</v>
      </c>
      <c r="O668" s="20">
        <f ca="1">IFERROR(OFFSET(환산공식!DL$15,$F668,0),"")</f>
        <v>0</v>
      </c>
      <c r="P668" s="188" t="str">
        <f t="shared" ca="1" si="21"/>
        <v>3% 이하</v>
      </c>
      <c r="Q668" s="194">
        <f ca="1">IFERROR(ROUND(OFFSET(환산공식!$FG$15,$F668,0),3),"")</f>
        <v>0</v>
      </c>
      <c r="R668" s="194">
        <f ca="1">OFFSET('배치점수 계산기'!H$10,$D668,0)</f>
        <v>829.95299999999997</v>
      </c>
      <c r="S668" s="194">
        <f ca="1">OFFSET('배치점수 계산기'!I$10,$D668,0)</f>
        <v>827.62900000000002</v>
      </c>
      <c r="T668" s="194">
        <f ca="1">OFFSET('배치점수 계산기'!J$10,$D668,0)</f>
        <v>823.26</v>
      </c>
      <c r="U668" s="194">
        <f ca="1">OFFSET('배치점수 계산기'!K$10,$D668,0)</f>
        <v>818.62400000000002</v>
      </c>
      <c r="V668" s="194">
        <f ca="1">OFFSET('배치점수 계산기'!L$10,$D668,0)</f>
        <v>812.97299999999996</v>
      </c>
      <c r="W668" s="186" t="str">
        <f ca="1">OFFSET('배치점수 계산기'!M$10,$D668,0)</f>
        <v>표점/만점</v>
      </c>
      <c r="X668" s="184" t="str">
        <f ca="1">OFFSET('배치점수 계산기'!N$10,$D668,0)</f>
        <v>표점/만점</v>
      </c>
      <c r="Y668" s="188">
        <f ca="1">OFFSET(환산공식!FW$15,$F668,0)</f>
        <v>0.38</v>
      </c>
      <c r="Z668" s="20">
        <f ca="1">OFFSET(환산공식!FX$15,$F668,0)</f>
        <v>0.31</v>
      </c>
      <c r="AA668" s="179">
        <f ca="1">OFFSET(환산공식!FY$15,$F668,0)</f>
        <v>0.31</v>
      </c>
      <c r="AB668" s="3"/>
      <c r="AD668">
        <f t="shared" ca="1" si="22"/>
        <v>6</v>
      </c>
      <c r="AF668" s="3"/>
      <c r="AG668" s="3"/>
      <c r="AH668" s="3"/>
    </row>
    <row r="669" spans="1:34">
      <c r="A669" s="198"/>
      <c r="B669" s="198"/>
      <c r="C669" s="198" t="s">
        <v>1230</v>
      </c>
      <c r="D669" s="195">
        <v>724</v>
      </c>
      <c r="E669" s="195">
        <v>189</v>
      </c>
      <c r="F669" s="195">
        <v>189</v>
      </c>
      <c r="G669" s="239">
        <v>662</v>
      </c>
      <c r="H669" s="197" t="s">
        <v>72</v>
      </c>
      <c r="I669" s="242" t="s">
        <v>8000</v>
      </c>
      <c r="J669" s="242" t="s">
        <v>9921</v>
      </c>
      <c r="K669" s="195" t="s">
        <v>71</v>
      </c>
      <c r="L669" s="20" t="str">
        <f ca="1">IF(OFFSET(환산공식!$ED$15,$F669,0)=1,"O","X")</f>
        <v>X</v>
      </c>
      <c r="M669" s="188">
        <f ca="1">IFERROR(OFFSET(환산공식!DJ$15,$F669,0),"")</f>
        <v>200</v>
      </c>
      <c r="N669" s="20" t="str">
        <f ca="1">IFERROR(CONCATENATE(ROUND(OFFSET(환산공식!DK$15,$F669,0),1),"%"),"")</f>
        <v>100%</v>
      </c>
      <c r="O669" s="20">
        <f ca="1">IFERROR(OFFSET(환산공식!DL$15,$F669,0),"")</f>
        <v>0</v>
      </c>
      <c r="P669" s="188" t="str">
        <f t="shared" ca="1" si="21"/>
        <v>3% 이하</v>
      </c>
      <c r="Q669" s="194">
        <f ca="1">IFERROR(ROUND(OFFSET(환산공식!$FG$15,$F669,0),3),"")</f>
        <v>0</v>
      </c>
      <c r="R669" s="194">
        <f ca="1">OFFSET('배치점수 계산기'!H$10,$D669,0)</f>
        <v>827.15700000000004</v>
      </c>
      <c r="S669" s="194">
        <f ca="1">OFFSET('배치점수 계산기'!I$10,$D669,0)</f>
        <v>825.01300000000003</v>
      </c>
      <c r="T669" s="194">
        <f ca="1">OFFSET('배치점수 계산기'!J$10,$D669,0)</f>
        <v>820.86800000000005</v>
      </c>
      <c r="U669" s="194">
        <f ca="1">OFFSET('배치점수 계산기'!K$10,$D669,0)</f>
        <v>816.31200000000001</v>
      </c>
      <c r="V669" s="194">
        <f ca="1">OFFSET('배치점수 계산기'!L$10,$D669,0)</f>
        <v>810.21900000000005</v>
      </c>
      <c r="W669" s="186" t="str">
        <f ca="1">OFFSET('배치점수 계산기'!M$10,$D669,0)</f>
        <v>표점/만점</v>
      </c>
      <c r="X669" s="184" t="str">
        <f ca="1">OFFSET('배치점수 계산기'!N$10,$D669,0)</f>
        <v>표점/만점</v>
      </c>
      <c r="Y669" s="188">
        <f ca="1">OFFSET(환산공식!FW$15,$F669,0)</f>
        <v>0.38</v>
      </c>
      <c r="Z669" s="20">
        <f ca="1">OFFSET(환산공식!FX$15,$F669,0)</f>
        <v>0.31</v>
      </c>
      <c r="AA669" s="179">
        <f ca="1">OFFSET(환산공식!FY$15,$F669,0)</f>
        <v>0.31</v>
      </c>
      <c r="AB669" s="3"/>
      <c r="AD669">
        <f t="shared" ca="1" si="22"/>
        <v>6</v>
      </c>
      <c r="AF669" s="3"/>
      <c r="AG669" s="3"/>
      <c r="AH669" s="3"/>
    </row>
    <row r="670" spans="1:34">
      <c r="A670" s="198"/>
      <c r="B670" s="198"/>
      <c r="C670" s="198" t="s">
        <v>1231</v>
      </c>
      <c r="D670" s="195">
        <v>725</v>
      </c>
      <c r="E670" s="195">
        <v>189</v>
      </c>
      <c r="F670" s="195">
        <v>189</v>
      </c>
      <c r="G670" s="239">
        <v>663</v>
      </c>
      <c r="H670" s="197" t="s">
        <v>72</v>
      </c>
      <c r="I670" s="242" t="s">
        <v>8000</v>
      </c>
      <c r="J670" s="242" t="s">
        <v>8214</v>
      </c>
      <c r="K670" s="195" t="s">
        <v>71</v>
      </c>
      <c r="L670" s="20" t="str">
        <f ca="1">IF(OFFSET(환산공식!$ED$15,$F670,0)=1,"O","X")</f>
        <v>X</v>
      </c>
      <c r="M670" s="188">
        <f ca="1">IFERROR(OFFSET(환산공식!DJ$15,$F670,0),"")</f>
        <v>200</v>
      </c>
      <c r="N670" s="20" t="str">
        <f ca="1">IFERROR(CONCATENATE(ROUND(OFFSET(환산공식!DK$15,$F670,0),1),"%"),"")</f>
        <v>100%</v>
      </c>
      <c r="O670" s="20">
        <f ca="1">IFERROR(OFFSET(환산공식!DL$15,$F670,0),"")</f>
        <v>0</v>
      </c>
      <c r="P670" s="188" t="str">
        <f t="shared" ca="1" si="21"/>
        <v>3% 이하</v>
      </c>
      <c r="Q670" s="194">
        <f ca="1">IFERROR(ROUND(OFFSET(환산공식!$FG$15,$F670,0),3),"")</f>
        <v>0</v>
      </c>
      <c r="R670" s="194">
        <f ca="1">OFFSET('배치점수 계산기'!H$10,$D670,0)</f>
        <v>825.01300000000003</v>
      </c>
      <c r="S670" s="194">
        <f ca="1">OFFSET('배치점수 계산기'!I$10,$D670,0)</f>
        <v>822.80899999999997</v>
      </c>
      <c r="T670" s="194">
        <f ca="1">OFFSET('배치점수 계산기'!J$10,$D670,0)</f>
        <v>818.62400000000002</v>
      </c>
      <c r="U670" s="194">
        <f ca="1">OFFSET('배치점수 계산기'!K$10,$D670,0)</f>
        <v>813.90800000000002</v>
      </c>
      <c r="V670" s="194">
        <f ca="1">OFFSET('배치점수 계산기'!L$10,$D670,0)</f>
        <v>808.08199999999999</v>
      </c>
      <c r="W670" s="186" t="str">
        <f ca="1">OFFSET('배치점수 계산기'!M$10,$D670,0)</f>
        <v>표점/만점</v>
      </c>
      <c r="X670" s="184" t="str">
        <f ca="1">OFFSET('배치점수 계산기'!N$10,$D670,0)</f>
        <v>표점/만점</v>
      </c>
      <c r="Y670" s="188">
        <f ca="1">OFFSET(환산공식!FW$15,$F670,0)</f>
        <v>0.38</v>
      </c>
      <c r="Z670" s="20">
        <f ca="1">OFFSET(환산공식!FX$15,$F670,0)</f>
        <v>0.31</v>
      </c>
      <c r="AA670" s="179">
        <f ca="1">OFFSET(환산공식!FY$15,$F670,0)</f>
        <v>0.31</v>
      </c>
      <c r="AB670" s="3"/>
      <c r="AD670">
        <f t="shared" ca="1" si="22"/>
        <v>6</v>
      </c>
      <c r="AF670" s="3"/>
      <c r="AG670" s="3"/>
      <c r="AH670" s="3"/>
    </row>
    <row r="671" spans="1:34">
      <c r="A671" s="198"/>
      <c r="B671" s="198"/>
      <c r="C671" s="198" t="s">
        <v>1232</v>
      </c>
      <c r="D671" s="195">
        <v>726</v>
      </c>
      <c r="E671" s="195">
        <v>189</v>
      </c>
      <c r="F671" s="195">
        <v>189</v>
      </c>
      <c r="G671" s="239">
        <v>664</v>
      </c>
      <c r="H671" s="197" t="s">
        <v>72</v>
      </c>
      <c r="I671" s="242" t="s">
        <v>8000</v>
      </c>
      <c r="J671" s="242" t="s">
        <v>501</v>
      </c>
      <c r="K671" s="195" t="s">
        <v>71</v>
      </c>
      <c r="L671" s="20" t="str">
        <f ca="1">IF(OFFSET(환산공식!$ED$15,$F671,0)=1,"O","X")</f>
        <v>X</v>
      </c>
      <c r="M671" s="188">
        <f ca="1">IFERROR(OFFSET(환산공식!DJ$15,$F671,0),"")</f>
        <v>200</v>
      </c>
      <c r="N671" s="20" t="str">
        <f ca="1">IFERROR(CONCATENATE(ROUND(OFFSET(환산공식!DK$15,$F671,0),1),"%"),"")</f>
        <v>100%</v>
      </c>
      <c r="O671" s="20">
        <f ca="1">IFERROR(OFFSET(환산공식!DL$15,$F671,0),"")</f>
        <v>0</v>
      </c>
      <c r="P671" s="188" t="str">
        <f t="shared" ca="1" si="21"/>
        <v>3% 이하</v>
      </c>
      <c r="Q671" s="194">
        <f ca="1">IFERROR(ROUND(OFFSET(환산공식!$FG$15,$F671,0),3),"")</f>
        <v>0</v>
      </c>
      <c r="R671" s="194">
        <f ca="1">OFFSET('배치점수 계산기'!H$10,$D671,0)</f>
        <v>820.84799999999996</v>
      </c>
      <c r="S671" s="194">
        <f ca="1">OFFSET('배치점수 계산기'!I$10,$D671,0)</f>
        <v>819.07799999999997</v>
      </c>
      <c r="T671" s="194">
        <f ca="1">OFFSET('배치점수 계산기'!J$10,$D671,0)</f>
        <v>814.73900000000003</v>
      </c>
      <c r="U671" s="194">
        <f ca="1">OFFSET('배치점수 계산기'!K$10,$D671,0)</f>
        <v>809.86199999999997</v>
      </c>
      <c r="V671" s="194">
        <f ca="1">OFFSET('배치점수 계산기'!L$10,$D671,0)</f>
        <v>804.30799999999999</v>
      </c>
      <c r="W671" s="186" t="str">
        <f ca="1">OFFSET('배치점수 계산기'!M$10,$D671,0)</f>
        <v>표점/만점</v>
      </c>
      <c r="X671" s="184" t="str">
        <f ca="1">OFFSET('배치점수 계산기'!N$10,$D671,0)</f>
        <v>표점/만점</v>
      </c>
      <c r="Y671" s="188">
        <f ca="1">OFFSET(환산공식!FW$15,$F671,0)</f>
        <v>0.38</v>
      </c>
      <c r="Z671" s="20">
        <f ca="1">OFFSET(환산공식!FX$15,$F671,0)</f>
        <v>0.31</v>
      </c>
      <c r="AA671" s="179">
        <f ca="1">OFFSET(환산공식!FY$15,$F671,0)</f>
        <v>0.31</v>
      </c>
      <c r="AB671" s="3"/>
      <c r="AD671">
        <f t="shared" ca="1" si="22"/>
        <v>6</v>
      </c>
      <c r="AF671" s="3"/>
      <c r="AG671" s="3"/>
      <c r="AH671" s="3"/>
    </row>
    <row r="672" spans="1:34">
      <c r="A672" s="198"/>
      <c r="B672" s="198"/>
      <c r="C672" s="198" t="s">
        <v>1233</v>
      </c>
      <c r="D672" s="195">
        <v>727</v>
      </c>
      <c r="E672" s="195">
        <v>189</v>
      </c>
      <c r="F672" s="195">
        <v>189</v>
      </c>
      <c r="G672" s="239">
        <v>665</v>
      </c>
      <c r="H672" s="197" t="s">
        <v>72</v>
      </c>
      <c r="I672" s="242" t="s">
        <v>8000</v>
      </c>
      <c r="J672" s="242" t="s">
        <v>8726</v>
      </c>
      <c r="K672" s="195" t="s">
        <v>71</v>
      </c>
      <c r="L672" s="20" t="str">
        <f ca="1">IF(OFFSET(환산공식!$ED$15,$F672,0)=1,"O","X")</f>
        <v>X</v>
      </c>
      <c r="M672" s="188">
        <f ca="1">IFERROR(OFFSET(환산공식!DJ$15,$F672,0),"")</f>
        <v>200</v>
      </c>
      <c r="N672" s="20" t="str">
        <f ca="1">IFERROR(CONCATENATE(ROUND(OFFSET(환산공식!DK$15,$F672,0),1),"%"),"")</f>
        <v>100%</v>
      </c>
      <c r="O672" s="20">
        <f ca="1">IFERROR(OFFSET(환산공식!DL$15,$F672,0),"")</f>
        <v>0</v>
      </c>
      <c r="P672" s="188" t="str">
        <f t="shared" ca="1" si="21"/>
        <v>3% 이하</v>
      </c>
      <c r="Q672" s="194">
        <f ca="1">IFERROR(ROUND(OFFSET(환산공식!$FG$15,$F672,0),3),"")</f>
        <v>0</v>
      </c>
      <c r="R672" s="194">
        <f ca="1">OFFSET('배치점수 계산기'!H$10,$D672,0)</f>
        <v>816.31200000000001</v>
      </c>
      <c r="S672" s="194">
        <f ca="1">OFFSET('배치점수 계산기'!I$10,$D672,0)</f>
        <v>814.08799999999997</v>
      </c>
      <c r="T672" s="194">
        <f ca="1">OFFSET('배치점수 계산기'!J$10,$D672,0)</f>
        <v>809.67499999999995</v>
      </c>
      <c r="U672" s="194">
        <f ca="1">OFFSET('배치점수 계산기'!K$10,$D672,0)</f>
        <v>805.32299999999998</v>
      </c>
      <c r="V672" s="194">
        <f ca="1">OFFSET('배치점수 계산기'!L$10,$D672,0)</f>
        <v>800.10699999999997</v>
      </c>
      <c r="W672" s="186" t="str">
        <f ca="1">OFFSET('배치점수 계산기'!M$10,$D672,0)</f>
        <v>표점/만점</v>
      </c>
      <c r="X672" s="184" t="str">
        <f ca="1">OFFSET('배치점수 계산기'!N$10,$D672,0)</f>
        <v>표점/만점</v>
      </c>
      <c r="Y672" s="188">
        <f ca="1">OFFSET(환산공식!FW$15,$F672,0)</f>
        <v>0.38</v>
      </c>
      <c r="Z672" s="20">
        <f ca="1">OFFSET(환산공식!FX$15,$F672,0)</f>
        <v>0.31</v>
      </c>
      <c r="AA672" s="179">
        <f ca="1">OFFSET(환산공식!FY$15,$F672,0)</f>
        <v>0.31</v>
      </c>
      <c r="AB672" s="3"/>
      <c r="AD672">
        <f t="shared" ca="1" si="22"/>
        <v>6</v>
      </c>
      <c r="AF672" s="3"/>
      <c r="AG672" s="3"/>
      <c r="AH672" s="3"/>
    </row>
    <row r="673" spans="1:34">
      <c r="A673" s="198"/>
      <c r="B673" s="198"/>
      <c r="C673" s="198" t="s">
        <v>1234</v>
      </c>
      <c r="D673" s="195">
        <v>728</v>
      </c>
      <c r="E673" s="195">
        <v>189</v>
      </c>
      <c r="F673" s="195">
        <v>189</v>
      </c>
      <c r="G673" s="239">
        <v>666</v>
      </c>
      <c r="H673" s="197" t="s">
        <v>72</v>
      </c>
      <c r="I673" s="242" t="s">
        <v>8000</v>
      </c>
      <c r="J673" s="242" t="s">
        <v>8217</v>
      </c>
      <c r="K673" s="195" t="s">
        <v>71</v>
      </c>
      <c r="L673" s="20" t="str">
        <f ca="1">IF(OFFSET(환산공식!$ED$15,$F673,0)=1,"O","X")</f>
        <v>X</v>
      </c>
      <c r="M673" s="188">
        <f ca="1">IFERROR(OFFSET(환산공식!DJ$15,$F673,0),"")</f>
        <v>200</v>
      </c>
      <c r="N673" s="20" t="str">
        <f ca="1">IFERROR(CONCATENATE(ROUND(OFFSET(환산공식!DK$15,$F673,0),1),"%"),"")</f>
        <v>100%</v>
      </c>
      <c r="O673" s="20">
        <f ca="1">IFERROR(OFFSET(환산공식!DL$15,$F673,0),"")</f>
        <v>0</v>
      </c>
      <c r="P673" s="188" t="str">
        <f t="shared" ca="1" si="21"/>
        <v>3% 이하</v>
      </c>
      <c r="Q673" s="194">
        <f ca="1">IFERROR(ROUND(OFFSET(환산공식!$FG$15,$F673,0),3),"")</f>
        <v>0</v>
      </c>
      <c r="R673" s="194">
        <f ca="1">OFFSET('배치점수 계산기'!H$10,$D673,0)</f>
        <v>815.84799999999996</v>
      </c>
      <c r="S673" s="194">
        <f ca="1">OFFSET('배치점수 계산기'!I$10,$D673,0)</f>
        <v>813.721</v>
      </c>
      <c r="T673" s="194">
        <f ca="1">OFFSET('배치점수 계산기'!J$10,$D673,0)</f>
        <v>809.01700000000005</v>
      </c>
      <c r="U673" s="194">
        <f ca="1">OFFSET('배치점수 계산기'!K$10,$D673,0)</f>
        <v>804.85900000000004</v>
      </c>
      <c r="V673" s="194">
        <f ca="1">OFFSET('배치점수 계산기'!L$10,$D673,0)</f>
        <v>799.947</v>
      </c>
      <c r="W673" s="186" t="str">
        <f ca="1">OFFSET('배치점수 계산기'!M$10,$D673,0)</f>
        <v>표점/만점</v>
      </c>
      <c r="X673" s="184" t="str">
        <f ca="1">OFFSET('배치점수 계산기'!N$10,$D673,0)</f>
        <v>표점/만점</v>
      </c>
      <c r="Y673" s="188">
        <f ca="1">OFFSET(환산공식!FW$15,$F673,0)</f>
        <v>0.38</v>
      </c>
      <c r="Z673" s="20">
        <f ca="1">OFFSET(환산공식!FX$15,$F673,0)</f>
        <v>0.31</v>
      </c>
      <c r="AA673" s="179">
        <f ca="1">OFFSET(환산공식!FY$15,$F673,0)</f>
        <v>0.31</v>
      </c>
      <c r="AB673" s="3"/>
      <c r="AD673">
        <f t="shared" ca="1" si="22"/>
        <v>6</v>
      </c>
      <c r="AF673" s="3"/>
      <c r="AG673" s="3"/>
      <c r="AH673" s="3"/>
    </row>
    <row r="674" spans="1:34">
      <c r="A674" s="198"/>
      <c r="B674" s="198"/>
      <c r="C674" s="198" t="s">
        <v>1235</v>
      </c>
      <c r="D674" s="195">
        <v>729</v>
      </c>
      <c r="E674" s="195">
        <v>189</v>
      </c>
      <c r="F674" s="195">
        <v>189</v>
      </c>
      <c r="G674" s="239">
        <v>667</v>
      </c>
      <c r="H674" s="197" t="s">
        <v>72</v>
      </c>
      <c r="I674" s="242" t="s">
        <v>8000</v>
      </c>
      <c r="J674" s="242" t="s">
        <v>9709</v>
      </c>
      <c r="K674" s="195" t="s">
        <v>71</v>
      </c>
      <c r="L674" s="20" t="str">
        <f ca="1">IF(OFFSET(환산공식!$ED$15,$F674,0)=1,"O","X")</f>
        <v>X</v>
      </c>
      <c r="M674" s="188">
        <f ca="1">IFERROR(OFFSET(환산공식!DJ$15,$F674,0),"")</f>
        <v>200</v>
      </c>
      <c r="N674" s="20" t="str">
        <f ca="1">IFERROR(CONCATENATE(ROUND(OFFSET(환산공식!DK$15,$F674,0),1),"%"),"")</f>
        <v>100%</v>
      </c>
      <c r="O674" s="20">
        <f ca="1">IFERROR(OFFSET(환산공식!DL$15,$F674,0),"")</f>
        <v>0</v>
      </c>
      <c r="P674" s="188" t="str">
        <f t="shared" ca="1" si="21"/>
        <v>3% 이하</v>
      </c>
      <c r="Q674" s="194">
        <f ca="1">IFERROR(ROUND(OFFSET(환산공식!$FG$15,$F674,0),3),"")</f>
        <v>0</v>
      </c>
      <c r="R674" s="194">
        <f ca="1">OFFSET('배치점수 계산기'!H$10,$D674,0)</f>
        <v>813.15300000000002</v>
      </c>
      <c r="S674" s="194">
        <f ca="1">OFFSET('배치점수 계산기'!I$10,$D674,0)</f>
        <v>810.79</v>
      </c>
      <c r="T674" s="194">
        <f ca="1">OFFSET('배치점수 계산기'!J$10,$D674,0)</f>
        <v>806.69200000000001</v>
      </c>
      <c r="U674" s="194">
        <f ca="1">OFFSET('배치점수 계산기'!K$10,$D674,0)</f>
        <v>802.33100000000002</v>
      </c>
      <c r="V674" s="194">
        <f ca="1">OFFSET('배치점수 계산기'!L$10,$D674,0)</f>
        <v>797.53499999999997</v>
      </c>
      <c r="W674" s="186" t="str">
        <f ca="1">OFFSET('배치점수 계산기'!M$10,$D674,0)</f>
        <v>표점/만점</v>
      </c>
      <c r="X674" s="184" t="str">
        <f ca="1">OFFSET('배치점수 계산기'!N$10,$D674,0)</f>
        <v>표점/만점</v>
      </c>
      <c r="Y674" s="188">
        <f ca="1">OFFSET(환산공식!FW$15,$F674,0)</f>
        <v>0.38</v>
      </c>
      <c r="Z674" s="20">
        <f ca="1">OFFSET(환산공식!FX$15,$F674,0)</f>
        <v>0.31</v>
      </c>
      <c r="AA674" s="179">
        <f ca="1">OFFSET(환산공식!FY$15,$F674,0)</f>
        <v>0.31</v>
      </c>
      <c r="AB674" s="3"/>
      <c r="AD674">
        <f t="shared" ca="1" si="22"/>
        <v>6</v>
      </c>
      <c r="AF674" s="3"/>
      <c r="AG674" s="3"/>
      <c r="AH674" s="3"/>
    </row>
    <row r="675" spans="1:34">
      <c r="A675" s="198"/>
      <c r="B675" s="198"/>
      <c r="C675" s="198" t="s">
        <v>1236</v>
      </c>
      <c r="D675" s="195">
        <v>730</v>
      </c>
      <c r="E675" s="195">
        <v>189</v>
      </c>
      <c r="F675" s="195">
        <v>189</v>
      </c>
      <c r="G675" s="239">
        <v>668</v>
      </c>
      <c r="H675" s="197" t="s">
        <v>72</v>
      </c>
      <c r="I675" s="242" t="s">
        <v>8000</v>
      </c>
      <c r="J675" s="242" t="s">
        <v>12228</v>
      </c>
      <c r="K675" s="195" t="s">
        <v>71</v>
      </c>
      <c r="L675" s="20" t="str">
        <f ca="1">IF(OFFSET(환산공식!$ED$15,$F675,0)=1,"O","X")</f>
        <v>X</v>
      </c>
      <c r="M675" s="188">
        <f ca="1">IFERROR(OFFSET(환산공식!DJ$15,$F675,0),"")</f>
        <v>200</v>
      </c>
      <c r="N675" s="20" t="str">
        <f ca="1">IFERROR(CONCATENATE(ROUND(OFFSET(환산공식!DK$15,$F675,0),1),"%"),"")</f>
        <v>100%</v>
      </c>
      <c r="O675" s="20">
        <f ca="1">IFERROR(OFFSET(환산공식!DL$15,$F675,0),"")</f>
        <v>0</v>
      </c>
      <c r="P675" s="188" t="str">
        <f t="shared" ca="1" si="21"/>
        <v>3% 이하</v>
      </c>
      <c r="Q675" s="194">
        <f ca="1">IFERROR(ROUND(OFFSET(환산공식!$FG$15,$F675,0),3),"")</f>
        <v>0</v>
      </c>
      <c r="R675" s="194">
        <f ca="1">OFFSET('배치점수 계산기'!H$10,$D675,0)</f>
        <v>812.70600000000002</v>
      </c>
      <c r="S675" s="194">
        <f ca="1">OFFSET('배치점수 계산기'!I$10,$D675,0)</f>
        <v>810.423</v>
      </c>
      <c r="T675" s="194">
        <f ca="1">OFFSET('배치점수 계산기'!J$10,$D675,0)</f>
        <v>806.24900000000002</v>
      </c>
      <c r="U675" s="194">
        <f ca="1">OFFSET('배치점수 계산기'!K$10,$D675,0)</f>
        <v>801.97699999999998</v>
      </c>
      <c r="V675" s="194">
        <f ca="1">OFFSET('배치점수 계산기'!L$10,$D675,0)</f>
        <v>797.33100000000002</v>
      </c>
      <c r="W675" s="186" t="str">
        <f ca="1">OFFSET('배치점수 계산기'!M$10,$D675,0)</f>
        <v>표점/만점</v>
      </c>
      <c r="X675" s="184" t="str">
        <f ca="1">OFFSET('배치점수 계산기'!N$10,$D675,0)</f>
        <v>표점/만점</v>
      </c>
      <c r="Y675" s="188">
        <f ca="1">OFFSET(환산공식!FW$15,$F675,0)</f>
        <v>0.38</v>
      </c>
      <c r="Z675" s="20">
        <f ca="1">OFFSET(환산공식!FX$15,$F675,0)</f>
        <v>0.31</v>
      </c>
      <c r="AA675" s="179">
        <f ca="1">OFFSET(환산공식!FY$15,$F675,0)</f>
        <v>0.31</v>
      </c>
      <c r="AB675" s="3"/>
      <c r="AD675">
        <f t="shared" ca="1" si="22"/>
        <v>6</v>
      </c>
      <c r="AF675" s="3"/>
      <c r="AG675" s="3"/>
      <c r="AH675" s="3"/>
    </row>
    <row r="676" spans="1:34">
      <c r="A676" s="198"/>
      <c r="B676" s="198"/>
      <c r="C676" s="198" t="s">
        <v>1237</v>
      </c>
      <c r="D676" s="195">
        <v>731</v>
      </c>
      <c r="E676" s="195">
        <v>189</v>
      </c>
      <c r="F676" s="195">
        <v>189</v>
      </c>
      <c r="G676" s="239">
        <v>669</v>
      </c>
      <c r="H676" s="197" t="s">
        <v>72</v>
      </c>
      <c r="I676" s="242" t="s">
        <v>8000</v>
      </c>
      <c r="J676" s="242" t="s">
        <v>8534</v>
      </c>
      <c r="K676" s="195" t="s">
        <v>71</v>
      </c>
      <c r="L676" s="20" t="str">
        <f ca="1">IF(OFFSET(환산공식!$ED$15,$F676,0)=1,"O","X")</f>
        <v>X</v>
      </c>
      <c r="M676" s="188">
        <f ca="1">IFERROR(OFFSET(환산공식!DJ$15,$F676,0),"")</f>
        <v>200</v>
      </c>
      <c r="N676" s="20" t="str">
        <f ca="1">IFERROR(CONCATENATE(ROUND(OFFSET(환산공식!DK$15,$F676,0),1),"%"),"")</f>
        <v>100%</v>
      </c>
      <c r="O676" s="20">
        <f ca="1">IFERROR(OFFSET(환산공식!DL$15,$F676,0),"")</f>
        <v>0</v>
      </c>
      <c r="P676" s="188" t="str">
        <f t="shared" ca="1" si="21"/>
        <v>3% 이하</v>
      </c>
      <c r="Q676" s="194">
        <f ca="1">IFERROR(ROUND(OFFSET(환산공식!$FG$15,$F676,0),3),"")</f>
        <v>0</v>
      </c>
      <c r="R676" s="194">
        <f ca="1">OFFSET('배치점수 계산기'!H$10,$D676,0)</f>
        <v>809.48800000000006</v>
      </c>
      <c r="S676" s="194">
        <f ca="1">OFFSET('배치점수 계산기'!I$10,$D676,0)</f>
        <v>807.46799999999996</v>
      </c>
      <c r="T676" s="194">
        <f ca="1">OFFSET('배치점수 계산기'!J$10,$D676,0)</f>
        <v>803.55</v>
      </c>
      <c r="U676" s="194">
        <f ca="1">OFFSET('배치점수 계산기'!K$10,$D676,0)</f>
        <v>799.76</v>
      </c>
      <c r="V676" s="194">
        <f ca="1">OFFSET('배치점수 계산기'!L$10,$D676,0)</f>
        <v>794.26</v>
      </c>
      <c r="W676" s="186" t="str">
        <f ca="1">OFFSET('배치점수 계산기'!M$10,$D676,0)</f>
        <v>표점/만점</v>
      </c>
      <c r="X676" s="184" t="str">
        <f ca="1">OFFSET('배치점수 계산기'!N$10,$D676,0)</f>
        <v>표점/만점</v>
      </c>
      <c r="Y676" s="188">
        <f ca="1">OFFSET(환산공식!FW$15,$F676,0)</f>
        <v>0.38</v>
      </c>
      <c r="Z676" s="20">
        <f ca="1">OFFSET(환산공식!FX$15,$F676,0)</f>
        <v>0.31</v>
      </c>
      <c r="AA676" s="179">
        <f ca="1">OFFSET(환산공식!FY$15,$F676,0)</f>
        <v>0.31</v>
      </c>
      <c r="AB676" s="3"/>
      <c r="AD676">
        <f t="shared" ca="1" si="22"/>
        <v>6</v>
      </c>
      <c r="AF676" s="3"/>
      <c r="AG676" s="3"/>
      <c r="AH676" s="3"/>
    </row>
    <row r="677" spans="1:34">
      <c r="A677" s="198"/>
      <c r="B677" s="198"/>
      <c r="C677" s="198" t="s">
        <v>1238</v>
      </c>
      <c r="D677" s="195">
        <v>732</v>
      </c>
      <c r="E677" s="195">
        <v>189</v>
      </c>
      <c r="F677" s="195">
        <v>189</v>
      </c>
      <c r="G677" s="239">
        <v>670</v>
      </c>
      <c r="H677" s="197" t="s">
        <v>72</v>
      </c>
      <c r="I677" s="242" t="s">
        <v>8000</v>
      </c>
      <c r="J677" s="242" t="s">
        <v>9285</v>
      </c>
      <c r="K677" s="195" t="s">
        <v>71</v>
      </c>
      <c r="L677" s="20" t="str">
        <f ca="1">IF(OFFSET(환산공식!$ED$15,$F677,0)=1,"O","X")</f>
        <v>X</v>
      </c>
      <c r="M677" s="188">
        <f ca="1">IFERROR(OFFSET(환산공식!DJ$15,$F677,0),"")</f>
        <v>200</v>
      </c>
      <c r="N677" s="20" t="str">
        <f ca="1">IFERROR(CONCATENATE(ROUND(OFFSET(환산공식!DK$15,$F677,0),1),"%"),"")</f>
        <v>100%</v>
      </c>
      <c r="O677" s="20">
        <f ca="1">IFERROR(OFFSET(환산공식!DL$15,$F677,0),"")</f>
        <v>0</v>
      </c>
      <c r="P677" s="188" t="str">
        <f t="shared" ca="1" si="21"/>
        <v>3% 이하</v>
      </c>
      <c r="Q677" s="194">
        <f ca="1">IFERROR(ROUND(OFFSET(환산공식!$FG$15,$F677,0),3),"")</f>
        <v>0</v>
      </c>
      <c r="R677" s="194">
        <f ca="1">OFFSET('배치점수 계산기'!H$10,$D677,0)</f>
        <v>797.77499999999998</v>
      </c>
      <c r="S677" s="194">
        <f ca="1">OFFSET('배치점수 계산기'!I$10,$D677,0)</f>
        <v>795.74199999999996</v>
      </c>
      <c r="T677" s="194">
        <f ca="1">OFFSET('배치점수 계산기'!J$10,$D677,0)</f>
        <v>790.928</v>
      </c>
      <c r="U677" s="194">
        <f ca="1">OFFSET('배치점수 계산기'!K$10,$D677,0)</f>
        <v>785.49400000000003</v>
      </c>
      <c r="V677" s="194">
        <f ca="1">OFFSET('배치점수 계산기'!L$10,$D677,0)</f>
        <v>779.85900000000004</v>
      </c>
      <c r="W677" s="186" t="str">
        <f ca="1">OFFSET('배치점수 계산기'!M$10,$D677,0)</f>
        <v>표점/만점</v>
      </c>
      <c r="X677" s="184" t="str">
        <f ca="1">OFFSET('배치점수 계산기'!N$10,$D677,0)</f>
        <v>표점/만점</v>
      </c>
      <c r="Y677" s="188">
        <f ca="1">OFFSET(환산공식!FW$15,$F677,0)</f>
        <v>0.38</v>
      </c>
      <c r="Z677" s="20">
        <f ca="1">OFFSET(환산공식!FX$15,$F677,0)</f>
        <v>0.31</v>
      </c>
      <c r="AA677" s="179">
        <f ca="1">OFFSET(환산공식!FY$15,$F677,0)</f>
        <v>0.31</v>
      </c>
      <c r="AB677" s="3"/>
      <c r="AD677">
        <f t="shared" ca="1" si="22"/>
        <v>6</v>
      </c>
      <c r="AF677" s="3"/>
      <c r="AG677" s="3"/>
      <c r="AH677" s="3"/>
    </row>
    <row r="678" spans="1:34">
      <c r="A678" s="198"/>
      <c r="B678" s="198"/>
      <c r="C678" s="198" t="s">
        <v>1239</v>
      </c>
      <c r="D678" s="195">
        <v>733</v>
      </c>
      <c r="E678" s="195">
        <v>287</v>
      </c>
      <c r="F678" s="195">
        <v>287</v>
      </c>
      <c r="G678" s="239">
        <v>671</v>
      </c>
      <c r="H678" s="197" t="s">
        <v>72</v>
      </c>
      <c r="I678" s="242" t="s">
        <v>209</v>
      </c>
      <c r="J678" s="242" t="s">
        <v>8480</v>
      </c>
      <c r="K678" s="195" t="s">
        <v>70</v>
      </c>
      <c r="L678" s="20" t="str">
        <f ca="1">IF(OFFSET(환산공식!$ED$15,$F678,0)=1,"O","X")</f>
        <v>X</v>
      </c>
      <c r="M678" s="188">
        <f ca="1">IFERROR(OFFSET(환산공식!DJ$15,$F678,0),"")</f>
        <v>200</v>
      </c>
      <c r="N678" s="20" t="str">
        <f ca="1">IFERROR(CONCATENATE(ROUND(OFFSET(환산공식!DK$15,$F678,0),1),"%"),"")</f>
        <v>100%</v>
      </c>
      <c r="O678" s="20">
        <f ca="1">IFERROR(OFFSET(환산공식!DL$15,$F678,0),"")</f>
        <v>10</v>
      </c>
      <c r="P678" s="188" t="str">
        <f t="shared" ca="1" si="21"/>
        <v>3% 이하</v>
      </c>
      <c r="Q678" s="194">
        <f ca="1">IFERROR(ROUND(OFFSET(환산공식!$FG$15,$F678,0),3),"")</f>
        <v>0</v>
      </c>
      <c r="R678" s="194">
        <f ca="1">OFFSET('배치점수 계산기'!H$10,$D678,0)</f>
        <v>711.56</v>
      </c>
      <c r="S678" s="194">
        <f ca="1">OFFSET('배치점수 계산기'!I$10,$D678,0)</f>
        <v>709.59</v>
      </c>
      <c r="T678" s="194">
        <f ca="1">OFFSET('배치점수 계산기'!J$10,$D678,0)</f>
        <v>705.88699999999994</v>
      </c>
      <c r="U678" s="194">
        <f ca="1">OFFSET('배치점수 계산기'!K$10,$D678,0)</f>
        <v>701.94600000000003</v>
      </c>
      <c r="V678" s="194">
        <f ca="1">OFFSET('배치점수 계산기'!L$10,$D678,0)</f>
        <v>695.34400000000005</v>
      </c>
      <c r="W678" s="186" t="str">
        <f ca="1">OFFSET('배치점수 계산기'!M$10,$D678,0)</f>
        <v>표점</v>
      </c>
      <c r="X678" s="184" t="str">
        <f ca="1">OFFSET('배치점수 계산기'!N$10,$D678,0)</f>
        <v>표점</v>
      </c>
      <c r="Y678" s="188">
        <f ca="1">OFFSET(환산공식!FW$15,$F678,0)</f>
        <v>0.25</v>
      </c>
      <c r="Z678" s="20">
        <f ca="1">OFFSET(환산공식!FX$15,$F678,0)</f>
        <v>0.38</v>
      </c>
      <c r="AA678" s="179">
        <f ca="1">OFFSET(환산공식!FY$15,$F678,0)</f>
        <v>0.38</v>
      </c>
      <c r="AB678" s="3"/>
      <c r="AD678">
        <f t="shared" ca="1" si="22"/>
        <v>6</v>
      </c>
      <c r="AF678" s="3"/>
      <c r="AG678" s="3"/>
      <c r="AH678" s="3"/>
    </row>
    <row r="679" spans="1:34">
      <c r="A679" s="198"/>
      <c r="B679" s="198"/>
      <c r="C679" s="198" t="s">
        <v>1240</v>
      </c>
      <c r="D679" s="195">
        <v>734</v>
      </c>
      <c r="E679" s="195">
        <v>287</v>
      </c>
      <c r="F679" s="195">
        <v>287</v>
      </c>
      <c r="G679" s="239">
        <v>672</v>
      </c>
      <c r="H679" s="197" t="s">
        <v>72</v>
      </c>
      <c r="I679" s="242" t="s">
        <v>209</v>
      </c>
      <c r="J679" s="242" t="s">
        <v>10382</v>
      </c>
      <c r="K679" s="195" t="s">
        <v>70</v>
      </c>
      <c r="L679" s="20" t="str">
        <f ca="1">IF(OFFSET(환산공식!$ED$15,$F679,0)=1,"O","X")</f>
        <v>X</v>
      </c>
      <c r="M679" s="188">
        <f ca="1">IFERROR(OFFSET(환산공식!DJ$15,$F679,0),"")</f>
        <v>200</v>
      </c>
      <c r="N679" s="20" t="str">
        <f ca="1">IFERROR(CONCATENATE(ROUND(OFFSET(환산공식!DK$15,$F679,0),1),"%"),"")</f>
        <v>100%</v>
      </c>
      <c r="O679" s="20">
        <f ca="1">IFERROR(OFFSET(환산공식!DL$15,$F679,0),"")</f>
        <v>10</v>
      </c>
      <c r="P679" s="188" t="str">
        <f t="shared" ca="1" si="21"/>
        <v>3% 이하</v>
      </c>
      <c r="Q679" s="194">
        <f ca="1">IFERROR(ROUND(OFFSET(환산공식!$FG$15,$F679,0),3),"")</f>
        <v>0</v>
      </c>
      <c r="R679" s="194">
        <f ca="1">OFFSET('배치점수 계산기'!H$10,$D679,0)</f>
        <v>704</v>
      </c>
      <c r="S679" s="194">
        <f ca="1">OFFSET('배치점수 계산기'!I$10,$D679,0)</f>
        <v>701.73</v>
      </c>
      <c r="T679" s="194">
        <f ca="1">OFFSET('배치점수 계산기'!J$10,$D679,0)</f>
        <v>697.596</v>
      </c>
      <c r="U679" s="194">
        <f ca="1">OFFSET('배치점수 계산기'!K$10,$D679,0)</f>
        <v>693.54</v>
      </c>
      <c r="V679" s="194">
        <f ca="1">OFFSET('배치점수 계산기'!L$10,$D679,0)</f>
        <v>689.18</v>
      </c>
      <c r="W679" s="186" t="str">
        <f ca="1">OFFSET('배치점수 계산기'!M$10,$D679,0)</f>
        <v>표점</v>
      </c>
      <c r="X679" s="184" t="str">
        <f ca="1">OFFSET('배치점수 계산기'!N$10,$D679,0)</f>
        <v>표점</v>
      </c>
      <c r="Y679" s="188">
        <f ca="1">OFFSET(환산공식!FW$15,$F679,0)</f>
        <v>0.25</v>
      </c>
      <c r="Z679" s="20">
        <f ca="1">OFFSET(환산공식!FX$15,$F679,0)</f>
        <v>0.38</v>
      </c>
      <c r="AA679" s="179">
        <f ca="1">OFFSET(환산공식!FY$15,$F679,0)</f>
        <v>0.38</v>
      </c>
      <c r="AB679" s="3"/>
      <c r="AD679">
        <f t="shared" ca="1" si="22"/>
        <v>6</v>
      </c>
      <c r="AF679" s="3"/>
      <c r="AG679" s="3"/>
      <c r="AH679" s="3"/>
    </row>
    <row r="680" spans="1:34">
      <c r="A680" s="198"/>
      <c r="B680" s="198"/>
      <c r="C680" s="198" t="s">
        <v>1241</v>
      </c>
      <c r="D680" s="195">
        <v>735</v>
      </c>
      <c r="E680" s="195">
        <v>287</v>
      </c>
      <c r="F680" s="195">
        <v>287</v>
      </c>
      <c r="G680" s="239">
        <v>673</v>
      </c>
      <c r="H680" s="197" t="s">
        <v>72</v>
      </c>
      <c r="I680" s="242" t="s">
        <v>209</v>
      </c>
      <c r="J680" s="242" t="s">
        <v>10480</v>
      </c>
      <c r="K680" s="195" t="s">
        <v>70</v>
      </c>
      <c r="L680" s="20" t="str">
        <f ca="1">IF(OFFSET(환산공식!$ED$15,$F680,0)=1,"O","X")</f>
        <v>X</v>
      </c>
      <c r="M680" s="188">
        <f ca="1">IFERROR(OFFSET(환산공식!DJ$15,$F680,0),"")</f>
        <v>200</v>
      </c>
      <c r="N680" s="20" t="str">
        <f ca="1">IFERROR(CONCATENATE(ROUND(OFFSET(환산공식!DK$15,$F680,0),1),"%"),"")</f>
        <v>100%</v>
      </c>
      <c r="O680" s="20">
        <f ca="1">IFERROR(OFFSET(환산공식!DL$15,$F680,0),"")</f>
        <v>10</v>
      </c>
      <c r="P680" s="188" t="str">
        <f t="shared" ca="1" si="21"/>
        <v>3% 이하</v>
      </c>
      <c r="Q680" s="194">
        <f ca="1">IFERROR(ROUND(OFFSET(환산공식!$FG$15,$F680,0),3),"")</f>
        <v>0</v>
      </c>
      <c r="R680" s="194">
        <f ca="1">OFFSET('배치점수 계산기'!H$10,$D680,0)</f>
        <v>703.04</v>
      </c>
      <c r="S680" s="194">
        <f ca="1">OFFSET('배치점수 계산기'!I$10,$D680,0)</f>
        <v>700.80399999999997</v>
      </c>
      <c r="T680" s="194">
        <f ca="1">OFFSET('배치점수 계산기'!J$10,$D680,0)</f>
        <v>696.62</v>
      </c>
      <c r="U680" s="194">
        <f ca="1">OFFSET('배치점수 계산기'!K$10,$D680,0)</f>
        <v>692.83</v>
      </c>
      <c r="V680" s="194">
        <f ca="1">OFFSET('배치점수 계산기'!L$10,$D680,0)</f>
        <v>688.62</v>
      </c>
      <c r="W680" s="186" t="str">
        <f ca="1">OFFSET('배치점수 계산기'!M$10,$D680,0)</f>
        <v>표점</v>
      </c>
      <c r="X680" s="184" t="str">
        <f ca="1">OFFSET('배치점수 계산기'!N$10,$D680,0)</f>
        <v>표점</v>
      </c>
      <c r="Y680" s="188">
        <f ca="1">OFFSET(환산공식!FW$15,$F680,0)</f>
        <v>0.25</v>
      </c>
      <c r="Z680" s="20">
        <f ca="1">OFFSET(환산공식!FX$15,$F680,0)</f>
        <v>0.38</v>
      </c>
      <c r="AA680" s="179">
        <f ca="1">OFFSET(환산공식!FY$15,$F680,0)</f>
        <v>0.38</v>
      </c>
      <c r="AB680" s="3"/>
      <c r="AD680">
        <f t="shared" ca="1" si="22"/>
        <v>6</v>
      </c>
      <c r="AF680" s="3"/>
      <c r="AG680" s="3"/>
      <c r="AH680" s="3"/>
    </row>
    <row r="681" spans="1:34">
      <c r="A681" s="198"/>
      <c r="B681" s="198"/>
      <c r="C681" s="198" t="s">
        <v>1242</v>
      </c>
      <c r="D681" s="195">
        <v>736</v>
      </c>
      <c r="E681" s="195">
        <v>289</v>
      </c>
      <c r="F681" s="195">
        <v>289</v>
      </c>
      <c r="G681" s="239">
        <v>674</v>
      </c>
      <c r="H681" s="197" t="s">
        <v>72</v>
      </c>
      <c r="I681" s="242" t="s">
        <v>209</v>
      </c>
      <c r="J681" s="242" t="s">
        <v>8148</v>
      </c>
      <c r="K681" s="195" t="s">
        <v>70</v>
      </c>
      <c r="L681" s="20" t="str">
        <f ca="1">IF(OFFSET(환산공식!$ED$15,$F681,0)=1,"O","X")</f>
        <v>X</v>
      </c>
      <c r="M681" s="188">
        <f ca="1">IFERROR(OFFSET(환산공식!DJ$15,$F681,0),"")</f>
        <v>200</v>
      </c>
      <c r="N681" s="20" t="str">
        <f ca="1">IFERROR(CONCATENATE(ROUND(OFFSET(환산공식!DK$15,$F681,0),1),"%"),"")</f>
        <v>100%</v>
      </c>
      <c r="O681" s="20">
        <f ca="1">IFERROR(OFFSET(환산공식!DL$15,$F681,0),"")</f>
        <v>10</v>
      </c>
      <c r="P681" s="188" t="str">
        <f t="shared" ca="1" si="21"/>
        <v>3% 이하</v>
      </c>
      <c r="Q681" s="194">
        <f ca="1">IFERROR(ROUND(OFFSET(환산공식!$FG$15,$F681,0),3),"")</f>
        <v>0</v>
      </c>
      <c r="R681" s="194">
        <f ca="1">OFFSET('배치점수 계산기'!H$10,$D681,0)</f>
        <v>701.83</v>
      </c>
      <c r="S681" s="194">
        <f ca="1">OFFSET('배치점수 계산기'!I$10,$D681,0)</f>
        <v>699.5</v>
      </c>
      <c r="T681" s="194">
        <f ca="1">OFFSET('배치점수 계산기'!J$10,$D681,0)</f>
        <v>695.21</v>
      </c>
      <c r="U681" s="194">
        <f ca="1">OFFSET('배치점수 계산기'!K$10,$D681,0)</f>
        <v>692.10400000000004</v>
      </c>
      <c r="V681" s="194">
        <f ca="1">OFFSET('배치점수 계산기'!L$10,$D681,0)</f>
        <v>687.83600000000001</v>
      </c>
      <c r="W681" s="186" t="str">
        <f ca="1">OFFSET('배치점수 계산기'!M$10,$D681,0)</f>
        <v>표점</v>
      </c>
      <c r="X681" s="184" t="str">
        <f ca="1">OFFSET('배치점수 계산기'!N$10,$D681,0)</f>
        <v>표점</v>
      </c>
      <c r="Y681" s="188">
        <f ca="1">OFFSET(환산공식!FW$15,$F681,0)</f>
        <v>0.25</v>
      </c>
      <c r="Z681" s="20">
        <f ca="1">OFFSET(환산공식!FX$15,$F681,0)</f>
        <v>0.38</v>
      </c>
      <c r="AA681" s="179">
        <f ca="1">OFFSET(환산공식!FY$15,$F681,0)</f>
        <v>0.38</v>
      </c>
      <c r="AB681" s="3"/>
      <c r="AD681">
        <f t="shared" ca="1" si="22"/>
        <v>6</v>
      </c>
      <c r="AF681" s="3"/>
      <c r="AG681" s="3"/>
      <c r="AH681" s="3"/>
    </row>
    <row r="682" spans="1:34">
      <c r="A682" s="198"/>
      <c r="B682" s="198"/>
      <c r="C682" s="198" t="s">
        <v>1243</v>
      </c>
      <c r="D682" s="195">
        <v>737</v>
      </c>
      <c r="E682" s="195">
        <v>286</v>
      </c>
      <c r="F682" s="195">
        <v>286</v>
      </c>
      <c r="G682" s="239">
        <v>675</v>
      </c>
      <c r="H682" s="197" t="s">
        <v>72</v>
      </c>
      <c r="I682" s="242" t="s">
        <v>209</v>
      </c>
      <c r="J682" s="242" t="s">
        <v>8283</v>
      </c>
      <c r="K682" s="195" t="s">
        <v>70</v>
      </c>
      <c r="L682" s="20" t="str">
        <f ca="1">IF(OFFSET(환산공식!$ED$15,$F682,0)=1,"O","X")</f>
        <v>X</v>
      </c>
      <c r="M682" s="188">
        <f ca="1">IFERROR(OFFSET(환산공식!DJ$15,$F682,0),"")</f>
        <v>200</v>
      </c>
      <c r="N682" s="20" t="str">
        <f ca="1">IFERROR(CONCATENATE(ROUND(OFFSET(환산공식!DK$15,$F682,0),1),"%"),"")</f>
        <v>100%</v>
      </c>
      <c r="O682" s="20">
        <f ca="1">IFERROR(OFFSET(환산공식!DL$15,$F682,0),"")</f>
        <v>10</v>
      </c>
      <c r="P682" s="188" t="str">
        <f t="shared" ca="1" si="21"/>
        <v>3% 이하</v>
      </c>
      <c r="Q682" s="194">
        <f ca="1">IFERROR(ROUND(OFFSET(환산공식!$FG$15,$F682,0),3),"")</f>
        <v>0</v>
      </c>
      <c r="R682" s="194">
        <f ca="1">OFFSET('배치점수 계산기'!H$10,$D682,0)</f>
        <v>701.42</v>
      </c>
      <c r="S682" s="194">
        <f ca="1">OFFSET('배치점수 계산기'!I$10,$D682,0)</f>
        <v>699.15</v>
      </c>
      <c r="T682" s="194">
        <f ca="1">OFFSET('배치점수 계산기'!J$10,$D682,0)</f>
        <v>694.81600000000003</v>
      </c>
      <c r="U682" s="194">
        <f ca="1">OFFSET('배치점수 계산기'!K$10,$D682,0)</f>
        <v>691.87</v>
      </c>
      <c r="V682" s="194">
        <f ca="1">OFFSET('배치점수 계산기'!L$10,$D682,0)</f>
        <v>687.51</v>
      </c>
      <c r="W682" s="186" t="str">
        <f ca="1">OFFSET('배치점수 계산기'!M$10,$D682,0)</f>
        <v>표점</v>
      </c>
      <c r="X682" s="184" t="str">
        <f ca="1">OFFSET('배치점수 계산기'!N$10,$D682,0)</f>
        <v>표점</v>
      </c>
      <c r="Y682" s="188">
        <f ca="1">OFFSET(환산공식!FW$15,$F682,0)</f>
        <v>0.25</v>
      </c>
      <c r="Z682" s="20">
        <f ca="1">OFFSET(환산공식!FX$15,$F682,0)</f>
        <v>0.38</v>
      </c>
      <c r="AA682" s="179">
        <f ca="1">OFFSET(환산공식!FY$15,$F682,0)</f>
        <v>0.38</v>
      </c>
      <c r="AB682" s="3"/>
      <c r="AD682">
        <f t="shared" ca="1" si="22"/>
        <v>6</v>
      </c>
      <c r="AF682" s="3"/>
      <c r="AG682" s="3"/>
      <c r="AH682" s="3"/>
    </row>
    <row r="683" spans="1:34">
      <c r="A683" s="198"/>
      <c r="B683" s="198"/>
      <c r="C683" s="198" t="s">
        <v>1244</v>
      </c>
      <c r="D683" s="195">
        <v>738</v>
      </c>
      <c r="E683" s="195">
        <v>287</v>
      </c>
      <c r="F683" s="195">
        <v>287</v>
      </c>
      <c r="G683" s="239">
        <v>676</v>
      </c>
      <c r="H683" s="197" t="s">
        <v>72</v>
      </c>
      <c r="I683" s="242" t="s">
        <v>209</v>
      </c>
      <c r="J683" s="242" t="s">
        <v>10618</v>
      </c>
      <c r="K683" s="195" t="s">
        <v>70</v>
      </c>
      <c r="L683" s="20" t="str">
        <f ca="1">IF(OFFSET(환산공식!$ED$15,$F683,0)=1,"O","X")</f>
        <v>X</v>
      </c>
      <c r="M683" s="188">
        <f ca="1">IFERROR(OFFSET(환산공식!DJ$15,$F683,0),"")</f>
        <v>200</v>
      </c>
      <c r="N683" s="20" t="str">
        <f ca="1">IFERROR(CONCATENATE(ROUND(OFFSET(환산공식!DK$15,$F683,0),1),"%"),"")</f>
        <v>100%</v>
      </c>
      <c r="O683" s="20">
        <f ca="1">IFERROR(OFFSET(환산공식!DL$15,$F683,0),"")</f>
        <v>10</v>
      </c>
      <c r="P683" s="188" t="str">
        <f t="shared" ca="1" si="21"/>
        <v>3% 이하</v>
      </c>
      <c r="Q683" s="194">
        <f ca="1">IFERROR(ROUND(OFFSET(환산공식!$FG$15,$F683,0),3),"")</f>
        <v>0</v>
      </c>
      <c r="R683" s="194">
        <f ca="1">OFFSET('배치점수 계산기'!H$10,$D683,0)</f>
        <v>701.02</v>
      </c>
      <c r="S683" s="194">
        <f ca="1">OFFSET('배치점수 계산기'!I$10,$D683,0)</f>
        <v>698.64</v>
      </c>
      <c r="T683" s="194">
        <f ca="1">OFFSET('배치점수 계산기'!J$10,$D683,0)</f>
        <v>694.5</v>
      </c>
      <c r="U683" s="194">
        <f ca="1">OFFSET('배치점수 계산기'!K$10,$D683,0)</f>
        <v>691.57600000000002</v>
      </c>
      <c r="V683" s="194">
        <f ca="1">OFFSET('배치점수 계산기'!L$10,$D683,0)</f>
        <v>687.27599999999995</v>
      </c>
      <c r="W683" s="186" t="str">
        <f ca="1">OFFSET('배치점수 계산기'!M$10,$D683,0)</f>
        <v>표점</v>
      </c>
      <c r="X683" s="184" t="str">
        <f ca="1">OFFSET('배치점수 계산기'!N$10,$D683,0)</f>
        <v>표점</v>
      </c>
      <c r="Y683" s="188">
        <f ca="1">OFFSET(환산공식!FW$15,$F683,0)</f>
        <v>0.25</v>
      </c>
      <c r="Z683" s="20">
        <f ca="1">OFFSET(환산공식!FX$15,$F683,0)</f>
        <v>0.38</v>
      </c>
      <c r="AA683" s="179">
        <f ca="1">OFFSET(환산공식!FY$15,$F683,0)</f>
        <v>0.38</v>
      </c>
      <c r="AB683" s="3"/>
      <c r="AD683">
        <f t="shared" ca="1" si="22"/>
        <v>6</v>
      </c>
      <c r="AF683" s="3"/>
      <c r="AG683" s="3"/>
      <c r="AH683" s="3"/>
    </row>
    <row r="684" spans="1:34">
      <c r="A684" s="198"/>
      <c r="B684" s="198"/>
      <c r="C684" s="198" t="s">
        <v>1245</v>
      </c>
      <c r="D684" s="195">
        <v>739</v>
      </c>
      <c r="E684" s="195">
        <v>287</v>
      </c>
      <c r="F684" s="195">
        <v>287</v>
      </c>
      <c r="G684" s="239">
        <v>677</v>
      </c>
      <c r="H684" s="197" t="s">
        <v>72</v>
      </c>
      <c r="I684" s="242" t="s">
        <v>209</v>
      </c>
      <c r="J684" s="242" t="s">
        <v>10700</v>
      </c>
      <c r="K684" s="195" t="s">
        <v>70</v>
      </c>
      <c r="L684" s="20" t="str">
        <f ca="1">IF(OFFSET(환산공식!$ED$15,$F684,0)=1,"O","X")</f>
        <v>X</v>
      </c>
      <c r="M684" s="188">
        <f ca="1">IFERROR(OFFSET(환산공식!DJ$15,$F684,0),"")</f>
        <v>200</v>
      </c>
      <c r="N684" s="20" t="str">
        <f ca="1">IFERROR(CONCATENATE(ROUND(OFFSET(환산공식!DK$15,$F684,0),1),"%"),"")</f>
        <v>100%</v>
      </c>
      <c r="O684" s="20">
        <f ca="1">IFERROR(OFFSET(환산공식!DL$15,$F684,0),"")</f>
        <v>10</v>
      </c>
      <c r="P684" s="188" t="str">
        <f t="shared" ca="1" si="21"/>
        <v>3% 이하</v>
      </c>
      <c r="Q684" s="194">
        <f ca="1">IFERROR(ROUND(OFFSET(환산공식!$FG$15,$F684,0),3),"")</f>
        <v>0</v>
      </c>
      <c r="R684" s="194">
        <f ca="1">OFFSET('배치점수 계산기'!H$10,$D684,0)</f>
        <v>699.15</v>
      </c>
      <c r="S684" s="194">
        <f ca="1">OFFSET('배치점수 계산기'!I$10,$D684,0)</f>
        <v>696.62</v>
      </c>
      <c r="T684" s="194">
        <f ca="1">OFFSET('배치점수 계산기'!J$10,$D684,0)</f>
        <v>692.83</v>
      </c>
      <c r="U684" s="194">
        <f ca="1">OFFSET('배치점수 계산기'!K$10,$D684,0)</f>
        <v>689.99</v>
      </c>
      <c r="V684" s="194">
        <f ca="1">OFFSET('배치점수 계산기'!L$10,$D684,0)</f>
        <v>686.2</v>
      </c>
      <c r="W684" s="186" t="str">
        <f ca="1">OFFSET('배치점수 계산기'!M$10,$D684,0)</f>
        <v>표점</v>
      </c>
      <c r="X684" s="184" t="str">
        <f ca="1">OFFSET('배치점수 계산기'!N$10,$D684,0)</f>
        <v>표점</v>
      </c>
      <c r="Y684" s="188">
        <f ca="1">OFFSET(환산공식!FW$15,$F684,0)</f>
        <v>0.25</v>
      </c>
      <c r="Z684" s="20">
        <f ca="1">OFFSET(환산공식!FX$15,$F684,0)</f>
        <v>0.38</v>
      </c>
      <c r="AA684" s="179">
        <f ca="1">OFFSET(환산공식!FY$15,$F684,0)</f>
        <v>0.38</v>
      </c>
      <c r="AB684" s="3"/>
      <c r="AD684">
        <f t="shared" ca="1" si="22"/>
        <v>6</v>
      </c>
      <c r="AF684" s="3"/>
      <c r="AG684" s="3"/>
      <c r="AH684" s="3"/>
    </row>
    <row r="685" spans="1:34">
      <c r="A685" s="198"/>
      <c r="B685" s="198"/>
      <c r="C685" s="198" t="s">
        <v>1246</v>
      </c>
      <c r="D685" s="195">
        <v>740</v>
      </c>
      <c r="E685" s="195">
        <v>289</v>
      </c>
      <c r="F685" s="195">
        <v>289</v>
      </c>
      <c r="G685" s="239">
        <v>678</v>
      </c>
      <c r="H685" s="197" t="s">
        <v>72</v>
      </c>
      <c r="I685" s="242" t="s">
        <v>209</v>
      </c>
      <c r="J685" s="242" t="s">
        <v>8640</v>
      </c>
      <c r="K685" s="195" t="s">
        <v>70</v>
      </c>
      <c r="L685" s="20" t="str">
        <f ca="1">IF(OFFSET(환산공식!$ED$15,$F685,0)=1,"O","X")</f>
        <v>X</v>
      </c>
      <c r="M685" s="188">
        <f ca="1">IFERROR(OFFSET(환산공식!DJ$15,$F685,0),"")</f>
        <v>200</v>
      </c>
      <c r="N685" s="20" t="str">
        <f ca="1">IFERROR(CONCATENATE(ROUND(OFFSET(환산공식!DK$15,$F685,0),1),"%"),"")</f>
        <v>100%</v>
      </c>
      <c r="O685" s="20">
        <f ca="1">IFERROR(OFFSET(환산공식!DL$15,$F685,0),"")</f>
        <v>10</v>
      </c>
      <c r="P685" s="188" t="str">
        <f t="shared" ca="1" si="21"/>
        <v>3% 이하</v>
      </c>
      <c r="Q685" s="194">
        <f ca="1">IFERROR(ROUND(OFFSET(환산공식!$FG$15,$F685,0),3),"")</f>
        <v>0</v>
      </c>
      <c r="R685" s="194">
        <f ca="1">OFFSET('배치점수 계산기'!H$10,$D685,0)</f>
        <v>699</v>
      </c>
      <c r="S685" s="194">
        <f ca="1">OFFSET('배치점수 계산기'!I$10,$D685,0)</f>
        <v>695.86</v>
      </c>
      <c r="T685" s="194">
        <f ca="1">OFFSET('배치점수 계산기'!J$10,$D685,0)</f>
        <v>692.22</v>
      </c>
      <c r="U685" s="194">
        <f ca="1">OFFSET('배치점수 계산기'!K$10,$D685,0)</f>
        <v>689.41399999999999</v>
      </c>
      <c r="V685" s="194">
        <f ca="1">OFFSET('배치점수 계산기'!L$10,$D685,0)</f>
        <v>685.49</v>
      </c>
      <c r="W685" s="186" t="str">
        <f ca="1">OFFSET('배치점수 계산기'!M$10,$D685,0)</f>
        <v>표점</v>
      </c>
      <c r="X685" s="184" t="str">
        <f ca="1">OFFSET('배치점수 계산기'!N$10,$D685,0)</f>
        <v>표점</v>
      </c>
      <c r="Y685" s="188">
        <f ca="1">OFFSET(환산공식!FW$15,$F685,0)</f>
        <v>0.25</v>
      </c>
      <c r="Z685" s="20">
        <f ca="1">OFFSET(환산공식!FX$15,$F685,0)</f>
        <v>0.38</v>
      </c>
      <c r="AA685" s="179">
        <f ca="1">OFFSET(환산공식!FY$15,$F685,0)</f>
        <v>0.38</v>
      </c>
      <c r="AB685" s="3"/>
      <c r="AD685">
        <f t="shared" ca="1" si="22"/>
        <v>6</v>
      </c>
      <c r="AF685" s="3"/>
      <c r="AG685" s="3"/>
      <c r="AH685" s="3"/>
    </row>
    <row r="686" spans="1:34">
      <c r="A686" s="198"/>
      <c r="B686" s="198"/>
      <c r="C686" s="198" t="s">
        <v>1247</v>
      </c>
      <c r="D686" s="195">
        <v>741</v>
      </c>
      <c r="E686" s="195">
        <v>287</v>
      </c>
      <c r="F686" s="195">
        <v>287</v>
      </c>
      <c r="G686" s="239">
        <v>679</v>
      </c>
      <c r="H686" s="197" t="s">
        <v>72</v>
      </c>
      <c r="I686" s="242" t="s">
        <v>209</v>
      </c>
      <c r="J686" s="242" t="s">
        <v>8633</v>
      </c>
      <c r="K686" s="195" t="s">
        <v>70</v>
      </c>
      <c r="L686" s="20" t="str">
        <f ca="1">IF(OFFSET(환산공식!$ED$15,$F686,0)=1,"O","X")</f>
        <v>X</v>
      </c>
      <c r="M686" s="188">
        <f ca="1">IFERROR(OFFSET(환산공식!DJ$15,$F686,0),"")</f>
        <v>200</v>
      </c>
      <c r="N686" s="20" t="str">
        <f ca="1">IFERROR(CONCATENATE(ROUND(OFFSET(환산공식!DK$15,$F686,0),1),"%"),"")</f>
        <v>100%</v>
      </c>
      <c r="O686" s="20">
        <f ca="1">IFERROR(OFFSET(환산공식!DL$15,$F686,0),"")</f>
        <v>10</v>
      </c>
      <c r="P686" s="188" t="str">
        <f t="shared" ca="1" si="21"/>
        <v>3% 이하</v>
      </c>
      <c r="Q686" s="194">
        <f ca="1">IFERROR(ROUND(OFFSET(환산공식!$FG$15,$F686,0),3),"")</f>
        <v>0</v>
      </c>
      <c r="R686" s="194">
        <f ca="1">OFFSET('배치점수 계산기'!H$10,$D686,0)</f>
        <v>697.596</v>
      </c>
      <c r="S686" s="194">
        <f ca="1">OFFSET('배치점수 계산기'!I$10,$D686,0)</f>
        <v>694.91600000000005</v>
      </c>
      <c r="T686" s="194">
        <f ca="1">OFFSET('배치점수 계산기'!J$10,$D686,0)</f>
        <v>692.00400000000002</v>
      </c>
      <c r="U686" s="194">
        <f ca="1">OFFSET('배치점수 계산기'!K$10,$D686,0)</f>
        <v>689.18</v>
      </c>
      <c r="V686" s="194">
        <f ca="1">OFFSET('배치점수 계산기'!L$10,$D686,0)</f>
        <v>685.34</v>
      </c>
      <c r="W686" s="186" t="str">
        <f ca="1">OFFSET('배치점수 계산기'!M$10,$D686,0)</f>
        <v>표점</v>
      </c>
      <c r="X686" s="184" t="str">
        <f ca="1">OFFSET('배치점수 계산기'!N$10,$D686,0)</f>
        <v>표점</v>
      </c>
      <c r="Y686" s="188">
        <f ca="1">OFFSET(환산공식!FW$15,$F686,0)</f>
        <v>0.25</v>
      </c>
      <c r="Z686" s="20">
        <f ca="1">OFFSET(환산공식!FX$15,$F686,0)</f>
        <v>0.38</v>
      </c>
      <c r="AA686" s="179">
        <f ca="1">OFFSET(환산공식!FY$15,$F686,0)</f>
        <v>0.38</v>
      </c>
      <c r="AB686" s="3"/>
      <c r="AD686">
        <f t="shared" ca="1" si="22"/>
        <v>6</v>
      </c>
      <c r="AF686" s="3"/>
      <c r="AG686" s="3"/>
      <c r="AH686" s="3"/>
    </row>
    <row r="687" spans="1:34">
      <c r="A687" s="198"/>
      <c r="B687" s="198"/>
      <c r="C687" s="198" t="s">
        <v>1248</v>
      </c>
      <c r="D687" s="195">
        <v>742</v>
      </c>
      <c r="E687" s="195">
        <v>287</v>
      </c>
      <c r="F687" s="195">
        <v>287</v>
      </c>
      <c r="G687" s="239">
        <v>680</v>
      </c>
      <c r="H687" s="197" t="s">
        <v>72</v>
      </c>
      <c r="I687" s="242" t="s">
        <v>209</v>
      </c>
      <c r="J687" s="242" t="s">
        <v>11074</v>
      </c>
      <c r="K687" s="195" t="s">
        <v>70</v>
      </c>
      <c r="L687" s="20" t="str">
        <f ca="1">IF(OFFSET(환산공식!$ED$15,$F687,0)=1,"O","X")</f>
        <v>X</v>
      </c>
      <c r="M687" s="188">
        <f ca="1">IFERROR(OFFSET(환산공식!DJ$15,$F687,0),"")</f>
        <v>200</v>
      </c>
      <c r="N687" s="20" t="str">
        <f ca="1">IFERROR(CONCATENATE(ROUND(OFFSET(환산공식!DK$15,$F687,0),1),"%"),"")</f>
        <v>100%</v>
      </c>
      <c r="O687" s="20">
        <f ca="1">IFERROR(OFFSET(환산공식!DL$15,$F687,0),"")</f>
        <v>10</v>
      </c>
      <c r="P687" s="188" t="str">
        <f t="shared" ca="1" si="21"/>
        <v>3% 이하</v>
      </c>
      <c r="Q687" s="194">
        <f ca="1">IFERROR(ROUND(OFFSET(환산공식!$FG$15,$F687,0),3),"")</f>
        <v>0</v>
      </c>
      <c r="R687" s="194">
        <f ca="1">OFFSET('배치점수 계산기'!H$10,$D687,0)</f>
        <v>692.83</v>
      </c>
      <c r="S687" s="194">
        <f ca="1">OFFSET('배치점수 계산기'!I$10,$D687,0)</f>
        <v>691.87</v>
      </c>
      <c r="T687" s="194">
        <f ca="1">OFFSET('배치점수 계산기'!J$10,$D687,0)</f>
        <v>689.75599999999997</v>
      </c>
      <c r="U687" s="194">
        <f ca="1">OFFSET('배치점수 계산기'!K$10,$D687,0)</f>
        <v>688.32</v>
      </c>
      <c r="V687" s="194">
        <f ca="1">OFFSET('배치점수 계산기'!L$10,$D687,0)</f>
        <v>686.91</v>
      </c>
      <c r="W687" s="186" t="str">
        <f ca="1">OFFSET('배치점수 계산기'!M$10,$D687,0)</f>
        <v>표점</v>
      </c>
      <c r="X687" s="184" t="str">
        <f ca="1">OFFSET('배치점수 계산기'!N$10,$D687,0)</f>
        <v>표점</v>
      </c>
      <c r="Y687" s="188">
        <f ca="1">OFFSET(환산공식!FW$15,$F687,0)</f>
        <v>0.25</v>
      </c>
      <c r="Z687" s="20">
        <f ca="1">OFFSET(환산공식!FX$15,$F687,0)</f>
        <v>0.38</v>
      </c>
      <c r="AA687" s="179">
        <f ca="1">OFFSET(환산공식!FY$15,$F687,0)</f>
        <v>0.38</v>
      </c>
      <c r="AB687" s="3"/>
      <c r="AD687">
        <f t="shared" ca="1" si="22"/>
        <v>6</v>
      </c>
      <c r="AF687" s="3"/>
      <c r="AG687" s="3"/>
      <c r="AH687" s="3"/>
    </row>
    <row r="688" spans="1:34">
      <c r="A688" s="198"/>
      <c r="B688" s="198"/>
      <c r="C688" s="198" t="s">
        <v>1249</v>
      </c>
      <c r="D688" s="195">
        <v>743</v>
      </c>
      <c r="E688" s="195">
        <v>288</v>
      </c>
      <c r="F688" s="195">
        <v>288</v>
      </c>
      <c r="G688" s="239">
        <v>681</v>
      </c>
      <c r="H688" s="197" t="s">
        <v>72</v>
      </c>
      <c r="I688" s="242" t="s">
        <v>209</v>
      </c>
      <c r="J688" s="242" t="s">
        <v>8011</v>
      </c>
      <c r="K688" s="195" t="s">
        <v>70</v>
      </c>
      <c r="L688" s="20" t="str">
        <f ca="1">IF(OFFSET(환산공식!$ED$15,$F688,0)=1,"O","X")</f>
        <v>X</v>
      </c>
      <c r="M688" s="188">
        <f ca="1">IFERROR(OFFSET(환산공식!DJ$15,$F688,0),"")</f>
        <v>200</v>
      </c>
      <c r="N688" s="20" t="str">
        <f ca="1">IFERROR(CONCATENATE(ROUND(OFFSET(환산공식!DK$15,$F688,0),1),"%"),"")</f>
        <v>100%</v>
      </c>
      <c r="O688" s="20">
        <f ca="1">IFERROR(OFFSET(환산공식!DL$15,$F688,0),"")</f>
        <v>10</v>
      </c>
      <c r="P688" s="188" t="str">
        <f t="shared" ca="1" si="21"/>
        <v>3% 이하</v>
      </c>
      <c r="Q688" s="194">
        <f ca="1">IFERROR(ROUND(OFFSET(환산공식!$FG$15,$F688,0),3),"")</f>
        <v>0</v>
      </c>
      <c r="R688" s="194">
        <f ca="1">OFFSET('배치점수 계산기'!H$10,$D688,0)</f>
        <v>699.27099999999996</v>
      </c>
      <c r="S688" s="194">
        <f ca="1">OFFSET('배치점수 계산기'!I$10,$D688,0)</f>
        <v>697.745</v>
      </c>
      <c r="T688" s="194">
        <f ca="1">OFFSET('배치점수 계산기'!J$10,$D688,0)</f>
        <v>695.28399999999999</v>
      </c>
      <c r="U688" s="194">
        <f ca="1">OFFSET('배치점수 계산기'!K$10,$D688,0)</f>
        <v>692.89</v>
      </c>
      <c r="V688" s="194">
        <f ca="1">OFFSET('배치점수 계산기'!L$10,$D688,0)</f>
        <v>688.89599999999996</v>
      </c>
      <c r="W688" s="186" t="str">
        <f ca="1">OFFSET('배치점수 계산기'!M$10,$D688,0)</f>
        <v>표점</v>
      </c>
      <c r="X688" s="184" t="str">
        <f ca="1">OFFSET('배치점수 계산기'!N$10,$D688,0)</f>
        <v>표점</v>
      </c>
      <c r="Y688" s="188">
        <f ca="1">OFFSET(환산공식!FW$15,$F688,0)</f>
        <v>0.25</v>
      </c>
      <c r="Z688" s="20">
        <f ca="1">OFFSET(환산공식!FX$15,$F688,0)</f>
        <v>0.38</v>
      </c>
      <c r="AA688" s="179">
        <f ca="1">OFFSET(환산공식!FY$15,$F688,0)</f>
        <v>0.38</v>
      </c>
      <c r="AB688" s="3"/>
      <c r="AD688">
        <f t="shared" ca="1" si="22"/>
        <v>6</v>
      </c>
      <c r="AF688" s="3"/>
      <c r="AG688" s="3"/>
      <c r="AH688" s="3"/>
    </row>
    <row r="689" spans="1:34">
      <c r="A689" s="198"/>
      <c r="B689" s="198"/>
      <c r="C689" s="198" t="s">
        <v>1250</v>
      </c>
      <c r="D689" s="195">
        <v>744</v>
      </c>
      <c r="E689" s="195">
        <v>287</v>
      </c>
      <c r="F689" s="195">
        <v>287</v>
      </c>
      <c r="G689" s="239">
        <v>682</v>
      </c>
      <c r="H689" s="197" t="s">
        <v>72</v>
      </c>
      <c r="I689" s="242" t="s">
        <v>209</v>
      </c>
      <c r="J689" s="242" t="s">
        <v>8744</v>
      </c>
      <c r="K689" s="195" t="s">
        <v>70</v>
      </c>
      <c r="L689" s="20" t="str">
        <f ca="1">IF(OFFSET(환산공식!$ED$15,$F689,0)=1,"O","X")</f>
        <v>X</v>
      </c>
      <c r="M689" s="188">
        <f ca="1">IFERROR(OFFSET(환산공식!DJ$15,$F689,0),"")</f>
        <v>200</v>
      </c>
      <c r="N689" s="20" t="str">
        <f ca="1">IFERROR(CONCATENATE(ROUND(OFFSET(환산공식!DK$15,$F689,0),1),"%"),"")</f>
        <v>100%</v>
      </c>
      <c r="O689" s="20">
        <f ca="1">IFERROR(OFFSET(환산공식!DL$15,$F689,0),"")</f>
        <v>10</v>
      </c>
      <c r="P689" s="188" t="str">
        <f t="shared" ca="1" si="21"/>
        <v>3% 이하</v>
      </c>
      <c r="Q689" s="194">
        <f ca="1">IFERROR(ROUND(OFFSET(환산공식!$FG$15,$F689,0),3),"")</f>
        <v>0</v>
      </c>
      <c r="R689" s="194">
        <f ca="1">OFFSET('배치점수 계산기'!H$10,$D689,0)</f>
        <v>689.89</v>
      </c>
      <c r="S689" s="194">
        <f ca="1">OFFSET('배치점수 계산기'!I$10,$D689,0)</f>
        <v>688.47</v>
      </c>
      <c r="T689" s="194">
        <f ca="1">OFFSET('배치점수 계산기'!J$10,$D689,0)</f>
        <v>685.75599999999997</v>
      </c>
      <c r="U689" s="194">
        <f ca="1">OFFSET('배치점수 계산기'!K$10,$D689,0)</f>
        <v>683.32</v>
      </c>
      <c r="V689" s="194">
        <f ca="1">OFFSET('배치점수 계산기'!L$10,$D689,0)</f>
        <v>679.39599999999996</v>
      </c>
      <c r="W689" s="186" t="str">
        <f ca="1">OFFSET('배치점수 계산기'!M$10,$D689,0)</f>
        <v>표점</v>
      </c>
      <c r="X689" s="184" t="str">
        <f ca="1">OFFSET('배치점수 계산기'!N$10,$D689,0)</f>
        <v>표점</v>
      </c>
      <c r="Y689" s="188">
        <f ca="1">OFFSET(환산공식!FW$15,$F689,0)</f>
        <v>0.25</v>
      </c>
      <c r="Z689" s="20">
        <f ca="1">OFFSET(환산공식!FX$15,$F689,0)</f>
        <v>0.38</v>
      </c>
      <c r="AA689" s="179">
        <f ca="1">OFFSET(환산공식!FY$15,$F689,0)</f>
        <v>0.38</v>
      </c>
      <c r="AB689" s="3"/>
      <c r="AD689">
        <f t="shared" ca="1" si="22"/>
        <v>6</v>
      </c>
      <c r="AF689" s="3"/>
      <c r="AG689" s="3"/>
      <c r="AH689" s="3"/>
    </row>
    <row r="690" spans="1:34">
      <c r="A690" s="198"/>
      <c r="B690" s="198"/>
      <c r="C690" s="198" t="s">
        <v>1251</v>
      </c>
      <c r="D690" s="195">
        <v>745</v>
      </c>
      <c r="E690" s="195">
        <v>287</v>
      </c>
      <c r="F690" s="195">
        <v>287</v>
      </c>
      <c r="G690" s="239">
        <v>683</v>
      </c>
      <c r="H690" s="197" t="s">
        <v>72</v>
      </c>
      <c r="I690" s="242" t="s">
        <v>209</v>
      </c>
      <c r="J690" s="242" t="s">
        <v>11423</v>
      </c>
      <c r="K690" s="195" t="s">
        <v>70</v>
      </c>
      <c r="L690" s="20" t="str">
        <f ca="1">IF(OFFSET(환산공식!$ED$15,$F690,0)=1,"O","X")</f>
        <v>X</v>
      </c>
      <c r="M690" s="188">
        <f ca="1">IFERROR(OFFSET(환산공식!DJ$15,$F690,0),"")</f>
        <v>200</v>
      </c>
      <c r="N690" s="20" t="str">
        <f ca="1">IFERROR(CONCATENATE(ROUND(OFFSET(환산공식!DK$15,$F690,0),1),"%"),"")</f>
        <v>100%</v>
      </c>
      <c r="O690" s="20">
        <f ca="1">IFERROR(OFFSET(환산공식!DL$15,$F690,0),"")</f>
        <v>10</v>
      </c>
      <c r="P690" s="188" t="str">
        <f t="shared" ca="1" si="21"/>
        <v>3% 이하</v>
      </c>
      <c r="Q690" s="194">
        <f ca="1">IFERROR(ROUND(OFFSET(환산공식!$FG$15,$F690,0),3),"")</f>
        <v>0</v>
      </c>
      <c r="R690" s="194">
        <f ca="1">OFFSET('배치점수 계산기'!H$10,$D690,0)</f>
        <v>689.89</v>
      </c>
      <c r="S690" s="194">
        <f ca="1">OFFSET('배치점수 계산기'!I$10,$D690,0)</f>
        <v>688.20399999999995</v>
      </c>
      <c r="T690" s="194">
        <f ca="1">OFFSET('배치점수 계산기'!J$10,$D690,0)</f>
        <v>685.49</v>
      </c>
      <c r="U690" s="194">
        <f ca="1">OFFSET('배치점수 계산기'!K$10,$D690,0)</f>
        <v>683.08600000000001</v>
      </c>
      <c r="V690" s="194">
        <f ca="1">OFFSET('배치점수 계산기'!L$10,$D690,0)</f>
        <v>679.11400000000003</v>
      </c>
      <c r="W690" s="186" t="str">
        <f ca="1">OFFSET('배치점수 계산기'!M$10,$D690,0)</f>
        <v>표점</v>
      </c>
      <c r="X690" s="184" t="str">
        <f ca="1">OFFSET('배치점수 계산기'!N$10,$D690,0)</f>
        <v>표점</v>
      </c>
      <c r="Y690" s="188">
        <f ca="1">OFFSET(환산공식!FW$15,$F690,0)</f>
        <v>0.25</v>
      </c>
      <c r="Z690" s="20">
        <f ca="1">OFFSET(환산공식!FX$15,$F690,0)</f>
        <v>0.38</v>
      </c>
      <c r="AA690" s="179">
        <f ca="1">OFFSET(환산공식!FY$15,$F690,0)</f>
        <v>0.38</v>
      </c>
      <c r="AB690" s="3"/>
      <c r="AD690">
        <f t="shared" ca="1" si="22"/>
        <v>6</v>
      </c>
      <c r="AF690" s="3"/>
      <c r="AG690" s="3"/>
      <c r="AH690" s="3"/>
    </row>
    <row r="691" spans="1:34">
      <c r="A691" s="198"/>
      <c r="B691" s="198"/>
      <c r="C691" s="198" t="s">
        <v>1252</v>
      </c>
      <c r="D691" s="195">
        <v>746</v>
      </c>
      <c r="E691" s="195">
        <v>287</v>
      </c>
      <c r="F691" s="195">
        <v>287</v>
      </c>
      <c r="G691" s="239">
        <v>684</v>
      </c>
      <c r="H691" s="197" t="s">
        <v>72</v>
      </c>
      <c r="I691" s="242" t="s">
        <v>209</v>
      </c>
      <c r="J691" s="242" t="s">
        <v>11452</v>
      </c>
      <c r="K691" s="195" t="s">
        <v>70</v>
      </c>
      <c r="L691" s="20" t="str">
        <f ca="1">IF(OFFSET(환산공식!$ED$15,$F691,0)=1,"O","X")</f>
        <v>X</v>
      </c>
      <c r="M691" s="188">
        <f ca="1">IFERROR(OFFSET(환산공식!DJ$15,$F691,0),"")</f>
        <v>200</v>
      </c>
      <c r="N691" s="20" t="str">
        <f ca="1">IFERROR(CONCATENATE(ROUND(OFFSET(환산공식!DK$15,$F691,0),1),"%"),"")</f>
        <v>100%</v>
      </c>
      <c r="O691" s="20">
        <f ca="1">IFERROR(OFFSET(환산공식!DL$15,$F691,0),"")</f>
        <v>10</v>
      </c>
      <c r="P691" s="188" t="str">
        <f t="shared" ca="1" si="21"/>
        <v>3% 이하</v>
      </c>
      <c r="Q691" s="194">
        <f ca="1">IFERROR(ROUND(OFFSET(환산공식!$FG$15,$F691,0),3),"")</f>
        <v>0</v>
      </c>
      <c r="R691" s="194">
        <f ca="1">OFFSET('배치점수 계산기'!H$10,$D691,0)</f>
        <v>689.75599999999997</v>
      </c>
      <c r="S691" s="194">
        <f ca="1">OFFSET('배치점수 계산기'!I$10,$D691,0)</f>
        <v>687.97</v>
      </c>
      <c r="T691" s="194">
        <f ca="1">OFFSET('배치점수 계산기'!J$10,$D691,0)</f>
        <v>685.34</v>
      </c>
      <c r="U691" s="194">
        <f ca="1">OFFSET('배치점수 계산기'!K$10,$D691,0)</f>
        <v>682.84400000000005</v>
      </c>
      <c r="V691" s="194">
        <f ca="1">OFFSET('배치점수 계산기'!L$10,$D691,0)</f>
        <v>678.98</v>
      </c>
      <c r="W691" s="186" t="str">
        <f ca="1">OFFSET('배치점수 계산기'!M$10,$D691,0)</f>
        <v>표점</v>
      </c>
      <c r="X691" s="184" t="str">
        <f ca="1">OFFSET('배치점수 계산기'!N$10,$D691,0)</f>
        <v>표점</v>
      </c>
      <c r="Y691" s="188">
        <f ca="1">OFFSET(환산공식!FW$15,$F691,0)</f>
        <v>0.25</v>
      </c>
      <c r="Z691" s="20">
        <f ca="1">OFFSET(환산공식!FX$15,$F691,0)</f>
        <v>0.38</v>
      </c>
      <c r="AA691" s="179">
        <f ca="1">OFFSET(환산공식!FY$15,$F691,0)</f>
        <v>0.38</v>
      </c>
      <c r="AB691" s="3"/>
      <c r="AD691">
        <f t="shared" ca="1" si="22"/>
        <v>6</v>
      </c>
      <c r="AF691" s="3"/>
      <c r="AG691" s="3"/>
      <c r="AH691" s="3"/>
    </row>
    <row r="692" spans="1:34">
      <c r="A692" s="198"/>
      <c r="B692" s="198"/>
      <c r="C692" s="198" t="s">
        <v>1253</v>
      </c>
      <c r="D692" s="195">
        <v>747</v>
      </c>
      <c r="E692" s="195">
        <v>288</v>
      </c>
      <c r="F692" s="195">
        <v>288</v>
      </c>
      <c r="G692" s="239">
        <v>685</v>
      </c>
      <c r="H692" s="197" t="s">
        <v>72</v>
      </c>
      <c r="I692" s="242" t="s">
        <v>209</v>
      </c>
      <c r="J692" s="242" t="s">
        <v>7910</v>
      </c>
      <c r="K692" s="195" t="s">
        <v>70</v>
      </c>
      <c r="L692" s="20" t="str">
        <f ca="1">IF(OFFSET(환산공식!$ED$15,$F692,0)=1,"O","X")</f>
        <v>X</v>
      </c>
      <c r="M692" s="188">
        <f ca="1">IFERROR(OFFSET(환산공식!DJ$15,$F692,0),"")</f>
        <v>200</v>
      </c>
      <c r="N692" s="20" t="str">
        <f ca="1">IFERROR(CONCATENATE(ROUND(OFFSET(환산공식!DK$15,$F692,0),1),"%"),"")</f>
        <v>100%</v>
      </c>
      <c r="O692" s="20">
        <f ca="1">IFERROR(OFFSET(환산공식!DL$15,$F692,0),"")</f>
        <v>10</v>
      </c>
      <c r="P692" s="188" t="str">
        <f t="shared" ca="1" si="21"/>
        <v>3% 이하</v>
      </c>
      <c r="Q692" s="194">
        <f ca="1">IFERROR(ROUND(OFFSET(환산공식!$FG$15,$F692,0),3),"")</f>
        <v>0</v>
      </c>
      <c r="R692" s="194">
        <f ca="1">OFFSET('배치점수 계산기'!H$10,$D692,0)</f>
        <v>697.17700000000002</v>
      </c>
      <c r="S692" s="194">
        <f ca="1">OFFSET('배치점수 계산기'!I$10,$D692,0)</f>
        <v>695.73699999999997</v>
      </c>
      <c r="T692" s="194">
        <f ca="1">OFFSET('배치점수 계산기'!J$10,$D692,0)</f>
        <v>693.30499999999995</v>
      </c>
      <c r="U692" s="194">
        <f ca="1">OFFSET('배치점수 계산기'!K$10,$D692,0)</f>
        <v>690.78899999999999</v>
      </c>
      <c r="V692" s="194">
        <f ca="1">OFFSET('배치점수 계산기'!L$10,$D692,0)</f>
        <v>686.75900000000001</v>
      </c>
      <c r="W692" s="186" t="str">
        <f ca="1">OFFSET('배치점수 계산기'!M$10,$D692,0)</f>
        <v>표점</v>
      </c>
      <c r="X692" s="184" t="str">
        <f ca="1">OFFSET('배치점수 계산기'!N$10,$D692,0)</f>
        <v>표점</v>
      </c>
      <c r="Y692" s="188">
        <f ca="1">OFFSET(환산공식!FW$15,$F692,0)</f>
        <v>0.25</v>
      </c>
      <c r="Z692" s="20">
        <f ca="1">OFFSET(환산공식!FX$15,$F692,0)</f>
        <v>0.38</v>
      </c>
      <c r="AA692" s="179">
        <f ca="1">OFFSET(환산공식!FY$15,$F692,0)</f>
        <v>0.38</v>
      </c>
      <c r="AB692" s="3"/>
      <c r="AD692">
        <f t="shared" ca="1" si="22"/>
        <v>6</v>
      </c>
      <c r="AF692" s="3"/>
      <c r="AG692" s="3"/>
      <c r="AH692" s="3"/>
    </row>
    <row r="693" spans="1:34">
      <c r="A693" s="198"/>
      <c r="B693" s="198"/>
      <c r="C693" s="198" t="s">
        <v>1254</v>
      </c>
      <c r="D693" s="195">
        <v>748</v>
      </c>
      <c r="E693" s="195">
        <v>287</v>
      </c>
      <c r="F693" s="195">
        <v>287</v>
      </c>
      <c r="G693" s="239">
        <v>686</v>
      </c>
      <c r="H693" s="197" t="s">
        <v>72</v>
      </c>
      <c r="I693" s="242" t="s">
        <v>209</v>
      </c>
      <c r="J693" s="242" t="s">
        <v>11627</v>
      </c>
      <c r="K693" s="195" t="s">
        <v>70</v>
      </c>
      <c r="L693" s="20" t="str">
        <f ca="1">IF(OFFSET(환산공식!$ED$15,$F693,0)=1,"O","X")</f>
        <v>X</v>
      </c>
      <c r="M693" s="188">
        <f ca="1">IFERROR(OFFSET(환산공식!DJ$15,$F693,0),"")</f>
        <v>200</v>
      </c>
      <c r="N693" s="20" t="str">
        <f ca="1">IFERROR(CONCATENATE(ROUND(OFFSET(환산공식!DK$15,$F693,0),1),"%"),"")</f>
        <v>100%</v>
      </c>
      <c r="O693" s="20">
        <f ca="1">IFERROR(OFFSET(환산공식!DL$15,$F693,0),"")</f>
        <v>10</v>
      </c>
      <c r="P693" s="188" t="str">
        <f t="shared" ca="1" si="21"/>
        <v>3% 이하</v>
      </c>
      <c r="Q693" s="194">
        <f ca="1">IFERROR(ROUND(OFFSET(환산공식!$FG$15,$F693,0),3),"")</f>
        <v>0</v>
      </c>
      <c r="R693" s="194">
        <f ca="1">OFFSET('배치점수 계산기'!H$10,$D693,0)</f>
        <v>687.16</v>
      </c>
      <c r="S693" s="194">
        <f ca="1">OFFSET('배치점수 계산기'!I$10,$D693,0)</f>
        <v>685.49</v>
      </c>
      <c r="T693" s="194">
        <f ca="1">OFFSET('배치점수 계산기'!J$10,$D693,0)</f>
        <v>682.71</v>
      </c>
      <c r="U693" s="194">
        <f ca="1">OFFSET('배치점수 계산기'!K$10,$D693,0)</f>
        <v>680.37400000000002</v>
      </c>
      <c r="V693" s="194">
        <f ca="1">OFFSET('배치점수 계산기'!L$10,$D693,0)</f>
        <v>676.4</v>
      </c>
      <c r="W693" s="186" t="str">
        <f ca="1">OFFSET('배치점수 계산기'!M$10,$D693,0)</f>
        <v>표점</v>
      </c>
      <c r="X693" s="184" t="str">
        <f ca="1">OFFSET('배치점수 계산기'!N$10,$D693,0)</f>
        <v>표점</v>
      </c>
      <c r="Y693" s="188">
        <f ca="1">OFFSET(환산공식!FW$15,$F693,0)</f>
        <v>0.25</v>
      </c>
      <c r="Z693" s="20">
        <f ca="1">OFFSET(환산공식!FX$15,$F693,0)</f>
        <v>0.38</v>
      </c>
      <c r="AA693" s="179">
        <f ca="1">OFFSET(환산공식!FY$15,$F693,0)</f>
        <v>0.38</v>
      </c>
      <c r="AB693" s="3"/>
      <c r="AD693">
        <f t="shared" ca="1" si="22"/>
        <v>6</v>
      </c>
      <c r="AF693" s="3"/>
      <c r="AG693" s="3"/>
      <c r="AH693" s="3"/>
    </row>
    <row r="694" spans="1:34">
      <c r="A694" s="198"/>
      <c r="B694" s="198"/>
      <c r="C694" s="198" t="s">
        <v>1255</v>
      </c>
      <c r="D694" s="195">
        <v>749</v>
      </c>
      <c r="E694" s="195">
        <v>287</v>
      </c>
      <c r="F694" s="195">
        <v>287</v>
      </c>
      <c r="G694" s="239">
        <v>687</v>
      </c>
      <c r="H694" s="197" t="s">
        <v>72</v>
      </c>
      <c r="I694" s="242" t="s">
        <v>209</v>
      </c>
      <c r="J694" s="242" t="s">
        <v>8026</v>
      </c>
      <c r="K694" s="195" t="s">
        <v>70</v>
      </c>
      <c r="L694" s="20" t="str">
        <f ca="1">IF(OFFSET(환산공식!$ED$15,$F694,0)=1,"O","X")</f>
        <v>X</v>
      </c>
      <c r="M694" s="188">
        <f ca="1">IFERROR(OFFSET(환산공식!DJ$15,$F694,0),"")</f>
        <v>200</v>
      </c>
      <c r="N694" s="20" t="str">
        <f ca="1">IFERROR(CONCATENATE(ROUND(OFFSET(환산공식!DK$15,$F694,0),1),"%"),"")</f>
        <v>100%</v>
      </c>
      <c r="O694" s="20">
        <f ca="1">IFERROR(OFFSET(환산공식!DL$15,$F694,0),"")</f>
        <v>10</v>
      </c>
      <c r="P694" s="188" t="str">
        <f t="shared" ca="1" si="21"/>
        <v>3% 이하</v>
      </c>
      <c r="Q694" s="194">
        <f ca="1">IFERROR(ROUND(OFFSET(환산공식!$FG$15,$F694,0),3),"")</f>
        <v>0</v>
      </c>
      <c r="R694" s="194">
        <f ca="1">OFFSET('배치점수 계산기'!H$10,$D694,0)</f>
        <v>685.65599999999995</v>
      </c>
      <c r="S694" s="194">
        <f ca="1">OFFSET('배치점수 계산기'!I$10,$D694,0)</f>
        <v>684.14599999999996</v>
      </c>
      <c r="T694" s="194">
        <f ca="1">OFFSET('배치점수 계산기'!J$10,$D694,0)</f>
        <v>681.76599999999996</v>
      </c>
      <c r="U694" s="194">
        <f ca="1">OFFSET('배치점수 계산기'!K$10,$D694,0)</f>
        <v>679.24599999999998</v>
      </c>
      <c r="V694" s="194">
        <f ca="1">OFFSET('배치점수 계산기'!L$10,$D694,0)</f>
        <v>675.44</v>
      </c>
      <c r="W694" s="186" t="str">
        <f ca="1">OFFSET('배치점수 계산기'!M$10,$D694,0)</f>
        <v>표점</v>
      </c>
      <c r="X694" s="184" t="str">
        <f ca="1">OFFSET('배치점수 계산기'!N$10,$D694,0)</f>
        <v>표점</v>
      </c>
      <c r="Y694" s="188">
        <f ca="1">OFFSET(환산공식!FW$15,$F694,0)</f>
        <v>0.25</v>
      </c>
      <c r="Z694" s="20">
        <f ca="1">OFFSET(환산공식!FX$15,$F694,0)</f>
        <v>0.38</v>
      </c>
      <c r="AA694" s="179">
        <f ca="1">OFFSET(환산공식!FY$15,$F694,0)</f>
        <v>0.38</v>
      </c>
      <c r="AB694" s="3"/>
      <c r="AD694">
        <f t="shared" ca="1" si="22"/>
        <v>6</v>
      </c>
      <c r="AF694" s="3"/>
      <c r="AG694" s="3"/>
      <c r="AH694" s="3"/>
    </row>
    <row r="695" spans="1:34">
      <c r="A695" s="198"/>
      <c r="B695" s="198"/>
      <c r="C695" s="198" t="s">
        <v>1256</v>
      </c>
      <c r="D695" s="195">
        <v>750</v>
      </c>
      <c r="E695" s="195">
        <v>287</v>
      </c>
      <c r="F695" s="195">
        <v>287</v>
      </c>
      <c r="G695" s="239">
        <v>688</v>
      </c>
      <c r="H695" s="197" t="s">
        <v>72</v>
      </c>
      <c r="I695" s="242" t="s">
        <v>209</v>
      </c>
      <c r="J695" s="242" t="s">
        <v>8224</v>
      </c>
      <c r="K695" s="195" t="s">
        <v>70</v>
      </c>
      <c r="L695" s="20" t="str">
        <f ca="1">IF(OFFSET(환산공식!$ED$15,$F695,0)=1,"O","X")</f>
        <v>X</v>
      </c>
      <c r="M695" s="188">
        <f ca="1">IFERROR(OFFSET(환산공식!DJ$15,$F695,0),"")</f>
        <v>200</v>
      </c>
      <c r="N695" s="20" t="str">
        <f ca="1">IFERROR(CONCATENATE(ROUND(OFFSET(환산공식!DK$15,$F695,0),1),"%"),"")</f>
        <v>100%</v>
      </c>
      <c r="O695" s="20">
        <f ca="1">IFERROR(OFFSET(환산공식!DL$15,$F695,0),"")</f>
        <v>10</v>
      </c>
      <c r="P695" s="188" t="str">
        <f t="shared" ca="1" si="21"/>
        <v>3% 이하</v>
      </c>
      <c r="Q695" s="194">
        <f ca="1">IFERROR(ROUND(OFFSET(환산공식!$FG$15,$F695,0),3),"")</f>
        <v>0</v>
      </c>
      <c r="R695" s="194">
        <f ca="1">OFFSET('배치점수 계산기'!H$10,$D695,0)</f>
        <v>685.24</v>
      </c>
      <c r="S695" s="194">
        <f ca="1">OFFSET('배치점수 계산기'!I$10,$D695,0)</f>
        <v>683.72</v>
      </c>
      <c r="T695" s="194">
        <f ca="1">OFFSET('배치점수 계산기'!J$10,$D695,0)</f>
        <v>680.95</v>
      </c>
      <c r="U695" s="194">
        <f ca="1">OFFSET('배치점수 계산기'!K$10,$D695,0)</f>
        <v>678.47</v>
      </c>
      <c r="V695" s="194">
        <f ca="1">OFFSET('배치점수 계산기'!L$10,$D695,0)</f>
        <v>672.63599999999997</v>
      </c>
      <c r="W695" s="186" t="str">
        <f ca="1">OFFSET('배치점수 계산기'!M$10,$D695,0)</f>
        <v>표점</v>
      </c>
      <c r="X695" s="184" t="str">
        <f ca="1">OFFSET('배치점수 계산기'!N$10,$D695,0)</f>
        <v>표점</v>
      </c>
      <c r="Y695" s="188">
        <f ca="1">OFFSET(환산공식!FW$15,$F695,0)</f>
        <v>0.25</v>
      </c>
      <c r="Z695" s="20">
        <f ca="1">OFFSET(환산공식!FX$15,$F695,0)</f>
        <v>0.38</v>
      </c>
      <c r="AA695" s="179">
        <f ca="1">OFFSET(환산공식!FY$15,$F695,0)</f>
        <v>0.38</v>
      </c>
      <c r="AB695" s="3"/>
      <c r="AD695">
        <f t="shared" ca="1" si="22"/>
        <v>6</v>
      </c>
      <c r="AF695" s="3"/>
      <c r="AG695" s="3"/>
      <c r="AH695" s="3"/>
    </row>
    <row r="696" spans="1:34">
      <c r="A696" s="198"/>
      <c r="B696" s="198"/>
      <c r="C696" s="198" t="s">
        <v>1257</v>
      </c>
      <c r="D696" s="195">
        <v>751</v>
      </c>
      <c r="E696" s="195">
        <v>287</v>
      </c>
      <c r="F696" s="195">
        <v>287</v>
      </c>
      <c r="G696" s="239">
        <v>689</v>
      </c>
      <c r="H696" s="197" t="s">
        <v>72</v>
      </c>
      <c r="I696" s="242" t="s">
        <v>209</v>
      </c>
      <c r="J696" s="242" t="s">
        <v>9703</v>
      </c>
      <c r="K696" s="195" t="s">
        <v>70</v>
      </c>
      <c r="L696" s="20" t="str">
        <f ca="1">IF(OFFSET(환산공식!$ED$15,$F696,0)=1,"O","X")</f>
        <v>X</v>
      </c>
      <c r="M696" s="188">
        <f ca="1">IFERROR(OFFSET(환산공식!DJ$15,$F696,0),"")</f>
        <v>200</v>
      </c>
      <c r="N696" s="20" t="str">
        <f ca="1">IFERROR(CONCATENATE(ROUND(OFFSET(환산공식!DK$15,$F696,0),1),"%"),"")</f>
        <v>100%</v>
      </c>
      <c r="O696" s="20">
        <f ca="1">IFERROR(OFFSET(환산공식!DL$15,$F696,0),"")</f>
        <v>10</v>
      </c>
      <c r="P696" s="188" t="str">
        <f t="shared" ca="1" si="21"/>
        <v>3% 이하</v>
      </c>
      <c r="Q696" s="194">
        <f ca="1">IFERROR(ROUND(OFFSET(환산공식!$FG$15,$F696,0),3),"")</f>
        <v>0</v>
      </c>
      <c r="R696" s="194">
        <f ca="1">OFFSET('배치점수 계산기'!H$10,$D696,0)</f>
        <v>684.66399999999999</v>
      </c>
      <c r="S696" s="194">
        <f ca="1">OFFSET('배치점수 계산기'!I$10,$D696,0)</f>
        <v>683.08600000000001</v>
      </c>
      <c r="T696" s="194">
        <f ca="1">OFFSET('배치점수 계산기'!J$10,$D696,0)</f>
        <v>680.22400000000005</v>
      </c>
      <c r="U696" s="194">
        <f ca="1">OFFSET('배치점수 계산기'!K$10,$D696,0)</f>
        <v>677.68600000000004</v>
      </c>
      <c r="V696" s="194">
        <f ca="1">OFFSET('배치점수 계산기'!L$10,$D696,0)</f>
        <v>673.88</v>
      </c>
      <c r="W696" s="186" t="str">
        <f ca="1">OFFSET('배치점수 계산기'!M$10,$D696,0)</f>
        <v>표점</v>
      </c>
      <c r="X696" s="184" t="str">
        <f ca="1">OFFSET('배치점수 계산기'!N$10,$D696,0)</f>
        <v>표점</v>
      </c>
      <c r="Y696" s="188">
        <f ca="1">OFFSET(환산공식!FW$15,$F696,0)</f>
        <v>0.25</v>
      </c>
      <c r="Z696" s="20">
        <f ca="1">OFFSET(환산공식!FX$15,$F696,0)</f>
        <v>0.38</v>
      </c>
      <c r="AA696" s="179">
        <f ca="1">OFFSET(환산공식!FY$15,$F696,0)</f>
        <v>0.38</v>
      </c>
      <c r="AB696" s="3"/>
      <c r="AD696">
        <f t="shared" ca="1" si="22"/>
        <v>6</v>
      </c>
      <c r="AF696" s="3"/>
      <c r="AG696" s="3"/>
      <c r="AH696" s="3"/>
    </row>
    <row r="697" spans="1:34">
      <c r="A697" s="198"/>
      <c r="B697" s="198"/>
      <c r="C697" s="198" t="s">
        <v>1258</v>
      </c>
      <c r="D697" s="195">
        <v>752</v>
      </c>
      <c r="E697" s="195">
        <v>287</v>
      </c>
      <c r="F697" s="195">
        <v>287</v>
      </c>
      <c r="G697" s="239">
        <v>690</v>
      </c>
      <c r="H697" s="197" t="s">
        <v>72</v>
      </c>
      <c r="I697" s="242" t="s">
        <v>209</v>
      </c>
      <c r="J697" s="242" t="s">
        <v>8316</v>
      </c>
      <c r="K697" s="195" t="s">
        <v>70</v>
      </c>
      <c r="L697" s="20" t="str">
        <f ca="1">IF(OFFSET(환산공식!$ED$15,$F697,0)=1,"O","X")</f>
        <v>X</v>
      </c>
      <c r="M697" s="188">
        <f ca="1">IFERROR(OFFSET(환산공식!DJ$15,$F697,0),"")</f>
        <v>200</v>
      </c>
      <c r="N697" s="20" t="str">
        <f ca="1">IFERROR(CONCATENATE(ROUND(OFFSET(환산공식!DK$15,$F697,0),1),"%"),"")</f>
        <v>100%</v>
      </c>
      <c r="O697" s="20">
        <f ca="1">IFERROR(OFFSET(환산공식!DL$15,$F697,0),"")</f>
        <v>10</v>
      </c>
      <c r="P697" s="188" t="str">
        <f t="shared" ca="1" si="21"/>
        <v>3% 이하</v>
      </c>
      <c r="Q697" s="194">
        <f ca="1">IFERROR(ROUND(OFFSET(환산공식!$FG$15,$F697,0),3),"")</f>
        <v>0</v>
      </c>
      <c r="R697" s="194">
        <f ca="1">OFFSET('배치점수 계산기'!H$10,$D697,0)</f>
        <v>683.72</v>
      </c>
      <c r="S697" s="194">
        <f ca="1">OFFSET('배치점수 계산기'!I$10,$D697,0)</f>
        <v>682.34400000000005</v>
      </c>
      <c r="T697" s="194">
        <f ca="1">OFFSET('배치점수 계산기'!J$10,$D697,0)</f>
        <v>679.53</v>
      </c>
      <c r="U697" s="194">
        <f ca="1">OFFSET('배치점수 계산기'!K$10,$D697,0)</f>
        <v>677.11</v>
      </c>
      <c r="V697" s="194">
        <f ca="1">OFFSET('배치점수 계산기'!L$10,$D697,0)</f>
        <v>671.33399999999995</v>
      </c>
      <c r="W697" s="186" t="str">
        <f ca="1">OFFSET('배치점수 계산기'!M$10,$D697,0)</f>
        <v>표점</v>
      </c>
      <c r="X697" s="184" t="str">
        <f ca="1">OFFSET('배치점수 계산기'!N$10,$D697,0)</f>
        <v>표점</v>
      </c>
      <c r="Y697" s="188">
        <f ca="1">OFFSET(환산공식!FW$15,$F697,0)</f>
        <v>0.25</v>
      </c>
      <c r="Z697" s="20">
        <f ca="1">OFFSET(환산공식!FX$15,$F697,0)</f>
        <v>0.38</v>
      </c>
      <c r="AA697" s="179">
        <f ca="1">OFFSET(환산공식!FY$15,$F697,0)</f>
        <v>0.38</v>
      </c>
      <c r="AB697" s="3"/>
      <c r="AD697">
        <f t="shared" ca="1" si="22"/>
        <v>6</v>
      </c>
      <c r="AF697" s="3"/>
      <c r="AG697" s="3"/>
      <c r="AH697" s="3"/>
    </row>
    <row r="698" spans="1:34">
      <c r="A698" s="198"/>
      <c r="B698" s="198"/>
      <c r="C698" s="198" t="s">
        <v>1259</v>
      </c>
      <c r="D698" s="195">
        <v>753</v>
      </c>
      <c r="E698" s="195">
        <v>287</v>
      </c>
      <c r="F698" s="195">
        <v>287</v>
      </c>
      <c r="G698" s="239">
        <v>691</v>
      </c>
      <c r="H698" s="197" t="s">
        <v>72</v>
      </c>
      <c r="I698" s="242" t="s">
        <v>209</v>
      </c>
      <c r="J698" s="242" t="s">
        <v>8307</v>
      </c>
      <c r="K698" s="195" t="s">
        <v>70</v>
      </c>
      <c r="L698" s="20" t="str">
        <f ca="1">IF(OFFSET(환산공식!$ED$15,$F698,0)=1,"O","X")</f>
        <v>X</v>
      </c>
      <c r="M698" s="188">
        <f ca="1">IFERROR(OFFSET(환산공식!DJ$15,$F698,0),"")</f>
        <v>200</v>
      </c>
      <c r="N698" s="20" t="str">
        <f ca="1">IFERROR(CONCATENATE(ROUND(OFFSET(환산공식!DK$15,$F698,0),1),"%"),"")</f>
        <v>100%</v>
      </c>
      <c r="O698" s="20">
        <f ca="1">IFERROR(OFFSET(환산공식!DL$15,$F698,0),"")</f>
        <v>10</v>
      </c>
      <c r="P698" s="188" t="str">
        <f t="shared" ca="1" si="21"/>
        <v>3% 이하</v>
      </c>
      <c r="Q698" s="194">
        <f ca="1">IFERROR(ROUND(OFFSET(환산공식!$FG$15,$F698,0),3),"")</f>
        <v>0</v>
      </c>
      <c r="R698" s="194">
        <f ca="1">OFFSET('배치점수 계산기'!H$10,$D698,0)</f>
        <v>684.03</v>
      </c>
      <c r="S698" s="194">
        <f ca="1">OFFSET('배치점수 계산기'!I$10,$D698,0)</f>
        <v>682.34400000000005</v>
      </c>
      <c r="T698" s="194">
        <f ca="1">OFFSET('배치점수 계산기'!J$10,$D698,0)</f>
        <v>679.53</v>
      </c>
      <c r="U698" s="194">
        <f ca="1">OFFSET('배치점수 계산기'!K$10,$D698,0)</f>
        <v>677.11</v>
      </c>
      <c r="V698" s="194">
        <f ca="1">OFFSET('배치점수 계산기'!L$10,$D698,0)</f>
        <v>673.27</v>
      </c>
      <c r="W698" s="186" t="str">
        <f ca="1">OFFSET('배치점수 계산기'!M$10,$D698,0)</f>
        <v>표점</v>
      </c>
      <c r="X698" s="184" t="str">
        <f ca="1">OFFSET('배치점수 계산기'!N$10,$D698,0)</f>
        <v>표점</v>
      </c>
      <c r="Y698" s="188">
        <f ca="1">OFFSET(환산공식!FW$15,$F698,0)</f>
        <v>0.25</v>
      </c>
      <c r="Z698" s="20">
        <f ca="1">OFFSET(환산공식!FX$15,$F698,0)</f>
        <v>0.38</v>
      </c>
      <c r="AA698" s="179">
        <f ca="1">OFFSET(환산공식!FY$15,$F698,0)</f>
        <v>0.38</v>
      </c>
      <c r="AB698" s="3"/>
      <c r="AD698">
        <f t="shared" ca="1" si="22"/>
        <v>6</v>
      </c>
      <c r="AF698" s="3"/>
      <c r="AG698" s="3"/>
      <c r="AH698" s="3"/>
    </row>
    <row r="699" spans="1:34">
      <c r="A699" s="198"/>
      <c r="B699" s="198"/>
      <c r="C699" s="198" t="s">
        <v>1260</v>
      </c>
      <c r="D699" s="195">
        <v>754</v>
      </c>
      <c r="E699" s="195">
        <v>286</v>
      </c>
      <c r="F699" s="195">
        <v>286</v>
      </c>
      <c r="G699" s="239">
        <v>692</v>
      </c>
      <c r="H699" s="197" t="s">
        <v>72</v>
      </c>
      <c r="I699" s="242" t="s">
        <v>209</v>
      </c>
      <c r="J699" s="242" t="s">
        <v>541</v>
      </c>
      <c r="K699" s="195" t="s">
        <v>70</v>
      </c>
      <c r="L699" s="20" t="str">
        <f ca="1">IF(OFFSET(환산공식!$ED$15,$F699,0)=1,"O","X")</f>
        <v>X</v>
      </c>
      <c r="M699" s="188">
        <f ca="1">IFERROR(OFFSET(환산공식!DJ$15,$F699,0),"")</f>
        <v>200</v>
      </c>
      <c r="N699" s="20" t="str">
        <f ca="1">IFERROR(CONCATENATE(ROUND(OFFSET(환산공식!DK$15,$F699,0),1),"%"),"")</f>
        <v>100%</v>
      </c>
      <c r="O699" s="20">
        <f ca="1">IFERROR(OFFSET(환산공식!DL$15,$F699,0),"")</f>
        <v>10</v>
      </c>
      <c r="P699" s="188" t="str">
        <f t="shared" ca="1" si="21"/>
        <v>3% 이하</v>
      </c>
      <c r="Q699" s="194">
        <f ca="1">IFERROR(ROUND(OFFSET(환산공식!$FG$15,$F699,0),3),"")</f>
        <v>0</v>
      </c>
      <c r="R699" s="194">
        <f ca="1">OFFSET('배치점수 계산기'!H$10,$D699,0)</f>
        <v>683.22</v>
      </c>
      <c r="S699" s="194">
        <f ca="1">OFFSET('배치점수 계산기'!I$10,$D699,0)</f>
        <v>681.76599999999996</v>
      </c>
      <c r="T699" s="194">
        <f ca="1">OFFSET('배치점수 계산기'!J$10,$D699,0)</f>
        <v>678.98</v>
      </c>
      <c r="U699" s="194">
        <f ca="1">OFFSET('배치점수 계산기'!K$10,$D699,0)</f>
        <v>676.5</v>
      </c>
      <c r="V699" s="194">
        <f ca="1">OFFSET('배치점수 계산기'!L$10,$D699,0)</f>
        <v>670.9</v>
      </c>
      <c r="W699" s="186" t="str">
        <f ca="1">OFFSET('배치점수 계산기'!M$10,$D699,0)</f>
        <v>표점</v>
      </c>
      <c r="X699" s="184" t="str">
        <f ca="1">OFFSET('배치점수 계산기'!N$10,$D699,0)</f>
        <v>표점</v>
      </c>
      <c r="Y699" s="188">
        <f ca="1">OFFSET(환산공식!FW$15,$F699,0)</f>
        <v>0.25</v>
      </c>
      <c r="Z699" s="20">
        <f ca="1">OFFSET(환산공식!FX$15,$F699,0)</f>
        <v>0.38</v>
      </c>
      <c r="AA699" s="179">
        <f ca="1">OFFSET(환산공식!FY$15,$F699,0)</f>
        <v>0.38</v>
      </c>
      <c r="AB699" s="3"/>
      <c r="AD699">
        <f t="shared" ca="1" si="22"/>
        <v>6</v>
      </c>
      <c r="AF699" s="3"/>
      <c r="AG699" s="3"/>
      <c r="AH699" s="3"/>
    </row>
    <row r="700" spans="1:34">
      <c r="A700" s="198"/>
      <c r="B700" s="198"/>
      <c r="C700" s="198" t="s">
        <v>1261</v>
      </c>
      <c r="D700" s="195">
        <v>755</v>
      </c>
      <c r="E700" s="195">
        <v>287</v>
      </c>
      <c r="F700" s="195">
        <v>287</v>
      </c>
      <c r="G700" s="239">
        <v>693</v>
      </c>
      <c r="H700" s="197" t="s">
        <v>72</v>
      </c>
      <c r="I700" s="242" t="s">
        <v>209</v>
      </c>
      <c r="J700" s="242" t="s">
        <v>550</v>
      </c>
      <c r="K700" s="195" t="s">
        <v>70</v>
      </c>
      <c r="L700" s="20" t="str">
        <f ca="1">IF(OFFSET(환산공식!$ED$15,$F700,0)=1,"O","X")</f>
        <v>X</v>
      </c>
      <c r="M700" s="188">
        <f ca="1">IFERROR(OFFSET(환산공식!DJ$15,$F700,0),"")</f>
        <v>200</v>
      </c>
      <c r="N700" s="20" t="str">
        <f ca="1">IFERROR(CONCATENATE(ROUND(OFFSET(환산공식!DK$15,$F700,0),1),"%"),"")</f>
        <v>100%</v>
      </c>
      <c r="O700" s="20">
        <f ca="1">IFERROR(OFFSET(환산공식!DL$15,$F700,0),"")</f>
        <v>10</v>
      </c>
      <c r="P700" s="188" t="str">
        <f t="shared" ca="1" si="21"/>
        <v>3% 이하</v>
      </c>
      <c r="Q700" s="194">
        <f ca="1">IFERROR(ROUND(OFFSET(환산공식!$FG$15,$F700,0),3),"")</f>
        <v>0</v>
      </c>
      <c r="R700" s="194">
        <f ca="1">OFFSET('배치점수 계산기'!H$10,$D700,0)</f>
        <v>683.32</v>
      </c>
      <c r="S700" s="194">
        <f ca="1">OFFSET('배치점수 계산기'!I$10,$D700,0)</f>
        <v>681.6</v>
      </c>
      <c r="T700" s="194">
        <f ca="1">OFFSET('배치점수 계산기'!J$10,$D700,0)</f>
        <v>678.846</v>
      </c>
      <c r="U700" s="194">
        <f ca="1">OFFSET('배치점수 계산기'!K$10,$D700,0)</f>
        <v>676.4</v>
      </c>
      <c r="V700" s="194">
        <f ca="1">OFFSET('배치점수 계산기'!L$10,$D700,0)</f>
        <v>672.77</v>
      </c>
      <c r="W700" s="186" t="str">
        <f ca="1">OFFSET('배치점수 계산기'!M$10,$D700,0)</f>
        <v>표점</v>
      </c>
      <c r="X700" s="184" t="str">
        <f ca="1">OFFSET('배치점수 계산기'!N$10,$D700,0)</f>
        <v>표점</v>
      </c>
      <c r="Y700" s="188">
        <f ca="1">OFFSET(환산공식!FW$15,$F700,0)</f>
        <v>0.25</v>
      </c>
      <c r="Z700" s="20">
        <f ca="1">OFFSET(환산공식!FX$15,$F700,0)</f>
        <v>0.38</v>
      </c>
      <c r="AA700" s="179">
        <f ca="1">OFFSET(환산공식!FY$15,$F700,0)</f>
        <v>0.38</v>
      </c>
      <c r="AB700" s="3"/>
      <c r="AD700">
        <f t="shared" ca="1" si="22"/>
        <v>6</v>
      </c>
      <c r="AF700" s="3"/>
      <c r="AG700" s="3"/>
      <c r="AH700" s="3"/>
    </row>
    <row r="701" spans="1:34">
      <c r="A701" s="198"/>
      <c r="B701" s="198"/>
      <c r="C701" s="198" t="s">
        <v>1262</v>
      </c>
      <c r="D701" s="195">
        <v>756</v>
      </c>
      <c r="E701" s="195">
        <v>287</v>
      </c>
      <c r="F701" s="195">
        <v>287</v>
      </c>
      <c r="G701" s="239">
        <v>694</v>
      </c>
      <c r="H701" s="197" t="s">
        <v>72</v>
      </c>
      <c r="I701" s="242" t="s">
        <v>209</v>
      </c>
      <c r="J701" s="242" t="s">
        <v>8305</v>
      </c>
      <c r="K701" s="195" t="s">
        <v>70</v>
      </c>
      <c r="L701" s="20" t="str">
        <f ca="1">IF(OFFSET(환산공식!$ED$15,$F701,0)=1,"O","X")</f>
        <v>X</v>
      </c>
      <c r="M701" s="188">
        <f ca="1">IFERROR(OFFSET(환산공식!DJ$15,$F701,0),"")</f>
        <v>200</v>
      </c>
      <c r="N701" s="20" t="str">
        <f ca="1">IFERROR(CONCATENATE(ROUND(OFFSET(환산공식!DK$15,$F701,0),1),"%"),"")</f>
        <v>100%</v>
      </c>
      <c r="O701" s="20">
        <f ca="1">IFERROR(OFFSET(환산공식!DL$15,$F701,0),"")</f>
        <v>10</v>
      </c>
      <c r="P701" s="188" t="str">
        <f t="shared" ca="1" si="21"/>
        <v>3% 이하</v>
      </c>
      <c r="Q701" s="194">
        <f ca="1">IFERROR(ROUND(OFFSET(환산공식!$FG$15,$F701,0),3),"")</f>
        <v>0</v>
      </c>
      <c r="R701" s="194">
        <f ca="1">OFFSET('배치점수 계산기'!H$10,$D701,0)</f>
        <v>681.76599999999996</v>
      </c>
      <c r="S701" s="194">
        <f ca="1">OFFSET('배치점수 계산기'!I$10,$D701,0)</f>
        <v>680.37400000000002</v>
      </c>
      <c r="T701" s="194">
        <f ca="1">OFFSET('배치점수 계산기'!J$10,$D701,0)</f>
        <v>677.51</v>
      </c>
      <c r="U701" s="194">
        <f ca="1">OFFSET('배치점수 계산기'!K$10,$D701,0)</f>
        <v>675.15599999999995</v>
      </c>
      <c r="V701" s="194">
        <f ca="1">OFFSET('배치점수 계산기'!L$10,$D701,0)</f>
        <v>669.79</v>
      </c>
      <c r="W701" s="186" t="str">
        <f ca="1">OFFSET('배치점수 계산기'!M$10,$D701,0)</f>
        <v>표점</v>
      </c>
      <c r="X701" s="184" t="str">
        <f ca="1">OFFSET('배치점수 계산기'!N$10,$D701,0)</f>
        <v>표점</v>
      </c>
      <c r="Y701" s="188">
        <f ca="1">OFFSET(환산공식!FW$15,$F701,0)</f>
        <v>0.25</v>
      </c>
      <c r="Z701" s="20">
        <f ca="1">OFFSET(환산공식!FX$15,$F701,0)</f>
        <v>0.38</v>
      </c>
      <c r="AA701" s="179">
        <f ca="1">OFFSET(환산공식!FY$15,$F701,0)</f>
        <v>0.38</v>
      </c>
      <c r="AB701" s="3"/>
      <c r="AD701">
        <f t="shared" ca="1" si="22"/>
        <v>6</v>
      </c>
      <c r="AF701" s="3"/>
      <c r="AG701" s="3"/>
      <c r="AH701" s="3"/>
    </row>
    <row r="702" spans="1:34">
      <c r="A702" s="198"/>
      <c r="B702" s="198"/>
      <c r="C702" s="198" t="s">
        <v>1263</v>
      </c>
      <c r="D702" s="195">
        <v>757</v>
      </c>
      <c r="E702" s="195">
        <v>287</v>
      </c>
      <c r="F702" s="195">
        <v>287</v>
      </c>
      <c r="G702" s="239">
        <v>695</v>
      </c>
      <c r="H702" s="197" t="s">
        <v>72</v>
      </c>
      <c r="I702" s="242" t="s">
        <v>209</v>
      </c>
      <c r="J702" s="242" t="s">
        <v>10547</v>
      </c>
      <c r="K702" s="195" t="s">
        <v>70</v>
      </c>
      <c r="L702" s="20" t="str">
        <f ca="1">IF(OFFSET(환산공식!$ED$15,$F702,0)=1,"O","X")</f>
        <v>X</v>
      </c>
      <c r="M702" s="188">
        <f ca="1">IFERROR(OFFSET(환산공식!DJ$15,$F702,0),"")</f>
        <v>200</v>
      </c>
      <c r="N702" s="20" t="str">
        <f ca="1">IFERROR(CONCATENATE(ROUND(OFFSET(환산공식!DK$15,$F702,0),1),"%"),"")</f>
        <v>100%</v>
      </c>
      <c r="O702" s="20">
        <f ca="1">IFERROR(OFFSET(환산공식!DL$15,$F702,0),"")</f>
        <v>10</v>
      </c>
      <c r="P702" s="188" t="str">
        <f t="shared" ca="1" si="21"/>
        <v>3% 이하</v>
      </c>
      <c r="Q702" s="194">
        <f ca="1">IFERROR(ROUND(OFFSET(환산공식!$FG$15,$F702,0),3),"")</f>
        <v>0</v>
      </c>
      <c r="R702" s="194">
        <f ca="1">OFFSET('배치점수 계산기'!H$10,$D702,0)</f>
        <v>678.75400000000002</v>
      </c>
      <c r="S702" s="194">
        <f ca="1">OFFSET('배치점수 계산기'!I$10,$D702,0)</f>
        <v>677.41</v>
      </c>
      <c r="T702" s="194">
        <f ca="1">OFFSET('배치점수 계산기'!J$10,$D702,0)</f>
        <v>675.024</v>
      </c>
      <c r="U702" s="194">
        <f ca="1">OFFSET('배치점수 계산기'!K$10,$D702,0)</f>
        <v>672.63599999999997</v>
      </c>
      <c r="V702" s="194">
        <f ca="1">OFFSET('배치점수 계산기'!L$10,$D702,0)</f>
        <v>669.51400000000001</v>
      </c>
      <c r="W702" s="186" t="str">
        <f ca="1">OFFSET('배치점수 계산기'!M$10,$D702,0)</f>
        <v>표점</v>
      </c>
      <c r="X702" s="184" t="str">
        <f ca="1">OFFSET('배치점수 계산기'!N$10,$D702,0)</f>
        <v>표점</v>
      </c>
      <c r="Y702" s="188">
        <f ca="1">OFFSET(환산공식!FW$15,$F702,0)</f>
        <v>0.25</v>
      </c>
      <c r="Z702" s="20">
        <f ca="1">OFFSET(환산공식!FX$15,$F702,0)</f>
        <v>0.38</v>
      </c>
      <c r="AA702" s="179">
        <f ca="1">OFFSET(환산공식!FY$15,$F702,0)</f>
        <v>0.38</v>
      </c>
      <c r="AB702" s="3"/>
      <c r="AD702">
        <f t="shared" ca="1" si="22"/>
        <v>6</v>
      </c>
      <c r="AF702" s="3"/>
      <c r="AG702" s="3"/>
      <c r="AH702" s="3"/>
    </row>
    <row r="703" spans="1:34">
      <c r="A703" s="198"/>
      <c r="B703" s="198"/>
      <c r="C703" s="198" t="s">
        <v>1264</v>
      </c>
      <c r="D703" s="195">
        <v>758</v>
      </c>
      <c r="E703" s="195">
        <v>289</v>
      </c>
      <c r="F703" s="195">
        <v>289</v>
      </c>
      <c r="G703" s="239">
        <v>696</v>
      </c>
      <c r="H703" s="197" t="s">
        <v>72</v>
      </c>
      <c r="I703" s="242" t="s">
        <v>209</v>
      </c>
      <c r="J703" s="242" t="s">
        <v>9622</v>
      </c>
      <c r="K703" s="195" t="s">
        <v>70</v>
      </c>
      <c r="L703" s="20" t="str">
        <f ca="1">IF(OFFSET(환산공식!$ED$15,$F703,0)=1,"O","X")</f>
        <v>X</v>
      </c>
      <c r="M703" s="188">
        <f ca="1">IFERROR(OFFSET(환산공식!DJ$15,$F703,0),"")</f>
        <v>200</v>
      </c>
      <c r="N703" s="20" t="str">
        <f ca="1">IFERROR(CONCATENATE(ROUND(OFFSET(환산공식!DK$15,$F703,0),1),"%"),"")</f>
        <v>100%</v>
      </c>
      <c r="O703" s="20">
        <f ca="1">IFERROR(OFFSET(환산공식!DL$15,$F703,0),"")</f>
        <v>10</v>
      </c>
      <c r="P703" s="188" t="str">
        <f t="shared" ca="1" si="21"/>
        <v>3% 이하</v>
      </c>
      <c r="Q703" s="194">
        <f ca="1">IFERROR(ROUND(OFFSET(환산공식!$FG$15,$F703,0),3),"")</f>
        <v>0</v>
      </c>
      <c r="R703" s="194">
        <f ca="1">OFFSET('배치점수 계산기'!H$10,$D703,0)</f>
        <v>671.77599999999995</v>
      </c>
      <c r="S703" s="194">
        <f ca="1">OFFSET('배치점수 계산기'!I$10,$D703,0)</f>
        <v>670.30600000000004</v>
      </c>
      <c r="T703" s="194">
        <f ca="1">OFFSET('배치점수 계산기'!J$10,$D703,0)</f>
        <v>668.25400000000002</v>
      </c>
      <c r="U703" s="194">
        <f ca="1">OFFSET('배치점수 계산기'!K$10,$D703,0)</f>
        <v>666.4</v>
      </c>
      <c r="V703" s="194">
        <f ca="1">OFFSET('배치점수 계산기'!L$10,$D703,0)</f>
        <v>663.2</v>
      </c>
      <c r="W703" s="186" t="str">
        <f ca="1">OFFSET('배치점수 계산기'!M$10,$D703,0)</f>
        <v>표점</v>
      </c>
      <c r="X703" s="184" t="str">
        <f ca="1">OFFSET('배치점수 계산기'!N$10,$D703,0)</f>
        <v>표점</v>
      </c>
      <c r="Y703" s="188">
        <f ca="1">OFFSET(환산공식!FW$15,$F703,0)</f>
        <v>0.25</v>
      </c>
      <c r="Z703" s="20">
        <f ca="1">OFFSET(환산공식!FX$15,$F703,0)</f>
        <v>0.38</v>
      </c>
      <c r="AA703" s="179">
        <f ca="1">OFFSET(환산공식!FY$15,$F703,0)</f>
        <v>0.38</v>
      </c>
      <c r="AB703" s="3"/>
      <c r="AD703">
        <f t="shared" ca="1" si="22"/>
        <v>6</v>
      </c>
      <c r="AF703" s="3"/>
      <c r="AG703" s="3"/>
      <c r="AH703" s="3"/>
    </row>
    <row r="704" spans="1:34">
      <c r="A704" s="198"/>
      <c r="B704" s="198"/>
      <c r="C704" s="198" t="s">
        <v>1265</v>
      </c>
      <c r="D704" s="195">
        <v>759</v>
      </c>
      <c r="E704" s="195">
        <v>287</v>
      </c>
      <c r="F704" s="195">
        <v>287</v>
      </c>
      <c r="G704" s="239">
        <v>697</v>
      </c>
      <c r="H704" s="197" t="s">
        <v>72</v>
      </c>
      <c r="I704" s="242" t="s">
        <v>209</v>
      </c>
      <c r="J704" s="242" t="s">
        <v>12977</v>
      </c>
      <c r="K704" s="195" t="s">
        <v>70</v>
      </c>
      <c r="L704" s="20" t="str">
        <f ca="1">IF(OFFSET(환산공식!$ED$15,$F704,0)=1,"O","X")</f>
        <v>X</v>
      </c>
      <c r="M704" s="188">
        <f ca="1">IFERROR(OFFSET(환산공식!DJ$15,$F704,0),"")</f>
        <v>200</v>
      </c>
      <c r="N704" s="20" t="str">
        <f ca="1">IFERROR(CONCATENATE(ROUND(OFFSET(환산공식!DK$15,$F704,0),1),"%"),"")</f>
        <v>100%</v>
      </c>
      <c r="O704" s="20">
        <f ca="1">IFERROR(OFFSET(환산공식!DL$15,$F704,0),"")</f>
        <v>10</v>
      </c>
      <c r="P704" s="188" t="str">
        <f t="shared" ca="1" si="21"/>
        <v>3% 이하</v>
      </c>
      <c r="Q704" s="194">
        <f ca="1">IFERROR(ROUND(OFFSET(환산공식!$FG$15,$F704,0),3),"")</f>
        <v>0</v>
      </c>
      <c r="R704" s="194">
        <f ca="1">OFFSET('배치점수 계산기'!H$10,$D704,0)</f>
        <v>664.76599999999996</v>
      </c>
      <c r="S704" s="194">
        <f ca="1">OFFSET('배치점수 계산기'!I$10,$D704,0)</f>
        <v>663.48400000000004</v>
      </c>
      <c r="T704" s="194">
        <f ca="1">OFFSET('배치점수 계산기'!J$10,$D704,0)</f>
        <v>661.06600000000003</v>
      </c>
      <c r="U704" s="194">
        <f ca="1">OFFSET('배치점수 계산기'!K$10,$D704,0)</f>
        <v>658.96600000000001</v>
      </c>
      <c r="V704" s="194">
        <f ca="1">OFFSET('배치점수 계산기'!L$10,$D704,0)</f>
        <v>655.48400000000004</v>
      </c>
      <c r="W704" s="186" t="str">
        <f ca="1">OFFSET('배치점수 계산기'!M$10,$D704,0)</f>
        <v>표점</v>
      </c>
      <c r="X704" s="184" t="str">
        <f ca="1">OFFSET('배치점수 계산기'!N$10,$D704,0)</f>
        <v>표점</v>
      </c>
      <c r="Y704" s="188">
        <f ca="1">OFFSET(환산공식!FW$15,$F704,0)</f>
        <v>0.25</v>
      </c>
      <c r="Z704" s="20">
        <f ca="1">OFFSET(환산공식!FX$15,$F704,0)</f>
        <v>0.38</v>
      </c>
      <c r="AA704" s="179">
        <f ca="1">OFFSET(환산공식!FY$15,$F704,0)</f>
        <v>0.38</v>
      </c>
      <c r="AB704" s="3"/>
      <c r="AD704">
        <f t="shared" ca="1" si="22"/>
        <v>6</v>
      </c>
      <c r="AF704" s="3"/>
      <c r="AG704" s="3"/>
      <c r="AH704" s="3"/>
    </row>
    <row r="705" spans="1:34">
      <c r="A705" s="198"/>
      <c r="B705" s="198"/>
      <c r="C705" s="198" t="s">
        <v>1266</v>
      </c>
      <c r="D705" s="195">
        <v>760</v>
      </c>
      <c r="E705" s="195">
        <v>288</v>
      </c>
      <c r="F705" s="195">
        <v>288</v>
      </c>
      <c r="G705" s="239">
        <v>698</v>
      </c>
      <c r="H705" s="197" t="s">
        <v>72</v>
      </c>
      <c r="I705" s="242" t="s">
        <v>209</v>
      </c>
      <c r="J705" s="242" t="s">
        <v>13116</v>
      </c>
      <c r="K705" s="195" t="s">
        <v>70</v>
      </c>
      <c r="L705" s="20" t="str">
        <f ca="1">IF(OFFSET(환산공식!$ED$15,$F705,0)=1,"O","X")</f>
        <v>X</v>
      </c>
      <c r="M705" s="188">
        <f ca="1">IFERROR(OFFSET(환산공식!DJ$15,$F705,0),"")</f>
        <v>200</v>
      </c>
      <c r="N705" s="20" t="str">
        <f ca="1">IFERROR(CONCATENATE(ROUND(OFFSET(환산공식!DK$15,$F705,0),1),"%"),"")</f>
        <v>100%</v>
      </c>
      <c r="O705" s="20">
        <f ca="1">IFERROR(OFFSET(환산공식!DL$15,$F705,0),"")</f>
        <v>10</v>
      </c>
      <c r="P705" s="188" t="str">
        <f t="shared" ca="1" si="21"/>
        <v>3% 이하</v>
      </c>
      <c r="Q705" s="194">
        <f ca="1">IFERROR(ROUND(OFFSET(환산공식!$FG$15,$F705,0),3),"")</f>
        <v>0</v>
      </c>
      <c r="R705" s="194">
        <f ca="1">OFFSET('배치점수 계산기'!H$10,$D705,0)</f>
        <v>671.25900000000001</v>
      </c>
      <c r="S705" s="194">
        <f ca="1">OFFSET('배치점수 계산기'!I$10,$D705,0)</f>
        <v>669.81500000000005</v>
      </c>
      <c r="T705" s="194">
        <f ca="1">OFFSET('배치점수 계산기'!J$10,$D705,0)</f>
        <v>667.57</v>
      </c>
      <c r="U705" s="194">
        <f ca="1">OFFSET('배치점수 계산기'!K$10,$D705,0)</f>
        <v>665.31700000000001</v>
      </c>
      <c r="V705" s="194">
        <f ca="1">OFFSET('배치점수 계산기'!L$10,$D705,0)</f>
        <v>661.67700000000002</v>
      </c>
      <c r="W705" s="186" t="str">
        <f ca="1">OFFSET('배치점수 계산기'!M$10,$D705,0)</f>
        <v>표점</v>
      </c>
      <c r="X705" s="184" t="str">
        <f ca="1">OFFSET('배치점수 계산기'!N$10,$D705,0)</f>
        <v>표점</v>
      </c>
      <c r="Y705" s="188">
        <f ca="1">OFFSET(환산공식!FW$15,$F705,0)</f>
        <v>0.25</v>
      </c>
      <c r="Z705" s="20">
        <f ca="1">OFFSET(환산공식!FX$15,$F705,0)</f>
        <v>0.38</v>
      </c>
      <c r="AA705" s="179">
        <f ca="1">OFFSET(환산공식!FY$15,$F705,0)</f>
        <v>0.38</v>
      </c>
      <c r="AB705" s="3"/>
      <c r="AD705">
        <f t="shared" ca="1" si="22"/>
        <v>6</v>
      </c>
      <c r="AF705" s="3"/>
      <c r="AG705" s="3"/>
      <c r="AH705" s="3"/>
    </row>
    <row r="706" spans="1:34">
      <c r="A706" s="198"/>
      <c r="B706" s="198"/>
      <c r="C706" s="198" t="s">
        <v>1267</v>
      </c>
      <c r="D706" s="195">
        <v>761</v>
      </c>
      <c r="E706" s="195">
        <v>287</v>
      </c>
      <c r="F706" s="195">
        <v>287</v>
      </c>
      <c r="G706" s="239">
        <v>699</v>
      </c>
      <c r="H706" s="197" t="s">
        <v>72</v>
      </c>
      <c r="I706" s="242" t="s">
        <v>209</v>
      </c>
      <c r="J706" s="242" t="s">
        <v>13354</v>
      </c>
      <c r="K706" s="195" t="s">
        <v>70</v>
      </c>
      <c r="L706" s="20" t="str">
        <f ca="1">IF(OFFSET(환산공식!$ED$15,$F706,0)=1,"O","X")</f>
        <v>X</v>
      </c>
      <c r="M706" s="188">
        <f ca="1">IFERROR(OFFSET(환산공식!DJ$15,$F706,0),"")</f>
        <v>200</v>
      </c>
      <c r="N706" s="20" t="str">
        <f ca="1">IFERROR(CONCATENATE(ROUND(OFFSET(환산공식!DK$15,$F706,0),1),"%"),"")</f>
        <v>100%</v>
      </c>
      <c r="O706" s="20">
        <f ca="1">IFERROR(OFFSET(환산공식!DL$15,$F706,0),"")</f>
        <v>10</v>
      </c>
      <c r="P706" s="188" t="str">
        <f t="shared" ca="1" si="21"/>
        <v>3% 이하</v>
      </c>
      <c r="Q706" s="194">
        <f ca="1">IFERROR(ROUND(OFFSET(환산공식!$FG$15,$F706,0),3),"")</f>
        <v>0</v>
      </c>
      <c r="R706" s="194">
        <f ca="1">OFFSET('배치점수 계산기'!H$10,$D706,0)</f>
        <v>657.41600000000005</v>
      </c>
      <c r="S706" s="194">
        <f ca="1">OFFSET('배치점수 계산기'!I$10,$D706,0)</f>
        <v>656.25</v>
      </c>
      <c r="T706" s="194">
        <f ca="1">OFFSET('배치점수 계산기'!J$10,$D706,0)</f>
        <v>654.04999999999995</v>
      </c>
      <c r="U706" s="194">
        <f ca="1">OFFSET('배치점수 계산기'!K$10,$D706,0)</f>
        <v>651.85</v>
      </c>
      <c r="V706" s="194">
        <f ca="1">OFFSET('배치점수 계산기'!L$10,$D706,0)</f>
        <v>648.71600000000001</v>
      </c>
      <c r="W706" s="186" t="str">
        <f ca="1">OFFSET('배치점수 계산기'!M$10,$D706,0)</f>
        <v>표점</v>
      </c>
      <c r="X706" s="184" t="str">
        <f ca="1">OFFSET('배치점수 계산기'!N$10,$D706,0)</f>
        <v>표점</v>
      </c>
      <c r="Y706" s="188">
        <f ca="1">OFFSET(환산공식!FW$15,$F706,0)</f>
        <v>0.25</v>
      </c>
      <c r="Z706" s="20">
        <f ca="1">OFFSET(환산공식!FX$15,$F706,0)</f>
        <v>0.38</v>
      </c>
      <c r="AA706" s="179">
        <f ca="1">OFFSET(환산공식!FY$15,$F706,0)</f>
        <v>0.38</v>
      </c>
      <c r="AB706" s="3"/>
      <c r="AD706">
        <f t="shared" ca="1" si="22"/>
        <v>6</v>
      </c>
      <c r="AF706" s="3"/>
      <c r="AG706" s="3"/>
      <c r="AH706" s="3"/>
    </row>
    <row r="707" spans="1:34">
      <c r="A707" s="198"/>
      <c r="B707" s="198"/>
      <c r="C707" s="198" t="s">
        <v>1268</v>
      </c>
      <c r="D707" s="195">
        <v>762</v>
      </c>
      <c r="E707" s="195">
        <v>287</v>
      </c>
      <c r="F707" s="195">
        <v>287</v>
      </c>
      <c r="G707" s="239">
        <v>700</v>
      </c>
      <c r="H707" s="197" t="s">
        <v>72</v>
      </c>
      <c r="I707" s="242" t="s">
        <v>209</v>
      </c>
      <c r="J707" s="242" t="s">
        <v>13353</v>
      </c>
      <c r="K707" s="195" t="s">
        <v>70</v>
      </c>
      <c r="L707" s="20" t="str">
        <f ca="1">IF(OFFSET(환산공식!$ED$15,$F707,0)=1,"O","X")</f>
        <v>X</v>
      </c>
      <c r="M707" s="188">
        <f ca="1">IFERROR(OFFSET(환산공식!DJ$15,$F707,0),"")</f>
        <v>200</v>
      </c>
      <c r="N707" s="20" t="str">
        <f ca="1">IFERROR(CONCATENATE(ROUND(OFFSET(환산공식!DK$15,$F707,0),1),"%"),"")</f>
        <v>100%</v>
      </c>
      <c r="O707" s="20">
        <f ca="1">IFERROR(OFFSET(환산공식!DL$15,$F707,0),"")</f>
        <v>10</v>
      </c>
      <c r="P707" s="188" t="str">
        <f t="shared" ca="1" si="21"/>
        <v>3% 이하</v>
      </c>
      <c r="Q707" s="194">
        <f ca="1">IFERROR(ROUND(OFFSET(환산공식!$FG$15,$F707,0),3),"")</f>
        <v>0</v>
      </c>
      <c r="R707" s="194">
        <f ca="1">OFFSET('배치점수 계산기'!H$10,$D707,0)</f>
        <v>657.83399999999995</v>
      </c>
      <c r="S707" s="194">
        <f ca="1">OFFSET('배치점수 계산기'!I$10,$D707,0)</f>
        <v>656.25</v>
      </c>
      <c r="T707" s="194">
        <f ca="1">OFFSET('배치점수 계산기'!J$10,$D707,0)</f>
        <v>653.91600000000005</v>
      </c>
      <c r="U707" s="194">
        <f ca="1">OFFSET('배치점수 계산기'!K$10,$D707,0)</f>
        <v>651.70000000000005</v>
      </c>
      <c r="V707" s="194">
        <f ca="1">OFFSET('배치점수 계산기'!L$10,$D707,0)</f>
        <v>648.6</v>
      </c>
      <c r="W707" s="186" t="str">
        <f ca="1">OFFSET('배치점수 계산기'!M$10,$D707,0)</f>
        <v>표점</v>
      </c>
      <c r="X707" s="184" t="str">
        <f ca="1">OFFSET('배치점수 계산기'!N$10,$D707,0)</f>
        <v>표점</v>
      </c>
      <c r="Y707" s="188">
        <f ca="1">OFFSET(환산공식!FW$15,$F707,0)</f>
        <v>0.25</v>
      </c>
      <c r="Z707" s="20">
        <f ca="1">OFFSET(환산공식!FX$15,$F707,0)</f>
        <v>0.38</v>
      </c>
      <c r="AA707" s="179">
        <f ca="1">OFFSET(환산공식!FY$15,$F707,0)</f>
        <v>0.38</v>
      </c>
      <c r="AB707" s="3"/>
      <c r="AD707">
        <f t="shared" ca="1" si="22"/>
        <v>6</v>
      </c>
      <c r="AF707" s="3"/>
      <c r="AG707" s="3"/>
      <c r="AH707" s="3"/>
    </row>
    <row r="708" spans="1:34">
      <c r="A708" s="198"/>
      <c r="B708" s="198"/>
      <c r="C708" s="198" t="s">
        <v>1269</v>
      </c>
      <c r="D708" s="195">
        <v>763</v>
      </c>
      <c r="E708" s="195">
        <v>287</v>
      </c>
      <c r="F708" s="195">
        <v>287</v>
      </c>
      <c r="G708" s="239">
        <v>701</v>
      </c>
      <c r="H708" s="197" t="s">
        <v>72</v>
      </c>
      <c r="I708" s="242" t="s">
        <v>209</v>
      </c>
      <c r="J708" s="242" t="s">
        <v>16633</v>
      </c>
      <c r="K708" s="195" t="s">
        <v>70</v>
      </c>
      <c r="L708" s="20" t="str">
        <f ca="1">IF(OFFSET(환산공식!$ED$15,$F708,0)=1,"O","X")</f>
        <v>X</v>
      </c>
      <c r="M708" s="188">
        <f ca="1">IFERROR(OFFSET(환산공식!DJ$15,$F708,0),"")</f>
        <v>200</v>
      </c>
      <c r="N708" s="20" t="str">
        <f ca="1">IFERROR(CONCATENATE(ROUND(OFFSET(환산공식!DK$15,$F708,0),1),"%"),"")</f>
        <v>100%</v>
      </c>
      <c r="O708" s="20">
        <f ca="1">IFERROR(OFFSET(환산공식!DL$15,$F708,0),"")</f>
        <v>10</v>
      </c>
      <c r="P708" s="188" t="str">
        <f t="shared" ca="1" si="21"/>
        <v>3% 이하</v>
      </c>
      <c r="Q708" s="194">
        <f ca="1">IFERROR(ROUND(OFFSET(환산공식!$FG$15,$F708,0),3),"")</f>
        <v>0</v>
      </c>
      <c r="R708" s="194">
        <f ca="1">OFFSET('배치점수 계산기'!H$10,$D708,0)</f>
        <v>649.33399999999995</v>
      </c>
      <c r="S708" s="194">
        <f ca="1">OFFSET('배치점수 계산기'!I$10,$D708,0)</f>
        <v>648.04999999999995</v>
      </c>
      <c r="T708" s="194">
        <f ca="1">OFFSET('배치점수 계산기'!J$10,$D708,0)</f>
        <v>645.95000000000005</v>
      </c>
      <c r="U708" s="194">
        <f ca="1">OFFSET('배치점수 계산기'!K$10,$D708,0)</f>
        <v>644.04999999999995</v>
      </c>
      <c r="V708" s="194">
        <f ca="1">OFFSET('배치점수 계산기'!L$10,$D708,0)</f>
        <v>641.25</v>
      </c>
      <c r="W708" s="186" t="str">
        <f ca="1">OFFSET('배치점수 계산기'!M$10,$D708,0)</f>
        <v>표점</v>
      </c>
      <c r="X708" s="184" t="str">
        <f ca="1">OFFSET('배치점수 계산기'!N$10,$D708,0)</f>
        <v>표점</v>
      </c>
      <c r="Y708" s="188">
        <f ca="1">OFFSET(환산공식!FW$15,$F708,0)</f>
        <v>0.25</v>
      </c>
      <c r="Z708" s="20">
        <f ca="1">OFFSET(환산공식!FX$15,$F708,0)</f>
        <v>0.38</v>
      </c>
      <c r="AA708" s="179">
        <f ca="1">OFFSET(환산공식!FY$15,$F708,0)</f>
        <v>0.38</v>
      </c>
      <c r="AB708" s="3"/>
      <c r="AD708">
        <f t="shared" ca="1" si="22"/>
        <v>6</v>
      </c>
      <c r="AF708" s="3"/>
      <c r="AG708" s="3"/>
      <c r="AH708" s="3"/>
    </row>
    <row r="709" spans="1:34">
      <c r="A709" s="198"/>
      <c r="B709" s="198"/>
      <c r="C709" s="198" t="s">
        <v>1270</v>
      </c>
      <c r="D709" s="195">
        <v>764</v>
      </c>
      <c r="E709" s="195">
        <v>287</v>
      </c>
      <c r="F709" s="195">
        <v>287</v>
      </c>
      <c r="G709" s="239">
        <v>702</v>
      </c>
      <c r="H709" s="197" t="s">
        <v>72</v>
      </c>
      <c r="I709" s="242" t="s">
        <v>209</v>
      </c>
      <c r="J709" s="242" t="s">
        <v>13611</v>
      </c>
      <c r="K709" s="195" t="s">
        <v>70</v>
      </c>
      <c r="L709" s="20" t="str">
        <f ca="1">IF(OFFSET(환산공식!$ED$15,$F709,0)=1,"O","X")</f>
        <v>X</v>
      </c>
      <c r="M709" s="188">
        <f ca="1">IFERROR(OFFSET(환산공식!DJ$15,$F709,0),"")</f>
        <v>200</v>
      </c>
      <c r="N709" s="20" t="str">
        <f ca="1">IFERROR(CONCATENATE(ROUND(OFFSET(환산공식!DK$15,$F709,0),1),"%"),"")</f>
        <v>100%</v>
      </c>
      <c r="O709" s="20">
        <f ca="1">IFERROR(OFFSET(환산공식!DL$15,$F709,0),"")</f>
        <v>10</v>
      </c>
      <c r="P709" s="188" t="str">
        <f t="shared" ca="1" si="21"/>
        <v>3% 이하</v>
      </c>
      <c r="Q709" s="194">
        <f ca="1">IFERROR(ROUND(OFFSET(환산공식!$FG$15,$F709,0),3),"")</f>
        <v>0</v>
      </c>
      <c r="R709" s="194">
        <f ca="1">OFFSET('배치점수 계산기'!H$10,$D709,0)</f>
        <v>649.33399999999995</v>
      </c>
      <c r="S709" s="194">
        <f ca="1">OFFSET('배치점수 계산기'!I$10,$D709,0)</f>
        <v>648.04999999999995</v>
      </c>
      <c r="T709" s="194">
        <f ca="1">OFFSET('배치점수 계산기'!J$10,$D709,0)</f>
        <v>645.95000000000005</v>
      </c>
      <c r="U709" s="194">
        <f ca="1">OFFSET('배치점수 계산기'!K$10,$D709,0)</f>
        <v>644.04999999999995</v>
      </c>
      <c r="V709" s="194">
        <f ca="1">OFFSET('배치점수 계산기'!L$10,$D709,0)</f>
        <v>641.25</v>
      </c>
      <c r="W709" s="186" t="str">
        <f ca="1">OFFSET('배치점수 계산기'!M$10,$D709,0)</f>
        <v>표점</v>
      </c>
      <c r="X709" s="184" t="str">
        <f ca="1">OFFSET('배치점수 계산기'!N$10,$D709,0)</f>
        <v>표점</v>
      </c>
      <c r="Y709" s="188">
        <f ca="1">OFFSET(환산공식!FW$15,$F709,0)</f>
        <v>0.25</v>
      </c>
      <c r="Z709" s="20">
        <f ca="1">OFFSET(환산공식!FX$15,$F709,0)</f>
        <v>0.38</v>
      </c>
      <c r="AA709" s="179">
        <f ca="1">OFFSET(환산공식!FY$15,$F709,0)</f>
        <v>0.38</v>
      </c>
      <c r="AB709" s="3"/>
      <c r="AD709">
        <f t="shared" ca="1" si="22"/>
        <v>6</v>
      </c>
      <c r="AF709" s="3"/>
      <c r="AG709" s="3"/>
      <c r="AH709" s="3"/>
    </row>
    <row r="710" spans="1:34">
      <c r="A710" s="198"/>
      <c r="B710" s="198"/>
      <c r="C710" s="198" t="s">
        <v>1271</v>
      </c>
      <c r="D710" s="195">
        <v>766</v>
      </c>
      <c r="E710" s="195">
        <v>284</v>
      </c>
      <c r="F710" s="195">
        <v>284</v>
      </c>
      <c r="G710" s="239">
        <v>703</v>
      </c>
      <c r="H710" s="197" t="s">
        <v>72</v>
      </c>
      <c r="I710" s="242" t="s">
        <v>209</v>
      </c>
      <c r="J710" s="242" t="s">
        <v>8696</v>
      </c>
      <c r="K710" s="195" t="s">
        <v>71</v>
      </c>
      <c r="L710" s="20" t="str">
        <f ca="1">IF(OFFSET(환산공식!$ED$15,$F710,0)=1,"O","X")</f>
        <v>X</v>
      </c>
      <c r="M710" s="188">
        <f ca="1">IFERROR(OFFSET(환산공식!DJ$15,$F710,0),"")</f>
        <v>200</v>
      </c>
      <c r="N710" s="20" t="str">
        <f ca="1">IFERROR(CONCATENATE(ROUND(OFFSET(환산공식!DK$15,$F710,0),1),"%"),"")</f>
        <v>100%</v>
      </c>
      <c r="O710" s="20">
        <f ca="1">IFERROR(OFFSET(환산공식!DL$15,$F710,0),"")</f>
        <v>10</v>
      </c>
      <c r="P710" s="188" t="str">
        <f t="shared" ca="1" si="21"/>
        <v>3% 이하</v>
      </c>
      <c r="Q710" s="194">
        <f ca="1">IFERROR(ROUND(OFFSET(환산공식!$FG$15,$F710,0),3),"")</f>
        <v>0</v>
      </c>
      <c r="R710" s="194">
        <f ca="1">OFFSET('배치점수 계산기'!H$10,$D710,0)</f>
        <v>709.76900000000001</v>
      </c>
      <c r="S710" s="194">
        <f ca="1">OFFSET('배치점수 계산기'!I$10,$D710,0)</f>
        <v>707.49</v>
      </c>
      <c r="T710" s="194">
        <f ca="1">OFFSET('배치점수 계산기'!J$10,$D710,0)</f>
        <v>703.53099999999995</v>
      </c>
      <c r="U710" s="194">
        <f ca="1">OFFSET('배치점수 계산기'!K$10,$D710,0)</f>
        <v>699.8</v>
      </c>
      <c r="V710" s="194">
        <f ca="1">OFFSET('배치점수 계산기'!L$10,$D710,0)</f>
        <v>694.98099999999999</v>
      </c>
      <c r="W710" s="186" t="str">
        <f ca="1">OFFSET('배치점수 계산기'!M$10,$D710,0)</f>
        <v>표점</v>
      </c>
      <c r="X710" s="184" t="str">
        <f ca="1">OFFSET('배치점수 계산기'!N$10,$D710,0)</f>
        <v>표점</v>
      </c>
      <c r="Y710" s="188">
        <f ca="1">OFFSET(환산공식!FW$15,$F710,0)</f>
        <v>0.38</v>
      </c>
      <c r="Z710" s="20">
        <f ca="1">OFFSET(환산공식!FX$15,$F710,0)</f>
        <v>0.31</v>
      </c>
      <c r="AA710" s="179">
        <f ca="1">OFFSET(환산공식!FY$15,$F710,0)</f>
        <v>0.31</v>
      </c>
      <c r="AB710" s="3"/>
      <c r="AD710">
        <f t="shared" ca="1" si="22"/>
        <v>6</v>
      </c>
      <c r="AF710" s="3"/>
      <c r="AG710" s="3"/>
      <c r="AH710" s="3"/>
    </row>
    <row r="711" spans="1:34">
      <c r="A711" s="198"/>
      <c r="B711" s="198"/>
      <c r="C711" s="198" t="s">
        <v>1272</v>
      </c>
      <c r="D711" s="195">
        <v>767</v>
      </c>
      <c r="E711" s="195">
        <v>284</v>
      </c>
      <c r="F711" s="195">
        <v>284</v>
      </c>
      <c r="G711" s="239">
        <v>704</v>
      </c>
      <c r="H711" s="197" t="s">
        <v>72</v>
      </c>
      <c r="I711" s="242" t="s">
        <v>209</v>
      </c>
      <c r="J711" s="242" t="s">
        <v>10509</v>
      </c>
      <c r="K711" s="195" t="s">
        <v>71</v>
      </c>
      <c r="L711" s="20" t="str">
        <f ca="1">IF(OFFSET(환산공식!$ED$15,$F711,0)=1,"O","X")</f>
        <v>X</v>
      </c>
      <c r="M711" s="188">
        <f ca="1">IFERROR(OFFSET(환산공식!DJ$15,$F711,0),"")</f>
        <v>200</v>
      </c>
      <c r="N711" s="20" t="str">
        <f ca="1">IFERROR(CONCATENATE(ROUND(OFFSET(환산공식!DK$15,$F711,0),1),"%"),"")</f>
        <v>100%</v>
      </c>
      <c r="O711" s="20">
        <f ca="1">IFERROR(OFFSET(환산공식!DL$15,$F711,0),"")</f>
        <v>10</v>
      </c>
      <c r="P711" s="188" t="str">
        <f t="shared" ca="1" si="21"/>
        <v>3% 이하</v>
      </c>
      <c r="Q711" s="194">
        <f ca="1">IFERROR(ROUND(OFFSET(환산공식!$FG$15,$F711,0),3),"")</f>
        <v>0</v>
      </c>
      <c r="R711" s="194">
        <f ca="1">OFFSET('배치점수 계산기'!H$10,$D711,0)</f>
        <v>707.49</v>
      </c>
      <c r="S711" s="194">
        <f ca="1">OFFSET('배치점수 계산기'!I$10,$D711,0)</f>
        <v>705.27599999999995</v>
      </c>
      <c r="T711" s="194">
        <f ca="1">OFFSET('배치점수 계산기'!J$10,$D711,0)</f>
        <v>701.12</v>
      </c>
      <c r="U711" s="194">
        <f ca="1">OFFSET('배치점수 계산기'!K$10,$D711,0)</f>
        <v>698.05499999999995</v>
      </c>
      <c r="V711" s="194">
        <f ca="1">OFFSET('배치점수 계산기'!L$10,$D711,0)</f>
        <v>693.37</v>
      </c>
      <c r="W711" s="186" t="str">
        <f ca="1">OFFSET('배치점수 계산기'!M$10,$D711,0)</f>
        <v>표점</v>
      </c>
      <c r="X711" s="184" t="str">
        <f ca="1">OFFSET('배치점수 계산기'!N$10,$D711,0)</f>
        <v>표점</v>
      </c>
      <c r="Y711" s="188">
        <f ca="1">OFFSET(환산공식!FW$15,$F711,0)</f>
        <v>0.38</v>
      </c>
      <c r="Z711" s="20">
        <f ca="1">OFFSET(환산공식!FX$15,$F711,0)</f>
        <v>0.31</v>
      </c>
      <c r="AA711" s="179">
        <f ca="1">OFFSET(환산공식!FY$15,$F711,0)</f>
        <v>0.31</v>
      </c>
      <c r="AB711" s="3"/>
      <c r="AD711">
        <f t="shared" ca="1" si="22"/>
        <v>6</v>
      </c>
      <c r="AF711" s="3"/>
      <c r="AG711" s="3"/>
      <c r="AH711" s="3"/>
    </row>
    <row r="712" spans="1:34">
      <c r="A712" s="198"/>
      <c r="B712" s="198"/>
      <c r="C712" s="198" t="s">
        <v>1273</v>
      </c>
      <c r="D712" s="195">
        <v>768</v>
      </c>
      <c r="E712" s="195">
        <v>284</v>
      </c>
      <c r="F712" s="195">
        <v>284</v>
      </c>
      <c r="G712" s="239">
        <v>705</v>
      </c>
      <c r="H712" s="197" t="s">
        <v>72</v>
      </c>
      <c r="I712" s="242" t="s">
        <v>209</v>
      </c>
      <c r="J712" s="242" t="s">
        <v>8190</v>
      </c>
      <c r="K712" s="195" t="s">
        <v>71</v>
      </c>
      <c r="L712" s="20" t="str">
        <f ca="1">IF(OFFSET(환산공식!$ED$15,$F712,0)=1,"O","X")</f>
        <v>X</v>
      </c>
      <c r="M712" s="188">
        <f ca="1">IFERROR(OFFSET(환산공식!DJ$15,$F712,0),"")</f>
        <v>200</v>
      </c>
      <c r="N712" s="20" t="str">
        <f ca="1">IFERROR(CONCATENATE(ROUND(OFFSET(환산공식!DK$15,$F712,0),1),"%"),"")</f>
        <v>100%</v>
      </c>
      <c r="O712" s="20">
        <f ca="1">IFERROR(OFFSET(환산공식!DL$15,$F712,0),"")</f>
        <v>10</v>
      </c>
      <c r="P712" s="188" t="str">
        <f t="shared" ca="1" si="21"/>
        <v>3% 이하</v>
      </c>
      <c r="Q712" s="194">
        <f ca="1">IFERROR(ROUND(OFFSET(환산공식!$FG$15,$F712,0),3),"")</f>
        <v>0</v>
      </c>
      <c r="R712" s="194">
        <f ca="1">OFFSET('배치점수 계산기'!H$10,$D712,0)</f>
        <v>706.88900000000001</v>
      </c>
      <c r="S712" s="194">
        <f ca="1">OFFSET('배치점수 계산기'!I$10,$D712,0)</f>
        <v>704.54100000000005</v>
      </c>
      <c r="T712" s="194">
        <f ca="1">OFFSET('배치점수 계산기'!J$10,$D712,0)</f>
        <v>700.53499999999997</v>
      </c>
      <c r="U712" s="194">
        <f ca="1">OFFSET('배치점수 계산기'!K$10,$D712,0)</f>
        <v>697.47</v>
      </c>
      <c r="V712" s="194">
        <f ca="1">OFFSET('배치점수 계산기'!L$10,$D712,0)</f>
        <v>692.82899999999995</v>
      </c>
      <c r="W712" s="186" t="str">
        <f ca="1">OFFSET('배치점수 계산기'!M$10,$D712,0)</f>
        <v>표점</v>
      </c>
      <c r="X712" s="184" t="str">
        <f ca="1">OFFSET('배치점수 계산기'!N$10,$D712,0)</f>
        <v>표점</v>
      </c>
      <c r="Y712" s="188">
        <f ca="1">OFFSET(환산공식!FW$15,$F712,0)</f>
        <v>0.38</v>
      </c>
      <c r="Z712" s="20">
        <f ca="1">OFFSET(환산공식!FX$15,$F712,0)</f>
        <v>0.31</v>
      </c>
      <c r="AA712" s="179">
        <f ca="1">OFFSET(환산공식!FY$15,$F712,0)</f>
        <v>0.31</v>
      </c>
      <c r="AB712" s="3"/>
      <c r="AD712">
        <f t="shared" ca="1" si="22"/>
        <v>6</v>
      </c>
      <c r="AF712" s="3"/>
      <c r="AG712" s="3"/>
      <c r="AH712" s="3"/>
    </row>
    <row r="713" spans="1:34">
      <c r="A713" s="198"/>
      <c r="B713" s="198"/>
      <c r="C713" s="198" t="s">
        <v>1274</v>
      </c>
      <c r="D713" s="195">
        <v>769</v>
      </c>
      <c r="E713" s="195">
        <v>284</v>
      </c>
      <c r="F713" s="195">
        <v>284</v>
      </c>
      <c r="G713" s="239">
        <v>706</v>
      </c>
      <c r="H713" s="197" t="s">
        <v>72</v>
      </c>
      <c r="I713" s="242" t="s">
        <v>209</v>
      </c>
      <c r="J713" s="242" t="s">
        <v>9141</v>
      </c>
      <c r="K713" s="195" t="s">
        <v>71</v>
      </c>
      <c r="L713" s="20" t="str">
        <f ca="1">IF(OFFSET(환산공식!$ED$15,$F713,0)=1,"O","X")</f>
        <v>X</v>
      </c>
      <c r="M713" s="188">
        <f ca="1">IFERROR(OFFSET(환산공식!DJ$15,$F713,0),"")</f>
        <v>200</v>
      </c>
      <c r="N713" s="20" t="str">
        <f ca="1">IFERROR(CONCATENATE(ROUND(OFFSET(환산공식!DK$15,$F713,0),1),"%"),"")</f>
        <v>100%</v>
      </c>
      <c r="O713" s="20">
        <f ca="1">IFERROR(OFFSET(환산공식!DL$15,$F713,0),"")</f>
        <v>10</v>
      </c>
      <c r="P713" s="188" t="str">
        <f t="shared" ref="P713:P776" ca="1" si="23"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>3% 이하</v>
      </c>
      <c r="Q713" s="194">
        <f ca="1">IFERROR(ROUND(OFFSET(환산공식!$FG$15,$F713,0),3),"")</f>
        <v>0</v>
      </c>
      <c r="R713" s="194">
        <f ca="1">OFFSET('배치점수 계산기'!H$10,$D713,0)</f>
        <v>706.02</v>
      </c>
      <c r="S713" s="194">
        <f ca="1">OFFSET('배치점수 계산기'!I$10,$D713,0)</f>
        <v>703.53099999999995</v>
      </c>
      <c r="T713" s="194">
        <f ca="1">OFFSET('배치점수 계산기'!J$10,$D713,0)</f>
        <v>699.8</v>
      </c>
      <c r="U713" s="194">
        <f ca="1">OFFSET('배치점수 계산기'!K$10,$D713,0)</f>
        <v>696.86900000000003</v>
      </c>
      <c r="V713" s="194">
        <f ca="1">OFFSET('배치점수 계산기'!L$10,$D713,0)</f>
        <v>692.21</v>
      </c>
      <c r="W713" s="186" t="str">
        <f ca="1">OFFSET('배치점수 계산기'!M$10,$D713,0)</f>
        <v>표점</v>
      </c>
      <c r="X713" s="184" t="str">
        <f ca="1">OFFSET('배치점수 계산기'!N$10,$D713,0)</f>
        <v>표점</v>
      </c>
      <c r="Y713" s="188">
        <f ca="1">OFFSET(환산공식!FW$15,$F713,0)</f>
        <v>0.38</v>
      </c>
      <c r="Z713" s="20">
        <f ca="1">OFFSET(환산공식!FX$15,$F713,0)</f>
        <v>0.31</v>
      </c>
      <c r="AA713" s="179">
        <f ca="1">OFFSET(환산공식!FY$15,$F713,0)</f>
        <v>0.31</v>
      </c>
      <c r="AB713" s="3"/>
      <c r="AD713">
        <f t="shared" ref="AD713:AD776" ca="1" si="24">IF(L713="X",6,IF(Q713&gt;R713,1,IF(Q713&gt;S713,2,IF(Q713&gt;T713,3,IF(Q713&gt;U713,4,IF(Q713&gt;=V713,5,IF(Q713&lt;V713,6,"")))))))</f>
        <v>6</v>
      </c>
      <c r="AF713" s="3"/>
      <c r="AG713" s="3"/>
      <c r="AH713" s="3"/>
    </row>
    <row r="714" spans="1:34">
      <c r="A714" s="198"/>
      <c r="B714" s="198"/>
      <c r="C714" s="198" t="s">
        <v>1275</v>
      </c>
      <c r="D714" s="195">
        <v>770</v>
      </c>
      <c r="E714" s="195">
        <v>284</v>
      </c>
      <c r="F714" s="195">
        <v>284</v>
      </c>
      <c r="G714" s="239">
        <v>707</v>
      </c>
      <c r="H714" s="197" t="s">
        <v>72</v>
      </c>
      <c r="I714" s="242" t="s">
        <v>209</v>
      </c>
      <c r="J714" s="242" t="s">
        <v>8216</v>
      </c>
      <c r="K714" s="195" t="s">
        <v>71</v>
      </c>
      <c r="L714" s="20" t="str">
        <f ca="1">IF(OFFSET(환산공식!$ED$15,$F714,0)=1,"O","X")</f>
        <v>X</v>
      </c>
      <c r="M714" s="188">
        <f ca="1">IFERROR(OFFSET(환산공식!DJ$15,$F714,0),"")</f>
        <v>200</v>
      </c>
      <c r="N714" s="20" t="str">
        <f ca="1">IFERROR(CONCATENATE(ROUND(OFFSET(환산공식!DK$15,$F714,0),1),"%"),"")</f>
        <v>100%</v>
      </c>
      <c r="O714" s="20">
        <f ca="1">IFERROR(OFFSET(환산공식!DL$15,$F714,0),"")</f>
        <v>10</v>
      </c>
      <c r="P714" s="188" t="str">
        <f t="shared" ca="1" si="23"/>
        <v>3% 이하</v>
      </c>
      <c r="Q714" s="194">
        <f ca="1">IFERROR(ROUND(OFFSET(환산공식!$FG$15,$F714,0),3),"")</f>
        <v>0</v>
      </c>
      <c r="R714" s="194">
        <f ca="1">OFFSET('배치점수 계산기'!H$10,$D714,0)</f>
        <v>705.27599999999995</v>
      </c>
      <c r="S714" s="194">
        <f ca="1">OFFSET('배치점수 계산기'!I$10,$D714,0)</f>
        <v>702.85599999999999</v>
      </c>
      <c r="T714" s="194">
        <f ca="1">OFFSET('배치점수 계산기'!J$10,$D714,0)</f>
        <v>699.21500000000003</v>
      </c>
      <c r="U714" s="194">
        <f ca="1">OFFSET('배치점수 계산기'!K$10,$D714,0)</f>
        <v>695.94100000000003</v>
      </c>
      <c r="V714" s="194">
        <f ca="1">OFFSET('배치점수 계산기'!L$10,$D714,0)</f>
        <v>691.68499999999995</v>
      </c>
      <c r="W714" s="186" t="str">
        <f ca="1">OFFSET('배치점수 계산기'!M$10,$D714,0)</f>
        <v>표점</v>
      </c>
      <c r="X714" s="184" t="str">
        <f ca="1">OFFSET('배치점수 계산기'!N$10,$D714,0)</f>
        <v>표점</v>
      </c>
      <c r="Y714" s="188">
        <f ca="1">OFFSET(환산공식!FW$15,$F714,0)</f>
        <v>0.38</v>
      </c>
      <c r="Z714" s="20">
        <f ca="1">OFFSET(환산공식!FX$15,$F714,0)</f>
        <v>0.31</v>
      </c>
      <c r="AA714" s="179">
        <f ca="1">OFFSET(환산공식!FY$15,$F714,0)</f>
        <v>0.31</v>
      </c>
      <c r="AB714" s="3"/>
      <c r="AD714">
        <f t="shared" ca="1" si="24"/>
        <v>6</v>
      </c>
      <c r="AF714" s="3"/>
      <c r="AG714" s="3"/>
      <c r="AH714" s="3"/>
    </row>
    <row r="715" spans="1:34">
      <c r="A715" s="198"/>
      <c r="B715" s="198"/>
      <c r="C715" s="198" t="s">
        <v>1276</v>
      </c>
      <c r="D715" s="195">
        <v>771</v>
      </c>
      <c r="E715" s="195">
        <v>284</v>
      </c>
      <c r="F715" s="195">
        <v>284</v>
      </c>
      <c r="G715" s="239">
        <v>708</v>
      </c>
      <c r="H715" s="197" t="s">
        <v>72</v>
      </c>
      <c r="I715" s="242" t="s">
        <v>209</v>
      </c>
      <c r="J715" s="242" t="s">
        <v>7365</v>
      </c>
      <c r="K715" s="195" t="s">
        <v>71</v>
      </c>
      <c r="L715" s="20" t="str">
        <f ca="1">IF(OFFSET(환산공식!$ED$15,$F715,0)=1,"O","X")</f>
        <v>X</v>
      </c>
      <c r="M715" s="188">
        <f ca="1">IFERROR(OFFSET(환산공식!DJ$15,$F715,0),"")</f>
        <v>200</v>
      </c>
      <c r="N715" s="20" t="str">
        <f ca="1">IFERROR(CONCATENATE(ROUND(OFFSET(환산공식!DK$15,$F715,0),1),"%"),"")</f>
        <v>100%</v>
      </c>
      <c r="O715" s="20">
        <f ca="1">IFERROR(OFFSET(환산공식!DL$15,$F715,0),"")</f>
        <v>10</v>
      </c>
      <c r="P715" s="188" t="str">
        <f t="shared" ca="1" si="23"/>
        <v>3% 이하</v>
      </c>
      <c r="Q715" s="194">
        <f ca="1">IFERROR(ROUND(OFFSET(환산공식!$FG$15,$F715,0),3),"")</f>
        <v>0</v>
      </c>
      <c r="R715" s="194">
        <f ca="1">OFFSET('배치점수 계산기'!H$10,$D715,0)</f>
        <v>705.27599999999995</v>
      </c>
      <c r="S715" s="194">
        <f ca="1">OFFSET('배치점수 계산기'!I$10,$D715,0)</f>
        <v>702.85599999999999</v>
      </c>
      <c r="T715" s="194">
        <f ca="1">OFFSET('배치점수 계산기'!J$10,$D715,0)</f>
        <v>699.21500000000003</v>
      </c>
      <c r="U715" s="194">
        <f ca="1">OFFSET('배치점수 계산기'!K$10,$D715,0)</f>
        <v>695.94100000000003</v>
      </c>
      <c r="V715" s="194">
        <f ca="1">OFFSET('배치점수 계산기'!L$10,$D715,0)</f>
        <v>691.68499999999995</v>
      </c>
      <c r="W715" s="186" t="str">
        <f ca="1">OFFSET('배치점수 계산기'!M$10,$D715,0)</f>
        <v>표점</v>
      </c>
      <c r="X715" s="184" t="str">
        <f ca="1">OFFSET('배치점수 계산기'!N$10,$D715,0)</f>
        <v>표점</v>
      </c>
      <c r="Y715" s="188">
        <f ca="1">OFFSET(환산공식!FW$15,$F715,0)</f>
        <v>0.38</v>
      </c>
      <c r="Z715" s="20">
        <f ca="1">OFFSET(환산공식!FX$15,$F715,0)</f>
        <v>0.31</v>
      </c>
      <c r="AA715" s="179">
        <f ca="1">OFFSET(환산공식!FY$15,$F715,0)</f>
        <v>0.31</v>
      </c>
      <c r="AB715" s="3"/>
      <c r="AD715">
        <f t="shared" ca="1" si="24"/>
        <v>6</v>
      </c>
      <c r="AF715" s="3"/>
      <c r="AG715" s="3"/>
      <c r="AH715" s="3"/>
    </row>
    <row r="716" spans="1:34">
      <c r="A716" s="198"/>
      <c r="B716" s="198"/>
      <c r="C716" s="198" t="s">
        <v>1277</v>
      </c>
      <c r="D716" s="195">
        <v>772</v>
      </c>
      <c r="E716" s="195">
        <v>284</v>
      </c>
      <c r="F716" s="195">
        <v>284</v>
      </c>
      <c r="G716" s="239">
        <v>709</v>
      </c>
      <c r="H716" s="197" t="s">
        <v>72</v>
      </c>
      <c r="I716" s="242" t="s">
        <v>209</v>
      </c>
      <c r="J716" s="242" t="s">
        <v>8337</v>
      </c>
      <c r="K716" s="195" t="s">
        <v>71</v>
      </c>
      <c r="L716" s="20" t="str">
        <f ca="1">IF(OFFSET(환산공식!$ED$15,$F716,0)=1,"O","X")</f>
        <v>X</v>
      </c>
      <c r="M716" s="188">
        <f ca="1">IFERROR(OFFSET(환산공식!DJ$15,$F716,0),"")</f>
        <v>200</v>
      </c>
      <c r="N716" s="20" t="str">
        <f ca="1">IFERROR(CONCATENATE(ROUND(OFFSET(환산공식!DK$15,$F716,0),1),"%"),"")</f>
        <v>100%</v>
      </c>
      <c r="O716" s="20">
        <f ca="1">IFERROR(OFFSET(환산공식!DL$15,$F716,0),"")</f>
        <v>10</v>
      </c>
      <c r="P716" s="188" t="str">
        <f t="shared" ca="1" si="23"/>
        <v>3% 이하</v>
      </c>
      <c r="Q716" s="194">
        <f ca="1">IFERROR(ROUND(OFFSET(환산공식!$FG$15,$F716,0),3),"")</f>
        <v>0</v>
      </c>
      <c r="R716" s="194">
        <f ca="1">OFFSET('배치점수 계산기'!H$10,$D716,0)</f>
        <v>699.06500000000005</v>
      </c>
      <c r="S716" s="194">
        <f ca="1">OFFSET('배치점수 계산기'!I$10,$D716,0)</f>
        <v>697.47</v>
      </c>
      <c r="T716" s="194">
        <f ca="1">OFFSET('배치점수 계산기'!J$10,$D716,0)</f>
        <v>694.38</v>
      </c>
      <c r="U716" s="194">
        <f ca="1">OFFSET('배치점수 계산기'!K$10,$D716,0)</f>
        <v>691.68499999999995</v>
      </c>
      <c r="V716" s="194">
        <f ca="1">OFFSET('배치점수 계산기'!L$10,$D716,0)</f>
        <v>687.52</v>
      </c>
      <c r="W716" s="186" t="str">
        <f ca="1">OFFSET('배치점수 계산기'!M$10,$D716,0)</f>
        <v>표점</v>
      </c>
      <c r="X716" s="184" t="str">
        <f ca="1">OFFSET('배치점수 계산기'!N$10,$D716,0)</f>
        <v>표점</v>
      </c>
      <c r="Y716" s="188">
        <f ca="1">OFFSET(환산공식!FW$15,$F716,0)</f>
        <v>0.38</v>
      </c>
      <c r="Z716" s="20">
        <f ca="1">OFFSET(환산공식!FX$15,$F716,0)</f>
        <v>0.31</v>
      </c>
      <c r="AA716" s="179">
        <f ca="1">OFFSET(환산공식!FY$15,$F716,0)</f>
        <v>0.31</v>
      </c>
      <c r="AB716" s="3"/>
      <c r="AD716">
        <f t="shared" ca="1" si="24"/>
        <v>6</v>
      </c>
      <c r="AF716" s="3"/>
      <c r="AG716" s="3"/>
      <c r="AH716" s="3"/>
    </row>
    <row r="717" spans="1:34">
      <c r="A717" s="198"/>
      <c r="B717" s="198"/>
      <c r="C717" s="198" t="s">
        <v>1278</v>
      </c>
      <c r="D717" s="195">
        <v>773</v>
      </c>
      <c r="E717" s="195">
        <v>284</v>
      </c>
      <c r="F717" s="195">
        <v>284</v>
      </c>
      <c r="G717" s="239">
        <v>710</v>
      </c>
      <c r="H717" s="197" t="s">
        <v>72</v>
      </c>
      <c r="I717" s="242" t="s">
        <v>209</v>
      </c>
      <c r="J717" s="242" t="s">
        <v>11082</v>
      </c>
      <c r="K717" s="195" t="s">
        <v>71</v>
      </c>
      <c r="L717" s="20" t="str">
        <f ca="1">IF(OFFSET(환산공식!$ED$15,$F717,0)=1,"O","X")</f>
        <v>X</v>
      </c>
      <c r="M717" s="188">
        <f ca="1">IFERROR(OFFSET(환산공식!DJ$15,$F717,0),"")</f>
        <v>200</v>
      </c>
      <c r="N717" s="20" t="str">
        <f ca="1">IFERROR(CONCATENATE(ROUND(OFFSET(환산공식!DK$15,$F717,0),1),"%"),"")</f>
        <v>100%</v>
      </c>
      <c r="O717" s="20">
        <f ca="1">IFERROR(OFFSET(환산공식!DL$15,$F717,0),"")</f>
        <v>10</v>
      </c>
      <c r="P717" s="188" t="str">
        <f t="shared" ca="1" si="23"/>
        <v>3% 이하</v>
      </c>
      <c r="Q717" s="194">
        <f ca="1">IFERROR(ROUND(OFFSET(환산공식!$FG$15,$F717,0),3),"")</f>
        <v>0</v>
      </c>
      <c r="R717" s="194">
        <f ca="1">OFFSET('배치점수 계산기'!H$10,$D717,0)</f>
        <v>697.47</v>
      </c>
      <c r="S717" s="194">
        <f ca="1">OFFSET('배치점수 계산기'!I$10,$D717,0)</f>
        <v>695.50599999999997</v>
      </c>
      <c r="T717" s="194">
        <f ca="1">OFFSET('배치점수 계산기'!J$10,$D717,0)</f>
        <v>692.82899999999995</v>
      </c>
      <c r="U717" s="194">
        <f ca="1">OFFSET('배치점수 계산기'!K$10,$D717,0)</f>
        <v>690.22400000000005</v>
      </c>
      <c r="V717" s="194">
        <f ca="1">OFFSET('배치점수 계산기'!L$10,$D717,0)</f>
        <v>686.2</v>
      </c>
      <c r="W717" s="186" t="str">
        <f ca="1">OFFSET('배치점수 계산기'!M$10,$D717,0)</f>
        <v>표점</v>
      </c>
      <c r="X717" s="184" t="str">
        <f ca="1">OFFSET('배치점수 계산기'!N$10,$D717,0)</f>
        <v>표점</v>
      </c>
      <c r="Y717" s="188">
        <f ca="1">OFFSET(환산공식!FW$15,$F717,0)</f>
        <v>0.38</v>
      </c>
      <c r="Z717" s="20">
        <f ca="1">OFFSET(환산공식!FX$15,$F717,0)</f>
        <v>0.31</v>
      </c>
      <c r="AA717" s="179">
        <f ca="1">OFFSET(환산공식!FY$15,$F717,0)</f>
        <v>0.31</v>
      </c>
      <c r="AB717" s="3"/>
      <c r="AD717">
        <f t="shared" ca="1" si="24"/>
        <v>6</v>
      </c>
      <c r="AF717" s="3"/>
      <c r="AG717" s="3"/>
      <c r="AH717" s="3"/>
    </row>
    <row r="718" spans="1:34">
      <c r="A718" s="198"/>
      <c r="B718" s="198"/>
      <c r="C718" s="198" t="s">
        <v>1279</v>
      </c>
      <c r="D718" s="195">
        <v>774</v>
      </c>
      <c r="E718" s="195">
        <v>284</v>
      </c>
      <c r="F718" s="195">
        <v>284</v>
      </c>
      <c r="G718" s="239">
        <v>711</v>
      </c>
      <c r="H718" s="197" t="s">
        <v>72</v>
      </c>
      <c r="I718" s="242" t="s">
        <v>209</v>
      </c>
      <c r="J718" s="242" t="s">
        <v>8772</v>
      </c>
      <c r="K718" s="195" t="s">
        <v>71</v>
      </c>
      <c r="L718" s="20" t="str">
        <f ca="1">IF(OFFSET(환산공식!$ED$15,$F718,0)=1,"O","X")</f>
        <v>X</v>
      </c>
      <c r="M718" s="188">
        <f ca="1">IFERROR(OFFSET(환산공식!DJ$15,$F718,0),"")</f>
        <v>200</v>
      </c>
      <c r="N718" s="20" t="str">
        <f ca="1">IFERROR(CONCATENATE(ROUND(OFFSET(환산공식!DK$15,$F718,0),1),"%"),"")</f>
        <v>100%</v>
      </c>
      <c r="O718" s="20">
        <f ca="1">IFERROR(OFFSET(환산공식!DL$15,$F718,0),"")</f>
        <v>10</v>
      </c>
      <c r="P718" s="188" t="str">
        <f t="shared" ca="1" si="23"/>
        <v>3% 이하</v>
      </c>
      <c r="Q718" s="194">
        <f ca="1">IFERROR(ROUND(OFFSET(환산공식!$FG$15,$F718,0),3),"")</f>
        <v>0</v>
      </c>
      <c r="R718" s="194">
        <f ca="1">OFFSET('배치점수 계산기'!H$10,$D718,0)</f>
        <v>696.22500000000002</v>
      </c>
      <c r="S718" s="194">
        <f ca="1">OFFSET('배치점수 계산기'!I$10,$D718,0)</f>
        <v>694.66399999999999</v>
      </c>
      <c r="T718" s="194">
        <f ca="1">OFFSET('배치점수 계산기'!J$10,$D718,0)</f>
        <v>691.96900000000005</v>
      </c>
      <c r="U718" s="194">
        <f ca="1">OFFSET('배치점수 계산기'!K$10,$D718,0)</f>
        <v>689.20500000000004</v>
      </c>
      <c r="V718" s="194">
        <f ca="1">OFFSET('배치점수 계산기'!L$10,$D718,0)</f>
        <v>685.19</v>
      </c>
      <c r="W718" s="186" t="str">
        <f ca="1">OFFSET('배치점수 계산기'!M$10,$D718,0)</f>
        <v>표점</v>
      </c>
      <c r="X718" s="184" t="str">
        <f ca="1">OFFSET('배치점수 계산기'!N$10,$D718,0)</f>
        <v>표점</v>
      </c>
      <c r="Y718" s="188">
        <f ca="1">OFFSET(환산공식!FW$15,$F718,0)</f>
        <v>0.38</v>
      </c>
      <c r="Z718" s="20">
        <f ca="1">OFFSET(환산공식!FX$15,$F718,0)</f>
        <v>0.31</v>
      </c>
      <c r="AA718" s="179">
        <f ca="1">OFFSET(환산공식!FY$15,$F718,0)</f>
        <v>0.31</v>
      </c>
      <c r="AB718" s="3"/>
      <c r="AD718">
        <f t="shared" ca="1" si="24"/>
        <v>6</v>
      </c>
      <c r="AF718" s="3"/>
      <c r="AG718" s="3"/>
      <c r="AH718" s="3"/>
    </row>
    <row r="719" spans="1:34">
      <c r="A719" s="198"/>
      <c r="B719" s="198"/>
      <c r="C719" s="198" t="s">
        <v>1280</v>
      </c>
      <c r="D719" s="195">
        <v>775</v>
      </c>
      <c r="E719" s="195">
        <v>284</v>
      </c>
      <c r="F719" s="195">
        <v>284</v>
      </c>
      <c r="G719" s="239">
        <v>712</v>
      </c>
      <c r="H719" s="197" t="s">
        <v>72</v>
      </c>
      <c r="I719" s="242" t="s">
        <v>209</v>
      </c>
      <c r="J719" s="242" t="s">
        <v>8953</v>
      </c>
      <c r="K719" s="195" t="s">
        <v>71</v>
      </c>
      <c r="L719" s="20" t="str">
        <f ca="1">IF(OFFSET(환산공식!$ED$15,$F719,0)=1,"O","X")</f>
        <v>X</v>
      </c>
      <c r="M719" s="188">
        <f ca="1">IFERROR(OFFSET(환산공식!DJ$15,$F719,0),"")</f>
        <v>200</v>
      </c>
      <c r="N719" s="20" t="str">
        <f ca="1">IFERROR(CONCATENATE(ROUND(OFFSET(환산공식!DK$15,$F719,0),1),"%"),"")</f>
        <v>100%</v>
      </c>
      <c r="O719" s="20">
        <f ca="1">IFERROR(OFFSET(환산공식!DL$15,$F719,0),"")</f>
        <v>10</v>
      </c>
      <c r="P719" s="188" t="str">
        <f t="shared" ca="1" si="23"/>
        <v>3% 이하</v>
      </c>
      <c r="Q719" s="194">
        <f ca="1">IFERROR(ROUND(OFFSET(환산공식!$FG$15,$F719,0),3),"")</f>
        <v>0</v>
      </c>
      <c r="R719" s="194">
        <f ca="1">OFFSET('배치점수 계산기'!H$10,$D719,0)</f>
        <v>695.50599999999997</v>
      </c>
      <c r="S719" s="194">
        <f ca="1">OFFSET('배치점수 계산기'!I$10,$D719,0)</f>
        <v>693.95500000000004</v>
      </c>
      <c r="T719" s="194">
        <f ca="1">OFFSET('배치점수 계산기'!J$10,$D719,0)</f>
        <v>691.22500000000002</v>
      </c>
      <c r="U719" s="194">
        <f ca="1">OFFSET('배치점수 계산기'!K$10,$D719,0)</f>
        <v>688.68</v>
      </c>
      <c r="V719" s="194">
        <f ca="1">OFFSET('배치점수 계산기'!L$10,$D719,0)</f>
        <v>684.64</v>
      </c>
      <c r="W719" s="186" t="str">
        <f ca="1">OFFSET('배치점수 계산기'!M$10,$D719,0)</f>
        <v>표점</v>
      </c>
      <c r="X719" s="184" t="str">
        <f ca="1">OFFSET('배치점수 계산기'!N$10,$D719,0)</f>
        <v>표점</v>
      </c>
      <c r="Y719" s="188">
        <f ca="1">OFFSET(환산공식!FW$15,$F719,0)</f>
        <v>0.38</v>
      </c>
      <c r="Z719" s="20">
        <f ca="1">OFFSET(환산공식!FX$15,$F719,0)</f>
        <v>0.31</v>
      </c>
      <c r="AA719" s="179">
        <f ca="1">OFFSET(환산공식!FY$15,$F719,0)</f>
        <v>0.31</v>
      </c>
      <c r="AB719" s="3"/>
      <c r="AD719">
        <f t="shared" ca="1" si="24"/>
        <v>6</v>
      </c>
      <c r="AF719" s="3"/>
      <c r="AG719" s="3"/>
      <c r="AH719" s="3"/>
    </row>
    <row r="720" spans="1:34">
      <c r="A720" s="198"/>
      <c r="B720" s="198"/>
      <c r="C720" s="198" t="s">
        <v>1281</v>
      </c>
      <c r="D720" s="195">
        <v>776</v>
      </c>
      <c r="E720" s="195">
        <v>284</v>
      </c>
      <c r="F720" s="195">
        <v>284</v>
      </c>
      <c r="G720" s="239">
        <v>713</v>
      </c>
      <c r="H720" s="197" t="s">
        <v>72</v>
      </c>
      <c r="I720" s="242" t="s">
        <v>209</v>
      </c>
      <c r="J720" s="242" t="s">
        <v>542</v>
      </c>
      <c r="K720" s="195" t="s">
        <v>71</v>
      </c>
      <c r="L720" s="20" t="str">
        <f ca="1">IF(OFFSET(환산공식!$ED$15,$F720,0)=1,"O","X")</f>
        <v>X</v>
      </c>
      <c r="M720" s="188">
        <f ca="1">IFERROR(OFFSET(환산공식!DJ$15,$F720,0),"")</f>
        <v>200</v>
      </c>
      <c r="N720" s="20" t="str">
        <f ca="1">IFERROR(CONCATENATE(ROUND(OFFSET(환산공식!DK$15,$F720,0),1),"%"),"")</f>
        <v>100%</v>
      </c>
      <c r="O720" s="20">
        <f ca="1">IFERROR(OFFSET(환산공식!DL$15,$F720,0),"")</f>
        <v>10</v>
      </c>
      <c r="P720" s="188" t="str">
        <f t="shared" ca="1" si="23"/>
        <v>3% 이하</v>
      </c>
      <c r="Q720" s="194">
        <f ca="1">IFERROR(ROUND(OFFSET(환산공식!$FG$15,$F720,0),3),"")</f>
        <v>0</v>
      </c>
      <c r="R720" s="194">
        <f ca="1">OFFSET('배치점수 계산기'!H$10,$D720,0)</f>
        <v>695.22299999999996</v>
      </c>
      <c r="S720" s="194">
        <f ca="1">OFFSET('배치점수 계산기'!I$10,$D720,0)</f>
        <v>693.64499999999998</v>
      </c>
      <c r="T720" s="194">
        <f ca="1">OFFSET('배치점수 계산기'!J$10,$D720,0)</f>
        <v>691.08399999999995</v>
      </c>
      <c r="U720" s="194">
        <f ca="1">OFFSET('배치점수 계산기'!K$10,$D720,0)</f>
        <v>688.34500000000003</v>
      </c>
      <c r="V720" s="194">
        <f ca="1">OFFSET('배치점수 계산기'!L$10,$D720,0)</f>
        <v>684.38099999999997</v>
      </c>
      <c r="W720" s="186" t="str">
        <f ca="1">OFFSET('배치점수 계산기'!M$10,$D720,0)</f>
        <v>표점</v>
      </c>
      <c r="X720" s="184" t="str">
        <f ca="1">OFFSET('배치점수 계산기'!N$10,$D720,0)</f>
        <v>표점</v>
      </c>
      <c r="Y720" s="188">
        <f ca="1">OFFSET(환산공식!FW$15,$F720,0)</f>
        <v>0.38</v>
      </c>
      <c r="Z720" s="20">
        <f ca="1">OFFSET(환산공식!FX$15,$F720,0)</f>
        <v>0.31</v>
      </c>
      <c r="AA720" s="179">
        <f ca="1">OFFSET(환산공식!FY$15,$F720,0)</f>
        <v>0.31</v>
      </c>
      <c r="AB720" s="3"/>
      <c r="AD720">
        <f t="shared" ca="1" si="24"/>
        <v>6</v>
      </c>
      <c r="AF720" s="3"/>
      <c r="AG720" s="3"/>
      <c r="AH720" s="3"/>
    </row>
    <row r="721" spans="1:34">
      <c r="A721" s="198"/>
      <c r="B721" s="198"/>
      <c r="C721" s="198" t="s">
        <v>1282</v>
      </c>
      <c r="D721" s="195">
        <v>777</v>
      </c>
      <c r="E721" s="195">
        <v>284</v>
      </c>
      <c r="F721" s="195">
        <v>284</v>
      </c>
      <c r="G721" s="239">
        <v>714</v>
      </c>
      <c r="H721" s="197" t="s">
        <v>72</v>
      </c>
      <c r="I721" s="242" t="s">
        <v>209</v>
      </c>
      <c r="J721" s="242" t="s">
        <v>8232</v>
      </c>
      <c r="K721" s="195" t="s">
        <v>71</v>
      </c>
      <c r="L721" s="20" t="str">
        <f ca="1">IF(OFFSET(환산공식!$ED$15,$F721,0)=1,"O","X")</f>
        <v>X</v>
      </c>
      <c r="M721" s="188">
        <f ca="1">IFERROR(OFFSET(환산공식!DJ$15,$F721,0),"")</f>
        <v>200</v>
      </c>
      <c r="N721" s="20" t="str">
        <f ca="1">IFERROR(CONCATENATE(ROUND(OFFSET(환산공식!DK$15,$F721,0),1),"%"),"")</f>
        <v>100%</v>
      </c>
      <c r="O721" s="20">
        <f ca="1">IFERROR(OFFSET(환산공식!DL$15,$F721,0),"")</f>
        <v>10</v>
      </c>
      <c r="P721" s="188" t="str">
        <f t="shared" ca="1" si="23"/>
        <v>3% 이하</v>
      </c>
      <c r="Q721" s="194">
        <f ca="1">IFERROR(ROUND(OFFSET(환산공식!$FG$15,$F721,0),3),"")</f>
        <v>0</v>
      </c>
      <c r="R721" s="194">
        <f ca="1">OFFSET('배치점수 계산기'!H$10,$D721,0)</f>
        <v>695.11500000000001</v>
      </c>
      <c r="S721" s="194">
        <f ca="1">OFFSET('배치점수 계산기'!I$10,$D721,0)</f>
        <v>693.37</v>
      </c>
      <c r="T721" s="194">
        <f ca="1">OFFSET('배치점수 계산기'!J$10,$D721,0)</f>
        <v>690.80899999999997</v>
      </c>
      <c r="U721" s="194">
        <f ca="1">OFFSET('배치점수 계산기'!K$10,$D721,0)</f>
        <v>688.19500000000005</v>
      </c>
      <c r="V721" s="194">
        <f ca="1">OFFSET('배치점수 계산기'!L$10,$D721,0)</f>
        <v>684.18899999999996</v>
      </c>
      <c r="W721" s="186" t="str">
        <f ca="1">OFFSET('배치점수 계산기'!M$10,$D721,0)</f>
        <v>표점</v>
      </c>
      <c r="X721" s="184" t="str">
        <f ca="1">OFFSET('배치점수 계산기'!N$10,$D721,0)</f>
        <v>표점</v>
      </c>
      <c r="Y721" s="188">
        <f ca="1">OFFSET(환산공식!FW$15,$F721,0)</f>
        <v>0.38</v>
      </c>
      <c r="Z721" s="20">
        <f ca="1">OFFSET(환산공식!FX$15,$F721,0)</f>
        <v>0.31</v>
      </c>
      <c r="AA721" s="179">
        <f ca="1">OFFSET(환산공식!FY$15,$F721,0)</f>
        <v>0.31</v>
      </c>
      <c r="AB721" s="3"/>
      <c r="AD721">
        <f t="shared" ca="1" si="24"/>
        <v>6</v>
      </c>
      <c r="AF721" s="3"/>
      <c r="AG721" s="3"/>
      <c r="AH721" s="3"/>
    </row>
    <row r="722" spans="1:34">
      <c r="A722" s="198"/>
      <c r="B722" s="198"/>
      <c r="C722" s="198" t="s">
        <v>1283</v>
      </c>
      <c r="D722" s="195">
        <v>778</v>
      </c>
      <c r="E722" s="195">
        <v>284</v>
      </c>
      <c r="F722" s="195">
        <v>284</v>
      </c>
      <c r="G722" s="239">
        <v>715</v>
      </c>
      <c r="H722" s="197" t="s">
        <v>72</v>
      </c>
      <c r="I722" s="242" t="s">
        <v>209</v>
      </c>
      <c r="J722" s="242" t="s">
        <v>11266</v>
      </c>
      <c r="K722" s="195" t="s">
        <v>71</v>
      </c>
      <c r="L722" s="20" t="str">
        <f ca="1">IF(OFFSET(환산공식!$ED$15,$F722,0)=1,"O","X")</f>
        <v>X</v>
      </c>
      <c r="M722" s="188">
        <f ca="1">IFERROR(OFFSET(환산공식!DJ$15,$F722,0),"")</f>
        <v>200</v>
      </c>
      <c r="N722" s="20" t="str">
        <f ca="1">IFERROR(CONCATENATE(ROUND(OFFSET(환산공식!DK$15,$F722,0),1),"%"),"")</f>
        <v>100%</v>
      </c>
      <c r="O722" s="20">
        <f ca="1">IFERROR(OFFSET(환산공식!DL$15,$F722,0),"")</f>
        <v>10</v>
      </c>
      <c r="P722" s="188" t="str">
        <f t="shared" ca="1" si="23"/>
        <v>3% 이하</v>
      </c>
      <c r="Q722" s="194">
        <f ca="1">IFERROR(ROUND(OFFSET(환산공식!$FG$15,$F722,0),3),"")</f>
        <v>0</v>
      </c>
      <c r="R722" s="194">
        <f ca="1">OFFSET('배치점수 계산기'!H$10,$D722,0)</f>
        <v>694.83100000000002</v>
      </c>
      <c r="S722" s="194">
        <f ca="1">OFFSET('배치점수 계산기'!I$10,$D722,0)</f>
        <v>693.23599999999999</v>
      </c>
      <c r="T722" s="194">
        <f ca="1">OFFSET('배치점수 계산기'!J$10,$D722,0)</f>
        <v>690.61500000000001</v>
      </c>
      <c r="U722" s="194">
        <f ca="1">OFFSET('배치점수 계산기'!K$10,$D722,0)</f>
        <v>687.94500000000005</v>
      </c>
      <c r="V722" s="194">
        <f ca="1">OFFSET('배치점수 계산기'!L$10,$D722,0)</f>
        <v>684.03899999999999</v>
      </c>
      <c r="W722" s="186" t="str">
        <f ca="1">OFFSET('배치점수 계산기'!M$10,$D722,0)</f>
        <v>표점</v>
      </c>
      <c r="X722" s="184" t="str">
        <f ca="1">OFFSET('배치점수 계산기'!N$10,$D722,0)</f>
        <v>표점</v>
      </c>
      <c r="Y722" s="188">
        <f ca="1">OFFSET(환산공식!FW$15,$F722,0)</f>
        <v>0.38</v>
      </c>
      <c r="Z722" s="20">
        <f ca="1">OFFSET(환산공식!FX$15,$F722,0)</f>
        <v>0.31</v>
      </c>
      <c r="AA722" s="179">
        <f ca="1">OFFSET(환산공식!FY$15,$F722,0)</f>
        <v>0.31</v>
      </c>
      <c r="AB722" s="3"/>
      <c r="AD722">
        <f t="shared" ca="1" si="24"/>
        <v>6</v>
      </c>
      <c r="AF722" s="3"/>
      <c r="AG722" s="3"/>
      <c r="AH722" s="3"/>
    </row>
    <row r="723" spans="1:34">
      <c r="A723" s="198"/>
      <c r="B723" s="198"/>
      <c r="C723" s="198" t="s">
        <v>1284</v>
      </c>
      <c r="D723" s="195">
        <v>779</v>
      </c>
      <c r="E723" s="195">
        <v>284</v>
      </c>
      <c r="F723" s="195">
        <v>284</v>
      </c>
      <c r="G723" s="239">
        <v>716</v>
      </c>
      <c r="H723" s="197" t="s">
        <v>72</v>
      </c>
      <c r="I723" s="242" t="s">
        <v>209</v>
      </c>
      <c r="J723" s="242" t="s">
        <v>8804</v>
      </c>
      <c r="K723" s="195" t="s">
        <v>71</v>
      </c>
      <c r="L723" s="20" t="str">
        <f ca="1">IF(OFFSET(환산공식!$ED$15,$F723,0)=1,"O","X")</f>
        <v>X</v>
      </c>
      <c r="M723" s="188">
        <f ca="1">IFERROR(OFFSET(환산공식!DJ$15,$F723,0),"")</f>
        <v>200</v>
      </c>
      <c r="N723" s="20" t="str">
        <f ca="1">IFERROR(CONCATENATE(ROUND(OFFSET(환산공식!DK$15,$F723,0),1),"%"),"")</f>
        <v>100%</v>
      </c>
      <c r="O723" s="20">
        <f ca="1">IFERROR(OFFSET(환산공식!DL$15,$F723,0),"")</f>
        <v>10</v>
      </c>
      <c r="P723" s="188" t="str">
        <f t="shared" ca="1" si="23"/>
        <v>3% 이하</v>
      </c>
      <c r="Q723" s="194">
        <f ca="1">IFERROR(ROUND(OFFSET(환산공식!$FG$15,$F723,0),3),"")</f>
        <v>0</v>
      </c>
      <c r="R723" s="194">
        <f ca="1">OFFSET('배치점수 계산기'!H$10,$D723,0)</f>
        <v>694.23</v>
      </c>
      <c r="S723" s="194">
        <f ca="1">OFFSET('배치점수 계산기'!I$10,$D723,0)</f>
        <v>692.50099999999998</v>
      </c>
      <c r="T723" s="194">
        <f ca="1">OFFSET('배치점수 계산기'!J$10,$D723,0)</f>
        <v>689.95600000000002</v>
      </c>
      <c r="U723" s="194">
        <f ca="1">OFFSET('배치점수 계산기'!K$10,$D723,0)</f>
        <v>687.32600000000002</v>
      </c>
      <c r="V723" s="194">
        <f ca="1">OFFSET('배치점수 계산기'!L$10,$D723,0)</f>
        <v>683.49599999999998</v>
      </c>
      <c r="W723" s="186" t="str">
        <f ca="1">OFFSET('배치점수 계산기'!M$10,$D723,0)</f>
        <v>표점</v>
      </c>
      <c r="X723" s="184" t="str">
        <f ca="1">OFFSET('배치점수 계산기'!N$10,$D723,0)</f>
        <v>표점</v>
      </c>
      <c r="Y723" s="188">
        <f ca="1">OFFSET(환산공식!FW$15,$F723,0)</f>
        <v>0.38</v>
      </c>
      <c r="Z723" s="20">
        <f ca="1">OFFSET(환산공식!FX$15,$F723,0)</f>
        <v>0.31</v>
      </c>
      <c r="AA723" s="179">
        <f ca="1">OFFSET(환산공식!FY$15,$F723,0)</f>
        <v>0.31</v>
      </c>
      <c r="AB723" s="3"/>
      <c r="AD723">
        <f t="shared" ca="1" si="24"/>
        <v>6</v>
      </c>
      <c r="AF723" s="3"/>
      <c r="AG723" s="3"/>
      <c r="AH723" s="3"/>
    </row>
    <row r="724" spans="1:34">
      <c r="A724" s="198"/>
      <c r="B724" s="198"/>
      <c r="C724" s="198" t="s">
        <v>1285</v>
      </c>
      <c r="D724" s="195">
        <v>780</v>
      </c>
      <c r="E724" s="195">
        <v>284</v>
      </c>
      <c r="F724" s="195">
        <v>284</v>
      </c>
      <c r="G724" s="239">
        <v>717</v>
      </c>
      <c r="H724" s="197" t="s">
        <v>72</v>
      </c>
      <c r="I724" s="242" t="s">
        <v>209</v>
      </c>
      <c r="J724" s="242" t="s">
        <v>11323</v>
      </c>
      <c r="K724" s="195" t="s">
        <v>71</v>
      </c>
      <c r="L724" s="20" t="str">
        <f ca="1">IF(OFFSET(환산공식!$ED$15,$F724,0)=1,"O","X")</f>
        <v>X</v>
      </c>
      <c r="M724" s="188">
        <f ca="1">IFERROR(OFFSET(환산공식!DJ$15,$F724,0),"")</f>
        <v>200</v>
      </c>
      <c r="N724" s="20" t="str">
        <f ca="1">IFERROR(CONCATENATE(ROUND(OFFSET(환산공식!DK$15,$F724,0),1),"%"),"")</f>
        <v>100%</v>
      </c>
      <c r="O724" s="20">
        <f ca="1">IFERROR(OFFSET(환산공식!DL$15,$F724,0),"")</f>
        <v>10</v>
      </c>
      <c r="P724" s="188" t="str">
        <f t="shared" ca="1" si="23"/>
        <v>3% 이하</v>
      </c>
      <c r="Q724" s="194">
        <f ca="1">IFERROR(ROUND(OFFSET(환산공식!$FG$15,$F724,0),3),"")</f>
        <v>0</v>
      </c>
      <c r="R724" s="194">
        <f ca="1">OFFSET('배치점수 계산기'!H$10,$D724,0)</f>
        <v>694.096</v>
      </c>
      <c r="S724" s="194">
        <f ca="1">OFFSET('배치점수 계산기'!I$10,$D724,0)</f>
        <v>692.36</v>
      </c>
      <c r="T724" s="194">
        <f ca="1">OFFSET('배치점수 계산기'!J$10,$D724,0)</f>
        <v>689.84</v>
      </c>
      <c r="U724" s="194">
        <f ca="1">OFFSET('배치점수 계산기'!K$10,$D724,0)</f>
        <v>687.17600000000004</v>
      </c>
      <c r="V724" s="194">
        <f ca="1">OFFSET('배치점수 계산기'!L$10,$D724,0)</f>
        <v>683.346</v>
      </c>
      <c r="W724" s="186" t="str">
        <f ca="1">OFFSET('배치점수 계산기'!M$10,$D724,0)</f>
        <v>표점</v>
      </c>
      <c r="X724" s="184" t="str">
        <f ca="1">OFFSET('배치점수 계산기'!N$10,$D724,0)</f>
        <v>표점</v>
      </c>
      <c r="Y724" s="188">
        <f ca="1">OFFSET(환산공식!FW$15,$F724,0)</f>
        <v>0.38</v>
      </c>
      <c r="Z724" s="20">
        <f ca="1">OFFSET(환산공식!FX$15,$F724,0)</f>
        <v>0.31</v>
      </c>
      <c r="AA724" s="179">
        <f ca="1">OFFSET(환산공식!FY$15,$F724,0)</f>
        <v>0.31</v>
      </c>
      <c r="AB724" s="3"/>
      <c r="AD724">
        <f t="shared" ca="1" si="24"/>
        <v>6</v>
      </c>
      <c r="AF724" s="3"/>
      <c r="AG724" s="3"/>
      <c r="AH724" s="3"/>
    </row>
    <row r="725" spans="1:34">
      <c r="A725" s="198"/>
      <c r="B725" s="198"/>
      <c r="C725" s="198" t="s">
        <v>1286</v>
      </c>
      <c r="D725" s="195">
        <v>781</v>
      </c>
      <c r="E725" s="195">
        <v>284</v>
      </c>
      <c r="F725" s="195">
        <v>284</v>
      </c>
      <c r="G725" s="239">
        <v>718</v>
      </c>
      <c r="H725" s="197" t="s">
        <v>72</v>
      </c>
      <c r="I725" s="242" t="s">
        <v>209</v>
      </c>
      <c r="J725" s="242" t="s">
        <v>561</v>
      </c>
      <c r="K725" s="195" t="s">
        <v>71</v>
      </c>
      <c r="L725" s="20" t="str">
        <f ca="1">IF(OFFSET(환산공식!$ED$15,$F725,0)=1,"O","X")</f>
        <v>X</v>
      </c>
      <c r="M725" s="188">
        <f ca="1">IFERROR(OFFSET(환산공식!DJ$15,$F725,0),"")</f>
        <v>200</v>
      </c>
      <c r="N725" s="20" t="str">
        <f ca="1">IFERROR(CONCATENATE(ROUND(OFFSET(환산공식!DK$15,$F725,0),1),"%"),"")</f>
        <v>100%</v>
      </c>
      <c r="O725" s="20">
        <f ca="1">IFERROR(OFFSET(환산공식!DL$15,$F725,0),"")</f>
        <v>10</v>
      </c>
      <c r="P725" s="188" t="str">
        <f t="shared" ca="1" si="23"/>
        <v>3% 이하</v>
      </c>
      <c r="Q725" s="194">
        <f ca="1">IFERROR(ROUND(OFFSET(환산공식!$FG$15,$F725,0),3),"")</f>
        <v>0</v>
      </c>
      <c r="R725" s="194">
        <f ca="1">OFFSET('배치점수 계산기'!H$10,$D725,0)</f>
        <v>692.36</v>
      </c>
      <c r="S725" s="194">
        <f ca="1">OFFSET('배치점수 계산기'!I$10,$D725,0)</f>
        <v>690.80899999999997</v>
      </c>
      <c r="T725" s="194">
        <f ca="1">OFFSET('배치점수 계산기'!J$10,$D725,0)</f>
        <v>688.19500000000005</v>
      </c>
      <c r="U725" s="194">
        <f ca="1">OFFSET('배치점수 계산기'!K$10,$D725,0)</f>
        <v>685.65899999999999</v>
      </c>
      <c r="V725" s="194">
        <f ca="1">OFFSET('배치점수 계산기'!L$10,$D725,0)</f>
        <v>681.88499999999999</v>
      </c>
      <c r="W725" s="186" t="str">
        <f ca="1">OFFSET('배치점수 계산기'!M$10,$D725,0)</f>
        <v>표점</v>
      </c>
      <c r="X725" s="184" t="str">
        <f ca="1">OFFSET('배치점수 계산기'!N$10,$D725,0)</f>
        <v>표점</v>
      </c>
      <c r="Y725" s="188">
        <f ca="1">OFFSET(환산공식!FW$15,$F725,0)</f>
        <v>0.38</v>
      </c>
      <c r="Z725" s="20">
        <f ca="1">OFFSET(환산공식!FX$15,$F725,0)</f>
        <v>0.31</v>
      </c>
      <c r="AA725" s="179">
        <f ca="1">OFFSET(환산공식!FY$15,$F725,0)</f>
        <v>0.31</v>
      </c>
      <c r="AB725" s="3"/>
      <c r="AD725">
        <f t="shared" ca="1" si="24"/>
        <v>6</v>
      </c>
      <c r="AF725" s="3"/>
      <c r="AG725" s="3"/>
      <c r="AH725" s="3"/>
    </row>
    <row r="726" spans="1:34">
      <c r="A726" s="198"/>
      <c r="B726" s="198"/>
      <c r="C726" s="198" t="s">
        <v>1287</v>
      </c>
      <c r="D726" s="195">
        <v>782</v>
      </c>
      <c r="E726" s="195">
        <v>284</v>
      </c>
      <c r="F726" s="195">
        <v>284</v>
      </c>
      <c r="G726" s="239">
        <v>719</v>
      </c>
      <c r="H726" s="197" t="s">
        <v>72</v>
      </c>
      <c r="I726" s="242" t="s">
        <v>209</v>
      </c>
      <c r="J726" s="242" t="s">
        <v>8753</v>
      </c>
      <c r="K726" s="195" t="s">
        <v>71</v>
      </c>
      <c r="L726" s="20" t="str">
        <f ca="1">IF(OFFSET(환산공식!$ED$15,$F726,0)=1,"O","X")</f>
        <v>X</v>
      </c>
      <c r="M726" s="188">
        <f ca="1">IFERROR(OFFSET(환산공식!DJ$15,$F726,0),"")</f>
        <v>200</v>
      </c>
      <c r="N726" s="20" t="str">
        <f ca="1">IFERROR(CONCATENATE(ROUND(OFFSET(환산공식!DK$15,$F726,0),1),"%"),"")</f>
        <v>100%</v>
      </c>
      <c r="O726" s="20">
        <f ca="1">IFERROR(OFFSET(환산공식!DL$15,$F726,0),"")</f>
        <v>10</v>
      </c>
      <c r="P726" s="188" t="str">
        <f t="shared" ca="1" si="23"/>
        <v>3% 이하</v>
      </c>
      <c r="Q726" s="194">
        <f ca="1">IFERROR(ROUND(OFFSET(환산공식!$FG$15,$F726,0),3),"")</f>
        <v>0</v>
      </c>
      <c r="R726" s="194">
        <f ca="1">OFFSET('배치점수 계산기'!H$10,$D726,0)</f>
        <v>692.21</v>
      </c>
      <c r="S726" s="194">
        <f ca="1">OFFSET('배치점수 계산기'!I$10,$D726,0)</f>
        <v>690.61500000000001</v>
      </c>
      <c r="T726" s="194">
        <f ca="1">OFFSET('배치점수 계산기'!J$10,$D726,0)</f>
        <v>687.94500000000005</v>
      </c>
      <c r="U726" s="194">
        <f ca="1">OFFSET('배치점수 계산기'!K$10,$D726,0)</f>
        <v>685.39099999999996</v>
      </c>
      <c r="V726" s="194">
        <f ca="1">OFFSET('배치점수 계산기'!L$10,$D726,0)</f>
        <v>681.63499999999999</v>
      </c>
      <c r="W726" s="186" t="str">
        <f ca="1">OFFSET('배치점수 계산기'!M$10,$D726,0)</f>
        <v>표점</v>
      </c>
      <c r="X726" s="184" t="str">
        <f ca="1">OFFSET('배치점수 계산기'!N$10,$D726,0)</f>
        <v>표점</v>
      </c>
      <c r="Y726" s="188">
        <f ca="1">OFFSET(환산공식!FW$15,$F726,0)</f>
        <v>0.38</v>
      </c>
      <c r="Z726" s="20">
        <f ca="1">OFFSET(환산공식!FX$15,$F726,0)</f>
        <v>0.31</v>
      </c>
      <c r="AA726" s="179">
        <f ca="1">OFFSET(환산공식!FY$15,$F726,0)</f>
        <v>0.31</v>
      </c>
      <c r="AB726" s="3"/>
      <c r="AD726">
        <f t="shared" ca="1" si="24"/>
        <v>6</v>
      </c>
      <c r="AF726" s="3"/>
      <c r="AG726" s="3"/>
      <c r="AH726" s="3"/>
    </row>
    <row r="727" spans="1:34">
      <c r="A727" s="198"/>
      <c r="B727" s="198"/>
      <c r="C727" s="198" t="s">
        <v>1288</v>
      </c>
      <c r="D727" s="195">
        <v>783</v>
      </c>
      <c r="E727" s="195">
        <v>284</v>
      </c>
      <c r="F727" s="195">
        <v>284</v>
      </c>
      <c r="G727" s="239">
        <v>720</v>
      </c>
      <c r="H727" s="197" t="s">
        <v>72</v>
      </c>
      <c r="I727" s="242" t="s">
        <v>209</v>
      </c>
      <c r="J727" s="242" t="s">
        <v>8197</v>
      </c>
      <c r="K727" s="195" t="s">
        <v>71</v>
      </c>
      <c r="L727" s="20" t="str">
        <f ca="1">IF(OFFSET(환산공식!$ED$15,$F727,0)=1,"O","X")</f>
        <v>X</v>
      </c>
      <c r="M727" s="188">
        <f ca="1">IFERROR(OFFSET(환산공식!DJ$15,$F727,0),"")</f>
        <v>200</v>
      </c>
      <c r="N727" s="20" t="str">
        <f ca="1">IFERROR(CONCATENATE(ROUND(OFFSET(환산공식!DK$15,$F727,0),1),"%"),"")</f>
        <v>100%</v>
      </c>
      <c r="O727" s="20">
        <f ca="1">IFERROR(OFFSET(환산공식!DL$15,$F727,0),"")</f>
        <v>10</v>
      </c>
      <c r="P727" s="188" t="str">
        <f t="shared" ca="1" si="23"/>
        <v>3% 이하</v>
      </c>
      <c r="Q727" s="194">
        <f ca="1">IFERROR(ROUND(OFFSET(환산공식!$FG$15,$F727,0),3),"")</f>
        <v>0</v>
      </c>
      <c r="R727" s="194">
        <f ca="1">OFFSET('배치점수 계산기'!H$10,$D727,0)</f>
        <v>691.68499999999995</v>
      </c>
      <c r="S727" s="194">
        <f ca="1">OFFSET('배치점수 계산기'!I$10,$D727,0)</f>
        <v>690.09</v>
      </c>
      <c r="T727" s="194">
        <f ca="1">OFFSET('배치점수 계산기'!J$10,$D727,0)</f>
        <v>687.52</v>
      </c>
      <c r="U727" s="194">
        <f ca="1">OFFSET('배치점수 계산기'!K$10,$D727,0)</f>
        <v>684.90599999999995</v>
      </c>
      <c r="V727" s="194">
        <f ca="1">OFFSET('배치점수 계산기'!L$10,$D727,0)</f>
        <v>681.15</v>
      </c>
      <c r="W727" s="186" t="str">
        <f ca="1">OFFSET('배치점수 계산기'!M$10,$D727,0)</f>
        <v>표점</v>
      </c>
      <c r="X727" s="184" t="str">
        <f ca="1">OFFSET('배치점수 계산기'!N$10,$D727,0)</f>
        <v>표점</v>
      </c>
      <c r="Y727" s="188">
        <f ca="1">OFFSET(환산공식!FW$15,$F727,0)</f>
        <v>0.38</v>
      </c>
      <c r="Z727" s="20">
        <f ca="1">OFFSET(환산공식!FX$15,$F727,0)</f>
        <v>0.31</v>
      </c>
      <c r="AA727" s="179">
        <f ca="1">OFFSET(환산공식!FY$15,$F727,0)</f>
        <v>0.31</v>
      </c>
      <c r="AB727" s="3"/>
      <c r="AD727">
        <f t="shared" ca="1" si="24"/>
        <v>6</v>
      </c>
      <c r="AF727" s="3"/>
      <c r="AG727" s="3"/>
      <c r="AH727" s="3"/>
    </row>
    <row r="728" spans="1:34">
      <c r="A728" s="198"/>
      <c r="B728" s="198"/>
      <c r="C728" s="198" t="s">
        <v>1289</v>
      </c>
      <c r="D728" s="195">
        <v>784</v>
      </c>
      <c r="E728" s="195">
        <v>284</v>
      </c>
      <c r="F728" s="195">
        <v>284</v>
      </c>
      <c r="G728" s="239">
        <v>721</v>
      </c>
      <c r="H728" s="197" t="s">
        <v>72</v>
      </c>
      <c r="I728" s="242" t="s">
        <v>209</v>
      </c>
      <c r="J728" s="242" t="s">
        <v>11554</v>
      </c>
      <c r="K728" s="195" t="s">
        <v>71</v>
      </c>
      <c r="L728" s="20" t="str">
        <f ca="1">IF(OFFSET(환산공식!$ED$15,$F728,0)=1,"O","X")</f>
        <v>X</v>
      </c>
      <c r="M728" s="188">
        <f ca="1">IFERROR(OFFSET(환산공식!DJ$15,$F728,0),"")</f>
        <v>200</v>
      </c>
      <c r="N728" s="20" t="str">
        <f ca="1">IFERROR(CONCATENATE(ROUND(OFFSET(환산공식!DK$15,$F728,0),1),"%"),"")</f>
        <v>100%</v>
      </c>
      <c r="O728" s="20">
        <f ca="1">IFERROR(OFFSET(환산공식!DL$15,$F728,0),"")</f>
        <v>10</v>
      </c>
      <c r="P728" s="188" t="str">
        <f t="shared" ca="1" si="23"/>
        <v>3% 이하</v>
      </c>
      <c r="Q728" s="194">
        <f ca="1">IFERROR(ROUND(OFFSET(환산공식!$FG$15,$F728,0),3),"")</f>
        <v>0</v>
      </c>
      <c r="R728" s="194">
        <f ca="1">OFFSET('배치점수 계산기'!H$10,$D728,0)</f>
        <v>691.08399999999995</v>
      </c>
      <c r="S728" s="194">
        <f ca="1">OFFSET('배치점수 계산기'!I$10,$D728,0)</f>
        <v>689.48900000000003</v>
      </c>
      <c r="T728" s="194">
        <f ca="1">OFFSET('배치점수 계산기'!J$10,$D728,0)</f>
        <v>686.91899999999998</v>
      </c>
      <c r="U728" s="194">
        <f ca="1">OFFSET('배치점수 계산기'!K$10,$D728,0)</f>
        <v>684.38099999999997</v>
      </c>
      <c r="V728" s="194">
        <f ca="1">OFFSET('배치점수 계산기'!L$10,$D728,0)</f>
        <v>680.625</v>
      </c>
      <c r="W728" s="186" t="str">
        <f ca="1">OFFSET('배치점수 계산기'!M$10,$D728,0)</f>
        <v>표점</v>
      </c>
      <c r="X728" s="184" t="str">
        <f ca="1">OFFSET('배치점수 계산기'!N$10,$D728,0)</f>
        <v>표점</v>
      </c>
      <c r="Y728" s="188">
        <f ca="1">OFFSET(환산공식!FW$15,$F728,0)</f>
        <v>0.38</v>
      </c>
      <c r="Z728" s="20">
        <f ca="1">OFFSET(환산공식!FX$15,$F728,0)</f>
        <v>0.31</v>
      </c>
      <c r="AA728" s="179">
        <f ca="1">OFFSET(환산공식!FY$15,$F728,0)</f>
        <v>0.31</v>
      </c>
      <c r="AB728" s="3"/>
      <c r="AD728">
        <f t="shared" ca="1" si="24"/>
        <v>6</v>
      </c>
      <c r="AF728" s="3"/>
      <c r="AG728" s="3"/>
      <c r="AH728" s="3"/>
    </row>
    <row r="729" spans="1:34">
      <c r="A729" s="198"/>
      <c r="B729" s="198"/>
      <c r="C729" s="198" t="s">
        <v>1290</v>
      </c>
      <c r="D729" s="195">
        <v>785</v>
      </c>
      <c r="E729" s="195">
        <v>284</v>
      </c>
      <c r="F729" s="195">
        <v>284</v>
      </c>
      <c r="G729" s="239">
        <v>722</v>
      </c>
      <c r="H729" s="197" t="s">
        <v>72</v>
      </c>
      <c r="I729" s="242" t="s">
        <v>209</v>
      </c>
      <c r="J729" s="242" t="s">
        <v>499</v>
      </c>
      <c r="K729" s="195" t="s">
        <v>71</v>
      </c>
      <c r="L729" s="20" t="str">
        <f ca="1">IF(OFFSET(환산공식!$ED$15,$F729,0)=1,"O","X")</f>
        <v>X</v>
      </c>
      <c r="M729" s="188">
        <f ca="1">IFERROR(OFFSET(환산공식!DJ$15,$F729,0),"")</f>
        <v>200</v>
      </c>
      <c r="N729" s="20" t="str">
        <f ca="1">IFERROR(CONCATENATE(ROUND(OFFSET(환산공식!DK$15,$F729,0),1),"%"),"")</f>
        <v>100%</v>
      </c>
      <c r="O729" s="20">
        <f ca="1">IFERROR(OFFSET(환산공식!DL$15,$F729,0),"")</f>
        <v>10</v>
      </c>
      <c r="P729" s="188" t="str">
        <f t="shared" ca="1" si="23"/>
        <v>3% 이하</v>
      </c>
      <c r="Q729" s="194">
        <f ca="1">IFERROR(ROUND(OFFSET(환산공식!$FG$15,$F729,0),3),"")</f>
        <v>0</v>
      </c>
      <c r="R729" s="194">
        <f ca="1">OFFSET('배치점수 계산기'!H$10,$D729,0)</f>
        <v>690.80899999999997</v>
      </c>
      <c r="S729" s="194">
        <f ca="1">OFFSET('배치점수 계산기'!I$10,$D729,0)</f>
        <v>689.20500000000004</v>
      </c>
      <c r="T729" s="194">
        <f ca="1">OFFSET('배치점수 계산기'!J$10,$D729,0)</f>
        <v>686.65099999999995</v>
      </c>
      <c r="U729" s="194">
        <f ca="1">OFFSET('배치점수 계산기'!K$10,$D729,0)</f>
        <v>684.18899999999996</v>
      </c>
      <c r="V729" s="194">
        <f ca="1">OFFSET('배치점수 계산기'!L$10,$D729,0)</f>
        <v>680.34100000000001</v>
      </c>
      <c r="W729" s="186" t="str">
        <f ca="1">OFFSET('배치점수 계산기'!M$10,$D729,0)</f>
        <v>표점</v>
      </c>
      <c r="X729" s="184" t="str">
        <f ca="1">OFFSET('배치점수 계산기'!N$10,$D729,0)</f>
        <v>표점</v>
      </c>
      <c r="Y729" s="188">
        <f ca="1">OFFSET(환산공식!FW$15,$F729,0)</f>
        <v>0.38</v>
      </c>
      <c r="Z729" s="20">
        <f ca="1">OFFSET(환산공식!FX$15,$F729,0)</f>
        <v>0.31</v>
      </c>
      <c r="AA729" s="179">
        <f ca="1">OFFSET(환산공식!FY$15,$F729,0)</f>
        <v>0.31</v>
      </c>
      <c r="AB729" s="3"/>
      <c r="AD729">
        <f t="shared" ca="1" si="24"/>
        <v>6</v>
      </c>
      <c r="AF729" s="3"/>
      <c r="AG729" s="3"/>
      <c r="AH729" s="3"/>
    </row>
    <row r="730" spans="1:34">
      <c r="A730" s="198"/>
      <c r="B730" s="198"/>
      <c r="C730" s="198" t="s">
        <v>1291</v>
      </c>
      <c r="D730" s="195">
        <v>786</v>
      </c>
      <c r="E730" s="195">
        <v>284</v>
      </c>
      <c r="F730" s="195">
        <v>284</v>
      </c>
      <c r="G730" s="239">
        <v>723</v>
      </c>
      <c r="H730" s="197" t="s">
        <v>72</v>
      </c>
      <c r="I730" s="242" t="s">
        <v>209</v>
      </c>
      <c r="J730" s="242" t="s">
        <v>501</v>
      </c>
      <c r="K730" s="195" t="s">
        <v>71</v>
      </c>
      <c r="L730" s="20" t="str">
        <f ca="1">IF(OFFSET(환산공식!$ED$15,$F730,0)=1,"O","X")</f>
        <v>X</v>
      </c>
      <c r="M730" s="188">
        <f ca="1">IFERROR(OFFSET(환산공식!DJ$15,$F730,0),"")</f>
        <v>200</v>
      </c>
      <c r="N730" s="20" t="str">
        <f ca="1">IFERROR(CONCATENATE(ROUND(OFFSET(환산공식!DK$15,$F730,0),1),"%"),"")</f>
        <v>100%</v>
      </c>
      <c r="O730" s="20">
        <f ca="1">IFERROR(OFFSET(환산공식!DL$15,$F730,0),"")</f>
        <v>10</v>
      </c>
      <c r="P730" s="188" t="str">
        <f t="shared" ca="1" si="23"/>
        <v>3% 이하</v>
      </c>
      <c r="Q730" s="194">
        <f ca="1">IFERROR(ROUND(OFFSET(환산공식!$FG$15,$F730,0),3),"")</f>
        <v>0</v>
      </c>
      <c r="R730" s="194">
        <f ca="1">OFFSET('배치점수 계산기'!H$10,$D730,0)</f>
        <v>690.49900000000002</v>
      </c>
      <c r="S730" s="194">
        <f ca="1">OFFSET('배치점수 계산기'!I$10,$D730,0)</f>
        <v>688.94600000000003</v>
      </c>
      <c r="T730" s="194">
        <f ca="1">OFFSET('배치점수 계산기'!J$10,$D730,0)</f>
        <v>686.33399999999995</v>
      </c>
      <c r="U730" s="194">
        <f ca="1">OFFSET('배치점수 계산기'!K$10,$D730,0)</f>
        <v>683.755</v>
      </c>
      <c r="V730" s="194">
        <f ca="1">OFFSET('배치점수 계산기'!L$10,$D730,0)</f>
        <v>680.01499999999999</v>
      </c>
      <c r="W730" s="186" t="str">
        <f ca="1">OFFSET('배치점수 계산기'!M$10,$D730,0)</f>
        <v>표점</v>
      </c>
      <c r="X730" s="184" t="str">
        <f ca="1">OFFSET('배치점수 계산기'!N$10,$D730,0)</f>
        <v>표점</v>
      </c>
      <c r="Y730" s="188">
        <f ca="1">OFFSET(환산공식!FW$15,$F730,0)</f>
        <v>0.38</v>
      </c>
      <c r="Z730" s="20">
        <f ca="1">OFFSET(환산공식!FX$15,$F730,0)</f>
        <v>0.31</v>
      </c>
      <c r="AA730" s="179">
        <f ca="1">OFFSET(환산공식!FY$15,$F730,0)</f>
        <v>0.31</v>
      </c>
      <c r="AB730" s="3"/>
      <c r="AD730">
        <f t="shared" ca="1" si="24"/>
        <v>6</v>
      </c>
      <c r="AF730" s="3"/>
      <c r="AG730" s="3"/>
      <c r="AH730" s="3"/>
    </row>
    <row r="731" spans="1:34">
      <c r="A731" s="198"/>
      <c r="B731" s="198"/>
      <c r="C731" s="198" t="s">
        <v>1292</v>
      </c>
      <c r="D731" s="195">
        <v>787</v>
      </c>
      <c r="E731" s="195">
        <v>284</v>
      </c>
      <c r="F731" s="195">
        <v>284</v>
      </c>
      <c r="G731" s="239">
        <v>724</v>
      </c>
      <c r="H731" s="197" t="s">
        <v>72</v>
      </c>
      <c r="I731" s="242" t="s">
        <v>209</v>
      </c>
      <c r="J731" s="242" t="s">
        <v>8797</v>
      </c>
      <c r="K731" s="195" t="s">
        <v>71</v>
      </c>
      <c r="L731" s="20" t="str">
        <f ca="1">IF(OFFSET(환산공식!$ED$15,$F731,0)=1,"O","X")</f>
        <v>X</v>
      </c>
      <c r="M731" s="188">
        <f ca="1">IFERROR(OFFSET(환산공식!DJ$15,$F731,0),"")</f>
        <v>200</v>
      </c>
      <c r="N731" s="20" t="str">
        <f ca="1">IFERROR(CONCATENATE(ROUND(OFFSET(환산공식!DK$15,$F731,0),1),"%"),"")</f>
        <v>100%</v>
      </c>
      <c r="O731" s="20">
        <f ca="1">IFERROR(OFFSET(환산공식!DL$15,$F731,0),"")</f>
        <v>10</v>
      </c>
      <c r="P731" s="188" t="str">
        <f t="shared" ca="1" si="23"/>
        <v>3% 이하</v>
      </c>
      <c r="Q731" s="194">
        <f ca="1">IFERROR(ROUND(OFFSET(환산공식!$FG$15,$F731,0),3),"")</f>
        <v>0</v>
      </c>
      <c r="R731" s="194">
        <f ca="1">OFFSET('배치점수 계산기'!H$10,$D731,0)</f>
        <v>690.49900000000002</v>
      </c>
      <c r="S731" s="194">
        <f ca="1">OFFSET('배치점수 계산기'!I$10,$D731,0)</f>
        <v>688.94600000000003</v>
      </c>
      <c r="T731" s="194">
        <f ca="1">OFFSET('배치점수 계산기'!J$10,$D731,0)</f>
        <v>686.33399999999995</v>
      </c>
      <c r="U731" s="194">
        <f ca="1">OFFSET('배치점수 계산기'!K$10,$D731,0)</f>
        <v>683.755</v>
      </c>
      <c r="V731" s="194">
        <f ca="1">OFFSET('배치점수 계산기'!L$10,$D731,0)</f>
        <v>680.01499999999999</v>
      </c>
      <c r="W731" s="186" t="str">
        <f ca="1">OFFSET('배치점수 계산기'!M$10,$D731,0)</f>
        <v>표점</v>
      </c>
      <c r="X731" s="184" t="str">
        <f ca="1">OFFSET('배치점수 계산기'!N$10,$D731,0)</f>
        <v>표점</v>
      </c>
      <c r="Y731" s="188">
        <f ca="1">OFFSET(환산공식!FW$15,$F731,0)</f>
        <v>0.38</v>
      </c>
      <c r="Z731" s="20">
        <f ca="1">OFFSET(환산공식!FX$15,$F731,0)</f>
        <v>0.31</v>
      </c>
      <c r="AA731" s="179">
        <f ca="1">OFFSET(환산공식!FY$15,$F731,0)</f>
        <v>0.31</v>
      </c>
      <c r="AB731" s="3"/>
      <c r="AD731">
        <f t="shared" ca="1" si="24"/>
        <v>6</v>
      </c>
      <c r="AF731" s="3"/>
      <c r="AG731" s="3"/>
      <c r="AH731" s="3"/>
    </row>
    <row r="732" spans="1:34">
      <c r="A732" s="198"/>
      <c r="B732" s="198"/>
      <c r="C732" s="198" t="s">
        <v>1293</v>
      </c>
      <c r="D732" s="195">
        <v>788</v>
      </c>
      <c r="E732" s="195">
        <v>284</v>
      </c>
      <c r="F732" s="195">
        <v>284</v>
      </c>
      <c r="G732" s="239">
        <v>725</v>
      </c>
      <c r="H732" s="197" t="s">
        <v>72</v>
      </c>
      <c r="I732" s="242" t="s">
        <v>209</v>
      </c>
      <c r="J732" s="242" t="s">
        <v>9657</v>
      </c>
      <c r="K732" s="195" t="s">
        <v>71</v>
      </c>
      <c r="L732" s="20" t="str">
        <f ca="1">IF(OFFSET(환산공식!$ED$15,$F732,0)=1,"O","X")</f>
        <v>X</v>
      </c>
      <c r="M732" s="188">
        <f ca="1">IFERROR(OFFSET(환산공식!DJ$15,$F732,0),"")</f>
        <v>200</v>
      </c>
      <c r="N732" s="20" t="str">
        <f ca="1">IFERROR(CONCATENATE(ROUND(OFFSET(환산공식!DK$15,$F732,0),1),"%"),"")</f>
        <v>100%</v>
      </c>
      <c r="O732" s="20">
        <f ca="1">IFERROR(OFFSET(환산공식!DL$15,$F732,0),"")</f>
        <v>10</v>
      </c>
      <c r="P732" s="188" t="str">
        <f t="shared" ca="1" si="23"/>
        <v>3% 이하</v>
      </c>
      <c r="Q732" s="194">
        <f ca="1">IFERROR(ROUND(OFFSET(환산공식!$FG$15,$F732,0),3),"")</f>
        <v>0</v>
      </c>
      <c r="R732" s="194">
        <f ca="1">OFFSET('배치점수 계산기'!H$10,$D732,0)</f>
        <v>687.94500000000005</v>
      </c>
      <c r="S732" s="194">
        <f ca="1">OFFSET('배치점수 계산기'!I$10,$D732,0)</f>
        <v>686.33399999999995</v>
      </c>
      <c r="T732" s="194">
        <f ca="1">OFFSET('배치점수 계산기'!J$10,$D732,0)</f>
        <v>683.755</v>
      </c>
      <c r="U732" s="194">
        <f ca="1">OFFSET('배치점수 계산기'!K$10,$D732,0)</f>
        <v>681.50099999999998</v>
      </c>
      <c r="V732" s="194">
        <f ca="1">OFFSET('배치점수 계산기'!L$10,$D732,0)</f>
        <v>677.87900000000002</v>
      </c>
      <c r="W732" s="186" t="str">
        <f ca="1">OFFSET('배치점수 계산기'!M$10,$D732,0)</f>
        <v>표점</v>
      </c>
      <c r="X732" s="184" t="str">
        <f ca="1">OFFSET('배치점수 계산기'!N$10,$D732,0)</f>
        <v>표점</v>
      </c>
      <c r="Y732" s="188">
        <f ca="1">OFFSET(환산공식!FW$15,$F732,0)</f>
        <v>0.38</v>
      </c>
      <c r="Z732" s="20">
        <f ca="1">OFFSET(환산공식!FX$15,$F732,0)</f>
        <v>0.31</v>
      </c>
      <c r="AA732" s="179">
        <f ca="1">OFFSET(환산공식!FY$15,$F732,0)</f>
        <v>0.31</v>
      </c>
      <c r="AB732" s="3"/>
      <c r="AD732">
        <f t="shared" ca="1" si="24"/>
        <v>6</v>
      </c>
      <c r="AF732" s="3"/>
      <c r="AG732" s="3"/>
      <c r="AH732" s="3"/>
    </row>
    <row r="733" spans="1:34">
      <c r="A733" s="198"/>
      <c r="B733" s="198"/>
      <c r="C733" s="198" t="s">
        <v>1294</v>
      </c>
      <c r="D733" s="195">
        <v>789</v>
      </c>
      <c r="E733" s="195">
        <v>284</v>
      </c>
      <c r="F733" s="195">
        <v>284</v>
      </c>
      <c r="G733" s="239">
        <v>726</v>
      </c>
      <c r="H733" s="197" t="s">
        <v>72</v>
      </c>
      <c r="I733" s="242" t="s">
        <v>209</v>
      </c>
      <c r="J733" s="242" t="s">
        <v>560</v>
      </c>
      <c r="K733" s="195" t="s">
        <v>71</v>
      </c>
      <c r="L733" s="20" t="str">
        <f ca="1">IF(OFFSET(환산공식!$ED$15,$F733,0)=1,"O","X")</f>
        <v>X</v>
      </c>
      <c r="M733" s="188">
        <f ca="1">IFERROR(OFFSET(환산공식!DJ$15,$F733,0),"")</f>
        <v>200</v>
      </c>
      <c r="N733" s="20" t="str">
        <f ca="1">IFERROR(CONCATENATE(ROUND(OFFSET(환산공식!DK$15,$F733,0),1),"%"),"")</f>
        <v>100%</v>
      </c>
      <c r="O733" s="20">
        <f ca="1">IFERROR(OFFSET(환산공식!DL$15,$F733,0),"")</f>
        <v>10</v>
      </c>
      <c r="P733" s="188" t="str">
        <f t="shared" ca="1" si="23"/>
        <v>3% 이하</v>
      </c>
      <c r="Q733" s="194">
        <f ca="1">IFERROR(ROUND(OFFSET(환산공식!$FG$15,$F733,0),3),"")</f>
        <v>0</v>
      </c>
      <c r="R733" s="194">
        <f ca="1">OFFSET('배치점수 계산기'!H$10,$D733,0)</f>
        <v>686.65099999999995</v>
      </c>
      <c r="S733" s="194">
        <f ca="1">OFFSET('배치점수 계산기'!I$10,$D733,0)</f>
        <v>685.19</v>
      </c>
      <c r="T733" s="194">
        <f ca="1">OFFSET('배치점수 계산기'!J$10,$D733,0)</f>
        <v>682.745</v>
      </c>
      <c r="U733" s="194">
        <f ca="1">OFFSET('배치점수 계산기'!K$10,$D733,0)</f>
        <v>680.34100000000001</v>
      </c>
      <c r="V733" s="194">
        <f ca="1">OFFSET('배치점수 계산기'!L$10,$D733,0)</f>
        <v>676.87699999999995</v>
      </c>
      <c r="W733" s="186" t="str">
        <f ca="1">OFFSET('배치점수 계산기'!M$10,$D733,0)</f>
        <v>표점</v>
      </c>
      <c r="X733" s="184" t="str">
        <f ca="1">OFFSET('배치점수 계산기'!N$10,$D733,0)</f>
        <v>표점</v>
      </c>
      <c r="Y733" s="188">
        <f ca="1">OFFSET(환산공식!FW$15,$F733,0)</f>
        <v>0.38</v>
      </c>
      <c r="Z733" s="20">
        <f ca="1">OFFSET(환산공식!FX$15,$F733,0)</f>
        <v>0.31</v>
      </c>
      <c r="AA733" s="179">
        <f ca="1">OFFSET(환산공식!FY$15,$F733,0)</f>
        <v>0.31</v>
      </c>
      <c r="AB733" s="3"/>
      <c r="AD733">
        <f t="shared" ca="1" si="24"/>
        <v>6</v>
      </c>
      <c r="AF733" s="3"/>
      <c r="AG733" s="3"/>
      <c r="AH733" s="3"/>
    </row>
    <row r="734" spans="1:34">
      <c r="A734" s="198"/>
      <c r="B734" s="198"/>
      <c r="C734" s="198" t="s">
        <v>1295</v>
      </c>
      <c r="D734" s="195">
        <v>790</v>
      </c>
      <c r="E734" s="195">
        <v>206</v>
      </c>
      <c r="F734" s="195">
        <v>206</v>
      </c>
      <c r="G734" s="239">
        <v>727</v>
      </c>
      <c r="H734" s="197" t="s">
        <v>72</v>
      </c>
      <c r="I734" s="242" t="s">
        <v>212</v>
      </c>
      <c r="J734" s="242" t="s">
        <v>9611</v>
      </c>
      <c r="K734" s="195" t="s">
        <v>70</v>
      </c>
      <c r="L734" s="20" t="str">
        <f ca="1">IF(OFFSET(환산공식!$ED$15,$F734,0)=1,"O","X")</f>
        <v>X</v>
      </c>
      <c r="M734" s="188">
        <f ca="1">IFERROR(OFFSET(환산공식!DJ$15,$F734,0),"")</f>
        <v>200</v>
      </c>
      <c r="N734" s="20" t="str">
        <f ca="1">IFERROR(CONCATENATE(ROUND(OFFSET(환산공식!DK$15,$F734,0),1),"%"),"")</f>
        <v>100%</v>
      </c>
      <c r="O734" s="20">
        <f ca="1">IFERROR(OFFSET(환산공식!DL$15,$F734,0),"")</f>
        <v>10</v>
      </c>
      <c r="P734" s="188" t="str">
        <f t="shared" ca="1" si="23"/>
        <v>3% 이하</v>
      </c>
      <c r="Q734" s="194">
        <f ca="1">IFERROR(ROUND(OFFSET(환산공식!$FG$15,$F734,0),3),"")</f>
        <v>0</v>
      </c>
      <c r="R734" s="194">
        <f ca="1">OFFSET('배치점수 계산기'!H$10,$D734,0)</f>
        <v>913.06100000000004</v>
      </c>
      <c r="S734" s="194">
        <f ca="1">OFFSET('배치점수 계산기'!I$10,$D734,0)</f>
        <v>909.64099999999996</v>
      </c>
      <c r="T734" s="194">
        <f ca="1">OFFSET('배치점수 계산기'!J$10,$D734,0)</f>
        <v>903.94</v>
      </c>
      <c r="U734" s="194">
        <f ca="1">OFFSET('배치점수 계산기'!K$10,$D734,0)</f>
        <v>898.23800000000006</v>
      </c>
      <c r="V734" s="194">
        <f ca="1">OFFSET('배치점수 계산기'!L$10,$D734,0)</f>
        <v>888.62599999999998</v>
      </c>
      <c r="W734" s="186" t="str">
        <f ca="1">OFFSET('배치점수 계산기'!M$10,$D734,0)</f>
        <v>표점/만점</v>
      </c>
      <c r="X734" s="184" t="str">
        <f ca="1">OFFSET('배치점수 계산기'!N$10,$D734,0)</f>
        <v>표점/만점</v>
      </c>
      <c r="Y734" s="188">
        <f ca="1">OFFSET(환산공식!FW$15,$F734,0)</f>
        <v>0.3</v>
      </c>
      <c r="Z734" s="20">
        <f ca="1">OFFSET(환산공식!FX$15,$F734,0)</f>
        <v>0.4</v>
      </c>
      <c r="AA734" s="179">
        <f ca="1">OFFSET(환산공식!FY$15,$F734,0)</f>
        <v>0.3</v>
      </c>
      <c r="AB734" s="3"/>
      <c r="AD734">
        <f t="shared" ca="1" si="24"/>
        <v>6</v>
      </c>
      <c r="AF734" s="3"/>
      <c r="AG734" s="3"/>
      <c r="AH734" s="3"/>
    </row>
    <row r="735" spans="1:34">
      <c r="A735" s="198"/>
      <c r="B735" s="198"/>
      <c r="C735" s="198" t="s">
        <v>1296</v>
      </c>
      <c r="D735" s="195">
        <v>791</v>
      </c>
      <c r="E735" s="195">
        <v>206</v>
      </c>
      <c r="F735" s="195">
        <v>206</v>
      </c>
      <c r="G735" s="239">
        <v>728</v>
      </c>
      <c r="H735" s="197" t="s">
        <v>72</v>
      </c>
      <c r="I735" s="242" t="s">
        <v>212</v>
      </c>
      <c r="J735" s="242" t="s">
        <v>8283</v>
      </c>
      <c r="K735" s="195" t="s">
        <v>70</v>
      </c>
      <c r="L735" s="20" t="str">
        <f ca="1">IF(OFFSET(환산공식!$ED$15,$F735,0)=1,"O","X")</f>
        <v>X</v>
      </c>
      <c r="M735" s="188">
        <f ca="1">IFERROR(OFFSET(환산공식!DJ$15,$F735,0),"")</f>
        <v>200</v>
      </c>
      <c r="N735" s="20" t="str">
        <f ca="1">IFERROR(CONCATENATE(ROUND(OFFSET(환산공식!DK$15,$F735,0),1),"%"),"")</f>
        <v>100%</v>
      </c>
      <c r="O735" s="20">
        <f ca="1">IFERROR(OFFSET(환산공식!DL$15,$F735,0),"")</f>
        <v>10</v>
      </c>
      <c r="P735" s="188" t="str">
        <f t="shared" ca="1" si="23"/>
        <v>3% 이하</v>
      </c>
      <c r="Q735" s="194">
        <f ca="1">IFERROR(ROUND(OFFSET(환산공식!$FG$15,$F735,0),3),"")</f>
        <v>0</v>
      </c>
      <c r="R735" s="194">
        <f ca="1">OFFSET('배치점수 계산기'!H$10,$D735,0)</f>
        <v>890.27800000000002</v>
      </c>
      <c r="S735" s="194">
        <f ca="1">OFFSET('배치점수 계산기'!I$10,$D735,0)</f>
        <v>886.19799999999998</v>
      </c>
      <c r="T735" s="194">
        <f ca="1">OFFSET('배치점수 계산기'!J$10,$D735,0)</f>
        <v>881.35599999999999</v>
      </c>
      <c r="U735" s="194">
        <f ca="1">OFFSET('배치점수 계산기'!K$10,$D735,0)</f>
        <v>874.75599999999997</v>
      </c>
      <c r="V735" s="194">
        <f ca="1">OFFSET('배치점수 계산기'!L$10,$D735,0)</f>
        <v>869.048</v>
      </c>
      <c r="W735" s="186" t="str">
        <f ca="1">OFFSET('배치점수 계산기'!M$10,$D735,0)</f>
        <v>표점/만점</v>
      </c>
      <c r="X735" s="184" t="str">
        <f ca="1">OFFSET('배치점수 계산기'!N$10,$D735,0)</f>
        <v>표점/만점</v>
      </c>
      <c r="Y735" s="188">
        <f ca="1">OFFSET(환산공식!FW$15,$F735,0)</f>
        <v>0.3</v>
      </c>
      <c r="Z735" s="20">
        <f ca="1">OFFSET(환산공식!FX$15,$F735,0)</f>
        <v>0.4</v>
      </c>
      <c r="AA735" s="179">
        <f ca="1">OFFSET(환산공식!FY$15,$F735,0)</f>
        <v>0.3</v>
      </c>
      <c r="AB735" s="3"/>
      <c r="AD735">
        <f t="shared" ca="1" si="24"/>
        <v>6</v>
      </c>
      <c r="AF735" s="3"/>
      <c r="AG735" s="3"/>
      <c r="AH735" s="3"/>
    </row>
    <row r="736" spans="1:34">
      <c r="A736" s="198"/>
      <c r="B736" s="198"/>
      <c r="C736" s="198" t="s">
        <v>1297</v>
      </c>
      <c r="D736" s="195">
        <v>792</v>
      </c>
      <c r="E736" s="195">
        <v>204</v>
      </c>
      <c r="F736" s="195">
        <v>204</v>
      </c>
      <c r="G736" s="239">
        <v>729</v>
      </c>
      <c r="H736" s="197" t="s">
        <v>72</v>
      </c>
      <c r="I736" s="242" t="s">
        <v>212</v>
      </c>
      <c r="J736" s="242" t="s">
        <v>8633</v>
      </c>
      <c r="K736" s="195" t="s">
        <v>70</v>
      </c>
      <c r="L736" s="20" t="str">
        <f ca="1">IF(OFFSET(환산공식!$ED$15,$F736,0)=1,"O","X")</f>
        <v>X</v>
      </c>
      <c r="M736" s="188">
        <f ca="1">IFERROR(OFFSET(환산공식!DJ$15,$F736,0),"")</f>
        <v>200</v>
      </c>
      <c r="N736" s="20" t="str">
        <f ca="1">IFERROR(CONCATENATE(ROUND(OFFSET(환산공식!DK$15,$F736,0),1),"%"),"")</f>
        <v>100%</v>
      </c>
      <c r="O736" s="20">
        <f ca="1">IFERROR(OFFSET(환산공식!DL$15,$F736,0),"")</f>
        <v>10</v>
      </c>
      <c r="P736" s="188" t="str">
        <f t="shared" ca="1" si="23"/>
        <v>3% 이하</v>
      </c>
      <c r="Q736" s="194">
        <f ca="1">IFERROR(ROUND(OFFSET(환산공식!$FG$15,$F736,0),3),"")</f>
        <v>0</v>
      </c>
      <c r="R736" s="194">
        <f ca="1">OFFSET('배치점수 계산기'!H$10,$D736,0)</f>
        <v>889.55200000000002</v>
      </c>
      <c r="S736" s="194">
        <f ca="1">OFFSET('배치점수 계산기'!I$10,$D736,0)</f>
        <v>884.69</v>
      </c>
      <c r="T736" s="194">
        <f ca="1">OFFSET('배치점수 계산기'!J$10,$D736,0)</f>
        <v>880.26</v>
      </c>
      <c r="U736" s="194">
        <f ca="1">OFFSET('배치점수 계산기'!K$10,$D736,0)</f>
        <v>873.84900000000005</v>
      </c>
      <c r="V736" s="194">
        <f ca="1">OFFSET('배치점수 계산기'!L$10,$D736,0)</f>
        <v>867.25699999999995</v>
      </c>
      <c r="W736" s="186" t="str">
        <f ca="1">OFFSET('배치점수 계산기'!M$10,$D736,0)</f>
        <v>표점/만점</v>
      </c>
      <c r="X736" s="184" t="str">
        <f ca="1">OFFSET('배치점수 계산기'!N$10,$D736,0)</f>
        <v>표점/만점</v>
      </c>
      <c r="Y736" s="188">
        <f ca="1">OFFSET(환산공식!FW$15,$F736,0)</f>
        <v>0.3</v>
      </c>
      <c r="Z736" s="20">
        <f ca="1">OFFSET(환산공식!FX$15,$F736,0)</f>
        <v>0.4</v>
      </c>
      <c r="AA736" s="179">
        <f ca="1">OFFSET(환산공식!FY$15,$F736,0)</f>
        <v>0.3</v>
      </c>
      <c r="AB736" s="3"/>
      <c r="AD736">
        <f t="shared" ca="1" si="24"/>
        <v>6</v>
      </c>
      <c r="AF736" s="3"/>
      <c r="AG736" s="3"/>
      <c r="AH736" s="3"/>
    </row>
    <row r="737" spans="1:34">
      <c r="A737" s="198"/>
      <c r="B737" s="198"/>
      <c r="C737" s="198" t="s">
        <v>1298</v>
      </c>
      <c r="D737" s="195">
        <v>793</v>
      </c>
      <c r="E737" s="195">
        <v>204</v>
      </c>
      <c r="F737" s="195">
        <v>204</v>
      </c>
      <c r="G737" s="239">
        <v>730</v>
      </c>
      <c r="H737" s="197" t="s">
        <v>72</v>
      </c>
      <c r="I737" s="242" t="s">
        <v>212</v>
      </c>
      <c r="J737" s="242" t="s">
        <v>11074</v>
      </c>
      <c r="K737" s="195" t="s">
        <v>70</v>
      </c>
      <c r="L737" s="20" t="str">
        <f ca="1">IF(OFFSET(환산공식!$ED$15,$F737,0)=1,"O","X")</f>
        <v>X</v>
      </c>
      <c r="M737" s="188">
        <f ca="1">IFERROR(OFFSET(환산공식!DJ$15,$F737,0),"")</f>
        <v>200</v>
      </c>
      <c r="N737" s="20" t="str">
        <f ca="1">IFERROR(CONCATENATE(ROUND(OFFSET(환산공식!DK$15,$F737,0),1),"%"),"")</f>
        <v>100%</v>
      </c>
      <c r="O737" s="20">
        <f ca="1">IFERROR(OFFSET(환산공식!DL$15,$F737,0),"")</f>
        <v>10</v>
      </c>
      <c r="P737" s="188" t="str">
        <f t="shared" ca="1" si="23"/>
        <v>3% 이하</v>
      </c>
      <c r="Q737" s="194">
        <f ca="1">IFERROR(ROUND(OFFSET(환산공식!$FG$15,$F737,0),3),"")</f>
        <v>0</v>
      </c>
      <c r="R737" s="194">
        <f ca="1">OFFSET('배치점수 계산기'!H$10,$D737,0)</f>
        <v>872.06899999999996</v>
      </c>
      <c r="S737" s="194">
        <f ca="1">OFFSET('배치점수 계산기'!I$10,$D737,0)</f>
        <v>870.97900000000004</v>
      </c>
      <c r="T737" s="194">
        <f ca="1">OFFSET('배치점수 계산기'!J$10,$D737,0)</f>
        <v>869.77499999999998</v>
      </c>
      <c r="U737" s="194">
        <f ca="1">OFFSET('배치점수 계산기'!K$10,$D737,0)</f>
        <v>867.02700000000004</v>
      </c>
      <c r="V737" s="194">
        <f ca="1">OFFSET('배치점수 계산기'!L$10,$D737,0)</f>
        <v>862.17200000000003</v>
      </c>
      <c r="W737" s="186" t="str">
        <f ca="1">OFFSET('배치점수 계산기'!M$10,$D737,0)</f>
        <v>표점/만점</v>
      </c>
      <c r="X737" s="184" t="str">
        <f ca="1">OFFSET('배치점수 계산기'!N$10,$D737,0)</f>
        <v>표점/만점</v>
      </c>
      <c r="Y737" s="188">
        <f ca="1">OFFSET(환산공식!FW$15,$F737,0)</f>
        <v>0.3</v>
      </c>
      <c r="Z737" s="20">
        <f ca="1">OFFSET(환산공식!FX$15,$F737,0)</f>
        <v>0.4</v>
      </c>
      <c r="AA737" s="179">
        <f ca="1">OFFSET(환산공식!FY$15,$F737,0)</f>
        <v>0.3</v>
      </c>
      <c r="AB737" s="3"/>
      <c r="AD737">
        <f t="shared" ca="1" si="24"/>
        <v>6</v>
      </c>
      <c r="AF737" s="3"/>
      <c r="AG737" s="3"/>
      <c r="AH737" s="3"/>
    </row>
    <row r="738" spans="1:34">
      <c r="A738" s="198"/>
      <c r="B738" s="198"/>
      <c r="C738" s="198" t="s">
        <v>1299</v>
      </c>
      <c r="D738" s="195">
        <v>794</v>
      </c>
      <c r="E738" s="195">
        <v>206</v>
      </c>
      <c r="F738" s="195">
        <v>206</v>
      </c>
      <c r="G738" s="239">
        <v>731</v>
      </c>
      <c r="H738" s="197" t="s">
        <v>72</v>
      </c>
      <c r="I738" s="242" t="s">
        <v>212</v>
      </c>
      <c r="J738" s="242" t="s">
        <v>11568</v>
      </c>
      <c r="K738" s="195" t="s">
        <v>70</v>
      </c>
      <c r="L738" s="20" t="str">
        <f ca="1">IF(OFFSET(환산공식!$ED$15,$F738,0)=1,"O","X")</f>
        <v>X</v>
      </c>
      <c r="M738" s="188">
        <f ca="1">IFERROR(OFFSET(환산공식!DJ$15,$F738,0),"")</f>
        <v>200</v>
      </c>
      <c r="N738" s="20" t="str">
        <f ca="1">IFERROR(CONCATENATE(ROUND(OFFSET(환산공식!DK$15,$F738,0),1),"%"),"")</f>
        <v>100%</v>
      </c>
      <c r="O738" s="20">
        <f ca="1">IFERROR(OFFSET(환산공식!DL$15,$F738,0),"")</f>
        <v>10</v>
      </c>
      <c r="P738" s="188" t="str">
        <f t="shared" ca="1" si="23"/>
        <v>3% 이하</v>
      </c>
      <c r="Q738" s="194">
        <f ca="1">IFERROR(ROUND(OFFSET(환산공식!$FG$15,$F738,0),3),"")</f>
        <v>0</v>
      </c>
      <c r="R738" s="194">
        <f ca="1">OFFSET('배치점수 계산기'!H$10,$D738,0)</f>
        <v>874.91899999999998</v>
      </c>
      <c r="S738" s="194">
        <f ca="1">OFFSET('배치점수 계산기'!I$10,$D738,0)</f>
        <v>872.40099999999995</v>
      </c>
      <c r="T738" s="194">
        <f ca="1">OFFSET('배치점수 계산기'!J$10,$D738,0)</f>
        <v>868.84799999999996</v>
      </c>
      <c r="U738" s="194">
        <f ca="1">OFFSET('배치점수 계산기'!K$10,$D738,0)</f>
        <v>863.83100000000002</v>
      </c>
      <c r="V738" s="194">
        <f ca="1">OFFSET('배치점수 계산기'!L$10,$D738,0)</f>
        <v>857.41399999999999</v>
      </c>
      <c r="W738" s="186" t="str">
        <f ca="1">OFFSET('배치점수 계산기'!M$10,$D738,0)</f>
        <v>표점/만점</v>
      </c>
      <c r="X738" s="184" t="str">
        <f ca="1">OFFSET('배치점수 계산기'!N$10,$D738,0)</f>
        <v>표점/만점</v>
      </c>
      <c r="Y738" s="188">
        <f ca="1">OFFSET(환산공식!FW$15,$F738,0)</f>
        <v>0.3</v>
      </c>
      <c r="Z738" s="20">
        <f ca="1">OFFSET(환산공식!FX$15,$F738,0)</f>
        <v>0.4</v>
      </c>
      <c r="AA738" s="179">
        <f ca="1">OFFSET(환산공식!FY$15,$F738,0)</f>
        <v>0.3</v>
      </c>
      <c r="AB738" s="3"/>
      <c r="AD738">
        <f t="shared" ca="1" si="24"/>
        <v>6</v>
      </c>
      <c r="AF738" s="3"/>
      <c r="AG738" s="3"/>
      <c r="AH738" s="3"/>
    </row>
    <row r="739" spans="1:34">
      <c r="A739" s="198"/>
      <c r="B739" s="198"/>
      <c r="C739" s="198" t="s">
        <v>1300</v>
      </c>
      <c r="D739" s="195">
        <v>795</v>
      </c>
      <c r="E739" s="195">
        <v>206</v>
      </c>
      <c r="F739" s="195">
        <v>206</v>
      </c>
      <c r="G739" s="239">
        <v>732</v>
      </c>
      <c r="H739" s="197" t="s">
        <v>72</v>
      </c>
      <c r="I739" s="242" t="s">
        <v>212</v>
      </c>
      <c r="J739" s="242" t="s">
        <v>8384</v>
      </c>
      <c r="K739" s="195" t="s">
        <v>70</v>
      </c>
      <c r="L739" s="20" t="str">
        <f ca="1">IF(OFFSET(환산공식!$ED$15,$F739,0)=1,"O","X")</f>
        <v>X</v>
      </c>
      <c r="M739" s="188">
        <f ca="1">IFERROR(OFFSET(환산공식!DJ$15,$F739,0),"")</f>
        <v>200</v>
      </c>
      <c r="N739" s="20" t="str">
        <f ca="1">IFERROR(CONCATENATE(ROUND(OFFSET(환산공식!DK$15,$F739,0),1),"%"),"")</f>
        <v>100%</v>
      </c>
      <c r="O739" s="20">
        <f ca="1">IFERROR(OFFSET(환산공식!DL$15,$F739,0),"")</f>
        <v>10</v>
      </c>
      <c r="P739" s="188" t="str">
        <f t="shared" ca="1" si="23"/>
        <v>3% 이하</v>
      </c>
      <c r="Q739" s="194">
        <f ca="1">IFERROR(ROUND(OFFSET(환산공식!$FG$15,$F739,0),3),"")</f>
        <v>0</v>
      </c>
      <c r="R739" s="194">
        <f ca="1">OFFSET('배치점수 계산기'!H$10,$D739,0)</f>
        <v>871.34699999999998</v>
      </c>
      <c r="S739" s="194">
        <f ca="1">OFFSET('배치점수 계산기'!I$10,$D739,0)</f>
        <v>869.048</v>
      </c>
      <c r="T739" s="194">
        <f ca="1">OFFSET('배치점수 계산기'!J$10,$D739,0)</f>
        <v>865.11500000000001</v>
      </c>
      <c r="U739" s="194">
        <f ca="1">OFFSET('배치점수 계산기'!K$10,$D739,0)</f>
        <v>859.40499999999997</v>
      </c>
      <c r="V739" s="194">
        <f ca="1">OFFSET('배치점수 계산기'!L$10,$D739,0)</f>
        <v>852.601</v>
      </c>
      <c r="W739" s="186" t="str">
        <f ca="1">OFFSET('배치점수 계산기'!M$10,$D739,0)</f>
        <v>표점/만점</v>
      </c>
      <c r="X739" s="184" t="str">
        <f ca="1">OFFSET('배치점수 계산기'!N$10,$D739,0)</f>
        <v>표점/만점</v>
      </c>
      <c r="Y739" s="188">
        <f ca="1">OFFSET(환산공식!FW$15,$F739,0)</f>
        <v>0.3</v>
      </c>
      <c r="Z739" s="20">
        <f ca="1">OFFSET(환산공식!FX$15,$F739,0)</f>
        <v>0.4</v>
      </c>
      <c r="AA739" s="179">
        <f ca="1">OFFSET(환산공식!FY$15,$F739,0)</f>
        <v>0.3</v>
      </c>
      <c r="AB739" s="3"/>
      <c r="AD739">
        <f t="shared" ca="1" si="24"/>
        <v>6</v>
      </c>
      <c r="AF739" s="3"/>
      <c r="AG739" s="3"/>
      <c r="AH739" s="3"/>
    </row>
    <row r="740" spans="1:34">
      <c r="A740" s="198"/>
      <c r="B740" s="198"/>
      <c r="C740" s="198" t="s">
        <v>1301</v>
      </c>
      <c r="D740" s="195">
        <v>796</v>
      </c>
      <c r="E740" s="195">
        <v>206</v>
      </c>
      <c r="F740" s="195">
        <v>206</v>
      </c>
      <c r="G740" s="239">
        <v>733</v>
      </c>
      <c r="H740" s="197" t="s">
        <v>72</v>
      </c>
      <c r="I740" s="242" t="s">
        <v>212</v>
      </c>
      <c r="J740" s="242" t="s">
        <v>9345</v>
      </c>
      <c r="K740" s="195" t="s">
        <v>70</v>
      </c>
      <c r="L740" s="20" t="str">
        <f ca="1">IF(OFFSET(환산공식!$ED$15,$F740,0)=1,"O","X")</f>
        <v>X</v>
      </c>
      <c r="M740" s="188">
        <f ca="1">IFERROR(OFFSET(환산공식!DJ$15,$F740,0),"")</f>
        <v>200</v>
      </c>
      <c r="N740" s="20" t="str">
        <f ca="1">IFERROR(CONCATENATE(ROUND(OFFSET(환산공식!DK$15,$F740,0),1),"%"),"")</f>
        <v>100%</v>
      </c>
      <c r="O740" s="20">
        <f ca="1">IFERROR(OFFSET(환산공식!DL$15,$F740,0),"")</f>
        <v>10</v>
      </c>
      <c r="P740" s="188" t="str">
        <f t="shared" ca="1" si="23"/>
        <v>3% 이하</v>
      </c>
      <c r="Q740" s="194">
        <f ca="1">IFERROR(ROUND(OFFSET(환산공식!$FG$15,$F740,0),3),"")</f>
        <v>0</v>
      </c>
      <c r="R740" s="194">
        <f ca="1">OFFSET('배치점수 계산기'!H$10,$D740,0)</f>
        <v>869.19299999999998</v>
      </c>
      <c r="S740" s="194">
        <f ca="1">OFFSET('배치점수 계산기'!I$10,$D740,0)</f>
        <v>866.71299999999997</v>
      </c>
      <c r="T740" s="194">
        <f ca="1">OFFSET('배치점수 계산기'!J$10,$D740,0)</f>
        <v>862.31600000000003</v>
      </c>
      <c r="U740" s="194">
        <f ca="1">OFFSET('배치점수 계산기'!K$10,$D740,0)</f>
        <v>857.20899999999995</v>
      </c>
      <c r="V740" s="194">
        <f ca="1">OFFSET('배치점수 계산기'!L$10,$D740,0)</f>
        <v>850.173</v>
      </c>
      <c r="W740" s="186" t="str">
        <f ca="1">OFFSET('배치점수 계산기'!M$10,$D740,0)</f>
        <v>표점/만점</v>
      </c>
      <c r="X740" s="184" t="str">
        <f ca="1">OFFSET('배치점수 계산기'!N$10,$D740,0)</f>
        <v>표점/만점</v>
      </c>
      <c r="Y740" s="188">
        <f ca="1">OFFSET(환산공식!FW$15,$F740,0)</f>
        <v>0.3</v>
      </c>
      <c r="Z740" s="20">
        <f ca="1">OFFSET(환산공식!FX$15,$F740,0)</f>
        <v>0.4</v>
      </c>
      <c r="AA740" s="179">
        <f ca="1">OFFSET(환산공식!FY$15,$F740,0)</f>
        <v>0.3</v>
      </c>
      <c r="AB740" s="3"/>
      <c r="AD740">
        <f t="shared" ca="1" si="24"/>
        <v>6</v>
      </c>
      <c r="AF740" s="3"/>
      <c r="AG740" s="3"/>
      <c r="AH740" s="3"/>
    </row>
    <row r="741" spans="1:34">
      <c r="A741" s="198"/>
      <c r="B741" s="198"/>
      <c r="C741" s="198" t="s">
        <v>1302</v>
      </c>
      <c r="D741" s="195">
        <v>797</v>
      </c>
      <c r="E741" s="195">
        <v>206</v>
      </c>
      <c r="F741" s="195">
        <v>206</v>
      </c>
      <c r="G741" s="239">
        <v>734</v>
      </c>
      <c r="H741" s="197" t="s">
        <v>72</v>
      </c>
      <c r="I741" s="242" t="s">
        <v>212</v>
      </c>
      <c r="J741" s="242" t="s">
        <v>8168</v>
      </c>
      <c r="K741" s="195" t="s">
        <v>70</v>
      </c>
      <c r="L741" s="20" t="str">
        <f ca="1">IF(OFFSET(환산공식!$ED$15,$F741,0)=1,"O","X")</f>
        <v>X</v>
      </c>
      <c r="M741" s="188">
        <f ca="1">IFERROR(OFFSET(환산공식!DJ$15,$F741,0),"")</f>
        <v>200</v>
      </c>
      <c r="N741" s="20" t="str">
        <f ca="1">IFERROR(CONCATENATE(ROUND(OFFSET(환산공식!DK$15,$F741,0),1),"%"),"")</f>
        <v>100%</v>
      </c>
      <c r="O741" s="20">
        <f ca="1">IFERROR(OFFSET(환산공식!DL$15,$F741,0),"")</f>
        <v>10</v>
      </c>
      <c r="P741" s="188" t="str">
        <f t="shared" ca="1" si="23"/>
        <v>3% 이하</v>
      </c>
      <c r="Q741" s="194">
        <f ca="1">IFERROR(ROUND(OFFSET(환산공식!$FG$15,$F741,0),3),"")</f>
        <v>0</v>
      </c>
      <c r="R741" s="194">
        <f ca="1">OFFSET('배치점수 계산기'!H$10,$D741,0)</f>
        <v>867.76400000000001</v>
      </c>
      <c r="S741" s="194">
        <f ca="1">OFFSET('배치점수 계산기'!I$10,$D741,0)</f>
        <v>865.42899999999997</v>
      </c>
      <c r="T741" s="194">
        <f ca="1">OFFSET('배치점수 계산기'!J$10,$D741,0)</f>
        <v>861.07</v>
      </c>
      <c r="U741" s="194">
        <f ca="1">OFFSET('배치점수 계산기'!K$10,$D741,0)</f>
        <v>855.92499999999995</v>
      </c>
      <c r="V741" s="194">
        <f ca="1">OFFSET('배치점수 계산기'!L$10,$D741,0)</f>
        <v>849.25800000000004</v>
      </c>
      <c r="W741" s="186" t="str">
        <f ca="1">OFFSET('배치점수 계산기'!M$10,$D741,0)</f>
        <v>표점/만점</v>
      </c>
      <c r="X741" s="184" t="str">
        <f ca="1">OFFSET('배치점수 계산기'!N$10,$D741,0)</f>
        <v>표점/만점</v>
      </c>
      <c r="Y741" s="188">
        <f ca="1">OFFSET(환산공식!FW$15,$F741,0)</f>
        <v>0.3</v>
      </c>
      <c r="Z741" s="20">
        <f ca="1">OFFSET(환산공식!FX$15,$F741,0)</f>
        <v>0.4</v>
      </c>
      <c r="AA741" s="179">
        <f ca="1">OFFSET(환산공식!FY$15,$F741,0)</f>
        <v>0.3</v>
      </c>
      <c r="AB741" s="3"/>
      <c r="AD741">
        <f t="shared" ca="1" si="24"/>
        <v>6</v>
      </c>
      <c r="AF741" s="3"/>
      <c r="AG741" s="3"/>
      <c r="AH741" s="3"/>
    </row>
    <row r="742" spans="1:34">
      <c r="A742" s="198"/>
      <c r="B742" s="198"/>
      <c r="C742" s="198" t="s">
        <v>1303</v>
      </c>
      <c r="D742" s="195">
        <v>798</v>
      </c>
      <c r="E742" s="195">
        <v>205</v>
      </c>
      <c r="F742" s="195">
        <v>205</v>
      </c>
      <c r="G742" s="239">
        <v>735</v>
      </c>
      <c r="H742" s="197" t="s">
        <v>72</v>
      </c>
      <c r="I742" s="242" t="s">
        <v>212</v>
      </c>
      <c r="J742" s="242" t="s">
        <v>7910</v>
      </c>
      <c r="K742" s="195" t="s">
        <v>70</v>
      </c>
      <c r="L742" s="20" t="str">
        <f ca="1">IF(OFFSET(환산공식!$ED$15,$F742,0)=1,"O","X")</f>
        <v>X</v>
      </c>
      <c r="M742" s="188">
        <f ca="1">IFERROR(OFFSET(환산공식!DJ$15,$F742,0),"")</f>
        <v>200</v>
      </c>
      <c r="N742" s="20" t="str">
        <f ca="1">IFERROR(CONCATENATE(ROUND(OFFSET(환산공식!DK$15,$F742,0),1),"%"),"")</f>
        <v>100%</v>
      </c>
      <c r="O742" s="20">
        <f ca="1">IFERROR(OFFSET(환산공식!DL$15,$F742,0),"")</f>
        <v>10</v>
      </c>
      <c r="P742" s="188" t="str">
        <f t="shared" ca="1" si="23"/>
        <v>3% 이하</v>
      </c>
      <c r="Q742" s="194">
        <f ca="1">IFERROR(ROUND(OFFSET(환산공식!$FG$15,$F742,0),3),"")</f>
        <v>0</v>
      </c>
      <c r="R742" s="194">
        <f ca="1">OFFSET('배치점수 계산기'!H$10,$D742,0)</f>
        <v>867.02700000000004</v>
      </c>
      <c r="S742" s="194">
        <f ca="1">OFFSET('배치점수 계산기'!I$10,$D742,0)</f>
        <v>864.73800000000006</v>
      </c>
      <c r="T742" s="194">
        <f ca="1">OFFSET('배치점수 계산기'!J$10,$D742,0)</f>
        <v>860.17399999999998</v>
      </c>
      <c r="U742" s="194">
        <f ca="1">OFFSET('배치점수 계산기'!K$10,$D742,0)</f>
        <v>854.82899999999995</v>
      </c>
      <c r="V742" s="194">
        <f ca="1">OFFSET('배치점수 계산기'!L$10,$D742,0)</f>
        <v>848.31</v>
      </c>
      <c r="W742" s="186" t="str">
        <f ca="1">OFFSET('배치점수 계산기'!M$10,$D742,0)</f>
        <v>표점/만점</v>
      </c>
      <c r="X742" s="184" t="str">
        <f ca="1">OFFSET('배치점수 계산기'!N$10,$D742,0)</f>
        <v>표점/만점</v>
      </c>
      <c r="Y742" s="188">
        <f ca="1">OFFSET(환산공식!FW$15,$F742,0)</f>
        <v>0.3</v>
      </c>
      <c r="Z742" s="20">
        <f ca="1">OFFSET(환산공식!FX$15,$F742,0)</f>
        <v>0.4</v>
      </c>
      <c r="AA742" s="179">
        <f ca="1">OFFSET(환산공식!FY$15,$F742,0)</f>
        <v>0.3</v>
      </c>
      <c r="AB742" s="3"/>
      <c r="AD742">
        <f t="shared" ca="1" si="24"/>
        <v>6</v>
      </c>
      <c r="AF742" s="3"/>
      <c r="AG742" s="3"/>
      <c r="AH742" s="3"/>
    </row>
    <row r="743" spans="1:34">
      <c r="A743" s="198"/>
      <c r="B743" s="198"/>
      <c r="C743" s="198" t="s">
        <v>1304</v>
      </c>
      <c r="D743" s="195">
        <v>799</v>
      </c>
      <c r="E743" s="195">
        <v>206</v>
      </c>
      <c r="F743" s="195">
        <v>206</v>
      </c>
      <c r="G743" s="239">
        <v>736</v>
      </c>
      <c r="H743" s="197" t="s">
        <v>72</v>
      </c>
      <c r="I743" s="242" t="s">
        <v>212</v>
      </c>
      <c r="J743" s="242" t="s">
        <v>418</v>
      </c>
      <c r="K743" s="195" t="s">
        <v>70</v>
      </c>
      <c r="L743" s="20" t="str">
        <f ca="1">IF(OFFSET(환산공식!$ED$15,$F743,0)=1,"O","X")</f>
        <v>X</v>
      </c>
      <c r="M743" s="188">
        <f ca="1">IFERROR(OFFSET(환산공식!DJ$15,$F743,0),"")</f>
        <v>200</v>
      </c>
      <c r="N743" s="20" t="str">
        <f ca="1">IFERROR(CONCATENATE(ROUND(OFFSET(환산공식!DK$15,$F743,0),1),"%"),"")</f>
        <v>100%</v>
      </c>
      <c r="O743" s="20">
        <f ca="1">IFERROR(OFFSET(환산공식!DL$15,$F743,0),"")</f>
        <v>10</v>
      </c>
      <c r="P743" s="188" t="str">
        <f t="shared" ca="1" si="23"/>
        <v>3% 이하</v>
      </c>
      <c r="Q743" s="194">
        <f ca="1">IFERROR(ROUND(OFFSET(환산공식!$FG$15,$F743,0),3),"")</f>
        <v>0</v>
      </c>
      <c r="R743" s="194">
        <f ca="1">OFFSET('배치점수 계산기'!H$10,$D743,0)</f>
        <v>864.14400000000001</v>
      </c>
      <c r="S743" s="194">
        <f ca="1">OFFSET('배치점수 계산기'!I$10,$D743,0)</f>
        <v>861.77200000000005</v>
      </c>
      <c r="T743" s="194">
        <f ca="1">OFFSET('배치점수 계산기'!J$10,$D743,0)</f>
        <v>857.75300000000004</v>
      </c>
      <c r="U743" s="194">
        <f ca="1">OFFSET('배치점수 계산기'!K$10,$D743,0)</f>
        <v>852.43100000000004</v>
      </c>
      <c r="V743" s="194">
        <f ca="1">OFFSET('배치점수 계산기'!L$10,$D743,0)</f>
        <v>846.46199999999999</v>
      </c>
      <c r="W743" s="186" t="str">
        <f ca="1">OFFSET('배치점수 계산기'!M$10,$D743,0)</f>
        <v>표점/만점</v>
      </c>
      <c r="X743" s="184" t="str">
        <f ca="1">OFFSET('배치점수 계산기'!N$10,$D743,0)</f>
        <v>표점/만점</v>
      </c>
      <c r="Y743" s="188">
        <f ca="1">OFFSET(환산공식!FW$15,$F743,0)</f>
        <v>0.3</v>
      </c>
      <c r="Z743" s="20">
        <f ca="1">OFFSET(환산공식!FX$15,$F743,0)</f>
        <v>0.4</v>
      </c>
      <c r="AA743" s="179">
        <f ca="1">OFFSET(환산공식!FY$15,$F743,0)</f>
        <v>0.3</v>
      </c>
      <c r="AB743" s="3"/>
      <c r="AD743">
        <f t="shared" ca="1" si="24"/>
        <v>6</v>
      </c>
      <c r="AF743" s="3"/>
      <c r="AG743" s="3"/>
      <c r="AH743" s="3"/>
    </row>
    <row r="744" spans="1:34">
      <c r="A744" s="198"/>
      <c r="B744" s="198"/>
      <c r="C744" s="198" t="s">
        <v>1305</v>
      </c>
      <c r="D744" s="195">
        <v>800</v>
      </c>
      <c r="E744" s="195">
        <v>206</v>
      </c>
      <c r="F744" s="195">
        <v>206</v>
      </c>
      <c r="G744" s="239">
        <v>737</v>
      </c>
      <c r="H744" s="197" t="s">
        <v>72</v>
      </c>
      <c r="I744" s="242" t="s">
        <v>212</v>
      </c>
      <c r="J744" s="242" t="s">
        <v>8305</v>
      </c>
      <c r="K744" s="195" t="s">
        <v>70</v>
      </c>
      <c r="L744" s="20" t="str">
        <f ca="1">IF(OFFSET(환산공식!$ED$15,$F744,0)=1,"O","X")</f>
        <v>X</v>
      </c>
      <c r="M744" s="188">
        <f ca="1">IFERROR(OFFSET(환산공식!DJ$15,$F744,0),"")</f>
        <v>200</v>
      </c>
      <c r="N744" s="20" t="str">
        <f ca="1">IFERROR(CONCATENATE(ROUND(OFFSET(환산공식!DK$15,$F744,0),1),"%"),"")</f>
        <v>100%</v>
      </c>
      <c r="O744" s="20">
        <f ca="1">IFERROR(OFFSET(환산공식!DL$15,$F744,0),"")</f>
        <v>10</v>
      </c>
      <c r="P744" s="188" t="str">
        <f t="shared" ca="1" si="23"/>
        <v>3% 이하</v>
      </c>
      <c r="Q744" s="194">
        <f ca="1">IFERROR(ROUND(OFFSET(환산공식!$FG$15,$F744,0),3),"")</f>
        <v>0</v>
      </c>
      <c r="R744" s="194">
        <f ca="1">OFFSET('배치점수 계산기'!H$10,$D744,0)</f>
        <v>859.82399999999996</v>
      </c>
      <c r="S744" s="194">
        <f ca="1">OFFSET('배치점수 계산기'!I$10,$D744,0)</f>
        <v>857.41399999999999</v>
      </c>
      <c r="T744" s="194">
        <f ca="1">OFFSET('배치점수 계산기'!J$10,$D744,0)</f>
        <v>852.76400000000001</v>
      </c>
      <c r="U744" s="194">
        <f ca="1">OFFSET('배치점수 계산기'!K$10,$D744,0)</f>
        <v>848.12099999999998</v>
      </c>
      <c r="V744" s="194">
        <f ca="1">OFFSET('배치점수 계산기'!L$10,$D744,0)</f>
        <v>842.48400000000004</v>
      </c>
      <c r="W744" s="186" t="str">
        <f ca="1">OFFSET('배치점수 계산기'!M$10,$D744,0)</f>
        <v>표점/만점</v>
      </c>
      <c r="X744" s="184" t="str">
        <f ca="1">OFFSET('배치점수 계산기'!N$10,$D744,0)</f>
        <v>표점/만점</v>
      </c>
      <c r="Y744" s="188">
        <f ca="1">OFFSET(환산공식!FW$15,$F744,0)</f>
        <v>0.3</v>
      </c>
      <c r="Z744" s="20">
        <f ca="1">OFFSET(환산공식!FX$15,$F744,0)</f>
        <v>0.4</v>
      </c>
      <c r="AA744" s="179">
        <f ca="1">OFFSET(환산공식!FY$15,$F744,0)</f>
        <v>0.3</v>
      </c>
      <c r="AB744" s="3"/>
      <c r="AD744">
        <f t="shared" ca="1" si="24"/>
        <v>6</v>
      </c>
      <c r="AF744" s="3"/>
      <c r="AG744" s="3"/>
      <c r="AH744" s="3"/>
    </row>
    <row r="745" spans="1:34">
      <c r="A745" s="198"/>
      <c r="B745" s="198"/>
      <c r="C745" s="198" t="s">
        <v>1306</v>
      </c>
      <c r="D745" s="195">
        <v>801</v>
      </c>
      <c r="E745" s="195">
        <v>204</v>
      </c>
      <c r="F745" s="195">
        <v>204</v>
      </c>
      <c r="G745" s="239">
        <v>738</v>
      </c>
      <c r="H745" s="197" t="s">
        <v>72</v>
      </c>
      <c r="I745" s="242" t="s">
        <v>212</v>
      </c>
      <c r="J745" s="242" t="s">
        <v>12482</v>
      </c>
      <c r="K745" s="195" t="s">
        <v>70</v>
      </c>
      <c r="L745" s="20" t="str">
        <f ca="1">IF(OFFSET(환산공식!$ED$15,$F745,0)=1,"O","X")</f>
        <v>X</v>
      </c>
      <c r="M745" s="188">
        <f ca="1">IFERROR(OFFSET(환산공식!DJ$15,$F745,0),"")</f>
        <v>200</v>
      </c>
      <c r="N745" s="20" t="str">
        <f ca="1">IFERROR(CONCATENATE(ROUND(OFFSET(환산공식!DK$15,$F745,0),1),"%"),"")</f>
        <v>100%</v>
      </c>
      <c r="O745" s="20">
        <f ca="1">IFERROR(OFFSET(환산공식!DL$15,$F745,0),"")</f>
        <v>10</v>
      </c>
      <c r="P745" s="188" t="str">
        <f t="shared" ca="1" si="23"/>
        <v>3% 이하</v>
      </c>
      <c r="Q745" s="194">
        <f ca="1">IFERROR(ROUND(OFFSET(환산공식!$FG$15,$F745,0),3),"")</f>
        <v>0</v>
      </c>
      <c r="R745" s="194">
        <f ca="1">OFFSET('배치점수 계산기'!H$10,$D745,0)</f>
        <v>855.92499999999995</v>
      </c>
      <c r="S745" s="194">
        <f ca="1">OFFSET('배치점수 계산기'!I$10,$D745,0)</f>
        <v>853.327</v>
      </c>
      <c r="T745" s="194">
        <f ca="1">OFFSET('배치점수 계산기'!J$10,$D745,0)</f>
        <v>849.428</v>
      </c>
      <c r="U745" s="194">
        <f ca="1">OFFSET('배치점수 계산기'!K$10,$D745,0)</f>
        <v>845.20299999999997</v>
      </c>
      <c r="V745" s="194">
        <f ca="1">OFFSET('배치점수 계산기'!L$10,$D745,0)</f>
        <v>839.91899999999998</v>
      </c>
      <c r="W745" s="186" t="str">
        <f ca="1">OFFSET('배치점수 계산기'!M$10,$D745,0)</f>
        <v>표점/만점</v>
      </c>
      <c r="X745" s="184" t="str">
        <f ca="1">OFFSET('배치점수 계산기'!N$10,$D745,0)</f>
        <v>표점/만점</v>
      </c>
      <c r="Y745" s="188">
        <f ca="1">OFFSET(환산공식!FW$15,$F745,0)</f>
        <v>0.3</v>
      </c>
      <c r="Z745" s="20">
        <f ca="1">OFFSET(환산공식!FX$15,$F745,0)</f>
        <v>0.4</v>
      </c>
      <c r="AA745" s="179">
        <f ca="1">OFFSET(환산공식!FY$15,$F745,0)</f>
        <v>0.3</v>
      </c>
      <c r="AB745" s="3"/>
      <c r="AD745">
        <f t="shared" ca="1" si="24"/>
        <v>6</v>
      </c>
      <c r="AF745" s="3"/>
      <c r="AG745" s="3"/>
      <c r="AH745" s="3"/>
    </row>
    <row r="746" spans="1:34">
      <c r="A746" s="198"/>
      <c r="B746" s="198"/>
      <c r="C746" s="198" t="s">
        <v>1307</v>
      </c>
      <c r="D746" s="195">
        <v>802</v>
      </c>
      <c r="E746" s="195">
        <v>204</v>
      </c>
      <c r="F746" s="195">
        <v>204</v>
      </c>
      <c r="G746" s="239">
        <v>739</v>
      </c>
      <c r="H746" s="197" t="s">
        <v>72</v>
      </c>
      <c r="I746" s="242" t="s">
        <v>212</v>
      </c>
      <c r="J746" s="242" t="s">
        <v>8669</v>
      </c>
      <c r="K746" s="195" t="s">
        <v>70</v>
      </c>
      <c r="L746" s="20" t="str">
        <f ca="1">IF(OFFSET(환산공식!$ED$15,$F746,0)=1,"O","X")</f>
        <v>X</v>
      </c>
      <c r="M746" s="188">
        <f ca="1">IFERROR(OFFSET(환산공식!DJ$15,$F746,0),"")</f>
        <v>200</v>
      </c>
      <c r="N746" s="20" t="str">
        <f ca="1">IFERROR(CONCATENATE(ROUND(OFFSET(환산공식!DK$15,$F746,0),1),"%"),"")</f>
        <v>100%</v>
      </c>
      <c r="O746" s="20">
        <f ca="1">IFERROR(OFFSET(환산공식!DL$15,$F746,0),"")</f>
        <v>10</v>
      </c>
      <c r="P746" s="188" t="str">
        <f t="shared" ca="1" si="23"/>
        <v>3% 이하</v>
      </c>
      <c r="Q746" s="194">
        <f ca="1">IFERROR(ROUND(OFFSET(환산공식!$FG$15,$F746,0),3),"")</f>
        <v>0</v>
      </c>
      <c r="R746" s="194">
        <f ca="1">OFFSET('배치점수 계산기'!H$10,$D746,0)</f>
        <v>855.73599999999999</v>
      </c>
      <c r="S746" s="194">
        <f ca="1">OFFSET('배치점수 계산기'!I$10,$D746,0)</f>
        <v>853.13900000000001</v>
      </c>
      <c r="T746" s="194">
        <f ca="1">OFFSET('배치점수 계산기'!J$10,$D746,0)</f>
        <v>848.70899999999995</v>
      </c>
      <c r="U746" s="194">
        <f ca="1">OFFSET('배치점수 계산기'!K$10,$D746,0)</f>
        <v>844.50099999999998</v>
      </c>
      <c r="V746" s="194">
        <f ca="1">OFFSET('배치점수 계산기'!L$10,$D746,0)</f>
        <v>838.96699999999998</v>
      </c>
      <c r="W746" s="186" t="str">
        <f ca="1">OFFSET('배치점수 계산기'!M$10,$D746,0)</f>
        <v>표점/만점</v>
      </c>
      <c r="X746" s="184" t="str">
        <f ca="1">OFFSET('배치점수 계산기'!N$10,$D746,0)</f>
        <v>표점/만점</v>
      </c>
      <c r="Y746" s="188">
        <f ca="1">OFFSET(환산공식!FW$15,$F746,0)</f>
        <v>0.3</v>
      </c>
      <c r="Z746" s="20">
        <f ca="1">OFFSET(환산공식!FX$15,$F746,0)</f>
        <v>0.4</v>
      </c>
      <c r="AA746" s="179">
        <f ca="1">OFFSET(환산공식!FY$15,$F746,0)</f>
        <v>0.3</v>
      </c>
      <c r="AB746" s="3"/>
      <c r="AD746">
        <f t="shared" ca="1" si="24"/>
        <v>6</v>
      </c>
      <c r="AF746" s="3"/>
      <c r="AG746" s="3"/>
      <c r="AH746" s="3"/>
    </row>
    <row r="747" spans="1:34">
      <c r="A747" s="198"/>
      <c r="B747" s="198"/>
      <c r="C747" s="198" t="s">
        <v>1308</v>
      </c>
      <c r="D747" s="195">
        <v>803</v>
      </c>
      <c r="E747" s="195">
        <v>204</v>
      </c>
      <c r="F747" s="195">
        <v>204</v>
      </c>
      <c r="G747" s="239">
        <v>740</v>
      </c>
      <c r="H747" s="197" t="s">
        <v>72</v>
      </c>
      <c r="I747" s="242" t="s">
        <v>212</v>
      </c>
      <c r="J747" s="242" t="s">
        <v>555</v>
      </c>
      <c r="K747" s="195" t="s">
        <v>70</v>
      </c>
      <c r="L747" s="20" t="str">
        <f ca="1">IF(OFFSET(환산공식!$ED$15,$F747,0)=1,"O","X")</f>
        <v>X</v>
      </c>
      <c r="M747" s="188">
        <f ca="1">IFERROR(OFFSET(환산공식!DJ$15,$F747,0),"")</f>
        <v>200</v>
      </c>
      <c r="N747" s="20" t="str">
        <f ca="1">IFERROR(CONCATENATE(ROUND(OFFSET(환산공식!DK$15,$F747,0),1),"%"),"")</f>
        <v>100%</v>
      </c>
      <c r="O747" s="20">
        <f ca="1">IFERROR(OFFSET(환산공식!DL$15,$F747,0),"")</f>
        <v>10</v>
      </c>
      <c r="P747" s="188" t="str">
        <f t="shared" ca="1" si="23"/>
        <v>3% 이하</v>
      </c>
      <c r="Q747" s="194">
        <f ca="1">IFERROR(ROUND(OFFSET(환산공식!$FG$15,$F747,0),3),"")</f>
        <v>0</v>
      </c>
      <c r="R747" s="194">
        <f ca="1">OFFSET('배치점수 계산기'!H$10,$D747,0)</f>
        <v>854.41</v>
      </c>
      <c r="S747" s="194">
        <f ca="1">OFFSET('배치점수 계산기'!I$10,$D747,0)</f>
        <v>852.01300000000003</v>
      </c>
      <c r="T747" s="194">
        <f ca="1">OFFSET('배치점수 계산기'!J$10,$D747,0)</f>
        <v>848.12099999999998</v>
      </c>
      <c r="U747" s="194">
        <f ca="1">OFFSET('배치점수 계산기'!K$10,$D747,0)</f>
        <v>843.79399999999998</v>
      </c>
      <c r="V747" s="194">
        <f ca="1">OFFSET('배치점수 계산기'!L$10,$D747,0)</f>
        <v>838.49</v>
      </c>
      <c r="W747" s="186" t="str">
        <f ca="1">OFFSET('배치점수 계산기'!M$10,$D747,0)</f>
        <v>표점/만점</v>
      </c>
      <c r="X747" s="184" t="str">
        <f ca="1">OFFSET('배치점수 계산기'!N$10,$D747,0)</f>
        <v>표점/만점</v>
      </c>
      <c r="Y747" s="188">
        <f ca="1">OFFSET(환산공식!FW$15,$F747,0)</f>
        <v>0.3</v>
      </c>
      <c r="Z747" s="20">
        <f ca="1">OFFSET(환산공식!FX$15,$F747,0)</f>
        <v>0.4</v>
      </c>
      <c r="AA747" s="179">
        <f ca="1">OFFSET(환산공식!FY$15,$F747,0)</f>
        <v>0.3</v>
      </c>
      <c r="AB747" s="3"/>
      <c r="AD747">
        <f t="shared" ca="1" si="24"/>
        <v>6</v>
      </c>
      <c r="AF747" s="3"/>
      <c r="AG747" s="3"/>
      <c r="AH747" s="3"/>
    </row>
    <row r="748" spans="1:34">
      <c r="A748" s="198"/>
      <c r="B748" s="198"/>
      <c r="C748" s="198" t="s">
        <v>1309</v>
      </c>
      <c r="D748" s="195">
        <v>804</v>
      </c>
      <c r="E748" s="195">
        <v>206</v>
      </c>
      <c r="F748" s="195">
        <v>206</v>
      </c>
      <c r="G748" s="239">
        <v>741</v>
      </c>
      <c r="H748" s="197" t="s">
        <v>72</v>
      </c>
      <c r="I748" s="242" t="s">
        <v>212</v>
      </c>
      <c r="J748" s="242" t="s">
        <v>7353</v>
      </c>
      <c r="K748" s="195" t="s">
        <v>70</v>
      </c>
      <c r="L748" s="20" t="str">
        <f ca="1">IF(OFFSET(환산공식!$ED$15,$F748,0)=1,"O","X")</f>
        <v>X</v>
      </c>
      <c r="M748" s="188">
        <f ca="1">IFERROR(OFFSET(환산공식!DJ$15,$F748,0),"")</f>
        <v>200</v>
      </c>
      <c r="N748" s="20" t="str">
        <f ca="1">IFERROR(CONCATENATE(ROUND(OFFSET(환산공식!DK$15,$F748,0),1),"%"),"")</f>
        <v>100%</v>
      </c>
      <c r="O748" s="20">
        <f ca="1">IFERROR(OFFSET(환산공식!DL$15,$F748,0),"")</f>
        <v>10</v>
      </c>
      <c r="P748" s="188" t="str">
        <f t="shared" ca="1" si="23"/>
        <v>3% 이하</v>
      </c>
      <c r="Q748" s="194">
        <f ca="1">IFERROR(ROUND(OFFSET(환산공식!$FG$15,$F748,0),3),"")</f>
        <v>0</v>
      </c>
      <c r="R748" s="194">
        <f ca="1">OFFSET('배치점수 계산기'!H$10,$D748,0)</f>
        <v>853.90800000000002</v>
      </c>
      <c r="S748" s="194">
        <f ca="1">OFFSET('배치점수 계산기'!I$10,$D748,0)</f>
        <v>851.505</v>
      </c>
      <c r="T748" s="194">
        <f ca="1">OFFSET('배치점수 계산기'!J$10,$D748,0)</f>
        <v>847.97699999999998</v>
      </c>
      <c r="U748" s="194">
        <f ca="1">OFFSET('배치점수 계산기'!K$10,$D748,0)</f>
        <v>843.60500000000002</v>
      </c>
      <c r="V748" s="194">
        <f ca="1">OFFSET('배치점수 계산기'!L$10,$D748,0)</f>
        <v>838.30100000000004</v>
      </c>
      <c r="W748" s="186" t="str">
        <f ca="1">OFFSET('배치점수 계산기'!M$10,$D748,0)</f>
        <v>표점/만점</v>
      </c>
      <c r="X748" s="184" t="str">
        <f ca="1">OFFSET('배치점수 계산기'!N$10,$D748,0)</f>
        <v>표점/만점</v>
      </c>
      <c r="Y748" s="188">
        <f ca="1">OFFSET(환산공식!FW$15,$F748,0)</f>
        <v>0.3</v>
      </c>
      <c r="Z748" s="20">
        <f ca="1">OFFSET(환산공식!FX$15,$F748,0)</f>
        <v>0.4</v>
      </c>
      <c r="AA748" s="179">
        <f ca="1">OFFSET(환산공식!FY$15,$F748,0)</f>
        <v>0.3</v>
      </c>
      <c r="AB748" s="3"/>
      <c r="AD748">
        <f t="shared" ca="1" si="24"/>
        <v>6</v>
      </c>
      <c r="AF748" s="3"/>
      <c r="AG748" s="3"/>
      <c r="AH748" s="3"/>
    </row>
    <row r="749" spans="1:34">
      <c r="A749" s="198"/>
      <c r="B749" s="198"/>
      <c r="C749" s="198" t="s">
        <v>1310</v>
      </c>
      <c r="D749" s="195">
        <v>805</v>
      </c>
      <c r="E749" s="195">
        <v>204</v>
      </c>
      <c r="F749" s="195">
        <v>204</v>
      </c>
      <c r="G749" s="239">
        <v>742</v>
      </c>
      <c r="H749" s="197" t="s">
        <v>72</v>
      </c>
      <c r="I749" s="242" t="s">
        <v>212</v>
      </c>
      <c r="J749" s="242" t="s">
        <v>12689</v>
      </c>
      <c r="K749" s="195" t="s">
        <v>70</v>
      </c>
      <c r="L749" s="20" t="str">
        <f ca="1">IF(OFFSET(환산공식!$ED$15,$F749,0)=1,"O","X")</f>
        <v>X</v>
      </c>
      <c r="M749" s="188">
        <f ca="1">IFERROR(OFFSET(환산공식!DJ$15,$F749,0),"")</f>
        <v>200</v>
      </c>
      <c r="N749" s="20" t="str">
        <f ca="1">IFERROR(CONCATENATE(ROUND(OFFSET(환산공식!DK$15,$F749,0),1),"%"),"")</f>
        <v>100%</v>
      </c>
      <c r="O749" s="20">
        <f ca="1">IFERROR(OFFSET(환산공식!DL$15,$F749,0),"")</f>
        <v>10</v>
      </c>
      <c r="P749" s="188" t="str">
        <f t="shared" ca="1" si="23"/>
        <v>3% 이하</v>
      </c>
      <c r="Q749" s="194">
        <f ca="1">IFERROR(ROUND(OFFSET(환산공식!$FG$15,$F749,0),3),"")</f>
        <v>0</v>
      </c>
      <c r="R749" s="194">
        <f ca="1">OFFSET('배치점수 계산기'!H$10,$D749,0)</f>
        <v>850.173</v>
      </c>
      <c r="S749" s="194">
        <f ca="1">OFFSET('배치점수 계산기'!I$10,$D749,0)</f>
        <v>848.12099999999998</v>
      </c>
      <c r="T749" s="194">
        <f ca="1">OFFSET('배치점수 계산기'!J$10,$D749,0)</f>
        <v>844.10799999999995</v>
      </c>
      <c r="U749" s="194">
        <f ca="1">OFFSET('배치점수 계산기'!K$10,$D749,0)</f>
        <v>840.08799999999997</v>
      </c>
      <c r="V749" s="194">
        <f ca="1">OFFSET('배치점수 계산기'!L$10,$D749,0)</f>
        <v>834.42899999999997</v>
      </c>
      <c r="W749" s="186" t="str">
        <f ca="1">OFFSET('배치점수 계산기'!M$10,$D749,0)</f>
        <v>표점/만점</v>
      </c>
      <c r="X749" s="184" t="str">
        <f ca="1">OFFSET('배치점수 계산기'!N$10,$D749,0)</f>
        <v>표점/만점</v>
      </c>
      <c r="Y749" s="188">
        <f ca="1">OFFSET(환산공식!FW$15,$F749,0)</f>
        <v>0.3</v>
      </c>
      <c r="Z749" s="20">
        <f ca="1">OFFSET(환산공식!FX$15,$F749,0)</f>
        <v>0.4</v>
      </c>
      <c r="AA749" s="179">
        <f ca="1">OFFSET(환산공식!FY$15,$F749,0)</f>
        <v>0.3</v>
      </c>
      <c r="AB749" s="3"/>
      <c r="AD749">
        <f t="shared" ca="1" si="24"/>
        <v>6</v>
      </c>
      <c r="AF749" s="3"/>
      <c r="AG749" s="3"/>
      <c r="AH749" s="3"/>
    </row>
    <row r="750" spans="1:34">
      <c r="A750" s="198"/>
      <c r="B750" s="198"/>
      <c r="C750" s="198" t="s">
        <v>1311</v>
      </c>
      <c r="D750" s="195">
        <v>806</v>
      </c>
      <c r="E750" s="195">
        <v>204</v>
      </c>
      <c r="F750" s="195">
        <v>204</v>
      </c>
      <c r="G750" s="239">
        <v>743</v>
      </c>
      <c r="H750" s="197" t="s">
        <v>72</v>
      </c>
      <c r="I750" s="242" t="s">
        <v>212</v>
      </c>
      <c r="J750" s="242" t="s">
        <v>12712</v>
      </c>
      <c r="K750" s="195" t="s">
        <v>70</v>
      </c>
      <c r="L750" s="20" t="str">
        <f ca="1">IF(OFFSET(환산공식!$ED$15,$F750,0)=1,"O","X")</f>
        <v>X</v>
      </c>
      <c r="M750" s="188">
        <f ca="1">IFERROR(OFFSET(환산공식!DJ$15,$F750,0),"")</f>
        <v>200</v>
      </c>
      <c r="N750" s="20" t="str">
        <f ca="1">IFERROR(CONCATENATE(ROUND(OFFSET(환산공식!DK$15,$F750,0),1),"%"),"")</f>
        <v>100%</v>
      </c>
      <c r="O750" s="20">
        <f ca="1">IFERROR(OFFSET(환산공식!DL$15,$F750,0),"")</f>
        <v>10</v>
      </c>
      <c r="P750" s="188" t="str">
        <f t="shared" ca="1" si="23"/>
        <v>3% 이하</v>
      </c>
      <c r="Q750" s="194">
        <f ca="1">IFERROR(ROUND(OFFSET(환산공식!$FG$15,$F750,0),3),"")</f>
        <v>0</v>
      </c>
      <c r="R750" s="194">
        <f ca="1">OFFSET('배치점수 계산기'!H$10,$D750,0)</f>
        <v>849.84699999999998</v>
      </c>
      <c r="S750" s="194">
        <f ca="1">OFFSET('배치점수 계산기'!I$10,$D750,0)</f>
        <v>847.78800000000001</v>
      </c>
      <c r="T750" s="194">
        <f ca="1">OFFSET('배치점수 계산기'!J$10,$D750,0)</f>
        <v>843.93799999999999</v>
      </c>
      <c r="U750" s="194">
        <f ca="1">OFFSET('배치점수 계산기'!K$10,$D750,0)</f>
        <v>839.91899999999998</v>
      </c>
      <c r="V750" s="194">
        <f ca="1">OFFSET('배치점수 계산기'!L$10,$D750,0)</f>
        <v>834.07100000000003</v>
      </c>
      <c r="W750" s="186" t="str">
        <f ca="1">OFFSET('배치점수 계산기'!M$10,$D750,0)</f>
        <v>표점/만점</v>
      </c>
      <c r="X750" s="184" t="str">
        <f ca="1">OFFSET('배치점수 계산기'!N$10,$D750,0)</f>
        <v>표점/만점</v>
      </c>
      <c r="Y750" s="188">
        <f ca="1">OFFSET(환산공식!FW$15,$F750,0)</f>
        <v>0.3</v>
      </c>
      <c r="Z750" s="20">
        <f ca="1">OFFSET(환산공식!FX$15,$F750,0)</f>
        <v>0.4</v>
      </c>
      <c r="AA750" s="179">
        <f ca="1">OFFSET(환산공식!FY$15,$F750,0)</f>
        <v>0.3</v>
      </c>
      <c r="AB750" s="3"/>
      <c r="AD750">
        <f t="shared" ca="1" si="24"/>
        <v>6</v>
      </c>
      <c r="AF750" s="3"/>
      <c r="AG750" s="3"/>
      <c r="AH750" s="3"/>
    </row>
    <row r="751" spans="1:34">
      <c r="A751" s="198"/>
      <c r="B751" s="198"/>
      <c r="C751" s="198" t="s">
        <v>1312</v>
      </c>
      <c r="D751" s="195">
        <v>807</v>
      </c>
      <c r="E751" s="195">
        <v>206</v>
      </c>
      <c r="F751" s="195">
        <v>206</v>
      </c>
      <c r="G751" s="239">
        <v>744</v>
      </c>
      <c r="H751" s="197" t="s">
        <v>72</v>
      </c>
      <c r="I751" s="242" t="s">
        <v>212</v>
      </c>
      <c r="J751" s="242" t="s">
        <v>541</v>
      </c>
      <c r="K751" s="195" t="s">
        <v>70</v>
      </c>
      <c r="L751" s="20" t="str">
        <f ca="1">IF(OFFSET(환산공식!$ED$15,$F751,0)=1,"O","X")</f>
        <v>X</v>
      </c>
      <c r="M751" s="188">
        <f ca="1">IFERROR(OFFSET(환산공식!DJ$15,$F751,0),"")</f>
        <v>200</v>
      </c>
      <c r="N751" s="20" t="str">
        <f ca="1">IFERROR(CONCATENATE(ROUND(OFFSET(환산공식!DK$15,$F751,0),1),"%"),"")</f>
        <v>100%</v>
      </c>
      <c r="O751" s="20">
        <f ca="1">IFERROR(OFFSET(환산공식!DL$15,$F751,0),"")</f>
        <v>10</v>
      </c>
      <c r="P751" s="188" t="str">
        <f t="shared" ca="1" si="23"/>
        <v>3% 이하</v>
      </c>
      <c r="Q751" s="194">
        <f ca="1">IFERROR(ROUND(OFFSET(환산공식!$FG$15,$F751,0),3),"")</f>
        <v>0</v>
      </c>
      <c r="R751" s="194">
        <f ca="1">OFFSET('배치점수 계산기'!H$10,$D751,0)</f>
        <v>846.46199999999999</v>
      </c>
      <c r="S751" s="194">
        <f ca="1">OFFSET('배치점수 계산기'!I$10,$D751,0)</f>
        <v>844.33799999999997</v>
      </c>
      <c r="T751" s="194">
        <f ca="1">OFFSET('배치점수 계산기'!J$10,$D751,0)</f>
        <v>840.81399999999996</v>
      </c>
      <c r="U751" s="194">
        <f ca="1">OFFSET('배치점수 계산기'!K$10,$D751,0)</f>
        <v>836.43600000000004</v>
      </c>
      <c r="V751" s="194">
        <f ca="1">OFFSET('배치점수 계산기'!L$10,$D751,0)</f>
        <v>830.72799999999995</v>
      </c>
      <c r="W751" s="186" t="str">
        <f ca="1">OFFSET('배치점수 계산기'!M$10,$D751,0)</f>
        <v>표점/만점</v>
      </c>
      <c r="X751" s="184" t="str">
        <f ca="1">OFFSET('배치점수 계산기'!N$10,$D751,0)</f>
        <v>표점/만점</v>
      </c>
      <c r="Y751" s="188">
        <f ca="1">OFFSET(환산공식!FW$15,$F751,0)</f>
        <v>0.3</v>
      </c>
      <c r="Z751" s="20">
        <f ca="1">OFFSET(환산공식!FX$15,$F751,0)</f>
        <v>0.4</v>
      </c>
      <c r="AA751" s="179">
        <f ca="1">OFFSET(환산공식!FY$15,$F751,0)</f>
        <v>0.3</v>
      </c>
      <c r="AB751" s="3"/>
      <c r="AD751">
        <f t="shared" ca="1" si="24"/>
        <v>6</v>
      </c>
      <c r="AF751" s="3"/>
      <c r="AG751" s="3"/>
      <c r="AH751" s="3"/>
    </row>
    <row r="752" spans="1:34">
      <c r="A752" s="198"/>
      <c r="B752" s="198"/>
      <c r="C752" s="198" t="s">
        <v>1313</v>
      </c>
      <c r="D752" s="195">
        <v>808</v>
      </c>
      <c r="E752" s="195">
        <v>206</v>
      </c>
      <c r="F752" s="195">
        <v>206</v>
      </c>
      <c r="G752" s="239">
        <v>745</v>
      </c>
      <c r="H752" s="197" t="s">
        <v>72</v>
      </c>
      <c r="I752" s="242" t="s">
        <v>212</v>
      </c>
      <c r="J752" s="242" t="s">
        <v>8323</v>
      </c>
      <c r="K752" s="195" t="s">
        <v>70</v>
      </c>
      <c r="L752" s="20" t="str">
        <f ca="1">IF(OFFSET(환산공식!$ED$15,$F752,0)=1,"O","X")</f>
        <v>X</v>
      </c>
      <c r="M752" s="188">
        <f ca="1">IFERROR(OFFSET(환산공식!DJ$15,$F752,0),"")</f>
        <v>200</v>
      </c>
      <c r="N752" s="20" t="str">
        <f ca="1">IFERROR(CONCATENATE(ROUND(OFFSET(환산공식!DK$15,$F752,0),1),"%"),"")</f>
        <v>100%</v>
      </c>
      <c r="O752" s="20">
        <f ca="1">IFERROR(OFFSET(환산공식!DL$15,$F752,0),"")</f>
        <v>10</v>
      </c>
      <c r="P752" s="188" t="str">
        <f t="shared" ca="1" si="23"/>
        <v>3% 이하</v>
      </c>
      <c r="Q752" s="194">
        <f ca="1">IFERROR(ROUND(OFFSET(환산공식!$FG$15,$F752,0),3),"")</f>
        <v>0</v>
      </c>
      <c r="R752" s="194">
        <f ca="1">OFFSET('배치점수 계산기'!H$10,$D752,0)</f>
        <v>844.64499999999998</v>
      </c>
      <c r="S752" s="194">
        <f ca="1">OFFSET('배치점수 계산기'!I$10,$D752,0)</f>
        <v>842.84199999999998</v>
      </c>
      <c r="T752" s="194">
        <f ca="1">OFFSET('배치점수 계산기'!J$10,$D752,0)</f>
        <v>839.74900000000002</v>
      </c>
      <c r="U752" s="194">
        <f ca="1">OFFSET('배치점수 계산기'!K$10,$D752,0)</f>
        <v>835.16700000000003</v>
      </c>
      <c r="V752" s="194">
        <f ca="1">OFFSET('배치점수 계산기'!L$10,$D752,0)</f>
        <v>829.42100000000005</v>
      </c>
      <c r="W752" s="186" t="str">
        <f ca="1">OFFSET('배치점수 계산기'!M$10,$D752,0)</f>
        <v>표점/만점</v>
      </c>
      <c r="X752" s="184" t="str">
        <f ca="1">OFFSET('배치점수 계산기'!N$10,$D752,0)</f>
        <v>표점/만점</v>
      </c>
      <c r="Y752" s="188">
        <f ca="1">OFFSET(환산공식!FW$15,$F752,0)</f>
        <v>0.3</v>
      </c>
      <c r="Z752" s="20">
        <f ca="1">OFFSET(환산공식!FX$15,$F752,0)</f>
        <v>0.4</v>
      </c>
      <c r="AA752" s="179">
        <f ca="1">OFFSET(환산공식!FY$15,$F752,0)</f>
        <v>0.3</v>
      </c>
      <c r="AB752" s="3"/>
      <c r="AD752">
        <f t="shared" ca="1" si="24"/>
        <v>6</v>
      </c>
      <c r="AF752" s="3"/>
      <c r="AG752" s="3"/>
      <c r="AH752" s="3"/>
    </row>
    <row r="753" spans="1:34">
      <c r="A753" s="198"/>
      <c r="B753" s="198"/>
      <c r="C753" s="198" t="s">
        <v>1314</v>
      </c>
      <c r="D753" s="195">
        <v>809</v>
      </c>
      <c r="E753" s="195">
        <v>206</v>
      </c>
      <c r="F753" s="195">
        <v>206</v>
      </c>
      <c r="G753" s="239">
        <v>746</v>
      </c>
      <c r="H753" s="197" t="s">
        <v>72</v>
      </c>
      <c r="I753" s="242" t="s">
        <v>212</v>
      </c>
      <c r="J753" s="242" t="s">
        <v>12952</v>
      </c>
      <c r="K753" s="195" t="s">
        <v>70</v>
      </c>
      <c r="L753" s="20" t="str">
        <f ca="1">IF(OFFSET(환산공식!$ED$15,$F753,0)=1,"O","X")</f>
        <v>X</v>
      </c>
      <c r="M753" s="188">
        <f ca="1">IFERROR(OFFSET(환산공식!DJ$15,$F753,0),"")</f>
        <v>200</v>
      </c>
      <c r="N753" s="20" t="str">
        <f ca="1">IFERROR(CONCATENATE(ROUND(OFFSET(환산공식!DK$15,$F753,0),1),"%"),"")</f>
        <v>100%</v>
      </c>
      <c r="O753" s="20">
        <f ca="1">IFERROR(OFFSET(환산공식!DL$15,$F753,0),"")</f>
        <v>10</v>
      </c>
      <c r="P753" s="188" t="str">
        <f t="shared" ca="1" si="23"/>
        <v>3% 이하</v>
      </c>
      <c r="Q753" s="194">
        <f ca="1">IFERROR(ROUND(OFFSET(환산공식!$FG$15,$F753,0),3),"")</f>
        <v>0</v>
      </c>
      <c r="R753" s="194">
        <f ca="1">OFFSET('배치점수 계산기'!H$10,$D753,0)</f>
        <v>843.40499999999997</v>
      </c>
      <c r="S753" s="194">
        <f ca="1">OFFSET('배치점수 계산기'!I$10,$D753,0)</f>
        <v>841.577</v>
      </c>
      <c r="T753" s="194">
        <f ca="1">OFFSET('배치점수 계산기'!J$10,$D753,0)</f>
        <v>838.30100000000004</v>
      </c>
      <c r="U753" s="194">
        <f ca="1">OFFSET('배치점수 계산기'!K$10,$D753,0)</f>
        <v>833.71900000000005</v>
      </c>
      <c r="V753" s="194">
        <f ca="1">OFFSET('배치점수 계산기'!L$10,$D753,0)</f>
        <v>827.99300000000005</v>
      </c>
      <c r="W753" s="186" t="str">
        <f ca="1">OFFSET('배치점수 계산기'!M$10,$D753,0)</f>
        <v>표점/만점</v>
      </c>
      <c r="X753" s="184" t="str">
        <f ca="1">OFFSET('배치점수 계산기'!N$10,$D753,0)</f>
        <v>표점/만점</v>
      </c>
      <c r="Y753" s="188">
        <f ca="1">OFFSET(환산공식!FW$15,$F753,0)</f>
        <v>0.3</v>
      </c>
      <c r="Z753" s="20">
        <f ca="1">OFFSET(환산공식!FX$15,$F753,0)</f>
        <v>0.4</v>
      </c>
      <c r="AA753" s="179">
        <f ca="1">OFFSET(환산공식!FY$15,$F753,0)</f>
        <v>0.3</v>
      </c>
      <c r="AB753" s="3"/>
      <c r="AD753">
        <f t="shared" ca="1" si="24"/>
        <v>6</v>
      </c>
      <c r="AF753" s="3"/>
      <c r="AG753" s="3"/>
      <c r="AH753" s="3"/>
    </row>
    <row r="754" spans="1:34">
      <c r="A754" s="198"/>
      <c r="B754" s="198"/>
      <c r="C754" s="198" t="s">
        <v>1315</v>
      </c>
      <c r="D754" s="195">
        <v>810</v>
      </c>
      <c r="E754" s="195">
        <v>204</v>
      </c>
      <c r="F754" s="195">
        <v>204</v>
      </c>
      <c r="G754" s="239">
        <v>747</v>
      </c>
      <c r="H754" s="197" t="s">
        <v>72</v>
      </c>
      <c r="I754" s="242" t="s">
        <v>212</v>
      </c>
      <c r="J754" s="242" t="s">
        <v>12954</v>
      </c>
      <c r="K754" s="195" t="s">
        <v>70</v>
      </c>
      <c r="L754" s="20" t="str">
        <f ca="1">IF(OFFSET(환산공식!$ED$15,$F754,0)=1,"O","X")</f>
        <v>X</v>
      </c>
      <c r="M754" s="188">
        <f ca="1">IFERROR(OFFSET(환산공식!DJ$15,$F754,0),"")</f>
        <v>200</v>
      </c>
      <c r="N754" s="20" t="str">
        <f ca="1">IFERROR(CONCATENATE(ROUND(OFFSET(환산공식!DK$15,$F754,0),1),"%"),"")</f>
        <v>100%</v>
      </c>
      <c r="O754" s="20">
        <f ca="1">IFERROR(OFFSET(환산공식!DL$15,$F754,0),"")</f>
        <v>10</v>
      </c>
      <c r="P754" s="188" t="str">
        <f t="shared" ca="1" si="23"/>
        <v>3% 이하</v>
      </c>
      <c r="Q754" s="194">
        <f ca="1">IFERROR(ROUND(OFFSET(환산공식!$FG$15,$F754,0),3),"")</f>
        <v>0</v>
      </c>
      <c r="R754" s="194">
        <f ca="1">OFFSET('배치점수 계산기'!H$10,$D754,0)</f>
        <v>843.60500000000002</v>
      </c>
      <c r="S754" s="194">
        <f ca="1">OFFSET('배치점수 계산기'!I$10,$D754,0)</f>
        <v>841.74699999999996</v>
      </c>
      <c r="T754" s="194">
        <f ca="1">OFFSET('배치점수 계산기'!J$10,$D754,0)</f>
        <v>837.721</v>
      </c>
      <c r="U754" s="194">
        <f ca="1">OFFSET('배치점수 계산기'!K$10,$D754,0)</f>
        <v>833.30799999999999</v>
      </c>
      <c r="V754" s="194">
        <f ca="1">OFFSET('배치점수 계산기'!L$10,$D754,0)</f>
        <v>827.45399999999995</v>
      </c>
      <c r="W754" s="186" t="str">
        <f ca="1">OFFSET('배치점수 계산기'!M$10,$D754,0)</f>
        <v>표점/만점</v>
      </c>
      <c r="X754" s="184" t="str">
        <f ca="1">OFFSET('배치점수 계산기'!N$10,$D754,0)</f>
        <v>표점/만점</v>
      </c>
      <c r="Y754" s="188">
        <f ca="1">OFFSET(환산공식!FW$15,$F754,0)</f>
        <v>0.3</v>
      </c>
      <c r="Z754" s="20">
        <f ca="1">OFFSET(환산공식!FX$15,$F754,0)</f>
        <v>0.4</v>
      </c>
      <c r="AA754" s="179">
        <f ca="1">OFFSET(환산공식!FY$15,$F754,0)</f>
        <v>0.3</v>
      </c>
      <c r="AB754" s="3"/>
      <c r="AD754">
        <f t="shared" ca="1" si="24"/>
        <v>6</v>
      </c>
      <c r="AF754" s="3"/>
      <c r="AG754" s="3"/>
      <c r="AH754" s="3"/>
    </row>
    <row r="755" spans="1:34">
      <c r="A755" s="198"/>
      <c r="B755" s="198"/>
      <c r="C755" s="198" t="s">
        <v>1316</v>
      </c>
      <c r="D755" s="195">
        <v>811</v>
      </c>
      <c r="E755" s="195">
        <v>204</v>
      </c>
      <c r="F755" s="195">
        <v>204</v>
      </c>
      <c r="G755" s="239">
        <v>748</v>
      </c>
      <c r="H755" s="197" t="s">
        <v>72</v>
      </c>
      <c r="I755" s="242" t="s">
        <v>212</v>
      </c>
      <c r="J755" s="242" t="s">
        <v>12991</v>
      </c>
      <c r="K755" s="195" t="s">
        <v>70</v>
      </c>
      <c r="L755" s="20" t="str">
        <f ca="1">IF(OFFSET(환산공식!$ED$15,$F755,0)=1,"O","X")</f>
        <v>X</v>
      </c>
      <c r="M755" s="188">
        <f ca="1">IFERROR(OFFSET(환산공식!DJ$15,$F755,0),"")</f>
        <v>200</v>
      </c>
      <c r="N755" s="20" t="str">
        <f ca="1">IFERROR(CONCATENATE(ROUND(OFFSET(환산공식!DK$15,$F755,0),1),"%"),"")</f>
        <v>100%</v>
      </c>
      <c r="O755" s="20">
        <f ca="1">IFERROR(OFFSET(환산공식!DL$15,$F755,0),"")</f>
        <v>10</v>
      </c>
      <c r="P755" s="188" t="str">
        <f t="shared" ca="1" si="23"/>
        <v>3% 이하</v>
      </c>
      <c r="Q755" s="194">
        <f ca="1">IFERROR(ROUND(OFFSET(환산공식!$FG$15,$F755,0),3),"")</f>
        <v>0</v>
      </c>
      <c r="R755" s="194">
        <f ca="1">OFFSET('배치점수 계산기'!H$10,$D755,0)</f>
        <v>842.84199999999998</v>
      </c>
      <c r="S755" s="194">
        <f ca="1">OFFSET('배치점수 계산기'!I$10,$D755,0)</f>
        <v>841.18399999999997</v>
      </c>
      <c r="T755" s="194">
        <f ca="1">OFFSET('배치점수 계산기'!J$10,$D755,0)</f>
        <v>837.15800000000002</v>
      </c>
      <c r="U755" s="194">
        <f ca="1">OFFSET('배치점수 계산기'!K$10,$D755,0)</f>
        <v>832.745</v>
      </c>
      <c r="V755" s="194">
        <f ca="1">OFFSET('배치점수 계산기'!L$10,$D755,0)</f>
        <v>826.89099999999996</v>
      </c>
      <c r="W755" s="186" t="str">
        <f ca="1">OFFSET('배치점수 계산기'!M$10,$D755,0)</f>
        <v>표점/만점</v>
      </c>
      <c r="X755" s="184" t="str">
        <f ca="1">OFFSET('배치점수 계산기'!N$10,$D755,0)</f>
        <v>표점/만점</v>
      </c>
      <c r="Y755" s="188">
        <f ca="1">OFFSET(환산공식!FW$15,$F755,0)</f>
        <v>0.3</v>
      </c>
      <c r="Z755" s="20">
        <f ca="1">OFFSET(환산공식!FX$15,$F755,0)</f>
        <v>0.4</v>
      </c>
      <c r="AA755" s="179">
        <f ca="1">OFFSET(환산공식!FY$15,$F755,0)</f>
        <v>0.3</v>
      </c>
      <c r="AB755" s="3"/>
      <c r="AD755">
        <f t="shared" ca="1" si="24"/>
        <v>6</v>
      </c>
      <c r="AF755" s="3"/>
      <c r="AG755" s="3"/>
      <c r="AH755" s="3"/>
    </row>
    <row r="756" spans="1:34">
      <c r="A756" s="198"/>
      <c r="B756" s="198"/>
      <c r="C756" s="198" t="s">
        <v>1317</v>
      </c>
      <c r="D756" s="195">
        <v>812</v>
      </c>
      <c r="E756" s="195">
        <v>204</v>
      </c>
      <c r="F756" s="195">
        <v>204</v>
      </c>
      <c r="G756" s="239">
        <v>749</v>
      </c>
      <c r="H756" s="197" t="s">
        <v>72</v>
      </c>
      <c r="I756" s="242" t="s">
        <v>212</v>
      </c>
      <c r="J756" s="242" t="s">
        <v>8197</v>
      </c>
      <c r="K756" s="195" t="s">
        <v>70</v>
      </c>
      <c r="L756" s="20" t="str">
        <f ca="1">IF(OFFSET(환산공식!$ED$15,$F756,0)=1,"O","X")</f>
        <v>X</v>
      </c>
      <c r="M756" s="188">
        <f ca="1">IFERROR(OFFSET(환산공식!DJ$15,$F756,0),"")</f>
        <v>200</v>
      </c>
      <c r="N756" s="20" t="str">
        <f ca="1">IFERROR(CONCATENATE(ROUND(OFFSET(환산공식!DK$15,$F756,0),1),"%"),"")</f>
        <v>100%</v>
      </c>
      <c r="O756" s="20">
        <f ca="1">IFERROR(OFFSET(환산공식!DL$15,$F756,0),"")</f>
        <v>10</v>
      </c>
      <c r="P756" s="188" t="str">
        <f t="shared" ca="1" si="23"/>
        <v>3% 이하</v>
      </c>
      <c r="Q756" s="194">
        <f ca="1">IFERROR(ROUND(OFFSET(환산공식!$FG$15,$F756,0),3),"")</f>
        <v>0</v>
      </c>
      <c r="R756" s="194">
        <f ca="1">OFFSET('배치점수 계산기'!H$10,$D756,0)</f>
        <v>840.625</v>
      </c>
      <c r="S756" s="194">
        <f ca="1">OFFSET('배치점수 계산기'!I$10,$D756,0)</f>
        <v>838.82299999999998</v>
      </c>
      <c r="T756" s="194">
        <f ca="1">OFFSET('배치점수 계산기'!J$10,$D756,0)</f>
        <v>834.61400000000003</v>
      </c>
      <c r="U756" s="194">
        <f ca="1">OFFSET('배치점수 계산기'!K$10,$D756,0)</f>
        <v>830.31700000000001</v>
      </c>
      <c r="V756" s="194">
        <f ca="1">OFFSET('배치점수 계산기'!L$10,$D756,0)</f>
        <v>824.51900000000001</v>
      </c>
      <c r="W756" s="186" t="str">
        <f ca="1">OFFSET('배치점수 계산기'!M$10,$D756,0)</f>
        <v>표점/만점</v>
      </c>
      <c r="X756" s="184" t="str">
        <f ca="1">OFFSET('배치점수 계산기'!N$10,$D756,0)</f>
        <v>표점/만점</v>
      </c>
      <c r="Y756" s="188">
        <f ca="1">OFFSET(환산공식!FW$15,$F756,0)</f>
        <v>0.3</v>
      </c>
      <c r="Z756" s="20">
        <f ca="1">OFFSET(환산공식!FX$15,$F756,0)</f>
        <v>0.4</v>
      </c>
      <c r="AA756" s="179">
        <f ca="1">OFFSET(환산공식!FY$15,$F756,0)</f>
        <v>0.3</v>
      </c>
      <c r="AB756" s="3"/>
      <c r="AD756">
        <f t="shared" ca="1" si="24"/>
        <v>6</v>
      </c>
      <c r="AF756" s="3"/>
      <c r="AG756" s="3"/>
      <c r="AH756" s="3"/>
    </row>
    <row r="757" spans="1:34">
      <c r="A757" s="198"/>
      <c r="B757" s="198"/>
      <c r="C757" s="198" t="s">
        <v>1318</v>
      </c>
      <c r="D757" s="195">
        <v>813</v>
      </c>
      <c r="E757" s="195">
        <v>204</v>
      </c>
      <c r="F757" s="195">
        <v>204</v>
      </c>
      <c r="G757" s="239">
        <v>750</v>
      </c>
      <c r="H757" s="197" t="s">
        <v>72</v>
      </c>
      <c r="I757" s="242" t="s">
        <v>212</v>
      </c>
      <c r="J757" s="242" t="s">
        <v>13235</v>
      </c>
      <c r="K757" s="195" t="s">
        <v>70</v>
      </c>
      <c r="L757" s="20" t="str">
        <f ca="1">IF(OFFSET(환산공식!$ED$15,$F757,0)=1,"O","X")</f>
        <v>X</v>
      </c>
      <c r="M757" s="188">
        <f ca="1">IFERROR(OFFSET(환산공식!DJ$15,$F757,0),"")</f>
        <v>200</v>
      </c>
      <c r="N757" s="20" t="str">
        <f ca="1">IFERROR(CONCATENATE(ROUND(OFFSET(환산공식!DK$15,$F757,0),1),"%"),"")</f>
        <v>100%</v>
      </c>
      <c r="O757" s="20">
        <f ca="1">IFERROR(OFFSET(환산공식!DL$15,$F757,0),"")</f>
        <v>10</v>
      </c>
      <c r="P757" s="188" t="str">
        <f t="shared" ca="1" si="23"/>
        <v>3% 이하</v>
      </c>
      <c r="Q757" s="194">
        <f ca="1">IFERROR(ROUND(OFFSET(환산공식!$FG$15,$F757,0),3),"")</f>
        <v>0</v>
      </c>
      <c r="R757" s="194">
        <f ca="1">OFFSET('배치점수 계산기'!H$10,$D757,0)</f>
        <v>838.49</v>
      </c>
      <c r="S757" s="194">
        <f ca="1">OFFSET('배치점수 계산기'!I$10,$D757,0)</f>
        <v>836.06200000000001</v>
      </c>
      <c r="T757" s="194">
        <f ca="1">OFFSET('배치점수 계산기'!J$10,$D757,0)</f>
        <v>832.745</v>
      </c>
      <c r="U757" s="194">
        <f ca="1">OFFSET('배치점수 계산기'!K$10,$D757,0)</f>
        <v>828.34500000000003</v>
      </c>
      <c r="V757" s="194">
        <f ca="1">OFFSET('배치점수 계산기'!L$10,$D757,0)</f>
        <v>822.34299999999996</v>
      </c>
      <c r="W757" s="186" t="str">
        <f ca="1">OFFSET('배치점수 계산기'!M$10,$D757,0)</f>
        <v>표점/만점</v>
      </c>
      <c r="X757" s="184" t="str">
        <f ca="1">OFFSET('배치점수 계산기'!N$10,$D757,0)</f>
        <v>표점/만점</v>
      </c>
      <c r="Y757" s="188">
        <f ca="1">OFFSET(환산공식!FW$15,$F757,0)</f>
        <v>0.3</v>
      </c>
      <c r="Z757" s="20">
        <f ca="1">OFFSET(환산공식!FX$15,$F757,0)</f>
        <v>0.4</v>
      </c>
      <c r="AA757" s="179">
        <f ca="1">OFFSET(환산공식!FY$15,$F757,0)</f>
        <v>0.3</v>
      </c>
      <c r="AB757" s="3"/>
      <c r="AD757">
        <f t="shared" ca="1" si="24"/>
        <v>6</v>
      </c>
      <c r="AF757" s="3"/>
      <c r="AG757" s="3"/>
      <c r="AH757" s="3"/>
    </row>
    <row r="758" spans="1:34">
      <c r="A758" s="198"/>
      <c r="B758" s="198"/>
      <c r="C758" s="198" t="s">
        <v>1319</v>
      </c>
      <c r="D758" s="195">
        <v>814</v>
      </c>
      <c r="E758" s="195">
        <v>204</v>
      </c>
      <c r="F758" s="195">
        <v>204</v>
      </c>
      <c r="G758" s="239">
        <v>751</v>
      </c>
      <c r="H758" s="197" t="s">
        <v>72</v>
      </c>
      <c r="I758" s="242" t="s">
        <v>212</v>
      </c>
      <c r="J758" s="242" t="s">
        <v>13240</v>
      </c>
      <c r="K758" s="195" t="s">
        <v>70</v>
      </c>
      <c r="L758" s="20" t="str">
        <f ca="1">IF(OFFSET(환산공식!$ED$15,$F758,0)=1,"O","X")</f>
        <v>X</v>
      </c>
      <c r="M758" s="188">
        <f ca="1">IFERROR(OFFSET(환산공식!DJ$15,$F758,0),"")</f>
        <v>200</v>
      </c>
      <c r="N758" s="20" t="str">
        <f ca="1">IFERROR(CONCATENATE(ROUND(OFFSET(환산공식!DK$15,$F758,0),1),"%"),"")</f>
        <v>100%</v>
      </c>
      <c r="O758" s="20">
        <f ca="1">IFERROR(OFFSET(환산공식!DL$15,$F758,0),"")</f>
        <v>10</v>
      </c>
      <c r="P758" s="188" t="str">
        <f t="shared" ca="1" si="23"/>
        <v>3% 이하</v>
      </c>
      <c r="Q758" s="194">
        <f ca="1">IFERROR(ROUND(OFFSET(환산공식!$FG$15,$F758,0),3),"")</f>
        <v>0</v>
      </c>
      <c r="R758" s="194">
        <f ca="1">OFFSET('배치점수 계산기'!H$10,$D758,0)</f>
        <v>838.30100000000004</v>
      </c>
      <c r="S758" s="194">
        <f ca="1">OFFSET('배치점수 계산기'!I$10,$D758,0)</f>
        <v>836.06200000000001</v>
      </c>
      <c r="T758" s="194">
        <f ca="1">OFFSET('배치점수 계산기'!J$10,$D758,0)</f>
        <v>832.04300000000001</v>
      </c>
      <c r="U758" s="194">
        <f ca="1">OFFSET('배치점수 계산기'!K$10,$D758,0)</f>
        <v>827.45399999999995</v>
      </c>
      <c r="V758" s="194">
        <f ca="1">OFFSET('배치점수 계산기'!L$10,$D758,0)</f>
        <v>821.82600000000002</v>
      </c>
      <c r="W758" s="186" t="str">
        <f ca="1">OFFSET('배치점수 계산기'!M$10,$D758,0)</f>
        <v>표점/만점</v>
      </c>
      <c r="X758" s="184" t="str">
        <f ca="1">OFFSET('배치점수 계산기'!N$10,$D758,0)</f>
        <v>표점/만점</v>
      </c>
      <c r="Y758" s="188">
        <f ca="1">OFFSET(환산공식!FW$15,$F758,0)</f>
        <v>0.3</v>
      </c>
      <c r="Z758" s="20">
        <f ca="1">OFFSET(환산공식!FX$15,$F758,0)</f>
        <v>0.4</v>
      </c>
      <c r="AA758" s="179">
        <f ca="1">OFFSET(환산공식!FY$15,$F758,0)</f>
        <v>0.3</v>
      </c>
      <c r="AB758" s="3"/>
      <c r="AD758">
        <f t="shared" ca="1" si="24"/>
        <v>6</v>
      </c>
      <c r="AF758" s="3"/>
      <c r="AG758" s="3"/>
      <c r="AH758" s="3"/>
    </row>
    <row r="759" spans="1:34">
      <c r="A759" s="198"/>
      <c r="B759" s="198"/>
      <c r="C759" s="198" t="s">
        <v>1320</v>
      </c>
      <c r="D759" s="195">
        <v>815</v>
      </c>
      <c r="E759" s="195">
        <v>204</v>
      </c>
      <c r="F759" s="195">
        <v>204</v>
      </c>
      <c r="G759" s="239">
        <v>752</v>
      </c>
      <c r="H759" s="197" t="s">
        <v>72</v>
      </c>
      <c r="I759" s="242" t="s">
        <v>212</v>
      </c>
      <c r="J759" s="242" t="s">
        <v>13253</v>
      </c>
      <c r="K759" s="195" t="s">
        <v>70</v>
      </c>
      <c r="L759" s="20" t="str">
        <f ca="1">IF(OFFSET(환산공식!$ED$15,$F759,0)=1,"O","X")</f>
        <v>X</v>
      </c>
      <c r="M759" s="188">
        <f ca="1">IFERROR(OFFSET(환산공식!DJ$15,$F759,0),"")</f>
        <v>200</v>
      </c>
      <c r="N759" s="20" t="str">
        <f ca="1">IFERROR(CONCATENATE(ROUND(OFFSET(환산공식!DK$15,$F759,0),1),"%"),"")</f>
        <v>100%</v>
      </c>
      <c r="O759" s="20">
        <f ca="1">IFERROR(OFFSET(환산공식!DL$15,$F759,0),"")</f>
        <v>10</v>
      </c>
      <c r="P759" s="188" t="str">
        <f t="shared" ca="1" si="23"/>
        <v>3% 이하</v>
      </c>
      <c r="Q759" s="194">
        <f ca="1">IFERROR(ROUND(OFFSET(환산공식!$FG$15,$F759,0),3),"")</f>
        <v>0</v>
      </c>
      <c r="R759" s="194">
        <f ca="1">OFFSET('배치점수 계산기'!H$10,$D759,0)</f>
        <v>837.55799999999999</v>
      </c>
      <c r="S759" s="194">
        <f ca="1">OFFSET('배치점수 계산기'!I$10,$D759,0)</f>
        <v>835.72900000000004</v>
      </c>
      <c r="T759" s="194">
        <f ca="1">OFFSET('배치점수 계산기'!J$10,$D759,0)</f>
        <v>831.649</v>
      </c>
      <c r="U759" s="194">
        <f ca="1">OFFSET('배치점수 계산기'!K$10,$D759,0)</f>
        <v>827.06</v>
      </c>
      <c r="V759" s="194">
        <f ca="1">OFFSET('배치점수 계산기'!L$10,$D759,0)</f>
        <v>821.27800000000002</v>
      </c>
      <c r="W759" s="186" t="str">
        <f ca="1">OFFSET('배치점수 계산기'!M$10,$D759,0)</f>
        <v>표점/만점</v>
      </c>
      <c r="X759" s="184" t="str">
        <f ca="1">OFFSET('배치점수 계산기'!N$10,$D759,0)</f>
        <v>표점/만점</v>
      </c>
      <c r="Y759" s="188">
        <f ca="1">OFFSET(환산공식!FW$15,$F759,0)</f>
        <v>0.3</v>
      </c>
      <c r="Z759" s="20">
        <f ca="1">OFFSET(환산공식!FX$15,$F759,0)</f>
        <v>0.4</v>
      </c>
      <c r="AA759" s="179">
        <f ca="1">OFFSET(환산공식!FY$15,$F759,0)</f>
        <v>0.3</v>
      </c>
      <c r="AB759" s="3"/>
      <c r="AD759">
        <f t="shared" ca="1" si="24"/>
        <v>6</v>
      </c>
      <c r="AF759" s="3"/>
      <c r="AG759" s="3"/>
      <c r="AH759" s="3"/>
    </row>
    <row r="760" spans="1:34">
      <c r="A760" s="198"/>
      <c r="B760" s="198"/>
      <c r="C760" s="198" t="s">
        <v>1321</v>
      </c>
      <c r="D760" s="195">
        <v>816</v>
      </c>
      <c r="E760" s="195">
        <v>204</v>
      </c>
      <c r="F760" s="195">
        <v>204</v>
      </c>
      <c r="G760" s="239">
        <v>753</v>
      </c>
      <c r="H760" s="197" t="s">
        <v>72</v>
      </c>
      <c r="I760" s="242" t="s">
        <v>212</v>
      </c>
      <c r="J760" s="242" t="s">
        <v>8742</v>
      </c>
      <c r="K760" s="195" t="s">
        <v>70</v>
      </c>
      <c r="L760" s="20" t="str">
        <f ca="1">IF(OFFSET(환산공식!$ED$15,$F760,0)=1,"O","X")</f>
        <v>X</v>
      </c>
      <c r="M760" s="188">
        <f ca="1">IFERROR(OFFSET(환산공식!DJ$15,$F760,0),"")</f>
        <v>200</v>
      </c>
      <c r="N760" s="20" t="str">
        <f ca="1">IFERROR(CONCATENATE(ROUND(OFFSET(환산공식!DK$15,$F760,0),1),"%"),"")</f>
        <v>100%</v>
      </c>
      <c r="O760" s="20">
        <f ca="1">IFERROR(OFFSET(환산공식!DL$15,$F760,0),"")</f>
        <v>10</v>
      </c>
      <c r="P760" s="188" t="str">
        <f t="shared" ca="1" si="23"/>
        <v>3% 이하</v>
      </c>
      <c r="Q760" s="194">
        <f ca="1">IFERROR(ROUND(OFFSET(환산공식!$FG$15,$F760,0),3),"")</f>
        <v>0</v>
      </c>
      <c r="R760" s="194">
        <f ca="1">OFFSET('배치점수 계산기'!H$10,$D760,0)</f>
        <v>823.96100000000001</v>
      </c>
      <c r="S760" s="194">
        <f ca="1">OFFSET('배치점수 계산기'!I$10,$D760,0)</f>
        <v>821.96900000000005</v>
      </c>
      <c r="T760" s="194">
        <f ca="1">OFFSET('배치점수 계산기'!J$10,$D760,0)</f>
        <v>818.30700000000002</v>
      </c>
      <c r="U760" s="194">
        <f ca="1">OFFSET('배치점수 계산기'!K$10,$D760,0)</f>
        <v>814.11800000000005</v>
      </c>
      <c r="V760" s="194">
        <f ca="1">OFFSET('배치점수 계산기'!L$10,$D760,0)</f>
        <v>809.21600000000001</v>
      </c>
      <c r="W760" s="186" t="str">
        <f ca="1">OFFSET('배치점수 계산기'!M$10,$D760,0)</f>
        <v>표점/만점</v>
      </c>
      <c r="X760" s="184" t="str">
        <f ca="1">OFFSET('배치점수 계산기'!N$10,$D760,0)</f>
        <v>표점/만점</v>
      </c>
      <c r="Y760" s="188">
        <f ca="1">OFFSET(환산공식!FW$15,$F760,0)</f>
        <v>0.3</v>
      </c>
      <c r="Z760" s="20">
        <f ca="1">OFFSET(환산공식!FX$15,$F760,0)</f>
        <v>0.4</v>
      </c>
      <c r="AA760" s="179">
        <f ca="1">OFFSET(환산공식!FY$15,$F760,0)</f>
        <v>0.3</v>
      </c>
      <c r="AB760" s="3"/>
      <c r="AD760">
        <f t="shared" ca="1" si="24"/>
        <v>6</v>
      </c>
      <c r="AF760" s="3"/>
      <c r="AG760" s="3"/>
      <c r="AH760" s="3"/>
    </row>
    <row r="761" spans="1:34">
      <c r="A761" s="198"/>
      <c r="B761" s="198"/>
      <c r="C761" s="198" t="s">
        <v>1322</v>
      </c>
      <c r="D761" s="195">
        <v>817</v>
      </c>
      <c r="E761" s="195">
        <v>203</v>
      </c>
      <c r="F761" s="195">
        <v>203</v>
      </c>
      <c r="G761" s="239">
        <v>754</v>
      </c>
      <c r="H761" s="197" t="s">
        <v>72</v>
      </c>
      <c r="I761" s="242" t="s">
        <v>212</v>
      </c>
      <c r="J761" s="242" t="s">
        <v>7355</v>
      </c>
      <c r="K761" s="195" t="s">
        <v>71</v>
      </c>
      <c r="L761" s="20" t="str">
        <f ca="1">IF(OFFSET(환산공식!$ED$15,$F761,0)=1,"O","X")</f>
        <v>X</v>
      </c>
      <c r="M761" s="188">
        <f ca="1">IFERROR(OFFSET(환산공식!DJ$15,$F761,0),"")</f>
        <v>200</v>
      </c>
      <c r="N761" s="20" t="str">
        <f ca="1">IFERROR(CONCATENATE(ROUND(OFFSET(환산공식!DK$15,$F761,0),1),"%"),"")</f>
        <v>100%</v>
      </c>
      <c r="O761" s="20">
        <f ca="1">IFERROR(OFFSET(환산공식!DL$15,$F761,0),"")</f>
        <v>10</v>
      </c>
      <c r="P761" s="188" t="str">
        <f t="shared" ca="1" si="23"/>
        <v>3% 이하</v>
      </c>
      <c r="Q761" s="194">
        <f ca="1">IFERROR(ROUND(OFFSET(환산공식!$FG$15,$F761,0),3),"")</f>
        <v>0</v>
      </c>
      <c r="R761" s="194">
        <f ca="1">OFFSET('배치점수 계산기'!H$10,$D761,0)</f>
        <v>896.20699999999999</v>
      </c>
      <c r="S761" s="194">
        <f ca="1">OFFSET('배치점수 계산기'!I$10,$D761,0)</f>
        <v>890.52300000000002</v>
      </c>
      <c r="T761" s="194">
        <f ca="1">OFFSET('배치점수 계산기'!J$10,$D761,0)</f>
        <v>886.11099999999999</v>
      </c>
      <c r="U761" s="194">
        <f ca="1">OFFSET('배치점수 계산기'!K$10,$D761,0)</f>
        <v>879.99300000000005</v>
      </c>
      <c r="V761" s="194">
        <f ca="1">OFFSET('배치점수 계산기'!L$10,$D761,0)</f>
        <v>875.78399999999999</v>
      </c>
      <c r="W761" s="186" t="str">
        <f ca="1">OFFSET('배치점수 계산기'!M$10,$D761,0)</f>
        <v>표점/만점</v>
      </c>
      <c r="X761" s="184" t="str">
        <f ca="1">OFFSET('배치점수 계산기'!N$10,$D761,0)</f>
        <v>표점/만점</v>
      </c>
      <c r="Y761" s="188">
        <f ca="1">OFFSET(환산공식!FW$15,$F761,0)</f>
        <v>0.4</v>
      </c>
      <c r="Z761" s="20">
        <f ca="1">OFFSET(환산공식!FX$15,$F761,0)</f>
        <v>0.3</v>
      </c>
      <c r="AA761" s="179">
        <f ca="1">OFFSET(환산공식!FY$15,$F761,0)</f>
        <v>0.28999999999999998</v>
      </c>
      <c r="AB761" s="3"/>
      <c r="AD761">
        <f t="shared" ca="1" si="24"/>
        <v>6</v>
      </c>
      <c r="AF761" s="3"/>
      <c r="AG761" s="3"/>
      <c r="AH761" s="3"/>
    </row>
    <row r="762" spans="1:34">
      <c r="A762" s="198"/>
      <c r="B762" s="198"/>
      <c r="C762" s="198" t="s">
        <v>1323</v>
      </c>
      <c r="D762" s="195">
        <v>818</v>
      </c>
      <c r="E762" s="195">
        <v>203</v>
      </c>
      <c r="F762" s="195">
        <v>203</v>
      </c>
      <c r="G762" s="239">
        <v>755</v>
      </c>
      <c r="H762" s="197" t="s">
        <v>72</v>
      </c>
      <c r="I762" s="242" t="s">
        <v>212</v>
      </c>
      <c r="J762" s="242" t="s">
        <v>8190</v>
      </c>
      <c r="K762" s="195" t="s">
        <v>71</v>
      </c>
      <c r="L762" s="20" t="str">
        <f ca="1">IF(OFFSET(환산공식!$ED$15,$F762,0)=1,"O","X")</f>
        <v>X</v>
      </c>
      <c r="M762" s="188">
        <f ca="1">IFERROR(OFFSET(환산공식!DJ$15,$F762,0),"")</f>
        <v>200</v>
      </c>
      <c r="N762" s="20" t="str">
        <f ca="1">IFERROR(CONCATENATE(ROUND(OFFSET(환산공식!DK$15,$F762,0),1),"%"),"")</f>
        <v>100%</v>
      </c>
      <c r="O762" s="20">
        <f ca="1">IFERROR(OFFSET(환산공식!DL$15,$F762,0),"")</f>
        <v>10</v>
      </c>
      <c r="P762" s="188" t="str">
        <f t="shared" ca="1" si="23"/>
        <v>3% 이하</v>
      </c>
      <c r="Q762" s="194">
        <f ca="1">IFERROR(ROUND(OFFSET(환산공식!$FG$15,$F762,0),3),"")</f>
        <v>0</v>
      </c>
      <c r="R762" s="194">
        <f ca="1">OFFSET('배치점수 계산기'!H$10,$D762,0)</f>
        <v>875.03700000000003</v>
      </c>
      <c r="S762" s="194">
        <f ca="1">OFFSET('배치점수 계산기'!I$10,$D762,0)</f>
        <v>872.16300000000001</v>
      </c>
      <c r="T762" s="194">
        <f ca="1">OFFSET('배치점수 계산기'!J$10,$D762,0)</f>
        <v>866.75800000000004</v>
      </c>
      <c r="U762" s="194">
        <f ca="1">OFFSET('배치점수 계산기'!K$10,$D762,0)</f>
        <v>861.20100000000002</v>
      </c>
      <c r="V762" s="194">
        <f ca="1">OFFSET('배치점수 계산기'!L$10,$D762,0)</f>
        <v>854.57100000000003</v>
      </c>
      <c r="W762" s="186" t="str">
        <f ca="1">OFFSET('배치점수 계산기'!M$10,$D762,0)</f>
        <v>표점/만점</v>
      </c>
      <c r="X762" s="184" t="str">
        <f ca="1">OFFSET('배치점수 계산기'!N$10,$D762,0)</f>
        <v>표점/만점</v>
      </c>
      <c r="Y762" s="188">
        <f ca="1">OFFSET(환산공식!FW$15,$F762,0)</f>
        <v>0.4</v>
      </c>
      <c r="Z762" s="20">
        <f ca="1">OFFSET(환산공식!FX$15,$F762,0)</f>
        <v>0.3</v>
      </c>
      <c r="AA762" s="179">
        <f ca="1">OFFSET(환산공식!FY$15,$F762,0)</f>
        <v>0.28999999999999998</v>
      </c>
      <c r="AB762" s="3"/>
      <c r="AD762">
        <f t="shared" ca="1" si="24"/>
        <v>6</v>
      </c>
      <c r="AF762" s="3"/>
      <c r="AG762" s="3"/>
      <c r="AH762" s="3"/>
    </row>
    <row r="763" spans="1:34">
      <c r="A763" s="198"/>
      <c r="B763" s="198"/>
      <c r="C763" s="198" t="s">
        <v>1324</v>
      </c>
      <c r="D763" s="195">
        <v>819</v>
      </c>
      <c r="E763" s="195">
        <v>203</v>
      </c>
      <c r="F763" s="195">
        <v>203</v>
      </c>
      <c r="G763" s="239">
        <v>756</v>
      </c>
      <c r="H763" s="197" t="s">
        <v>72</v>
      </c>
      <c r="I763" s="242" t="s">
        <v>212</v>
      </c>
      <c r="J763" s="242" t="s">
        <v>489</v>
      </c>
      <c r="K763" s="195" t="s">
        <v>71</v>
      </c>
      <c r="L763" s="20" t="str">
        <f ca="1">IF(OFFSET(환산공식!$ED$15,$F763,0)=1,"O","X")</f>
        <v>X</v>
      </c>
      <c r="M763" s="188">
        <f ca="1">IFERROR(OFFSET(환산공식!DJ$15,$F763,0),"")</f>
        <v>200</v>
      </c>
      <c r="N763" s="20" t="str">
        <f ca="1">IFERROR(CONCATENATE(ROUND(OFFSET(환산공식!DK$15,$F763,0),1),"%"),"")</f>
        <v>100%</v>
      </c>
      <c r="O763" s="20">
        <f ca="1">IFERROR(OFFSET(환산공식!DL$15,$F763,0),"")</f>
        <v>10</v>
      </c>
      <c r="P763" s="188" t="str">
        <f t="shared" ca="1" si="23"/>
        <v>3% 이하</v>
      </c>
      <c r="Q763" s="194">
        <f ca="1">IFERROR(ROUND(OFFSET(환산공식!$FG$15,$F763,0),3),"")</f>
        <v>0</v>
      </c>
      <c r="R763" s="194">
        <f ca="1">OFFSET('배치점수 계산기'!H$10,$D763,0)</f>
        <v>870.06700000000001</v>
      </c>
      <c r="S763" s="194">
        <f ca="1">OFFSET('배치점수 계산기'!I$10,$D763,0)</f>
        <v>867.52300000000002</v>
      </c>
      <c r="T763" s="194">
        <f ca="1">OFFSET('배치점수 계산기'!J$10,$D763,0)</f>
        <v>862.19299999999998</v>
      </c>
      <c r="U763" s="194">
        <f ca="1">OFFSET('배치점수 계산기'!K$10,$D763,0)</f>
        <v>856.84</v>
      </c>
      <c r="V763" s="194">
        <f ca="1">OFFSET('배치점수 계산기'!L$10,$D763,0)</f>
        <v>850.58299999999997</v>
      </c>
      <c r="W763" s="186" t="str">
        <f ca="1">OFFSET('배치점수 계산기'!M$10,$D763,0)</f>
        <v>표점/만점</v>
      </c>
      <c r="X763" s="184" t="str">
        <f ca="1">OFFSET('배치점수 계산기'!N$10,$D763,0)</f>
        <v>표점/만점</v>
      </c>
      <c r="Y763" s="188">
        <f ca="1">OFFSET(환산공식!FW$15,$F763,0)</f>
        <v>0.4</v>
      </c>
      <c r="Z763" s="20">
        <f ca="1">OFFSET(환산공식!FX$15,$F763,0)</f>
        <v>0.3</v>
      </c>
      <c r="AA763" s="179">
        <f ca="1">OFFSET(환산공식!FY$15,$F763,0)</f>
        <v>0.28999999999999998</v>
      </c>
      <c r="AB763" s="3"/>
      <c r="AD763">
        <f t="shared" ca="1" si="24"/>
        <v>6</v>
      </c>
      <c r="AF763" s="3"/>
      <c r="AG763" s="3"/>
      <c r="AH763" s="3"/>
    </row>
    <row r="764" spans="1:34">
      <c r="A764" s="198"/>
      <c r="B764" s="198"/>
      <c r="C764" s="198" t="s">
        <v>1325</v>
      </c>
      <c r="D764" s="195">
        <v>820</v>
      </c>
      <c r="E764" s="195">
        <v>203</v>
      </c>
      <c r="F764" s="195">
        <v>203</v>
      </c>
      <c r="G764" s="239">
        <v>757</v>
      </c>
      <c r="H764" s="197" t="s">
        <v>72</v>
      </c>
      <c r="I764" s="242" t="s">
        <v>212</v>
      </c>
      <c r="J764" s="242" t="s">
        <v>9141</v>
      </c>
      <c r="K764" s="195" t="s">
        <v>71</v>
      </c>
      <c r="L764" s="20" t="str">
        <f ca="1">IF(OFFSET(환산공식!$ED$15,$F764,0)=1,"O","X")</f>
        <v>X</v>
      </c>
      <c r="M764" s="188">
        <f ca="1">IFERROR(OFFSET(환산공식!DJ$15,$F764,0),"")</f>
        <v>200</v>
      </c>
      <c r="N764" s="20" t="str">
        <f ca="1">IFERROR(CONCATENATE(ROUND(OFFSET(환산공식!DK$15,$F764,0),1),"%"),"")</f>
        <v>100%</v>
      </c>
      <c r="O764" s="20">
        <f ca="1">IFERROR(OFFSET(환산공식!DL$15,$F764,0),"")</f>
        <v>10</v>
      </c>
      <c r="P764" s="188" t="str">
        <f t="shared" ca="1" si="23"/>
        <v>3% 이하</v>
      </c>
      <c r="Q764" s="194">
        <f ca="1">IFERROR(ROUND(OFFSET(환산공식!$FG$15,$F764,0),3),"")</f>
        <v>0</v>
      </c>
      <c r="R764" s="194">
        <f ca="1">OFFSET('배치점수 계산기'!H$10,$D764,0)</f>
        <v>865.47199999999998</v>
      </c>
      <c r="S764" s="194">
        <f ca="1">OFFSET('배치점수 계산기'!I$10,$D764,0)</f>
        <v>862.95799999999997</v>
      </c>
      <c r="T764" s="194">
        <f ca="1">OFFSET('배치점수 계산기'!J$10,$D764,0)</f>
        <v>857.80100000000004</v>
      </c>
      <c r="U764" s="194">
        <f ca="1">OFFSET('배치점수 계산기'!K$10,$D764,0)</f>
        <v>853.05200000000002</v>
      </c>
      <c r="V764" s="194">
        <f ca="1">OFFSET('배치점수 계산기'!L$10,$D764,0)</f>
        <v>846.58900000000006</v>
      </c>
      <c r="W764" s="186" t="str">
        <f ca="1">OFFSET('배치점수 계산기'!M$10,$D764,0)</f>
        <v>표점/만점</v>
      </c>
      <c r="X764" s="184" t="str">
        <f ca="1">OFFSET('배치점수 계산기'!N$10,$D764,0)</f>
        <v>표점/만점</v>
      </c>
      <c r="Y764" s="188">
        <f ca="1">OFFSET(환산공식!FW$15,$F764,0)</f>
        <v>0.4</v>
      </c>
      <c r="Z764" s="20">
        <f ca="1">OFFSET(환산공식!FX$15,$F764,0)</f>
        <v>0.3</v>
      </c>
      <c r="AA764" s="179">
        <f ca="1">OFFSET(환산공식!FY$15,$F764,0)</f>
        <v>0.28999999999999998</v>
      </c>
      <c r="AB764" s="3"/>
      <c r="AD764">
        <f t="shared" ca="1" si="24"/>
        <v>6</v>
      </c>
      <c r="AF764" s="3"/>
      <c r="AG764" s="3"/>
      <c r="AH764" s="3"/>
    </row>
    <row r="765" spans="1:34">
      <c r="A765" s="198"/>
      <c r="B765" s="198"/>
      <c r="C765" s="198" t="s">
        <v>1326</v>
      </c>
      <c r="D765" s="195">
        <v>821</v>
      </c>
      <c r="E765" s="195">
        <v>203</v>
      </c>
      <c r="F765" s="195">
        <v>203</v>
      </c>
      <c r="G765" s="239">
        <v>758</v>
      </c>
      <c r="H765" s="197" t="s">
        <v>72</v>
      </c>
      <c r="I765" s="242" t="s">
        <v>212</v>
      </c>
      <c r="J765" s="242" t="s">
        <v>542</v>
      </c>
      <c r="K765" s="195" t="s">
        <v>71</v>
      </c>
      <c r="L765" s="20" t="str">
        <f ca="1">IF(OFFSET(환산공식!$ED$15,$F765,0)=1,"O","X")</f>
        <v>X</v>
      </c>
      <c r="M765" s="188">
        <f ca="1">IFERROR(OFFSET(환산공식!DJ$15,$F765,0),"")</f>
        <v>200</v>
      </c>
      <c r="N765" s="20" t="str">
        <f ca="1">IFERROR(CONCATENATE(ROUND(OFFSET(환산공식!DK$15,$F765,0),1),"%"),"")</f>
        <v>100%</v>
      </c>
      <c r="O765" s="20">
        <f ca="1">IFERROR(OFFSET(환산공식!DL$15,$F765,0),"")</f>
        <v>10</v>
      </c>
      <c r="P765" s="188" t="str">
        <f t="shared" ca="1" si="23"/>
        <v>3% 이하</v>
      </c>
      <c r="Q765" s="194">
        <f ca="1">IFERROR(ROUND(OFFSET(환산공식!$FG$15,$F765,0),3),"")</f>
        <v>0</v>
      </c>
      <c r="R765" s="194">
        <f ca="1">OFFSET('배치점수 계산기'!H$10,$D765,0)</f>
        <v>865.47199999999998</v>
      </c>
      <c r="S765" s="194">
        <f ca="1">OFFSET('배치점수 계산기'!I$10,$D765,0)</f>
        <v>862.95799999999997</v>
      </c>
      <c r="T765" s="194">
        <f ca="1">OFFSET('배치점수 계산기'!J$10,$D765,0)</f>
        <v>857.80100000000004</v>
      </c>
      <c r="U765" s="194">
        <f ca="1">OFFSET('배치점수 계산기'!K$10,$D765,0)</f>
        <v>853.05200000000002</v>
      </c>
      <c r="V765" s="194">
        <f ca="1">OFFSET('배치점수 계산기'!L$10,$D765,0)</f>
        <v>846.58900000000006</v>
      </c>
      <c r="W765" s="186" t="str">
        <f ca="1">OFFSET('배치점수 계산기'!M$10,$D765,0)</f>
        <v>표점/만점</v>
      </c>
      <c r="X765" s="184" t="str">
        <f ca="1">OFFSET('배치점수 계산기'!N$10,$D765,0)</f>
        <v>표점/만점</v>
      </c>
      <c r="Y765" s="188">
        <f ca="1">OFFSET(환산공식!FW$15,$F765,0)</f>
        <v>0.4</v>
      </c>
      <c r="Z765" s="20">
        <f ca="1">OFFSET(환산공식!FX$15,$F765,0)</f>
        <v>0.3</v>
      </c>
      <c r="AA765" s="179">
        <f ca="1">OFFSET(환산공식!FY$15,$F765,0)</f>
        <v>0.28999999999999998</v>
      </c>
      <c r="AB765" s="3"/>
      <c r="AD765">
        <f t="shared" ca="1" si="24"/>
        <v>6</v>
      </c>
      <c r="AF765" s="3"/>
      <c r="AG765" s="3"/>
      <c r="AH765" s="3"/>
    </row>
    <row r="766" spans="1:34">
      <c r="A766" s="198"/>
      <c r="B766" s="198"/>
      <c r="C766" s="198" t="s">
        <v>1327</v>
      </c>
      <c r="D766" s="195">
        <v>822</v>
      </c>
      <c r="E766" s="195">
        <v>203</v>
      </c>
      <c r="F766" s="195">
        <v>203</v>
      </c>
      <c r="G766" s="239">
        <v>759</v>
      </c>
      <c r="H766" s="197" t="s">
        <v>72</v>
      </c>
      <c r="I766" s="242" t="s">
        <v>212</v>
      </c>
      <c r="J766" s="242" t="s">
        <v>8726</v>
      </c>
      <c r="K766" s="195" t="s">
        <v>71</v>
      </c>
      <c r="L766" s="20" t="str">
        <f ca="1">IF(OFFSET(환산공식!$ED$15,$F766,0)=1,"O","X")</f>
        <v>X</v>
      </c>
      <c r="M766" s="188">
        <f ca="1">IFERROR(OFFSET(환산공식!DJ$15,$F766,0),"")</f>
        <v>200</v>
      </c>
      <c r="N766" s="20" t="str">
        <f ca="1">IFERROR(CONCATENATE(ROUND(OFFSET(환산공식!DK$15,$F766,0),1),"%"),"")</f>
        <v>100%</v>
      </c>
      <c r="O766" s="20">
        <f ca="1">IFERROR(OFFSET(환산공식!DL$15,$F766,0),"")</f>
        <v>10</v>
      </c>
      <c r="P766" s="188" t="str">
        <f t="shared" ca="1" si="23"/>
        <v>3% 이하</v>
      </c>
      <c r="Q766" s="194">
        <f ca="1">IFERROR(ROUND(OFFSET(환산공식!$FG$15,$F766,0),3),"")</f>
        <v>0</v>
      </c>
      <c r="R766" s="194">
        <f ca="1">OFFSET('배치점수 계산기'!H$10,$D766,0)</f>
        <v>864.28899999999999</v>
      </c>
      <c r="S766" s="194">
        <f ca="1">OFFSET('배치점수 계산기'!I$10,$D766,0)</f>
        <v>861.97500000000002</v>
      </c>
      <c r="T766" s="194">
        <f ca="1">OFFSET('배치점수 계산기'!J$10,$D766,0)</f>
        <v>856.84</v>
      </c>
      <c r="U766" s="194">
        <f ca="1">OFFSET('배치점수 계산기'!K$10,$D766,0)</f>
        <v>851.93399999999997</v>
      </c>
      <c r="V766" s="194">
        <f ca="1">OFFSET('배치점수 계산기'!L$10,$D766,0)</f>
        <v>845.44</v>
      </c>
      <c r="W766" s="186" t="str">
        <f ca="1">OFFSET('배치점수 계산기'!M$10,$D766,0)</f>
        <v>표점/만점</v>
      </c>
      <c r="X766" s="184" t="str">
        <f ca="1">OFFSET('배치점수 계산기'!N$10,$D766,0)</f>
        <v>표점/만점</v>
      </c>
      <c r="Y766" s="188">
        <f ca="1">OFFSET(환산공식!FW$15,$F766,0)</f>
        <v>0.4</v>
      </c>
      <c r="Z766" s="20">
        <f ca="1">OFFSET(환산공식!FX$15,$F766,0)</f>
        <v>0.3</v>
      </c>
      <c r="AA766" s="179">
        <f ca="1">OFFSET(환산공식!FY$15,$F766,0)</f>
        <v>0.28999999999999998</v>
      </c>
      <c r="AB766" s="3"/>
      <c r="AD766">
        <f t="shared" ca="1" si="24"/>
        <v>6</v>
      </c>
      <c r="AF766" s="3"/>
      <c r="AG766" s="3"/>
      <c r="AH766" s="3"/>
    </row>
    <row r="767" spans="1:34">
      <c r="A767" s="198"/>
      <c r="B767" s="198"/>
      <c r="C767" s="198" t="s">
        <v>1328</v>
      </c>
      <c r="D767" s="195">
        <v>823</v>
      </c>
      <c r="E767" s="195">
        <v>203</v>
      </c>
      <c r="F767" s="195">
        <v>203</v>
      </c>
      <c r="G767" s="239">
        <v>760</v>
      </c>
      <c r="H767" s="197" t="s">
        <v>72</v>
      </c>
      <c r="I767" s="242" t="s">
        <v>212</v>
      </c>
      <c r="J767" s="242" t="s">
        <v>7356</v>
      </c>
      <c r="K767" s="195" t="s">
        <v>71</v>
      </c>
      <c r="L767" s="20" t="str">
        <f ca="1">IF(OFFSET(환산공식!$ED$15,$F767,0)=1,"O","X")</f>
        <v>X</v>
      </c>
      <c r="M767" s="188">
        <f ca="1">IFERROR(OFFSET(환산공식!DJ$15,$F767,0),"")</f>
        <v>200</v>
      </c>
      <c r="N767" s="20" t="str">
        <f ca="1">IFERROR(CONCATENATE(ROUND(OFFSET(환산공식!DK$15,$F767,0),1),"%"),"")</f>
        <v>100%</v>
      </c>
      <c r="O767" s="20">
        <f ca="1">IFERROR(OFFSET(환산공식!DL$15,$F767,0),"")</f>
        <v>10</v>
      </c>
      <c r="P767" s="188" t="str">
        <f t="shared" ca="1" si="23"/>
        <v>3% 이하</v>
      </c>
      <c r="Q767" s="194">
        <f ca="1">IFERROR(ROUND(OFFSET(환산공식!$FG$15,$F767,0),3),"")</f>
        <v>0</v>
      </c>
      <c r="R767" s="194">
        <f ca="1">OFFSET('배치점수 계산기'!H$10,$D767,0)</f>
        <v>862.19299999999998</v>
      </c>
      <c r="S767" s="194">
        <f ca="1">OFFSET('배치점수 계산기'!I$10,$D767,0)</f>
        <v>858.96299999999997</v>
      </c>
      <c r="T767" s="194">
        <f ca="1">OFFSET('배치점수 계산기'!J$10,$D767,0)</f>
        <v>855.71900000000005</v>
      </c>
      <c r="U767" s="194">
        <f ca="1">OFFSET('배치점수 계산기'!K$10,$D767,0)</f>
        <v>851.904</v>
      </c>
      <c r="V767" s="194">
        <f ca="1">OFFSET('배치점수 계산기'!L$10,$D767,0)</f>
        <v>848.67</v>
      </c>
      <c r="W767" s="186" t="str">
        <f ca="1">OFFSET('배치점수 계산기'!M$10,$D767,0)</f>
        <v>표점/만점</v>
      </c>
      <c r="X767" s="184" t="str">
        <f ca="1">OFFSET('배치점수 계산기'!N$10,$D767,0)</f>
        <v>표점/만점</v>
      </c>
      <c r="Y767" s="188">
        <f ca="1">OFFSET(환산공식!FW$15,$F767,0)</f>
        <v>0.4</v>
      </c>
      <c r="Z767" s="20">
        <f ca="1">OFFSET(환산공식!FX$15,$F767,0)</f>
        <v>0.3</v>
      </c>
      <c r="AA767" s="179">
        <f ca="1">OFFSET(환산공식!FY$15,$F767,0)</f>
        <v>0.28999999999999998</v>
      </c>
      <c r="AB767" s="3"/>
      <c r="AD767">
        <f t="shared" ca="1" si="24"/>
        <v>6</v>
      </c>
      <c r="AF767" s="3"/>
      <c r="AG767" s="3"/>
      <c r="AH767" s="3"/>
    </row>
    <row r="768" spans="1:34">
      <c r="A768" s="198"/>
      <c r="B768" s="198"/>
      <c r="C768" s="198" t="s">
        <v>1329</v>
      </c>
      <c r="D768" s="195">
        <v>824</v>
      </c>
      <c r="E768" s="195">
        <v>203</v>
      </c>
      <c r="F768" s="195">
        <v>203</v>
      </c>
      <c r="G768" s="239">
        <v>761</v>
      </c>
      <c r="H768" s="197" t="s">
        <v>72</v>
      </c>
      <c r="I768" s="242" t="s">
        <v>212</v>
      </c>
      <c r="J768" s="242" t="s">
        <v>8217</v>
      </c>
      <c r="K768" s="195" t="s">
        <v>71</v>
      </c>
      <c r="L768" s="20" t="str">
        <f ca="1">IF(OFFSET(환산공식!$ED$15,$F768,0)=1,"O","X")</f>
        <v>X</v>
      </c>
      <c r="M768" s="188">
        <f ca="1">IFERROR(OFFSET(환산공식!DJ$15,$F768,0),"")</f>
        <v>200</v>
      </c>
      <c r="N768" s="20" t="str">
        <f ca="1">IFERROR(CONCATENATE(ROUND(OFFSET(환산공식!DK$15,$F768,0),1),"%"),"")</f>
        <v>100%</v>
      </c>
      <c r="O768" s="20">
        <f ca="1">IFERROR(OFFSET(환산공식!DL$15,$F768,0),"")</f>
        <v>10</v>
      </c>
      <c r="P768" s="188" t="str">
        <f t="shared" ca="1" si="23"/>
        <v>3% 이하</v>
      </c>
      <c r="Q768" s="194">
        <f ca="1">IFERROR(ROUND(OFFSET(환산공식!$FG$15,$F768,0),3),"")</f>
        <v>0</v>
      </c>
      <c r="R768" s="194">
        <f ca="1">OFFSET('배치점수 계산기'!H$10,$D768,0)</f>
        <v>856.07899999999995</v>
      </c>
      <c r="S768" s="194">
        <f ca="1">OFFSET('배치점수 계산기'!I$10,$D768,0)</f>
        <v>853.827</v>
      </c>
      <c r="T768" s="194">
        <f ca="1">OFFSET('배치점수 계산기'!J$10,$D768,0)</f>
        <v>849.21699999999998</v>
      </c>
      <c r="U768" s="194">
        <f ca="1">OFFSET('배치점수 계산기'!K$10,$D768,0)</f>
        <v>844.47900000000004</v>
      </c>
      <c r="V768" s="194">
        <f ca="1">OFFSET('배치점수 계산기'!L$10,$D768,0)</f>
        <v>838.39200000000005</v>
      </c>
      <c r="W768" s="186" t="str">
        <f ca="1">OFFSET('배치점수 계산기'!M$10,$D768,0)</f>
        <v>표점/만점</v>
      </c>
      <c r="X768" s="184" t="str">
        <f ca="1">OFFSET('배치점수 계산기'!N$10,$D768,0)</f>
        <v>표점/만점</v>
      </c>
      <c r="Y768" s="188">
        <f ca="1">OFFSET(환산공식!FW$15,$F768,0)</f>
        <v>0.4</v>
      </c>
      <c r="Z768" s="20">
        <f ca="1">OFFSET(환산공식!FX$15,$F768,0)</f>
        <v>0.3</v>
      </c>
      <c r="AA768" s="179">
        <f ca="1">OFFSET(환산공식!FY$15,$F768,0)</f>
        <v>0.28999999999999998</v>
      </c>
      <c r="AB768" s="3"/>
      <c r="AD768">
        <f t="shared" ca="1" si="24"/>
        <v>6</v>
      </c>
      <c r="AF768" s="3"/>
      <c r="AG768" s="3"/>
      <c r="AH768" s="3"/>
    </row>
    <row r="769" spans="1:34">
      <c r="A769" s="198"/>
      <c r="B769" s="198"/>
      <c r="C769" s="198" t="s">
        <v>1330</v>
      </c>
      <c r="D769" s="195">
        <v>825</v>
      </c>
      <c r="E769" s="195">
        <v>203</v>
      </c>
      <c r="F769" s="195">
        <v>203</v>
      </c>
      <c r="G769" s="239">
        <v>762</v>
      </c>
      <c r="H769" s="197" t="s">
        <v>72</v>
      </c>
      <c r="I769" s="242" t="s">
        <v>212</v>
      </c>
      <c r="J769" s="242" t="s">
        <v>8654</v>
      </c>
      <c r="K769" s="195" t="s">
        <v>71</v>
      </c>
      <c r="L769" s="20" t="str">
        <f ca="1">IF(OFFSET(환산공식!$ED$15,$F769,0)=1,"O","X")</f>
        <v>X</v>
      </c>
      <c r="M769" s="188">
        <f ca="1">IFERROR(OFFSET(환산공식!DJ$15,$F769,0),"")</f>
        <v>200</v>
      </c>
      <c r="N769" s="20" t="str">
        <f ca="1">IFERROR(CONCATENATE(ROUND(OFFSET(환산공식!DK$15,$F769,0),1),"%"),"")</f>
        <v>100%</v>
      </c>
      <c r="O769" s="20">
        <f ca="1">IFERROR(OFFSET(환산공식!DL$15,$F769,0),"")</f>
        <v>10</v>
      </c>
      <c r="P769" s="188" t="str">
        <f t="shared" ca="1" si="23"/>
        <v>3% 이하</v>
      </c>
      <c r="Q769" s="194">
        <f ca="1">IFERROR(ROUND(OFFSET(환산공식!$FG$15,$F769,0),3),"")</f>
        <v>0</v>
      </c>
      <c r="R769" s="194">
        <f ca="1">OFFSET('배치점수 계산기'!H$10,$D769,0)</f>
        <v>851.93399999999997</v>
      </c>
      <c r="S769" s="194">
        <f ca="1">OFFSET('배치점수 계산기'!I$10,$D769,0)</f>
        <v>849.80799999999999</v>
      </c>
      <c r="T769" s="194">
        <f ca="1">OFFSET('배치점수 계산기'!J$10,$D769,0)</f>
        <v>845.25300000000004</v>
      </c>
      <c r="U769" s="194">
        <f ca="1">OFFSET('배치점수 계산기'!K$10,$D769,0)</f>
        <v>840.68799999999999</v>
      </c>
      <c r="V769" s="194">
        <f ca="1">OFFSET('배치점수 계산기'!L$10,$D769,0)</f>
        <v>834.94399999999996</v>
      </c>
      <c r="W769" s="186" t="str">
        <f ca="1">OFFSET('배치점수 계산기'!M$10,$D769,0)</f>
        <v>표점/만점</v>
      </c>
      <c r="X769" s="184" t="str">
        <f ca="1">OFFSET('배치점수 계산기'!N$10,$D769,0)</f>
        <v>표점/만점</v>
      </c>
      <c r="Y769" s="188">
        <f ca="1">OFFSET(환산공식!FW$15,$F769,0)</f>
        <v>0.4</v>
      </c>
      <c r="Z769" s="20">
        <f ca="1">OFFSET(환산공식!FX$15,$F769,0)</f>
        <v>0.3</v>
      </c>
      <c r="AA769" s="179">
        <f ca="1">OFFSET(환산공식!FY$15,$F769,0)</f>
        <v>0.28999999999999998</v>
      </c>
      <c r="AB769" s="3"/>
      <c r="AD769">
        <f t="shared" ca="1" si="24"/>
        <v>6</v>
      </c>
      <c r="AF769" s="3"/>
      <c r="AG769" s="3"/>
      <c r="AH769" s="3"/>
    </row>
    <row r="770" spans="1:34">
      <c r="A770" s="198"/>
      <c r="B770" s="198"/>
      <c r="C770" s="198" t="s">
        <v>1331</v>
      </c>
      <c r="D770" s="195">
        <v>826</v>
      </c>
      <c r="E770" s="195">
        <v>203</v>
      </c>
      <c r="F770" s="195">
        <v>203</v>
      </c>
      <c r="G770" s="239">
        <v>763</v>
      </c>
      <c r="H770" s="197" t="s">
        <v>72</v>
      </c>
      <c r="I770" s="242" t="s">
        <v>212</v>
      </c>
      <c r="J770" s="242" t="s">
        <v>8883</v>
      </c>
      <c r="K770" s="195" t="s">
        <v>71</v>
      </c>
      <c r="L770" s="20" t="str">
        <f ca="1">IF(OFFSET(환산공식!$ED$15,$F770,0)=1,"O","X")</f>
        <v>X</v>
      </c>
      <c r="M770" s="188">
        <f ca="1">IFERROR(OFFSET(환산공식!DJ$15,$F770,0),"")</f>
        <v>200</v>
      </c>
      <c r="N770" s="20" t="str">
        <f ca="1">IFERROR(CONCATENATE(ROUND(OFFSET(환산공식!DK$15,$F770,0),1),"%"),"")</f>
        <v>100%</v>
      </c>
      <c r="O770" s="20">
        <f ca="1">IFERROR(OFFSET(환산공식!DL$15,$F770,0),"")</f>
        <v>10</v>
      </c>
      <c r="P770" s="188" t="str">
        <f t="shared" ca="1" si="23"/>
        <v>3% 이하</v>
      </c>
      <c r="Q770" s="194">
        <f ca="1">IFERROR(ROUND(OFFSET(환산공식!$FG$15,$F770,0),3),"")</f>
        <v>0</v>
      </c>
      <c r="R770" s="194">
        <f ca="1">OFFSET('배치점수 계산기'!H$10,$D770,0)</f>
        <v>849.44799999999998</v>
      </c>
      <c r="S770" s="194">
        <f ca="1">OFFSET('배치점수 계산기'!I$10,$D770,0)</f>
        <v>847.16600000000005</v>
      </c>
      <c r="T770" s="194">
        <f ca="1">OFFSET('배치점수 계산기'!J$10,$D770,0)</f>
        <v>842.81899999999996</v>
      </c>
      <c r="U770" s="194">
        <f ca="1">OFFSET('배치점수 계산기'!K$10,$D770,0)</f>
        <v>838.39200000000005</v>
      </c>
      <c r="V770" s="194">
        <f ca="1">OFFSET('배치점수 계산기'!L$10,$D770,0)</f>
        <v>832.66300000000001</v>
      </c>
      <c r="W770" s="186" t="str">
        <f ca="1">OFFSET('배치점수 계산기'!M$10,$D770,0)</f>
        <v>표점/만점</v>
      </c>
      <c r="X770" s="184" t="str">
        <f ca="1">OFFSET('배치점수 계산기'!N$10,$D770,0)</f>
        <v>표점/만점</v>
      </c>
      <c r="Y770" s="188">
        <f ca="1">OFFSET(환산공식!FW$15,$F770,0)</f>
        <v>0.4</v>
      </c>
      <c r="Z770" s="20">
        <f ca="1">OFFSET(환산공식!FX$15,$F770,0)</f>
        <v>0.3</v>
      </c>
      <c r="AA770" s="179">
        <f ca="1">OFFSET(환산공식!FY$15,$F770,0)</f>
        <v>0.28999999999999998</v>
      </c>
      <c r="AB770" s="3"/>
      <c r="AD770">
        <f t="shared" ca="1" si="24"/>
        <v>6</v>
      </c>
      <c r="AF770" s="3"/>
      <c r="AG770" s="3"/>
      <c r="AH770" s="3"/>
    </row>
    <row r="771" spans="1:34">
      <c r="A771" s="198"/>
      <c r="B771" s="198"/>
      <c r="C771" s="198" t="s">
        <v>1332</v>
      </c>
      <c r="D771" s="195">
        <v>827</v>
      </c>
      <c r="E771" s="195">
        <v>203</v>
      </c>
      <c r="F771" s="195">
        <v>203</v>
      </c>
      <c r="G771" s="239">
        <v>764</v>
      </c>
      <c r="H771" s="197" t="s">
        <v>72</v>
      </c>
      <c r="I771" s="242" t="s">
        <v>212</v>
      </c>
      <c r="J771" s="242" t="s">
        <v>12710</v>
      </c>
      <c r="K771" s="195" t="s">
        <v>71</v>
      </c>
      <c r="L771" s="20" t="str">
        <f ca="1">IF(OFFSET(환산공식!$ED$15,$F771,0)=1,"O","X")</f>
        <v>X</v>
      </c>
      <c r="M771" s="188">
        <f ca="1">IFERROR(OFFSET(환산공식!DJ$15,$F771,0),"")</f>
        <v>200</v>
      </c>
      <c r="N771" s="20" t="str">
        <f ca="1">IFERROR(CONCATENATE(ROUND(OFFSET(환산공식!DK$15,$F771,0),1),"%"),"")</f>
        <v>100%</v>
      </c>
      <c r="O771" s="20">
        <f ca="1">IFERROR(OFFSET(환산공식!DL$15,$F771,0),"")</f>
        <v>10</v>
      </c>
      <c r="P771" s="188" t="str">
        <f t="shared" ca="1" si="23"/>
        <v>3% 이하</v>
      </c>
      <c r="Q771" s="194">
        <f ca="1">IFERROR(ROUND(OFFSET(환산공식!$FG$15,$F771,0),3),"")</f>
        <v>0</v>
      </c>
      <c r="R771" s="194">
        <f ca="1">OFFSET('배치점수 계산기'!H$10,$D771,0)</f>
        <v>848.67</v>
      </c>
      <c r="S771" s="194">
        <f ca="1">OFFSET('배치점수 계산기'!I$10,$D771,0)</f>
        <v>846.58900000000006</v>
      </c>
      <c r="T771" s="194">
        <f ca="1">OFFSET('배치점수 계산기'!J$10,$D771,0)</f>
        <v>842.24099999999999</v>
      </c>
      <c r="U771" s="194">
        <f ca="1">OFFSET('배치점수 계산기'!K$10,$D771,0)</f>
        <v>837.63099999999997</v>
      </c>
      <c r="V771" s="194">
        <f ca="1">OFFSET('배치점수 계산기'!L$10,$D771,0)</f>
        <v>831.89800000000002</v>
      </c>
      <c r="W771" s="186" t="str">
        <f ca="1">OFFSET('배치점수 계산기'!M$10,$D771,0)</f>
        <v>표점/만점</v>
      </c>
      <c r="X771" s="184" t="str">
        <f ca="1">OFFSET('배치점수 계산기'!N$10,$D771,0)</f>
        <v>표점/만점</v>
      </c>
      <c r="Y771" s="188">
        <f ca="1">OFFSET(환산공식!FW$15,$F771,0)</f>
        <v>0.4</v>
      </c>
      <c r="Z771" s="20">
        <f ca="1">OFFSET(환산공식!FX$15,$F771,0)</f>
        <v>0.3</v>
      </c>
      <c r="AA771" s="179">
        <f ca="1">OFFSET(환산공식!FY$15,$F771,0)</f>
        <v>0.28999999999999998</v>
      </c>
      <c r="AB771" s="3"/>
      <c r="AD771">
        <f t="shared" ca="1" si="24"/>
        <v>6</v>
      </c>
      <c r="AF771" s="3"/>
      <c r="AG771" s="3"/>
      <c r="AH771" s="3"/>
    </row>
    <row r="772" spans="1:34">
      <c r="A772" s="198"/>
      <c r="B772" s="198"/>
      <c r="C772" s="198" t="s">
        <v>1333</v>
      </c>
      <c r="D772" s="195">
        <v>828</v>
      </c>
      <c r="E772" s="195">
        <v>203</v>
      </c>
      <c r="F772" s="195">
        <v>203</v>
      </c>
      <c r="G772" s="239">
        <v>765</v>
      </c>
      <c r="H772" s="197" t="s">
        <v>72</v>
      </c>
      <c r="I772" s="242" t="s">
        <v>212</v>
      </c>
      <c r="J772" s="242" t="s">
        <v>12837</v>
      </c>
      <c r="K772" s="195" t="s">
        <v>71</v>
      </c>
      <c r="L772" s="20" t="str">
        <f ca="1">IF(OFFSET(환산공식!$ED$15,$F772,0)=1,"O","X")</f>
        <v>X</v>
      </c>
      <c r="M772" s="188">
        <f ca="1">IFERROR(OFFSET(환산공식!DJ$15,$F772,0),"")</f>
        <v>200</v>
      </c>
      <c r="N772" s="20" t="str">
        <f ca="1">IFERROR(CONCATENATE(ROUND(OFFSET(환산공식!DK$15,$F772,0),1),"%"),"")</f>
        <v>100%</v>
      </c>
      <c r="O772" s="20">
        <f ca="1">IFERROR(OFFSET(환산공식!DL$15,$F772,0),"")</f>
        <v>10</v>
      </c>
      <c r="P772" s="188" t="str">
        <f t="shared" ca="1" si="23"/>
        <v>3% 이하</v>
      </c>
      <c r="Q772" s="194">
        <f ca="1">IFERROR(ROUND(OFFSET(환산공식!$FG$15,$F772,0),3),"")</f>
        <v>0</v>
      </c>
      <c r="R772" s="194">
        <f ca="1">OFFSET('배치점수 계산기'!H$10,$D772,0)</f>
        <v>844.10500000000002</v>
      </c>
      <c r="S772" s="194">
        <f ca="1">OFFSET('배치점수 계산기'!I$10,$D772,0)</f>
        <v>842.24099999999999</v>
      </c>
      <c r="T772" s="194">
        <f ca="1">OFFSET('배치점수 계산기'!J$10,$D772,0)</f>
        <v>838.18899999999996</v>
      </c>
      <c r="U772" s="194">
        <f ca="1">OFFSET('배치점수 계산기'!K$10,$D772,0)</f>
        <v>833.62400000000002</v>
      </c>
      <c r="V772" s="194">
        <f ca="1">OFFSET('배치점수 계산기'!L$10,$D772,0)</f>
        <v>827.56500000000005</v>
      </c>
      <c r="W772" s="186" t="str">
        <f ca="1">OFFSET('배치점수 계산기'!M$10,$D772,0)</f>
        <v>표점/만점</v>
      </c>
      <c r="X772" s="184" t="str">
        <f ca="1">OFFSET('배치점수 계산기'!N$10,$D772,0)</f>
        <v>표점/만점</v>
      </c>
      <c r="Y772" s="188">
        <f ca="1">OFFSET(환산공식!FW$15,$F772,0)</f>
        <v>0.4</v>
      </c>
      <c r="Z772" s="20">
        <f ca="1">OFFSET(환산공식!FX$15,$F772,0)</f>
        <v>0.3</v>
      </c>
      <c r="AA772" s="179">
        <f ca="1">OFFSET(환산공식!FY$15,$F772,0)</f>
        <v>0.28999999999999998</v>
      </c>
      <c r="AB772" s="3"/>
      <c r="AD772">
        <f t="shared" ca="1" si="24"/>
        <v>6</v>
      </c>
      <c r="AF772" s="3"/>
      <c r="AG772" s="3"/>
      <c r="AH772" s="3"/>
    </row>
    <row r="773" spans="1:34">
      <c r="A773" s="198"/>
      <c r="B773" s="198"/>
      <c r="C773" s="198" t="s">
        <v>1334</v>
      </c>
      <c r="D773" s="195">
        <v>829</v>
      </c>
      <c r="E773" s="195">
        <v>203</v>
      </c>
      <c r="F773" s="195">
        <v>203</v>
      </c>
      <c r="G773" s="239">
        <v>766</v>
      </c>
      <c r="H773" s="197" t="s">
        <v>72</v>
      </c>
      <c r="I773" s="242" t="s">
        <v>212</v>
      </c>
      <c r="J773" s="242" t="s">
        <v>12240</v>
      </c>
      <c r="K773" s="195" t="s">
        <v>71</v>
      </c>
      <c r="L773" s="20" t="str">
        <f ca="1">IF(OFFSET(환산공식!$ED$15,$F773,0)=1,"O","X")</f>
        <v>X</v>
      </c>
      <c r="M773" s="188">
        <f ca="1">IFERROR(OFFSET(환산공식!DJ$15,$F773,0),"")</f>
        <v>200</v>
      </c>
      <c r="N773" s="20" t="str">
        <f ca="1">IFERROR(CONCATENATE(ROUND(OFFSET(환산공식!DK$15,$F773,0),1),"%"),"")</f>
        <v>100%</v>
      </c>
      <c r="O773" s="20">
        <f ca="1">IFERROR(OFFSET(환산공식!DL$15,$F773,0),"")</f>
        <v>10</v>
      </c>
      <c r="P773" s="188" t="str">
        <f t="shared" ca="1" si="23"/>
        <v>3% 이하</v>
      </c>
      <c r="Q773" s="194">
        <f ca="1">IFERROR(ROUND(OFFSET(환산공식!$FG$15,$F773,0),3),"")</f>
        <v>0</v>
      </c>
      <c r="R773" s="194">
        <f ca="1">OFFSET('배치점수 계산기'!H$10,$D773,0)</f>
        <v>844.10500000000002</v>
      </c>
      <c r="S773" s="194">
        <f ca="1">OFFSET('배치점수 계산기'!I$10,$D773,0)</f>
        <v>842.24099999999999</v>
      </c>
      <c r="T773" s="194">
        <f ca="1">OFFSET('배치점수 계산기'!J$10,$D773,0)</f>
        <v>838.18899999999996</v>
      </c>
      <c r="U773" s="194">
        <f ca="1">OFFSET('배치점수 계산기'!K$10,$D773,0)</f>
        <v>833.62400000000002</v>
      </c>
      <c r="V773" s="194">
        <f ca="1">OFFSET('배치점수 계산기'!L$10,$D773,0)</f>
        <v>827.56500000000005</v>
      </c>
      <c r="W773" s="186" t="str">
        <f ca="1">OFFSET('배치점수 계산기'!M$10,$D773,0)</f>
        <v>표점/만점</v>
      </c>
      <c r="X773" s="184" t="str">
        <f ca="1">OFFSET('배치점수 계산기'!N$10,$D773,0)</f>
        <v>표점/만점</v>
      </c>
      <c r="Y773" s="188">
        <f ca="1">OFFSET(환산공식!FW$15,$F773,0)</f>
        <v>0.4</v>
      </c>
      <c r="Z773" s="20">
        <f ca="1">OFFSET(환산공식!FX$15,$F773,0)</f>
        <v>0.3</v>
      </c>
      <c r="AA773" s="179">
        <f ca="1">OFFSET(환산공식!FY$15,$F773,0)</f>
        <v>0.28999999999999998</v>
      </c>
      <c r="AB773" s="3"/>
      <c r="AD773">
        <f t="shared" ca="1" si="24"/>
        <v>6</v>
      </c>
      <c r="AF773" s="3"/>
      <c r="AG773" s="3"/>
      <c r="AH773" s="3"/>
    </row>
    <row r="774" spans="1:34">
      <c r="A774" s="198"/>
      <c r="B774" s="198"/>
      <c r="C774" s="198" t="s">
        <v>1335</v>
      </c>
      <c r="D774" s="195">
        <v>830</v>
      </c>
      <c r="E774" s="195">
        <v>203</v>
      </c>
      <c r="F774" s="195">
        <v>203</v>
      </c>
      <c r="G774" s="239">
        <v>767</v>
      </c>
      <c r="H774" s="197" t="s">
        <v>72</v>
      </c>
      <c r="I774" s="242" t="s">
        <v>212</v>
      </c>
      <c r="J774" s="242" t="s">
        <v>8753</v>
      </c>
      <c r="K774" s="195" t="s">
        <v>71</v>
      </c>
      <c r="L774" s="20" t="str">
        <f ca="1">IF(OFFSET(환산공식!$ED$15,$F774,0)=1,"O","X")</f>
        <v>X</v>
      </c>
      <c r="M774" s="188">
        <f ca="1">IFERROR(OFFSET(환산공식!DJ$15,$F774,0),"")</f>
        <v>200</v>
      </c>
      <c r="N774" s="20" t="str">
        <f ca="1">IFERROR(CONCATENATE(ROUND(OFFSET(환산공식!DK$15,$F774,0),1),"%"),"")</f>
        <v>100%</v>
      </c>
      <c r="O774" s="20">
        <f ca="1">IFERROR(OFFSET(환산공식!DL$15,$F774,0),"")</f>
        <v>10</v>
      </c>
      <c r="P774" s="188" t="str">
        <f t="shared" ca="1" si="23"/>
        <v>3% 이하</v>
      </c>
      <c r="Q774" s="194">
        <f ca="1">IFERROR(ROUND(OFFSET(환산공식!$FG$15,$F774,0),3),"")</f>
        <v>0</v>
      </c>
      <c r="R774" s="194">
        <f ca="1">OFFSET('배치점수 계산기'!H$10,$D774,0)</f>
        <v>844.10500000000002</v>
      </c>
      <c r="S774" s="194">
        <f ca="1">OFFSET('배치점수 계산기'!I$10,$D774,0)</f>
        <v>842.02300000000002</v>
      </c>
      <c r="T774" s="194">
        <f ca="1">OFFSET('배치점수 계산기'!J$10,$D774,0)</f>
        <v>838.03599999999994</v>
      </c>
      <c r="U774" s="194">
        <f ca="1">OFFSET('배치점수 계산기'!K$10,$D774,0)</f>
        <v>833.62400000000002</v>
      </c>
      <c r="V774" s="194">
        <f ca="1">OFFSET('배치점수 계산기'!L$10,$D774,0)</f>
        <v>827.56500000000005</v>
      </c>
      <c r="W774" s="186" t="str">
        <f ca="1">OFFSET('배치점수 계산기'!M$10,$D774,0)</f>
        <v>표점/만점</v>
      </c>
      <c r="X774" s="184" t="str">
        <f ca="1">OFFSET('배치점수 계산기'!N$10,$D774,0)</f>
        <v>표점/만점</v>
      </c>
      <c r="Y774" s="188">
        <f ca="1">OFFSET(환산공식!FW$15,$F774,0)</f>
        <v>0.4</v>
      </c>
      <c r="Z774" s="20">
        <f ca="1">OFFSET(환산공식!FX$15,$F774,0)</f>
        <v>0.3</v>
      </c>
      <c r="AA774" s="179">
        <f ca="1">OFFSET(환산공식!FY$15,$F774,0)</f>
        <v>0.28999999999999998</v>
      </c>
      <c r="AB774" s="3"/>
      <c r="AD774">
        <f t="shared" ca="1" si="24"/>
        <v>6</v>
      </c>
      <c r="AF774" s="3"/>
      <c r="AG774" s="3"/>
      <c r="AH774" s="3"/>
    </row>
    <row r="775" spans="1:34">
      <c r="A775" s="198"/>
      <c r="B775" s="198"/>
      <c r="C775" s="198" t="s">
        <v>1336</v>
      </c>
      <c r="D775" s="195">
        <v>831</v>
      </c>
      <c r="E775" s="195">
        <v>203</v>
      </c>
      <c r="F775" s="195">
        <v>203</v>
      </c>
      <c r="G775" s="239">
        <v>768</v>
      </c>
      <c r="H775" s="197" t="s">
        <v>72</v>
      </c>
      <c r="I775" s="242" t="s">
        <v>212</v>
      </c>
      <c r="J775" s="242" t="s">
        <v>12874</v>
      </c>
      <c r="K775" s="195" t="s">
        <v>71</v>
      </c>
      <c r="L775" s="20" t="str">
        <f ca="1">IF(OFFSET(환산공식!$ED$15,$F775,0)=1,"O","X")</f>
        <v>X</v>
      </c>
      <c r="M775" s="188">
        <f ca="1">IFERROR(OFFSET(환산공식!DJ$15,$F775,0),"")</f>
        <v>200</v>
      </c>
      <c r="N775" s="20" t="str">
        <f ca="1">IFERROR(CONCATENATE(ROUND(OFFSET(환산공식!DK$15,$F775,0),1),"%"),"")</f>
        <v>100%</v>
      </c>
      <c r="O775" s="20">
        <f ca="1">IFERROR(OFFSET(환산공식!DL$15,$F775,0),"")</f>
        <v>10</v>
      </c>
      <c r="P775" s="188" t="str">
        <f t="shared" ca="1" si="23"/>
        <v>3% 이하</v>
      </c>
      <c r="Q775" s="194">
        <f ca="1">IFERROR(ROUND(OFFSET(환산공식!$FG$15,$F775,0),3),"")</f>
        <v>0</v>
      </c>
      <c r="R775" s="194">
        <f ca="1">OFFSET('배치점수 계산기'!H$10,$D775,0)</f>
        <v>842.971</v>
      </c>
      <c r="S775" s="194">
        <f ca="1">OFFSET('배치점수 계산기'!I$10,$D775,0)</f>
        <v>841.06200000000001</v>
      </c>
      <c r="T775" s="194">
        <f ca="1">OFFSET('배치점수 계산기'!J$10,$D775,0)</f>
        <v>836.63599999999997</v>
      </c>
      <c r="U775" s="194">
        <f ca="1">OFFSET('배치점수 계산기'!K$10,$D775,0)</f>
        <v>832.44500000000005</v>
      </c>
      <c r="V775" s="194">
        <f ca="1">OFFSET('배치점수 계산기'!L$10,$D775,0)</f>
        <v>826.41700000000003</v>
      </c>
      <c r="W775" s="186" t="str">
        <f ca="1">OFFSET('배치점수 계산기'!M$10,$D775,0)</f>
        <v>표점/만점</v>
      </c>
      <c r="X775" s="184" t="str">
        <f ca="1">OFFSET('배치점수 계산기'!N$10,$D775,0)</f>
        <v>표점/만점</v>
      </c>
      <c r="Y775" s="188">
        <f ca="1">OFFSET(환산공식!FW$15,$F775,0)</f>
        <v>0.4</v>
      </c>
      <c r="Z775" s="20">
        <f ca="1">OFFSET(환산공식!FX$15,$F775,0)</f>
        <v>0.3</v>
      </c>
      <c r="AA775" s="179">
        <f ca="1">OFFSET(환산공식!FY$15,$F775,0)</f>
        <v>0.28999999999999998</v>
      </c>
      <c r="AB775" s="3"/>
      <c r="AD775">
        <f t="shared" ca="1" si="24"/>
        <v>6</v>
      </c>
      <c r="AF775" s="3"/>
      <c r="AG775" s="3"/>
      <c r="AH775" s="3"/>
    </row>
    <row r="776" spans="1:34">
      <c r="A776" s="198"/>
      <c r="B776" s="198"/>
      <c r="C776" s="198" t="s">
        <v>1337</v>
      </c>
      <c r="D776" s="195">
        <v>832</v>
      </c>
      <c r="E776" s="195">
        <v>203</v>
      </c>
      <c r="F776" s="195">
        <v>203</v>
      </c>
      <c r="G776" s="239">
        <v>769</v>
      </c>
      <c r="H776" s="197" t="s">
        <v>72</v>
      </c>
      <c r="I776" s="242" t="s">
        <v>212</v>
      </c>
      <c r="J776" s="242" t="s">
        <v>8772</v>
      </c>
      <c r="K776" s="195" t="s">
        <v>71</v>
      </c>
      <c r="L776" s="20" t="str">
        <f ca="1">IF(OFFSET(환산공식!$ED$15,$F776,0)=1,"O","X")</f>
        <v>X</v>
      </c>
      <c r="M776" s="188">
        <f ca="1">IFERROR(OFFSET(환산공식!DJ$15,$F776,0),"")</f>
        <v>200</v>
      </c>
      <c r="N776" s="20" t="str">
        <f ca="1">IFERROR(CONCATENATE(ROUND(OFFSET(환산공식!DK$15,$F776,0),1),"%"),"")</f>
        <v>100%</v>
      </c>
      <c r="O776" s="20">
        <f ca="1">IFERROR(OFFSET(환산공식!DL$15,$F776,0),"")</f>
        <v>10</v>
      </c>
      <c r="P776" s="188" t="str">
        <f t="shared" ca="1" si="23"/>
        <v>3% 이하</v>
      </c>
      <c r="Q776" s="194">
        <f ca="1">IFERROR(ROUND(OFFSET(환산공식!$FG$15,$F776,0),3),"")</f>
        <v>0</v>
      </c>
      <c r="R776" s="194">
        <f ca="1">OFFSET('배치점수 계산기'!H$10,$D776,0)</f>
        <v>838.39200000000005</v>
      </c>
      <c r="S776" s="194">
        <f ca="1">OFFSET('배치점수 계산기'!I$10,$D776,0)</f>
        <v>836.48299999999995</v>
      </c>
      <c r="T776" s="194">
        <f ca="1">OFFSET('배치점수 계산기'!J$10,$D776,0)</f>
        <v>832.44500000000005</v>
      </c>
      <c r="U776" s="194">
        <f ca="1">OFFSET('배치점수 계산기'!K$10,$D776,0)</f>
        <v>827.71799999999996</v>
      </c>
      <c r="V776" s="194">
        <f ca="1">OFFSET('배치점수 계산기'!L$10,$D776,0)</f>
        <v>822.077</v>
      </c>
      <c r="W776" s="186" t="str">
        <f ca="1">OFFSET('배치점수 계산기'!M$10,$D776,0)</f>
        <v>표점/만점</v>
      </c>
      <c r="X776" s="184" t="str">
        <f ca="1">OFFSET('배치점수 계산기'!N$10,$D776,0)</f>
        <v>표점/만점</v>
      </c>
      <c r="Y776" s="188">
        <f ca="1">OFFSET(환산공식!FW$15,$F776,0)</f>
        <v>0.4</v>
      </c>
      <c r="Z776" s="20">
        <f ca="1">OFFSET(환산공식!FX$15,$F776,0)</f>
        <v>0.3</v>
      </c>
      <c r="AA776" s="179">
        <f ca="1">OFFSET(환산공식!FY$15,$F776,0)</f>
        <v>0.28999999999999998</v>
      </c>
      <c r="AB776" s="3"/>
      <c r="AD776">
        <f t="shared" ca="1" si="24"/>
        <v>6</v>
      </c>
      <c r="AF776" s="3"/>
      <c r="AG776" s="3"/>
      <c r="AH776" s="3"/>
    </row>
    <row r="777" spans="1:34">
      <c r="A777" s="198"/>
      <c r="B777" s="198"/>
      <c r="C777" s="198" t="s">
        <v>1338</v>
      </c>
      <c r="D777" s="195">
        <v>833</v>
      </c>
      <c r="E777" s="195">
        <v>211</v>
      </c>
      <c r="F777" s="195">
        <v>211</v>
      </c>
      <c r="G777" s="239">
        <v>770</v>
      </c>
      <c r="H777" s="197" t="s">
        <v>72</v>
      </c>
      <c r="I777" s="242" t="s">
        <v>211</v>
      </c>
      <c r="J777" s="242" t="s">
        <v>8283</v>
      </c>
      <c r="K777" s="195" t="s">
        <v>70</v>
      </c>
      <c r="L777" s="20" t="str">
        <f ca="1">IF(OFFSET(환산공식!$ED$15,$F777,0)=1,"O","X")</f>
        <v>X</v>
      </c>
      <c r="M777" s="188">
        <f ca="1">IFERROR(OFFSET(환산공식!DJ$15,$F777,0),"")</f>
        <v>30</v>
      </c>
      <c r="N777" s="20" t="str">
        <f ca="1">IFERROR(CONCATENATE(ROUND(OFFSET(환산공식!DK$15,$F777,0),1),"%"),"")</f>
        <v>100%</v>
      </c>
      <c r="O777" s="20">
        <f ca="1">IFERROR(OFFSET(환산공식!DL$15,$F777,0),"")</f>
        <v>5</v>
      </c>
      <c r="P777" s="188" t="str">
        <f t="shared" ref="P777:P840" ca="1" si="25"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>3% 이하</v>
      </c>
      <c r="Q777" s="194">
        <f ca="1">IFERROR(ROUND(OFFSET(환산공식!$FG$15,$F777,0),3),"")</f>
        <v>0</v>
      </c>
      <c r="R777" s="194">
        <f ca="1">OFFSET('배치점수 계산기'!H$10,$D777,0)</f>
        <v>333.19900000000001</v>
      </c>
      <c r="S777" s="194">
        <f ca="1">OFFSET('배치점수 계산기'!I$10,$D777,0)</f>
        <v>331.83600000000001</v>
      </c>
      <c r="T777" s="194">
        <f ca="1">OFFSET('배치점수 계산기'!J$10,$D777,0)</f>
        <v>329.52</v>
      </c>
      <c r="U777" s="194">
        <f ca="1">OFFSET('배치점수 계산기'!K$10,$D777,0)</f>
        <v>326</v>
      </c>
      <c r="V777" s="194">
        <f ca="1">OFFSET('배치점수 계산기'!L$10,$D777,0)</f>
        <v>321.65600000000001</v>
      </c>
      <c r="W777" s="186" t="str">
        <f ca="1">OFFSET('배치점수 계산기'!M$10,$D777,0)</f>
        <v>표점</v>
      </c>
      <c r="X777" s="184" t="str">
        <f ca="1">OFFSET('배치점수 계산기'!N$10,$D777,0)</f>
        <v>변표</v>
      </c>
      <c r="Y777" s="188">
        <f ca="1">OFFSET(환산공식!FW$15,$F777,0)</f>
        <v>0.3</v>
      </c>
      <c r="Z777" s="20">
        <f ca="1">OFFSET(환산공식!FX$15,$F777,0)</f>
        <v>0.5</v>
      </c>
      <c r="AA777" s="179">
        <f ca="1">OFFSET(환산공식!FY$15,$F777,0)</f>
        <v>0.2</v>
      </c>
      <c r="AB777" s="3"/>
      <c r="AD777">
        <f t="shared" ref="AD777:AD840" ca="1" si="26">IF(L777="X",6,IF(Q777&gt;R777,1,IF(Q777&gt;S777,2,IF(Q777&gt;T777,3,IF(Q777&gt;U777,4,IF(Q777&gt;=V777,5,IF(Q777&lt;V777,6,"")))))))</f>
        <v>6</v>
      </c>
      <c r="AF777" s="3"/>
      <c r="AG777" s="3"/>
      <c r="AH777" s="3"/>
    </row>
    <row r="778" spans="1:34">
      <c r="A778" s="198"/>
      <c r="B778" s="198"/>
      <c r="C778" s="198" t="s">
        <v>1339</v>
      </c>
      <c r="D778" s="195">
        <v>834</v>
      </c>
      <c r="E778" s="195">
        <v>208</v>
      </c>
      <c r="F778" s="195">
        <v>208</v>
      </c>
      <c r="G778" s="239">
        <v>771</v>
      </c>
      <c r="H778" s="197" t="s">
        <v>72</v>
      </c>
      <c r="I778" s="242" t="s">
        <v>211</v>
      </c>
      <c r="J778" s="242" t="s">
        <v>13389</v>
      </c>
      <c r="K778" s="195" t="s">
        <v>70</v>
      </c>
      <c r="L778" s="20" t="str">
        <f ca="1">IF(OFFSET(환산공식!$ED$15,$F778,0)=1,"O","X")</f>
        <v>X</v>
      </c>
      <c r="M778" s="188">
        <f ca="1">IFERROR(OFFSET(환산공식!DJ$15,$F778,0),"")</f>
        <v>30</v>
      </c>
      <c r="N778" s="20" t="str">
        <f ca="1">IFERROR(CONCATENATE(ROUND(OFFSET(환산공식!DK$15,$F778,0),1),"%"),"")</f>
        <v>100%</v>
      </c>
      <c r="O778" s="20">
        <f ca="1">IFERROR(OFFSET(환산공식!DL$15,$F778,0),"")</f>
        <v>5</v>
      </c>
      <c r="P778" s="188" t="str">
        <f t="shared" ca="1" si="25"/>
        <v>3% 이하</v>
      </c>
      <c r="Q778" s="194">
        <f ca="1">IFERROR(ROUND(OFFSET(환산공식!$FG$15,$F778,0),3),"")</f>
        <v>0</v>
      </c>
      <c r="R778" s="194">
        <f ca="1">OFFSET('배치점수 계산기'!H$10,$D778,0)</f>
        <v>315.52800000000002</v>
      </c>
      <c r="S778" s="194">
        <f ca="1">OFFSET('배치점수 계산기'!I$10,$D778,0)</f>
        <v>314.42599999999999</v>
      </c>
      <c r="T778" s="194">
        <f ca="1">OFFSET('배치점수 계산기'!J$10,$D778,0)</f>
        <v>312.37799999999999</v>
      </c>
      <c r="U778" s="194">
        <f ca="1">OFFSET('배치점수 계산기'!K$10,$D778,0)</f>
        <v>309.13499999999999</v>
      </c>
      <c r="V778" s="194">
        <f ca="1">OFFSET('배치점수 계산기'!L$10,$D778,0)</f>
        <v>305.38600000000002</v>
      </c>
      <c r="W778" s="186" t="str">
        <f ca="1">OFFSET('배치점수 계산기'!M$10,$D778,0)</f>
        <v>표점</v>
      </c>
      <c r="X778" s="184" t="str">
        <f ca="1">OFFSET('배치점수 계산기'!N$10,$D778,0)</f>
        <v>변표</v>
      </c>
      <c r="Y778" s="188">
        <f ca="1">OFFSET(환산공식!FW$15,$F778,0)</f>
        <v>0.3</v>
      </c>
      <c r="Z778" s="20">
        <f ca="1">OFFSET(환산공식!FX$15,$F778,0)</f>
        <v>0.4</v>
      </c>
      <c r="AA778" s="179">
        <f ca="1">OFFSET(환산공식!FY$15,$F778,0)</f>
        <v>0.3</v>
      </c>
      <c r="AB778" s="3"/>
      <c r="AD778">
        <f t="shared" ca="1" si="26"/>
        <v>6</v>
      </c>
      <c r="AF778" s="3"/>
      <c r="AG778" s="3"/>
      <c r="AH778" s="3"/>
    </row>
    <row r="779" spans="1:34">
      <c r="A779" s="198"/>
      <c r="B779" s="198"/>
      <c r="C779" s="198" t="s">
        <v>1340</v>
      </c>
      <c r="D779" s="195">
        <v>835</v>
      </c>
      <c r="E779" s="195">
        <v>209</v>
      </c>
      <c r="F779" s="195">
        <v>209</v>
      </c>
      <c r="G779" s="239">
        <v>772</v>
      </c>
      <c r="H779" s="197" t="s">
        <v>72</v>
      </c>
      <c r="I779" s="242" t="s">
        <v>211</v>
      </c>
      <c r="J779" s="242" t="s">
        <v>7359</v>
      </c>
      <c r="K779" s="195" t="s">
        <v>70</v>
      </c>
      <c r="L779" s="20" t="str">
        <f ca="1">IF(OFFSET(환산공식!$ED$15,$F779,0)=1,"O","X")</f>
        <v>X</v>
      </c>
      <c r="M779" s="188">
        <f ca="1">IFERROR(OFFSET(환산공식!DJ$15,$F779,0),"")</f>
        <v>30</v>
      </c>
      <c r="N779" s="20" t="str">
        <f ca="1">IFERROR(CONCATENATE(ROUND(OFFSET(환산공식!DK$15,$F779,0),1),"%"),"")</f>
        <v>100%</v>
      </c>
      <c r="O779" s="20">
        <f ca="1">IFERROR(OFFSET(환산공식!DL$15,$F779,0),"")</f>
        <v>5</v>
      </c>
      <c r="P779" s="188" t="str">
        <f t="shared" ca="1" si="25"/>
        <v>3% 이하</v>
      </c>
      <c r="Q779" s="194">
        <f ca="1">IFERROR(ROUND(OFFSET(환산공식!$FG$15,$F779,0),3),"")</f>
        <v>0</v>
      </c>
      <c r="R779" s="194">
        <f ca="1">OFFSET('배치점수 계산기'!H$10,$D779,0)</f>
        <v>305.416</v>
      </c>
      <c r="S779" s="194">
        <f ca="1">OFFSET('배치점수 계산기'!I$10,$D779,0)</f>
        <v>304.26600000000002</v>
      </c>
      <c r="T779" s="194">
        <f ca="1">OFFSET('배치점수 계산기'!J$10,$D779,0)</f>
        <v>302.38</v>
      </c>
      <c r="U779" s="194">
        <f ca="1">OFFSET('배치점수 계산기'!K$10,$D779,0)</f>
        <v>299.00799999999998</v>
      </c>
      <c r="V779" s="194">
        <f ca="1">OFFSET('배치점수 계산기'!L$10,$D779,0)</f>
        <v>295.87200000000001</v>
      </c>
      <c r="W779" s="186" t="str">
        <f ca="1">OFFSET('배치점수 계산기'!M$10,$D779,0)</f>
        <v>표점</v>
      </c>
      <c r="X779" s="184" t="str">
        <f ca="1">OFFSET('배치점수 계산기'!N$10,$D779,0)</f>
        <v>변표</v>
      </c>
      <c r="Y779" s="188">
        <f ca="1">OFFSET(환산공식!FW$15,$F779,0)</f>
        <v>0.2</v>
      </c>
      <c r="Z779" s="20">
        <f ca="1">OFFSET(환산공식!FX$15,$F779,0)</f>
        <v>0.4</v>
      </c>
      <c r="AA779" s="179">
        <f ca="1">OFFSET(환산공식!FY$15,$F779,0)</f>
        <v>0.4</v>
      </c>
      <c r="AB779" s="3"/>
      <c r="AD779">
        <f t="shared" ca="1" si="26"/>
        <v>6</v>
      </c>
      <c r="AF779" s="3"/>
      <c r="AG779" s="3"/>
      <c r="AH779" s="3"/>
    </row>
    <row r="780" spans="1:34">
      <c r="A780" s="198"/>
      <c r="B780" s="198"/>
      <c r="C780" s="198" t="s">
        <v>1341</v>
      </c>
      <c r="D780" s="195">
        <v>836</v>
      </c>
      <c r="E780" s="195">
        <v>208</v>
      </c>
      <c r="F780" s="195">
        <v>208</v>
      </c>
      <c r="G780" s="239">
        <v>773</v>
      </c>
      <c r="H780" s="197" t="s">
        <v>72</v>
      </c>
      <c r="I780" s="242" t="s">
        <v>211</v>
      </c>
      <c r="J780" s="242" t="s">
        <v>7361</v>
      </c>
      <c r="K780" s="195" t="s">
        <v>70</v>
      </c>
      <c r="L780" s="20" t="str">
        <f ca="1">IF(OFFSET(환산공식!$ED$15,$F780,0)=1,"O","X")</f>
        <v>X</v>
      </c>
      <c r="M780" s="188">
        <f ca="1">IFERROR(OFFSET(환산공식!DJ$15,$F780,0),"")</f>
        <v>30</v>
      </c>
      <c r="N780" s="20" t="str">
        <f ca="1">IFERROR(CONCATENATE(ROUND(OFFSET(환산공식!DK$15,$F780,0),1),"%"),"")</f>
        <v>100%</v>
      </c>
      <c r="O780" s="20">
        <f ca="1">IFERROR(OFFSET(환산공식!DL$15,$F780,0),"")</f>
        <v>5</v>
      </c>
      <c r="P780" s="188" t="str">
        <f t="shared" ca="1" si="25"/>
        <v>3% 이하</v>
      </c>
      <c r="Q780" s="194">
        <f ca="1">IFERROR(ROUND(OFFSET(환산공식!$FG$15,$F780,0),3),"")</f>
        <v>0</v>
      </c>
      <c r="R780" s="194">
        <f ca="1">OFFSET('배치점수 계산기'!H$10,$D780,0)</f>
        <v>313.51799999999997</v>
      </c>
      <c r="S780" s="194">
        <f ca="1">OFFSET('배치점수 계산기'!I$10,$D780,0)</f>
        <v>312.52800000000002</v>
      </c>
      <c r="T780" s="194">
        <f ca="1">OFFSET('배치점수 계산기'!J$10,$D780,0)</f>
        <v>311.08600000000001</v>
      </c>
      <c r="U780" s="194">
        <f ca="1">OFFSET('배치점수 계산기'!K$10,$D780,0)</f>
        <v>307.89699999999999</v>
      </c>
      <c r="V780" s="194">
        <f ca="1">OFFSET('배치점수 계산기'!L$10,$D780,0)</f>
        <v>304.23599999999999</v>
      </c>
      <c r="W780" s="186" t="str">
        <f ca="1">OFFSET('배치점수 계산기'!M$10,$D780,0)</f>
        <v>표점</v>
      </c>
      <c r="X780" s="184" t="str">
        <f ca="1">OFFSET('배치점수 계산기'!N$10,$D780,0)</f>
        <v>변표</v>
      </c>
      <c r="Y780" s="188">
        <f ca="1">OFFSET(환산공식!FW$15,$F780,0)</f>
        <v>0.3</v>
      </c>
      <c r="Z780" s="20">
        <f ca="1">OFFSET(환산공식!FX$15,$F780,0)</f>
        <v>0.4</v>
      </c>
      <c r="AA780" s="179">
        <f ca="1">OFFSET(환산공식!FY$15,$F780,0)</f>
        <v>0.3</v>
      </c>
      <c r="AB780" s="3"/>
      <c r="AD780">
        <f t="shared" ca="1" si="26"/>
        <v>6</v>
      </c>
      <c r="AF780" s="3"/>
      <c r="AG780" s="3"/>
      <c r="AH780" s="3"/>
    </row>
    <row r="781" spans="1:34">
      <c r="A781" s="198"/>
      <c r="B781" s="198"/>
      <c r="C781" s="198" t="s">
        <v>1342</v>
      </c>
      <c r="D781" s="195">
        <v>837</v>
      </c>
      <c r="E781" s="195">
        <v>208</v>
      </c>
      <c r="F781" s="195">
        <v>208</v>
      </c>
      <c r="G781" s="239">
        <v>774</v>
      </c>
      <c r="H781" s="197" t="s">
        <v>72</v>
      </c>
      <c r="I781" s="242" t="s">
        <v>211</v>
      </c>
      <c r="J781" s="242" t="s">
        <v>7362</v>
      </c>
      <c r="K781" s="195" t="s">
        <v>70</v>
      </c>
      <c r="L781" s="20" t="str">
        <f ca="1">IF(OFFSET(환산공식!$ED$15,$F781,0)=1,"O","X")</f>
        <v>X</v>
      </c>
      <c r="M781" s="188">
        <f ca="1">IFERROR(OFFSET(환산공식!DJ$15,$F781,0),"")</f>
        <v>30</v>
      </c>
      <c r="N781" s="20" t="str">
        <f ca="1">IFERROR(CONCATENATE(ROUND(OFFSET(환산공식!DK$15,$F781,0),1),"%"),"")</f>
        <v>100%</v>
      </c>
      <c r="O781" s="20">
        <f ca="1">IFERROR(OFFSET(환산공식!DL$15,$F781,0),"")</f>
        <v>5</v>
      </c>
      <c r="P781" s="188" t="str">
        <f t="shared" ca="1" si="25"/>
        <v>3% 이하</v>
      </c>
      <c r="Q781" s="194">
        <f ca="1">IFERROR(ROUND(OFFSET(환산공식!$FG$15,$F781,0),3),"")</f>
        <v>0</v>
      </c>
      <c r="R781" s="194">
        <f ca="1">OFFSET('배치점수 계산기'!H$10,$D781,0)</f>
        <v>311.81099999999998</v>
      </c>
      <c r="S781" s="194">
        <f ca="1">OFFSET('배치점수 계산기'!I$10,$D781,0)</f>
        <v>310.71100000000001</v>
      </c>
      <c r="T781" s="194">
        <f ca="1">OFFSET('배치점수 계산기'!J$10,$D781,0)</f>
        <v>308.79199999999997</v>
      </c>
      <c r="U781" s="194">
        <f ca="1">OFFSET('배치점수 계산기'!K$10,$D781,0)</f>
        <v>305.46100000000001</v>
      </c>
      <c r="V781" s="194">
        <f ca="1">OFFSET('배치점수 계산기'!L$10,$D781,0)</f>
        <v>302.70600000000002</v>
      </c>
      <c r="W781" s="186" t="str">
        <f ca="1">OFFSET('배치점수 계산기'!M$10,$D781,0)</f>
        <v>표점</v>
      </c>
      <c r="X781" s="184" t="str">
        <f ca="1">OFFSET('배치점수 계산기'!N$10,$D781,0)</f>
        <v>변표</v>
      </c>
      <c r="Y781" s="188">
        <f ca="1">OFFSET(환산공식!FW$15,$F781,0)</f>
        <v>0.3</v>
      </c>
      <c r="Z781" s="20">
        <f ca="1">OFFSET(환산공식!FX$15,$F781,0)</f>
        <v>0.4</v>
      </c>
      <c r="AA781" s="179">
        <f ca="1">OFFSET(환산공식!FY$15,$F781,0)</f>
        <v>0.3</v>
      </c>
      <c r="AB781" s="3"/>
      <c r="AD781">
        <f t="shared" ca="1" si="26"/>
        <v>6</v>
      </c>
      <c r="AF781" s="3"/>
      <c r="AG781" s="3"/>
      <c r="AH781" s="3"/>
    </row>
    <row r="782" spans="1:34">
      <c r="A782" s="198"/>
      <c r="B782" s="198"/>
      <c r="C782" s="198" t="s">
        <v>1343</v>
      </c>
      <c r="D782" s="195">
        <v>838</v>
      </c>
      <c r="E782" s="195">
        <v>208</v>
      </c>
      <c r="F782" s="195">
        <v>208</v>
      </c>
      <c r="G782" s="239">
        <v>775</v>
      </c>
      <c r="H782" s="197" t="s">
        <v>72</v>
      </c>
      <c r="I782" s="242" t="s">
        <v>211</v>
      </c>
      <c r="J782" s="242" t="s">
        <v>7360</v>
      </c>
      <c r="K782" s="195" t="s">
        <v>70</v>
      </c>
      <c r="L782" s="20" t="str">
        <f ca="1">IF(OFFSET(환산공식!$ED$15,$F782,0)=1,"O","X")</f>
        <v>X</v>
      </c>
      <c r="M782" s="188">
        <f ca="1">IFERROR(OFFSET(환산공식!DJ$15,$F782,0),"")</f>
        <v>30</v>
      </c>
      <c r="N782" s="20" t="str">
        <f ca="1">IFERROR(CONCATENATE(ROUND(OFFSET(환산공식!DK$15,$F782,0),1),"%"),"")</f>
        <v>100%</v>
      </c>
      <c r="O782" s="20">
        <f ca="1">IFERROR(OFFSET(환산공식!DL$15,$F782,0),"")</f>
        <v>5</v>
      </c>
      <c r="P782" s="188" t="str">
        <f t="shared" ca="1" si="25"/>
        <v>3% 이하</v>
      </c>
      <c r="Q782" s="194">
        <f ca="1">IFERROR(ROUND(OFFSET(환산공식!$FG$15,$F782,0),3),"")</f>
        <v>0</v>
      </c>
      <c r="R782" s="194">
        <f ca="1">OFFSET('배치점수 계산기'!H$10,$D782,0)</f>
        <v>311.56700000000001</v>
      </c>
      <c r="S782" s="194">
        <f ca="1">OFFSET('배치점수 계산기'!I$10,$D782,0)</f>
        <v>310.49299999999999</v>
      </c>
      <c r="T782" s="194">
        <f ca="1">OFFSET('배치점수 계산기'!J$10,$D782,0)</f>
        <v>308.71699999999998</v>
      </c>
      <c r="U782" s="194">
        <f ca="1">OFFSET('배치점수 계산기'!K$10,$D782,0)</f>
        <v>305.94600000000003</v>
      </c>
      <c r="V782" s="194">
        <f ca="1">OFFSET('배치점수 계산기'!L$10,$D782,0)</f>
        <v>302.858</v>
      </c>
      <c r="W782" s="186" t="str">
        <f ca="1">OFFSET('배치점수 계산기'!M$10,$D782,0)</f>
        <v>표점</v>
      </c>
      <c r="X782" s="184" t="str">
        <f ca="1">OFFSET('배치점수 계산기'!N$10,$D782,0)</f>
        <v>변표</v>
      </c>
      <c r="Y782" s="188">
        <f ca="1">OFFSET(환산공식!FW$15,$F782,0)</f>
        <v>0.3</v>
      </c>
      <c r="Z782" s="20">
        <f ca="1">OFFSET(환산공식!FX$15,$F782,0)</f>
        <v>0.4</v>
      </c>
      <c r="AA782" s="179">
        <f ca="1">OFFSET(환산공식!FY$15,$F782,0)</f>
        <v>0.3</v>
      </c>
      <c r="AB782" s="3"/>
      <c r="AD782">
        <f t="shared" ca="1" si="26"/>
        <v>6</v>
      </c>
      <c r="AF782" s="3"/>
      <c r="AG782" s="3"/>
      <c r="AH782" s="3"/>
    </row>
    <row r="783" spans="1:34">
      <c r="A783" s="198"/>
      <c r="B783" s="198"/>
      <c r="C783" s="198" t="s">
        <v>1344</v>
      </c>
      <c r="D783" s="195">
        <v>839</v>
      </c>
      <c r="E783" s="195">
        <v>207</v>
      </c>
      <c r="F783" s="195">
        <v>207</v>
      </c>
      <c r="G783" s="239">
        <v>776</v>
      </c>
      <c r="H783" s="197" t="s">
        <v>72</v>
      </c>
      <c r="I783" s="242" t="s">
        <v>211</v>
      </c>
      <c r="J783" s="242" t="s">
        <v>8190</v>
      </c>
      <c r="K783" s="195" t="s">
        <v>71</v>
      </c>
      <c r="L783" s="20" t="str">
        <f ca="1">IF(OFFSET(환산공식!$ED$15,$F783,0)=1,"O","X")</f>
        <v>X</v>
      </c>
      <c r="M783" s="188">
        <f ca="1">IFERROR(OFFSET(환산공식!DJ$15,$F783,0),"")</f>
        <v>30</v>
      </c>
      <c r="N783" s="20" t="str">
        <f ca="1">IFERROR(CONCATENATE(ROUND(OFFSET(환산공식!DK$15,$F783,0),1),"%"),"")</f>
        <v>100%</v>
      </c>
      <c r="O783" s="20">
        <f ca="1">IFERROR(OFFSET(환산공식!DL$15,$F783,0),"")</f>
        <v>5</v>
      </c>
      <c r="P783" s="188" t="str">
        <f t="shared" ca="1" si="25"/>
        <v>3% 이하</v>
      </c>
      <c r="Q783" s="194">
        <f ca="1">IFERROR(ROUND(OFFSET(환산공식!$FG$15,$F783,0),3),"")</f>
        <v>0</v>
      </c>
      <c r="R783" s="194">
        <f ca="1">OFFSET('배치점수 계산기'!H$10,$D783,0)</f>
        <v>326.49900000000002</v>
      </c>
      <c r="S783" s="194">
        <f ca="1">OFFSET('배치점수 계산기'!I$10,$D783,0)</f>
        <v>325.23700000000002</v>
      </c>
      <c r="T783" s="194">
        <f ca="1">OFFSET('배치점수 계산기'!J$10,$D783,0)</f>
        <v>322.93700000000001</v>
      </c>
      <c r="U783" s="194">
        <f ca="1">OFFSET('배치점수 계산기'!K$10,$D783,0)</f>
        <v>319.53399999999999</v>
      </c>
      <c r="V783" s="194">
        <f ca="1">OFFSET('배치점수 계산기'!L$10,$D783,0)</f>
        <v>315.24599999999998</v>
      </c>
      <c r="W783" s="186" t="str">
        <f ca="1">OFFSET('배치점수 계산기'!M$10,$D783,0)</f>
        <v>표점</v>
      </c>
      <c r="X783" s="184" t="str">
        <f ca="1">OFFSET('배치점수 계산기'!N$10,$D783,0)</f>
        <v>변표</v>
      </c>
      <c r="Y783" s="188">
        <f ca="1">OFFSET(환산공식!FW$15,$F783,0)</f>
        <v>0.4</v>
      </c>
      <c r="Z783" s="20">
        <f ca="1">OFFSET(환산공식!FX$15,$F783,0)</f>
        <v>0.3</v>
      </c>
      <c r="AA783" s="179">
        <f ca="1">OFFSET(환산공식!FY$15,$F783,0)</f>
        <v>0.3</v>
      </c>
      <c r="AB783" s="3"/>
      <c r="AD783">
        <f t="shared" ca="1" si="26"/>
        <v>6</v>
      </c>
      <c r="AF783" s="3"/>
      <c r="AG783" s="3"/>
      <c r="AH783" s="3"/>
    </row>
    <row r="784" spans="1:34">
      <c r="A784" s="198"/>
      <c r="B784" s="198"/>
      <c r="C784" s="198" t="s">
        <v>1345</v>
      </c>
      <c r="D784" s="195">
        <v>840</v>
      </c>
      <c r="E784" s="195">
        <v>207</v>
      </c>
      <c r="F784" s="195">
        <v>207</v>
      </c>
      <c r="G784" s="239">
        <v>777</v>
      </c>
      <c r="H784" s="197" t="s">
        <v>72</v>
      </c>
      <c r="I784" s="242" t="s">
        <v>211</v>
      </c>
      <c r="J784" s="242" t="s">
        <v>7364</v>
      </c>
      <c r="K784" s="195" t="s">
        <v>71</v>
      </c>
      <c r="L784" s="20" t="str">
        <f ca="1">IF(OFFSET(환산공식!$ED$15,$F784,0)=1,"O","X")</f>
        <v>X</v>
      </c>
      <c r="M784" s="188">
        <f ca="1">IFERROR(OFFSET(환산공식!DJ$15,$F784,0),"")</f>
        <v>30</v>
      </c>
      <c r="N784" s="20" t="str">
        <f ca="1">IFERROR(CONCATENATE(ROUND(OFFSET(환산공식!DK$15,$F784,0),1),"%"),"")</f>
        <v>100%</v>
      </c>
      <c r="O784" s="20">
        <f ca="1">IFERROR(OFFSET(환산공식!DL$15,$F784,0),"")</f>
        <v>5</v>
      </c>
      <c r="P784" s="188" t="str">
        <f t="shared" ca="1" si="25"/>
        <v>3% 이하</v>
      </c>
      <c r="Q784" s="194">
        <f ca="1">IFERROR(ROUND(OFFSET(환산공식!$FG$15,$F784,0),3),"")</f>
        <v>0</v>
      </c>
      <c r="R784" s="194">
        <f ca="1">OFFSET('배치점수 계산기'!H$10,$D784,0)</f>
        <v>323.80200000000002</v>
      </c>
      <c r="S784" s="194">
        <f ca="1">OFFSET('배치점수 계산기'!I$10,$D784,0)</f>
        <v>322.93700000000001</v>
      </c>
      <c r="T784" s="194">
        <f ca="1">OFFSET('배치점수 계산기'!J$10,$D784,0)</f>
        <v>321.34399999999999</v>
      </c>
      <c r="U784" s="194">
        <f ca="1">OFFSET('배치점수 계산기'!K$10,$D784,0)</f>
        <v>318.90800000000002</v>
      </c>
      <c r="V784" s="194">
        <f ca="1">OFFSET('배치점수 계산기'!L$10,$D784,0)</f>
        <v>315.24599999999998</v>
      </c>
      <c r="W784" s="186" t="str">
        <f ca="1">OFFSET('배치점수 계산기'!M$10,$D784,0)</f>
        <v>표점</v>
      </c>
      <c r="X784" s="184" t="str">
        <f ca="1">OFFSET('배치점수 계산기'!N$10,$D784,0)</f>
        <v>변표</v>
      </c>
      <c r="Y784" s="188">
        <f ca="1">OFFSET(환산공식!FW$15,$F784,0)</f>
        <v>0.4</v>
      </c>
      <c r="Z784" s="20">
        <f ca="1">OFFSET(환산공식!FX$15,$F784,0)</f>
        <v>0.3</v>
      </c>
      <c r="AA784" s="179">
        <f ca="1">OFFSET(환산공식!FY$15,$F784,0)</f>
        <v>0.3</v>
      </c>
      <c r="AB784" s="3"/>
      <c r="AD784">
        <f t="shared" ca="1" si="26"/>
        <v>6</v>
      </c>
      <c r="AF784" s="3"/>
      <c r="AG784" s="3"/>
      <c r="AH784" s="3"/>
    </row>
    <row r="785" spans="1:34">
      <c r="A785" s="198"/>
      <c r="B785" s="198"/>
      <c r="C785" s="198" t="s">
        <v>1346</v>
      </c>
      <c r="D785" s="195">
        <v>841</v>
      </c>
      <c r="E785" s="195">
        <v>207</v>
      </c>
      <c r="F785" s="195">
        <v>207</v>
      </c>
      <c r="G785" s="239">
        <v>778</v>
      </c>
      <c r="H785" s="197" t="s">
        <v>72</v>
      </c>
      <c r="I785" s="242" t="s">
        <v>211</v>
      </c>
      <c r="J785" s="242" t="s">
        <v>8772</v>
      </c>
      <c r="K785" s="195" t="s">
        <v>71</v>
      </c>
      <c r="L785" s="20" t="str">
        <f ca="1">IF(OFFSET(환산공식!$ED$15,$F785,0)=1,"O","X")</f>
        <v>X</v>
      </c>
      <c r="M785" s="188">
        <f ca="1">IFERROR(OFFSET(환산공식!DJ$15,$F785,0),"")</f>
        <v>30</v>
      </c>
      <c r="N785" s="20" t="str">
        <f ca="1">IFERROR(CONCATENATE(ROUND(OFFSET(환산공식!DK$15,$F785,0),1),"%"),"")</f>
        <v>100%</v>
      </c>
      <c r="O785" s="20">
        <f ca="1">IFERROR(OFFSET(환산공식!DL$15,$F785,0),"")</f>
        <v>5</v>
      </c>
      <c r="P785" s="188" t="str">
        <f t="shared" ca="1" si="25"/>
        <v>3% 이하</v>
      </c>
      <c r="Q785" s="194">
        <f ca="1">IFERROR(ROUND(OFFSET(환산공식!$FG$15,$F785,0),3),"")</f>
        <v>0</v>
      </c>
      <c r="R785" s="194">
        <f ca="1">OFFSET('배치점수 계산기'!H$10,$D785,0)</f>
        <v>320.35599999999999</v>
      </c>
      <c r="S785" s="194">
        <f ca="1">OFFSET('배치점수 계산기'!I$10,$D785,0)</f>
        <v>319.10899999999998</v>
      </c>
      <c r="T785" s="194">
        <f ca="1">OFFSET('배치점수 계산기'!J$10,$D785,0)</f>
        <v>316.85899999999998</v>
      </c>
      <c r="U785" s="194">
        <f ca="1">OFFSET('배치점수 계산기'!K$10,$D785,0)</f>
        <v>313.09399999999999</v>
      </c>
      <c r="V785" s="194">
        <f ca="1">OFFSET('배치점수 계산기'!L$10,$D785,0)</f>
        <v>309.12900000000002</v>
      </c>
      <c r="W785" s="186" t="str">
        <f ca="1">OFFSET('배치점수 계산기'!M$10,$D785,0)</f>
        <v>표점</v>
      </c>
      <c r="X785" s="184" t="str">
        <f ca="1">OFFSET('배치점수 계산기'!N$10,$D785,0)</f>
        <v>변표</v>
      </c>
      <c r="Y785" s="188">
        <f ca="1">OFFSET(환산공식!FW$15,$F785,0)</f>
        <v>0.4</v>
      </c>
      <c r="Z785" s="20">
        <f ca="1">OFFSET(환산공식!FX$15,$F785,0)</f>
        <v>0.3</v>
      </c>
      <c r="AA785" s="179">
        <f ca="1">OFFSET(환산공식!FY$15,$F785,0)</f>
        <v>0.3</v>
      </c>
      <c r="AB785" s="3"/>
      <c r="AD785">
        <f t="shared" ca="1" si="26"/>
        <v>6</v>
      </c>
      <c r="AF785" s="3"/>
      <c r="AG785" s="3"/>
      <c r="AH785" s="3"/>
    </row>
    <row r="786" spans="1:34">
      <c r="A786" s="198"/>
      <c r="B786" s="198"/>
      <c r="C786" s="198" t="s">
        <v>1347</v>
      </c>
      <c r="D786" s="195">
        <v>842</v>
      </c>
      <c r="E786" s="195">
        <v>207</v>
      </c>
      <c r="F786" s="195">
        <v>207</v>
      </c>
      <c r="G786" s="239">
        <v>779</v>
      </c>
      <c r="H786" s="197" t="s">
        <v>72</v>
      </c>
      <c r="I786" s="242" t="s">
        <v>211</v>
      </c>
      <c r="J786" s="242" t="s">
        <v>8216</v>
      </c>
      <c r="K786" s="195" t="s">
        <v>71</v>
      </c>
      <c r="L786" s="20" t="str">
        <f ca="1">IF(OFFSET(환산공식!$ED$15,$F786,0)=1,"O","X")</f>
        <v>X</v>
      </c>
      <c r="M786" s="188">
        <f ca="1">IFERROR(OFFSET(환산공식!DJ$15,$F786,0),"")</f>
        <v>30</v>
      </c>
      <c r="N786" s="20" t="str">
        <f ca="1">IFERROR(CONCATENATE(ROUND(OFFSET(환산공식!DK$15,$F786,0),1),"%"),"")</f>
        <v>100%</v>
      </c>
      <c r="O786" s="20">
        <f ca="1">IFERROR(OFFSET(환산공식!DL$15,$F786,0),"")</f>
        <v>5</v>
      </c>
      <c r="P786" s="188" t="str">
        <f t="shared" ca="1" si="25"/>
        <v>3% 이하</v>
      </c>
      <c r="Q786" s="194">
        <f ca="1">IFERROR(ROUND(OFFSET(환산공식!$FG$15,$F786,0),3),"")</f>
        <v>0</v>
      </c>
      <c r="R786" s="194">
        <f ca="1">OFFSET('배치점수 계산기'!H$10,$D786,0)</f>
        <v>320.16300000000001</v>
      </c>
      <c r="S786" s="194">
        <f ca="1">OFFSET('배치점수 계산기'!I$10,$D786,0)</f>
        <v>318.74799999999999</v>
      </c>
      <c r="T786" s="194">
        <f ca="1">OFFSET('배치점수 계산기'!J$10,$D786,0)</f>
        <v>316.64100000000002</v>
      </c>
      <c r="U786" s="194">
        <f ca="1">OFFSET('배치점수 계산기'!K$10,$D786,0)</f>
        <v>312.738</v>
      </c>
      <c r="V786" s="194">
        <f ca="1">OFFSET('배치점수 계산기'!L$10,$D786,0)</f>
        <v>308.75</v>
      </c>
      <c r="W786" s="186" t="str">
        <f ca="1">OFFSET('배치점수 계산기'!M$10,$D786,0)</f>
        <v>표점</v>
      </c>
      <c r="X786" s="184" t="str">
        <f ca="1">OFFSET('배치점수 계산기'!N$10,$D786,0)</f>
        <v>변표</v>
      </c>
      <c r="Y786" s="188">
        <f ca="1">OFFSET(환산공식!FW$15,$F786,0)</f>
        <v>0.4</v>
      </c>
      <c r="Z786" s="20">
        <f ca="1">OFFSET(환산공식!FX$15,$F786,0)</f>
        <v>0.3</v>
      </c>
      <c r="AA786" s="179">
        <f ca="1">OFFSET(환산공식!FY$15,$F786,0)</f>
        <v>0.3</v>
      </c>
      <c r="AB786" s="3"/>
      <c r="AD786">
        <f t="shared" ca="1" si="26"/>
        <v>6</v>
      </c>
      <c r="AF786" s="3"/>
      <c r="AG786" s="3"/>
      <c r="AH786" s="3"/>
    </row>
    <row r="787" spans="1:34">
      <c r="A787" s="198"/>
      <c r="B787" s="198"/>
      <c r="C787" s="198" t="s">
        <v>1348</v>
      </c>
      <c r="D787" s="195">
        <v>843</v>
      </c>
      <c r="E787" s="195">
        <v>207</v>
      </c>
      <c r="F787" s="195">
        <v>207</v>
      </c>
      <c r="G787" s="239">
        <v>780</v>
      </c>
      <c r="H787" s="197" t="s">
        <v>72</v>
      </c>
      <c r="I787" s="242" t="s">
        <v>211</v>
      </c>
      <c r="J787" s="242" t="s">
        <v>421</v>
      </c>
      <c r="K787" s="195" t="s">
        <v>71</v>
      </c>
      <c r="L787" s="20" t="str">
        <f ca="1">IF(OFFSET(환산공식!$ED$15,$F787,0)=1,"O","X")</f>
        <v>X</v>
      </c>
      <c r="M787" s="188">
        <f ca="1">IFERROR(OFFSET(환산공식!DJ$15,$F787,0),"")</f>
        <v>30</v>
      </c>
      <c r="N787" s="20" t="str">
        <f ca="1">IFERROR(CONCATENATE(ROUND(OFFSET(환산공식!DK$15,$F787,0),1),"%"),"")</f>
        <v>100%</v>
      </c>
      <c r="O787" s="20">
        <f ca="1">IFERROR(OFFSET(환산공식!DL$15,$F787,0),"")</f>
        <v>5</v>
      </c>
      <c r="P787" s="188" t="str">
        <f t="shared" ca="1" si="25"/>
        <v>3% 이하</v>
      </c>
      <c r="Q787" s="194">
        <f ca="1">IFERROR(ROUND(OFFSET(환산공식!$FG$15,$F787,0),3),"")</f>
        <v>0</v>
      </c>
      <c r="R787" s="194">
        <f ca="1">OFFSET('배치점수 계산기'!H$10,$D787,0)</f>
        <v>317.03399999999999</v>
      </c>
      <c r="S787" s="194">
        <f ca="1">OFFSET('배치점수 계산기'!I$10,$D787,0)</f>
        <v>316.01100000000002</v>
      </c>
      <c r="T787" s="194">
        <f ca="1">OFFSET('배치점수 계산기'!J$10,$D787,0)</f>
        <v>314.322</v>
      </c>
      <c r="U787" s="194">
        <f ca="1">OFFSET('배치점수 계산기'!K$10,$D787,0)</f>
        <v>311.29000000000002</v>
      </c>
      <c r="V787" s="194">
        <f ca="1">OFFSET('배치점수 계산기'!L$10,$D787,0)</f>
        <v>308.077</v>
      </c>
      <c r="W787" s="186" t="str">
        <f ca="1">OFFSET('배치점수 계산기'!M$10,$D787,0)</f>
        <v>표점</v>
      </c>
      <c r="X787" s="184" t="str">
        <f ca="1">OFFSET('배치점수 계산기'!N$10,$D787,0)</f>
        <v>변표</v>
      </c>
      <c r="Y787" s="188">
        <f ca="1">OFFSET(환산공식!FW$15,$F787,0)</f>
        <v>0.4</v>
      </c>
      <c r="Z787" s="20">
        <f ca="1">OFFSET(환산공식!FX$15,$F787,0)</f>
        <v>0.3</v>
      </c>
      <c r="AA787" s="179">
        <f ca="1">OFFSET(환산공식!FY$15,$F787,0)</f>
        <v>0.3</v>
      </c>
      <c r="AB787" s="3"/>
      <c r="AD787">
        <f t="shared" ca="1" si="26"/>
        <v>6</v>
      </c>
      <c r="AF787" s="3"/>
      <c r="AG787" s="3"/>
      <c r="AH787" s="3"/>
    </row>
    <row r="788" spans="1:34">
      <c r="A788" s="198"/>
      <c r="B788" s="198"/>
      <c r="C788" s="198" t="s">
        <v>1349</v>
      </c>
      <c r="D788" s="195">
        <v>844</v>
      </c>
      <c r="E788" s="195">
        <v>207</v>
      </c>
      <c r="F788" s="195">
        <v>207</v>
      </c>
      <c r="G788" s="239">
        <v>781</v>
      </c>
      <c r="H788" s="197" t="s">
        <v>72</v>
      </c>
      <c r="I788" s="242" t="s">
        <v>211</v>
      </c>
      <c r="J788" s="242" t="s">
        <v>229</v>
      </c>
      <c r="K788" s="195" t="s">
        <v>71</v>
      </c>
      <c r="L788" s="20" t="str">
        <f ca="1">IF(OFFSET(환산공식!$ED$15,$F788,0)=1,"O","X")</f>
        <v>X</v>
      </c>
      <c r="M788" s="188">
        <f ca="1">IFERROR(OFFSET(환산공식!DJ$15,$F788,0),"")</f>
        <v>30</v>
      </c>
      <c r="N788" s="20" t="str">
        <f ca="1">IFERROR(CONCATENATE(ROUND(OFFSET(환산공식!DK$15,$F788,0),1),"%"),"")</f>
        <v>100%</v>
      </c>
      <c r="O788" s="20">
        <f ca="1">IFERROR(OFFSET(환산공식!DL$15,$F788,0),"")</f>
        <v>5</v>
      </c>
      <c r="P788" s="188" t="str">
        <f t="shared" ca="1" si="25"/>
        <v>3% 이하</v>
      </c>
      <c r="Q788" s="194">
        <f ca="1">IFERROR(ROUND(OFFSET(환산공식!$FG$15,$F788,0),3),"")</f>
        <v>0</v>
      </c>
      <c r="R788" s="194">
        <f ca="1">OFFSET('배치점수 계산기'!H$10,$D788,0)</f>
        <v>314.851</v>
      </c>
      <c r="S788" s="194">
        <f ca="1">OFFSET('배치점수 계산기'!I$10,$D788,0)</f>
        <v>313.67099999999999</v>
      </c>
      <c r="T788" s="194">
        <f ca="1">OFFSET('배치점수 계산기'!J$10,$D788,0)</f>
        <v>311.74700000000001</v>
      </c>
      <c r="U788" s="194">
        <f ca="1">OFFSET('배치점수 계산기'!K$10,$D788,0)</f>
        <v>308.98899999999998</v>
      </c>
      <c r="V788" s="194">
        <f ca="1">OFFSET('배치점수 계산기'!L$10,$D788,0)</f>
        <v>305.20800000000003</v>
      </c>
      <c r="W788" s="186" t="str">
        <f ca="1">OFFSET('배치점수 계산기'!M$10,$D788,0)</f>
        <v>표점</v>
      </c>
      <c r="X788" s="184" t="str">
        <f ca="1">OFFSET('배치점수 계산기'!N$10,$D788,0)</f>
        <v>변표</v>
      </c>
      <c r="Y788" s="188">
        <f ca="1">OFFSET(환산공식!FW$15,$F788,0)</f>
        <v>0.4</v>
      </c>
      <c r="Z788" s="20">
        <f ca="1">OFFSET(환산공식!FX$15,$F788,0)</f>
        <v>0.3</v>
      </c>
      <c r="AA788" s="179">
        <f ca="1">OFFSET(환산공식!FY$15,$F788,0)</f>
        <v>0.3</v>
      </c>
      <c r="AB788" s="3"/>
      <c r="AD788">
        <f t="shared" ca="1" si="26"/>
        <v>6</v>
      </c>
      <c r="AF788" s="3"/>
      <c r="AG788" s="3"/>
      <c r="AH788" s="3"/>
    </row>
    <row r="789" spans="1:34">
      <c r="A789" s="198"/>
      <c r="B789" s="198"/>
      <c r="C789" s="198" t="s">
        <v>1350</v>
      </c>
      <c r="D789" s="195">
        <v>845</v>
      </c>
      <c r="E789" s="195">
        <v>207</v>
      </c>
      <c r="F789" s="195">
        <v>207</v>
      </c>
      <c r="G789" s="239">
        <v>782</v>
      </c>
      <c r="H789" s="197" t="s">
        <v>72</v>
      </c>
      <c r="I789" s="242" t="s">
        <v>211</v>
      </c>
      <c r="J789" s="242" t="s">
        <v>547</v>
      </c>
      <c r="K789" s="195" t="s">
        <v>71</v>
      </c>
      <c r="L789" s="20" t="str">
        <f ca="1">IF(OFFSET(환산공식!$ED$15,$F789,0)=1,"O","X")</f>
        <v>X</v>
      </c>
      <c r="M789" s="188">
        <f ca="1">IFERROR(OFFSET(환산공식!DJ$15,$F789,0),"")</f>
        <v>30</v>
      </c>
      <c r="N789" s="20" t="str">
        <f ca="1">IFERROR(CONCATENATE(ROUND(OFFSET(환산공식!DK$15,$F789,0),1),"%"),"")</f>
        <v>100%</v>
      </c>
      <c r="O789" s="20">
        <f ca="1">IFERROR(OFFSET(환산공식!DL$15,$F789,0),"")</f>
        <v>5</v>
      </c>
      <c r="P789" s="188" t="str">
        <f t="shared" ca="1" si="25"/>
        <v>3% 이하</v>
      </c>
      <c r="Q789" s="194">
        <f ca="1">IFERROR(ROUND(OFFSET(환산공식!$FG$15,$F789,0),3),"")</f>
        <v>0</v>
      </c>
      <c r="R789" s="194">
        <f ca="1">OFFSET('배치점수 계산기'!H$10,$D789,0)</f>
        <v>314.084</v>
      </c>
      <c r="S789" s="194">
        <f ca="1">OFFSET('배치점수 계산기'!I$10,$D789,0)</f>
        <v>313.09399999999999</v>
      </c>
      <c r="T789" s="194">
        <f ca="1">OFFSET('배치점수 계산기'!J$10,$D789,0)</f>
        <v>311.29000000000002</v>
      </c>
      <c r="U789" s="194">
        <f ca="1">OFFSET('배치점수 계산기'!K$10,$D789,0)</f>
        <v>308.53100000000001</v>
      </c>
      <c r="V789" s="194">
        <f ca="1">OFFSET('배치점수 계산기'!L$10,$D789,0)</f>
        <v>305.46199999999999</v>
      </c>
      <c r="W789" s="186" t="str">
        <f ca="1">OFFSET('배치점수 계산기'!M$10,$D789,0)</f>
        <v>표점</v>
      </c>
      <c r="X789" s="184" t="str">
        <f ca="1">OFFSET('배치점수 계산기'!N$10,$D789,0)</f>
        <v>변표</v>
      </c>
      <c r="Y789" s="188">
        <f ca="1">OFFSET(환산공식!FW$15,$F789,0)</f>
        <v>0.4</v>
      </c>
      <c r="Z789" s="20">
        <f ca="1">OFFSET(환산공식!FX$15,$F789,0)</f>
        <v>0.3</v>
      </c>
      <c r="AA789" s="179">
        <f ca="1">OFFSET(환산공식!FY$15,$F789,0)</f>
        <v>0.3</v>
      </c>
      <c r="AB789" s="3"/>
      <c r="AD789">
        <f t="shared" ca="1" si="26"/>
        <v>6</v>
      </c>
      <c r="AF789" s="3"/>
      <c r="AG789" s="3"/>
      <c r="AH789" s="3"/>
    </row>
    <row r="790" spans="1:34">
      <c r="A790" s="198"/>
      <c r="B790" s="198"/>
      <c r="C790" s="198" t="s">
        <v>1351</v>
      </c>
      <c r="D790" s="195">
        <v>847</v>
      </c>
      <c r="E790" s="195">
        <v>223</v>
      </c>
      <c r="F790" s="195">
        <v>223</v>
      </c>
      <c r="G790" s="239">
        <v>783</v>
      </c>
      <c r="H790" s="197" t="s">
        <v>72</v>
      </c>
      <c r="I790" s="242" t="s">
        <v>216</v>
      </c>
      <c r="J790" s="242" t="s">
        <v>8856</v>
      </c>
      <c r="K790" s="195" t="s">
        <v>70</v>
      </c>
      <c r="L790" s="20" t="str">
        <f ca="1">IF(OFFSET(환산공식!$ED$15,$F790,0)=1,"O","X")</f>
        <v>X</v>
      </c>
      <c r="M790" s="188">
        <f ca="1">IFERROR(OFFSET(환산공식!DJ$15,$F790,0),"")</f>
        <v>0</v>
      </c>
      <c r="N790" s="20" t="str">
        <f ca="1">IFERROR(CONCATENATE(ROUND(OFFSET(환산공식!DK$15,$F790,0),1),"%"),"")</f>
        <v/>
      </c>
      <c r="O790" s="20">
        <f ca="1">IFERROR(OFFSET(환산공식!DL$15,$F790,0),"")</f>
        <v>0</v>
      </c>
      <c r="P790" s="188" t="str">
        <f t="shared" ca="1" si="25"/>
        <v>3% 이하</v>
      </c>
      <c r="Q790" s="194">
        <f ca="1">IFERROR(ROUND(OFFSET(환산공식!$FG$15,$F790,0),3),"")</f>
        <v>0</v>
      </c>
      <c r="R790" s="194">
        <f ca="1">OFFSET('배치점수 계산기'!H$10,$D790,0)</f>
        <v>190.012</v>
      </c>
      <c r="S790" s="194">
        <f ca="1">OFFSET('배치점수 계산기'!I$10,$D790,0)</f>
        <v>188.928</v>
      </c>
      <c r="T790" s="194">
        <f ca="1">OFFSET('배치점수 계산기'!J$10,$D790,0)</f>
        <v>186.471</v>
      </c>
      <c r="U790" s="194">
        <f ca="1">OFFSET('배치점수 계산기'!K$10,$D790,0)</f>
        <v>183.86199999999999</v>
      </c>
      <c r="V790" s="194">
        <f ca="1">OFFSET('배치점수 계산기'!L$10,$D790,0)</f>
        <v>181.614</v>
      </c>
      <c r="W790" s="186" t="str">
        <f ca="1">OFFSET('배치점수 계산기'!M$10,$D790,0)</f>
        <v>표점</v>
      </c>
      <c r="X790" s="184" t="str">
        <f ca="1">OFFSET('배치점수 계산기'!N$10,$D790,0)</f>
        <v>표점</v>
      </c>
      <c r="Y790" s="188">
        <f ca="1">OFFSET(환산공식!FW$15,$F790,0)</f>
        <v>0.25</v>
      </c>
      <c r="Z790" s="20">
        <f ca="1">OFFSET(환산공식!FX$15,$F790,0)</f>
        <v>0.45</v>
      </c>
      <c r="AA790" s="179">
        <f ca="1">OFFSET(환산공식!FY$15,$F790,0)</f>
        <v>0.3</v>
      </c>
      <c r="AB790" s="3"/>
      <c r="AD790">
        <f t="shared" ca="1" si="26"/>
        <v>6</v>
      </c>
      <c r="AF790" s="3"/>
      <c r="AG790" s="3"/>
      <c r="AH790" s="3"/>
    </row>
    <row r="791" spans="1:34">
      <c r="A791" s="198"/>
      <c r="B791" s="198"/>
      <c r="C791" s="198" t="s">
        <v>1352</v>
      </c>
      <c r="D791" s="195">
        <v>848</v>
      </c>
      <c r="E791" s="195">
        <v>226</v>
      </c>
      <c r="F791" s="195">
        <v>226</v>
      </c>
      <c r="G791" s="239">
        <v>784</v>
      </c>
      <c r="H791" s="197" t="s">
        <v>72</v>
      </c>
      <c r="I791" s="242" t="s">
        <v>216</v>
      </c>
      <c r="J791" s="242" t="s">
        <v>10891</v>
      </c>
      <c r="K791" s="195" t="s">
        <v>70</v>
      </c>
      <c r="L791" s="20" t="str">
        <f ca="1">IF(OFFSET(환산공식!$ED$15,$F791,0)=1,"O","X")</f>
        <v>X</v>
      </c>
      <c r="M791" s="188">
        <f ca="1">IFERROR(OFFSET(환산공식!DJ$15,$F791,0),"")</f>
        <v>0</v>
      </c>
      <c r="N791" s="20" t="str">
        <f ca="1">IFERROR(CONCATENATE(ROUND(OFFSET(환산공식!DK$15,$F791,0),1),"%"),"")</f>
        <v/>
      </c>
      <c r="O791" s="20">
        <f ca="1">IFERROR(OFFSET(환산공식!DL$15,$F791,0),"")</f>
        <v>0</v>
      </c>
      <c r="P791" s="188" t="str">
        <f t="shared" ca="1" si="25"/>
        <v>3% 이하</v>
      </c>
      <c r="Q791" s="194">
        <f ca="1">IFERROR(ROUND(OFFSET(환산공식!$FG$15,$F791,0),3),"")</f>
        <v>0</v>
      </c>
      <c r="R791" s="194">
        <f ca="1">OFFSET('배치점수 계산기'!H$10,$D791,0)</f>
        <v>181.285</v>
      </c>
      <c r="S791" s="194">
        <f ca="1">OFFSET('배치점수 계산기'!I$10,$D791,0)</f>
        <v>180.62</v>
      </c>
      <c r="T791" s="194">
        <f ca="1">OFFSET('배치점수 계산기'!J$10,$D791,0)</f>
        <v>179.29</v>
      </c>
      <c r="U791" s="194">
        <f ca="1">OFFSET('배치점수 계산기'!K$10,$D791,0)</f>
        <v>177.54300000000001</v>
      </c>
      <c r="V791" s="194">
        <f ca="1">OFFSET('배치점수 계산기'!L$10,$D791,0)</f>
        <v>175.91499999999999</v>
      </c>
      <c r="W791" s="186" t="str">
        <f ca="1">OFFSET('배치점수 계산기'!M$10,$D791,0)</f>
        <v>표점</v>
      </c>
      <c r="X791" s="184" t="str">
        <f ca="1">OFFSET('배치점수 계산기'!N$10,$D791,0)</f>
        <v>표점</v>
      </c>
      <c r="Y791" s="188">
        <f ca="1">OFFSET(환산공식!FW$15,$F791,0)</f>
        <v>0.35</v>
      </c>
      <c r="Z791" s="20">
        <f ca="1">OFFSET(환산공식!FX$15,$F791,0)</f>
        <v>0.35</v>
      </c>
      <c r="AA791" s="179">
        <f ca="1">OFFSET(환산공식!FY$15,$F791,0)</f>
        <v>0.3</v>
      </c>
      <c r="AB791" s="3"/>
      <c r="AD791">
        <f t="shared" ca="1" si="26"/>
        <v>6</v>
      </c>
      <c r="AF791" s="3"/>
      <c r="AG791" s="3"/>
      <c r="AH791" s="3"/>
    </row>
    <row r="792" spans="1:34">
      <c r="A792" s="198"/>
      <c r="B792" s="198"/>
      <c r="C792" s="198" t="s">
        <v>1353</v>
      </c>
      <c r="D792" s="195">
        <v>849</v>
      </c>
      <c r="E792" s="195">
        <v>223</v>
      </c>
      <c r="F792" s="195">
        <v>223</v>
      </c>
      <c r="G792" s="239">
        <v>785</v>
      </c>
      <c r="H792" s="197" t="s">
        <v>72</v>
      </c>
      <c r="I792" s="242" t="s">
        <v>216</v>
      </c>
      <c r="J792" s="242" t="s">
        <v>9611</v>
      </c>
      <c r="K792" s="195" t="s">
        <v>70</v>
      </c>
      <c r="L792" s="20" t="str">
        <f ca="1">IF(OFFSET(환산공식!$ED$15,$F792,0)=1,"O","X")</f>
        <v>X</v>
      </c>
      <c r="M792" s="188">
        <f ca="1">IFERROR(OFFSET(환산공식!DJ$15,$F792,0),"")</f>
        <v>0</v>
      </c>
      <c r="N792" s="20" t="str">
        <f ca="1">IFERROR(CONCATENATE(ROUND(OFFSET(환산공식!DK$15,$F792,0),1),"%"),"")</f>
        <v/>
      </c>
      <c r="O792" s="20">
        <f ca="1">IFERROR(OFFSET(환산공식!DL$15,$F792,0),"")</f>
        <v>0</v>
      </c>
      <c r="P792" s="188" t="str">
        <f t="shared" ca="1" si="25"/>
        <v>3% 이하</v>
      </c>
      <c r="Q792" s="194">
        <f ca="1">IFERROR(ROUND(OFFSET(환산공식!$FG$15,$F792,0),3),"")</f>
        <v>0</v>
      </c>
      <c r="R792" s="194">
        <f ca="1">OFFSET('배치점수 계산기'!H$10,$D792,0)</f>
        <v>184.79499999999999</v>
      </c>
      <c r="S792" s="194">
        <f ca="1">OFFSET('배치점수 계산기'!I$10,$D792,0)</f>
        <v>183.70500000000001</v>
      </c>
      <c r="T792" s="194">
        <f ca="1">OFFSET('배치점수 계산기'!J$10,$D792,0)</f>
        <v>182.31800000000001</v>
      </c>
      <c r="U792" s="194">
        <f ca="1">OFFSET('배치점수 계산기'!K$10,$D792,0)</f>
        <v>180.58199999999999</v>
      </c>
      <c r="V792" s="194">
        <f ca="1">OFFSET('배치점수 계산기'!L$10,$D792,0)</f>
        <v>178.26599999999999</v>
      </c>
      <c r="W792" s="186" t="str">
        <f ca="1">OFFSET('배치점수 계산기'!M$10,$D792,0)</f>
        <v>표점</v>
      </c>
      <c r="X792" s="184" t="str">
        <f ca="1">OFFSET('배치점수 계산기'!N$10,$D792,0)</f>
        <v>표점</v>
      </c>
      <c r="Y792" s="188">
        <f ca="1">OFFSET(환산공식!FW$15,$F792,0)</f>
        <v>0.25</v>
      </c>
      <c r="Z792" s="20">
        <f ca="1">OFFSET(환산공식!FX$15,$F792,0)</f>
        <v>0.45</v>
      </c>
      <c r="AA792" s="179">
        <f ca="1">OFFSET(환산공식!FY$15,$F792,0)</f>
        <v>0.3</v>
      </c>
      <c r="AB792" s="3"/>
      <c r="AD792">
        <f t="shared" ca="1" si="26"/>
        <v>6</v>
      </c>
      <c r="AF792" s="3"/>
      <c r="AG792" s="3"/>
      <c r="AH792" s="3"/>
    </row>
    <row r="793" spans="1:34">
      <c r="A793" s="198"/>
      <c r="B793" s="198"/>
      <c r="C793" s="198" t="s">
        <v>1354</v>
      </c>
      <c r="D793" s="195">
        <v>850</v>
      </c>
      <c r="E793" s="195">
        <v>223</v>
      </c>
      <c r="F793" s="195">
        <v>223</v>
      </c>
      <c r="G793" s="239">
        <v>786</v>
      </c>
      <c r="H793" s="197" t="s">
        <v>72</v>
      </c>
      <c r="I793" s="242" t="s">
        <v>216</v>
      </c>
      <c r="J793" s="242" t="s">
        <v>8168</v>
      </c>
      <c r="K793" s="195" t="s">
        <v>70</v>
      </c>
      <c r="L793" s="20" t="str">
        <f ca="1">IF(OFFSET(환산공식!$ED$15,$F793,0)=1,"O","X")</f>
        <v>X</v>
      </c>
      <c r="M793" s="188">
        <f ca="1">IFERROR(OFFSET(환산공식!DJ$15,$F793,0),"")</f>
        <v>0</v>
      </c>
      <c r="N793" s="20" t="str">
        <f ca="1">IFERROR(CONCATENATE(ROUND(OFFSET(환산공식!DK$15,$F793,0),1),"%"),"")</f>
        <v/>
      </c>
      <c r="O793" s="20">
        <f ca="1">IFERROR(OFFSET(환산공식!DL$15,$F793,0),"")</f>
        <v>0</v>
      </c>
      <c r="P793" s="188" t="str">
        <f t="shared" ca="1" si="25"/>
        <v>3% 이하</v>
      </c>
      <c r="Q793" s="194">
        <f ca="1">IFERROR(ROUND(OFFSET(환산공식!$FG$15,$F793,0),3),"")</f>
        <v>0</v>
      </c>
      <c r="R793" s="194">
        <f ca="1">OFFSET('배치점수 계산기'!H$10,$D793,0)</f>
        <v>183.61</v>
      </c>
      <c r="S793" s="194">
        <f ca="1">OFFSET('배치점수 계산기'!I$10,$D793,0)</f>
        <v>182.98</v>
      </c>
      <c r="T793" s="194">
        <f ca="1">OFFSET('배치점수 계산기'!J$10,$D793,0)</f>
        <v>181.614</v>
      </c>
      <c r="U793" s="194">
        <f ca="1">OFFSET('배치점수 계산기'!K$10,$D793,0)</f>
        <v>179.82599999999999</v>
      </c>
      <c r="V793" s="194">
        <f ca="1">OFFSET('배치점수 계산기'!L$10,$D793,0)</f>
        <v>177.60300000000001</v>
      </c>
      <c r="W793" s="186" t="str">
        <f ca="1">OFFSET('배치점수 계산기'!M$10,$D793,0)</f>
        <v>표점</v>
      </c>
      <c r="X793" s="184" t="str">
        <f ca="1">OFFSET('배치점수 계산기'!N$10,$D793,0)</f>
        <v>표점</v>
      </c>
      <c r="Y793" s="188">
        <f ca="1">OFFSET(환산공식!FW$15,$F793,0)</f>
        <v>0.25</v>
      </c>
      <c r="Z793" s="20">
        <f ca="1">OFFSET(환산공식!FX$15,$F793,0)</f>
        <v>0.45</v>
      </c>
      <c r="AA793" s="179">
        <f ca="1">OFFSET(환산공식!FY$15,$F793,0)</f>
        <v>0.3</v>
      </c>
      <c r="AB793" s="3"/>
      <c r="AD793">
        <f t="shared" ca="1" si="26"/>
        <v>6</v>
      </c>
      <c r="AF793" s="3"/>
      <c r="AG793" s="3"/>
      <c r="AH793" s="3"/>
    </row>
    <row r="794" spans="1:34">
      <c r="A794" s="198"/>
      <c r="B794" s="198"/>
      <c r="C794" s="198" t="s">
        <v>1355</v>
      </c>
      <c r="D794" s="195">
        <v>851</v>
      </c>
      <c r="E794" s="195">
        <v>223</v>
      </c>
      <c r="F794" s="195">
        <v>223</v>
      </c>
      <c r="G794" s="239">
        <v>787</v>
      </c>
      <c r="H794" s="197" t="s">
        <v>72</v>
      </c>
      <c r="I794" s="242" t="s">
        <v>216</v>
      </c>
      <c r="J794" s="242" t="s">
        <v>11712</v>
      </c>
      <c r="K794" s="195" t="s">
        <v>70</v>
      </c>
      <c r="L794" s="20" t="str">
        <f ca="1">IF(OFFSET(환산공식!$ED$15,$F794,0)=1,"O","X")</f>
        <v>X</v>
      </c>
      <c r="M794" s="188">
        <f ca="1">IFERROR(OFFSET(환산공식!DJ$15,$F794,0),"")</f>
        <v>0</v>
      </c>
      <c r="N794" s="20" t="str">
        <f ca="1">IFERROR(CONCATENATE(ROUND(OFFSET(환산공식!DK$15,$F794,0),1),"%"),"")</f>
        <v/>
      </c>
      <c r="O794" s="20">
        <f ca="1">IFERROR(OFFSET(환산공식!DL$15,$F794,0),"")</f>
        <v>0</v>
      </c>
      <c r="P794" s="188" t="str">
        <f t="shared" ca="1" si="25"/>
        <v>3% 이하</v>
      </c>
      <c r="Q794" s="194">
        <f ca="1">IFERROR(ROUND(OFFSET(환산공식!$FG$15,$F794,0),3),"")</f>
        <v>0</v>
      </c>
      <c r="R794" s="194">
        <f ca="1">OFFSET('배치점수 계산기'!H$10,$D794,0)</f>
        <v>182.054</v>
      </c>
      <c r="S794" s="194">
        <f ca="1">OFFSET('배치점수 계산기'!I$10,$D794,0)</f>
        <v>181.42599999999999</v>
      </c>
      <c r="T794" s="194">
        <f ca="1">OFFSET('배치점수 계산기'!J$10,$D794,0)</f>
        <v>180.01599999999999</v>
      </c>
      <c r="U794" s="194">
        <f ca="1">OFFSET('배치점수 계산기'!K$10,$D794,0)</f>
        <v>178.26599999999999</v>
      </c>
      <c r="V794" s="194">
        <f ca="1">OFFSET('배치점수 계산기'!L$10,$D794,0)</f>
        <v>176.11</v>
      </c>
      <c r="W794" s="186" t="str">
        <f ca="1">OFFSET('배치점수 계산기'!M$10,$D794,0)</f>
        <v>표점</v>
      </c>
      <c r="X794" s="184" t="str">
        <f ca="1">OFFSET('배치점수 계산기'!N$10,$D794,0)</f>
        <v>표점</v>
      </c>
      <c r="Y794" s="188">
        <f ca="1">OFFSET(환산공식!FW$15,$F794,0)</f>
        <v>0.25</v>
      </c>
      <c r="Z794" s="20">
        <f ca="1">OFFSET(환산공식!FX$15,$F794,0)</f>
        <v>0.45</v>
      </c>
      <c r="AA794" s="179">
        <f ca="1">OFFSET(환산공식!FY$15,$F794,0)</f>
        <v>0.3</v>
      </c>
      <c r="AB794" s="3"/>
      <c r="AD794">
        <f t="shared" ca="1" si="26"/>
        <v>6</v>
      </c>
      <c r="AF794" s="3"/>
      <c r="AG794" s="3"/>
      <c r="AH794" s="3"/>
    </row>
    <row r="795" spans="1:34">
      <c r="A795" s="198"/>
      <c r="B795" s="198"/>
      <c r="C795" s="198" t="s">
        <v>1356</v>
      </c>
      <c r="D795" s="195">
        <v>852</v>
      </c>
      <c r="E795" s="195">
        <v>224</v>
      </c>
      <c r="F795" s="195">
        <v>224</v>
      </c>
      <c r="G795" s="239">
        <v>788</v>
      </c>
      <c r="H795" s="197" t="s">
        <v>72</v>
      </c>
      <c r="I795" s="242" t="s">
        <v>216</v>
      </c>
      <c r="J795" s="242" t="s">
        <v>10979</v>
      </c>
      <c r="K795" s="195" t="s">
        <v>70</v>
      </c>
      <c r="L795" s="20" t="str">
        <f ca="1">IF(OFFSET(환산공식!$ED$15,$F795,0)=1,"O","X")</f>
        <v>X</v>
      </c>
      <c r="M795" s="188">
        <f ca="1">IFERROR(OFFSET(환산공식!DJ$15,$F795,0),"")</f>
        <v>0</v>
      </c>
      <c r="N795" s="20" t="str">
        <f ca="1">IFERROR(CONCATENATE(ROUND(OFFSET(환산공식!DK$15,$F795,0),1),"%"),"")</f>
        <v/>
      </c>
      <c r="O795" s="20">
        <f ca="1">IFERROR(OFFSET(환산공식!DL$15,$F795,0),"")</f>
        <v>0</v>
      </c>
      <c r="P795" s="188" t="str">
        <f t="shared" ca="1" si="25"/>
        <v>3% 이하</v>
      </c>
      <c r="Q795" s="194">
        <f ca="1">IFERROR(ROUND(OFFSET(환산공식!$FG$15,$F795,0),3),"")</f>
        <v>0</v>
      </c>
      <c r="R795" s="194">
        <f ca="1">OFFSET('배치점수 계산기'!H$10,$D795,0)</f>
        <v>176.16499999999999</v>
      </c>
      <c r="S795" s="194">
        <f ca="1">OFFSET('배치점수 계산기'!I$10,$D795,0)</f>
        <v>175.548</v>
      </c>
      <c r="T795" s="194">
        <f ca="1">OFFSET('배치점수 계산기'!J$10,$D795,0)</f>
        <v>174.203</v>
      </c>
      <c r="U795" s="194">
        <f ca="1">OFFSET('배치점수 계산기'!K$10,$D795,0)</f>
        <v>172.52500000000001</v>
      </c>
      <c r="V795" s="194">
        <f ca="1">OFFSET('배치점수 계산기'!L$10,$D795,0)</f>
        <v>170.53800000000001</v>
      </c>
      <c r="W795" s="186" t="str">
        <f ca="1">OFFSET('배치점수 계산기'!M$10,$D795,0)</f>
        <v>표점</v>
      </c>
      <c r="X795" s="184" t="str">
        <f ca="1">OFFSET('배치점수 계산기'!N$10,$D795,0)</f>
        <v>표점</v>
      </c>
      <c r="Y795" s="188">
        <f ca="1">OFFSET(환산공식!FW$15,$F795,0)</f>
        <v>0.25</v>
      </c>
      <c r="Z795" s="20">
        <f ca="1">OFFSET(환산공식!FX$15,$F795,0)</f>
        <v>0.45</v>
      </c>
      <c r="AA795" s="179">
        <f ca="1">OFFSET(환산공식!FY$15,$F795,0)</f>
        <v>0.3</v>
      </c>
      <c r="AB795" s="3"/>
      <c r="AD795">
        <f t="shared" ca="1" si="26"/>
        <v>6</v>
      </c>
      <c r="AF795" s="3"/>
      <c r="AG795" s="3"/>
      <c r="AH795" s="3"/>
    </row>
    <row r="796" spans="1:34">
      <c r="A796" s="198"/>
      <c r="B796" s="198"/>
      <c r="C796" s="198" t="s">
        <v>1357</v>
      </c>
      <c r="D796" s="195">
        <v>853</v>
      </c>
      <c r="E796" s="195">
        <v>223</v>
      </c>
      <c r="F796" s="195">
        <v>223</v>
      </c>
      <c r="G796" s="239">
        <v>789</v>
      </c>
      <c r="H796" s="197" t="s">
        <v>72</v>
      </c>
      <c r="I796" s="242" t="s">
        <v>216</v>
      </c>
      <c r="J796" s="242" t="s">
        <v>11894</v>
      </c>
      <c r="K796" s="195" t="s">
        <v>70</v>
      </c>
      <c r="L796" s="20" t="str">
        <f ca="1">IF(OFFSET(환산공식!$ED$15,$F796,0)=1,"O","X")</f>
        <v>X</v>
      </c>
      <c r="M796" s="188">
        <f ca="1">IFERROR(OFFSET(환산공식!DJ$15,$F796,0),"")</f>
        <v>0</v>
      </c>
      <c r="N796" s="20" t="str">
        <f ca="1">IFERROR(CONCATENATE(ROUND(OFFSET(환산공식!DK$15,$F796,0),1),"%"),"")</f>
        <v/>
      </c>
      <c r="O796" s="20">
        <f ca="1">IFERROR(OFFSET(환산공식!DL$15,$F796,0),"")</f>
        <v>0</v>
      </c>
      <c r="P796" s="188" t="str">
        <f t="shared" ca="1" si="25"/>
        <v>3% 이하</v>
      </c>
      <c r="Q796" s="194">
        <f ca="1">IFERROR(ROUND(OFFSET(환산공식!$FG$15,$F796,0),3),"")</f>
        <v>0</v>
      </c>
      <c r="R796" s="194">
        <f ca="1">OFFSET('배치점수 계산기'!H$10,$D796,0)</f>
        <v>181.291</v>
      </c>
      <c r="S796" s="194">
        <f ca="1">OFFSET('배치점수 계산기'!I$10,$D796,0)</f>
        <v>180.70099999999999</v>
      </c>
      <c r="T796" s="194">
        <f ca="1">OFFSET('배치점수 계산기'!J$10,$D796,0)</f>
        <v>179.285</v>
      </c>
      <c r="U796" s="194">
        <f ca="1">OFFSET('배치점수 계산기'!K$10,$D796,0)</f>
        <v>177.429</v>
      </c>
      <c r="V796" s="194">
        <f ca="1">OFFSET('배치점수 계산기'!L$10,$D796,0)</f>
        <v>175.53700000000001</v>
      </c>
      <c r="W796" s="186" t="str">
        <f ca="1">OFFSET('배치점수 계산기'!M$10,$D796,0)</f>
        <v>표점</v>
      </c>
      <c r="X796" s="184" t="str">
        <f ca="1">OFFSET('배치점수 계산기'!N$10,$D796,0)</f>
        <v>표점</v>
      </c>
      <c r="Y796" s="188">
        <f ca="1">OFFSET(환산공식!FW$15,$F796,0)</f>
        <v>0.25</v>
      </c>
      <c r="Z796" s="20">
        <f ca="1">OFFSET(환산공식!FX$15,$F796,0)</f>
        <v>0.45</v>
      </c>
      <c r="AA796" s="179">
        <f ca="1">OFFSET(환산공식!FY$15,$F796,0)</f>
        <v>0.3</v>
      </c>
      <c r="AB796" s="3"/>
      <c r="AD796">
        <f t="shared" ca="1" si="26"/>
        <v>6</v>
      </c>
      <c r="AF796" s="3"/>
      <c r="AG796" s="3"/>
      <c r="AH796" s="3"/>
    </row>
    <row r="797" spans="1:34">
      <c r="A797" s="198"/>
      <c r="B797" s="198"/>
      <c r="C797" s="198" t="s">
        <v>1358</v>
      </c>
      <c r="D797" s="195">
        <v>854</v>
      </c>
      <c r="E797" s="195">
        <v>223</v>
      </c>
      <c r="F797" s="195">
        <v>223</v>
      </c>
      <c r="G797" s="239">
        <v>790</v>
      </c>
      <c r="H797" s="197" t="s">
        <v>72</v>
      </c>
      <c r="I797" s="242" t="s">
        <v>216</v>
      </c>
      <c r="J797" s="242" t="s">
        <v>8056</v>
      </c>
      <c r="K797" s="195" t="s">
        <v>70</v>
      </c>
      <c r="L797" s="20" t="str">
        <f ca="1">IF(OFFSET(환산공식!$ED$15,$F797,0)=1,"O","X")</f>
        <v>X</v>
      </c>
      <c r="M797" s="188">
        <f ca="1">IFERROR(OFFSET(환산공식!DJ$15,$F797,0),"")</f>
        <v>0</v>
      </c>
      <c r="N797" s="20" t="str">
        <f ca="1">IFERROR(CONCATENATE(ROUND(OFFSET(환산공식!DK$15,$F797,0),1),"%"),"")</f>
        <v/>
      </c>
      <c r="O797" s="20">
        <f ca="1">IFERROR(OFFSET(환산공식!DL$15,$F797,0),"")</f>
        <v>0</v>
      </c>
      <c r="P797" s="188" t="str">
        <f t="shared" ca="1" si="25"/>
        <v>3% 이하</v>
      </c>
      <c r="Q797" s="194">
        <f ca="1">IFERROR(ROUND(OFFSET(환산공식!$FG$15,$F797,0),3),"")</f>
        <v>0</v>
      </c>
      <c r="R797" s="194">
        <f ca="1">OFFSET('배치점수 계산기'!H$10,$D797,0)</f>
        <v>181.05</v>
      </c>
      <c r="S797" s="194">
        <f ca="1">OFFSET('배치점수 계산기'!I$10,$D797,0)</f>
        <v>180.34800000000001</v>
      </c>
      <c r="T797" s="194">
        <f ca="1">OFFSET('배치점수 계산기'!J$10,$D797,0)</f>
        <v>178.983</v>
      </c>
      <c r="U797" s="194">
        <f ca="1">OFFSET('배치점수 계산기'!K$10,$D797,0)</f>
        <v>177.23699999999999</v>
      </c>
      <c r="V797" s="194">
        <f ca="1">OFFSET('배치점수 계산기'!L$10,$D797,0)</f>
        <v>175.251</v>
      </c>
      <c r="W797" s="186" t="str">
        <f ca="1">OFFSET('배치점수 계산기'!M$10,$D797,0)</f>
        <v>표점</v>
      </c>
      <c r="X797" s="184" t="str">
        <f ca="1">OFFSET('배치점수 계산기'!N$10,$D797,0)</f>
        <v>표점</v>
      </c>
      <c r="Y797" s="188">
        <f ca="1">OFFSET(환산공식!FW$15,$F797,0)</f>
        <v>0.25</v>
      </c>
      <c r="Z797" s="20">
        <f ca="1">OFFSET(환산공식!FX$15,$F797,0)</f>
        <v>0.45</v>
      </c>
      <c r="AA797" s="179">
        <f ca="1">OFFSET(환산공식!FY$15,$F797,0)</f>
        <v>0.3</v>
      </c>
      <c r="AB797" s="3"/>
      <c r="AD797">
        <f t="shared" ca="1" si="26"/>
        <v>6</v>
      </c>
      <c r="AF797" s="3"/>
      <c r="AG797" s="3"/>
      <c r="AH797" s="3"/>
    </row>
    <row r="798" spans="1:34">
      <c r="A798" s="198"/>
      <c r="B798" s="198"/>
      <c r="C798" s="198" t="s">
        <v>1359</v>
      </c>
      <c r="D798" s="195">
        <v>855</v>
      </c>
      <c r="E798" s="195">
        <v>223</v>
      </c>
      <c r="F798" s="195">
        <v>223</v>
      </c>
      <c r="G798" s="239">
        <v>791</v>
      </c>
      <c r="H798" s="197" t="s">
        <v>72</v>
      </c>
      <c r="I798" s="242" t="s">
        <v>216</v>
      </c>
      <c r="J798" s="242" t="s">
        <v>12117</v>
      </c>
      <c r="K798" s="195" t="s">
        <v>70</v>
      </c>
      <c r="L798" s="20" t="str">
        <f ca="1">IF(OFFSET(환산공식!$ED$15,$F798,0)=1,"O","X")</f>
        <v>X</v>
      </c>
      <c r="M798" s="188">
        <f ca="1">IFERROR(OFFSET(환산공식!DJ$15,$F798,0),"")</f>
        <v>0</v>
      </c>
      <c r="N798" s="20" t="str">
        <f ca="1">IFERROR(CONCATENATE(ROUND(OFFSET(환산공식!DK$15,$F798,0),1),"%"),"")</f>
        <v/>
      </c>
      <c r="O798" s="20">
        <f ca="1">IFERROR(OFFSET(환산공식!DL$15,$F798,0),"")</f>
        <v>0</v>
      </c>
      <c r="P798" s="188" t="str">
        <f t="shared" ca="1" si="25"/>
        <v>3% 이하</v>
      </c>
      <c r="Q798" s="194">
        <f ca="1">IFERROR(ROUND(OFFSET(환산공식!$FG$15,$F798,0),3),"")</f>
        <v>0</v>
      </c>
      <c r="R798" s="194">
        <f ca="1">OFFSET('배치점수 계산기'!H$10,$D798,0)</f>
        <v>180.233</v>
      </c>
      <c r="S798" s="194">
        <f ca="1">OFFSET('배치점수 계산기'!I$10,$D798,0)</f>
        <v>179.541</v>
      </c>
      <c r="T798" s="194">
        <f ca="1">OFFSET('배치점수 계산기'!J$10,$D798,0)</f>
        <v>178.22800000000001</v>
      </c>
      <c r="U798" s="194">
        <f ca="1">OFFSET('배치점수 계산기'!K$10,$D798,0)</f>
        <v>176.47900000000001</v>
      </c>
      <c r="V798" s="194">
        <f ca="1">OFFSET('배치점수 계산기'!L$10,$D798,0)</f>
        <v>174.63300000000001</v>
      </c>
      <c r="W798" s="186" t="str">
        <f ca="1">OFFSET('배치점수 계산기'!M$10,$D798,0)</f>
        <v>표점</v>
      </c>
      <c r="X798" s="184" t="str">
        <f ca="1">OFFSET('배치점수 계산기'!N$10,$D798,0)</f>
        <v>표점</v>
      </c>
      <c r="Y798" s="188">
        <f ca="1">OFFSET(환산공식!FW$15,$F798,0)</f>
        <v>0.25</v>
      </c>
      <c r="Z798" s="20">
        <f ca="1">OFFSET(환산공식!FX$15,$F798,0)</f>
        <v>0.45</v>
      </c>
      <c r="AA798" s="179">
        <f ca="1">OFFSET(환산공식!FY$15,$F798,0)</f>
        <v>0.3</v>
      </c>
      <c r="AB798" s="3"/>
      <c r="AD798">
        <f t="shared" ca="1" si="26"/>
        <v>6</v>
      </c>
      <c r="AF798" s="3"/>
      <c r="AG798" s="3"/>
      <c r="AH798" s="3"/>
    </row>
    <row r="799" spans="1:34">
      <c r="A799" s="198"/>
      <c r="B799" s="198"/>
      <c r="C799" s="198" t="s">
        <v>1360</v>
      </c>
      <c r="D799" s="195">
        <v>856</v>
      </c>
      <c r="E799" s="195">
        <v>223</v>
      </c>
      <c r="F799" s="195">
        <v>223</v>
      </c>
      <c r="G799" s="239">
        <v>792</v>
      </c>
      <c r="H799" s="197" t="s">
        <v>72</v>
      </c>
      <c r="I799" s="242" t="s">
        <v>216</v>
      </c>
      <c r="J799" s="242" t="s">
        <v>12154</v>
      </c>
      <c r="K799" s="195" t="s">
        <v>70</v>
      </c>
      <c r="L799" s="20" t="str">
        <f ca="1">IF(OFFSET(환산공식!$ED$15,$F799,0)=1,"O","X")</f>
        <v>X</v>
      </c>
      <c r="M799" s="188">
        <f ca="1">IFERROR(OFFSET(환산공식!DJ$15,$F799,0),"")</f>
        <v>0</v>
      </c>
      <c r="N799" s="20" t="str">
        <f ca="1">IFERROR(CONCATENATE(ROUND(OFFSET(환산공식!DK$15,$F799,0),1),"%"),"")</f>
        <v/>
      </c>
      <c r="O799" s="20">
        <f ca="1">IFERROR(OFFSET(환산공식!DL$15,$F799,0),"")</f>
        <v>0</v>
      </c>
      <c r="P799" s="188" t="str">
        <f t="shared" ca="1" si="25"/>
        <v>3% 이하</v>
      </c>
      <c r="Q799" s="194">
        <f ca="1">IFERROR(ROUND(OFFSET(환산공식!$FG$15,$F799,0),3),"")</f>
        <v>0</v>
      </c>
      <c r="R799" s="194">
        <f ca="1">OFFSET('배치점수 계산기'!H$10,$D799,0)</f>
        <v>180.14400000000001</v>
      </c>
      <c r="S799" s="194">
        <f ca="1">OFFSET('배치점수 계산기'!I$10,$D799,0)</f>
        <v>179.42099999999999</v>
      </c>
      <c r="T799" s="194">
        <f ca="1">OFFSET('배치점수 계산기'!J$10,$D799,0)</f>
        <v>178.10900000000001</v>
      </c>
      <c r="U799" s="194">
        <f ca="1">OFFSET('배치점수 계산기'!K$10,$D799,0)</f>
        <v>176.36</v>
      </c>
      <c r="V799" s="194">
        <f ca="1">OFFSET('배치점수 계산기'!L$10,$D799,0)</f>
        <v>174.54599999999999</v>
      </c>
      <c r="W799" s="186" t="str">
        <f ca="1">OFFSET('배치점수 계산기'!M$10,$D799,0)</f>
        <v>표점</v>
      </c>
      <c r="X799" s="184" t="str">
        <f ca="1">OFFSET('배치점수 계산기'!N$10,$D799,0)</f>
        <v>표점</v>
      </c>
      <c r="Y799" s="188">
        <f ca="1">OFFSET(환산공식!FW$15,$F799,0)</f>
        <v>0.25</v>
      </c>
      <c r="Z799" s="20">
        <f ca="1">OFFSET(환산공식!FX$15,$F799,0)</f>
        <v>0.45</v>
      </c>
      <c r="AA799" s="179">
        <f ca="1">OFFSET(환산공식!FY$15,$F799,0)</f>
        <v>0.3</v>
      </c>
      <c r="AB799" s="3"/>
      <c r="AD799">
        <f t="shared" ca="1" si="26"/>
        <v>6</v>
      </c>
      <c r="AF799" s="3"/>
      <c r="AG799" s="3"/>
      <c r="AH799" s="3"/>
    </row>
    <row r="800" spans="1:34">
      <c r="A800" s="198"/>
      <c r="B800" s="198"/>
      <c r="C800" s="198" t="s">
        <v>1361</v>
      </c>
      <c r="D800" s="195">
        <v>857</v>
      </c>
      <c r="E800" s="195">
        <v>223</v>
      </c>
      <c r="F800" s="195">
        <v>223</v>
      </c>
      <c r="G800" s="239">
        <v>793</v>
      </c>
      <c r="H800" s="197" t="s">
        <v>72</v>
      </c>
      <c r="I800" s="242" t="s">
        <v>216</v>
      </c>
      <c r="J800" s="242" t="s">
        <v>12143</v>
      </c>
      <c r="K800" s="195" t="s">
        <v>70</v>
      </c>
      <c r="L800" s="20" t="str">
        <f ca="1">IF(OFFSET(환산공식!$ED$15,$F800,0)=1,"O","X")</f>
        <v>X</v>
      </c>
      <c r="M800" s="188">
        <f ca="1">IFERROR(OFFSET(환산공식!DJ$15,$F800,0),"")</f>
        <v>0</v>
      </c>
      <c r="N800" s="20" t="str">
        <f ca="1">IFERROR(CONCATENATE(ROUND(OFFSET(환산공식!DK$15,$F800,0),1),"%"),"")</f>
        <v/>
      </c>
      <c r="O800" s="20">
        <f ca="1">IFERROR(OFFSET(환산공식!DL$15,$F800,0),"")</f>
        <v>0</v>
      </c>
      <c r="P800" s="188" t="str">
        <f t="shared" ca="1" si="25"/>
        <v>3% 이하</v>
      </c>
      <c r="Q800" s="194">
        <f ca="1">IFERROR(ROUND(OFFSET(환산공식!$FG$15,$F800,0),3),"")</f>
        <v>0</v>
      </c>
      <c r="R800" s="194">
        <f ca="1">OFFSET('배치점수 계산기'!H$10,$D800,0)</f>
        <v>180.14400000000001</v>
      </c>
      <c r="S800" s="194">
        <f ca="1">OFFSET('배치점수 계산기'!I$10,$D800,0)</f>
        <v>179.42099999999999</v>
      </c>
      <c r="T800" s="194">
        <f ca="1">OFFSET('배치점수 계산기'!J$10,$D800,0)</f>
        <v>178.10900000000001</v>
      </c>
      <c r="U800" s="194">
        <f ca="1">OFFSET('배치점수 계산기'!K$10,$D800,0)</f>
        <v>176.36</v>
      </c>
      <c r="V800" s="194">
        <f ca="1">OFFSET('배치점수 계산기'!L$10,$D800,0)</f>
        <v>174.54599999999999</v>
      </c>
      <c r="W800" s="186" t="str">
        <f ca="1">OFFSET('배치점수 계산기'!M$10,$D800,0)</f>
        <v>표점</v>
      </c>
      <c r="X800" s="184" t="str">
        <f ca="1">OFFSET('배치점수 계산기'!N$10,$D800,0)</f>
        <v>표점</v>
      </c>
      <c r="Y800" s="188">
        <f ca="1">OFFSET(환산공식!FW$15,$F800,0)</f>
        <v>0.25</v>
      </c>
      <c r="Z800" s="20">
        <f ca="1">OFFSET(환산공식!FX$15,$F800,0)</f>
        <v>0.45</v>
      </c>
      <c r="AA800" s="179">
        <f ca="1">OFFSET(환산공식!FY$15,$F800,0)</f>
        <v>0.3</v>
      </c>
      <c r="AB800" s="3"/>
      <c r="AD800">
        <f t="shared" ca="1" si="26"/>
        <v>6</v>
      </c>
      <c r="AF800" s="3"/>
      <c r="AG800" s="3"/>
      <c r="AH800" s="3"/>
    </row>
    <row r="801" spans="1:34">
      <c r="A801" s="198"/>
      <c r="B801" s="198"/>
      <c r="C801" s="198" t="s">
        <v>1362</v>
      </c>
      <c r="D801" s="195">
        <v>858</v>
      </c>
      <c r="E801" s="195">
        <v>223</v>
      </c>
      <c r="F801" s="195">
        <v>223</v>
      </c>
      <c r="G801" s="239">
        <v>794</v>
      </c>
      <c r="H801" s="197" t="s">
        <v>72</v>
      </c>
      <c r="I801" s="242" t="s">
        <v>216</v>
      </c>
      <c r="J801" s="242" t="s">
        <v>7251</v>
      </c>
      <c r="K801" s="195" t="s">
        <v>70</v>
      </c>
      <c r="L801" s="20" t="str">
        <f ca="1">IF(OFFSET(환산공식!$ED$15,$F801,0)=1,"O","X")</f>
        <v>X</v>
      </c>
      <c r="M801" s="188">
        <f ca="1">IFERROR(OFFSET(환산공식!DJ$15,$F801,0),"")</f>
        <v>0</v>
      </c>
      <c r="N801" s="20" t="str">
        <f ca="1">IFERROR(CONCATENATE(ROUND(OFFSET(환산공식!DK$15,$F801,0),1),"%"),"")</f>
        <v/>
      </c>
      <c r="O801" s="20">
        <f ca="1">IFERROR(OFFSET(환산공식!DL$15,$F801,0),"")</f>
        <v>0</v>
      </c>
      <c r="P801" s="188" t="str">
        <f t="shared" ca="1" si="25"/>
        <v>3% 이하</v>
      </c>
      <c r="Q801" s="194">
        <f ca="1">IFERROR(ROUND(OFFSET(환산공식!$FG$15,$F801,0),3),"")</f>
        <v>0</v>
      </c>
      <c r="R801" s="194">
        <f ca="1">OFFSET('배치점수 계산기'!H$10,$D801,0)</f>
        <v>179.89400000000001</v>
      </c>
      <c r="S801" s="194">
        <f ca="1">OFFSET('배치점수 계산기'!I$10,$D801,0)</f>
        <v>179.178</v>
      </c>
      <c r="T801" s="194">
        <f ca="1">OFFSET('배치점수 계산기'!J$10,$D801,0)</f>
        <v>177.85900000000001</v>
      </c>
      <c r="U801" s="194">
        <f ca="1">OFFSET('배치점수 계산기'!K$10,$D801,0)</f>
        <v>176.11</v>
      </c>
      <c r="V801" s="194">
        <f ca="1">OFFSET('배치점수 계산기'!L$10,$D801,0)</f>
        <v>174.49600000000001</v>
      </c>
      <c r="W801" s="186" t="str">
        <f ca="1">OFFSET('배치점수 계산기'!M$10,$D801,0)</f>
        <v>표점</v>
      </c>
      <c r="X801" s="184" t="str">
        <f ca="1">OFFSET('배치점수 계산기'!N$10,$D801,0)</f>
        <v>표점</v>
      </c>
      <c r="Y801" s="188">
        <f ca="1">OFFSET(환산공식!FW$15,$F801,0)</f>
        <v>0.25</v>
      </c>
      <c r="Z801" s="20">
        <f ca="1">OFFSET(환산공식!FX$15,$F801,0)</f>
        <v>0.45</v>
      </c>
      <c r="AA801" s="179">
        <f ca="1">OFFSET(환산공식!FY$15,$F801,0)</f>
        <v>0.3</v>
      </c>
      <c r="AB801" s="3"/>
      <c r="AD801">
        <f t="shared" ca="1" si="26"/>
        <v>6</v>
      </c>
      <c r="AF801" s="3"/>
      <c r="AG801" s="3"/>
      <c r="AH801" s="3"/>
    </row>
    <row r="802" spans="1:34">
      <c r="A802" s="198"/>
      <c r="B802" s="198"/>
      <c r="C802" s="198" t="s">
        <v>1363</v>
      </c>
      <c r="D802" s="195">
        <v>859</v>
      </c>
      <c r="E802" s="195">
        <v>223</v>
      </c>
      <c r="F802" s="195">
        <v>223</v>
      </c>
      <c r="G802" s="239">
        <v>795</v>
      </c>
      <c r="H802" s="197" t="s">
        <v>72</v>
      </c>
      <c r="I802" s="242" t="s">
        <v>216</v>
      </c>
      <c r="J802" s="242" t="s">
        <v>8415</v>
      </c>
      <c r="K802" s="195" t="s">
        <v>70</v>
      </c>
      <c r="L802" s="20" t="str">
        <f ca="1">IF(OFFSET(환산공식!$ED$15,$F802,0)=1,"O","X")</f>
        <v>X</v>
      </c>
      <c r="M802" s="188">
        <f ca="1">IFERROR(OFFSET(환산공식!DJ$15,$F802,0),"")</f>
        <v>0</v>
      </c>
      <c r="N802" s="20" t="str">
        <f ca="1">IFERROR(CONCATENATE(ROUND(OFFSET(환산공식!DK$15,$F802,0),1),"%"),"")</f>
        <v/>
      </c>
      <c r="O802" s="20">
        <f ca="1">IFERROR(OFFSET(환산공식!DL$15,$F802,0),"")</f>
        <v>0</v>
      </c>
      <c r="P802" s="188" t="str">
        <f t="shared" ca="1" si="25"/>
        <v>3% 이하</v>
      </c>
      <c r="Q802" s="194">
        <f ca="1">IFERROR(ROUND(OFFSET(환산공식!$FG$15,$F802,0),3),"")</f>
        <v>0</v>
      </c>
      <c r="R802" s="194">
        <f ca="1">OFFSET('배치점수 계산기'!H$10,$D802,0)</f>
        <v>179.33699999999999</v>
      </c>
      <c r="S802" s="194">
        <f ca="1">OFFSET('배치점수 계산기'!I$10,$D802,0)</f>
        <v>178.666</v>
      </c>
      <c r="T802" s="194">
        <f ca="1">OFFSET('배치점수 계산기'!J$10,$D802,0)</f>
        <v>177.274</v>
      </c>
      <c r="U802" s="194">
        <f ca="1">OFFSET('배치점수 계산기'!K$10,$D802,0)</f>
        <v>175.68899999999999</v>
      </c>
      <c r="V802" s="194">
        <f ca="1">OFFSET('배치점수 계산기'!L$10,$D802,0)</f>
        <v>173.928</v>
      </c>
      <c r="W802" s="186" t="str">
        <f ca="1">OFFSET('배치점수 계산기'!M$10,$D802,0)</f>
        <v>표점</v>
      </c>
      <c r="X802" s="184" t="str">
        <f ca="1">OFFSET('배치점수 계산기'!N$10,$D802,0)</f>
        <v>표점</v>
      </c>
      <c r="Y802" s="188">
        <f ca="1">OFFSET(환산공식!FW$15,$F802,0)</f>
        <v>0.25</v>
      </c>
      <c r="Z802" s="20">
        <f ca="1">OFFSET(환산공식!FX$15,$F802,0)</f>
        <v>0.45</v>
      </c>
      <c r="AA802" s="179">
        <f ca="1">OFFSET(환산공식!FY$15,$F802,0)</f>
        <v>0.3</v>
      </c>
      <c r="AB802" s="3"/>
      <c r="AD802">
        <f t="shared" ca="1" si="26"/>
        <v>6</v>
      </c>
      <c r="AF802" s="3"/>
      <c r="AG802" s="3"/>
      <c r="AH802" s="3"/>
    </row>
    <row r="803" spans="1:34">
      <c r="A803" s="198"/>
      <c r="B803" s="198"/>
      <c r="C803" s="198" t="s">
        <v>1364</v>
      </c>
      <c r="D803" s="195">
        <v>860</v>
      </c>
      <c r="E803" s="195">
        <v>223</v>
      </c>
      <c r="F803" s="195">
        <v>223</v>
      </c>
      <c r="G803" s="239">
        <v>796</v>
      </c>
      <c r="H803" s="197" t="s">
        <v>72</v>
      </c>
      <c r="I803" s="242" t="s">
        <v>216</v>
      </c>
      <c r="J803" s="242" t="s">
        <v>12326</v>
      </c>
      <c r="K803" s="195" t="s">
        <v>70</v>
      </c>
      <c r="L803" s="20" t="str">
        <f ca="1">IF(OFFSET(환산공식!$ED$15,$F803,0)=1,"O","X")</f>
        <v>X</v>
      </c>
      <c r="M803" s="188">
        <f ca="1">IFERROR(OFFSET(환산공식!DJ$15,$F803,0),"")</f>
        <v>0</v>
      </c>
      <c r="N803" s="20" t="str">
        <f ca="1">IFERROR(CONCATENATE(ROUND(OFFSET(환산공식!DK$15,$F803,0),1),"%"),"")</f>
        <v/>
      </c>
      <c r="O803" s="20">
        <f ca="1">IFERROR(OFFSET(환산공식!DL$15,$F803,0),"")</f>
        <v>0</v>
      </c>
      <c r="P803" s="188" t="str">
        <f t="shared" ca="1" si="25"/>
        <v>3% 이하</v>
      </c>
      <c r="Q803" s="194">
        <f ca="1">IFERROR(ROUND(OFFSET(환산공식!$FG$15,$F803,0),3),"")</f>
        <v>0</v>
      </c>
      <c r="R803" s="194">
        <f ca="1">OFFSET('배치점수 계산기'!H$10,$D803,0)</f>
        <v>179.178</v>
      </c>
      <c r="S803" s="194">
        <f ca="1">OFFSET('배치점수 계산기'!I$10,$D803,0)</f>
        <v>178.56700000000001</v>
      </c>
      <c r="T803" s="194">
        <f ca="1">OFFSET('배치점수 계산기'!J$10,$D803,0)</f>
        <v>177.18700000000001</v>
      </c>
      <c r="U803" s="194">
        <f ca="1">OFFSET('배치점수 계산기'!K$10,$D803,0)</f>
        <v>175.60499999999999</v>
      </c>
      <c r="V803" s="194">
        <f ca="1">OFFSET('배치점수 계산기'!L$10,$D803,0)</f>
        <v>173.84100000000001</v>
      </c>
      <c r="W803" s="186" t="str">
        <f ca="1">OFFSET('배치점수 계산기'!M$10,$D803,0)</f>
        <v>표점</v>
      </c>
      <c r="X803" s="184" t="str">
        <f ca="1">OFFSET('배치점수 계산기'!N$10,$D803,0)</f>
        <v>표점</v>
      </c>
      <c r="Y803" s="188">
        <f ca="1">OFFSET(환산공식!FW$15,$F803,0)</f>
        <v>0.25</v>
      </c>
      <c r="Z803" s="20">
        <f ca="1">OFFSET(환산공식!FX$15,$F803,0)</f>
        <v>0.45</v>
      </c>
      <c r="AA803" s="179">
        <f ca="1">OFFSET(환산공식!FY$15,$F803,0)</f>
        <v>0.3</v>
      </c>
      <c r="AB803" s="3"/>
      <c r="AD803">
        <f t="shared" ca="1" si="26"/>
        <v>6</v>
      </c>
      <c r="AF803" s="3"/>
      <c r="AG803" s="3"/>
      <c r="AH803" s="3"/>
    </row>
    <row r="804" spans="1:34">
      <c r="A804" s="198"/>
      <c r="B804" s="198"/>
      <c r="C804" s="198" t="s">
        <v>1365</v>
      </c>
      <c r="D804" s="195">
        <v>861</v>
      </c>
      <c r="E804" s="195">
        <v>225</v>
      </c>
      <c r="F804" s="195">
        <v>225</v>
      </c>
      <c r="G804" s="239">
        <v>797</v>
      </c>
      <c r="H804" s="197" t="s">
        <v>72</v>
      </c>
      <c r="I804" s="242" t="s">
        <v>216</v>
      </c>
      <c r="J804" s="242" t="s">
        <v>8283</v>
      </c>
      <c r="K804" s="195" t="s">
        <v>70</v>
      </c>
      <c r="L804" s="20" t="str">
        <f ca="1">IF(OFFSET(환산공식!$ED$15,$F804,0)=1,"O","X")</f>
        <v>X</v>
      </c>
      <c r="M804" s="188">
        <f ca="1">IFERROR(OFFSET(환산공식!DJ$15,$F804,0),"")</f>
        <v>0</v>
      </c>
      <c r="N804" s="20" t="str">
        <f ca="1">IFERROR(CONCATENATE(ROUND(OFFSET(환산공식!DK$15,$F804,0),1),"%"),"")</f>
        <v/>
      </c>
      <c r="O804" s="20">
        <f ca="1">IFERROR(OFFSET(환산공식!DL$15,$F804,0),"")</f>
        <v>0</v>
      </c>
      <c r="P804" s="188" t="str">
        <f t="shared" ca="1" si="25"/>
        <v>3% 이하</v>
      </c>
      <c r="Q804" s="194">
        <f ca="1">IFERROR(ROUND(OFFSET(환산공식!$FG$15,$F804,0),3),"")</f>
        <v>0</v>
      </c>
      <c r="R804" s="194">
        <f ca="1">OFFSET('배치점수 계산기'!H$10,$D804,0)</f>
        <v>173.75299999999999</v>
      </c>
      <c r="S804" s="194">
        <f ca="1">OFFSET('배치점수 계산기'!I$10,$D804,0)</f>
        <v>173.11799999999999</v>
      </c>
      <c r="T804" s="194">
        <f ca="1">OFFSET('배치점수 계산기'!J$10,$D804,0)</f>
        <v>171.828</v>
      </c>
      <c r="U804" s="194">
        <f ca="1">OFFSET('배치점수 계산기'!K$10,$D804,0)</f>
        <v>170.34</v>
      </c>
      <c r="V804" s="194">
        <f ca="1">OFFSET('배치점수 계산기'!L$10,$D804,0)</f>
        <v>168.685</v>
      </c>
      <c r="W804" s="186" t="str">
        <f ca="1">OFFSET('배치점수 계산기'!M$10,$D804,0)</f>
        <v>표점</v>
      </c>
      <c r="X804" s="184" t="str">
        <f ca="1">OFFSET('배치점수 계산기'!N$10,$D804,0)</f>
        <v>표점</v>
      </c>
      <c r="Y804" s="188">
        <f ca="1">OFFSET(환산공식!FW$15,$F804,0)</f>
        <v>0.25</v>
      </c>
      <c r="Z804" s="20">
        <f ca="1">OFFSET(환산공식!FX$15,$F804,0)</f>
        <v>0.45</v>
      </c>
      <c r="AA804" s="179">
        <f ca="1">OFFSET(환산공식!FY$15,$F804,0)</f>
        <v>0.3</v>
      </c>
      <c r="AB804" s="3"/>
      <c r="AD804">
        <f t="shared" ca="1" si="26"/>
        <v>6</v>
      </c>
      <c r="AF804" s="3"/>
      <c r="AG804" s="3"/>
      <c r="AH804" s="3"/>
    </row>
    <row r="805" spans="1:34">
      <c r="A805" s="198"/>
      <c r="B805" s="198"/>
      <c r="C805" s="198" t="s">
        <v>1366</v>
      </c>
      <c r="D805" s="195">
        <v>862</v>
      </c>
      <c r="E805" s="195">
        <v>223</v>
      </c>
      <c r="F805" s="195">
        <v>223</v>
      </c>
      <c r="G805" s="239">
        <v>798</v>
      </c>
      <c r="H805" s="197" t="s">
        <v>72</v>
      </c>
      <c r="I805" s="242" t="s">
        <v>216</v>
      </c>
      <c r="J805" s="242" t="s">
        <v>9339</v>
      </c>
      <c r="K805" s="195" t="s">
        <v>70</v>
      </c>
      <c r="L805" s="20" t="str">
        <f ca="1">IF(OFFSET(환산공식!$ED$15,$F805,0)=1,"O","X")</f>
        <v>X</v>
      </c>
      <c r="M805" s="188">
        <f ca="1">IFERROR(OFFSET(환산공식!DJ$15,$F805,0),"")</f>
        <v>0</v>
      </c>
      <c r="N805" s="20" t="str">
        <f ca="1">IFERROR(CONCATENATE(ROUND(OFFSET(환산공식!DK$15,$F805,0),1),"%"),"")</f>
        <v/>
      </c>
      <c r="O805" s="20">
        <f ca="1">IFERROR(OFFSET(환산공식!DL$15,$F805,0),"")</f>
        <v>0</v>
      </c>
      <c r="P805" s="188" t="str">
        <f t="shared" ca="1" si="25"/>
        <v>3% 이하</v>
      </c>
      <c r="Q805" s="194">
        <f ca="1">IFERROR(ROUND(OFFSET(환산공식!$FG$15,$F805,0),3),"")</f>
        <v>0</v>
      </c>
      <c r="R805" s="194">
        <f ca="1">OFFSET('배치점수 계산기'!H$10,$D805,0)</f>
        <v>178.869</v>
      </c>
      <c r="S805" s="194">
        <f ca="1">OFFSET('배치점수 계산기'!I$10,$D805,0)</f>
        <v>178.22800000000001</v>
      </c>
      <c r="T805" s="194">
        <f ca="1">OFFSET('배치점수 계산기'!J$10,$D805,0)</f>
        <v>176.886</v>
      </c>
      <c r="U805" s="194">
        <f ca="1">OFFSET('배치점수 계산기'!K$10,$D805,0)</f>
        <v>175.35300000000001</v>
      </c>
      <c r="V805" s="194">
        <f ca="1">OFFSET('배치점수 계산기'!L$10,$D805,0)</f>
        <v>173.59200000000001</v>
      </c>
      <c r="W805" s="186" t="str">
        <f ca="1">OFFSET('배치점수 계산기'!M$10,$D805,0)</f>
        <v>표점</v>
      </c>
      <c r="X805" s="184" t="str">
        <f ca="1">OFFSET('배치점수 계산기'!N$10,$D805,0)</f>
        <v>표점</v>
      </c>
      <c r="Y805" s="188">
        <f ca="1">OFFSET(환산공식!FW$15,$F805,0)</f>
        <v>0.25</v>
      </c>
      <c r="Z805" s="20">
        <f ca="1">OFFSET(환산공식!FX$15,$F805,0)</f>
        <v>0.45</v>
      </c>
      <c r="AA805" s="179">
        <f ca="1">OFFSET(환산공식!FY$15,$F805,0)</f>
        <v>0.3</v>
      </c>
      <c r="AB805" s="3"/>
      <c r="AD805">
        <f t="shared" ca="1" si="26"/>
        <v>6</v>
      </c>
      <c r="AF805" s="3"/>
      <c r="AG805" s="3"/>
      <c r="AH805" s="3"/>
    </row>
    <row r="806" spans="1:34">
      <c r="A806" s="198"/>
      <c r="B806" s="198"/>
      <c r="C806" s="198" t="s">
        <v>1367</v>
      </c>
      <c r="D806" s="195">
        <v>863</v>
      </c>
      <c r="E806" s="195">
        <v>223</v>
      </c>
      <c r="F806" s="195">
        <v>223</v>
      </c>
      <c r="G806" s="239">
        <v>799</v>
      </c>
      <c r="H806" s="197" t="s">
        <v>72</v>
      </c>
      <c r="I806" s="242" t="s">
        <v>216</v>
      </c>
      <c r="J806" s="242" t="s">
        <v>12523</v>
      </c>
      <c r="K806" s="195" t="s">
        <v>70</v>
      </c>
      <c r="L806" s="20" t="str">
        <f ca="1">IF(OFFSET(환산공식!$ED$15,$F806,0)=1,"O","X")</f>
        <v>X</v>
      </c>
      <c r="M806" s="188">
        <f ca="1">IFERROR(OFFSET(환산공식!DJ$15,$F806,0),"")</f>
        <v>0</v>
      </c>
      <c r="N806" s="20" t="str">
        <f ca="1">IFERROR(CONCATENATE(ROUND(OFFSET(환산공식!DK$15,$F806,0),1),"%"),"")</f>
        <v/>
      </c>
      <c r="O806" s="20">
        <f ca="1">IFERROR(OFFSET(환산공식!DL$15,$F806,0),"")</f>
        <v>0</v>
      </c>
      <c r="P806" s="188" t="str">
        <f t="shared" ca="1" si="25"/>
        <v>3% 이하</v>
      </c>
      <c r="Q806" s="194">
        <f ca="1">IFERROR(ROUND(OFFSET(환산공식!$FG$15,$F806,0),3),"")</f>
        <v>0</v>
      </c>
      <c r="R806" s="194">
        <f ca="1">OFFSET('배치점수 계산기'!H$10,$D806,0)</f>
        <v>177.655</v>
      </c>
      <c r="S806" s="194">
        <f ca="1">OFFSET('배치점수 계산기'!I$10,$D806,0)</f>
        <v>176.935</v>
      </c>
      <c r="T806" s="194">
        <f ca="1">OFFSET('배치점수 계산기'!J$10,$D806,0)</f>
        <v>175.727</v>
      </c>
      <c r="U806" s="194">
        <f ca="1">OFFSET('배치점수 계산기'!K$10,$D806,0)</f>
        <v>174.31899999999999</v>
      </c>
      <c r="V806" s="194">
        <f ca="1">OFFSET('배치점수 계산기'!L$10,$D806,0)</f>
        <v>172.58099999999999</v>
      </c>
      <c r="W806" s="186" t="str">
        <f ca="1">OFFSET('배치점수 계산기'!M$10,$D806,0)</f>
        <v>표점</v>
      </c>
      <c r="X806" s="184" t="str">
        <f ca="1">OFFSET('배치점수 계산기'!N$10,$D806,0)</f>
        <v>표점</v>
      </c>
      <c r="Y806" s="188">
        <f ca="1">OFFSET(환산공식!FW$15,$F806,0)</f>
        <v>0.25</v>
      </c>
      <c r="Z806" s="20">
        <f ca="1">OFFSET(환산공식!FX$15,$F806,0)</f>
        <v>0.45</v>
      </c>
      <c r="AA806" s="179">
        <f ca="1">OFFSET(환산공식!FY$15,$F806,0)</f>
        <v>0.3</v>
      </c>
      <c r="AB806" s="3"/>
      <c r="AD806">
        <f t="shared" ca="1" si="26"/>
        <v>6</v>
      </c>
      <c r="AF806" s="3"/>
      <c r="AG806" s="3"/>
      <c r="AH806" s="3"/>
    </row>
    <row r="807" spans="1:34">
      <c r="A807" s="198"/>
      <c r="B807" s="198"/>
      <c r="C807" s="198" t="s">
        <v>1368</v>
      </c>
      <c r="D807" s="195">
        <v>864</v>
      </c>
      <c r="E807" s="195">
        <v>222</v>
      </c>
      <c r="F807" s="195">
        <v>222</v>
      </c>
      <c r="G807" s="239">
        <v>800</v>
      </c>
      <c r="H807" s="197" t="s">
        <v>72</v>
      </c>
      <c r="I807" s="242" t="s">
        <v>216</v>
      </c>
      <c r="J807" s="242" t="s">
        <v>8307</v>
      </c>
      <c r="K807" s="195" t="s">
        <v>70</v>
      </c>
      <c r="L807" s="20" t="str">
        <f ca="1">IF(OFFSET(환산공식!$ED$15,$F807,0)=1,"O","X")</f>
        <v>X</v>
      </c>
      <c r="M807" s="188">
        <f ca="1">IFERROR(OFFSET(환산공식!DJ$15,$F807,0),"")</f>
        <v>0</v>
      </c>
      <c r="N807" s="20" t="str">
        <f ca="1">IFERROR(CONCATENATE(ROUND(OFFSET(환산공식!DK$15,$F807,0),1),"%"),"")</f>
        <v/>
      </c>
      <c r="O807" s="20">
        <f ca="1">IFERROR(OFFSET(환산공식!DL$15,$F807,0),"")</f>
        <v>0</v>
      </c>
      <c r="P807" s="188" t="str">
        <f t="shared" ca="1" si="25"/>
        <v>3% 이하</v>
      </c>
      <c r="Q807" s="194">
        <f ca="1">IFERROR(ROUND(OFFSET(환산공식!$FG$15,$F807,0),3),"")</f>
        <v>0</v>
      </c>
      <c r="R807" s="194">
        <f ca="1">OFFSET('배치점수 계산기'!H$10,$D807,0)</f>
        <v>171.86500000000001</v>
      </c>
      <c r="S807" s="194">
        <f ca="1">OFFSET('배치점수 계산기'!I$10,$D807,0)</f>
        <v>171.267</v>
      </c>
      <c r="T807" s="194">
        <f ca="1">OFFSET('배치점수 계산기'!J$10,$D807,0)</f>
        <v>170.19499999999999</v>
      </c>
      <c r="U807" s="194">
        <f ca="1">OFFSET('배치점수 계산기'!K$10,$D807,0)</f>
        <v>168.88</v>
      </c>
      <c r="V807" s="194">
        <f ca="1">OFFSET('배치점수 계산기'!L$10,$D807,0)</f>
        <v>167.119</v>
      </c>
      <c r="W807" s="186" t="str">
        <f ca="1">OFFSET('배치점수 계산기'!M$10,$D807,0)</f>
        <v>표점</v>
      </c>
      <c r="X807" s="184" t="str">
        <f ca="1">OFFSET('배치점수 계산기'!N$10,$D807,0)</f>
        <v>표점</v>
      </c>
      <c r="Y807" s="188">
        <f ca="1">OFFSET(환산공식!FW$15,$F807,0)</f>
        <v>0.25</v>
      </c>
      <c r="Z807" s="20">
        <f ca="1">OFFSET(환산공식!FX$15,$F807,0)</f>
        <v>0.45</v>
      </c>
      <c r="AA807" s="179">
        <f ca="1">OFFSET(환산공식!FY$15,$F807,0)</f>
        <v>0.3</v>
      </c>
      <c r="AB807" s="3"/>
      <c r="AD807">
        <f t="shared" ca="1" si="26"/>
        <v>6</v>
      </c>
      <c r="AF807" s="3"/>
      <c r="AG807" s="3"/>
      <c r="AH807" s="3"/>
    </row>
    <row r="808" spans="1:34">
      <c r="A808" s="198"/>
      <c r="B808" s="198"/>
      <c r="C808" s="198" t="s">
        <v>1369</v>
      </c>
      <c r="D808" s="195">
        <v>865</v>
      </c>
      <c r="E808" s="195">
        <v>223</v>
      </c>
      <c r="F808" s="195">
        <v>223</v>
      </c>
      <c r="G808" s="239">
        <v>801</v>
      </c>
      <c r="H808" s="197" t="s">
        <v>72</v>
      </c>
      <c r="I808" s="242" t="s">
        <v>216</v>
      </c>
      <c r="J808" s="242" t="s">
        <v>12608</v>
      </c>
      <c r="K808" s="195" t="s">
        <v>70</v>
      </c>
      <c r="L808" s="20" t="str">
        <f ca="1">IF(OFFSET(환산공식!$ED$15,$F808,0)=1,"O","X")</f>
        <v>X</v>
      </c>
      <c r="M808" s="188">
        <f ca="1">IFERROR(OFFSET(환산공식!DJ$15,$F808,0),"")</f>
        <v>0</v>
      </c>
      <c r="N808" s="20" t="str">
        <f ca="1">IFERROR(CONCATENATE(ROUND(OFFSET(환산공식!DK$15,$F808,0),1),"%"),"")</f>
        <v/>
      </c>
      <c r="O808" s="20">
        <f ca="1">IFERROR(OFFSET(환산공식!DL$15,$F808,0),"")</f>
        <v>0</v>
      </c>
      <c r="P808" s="188" t="str">
        <f t="shared" ca="1" si="25"/>
        <v>3% 이하</v>
      </c>
      <c r="Q808" s="194">
        <f ca="1">IFERROR(ROUND(OFFSET(환산공식!$FG$15,$F808,0),3),"")</f>
        <v>0</v>
      </c>
      <c r="R808" s="194">
        <f ca="1">OFFSET('배치점수 계산기'!H$10,$D808,0)</f>
        <v>176.935</v>
      </c>
      <c r="S808" s="194">
        <f ca="1">OFFSET('배치점수 계산기'!I$10,$D808,0)</f>
        <v>176.36</v>
      </c>
      <c r="T808" s="194">
        <f ca="1">OFFSET('배치점수 계산기'!J$10,$D808,0)</f>
        <v>175.251</v>
      </c>
      <c r="U808" s="194">
        <f ca="1">OFFSET('배치점수 계산기'!K$10,$D808,0)</f>
        <v>173.84100000000001</v>
      </c>
      <c r="V808" s="194">
        <f ca="1">OFFSET('배치점수 계산기'!L$10,$D808,0)</f>
        <v>172.035</v>
      </c>
      <c r="W808" s="186" t="str">
        <f ca="1">OFFSET('배치점수 계산기'!M$10,$D808,0)</f>
        <v>표점</v>
      </c>
      <c r="X808" s="184" t="str">
        <f ca="1">OFFSET('배치점수 계산기'!N$10,$D808,0)</f>
        <v>표점</v>
      </c>
      <c r="Y808" s="188">
        <f ca="1">OFFSET(환산공식!FW$15,$F808,0)</f>
        <v>0.25</v>
      </c>
      <c r="Z808" s="20">
        <f ca="1">OFFSET(환산공식!FX$15,$F808,0)</f>
        <v>0.45</v>
      </c>
      <c r="AA808" s="179">
        <f ca="1">OFFSET(환산공식!FY$15,$F808,0)</f>
        <v>0.3</v>
      </c>
      <c r="AB808" s="3"/>
      <c r="AD808">
        <f t="shared" ca="1" si="26"/>
        <v>6</v>
      </c>
      <c r="AF808" s="3"/>
      <c r="AG808" s="3"/>
      <c r="AH808" s="3"/>
    </row>
    <row r="809" spans="1:34">
      <c r="A809" s="198"/>
      <c r="B809" s="198"/>
      <c r="C809" s="198" t="s">
        <v>1370</v>
      </c>
      <c r="D809" s="195">
        <v>866</v>
      </c>
      <c r="E809" s="195">
        <v>223</v>
      </c>
      <c r="F809" s="195">
        <v>223</v>
      </c>
      <c r="G809" s="239">
        <v>802</v>
      </c>
      <c r="H809" s="197" t="s">
        <v>72</v>
      </c>
      <c r="I809" s="242" t="s">
        <v>216</v>
      </c>
      <c r="J809" s="242" t="s">
        <v>10547</v>
      </c>
      <c r="K809" s="195" t="s">
        <v>70</v>
      </c>
      <c r="L809" s="20" t="str">
        <f ca="1">IF(OFFSET(환산공식!$ED$15,$F809,0)=1,"O","X")</f>
        <v>X</v>
      </c>
      <c r="M809" s="188">
        <f ca="1">IFERROR(OFFSET(환산공식!DJ$15,$F809,0),"")</f>
        <v>0</v>
      </c>
      <c r="N809" s="20" t="str">
        <f ca="1">IFERROR(CONCATENATE(ROUND(OFFSET(환산공식!DK$15,$F809,0),1),"%"),"")</f>
        <v/>
      </c>
      <c r="O809" s="20">
        <f ca="1">IFERROR(OFFSET(환산공식!DL$15,$F809,0),"")</f>
        <v>0</v>
      </c>
      <c r="P809" s="188" t="str">
        <f t="shared" ca="1" si="25"/>
        <v>3% 이하</v>
      </c>
      <c r="Q809" s="194">
        <f ca="1">IFERROR(ROUND(OFFSET(환산공식!$FG$15,$F809,0),3),"")</f>
        <v>0</v>
      </c>
      <c r="R809" s="194">
        <f ca="1">OFFSET('배치점수 계산기'!H$10,$D809,0)</f>
        <v>176.47900000000001</v>
      </c>
      <c r="S809" s="194">
        <f ca="1">OFFSET('배치점수 계산기'!I$10,$D809,0)</f>
        <v>175.90600000000001</v>
      </c>
      <c r="T809" s="194">
        <f ca="1">OFFSET('배치점수 계산기'!J$10,$D809,0)</f>
        <v>174.84700000000001</v>
      </c>
      <c r="U809" s="194">
        <f ca="1">OFFSET('배치점수 계산기'!K$10,$D809,0)</f>
        <v>173.43700000000001</v>
      </c>
      <c r="V809" s="194">
        <f ca="1">OFFSET('배치점수 계산기'!L$10,$D809,0)</f>
        <v>171.559</v>
      </c>
      <c r="W809" s="186" t="str">
        <f ca="1">OFFSET('배치점수 계산기'!M$10,$D809,0)</f>
        <v>표점</v>
      </c>
      <c r="X809" s="184" t="str">
        <f ca="1">OFFSET('배치점수 계산기'!N$10,$D809,0)</f>
        <v>표점</v>
      </c>
      <c r="Y809" s="188">
        <f ca="1">OFFSET(환산공식!FW$15,$F809,0)</f>
        <v>0.25</v>
      </c>
      <c r="Z809" s="20">
        <f ca="1">OFFSET(환산공식!FX$15,$F809,0)</f>
        <v>0.45</v>
      </c>
      <c r="AA809" s="179">
        <f ca="1">OFFSET(환산공식!FY$15,$F809,0)</f>
        <v>0.3</v>
      </c>
      <c r="AB809" s="3"/>
      <c r="AD809">
        <f t="shared" ca="1" si="26"/>
        <v>6</v>
      </c>
      <c r="AF809" s="3"/>
      <c r="AG809" s="3"/>
      <c r="AH809" s="3"/>
    </row>
    <row r="810" spans="1:34">
      <c r="A810" s="198"/>
      <c r="B810" s="198"/>
      <c r="C810" s="198" t="s">
        <v>1371</v>
      </c>
      <c r="D810" s="195">
        <v>867</v>
      </c>
      <c r="E810" s="195">
        <v>223</v>
      </c>
      <c r="F810" s="195">
        <v>223</v>
      </c>
      <c r="G810" s="239">
        <v>803</v>
      </c>
      <c r="H810" s="197" t="s">
        <v>72</v>
      </c>
      <c r="I810" s="242" t="s">
        <v>216</v>
      </c>
      <c r="J810" s="242" t="s">
        <v>12698</v>
      </c>
      <c r="K810" s="195" t="s">
        <v>70</v>
      </c>
      <c r="L810" s="20" t="str">
        <f ca="1">IF(OFFSET(환산공식!$ED$15,$F810,0)=1,"O","X")</f>
        <v>X</v>
      </c>
      <c r="M810" s="188">
        <f ca="1">IFERROR(OFFSET(환산공식!DJ$15,$F810,0),"")</f>
        <v>0</v>
      </c>
      <c r="N810" s="20" t="str">
        <f ca="1">IFERROR(CONCATENATE(ROUND(OFFSET(환산공식!DK$15,$F810,0),1),"%"),"")</f>
        <v/>
      </c>
      <c r="O810" s="20">
        <f ca="1">IFERROR(OFFSET(환산공식!DL$15,$F810,0),"")</f>
        <v>0</v>
      </c>
      <c r="P810" s="188" t="str">
        <f t="shared" ca="1" si="25"/>
        <v>3% 이하</v>
      </c>
      <c r="Q810" s="194">
        <f ca="1">IFERROR(ROUND(OFFSET(환산공식!$FG$15,$F810,0),3),"")</f>
        <v>0</v>
      </c>
      <c r="R810" s="194">
        <f ca="1">OFFSET('배치점수 계산기'!H$10,$D810,0)</f>
        <v>176.36</v>
      </c>
      <c r="S810" s="194">
        <f ca="1">OFFSET('배치점수 계산기'!I$10,$D810,0)</f>
        <v>175.79400000000001</v>
      </c>
      <c r="T810" s="194">
        <f ca="1">OFFSET('배치점수 계산기'!J$10,$D810,0)</f>
        <v>174.76</v>
      </c>
      <c r="U810" s="194">
        <f ca="1">OFFSET('배치점수 계산기'!K$10,$D810,0)</f>
        <v>173.40199999999999</v>
      </c>
      <c r="V810" s="194">
        <f ca="1">OFFSET('배치점수 계산기'!L$10,$D810,0)</f>
        <v>171.45400000000001</v>
      </c>
      <c r="W810" s="186" t="str">
        <f ca="1">OFFSET('배치점수 계산기'!M$10,$D810,0)</f>
        <v>표점</v>
      </c>
      <c r="X810" s="184" t="str">
        <f ca="1">OFFSET('배치점수 계산기'!N$10,$D810,0)</f>
        <v>표점</v>
      </c>
      <c r="Y810" s="188">
        <f ca="1">OFFSET(환산공식!FW$15,$F810,0)</f>
        <v>0.25</v>
      </c>
      <c r="Z810" s="20">
        <f ca="1">OFFSET(환산공식!FX$15,$F810,0)</f>
        <v>0.45</v>
      </c>
      <c r="AA810" s="179">
        <f ca="1">OFFSET(환산공식!FY$15,$F810,0)</f>
        <v>0.3</v>
      </c>
      <c r="AB810" s="3"/>
      <c r="AD810">
        <f t="shared" ca="1" si="26"/>
        <v>6</v>
      </c>
      <c r="AF810" s="3"/>
      <c r="AG810" s="3"/>
      <c r="AH810" s="3"/>
    </row>
    <row r="811" spans="1:34">
      <c r="A811" s="198"/>
      <c r="B811" s="198"/>
      <c r="C811" s="198" t="s">
        <v>1372</v>
      </c>
      <c r="D811" s="195">
        <v>868</v>
      </c>
      <c r="E811" s="195">
        <v>223</v>
      </c>
      <c r="F811" s="195">
        <v>223</v>
      </c>
      <c r="G811" s="239">
        <v>804</v>
      </c>
      <c r="H811" s="197" t="s">
        <v>72</v>
      </c>
      <c r="I811" s="242" t="s">
        <v>216</v>
      </c>
      <c r="J811" s="242" t="s">
        <v>8197</v>
      </c>
      <c r="K811" s="195" t="s">
        <v>70</v>
      </c>
      <c r="L811" s="20" t="str">
        <f ca="1">IF(OFFSET(환산공식!$ED$15,$F811,0)=1,"O","X")</f>
        <v>X</v>
      </c>
      <c r="M811" s="188">
        <f ca="1">IFERROR(OFFSET(환산공식!DJ$15,$F811,0),"")</f>
        <v>0</v>
      </c>
      <c r="N811" s="20" t="str">
        <f ca="1">IFERROR(CONCATENATE(ROUND(OFFSET(환산공식!DK$15,$F811,0),1),"%"),"")</f>
        <v/>
      </c>
      <c r="O811" s="20">
        <f ca="1">IFERROR(OFFSET(환산공식!DL$15,$F811,0),"")</f>
        <v>0</v>
      </c>
      <c r="P811" s="188" t="str">
        <f t="shared" ca="1" si="25"/>
        <v>3% 이하</v>
      </c>
      <c r="Q811" s="194">
        <f ca="1">IFERROR(ROUND(OFFSET(환산공식!$FG$15,$F811,0),3),"")</f>
        <v>0</v>
      </c>
      <c r="R811" s="194">
        <f ca="1">OFFSET('배치점수 계산기'!H$10,$D811,0)</f>
        <v>175.60499999999999</v>
      </c>
      <c r="S811" s="194">
        <f ca="1">OFFSET('배치점수 계산기'!I$10,$D811,0)</f>
        <v>175.03899999999999</v>
      </c>
      <c r="T811" s="194">
        <f ca="1">OFFSET('배치점수 계산기'!J$10,$D811,0)</f>
        <v>174.04</v>
      </c>
      <c r="U811" s="194">
        <f ca="1">OFFSET('배치점수 계산기'!K$10,$D811,0)</f>
        <v>172.58099999999999</v>
      </c>
      <c r="V811" s="194">
        <f ca="1">OFFSET('배치점수 계산기'!L$10,$D811,0)</f>
        <v>170.685</v>
      </c>
      <c r="W811" s="186" t="str">
        <f ca="1">OFFSET('배치점수 계산기'!M$10,$D811,0)</f>
        <v>표점</v>
      </c>
      <c r="X811" s="184" t="str">
        <f ca="1">OFFSET('배치점수 계산기'!N$10,$D811,0)</f>
        <v>표점</v>
      </c>
      <c r="Y811" s="188">
        <f ca="1">OFFSET(환산공식!FW$15,$F811,0)</f>
        <v>0.25</v>
      </c>
      <c r="Z811" s="20">
        <f ca="1">OFFSET(환산공식!FX$15,$F811,0)</f>
        <v>0.45</v>
      </c>
      <c r="AA811" s="179">
        <f ca="1">OFFSET(환산공식!FY$15,$F811,0)</f>
        <v>0.3</v>
      </c>
      <c r="AB811" s="3"/>
      <c r="AD811">
        <f t="shared" ca="1" si="26"/>
        <v>6</v>
      </c>
      <c r="AF811" s="3"/>
      <c r="AG811" s="3"/>
      <c r="AH811" s="3"/>
    </row>
    <row r="812" spans="1:34">
      <c r="A812" s="198"/>
      <c r="B812" s="198"/>
      <c r="C812" s="198" t="s">
        <v>1373</v>
      </c>
      <c r="D812" s="195">
        <v>869</v>
      </c>
      <c r="E812" s="195">
        <v>223</v>
      </c>
      <c r="F812" s="195">
        <v>223</v>
      </c>
      <c r="G812" s="239">
        <v>805</v>
      </c>
      <c r="H812" s="197" t="s">
        <v>72</v>
      </c>
      <c r="I812" s="242" t="s">
        <v>216</v>
      </c>
      <c r="J812" s="242" t="s">
        <v>12996</v>
      </c>
      <c r="K812" s="195" t="s">
        <v>70</v>
      </c>
      <c r="L812" s="20" t="str">
        <f ca="1">IF(OFFSET(환산공식!$ED$15,$F812,0)=1,"O","X")</f>
        <v>X</v>
      </c>
      <c r="M812" s="188">
        <f ca="1">IFERROR(OFFSET(환산공식!DJ$15,$F812,0),"")</f>
        <v>0</v>
      </c>
      <c r="N812" s="20" t="str">
        <f ca="1">IFERROR(CONCATENATE(ROUND(OFFSET(환산공식!DK$15,$F812,0),1),"%"),"")</f>
        <v/>
      </c>
      <c r="O812" s="20">
        <f ca="1">IFERROR(OFFSET(환산공식!DL$15,$F812,0),"")</f>
        <v>0</v>
      </c>
      <c r="P812" s="188" t="str">
        <f t="shared" ca="1" si="25"/>
        <v>3% 이하</v>
      </c>
      <c r="Q812" s="194">
        <f ca="1">IFERROR(ROUND(OFFSET(환산공식!$FG$15,$F812,0),3),"")</f>
        <v>0</v>
      </c>
      <c r="R812" s="194">
        <f ca="1">OFFSET('배치점수 계산기'!H$10,$D812,0)</f>
        <v>174.333</v>
      </c>
      <c r="S812" s="194">
        <f ca="1">OFFSET('배치점수 계산기'!I$10,$D812,0)</f>
        <v>173.85599999999999</v>
      </c>
      <c r="T812" s="194">
        <f ca="1">OFFSET('배치점수 계산기'!J$10,$D812,0)</f>
        <v>172.66800000000001</v>
      </c>
      <c r="U812" s="194">
        <f ca="1">OFFSET('배치점수 계산기'!K$10,$D812,0)</f>
        <v>171.25</v>
      </c>
      <c r="V812" s="194">
        <f ca="1">OFFSET('배치점수 계산기'!L$10,$D812,0)</f>
        <v>169.31100000000001</v>
      </c>
      <c r="W812" s="186" t="str">
        <f ca="1">OFFSET('배치점수 계산기'!M$10,$D812,0)</f>
        <v>표점</v>
      </c>
      <c r="X812" s="184" t="str">
        <f ca="1">OFFSET('배치점수 계산기'!N$10,$D812,0)</f>
        <v>표점</v>
      </c>
      <c r="Y812" s="188">
        <f ca="1">OFFSET(환산공식!FW$15,$F812,0)</f>
        <v>0.25</v>
      </c>
      <c r="Z812" s="20">
        <f ca="1">OFFSET(환산공식!FX$15,$F812,0)</f>
        <v>0.45</v>
      </c>
      <c r="AA812" s="179">
        <f ca="1">OFFSET(환산공식!FY$15,$F812,0)</f>
        <v>0.3</v>
      </c>
      <c r="AB812" s="3"/>
      <c r="AD812">
        <f t="shared" ca="1" si="26"/>
        <v>6</v>
      </c>
      <c r="AF812" s="3"/>
      <c r="AG812" s="3"/>
      <c r="AH812" s="3"/>
    </row>
    <row r="813" spans="1:34">
      <c r="A813" s="198"/>
      <c r="B813" s="198"/>
      <c r="C813" s="198" t="s">
        <v>1374</v>
      </c>
      <c r="D813" s="195">
        <v>870</v>
      </c>
      <c r="E813" s="195">
        <v>223</v>
      </c>
      <c r="F813" s="195">
        <v>223</v>
      </c>
      <c r="G813" s="239">
        <v>806</v>
      </c>
      <c r="H813" s="197" t="s">
        <v>72</v>
      </c>
      <c r="I813" s="242" t="s">
        <v>216</v>
      </c>
      <c r="J813" s="242" t="s">
        <v>13092</v>
      </c>
      <c r="K813" s="195" t="s">
        <v>70</v>
      </c>
      <c r="L813" s="20" t="str">
        <f ca="1">IF(OFFSET(환산공식!$ED$15,$F813,0)=1,"O","X")</f>
        <v>X</v>
      </c>
      <c r="M813" s="188">
        <f ca="1">IFERROR(OFFSET(환산공식!DJ$15,$F813,0),"")</f>
        <v>0</v>
      </c>
      <c r="N813" s="20" t="str">
        <f ca="1">IFERROR(CONCATENATE(ROUND(OFFSET(환산공식!DK$15,$F813,0),1),"%"),"")</f>
        <v/>
      </c>
      <c r="O813" s="20">
        <f ca="1">IFERROR(OFFSET(환산공식!DL$15,$F813,0),"")</f>
        <v>0</v>
      </c>
      <c r="P813" s="188" t="str">
        <f t="shared" ca="1" si="25"/>
        <v>3% 이하</v>
      </c>
      <c r="Q813" s="194">
        <f ca="1">IFERROR(ROUND(OFFSET(환산공식!$FG$15,$F813,0),3),"")</f>
        <v>0</v>
      </c>
      <c r="R813" s="194">
        <f ca="1">OFFSET('배치점수 계산기'!H$10,$D813,0)</f>
        <v>174.04</v>
      </c>
      <c r="S813" s="194">
        <f ca="1">OFFSET('배치점수 계산기'!I$10,$D813,0)</f>
        <v>173.47200000000001</v>
      </c>
      <c r="T813" s="194">
        <f ca="1">OFFSET('배치점수 계산기'!J$10,$D813,0)</f>
        <v>172.36600000000001</v>
      </c>
      <c r="U813" s="194">
        <f ca="1">OFFSET('배치점수 계산기'!K$10,$D813,0)</f>
        <v>170.899</v>
      </c>
      <c r="V813" s="194">
        <f ca="1">OFFSET('배치점수 계산기'!L$10,$D813,0)</f>
        <v>168.97200000000001</v>
      </c>
      <c r="W813" s="186" t="str">
        <f ca="1">OFFSET('배치점수 계산기'!M$10,$D813,0)</f>
        <v>표점</v>
      </c>
      <c r="X813" s="184" t="str">
        <f ca="1">OFFSET('배치점수 계산기'!N$10,$D813,0)</f>
        <v>표점</v>
      </c>
      <c r="Y813" s="188">
        <f ca="1">OFFSET(환산공식!FW$15,$F813,0)</f>
        <v>0.25</v>
      </c>
      <c r="Z813" s="20">
        <f ca="1">OFFSET(환산공식!FX$15,$F813,0)</f>
        <v>0.45</v>
      </c>
      <c r="AA813" s="179">
        <f ca="1">OFFSET(환산공식!FY$15,$F813,0)</f>
        <v>0.3</v>
      </c>
      <c r="AB813" s="3"/>
      <c r="AD813">
        <f t="shared" ca="1" si="26"/>
        <v>6</v>
      </c>
      <c r="AF813" s="3"/>
      <c r="AG813" s="3"/>
      <c r="AH813" s="3"/>
    </row>
    <row r="814" spans="1:34">
      <c r="A814" s="198"/>
      <c r="B814" s="198"/>
      <c r="C814" s="198" t="s">
        <v>1375</v>
      </c>
      <c r="D814" s="195">
        <v>871</v>
      </c>
      <c r="E814" s="195">
        <v>223</v>
      </c>
      <c r="F814" s="195">
        <v>223</v>
      </c>
      <c r="G814" s="239">
        <v>807</v>
      </c>
      <c r="H814" s="197" t="s">
        <v>72</v>
      </c>
      <c r="I814" s="242" t="s">
        <v>216</v>
      </c>
      <c r="J814" s="242" t="s">
        <v>13168</v>
      </c>
      <c r="K814" s="195" t="s">
        <v>70</v>
      </c>
      <c r="L814" s="20" t="str">
        <f ca="1">IF(OFFSET(환산공식!$ED$15,$F814,0)=1,"O","X")</f>
        <v>X</v>
      </c>
      <c r="M814" s="188">
        <f ca="1">IFERROR(OFFSET(환산공식!DJ$15,$F814,0),"")</f>
        <v>0</v>
      </c>
      <c r="N814" s="20" t="str">
        <f ca="1">IFERROR(CONCATENATE(ROUND(OFFSET(환산공식!DK$15,$F814,0),1),"%"),"")</f>
        <v/>
      </c>
      <c r="O814" s="20">
        <f ca="1">IFERROR(OFFSET(환산공식!DL$15,$F814,0),"")</f>
        <v>0</v>
      </c>
      <c r="P814" s="188" t="str">
        <f t="shared" ca="1" si="25"/>
        <v>3% 이하</v>
      </c>
      <c r="Q814" s="194">
        <f ca="1">IFERROR(ROUND(OFFSET(환산공식!$FG$15,$F814,0),3),"")</f>
        <v>0</v>
      </c>
      <c r="R814" s="194">
        <f ca="1">OFFSET('배치점수 계산기'!H$10,$D814,0)</f>
        <v>173.739</v>
      </c>
      <c r="S814" s="194">
        <f ca="1">OFFSET('배치점수 계산기'!I$10,$D814,0)</f>
        <v>173.08600000000001</v>
      </c>
      <c r="T814" s="194">
        <f ca="1">OFFSET('배치점수 계산기'!J$10,$D814,0)</f>
        <v>172.035</v>
      </c>
      <c r="U814" s="194">
        <f ca="1">OFFSET('배치점수 계산기'!K$10,$D814,0)</f>
        <v>170.53200000000001</v>
      </c>
      <c r="V814" s="194">
        <f ca="1">OFFSET('배치점수 계산기'!L$10,$D814,0)</f>
        <v>168.631</v>
      </c>
      <c r="W814" s="186" t="str">
        <f ca="1">OFFSET('배치점수 계산기'!M$10,$D814,0)</f>
        <v>표점</v>
      </c>
      <c r="X814" s="184" t="str">
        <f ca="1">OFFSET('배치점수 계산기'!N$10,$D814,0)</f>
        <v>표점</v>
      </c>
      <c r="Y814" s="188">
        <f ca="1">OFFSET(환산공식!FW$15,$F814,0)</f>
        <v>0.25</v>
      </c>
      <c r="Z814" s="20">
        <f ca="1">OFFSET(환산공식!FX$15,$F814,0)</f>
        <v>0.45</v>
      </c>
      <c r="AA814" s="179">
        <f ca="1">OFFSET(환산공식!FY$15,$F814,0)</f>
        <v>0.3</v>
      </c>
      <c r="AB814" s="3"/>
      <c r="AD814">
        <f t="shared" ca="1" si="26"/>
        <v>6</v>
      </c>
      <c r="AF814" s="3"/>
      <c r="AG814" s="3"/>
      <c r="AH814" s="3"/>
    </row>
    <row r="815" spans="1:34">
      <c r="A815" s="198"/>
      <c r="B815" s="198"/>
      <c r="C815" s="198" t="s">
        <v>1376</v>
      </c>
      <c r="D815" s="195">
        <v>872</v>
      </c>
      <c r="E815" s="195">
        <v>223</v>
      </c>
      <c r="F815" s="195">
        <v>223</v>
      </c>
      <c r="G815" s="239">
        <v>808</v>
      </c>
      <c r="H815" s="197" t="s">
        <v>72</v>
      </c>
      <c r="I815" s="242" t="s">
        <v>216</v>
      </c>
      <c r="J815" s="242" t="s">
        <v>13263</v>
      </c>
      <c r="K815" s="195" t="s">
        <v>70</v>
      </c>
      <c r="L815" s="20" t="str">
        <f ca="1">IF(OFFSET(환산공식!$ED$15,$F815,0)=1,"O","X")</f>
        <v>X</v>
      </c>
      <c r="M815" s="188">
        <f ca="1">IFERROR(OFFSET(환산공식!DJ$15,$F815,0),"")</f>
        <v>0</v>
      </c>
      <c r="N815" s="20" t="str">
        <f ca="1">IFERROR(CONCATENATE(ROUND(OFFSET(환산공식!DK$15,$F815,0),1),"%"),"")</f>
        <v/>
      </c>
      <c r="O815" s="20">
        <f ca="1">IFERROR(OFFSET(환산공식!DL$15,$F815,0),"")</f>
        <v>0</v>
      </c>
      <c r="P815" s="188" t="str">
        <f t="shared" ca="1" si="25"/>
        <v>3% 이하</v>
      </c>
      <c r="Q815" s="194">
        <f ca="1">IFERROR(ROUND(OFFSET(환산공식!$FG$15,$F815,0),3),"")</f>
        <v>0</v>
      </c>
      <c r="R815" s="194">
        <f ca="1">OFFSET('배치점수 계산기'!H$10,$D815,0)</f>
        <v>172.934</v>
      </c>
      <c r="S815" s="194">
        <f ca="1">OFFSET('배치점수 계산기'!I$10,$D815,0)</f>
        <v>172.31399999999999</v>
      </c>
      <c r="T815" s="194">
        <f ca="1">OFFSET('배치점수 계산기'!J$10,$D815,0)</f>
        <v>171.25</v>
      </c>
      <c r="U815" s="194">
        <f ca="1">OFFSET('배치점수 계산기'!K$10,$D815,0)</f>
        <v>169.727</v>
      </c>
      <c r="V815" s="194">
        <f ca="1">OFFSET('배치점수 계산기'!L$10,$D815,0)</f>
        <v>167.86199999999999</v>
      </c>
      <c r="W815" s="186" t="str">
        <f ca="1">OFFSET('배치점수 계산기'!M$10,$D815,0)</f>
        <v>표점</v>
      </c>
      <c r="X815" s="184" t="str">
        <f ca="1">OFFSET('배치점수 계산기'!N$10,$D815,0)</f>
        <v>표점</v>
      </c>
      <c r="Y815" s="188">
        <f ca="1">OFFSET(환산공식!FW$15,$F815,0)</f>
        <v>0.25</v>
      </c>
      <c r="Z815" s="20">
        <f ca="1">OFFSET(환산공식!FX$15,$F815,0)</f>
        <v>0.45</v>
      </c>
      <c r="AA815" s="179">
        <f ca="1">OFFSET(환산공식!FY$15,$F815,0)</f>
        <v>0.3</v>
      </c>
      <c r="AB815" s="3"/>
      <c r="AD815">
        <f t="shared" ca="1" si="26"/>
        <v>6</v>
      </c>
      <c r="AF815" s="3"/>
      <c r="AG815" s="3"/>
      <c r="AH815" s="3"/>
    </row>
    <row r="816" spans="1:34">
      <c r="A816" s="198"/>
      <c r="B816" s="198"/>
      <c r="C816" s="198" t="s">
        <v>1377</v>
      </c>
      <c r="D816" s="195">
        <v>873</v>
      </c>
      <c r="E816" s="195">
        <v>223</v>
      </c>
      <c r="F816" s="195">
        <v>223</v>
      </c>
      <c r="G816" s="239">
        <v>809</v>
      </c>
      <c r="H816" s="197" t="s">
        <v>72</v>
      </c>
      <c r="I816" s="242" t="s">
        <v>216</v>
      </c>
      <c r="J816" s="242" t="s">
        <v>13306</v>
      </c>
      <c r="K816" s="195" t="s">
        <v>70</v>
      </c>
      <c r="L816" s="20" t="str">
        <f ca="1">IF(OFFSET(환산공식!$ED$15,$F816,0)=1,"O","X")</f>
        <v>X</v>
      </c>
      <c r="M816" s="188">
        <f ca="1">IFERROR(OFFSET(환산공식!DJ$15,$F816,0),"")</f>
        <v>0</v>
      </c>
      <c r="N816" s="20" t="str">
        <f ca="1">IFERROR(CONCATENATE(ROUND(OFFSET(환산공식!DK$15,$F816,0),1),"%"),"")</f>
        <v/>
      </c>
      <c r="O816" s="20">
        <f ca="1">IFERROR(OFFSET(환산공식!DL$15,$F816,0),"")</f>
        <v>0</v>
      </c>
      <c r="P816" s="188" t="str">
        <f t="shared" ca="1" si="25"/>
        <v>3% 이하</v>
      </c>
      <c r="Q816" s="194">
        <f ca="1">IFERROR(ROUND(OFFSET(환산공식!$FG$15,$F816,0),3),"")</f>
        <v>0</v>
      </c>
      <c r="R816" s="194">
        <f ca="1">OFFSET('배치점수 계산기'!H$10,$D816,0)</f>
        <v>172.61600000000001</v>
      </c>
      <c r="S816" s="194">
        <f ca="1">OFFSET('배치점수 계산기'!I$10,$D816,0)</f>
        <v>172.125</v>
      </c>
      <c r="T816" s="194">
        <f ca="1">OFFSET('배치점수 계산기'!J$10,$D816,0)</f>
        <v>170.93700000000001</v>
      </c>
      <c r="U816" s="194">
        <f ca="1">OFFSET('배치점수 계산기'!K$10,$D816,0)</f>
        <v>169.47200000000001</v>
      </c>
      <c r="V816" s="194">
        <f ca="1">OFFSET('배치점수 계산기'!L$10,$D816,0)</f>
        <v>167.548</v>
      </c>
      <c r="W816" s="186" t="str">
        <f ca="1">OFFSET('배치점수 계산기'!M$10,$D816,0)</f>
        <v>표점</v>
      </c>
      <c r="X816" s="184" t="str">
        <f ca="1">OFFSET('배치점수 계산기'!N$10,$D816,0)</f>
        <v>표점</v>
      </c>
      <c r="Y816" s="188">
        <f ca="1">OFFSET(환산공식!FW$15,$F816,0)</f>
        <v>0.25</v>
      </c>
      <c r="Z816" s="20">
        <f ca="1">OFFSET(환산공식!FX$15,$F816,0)</f>
        <v>0.45</v>
      </c>
      <c r="AA816" s="179">
        <f ca="1">OFFSET(환산공식!FY$15,$F816,0)</f>
        <v>0.3</v>
      </c>
      <c r="AB816" s="3"/>
      <c r="AD816">
        <f t="shared" ca="1" si="26"/>
        <v>6</v>
      </c>
      <c r="AF816" s="3"/>
      <c r="AG816" s="3"/>
      <c r="AH816" s="3"/>
    </row>
    <row r="817" spans="1:34">
      <c r="A817" s="198"/>
      <c r="B817" s="198"/>
      <c r="C817" s="198" t="s">
        <v>1378</v>
      </c>
      <c r="D817" s="195">
        <v>874</v>
      </c>
      <c r="E817" s="195">
        <v>223</v>
      </c>
      <c r="F817" s="195">
        <v>223</v>
      </c>
      <c r="G817" s="239">
        <v>810</v>
      </c>
      <c r="H817" s="197" t="s">
        <v>72</v>
      </c>
      <c r="I817" s="242" t="s">
        <v>216</v>
      </c>
      <c r="J817" s="242" t="s">
        <v>13503</v>
      </c>
      <c r="K817" s="195" t="s">
        <v>70</v>
      </c>
      <c r="L817" s="20" t="str">
        <f ca="1">IF(OFFSET(환산공식!$ED$15,$F817,0)=1,"O","X")</f>
        <v>X</v>
      </c>
      <c r="M817" s="188">
        <f ca="1">IFERROR(OFFSET(환산공식!DJ$15,$F817,0),"")</f>
        <v>0</v>
      </c>
      <c r="N817" s="20" t="str">
        <f ca="1">IFERROR(CONCATENATE(ROUND(OFFSET(환산공식!DK$15,$F817,0),1),"%"),"")</f>
        <v/>
      </c>
      <c r="O817" s="20">
        <f ca="1">IFERROR(OFFSET(환산공식!DL$15,$F817,0),"")</f>
        <v>0</v>
      </c>
      <c r="P817" s="188" t="str">
        <f t="shared" ca="1" si="25"/>
        <v>3% 이하</v>
      </c>
      <c r="Q817" s="194">
        <f ca="1">IFERROR(ROUND(OFFSET(환산공식!$FG$15,$F817,0),3),"")</f>
        <v>0</v>
      </c>
      <c r="R817" s="194">
        <f ca="1">OFFSET('배치점수 계산기'!H$10,$D817,0)</f>
        <v>170.44300000000001</v>
      </c>
      <c r="S817" s="194">
        <f ca="1">OFFSET('배치점수 계산기'!I$10,$D817,0)</f>
        <v>169.83</v>
      </c>
      <c r="T817" s="194">
        <f ca="1">OFFSET('배치점수 계산기'!J$10,$D817,0)</f>
        <v>168.71799999999999</v>
      </c>
      <c r="U817" s="194">
        <f ca="1">OFFSET('배치점수 계산기'!K$10,$D817,0)</f>
        <v>167.30699999999999</v>
      </c>
      <c r="V817" s="194">
        <f ca="1">OFFSET('배치점수 계산기'!L$10,$D817,0)</f>
        <v>165.62799999999999</v>
      </c>
      <c r="W817" s="186" t="str">
        <f ca="1">OFFSET('배치점수 계산기'!M$10,$D817,0)</f>
        <v>표점</v>
      </c>
      <c r="X817" s="184" t="str">
        <f ca="1">OFFSET('배치점수 계산기'!N$10,$D817,0)</f>
        <v>표점</v>
      </c>
      <c r="Y817" s="188">
        <f ca="1">OFFSET(환산공식!FW$15,$F817,0)</f>
        <v>0.25</v>
      </c>
      <c r="Z817" s="20">
        <f ca="1">OFFSET(환산공식!FX$15,$F817,0)</f>
        <v>0.45</v>
      </c>
      <c r="AA817" s="179">
        <f ca="1">OFFSET(환산공식!FY$15,$F817,0)</f>
        <v>0.3</v>
      </c>
      <c r="AB817" s="3"/>
      <c r="AD817">
        <f t="shared" ca="1" si="26"/>
        <v>6</v>
      </c>
      <c r="AF817" s="3"/>
      <c r="AG817" s="3"/>
      <c r="AH817" s="3"/>
    </row>
    <row r="818" spans="1:34">
      <c r="A818" s="198"/>
      <c r="B818" s="198"/>
      <c r="C818" s="198" t="s">
        <v>1379</v>
      </c>
      <c r="D818" s="195">
        <v>875</v>
      </c>
      <c r="E818" s="195">
        <v>223</v>
      </c>
      <c r="F818" s="195">
        <v>223</v>
      </c>
      <c r="G818" s="239">
        <v>811</v>
      </c>
      <c r="H818" s="197" t="s">
        <v>72</v>
      </c>
      <c r="I818" s="242" t="s">
        <v>216</v>
      </c>
      <c r="J818" s="242" t="s">
        <v>9074</v>
      </c>
      <c r="K818" s="195" t="s">
        <v>70</v>
      </c>
      <c r="L818" s="20" t="str">
        <f ca="1">IF(OFFSET(환산공식!$ED$15,$F818,0)=1,"O","X")</f>
        <v>X</v>
      </c>
      <c r="M818" s="188">
        <f ca="1">IFERROR(OFFSET(환산공식!DJ$15,$F818,0),"")</f>
        <v>0</v>
      </c>
      <c r="N818" s="20" t="str">
        <f ca="1">IFERROR(CONCATENATE(ROUND(OFFSET(환산공식!DK$15,$F818,0),1),"%"),"")</f>
        <v/>
      </c>
      <c r="O818" s="20">
        <f ca="1">IFERROR(OFFSET(환산공식!DL$15,$F818,0),"")</f>
        <v>0</v>
      </c>
      <c r="P818" s="188" t="str">
        <f t="shared" ca="1" si="25"/>
        <v>3% 이하</v>
      </c>
      <c r="Q818" s="194">
        <f ca="1">IFERROR(ROUND(OFFSET(환산공식!$FG$15,$F818,0),3),"")</f>
        <v>0</v>
      </c>
      <c r="R818" s="194">
        <f ca="1">OFFSET('배치점수 계산기'!H$10,$D818,0)</f>
        <v>169.94</v>
      </c>
      <c r="S818" s="194">
        <f ca="1">OFFSET('배치점수 계산기'!I$10,$D818,0)</f>
        <v>169.36</v>
      </c>
      <c r="T818" s="194">
        <f ca="1">OFFSET('배치점수 계산기'!J$10,$D818,0)</f>
        <v>168.21299999999999</v>
      </c>
      <c r="U818" s="194">
        <f ca="1">OFFSET('배치점수 계산기'!K$10,$D818,0)</f>
        <v>166.851</v>
      </c>
      <c r="V818" s="194">
        <f ca="1">OFFSET('배치점수 계산기'!L$10,$D818,0)</f>
        <v>165.227</v>
      </c>
      <c r="W818" s="186" t="str">
        <f ca="1">OFFSET('배치점수 계산기'!M$10,$D818,0)</f>
        <v>표점</v>
      </c>
      <c r="X818" s="184" t="str">
        <f ca="1">OFFSET('배치점수 계산기'!N$10,$D818,0)</f>
        <v>표점</v>
      </c>
      <c r="Y818" s="188">
        <f ca="1">OFFSET(환산공식!FW$15,$F818,0)</f>
        <v>0.25</v>
      </c>
      <c r="Z818" s="20">
        <f ca="1">OFFSET(환산공식!FX$15,$F818,0)</f>
        <v>0.45</v>
      </c>
      <c r="AA818" s="179">
        <f ca="1">OFFSET(환산공식!FY$15,$F818,0)</f>
        <v>0.3</v>
      </c>
      <c r="AB818" s="3"/>
      <c r="AD818">
        <f t="shared" ca="1" si="26"/>
        <v>6</v>
      </c>
      <c r="AF818" s="3"/>
      <c r="AG818" s="3"/>
      <c r="AH818" s="3"/>
    </row>
    <row r="819" spans="1:34">
      <c r="A819" s="198"/>
      <c r="B819" s="198"/>
      <c r="C819" s="198" t="s">
        <v>1380</v>
      </c>
      <c r="D819" s="195">
        <v>879</v>
      </c>
      <c r="E819" s="195">
        <v>221</v>
      </c>
      <c r="F819" s="195">
        <v>221</v>
      </c>
      <c r="G819" s="239">
        <v>812</v>
      </c>
      <c r="H819" s="197" t="s">
        <v>72</v>
      </c>
      <c r="I819" s="242" t="s">
        <v>216</v>
      </c>
      <c r="J819" s="242" t="s">
        <v>8214</v>
      </c>
      <c r="K819" s="195" t="s">
        <v>71</v>
      </c>
      <c r="L819" s="20" t="str">
        <f ca="1">IF(OFFSET(환산공식!$ED$15,$F819,0)=1,"O","X")</f>
        <v>X</v>
      </c>
      <c r="M819" s="188">
        <f ca="1">IFERROR(OFFSET(환산공식!DJ$15,$F819,0),"")</f>
        <v>0</v>
      </c>
      <c r="N819" s="20" t="str">
        <f ca="1">IFERROR(CONCATENATE(ROUND(OFFSET(환산공식!DK$15,$F819,0),1),"%"),"")</f>
        <v/>
      </c>
      <c r="O819" s="20">
        <f ca="1">IFERROR(OFFSET(환산공식!DL$15,$F819,0),"")</f>
        <v>0</v>
      </c>
      <c r="P819" s="188" t="str">
        <f t="shared" ca="1" si="25"/>
        <v>3% 이하</v>
      </c>
      <c r="Q819" s="194">
        <f ca="1">IFERROR(ROUND(OFFSET(환산공식!$FG$15,$F819,0),3),"")</f>
        <v>0</v>
      </c>
      <c r="R819" s="194">
        <f ca="1">OFFSET('배치점수 계산기'!H$10,$D819,0)</f>
        <v>185.29</v>
      </c>
      <c r="S819" s="194">
        <f ca="1">OFFSET('배치점수 계산기'!I$10,$D819,0)</f>
        <v>184.09200000000001</v>
      </c>
      <c r="T819" s="194">
        <f ca="1">OFFSET('배치점수 계산기'!J$10,$D819,0)</f>
        <v>181.947</v>
      </c>
      <c r="U819" s="194">
        <f ca="1">OFFSET('배치점수 계산기'!K$10,$D819,0)</f>
        <v>179.43299999999999</v>
      </c>
      <c r="V819" s="194">
        <f ca="1">OFFSET('배치점수 계산기'!L$10,$D819,0)</f>
        <v>176.98</v>
      </c>
      <c r="W819" s="186" t="str">
        <f ca="1">OFFSET('배치점수 계산기'!M$10,$D819,0)</f>
        <v>표점</v>
      </c>
      <c r="X819" s="184" t="str">
        <f ca="1">OFFSET('배치점수 계산기'!N$10,$D819,0)</f>
        <v>표점</v>
      </c>
      <c r="Y819" s="188">
        <f ca="1">OFFSET(환산공식!FW$15,$F819,0)</f>
        <v>0.45</v>
      </c>
      <c r="Z819" s="20">
        <f ca="1">OFFSET(환산공식!FX$15,$F819,0)</f>
        <v>0.25</v>
      </c>
      <c r="AA819" s="179">
        <f ca="1">OFFSET(환산공식!FY$15,$F819,0)</f>
        <v>0.3</v>
      </c>
      <c r="AB819" s="3"/>
      <c r="AD819">
        <f t="shared" ca="1" si="26"/>
        <v>6</v>
      </c>
      <c r="AF819" s="3"/>
      <c r="AG819" s="3"/>
      <c r="AH819" s="3"/>
    </row>
    <row r="820" spans="1:34">
      <c r="A820" s="198"/>
      <c r="B820" s="198"/>
      <c r="C820" s="198" t="s">
        <v>1381</v>
      </c>
      <c r="D820" s="195">
        <v>880</v>
      </c>
      <c r="E820" s="195">
        <v>221</v>
      </c>
      <c r="F820" s="195">
        <v>221</v>
      </c>
      <c r="G820" s="239">
        <v>813</v>
      </c>
      <c r="H820" s="197" t="s">
        <v>72</v>
      </c>
      <c r="I820" s="242" t="s">
        <v>216</v>
      </c>
      <c r="J820" s="242" t="s">
        <v>10466</v>
      </c>
      <c r="K820" s="195" t="s">
        <v>71</v>
      </c>
      <c r="L820" s="20" t="str">
        <f ca="1">IF(OFFSET(환산공식!$ED$15,$F820,0)=1,"O","X")</f>
        <v>X</v>
      </c>
      <c r="M820" s="188">
        <f ca="1">IFERROR(OFFSET(환산공식!DJ$15,$F820,0),"")</f>
        <v>0</v>
      </c>
      <c r="N820" s="20" t="str">
        <f ca="1">IFERROR(CONCATENATE(ROUND(OFFSET(환산공식!DK$15,$F820,0),1),"%"),"")</f>
        <v/>
      </c>
      <c r="O820" s="20">
        <f ca="1">IFERROR(OFFSET(환산공식!DL$15,$F820,0),"")</f>
        <v>0</v>
      </c>
      <c r="P820" s="188" t="str">
        <f t="shared" ca="1" si="25"/>
        <v>3% 이하</v>
      </c>
      <c r="Q820" s="194">
        <f ca="1">IFERROR(ROUND(OFFSET(환산공식!$FG$15,$F820,0),3),"")</f>
        <v>0</v>
      </c>
      <c r="R820" s="194">
        <f ca="1">OFFSET('배치점수 계산기'!H$10,$D820,0)</f>
        <v>179.55</v>
      </c>
      <c r="S820" s="194">
        <f ca="1">OFFSET('배치점수 계산기'!I$10,$D820,0)</f>
        <v>178.74299999999999</v>
      </c>
      <c r="T820" s="194">
        <f ca="1">OFFSET('배치점수 계산기'!J$10,$D820,0)</f>
        <v>177.24299999999999</v>
      </c>
      <c r="U820" s="194">
        <f ca="1">OFFSET('배치점수 계산기'!K$10,$D820,0)</f>
        <v>175.27199999999999</v>
      </c>
      <c r="V820" s="194">
        <f ca="1">OFFSET('배치점수 계산기'!L$10,$D820,0)</f>
        <v>173.148</v>
      </c>
      <c r="W820" s="186" t="str">
        <f ca="1">OFFSET('배치점수 계산기'!M$10,$D820,0)</f>
        <v>표점</v>
      </c>
      <c r="X820" s="184" t="str">
        <f ca="1">OFFSET('배치점수 계산기'!N$10,$D820,0)</f>
        <v>표점</v>
      </c>
      <c r="Y820" s="188">
        <f ca="1">OFFSET(환산공식!FW$15,$F820,0)</f>
        <v>0.45</v>
      </c>
      <c r="Z820" s="20">
        <f ca="1">OFFSET(환산공식!FX$15,$F820,0)</f>
        <v>0.25</v>
      </c>
      <c r="AA820" s="179">
        <f ca="1">OFFSET(환산공식!FY$15,$F820,0)</f>
        <v>0.3</v>
      </c>
      <c r="AB820" s="3"/>
      <c r="AD820">
        <f t="shared" ca="1" si="26"/>
        <v>6</v>
      </c>
      <c r="AF820" s="3"/>
      <c r="AG820" s="3"/>
      <c r="AH820" s="3"/>
    </row>
    <row r="821" spans="1:34">
      <c r="A821" s="198"/>
      <c r="B821" s="198"/>
      <c r="C821" s="198" t="s">
        <v>1382</v>
      </c>
      <c r="D821" s="195">
        <v>881</v>
      </c>
      <c r="E821" s="195">
        <v>221</v>
      </c>
      <c r="F821" s="195">
        <v>221</v>
      </c>
      <c r="G821" s="239">
        <v>814</v>
      </c>
      <c r="H821" s="197" t="s">
        <v>72</v>
      </c>
      <c r="I821" s="242" t="s">
        <v>216</v>
      </c>
      <c r="J821" s="242" t="s">
        <v>11622</v>
      </c>
      <c r="K821" s="195" t="s">
        <v>71</v>
      </c>
      <c r="L821" s="20" t="str">
        <f ca="1">IF(OFFSET(환산공식!$ED$15,$F821,0)=1,"O","X")</f>
        <v>X</v>
      </c>
      <c r="M821" s="188">
        <f ca="1">IFERROR(OFFSET(환산공식!DJ$15,$F821,0),"")</f>
        <v>0</v>
      </c>
      <c r="N821" s="20" t="str">
        <f ca="1">IFERROR(CONCATENATE(ROUND(OFFSET(환산공식!DK$15,$F821,0),1),"%"),"")</f>
        <v/>
      </c>
      <c r="O821" s="20">
        <f ca="1">IFERROR(OFFSET(환산공식!DL$15,$F821,0),"")</f>
        <v>0</v>
      </c>
      <c r="P821" s="188" t="str">
        <f t="shared" ca="1" si="25"/>
        <v>3% 이하</v>
      </c>
      <c r="Q821" s="194">
        <f ca="1">IFERROR(ROUND(OFFSET(환산공식!$FG$15,$F821,0),3),"")</f>
        <v>0</v>
      </c>
      <c r="R821" s="194">
        <f ca="1">OFFSET('배치점수 계산기'!H$10,$D821,0)</f>
        <v>178.93799999999999</v>
      </c>
      <c r="S821" s="194">
        <f ca="1">OFFSET('배치점수 계산기'!I$10,$D821,0)</f>
        <v>178.148</v>
      </c>
      <c r="T821" s="194">
        <f ca="1">OFFSET('배치점수 계산기'!J$10,$D821,0)</f>
        <v>176.87</v>
      </c>
      <c r="U821" s="194">
        <f ca="1">OFFSET('배치점수 계산기'!K$10,$D821,0)</f>
        <v>175.595</v>
      </c>
      <c r="V821" s="194">
        <f ca="1">OFFSET('배치점수 계산기'!L$10,$D821,0)</f>
        <v>173.72</v>
      </c>
      <c r="W821" s="186" t="str">
        <f ca="1">OFFSET('배치점수 계산기'!M$10,$D821,0)</f>
        <v>표점</v>
      </c>
      <c r="X821" s="184" t="str">
        <f ca="1">OFFSET('배치점수 계산기'!N$10,$D821,0)</f>
        <v>표점</v>
      </c>
      <c r="Y821" s="188">
        <f ca="1">OFFSET(환산공식!FW$15,$F821,0)</f>
        <v>0.45</v>
      </c>
      <c r="Z821" s="20">
        <f ca="1">OFFSET(환산공식!FX$15,$F821,0)</f>
        <v>0.25</v>
      </c>
      <c r="AA821" s="179">
        <f ca="1">OFFSET(환산공식!FY$15,$F821,0)</f>
        <v>0.3</v>
      </c>
      <c r="AB821" s="3"/>
      <c r="AD821">
        <f t="shared" ca="1" si="26"/>
        <v>6</v>
      </c>
      <c r="AF821" s="3"/>
      <c r="AG821" s="3"/>
      <c r="AH821" s="3"/>
    </row>
    <row r="822" spans="1:34">
      <c r="A822" s="198"/>
      <c r="B822" s="198"/>
      <c r="C822" s="198" t="s">
        <v>1383</v>
      </c>
      <c r="D822" s="195">
        <v>882</v>
      </c>
      <c r="E822" s="195">
        <v>221</v>
      </c>
      <c r="F822" s="195">
        <v>221</v>
      </c>
      <c r="G822" s="239">
        <v>815</v>
      </c>
      <c r="H822" s="197" t="s">
        <v>72</v>
      </c>
      <c r="I822" s="242" t="s">
        <v>216</v>
      </c>
      <c r="J822" s="242" t="s">
        <v>8534</v>
      </c>
      <c r="K822" s="195" t="s">
        <v>71</v>
      </c>
      <c r="L822" s="20" t="str">
        <f ca="1">IF(OFFSET(환산공식!$ED$15,$F822,0)=1,"O","X")</f>
        <v>X</v>
      </c>
      <c r="M822" s="188">
        <f ca="1">IFERROR(OFFSET(환산공식!DJ$15,$F822,0),"")</f>
        <v>0</v>
      </c>
      <c r="N822" s="20" t="str">
        <f ca="1">IFERROR(CONCATENATE(ROUND(OFFSET(환산공식!DK$15,$F822,0),1),"%"),"")</f>
        <v/>
      </c>
      <c r="O822" s="20">
        <f ca="1">IFERROR(OFFSET(환산공식!DL$15,$F822,0),"")</f>
        <v>0</v>
      </c>
      <c r="P822" s="188" t="str">
        <f t="shared" ca="1" si="25"/>
        <v>3% 이하</v>
      </c>
      <c r="Q822" s="194">
        <f ca="1">IFERROR(ROUND(OFFSET(환산공식!$FG$15,$F822,0),3),"")</f>
        <v>0</v>
      </c>
      <c r="R822" s="194">
        <f ca="1">OFFSET('배치점수 계산기'!H$10,$D822,0)</f>
        <v>178.148</v>
      </c>
      <c r="S822" s="194">
        <f ca="1">OFFSET('배치점수 계산기'!I$10,$D822,0)</f>
        <v>177.357</v>
      </c>
      <c r="T822" s="194">
        <f ca="1">OFFSET('배치점수 계산기'!J$10,$D822,0)</f>
        <v>175.90799999999999</v>
      </c>
      <c r="U822" s="194">
        <f ca="1">OFFSET('배치점수 계산기'!K$10,$D822,0)</f>
        <v>174.042</v>
      </c>
      <c r="V822" s="194">
        <f ca="1">OFFSET('배치점수 계산기'!L$10,$D822,0)</f>
        <v>171.96799999999999</v>
      </c>
      <c r="W822" s="186" t="str">
        <f ca="1">OFFSET('배치점수 계산기'!M$10,$D822,0)</f>
        <v>표점</v>
      </c>
      <c r="X822" s="184" t="str">
        <f ca="1">OFFSET('배치점수 계산기'!N$10,$D822,0)</f>
        <v>표점</v>
      </c>
      <c r="Y822" s="188">
        <f ca="1">OFFSET(환산공식!FW$15,$F822,0)</f>
        <v>0.45</v>
      </c>
      <c r="Z822" s="20">
        <f ca="1">OFFSET(환산공식!FX$15,$F822,0)</f>
        <v>0.25</v>
      </c>
      <c r="AA822" s="179">
        <f ca="1">OFFSET(환산공식!FY$15,$F822,0)</f>
        <v>0.3</v>
      </c>
      <c r="AB822" s="3"/>
      <c r="AD822">
        <f t="shared" ca="1" si="26"/>
        <v>6</v>
      </c>
      <c r="AF822" s="3"/>
      <c r="AG822" s="3"/>
      <c r="AH822" s="3"/>
    </row>
    <row r="823" spans="1:34">
      <c r="A823" s="198"/>
      <c r="B823" s="198"/>
      <c r="C823" s="198" t="s">
        <v>1384</v>
      </c>
      <c r="D823" s="195">
        <v>883</v>
      </c>
      <c r="E823" s="195">
        <v>221</v>
      </c>
      <c r="F823" s="195">
        <v>221</v>
      </c>
      <c r="G823" s="239">
        <v>816</v>
      </c>
      <c r="H823" s="197" t="s">
        <v>72</v>
      </c>
      <c r="I823" s="242" t="s">
        <v>216</v>
      </c>
      <c r="J823" s="242" t="s">
        <v>8275</v>
      </c>
      <c r="K823" s="195" t="s">
        <v>71</v>
      </c>
      <c r="L823" s="20" t="str">
        <f ca="1">IF(OFFSET(환산공식!$ED$15,$F823,0)=1,"O","X")</f>
        <v>X</v>
      </c>
      <c r="M823" s="188">
        <f ca="1">IFERROR(OFFSET(환산공식!DJ$15,$F823,0),"")</f>
        <v>0</v>
      </c>
      <c r="N823" s="20" t="str">
        <f ca="1">IFERROR(CONCATENATE(ROUND(OFFSET(환산공식!DK$15,$F823,0),1),"%"),"")</f>
        <v/>
      </c>
      <c r="O823" s="20">
        <f ca="1">IFERROR(OFFSET(환산공식!DL$15,$F823,0),"")</f>
        <v>0</v>
      </c>
      <c r="P823" s="188" t="str">
        <f t="shared" ca="1" si="25"/>
        <v>3% 이하</v>
      </c>
      <c r="Q823" s="194">
        <f ca="1">IFERROR(ROUND(OFFSET(환산공식!$FG$15,$F823,0),3),"")</f>
        <v>0</v>
      </c>
      <c r="R823" s="194">
        <f ca="1">OFFSET('배치점수 계산기'!H$10,$D823,0)</f>
        <v>178.06</v>
      </c>
      <c r="S823" s="194">
        <f ca="1">OFFSET('배치점수 계산기'!I$10,$D823,0)</f>
        <v>177.24299999999999</v>
      </c>
      <c r="T823" s="194">
        <f ca="1">OFFSET('배치점수 계산기'!J$10,$D823,0)</f>
        <v>175.8</v>
      </c>
      <c r="U823" s="194">
        <f ca="1">OFFSET('배치점수 계산기'!K$10,$D823,0)</f>
        <v>174.005</v>
      </c>
      <c r="V823" s="194">
        <f ca="1">OFFSET('배치점수 계산기'!L$10,$D823,0)</f>
        <v>171.86699999999999</v>
      </c>
      <c r="W823" s="186" t="str">
        <f ca="1">OFFSET('배치점수 계산기'!M$10,$D823,0)</f>
        <v>표점</v>
      </c>
      <c r="X823" s="184" t="str">
        <f ca="1">OFFSET('배치점수 계산기'!N$10,$D823,0)</f>
        <v>표점</v>
      </c>
      <c r="Y823" s="188">
        <f ca="1">OFFSET(환산공식!FW$15,$F823,0)</f>
        <v>0.45</v>
      </c>
      <c r="Z823" s="20">
        <f ca="1">OFFSET(환산공식!FX$15,$F823,0)</f>
        <v>0.25</v>
      </c>
      <c r="AA823" s="179">
        <f ca="1">OFFSET(환산공식!FY$15,$F823,0)</f>
        <v>0.3</v>
      </c>
      <c r="AB823" s="3"/>
      <c r="AD823">
        <f t="shared" ca="1" si="26"/>
        <v>6</v>
      </c>
      <c r="AF823" s="3"/>
      <c r="AG823" s="3"/>
      <c r="AH823" s="3"/>
    </row>
    <row r="824" spans="1:34">
      <c r="A824" s="198"/>
      <c r="B824" s="198"/>
      <c r="C824" s="198" t="s">
        <v>1385</v>
      </c>
      <c r="D824" s="195">
        <v>884</v>
      </c>
      <c r="E824" s="195">
        <v>221</v>
      </c>
      <c r="F824" s="195">
        <v>221</v>
      </c>
      <c r="G824" s="239">
        <v>817</v>
      </c>
      <c r="H824" s="197" t="s">
        <v>72</v>
      </c>
      <c r="I824" s="242" t="s">
        <v>216</v>
      </c>
      <c r="J824" s="242" t="s">
        <v>8953</v>
      </c>
      <c r="K824" s="195" t="s">
        <v>71</v>
      </c>
      <c r="L824" s="20" t="str">
        <f ca="1">IF(OFFSET(환산공식!$ED$15,$F824,0)=1,"O","X")</f>
        <v>X</v>
      </c>
      <c r="M824" s="188">
        <f ca="1">IFERROR(OFFSET(환산공식!DJ$15,$F824,0),"")</f>
        <v>0</v>
      </c>
      <c r="N824" s="20" t="str">
        <f ca="1">IFERROR(CONCATENATE(ROUND(OFFSET(환산공식!DK$15,$F824,0),1),"%"),"")</f>
        <v/>
      </c>
      <c r="O824" s="20">
        <f ca="1">IFERROR(OFFSET(환산공식!DL$15,$F824,0),"")</f>
        <v>0</v>
      </c>
      <c r="P824" s="188" t="str">
        <f t="shared" ca="1" si="25"/>
        <v>3% 이하</v>
      </c>
      <c r="Q824" s="194">
        <f ca="1">IFERROR(ROUND(OFFSET(환산공식!$FG$15,$F824,0),3),"")</f>
        <v>0</v>
      </c>
      <c r="R824" s="194">
        <f ca="1">OFFSET('배치점수 계산기'!H$10,$D824,0)</f>
        <v>178.06</v>
      </c>
      <c r="S824" s="194">
        <f ca="1">OFFSET('배치점수 계산기'!I$10,$D824,0)</f>
        <v>177.24299999999999</v>
      </c>
      <c r="T824" s="194">
        <f ca="1">OFFSET('배치점수 계산기'!J$10,$D824,0)</f>
        <v>175.8</v>
      </c>
      <c r="U824" s="194">
        <f ca="1">OFFSET('배치점수 계산기'!K$10,$D824,0)</f>
        <v>174.005</v>
      </c>
      <c r="V824" s="194">
        <f ca="1">OFFSET('배치점수 계산기'!L$10,$D824,0)</f>
        <v>171.86699999999999</v>
      </c>
      <c r="W824" s="186" t="str">
        <f ca="1">OFFSET('배치점수 계산기'!M$10,$D824,0)</f>
        <v>표점</v>
      </c>
      <c r="X824" s="184" t="str">
        <f ca="1">OFFSET('배치점수 계산기'!N$10,$D824,0)</f>
        <v>표점</v>
      </c>
      <c r="Y824" s="188">
        <f ca="1">OFFSET(환산공식!FW$15,$F824,0)</f>
        <v>0.45</v>
      </c>
      <c r="Z824" s="20">
        <f ca="1">OFFSET(환산공식!FX$15,$F824,0)</f>
        <v>0.25</v>
      </c>
      <c r="AA824" s="179">
        <f ca="1">OFFSET(환산공식!FY$15,$F824,0)</f>
        <v>0.3</v>
      </c>
      <c r="AB824" s="3"/>
      <c r="AD824">
        <f t="shared" ca="1" si="26"/>
        <v>6</v>
      </c>
      <c r="AF824" s="3"/>
      <c r="AG824" s="3"/>
      <c r="AH824" s="3"/>
    </row>
    <row r="825" spans="1:34">
      <c r="A825" s="198"/>
      <c r="B825" s="198"/>
      <c r="C825" s="198" t="s">
        <v>1386</v>
      </c>
      <c r="D825" s="195">
        <v>885</v>
      </c>
      <c r="E825" s="195">
        <v>221</v>
      </c>
      <c r="F825" s="195">
        <v>221</v>
      </c>
      <c r="G825" s="239">
        <v>818</v>
      </c>
      <c r="H825" s="197" t="s">
        <v>72</v>
      </c>
      <c r="I825" s="242" t="s">
        <v>216</v>
      </c>
      <c r="J825" s="242" t="s">
        <v>11935</v>
      </c>
      <c r="K825" s="195" t="s">
        <v>71</v>
      </c>
      <c r="L825" s="20" t="str">
        <f ca="1">IF(OFFSET(환산공식!$ED$15,$F825,0)=1,"O","X")</f>
        <v>X</v>
      </c>
      <c r="M825" s="188">
        <f ca="1">IFERROR(OFFSET(환산공식!DJ$15,$F825,0),"")</f>
        <v>0</v>
      </c>
      <c r="N825" s="20" t="str">
        <f ca="1">IFERROR(CONCATENATE(ROUND(OFFSET(환산공식!DK$15,$F825,0),1),"%"),"")</f>
        <v/>
      </c>
      <c r="O825" s="20">
        <f ca="1">IFERROR(OFFSET(환산공식!DL$15,$F825,0),"")</f>
        <v>0</v>
      </c>
      <c r="P825" s="188" t="str">
        <f t="shared" ca="1" si="25"/>
        <v>3% 이하</v>
      </c>
      <c r="Q825" s="194">
        <f ca="1">IFERROR(ROUND(OFFSET(환산공식!$FG$15,$F825,0),3),"")</f>
        <v>0</v>
      </c>
      <c r="R825" s="194">
        <f ca="1">OFFSET('배치점수 계산기'!H$10,$D825,0)</f>
        <v>177.048</v>
      </c>
      <c r="S825" s="194">
        <f ca="1">OFFSET('배치점수 계산기'!I$10,$D825,0)</f>
        <v>176.285</v>
      </c>
      <c r="T825" s="194">
        <f ca="1">OFFSET('배치점수 계산기'!J$10,$D825,0)</f>
        <v>174.845</v>
      </c>
      <c r="U825" s="194">
        <f ca="1">OFFSET('배치점수 계산기'!K$10,$D825,0)</f>
        <v>173.148</v>
      </c>
      <c r="V825" s="194">
        <f ca="1">OFFSET('배치점수 계산기'!L$10,$D825,0)</f>
        <v>171.04</v>
      </c>
      <c r="W825" s="186" t="str">
        <f ca="1">OFFSET('배치점수 계산기'!M$10,$D825,0)</f>
        <v>표점</v>
      </c>
      <c r="X825" s="184" t="str">
        <f ca="1">OFFSET('배치점수 계산기'!N$10,$D825,0)</f>
        <v>표점</v>
      </c>
      <c r="Y825" s="188">
        <f ca="1">OFFSET(환산공식!FW$15,$F825,0)</f>
        <v>0.45</v>
      </c>
      <c r="Z825" s="20">
        <f ca="1">OFFSET(환산공식!FX$15,$F825,0)</f>
        <v>0.25</v>
      </c>
      <c r="AA825" s="179">
        <f ca="1">OFFSET(환산공식!FY$15,$F825,0)</f>
        <v>0.3</v>
      </c>
      <c r="AB825" s="3"/>
      <c r="AD825">
        <f t="shared" ca="1" si="26"/>
        <v>6</v>
      </c>
      <c r="AF825" s="3"/>
      <c r="AG825" s="3"/>
      <c r="AH825" s="3"/>
    </row>
    <row r="826" spans="1:34">
      <c r="A826" s="198"/>
      <c r="B826" s="198"/>
      <c r="C826" s="198" t="s">
        <v>1387</v>
      </c>
      <c r="D826" s="195">
        <v>886</v>
      </c>
      <c r="E826" s="195">
        <v>221</v>
      </c>
      <c r="F826" s="195">
        <v>221</v>
      </c>
      <c r="G826" s="239">
        <v>819</v>
      </c>
      <c r="H826" s="197" t="s">
        <v>72</v>
      </c>
      <c r="I826" s="242" t="s">
        <v>216</v>
      </c>
      <c r="J826" s="242" t="s">
        <v>8772</v>
      </c>
      <c r="K826" s="195" t="s">
        <v>71</v>
      </c>
      <c r="L826" s="20" t="str">
        <f ca="1">IF(OFFSET(환산공식!$ED$15,$F826,0)=1,"O","X")</f>
        <v>X</v>
      </c>
      <c r="M826" s="188">
        <f ca="1">IFERROR(OFFSET(환산공식!DJ$15,$F826,0),"")</f>
        <v>0</v>
      </c>
      <c r="N826" s="20" t="str">
        <f ca="1">IFERROR(CONCATENATE(ROUND(OFFSET(환산공식!DK$15,$F826,0),1),"%"),"")</f>
        <v/>
      </c>
      <c r="O826" s="20">
        <f ca="1">IFERROR(OFFSET(환산공식!DL$15,$F826,0),"")</f>
        <v>0</v>
      </c>
      <c r="P826" s="188" t="str">
        <f t="shared" ca="1" si="25"/>
        <v>3% 이하</v>
      </c>
      <c r="Q826" s="194">
        <f ca="1">IFERROR(ROUND(OFFSET(환산공식!$FG$15,$F826,0),3),"")</f>
        <v>0</v>
      </c>
      <c r="R826" s="194">
        <f ca="1">OFFSET('배치점수 계산기'!H$10,$D826,0)</f>
        <v>176.76300000000001</v>
      </c>
      <c r="S826" s="194">
        <f ca="1">OFFSET('배치점수 계산기'!I$10,$D826,0)</f>
        <v>176.09</v>
      </c>
      <c r="T826" s="194">
        <f ca="1">OFFSET('배치점수 계산기'!J$10,$D826,0)</f>
        <v>174.678</v>
      </c>
      <c r="U826" s="194">
        <f ca="1">OFFSET('배치점수 계산기'!K$10,$D826,0)</f>
        <v>172.94300000000001</v>
      </c>
      <c r="V826" s="194">
        <f ca="1">OFFSET('배치점수 계산기'!L$10,$D826,0)</f>
        <v>170.82499999999999</v>
      </c>
      <c r="W826" s="186" t="str">
        <f ca="1">OFFSET('배치점수 계산기'!M$10,$D826,0)</f>
        <v>표점</v>
      </c>
      <c r="X826" s="184" t="str">
        <f ca="1">OFFSET('배치점수 계산기'!N$10,$D826,0)</f>
        <v>표점</v>
      </c>
      <c r="Y826" s="188">
        <f ca="1">OFFSET(환산공식!FW$15,$F826,0)</f>
        <v>0.45</v>
      </c>
      <c r="Z826" s="20">
        <f ca="1">OFFSET(환산공식!FX$15,$F826,0)</f>
        <v>0.25</v>
      </c>
      <c r="AA826" s="179">
        <f ca="1">OFFSET(환산공식!FY$15,$F826,0)</f>
        <v>0.3</v>
      </c>
      <c r="AB826" s="3"/>
      <c r="AD826">
        <f t="shared" ca="1" si="26"/>
        <v>6</v>
      </c>
      <c r="AF826" s="3"/>
      <c r="AG826" s="3"/>
      <c r="AH826" s="3"/>
    </row>
    <row r="827" spans="1:34">
      <c r="A827" s="198"/>
      <c r="B827" s="198"/>
      <c r="C827" s="198" t="s">
        <v>1388</v>
      </c>
      <c r="D827" s="195">
        <v>887</v>
      </c>
      <c r="E827" s="195">
        <v>221</v>
      </c>
      <c r="F827" s="195">
        <v>221</v>
      </c>
      <c r="G827" s="239">
        <v>820</v>
      </c>
      <c r="H827" s="197" t="s">
        <v>72</v>
      </c>
      <c r="I827" s="242" t="s">
        <v>216</v>
      </c>
      <c r="J827" s="242" t="s">
        <v>563</v>
      </c>
      <c r="K827" s="195" t="s">
        <v>71</v>
      </c>
      <c r="L827" s="20" t="str">
        <f ca="1">IF(OFFSET(환산공식!$ED$15,$F827,0)=1,"O","X")</f>
        <v>X</v>
      </c>
      <c r="M827" s="188">
        <f ca="1">IFERROR(OFFSET(환산공식!DJ$15,$F827,0),"")</f>
        <v>0</v>
      </c>
      <c r="N827" s="20" t="str">
        <f ca="1">IFERROR(CONCATENATE(ROUND(OFFSET(환산공식!DK$15,$F827,0),1),"%"),"")</f>
        <v/>
      </c>
      <c r="O827" s="20">
        <f ca="1">IFERROR(OFFSET(환산공식!DL$15,$F827,0),"")</f>
        <v>0</v>
      </c>
      <c r="P827" s="188" t="str">
        <f t="shared" ca="1" si="25"/>
        <v>3% 이하</v>
      </c>
      <c r="Q827" s="194">
        <f ca="1">IFERROR(ROUND(OFFSET(환산공식!$FG$15,$F827,0),3),"")</f>
        <v>0</v>
      </c>
      <c r="R827" s="194">
        <f ca="1">OFFSET('배치점수 계산기'!H$10,$D827,0)</f>
        <v>175.595</v>
      </c>
      <c r="S827" s="194">
        <f ca="1">OFFSET('배치점수 계산기'!I$10,$D827,0)</f>
        <v>174.88200000000001</v>
      </c>
      <c r="T827" s="194">
        <f ca="1">OFFSET('배치점수 계산기'!J$10,$D827,0)</f>
        <v>173.55799999999999</v>
      </c>
      <c r="U827" s="194">
        <f ca="1">OFFSET('배치점수 계산기'!K$10,$D827,0)</f>
        <v>171.86699999999999</v>
      </c>
      <c r="V827" s="194">
        <f ca="1">OFFSET('배치점수 계산기'!L$10,$D827,0)</f>
        <v>169.82300000000001</v>
      </c>
      <c r="W827" s="186" t="str">
        <f ca="1">OFFSET('배치점수 계산기'!M$10,$D827,0)</f>
        <v>표점</v>
      </c>
      <c r="X827" s="184" t="str">
        <f ca="1">OFFSET('배치점수 계산기'!N$10,$D827,0)</f>
        <v>표점</v>
      </c>
      <c r="Y827" s="188">
        <f ca="1">OFFSET(환산공식!FW$15,$F827,0)</f>
        <v>0.45</v>
      </c>
      <c r="Z827" s="20">
        <f ca="1">OFFSET(환산공식!FX$15,$F827,0)</f>
        <v>0.25</v>
      </c>
      <c r="AA827" s="179">
        <f ca="1">OFFSET(환산공식!FY$15,$F827,0)</f>
        <v>0.3</v>
      </c>
      <c r="AB827" s="3"/>
      <c r="AD827">
        <f t="shared" ca="1" si="26"/>
        <v>6</v>
      </c>
      <c r="AF827" s="3"/>
      <c r="AG827" s="3"/>
      <c r="AH827" s="3"/>
    </row>
    <row r="828" spans="1:34">
      <c r="A828" s="198"/>
      <c r="B828" s="198"/>
      <c r="C828" s="198" t="s">
        <v>1389</v>
      </c>
      <c r="D828" s="195">
        <v>888</v>
      </c>
      <c r="E828" s="195">
        <v>221</v>
      </c>
      <c r="F828" s="195">
        <v>221</v>
      </c>
      <c r="G828" s="239">
        <v>821</v>
      </c>
      <c r="H828" s="197" t="s">
        <v>72</v>
      </c>
      <c r="I828" s="242" t="s">
        <v>216</v>
      </c>
      <c r="J828" s="242" t="s">
        <v>12337</v>
      </c>
      <c r="K828" s="195" t="s">
        <v>71</v>
      </c>
      <c r="L828" s="20" t="str">
        <f ca="1">IF(OFFSET(환산공식!$ED$15,$F828,0)=1,"O","X")</f>
        <v>X</v>
      </c>
      <c r="M828" s="188">
        <f ca="1">IFERROR(OFFSET(환산공식!DJ$15,$F828,0),"")</f>
        <v>0</v>
      </c>
      <c r="N828" s="20" t="str">
        <f ca="1">IFERROR(CONCATENATE(ROUND(OFFSET(환산공식!DK$15,$F828,0),1),"%"),"")</f>
        <v/>
      </c>
      <c r="O828" s="20">
        <f ca="1">IFERROR(OFFSET(환산공식!DL$15,$F828,0),"")</f>
        <v>0</v>
      </c>
      <c r="P828" s="188" t="str">
        <f t="shared" ca="1" si="25"/>
        <v>3% 이하</v>
      </c>
      <c r="Q828" s="194">
        <f ca="1">IFERROR(ROUND(OFFSET(환산공식!$FG$15,$F828,0),3),"")</f>
        <v>0</v>
      </c>
      <c r="R828" s="194">
        <f ca="1">OFFSET('배치점수 계산기'!H$10,$D828,0)</f>
        <v>174.93299999999999</v>
      </c>
      <c r="S828" s="194">
        <f ca="1">OFFSET('배치점수 계산기'!I$10,$D828,0)</f>
        <v>174.25</v>
      </c>
      <c r="T828" s="194">
        <f ca="1">OFFSET('배치점수 계산기'!J$10,$D828,0)</f>
        <v>173.09700000000001</v>
      </c>
      <c r="U828" s="194">
        <f ca="1">OFFSET('배치점수 계산기'!K$10,$D828,0)</f>
        <v>171.45</v>
      </c>
      <c r="V828" s="194">
        <f ca="1">OFFSET('배치점수 계산기'!L$10,$D828,0)</f>
        <v>169.5</v>
      </c>
      <c r="W828" s="186" t="str">
        <f ca="1">OFFSET('배치점수 계산기'!M$10,$D828,0)</f>
        <v>표점</v>
      </c>
      <c r="X828" s="184" t="str">
        <f ca="1">OFFSET('배치점수 계산기'!N$10,$D828,0)</f>
        <v>표점</v>
      </c>
      <c r="Y828" s="188">
        <f ca="1">OFFSET(환산공식!FW$15,$F828,0)</f>
        <v>0.45</v>
      </c>
      <c r="Z828" s="20">
        <f ca="1">OFFSET(환산공식!FX$15,$F828,0)</f>
        <v>0.25</v>
      </c>
      <c r="AA828" s="179">
        <f ca="1">OFFSET(환산공식!FY$15,$F828,0)</f>
        <v>0.3</v>
      </c>
      <c r="AB828" s="3"/>
      <c r="AD828">
        <f t="shared" ca="1" si="26"/>
        <v>6</v>
      </c>
      <c r="AF828" s="3"/>
      <c r="AG828" s="3"/>
      <c r="AH828" s="3"/>
    </row>
    <row r="829" spans="1:34">
      <c r="A829" s="198"/>
      <c r="B829" s="198"/>
      <c r="C829" s="198" t="s">
        <v>1390</v>
      </c>
      <c r="D829" s="195">
        <v>889</v>
      </c>
      <c r="E829" s="195">
        <v>221</v>
      </c>
      <c r="F829" s="195">
        <v>221</v>
      </c>
      <c r="G829" s="239">
        <v>822</v>
      </c>
      <c r="H829" s="197" t="s">
        <v>72</v>
      </c>
      <c r="I829" s="242" t="s">
        <v>216</v>
      </c>
      <c r="J829" s="242" t="s">
        <v>499</v>
      </c>
      <c r="K829" s="195" t="s">
        <v>71</v>
      </c>
      <c r="L829" s="20" t="str">
        <f ca="1">IF(OFFSET(환산공식!$ED$15,$F829,0)=1,"O","X")</f>
        <v>X</v>
      </c>
      <c r="M829" s="188">
        <f ca="1">IFERROR(OFFSET(환산공식!DJ$15,$F829,0),"")</f>
        <v>0</v>
      </c>
      <c r="N829" s="20" t="str">
        <f ca="1">IFERROR(CONCATENATE(ROUND(OFFSET(환산공식!DK$15,$F829,0),1),"%"),"")</f>
        <v/>
      </c>
      <c r="O829" s="20">
        <f ca="1">IFERROR(OFFSET(환산공식!DL$15,$F829,0),"")</f>
        <v>0</v>
      </c>
      <c r="P829" s="188" t="str">
        <f t="shared" ca="1" si="25"/>
        <v>3% 이하</v>
      </c>
      <c r="Q829" s="194">
        <f ca="1">IFERROR(ROUND(OFFSET(환산공식!$FG$15,$F829,0),3),"")</f>
        <v>0</v>
      </c>
      <c r="R829" s="194">
        <f ca="1">OFFSET('배치점수 계산기'!H$10,$D829,0)</f>
        <v>174.678</v>
      </c>
      <c r="S829" s="194">
        <f ca="1">OFFSET('배치점수 계산기'!I$10,$D829,0)</f>
        <v>174.005</v>
      </c>
      <c r="T829" s="194">
        <f ca="1">OFFSET('배치점수 계산기'!J$10,$D829,0)</f>
        <v>172.73500000000001</v>
      </c>
      <c r="U829" s="194">
        <f ca="1">OFFSET('배치점수 계산기'!K$10,$D829,0)</f>
        <v>171.09</v>
      </c>
      <c r="V829" s="194">
        <f ca="1">OFFSET('배치점수 계산기'!L$10,$D829,0)</f>
        <v>169.07300000000001</v>
      </c>
      <c r="W829" s="186" t="str">
        <f ca="1">OFFSET('배치점수 계산기'!M$10,$D829,0)</f>
        <v>표점</v>
      </c>
      <c r="X829" s="184" t="str">
        <f ca="1">OFFSET('배치점수 계산기'!N$10,$D829,0)</f>
        <v>표점</v>
      </c>
      <c r="Y829" s="188">
        <f ca="1">OFFSET(환산공식!FW$15,$F829,0)</f>
        <v>0.45</v>
      </c>
      <c r="Z829" s="20">
        <f ca="1">OFFSET(환산공식!FX$15,$F829,0)</f>
        <v>0.25</v>
      </c>
      <c r="AA829" s="179">
        <f ca="1">OFFSET(환산공식!FY$15,$F829,0)</f>
        <v>0.3</v>
      </c>
      <c r="AB829" s="3"/>
      <c r="AD829">
        <f t="shared" ca="1" si="26"/>
        <v>6</v>
      </c>
      <c r="AF829" s="3"/>
      <c r="AG829" s="3"/>
      <c r="AH829" s="3"/>
    </row>
    <row r="830" spans="1:34">
      <c r="A830" s="198"/>
      <c r="B830" s="198"/>
      <c r="C830" s="198" t="s">
        <v>1391</v>
      </c>
      <c r="D830" s="195">
        <v>890</v>
      </c>
      <c r="E830" s="195">
        <v>221</v>
      </c>
      <c r="F830" s="195">
        <v>221</v>
      </c>
      <c r="G830" s="239">
        <v>823</v>
      </c>
      <c r="H830" s="197" t="s">
        <v>72</v>
      </c>
      <c r="I830" s="242" t="s">
        <v>216</v>
      </c>
      <c r="J830" s="242" t="s">
        <v>8217</v>
      </c>
      <c r="K830" s="195" t="s">
        <v>71</v>
      </c>
      <c r="L830" s="20" t="str">
        <f ca="1">IF(OFFSET(환산공식!$ED$15,$F830,0)=1,"O","X")</f>
        <v>X</v>
      </c>
      <c r="M830" s="188">
        <f ca="1">IFERROR(OFFSET(환산공식!DJ$15,$F830,0),"")</f>
        <v>0</v>
      </c>
      <c r="N830" s="20" t="str">
        <f ca="1">IFERROR(CONCATENATE(ROUND(OFFSET(환산공식!DK$15,$F830,0),1),"%"),"")</f>
        <v/>
      </c>
      <c r="O830" s="20">
        <f ca="1">IFERROR(OFFSET(환산공식!DL$15,$F830,0),"")</f>
        <v>0</v>
      </c>
      <c r="P830" s="188" t="str">
        <f t="shared" ca="1" si="25"/>
        <v>3% 이하</v>
      </c>
      <c r="Q830" s="194">
        <f ca="1">IFERROR(ROUND(OFFSET(환산공식!$FG$15,$F830,0),3),"")</f>
        <v>0</v>
      </c>
      <c r="R830" s="194">
        <f ca="1">OFFSET('배치점수 계산기'!H$10,$D830,0)</f>
        <v>174.56</v>
      </c>
      <c r="S830" s="194">
        <f ca="1">OFFSET('배치점수 계산기'!I$10,$D830,0)</f>
        <v>173.898</v>
      </c>
      <c r="T830" s="194">
        <f ca="1">OFFSET('배치점수 계산기'!J$10,$D830,0)</f>
        <v>172.71799999999999</v>
      </c>
      <c r="U830" s="194">
        <f ca="1">OFFSET('배치점수 계산기'!K$10,$D830,0)</f>
        <v>171.23500000000001</v>
      </c>
      <c r="V830" s="194">
        <f ca="1">OFFSET('배치점수 계산기'!L$10,$D830,0)</f>
        <v>169.39500000000001</v>
      </c>
      <c r="W830" s="186" t="str">
        <f ca="1">OFFSET('배치점수 계산기'!M$10,$D830,0)</f>
        <v>표점</v>
      </c>
      <c r="X830" s="184" t="str">
        <f ca="1">OFFSET('배치점수 계산기'!N$10,$D830,0)</f>
        <v>표점</v>
      </c>
      <c r="Y830" s="188">
        <f ca="1">OFFSET(환산공식!FW$15,$F830,0)</f>
        <v>0.45</v>
      </c>
      <c r="Z830" s="20">
        <f ca="1">OFFSET(환산공식!FX$15,$F830,0)</f>
        <v>0.25</v>
      </c>
      <c r="AA830" s="179">
        <f ca="1">OFFSET(환산공식!FY$15,$F830,0)</f>
        <v>0.3</v>
      </c>
      <c r="AB830" s="3"/>
      <c r="AD830">
        <f t="shared" ca="1" si="26"/>
        <v>6</v>
      </c>
      <c r="AF830" s="3"/>
      <c r="AG830" s="3"/>
      <c r="AH830" s="3"/>
    </row>
    <row r="831" spans="1:34">
      <c r="A831" s="198"/>
      <c r="B831" s="198"/>
      <c r="C831" s="198" t="s">
        <v>1392</v>
      </c>
      <c r="D831" s="195">
        <v>891</v>
      </c>
      <c r="E831" s="195">
        <v>221</v>
      </c>
      <c r="F831" s="195">
        <v>221</v>
      </c>
      <c r="G831" s="239">
        <v>824</v>
      </c>
      <c r="H831" s="197" t="s">
        <v>72</v>
      </c>
      <c r="I831" s="242" t="s">
        <v>216</v>
      </c>
      <c r="J831" s="242" t="s">
        <v>8216</v>
      </c>
      <c r="K831" s="195" t="s">
        <v>71</v>
      </c>
      <c r="L831" s="20" t="str">
        <f ca="1">IF(OFFSET(환산공식!$ED$15,$F831,0)=1,"O","X")</f>
        <v>X</v>
      </c>
      <c r="M831" s="188">
        <f ca="1">IFERROR(OFFSET(환산공식!DJ$15,$F831,0),"")</f>
        <v>0</v>
      </c>
      <c r="N831" s="20" t="str">
        <f ca="1">IFERROR(CONCATENATE(ROUND(OFFSET(환산공식!DK$15,$F831,0),1),"%"),"")</f>
        <v/>
      </c>
      <c r="O831" s="20">
        <f ca="1">IFERROR(OFFSET(환산공식!DL$15,$F831,0),"")</f>
        <v>0</v>
      </c>
      <c r="P831" s="188" t="str">
        <f t="shared" ca="1" si="25"/>
        <v>3% 이하</v>
      </c>
      <c r="Q831" s="194">
        <f ca="1">IFERROR(ROUND(OFFSET(환산공식!$FG$15,$F831,0),3),"")</f>
        <v>0</v>
      </c>
      <c r="R831" s="194">
        <f ca="1">OFFSET('배치점수 계산기'!H$10,$D831,0)</f>
        <v>172.71799999999999</v>
      </c>
      <c r="S831" s="194">
        <f ca="1">OFFSET('배치점수 계산기'!I$10,$D831,0)</f>
        <v>172.035</v>
      </c>
      <c r="T831" s="194">
        <f ca="1">OFFSET('배치점수 계산기'!J$10,$D831,0)</f>
        <v>170.785</v>
      </c>
      <c r="U831" s="194">
        <f ca="1">OFFSET('배치점수 계산기'!K$10,$D831,0)</f>
        <v>169.30799999999999</v>
      </c>
      <c r="V831" s="194">
        <f ca="1">OFFSET('배치점수 계산기'!L$10,$D831,0)</f>
        <v>165.49</v>
      </c>
      <c r="W831" s="186" t="str">
        <f ca="1">OFFSET('배치점수 계산기'!M$10,$D831,0)</f>
        <v>표점</v>
      </c>
      <c r="X831" s="184" t="str">
        <f ca="1">OFFSET('배치점수 계산기'!N$10,$D831,0)</f>
        <v>표점</v>
      </c>
      <c r="Y831" s="188">
        <f ca="1">OFFSET(환산공식!FW$15,$F831,0)</f>
        <v>0.45</v>
      </c>
      <c r="Z831" s="20">
        <f ca="1">OFFSET(환산공식!FX$15,$F831,0)</f>
        <v>0.25</v>
      </c>
      <c r="AA831" s="179">
        <f ca="1">OFFSET(환산공식!FY$15,$F831,0)</f>
        <v>0.3</v>
      </c>
      <c r="AB831" s="3"/>
      <c r="AD831">
        <f t="shared" ca="1" si="26"/>
        <v>6</v>
      </c>
      <c r="AF831" s="3"/>
      <c r="AG831" s="3"/>
      <c r="AH831" s="3"/>
    </row>
    <row r="832" spans="1:34">
      <c r="A832" s="198"/>
      <c r="B832" s="198"/>
      <c r="C832" s="198" t="s">
        <v>1393</v>
      </c>
      <c r="D832" s="195">
        <v>892</v>
      </c>
      <c r="E832" s="195">
        <v>221</v>
      </c>
      <c r="F832" s="195">
        <v>221</v>
      </c>
      <c r="G832" s="239">
        <v>825</v>
      </c>
      <c r="H832" s="197" t="s">
        <v>72</v>
      </c>
      <c r="I832" s="242" t="s">
        <v>216</v>
      </c>
      <c r="J832" s="242" t="s">
        <v>8190</v>
      </c>
      <c r="K832" s="195" t="s">
        <v>71</v>
      </c>
      <c r="L832" s="20" t="str">
        <f ca="1">IF(OFFSET(환산공식!$ED$15,$F832,0)=1,"O","X")</f>
        <v>X</v>
      </c>
      <c r="M832" s="188">
        <f ca="1">IFERROR(OFFSET(환산공식!DJ$15,$F832,0),"")</f>
        <v>0</v>
      </c>
      <c r="N832" s="20" t="str">
        <f ca="1">IFERROR(CONCATENATE(ROUND(OFFSET(환산공식!DK$15,$F832,0),1),"%"),"")</f>
        <v/>
      </c>
      <c r="O832" s="20">
        <f ca="1">IFERROR(OFFSET(환산공식!DL$15,$F832,0),"")</f>
        <v>0</v>
      </c>
      <c r="P832" s="188" t="str">
        <f t="shared" ca="1" si="25"/>
        <v>3% 이하</v>
      </c>
      <c r="Q832" s="194">
        <f ca="1">IFERROR(ROUND(OFFSET(환산공식!$FG$15,$F832,0),3),"")</f>
        <v>0</v>
      </c>
      <c r="R832" s="194">
        <f ca="1">OFFSET('배치점수 계산기'!H$10,$D832,0)</f>
        <v>172.71799999999999</v>
      </c>
      <c r="S832" s="194">
        <f ca="1">OFFSET('배치점수 계산기'!I$10,$D832,0)</f>
        <v>172.035</v>
      </c>
      <c r="T832" s="194">
        <f ca="1">OFFSET('배치점수 계산기'!J$10,$D832,0)</f>
        <v>170.785</v>
      </c>
      <c r="U832" s="194">
        <f ca="1">OFFSET('배치점수 계산기'!K$10,$D832,0)</f>
        <v>169.30799999999999</v>
      </c>
      <c r="V832" s="194">
        <f ca="1">OFFSET('배치점수 계산기'!L$10,$D832,0)</f>
        <v>165.49</v>
      </c>
      <c r="W832" s="186" t="str">
        <f ca="1">OFFSET('배치점수 계산기'!M$10,$D832,0)</f>
        <v>표점</v>
      </c>
      <c r="X832" s="184" t="str">
        <f ca="1">OFFSET('배치점수 계산기'!N$10,$D832,0)</f>
        <v>표점</v>
      </c>
      <c r="Y832" s="188">
        <f ca="1">OFFSET(환산공식!FW$15,$F832,0)</f>
        <v>0.45</v>
      </c>
      <c r="Z832" s="20">
        <f ca="1">OFFSET(환산공식!FX$15,$F832,0)</f>
        <v>0.25</v>
      </c>
      <c r="AA832" s="179">
        <f ca="1">OFFSET(환산공식!FY$15,$F832,0)</f>
        <v>0.3</v>
      </c>
      <c r="AB832" s="3"/>
      <c r="AD832">
        <f t="shared" ca="1" si="26"/>
        <v>6</v>
      </c>
      <c r="AF832" s="3"/>
      <c r="AG832" s="3"/>
      <c r="AH832" s="3"/>
    </row>
    <row r="833" spans="1:34">
      <c r="A833" s="198"/>
      <c r="B833" s="198"/>
      <c r="C833" s="198" t="s">
        <v>1394</v>
      </c>
      <c r="D833" s="195">
        <v>893</v>
      </c>
      <c r="E833" s="195">
        <v>230</v>
      </c>
      <c r="F833" s="195">
        <v>230</v>
      </c>
      <c r="G833" s="239">
        <v>826</v>
      </c>
      <c r="H833" s="197" t="s">
        <v>72</v>
      </c>
      <c r="I833" s="242" t="s">
        <v>214</v>
      </c>
      <c r="J833" s="242" t="s">
        <v>8856</v>
      </c>
      <c r="K833" s="195" t="s">
        <v>70</v>
      </c>
      <c r="L833" s="20" t="str">
        <f ca="1">IF(OFFSET(환산공식!$ED$15,$F833,0)=1,"O","X")</f>
        <v>X</v>
      </c>
      <c r="M833" s="188">
        <f ca="1">IFERROR(OFFSET(환산공식!DJ$15,$F833,0),"")</f>
        <v>40</v>
      </c>
      <c r="N833" s="20" t="str">
        <f ca="1">IFERROR(CONCATENATE(ROUND(OFFSET(환산공식!DK$15,$F833,0),1),"%"),"")</f>
        <v>100%</v>
      </c>
      <c r="O833" s="20">
        <f ca="1">IFERROR(OFFSET(환산공식!DL$15,$F833,0),"")</f>
        <v>0</v>
      </c>
      <c r="P833" s="188" t="str">
        <f t="shared" ca="1" si="25"/>
        <v>3% 이하</v>
      </c>
      <c r="Q833" s="194">
        <f ca="1">IFERROR(ROUND(OFFSET(환산공식!$FG$15,$F833,0),3),"")</f>
        <v>800</v>
      </c>
      <c r="R833" s="194">
        <f ca="1">OFFSET('배치점수 계산기'!H$10,$D833,0)</f>
        <v>969.71100000000001</v>
      </c>
      <c r="S833" s="194">
        <f ca="1">OFFSET('배치점수 계산기'!I$10,$D833,0)</f>
        <v>969.20299999999997</v>
      </c>
      <c r="T833" s="194">
        <f ca="1">OFFSET('배치점수 계산기'!J$10,$D833,0)</f>
        <v>968.22500000000002</v>
      </c>
      <c r="U833" s="194">
        <f ca="1">OFFSET('배치점수 계산기'!K$10,$D833,0)</f>
        <v>967.11</v>
      </c>
      <c r="V833" s="194">
        <f ca="1">OFFSET('배치점수 계산기'!L$10,$D833,0)</f>
        <v>965.84100000000001</v>
      </c>
      <c r="W833" s="186" t="str">
        <f ca="1">OFFSET('배치점수 계산기'!M$10,$D833,0)</f>
        <v>표점/만점</v>
      </c>
      <c r="X833" s="184" t="str">
        <f ca="1">OFFSET('배치점수 계산기'!N$10,$D833,0)</f>
        <v>표점/만점</v>
      </c>
      <c r="Y833" s="188">
        <f ca="1">OFFSET(환산공식!FW$15,$F833,0)</f>
        <v>0.25</v>
      </c>
      <c r="Z833" s="20">
        <f ca="1">OFFSET(환산공식!FX$15,$F833,0)</f>
        <v>0.37</v>
      </c>
      <c r="AA833" s="179">
        <f ca="1">OFFSET(환산공식!FY$15,$F833,0)</f>
        <v>0.37</v>
      </c>
      <c r="AB833" s="3"/>
      <c r="AD833">
        <f t="shared" ca="1" si="26"/>
        <v>6</v>
      </c>
      <c r="AF833" s="3"/>
      <c r="AG833" s="3"/>
      <c r="AH833" s="3"/>
    </row>
    <row r="834" spans="1:34">
      <c r="A834" s="198"/>
      <c r="B834" s="198"/>
      <c r="C834" s="198" t="s">
        <v>1395</v>
      </c>
      <c r="D834" s="195">
        <v>894</v>
      </c>
      <c r="E834" s="195">
        <v>230</v>
      </c>
      <c r="F834" s="195">
        <v>230</v>
      </c>
      <c r="G834" s="239">
        <v>827</v>
      </c>
      <c r="H834" s="197" t="s">
        <v>72</v>
      </c>
      <c r="I834" s="242" t="s">
        <v>214</v>
      </c>
      <c r="J834" s="242" t="s">
        <v>10426</v>
      </c>
      <c r="K834" s="195" t="s">
        <v>70</v>
      </c>
      <c r="L834" s="20" t="str">
        <f ca="1">IF(OFFSET(환산공식!$ED$15,$F834,0)=1,"O","X")</f>
        <v>X</v>
      </c>
      <c r="M834" s="188">
        <f ca="1">IFERROR(OFFSET(환산공식!DJ$15,$F834,0),"")</f>
        <v>40</v>
      </c>
      <c r="N834" s="20" t="str">
        <f ca="1">IFERROR(CONCATENATE(ROUND(OFFSET(환산공식!DK$15,$F834,0),1),"%"),"")</f>
        <v>100%</v>
      </c>
      <c r="O834" s="20">
        <f ca="1">IFERROR(OFFSET(환산공식!DL$15,$F834,0),"")</f>
        <v>0</v>
      </c>
      <c r="P834" s="188" t="str">
        <f t="shared" ca="1" si="25"/>
        <v>3% 이하</v>
      </c>
      <c r="Q834" s="194">
        <f ca="1">IFERROR(ROUND(OFFSET(환산공식!$FG$15,$F834,0),3),"")</f>
        <v>800</v>
      </c>
      <c r="R834" s="194">
        <f ca="1">OFFSET('배치점수 계산기'!H$10,$D834,0)</f>
        <v>969.55399999999997</v>
      </c>
      <c r="S834" s="194">
        <f ca="1">OFFSET('배치점수 계산기'!I$10,$D834,0)</f>
        <v>969.06799999999998</v>
      </c>
      <c r="T834" s="194">
        <f ca="1">OFFSET('배치점수 계산기'!J$10,$D834,0)</f>
        <v>968.11300000000006</v>
      </c>
      <c r="U834" s="194">
        <f ca="1">OFFSET('배치점수 계산기'!K$10,$D834,0)</f>
        <v>966.96</v>
      </c>
      <c r="V834" s="194">
        <f ca="1">OFFSET('배치점수 계산기'!L$10,$D834,0)</f>
        <v>965.69299999999998</v>
      </c>
      <c r="W834" s="186" t="str">
        <f ca="1">OFFSET('배치점수 계산기'!M$10,$D834,0)</f>
        <v>표점/만점</v>
      </c>
      <c r="X834" s="184" t="str">
        <f ca="1">OFFSET('배치점수 계산기'!N$10,$D834,0)</f>
        <v>표점/만점</v>
      </c>
      <c r="Y834" s="188">
        <f ca="1">OFFSET(환산공식!FW$15,$F834,0)</f>
        <v>0.25</v>
      </c>
      <c r="Z834" s="20">
        <f ca="1">OFFSET(환산공식!FX$15,$F834,0)</f>
        <v>0.37</v>
      </c>
      <c r="AA834" s="179">
        <f ca="1">OFFSET(환산공식!FY$15,$F834,0)</f>
        <v>0.37</v>
      </c>
      <c r="AB834" s="3"/>
      <c r="AD834">
        <f t="shared" ca="1" si="26"/>
        <v>6</v>
      </c>
      <c r="AF834" s="3"/>
      <c r="AG834" s="3"/>
      <c r="AH834" s="3"/>
    </row>
    <row r="835" spans="1:34">
      <c r="A835" s="198"/>
      <c r="B835" s="198"/>
      <c r="C835" s="198" t="s">
        <v>1396</v>
      </c>
      <c r="D835" s="195">
        <v>895</v>
      </c>
      <c r="E835" s="195">
        <v>228</v>
      </c>
      <c r="F835" s="195">
        <v>228</v>
      </c>
      <c r="G835" s="239">
        <v>828</v>
      </c>
      <c r="H835" s="197" t="s">
        <v>72</v>
      </c>
      <c r="I835" s="242" t="s">
        <v>214</v>
      </c>
      <c r="J835" s="242" t="s">
        <v>9544</v>
      </c>
      <c r="K835" s="195" t="s">
        <v>70</v>
      </c>
      <c r="L835" s="20" t="str">
        <f ca="1">IF(OFFSET(환산공식!$ED$15,$F835,0)=1,"O","X")</f>
        <v>X</v>
      </c>
      <c r="M835" s="188">
        <f ca="1">IFERROR(OFFSET(환산공식!DJ$15,$F835,0),"")</f>
        <v>40</v>
      </c>
      <c r="N835" s="20" t="str">
        <f ca="1">IFERROR(CONCATENATE(ROUND(OFFSET(환산공식!DK$15,$F835,0),1),"%"),"")</f>
        <v>100%</v>
      </c>
      <c r="O835" s="20">
        <f ca="1">IFERROR(OFFSET(환산공식!DL$15,$F835,0),"")</f>
        <v>0</v>
      </c>
      <c r="P835" s="188" t="str">
        <f t="shared" ca="1" si="25"/>
        <v>3% 이하</v>
      </c>
      <c r="Q835" s="194">
        <f ca="1">IFERROR(ROUND(OFFSET(환산공식!$FG$15,$F835,0),3),"")</f>
        <v>800</v>
      </c>
      <c r="R835" s="194">
        <f ca="1">OFFSET('배치점수 계산기'!H$10,$D835,0)</f>
        <v>968.76599999999996</v>
      </c>
      <c r="S835" s="194">
        <f ca="1">OFFSET('배치점수 계산기'!I$10,$D835,0)</f>
        <v>968.22500000000002</v>
      </c>
      <c r="T835" s="194">
        <f ca="1">OFFSET('배치점수 계산기'!J$10,$D835,0)</f>
        <v>967.26300000000003</v>
      </c>
      <c r="U835" s="194">
        <f ca="1">OFFSET('배치점수 계산기'!K$10,$D835,0)</f>
        <v>966.10500000000002</v>
      </c>
      <c r="V835" s="194">
        <f ca="1">OFFSET('배치점수 계산기'!L$10,$D835,0)</f>
        <v>964.71100000000001</v>
      </c>
      <c r="W835" s="186" t="str">
        <f ca="1">OFFSET('배치점수 계산기'!M$10,$D835,0)</f>
        <v>표점/만점</v>
      </c>
      <c r="X835" s="184" t="str">
        <f ca="1">OFFSET('배치점수 계산기'!N$10,$D835,0)</f>
        <v>표점/만점</v>
      </c>
      <c r="Y835" s="188">
        <f ca="1">OFFSET(환산공식!FW$15,$F835,0)</f>
        <v>0.25</v>
      </c>
      <c r="Z835" s="20">
        <f ca="1">OFFSET(환산공식!FX$15,$F835,0)</f>
        <v>0.37</v>
      </c>
      <c r="AA835" s="179">
        <f ca="1">OFFSET(환산공식!FY$15,$F835,0)</f>
        <v>0.37</v>
      </c>
      <c r="AB835" s="3"/>
      <c r="AD835">
        <f t="shared" ca="1" si="26"/>
        <v>6</v>
      </c>
      <c r="AF835" s="3"/>
      <c r="AG835" s="3"/>
      <c r="AH835" s="3"/>
    </row>
    <row r="836" spans="1:34">
      <c r="A836" s="198"/>
      <c r="B836" s="198"/>
      <c r="C836" s="198" t="s">
        <v>1397</v>
      </c>
      <c r="D836" s="195">
        <v>896</v>
      </c>
      <c r="E836" s="195">
        <v>230</v>
      </c>
      <c r="F836" s="195">
        <v>230</v>
      </c>
      <c r="G836" s="239">
        <v>829</v>
      </c>
      <c r="H836" s="197" t="s">
        <v>72</v>
      </c>
      <c r="I836" s="242" t="s">
        <v>214</v>
      </c>
      <c r="J836" s="242" t="s">
        <v>8835</v>
      </c>
      <c r="K836" s="195" t="s">
        <v>70</v>
      </c>
      <c r="L836" s="20" t="str">
        <f ca="1">IF(OFFSET(환산공식!$ED$15,$F836,0)=1,"O","X")</f>
        <v>X</v>
      </c>
      <c r="M836" s="188">
        <f ca="1">IFERROR(OFFSET(환산공식!DJ$15,$F836,0),"")</f>
        <v>40</v>
      </c>
      <c r="N836" s="20" t="str">
        <f ca="1">IFERROR(CONCATENATE(ROUND(OFFSET(환산공식!DK$15,$F836,0),1),"%"),"")</f>
        <v>100%</v>
      </c>
      <c r="O836" s="20">
        <f ca="1">IFERROR(OFFSET(환산공식!DL$15,$F836,0),"")</f>
        <v>0</v>
      </c>
      <c r="P836" s="188" t="str">
        <f t="shared" ca="1" si="25"/>
        <v>3% 이하</v>
      </c>
      <c r="Q836" s="194">
        <f ca="1">IFERROR(ROUND(OFFSET(환산공식!$FG$15,$F836,0),3),"")</f>
        <v>800</v>
      </c>
      <c r="R836" s="194">
        <f ca="1">OFFSET('배치점수 계산기'!H$10,$D836,0)</f>
        <v>968.44799999999998</v>
      </c>
      <c r="S836" s="194">
        <f ca="1">OFFSET('배치점수 계산기'!I$10,$D836,0)</f>
        <v>968.01</v>
      </c>
      <c r="T836" s="194">
        <f ca="1">OFFSET('배치점수 계산기'!J$10,$D836,0)</f>
        <v>967.17700000000002</v>
      </c>
      <c r="U836" s="194">
        <f ca="1">OFFSET('배치점수 계산기'!K$10,$D836,0)</f>
        <v>966.13300000000004</v>
      </c>
      <c r="V836" s="194">
        <f ca="1">OFFSET('배치점수 계산기'!L$10,$D836,0)</f>
        <v>964.75900000000001</v>
      </c>
      <c r="W836" s="186" t="str">
        <f ca="1">OFFSET('배치점수 계산기'!M$10,$D836,0)</f>
        <v>표점/만점</v>
      </c>
      <c r="X836" s="184" t="str">
        <f ca="1">OFFSET('배치점수 계산기'!N$10,$D836,0)</f>
        <v>표점/만점</v>
      </c>
      <c r="Y836" s="188">
        <f ca="1">OFFSET(환산공식!FW$15,$F836,0)</f>
        <v>0.25</v>
      </c>
      <c r="Z836" s="20">
        <f ca="1">OFFSET(환산공식!FX$15,$F836,0)</f>
        <v>0.37</v>
      </c>
      <c r="AA836" s="179">
        <f ca="1">OFFSET(환산공식!FY$15,$F836,0)</f>
        <v>0.37</v>
      </c>
      <c r="AB836" s="3"/>
      <c r="AD836">
        <f t="shared" ca="1" si="26"/>
        <v>6</v>
      </c>
      <c r="AF836" s="3"/>
      <c r="AG836" s="3"/>
      <c r="AH836" s="3"/>
    </row>
    <row r="837" spans="1:34">
      <c r="A837" s="198"/>
      <c r="B837" s="198"/>
      <c r="C837" s="198" t="s">
        <v>1398</v>
      </c>
      <c r="D837" s="195">
        <v>897</v>
      </c>
      <c r="E837" s="195">
        <v>228</v>
      </c>
      <c r="F837" s="195">
        <v>228</v>
      </c>
      <c r="G837" s="239">
        <v>830</v>
      </c>
      <c r="H837" s="197" t="s">
        <v>72</v>
      </c>
      <c r="I837" s="242" t="s">
        <v>214</v>
      </c>
      <c r="J837" s="242" t="s">
        <v>12195</v>
      </c>
      <c r="K837" s="195" t="s">
        <v>70</v>
      </c>
      <c r="L837" s="20" t="str">
        <f ca="1">IF(OFFSET(환산공식!$ED$15,$F837,0)=1,"O","X")</f>
        <v>X</v>
      </c>
      <c r="M837" s="188">
        <f ca="1">IFERROR(OFFSET(환산공식!DJ$15,$F837,0),"")</f>
        <v>40</v>
      </c>
      <c r="N837" s="20" t="str">
        <f ca="1">IFERROR(CONCATENATE(ROUND(OFFSET(환산공식!DK$15,$F837,0),1),"%"),"")</f>
        <v>100%</v>
      </c>
      <c r="O837" s="20">
        <f ca="1">IFERROR(OFFSET(환산공식!DL$15,$F837,0),"")</f>
        <v>0</v>
      </c>
      <c r="P837" s="188" t="str">
        <f t="shared" ca="1" si="25"/>
        <v>3% 이하</v>
      </c>
      <c r="Q837" s="194">
        <f ca="1">IFERROR(ROUND(OFFSET(환산공식!$FG$15,$F837,0),3),"")</f>
        <v>800</v>
      </c>
      <c r="R837" s="194">
        <f ca="1">OFFSET('배치점수 계산기'!H$10,$D837,0)</f>
        <v>968.42100000000005</v>
      </c>
      <c r="S837" s="194">
        <f ca="1">OFFSET('배치점수 계산기'!I$10,$D837,0)</f>
        <v>967.91800000000001</v>
      </c>
      <c r="T837" s="194">
        <f ca="1">OFFSET('배치점수 계산기'!J$10,$D837,0)</f>
        <v>966.96</v>
      </c>
      <c r="U837" s="194">
        <f ca="1">OFFSET('배치점수 계산기'!K$10,$D837,0)</f>
        <v>965.84100000000001</v>
      </c>
      <c r="V837" s="194">
        <f ca="1">OFFSET('배치점수 계산기'!L$10,$D837,0)</f>
        <v>964.44600000000003</v>
      </c>
      <c r="W837" s="186" t="str">
        <f ca="1">OFFSET('배치점수 계산기'!M$10,$D837,0)</f>
        <v>표점/만점</v>
      </c>
      <c r="X837" s="184" t="str">
        <f ca="1">OFFSET('배치점수 계산기'!N$10,$D837,0)</f>
        <v>표점/만점</v>
      </c>
      <c r="Y837" s="188">
        <f ca="1">OFFSET(환산공식!FW$15,$F837,0)</f>
        <v>0.25</v>
      </c>
      <c r="Z837" s="20">
        <f ca="1">OFFSET(환산공식!FX$15,$F837,0)</f>
        <v>0.37</v>
      </c>
      <c r="AA837" s="179">
        <f ca="1">OFFSET(환산공식!FY$15,$F837,0)</f>
        <v>0.37</v>
      </c>
      <c r="AB837" s="3"/>
      <c r="AD837">
        <f t="shared" ca="1" si="26"/>
        <v>6</v>
      </c>
      <c r="AF837" s="3"/>
      <c r="AG837" s="3"/>
      <c r="AH837" s="3"/>
    </row>
    <row r="838" spans="1:34">
      <c r="A838" s="198"/>
      <c r="B838" s="198"/>
      <c r="C838" s="198" t="s">
        <v>1399</v>
      </c>
      <c r="D838" s="195">
        <v>898</v>
      </c>
      <c r="E838" s="195">
        <v>230</v>
      </c>
      <c r="F838" s="195">
        <v>230</v>
      </c>
      <c r="G838" s="239">
        <v>831</v>
      </c>
      <c r="H838" s="197" t="s">
        <v>72</v>
      </c>
      <c r="I838" s="242" t="s">
        <v>214</v>
      </c>
      <c r="J838" s="242" t="s">
        <v>12430</v>
      </c>
      <c r="K838" s="195" t="s">
        <v>70</v>
      </c>
      <c r="L838" s="20" t="str">
        <f ca="1">IF(OFFSET(환산공식!$ED$15,$F838,0)=1,"O","X")</f>
        <v>X</v>
      </c>
      <c r="M838" s="188">
        <f ca="1">IFERROR(OFFSET(환산공식!DJ$15,$F838,0),"")</f>
        <v>40</v>
      </c>
      <c r="N838" s="20" t="str">
        <f ca="1">IFERROR(CONCATENATE(ROUND(OFFSET(환산공식!DK$15,$F838,0),1),"%"),"")</f>
        <v>100%</v>
      </c>
      <c r="O838" s="20">
        <f ca="1">IFERROR(OFFSET(환산공식!DL$15,$F838,0),"")</f>
        <v>0</v>
      </c>
      <c r="P838" s="188" t="str">
        <f t="shared" ca="1" si="25"/>
        <v>3% 이하</v>
      </c>
      <c r="Q838" s="194">
        <f ca="1">IFERROR(ROUND(OFFSET(환산공식!$FG$15,$F838,0),3),"")</f>
        <v>800</v>
      </c>
      <c r="R838" s="194">
        <f ca="1">OFFSET('배치점수 계산기'!H$10,$D838,0)</f>
        <v>967.11</v>
      </c>
      <c r="S838" s="194">
        <f ca="1">OFFSET('배치점수 계산기'!I$10,$D838,0)</f>
        <v>966.74800000000005</v>
      </c>
      <c r="T838" s="194">
        <f ca="1">OFFSET('배치점수 계산기'!J$10,$D838,0)</f>
        <v>965.98500000000001</v>
      </c>
      <c r="U838" s="194">
        <f ca="1">OFFSET('배치점수 계산기'!K$10,$D838,0)</f>
        <v>965.04600000000005</v>
      </c>
      <c r="V838" s="194">
        <f ca="1">OFFSET('배치점수 계산기'!L$10,$D838,0)</f>
        <v>963.87699999999995</v>
      </c>
      <c r="W838" s="186" t="str">
        <f ca="1">OFFSET('배치점수 계산기'!M$10,$D838,0)</f>
        <v>표점/만점</v>
      </c>
      <c r="X838" s="184" t="str">
        <f ca="1">OFFSET('배치점수 계산기'!N$10,$D838,0)</f>
        <v>표점/만점</v>
      </c>
      <c r="Y838" s="188">
        <f ca="1">OFFSET(환산공식!FW$15,$F838,0)</f>
        <v>0.25</v>
      </c>
      <c r="Z838" s="20">
        <f ca="1">OFFSET(환산공식!FX$15,$F838,0)</f>
        <v>0.37</v>
      </c>
      <c r="AA838" s="179">
        <f ca="1">OFFSET(환산공식!FY$15,$F838,0)</f>
        <v>0.37</v>
      </c>
      <c r="AB838" s="3"/>
      <c r="AD838">
        <f t="shared" ca="1" si="26"/>
        <v>6</v>
      </c>
      <c r="AF838" s="3"/>
      <c r="AG838" s="3"/>
      <c r="AH838" s="3"/>
    </row>
    <row r="839" spans="1:34">
      <c r="A839" s="198"/>
      <c r="B839" s="198"/>
      <c r="C839" s="198" t="s">
        <v>1400</v>
      </c>
      <c r="D839" s="195">
        <v>899</v>
      </c>
      <c r="E839" s="195">
        <v>228</v>
      </c>
      <c r="F839" s="195">
        <v>228</v>
      </c>
      <c r="G839" s="239">
        <v>832</v>
      </c>
      <c r="H839" s="197" t="s">
        <v>72</v>
      </c>
      <c r="I839" s="242" t="s">
        <v>214</v>
      </c>
      <c r="J839" s="242" t="s">
        <v>12468</v>
      </c>
      <c r="K839" s="195" t="s">
        <v>70</v>
      </c>
      <c r="L839" s="20" t="str">
        <f ca="1">IF(OFFSET(환산공식!$ED$15,$F839,0)=1,"O","X")</f>
        <v>X</v>
      </c>
      <c r="M839" s="188">
        <f ca="1">IFERROR(OFFSET(환산공식!DJ$15,$F839,0),"")</f>
        <v>40</v>
      </c>
      <c r="N839" s="20" t="str">
        <f ca="1">IFERROR(CONCATENATE(ROUND(OFFSET(환산공식!DK$15,$F839,0),1),"%"),"")</f>
        <v>100%</v>
      </c>
      <c r="O839" s="20">
        <f ca="1">IFERROR(OFFSET(환산공식!DL$15,$F839,0),"")</f>
        <v>0</v>
      </c>
      <c r="P839" s="188" t="str">
        <f t="shared" ca="1" si="25"/>
        <v>3% 이하</v>
      </c>
      <c r="Q839" s="194">
        <f ca="1">IFERROR(ROUND(OFFSET(환산공식!$FG$15,$F839,0),3),"")</f>
        <v>800</v>
      </c>
      <c r="R839" s="194">
        <f ca="1">OFFSET('배치점수 계산기'!H$10,$D839,0)</f>
        <v>967.07799999999997</v>
      </c>
      <c r="S839" s="194">
        <f ca="1">OFFSET('배치점수 계산기'!I$10,$D839,0)</f>
        <v>966.66300000000001</v>
      </c>
      <c r="T839" s="194">
        <f ca="1">OFFSET('배치점수 계산기'!J$10,$D839,0)</f>
        <v>965.798</v>
      </c>
      <c r="U839" s="194">
        <f ca="1">OFFSET('배치점수 계산기'!K$10,$D839,0)</f>
        <v>964.53099999999995</v>
      </c>
      <c r="V839" s="194">
        <f ca="1">OFFSET('배치점수 계산기'!L$10,$D839,0)</f>
        <v>963.12300000000005</v>
      </c>
      <c r="W839" s="186" t="str">
        <f ca="1">OFFSET('배치점수 계산기'!M$10,$D839,0)</f>
        <v>표점/만점</v>
      </c>
      <c r="X839" s="184" t="str">
        <f ca="1">OFFSET('배치점수 계산기'!N$10,$D839,0)</f>
        <v>표점/만점</v>
      </c>
      <c r="Y839" s="188">
        <f ca="1">OFFSET(환산공식!FW$15,$F839,0)</f>
        <v>0.25</v>
      </c>
      <c r="Z839" s="20">
        <f ca="1">OFFSET(환산공식!FX$15,$F839,0)</f>
        <v>0.37</v>
      </c>
      <c r="AA839" s="179">
        <f ca="1">OFFSET(환산공식!FY$15,$F839,0)</f>
        <v>0.37</v>
      </c>
      <c r="AB839" s="3"/>
      <c r="AD839">
        <f t="shared" ca="1" si="26"/>
        <v>6</v>
      </c>
      <c r="AF839" s="3"/>
      <c r="AG839" s="3"/>
      <c r="AH839" s="3"/>
    </row>
    <row r="840" spans="1:34">
      <c r="A840" s="198"/>
      <c r="B840" s="198"/>
      <c r="C840" s="198" t="s">
        <v>1401</v>
      </c>
      <c r="D840" s="195">
        <v>900</v>
      </c>
      <c r="E840" s="195">
        <v>230</v>
      </c>
      <c r="F840" s="195">
        <v>230</v>
      </c>
      <c r="G840" s="239">
        <v>833</v>
      </c>
      <c r="H840" s="197" t="s">
        <v>72</v>
      </c>
      <c r="I840" s="242" t="s">
        <v>214</v>
      </c>
      <c r="J840" s="242" t="s">
        <v>12492</v>
      </c>
      <c r="K840" s="195" t="s">
        <v>70</v>
      </c>
      <c r="L840" s="20" t="str">
        <f ca="1">IF(OFFSET(환산공식!$ED$15,$F840,0)=1,"O","X")</f>
        <v>X</v>
      </c>
      <c r="M840" s="188">
        <f ca="1">IFERROR(OFFSET(환산공식!DJ$15,$F840,0),"")</f>
        <v>40</v>
      </c>
      <c r="N840" s="20" t="str">
        <f ca="1">IFERROR(CONCATENATE(ROUND(OFFSET(환산공식!DK$15,$F840,0),1),"%"),"")</f>
        <v>100%</v>
      </c>
      <c r="O840" s="20">
        <f ca="1">IFERROR(OFFSET(환산공식!DL$15,$F840,0),"")</f>
        <v>0</v>
      </c>
      <c r="P840" s="188" t="str">
        <f t="shared" ca="1" si="25"/>
        <v>3% 이하</v>
      </c>
      <c r="Q840" s="194">
        <f ca="1">IFERROR(ROUND(OFFSET(환산공식!$FG$15,$F840,0),3),"")</f>
        <v>800</v>
      </c>
      <c r="R840" s="194">
        <f ca="1">OFFSET('배치점수 계산기'!H$10,$D840,0)</f>
        <v>966.88499999999999</v>
      </c>
      <c r="S840" s="194">
        <f ca="1">OFFSET('배치점수 계산기'!I$10,$D840,0)</f>
        <v>966.47799999999995</v>
      </c>
      <c r="T840" s="194">
        <f ca="1">OFFSET('배치점수 계산기'!J$10,$D840,0)</f>
        <v>965.69299999999998</v>
      </c>
      <c r="U840" s="194">
        <f ca="1">OFFSET('배치점수 계산기'!K$10,$D840,0)</f>
        <v>964.64099999999996</v>
      </c>
      <c r="V840" s="194">
        <f ca="1">OFFSET('배치점수 계산기'!L$10,$D840,0)</f>
        <v>963.20299999999997</v>
      </c>
      <c r="W840" s="186" t="str">
        <f ca="1">OFFSET('배치점수 계산기'!M$10,$D840,0)</f>
        <v>표점/만점</v>
      </c>
      <c r="X840" s="184" t="str">
        <f ca="1">OFFSET('배치점수 계산기'!N$10,$D840,0)</f>
        <v>표점/만점</v>
      </c>
      <c r="Y840" s="188">
        <f ca="1">OFFSET(환산공식!FW$15,$F840,0)</f>
        <v>0.25</v>
      </c>
      <c r="Z840" s="20">
        <f ca="1">OFFSET(환산공식!FX$15,$F840,0)</f>
        <v>0.37</v>
      </c>
      <c r="AA840" s="179">
        <f ca="1">OFFSET(환산공식!FY$15,$F840,0)</f>
        <v>0.37</v>
      </c>
      <c r="AB840" s="3"/>
      <c r="AD840">
        <f t="shared" ca="1" si="26"/>
        <v>6</v>
      </c>
      <c r="AF840" s="3"/>
      <c r="AG840" s="3"/>
      <c r="AH840" s="3"/>
    </row>
    <row r="841" spans="1:34">
      <c r="A841" s="198"/>
      <c r="B841" s="198"/>
      <c r="C841" s="198" t="s">
        <v>1402</v>
      </c>
      <c r="D841" s="195">
        <v>901</v>
      </c>
      <c r="E841" s="195">
        <v>230</v>
      </c>
      <c r="F841" s="195">
        <v>230</v>
      </c>
      <c r="G841" s="239">
        <v>834</v>
      </c>
      <c r="H841" s="197" t="s">
        <v>72</v>
      </c>
      <c r="I841" s="242" t="s">
        <v>214</v>
      </c>
      <c r="J841" s="242" t="s">
        <v>12497</v>
      </c>
      <c r="K841" s="195" t="s">
        <v>70</v>
      </c>
      <c r="L841" s="20" t="str">
        <f ca="1">IF(OFFSET(환산공식!$ED$15,$F841,0)=1,"O","X")</f>
        <v>X</v>
      </c>
      <c r="M841" s="188">
        <f ca="1">IFERROR(OFFSET(환산공식!DJ$15,$F841,0),"")</f>
        <v>40</v>
      </c>
      <c r="N841" s="20" t="str">
        <f ca="1">IFERROR(CONCATENATE(ROUND(OFFSET(환산공식!DK$15,$F841,0),1),"%"),"")</f>
        <v>100%</v>
      </c>
      <c r="O841" s="20">
        <f ca="1">IFERROR(OFFSET(환산공식!DL$15,$F841,0),"")</f>
        <v>0</v>
      </c>
      <c r="P841" s="188" t="str">
        <f t="shared" ref="P841:P904" ca="1" si="27"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>3% 이하</v>
      </c>
      <c r="Q841" s="194">
        <f ca="1">IFERROR(ROUND(OFFSET(환산공식!$FG$15,$F841,0),3),"")</f>
        <v>800</v>
      </c>
      <c r="R841" s="194">
        <f ca="1">OFFSET('배치점수 계산기'!H$10,$D841,0)</f>
        <v>966.92700000000002</v>
      </c>
      <c r="S841" s="194">
        <f ca="1">OFFSET('배치점수 계산기'!I$10,$D841,0)</f>
        <v>966.51</v>
      </c>
      <c r="T841" s="194">
        <f ca="1">OFFSET('배치점수 계산기'!J$10,$D841,0)</f>
        <v>965.61800000000005</v>
      </c>
      <c r="U841" s="194">
        <f ca="1">OFFSET('배치점수 계산기'!K$10,$D841,0)</f>
        <v>964.37599999999998</v>
      </c>
      <c r="V841" s="194">
        <f ca="1">OFFSET('배치점수 계산기'!L$10,$D841,0)</f>
        <v>962.93399999999997</v>
      </c>
      <c r="W841" s="186" t="str">
        <f ca="1">OFFSET('배치점수 계산기'!M$10,$D841,0)</f>
        <v>표점/만점</v>
      </c>
      <c r="X841" s="184" t="str">
        <f ca="1">OFFSET('배치점수 계산기'!N$10,$D841,0)</f>
        <v>표점/만점</v>
      </c>
      <c r="Y841" s="188">
        <f ca="1">OFFSET(환산공식!FW$15,$F841,0)</f>
        <v>0.25</v>
      </c>
      <c r="Z841" s="20">
        <f ca="1">OFFSET(환산공식!FX$15,$F841,0)</f>
        <v>0.37</v>
      </c>
      <c r="AA841" s="179">
        <f ca="1">OFFSET(환산공식!FY$15,$F841,0)</f>
        <v>0.37</v>
      </c>
      <c r="AB841" s="3"/>
      <c r="AD841">
        <f t="shared" ref="AD841:AD904" ca="1" si="28">IF(L841="X",6,IF(Q841&gt;R841,1,IF(Q841&gt;S841,2,IF(Q841&gt;T841,3,IF(Q841&gt;U841,4,IF(Q841&gt;=V841,5,IF(Q841&lt;V841,6,"")))))))</f>
        <v>6</v>
      </c>
      <c r="AF841" s="3"/>
      <c r="AG841" s="3"/>
      <c r="AH841" s="3"/>
    </row>
    <row r="842" spans="1:34">
      <c r="A842" s="198"/>
      <c r="B842" s="198"/>
      <c r="C842" s="198" t="s">
        <v>1403</v>
      </c>
      <c r="D842" s="195">
        <v>902</v>
      </c>
      <c r="E842" s="195">
        <v>230</v>
      </c>
      <c r="F842" s="195">
        <v>230</v>
      </c>
      <c r="G842" s="239">
        <v>835</v>
      </c>
      <c r="H842" s="197" t="s">
        <v>72</v>
      </c>
      <c r="I842" s="242" t="s">
        <v>214</v>
      </c>
      <c r="J842" s="242" t="s">
        <v>555</v>
      </c>
      <c r="K842" s="195" t="s">
        <v>70</v>
      </c>
      <c r="L842" s="20" t="str">
        <f ca="1">IF(OFFSET(환산공식!$ED$15,$F842,0)=1,"O","X")</f>
        <v>X</v>
      </c>
      <c r="M842" s="188">
        <f ca="1">IFERROR(OFFSET(환산공식!DJ$15,$F842,0),"")</f>
        <v>40</v>
      </c>
      <c r="N842" s="20" t="str">
        <f ca="1">IFERROR(CONCATENATE(ROUND(OFFSET(환산공식!DK$15,$F842,0),1),"%"),"")</f>
        <v>100%</v>
      </c>
      <c r="O842" s="20">
        <f ca="1">IFERROR(OFFSET(환산공식!DL$15,$F842,0),"")</f>
        <v>0</v>
      </c>
      <c r="P842" s="188" t="str">
        <f t="shared" ca="1" si="27"/>
        <v>3% 이하</v>
      </c>
      <c r="Q842" s="194">
        <f ca="1">IFERROR(ROUND(OFFSET(환산공식!$FG$15,$F842,0),3),"")</f>
        <v>800</v>
      </c>
      <c r="R842" s="194">
        <f ca="1">OFFSET('배치점수 계산기'!H$10,$D842,0)</f>
        <v>966.36</v>
      </c>
      <c r="S842" s="194">
        <f ca="1">OFFSET('배치점수 계산기'!I$10,$D842,0)</f>
        <v>965.98099999999999</v>
      </c>
      <c r="T842" s="194">
        <f ca="1">OFFSET('배치점수 계산기'!J$10,$D842,0)</f>
        <v>965.00800000000004</v>
      </c>
      <c r="U842" s="194">
        <f ca="1">OFFSET('배치점수 계산기'!K$10,$D842,0)</f>
        <v>963.76099999999997</v>
      </c>
      <c r="V842" s="194">
        <f ca="1">OFFSET('배치점수 계산기'!L$10,$D842,0)</f>
        <v>962.40099999999995</v>
      </c>
      <c r="W842" s="186" t="str">
        <f ca="1">OFFSET('배치점수 계산기'!M$10,$D842,0)</f>
        <v>표점/만점</v>
      </c>
      <c r="X842" s="184" t="str">
        <f ca="1">OFFSET('배치점수 계산기'!N$10,$D842,0)</f>
        <v>표점/만점</v>
      </c>
      <c r="Y842" s="188">
        <f ca="1">OFFSET(환산공식!FW$15,$F842,0)</f>
        <v>0.25</v>
      </c>
      <c r="Z842" s="20">
        <f ca="1">OFFSET(환산공식!FX$15,$F842,0)</f>
        <v>0.37</v>
      </c>
      <c r="AA842" s="179">
        <f ca="1">OFFSET(환산공식!FY$15,$F842,0)</f>
        <v>0.37</v>
      </c>
      <c r="AB842" s="3"/>
      <c r="AD842">
        <f t="shared" ca="1" si="28"/>
        <v>6</v>
      </c>
      <c r="AF842" s="3"/>
      <c r="AG842" s="3"/>
      <c r="AH842" s="3"/>
    </row>
    <row r="843" spans="1:34">
      <c r="A843" s="198"/>
      <c r="B843" s="198"/>
      <c r="C843" s="198" t="s">
        <v>1404</v>
      </c>
      <c r="D843" s="195">
        <v>903</v>
      </c>
      <c r="E843" s="195">
        <v>228</v>
      </c>
      <c r="F843" s="195">
        <v>228</v>
      </c>
      <c r="G843" s="239">
        <v>836</v>
      </c>
      <c r="H843" s="197" t="s">
        <v>72</v>
      </c>
      <c r="I843" s="242" t="s">
        <v>214</v>
      </c>
      <c r="J843" s="242" t="s">
        <v>11747</v>
      </c>
      <c r="K843" s="195" t="s">
        <v>70</v>
      </c>
      <c r="L843" s="20" t="str">
        <f ca="1">IF(OFFSET(환산공식!$ED$15,$F843,0)=1,"O","X")</f>
        <v>X</v>
      </c>
      <c r="M843" s="188">
        <f ca="1">IFERROR(OFFSET(환산공식!DJ$15,$F843,0),"")</f>
        <v>40</v>
      </c>
      <c r="N843" s="20" t="str">
        <f ca="1">IFERROR(CONCATENATE(ROUND(OFFSET(환산공식!DK$15,$F843,0),1),"%"),"")</f>
        <v>100%</v>
      </c>
      <c r="O843" s="20">
        <f ca="1">IFERROR(OFFSET(환산공식!DL$15,$F843,0),"")</f>
        <v>0</v>
      </c>
      <c r="P843" s="188" t="str">
        <f t="shared" ca="1" si="27"/>
        <v>3% 이하</v>
      </c>
      <c r="Q843" s="194">
        <f ca="1">IFERROR(ROUND(OFFSET(환산공식!$FG$15,$F843,0),3),"")</f>
        <v>800</v>
      </c>
      <c r="R843" s="194">
        <f ca="1">OFFSET('배치점수 계산기'!H$10,$D843,0)</f>
        <v>966.245</v>
      </c>
      <c r="S843" s="194">
        <f ca="1">OFFSET('배치점수 계산기'!I$10,$D843,0)</f>
        <v>965.88300000000004</v>
      </c>
      <c r="T843" s="194">
        <f ca="1">OFFSET('배치점수 계산기'!J$10,$D843,0)</f>
        <v>964.90599999999995</v>
      </c>
      <c r="U843" s="194">
        <f ca="1">OFFSET('배치점수 계산기'!K$10,$D843,0)</f>
        <v>963.69</v>
      </c>
      <c r="V843" s="194">
        <f ca="1">OFFSET('배치점수 계산기'!L$10,$D843,0)</f>
        <v>962.25400000000002</v>
      </c>
      <c r="W843" s="186" t="str">
        <f ca="1">OFFSET('배치점수 계산기'!M$10,$D843,0)</f>
        <v>표점/만점</v>
      </c>
      <c r="X843" s="184" t="str">
        <f ca="1">OFFSET('배치점수 계산기'!N$10,$D843,0)</f>
        <v>표점/만점</v>
      </c>
      <c r="Y843" s="188">
        <f ca="1">OFFSET(환산공식!FW$15,$F843,0)</f>
        <v>0.25</v>
      </c>
      <c r="Z843" s="20">
        <f ca="1">OFFSET(환산공식!FX$15,$F843,0)</f>
        <v>0.37</v>
      </c>
      <c r="AA843" s="179">
        <f ca="1">OFFSET(환산공식!FY$15,$F843,0)</f>
        <v>0.37</v>
      </c>
      <c r="AB843" s="3"/>
      <c r="AD843">
        <f t="shared" ca="1" si="28"/>
        <v>6</v>
      </c>
      <c r="AF843" s="3"/>
      <c r="AG843" s="3"/>
      <c r="AH843" s="3"/>
    </row>
    <row r="844" spans="1:34">
      <c r="A844" s="198"/>
      <c r="B844" s="198"/>
      <c r="C844" s="198" t="s">
        <v>1405</v>
      </c>
      <c r="D844" s="195">
        <v>904</v>
      </c>
      <c r="E844" s="195">
        <v>228</v>
      </c>
      <c r="F844" s="195">
        <v>228</v>
      </c>
      <c r="G844" s="239">
        <v>837</v>
      </c>
      <c r="H844" s="197" t="s">
        <v>72</v>
      </c>
      <c r="I844" s="242" t="s">
        <v>214</v>
      </c>
      <c r="J844" s="242" t="s">
        <v>12645</v>
      </c>
      <c r="K844" s="195" t="s">
        <v>70</v>
      </c>
      <c r="L844" s="20" t="str">
        <f ca="1">IF(OFFSET(환산공식!$ED$15,$F844,0)=1,"O","X")</f>
        <v>X</v>
      </c>
      <c r="M844" s="188">
        <f ca="1">IFERROR(OFFSET(환산공식!DJ$15,$F844,0),"")</f>
        <v>40</v>
      </c>
      <c r="N844" s="20" t="str">
        <f ca="1">IFERROR(CONCATENATE(ROUND(OFFSET(환산공식!DK$15,$F844,0),1),"%"),"")</f>
        <v>100%</v>
      </c>
      <c r="O844" s="20">
        <f ca="1">IFERROR(OFFSET(환산공식!DL$15,$F844,0),"")</f>
        <v>0</v>
      </c>
      <c r="P844" s="188" t="str">
        <f t="shared" ca="1" si="27"/>
        <v>3% 이하</v>
      </c>
      <c r="Q844" s="194">
        <f ca="1">IFERROR(ROUND(OFFSET(환산공식!$FG$15,$F844,0),3),"")</f>
        <v>800</v>
      </c>
      <c r="R844" s="194">
        <f ca="1">OFFSET('배치점수 계산기'!H$10,$D844,0)</f>
        <v>966.21799999999996</v>
      </c>
      <c r="S844" s="194">
        <f ca="1">OFFSET('배치점수 계산기'!I$10,$D844,0)</f>
        <v>965.84100000000001</v>
      </c>
      <c r="T844" s="194">
        <f ca="1">OFFSET('배치점수 계산기'!J$10,$D844,0)</f>
        <v>964.86300000000006</v>
      </c>
      <c r="U844" s="194">
        <f ca="1">OFFSET('배치점수 계산기'!K$10,$D844,0)</f>
        <v>963.61800000000005</v>
      </c>
      <c r="V844" s="194">
        <f ca="1">OFFSET('배치점수 계산기'!L$10,$D844,0)</f>
        <v>962.16899999999998</v>
      </c>
      <c r="W844" s="186" t="str">
        <f ca="1">OFFSET('배치점수 계산기'!M$10,$D844,0)</f>
        <v>표점/만점</v>
      </c>
      <c r="X844" s="184" t="str">
        <f ca="1">OFFSET('배치점수 계산기'!N$10,$D844,0)</f>
        <v>표점/만점</v>
      </c>
      <c r="Y844" s="188">
        <f ca="1">OFFSET(환산공식!FW$15,$F844,0)</f>
        <v>0.25</v>
      </c>
      <c r="Z844" s="20">
        <f ca="1">OFFSET(환산공식!FX$15,$F844,0)</f>
        <v>0.37</v>
      </c>
      <c r="AA844" s="179">
        <f ca="1">OFFSET(환산공식!FY$15,$F844,0)</f>
        <v>0.37</v>
      </c>
      <c r="AB844" s="3"/>
      <c r="AD844">
        <f t="shared" ca="1" si="28"/>
        <v>6</v>
      </c>
      <c r="AF844" s="3"/>
      <c r="AG844" s="3"/>
      <c r="AH844" s="3"/>
    </row>
    <row r="845" spans="1:34">
      <c r="A845" s="198"/>
      <c r="B845" s="198"/>
      <c r="C845" s="198" t="s">
        <v>1406</v>
      </c>
      <c r="D845" s="195">
        <v>905</v>
      </c>
      <c r="E845" s="195">
        <v>230</v>
      </c>
      <c r="F845" s="195">
        <v>230</v>
      </c>
      <c r="G845" s="239">
        <v>838</v>
      </c>
      <c r="H845" s="197" t="s">
        <v>72</v>
      </c>
      <c r="I845" s="242" t="s">
        <v>214</v>
      </c>
      <c r="J845" s="242" t="s">
        <v>9090</v>
      </c>
      <c r="K845" s="195" t="s">
        <v>70</v>
      </c>
      <c r="L845" s="20" t="str">
        <f ca="1">IF(OFFSET(환산공식!$ED$15,$F845,0)=1,"O","X")</f>
        <v>X</v>
      </c>
      <c r="M845" s="188">
        <f ca="1">IFERROR(OFFSET(환산공식!DJ$15,$F845,0),"")</f>
        <v>40</v>
      </c>
      <c r="N845" s="20" t="str">
        <f ca="1">IFERROR(CONCATENATE(ROUND(OFFSET(환산공식!DK$15,$F845,0),1),"%"),"")</f>
        <v>100%</v>
      </c>
      <c r="O845" s="20">
        <f ca="1">IFERROR(OFFSET(환산공식!DL$15,$F845,0),"")</f>
        <v>0</v>
      </c>
      <c r="P845" s="188" t="str">
        <f t="shared" ca="1" si="27"/>
        <v>3% 이하</v>
      </c>
      <c r="Q845" s="194">
        <f ca="1">IFERROR(ROUND(OFFSET(환산공식!$FG$15,$F845,0),3),"")</f>
        <v>800</v>
      </c>
      <c r="R845" s="194">
        <f ca="1">OFFSET('배치점수 계산기'!H$10,$D845,0)</f>
        <v>965.91600000000005</v>
      </c>
      <c r="S845" s="194">
        <f ca="1">OFFSET('배치점수 계산기'!I$10,$D845,0)</f>
        <v>965.54899999999998</v>
      </c>
      <c r="T845" s="194">
        <f ca="1">OFFSET('배치점수 계산기'!J$10,$D845,0)</f>
        <v>964.721</v>
      </c>
      <c r="U845" s="194">
        <f ca="1">OFFSET('배치점수 계산기'!K$10,$D845,0)</f>
        <v>963.58100000000002</v>
      </c>
      <c r="V845" s="194">
        <f ca="1">OFFSET('배치점수 계산기'!L$10,$D845,0)</f>
        <v>962.14099999999996</v>
      </c>
      <c r="W845" s="186" t="str">
        <f ca="1">OFFSET('배치점수 계산기'!M$10,$D845,0)</f>
        <v>표점/만점</v>
      </c>
      <c r="X845" s="184" t="str">
        <f ca="1">OFFSET('배치점수 계산기'!N$10,$D845,0)</f>
        <v>표점/만점</v>
      </c>
      <c r="Y845" s="188">
        <f ca="1">OFFSET(환산공식!FW$15,$F845,0)</f>
        <v>0.25</v>
      </c>
      <c r="Z845" s="20">
        <f ca="1">OFFSET(환산공식!FX$15,$F845,0)</f>
        <v>0.37</v>
      </c>
      <c r="AA845" s="179">
        <f ca="1">OFFSET(환산공식!FY$15,$F845,0)</f>
        <v>0.37</v>
      </c>
      <c r="AB845" s="3"/>
      <c r="AD845">
        <f t="shared" ca="1" si="28"/>
        <v>6</v>
      </c>
      <c r="AF845" s="3"/>
      <c r="AG845" s="3"/>
      <c r="AH845" s="3"/>
    </row>
    <row r="846" spans="1:34">
      <c r="A846" s="198"/>
      <c r="B846" s="198"/>
      <c r="C846" s="198" t="s">
        <v>1407</v>
      </c>
      <c r="D846" s="195">
        <v>906</v>
      </c>
      <c r="E846" s="195">
        <v>228</v>
      </c>
      <c r="F846" s="195">
        <v>228</v>
      </c>
      <c r="G846" s="239">
        <v>839</v>
      </c>
      <c r="H846" s="197" t="s">
        <v>72</v>
      </c>
      <c r="I846" s="242" t="s">
        <v>214</v>
      </c>
      <c r="J846" s="242" t="s">
        <v>12675</v>
      </c>
      <c r="K846" s="195" t="s">
        <v>70</v>
      </c>
      <c r="L846" s="20" t="str">
        <f ca="1">IF(OFFSET(환산공식!$ED$15,$F846,0)=1,"O","X")</f>
        <v>X</v>
      </c>
      <c r="M846" s="188">
        <f ca="1">IFERROR(OFFSET(환산공식!DJ$15,$F846,0),"")</f>
        <v>40</v>
      </c>
      <c r="N846" s="20" t="str">
        <f ca="1">IFERROR(CONCATENATE(ROUND(OFFSET(환산공식!DK$15,$F846,0),1),"%"),"")</f>
        <v>100%</v>
      </c>
      <c r="O846" s="20">
        <f ca="1">IFERROR(OFFSET(환산공식!DL$15,$F846,0),"")</f>
        <v>0</v>
      </c>
      <c r="P846" s="188" t="str">
        <f t="shared" ca="1" si="27"/>
        <v>3% 이하</v>
      </c>
      <c r="Q846" s="194">
        <f ca="1">IFERROR(ROUND(OFFSET(환산공식!$FG$15,$F846,0),3),"")</f>
        <v>800</v>
      </c>
      <c r="R846" s="194">
        <f ca="1">OFFSET('배치점수 계산기'!H$10,$D846,0)</f>
        <v>966.06299999999999</v>
      </c>
      <c r="S846" s="194">
        <f ca="1">OFFSET('배치점수 계산기'!I$10,$D846,0)</f>
        <v>965.65</v>
      </c>
      <c r="T846" s="194">
        <f ca="1">OFFSET('배치점수 계산기'!J$10,$D846,0)</f>
        <v>964.721</v>
      </c>
      <c r="U846" s="194">
        <f ca="1">OFFSET('배치점수 계산기'!K$10,$D846,0)</f>
        <v>963.46299999999997</v>
      </c>
      <c r="V846" s="194">
        <f ca="1">OFFSET('배치점수 계산기'!L$10,$D846,0)</f>
        <v>962.029</v>
      </c>
      <c r="W846" s="186" t="str">
        <f ca="1">OFFSET('배치점수 계산기'!M$10,$D846,0)</f>
        <v>표점/만점</v>
      </c>
      <c r="X846" s="184" t="str">
        <f ca="1">OFFSET('배치점수 계산기'!N$10,$D846,0)</f>
        <v>표점/만점</v>
      </c>
      <c r="Y846" s="188">
        <f ca="1">OFFSET(환산공식!FW$15,$F846,0)</f>
        <v>0.25</v>
      </c>
      <c r="Z846" s="20">
        <f ca="1">OFFSET(환산공식!FX$15,$F846,0)</f>
        <v>0.37</v>
      </c>
      <c r="AA846" s="179">
        <f ca="1">OFFSET(환산공식!FY$15,$F846,0)</f>
        <v>0.37</v>
      </c>
      <c r="AB846" s="3"/>
      <c r="AD846">
        <f t="shared" ca="1" si="28"/>
        <v>6</v>
      </c>
      <c r="AF846" s="3"/>
      <c r="AG846" s="3"/>
      <c r="AH846" s="3"/>
    </row>
    <row r="847" spans="1:34">
      <c r="A847" s="198"/>
      <c r="B847" s="198"/>
      <c r="C847" s="198" t="s">
        <v>1408</v>
      </c>
      <c r="D847" s="195">
        <v>907</v>
      </c>
      <c r="E847" s="195">
        <v>228</v>
      </c>
      <c r="F847" s="195">
        <v>228</v>
      </c>
      <c r="G847" s="239">
        <v>840</v>
      </c>
      <c r="H847" s="197" t="s">
        <v>72</v>
      </c>
      <c r="I847" s="242" t="s">
        <v>214</v>
      </c>
      <c r="J847" s="242" t="s">
        <v>12760</v>
      </c>
      <c r="K847" s="195" t="s">
        <v>70</v>
      </c>
      <c r="L847" s="20" t="str">
        <f ca="1">IF(OFFSET(환산공식!$ED$15,$F847,0)=1,"O","X")</f>
        <v>X</v>
      </c>
      <c r="M847" s="188">
        <f ca="1">IFERROR(OFFSET(환산공식!DJ$15,$F847,0),"")</f>
        <v>40</v>
      </c>
      <c r="N847" s="20" t="str">
        <f ca="1">IFERROR(CONCATENATE(ROUND(OFFSET(환산공식!DK$15,$F847,0),1),"%"),"")</f>
        <v>100%</v>
      </c>
      <c r="O847" s="20">
        <f ca="1">IFERROR(OFFSET(환산공식!DL$15,$F847,0),"")</f>
        <v>0</v>
      </c>
      <c r="P847" s="188" t="str">
        <f t="shared" ca="1" si="27"/>
        <v>3% 이하</v>
      </c>
      <c r="Q847" s="194">
        <f ca="1">IFERROR(ROUND(OFFSET(환산공식!$FG$15,$F847,0),3),"")</f>
        <v>800</v>
      </c>
      <c r="R847" s="194">
        <f ca="1">OFFSET('배치점수 계산기'!H$10,$D847,0)</f>
        <v>965.64599999999996</v>
      </c>
      <c r="S847" s="194">
        <f ca="1">OFFSET('배치점수 계산기'!I$10,$D847,0)</f>
        <v>965.23599999999999</v>
      </c>
      <c r="T847" s="194">
        <f ca="1">OFFSET('배치점수 계산기'!J$10,$D847,0)</f>
        <v>964.26800000000003</v>
      </c>
      <c r="U847" s="194">
        <f ca="1">OFFSET('배치점수 계산기'!K$10,$D847,0)</f>
        <v>962.97900000000004</v>
      </c>
      <c r="V847" s="194">
        <f ca="1">OFFSET('배치점수 계산기'!L$10,$D847,0)</f>
        <v>961.56399999999996</v>
      </c>
      <c r="W847" s="186" t="str">
        <f ca="1">OFFSET('배치점수 계산기'!M$10,$D847,0)</f>
        <v>표점/만점</v>
      </c>
      <c r="X847" s="184" t="str">
        <f ca="1">OFFSET('배치점수 계산기'!N$10,$D847,0)</f>
        <v>표점/만점</v>
      </c>
      <c r="Y847" s="188">
        <f ca="1">OFFSET(환산공식!FW$15,$F847,0)</f>
        <v>0.25</v>
      </c>
      <c r="Z847" s="20">
        <f ca="1">OFFSET(환산공식!FX$15,$F847,0)</f>
        <v>0.37</v>
      </c>
      <c r="AA847" s="179">
        <f ca="1">OFFSET(환산공식!FY$15,$F847,0)</f>
        <v>0.37</v>
      </c>
      <c r="AB847" s="3"/>
      <c r="AD847">
        <f t="shared" ca="1" si="28"/>
        <v>6</v>
      </c>
      <c r="AF847" s="3"/>
      <c r="AG847" s="3"/>
      <c r="AH847" s="3"/>
    </row>
    <row r="848" spans="1:34">
      <c r="A848" s="198"/>
      <c r="B848" s="198"/>
      <c r="C848" s="198" t="s">
        <v>1409</v>
      </c>
      <c r="D848" s="195">
        <v>908</v>
      </c>
      <c r="E848" s="195">
        <v>230</v>
      </c>
      <c r="F848" s="195">
        <v>230</v>
      </c>
      <c r="G848" s="239">
        <v>841</v>
      </c>
      <c r="H848" s="197" t="s">
        <v>72</v>
      </c>
      <c r="I848" s="242" t="s">
        <v>214</v>
      </c>
      <c r="J848" s="242" t="s">
        <v>12800</v>
      </c>
      <c r="K848" s="195" t="s">
        <v>70</v>
      </c>
      <c r="L848" s="20" t="str">
        <f ca="1">IF(OFFSET(환산공식!$ED$15,$F848,0)=1,"O","X")</f>
        <v>X</v>
      </c>
      <c r="M848" s="188">
        <f ca="1">IFERROR(OFFSET(환산공식!DJ$15,$F848,0),"")</f>
        <v>40</v>
      </c>
      <c r="N848" s="20" t="str">
        <f ca="1">IFERROR(CONCATENATE(ROUND(OFFSET(환산공식!DK$15,$F848,0),1),"%"),"")</f>
        <v>100%</v>
      </c>
      <c r="O848" s="20">
        <f ca="1">IFERROR(OFFSET(환산공식!DL$15,$F848,0),"")</f>
        <v>0</v>
      </c>
      <c r="P848" s="188" t="str">
        <f t="shared" ca="1" si="27"/>
        <v>3% 이하</v>
      </c>
      <c r="Q848" s="194">
        <f ca="1">IFERROR(ROUND(OFFSET(환산공식!$FG$15,$F848,0),3),"")</f>
        <v>800</v>
      </c>
      <c r="R848" s="194">
        <f ca="1">OFFSET('배치점수 계산기'!H$10,$D848,0)</f>
        <v>965.35400000000004</v>
      </c>
      <c r="S848" s="194">
        <f ca="1">OFFSET('배치점수 계산기'!I$10,$D848,0)</f>
        <v>964.93299999999999</v>
      </c>
      <c r="T848" s="194">
        <f ca="1">OFFSET('배치점수 계산기'!J$10,$D848,0)</f>
        <v>963.99800000000005</v>
      </c>
      <c r="U848" s="194">
        <f ca="1">OFFSET('배치점수 계산기'!K$10,$D848,0)</f>
        <v>962.71400000000006</v>
      </c>
      <c r="V848" s="194">
        <f ca="1">OFFSET('배치점수 계산기'!L$10,$D848,0)</f>
        <v>961.32899999999995</v>
      </c>
      <c r="W848" s="186" t="str">
        <f ca="1">OFFSET('배치점수 계산기'!M$10,$D848,0)</f>
        <v>표점/만점</v>
      </c>
      <c r="X848" s="184" t="str">
        <f ca="1">OFFSET('배치점수 계산기'!N$10,$D848,0)</f>
        <v>표점/만점</v>
      </c>
      <c r="Y848" s="188">
        <f ca="1">OFFSET(환산공식!FW$15,$F848,0)</f>
        <v>0.25</v>
      </c>
      <c r="Z848" s="20">
        <f ca="1">OFFSET(환산공식!FX$15,$F848,0)</f>
        <v>0.37</v>
      </c>
      <c r="AA848" s="179">
        <f ca="1">OFFSET(환산공식!FY$15,$F848,0)</f>
        <v>0.37</v>
      </c>
      <c r="AB848" s="3"/>
      <c r="AD848">
        <f t="shared" ca="1" si="28"/>
        <v>6</v>
      </c>
      <c r="AF848" s="3"/>
      <c r="AG848" s="3"/>
      <c r="AH848" s="3"/>
    </row>
    <row r="849" spans="1:34">
      <c r="A849" s="198"/>
      <c r="B849" s="198"/>
      <c r="C849" s="198" t="s">
        <v>1410</v>
      </c>
      <c r="D849" s="195">
        <v>909</v>
      </c>
      <c r="E849" s="195">
        <v>230</v>
      </c>
      <c r="F849" s="195">
        <v>230</v>
      </c>
      <c r="G849" s="239">
        <v>842</v>
      </c>
      <c r="H849" s="197" t="s">
        <v>72</v>
      </c>
      <c r="I849" s="242" t="s">
        <v>214</v>
      </c>
      <c r="J849" s="242" t="s">
        <v>550</v>
      </c>
      <c r="K849" s="195" t="s">
        <v>70</v>
      </c>
      <c r="L849" s="20" t="str">
        <f ca="1">IF(OFFSET(환산공식!$ED$15,$F849,0)=1,"O","X")</f>
        <v>X</v>
      </c>
      <c r="M849" s="188">
        <f ca="1">IFERROR(OFFSET(환산공식!DJ$15,$F849,0),"")</f>
        <v>40</v>
      </c>
      <c r="N849" s="20" t="str">
        <f ca="1">IFERROR(CONCATENATE(ROUND(OFFSET(환산공식!DK$15,$F849,0),1),"%"),"")</f>
        <v>100%</v>
      </c>
      <c r="O849" s="20">
        <f ca="1">IFERROR(OFFSET(환산공식!DL$15,$F849,0),"")</f>
        <v>0</v>
      </c>
      <c r="P849" s="188" t="str">
        <f t="shared" ca="1" si="27"/>
        <v>3% 이하</v>
      </c>
      <c r="Q849" s="194">
        <f ca="1">IFERROR(ROUND(OFFSET(환산공식!$FG$15,$F849,0),3),"")</f>
        <v>800</v>
      </c>
      <c r="R849" s="194">
        <f ca="1">OFFSET('배치점수 계산기'!H$10,$D849,0)</f>
        <v>965.35400000000004</v>
      </c>
      <c r="S849" s="194">
        <f ca="1">OFFSET('배치점수 계산기'!I$10,$D849,0)</f>
        <v>964.93299999999999</v>
      </c>
      <c r="T849" s="194">
        <f ca="1">OFFSET('배치점수 계산기'!J$10,$D849,0)</f>
        <v>963.99800000000005</v>
      </c>
      <c r="U849" s="194">
        <f ca="1">OFFSET('배치점수 계산기'!K$10,$D849,0)</f>
        <v>962.71400000000006</v>
      </c>
      <c r="V849" s="194">
        <f ca="1">OFFSET('배치점수 계산기'!L$10,$D849,0)</f>
        <v>961.32899999999995</v>
      </c>
      <c r="W849" s="186" t="str">
        <f ca="1">OFFSET('배치점수 계산기'!M$10,$D849,0)</f>
        <v>표점/만점</v>
      </c>
      <c r="X849" s="184" t="str">
        <f ca="1">OFFSET('배치점수 계산기'!N$10,$D849,0)</f>
        <v>표점/만점</v>
      </c>
      <c r="Y849" s="188">
        <f ca="1">OFFSET(환산공식!FW$15,$F849,0)</f>
        <v>0.25</v>
      </c>
      <c r="Z849" s="20">
        <f ca="1">OFFSET(환산공식!FX$15,$F849,0)</f>
        <v>0.37</v>
      </c>
      <c r="AA849" s="179">
        <f ca="1">OFFSET(환산공식!FY$15,$F849,0)</f>
        <v>0.37</v>
      </c>
      <c r="AB849" s="3"/>
      <c r="AD849">
        <f t="shared" ca="1" si="28"/>
        <v>6</v>
      </c>
      <c r="AF849" s="3"/>
      <c r="AG849" s="3"/>
      <c r="AH849" s="3"/>
    </row>
    <row r="850" spans="1:34">
      <c r="A850" s="198"/>
      <c r="B850" s="198"/>
      <c r="C850" s="198" t="s">
        <v>1411</v>
      </c>
      <c r="D850" s="195">
        <v>910</v>
      </c>
      <c r="E850" s="195">
        <v>230</v>
      </c>
      <c r="F850" s="195">
        <v>230</v>
      </c>
      <c r="G850" s="239">
        <v>843</v>
      </c>
      <c r="H850" s="197" t="s">
        <v>72</v>
      </c>
      <c r="I850" s="242" t="s">
        <v>214</v>
      </c>
      <c r="J850" s="242" t="s">
        <v>8778</v>
      </c>
      <c r="K850" s="195" t="s">
        <v>70</v>
      </c>
      <c r="L850" s="20" t="str">
        <f ca="1">IF(OFFSET(환산공식!$ED$15,$F850,0)=1,"O","X")</f>
        <v>X</v>
      </c>
      <c r="M850" s="188">
        <f ca="1">IFERROR(OFFSET(환산공식!DJ$15,$F850,0),"")</f>
        <v>40</v>
      </c>
      <c r="N850" s="20" t="str">
        <f ca="1">IFERROR(CONCATENATE(ROUND(OFFSET(환산공식!DK$15,$F850,0),1),"%"),"")</f>
        <v>100%</v>
      </c>
      <c r="O850" s="20">
        <f ca="1">IFERROR(OFFSET(환산공식!DL$15,$F850,0),"")</f>
        <v>0</v>
      </c>
      <c r="P850" s="188" t="str">
        <f t="shared" ca="1" si="27"/>
        <v>3% 이하</v>
      </c>
      <c r="Q850" s="194">
        <f ca="1">IFERROR(ROUND(OFFSET(환산공식!$FG$15,$F850,0),3),"")</f>
        <v>800</v>
      </c>
      <c r="R850" s="194">
        <f ca="1">OFFSET('배치점수 계산기'!H$10,$D850,0)</f>
        <v>965.31600000000003</v>
      </c>
      <c r="S850" s="194">
        <f ca="1">OFFSET('배치점수 계산기'!I$10,$D850,0)</f>
        <v>964.90599999999995</v>
      </c>
      <c r="T850" s="194">
        <f ca="1">OFFSET('배치점수 계산기'!J$10,$D850,0)</f>
        <v>963.96</v>
      </c>
      <c r="U850" s="194">
        <f ca="1">OFFSET('배치점수 계산기'!K$10,$D850,0)</f>
        <v>962.70799999999997</v>
      </c>
      <c r="V850" s="194">
        <f ca="1">OFFSET('배치점수 계산기'!L$10,$D850,0)</f>
        <v>961.26199999999994</v>
      </c>
      <c r="W850" s="186" t="str">
        <f ca="1">OFFSET('배치점수 계산기'!M$10,$D850,0)</f>
        <v>표점/만점</v>
      </c>
      <c r="X850" s="184" t="str">
        <f ca="1">OFFSET('배치점수 계산기'!N$10,$D850,0)</f>
        <v>표점/만점</v>
      </c>
      <c r="Y850" s="188">
        <f ca="1">OFFSET(환산공식!FW$15,$F850,0)</f>
        <v>0.25</v>
      </c>
      <c r="Z850" s="20">
        <f ca="1">OFFSET(환산공식!FX$15,$F850,0)</f>
        <v>0.37</v>
      </c>
      <c r="AA850" s="179">
        <f ca="1">OFFSET(환산공식!FY$15,$F850,0)</f>
        <v>0.37</v>
      </c>
      <c r="AB850" s="3"/>
      <c r="AD850">
        <f t="shared" ca="1" si="28"/>
        <v>6</v>
      </c>
      <c r="AF850" s="3"/>
      <c r="AG850" s="3"/>
      <c r="AH850" s="3"/>
    </row>
    <row r="851" spans="1:34">
      <c r="A851" s="198"/>
      <c r="B851" s="198"/>
      <c r="C851" s="198" t="s">
        <v>1412</v>
      </c>
      <c r="D851" s="195">
        <v>911</v>
      </c>
      <c r="E851" s="195">
        <v>230</v>
      </c>
      <c r="F851" s="195">
        <v>230</v>
      </c>
      <c r="G851" s="239">
        <v>844</v>
      </c>
      <c r="H851" s="197" t="s">
        <v>72</v>
      </c>
      <c r="I851" s="242" t="s">
        <v>214</v>
      </c>
      <c r="J851" s="242" t="s">
        <v>11452</v>
      </c>
      <c r="K851" s="195" t="s">
        <v>70</v>
      </c>
      <c r="L851" s="20" t="str">
        <f ca="1">IF(OFFSET(환산공식!$ED$15,$F851,0)=1,"O","X")</f>
        <v>X</v>
      </c>
      <c r="M851" s="188">
        <f ca="1">IFERROR(OFFSET(환산공식!DJ$15,$F851,0),"")</f>
        <v>40</v>
      </c>
      <c r="N851" s="20" t="str">
        <f ca="1">IFERROR(CONCATENATE(ROUND(OFFSET(환산공식!DK$15,$F851,0),1),"%"),"")</f>
        <v>100%</v>
      </c>
      <c r="O851" s="20">
        <f ca="1">IFERROR(OFFSET(환산공식!DL$15,$F851,0),"")</f>
        <v>0</v>
      </c>
      <c r="P851" s="188" t="str">
        <f t="shared" ca="1" si="27"/>
        <v>3% 이하</v>
      </c>
      <c r="Q851" s="194">
        <f ca="1">IFERROR(ROUND(OFFSET(환산공식!$FG$15,$F851,0),3),"")</f>
        <v>800</v>
      </c>
      <c r="R851" s="194">
        <f ca="1">OFFSET('배치점수 계산기'!H$10,$D851,0)</f>
        <v>965.23599999999999</v>
      </c>
      <c r="S851" s="194">
        <f ca="1">OFFSET('배치점수 계산기'!I$10,$D851,0)</f>
        <v>964.78599999999994</v>
      </c>
      <c r="T851" s="194">
        <f ca="1">OFFSET('배치점수 계산기'!J$10,$D851,0)</f>
        <v>963.84500000000003</v>
      </c>
      <c r="U851" s="194">
        <f ca="1">OFFSET('배치점수 계산기'!K$10,$D851,0)</f>
        <v>962.54600000000005</v>
      </c>
      <c r="V851" s="194">
        <f ca="1">OFFSET('배치점수 계산기'!L$10,$D851,0)</f>
        <v>961.13400000000001</v>
      </c>
      <c r="W851" s="186" t="str">
        <f ca="1">OFFSET('배치점수 계산기'!M$10,$D851,0)</f>
        <v>표점/만점</v>
      </c>
      <c r="X851" s="184" t="str">
        <f ca="1">OFFSET('배치점수 계산기'!N$10,$D851,0)</f>
        <v>표점/만점</v>
      </c>
      <c r="Y851" s="188">
        <f ca="1">OFFSET(환산공식!FW$15,$F851,0)</f>
        <v>0.25</v>
      </c>
      <c r="Z851" s="20">
        <f ca="1">OFFSET(환산공식!FX$15,$F851,0)</f>
        <v>0.37</v>
      </c>
      <c r="AA851" s="179">
        <f ca="1">OFFSET(환산공식!FY$15,$F851,0)</f>
        <v>0.37</v>
      </c>
      <c r="AB851" s="3"/>
      <c r="AD851">
        <f t="shared" ca="1" si="28"/>
        <v>6</v>
      </c>
      <c r="AF851" s="3"/>
      <c r="AG851" s="3"/>
      <c r="AH851" s="3"/>
    </row>
    <row r="852" spans="1:34">
      <c r="A852" s="198"/>
      <c r="B852" s="198"/>
      <c r="C852" s="198" t="s">
        <v>1413</v>
      </c>
      <c r="D852" s="195">
        <v>912</v>
      </c>
      <c r="E852" s="195">
        <v>228</v>
      </c>
      <c r="F852" s="195">
        <v>228</v>
      </c>
      <c r="G852" s="239">
        <v>845</v>
      </c>
      <c r="H852" s="197" t="s">
        <v>72</v>
      </c>
      <c r="I852" s="242" t="s">
        <v>214</v>
      </c>
      <c r="J852" s="242" t="s">
        <v>12830</v>
      </c>
      <c r="K852" s="195" t="s">
        <v>70</v>
      </c>
      <c r="L852" s="20" t="str">
        <f ca="1">IF(OFFSET(환산공식!$ED$15,$F852,0)=1,"O","X")</f>
        <v>X</v>
      </c>
      <c r="M852" s="188">
        <f ca="1">IFERROR(OFFSET(환산공식!DJ$15,$F852,0),"")</f>
        <v>40</v>
      </c>
      <c r="N852" s="20" t="str">
        <f ca="1">IFERROR(CONCATENATE(ROUND(OFFSET(환산공식!DK$15,$F852,0),1),"%"),"")</f>
        <v>100%</v>
      </c>
      <c r="O852" s="20">
        <f ca="1">IFERROR(OFFSET(환산공식!DL$15,$F852,0),"")</f>
        <v>0</v>
      </c>
      <c r="P852" s="188" t="str">
        <f t="shared" ca="1" si="27"/>
        <v>3% 이하</v>
      </c>
      <c r="Q852" s="194">
        <f ca="1">IFERROR(ROUND(OFFSET(환산공식!$FG$15,$F852,0),3),"")</f>
        <v>800</v>
      </c>
      <c r="R852" s="194">
        <f ca="1">OFFSET('배치점수 계산기'!H$10,$D852,0)</f>
        <v>965.23599999999999</v>
      </c>
      <c r="S852" s="194">
        <f ca="1">OFFSET('배치점수 계산기'!I$10,$D852,0)</f>
        <v>964.78599999999994</v>
      </c>
      <c r="T852" s="194">
        <f ca="1">OFFSET('배치점수 계산기'!J$10,$D852,0)</f>
        <v>963.84500000000003</v>
      </c>
      <c r="U852" s="194">
        <f ca="1">OFFSET('배치점수 계산기'!K$10,$D852,0)</f>
        <v>962.54600000000005</v>
      </c>
      <c r="V852" s="194">
        <f ca="1">OFFSET('배치점수 계산기'!L$10,$D852,0)</f>
        <v>961.13400000000001</v>
      </c>
      <c r="W852" s="186" t="str">
        <f ca="1">OFFSET('배치점수 계산기'!M$10,$D852,0)</f>
        <v>표점/만점</v>
      </c>
      <c r="X852" s="184" t="str">
        <f ca="1">OFFSET('배치점수 계산기'!N$10,$D852,0)</f>
        <v>표점/만점</v>
      </c>
      <c r="Y852" s="188">
        <f ca="1">OFFSET(환산공식!FW$15,$F852,0)</f>
        <v>0.25</v>
      </c>
      <c r="Z852" s="20">
        <f ca="1">OFFSET(환산공식!FX$15,$F852,0)</f>
        <v>0.37</v>
      </c>
      <c r="AA852" s="179">
        <f ca="1">OFFSET(환산공식!FY$15,$F852,0)</f>
        <v>0.37</v>
      </c>
      <c r="AB852" s="3"/>
      <c r="AD852">
        <f t="shared" ca="1" si="28"/>
        <v>6</v>
      </c>
      <c r="AF852" s="3"/>
      <c r="AG852" s="3"/>
      <c r="AH852" s="3"/>
    </row>
    <row r="853" spans="1:34">
      <c r="A853" s="198"/>
      <c r="B853" s="198"/>
      <c r="C853" s="198" t="s">
        <v>1414</v>
      </c>
      <c r="D853" s="195">
        <v>913</v>
      </c>
      <c r="E853" s="195">
        <v>228</v>
      </c>
      <c r="F853" s="195">
        <v>228</v>
      </c>
      <c r="G853" s="239">
        <v>846</v>
      </c>
      <c r="H853" s="197" t="s">
        <v>72</v>
      </c>
      <c r="I853" s="242" t="s">
        <v>214</v>
      </c>
      <c r="J853" s="242" t="s">
        <v>12846</v>
      </c>
      <c r="K853" s="195" t="s">
        <v>70</v>
      </c>
      <c r="L853" s="20" t="str">
        <f ca="1">IF(OFFSET(환산공식!$ED$15,$F853,0)=1,"O","X")</f>
        <v>X</v>
      </c>
      <c r="M853" s="188">
        <f ca="1">IFERROR(OFFSET(환산공식!DJ$15,$F853,0),"")</f>
        <v>40</v>
      </c>
      <c r="N853" s="20" t="str">
        <f ca="1">IFERROR(CONCATENATE(ROUND(OFFSET(환산공식!DK$15,$F853,0),1),"%"),"")</f>
        <v>100%</v>
      </c>
      <c r="O853" s="20">
        <f ca="1">IFERROR(OFFSET(환산공식!DL$15,$F853,0),"")</f>
        <v>0</v>
      </c>
      <c r="P853" s="188" t="str">
        <f t="shared" ca="1" si="27"/>
        <v>3% 이하</v>
      </c>
      <c r="Q853" s="194">
        <f ca="1">IFERROR(ROUND(OFFSET(환산공식!$FG$15,$F853,0),3),"")</f>
        <v>800</v>
      </c>
      <c r="R853" s="194">
        <f ca="1">OFFSET('배치점수 계산기'!H$10,$D853,0)</f>
        <v>965.19899999999996</v>
      </c>
      <c r="S853" s="194">
        <f ca="1">OFFSET('배치점수 계산기'!I$10,$D853,0)</f>
        <v>964.75300000000004</v>
      </c>
      <c r="T853" s="194">
        <f ca="1">OFFSET('배치점수 계산기'!J$10,$D853,0)</f>
        <v>963.76099999999997</v>
      </c>
      <c r="U853" s="194">
        <f ca="1">OFFSET('배치점수 계산기'!K$10,$D853,0)</f>
        <v>962.48099999999999</v>
      </c>
      <c r="V853" s="194">
        <f ca="1">OFFSET('배치점수 계산기'!L$10,$D853,0)</f>
        <v>961.10699999999997</v>
      </c>
      <c r="W853" s="186" t="str">
        <f ca="1">OFFSET('배치점수 계산기'!M$10,$D853,0)</f>
        <v>표점/만점</v>
      </c>
      <c r="X853" s="184" t="str">
        <f ca="1">OFFSET('배치점수 계산기'!N$10,$D853,0)</f>
        <v>표점/만점</v>
      </c>
      <c r="Y853" s="188">
        <f ca="1">OFFSET(환산공식!FW$15,$F853,0)</f>
        <v>0.25</v>
      </c>
      <c r="Z853" s="20">
        <f ca="1">OFFSET(환산공식!FX$15,$F853,0)</f>
        <v>0.37</v>
      </c>
      <c r="AA853" s="179">
        <f ca="1">OFFSET(환산공식!FY$15,$F853,0)</f>
        <v>0.37</v>
      </c>
      <c r="AB853" s="3"/>
      <c r="AD853">
        <f t="shared" ca="1" si="28"/>
        <v>6</v>
      </c>
      <c r="AF853" s="3"/>
      <c r="AG853" s="3"/>
      <c r="AH853" s="3"/>
    </row>
    <row r="854" spans="1:34">
      <c r="A854" s="198"/>
      <c r="B854" s="198"/>
      <c r="C854" s="198" t="s">
        <v>1415</v>
      </c>
      <c r="D854" s="195">
        <v>914</v>
      </c>
      <c r="E854" s="195">
        <v>231</v>
      </c>
      <c r="F854" s="195">
        <v>231</v>
      </c>
      <c r="G854" s="239">
        <v>847</v>
      </c>
      <c r="H854" s="197" t="s">
        <v>72</v>
      </c>
      <c r="I854" s="242" t="s">
        <v>214</v>
      </c>
      <c r="J854" s="242" t="s">
        <v>551</v>
      </c>
      <c r="K854" s="195" t="s">
        <v>70</v>
      </c>
      <c r="L854" s="20" t="str">
        <f ca="1">IF(OFFSET(환산공식!$ED$15,$F854,0)=1,"O","X")</f>
        <v>X</v>
      </c>
      <c r="M854" s="188">
        <f ca="1">IFERROR(OFFSET(환산공식!DJ$15,$F854,0),"")</f>
        <v>40</v>
      </c>
      <c r="N854" s="20" t="str">
        <f ca="1">IFERROR(CONCATENATE(ROUND(OFFSET(환산공식!DK$15,$F854,0),1),"%"),"")</f>
        <v>100%</v>
      </c>
      <c r="O854" s="20">
        <f ca="1">IFERROR(OFFSET(환산공식!DL$15,$F854,0),"")</f>
        <v>0</v>
      </c>
      <c r="P854" s="188" t="str">
        <f t="shared" ca="1" si="27"/>
        <v>3% 이하</v>
      </c>
      <c r="Q854" s="194">
        <f ca="1">IFERROR(ROUND(OFFSET(환산공식!$FG$15,$F854,0),3),"")</f>
        <v>800</v>
      </c>
      <c r="R854" s="194">
        <f ca="1">OFFSET('배치점수 계산기'!H$10,$D854,0)</f>
        <v>965.09400000000005</v>
      </c>
      <c r="S854" s="194">
        <f ca="1">OFFSET('배치점수 계산기'!I$10,$D854,0)</f>
        <v>964.721</v>
      </c>
      <c r="T854" s="194">
        <f ca="1">OFFSET('배치점수 계산기'!J$10,$D854,0)</f>
        <v>963.73299999999995</v>
      </c>
      <c r="U854" s="194">
        <f ca="1">OFFSET('배치점수 계산기'!K$10,$D854,0)</f>
        <v>962.43799999999999</v>
      </c>
      <c r="V854" s="194">
        <f ca="1">OFFSET('배치점수 계산기'!L$10,$D854,0)</f>
        <v>961.07899999999995</v>
      </c>
      <c r="W854" s="186" t="str">
        <f ca="1">OFFSET('배치점수 계산기'!M$10,$D854,0)</f>
        <v>표점/만점</v>
      </c>
      <c r="X854" s="184" t="str">
        <f ca="1">OFFSET('배치점수 계산기'!N$10,$D854,0)</f>
        <v>표점/만점</v>
      </c>
      <c r="Y854" s="188">
        <f ca="1">OFFSET(환산공식!FW$15,$F854,0)</f>
        <v>0.25</v>
      </c>
      <c r="Z854" s="20">
        <f ca="1">OFFSET(환산공식!FX$15,$F854,0)</f>
        <v>0.37</v>
      </c>
      <c r="AA854" s="179">
        <f ca="1">OFFSET(환산공식!FY$15,$F854,0)</f>
        <v>0.37</v>
      </c>
      <c r="AB854" s="3"/>
      <c r="AD854">
        <f t="shared" ca="1" si="28"/>
        <v>6</v>
      </c>
      <c r="AF854" s="3"/>
      <c r="AG854" s="3"/>
      <c r="AH854" s="3"/>
    </row>
    <row r="855" spans="1:34">
      <c r="A855" s="198"/>
      <c r="B855" s="198"/>
      <c r="C855" s="198" t="s">
        <v>1416</v>
      </c>
      <c r="D855" s="195">
        <v>915</v>
      </c>
      <c r="E855" s="195">
        <v>228</v>
      </c>
      <c r="F855" s="195">
        <v>228</v>
      </c>
      <c r="G855" s="239">
        <v>848</v>
      </c>
      <c r="H855" s="197" t="s">
        <v>72</v>
      </c>
      <c r="I855" s="242" t="s">
        <v>214</v>
      </c>
      <c r="J855" s="242" t="s">
        <v>12277</v>
      </c>
      <c r="K855" s="195" t="s">
        <v>70</v>
      </c>
      <c r="L855" s="20" t="str">
        <f ca="1">IF(OFFSET(환산공식!$ED$15,$F855,0)=1,"O","X")</f>
        <v>X</v>
      </c>
      <c r="M855" s="188">
        <f ca="1">IFERROR(OFFSET(환산공식!DJ$15,$F855,0),"")</f>
        <v>40</v>
      </c>
      <c r="N855" s="20" t="str">
        <f ca="1">IFERROR(CONCATENATE(ROUND(OFFSET(환산공식!DK$15,$F855,0),1),"%"),"")</f>
        <v>100%</v>
      </c>
      <c r="O855" s="20">
        <f ca="1">IFERROR(OFFSET(환산공식!DL$15,$F855,0),"")</f>
        <v>0</v>
      </c>
      <c r="P855" s="188" t="str">
        <f t="shared" ca="1" si="27"/>
        <v>3% 이하</v>
      </c>
      <c r="Q855" s="194">
        <f ca="1">IFERROR(ROUND(OFFSET(환산공식!$FG$15,$F855,0),3),"")</f>
        <v>800</v>
      </c>
      <c r="R855" s="194">
        <f ca="1">OFFSET('배치점수 계산기'!H$10,$D855,0)</f>
        <v>965.09400000000005</v>
      </c>
      <c r="S855" s="194">
        <f ca="1">OFFSET('배치점수 계산기'!I$10,$D855,0)</f>
        <v>964.721</v>
      </c>
      <c r="T855" s="194">
        <f ca="1">OFFSET('배치점수 계산기'!J$10,$D855,0)</f>
        <v>963.73299999999995</v>
      </c>
      <c r="U855" s="194">
        <f ca="1">OFFSET('배치점수 계산기'!K$10,$D855,0)</f>
        <v>962.43799999999999</v>
      </c>
      <c r="V855" s="194">
        <f ca="1">OFFSET('배치점수 계산기'!L$10,$D855,0)</f>
        <v>961.07899999999995</v>
      </c>
      <c r="W855" s="186" t="str">
        <f ca="1">OFFSET('배치점수 계산기'!M$10,$D855,0)</f>
        <v>표점/만점</v>
      </c>
      <c r="X855" s="184" t="str">
        <f ca="1">OFFSET('배치점수 계산기'!N$10,$D855,0)</f>
        <v>표점/만점</v>
      </c>
      <c r="Y855" s="188">
        <f ca="1">OFFSET(환산공식!FW$15,$F855,0)</f>
        <v>0.25</v>
      </c>
      <c r="Z855" s="20">
        <f ca="1">OFFSET(환산공식!FX$15,$F855,0)</f>
        <v>0.37</v>
      </c>
      <c r="AA855" s="179">
        <f ca="1">OFFSET(환산공식!FY$15,$F855,0)</f>
        <v>0.37</v>
      </c>
      <c r="AB855" s="3"/>
      <c r="AD855">
        <f t="shared" ca="1" si="28"/>
        <v>6</v>
      </c>
      <c r="AF855" s="3"/>
      <c r="AG855" s="3"/>
      <c r="AH855" s="3"/>
    </row>
    <row r="856" spans="1:34">
      <c r="A856" s="198"/>
      <c r="B856" s="198"/>
      <c r="C856" s="198" t="s">
        <v>1417</v>
      </c>
      <c r="D856" s="195">
        <v>916</v>
      </c>
      <c r="E856" s="195">
        <v>230</v>
      </c>
      <c r="F856" s="195">
        <v>230</v>
      </c>
      <c r="G856" s="239">
        <v>849</v>
      </c>
      <c r="H856" s="197" t="s">
        <v>72</v>
      </c>
      <c r="I856" s="242" t="s">
        <v>214</v>
      </c>
      <c r="J856" s="242" t="s">
        <v>8813</v>
      </c>
      <c r="K856" s="195" t="s">
        <v>70</v>
      </c>
      <c r="L856" s="20" t="str">
        <f ca="1">IF(OFFSET(환산공식!$ED$15,$F856,0)=1,"O","X")</f>
        <v>X</v>
      </c>
      <c r="M856" s="188">
        <f ca="1">IFERROR(OFFSET(환산공식!DJ$15,$F856,0),"")</f>
        <v>40</v>
      </c>
      <c r="N856" s="20" t="str">
        <f ca="1">IFERROR(CONCATENATE(ROUND(OFFSET(환산공식!DK$15,$F856,0),1),"%"),"")</f>
        <v>100%</v>
      </c>
      <c r="O856" s="20">
        <f ca="1">IFERROR(OFFSET(환산공식!DL$15,$F856,0),"")</f>
        <v>0</v>
      </c>
      <c r="P856" s="188" t="str">
        <f t="shared" ca="1" si="27"/>
        <v>3% 이하</v>
      </c>
      <c r="Q856" s="194">
        <f ca="1">IFERROR(ROUND(OFFSET(환산공식!$FG$15,$F856,0),3),"")</f>
        <v>800</v>
      </c>
      <c r="R856" s="194">
        <f ca="1">OFFSET('배치점수 계산기'!H$10,$D856,0)</f>
        <v>964.82299999999998</v>
      </c>
      <c r="S856" s="194">
        <f ca="1">OFFSET('배치점수 계산기'!I$10,$D856,0)</f>
        <v>964.41899999999998</v>
      </c>
      <c r="T856" s="194">
        <f ca="1">OFFSET('배치점수 계산기'!J$10,$D856,0)</f>
        <v>963.46299999999997</v>
      </c>
      <c r="U856" s="194">
        <f ca="1">OFFSET('배치점수 계산기'!K$10,$D856,0)</f>
        <v>962.14099999999996</v>
      </c>
      <c r="V856" s="194">
        <f ca="1">OFFSET('배치점수 계산기'!L$10,$D856,0)</f>
        <v>960.80399999999997</v>
      </c>
      <c r="W856" s="186" t="str">
        <f ca="1">OFFSET('배치점수 계산기'!M$10,$D856,0)</f>
        <v>표점/만점</v>
      </c>
      <c r="X856" s="184" t="str">
        <f ca="1">OFFSET('배치점수 계산기'!N$10,$D856,0)</f>
        <v>표점/만점</v>
      </c>
      <c r="Y856" s="188">
        <f ca="1">OFFSET(환산공식!FW$15,$F856,0)</f>
        <v>0.25</v>
      </c>
      <c r="Z856" s="20">
        <f ca="1">OFFSET(환산공식!FX$15,$F856,0)</f>
        <v>0.37</v>
      </c>
      <c r="AA856" s="179">
        <f ca="1">OFFSET(환산공식!FY$15,$F856,0)</f>
        <v>0.37</v>
      </c>
      <c r="AB856" s="3"/>
      <c r="AD856">
        <f t="shared" ca="1" si="28"/>
        <v>6</v>
      </c>
      <c r="AF856" s="3"/>
      <c r="AG856" s="3"/>
      <c r="AH856" s="3"/>
    </row>
    <row r="857" spans="1:34">
      <c r="A857" s="198"/>
      <c r="B857" s="198"/>
      <c r="C857" s="198" t="s">
        <v>1418</v>
      </c>
      <c r="D857" s="195">
        <v>917</v>
      </c>
      <c r="E857" s="195">
        <v>228</v>
      </c>
      <c r="F857" s="195">
        <v>228</v>
      </c>
      <c r="G857" s="239">
        <v>850</v>
      </c>
      <c r="H857" s="197" t="s">
        <v>72</v>
      </c>
      <c r="I857" s="242" t="s">
        <v>214</v>
      </c>
      <c r="J857" s="242" t="s">
        <v>13077</v>
      </c>
      <c r="K857" s="195" t="s">
        <v>70</v>
      </c>
      <c r="L857" s="20" t="str">
        <f ca="1">IF(OFFSET(환산공식!$ED$15,$F857,0)=1,"O","X")</f>
        <v>X</v>
      </c>
      <c r="M857" s="188">
        <f ca="1">IFERROR(OFFSET(환산공식!DJ$15,$F857,0),"")</f>
        <v>40</v>
      </c>
      <c r="N857" s="20" t="str">
        <f ca="1">IFERROR(CONCATENATE(ROUND(OFFSET(환산공식!DK$15,$F857,0),1),"%"),"")</f>
        <v>100%</v>
      </c>
      <c r="O857" s="20">
        <f ca="1">IFERROR(OFFSET(환산공식!DL$15,$F857,0),"")</f>
        <v>0</v>
      </c>
      <c r="P857" s="188" t="str">
        <f t="shared" ca="1" si="27"/>
        <v>3% 이하</v>
      </c>
      <c r="Q857" s="194">
        <f ca="1">IFERROR(ROUND(OFFSET(환산공식!$FG$15,$F857,0),3),"")</f>
        <v>800</v>
      </c>
      <c r="R857" s="194">
        <f ca="1">OFFSET('배치점수 계산기'!H$10,$D857,0)</f>
        <v>964.30600000000004</v>
      </c>
      <c r="S857" s="194">
        <f ca="1">OFFSET('배치점수 계산기'!I$10,$D857,0)</f>
        <v>963.87699999999995</v>
      </c>
      <c r="T857" s="194">
        <f ca="1">OFFSET('배치점수 계산기'!J$10,$D857,0)</f>
        <v>962.89599999999996</v>
      </c>
      <c r="U857" s="194">
        <f ca="1">OFFSET('배치점수 계산기'!K$10,$D857,0)</f>
        <v>961.60699999999997</v>
      </c>
      <c r="V857" s="194">
        <f ca="1">OFFSET('배치점수 계산기'!L$10,$D857,0)</f>
        <v>960.34900000000005</v>
      </c>
      <c r="W857" s="186" t="str">
        <f ca="1">OFFSET('배치점수 계산기'!M$10,$D857,0)</f>
        <v>표점/만점</v>
      </c>
      <c r="X857" s="184" t="str">
        <f ca="1">OFFSET('배치점수 계산기'!N$10,$D857,0)</f>
        <v>표점/만점</v>
      </c>
      <c r="Y857" s="188">
        <f ca="1">OFFSET(환산공식!FW$15,$F857,0)</f>
        <v>0.25</v>
      </c>
      <c r="Z857" s="20">
        <f ca="1">OFFSET(환산공식!FX$15,$F857,0)</f>
        <v>0.37</v>
      </c>
      <c r="AA857" s="179">
        <f ca="1">OFFSET(환산공식!FY$15,$F857,0)</f>
        <v>0.37</v>
      </c>
      <c r="AB857" s="3"/>
      <c r="AD857">
        <f t="shared" ca="1" si="28"/>
        <v>6</v>
      </c>
      <c r="AF857" s="3"/>
      <c r="AG857" s="3"/>
      <c r="AH857" s="3"/>
    </row>
    <row r="858" spans="1:34">
      <c r="A858" s="198"/>
      <c r="B858" s="198"/>
      <c r="C858" s="198" t="s">
        <v>1419</v>
      </c>
      <c r="D858" s="195">
        <v>918</v>
      </c>
      <c r="E858" s="195">
        <v>230</v>
      </c>
      <c r="F858" s="195">
        <v>230</v>
      </c>
      <c r="G858" s="239">
        <v>851</v>
      </c>
      <c r="H858" s="197" t="s">
        <v>72</v>
      </c>
      <c r="I858" s="242" t="s">
        <v>214</v>
      </c>
      <c r="J858" s="242" t="s">
        <v>13107</v>
      </c>
      <c r="K858" s="195" t="s">
        <v>70</v>
      </c>
      <c r="L858" s="20" t="str">
        <f ca="1">IF(OFFSET(환산공식!$ED$15,$F858,0)=1,"O","X")</f>
        <v>X</v>
      </c>
      <c r="M858" s="188">
        <f ca="1">IFERROR(OFFSET(환산공식!DJ$15,$F858,0),"")</f>
        <v>40</v>
      </c>
      <c r="N858" s="20" t="str">
        <f ca="1">IFERROR(CONCATENATE(ROUND(OFFSET(환산공식!DK$15,$F858,0),1),"%"),"")</f>
        <v>100%</v>
      </c>
      <c r="O858" s="20">
        <f ca="1">IFERROR(OFFSET(환산공식!DL$15,$F858,0),"")</f>
        <v>0</v>
      </c>
      <c r="P858" s="188" t="str">
        <f t="shared" ca="1" si="27"/>
        <v>3% 이하</v>
      </c>
      <c r="Q858" s="194">
        <f ca="1">IFERROR(ROUND(OFFSET(환산공식!$FG$15,$F858,0),3),"")</f>
        <v>800</v>
      </c>
      <c r="R858" s="194">
        <f ca="1">OFFSET('배치점수 계산기'!H$10,$D858,0)</f>
        <v>962.14099999999996</v>
      </c>
      <c r="S858" s="194">
        <f ca="1">OFFSET('배치점수 계산기'!I$10,$D858,0)</f>
        <v>961.72199999999998</v>
      </c>
      <c r="T858" s="194">
        <f ca="1">OFFSET('배치점수 계산기'!J$10,$D858,0)</f>
        <v>960.80399999999997</v>
      </c>
      <c r="U858" s="194">
        <f ca="1">OFFSET('배치점수 계산기'!K$10,$D858,0)</f>
        <v>959.71199999999999</v>
      </c>
      <c r="V858" s="194">
        <f ca="1">OFFSET('배치점수 계산기'!L$10,$D858,0)</f>
        <v>958.58900000000006</v>
      </c>
      <c r="W858" s="186" t="str">
        <f ca="1">OFFSET('배치점수 계산기'!M$10,$D858,0)</f>
        <v>표점/만점</v>
      </c>
      <c r="X858" s="184" t="str">
        <f ca="1">OFFSET('배치점수 계산기'!N$10,$D858,0)</f>
        <v>표점/만점</v>
      </c>
      <c r="Y858" s="188">
        <f ca="1">OFFSET(환산공식!FW$15,$F858,0)</f>
        <v>0.25</v>
      </c>
      <c r="Z858" s="20">
        <f ca="1">OFFSET(환산공식!FX$15,$F858,0)</f>
        <v>0.37</v>
      </c>
      <c r="AA858" s="179">
        <f ca="1">OFFSET(환산공식!FY$15,$F858,0)</f>
        <v>0.37</v>
      </c>
      <c r="AB858" s="3"/>
      <c r="AD858">
        <f t="shared" ca="1" si="28"/>
        <v>6</v>
      </c>
      <c r="AF858" s="3"/>
      <c r="AG858" s="3"/>
      <c r="AH858" s="3"/>
    </row>
    <row r="859" spans="1:34">
      <c r="A859" s="198"/>
      <c r="B859" s="198"/>
      <c r="C859" s="198" t="s">
        <v>1420</v>
      </c>
      <c r="D859" s="195">
        <v>919</v>
      </c>
      <c r="E859" s="195">
        <v>230</v>
      </c>
      <c r="F859" s="195">
        <v>230</v>
      </c>
      <c r="G859" s="239">
        <v>852</v>
      </c>
      <c r="H859" s="197" t="s">
        <v>72</v>
      </c>
      <c r="I859" s="242" t="s">
        <v>214</v>
      </c>
      <c r="J859" s="242" t="s">
        <v>9252</v>
      </c>
      <c r="K859" s="195" t="s">
        <v>70</v>
      </c>
      <c r="L859" s="20" t="str">
        <f ca="1">IF(OFFSET(환산공식!$ED$15,$F859,0)=1,"O","X")</f>
        <v>X</v>
      </c>
      <c r="M859" s="188">
        <f ca="1">IFERROR(OFFSET(환산공식!DJ$15,$F859,0),"")</f>
        <v>40</v>
      </c>
      <c r="N859" s="20" t="str">
        <f ca="1">IFERROR(CONCATENATE(ROUND(OFFSET(환산공식!DK$15,$F859,0),1),"%"),"")</f>
        <v>100%</v>
      </c>
      <c r="O859" s="20">
        <f ca="1">IFERROR(OFFSET(환산공식!DL$15,$F859,0),"")</f>
        <v>0</v>
      </c>
      <c r="P859" s="188" t="str">
        <f t="shared" ca="1" si="27"/>
        <v>3% 이하</v>
      </c>
      <c r="Q859" s="194">
        <f ca="1">IFERROR(ROUND(OFFSET(환산공식!$FG$15,$F859,0),3),"")</f>
        <v>800</v>
      </c>
      <c r="R859" s="194">
        <f ca="1">OFFSET('배치점수 계산기'!H$10,$D859,0)</f>
        <v>961.904</v>
      </c>
      <c r="S859" s="194">
        <f ca="1">OFFSET('배치점수 계산기'!I$10,$D859,0)</f>
        <v>961.52200000000005</v>
      </c>
      <c r="T859" s="194">
        <f ca="1">OFFSET('배치점수 계산기'!J$10,$D859,0)</f>
        <v>960.577</v>
      </c>
      <c r="U859" s="194">
        <f ca="1">OFFSET('배치점수 계산기'!K$10,$D859,0)</f>
        <v>959.53499999999997</v>
      </c>
      <c r="V859" s="194">
        <f ca="1">OFFSET('배치점수 계산기'!L$10,$D859,0)</f>
        <v>958.35699999999997</v>
      </c>
      <c r="W859" s="186" t="str">
        <f ca="1">OFFSET('배치점수 계산기'!M$10,$D859,0)</f>
        <v>표점/만점</v>
      </c>
      <c r="X859" s="184" t="str">
        <f ca="1">OFFSET('배치점수 계산기'!N$10,$D859,0)</f>
        <v>표점/만점</v>
      </c>
      <c r="Y859" s="188">
        <f ca="1">OFFSET(환산공식!FW$15,$F859,0)</f>
        <v>0.25</v>
      </c>
      <c r="Z859" s="20">
        <f ca="1">OFFSET(환산공식!FX$15,$F859,0)</f>
        <v>0.37</v>
      </c>
      <c r="AA859" s="179">
        <f ca="1">OFFSET(환산공식!FY$15,$F859,0)</f>
        <v>0.37</v>
      </c>
      <c r="AB859" s="3"/>
      <c r="AD859">
        <f t="shared" ca="1" si="28"/>
        <v>6</v>
      </c>
      <c r="AF859" s="3"/>
      <c r="AG859" s="3"/>
      <c r="AH859" s="3"/>
    </row>
    <row r="860" spans="1:34">
      <c r="A860" s="198"/>
      <c r="B860" s="198"/>
      <c r="C860" s="198" t="s">
        <v>1421</v>
      </c>
      <c r="D860" s="195">
        <v>920</v>
      </c>
      <c r="E860" s="195">
        <v>231</v>
      </c>
      <c r="F860" s="195">
        <v>231</v>
      </c>
      <c r="G860" s="239">
        <v>853</v>
      </c>
      <c r="H860" s="197" t="s">
        <v>72</v>
      </c>
      <c r="I860" s="242" t="s">
        <v>214</v>
      </c>
      <c r="J860" s="242" t="s">
        <v>554</v>
      </c>
      <c r="K860" s="195" t="s">
        <v>70</v>
      </c>
      <c r="L860" s="20" t="str">
        <f ca="1">IF(OFFSET(환산공식!$ED$15,$F860,0)=1,"O","X")</f>
        <v>X</v>
      </c>
      <c r="M860" s="188">
        <f ca="1">IFERROR(OFFSET(환산공식!DJ$15,$F860,0),"")</f>
        <v>40</v>
      </c>
      <c r="N860" s="20" t="str">
        <f ca="1">IFERROR(CONCATENATE(ROUND(OFFSET(환산공식!DK$15,$F860,0),1),"%"),"")</f>
        <v>100%</v>
      </c>
      <c r="O860" s="20">
        <f ca="1">IFERROR(OFFSET(환산공식!DL$15,$F860,0),"")</f>
        <v>0</v>
      </c>
      <c r="P860" s="188" t="str">
        <f t="shared" ca="1" si="27"/>
        <v>3% 이하</v>
      </c>
      <c r="Q860" s="194">
        <f ca="1">IFERROR(ROUND(OFFSET(환산공식!$FG$15,$F860,0),3),"")</f>
        <v>800</v>
      </c>
      <c r="R860" s="194">
        <f ca="1">OFFSET('배치점수 계산기'!H$10,$D860,0)</f>
        <v>961.87699999999995</v>
      </c>
      <c r="S860" s="194">
        <f ca="1">OFFSET('배치점수 계산기'!I$10,$D860,0)</f>
        <v>961.44600000000003</v>
      </c>
      <c r="T860" s="194">
        <f ca="1">OFFSET('배치점수 계산기'!J$10,$D860,0)</f>
        <v>960.53899999999999</v>
      </c>
      <c r="U860" s="194">
        <f ca="1">OFFSET('배치점수 계산기'!K$10,$D860,0)</f>
        <v>959.48299999999995</v>
      </c>
      <c r="V860" s="194">
        <f ca="1">OFFSET('배치점수 계산기'!L$10,$D860,0)</f>
        <v>958.31399999999996</v>
      </c>
      <c r="W860" s="186" t="str">
        <f ca="1">OFFSET('배치점수 계산기'!M$10,$D860,0)</f>
        <v>표점/만점</v>
      </c>
      <c r="X860" s="184" t="str">
        <f ca="1">OFFSET('배치점수 계산기'!N$10,$D860,0)</f>
        <v>표점/만점</v>
      </c>
      <c r="Y860" s="188">
        <f ca="1">OFFSET(환산공식!FW$15,$F860,0)</f>
        <v>0.25</v>
      </c>
      <c r="Z860" s="20">
        <f ca="1">OFFSET(환산공식!FX$15,$F860,0)</f>
        <v>0.37</v>
      </c>
      <c r="AA860" s="179">
        <f ca="1">OFFSET(환산공식!FY$15,$F860,0)</f>
        <v>0.37</v>
      </c>
      <c r="AB860" s="3"/>
      <c r="AD860">
        <f t="shared" ca="1" si="28"/>
        <v>6</v>
      </c>
      <c r="AF860" s="3"/>
      <c r="AG860" s="3"/>
      <c r="AH860" s="3"/>
    </row>
    <row r="861" spans="1:34">
      <c r="A861" s="198"/>
      <c r="B861" s="198"/>
      <c r="C861" s="198" t="s">
        <v>1422</v>
      </c>
      <c r="D861" s="195">
        <v>921</v>
      </c>
      <c r="E861" s="195">
        <v>227</v>
      </c>
      <c r="F861" s="195">
        <v>227</v>
      </c>
      <c r="G861" s="239">
        <v>854</v>
      </c>
      <c r="H861" s="197" t="s">
        <v>72</v>
      </c>
      <c r="I861" s="242" t="s">
        <v>214</v>
      </c>
      <c r="J861" s="242" t="s">
        <v>489</v>
      </c>
      <c r="K861" s="195" t="s">
        <v>71</v>
      </c>
      <c r="L861" s="20" t="str">
        <f ca="1">IF(OFFSET(환산공식!$ED$15,$F861,0)=1,"O","X")</f>
        <v>X</v>
      </c>
      <c r="M861" s="188">
        <f ca="1">IFERROR(OFFSET(환산공식!DJ$15,$F861,0),"")</f>
        <v>40</v>
      </c>
      <c r="N861" s="20" t="str">
        <f ca="1">IFERROR(CONCATENATE(ROUND(OFFSET(환산공식!DK$15,$F861,0),1),"%"),"")</f>
        <v>100%</v>
      </c>
      <c r="O861" s="20">
        <f ca="1">IFERROR(OFFSET(환산공식!DL$15,$F861,0),"")</f>
        <v>0</v>
      </c>
      <c r="P861" s="188" t="str">
        <f t="shared" ca="1" si="27"/>
        <v>3% 이하</v>
      </c>
      <c r="Q861" s="194">
        <f ca="1">IFERROR(ROUND(OFFSET(환산공식!$FG$15,$F861,0),3),"")</f>
        <v>800</v>
      </c>
      <c r="R861" s="194">
        <f ca="1">OFFSET('배치점수 계산기'!H$10,$D861,0)</f>
        <v>971.13099999999997</v>
      </c>
      <c r="S861" s="194">
        <f ca="1">OFFSET('배치점수 계산기'!I$10,$D861,0)</f>
        <v>970.62199999999996</v>
      </c>
      <c r="T861" s="194">
        <f ca="1">OFFSET('배치점수 계산기'!J$10,$D861,0)</f>
        <v>969.68799999999999</v>
      </c>
      <c r="U861" s="194">
        <f ca="1">OFFSET('배치점수 계산기'!K$10,$D861,0)</f>
        <v>968.59500000000003</v>
      </c>
      <c r="V861" s="194">
        <f ca="1">OFFSET('배치점수 계산기'!L$10,$D861,0)</f>
        <v>967.31200000000001</v>
      </c>
      <c r="W861" s="186" t="str">
        <f ca="1">OFFSET('배치점수 계산기'!M$10,$D861,0)</f>
        <v>표점/만점</v>
      </c>
      <c r="X861" s="184" t="str">
        <f ca="1">OFFSET('배치점수 계산기'!N$10,$D861,0)</f>
        <v>표점/만점</v>
      </c>
      <c r="Y861" s="188">
        <f ca="1">OFFSET(환산공식!FW$15,$F861,0)</f>
        <v>0.38</v>
      </c>
      <c r="Z861" s="20">
        <f ca="1">OFFSET(환산공식!FX$15,$F861,0)</f>
        <v>0.25</v>
      </c>
      <c r="AA861" s="179">
        <f ca="1">OFFSET(환산공식!FY$15,$F861,0)</f>
        <v>0.37</v>
      </c>
      <c r="AB861" s="3"/>
      <c r="AD861">
        <f t="shared" ca="1" si="28"/>
        <v>6</v>
      </c>
      <c r="AF861" s="3"/>
      <c r="AG861" s="3"/>
      <c r="AH861" s="3"/>
    </row>
    <row r="862" spans="1:34">
      <c r="A862" s="198"/>
      <c r="B862" s="198"/>
      <c r="C862" s="198" t="s">
        <v>1423</v>
      </c>
      <c r="D862" s="195">
        <v>922</v>
      </c>
      <c r="E862" s="195">
        <v>227</v>
      </c>
      <c r="F862" s="195">
        <v>227</v>
      </c>
      <c r="G862" s="239">
        <v>855</v>
      </c>
      <c r="H862" s="197" t="s">
        <v>72</v>
      </c>
      <c r="I862" s="242" t="s">
        <v>214</v>
      </c>
      <c r="J862" s="242" t="s">
        <v>9774</v>
      </c>
      <c r="K862" s="195" t="s">
        <v>71</v>
      </c>
      <c r="L862" s="20" t="str">
        <f ca="1">IF(OFFSET(환산공식!$ED$15,$F862,0)=1,"O","X")</f>
        <v>X</v>
      </c>
      <c r="M862" s="188">
        <f ca="1">IFERROR(OFFSET(환산공식!DJ$15,$F862,0),"")</f>
        <v>40</v>
      </c>
      <c r="N862" s="20" t="str">
        <f ca="1">IFERROR(CONCATENATE(ROUND(OFFSET(환산공식!DK$15,$F862,0),1),"%"),"")</f>
        <v>100%</v>
      </c>
      <c r="O862" s="20">
        <f ca="1">IFERROR(OFFSET(환산공식!DL$15,$F862,0),"")</f>
        <v>0</v>
      </c>
      <c r="P862" s="188" t="str">
        <f t="shared" ca="1" si="27"/>
        <v>3% 이하</v>
      </c>
      <c r="Q862" s="194">
        <f ca="1">IFERROR(ROUND(OFFSET(환산공식!$FG$15,$F862,0),3),"")</f>
        <v>800</v>
      </c>
      <c r="R862" s="194">
        <f ca="1">OFFSET('배치점수 계산기'!H$10,$D862,0)</f>
        <v>970.25800000000004</v>
      </c>
      <c r="S862" s="194">
        <f ca="1">OFFSET('배치점수 계산기'!I$10,$D862,0)</f>
        <v>969.798</v>
      </c>
      <c r="T862" s="194">
        <f ca="1">OFFSET('배치점수 계산기'!J$10,$D862,0)</f>
        <v>968.73900000000003</v>
      </c>
      <c r="U862" s="194">
        <f ca="1">OFFSET('배치점수 계산기'!K$10,$D862,0)</f>
        <v>967.57600000000002</v>
      </c>
      <c r="V862" s="194">
        <f ca="1">OFFSET('배치점수 계산기'!L$10,$D862,0)</f>
        <v>966.11699999999996</v>
      </c>
      <c r="W862" s="186" t="str">
        <f ca="1">OFFSET('배치점수 계산기'!M$10,$D862,0)</f>
        <v>표점/만점</v>
      </c>
      <c r="X862" s="184" t="str">
        <f ca="1">OFFSET('배치점수 계산기'!N$10,$D862,0)</f>
        <v>표점/만점</v>
      </c>
      <c r="Y862" s="188">
        <f ca="1">OFFSET(환산공식!FW$15,$F862,0)</f>
        <v>0.38</v>
      </c>
      <c r="Z862" s="20">
        <f ca="1">OFFSET(환산공식!FX$15,$F862,0)</f>
        <v>0.25</v>
      </c>
      <c r="AA862" s="179">
        <f ca="1">OFFSET(환산공식!FY$15,$F862,0)</f>
        <v>0.37</v>
      </c>
      <c r="AB862" s="3"/>
      <c r="AD862">
        <f t="shared" ca="1" si="28"/>
        <v>6</v>
      </c>
      <c r="AF862" s="3"/>
      <c r="AG862" s="3"/>
      <c r="AH862" s="3"/>
    </row>
    <row r="863" spans="1:34">
      <c r="A863" s="198"/>
      <c r="B863" s="198"/>
      <c r="C863" s="198" t="s">
        <v>1424</v>
      </c>
      <c r="D863" s="195">
        <v>923</v>
      </c>
      <c r="E863" s="195">
        <v>227</v>
      </c>
      <c r="F863" s="195">
        <v>227</v>
      </c>
      <c r="G863" s="239">
        <v>856</v>
      </c>
      <c r="H863" s="197" t="s">
        <v>72</v>
      </c>
      <c r="I863" s="242" t="s">
        <v>214</v>
      </c>
      <c r="J863" s="242" t="s">
        <v>8863</v>
      </c>
      <c r="K863" s="195" t="s">
        <v>71</v>
      </c>
      <c r="L863" s="20" t="str">
        <f ca="1">IF(OFFSET(환산공식!$ED$15,$F863,0)=1,"O","X")</f>
        <v>X</v>
      </c>
      <c r="M863" s="188">
        <f ca="1">IFERROR(OFFSET(환산공식!DJ$15,$F863,0),"")</f>
        <v>40</v>
      </c>
      <c r="N863" s="20" t="str">
        <f ca="1">IFERROR(CONCATENATE(ROUND(OFFSET(환산공식!DK$15,$F863,0),1),"%"),"")</f>
        <v>100%</v>
      </c>
      <c r="O863" s="20">
        <f ca="1">IFERROR(OFFSET(환산공식!DL$15,$F863,0),"")</f>
        <v>0</v>
      </c>
      <c r="P863" s="188" t="str">
        <f t="shared" ca="1" si="27"/>
        <v>3% 이하</v>
      </c>
      <c r="Q863" s="194">
        <f ca="1">IFERROR(ROUND(OFFSET(환산공식!$FG$15,$F863,0),3),"")</f>
        <v>800</v>
      </c>
      <c r="R863" s="194">
        <f ca="1">OFFSET('배치점수 계산기'!H$10,$D863,0)</f>
        <v>969.68</v>
      </c>
      <c r="S863" s="194">
        <f ca="1">OFFSET('배치점수 계산기'!I$10,$D863,0)</f>
        <v>969.173</v>
      </c>
      <c r="T863" s="194">
        <f ca="1">OFFSET('배치점수 계산기'!J$10,$D863,0)</f>
        <v>968.279</v>
      </c>
      <c r="U863" s="194">
        <f ca="1">OFFSET('배치점수 계산기'!K$10,$D863,0)</f>
        <v>967.03499999999997</v>
      </c>
      <c r="V863" s="194">
        <f ca="1">OFFSET('배치점수 계산기'!L$10,$D863,0)</f>
        <v>965.60500000000002</v>
      </c>
      <c r="W863" s="186" t="str">
        <f ca="1">OFFSET('배치점수 계산기'!M$10,$D863,0)</f>
        <v>표점/만점</v>
      </c>
      <c r="X863" s="184" t="str">
        <f ca="1">OFFSET('배치점수 계산기'!N$10,$D863,0)</f>
        <v>표점/만점</v>
      </c>
      <c r="Y863" s="188">
        <f ca="1">OFFSET(환산공식!FW$15,$F863,0)</f>
        <v>0.38</v>
      </c>
      <c r="Z863" s="20">
        <f ca="1">OFFSET(환산공식!FX$15,$F863,0)</f>
        <v>0.25</v>
      </c>
      <c r="AA863" s="179">
        <f ca="1">OFFSET(환산공식!FY$15,$F863,0)</f>
        <v>0.37</v>
      </c>
      <c r="AB863" s="3"/>
      <c r="AD863">
        <f t="shared" ca="1" si="28"/>
        <v>6</v>
      </c>
      <c r="AF863" s="3"/>
      <c r="AG863" s="3"/>
      <c r="AH863" s="3"/>
    </row>
    <row r="864" spans="1:34">
      <c r="A864" s="198"/>
      <c r="B864" s="198"/>
      <c r="C864" s="198" t="s">
        <v>1425</v>
      </c>
      <c r="D864" s="195">
        <v>924</v>
      </c>
      <c r="E864" s="195">
        <v>227</v>
      </c>
      <c r="F864" s="195">
        <v>227</v>
      </c>
      <c r="G864" s="239">
        <v>857</v>
      </c>
      <c r="H864" s="197" t="s">
        <v>72</v>
      </c>
      <c r="I864" s="242" t="s">
        <v>214</v>
      </c>
      <c r="J864" s="242" t="s">
        <v>11191</v>
      </c>
      <c r="K864" s="195" t="s">
        <v>71</v>
      </c>
      <c r="L864" s="20" t="str">
        <f ca="1">IF(OFFSET(환산공식!$ED$15,$F864,0)=1,"O","X")</f>
        <v>X</v>
      </c>
      <c r="M864" s="188">
        <f ca="1">IFERROR(OFFSET(환산공식!DJ$15,$F864,0),"")</f>
        <v>40</v>
      </c>
      <c r="N864" s="20" t="str">
        <f ca="1">IFERROR(CONCATENATE(ROUND(OFFSET(환산공식!DK$15,$F864,0),1),"%"),"")</f>
        <v>100%</v>
      </c>
      <c r="O864" s="20">
        <f ca="1">IFERROR(OFFSET(환산공식!DL$15,$F864,0),"")</f>
        <v>0</v>
      </c>
      <c r="P864" s="188" t="str">
        <f t="shared" ca="1" si="27"/>
        <v>3% 이하</v>
      </c>
      <c r="Q864" s="194">
        <f ca="1">IFERROR(ROUND(OFFSET(환산공식!$FG$15,$F864,0),3),"")</f>
        <v>800</v>
      </c>
      <c r="R864" s="194">
        <f ca="1">OFFSET('배치점수 계산기'!H$10,$D864,0)</f>
        <v>969.68799999999999</v>
      </c>
      <c r="S864" s="194">
        <f ca="1">OFFSET('배치점수 계산기'!I$10,$D864,0)</f>
        <v>969.16899999999998</v>
      </c>
      <c r="T864" s="194">
        <f ca="1">OFFSET('배치점수 계산기'!J$10,$D864,0)</f>
        <v>968.23900000000003</v>
      </c>
      <c r="U864" s="194">
        <f ca="1">OFFSET('배치점수 계산기'!K$10,$D864,0)</f>
        <v>967.04399999999998</v>
      </c>
      <c r="V864" s="194">
        <f ca="1">OFFSET('배치점수 계산기'!L$10,$D864,0)</f>
        <v>965.56799999999998</v>
      </c>
      <c r="W864" s="186" t="str">
        <f ca="1">OFFSET('배치점수 계산기'!M$10,$D864,0)</f>
        <v>표점/만점</v>
      </c>
      <c r="X864" s="184" t="str">
        <f ca="1">OFFSET('배치점수 계산기'!N$10,$D864,0)</f>
        <v>표점/만점</v>
      </c>
      <c r="Y864" s="188">
        <f ca="1">OFFSET(환산공식!FW$15,$F864,0)</f>
        <v>0.38</v>
      </c>
      <c r="Z864" s="20">
        <f ca="1">OFFSET(환산공식!FX$15,$F864,0)</f>
        <v>0.25</v>
      </c>
      <c r="AA864" s="179">
        <f ca="1">OFFSET(환산공식!FY$15,$F864,0)</f>
        <v>0.37</v>
      </c>
      <c r="AB864" s="3"/>
      <c r="AD864">
        <f t="shared" ca="1" si="28"/>
        <v>6</v>
      </c>
      <c r="AF864" s="3"/>
      <c r="AG864" s="3"/>
      <c r="AH864" s="3"/>
    </row>
    <row r="865" spans="1:34">
      <c r="A865" s="198"/>
      <c r="B865" s="198"/>
      <c r="C865" s="198" t="s">
        <v>1426</v>
      </c>
      <c r="D865" s="195">
        <v>925</v>
      </c>
      <c r="E865" s="195">
        <v>227</v>
      </c>
      <c r="F865" s="195">
        <v>227</v>
      </c>
      <c r="G865" s="239">
        <v>858</v>
      </c>
      <c r="H865" s="197" t="s">
        <v>72</v>
      </c>
      <c r="I865" s="242" t="s">
        <v>214</v>
      </c>
      <c r="J865" s="242" t="s">
        <v>8654</v>
      </c>
      <c r="K865" s="195" t="s">
        <v>71</v>
      </c>
      <c r="L865" s="20" t="str">
        <f ca="1">IF(OFFSET(환산공식!$ED$15,$F865,0)=1,"O","X")</f>
        <v>X</v>
      </c>
      <c r="M865" s="188">
        <f ca="1">IFERROR(OFFSET(환산공식!DJ$15,$F865,0),"")</f>
        <v>40</v>
      </c>
      <c r="N865" s="20" t="str">
        <f ca="1">IFERROR(CONCATENATE(ROUND(OFFSET(환산공식!DK$15,$F865,0),1),"%"),"")</f>
        <v>100%</v>
      </c>
      <c r="O865" s="20">
        <f ca="1">IFERROR(OFFSET(환산공식!DL$15,$F865,0),"")</f>
        <v>0</v>
      </c>
      <c r="P865" s="188" t="str">
        <f t="shared" ca="1" si="27"/>
        <v>3% 이하</v>
      </c>
      <c r="Q865" s="194">
        <f ca="1">IFERROR(ROUND(OFFSET(환산공식!$FG$15,$F865,0),3),"")</f>
        <v>800</v>
      </c>
      <c r="R865" s="194">
        <f ca="1">OFFSET('배치점수 계산기'!H$10,$D865,0)</f>
        <v>969.36500000000001</v>
      </c>
      <c r="S865" s="194">
        <f ca="1">OFFSET('배치점수 계산기'!I$10,$D865,0)</f>
        <v>968.89599999999996</v>
      </c>
      <c r="T865" s="194">
        <f ca="1">OFFSET('배치점수 계산기'!J$10,$D865,0)</f>
        <v>967.96600000000001</v>
      </c>
      <c r="U865" s="194">
        <f ca="1">OFFSET('배치점수 계산기'!K$10,$D865,0)</f>
        <v>966.77099999999996</v>
      </c>
      <c r="V865" s="194">
        <f ca="1">OFFSET('배치점수 계산기'!L$10,$D865,0)</f>
        <v>965.33199999999999</v>
      </c>
      <c r="W865" s="186" t="str">
        <f ca="1">OFFSET('배치점수 계산기'!M$10,$D865,0)</f>
        <v>표점/만점</v>
      </c>
      <c r="X865" s="184" t="str">
        <f ca="1">OFFSET('배치점수 계산기'!N$10,$D865,0)</f>
        <v>표점/만점</v>
      </c>
      <c r="Y865" s="188">
        <f ca="1">OFFSET(환산공식!FW$15,$F865,0)</f>
        <v>0.38</v>
      </c>
      <c r="Z865" s="20">
        <f ca="1">OFFSET(환산공식!FX$15,$F865,0)</f>
        <v>0.25</v>
      </c>
      <c r="AA865" s="179">
        <f ca="1">OFFSET(환산공식!FY$15,$F865,0)</f>
        <v>0.37</v>
      </c>
      <c r="AB865" s="3"/>
      <c r="AD865">
        <f t="shared" ca="1" si="28"/>
        <v>6</v>
      </c>
      <c r="AF865" s="3"/>
      <c r="AG865" s="3"/>
      <c r="AH865" s="3"/>
    </row>
    <row r="866" spans="1:34">
      <c r="A866" s="198"/>
      <c r="B866" s="198"/>
      <c r="C866" s="198" t="s">
        <v>1427</v>
      </c>
      <c r="D866" s="195">
        <v>926</v>
      </c>
      <c r="E866" s="195">
        <v>227</v>
      </c>
      <c r="F866" s="195">
        <v>227</v>
      </c>
      <c r="G866" s="239">
        <v>859</v>
      </c>
      <c r="H866" s="197" t="s">
        <v>72</v>
      </c>
      <c r="I866" s="242" t="s">
        <v>214</v>
      </c>
      <c r="J866" s="242" t="s">
        <v>8753</v>
      </c>
      <c r="K866" s="195" t="s">
        <v>71</v>
      </c>
      <c r="L866" s="20" t="str">
        <f ca="1">IF(OFFSET(환산공식!$ED$15,$F866,0)=1,"O","X")</f>
        <v>X</v>
      </c>
      <c r="M866" s="188">
        <f ca="1">IFERROR(OFFSET(환산공식!DJ$15,$F866,0),"")</f>
        <v>40</v>
      </c>
      <c r="N866" s="20" t="str">
        <f ca="1">IFERROR(CONCATENATE(ROUND(OFFSET(환산공식!DK$15,$F866,0),1),"%"),"")</f>
        <v>100%</v>
      </c>
      <c r="O866" s="20">
        <f ca="1">IFERROR(OFFSET(환산공식!DL$15,$F866,0),"")</f>
        <v>0</v>
      </c>
      <c r="P866" s="188" t="str">
        <f t="shared" ca="1" si="27"/>
        <v>3% 이하</v>
      </c>
      <c r="Q866" s="194">
        <f ca="1">IFERROR(ROUND(OFFSET(환산공식!$FG$15,$F866,0),3),"")</f>
        <v>800</v>
      </c>
      <c r="R866" s="194">
        <f ca="1">OFFSET('배치점수 계산기'!H$10,$D866,0)</f>
        <v>968.43399999999997</v>
      </c>
      <c r="S866" s="194">
        <f ca="1">OFFSET('배치점수 계산기'!I$10,$D866,0)</f>
        <v>967.96600000000001</v>
      </c>
      <c r="T866" s="194">
        <f ca="1">OFFSET('배치점수 계산기'!J$10,$D866,0)</f>
        <v>967.07600000000002</v>
      </c>
      <c r="U866" s="194">
        <f ca="1">OFFSET('배치점수 계산기'!K$10,$D866,0)</f>
        <v>965.91899999999998</v>
      </c>
      <c r="V866" s="194">
        <f ca="1">OFFSET('배치점수 계산기'!L$10,$D866,0)</f>
        <v>964.56399999999996</v>
      </c>
      <c r="W866" s="186" t="str">
        <f ca="1">OFFSET('배치점수 계산기'!M$10,$D866,0)</f>
        <v>표점/만점</v>
      </c>
      <c r="X866" s="184" t="str">
        <f ca="1">OFFSET('배치점수 계산기'!N$10,$D866,0)</f>
        <v>표점/만점</v>
      </c>
      <c r="Y866" s="188">
        <f ca="1">OFFSET(환산공식!FW$15,$F866,0)</f>
        <v>0.38</v>
      </c>
      <c r="Z866" s="20">
        <f ca="1">OFFSET(환산공식!FX$15,$F866,0)</f>
        <v>0.25</v>
      </c>
      <c r="AA866" s="179">
        <f ca="1">OFFSET(환산공식!FY$15,$F866,0)</f>
        <v>0.37</v>
      </c>
      <c r="AB866" s="3"/>
      <c r="AD866">
        <f t="shared" ca="1" si="28"/>
        <v>6</v>
      </c>
      <c r="AF866" s="3"/>
      <c r="AG866" s="3"/>
      <c r="AH866" s="3"/>
    </row>
    <row r="867" spans="1:34">
      <c r="A867" s="198"/>
      <c r="B867" s="198"/>
      <c r="C867" s="198" t="s">
        <v>1428</v>
      </c>
      <c r="D867" s="195">
        <v>927</v>
      </c>
      <c r="E867" s="195">
        <v>227</v>
      </c>
      <c r="F867" s="195">
        <v>227</v>
      </c>
      <c r="G867" s="239">
        <v>860</v>
      </c>
      <c r="H867" s="197" t="s">
        <v>72</v>
      </c>
      <c r="I867" s="242" t="s">
        <v>214</v>
      </c>
      <c r="J867" s="242" t="s">
        <v>12240</v>
      </c>
      <c r="K867" s="195" t="s">
        <v>71</v>
      </c>
      <c r="L867" s="20" t="str">
        <f ca="1">IF(OFFSET(환산공식!$ED$15,$F867,0)=1,"O","X")</f>
        <v>X</v>
      </c>
      <c r="M867" s="188">
        <f ca="1">IFERROR(OFFSET(환산공식!DJ$15,$F867,0),"")</f>
        <v>40</v>
      </c>
      <c r="N867" s="20" t="str">
        <f ca="1">IFERROR(CONCATENATE(ROUND(OFFSET(환산공식!DK$15,$F867,0),1),"%"),"")</f>
        <v>100%</v>
      </c>
      <c r="O867" s="20">
        <f ca="1">IFERROR(OFFSET(환산공식!DL$15,$F867,0),"")</f>
        <v>0</v>
      </c>
      <c r="P867" s="188" t="str">
        <f t="shared" ca="1" si="27"/>
        <v>3% 이하</v>
      </c>
      <c r="Q867" s="194">
        <f ca="1">IFERROR(ROUND(OFFSET(환산공식!$FG$15,$F867,0),3),"")</f>
        <v>800</v>
      </c>
      <c r="R867" s="194">
        <f ca="1">OFFSET('배치점수 계산기'!H$10,$D867,0)</f>
        <v>968.31200000000001</v>
      </c>
      <c r="S867" s="194">
        <f ca="1">OFFSET('배치점수 계산기'!I$10,$D867,0)</f>
        <v>967.83699999999999</v>
      </c>
      <c r="T867" s="194">
        <f ca="1">OFFSET('배치점수 계산기'!J$10,$D867,0)</f>
        <v>966.92899999999997</v>
      </c>
      <c r="U867" s="194">
        <f ca="1">OFFSET('배치점수 계산기'!K$10,$D867,0)</f>
        <v>965.803</v>
      </c>
      <c r="V867" s="194">
        <f ca="1">OFFSET('배치점수 계산기'!L$10,$D867,0)</f>
        <v>964.40200000000004</v>
      </c>
      <c r="W867" s="186" t="str">
        <f ca="1">OFFSET('배치점수 계산기'!M$10,$D867,0)</f>
        <v>표점/만점</v>
      </c>
      <c r="X867" s="184" t="str">
        <f ca="1">OFFSET('배치점수 계산기'!N$10,$D867,0)</f>
        <v>표점/만점</v>
      </c>
      <c r="Y867" s="188">
        <f ca="1">OFFSET(환산공식!FW$15,$F867,0)</f>
        <v>0.38</v>
      </c>
      <c r="Z867" s="20">
        <f ca="1">OFFSET(환산공식!FX$15,$F867,0)</f>
        <v>0.25</v>
      </c>
      <c r="AA867" s="179">
        <f ca="1">OFFSET(환산공식!FY$15,$F867,0)</f>
        <v>0.37</v>
      </c>
      <c r="AB867" s="3"/>
      <c r="AD867">
        <f t="shared" ca="1" si="28"/>
        <v>6</v>
      </c>
      <c r="AF867" s="3"/>
      <c r="AG867" s="3"/>
      <c r="AH867" s="3"/>
    </row>
    <row r="868" spans="1:34">
      <c r="A868" s="198"/>
      <c r="B868" s="198"/>
      <c r="C868" s="198" t="s">
        <v>1429</v>
      </c>
      <c r="D868" s="195">
        <v>928</v>
      </c>
      <c r="E868" s="195">
        <v>227</v>
      </c>
      <c r="F868" s="195">
        <v>227</v>
      </c>
      <c r="G868" s="239">
        <v>861</v>
      </c>
      <c r="H868" s="197" t="s">
        <v>72</v>
      </c>
      <c r="I868" s="242" t="s">
        <v>214</v>
      </c>
      <c r="J868" s="242" t="s">
        <v>8618</v>
      </c>
      <c r="K868" s="195" t="s">
        <v>71</v>
      </c>
      <c r="L868" s="20" t="str">
        <f ca="1">IF(OFFSET(환산공식!$ED$15,$F868,0)=1,"O","X")</f>
        <v>X</v>
      </c>
      <c r="M868" s="188">
        <f ca="1">IFERROR(OFFSET(환산공식!DJ$15,$F868,0),"")</f>
        <v>40</v>
      </c>
      <c r="N868" s="20" t="str">
        <f ca="1">IFERROR(CONCATENATE(ROUND(OFFSET(환산공식!DK$15,$F868,0),1),"%"),"")</f>
        <v>100%</v>
      </c>
      <c r="O868" s="20">
        <f ca="1">IFERROR(OFFSET(환산공식!DL$15,$F868,0),"")</f>
        <v>0</v>
      </c>
      <c r="P868" s="188" t="str">
        <f t="shared" ca="1" si="27"/>
        <v>3% 이하</v>
      </c>
      <c r="Q868" s="194">
        <f ca="1">IFERROR(ROUND(OFFSET(환산공식!$FG$15,$F868,0),3),"")</f>
        <v>800</v>
      </c>
      <c r="R868" s="194">
        <f ca="1">OFFSET('배치점수 계산기'!H$10,$D868,0)</f>
        <v>968.279</v>
      </c>
      <c r="S868" s="194">
        <f ca="1">OFFSET('배치점수 계산기'!I$10,$D868,0)</f>
        <v>967.80899999999997</v>
      </c>
      <c r="T868" s="194">
        <f ca="1">OFFSET('배치점수 계산기'!J$10,$D868,0)</f>
        <v>966.87800000000004</v>
      </c>
      <c r="U868" s="194">
        <f ca="1">OFFSET('배치점수 계산기'!K$10,$D868,0)</f>
        <v>965.77499999999998</v>
      </c>
      <c r="V868" s="194">
        <f ca="1">OFFSET('배치점수 계산기'!L$10,$D868,0)</f>
        <v>964.37</v>
      </c>
      <c r="W868" s="186" t="str">
        <f ca="1">OFFSET('배치점수 계산기'!M$10,$D868,0)</f>
        <v>표점/만점</v>
      </c>
      <c r="X868" s="184" t="str">
        <f ca="1">OFFSET('배치점수 계산기'!N$10,$D868,0)</f>
        <v>표점/만점</v>
      </c>
      <c r="Y868" s="188">
        <f ca="1">OFFSET(환산공식!FW$15,$F868,0)</f>
        <v>0.38</v>
      </c>
      <c r="Z868" s="20">
        <f ca="1">OFFSET(환산공식!FX$15,$F868,0)</f>
        <v>0.25</v>
      </c>
      <c r="AA868" s="179">
        <f ca="1">OFFSET(환산공식!FY$15,$F868,0)</f>
        <v>0.37</v>
      </c>
      <c r="AB868" s="3"/>
      <c r="AD868">
        <f t="shared" ca="1" si="28"/>
        <v>6</v>
      </c>
      <c r="AF868" s="3"/>
      <c r="AG868" s="3"/>
      <c r="AH868" s="3"/>
    </row>
    <row r="869" spans="1:34">
      <c r="A869" s="198"/>
      <c r="B869" s="198"/>
      <c r="C869" s="198" t="s">
        <v>1430</v>
      </c>
      <c r="D869" s="195">
        <v>929</v>
      </c>
      <c r="E869" s="195">
        <v>227</v>
      </c>
      <c r="F869" s="195">
        <v>227</v>
      </c>
      <c r="G869" s="239">
        <v>862</v>
      </c>
      <c r="H869" s="197" t="s">
        <v>72</v>
      </c>
      <c r="I869" s="242" t="s">
        <v>214</v>
      </c>
      <c r="J869" s="242" t="s">
        <v>12322</v>
      </c>
      <c r="K869" s="195" t="s">
        <v>71</v>
      </c>
      <c r="L869" s="20" t="str">
        <f ca="1">IF(OFFSET(환산공식!$ED$15,$F869,0)=1,"O","X")</f>
        <v>X</v>
      </c>
      <c r="M869" s="188">
        <f ca="1">IFERROR(OFFSET(환산공식!DJ$15,$F869,0),"")</f>
        <v>40</v>
      </c>
      <c r="N869" s="20" t="str">
        <f ca="1">IFERROR(CONCATENATE(ROUND(OFFSET(환산공식!DK$15,$F869,0),1),"%"),"")</f>
        <v>100%</v>
      </c>
      <c r="O869" s="20">
        <f ca="1">IFERROR(OFFSET(환산공식!DL$15,$F869,0),"")</f>
        <v>0</v>
      </c>
      <c r="P869" s="188" t="str">
        <f t="shared" ca="1" si="27"/>
        <v>3% 이하</v>
      </c>
      <c r="Q869" s="194">
        <f ca="1">IFERROR(ROUND(OFFSET(환산공식!$FG$15,$F869,0),3),"")</f>
        <v>800</v>
      </c>
      <c r="R869" s="194">
        <f ca="1">OFFSET('배치점수 계산기'!H$10,$D869,0)</f>
        <v>967.83699999999999</v>
      </c>
      <c r="S869" s="194">
        <f ca="1">OFFSET('배치점수 계산기'!I$10,$D869,0)</f>
        <v>967.38800000000003</v>
      </c>
      <c r="T869" s="194">
        <f ca="1">OFFSET('배치점수 계산기'!J$10,$D869,0)</f>
        <v>966.49800000000005</v>
      </c>
      <c r="U869" s="194">
        <f ca="1">OFFSET('배치점수 계산기'!K$10,$D869,0)</f>
        <v>965.37</v>
      </c>
      <c r="V869" s="194">
        <f ca="1">OFFSET('배치점수 계산기'!L$10,$D869,0)</f>
        <v>964.02700000000004</v>
      </c>
      <c r="W869" s="186" t="str">
        <f ca="1">OFFSET('배치점수 계산기'!M$10,$D869,0)</f>
        <v>표점/만점</v>
      </c>
      <c r="X869" s="184" t="str">
        <f ca="1">OFFSET('배치점수 계산기'!N$10,$D869,0)</f>
        <v>표점/만점</v>
      </c>
      <c r="Y869" s="188">
        <f ca="1">OFFSET(환산공식!FW$15,$F869,0)</f>
        <v>0.38</v>
      </c>
      <c r="Z869" s="20">
        <f ca="1">OFFSET(환산공식!FX$15,$F869,0)</f>
        <v>0.25</v>
      </c>
      <c r="AA869" s="179">
        <f ca="1">OFFSET(환산공식!FY$15,$F869,0)</f>
        <v>0.37</v>
      </c>
      <c r="AB869" s="3"/>
      <c r="AD869">
        <f t="shared" ca="1" si="28"/>
        <v>6</v>
      </c>
      <c r="AF869" s="3"/>
      <c r="AG869" s="3"/>
      <c r="AH869" s="3"/>
    </row>
    <row r="870" spans="1:34">
      <c r="A870" s="198"/>
      <c r="B870" s="198"/>
      <c r="C870" s="198" t="s">
        <v>1431</v>
      </c>
      <c r="D870" s="195">
        <v>930</v>
      </c>
      <c r="E870" s="195">
        <v>227</v>
      </c>
      <c r="F870" s="195">
        <v>227</v>
      </c>
      <c r="G870" s="239">
        <v>863</v>
      </c>
      <c r="H870" s="197" t="s">
        <v>72</v>
      </c>
      <c r="I870" s="242" t="s">
        <v>214</v>
      </c>
      <c r="J870" s="242" t="s">
        <v>12409</v>
      </c>
      <c r="K870" s="195" t="s">
        <v>71</v>
      </c>
      <c r="L870" s="20" t="str">
        <f ca="1">IF(OFFSET(환산공식!$ED$15,$F870,0)=1,"O","X")</f>
        <v>X</v>
      </c>
      <c r="M870" s="188">
        <f ca="1">IFERROR(OFFSET(환산공식!DJ$15,$F870,0),"")</f>
        <v>40</v>
      </c>
      <c r="N870" s="20" t="str">
        <f ca="1">IFERROR(CONCATENATE(ROUND(OFFSET(환산공식!DK$15,$F870,0),1),"%"),"")</f>
        <v>100%</v>
      </c>
      <c r="O870" s="20">
        <f ca="1">IFERROR(OFFSET(환산공식!DL$15,$F870,0),"")</f>
        <v>0</v>
      </c>
      <c r="P870" s="188" t="str">
        <f t="shared" ca="1" si="27"/>
        <v>3% 이하</v>
      </c>
      <c r="Q870" s="194">
        <f ca="1">IFERROR(ROUND(OFFSET(환산공식!$FG$15,$F870,0),3),"")</f>
        <v>800</v>
      </c>
      <c r="R870" s="194">
        <f ca="1">OFFSET('배치점수 계산기'!H$10,$D870,0)</f>
        <v>967.11300000000006</v>
      </c>
      <c r="S870" s="194">
        <f ca="1">OFFSET('배치점수 계산기'!I$10,$D870,0)</f>
        <v>966.68299999999999</v>
      </c>
      <c r="T870" s="194">
        <f ca="1">OFFSET('배치점수 계산기'!J$10,$D870,0)</f>
        <v>965.84100000000001</v>
      </c>
      <c r="U870" s="194">
        <f ca="1">OFFSET('배치점수 계산기'!K$10,$D870,0)</f>
        <v>964.76</v>
      </c>
      <c r="V870" s="194">
        <f ca="1">OFFSET('배치점수 계산기'!L$10,$D870,0)</f>
        <v>963.37800000000004</v>
      </c>
      <c r="W870" s="186" t="str">
        <f ca="1">OFFSET('배치점수 계산기'!M$10,$D870,0)</f>
        <v>표점/만점</v>
      </c>
      <c r="X870" s="184" t="str">
        <f ca="1">OFFSET('배치점수 계산기'!N$10,$D870,0)</f>
        <v>표점/만점</v>
      </c>
      <c r="Y870" s="188">
        <f ca="1">OFFSET(환산공식!FW$15,$F870,0)</f>
        <v>0.38</v>
      </c>
      <c r="Z870" s="20">
        <f ca="1">OFFSET(환산공식!FX$15,$F870,0)</f>
        <v>0.25</v>
      </c>
      <c r="AA870" s="179">
        <f ca="1">OFFSET(환산공식!FY$15,$F870,0)</f>
        <v>0.37</v>
      </c>
      <c r="AB870" s="3"/>
      <c r="AD870">
        <f t="shared" ca="1" si="28"/>
        <v>6</v>
      </c>
      <c r="AF870" s="3"/>
      <c r="AG870" s="3"/>
      <c r="AH870" s="3"/>
    </row>
    <row r="871" spans="1:34">
      <c r="A871" s="198"/>
      <c r="B871" s="198"/>
      <c r="C871" s="198" t="s">
        <v>1432</v>
      </c>
      <c r="D871" s="195">
        <v>931</v>
      </c>
      <c r="E871" s="195">
        <v>227</v>
      </c>
      <c r="F871" s="195">
        <v>227</v>
      </c>
      <c r="G871" s="239">
        <v>864</v>
      </c>
      <c r="H871" s="197" t="s">
        <v>72</v>
      </c>
      <c r="I871" s="242" t="s">
        <v>214</v>
      </c>
      <c r="J871" s="242" t="s">
        <v>8883</v>
      </c>
      <c r="K871" s="195" t="s">
        <v>71</v>
      </c>
      <c r="L871" s="20" t="str">
        <f ca="1">IF(OFFSET(환산공식!$ED$15,$F871,0)=1,"O","X")</f>
        <v>X</v>
      </c>
      <c r="M871" s="188">
        <f ca="1">IFERROR(OFFSET(환산공식!DJ$15,$F871,0),"")</f>
        <v>40</v>
      </c>
      <c r="N871" s="20" t="str">
        <f ca="1">IFERROR(CONCATENATE(ROUND(OFFSET(환산공식!DK$15,$F871,0),1),"%"),"")</f>
        <v>100%</v>
      </c>
      <c r="O871" s="20">
        <f ca="1">IFERROR(OFFSET(환산공식!DL$15,$F871,0),"")</f>
        <v>0</v>
      </c>
      <c r="P871" s="188" t="str">
        <f t="shared" ca="1" si="27"/>
        <v>3% 이하</v>
      </c>
      <c r="Q871" s="194">
        <f ca="1">IFERROR(ROUND(OFFSET(환산공식!$FG$15,$F871,0),3),"")</f>
        <v>800</v>
      </c>
      <c r="R871" s="194">
        <f ca="1">OFFSET('배치점수 계산기'!H$10,$D871,0)</f>
        <v>967.07600000000002</v>
      </c>
      <c r="S871" s="194">
        <f ca="1">OFFSET('배치점수 계산기'!I$10,$D871,0)</f>
        <v>966.60500000000002</v>
      </c>
      <c r="T871" s="194">
        <f ca="1">OFFSET('배치점수 계산기'!J$10,$D871,0)</f>
        <v>965.81200000000001</v>
      </c>
      <c r="U871" s="194">
        <f ca="1">OFFSET('배치점수 계산기'!K$10,$D871,0)</f>
        <v>964.67499999999995</v>
      </c>
      <c r="V871" s="194">
        <f ca="1">OFFSET('배치점수 계산기'!L$10,$D871,0)</f>
        <v>963.26400000000001</v>
      </c>
      <c r="W871" s="186" t="str">
        <f ca="1">OFFSET('배치점수 계산기'!M$10,$D871,0)</f>
        <v>표점/만점</v>
      </c>
      <c r="X871" s="184" t="str">
        <f ca="1">OFFSET('배치점수 계산기'!N$10,$D871,0)</f>
        <v>표점/만점</v>
      </c>
      <c r="Y871" s="188">
        <f ca="1">OFFSET(환산공식!FW$15,$F871,0)</f>
        <v>0.38</v>
      </c>
      <c r="Z871" s="20">
        <f ca="1">OFFSET(환산공식!FX$15,$F871,0)</f>
        <v>0.25</v>
      </c>
      <c r="AA871" s="179">
        <f ca="1">OFFSET(환산공식!FY$15,$F871,0)</f>
        <v>0.37</v>
      </c>
      <c r="AB871" s="3"/>
      <c r="AD871">
        <f t="shared" ca="1" si="28"/>
        <v>6</v>
      </c>
      <c r="AF871" s="3"/>
      <c r="AG871" s="3"/>
      <c r="AH871" s="3"/>
    </row>
    <row r="872" spans="1:34">
      <c r="A872" s="198"/>
      <c r="B872" s="198"/>
      <c r="C872" s="198" t="s">
        <v>1433</v>
      </c>
      <c r="D872" s="195">
        <v>932</v>
      </c>
      <c r="E872" s="195">
        <v>227</v>
      </c>
      <c r="F872" s="195">
        <v>227</v>
      </c>
      <c r="G872" s="239">
        <v>865</v>
      </c>
      <c r="H872" s="197" t="s">
        <v>72</v>
      </c>
      <c r="I872" s="242" t="s">
        <v>214</v>
      </c>
      <c r="J872" s="242" t="s">
        <v>12442</v>
      </c>
      <c r="K872" s="195" t="s">
        <v>71</v>
      </c>
      <c r="L872" s="20" t="str">
        <f ca="1">IF(OFFSET(환산공식!$ED$15,$F872,0)=1,"O","X")</f>
        <v>X</v>
      </c>
      <c r="M872" s="188">
        <f ca="1">IFERROR(OFFSET(환산공식!DJ$15,$F872,0),"")</f>
        <v>40</v>
      </c>
      <c r="N872" s="20" t="str">
        <f ca="1">IFERROR(CONCATENATE(ROUND(OFFSET(환산공식!DK$15,$F872,0),1),"%"),"")</f>
        <v>100%</v>
      </c>
      <c r="O872" s="20">
        <f ca="1">IFERROR(OFFSET(환산공식!DL$15,$F872,0),"")</f>
        <v>0</v>
      </c>
      <c r="P872" s="188" t="str">
        <f t="shared" ca="1" si="27"/>
        <v>3% 이하</v>
      </c>
      <c r="Q872" s="194">
        <f ca="1">IFERROR(ROUND(OFFSET(환산공식!$FG$15,$F872,0),3),"")</f>
        <v>800</v>
      </c>
      <c r="R872" s="194">
        <f ca="1">OFFSET('배치점수 계산기'!H$10,$D872,0)</f>
        <v>967.00699999999995</v>
      </c>
      <c r="S872" s="194">
        <f ca="1">OFFSET('배치점수 계산기'!I$10,$D872,0)</f>
        <v>966.49800000000005</v>
      </c>
      <c r="T872" s="194">
        <f ca="1">OFFSET('배치점수 계산기'!J$10,$D872,0)</f>
        <v>965.68299999999999</v>
      </c>
      <c r="U872" s="194">
        <f ca="1">OFFSET('배치점수 계산기'!K$10,$D872,0)</f>
        <v>964.60500000000002</v>
      </c>
      <c r="V872" s="194">
        <f ca="1">OFFSET('배치점수 계산기'!L$10,$D872,0)</f>
        <v>963.19399999999996</v>
      </c>
      <c r="W872" s="186" t="str">
        <f ca="1">OFFSET('배치점수 계산기'!M$10,$D872,0)</f>
        <v>표점/만점</v>
      </c>
      <c r="X872" s="184" t="str">
        <f ca="1">OFFSET('배치점수 계산기'!N$10,$D872,0)</f>
        <v>표점/만점</v>
      </c>
      <c r="Y872" s="188">
        <f ca="1">OFFSET(환산공식!FW$15,$F872,0)</f>
        <v>0.38</v>
      </c>
      <c r="Z872" s="20">
        <f ca="1">OFFSET(환산공식!FX$15,$F872,0)</f>
        <v>0.25</v>
      </c>
      <c r="AA872" s="179">
        <f ca="1">OFFSET(환산공식!FY$15,$F872,0)</f>
        <v>0.37</v>
      </c>
      <c r="AB872" s="3"/>
      <c r="AD872">
        <f t="shared" ca="1" si="28"/>
        <v>6</v>
      </c>
      <c r="AF872" s="3"/>
      <c r="AG872" s="3"/>
      <c r="AH872" s="3"/>
    </row>
    <row r="873" spans="1:34">
      <c r="A873" s="198"/>
      <c r="B873" s="198"/>
      <c r="C873" s="198" t="s">
        <v>1434</v>
      </c>
      <c r="D873" s="195">
        <v>933</v>
      </c>
      <c r="E873" s="195">
        <v>227</v>
      </c>
      <c r="F873" s="195">
        <v>227</v>
      </c>
      <c r="G873" s="239">
        <v>866</v>
      </c>
      <c r="H873" s="197" t="s">
        <v>72</v>
      </c>
      <c r="I873" s="242" t="s">
        <v>214</v>
      </c>
      <c r="J873" s="242" t="s">
        <v>12617</v>
      </c>
      <c r="K873" s="195" t="s">
        <v>71</v>
      </c>
      <c r="L873" s="20" t="str">
        <f ca="1">IF(OFFSET(환산공식!$ED$15,$F873,0)=1,"O","X")</f>
        <v>X</v>
      </c>
      <c r="M873" s="188">
        <f ca="1">IFERROR(OFFSET(환산공식!DJ$15,$F873,0),"")</f>
        <v>40</v>
      </c>
      <c r="N873" s="20" t="str">
        <f ca="1">IFERROR(CONCATENATE(ROUND(OFFSET(환산공식!DK$15,$F873,0),1),"%"),"")</f>
        <v>100%</v>
      </c>
      <c r="O873" s="20">
        <f ca="1">IFERROR(OFFSET(환산공식!DL$15,$F873,0),"")</f>
        <v>0</v>
      </c>
      <c r="P873" s="188" t="str">
        <f t="shared" ca="1" si="27"/>
        <v>3% 이하</v>
      </c>
      <c r="Q873" s="194">
        <f ca="1">IFERROR(ROUND(OFFSET(환산공식!$FG$15,$F873,0),3),"")</f>
        <v>800</v>
      </c>
      <c r="R873" s="194">
        <f ca="1">OFFSET('배치점수 계산기'!H$10,$D873,0)</f>
        <v>965.87800000000004</v>
      </c>
      <c r="S873" s="194">
        <f ca="1">OFFSET('배치점수 계산기'!I$10,$D873,0)</f>
        <v>965.48800000000006</v>
      </c>
      <c r="T873" s="194">
        <f ca="1">OFFSET('배치점수 계산기'!J$10,$D873,0)</f>
        <v>964.67499999999995</v>
      </c>
      <c r="U873" s="194">
        <f ca="1">OFFSET('배치점수 계산기'!K$10,$D873,0)</f>
        <v>963.48</v>
      </c>
      <c r="V873" s="194">
        <f ca="1">OFFSET('배치점수 계산기'!L$10,$D873,0)</f>
        <v>962.15800000000002</v>
      </c>
      <c r="W873" s="186" t="str">
        <f ca="1">OFFSET('배치점수 계산기'!M$10,$D873,0)</f>
        <v>표점/만점</v>
      </c>
      <c r="X873" s="184" t="str">
        <f ca="1">OFFSET('배치점수 계산기'!N$10,$D873,0)</f>
        <v>표점/만점</v>
      </c>
      <c r="Y873" s="188">
        <f ca="1">OFFSET(환산공식!FW$15,$F873,0)</f>
        <v>0.38</v>
      </c>
      <c r="Z873" s="20">
        <f ca="1">OFFSET(환산공식!FX$15,$F873,0)</f>
        <v>0.25</v>
      </c>
      <c r="AA873" s="179">
        <f ca="1">OFFSET(환산공식!FY$15,$F873,0)</f>
        <v>0.37</v>
      </c>
      <c r="AB873" s="3"/>
      <c r="AD873">
        <f t="shared" ca="1" si="28"/>
        <v>6</v>
      </c>
      <c r="AF873" s="3"/>
      <c r="AG873" s="3"/>
      <c r="AH873" s="3"/>
    </row>
    <row r="874" spans="1:34">
      <c r="A874" s="198"/>
      <c r="B874" s="198"/>
      <c r="C874" s="198" t="s">
        <v>1435</v>
      </c>
      <c r="D874" s="195">
        <v>934</v>
      </c>
      <c r="E874" s="195">
        <v>7</v>
      </c>
      <c r="F874" s="195">
        <v>7</v>
      </c>
      <c r="G874" s="239">
        <v>867</v>
      </c>
      <c r="H874" s="197" t="s">
        <v>72</v>
      </c>
      <c r="I874" s="242" t="s">
        <v>73</v>
      </c>
      <c r="J874" s="242" t="s">
        <v>240</v>
      </c>
      <c r="K874" s="195" t="s">
        <v>70</v>
      </c>
      <c r="L874" s="20" t="str">
        <f ca="1">IF(OFFSET(환산공식!$ED$15,$F874,0)=1,"O","X")</f>
        <v>X</v>
      </c>
      <c r="M874" s="188">
        <f ca="1">IFERROR(OFFSET(환산공식!DJ$15,$F874,0),"")</f>
        <v>100</v>
      </c>
      <c r="N874" s="20" t="str">
        <f ca="1">IFERROR(CONCATENATE(ROUND(OFFSET(환산공식!DK$15,$F874,0),1),"%"),"")</f>
        <v>100%</v>
      </c>
      <c r="O874" s="20">
        <f ca="1">IFERROR(OFFSET(환산공식!DL$15,$F874,0),"")</f>
        <v>0</v>
      </c>
      <c r="P874" s="188" t="str">
        <f t="shared" ca="1" si="27"/>
        <v>3% 이하</v>
      </c>
      <c r="Q874" s="194">
        <f ca="1">IFERROR(ROUND(OFFSET(환산공식!$FG$15,$F874,0),3),"")</f>
        <v>0</v>
      </c>
      <c r="R874" s="194">
        <f ca="1">OFFSET('배치점수 계산기'!H$10,$D874,0)</f>
        <v>657.92899999999997</v>
      </c>
      <c r="S874" s="194">
        <f ca="1">OFFSET('배치점수 계산기'!I$10,$D874,0)</f>
        <v>656.82299999999998</v>
      </c>
      <c r="T874" s="194">
        <f ca="1">OFFSET('배치점수 계산기'!J$10,$D874,0)</f>
        <v>655.35900000000004</v>
      </c>
      <c r="U874" s="194">
        <f ca="1">OFFSET('배치점수 계산기'!K$10,$D874,0)</f>
        <v>654.68200000000002</v>
      </c>
      <c r="V874" s="194">
        <f ca="1">OFFSET('배치점수 계산기'!L$10,$D874,0)</f>
        <v>653.73099999999999</v>
      </c>
      <c r="W874" s="186" t="str">
        <f ca="1">OFFSET('배치점수 계산기'!M$10,$D874,0)</f>
        <v>표점</v>
      </c>
      <c r="X874" s="184" t="str">
        <f ca="1">OFFSET('배치점수 계산기'!N$10,$D874,0)</f>
        <v>변표</v>
      </c>
      <c r="Y874" s="188">
        <f ca="1">OFFSET(환산공식!FW$15,$F874,0)</f>
        <v>0.25</v>
      </c>
      <c r="Z874" s="20">
        <f ca="1">OFFSET(환산공식!FX$15,$F874,0)</f>
        <v>0.38</v>
      </c>
      <c r="AA874" s="179">
        <f ca="1">OFFSET(환산공식!FY$15,$F874,0)</f>
        <v>0.38</v>
      </c>
      <c r="AB874" s="3"/>
      <c r="AD874">
        <f t="shared" ca="1" si="28"/>
        <v>6</v>
      </c>
      <c r="AF874" s="3"/>
      <c r="AG874" s="3"/>
      <c r="AH874" s="3"/>
    </row>
    <row r="875" spans="1:34">
      <c r="A875" s="198"/>
      <c r="B875" s="198"/>
      <c r="C875" s="198" t="s">
        <v>1436</v>
      </c>
      <c r="D875" s="195">
        <v>935</v>
      </c>
      <c r="E875" s="195">
        <v>273</v>
      </c>
      <c r="F875" s="195">
        <v>273</v>
      </c>
      <c r="G875" s="239">
        <v>868</v>
      </c>
      <c r="H875" s="197" t="s">
        <v>72</v>
      </c>
      <c r="I875" s="242" t="s">
        <v>77</v>
      </c>
      <c r="J875" s="242" t="s">
        <v>240</v>
      </c>
      <c r="K875" s="195" t="s">
        <v>70</v>
      </c>
      <c r="L875" s="20" t="str">
        <f ca="1">IF(OFFSET(환산공식!$ED$15,$F875,0)=1,"O","X")</f>
        <v>X</v>
      </c>
      <c r="M875" s="188">
        <f ca="1">IFERROR(OFFSET(환산공식!DJ$15,$F875,0),"")</f>
        <v>63.5</v>
      </c>
      <c r="N875" s="20" t="str">
        <f ca="1">IFERROR(CONCATENATE(ROUND(OFFSET(환산공식!DK$15,$F875,0),1),"%"),"")</f>
        <v>100%</v>
      </c>
      <c r="O875" s="20">
        <f ca="1">IFERROR(OFFSET(환산공식!DL$15,$F875,0),"")</f>
        <v>0</v>
      </c>
      <c r="P875" s="188" t="str">
        <f t="shared" ca="1" si="27"/>
        <v>3% 이하</v>
      </c>
      <c r="Q875" s="194">
        <f ca="1">IFERROR(ROUND(OFFSET(환산공식!$FG$15,$F875,0),3),"")</f>
        <v>0</v>
      </c>
      <c r="R875" s="194">
        <f ca="1">OFFSET('배치점수 계산기'!H$10,$D875,0)</f>
        <v>689.43700000000001</v>
      </c>
      <c r="S875" s="194">
        <f ca="1">OFFSET('배치점수 계산기'!I$10,$D875,0)</f>
        <v>688.51300000000003</v>
      </c>
      <c r="T875" s="194">
        <f ca="1">OFFSET('배치점수 계산기'!J$10,$D875,0)</f>
        <v>687.6</v>
      </c>
      <c r="U875" s="194">
        <f ca="1">OFFSET('배치점수 계산기'!K$10,$D875,0)</f>
        <v>686.85599999999999</v>
      </c>
      <c r="V875" s="194">
        <f ca="1">OFFSET('배치점수 계산기'!L$10,$D875,0)</f>
        <v>685.99599999999998</v>
      </c>
      <c r="W875" s="186" t="str">
        <f ca="1">OFFSET('배치점수 계산기'!M$10,$D875,0)</f>
        <v>표점</v>
      </c>
      <c r="X875" s="184" t="str">
        <f ca="1">OFFSET('배치점수 계산기'!N$10,$D875,0)</f>
        <v>변표</v>
      </c>
      <c r="Y875" s="188">
        <f ca="1">OFFSET(환산공식!FW$15,$F875,0)</f>
        <v>0.33</v>
      </c>
      <c r="Z875" s="20">
        <f ca="1">OFFSET(환산공식!FX$15,$F875,0)</f>
        <v>0.44</v>
      </c>
      <c r="AA875" s="179">
        <f ca="1">OFFSET(환산공식!FY$15,$F875,0)</f>
        <v>0.22</v>
      </c>
      <c r="AB875" s="3"/>
      <c r="AD875">
        <f t="shared" ca="1" si="28"/>
        <v>6</v>
      </c>
      <c r="AF875" s="3"/>
      <c r="AG875" s="3"/>
      <c r="AH875" s="3"/>
    </row>
    <row r="876" spans="1:34">
      <c r="A876" s="198"/>
      <c r="B876" s="198"/>
      <c r="C876" s="198" t="s">
        <v>1437</v>
      </c>
      <c r="D876" s="195">
        <v>936</v>
      </c>
      <c r="E876" s="195">
        <v>108</v>
      </c>
      <c r="F876" s="195">
        <v>108</v>
      </c>
      <c r="G876" s="239">
        <v>869</v>
      </c>
      <c r="H876" s="197" t="s">
        <v>72</v>
      </c>
      <c r="I876" s="242" t="s">
        <v>239</v>
      </c>
      <c r="J876" s="242" t="s">
        <v>240</v>
      </c>
      <c r="K876" s="195" t="s">
        <v>70</v>
      </c>
      <c r="L876" s="20" t="str">
        <f ca="1">IF(OFFSET(환산공식!$ED$15,$F876,0)=1,"O","X")</f>
        <v>X</v>
      </c>
      <c r="M876" s="188">
        <f ca="1">IFERROR(OFFSET(환산공식!DJ$15,$F876,0),"")</f>
        <v>0</v>
      </c>
      <c r="N876" s="20" t="str">
        <f ca="1">IFERROR(CONCATENATE(ROUND(OFFSET(환산공식!DK$15,$F876,0),1),"%"),"")</f>
        <v/>
      </c>
      <c r="O876" s="20">
        <f ca="1">IFERROR(OFFSET(환산공식!DL$15,$F876,0),"")</f>
        <v>0</v>
      </c>
      <c r="P876" s="188" t="str">
        <f t="shared" ca="1" si="27"/>
        <v>3% 이하</v>
      </c>
      <c r="Q876" s="194">
        <f ca="1">IFERROR(ROUND(OFFSET(환산공식!$FG$15,$F876,0),3),"")</f>
        <v>0</v>
      </c>
      <c r="R876" s="194">
        <f ca="1">OFFSET('배치점수 계산기'!H$10,$D876,0)</f>
        <v>698.3</v>
      </c>
      <c r="S876" s="194">
        <f ca="1">OFFSET('배치점수 계산기'!I$10,$D876,0)</f>
        <v>697.40099999999995</v>
      </c>
      <c r="T876" s="194">
        <f ca="1">OFFSET('배치점수 계산기'!J$10,$D876,0)</f>
        <v>695.45600000000002</v>
      </c>
      <c r="U876" s="194">
        <f ca="1">OFFSET('배치점수 계산기'!K$10,$D876,0)</f>
        <v>694.74199999999996</v>
      </c>
      <c r="V876" s="194">
        <f ca="1">OFFSET('배치점수 계산기'!L$10,$D876,0)</f>
        <v>693.51599999999996</v>
      </c>
      <c r="W876" s="186" t="str">
        <f ca="1">OFFSET('배치점수 계산기'!M$10,$D876,0)</f>
        <v>표점</v>
      </c>
      <c r="X876" s="184" t="str">
        <f ca="1">OFFSET('배치점수 계산기'!N$10,$D876,0)</f>
        <v>변표</v>
      </c>
      <c r="Y876" s="188">
        <f ca="1">OFFSET(환산공식!FW$15,$F876,0)</f>
        <v>0.3</v>
      </c>
      <c r="Z876" s="20">
        <f ca="1">OFFSET(환산공식!FX$15,$F876,0)</f>
        <v>0.4</v>
      </c>
      <c r="AA876" s="179">
        <f ca="1">OFFSET(환산공식!FY$15,$F876,0)</f>
        <v>0.3</v>
      </c>
      <c r="AB876" s="3"/>
      <c r="AD876">
        <f t="shared" ca="1" si="28"/>
        <v>6</v>
      </c>
      <c r="AF876" s="3"/>
      <c r="AG876" s="3"/>
      <c r="AH876" s="3"/>
    </row>
    <row r="877" spans="1:34">
      <c r="A877" s="198"/>
      <c r="B877" s="198"/>
      <c r="C877" s="198" t="s">
        <v>1438</v>
      </c>
      <c r="D877" s="195">
        <v>937</v>
      </c>
      <c r="E877" s="195">
        <v>9</v>
      </c>
      <c r="F877" s="195">
        <v>9</v>
      </c>
      <c r="G877" s="239">
        <v>870</v>
      </c>
      <c r="H877" s="197" t="s">
        <v>72</v>
      </c>
      <c r="I877" s="242" t="s">
        <v>75</v>
      </c>
      <c r="J877" s="242" t="s">
        <v>7802</v>
      </c>
      <c r="K877" s="195" t="s">
        <v>70</v>
      </c>
      <c r="L877" s="20" t="str">
        <f ca="1">IF(OFFSET(환산공식!$ED$15,$F877,0)=1,"O","X")</f>
        <v>X</v>
      </c>
      <c r="M877" s="188">
        <f ca="1">IFERROR(OFFSET(환산공식!DJ$15,$F877,0),"")</f>
        <v>0</v>
      </c>
      <c r="N877" s="20" t="str">
        <f ca="1">IFERROR(CONCATENATE(ROUND(OFFSET(환산공식!DK$15,$F877,0),1),"%"),"")</f>
        <v/>
      </c>
      <c r="O877" s="20">
        <f ca="1">IFERROR(OFFSET(환산공식!DL$15,$F877,0),"")</f>
        <v>0</v>
      </c>
      <c r="P877" s="188" t="str">
        <f t="shared" ca="1" si="27"/>
        <v>3% 이하</v>
      </c>
      <c r="Q877" s="194">
        <f ca="1">IFERROR(ROUND(OFFSET(환산공식!$FG$15,$F877,0),3),"")</f>
        <v>0</v>
      </c>
      <c r="R877" s="194">
        <f ca="1">OFFSET('배치점수 계산기'!H$10,$D877,0)</f>
        <v>690.35699999999997</v>
      </c>
      <c r="S877" s="194">
        <f ca="1">OFFSET('배치점수 계산기'!I$10,$D877,0)</f>
        <v>689.86099999999999</v>
      </c>
      <c r="T877" s="194">
        <f ca="1">OFFSET('배치점수 계산기'!J$10,$D877,0)</f>
        <v>687.98099999999999</v>
      </c>
      <c r="U877" s="194">
        <f ca="1">OFFSET('배치점수 계산기'!K$10,$D877,0)</f>
        <v>687.31</v>
      </c>
      <c r="V877" s="194">
        <f ca="1">OFFSET('배치점수 계산기'!L$10,$D877,0)</f>
        <v>686.96799999999996</v>
      </c>
      <c r="W877" s="186" t="str">
        <f ca="1">OFFSET('배치점수 계산기'!M$10,$D877,0)</f>
        <v>표점</v>
      </c>
      <c r="X877" s="184" t="str">
        <f ca="1">OFFSET('배치점수 계산기'!N$10,$D877,0)</f>
        <v>변표</v>
      </c>
      <c r="Y877" s="188">
        <f ca="1">OFFSET(환산공식!FW$15,$F877,0)</f>
        <v>0.31</v>
      </c>
      <c r="Z877" s="20">
        <f ca="1">OFFSET(환산공식!FX$15,$F877,0)</f>
        <v>0.38</v>
      </c>
      <c r="AA877" s="179">
        <f ca="1">OFFSET(환산공식!FY$15,$F877,0)</f>
        <v>0.31</v>
      </c>
      <c r="AB877" s="3"/>
      <c r="AD877">
        <f t="shared" ca="1" si="28"/>
        <v>6</v>
      </c>
      <c r="AF877" s="3"/>
      <c r="AG877" s="3"/>
      <c r="AH877" s="3"/>
    </row>
    <row r="878" spans="1:34">
      <c r="A878" s="198"/>
      <c r="B878" s="198"/>
      <c r="C878" s="198" t="s">
        <v>1439</v>
      </c>
      <c r="D878" s="195">
        <v>939</v>
      </c>
      <c r="E878" s="195">
        <v>174</v>
      </c>
      <c r="F878" s="195">
        <v>174</v>
      </c>
      <c r="G878" s="239">
        <v>871</v>
      </c>
      <c r="H878" s="197" t="s">
        <v>72</v>
      </c>
      <c r="I878" s="242" t="s">
        <v>241</v>
      </c>
      <c r="J878" s="242" t="s">
        <v>240</v>
      </c>
      <c r="K878" s="195" t="s">
        <v>70</v>
      </c>
      <c r="L878" s="20" t="str">
        <f ca="1">IF(OFFSET(환산공식!$ED$15,$F878,0)=1,"O","X")</f>
        <v>X</v>
      </c>
      <c r="M878" s="188">
        <f ca="1">IFERROR(OFFSET(환산공식!DJ$15,$F878,0),"")</f>
        <v>190</v>
      </c>
      <c r="N878" s="20" t="str">
        <f ca="1">IFERROR(CONCATENATE(ROUND(OFFSET(환산공식!DK$15,$F878,0),1),"%"),"")</f>
        <v>100%</v>
      </c>
      <c r="O878" s="20">
        <f ca="1">IFERROR(OFFSET(환산공식!DL$15,$F878,0),"")</f>
        <v>10</v>
      </c>
      <c r="P878" s="188" t="str">
        <f t="shared" ca="1" si="27"/>
        <v>3% 이하</v>
      </c>
      <c r="Q878" s="194">
        <f ca="1">IFERROR(ROUND(OFFSET(환산공식!$FG$15,$F878,0),3),"")</f>
        <v>0</v>
      </c>
      <c r="R878" s="194">
        <f ca="1">OFFSET('배치점수 계산기'!H$10,$D878,0)</f>
        <v>965.40899999999999</v>
      </c>
      <c r="S878" s="194">
        <f ca="1">OFFSET('배치점수 계산기'!I$10,$D878,0)</f>
        <v>964.923</v>
      </c>
      <c r="T878" s="194">
        <f ca="1">OFFSET('배치점수 계산기'!J$10,$D878,0)</f>
        <v>964.84699999999998</v>
      </c>
      <c r="U878" s="194">
        <f ca="1">OFFSET('배치점수 계산기'!K$10,$D878,0)</f>
        <v>963.82799999999997</v>
      </c>
      <c r="V878" s="194">
        <f ca="1">OFFSET('배치점수 계산기'!L$10,$D878,0)</f>
        <v>963.75</v>
      </c>
      <c r="W878" s="186" t="str">
        <f ca="1">OFFSET('배치점수 계산기'!M$10,$D878,0)</f>
        <v>표점/만점</v>
      </c>
      <c r="X878" s="184" t="str">
        <f ca="1">OFFSET('배치점수 계산기'!N$10,$D878,0)</f>
        <v>표점/만점</v>
      </c>
      <c r="Y878" s="188">
        <f ca="1">OFFSET(환산공식!FW$15,$F878,0)</f>
        <v>0.25</v>
      </c>
      <c r="Z878" s="20">
        <f ca="1">OFFSET(환산공식!FX$15,$F878,0)</f>
        <v>0.37</v>
      </c>
      <c r="AA878" s="179">
        <f ca="1">OFFSET(환산공식!FY$15,$F878,0)</f>
        <v>0.37</v>
      </c>
      <c r="AB878" s="3"/>
      <c r="AD878">
        <f t="shared" ca="1" si="28"/>
        <v>6</v>
      </c>
      <c r="AF878" s="3"/>
      <c r="AG878" s="3"/>
      <c r="AH878" s="3"/>
    </row>
    <row r="879" spans="1:34">
      <c r="A879" s="198"/>
      <c r="B879" s="198"/>
      <c r="C879" s="198" t="s">
        <v>1440</v>
      </c>
      <c r="D879" s="195">
        <v>940</v>
      </c>
      <c r="E879" s="195">
        <v>196</v>
      </c>
      <c r="F879" s="195">
        <v>196</v>
      </c>
      <c r="G879" s="239">
        <v>872</v>
      </c>
      <c r="H879" s="197" t="s">
        <v>72</v>
      </c>
      <c r="I879" s="242" t="s">
        <v>215</v>
      </c>
      <c r="J879" s="242" t="s">
        <v>240</v>
      </c>
      <c r="K879" s="195" t="s">
        <v>70</v>
      </c>
      <c r="L879" s="20" t="str">
        <f ca="1">IF(OFFSET(환산공식!$ED$15,$F879,0)=1,"O","X")</f>
        <v>X</v>
      </c>
      <c r="M879" s="188">
        <f ca="1">IFERROR(OFFSET(환산공식!DJ$15,$F879,0),"")</f>
        <v>125</v>
      </c>
      <c r="N879" s="20" t="str">
        <f ca="1">IFERROR(CONCATENATE(ROUND(OFFSET(환산공식!DK$15,$F879,0),1),"%"),"")</f>
        <v>100%</v>
      </c>
      <c r="O879" s="20">
        <f ca="1">IFERROR(OFFSET(환산공식!DL$15,$F879,0),"")</f>
        <v>10</v>
      </c>
      <c r="P879" s="188" t="str">
        <f t="shared" ca="1" si="27"/>
        <v>3% 이하</v>
      </c>
      <c r="Q879" s="194">
        <f ca="1">IFERROR(ROUND(OFFSET(환산공식!$FG$15,$F879,0),3),"")</f>
        <v>0</v>
      </c>
      <c r="R879" s="194">
        <f ca="1">OFFSET('배치점수 계산기'!H$10,$D879,0)</f>
        <v>730.553</v>
      </c>
      <c r="S879" s="194">
        <f ca="1">OFFSET('배치점수 계산기'!I$10,$D879,0)</f>
        <v>729.66499999999996</v>
      </c>
      <c r="T879" s="194">
        <f ca="1">OFFSET('배치점수 계산기'!J$10,$D879,0)</f>
        <v>728.01499999999999</v>
      </c>
      <c r="U879" s="194">
        <f ca="1">OFFSET('배치점수 계산기'!K$10,$D879,0)</f>
        <v>727.10400000000004</v>
      </c>
      <c r="V879" s="194">
        <f ca="1">OFFSET('배치점수 계산기'!L$10,$D879,0)</f>
        <v>725.04100000000005</v>
      </c>
      <c r="W879" s="186" t="str">
        <f ca="1">OFFSET('배치점수 계산기'!M$10,$D879,0)</f>
        <v>표점</v>
      </c>
      <c r="X879" s="184" t="str">
        <f ca="1">OFFSET('배치점수 계산기'!N$10,$D879,0)</f>
        <v>변표</v>
      </c>
      <c r="Y879" s="188">
        <f ca="1">OFFSET(환산공식!FW$15,$F879,0)</f>
        <v>0.28999999999999998</v>
      </c>
      <c r="Z879" s="20">
        <f ca="1">OFFSET(환산공식!FX$15,$F879,0)</f>
        <v>0.43</v>
      </c>
      <c r="AA879" s="179">
        <f ca="1">OFFSET(환산공식!FY$15,$F879,0)</f>
        <v>0.28999999999999998</v>
      </c>
      <c r="AB879" s="3"/>
      <c r="AD879">
        <f t="shared" ca="1" si="28"/>
        <v>6</v>
      </c>
      <c r="AF879" s="3"/>
      <c r="AG879" s="3"/>
      <c r="AH879" s="3"/>
    </row>
    <row r="880" spans="1:34">
      <c r="A880" s="198"/>
      <c r="B880" s="198"/>
      <c r="C880" s="198" t="s">
        <v>1441</v>
      </c>
      <c r="D880" s="195">
        <v>941</v>
      </c>
      <c r="E880" s="195">
        <v>196</v>
      </c>
      <c r="F880" s="195">
        <v>196</v>
      </c>
      <c r="G880" s="239">
        <v>873</v>
      </c>
      <c r="H880" s="197" t="s">
        <v>72</v>
      </c>
      <c r="I880" s="242" t="s">
        <v>215</v>
      </c>
      <c r="J880" s="242" t="s">
        <v>16636</v>
      </c>
      <c r="K880" s="195" t="s">
        <v>70</v>
      </c>
      <c r="L880" s="20" t="str">
        <f ca="1">IF(OFFSET(환산공식!$ED$15,$F880,0)=1,"O","X")</f>
        <v>X</v>
      </c>
      <c r="M880" s="188">
        <f ca="1">IFERROR(OFFSET(환산공식!DJ$15,$F880,0),"")</f>
        <v>125</v>
      </c>
      <c r="N880" s="20" t="str">
        <f ca="1">IFERROR(CONCATENATE(ROUND(OFFSET(환산공식!DK$15,$F880,0),1),"%"),"")</f>
        <v>100%</v>
      </c>
      <c r="O880" s="20">
        <f ca="1">IFERROR(OFFSET(환산공식!DL$15,$F880,0),"")</f>
        <v>10</v>
      </c>
      <c r="P880" s="188" t="str">
        <f t="shared" ca="1" si="27"/>
        <v>3% 이하</v>
      </c>
      <c r="Q880" s="194">
        <f ca="1">IFERROR(ROUND(OFFSET(환산공식!$FG$15,$F880,0),3),"")</f>
        <v>0</v>
      </c>
      <c r="R880" s="194">
        <f ca="1">OFFSET('배치점수 계산기'!H$10,$D880,0)</f>
        <v>727.48</v>
      </c>
      <c r="S880" s="194">
        <f ca="1">OFFSET('배치점수 계산기'!I$10,$D880,0)</f>
        <v>727.10400000000004</v>
      </c>
      <c r="T880" s="194">
        <f ca="1">OFFSET('배치점수 계산기'!J$10,$D880,0)</f>
        <v>725.04100000000005</v>
      </c>
      <c r="U880" s="194">
        <f ca="1">OFFSET('배치점수 계산기'!K$10,$D880,0)</f>
        <v>724.17100000000005</v>
      </c>
      <c r="V880" s="194">
        <f ca="1">OFFSET('배치점수 계산기'!L$10,$D880,0)</f>
        <v>721.41899999999998</v>
      </c>
      <c r="W880" s="186" t="str">
        <f ca="1">OFFSET('배치점수 계산기'!M$10,$D880,0)</f>
        <v>표점</v>
      </c>
      <c r="X880" s="184" t="str">
        <f ca="1">OFFSET('배치점수 계산기'!N$10,$D880,0)</f>
        <v>변표</v>
      </c>
      <c r="Y880" s="188">
        <f ca="1">OFFSET(환산공식!FW$15,$F880,0)</f>
        <v>0.28999999999999998</v>
      </c>
      <c r="Z880" s="20">
        <f ca="1">OFFSET(환산공식!FX$15,$F880,0)</f>
        <v>0.43</v>
      </c>
      <c r="AA880" s="179">
        <f ca="1">OFFSET(환산공식!FY$15,$F880,0)</f>
        <v>0.28999999999999998</v>
      </c>
      <c r="AB880" s="3"/>
      <c r="AD880">
        <f t="shared" ca="1" si="28"/>
        <v>6</v>
      </c>
      <c r="AF880" s="3"/>
      <c r="AG880" s="3"/>
      <c r="AH880" s="3"/>
    </row>
    <row r="881" spans="1:34">
      <c r="A881" s="198"/>
      <c r="B881" s="198"/>
      <c r="C881" s="198" t="s">
        <v>1442</v>
      </c>
      <c r="D881" s="195">
        <v>942</v>
      </c>
      <c r="E881" s="195">
        <v>178</v>
      </c>
      <c r="F881" s="195">
        <v>178</v>
      </c>
      <c r="G881" s="239">
        <v>874</v>
      </c>
      <c r="H881" s="197" t="s">
        <v>72</v>
      </c>
      <c r="I881" s="242" t="s">
        <v>242</v>
      </c>
      <c r="J881" s="242" t="s">
        <v>240</v>
      </c>
      <c r="K881" s="195" t="s">
        <v>70</v>
      </c>
      <c r="L881" s="20" t="str">
        <f ca="1">IF(OFFSET(환산공식!$ED$15,$F881,0)=1,"O","X")</f>
        <v>X</v>
      </c>
      <c r="M881" s="188">
        <f ca="1">IFERROR(OFFSET(환산공식!DJ$15,$F881,0),"")</f>
        <v>135</v>
      </c>
      <c r="N881" s="20" t="str">
        <f ca="1">IFERROR(CONCATENATE(ROUND(OFFSET(환산공식!DK$15,$F881,0),1),"%"),"")</f>
        <v>100%</v>
      </c>
      <c r="O881" s="20">
        <f ca="1">IFERROR(OFFSET(환산공식!DL$15,$F881,0),"")</f>
        <v>0</v>
      </c>
      <c r="P881" s="188" t="str">
        <f t="shared" ca="1" si="27"/>
        <v>3% 이하</v>
      </c>
      <c r="Q881" s="194">
        <f ca="1">IFERROR(ROUND(OFFSET(환산공식!$FG$15,$F881,0),3),"")</f>
        <v>0</v>
      </c>
      <c r="R881" s="194">
        <f ca="1">OFFSET('배치점수 계산기'!H$10,$D881,0)</f>
        <v>544.29999999999995</v>
      </c>
      <c r="S881" s="194">
        <f ca="1">OFFSET('배치점수 계산기'!I$10,$D881,0)</f>
        <v>542.79999999999995</v>
      </c>
      <c r="T881" s="194">
        <f ca="1">OFFSET('배치점수 계산기'!J$10,$D881,0)</f>
        <v>542.70000000000005</v>
      </c>
      <c r="U881" s="194">
        <f ca="1">OFFSET('배치점수 계산기'!K$10,$D881,0)</f>
        <v>542.20000000000005</v>
      </c>
      <c r="V881" s="194">
        <f ca="1">OFFSET('배치점수 계산기'!L$10,$D881,0)</f>
        <v>540.79999999999995</v>
      </c>
      <c r="W881" s="186" t="str">
        <f ca="1">OFFSET('배치점수 계산기'!M$10,$D881,0)</f>
        <v>표점</v>
      </c>
      <c r="X881" s="184" t="str">
        <f ca="1">OFFSET('배치점수 계산기'!N$10,$D881,0)</f>
        <v>표점</v>
      </c>
      <c r="Y881" s="188">
        <f ca="1">OFFSET(환산공식!FW$15,$F881,0)</f>
        <v>0.33</v>
      </c>
      <c r="Z881" s="20">
        <f ca="1">OFFSET(환산공식!FX$15,$F881,0)</f>
        <v>0.33</v>
      </c>
      <c r="AA881" s="179">
        <f ca="1">OFFSET(환산공식!FY$15,$F881,0)</f>
        <v>0.33</v>
      </c>
      <c r="AB881" s="3"/>
      <c r="AD881">
        <f t="shared" ca="1" si="28"/>
        <v>6</v>
      </c>
      <c r="AF881" s="3"/>
      <c r="AG881" s="3"/>
      <c r="AH881" s="3"/>
    </row>
    <row r="882" spans="1:34">
      <c r="A882" s="198"/>
      <c r="B882" s="198"/>
      <c r="C882" s="198" t="s">
        <v>1443</v>
      </c>
      <c r="D882" s="195">
        <v>943</v>
      </c>
      <c r="E882" s="195">
        <v>178</v>
      </c>
      <c r="F882" s="195">
        <v>178</v>
      </c>
      <c r="G882" s="239">
        <v>875</v>
      </c>
      <c r="H882" s="197" t="s">
        <v>72</v>
      </c>
      <c r="I882" s="242" t="s">
        <v>242</v>
      </c>
      <c r="J882" s="242" t="s">
        <v>427</v>
      </c>
      <c r="K882" s="195" t="s">
        <v>70</v>
      </c>
      <c r="L882" s="20" t="str">
        <f ca="1">IF(OFFSET(환산공식!$ED$15,$F882,0)=1,"O","X")</f>
        <v>X</v>
      </c>
      <c r="M882" s="188">
        <f ca="1">IFERROR(OFFSET(환산공식!DJ$15,$F882,0),"")</f>
        <v>135</v>
      </c>
      <c r="N882" s="20" t="str">
        <f ca="1">IFERROR(CONCATENATE(ROUND(OFFSET(환산공식!DK$15,$F882,0),1),"%"),"")</f>
        <v>100%</v>
      </c>
      <c r="O882" s="20">
        <f ca="1">IFERROR(OFFSET(환산공식!DL$15,$F882,0),"")</f>
        <v>0</v>
      </c>
      <c r="P882" s="188" t="str">
        <f t="shared" ca="1" si="27"/>
        <v>3% 이하</v>
      </c>
      <c r="Q882" s="194">
        <f ca="1">IFERROR(ROUND(OFFSET(환산공식!$FG$15,$F882,0),3),"")</f>
        <v>0</v>
      </c>
      <c r="R882" s="194">
        <f ca="1">OFFSET('배치점수 계산기'!H$10,$D882,0)</f>
        <v>540.29999999999995</v>
      </c>
      <c r="S882" s="194">
        <f ca="1">OFFSET('배치점수 계산기'!I$10,$D882,0)</f>
        <v>539</v>
      </c>
      <c r="T882" s="194">
        <f ca="1">OFFSET('배치점수 계산기'!J$10,$D882,0)</f>
        <v>537.29999999999995</v>
      </c>
      <c r="U882" s="194">
        <f ca="1">OFFSET('배치점수 계산기'!K$10,$D882,0)</f>
        <v>534.4</v>
      </c>
      <c r="V882" s="194">
        <f ca="1">OFFSET('배치점수 계산기'!L$10,$D882,0)</f>
        <v>530.29999999999995</v>
      </c>
      <c r="W882" s="186" t="str">
        <f ca="1">OFFSET('배치점수 계산기'!M$10,$D882,0)</f>
        <v>표점</v>
      </c>
      <c r="X882" s="184" t="str">
        <f ca="1">OFFSET('배치점수 계산기'!N$10,$D882,0)</f>
        <v>표점</v>
      </c>
      <c r="Y882" s="188">
        <f ca="1">OFFSET(환산공식!FW$15,$F882,0)</f>
        <v>0.33</v>
      </c>
      <c r="Z882" s="20">
        <f ca="1">OFFSET(환산공식!FX$15,$F882,0)</f>
        <v>0.33</v>
      </c>
      <c r="AA882" s="179">
        <f ca="1">OFFSET(환산공식!FY$15,$F882,0)</f>
        <v>0.33</v>
      </c>
      <c r="AB882" s="3"/>
      <c r="AD882">
        <f t="shared" ca="1" si="28"/>
        <v>6</v>
      </c>
      <c r="AF882" s="3"/>
      <c r="AG882" s="3"/>
      <c r="AH882" s="3"/>
    </row>
    <row r="883" spans="1:34">
      <c r="A883" s="198"/>
      <c r="B883" s="198"/>
      <c r="C883" s="198" t="s">
        <v>1444</v>
      </c>
      <c r="D883" s="195">
        <v>944</v>
      </c>
      <c r="E883" s="195">
        <v>139</v>
      </c>
      <c r="F883" s="195">
        <v>139</v>
      </c>
      <c r="G883" s="239">
        <v>876</v>
      </c>
      <c r="H883" s="197" t="s">
        <v>72</v>
      </c>
      <c r="I883" s="242" t="s">
        <v>195</v>
      </c>
      <c r="J883" s="242" t="s">
        <v>240</v>
      </c>
      <c r="K883" s="195" t="s">
        <v>70</v>
      </c>
      <c r="L883" s="20" t="str">
        <f ca="1">IF(OFFSET(환산공식!$ED$15,$F883,0)=1,"O","X")</f>
        <v>X</v>
      </c>
      <c r="M883" s="188">
        <f ca="1">IFERROR(OFFSET(환산공식!DJ$15,$F883,0),"")</f>
        <v>19.600000000000001</v>
      </c>
      <c r="N883" s="20" t="str">
        <f ca="1">IFERROR(CONCATENATE(ROUND(OFFSET(환산공식!DK$15,$F883,0),1),"%"),"")</f>
        <v>100%</v>
      </c>
      <c r="O883" s="20">
        <f ca="1">IFERROR(OFFSET(환산공식!DL$15,$F883,0),"")</f>
        <v>0</v>
      </c>
      <c r="P883" s="188" t="str">
        <f t="shared" ca="1" si="27"/>
        <v>3% 이하</v>
      </c>
      <c r="Q883" s="194">
        <f ca="1">IFERROR(ROUND(OFFSET(환산공식!$FG$15,$F883,0),3),"")</f>
        <v>0</v>
      </c>
      <c r="R883" s="194">
        <f ca="1">OFFSET('배치점수 계산기'!H$10,$D883,0)</f>
        <v>98.206000000000003</v>
      </c>
      <c r="S883" s="194">
        <f ca="1">OFFSET('배치점수 계산기'!I$10,$D883,0)</f>
        <v>98.078999999999994</v>
      </c>
      <c r="T883" s="194">
        <f ca="1">OFFSET('배치점수 계산기'!J$10,$D883,0)</f>
        <v>98.054000000000002</v>
      </c>
      <c r="U883" s="194">
        <f ca="1">OFFSET('배치점수 계산기'!K$10,$D883,0)</f>
        <v>97.828999999999994</v>
      </c>
      <c r="V883" s="194">
        <f ca="1">OFFSET('배치점수 계산기'!L$10,$D883,0)</f>
        <v>97.668999999999997</v>
      </c>
      <c r="W883" s="186" t="str">
        <f ca="1">OFFSET('배치점수 계산기'!M$10,$D883,0)</f>
        <v>백분위</v>
      </c>
      <c r="X883" s="184" t="str">
        <f ca="1">OFFSET('배치점수 계산기'!N$10,$D883,0)</f>
        <v>백분위</v>
      </c>
      <c r="Y883" s="188">
        <f ca="1">OFFSET(환산공식!FW$15,$F883,0)</f>
        <v>0.31</v>
      </c>
      <c r="Z883" s="20">
        <f ca="1">OFFSET(환산공식!FX$15,$F883,0)</f>
        <v>0.38</v>
      </c>
      <c r="AA883" s="179">
        <f ca="1">OFFSET(환산공식!FY$15,$F883,0)</f>
        <v>0.31</v>
      </c>
      <c r="AB883" s="3"/>
      <c r="AD883">
        <f t="shared" ca="1" si="28"/>
        <v>6</v>
      </c>
      <c r="AF883" s="3"/>
      <c r="AG883" s="3"/>
      <c r="AH883" s="3"/>
    </row>
    <row r="884" spans="1:34">
      <c r="A884" s="198"/>
      <c r="B884" s="198"/>
      <c r="C884" s="198" t="s">
        <v>1445</v>
      </c>
      <c r="D884" s="195">
        <v>945</v>
      </c>
      <c r="E884" s="195">
        <v>184</v>
      </c>
      <c r="F884" s="195">
        <v>184</v>
      </c>
      <c r="G884" s="239">
        <v>877</v>
      </c>
      <c r="H884" s="197" t="s">
        <v>72</v>
      </c>
      <c r="I884" s="242" t="s">
        <v>212</v>
      </c>
      <c r="J884" s="242" t="s">
        <v>426</v>
      </c>
      <c r="K884" s="195" t="s">
        <v>70</v>
      </c>
      <c r="L884" s="20" t="str">
        <f ca="1">IF(OFFSET(환산공식!$ED$15,$F884,0)=1,"O","X")</f>
        <v>X</v>
      </c>
      <c r="M884" s="188">
        <f ca="1">IFERROR(OFFSET(환산공식!DJ$15,$F884,0),"")</f>
        <v>200</v>
      </c>
      <c r="N884" s="20" t="str">
        <f ca="1">IFERROR(CONCATENATE(ROUND(OFFSET(환산공식!DK$15,$F884,0),1),"%"),"")</f>
        <v>100%</v>
      </c>
      <c r="O884" s="20">
        <f ca="1">IFERROR(OFFSET(환산공식!DL$15,$F884,0),"")</f>
        <v>10</v>
      </c>
      <c r="P884" s="188" t="str">
        <f t="shared" ca="1" si="27"/>
        <v>3% 이하</v>
      </c>
      <c r="Q884" s="194">
        <f ca="1">IFERROR(ROUND(OFFSET(환산공식!$FG$15,$F884,0),3),"")</f>
        <v>0</v>
      </c>
      <c r="R884" s="194">
        <f ca="1">OFFSET('배치점수 계산기'!H$10,$D884,0)</f>
        <v>964.90499999999997</v>
      </c>
      <c r="S884" s="194">
        <f ca="1">OFFSET('배치점수 계산기'!I$10,$D884,0)</f>
        <v>964.49099999999999</v>
      </c>
      <c r="T884" s="194">
        <f ca="1">OFFSET('배치점수 계산기'!J$10,$D884,0)</f>
        <v>963.44299999999998</v>
      </c>
      <c r="U884" s="194">
        <f ca="1">OFFSET('배치점수 계산기'!K$10,$D884,0)</f>
        <v>961.09699999999998</v>
      </c>
      <c r="V884" s="194">
        <f ca="1">OFFSET('배치점수 계산기'!L$10,$D884,0)</f>
        <v>956.00900000000001</v>
      </c>
      <c r="W884" s="186" t="str">
        <f ca="1">OFFSET('배치점수 계산기'!M$10,$D884,0)</f>
        <v>표점/만점</v>
      </c>
      <c r="X884" s="184" t="str">
        <f ca="1">OFFSET('배치점수 계산기'!N$10,$D884,0)</f>
        <v>표점/만점</v>
      </c>
      <c r="Y884" s="188">
        <f ca="1">OFFSET(환산공식!FW$15,$F884,0)</f>
        <v>0.3</v>
      </c>
      <c r="Z884" s="20">
        <f ca="1">OFFSET(환산공식!FX$15,$F884,0)</f>
        <v>0.4</v>
      </c>
      <c r="AA884" s="179">
        <f ca="1">OFFSET(환산공식!FY$15,$F884,0)</f>
        <v>0.3</v>
      </c>
      <c r="AB884" s="3"/>
      <c r="AD884">
        <f t="shared" ca="1" si="28"/>
        <v>6</v>
      </c>
      <c r="AF884" s="3"/>
      <c r="AG884" s="3"/>
      <c r="AH884" s="3"/>
    </row>
    <row r="885" spans="1:34">
      <c r="A885" s="198"/>
      <c r="B885" s="198"/>
      <c r="C885" s="198" t="s">
        <v>1446</v>
      </c>
      <c r="D885" s="195">
        <v>946</v>
      </c>
      <c r="E885" s="195">
        <v>184</v>
      </c>
      <c r="F885" s="195">
        <v>184</v>
      </c>
      <c r="G885" s="239">
        <v>878</v>
      </c>
      <c r="H885" s="197" t="s">
        <v>72</v>
      </c>
      <c r="I885" s="242" t="s">
        <v>212</v>
      </c>
      <c r="J885" s="242" t="s">
        <v>7367</v>
      </c>
      <c r="K885" s="195" t="s">
        <v>70</v>
      </c>
      <c r="L885" s="20" t="str">
        <f ca="1">IF(OFFSET(환산공식!$ED$15,$F885,0)=1,"O","X")</f>
        <v>X</v>
      </c>
      <c r="M885" s="188">
        <f ca="1">IFERROR(OFFSET(환산공식!DJ$15,$F885,0),"")</f>
        <v>200</v>
      </c>
      <c r="N885" s="20" t="str">
        <f ca="1">IFERROR(CONCATENATE(ROUND(OFFSET(환산공식!DK$15,$F885,0),1),"%"),"")</f>
        <v>100%</v>
      </c>
      <c r="O885" s="20">
        <f ca="1">IFERROR(OFFSET(환산공식!DL$15,$F885,0),"")</f>
        <v>10</v>
      </c>
      <c r="P885" s="188" t="str">
        <f t="shared" ca="1" si="27"/>
        <v>3% 이하</v>
      </c>
      <c r="Q885" s="194">
        <f ca="1">IFERROR(ROUND(OFFSET(환산공식!$FG$15,$F885,0),3),"")</f>
        <v>0</v>
      </c>
      <c r="R885" s="194">
        <f ca="1">OFFSET('배치점수 계산기'!H$10,$D885,0)</f>
        <v>956.00900000000001</v>
      </c>
      <c r="S885" s="194">
        <f ca="1">OFFSET('배치점수 계산기'!I$10,$D885,0)</f>
        <v>955.14800000000002</v>
      </c>
      <c r="T885" s="194">
        <f ca="1">OFFSET('배치점수 계산기'!J$10,$D885,0)</f>
        <v>954.65099999999995</v>
      </c>
      <c r="U885" s="194">
        <f ca="1">OFFSET('배치점수 계산기'!K$10,$D885,0)</f>
        <v>953.35799999999995</v>
      </c>
      <c r="V885" s="194">
        <f ca="1">OFFSET('배치점수 계산기'!L$10,$D885,0)</f>
        <v>951.702</v>
      </c>
      <c r="W885" s="186" t="str">
        <f ca="1">OFFSET('배치점수 계산기'!M$10,$D885,0)</f>
        <v>표점/만점</v>
      </c>
      <c r="X885" s="184" t="str">
        <f ca="1">OFFSET('배치점수 계산기'!N$10,$D885,0)</f>
        <v>표점/만점</v>
      </c>
      <c r="Y885" s="188">
        <f ca="1">OFFSET(환산공식!FW$15,$F885,0)</f>
        <v>0.3</v>
      </c>
      <c r="Z885" s="20">
        <f ca="1">OFFSET(환산공식!FX$15,$F885,0)</f>
        <v>0.4</v>
      </c>
      <c r="AA885" s="179">
        <f ca="1">OFFSET(환산공식!FY$15,$F885,0)</f>
        <v>0.3</v>
      </c>
      <c r="AB885" s="3"/>
      <c r="AD885">
        <f t="shared" ca="1" si="28"/>
        <v>6</v>
      </c>
      <c r="AF885" s="3"/>
      <c r="AG885" s="3"/>
      <c r="AH885" s="3"/>
    </row>
    <row r="886" spans="1:34">
      <c r="A886" s="198"/>
      <c r="B886" s="198"/>
      <c r="C886" s="198" t="s">
        <v>1447</v>
      </c>
      <c r="D886" s="195">
        <v>947</v>
      </c>
      <c r="E886" s="195">
        <v>160</v>
      </c>
      <c r="F886" s="195">
        <v>160</v>
      </c>
      <c r="G886" s="239">
        <v>879</v>
      </c>
      <c r="H886" s="197" t="s">
        <v>72</v>
      </c>
      <c r="I886" s="242" t="s">
        <v>243</v>
      </c>
      <c r="J886" s="242" t="s">
        <v>240</v>
      </c>
      <c r="K886" s="195" t="s">
        <v>70</v>
      </c>
      <c r="L886" s="20" t="str">
        <f ca="1">IF(OFFSET(환산공식!$ED$15,$F886,0)=1,"O","X")</f>
        <v>X</v>
      </c>
      <c r="M886" s="188">
        <f ca="1">IFERROR(OFFSET(환산공식!DJ$15,$F886,0),"")</f>
        <v>200</v>
      </c>
      <c r="N886" s="20" t="str">
        <f ca="1">IFERROR(CONCATENATE(ROUND(OFFSET(환산공식!DK$15,$F886,0),1),"%"),"")</f>
        <v>100%</v>
      </c>
      <c r="O886" s="20">
        <f ca="1">IFERROR(OFFSET(환산공식!DL$15,$F886,0),"")</f>
        <v>1</v>
      </c>
      <c r="P886" s="188" t="str">
        <f t="shared" ca="1" si="27"/>
        <v>3% 이하</v>
      </c>
      <c r="Q886" s="194">
        <f ca="1">IFERROR(ROUND(OFFSET(환산공식!$FG$15,$F886,0),3),"")</f>
        <v>0</v>
      </c>
      <c r="R886" s="194">
        <f ca="1">OFFSET('배치점수 계산기'!H$10,$D886,0)</f>
        <v>614.88499999999999</v>
      </c>
      <c r="S886" s="194">
        <f ca="1">OFFSET('배치점수 계산기'!I$10,$D886,0)</f>
        <v>613.94200000000001</v>
      </c>
      <c r="T886" s="194">
        <f ca="1">OFFSET('배치점수 계산기'!J$10,$D886,0)</f>
        <v>613.07500000000005</v>
      </c>
      <c r="U886" s="194">
        <f ca="1">OFFSET('배치점수 계산기'!K$10,$D886,0)</f>
        <v>611.82799999999997</v>
      </c>
      <c r="V886" s="194">
        <f ca="1">OFFSET('배치점수 계산기'!L$10,$D886,0)</f>
        <v>611.38499999999999</v>
      </c>
      <c r="W886" s="186" t="str">
        <f ca="1">OFFSET('배치점수 계산기'!M$10,$D886,0)</f>
        <v>표점</v>
      </c>
      <c r="X886" s="184" t="str">
        <f ca="1">OFFSET('배치점수 계산기'!N$10,$D886,0)</f>
        <v>표점</v>
      </c>
      <c r="Y886" s="188">
        <f ca="1">OFFSET(환산공식!FW$15,$F886,0)</f>
        <v>0.33</v>
      </c>
      <c r="Z886" s="20">
        <f ca="1">OFFSET(환산공식!FX$15,$F886,0)</f>
        <v>0.33</v>
      </c>
      <c r="AA886" s="179">
        <f ca="1">OFFSET(환산공식!FY$15,$F886,0)</f>
        <v>0.33</v>
      </c>
      <c r="AB886" s="3"/>
      <c r="AD886">
        <f t="shared" ca="1" si="28"/>
        <v>6</v>
      </c>
      <c r="AF886" s="3"/>
      <c r="AG886" s="3"/>
      <c r="AH886" s="3"/>
    </row>
    <row r="887" spans="1:34">
      <c r="A887" s="198"/>
      <c r="B887" s="198"/>
      <c r="C887" s="198" t="s">
        <v>1448</v>
      </c>
      <c r="D887" s="195">
        <v>948</v>
      </c>
      <c r="E887" s="195">
        <v>160</v>
      </c>
      <c r="F887" s="195">
        <v>160</v>
      </c>
      <c r="G887" s="239">
        <v>880</v>
      </c>
      <c r="H887" s="197" t="s">
        <v>72</v>
      </c>
      <c r="I887" s="242" t="s">
        <v>243</v>
      </c>
      <c r="J887" s="242" t="s">
        <v>427</v>
      </c>
      <c r="K887" s="195" t="s">
        <v>70</v>
      </c>
      <c r="L887" s="20" t="str">
        <f ca="1">IF(OFFSET(환산공식!$ED$15,$F887,0)=1,"O","X")</f>
        <v>X</v>
      </c>
      <c r="M887" s="188">
        <f ca="1">IFERROR(OFFSET(환산공식!DJ$15,$F887,0),"")</f>
        <v>200</v>
      </c>
      <c r="N887" s="20" t="str">
        <f ca="1">IFERROR(CONCATENATE(ROUND(OFFSET(환산공식!DK$15,$F887,0),1),"%"),"")</f>
        <v>100%</v>
      </c>
      <c r="O887" s="20">
        <f ca="1">IFERROR(OFFSET(환산공식!DL$15,$F887,0),"")</f>
        <v>1</v>
      </c>
      <c r="P887" s="188" t="str">
        <f t="shared" ca="1" si="27"/>
        <v>3% 이하</v>
      </c>
      <c r="Q887" s="194">
        <f ca="1">IFERROR(ROUND(OFFSET(환산공식!$FG$15,$F887,0),3),"")</f>
        <v>0</v>
      </c>
      <c r="R887" s="194">
        <f ca="1">OFFSET('배치점수 계산기'!H$10,$D887,0)</f>
        <v>606.93499999999995</v>
      </c>
      <c r="S887" s="194">
        <f ca="1">OFFSET('배치점수 계산기'!I$10,$D887,0)</f>
        <v>605.46500000000003</v>
      </c>
      <c r="T887" s="194">
        <f ca="1">OFFSET('배치점수 계산기'!J$10,$D887,0)</f>
        <v>604.548</v>
      </c>
      <c r="U887" s="194">
        <f ca="1">OFFSET('배치점수 계산기'!K$10,$D887,0)</f>
        <v>603.19000000000005</v>
      </c>
      <c r="V887" s="194">
        <f ca="1">OFFSET('배치점수 계산기'!L$10,$D887,0)</f>
        <v>601.07000000000005</v>
      </c>
      <c r="W887" s="186" t="str">
        <f ca="1">OFFSET('배치점수 계산기'!M$10,$D887,0)</f>
        <v>표점</v>
      </c>
      <c r="X887" s="184" t="str">
        <f ca="1">OFFSET('배치점수 계산기'!N$10,$D887,0)</f>
        <v>표점</v>
      </c>
      <c r="Y887" s="188">
        <f ca="1">OFFSET(환산공식!FW$15,$F887,0)</f>
        <v>0.33</v>
      </c>
      <c r="Z887" s="20">
        <f ca="1">OFFSET(환산공식!FX$15,$F887,0)</f>
        <v>0.33</v>
      </c>
      <c r="AA887" s="179">
        <f ca="1">OFFSET(환산공식!FY$15,$F887,0)</f>
        <v>0.33</v>
      </c>
      <c r="AB887" s="3"/>
      <c r="AD887">
        <f t="shared" ca="1" si="28"/>
        <v>6</v>
      </c>
      <c r="AF887" s="3"/>
      <c r="AG887" s="3"/>
      <c r="AH887" s="3"/>
    </row>
    <row r="888" spans="1:34">
      <c r="A888" s="198"/>
      <c r="B888" s="198"/>
      <c r="C888" s="198" t="s">
        <v>1449</v>
      </c>
      <c r="D888" s="195">
        <v>949</v>
      </c>
      <c r="E888" s="195">
        <v>187</v>
      </c>
      <c r="F888" s="195">
        <v>187</v>
      </c>
      <c r="G888" s="239">
        <v>881</v>
      </c>
      <c r="H888" s="197" t="s">
        <v>72</v>
      </c>
      <c r="I888" s="242" t="s">
        <v>197</v>
      </c>
      <c r="J888" s="242" t="s">
        <v>240</v>
      </c>
      <c r="K888" s="195" t="s">
        <v>70</v>
      </c>
      <c r="L888" s="20" t="str">
        <f ca="1">IF(OFFSET(환산공식!$ED$15,$F888,0)=1,"O","X")</f>
        <v>X</v>
      </c>
      <c r="M888" s="188">
        <f ca="1">IFERROR(OFFSET(환산공식!DJ$15,$F888,0),"")</f>
        <v>100</v>
      </c>
      <c r="N888" s="20" t="str">
        <f ca="1">IFERROR(CONCATENATE(ROUND(OFFSET(환산공식!DK$15,$F888,0),1),"%"),"")</f>
        <v>100%</v>
      </c>
      <c r="O888" s="20">
        <f ca="1">IFERROR(OFFSET(환산공식!DL$15,$F888,0),"")</f>
        <v>1.5</v>
      </c>
      <c r="P888" s="188" t="str">
        <f t="shared" ca="1" si="27"/>
        <v>3% 이하</v>
      </c>
      <c r="Q888" s="194">
        <f ca="1">IFERROR(ROUND(OFFSET(환산공식!$FG$15,$F888,0),3),"")</f>
        <v>0</v>
      </c>
      <c r="R888" s="194">
        <f ca="1">OFFSET('배치점수 계산기'!H$10,$D888,0)</f>
        <v>505.23200000000003</v>
      </c>
      <c r="S888" s="194">
        <f ca="1">OFFSET('배치점수 계산기'!I$10,$D888,0)</f>
        <v>504.70600000000002</v>
      </c>
      <c r="T888" s="194">
        <f ca="1">OFFSET('배치점수 계산기'!J$10,$D888,0)</f>
        <v>504.07600000000002</v>
      </c>
      <c r="U888" s="194">
        <f ca="1">OFFSET('배치점수 계산기'!K$10,$D888,0)</f>
        <v>503.471</v>
      </c>
      <c r="V888" s="194">
        <f ca="1">OFFSET('배치점수 계산기'!L$10,$D888,0)</f>
        <v>502.79300000000001</v>
      </c>
      <c r="W888" s="186" t="str">
        <f ca="1">OFFSET('배치점수 계산기'!M$10,$D888,0)</f>
        <v>백분위</v>
      </c>
      <c r="X888" s="184" t="str">
        <f ca="1">OFFSET('배치점수 계산기'!N$10,$D888,0)</f>
        <v>백분위</v>
      </c>
      <c r="Y888" s="188">
        <f ca="1">OFFSET(환산공식!FW$15,$F888,0)</f>
        <v>0.25</v>
      </c>
      <c r="Z888" s="20">
        <f ca="1">OFFSET(환산공식!FX$15,$F888,0)</f>
        <v>0.38</v>
      </c>
      <c r="AA888" s="179">
        <f ca="1">OFFSET(환산공식!FY$15,$F888,0)</f>
        <v>0.38</v>
      </c>
      <c r="AB888" s="3"/>
      <c r="AD888">
        <f t="shared" ca="1" si="28"/>
        <v>6</v>
      </c>
      <c r="AF888" s="3"/>
      <c r="AG888" s="3"/>
      <c r="AH888" s="3"/>
    </row>
    <row r="889" spans="1:34">
      <c r="A889" s="198"/>
      <c r="B889" s="198"/>
      <c r="C889" s="198" t="s">
        <v>1450</v>
      </c>
      <c r="D889" s="195">
        <v>950</v>
      </c>
      <c r="E889" s="195">
        <v>187</v>
      </c>
      <c r="F889" s="195">
        <v>187</v>
      </c>
      <c r="G889" s="239">
        <v>882</v>
      </c>
      <c r="H889" s="197" t="s">
        <v>72</v>
      </c>
      <c r="I889" s="242" t="s">
        <v>197</v>
      </c>
      <c r="J889" s="242" t="s">
        <v>16637</v>
      </c>
      <c r="K889" s="195" t="s">
        <v>70</v>
      </c>
      <c r="L889" s="20" t="str">
        <f ca="1">IF(OFFSET(환산공식!$ED$15,$F889,0)=1,"O","X")</f>
        <v>X</v>
      </c>
      <c r="M889" s="188">
        <f ca="1">IFERROR(OFFSET(환산공식!DJ$15,$F889,0),"")</f>
        <v>100</v>
      </c>
      <c r="N889" s="20" t="str">
        <f ca="1">IFERROR(CONCATENATE(ROUND(OFFSET(환산공식!DK$15,$F889,0),1),"%"),"")</f>
        <v>100%</v>
      </c>
      <c r="O889" s="20">
        <f ca="1">IFERROR(OFFSET(환산공식!DL$15,$F889,0),"")</f>
        <v>1.5</v>
      </c>
      <c r="P889" s="188" t="str">
        <f t="shared" ca="1" si="27"/>
        <v>3% 이하</v>
      </c>
      <c r="Q889" s="194">
        <f ca="1">IFERROR(ROUND(OFFSET(환산공식!$FG$15,$F889,0),3),"")</f>
        <v>0</v>
      </c>
      <c r="R889" s="194">
        <f ca="1">OFFSET('배치점수 계산기'!H$10,$D889,0)</f>
        <v>498.54700000000003</v>
      </c>
      <c r="S889" s="194">
        <f ca="1">OFFSET('배치점수 계산기'!I$10,$D889,0)</f>
        <v>498.51400000000001</v>
      </c>
      <c r="T889" s="194">
        <f ca="1">OFFSET('배치점수 계산기'!J$10,$D889,0)</f>
        <v>497.85399999999998</v>
      </c>
      <c r="U889" s="194">
        <f ca="1">OFFSET('배치점수 계산기'!K$10,$D889,0)</f>
        <v>490.71100000000001</v>
      </c>
      <c r="V889" s="194">
        <f ca="1">OFFSET('배치점수 계산기'!L$10,$D889,0)</f>
        <v>484.815</v>
      </c>
      <c r="W889" s="186" t="str">
        <f ca="1">OFFSET('배치점수 계산기'!M$10,$D889,0)</f>
        <v>백분위</v>
      </c>
      <c r="X889" s="184" t="str">
        <f ca="1">OFFSET('배치점수 계산기'!N$10,$D889,0)</f>
        <v>백분위</v>
      </c>
      <c r="Y889" s="188">
        <f ca="1">OFFSET(환산공식!FW$15,$F889,0)</f>
        <v>0.25</v>
      </c>
      <c r="Z889" s="20">
        <f ca="1">OFFSET(환산공식!FX$15,$F889,0)</f>
        <v>0.38</v>
      </c>
      <c r="AA889" s="179">
        <f ca="1">OFFSET(환산공식!FY$15,$F889,0)</f>
        <v>0.38</v>
      </c>
      <c r="AB889" s="3"/>
      <c r="AD889">
        <f t="shared" ca="1" si="28"/>
        <v>6</v>
      </c>
      <c r="AF889" s="3"/>
      <c r="AG889" s="3"/>
      <c r="AH889" s="3"/>
    </row>
    <row r="890" spans="1:34">
      <c r="A890" s="198"/>
      <c r="B890" s="198"/>
      <c r="C890" s="198" t="s">
        <v>1451</v>
      </c>
      <c r="D890" s="195">
        <v>951</v>
      </c>
      <c r="E890" s="195">
        <v>191</v>
      </c>
      <c r="F890" s="195">
        <v>191</v>
      </c>
      <c r="G890" s="239">
        <v>883</v>
      </c>
      <c r="H890" s="197" t="s">
        <v>72</v>
      </c>
      <c r="I890" s="242" t="s">
        <v>8000</v>
      </c>
      <c r="J890" s="242" t="s">
        <v>240</v>
      </c>
      <c r="K890" s="195" t="s">
        <v>70</v>
      </c>
      <c r="L890" s="20" t="str">
        <f ca="1">IF(OFFSET(환산공식!$ED$15,$F890,0)=1,"O","X")</f>
        <v>X</v>
      </c>
      <c r="M890" s="188">
        <f ca="1">IFERROR(OFFSET(환산공식!DJ$15,$F890,0),"")</f>
        <v>200</v>
      </c>
      <c r="N890" s="20" t="str">
        <f ca="1">IFERROR(CONCATENATE(ROUND(OFFSET(환산공식!DK$15,$F890,0),1),"%"),"")</f>
        <v>100%</v>
      </c>
      <c r="O890" s="20">
        <f ca="1">IFERROR(OFFSET(환산공식!DL$15,$F890,0),"")</f>
        <v>0</v>
      </c>
      <c r="P890" s="188" t="str">
        <f t="shared" ca="1" si="27"/>
        <v>3% 이하</v>
      </c>
      <c r="Q890" s="194">
        <f ca="1">IFERROR(ROUND(OFFSET(환산공식!$FG$15,$F890,0),3),"")</f>
        <v>0</v>
      </c>
      <c r="R890" s="194">
        <f ca="1">OFFSET('배치점수 계산기'!H$10,$D890,0)</f>
        <v>953.50199999999995</v>
      </c>
      <c r="S890" s="194">
        <f ca="1">OFFSET('배치점수 계산기'!I$10,$D890,0)</f>
        <v>952.64400000000001</v>
      </c>
      <c r="T890" s="194">
        <f ca="1">OFFSET('배치점수 계산기'!J$10,$D890,0)</f>
        <v>952.27099999999996</v>
      </c>
      <c r="U890" s="194">
        <f ca="1">OFFSET('배치점수 계산기'!K$10,$D890,0)</f>
        <v>950.79300000000001</v>
      </c>
      <c r="V890" s="194">
        <f ca="1">OFFSET('배치점수 계산기'!L$10,$D890,0)</f>
        <v>949.39200000000005</v>
      </c>
      <c r="W890" s="186" t="str">
        <f ca="1">OFFSET('배치점수 계산기'!M$10,$D890,0)</f>
        <v>표점/만점</v>
      </c>
      <c r="X890" s="184" t="str">
        <f ca="1">OFFSET('배치점수 계산기'!N$10,$D890,0)</f>
        <v>표점/만점</v>
      </c>
      <c r="Y890" s="188">
        <f ca="1">OFFSET(환산공식!FW$15,$F890,0)</f>
        <v>0.31</v>
      </c>
      <c r="Z890" s="20">
        <f ca="1">OFFSET(환산공식!FX$15,$F890,0)</f>
        <v>0.37</v>
      </c>
      <c r="AA890" s="179">
        <f ca="1">OFFSET(환산공식!FY$15,$F890,0)</f>
        <v>0.31</v>
      </c>
      <c r="AB890" s="3"/>
      <c r="AD890">
        <f t="shared" ca="1" si="28"/>
        <v>6</v>
      </c>
      <c r="AF890" s="3"/>
      <c r="AG890" s="3"/>
      <c r="AH890" s="3"/>
    </row>
    <row r="891" spans="1:34">
      <c r="A891" s="198"/>
      <c r="B891" s="198"/>
      <c r="C891" s="198" t="s">
        <v>1452</v>
      </c>
      <c r="D891" s="195">
        <v>952</v>
      </c>
      <c r="E891" s="195">
        <v>191</v>
      </c>
      <c r="F891" s="195">
        <v>191</v>
      </c>
      <c r="G891" s="239">
        <v>884</v>
      </c>
      <c r="H891" s="197" t="s">
        <v>72</v>
      </c>
      <c r="I891" s="242" t="s">
        <v>8000</v>
      </c>
      <c r="J891" s="242" t="s">
        <v>427</v>
      </c>
      <c r="K891" s="195" t="s">
        <v>70</v>
      </c>
      <c r="L891" s="20" t="str">
        <f ca="1">IF(OFFSET(환산공식!$ED$15,$F891,0)=1,"O","X")</f>
        <v>X</v>
      </c>
      <c r="M891" s="188">
        <f ca="1">IFERROR(OFFSET(환산공식!DJ$15,$F891,0),"")</f>
        <v>200</v>
      </c>
      <c r="N891" s="20" t="str">
        <f ca="1">IFERROR(CONCATENATE(ROUND(OFFSET(환산공식!DK$15,$F891,0),1),"%"),"")</f>
        <v>100%</v>
      </c>
      <c r="O891" s="20">
        <f ca="1">IFERROR(OFFSET(환산공식!DL$15,$F891,0),"")</f>
        <v>0</v>
      </c>
      <c r="P891" s="188" t="str">
        <f t="shared" ca="1" si="27"/>
        <v>3% 이하</v>
      </c>
      <c r="Q891" s="194">
        <f ca="1">IFERROR(ROUND(OFFSET(환산공식!$FG$15,$F891,0),3),"")</f>
        <v>0</v>
      </c>
      <c r="R891" s="194">
        <f ca="1">OFFSET('배치점수 계산기'!H$10,$D891,0)</f>
        <v>949.56899999999996</v>
      </c>
      <c r="S891" s="194">
        <f ca="1">OFFSET('배치점수 계산기'!I$10,$D891,0)</f>
        <v>948.85599999999999</v>
      </c>
      <c r="T891" s="194">
        <f ca="1">OFFSET('배치점수 계산기'!J$10,$D891,0)</f>
        <v>944.79300000000001</v>
      </c>
      <c r="U891" s="194">
        <f ca="1">OFFSET('배치점수 계산기'!K$10,$D891,0)</f>
        <v>939.24900000000002</v>
      </c>
      <c r="V891" s="194">
        <f ca="1">OFFSET('배치점수 계산기'!L$10,$D891,0)</f>
        <v>933.04300000000001</v>
      </c>
      <c r="W891" s="186" t="str">
        <f ca="1">OFFSET('배치점수 계산기'!M$10,$D891,0)</f>
        <v>표점/만점</v>
      </c>
      <c r="X891" s="184" t="str">
        <f ca="1">OFFSET('배치점수 계산기'!N$10,$D891,0)</f>
        <v>표점/만점</v>
      </c>
      <c r="Y891" s="188">
        <f ca="1">OFFSET(환산공식!FW$15,$F891,0)</f>
        <v>0.31</v>
      </c>
      <c r="Z891" s="20">
        <f ca="1">OFFSET(환산공식!FX$15,$F891,0)</f>
        <v>0.37</v>
      </c>
      <c r="AA891" s="179">
        <f ca="1">OFFSET(환산공식!FY$15,$F891,0)</f>
        <v>0.31</v>
      </c>
      <c r="AB891" s="3"/>
      <c r="AD891">
        <f t="shared" ca="1" si="28"/>
        <v>6</v>
      </c>
      <c r="AF891" s="3"/>
      <c r="AG891" s="3"/>
      <c r="AH891" s="3"/>
    </row>
    <row r="892" spans="1:34">
      <c r="A892" s="198"/>
      <c r="B892" s="198"/>
      <c r="C892" s="198" t="s">
        <v>1453</v>
      </c>
      <c r="D892" s="195">
        <v>953</v>
      </c>
      <c r="E892" s="195">
        <v>143</v>
      </c>
      <c r="F892" s="195">
        <v>143</v>
      </c>
      <c r="G892" s="239">
        <v>885</v>
      </c>
      <c r="H892" s="197" t="s">
        <v>72</v>
      </c>
      <c r="I892" s="242" t="s">
        <v>244</v>
      </c>
      <c r="J892" s="242" t="s">
        <v>426</v>
      </c>
      <c r="K892" s="195" t="s">
        <v>70</v>
      </c>
      <c r="L892" s="20" t="str">
        <f ca="1">IF(OFFSET(환산공식!$ED$15,$F892,0)=1,"O","X")</f>
        <v>X</v>
      </c>
      <c r="M892" s="188">
        <f ca="1">IFERROR(OFFSET(환산공식!DJ$15,$F892,0),"")</f>
        <v>200</v>
      </c>
      <c r="N892" s="20" t="str">
        <f ca="1">IFERROR(CONCATENATE(ROUND(OFFSET(환산공식!DK$15,$F892,0),1),"%"),"")</f>
        <v>100%</v>
      </c>
      <c r="O892" s="20">
        <f ca="1">IFERROR(OFFSET(환산공식!DL$15,$F892,0),"")</f>
        <v>0</v>
      </c>
      <c r="P892" s="188" t="str">
        <f t="shared" ca="1" si="27"/>
        <v>3% 이하</v>
      </c>
      <c r="Q892" s="194">
        <f ca="1">IFERROR(ROUND(OFFSET(환산공식!$FG$15,$F892,0),3),"")</f>
        <v>0</v>
      </c>
      <c r="R892" s="194">
        <f ca="1">OFFSET('배치점수 계산기'!H$10,$D892,0)</f>
        <v>976.53</v>
      </c>
      <c r="S892" s="194">
        <f ca="1">OFFSET('배치점수 계산기'!I$10,$D892,0)</f>
        <v>976.11</v>
      </c>
      <c r="T892" s="194">
        <f ca="1">OFFSET('배치점수 계산기'!J$10,$D892,0)</f>
        <v>975.73</v>
      </c>
      <c r="U892" s="194">
        <f ca="1">OFFSET('배치점수 계산기'!K$10,$D892,0)</f>
        <v>972.83</v>
      </c>
      <c r="V892" s="194">
        <f ca="1">OFFSET('배치점수 계산기'!L$10,$D892,0)</f>
        <v>966.34</v>
      </c>
      <c r="W892" s="186" t="str">
        <f ca="1">OFFSET('배치점수 계산기'!M$10,$D892,0)</f>
        <v>백분위</v>
      </c>
      <c r="X892" s="184" t="str">
        <f ca="1">OFFSET('배치점수 계산기'!N$10,$D892,0)</f>
        <v>백분위</v>
      </c>
      <c r="Y892" s="188">
        <f ca="1">OFFSET(환산공식!FW$15,$F892,0)</f>
        <v>0.25</v>
      </c>
      <c r="Z892" s="20">
        <f ca="1">OFFSET(환산공식!FX$15,$F892,0)</f>
        <v>0.38</v>
      </c>
      <c r="AA892" s="179">
        <f ca="1">OFFSET(환산공식!FY$15,$F892,0)</f>
        <v>0.38</v>
      </c>
      <c r="AB892" s="3"/>
      <c r="AD892">
        <f t="shared" ca="1" si="28"/>
        <v>6</v>
      </c>
      <c r="AF892" s="3"/>
      <c r="AG892" s="3"/>
      <c r="AH892" s="3"/>
    </row>
    <row r="893" spans="1:34">
      <c r="A893" s="198"/>
      <c r="B893" s="198"/>
      <c r="C893" s="198" t="s">
        <v>1454</v>
      </c>
      <c r="D893" s="195">
        <v>954</v>
      </c>
      <c r="E893" s="195">
        <v>5</v>
      </c>
      <c r="F893" s="195">
        <v>5</v>
      </c>
      <c r="G893" s="239">
        <v>886</v>
      </c>
      <c r="H893" s="197" t="s">
        <v>72</v>
      </c>
      <c r="I893" s="242" t="s">
        <v>73</v>
      </c>
      <c r="J893" s="242" t="s">
        <v>253</v>
      </c>
      <c r="K893" s="195" t="s">
        <v>70</v>
      </c>
      <c r="L893" s="20" t="str">
        <f ca="1">IF(OFFSET(환산공식!$ED$15,$F893,0)=1,"O","X")</f>
        <v>X</v>
      </c>
      <c r="M893" s="188">
        <f ca="1">IFERROR(OFFSET(환산공식!DJ$15,$F893,0),"")</f>
        <v>105.6</v>
      </c>
      <c r="N893" s="20" t="str">
        <f ca="1">IFERROR(CONCATENATE(ROUND(OFFSET(환산공식!DK$15,$F893,0),1),"%"),"")</f>
        <v>100%</v>
      </c>
      <c r="O893" s="20">
        <f ca="1">IFERROR(OFFSET(환산공식!DL$15,$F893,0),"")</f>
        <v>0</v>
      </c>
      <c r="P893" s="188" t="str">
        <f t="shared" ca="1" si="27"/>
        <v>3% 이하</v>
      </c>
      <c r="Q893" s="194">
        <f ca="1">IFERROR(ROUND(OFFSET(환산공식!$FG$15,$F893,0),3),"")</f>
        <v>0</v>
      </c>
      <c r="R893" s="194">
        <f ca="1">OFFSET('배치점수 계산기'!H$10,$D893,0)</f>
        <v>684.96100000000001</v>
      </c>
      <c r="S893" s="194">
        <f ca="1">OFFSET('배치점수 계산기'!I$10,$D893,0)</f>
        <v>683.846</v>
      </c>
      <c r="T893" s="194">
        <f ca="1">OFFSET('배치점수 계산기'!J$10,$D893,0)</f>
        <v>682.36699999999996</v>
      </c>
      <c r="U893" s="194">
        <f ca="1">OFFSET('배치점수 계산기'!K$10,$D893,0)</f>
        <v>681.36099999999999</v>
      </c>
      <c r="V893" s="194">
        <f ca="1">OFFSET('배치점수 계산기'!L$10,$D893,0)</f>
        <v>675.28599999999994</v>
      </c>
      <c r="W893" s="186" t="str">
        <f ca="1">OFFSET('배치점수 계산기'!M$10,$D893,0)</f>
        <v>표점</v>
      </c>
      <c r="X893" s="184" t="str">
        <f ca="1">OFFSET('배치점수 계산기'!N$10,$D893,0)</f>
        <v>변표</v>
      </c>
      <c r="Y893" s="188">
        <f ca="1">OFFSET(환산공식!FW$15,$F893,0)</f>
        <v>0.25</v>
      </c>
      <c r="Z893" s="20">
        <f ca="1">OFFSET(환산공식!FX$15,$F893,0)</f>
        <v>0.38</v>
      </c>
      <c r="AA893" s="179">
        <f ca="1">OFFSET(환산공식!FY$15,$F893,0)</f>
        <v>0.38</v>
      </c>
      <c r="AB893" s="3"/>
      <c r="AD893">
        <f t="shared" ca="1" si="28"/>
        <v>6</v>
      </c>
      <c r="AF893" s="3"/>
      <c r="AG893" s="3"/>
      <c r="AH893" s="3"/>
    </row>
    <row r="894" spans="1:34">
      <c r="A894" s="198"/>
      <c r="B894" s="198"/>
      <c r="C894" s="198" t="s">
        <v>1455</v>
      </c>
      <c r="D894" s="195">
        <v>955</v>
      </c>
      <c r="E894" s="195">
        <v>184</v>
      </c>
      <c r="F894" s="195">
        <v>184</v>
      </c>
      <c r="G894" s="239">
        <v>887</v>
      </c>
      <c r="H894" s="197" t="s">
        <v>72</v>
      </c>
      <c r="I894" s="242" t="s">
        <v>212</v>
      </c>
      <c r="J894" s="242" t="s">
        <v>16638</v>
      </c>
      <c r="K894" s="195" t="s">
        <v>70</v>
      </c>
      <c r="L894" s="20" t="str">
        <f ca="1">IF(OFFSET(환산공식!$ED$15,$F894,0)=1,"O","X")</f>
        <v>X</v>
      </c>
      <c r="M894" s="188">
        <f ca="1">IFERROR(OFFSET(환산공식!DJ$15,$F894,0),"")</f>
        <v>200</v>
      </c>
      <c r="N894" s="20" t="str">
        <f ca="1">IFERROR(CONCATENATE(ROUND(OFFSET(환산공식!DK$15,$F894,0),1),"%"),"")</f>
        <v>100%</v>
      </c>
      <c r="O894" s="20">
        <f ca="1">IFERROR(OFFSET(환산공식!DL$15,$F894,0),"")</f>
        <v>10</v>
      </c>
      <c r="P894" s="188" t="str">
        <f t="shared" ca="1" si="27"/>
        <v>3% 이하</v>
      </c>
      <c r="Q894" s="194">
        <f ca="1">IFERROR(ROUND(OFFSET(환산공식!$FG$15,$F894,0),3),"")</f>
        <v>0</v>
      </c>
      <c r="R894" s="194">
        <f ca="1">OFFSET('배치점수 계산기'!H$10,$D894,0)</f>
        <v>951.03300000000002</v>
      </c>
      <c r="S894" s="194">
        <f ca="1">OFFSET('배치점수 계산기'!I$10,$D894,0)</f>
        <v>950.70699999999999</v>
      </c>
      <c r="T894" s="194">
        <f ca="1">OFFSET('배치점수 계산기'!J$10,$D894,0)</f>
        <v>950.24599999999998</v>
      </c>
      <c r="U894" s="194">
        <f ca="1">OFFSET('배치점수 계산기'!K$10,$D894,0)</f>
        <v>947.37900000000002</v>
      </c>
      <c r="V894" s="194">
        <f ca="1">OFFSET('배치점수 계산기'!L$10,$D894,0)</f>
        <v>942.93799999999999</v>
      </c>
      <c r="W894" s="186" t="str">
        <f ca="1">OFFSET('배치점수 계산기'!M$10,$D894,0)</f>
        <v>표점/만점</v>
      </c>
      <c r="X894" s="184" t="str">
        <f ca="1">OFFSET('배치점수 계산기'!N$10,$D894,0)</f>
        <v>표점/만점</v>
      </c>
      <c r="Y894" s="188">
        <f ca="1">OFFSET(환산공식!FW$15,$F894,0)</f>
        <v>0.3</v>
      </c>
      <c r="Z894" s="20">
        <f ca="1">OFFSET(환산공식!FX$15,$F894,0)</f>
        <v>0.4</v>
      </c>
      <c r="AA894" s="179">
        <f ca="1">OFFSET(환산공식!FY$15,$F894,0)</f>
        <v>0.3</v>
      </c>
      <c r="AB894" s="3"/>
      <c r="AD894">
        <f t="shared" ca="1" si="28"/>
        <v>6</v>
      </c>
      <c r="AF894" s="3"/>
      <c r="AG894" s="3"/>
      <c r="AH894" s="3"/>
    </row>
    <row r="895" spans="1:34">
      <c r="A895" s="198"/>
      <c r="B895" s="198"/>
      <c r="C895" s="198" t="s">
        <v>1456</v>
      </c>
      <c r="D895" s="195">
        <v>956</v>
      </c>
      <c r="E895" s="195">
        <v>184</v>
      </c>
      <c r="F895" s="195">
        <v>184</v>
      </c>
      <c r="G895" s="239">
        <v>888</v>
      </c>
      <c r="H895" s="197" t="s">
        <v>72</v>
      </c>
      <c r="I895" s="242" t="s">
        <v>212</v>
      </c>
      <c r="J895" s="242" t="s">
        <v>16639</v>
      </c>
      <c r="K895" s="195" t="s">
        <v>70</v>
      </c>
      <c r="L895" s="20" t="str">
        <f ca="1">IF(OFFSET(환산공식!$ED$15,$F895,0)=1,"O","X")</f>
        <v>X</v>
      </c>
      <c r="M895" s="188">
        <f ca="1">IFERROR(OFFSET(환산공식!DJ$15,$F895,0),"")</f>
        <v>200</v>
      </c>
      <c r="N895" s="20" t="str">
        <f ca="1">IFERROR(CONCATENATE(ROUND(OFFSET(환산공식!DK$15,$F895,0),1),"%"),"")</f>
        <v>100%</v>
      </c>
      <c r="O895" s="20">
        <f ca="1">IFERROR(OFFSET(환산공식!DL$15,$F895,0),"")</f>
        <v>10</v>
      </c>
      <c r="P895" s="188" t="str">
        <f t="shared" ca="1" si="27"/>
        <v>3% 이하</v>
      </c>
      <c r="Q895" s="194">
        <f ca="1">IFERROR(ROUND(OFFSET(환산공식!$FG$15,$F895,0),3),"")</f>
        <v>0</v>
      </c>
      <c r="R895" s="194">
        <f ca="1">OFFSET('배치점수 계산기'!H$10,$D895,0)</f>
        <v>948.08500000000004</v>
      </c>
      <c r="S895" s="194">
        <f ca="1">OFFSET('배치점수 계산기'!I$10,$D895,0)</f>
        <v>947.72199999999998</v>
      </c>
      <c r="T895" s="194">
        <f ca="1">OFFSET('배치점수 계산기'!J$10,$D895,0)</f>
        <v>947.053</v>
      </c>
      <c r="U895" s="194">
        <f ca="1">OFFSET('배치점수 계산기'!K$10,$D895,0)</f>
        <v>944.43100000000004</v>
      </c>
      <c r="V895" s="194">
        <f ca="1">OFFSET('배치점수 계산기'!L$10,$D895,0)</f>
        <v>942.44899999999996</v>
      </c>
      <c r="W895" s="186" t="str">
        <f ca="1">OFFSET('배치점수 계산기'!M$10,$D895,0)</f>
        <v>표점/만점</v>
      </c>
      <c r="X895" s="184" t="str">
        <f ca="1">OFFSET('배치점수 계산기'!N$10,$D895,0)</f>
        <v>표점/만점</v>
      </c>
      <c r="Y895" s="188">
        <f ca="1">OFFSET(환산공식!FW$15,$F895,0)</f>
        <v>0.3</v>
      </c>
      <c r="Z895" s="20">
        <f ca="1">OFFSET(환산공식!FX$15,$F895,0)</f>
        <v>0.4</v>
      </c>
      <c r="AA895" s="179">
        <f ca="1">OFFSET(환산공식!FY$15,$F895,0)</f>
        <v>0.3</v>
      </c>
      <c r="AB895" s="3"/>
      <c r="AD895">
        <f t="shared" ca="1" si="28"/>
        <v>6</v>
      </c>
      <c r="AF895" s="3"/>
      <c r="AG895" s="3"/>
      <c r="AH895" s="3"/>
    </row>
    <row r="896" spans="1:34">
      <c r="A896" s="198"/>
      <c r="B896" s="198"/>
      <c r="C896" s="198" t="s">
        <v>1457</v>
      </c>
      <c r="D896" s="195">
        <v>957</v>
      </c>
      <c r="E896" s="195">
        <v>210</v>
      </c>
      <c r="F896" s="195">
        <v>210</v>
      </c>
      <c r="G896" s="239">
        <v>889</v>
      </c>
      <c r="H896" s="197" t="s">
        <v>72</v>
      </c>
      <c r="I896" s="242" t="s">
        <v>211</v>
      </c>
      <c r="J896" s="242" t="s">
        <v>253</v>
      </c>
      <c r="K896" s="195" t="s">
        <v>70</v>
      </c>
      <c r="L896" s="20" t="str">
        <f ca="1">IF(OFFSET(환산공식!$ED$15,$F896,0)=1,"O","X")</f>
        <v>X</v>
      </c>
      <c r="M896" s="188">
        <f ca="1">IFERROR(OFFSET(환산공식!DJ$15,$F896,0),"")</f>
        <v>30</v>
      </c>
      <c r="N896" s="20" t="str">
        <f ca="1">IFERROR(CONCATENATE(ROUND(OFFSET(환산공식!DK$15,$F896,0),1),"%"),"")</f>
        <v>100%</v>
      </c>
      <c r="O896" s="20">
        <f ca="1">IFERROR(OFFSET(환산공식!DL$15,$F896,0),"")</f>
        <v>5</v>
      </c>
      <c r="P896" s="188" t="str">
        <f t="shared" ca="1" si="27"/>
        <v>3% 이하</v>
      </c>
      <c r="Q896" s="194">
        <f ca="1">IFERROR(ROUND(OFFSET(환산공식!$FG$15,$F896,0),3),"")</f>
        <v>0</v>
      </c>
      <c r="R896" s="194">
        <f ca="1">OFFSET('배치점수 계산기'!H$10,$D896,0)</f>
        <v>368.25400000000002</v>
      </c>
      <c r="S896" s="194">
        <f ca="1">OFFSET('배치점수 계산기'!I$10,$D896,0)</f>
        <v>366.58699999999999</v>
      </c>
      <c r="T896" s="194">
        <f ca="1">OFFSET('배치점수 계산기'!J$10,$D896,0)</f>
        <v>366.01900000000001</v>
      </c>
      <c r="U896" s="194">
        <f ca="1">OFFSET('배치점수 계산기'!K$10,$D896,0)</f>
        <v>365.48899999999998</v>
      </c>
      <c r="V896" s="194">
        <f ca="1">OFFSET('배치점수 계산기'!L$10,$D896,0)</f>
        <v>363.78</v>
      </c>
      <c r="W896" s="186" t="str">
        <f ca="1">OFFSET('배치점수 계산기'!M$10,$D896,0)</f>
        <v>표점</v>
      </c>
      <c r="X896" s="184" t="str">
        <f ca="1">OFFSET('배치점수 계산기'!N$10,$D896,0)</f>
        <v>변표</v>
      </c>
      <c r="Y896" s="188">
        <f ca="1">OFFSET(환산공식!FW$15,$F896,0)</f>
        <v>0.3</v>
      </c>
      <c r="Z896" s="20">
        <f ca="1">OFFSET(환산공식!FX$15,$F896,0)</f>
        <v>0.4</v>
      </c>
      <c r="AA896" s="179">
        <f ca="1">OFFSET(환산공식!FY$15,$F896,0)</f>
        <v>0.3</v>
      </c>
      <c r="AB896" s="3"/>
      <c r="AD896">
        <f t="shared" ca="1" si="28"/>
        <v>6</v>
      </c>
      <c r="AF896" s="3"/>
      <c r="AG896" s="3"/>
      <c r="AH896" s="3"/>
    </row>
    <row r="897" spans="1:34">
      <c r="A897" s="198"/>
      <c r="B897" s="198"/>
      <c r="C897" s="198" t="s">
        <v>1458</v>
      </c>
      <c r="D897" s="195">
        <v>958</v>
      </c>
      <c r="E897" s="195">
        <v>210</v>
      </c>
      <c r="F897" s="195">
        <v>210</v>
      </c>
      <c r="G897" s="239">
        <v>890</v>
      </c>
      <c r="H897" s="197" t="s">
        <v>72</v>
      </c>
      <c r="I897" s="242" t="s">
        <v>211</v>
      </c>
      <c r="J897" s="242" t="s">
        <v>429</v>
      </c>
      <c r="K897" s="195" t="s">
        <v>70</v>
      </c>
      <c r="L897" s="20" t="str">
        <f ca="1">IF(OFFSET(환산공식!$ED$15,$F897,0)=1,"O","X")</f>
        <v>X</v>
      </c>
      <c r="M897" s="188">
        <f ca="1">IFERROR(OFFSET(환산공식!DJ$15,$F897,0),"")</f>
        <v>30</v>
      </c>
      <c r="N897" s="20" t="str">
        <f ca="1">IFERROR(CONCATENATE(ROUND(OFFSET(환산공식!DK$15,$F897,0),1),"%"),"")</f>
        <v>100%</v>
      </c>
      <c r="O897" s="20">
        <f ca="1">IFERROR(OFFSET(환산공식!DL$15,$F897,0),"")</f>
        <v>5</v>
      </c>
      <c r="P897" s="188" t="str">
        <f t="shared" ca="1" si="27"/>
        <v>3% 이하</v>
      </c>
      <c r="Q897" s="194">
        <f ca="1">IFERROR(ROUND(OFFSET(환산공식!$FG$15,$F897,0),3),"")</f>
        <v>0</v>
      </c>
      <c r="R897" s="194">
        <f ca="1">OFFSET('배치점수 계산기'!H$10,$D897,0)</f>
        <v>361</v>
      </c>
      <c r="S897" s="194">
        <f ca="1">OFFSET('배치점수 계산기'!I$10,$D897,0)</f>
        <v>360.35599999999999</v>
      </c>
      <c r="T897" s="194">
        <f ca="1">OFFSET('배치점수 계산기'!J$10,$D897,0)</f>
        <v>359.072</v>
      </c>
      <c r="U897" s="194">
        <f ca="1">OFFSET('배치점수 계산기'!K$10,$D897,0)</f>
        <v>357.72</v>
      </c>
      <c r="V897" s="194">
        <f ca="1">OFFSET('배치점수 계산기'!L$10,$D897,0)</f>
        <v>355.26799999999997</v>
      </c>
      <c r="W897" s="186" t="str">
        <f ca="1">OFFSET('배치점수 계산기'!M$10,$D897,0)</f>
        <v>표점</v>
      </c>
      <c r="X897" s="184" t="str">
        <f ca="1">OFFSET('배치점수 계산기'!N$10,$D897,0)</f>
        <v>변표</v>
      </c>
      <c r="Y897" s="188">
        <f ca="1">OFFSET(환산공식!FW$15,$F897,0)</f>
        <v>0.3</v>
      </c>
      <c r="Z897" s="20">
        <f ca="1">OFFSET(환산공식!FX$15,$F897,0)</f>
        <v>0.4</v>
      </c>
      <c r="AA897" s="179">
        <f ca="1">OFFSET(환산공식!FY$15,$F897,0)</f>
        <v>0.3</v>
      </c>
      <c r="AB897" s="3"/>
      <c r="AD897">
        <f t="shared" ca="1" si="28"/>
        <v>6</v>
      </c>
      <c r="AF897" s="3"/>
      <c r="AG897" s="3"/>
      <c r="AH897" s="3"/>
    </row>
    <row r="898" spans="1:34">
      <c r="A898" s="198"/>
      <c r="B898" s="198"/>
      <c r="C898" s="198" t="s">
        <v>1459</v>
      </c>
      <c r="D898" s="195">
        <v>959</v>
      </c>
      <c r="E898" s="195">
        <v>181</v>
      </c>
      <c r="F898" s="195">
        <v>181</v>
      </c>
      <c r="G898" s="239">
        <v>891</v>
      </c>
      <c r="H898" s="197" t="s">
        <v>72</v>
      </c>
      <c r="I898" s="242" t="s">
        <v>245</v>
      </c>
      <c r="J898" s="242" t="s">
        <v>253</v>
      </c>
      <c r="K898" s="195" t="s">
        <v>70</v>
      </c>
      <c r="L898" s="20" t="str">
        <f ca="1">IF(OFFSET(환산공식!$ED$15,$F898,0)=1,"O","X")</f>
        <v>X</v>
      </c>
      <c r="M898" s="188">
        <f ca="1">IFERROR(OFFSET(환산공식!DJ$15,$F898,0),"")</f>
        <v>200</v>
      </c>
      <c r="N898" s="20" t="str">
        <f ca="1">IFERROR(CONCATENATE(ROUND(OFFSET(환산공식!DK$15,$F898,0),1),"%"),"")</f>
        <v>100%</v>
      </c>
      <c r="O898" s="20">
        <f ca="1">IFERROR(OFFSET(환산공식!DL$15,$F898,0),"")</f>
        <v>10</v>
      </c>
      <c r="P898" s="188" t="str">
        <f t="shared" ca="1" si="27"/>
        <v>3% 이하</v>
      </c>
      <c r="Q898" s="194">
        <f ca="1">IFERROR(ROUND(OFFSET(환산공식!$FG$15,$F898,0),3),"")</f>
        <v>0</v>
      </c>
      <c r="R898" s="194">
        <f ca="1">OFFSET('배치점수 계산기'!H$10,$D898,0)</f>
        <v>796.37199999999996</v>
      </c>
      <c r="S898" s="194">
        <f ca="1">OFFSET('배치점수 계산기'!I$10,$D898,0)</f>
        <v>795.99199999999996</v>
      </c>
      <c r="T898" s="194">
        <f ca="1">OFFSET('배치점수 계산기'!J$10,$D898,0)</f>
        <v>795.55600000000004</v>
      </c>
      <c r="U898" s="194">
        <f ca="1">OFFSET('배치점수 계산기'!K$10,$D898,0)</f>
        <v>794.67600000000004</v>
      </c>
      <c r="V898" s="194">
        <f ca="1">OFFSET('배치점수 계산기'!L$10,$D898,0)</f>
        <v>791.44</v>
      </c>
      <c r="W898" s="186" t="str">
        <f ca="1">OFFSET('배치점수 계산기'!M$10,$D898,0)</f>
        <v>백분위</v>
      </c>
      <c r="X898" s="184" t="str">
        <f ca="1">OFFSET('배치점수 계산기'!N$10,$D898,0)</f>
        <v>백분위</v>
      </c>
      <c r="Y898" s="188">
        <f ca="1">OFFSET(환산공식!FW$15,$F898,0)</f>
        <v>0.33</v>
      </c>
      <c r="Z898" s="20">
        <f ca="1">OFFSET(환산공식!FX$15,$F898,0)</f>
        <v>0.47</v>
      </c>
      <c r="AA898" s="179">
        <f ca="1">OFFSET(환산공식!FY$15,$F898,0)</f>
        <v>0.2</v>
      </c>
      <c r="AB898" s="3"/>
      <c r="AD898">
        <f t="shared" ca="1" si="28"/>
        <v>6</v>
      </c>
      <c r="AF898" s="3"/>
      <c r="AG898" s="3"/>
      <c r="AH898" s="3"/>
    </row>
    <row r="899" spans="1:34">
      <c r="A899" s="198"/>
      <c r="B899" s="198"/>
      <c r="C899" s="198" t="s">
        <v>7645</v>
      </c>
      <c r="D899" s="195">
        <v>960</v>
      </c>
      <c r="E899" s="195">
        <v>181</v>
      </c>
      <c r="F899" s="195">
        <v>181</v>
      </c>
      <c r="G899" s="239">
        <v>892</v>
      </c>
      <c r="H899" s="197" t="s">
        <v>72</v>
      </c>
      <c r="I899" s="242" t="s">
        <v>245</v>
      </c>
      <c r="J899" s="242" t="s">
        <v>429</v>
      </c>
      <c r="K899" s="195" t="s">
        <v>70</v>
      </c>
      <c r="L899" s="20" t="str">
        <f ca="1">IF(OFFSET(환산공식!$ED$15,$F899,0)=1,"O","X")</f>
        <v>X</v>
      </c>
      <c r="M899" s="188">
        <f ca="1">IFERROR(OFFSET(환산공식!DJ$15,$F899,0),"")</f>
        <v>200</v>
      </c>
      <c r="N899" s="20" t="str">
        <f ca="1">IFERROR(CONCATENATE(ROUND(OFFSET(환산공식!DK$15,$F899,0),1),"%"),"")</f>
        <v>100%</v>
      </c>
      <c r="O899" s="20">
        <f ca="1">IFERROR(OFFSET(환산공식!DL$15,$F899,0),"")</f>
        <v>10</v>
      </c>
      <c r="P899" s="188" t="str">
        <f t="shared" ca="1" si="27"/>
        <v>3% 이하</v>
      </c>
      <c r="Q899" s="194">
        <f ca="1">IFERROR(ROUND(OFFSET(환산공식!$FG$15,$F899,0),3),"")</f>
        <v>0</v>
      </c>
      <c r="R899" s="194">
        <f ca="1">OFFSET('배치점수 계산기'!H$10,$D899,0)</f>
        <v>790.46400000000006</v>
      </c>
      <c r="S899" s="194">
        <f ca="1">OFFSET('배치점수 계산기'!I$10,$D899,0)</f>
        <v>790.46400000000006</v>
      </c>
      <c r="T899" s="194">
        <f ca="1">OFFSET('배치점수 계산기'!J$10,$D899,0)</f>
        <v>789.22799999999995</v>
      </c>
      <c r="U899" s="194">
        <f ca="1">OFFSET('배치점수 계산기'!K$10,$D899,0)</f>
        <v>786.34400000000005</v>
      </c>
      <c r="V899" s="194">
        <f ca="1">OFFSET('배치점수 계산기'!L$10,$D899,0)</f>
        <v>784.9</v>
      </c>
      <c r="W899" s="186" t="str">
        <f ca="1">OFFSET('배치점수 계산기'!M$10,$D899,0)</f>
        <v>백분위</v>
      </c>
      <c r="X899" s="184" t="str">
        <f ca="1">OFFSET('배치점수 계산기'!N$10,$D899,0)</f>
        <v>백분위</v>
      </c>
      <c r="Y899" s="188">
        <f ca="1">OFFSET(환산공식!FW$15,$F899,0)</f>
        <v>0.33</v>
      </c>
      <c r="Z899" s="20">
        <f ca="1">OFFSET(환산공식!FX$15,$F899,0)</f>
        <v>0.47</v>
      </c>
      <c r="AA899" s="179">
        <f ca="1">OFFSET(환산공식!FY$15,$F899,0)</f>
        <v>0.2</v>
      </c>
      <c r="AB899" s="3"/>
      <c r="AD899">
        <f t="shared" ca="1" si="28"/>
        <v>6</v>
      </c>
      <c r="AF899" s="3"/>
      <c r="AG899" s="3"/>
      <c r="AH899" s="3"/>
    </row>
    <row r="900" spans="1:34">
      <c r="A900" s="198"/>
      <c r="B900" s="198"/>
      <c r="C900" s="198" t="s">
        <v>7646</v>
      </c>
      <c r="D900" s="195">
        <v>961</v>
      </c>
      <c r="E900" s="195">
        <v>273</v>
      </c>
      <c r="F900" s="195">
        <v>273</v>
      </c>
      <c r="G900" s="239">
        <v>893</v>
      </c>
      <c r="H900" s="197" t="s">
        <v>72</v>
      </c>
      <c r="I900" s="242" t="s">
        <v>77</v>
      </c>
      <c r="J900" s="242" t="s">
        <v>198</v>
      </c>
      <c r="K900" s="195" t="s">
        <v>70</v>
      </c>
      <c r="L900" s="20" t="str">
        <f ca="1">IF(OFFSET(환산공식!$ED$15,$F900,0)=1,"O","X")</f>
        <v>X</v>
      </c>
      <c r="M900" s="188">
        <f ca="1">IFERROR(OFFSET(환산공식!DJ$15,$F900,0),"")</f>
        <v>63.5</v>
      </c>
      <c r="N900" s="20" t="str">
        <f ca="1">IFERROR(CONCATENATE(ROUND(OFFSET(환산공식!DK$15,$F900,0),1),"%"),"")</f>
        <v>100%</v>
      </c>
      <c r="O900" s="20">
        <f ca="1">IFERROR(OFFSET(환산공식!DL$15,$F900,0),"")</f>
        <v>0</v>
      </c>
      <c r="P900" s="188" t="str">
        <f t="shared" ca="1" si="27"/>
        <v>3% 이하</v>
      </c>
      <c r="Q900" s="194">
        <f ca="1">IFERROR(ROUND(OFFSET(환산공식!$FG$15,$F900,0),3),"")</f>
        <v>0</v>
      </c>
      <c r="R900" s="194">
        <f ca="1">OFFSET('배치점수 계산기'!H$10,$D900,0)</f>
        <v>676.44600000000003</v>
      </c>
      <c r="S900" s="194">
        <f ca="1">OFFSET('배치점수 계산기'!I$10,$D900,0)</f>
        <v>675.89400000000001</v>
      </c>
      <c r="T900" s="194">
        <f ca="1">OFFSET('배치점수 계산기'!J$10,$D900,0)</f>
        <v>675.30899999999997</v>
      </c>
      <c r="U900" s="194">
        <f ca="1">OFFSET('배치점수 계산기'!K$10,$D900,0)</f>
        <v>673.82299999999998</v>
      </c>
      <c r="V900" s="194">
        <f ca="1">OFFSET('배치점수 계산기'!L$10,$D900,0)</f>
        <v>670.93100000000004</v>
      </c>
      <c r="W900" s="186" t="str">
        <f ca="1">OFFSET('배치점수 계산기'!M$10,$D900,0)</f>
        <v>표점</v>
      </c>
      <c r="X900" s="184" t="str">
        <f ca="1">OFFSET('배치점수 계산기'!N$10,$D900,0)</f>
        <v>변표</v>
      </c>
      <c r="Y900" s="188">
        <f ca="1">OFFSET(환산공식!FW$15,$F900,0)</f>
        <v>0.33</v>
      </c>
      <c r="Z900" s="20">
        <f ca="1">OFFSET(환산공식!FX$15,$F900,0)</f>
        <v>0.44</v>
      </c>
      <c r="AA900" s="179">
        <f ca="1">OFFSET(환산공식!FY$15,$F900,0)</f>
        <v>0.22</v>
      </c>
      <c r="AB900" s="3"/>
      <c r="AD900">
        <f t="shared" ca="1" si="28"/>
        <v>6</v>
      </c>
      <c r="AF900" s="3"/>
      <c r="AG900" s="3"/>
      <c r="AH900" s="3"/>
    </row>
    <row r="901" spans="1:34">
      <c r="A901" s="198"/>
      <c r="B901" s="198"/>
      <c r="C901" s="198" t="s">
        <v>16640</v>
      </c>
      <c r="D901" s="195">
        <v>962</v>
      </c>
      <c r="E901" s="195">
        <v>30</v>
      </c>
      <c r="F901" s="195">
        <v>30</v>
      </c>
      <c r="G901" s="239">
        <v>894</v>
      </c>
      <c r="H901" s="197" t="s">
        <v>72</v>
      </c>
      <c r="I901" s="242" t="s">
        <v>228</v>
      </c>
      <c r="J901" s="242" t="s">
        <v>7981</v>
      </c>
      <c r="K901" s="195" t="s">
        <v>70</v>
      </c>
      <c r="L901" s="20" t="str">
        <f ca="1">IF(OFFSET(환산공식!$ED$15,$F901,0)=1,"O","X")</f>
        <v>X</v>
      </c>
      <c r="M901" s="188">
        <f ca="1">IFERROR(OFFSET(환산공식!DJ$15,$F901,0),"")</f>
        <v>100</v>
      </c>
      <c r="N901" s="20" t="str">
        <f ca="1">IFERROR(CONCATENATE(ROUND(OFFSET(환산공식!DK$15,$F901,0),1),"%"),"")</f>
        <v>100%</v>
      </c>
      <c r="O901" s="20">
        <f ca="1">IFERROR(OFFSET(환산공식!DL$15,$F901,0),"")</f>
        <v>10</v>
      </c>
      <c r="P901" s="188" t="str">
        <f t="shared" ca="1" si="27"/>
        <v>3% 이하</v>
      </c>
      <c r="Q901" s="194">
        <f ca="1">IFERROR(ROUND(OFFSET(환산공식!$FG$15,$F901,0),3),"")</f>
        <v>0</v>
      </c>
      <c r="R901" s="194">
        <f ca="1">OFFSET('배치점수 계산기'!H$10,$D901,0)</f>
        <v>796.10299999999995</v>
      </c>
      <c r="S901" s="194">
        <f ca="1">OFFSET('배치점수 계산기'!I$10,$D901,0)</f>
        <v>795.68</v>
      </c>
      <c r="T901" s="194">
        <f ca="1">OFFSET('배치점수 계산기'!J$10,$D901,0)</f>
        <v>794.65099999999995</v>
      </c>
      <c r="U901" s="194">
        <f ca="1">OFFSET('배치점수 계산기'!K$10,$D901,0)</f>
        <v>792.85900000000004</v>
      </c>
      <c r="V901" s="194">
        <f ca="1">OFFSET('배치점수 계산기'!L$10,$D901,0)</f>
        <v>789.62900000000002</v>
      </c>
      <c r="W901" s="186" t="str">
        <f ca="1">OFFSET('배치점수 계산기'!M$10,$D901,0)</f>
        <v>표점</v>
      </c>
      <c r="X901" s="184" t="str">
        <f ca="1">OFFSET('배치점수 계산기'!N$10,$D901,0)</f>
        <v>변표</v>
      </c>
      <c r="Y901" s="188">
        <f ca="1">OFFSET(환산공식!FW$15,$F901,0)</f>
        <v>0.3</v>
      </c>
      <c r="Z901" s="20">
        <f ca="1">OFFSET(환산공식!FX$15,$F901,0)</f>
        <v>0.35</v>
      </c>
      <c r="AA901" s="179">
        <f ca="1">OFFSET(환산공식!FY$15,$F901,0)</f>
        <v>0.35</v>
      </c>
      <c r="AB901" s="3"/>
      <c r="AD901">
        <f t="shared" ca="1" si="28"/>
        <v>6</v>
      </c>
      <c r="AF901" s="3"/>
      <c r="AG901" s="3"/>
      <c r="AH901" s="3"/>
    </row>
    <row r="902" spans="1:34">
      <c r="A902" s="198"/>
      <c r="B902" s="198"/>
      <c r="C902" s="198" t="s">
        <v>16641</v>
      </c>
      <c r="D902" s="195">
        <v>963</v>
      </c>
      <c r="E902" s="195">
        <v>5</v>
      </c>
      <c r="F902" s="195">
        <v>5</v>
      </c>
      <c r="G902" s="239">
        <v>895</v>
      </c>
      <c r="H902" s="197" t="s">
        <v>72</v>
      </c>
      <c r="I902" s="242" t="s">
        <v>73</v>
      </c>
      <c r="J902" s="242" t="s">
        <v>198</v>
      </c>
      <c r="K902" s="195" t="s">
        <v>70</v>
      </c>
      <c r="L902" s="20" t="str">
        <f ca="1">IF(OFFSET(환산공식!$ED$15,$F902,0)=1,"O","X")</f>
        <v>X</v>
      </c>
      <c r="M902" s="188">
        <f ca="1">IFERROR(OFFSET(환산공식!DJ$15,$F902,0),"")</f>
        <v>105.6</v>
      </c>
      <c r="N902" s="20" t="str">
        <f ca="1">IFERROR(CONCATENATE(ROUND(OFFSET(환산공식!DK$15,$F902,0),1),"%"),"")</f>
        <v>100%</v>
      </c>
      <c r="O902" s="20">
        <f ca="1">IFERROR(OFFSET(환산공식!DL$15,$F902,0),"")</f>
        <v>0</v>
      </c>
      <c r="P902" s="188" t="str">
        <f t="shared" ca="1" si="27"/>
        <v>3% 이하</v>
      </c>
      <c r="Q902" s="194">
        <f ca="1">IFERROR(ROUND(OFFSET(환산공식!$FG$15,$F902,0),3),"")</f>
        <v>0</v>
      </c>
      <c r="R902" s="194">
        <f ca="1">OFFSET('배치점수 계산기'!H$10,$D902,0)</f>
        <v>674.05799999999999</v>
      </c>
      <c r="S902" s="194">
        <f ca="1">OFFSET('배치점수 계산기'!I$10,$D902,0)</f>
        <v>673.48199999999997</v>
      </c>
      <c r="T902" s="194">
        <f ca="1">OFFSET('배치점수 계산기'!J$10,$D902,0)</f>
        <v>672.15899999999999</v>
      </c>
      <c r="U902" s="194">
        <f ca="1">OFFSET('배치점수 계산기'!K$10,$D902,0)</f>
        <v>669.46299999999997</v>
      </c>
      <c r="V902" s="194">
        <f ca="1">OFFSET('배치점수 계산기'!L$10,$D902,0)</f>
        <v>667.27499999999998</v>
      </c>
      <c r="W902" s="186" t="str">
        <f ca="1">OFFSET('배치점수 계산기'!M$10,$D902,0)</f>
        <v>표점</v>
      </c>
      <c r="X902" s="184" t="str">
        <f ca="1">OFFSET('배치점수 계산기'!N$10,$D902,0)</f>
        <v>변표</v>
      </c>
      <c r="Y902" s="188">
        <f ca="1">OFFSET(환산공식!FW$15,$F902,0)</f>
        <v>0.25</v>
      </c>
      <c r="Z902" s="20">
        <f ca="1">OFFSET(환산공식!FX$15,$F902,0)</f>
        <v>0.38</v>
      </c>
      <c r="AA902" s="179">
        <f ca="1">OFFSET(환산공식!FY$15,$F902,0)</f>
        <v>0.38</v>
      </c>
      <c r="AB902" s="3"/>
      <c r="AD902">
        <f t="shared" ca="1" si="28"/>
        <v>6</v>
      </c>
      <c r="AF902" s="3"/>
      <c r="AG902" s="3"/>
      <c r="AH902" s="3"/>
    </row>
    <row r="903" spans="1:34">
      <c r="A903" s="198"/>
      <c r="B903" s="198"/>
      <c r="C903" s="198" t="s">
        <v>16642</v>
      </c>
      <c r="D903" s="195">
        <v>964</v>
      </c>
      <c r="E903" s="195">
        <v>109</v>
      </c>
      <c r="F903" s="195">
        <v>109</v>
      </c>
      <c r="G903" s="239">
        <v>896</v>
      </c>
      <c r="H903" s="197" t="s">
        <v>72</v>
      </c>
      <c r="I903" s="242" t="s">
        <v>239</v>
      </c>
      <c r="J903" s="242" t="s">
        <v>198</v>
      </c>
      <c r="K903" s="195" t="s">
        <v>70</v>
      </c>
      <c r="L903" s="20" t="str">
        <f ca="1">IF(OFFSET(환산공식!$ED$15,$F903,0)=1,"O","X")</f>
        <v>X</v>
      </c>
      <c r="M903" s="188">
        <f ca="1">IFERROR(OFFSET(환산공식!DJ$15,$F903,0),"")</f>
        <v>0</v>
      </c>
      <c r="N903" s="20" t="str">
        <f ca="1">IFERROR(CONCATENATE(ROUND(OFFSET(환산공식!DK$15,$F903,0),1),"%"),"")</f>
        <v/>
      </c>
      <c r="O903" s="20">
        <f ca="1">IFERROR(OFFSET(환산공식!DL$15,$F903,0),"")</f>
        <v>0</v>
      </c>
      <c r="P903" s="188" t="str">
        <f t="shared" ca="1" si="27"/>
        <v>3% 이하</v>
      </c>
      <c r="Q903" s="194">
        <f ca="1">IFERROR(ROUND(OFFSET(환산공식!$FG$15,$F903,0),3),"")</f>
        <v>0</v>
      </c>
      <c r="R903" s="194">
        <f ca="1">OFFSET('배치점수 계산기'!H$10,$D903,0)</f>
        <v>676.73500000000001</v>
      </c>
      <c r="S903" s="194">
        <f ca="1">OFFSET('배치점수 계산기'!I$10,$D903,0)</f>
        <v>675.96100000000001</v>
      </c>
      <c r="T903" s="194">
        <f ca="1">OFFSET('배치점수 계산기'!J$10,$D903,0)</f>
        <v>674.57</v>
      </c>
      <c r="U903" s="194">
        <f ca="1">OFFSET('배치점수 계산기'!K$10,$D903,0)</f>
        <v>673.06899999999996</v>
      </c>
      <c r="V903" s="194">
        <f ca="1">OFFSET('배치점수 계산기'!L$10,$D903,0)</f>
        <v>669.98299999999995</v>
      </c>
      <c r="W903" s="186" t="str">
        <f ca="1">OFFSET('배치점수 계산기'!M$10,$D903,0)</f>
        <v>표점</v>
      </c>
      <c r="X903" s="184" t="str">
        <f ca="1">OFFSET('배치점수 계산기'!N$10,$D903,0)</f>
        <v>변표</v>
      </c>
      <c r="Y903" s="188">
        <f ca="1">OFFSET(환산공식!FW$15,$F903,0)</f>
        <v>0.3</v>
      </c>
      <c r="Z903" s="20">
        <f ca="1">OFFSET(환산공식!FX$15,$F903,0)</f>
        <v>0.4</v>
      </c>
      <c r="AA903" s="179">
        <f ca="1">OFFSET(환산공식!FY$15,$F903,0)</f>
        <v>0.3</v>
      </c>
      <c r="AB903" s="3"/>
      <c r="AD903">
        <f t="shared" ca="1" si="28"/>
        <v>6</v>
      </c>
      <c r="AF903" s="3"/>
      <c r="AG903" s="3"/>
      <c r="AH903" s="3"/>
    </row>
    <row r="904" spans="1:34">
      <c r="A904" s="198"/>
      <c r="B904" s="198"/>
      <c r="C904" s="198" t="s">
        <v>16643</v>
      </c>
      <c r="D904" s="195">
        <v>965</v>
      </c>
      <c r="E904" s="195">
        <v>126</v>
      </c>
      <c r="F904" s="195">
        <v>126</v>
      </c>
      <c r="G904" s="239">
        <v>897</v>
      </c>
      <c r="H904" s="197" t="s">
        <v>72</v>
      </c>
      <c r="I904" s="242" t="s">
        <v>478</v>
      </c>
      <c r="J904" s="242" t="s">
        <v>198</v>
      </c>
      <c r="K904" s="195" t="s">
        <v>70</v>
      </c>
      <c r="L904" s="20" t="str">
        <f ca="1">IF(OFFSET(환산공식!$ED$15,$F904,0)=1,"O","X")</f>
        <v>X</v>
      </c>
      <c r="M904" s="188">
        <f ca="1">IFERROR(OFFSET(환산공식!DJ$15,$F904,0),"")</f>
        <v>150</v>
      </c>
      <c r="N904" s="20" t="str">
        <f ca="1">IFERROR(CONCATENATE(ROUND(OFFSET(환산공식!DK$15,$F904,0),1),"%"),"")</f>
        <v>100%</v>
      </c>
      <c r="O904" s="20">
        <f ca="1">IFERROR(OFFSET(환산공식!DL$15,$F904,0),"")</f>
        <v>10</v>
      </c>
      <c r="P904" s="188" t="str">
        <f t="shared" ca="1" si="27"/>
        <v>3% 이하</v>
      </c>
      <c r="Q904" s="194">
        <f ca="1">IFERROR(ROUND(OFFSET(환산공식!$FG$15,$F904,0),3),"")</f>
        <v>0</v>
      </c>
      <c r="R904" s="194">
        <f ca="1">OFFSET('배치점수 계산기'!H$10,$D904,0)</f>
        <v>967.04600000000005</v>
      </c>
      <c r="S904" s="194">
        <f ca="1">OFFSET('배치점수 계산기'!I$10,$D904,0)</f>
        <v>965.024</v>
      </c>
      <c r="T904" s="194">
        <f ca="1">OFFSET('배치점수 계산기'!J$10,$D904,0)</f>
        <v>963.42499999999995</v>
      </c>
      <c r="U904" s="194">
        <f ca="1">OFFSET('배치점수 계산기'!K$10,$D904,0)</f>
        <v>960.91099999999994</v>
      </c>
      <c r="V904" s="194">
        <f ca="1">OFFSET('배치점수 계산기'!L$10,$D904,0)</f>
        <v>956.81799999999998</v>
      </c>
      <c r="W904" s="186" t="str">
        <f ca="1">OFFSET('배치점수 계산기'!M$10,$D904,0)</f>
        <v>표점/만점</v>
      </c>
      <c r="X904" s="184" t="str">
        <f ca="1">OFFSET('배치점수 계산기'!N$10,$D904,0)</f>
        <v>변표/만점</v>
      </c>
      <c r="Y904" s="188">
        <f ca="1">OFFSET(환산공식!FW$15,$F904,0)</f>
        <v>0.3</v>
      </c>
      <c r="Z904" s="20">
        <f ca="1">OFFSET(환산공식!FX$15,$F904,0)</f>
        <v>0.41</v>
      </c>
      <c r="AA904" s="179">
        <f ca="1">OFFSET(환산공식!FY$15,$F904,0)</f>
        <v>0.28999999999999998</v>
      </c>
      <c r="AB904" s="3"/>
      <c r="AD904">
        <f t="shared" ca="1" si="28"/>
        <v>6</v>
      </c>
      <c r="AF904" s="3"/>
      <c r="AG904" s="3"/>
      <c r="AH904" s="3"/>
    </row>
    <row r="905" spans="1:34">
      <c r="A905" s="198"/>
      <c r="B905" s="198"/>
      <c r="C905" s="198" t="s">
        <v>16644</v>
      </c>
      <c r="D905" s="195">
        <v>966</v>
      </c>
      <c r="E905" s="195">
        <v>288</v>
      </c>
      <c r="F905" s="195">
        <v>288</v>
      </c>
      <c r="G905" s="239">
        <v>898</v>
      </c>
      <c r="H905" s="197" t="s">
        <v>72</v>
      </c>
      <c r="I905" s="242" t="s">
        <v>209</v>
      </c>
      <c r="J905" s="242" t="s">
        <v>7981</v>
      </c>
      <c r="K905" s="195" t="s">
        <v>70</v>
      </c>
      <c r="L905" s="20" t="str">
        <f ca="1">IF(OFFSET(환산공식!$ED$15,$F905,0)=1,"O","X")</f>
        <v>X</v>
      </c>
      <c r="M905" s="188">
        <f ca="1">IFERROR(OFFSET(환산공식!DJ$15,$F905,0),"")</f>
        <v>200</v>
      </c>
      <c r="N905" s="20" t="str">
        <f ca="1">IFERROR(CONCATENATE(ROUND(OFFSET(환산공식!DK$15,$F905,0),1),"%"),"")</f>
        <v>100%</v>
      </c>
      <c r="O905" s="20">
        <f ca="1">IFERROR(OFFSET(환산공식!DL$15,$F905,0),"")</f>
        <v>10</v>
      </c>
      <c r="P905" s="188" t="str">
        <f t="shared" ref="P905:P932" ca="1" si="29">IF(E905="","",IF(Q905&gt;R905,"90% 이상",IF(Q905&gt;S905,CONCATENATE(ROUND(((Q905-S905)/(R905-S905))*20+70,0),"%"),IF(Q905&gt;T905,CONCATENATE(ROUND(((Q905-T905)/(S905-T905))*30+40,0),"%"),IF(Q905&gt;U905,CONCATENATE(ROUND(((Q905-U905)/(T905-U905))*30+10,0),"%"),IF(Q905&gt;V905,CONCATENATE(ROUND(((Q905-V905)/(U905-V905))*7+3,0),"%"),"3% 이하"))))))</f>
        <v>3% 이하</v>
      </c>
      <c r="Q905" s="194">
        <f ca="1">IFERROR(ROUND(OFFSET(환산공식!$FG$15,$F905,0),3),"")</f>
        <v>0</v>
      </c>
      <c r="R905" s="194">
        <f ca="1">OFFSET('배치점수 계산기'!H$10,$D905,0)</f>
        <v>754.47799999999995</v>
      </c>
      <c r="S905" s="194">
        <f ca="1">OFFSET('배치점수 계산기'!I$10,$D905,0)</f>
        <v>753.86500000000001</v>
      </c>
      <c r="T905" s="194">
        <f ca="1">OFFSET('배치점수 계산기'!J$10,$D905,0)</f>
        <v>752.81</v>
      </c>
      <c r="U905" s="194">
        <f ca="1">OFFSET('배치점수 계산기'!K$10,$D905,0)</f>
        <v>752.31299999999999</v>
      </c>
      <c r="V905" s="194">
        <f ca="1">OFFSET('배치점수 계산기'!L$10,$D905,0)</f>
        <v>749.73</v>
      </c>
      <c r="W905" s="186" t="str">
        <f ca="1">OFFSET('배치점수 계산기'!M$10,$D905,0)</f>
        <v>표점</v>
      </c>
      <c r="X905" s="184" t="str">
        <f ca="1">OFFSET('배치점수 계산기'!N$10,$D905,0)</f>
        <v>표점</v>
      </c>
      <c r="Y905" s="188">
        <f ca="1">OFFSET(환산공식!FW$15,$F905,0)</f>
        <v>0.25</v>
      </c>
      <c r="Z905" s="20">
        <f ca="1">OFFSET(환산공식!FX$15,$F905,0)</f>
        <v>0.38</v>
      </c>
      <c r="AA905" s="179">
        <f ca="1">OFFSET(환산공식!FY$15,$F905,0)</f>
        <v>0.38</v>
      </c>
      <c r="AB905" s="3"/>
      <c r="AD905">
        <f t="shared" ref="AD905:AD932" ca="1" si="30">IF(L905="X",6,IF(Q905&gt;R905,1,IF(Q905&gt;S905,2,IF(Q905&gt;T905,3,IF(Q905&gt;U905,4,IF(Q905&gt;=V905,5,IF(Q905&lt;V905,6,"")))))))</f>
        <v>6</v>
      </c>
      <c r="AF905" s="3"/>
      <c r="AG905" s="3"/>
      <c r="AH905" s="3"/>
    </row>
    <row r="906" spans="1:34">
      <c r="A906" s="198"/>
      <c r="B906" s="198"/>
      <c r="C906" s="198" t="s">
        <v>16645</v>
      </c>
      <c r="D906" s="195">
        <v>967</v>
      </c>
      <c r="E906" s="195">
        <v>288</v>
      </c>
      <c r="F906" s="195">
        <v>288</v>
      </c>
      <c r="G906" s="239">
        <v>899</v>
      </c>
      <c r="H906" s="197" t="s">
        <v>72</v>
      </c>
      <c r="I906" s="242" t="s">
        <v>209</v>
      </c>
      <c r="J906" s="242" t="s">
        <v>432</v>
      </c>
      <c r="K906" s="195" t="s">
        <v>70</v>
      </c>
      <c r="L906" s="20" t="str">
        <f ca="1">IF(OFFSET(환산공식!$ED$15,$F906,0)=1,"O","X")</f>
        <v>X</v>
      </c>
      <c r="M906" s="188">
        <f ca="1">IFERROR(OFFSET(환산공식!DJ$15,$F906,0),"")</f>
        <v>200</v>
      </c>
      <c r="N906" s="20" t="str">
        <f ca="1">IFERROR(CONCATENATE(ROUND(OFFSET(환산공식!DK$15,$F906,0),1),"%"),"")</f>
        <v>100%</v>
      </c>
      <c r="O906" s="20">
        <f ca="1">IFERROR(OFFSET(환산공식!DL$15,$F906,0),"")</f>
        <v>10</v>
      </c>
      <c r="P906" s="188" t="str">
        <f t="shared" ca="1" si="29"/>
        <v>3% 이하</v>
      </c>
      <c r="Q906" s="194">
        <f ca="1">IFERROR(ROUND(OFFSET(환산공식!$FG$15,$F906,0),3),"")</f>
        <v>0</v>
      </c>
      <c r="R906" s="194">
        <f ca="1">OFFSET('배치점수 계산기'!H$10,$D906,0)</f>
        <v>748.95299999999997</v>
      </c>
      <c r="S906" s="194">
        <f ca="1">OFFSET('배치점수 계산기'!I$10,$D906,0)</f>
        <v>748.26</v>
      </c>
      <c r="T906" s="194">
        <f ca="1">OFFSET('배치점수 계산기'!J$10,$D906,0)</f>
        <v>747.34</v>
      </c>
      <c r="U906" s="194">
        <f ca="1">OFFSET('배치점수 계산기'!K$10,$D906,0)</f>
        <v>746.26700000000005</v>
      </c>
      <c r="V906" s="194">
        <f ca="1">OFFSET('배치점수 계산기'!L$10,$D906,0)</f>
        <v>744.2</v>
      </c>
      <c r="W906" s="186" t="str">
        <f ca="1">OFFSET('배치점수 계산기'!M$10,$D906,0)</f>
        <v>표점</v>
      </c>
      <c r="X906" s="184" t="str">
        <f ca="1">OFFSET('배치점수 계산기'!N$10,$D906,0)</f>
        <v>표점</v>
      </c>
      <c r="Y906" s="188">
        <f ca="1">OFFSET(환산공식!FW$15,$F906,0)</f>
        <v>0.25</v>
      </c>
      <c r="Z906" s="20">
        <f ca="1">OFFSET(환산공식!FX$15,$F906,0)</f>
        <v>0.38</v>
      </c>
      <c r="AA906" s="179">
        <f ca="1">OFFSET(환산공식!FY$15,$F906,0)</f>
        <v>0.38</v>
      </c>
      <c r="AB906" s="3"/>
      <c r="AD906">
        <f t="shared" ca="1" si="30"/>
        <v>6</v>
      </c>
      <c r="AF906" s="3"/>
      <c r="AG906" s="3"/>
      <c r="AH906" s="3"/>
    </row>
    <row r="907" spans="1:34">
      <c r="A907" s="198"/>
      <c r="B907" s="198"/>
      <c r="C907" s="198" t="s">
        <v>16646</v>
      </c>
      <c r="D907" s="195">
        <v>968</v>
      </c>
      <c r="E907" s="195">
        <v>225</v>
      </c>
      <c r="F907" s="195">
        <v>225</v>
      </c>
      <c r="G907" s="239">
        <v>900</v>
      </c>
      <c r="H907" s="197" t="s">
        <v>72</v>
      </c>
      <c r="I907" s="242" t="s">
        <v>216</v>
      </c>
      <c r="J907" s="242" t="s">
        <v>198</v>
      </c>
      <c r="K907" s="195" t="s">
        <v>70</v>
      </c>
      <c r="L907" s="20" t="str">
        <f ca="1">IF(OFFSET(환산공식!$ED$15,$F907,0)=1,"O","X")</f>
        <v>X</v>
      </c>
      <c r="M907" s="188">
        <f ca="1">IFERROR(OFFSET(환산공식!DJ$15,$F907,0),"")</f>
        <v>0</v>
      </c>
      <c r="N907" s="20" t="str">
        <f ca="1">IFERROR(CONCATENATE(ROUND(OFFSET(환산공식!DK$15,$F907,0),1),"%"),"")</f>
        <v/>
      </c>
      <c r="O907" s="20">
        <f ca="1">IFERROR(OFFSET(환산공식!DL$15,$F907,0),"")</f>
        <v>0</v>
      </c>
      <c r="P907" s="188" t="str">
        <f t="shared" ca="1" si="29"/>
        <v>3% 이하</v>
      </c>
      <c r="Q907" s="194">
        <f ca="1">IFERROR(ROUND(OFFSET(환산공식!$FG$15,$F907,0),3),"")</f>
        <v>0</v>
      </c>
      <c r="R907" s="194">
        <f ca="1">OFFSET('배치점수 계산기'!H$10,$D907,0)</f>
        <v>199.33500000000001</v>
      </c>
      <c r="S907" s="194">
        <f ca="1">OFFSET('배치점수 계산기'!I$10,$D907,0)</f>
        <v>198.31800000000001</v>
      </c>
      <c r="T907" s="194">
        <f ca="1">OFFSET('배치점수 계산기'!J$10,$D907,0)</f>
        <v>197.86</v>
      </c>
      <c r="U907" s="194">
        <f ca="1">OFFSET('배치점수 계산기'!K$10,$D907,0)</f>
        <v>197.44499999999999</v>
      </c>
      <c r="V907" s="194">
        <f ca="1">OFFSET('배치점수 계산기'!L$10,$D907,0)</f>
        <v>197.07</v>
      </c>
      <c r="W907" s="186" t="str">
        <f ca="1">OFFSET('배치점수 계산기'!M$10,$D907,0)</f>
        <v>표점</v>
      </c>
      <c r="X907" s="184" t="str">
        <f ca="1">OFFSET('배치점수 계산기'!N$10,$D907,0)</f>
        <v>표점</v>
      </c>
      <c r="Y907" s="188">
        <f ca="1">OFFSET(환산공식!FW$15,$F907,0)</f>
        <v>0.25</v>
      </c>
      <c r="Z907" s="20">
        <f ca="1">OFFSET(환산공식!FX$15,$F907,0)</f>
        <v>0.45</v>
      </c>
      <c r="AA907" s="179">
        <f ca="1">OFFSET(환산공식!FY$15,$F907,0)</f>
        <v>0.3</v>
      </c>
      <c r="AB907" s="3"/>
      <c r="AD907">
        <f t="shared" ca="1" si="30"/>
        <v>6</v>
      </c>
      <c r="AF907" s="3"/>
      <c r="AG907" s="3"/>
      <c r="AH907" s="3"/>
    </row>
    <row r="908" spans="1:34">
      <c r="A908" s="198"/>
      <c r="B908" s="198"/>
      <c r="C908" s="198" t="s">
        <v>16647</v>
      </c>
      <c r="D908" s="195">
        <v>969</v>
      </c>
      <c r="E908" s="195">
        <v>225</v>
      </c>
      <c r="F908" s="195">
        <v>225</v>
      </c>
      <c r="G908" s="239">
        <v>901</v>
      </c>
      <c r="H908" s="197" t="s">
        <v>72</v>
      </c>
      <c r="I908" s="242" t="s">
        <v>216</v>
      </c>
      <c r="J908" s="242" t="s">
        <v>432</v>
      </c>
      <c r="K908" s="195" t="s">
        <v>70</v>
      </c>
      <c r="L908" s="20" t="str">
        <f ca="1">IF(OFFSET(환산공식!$ED$15,$F908,0)=1,"O","X")</f>
        <v>X</v>
      </c>
      <c r="M908" s="188">
        <f ca="1">IFERROR(OFFSET(환산공식!DJ$15,$F908,0),"")</f>
        <v>0</v>
      </c>
      <c r="N908" s="20" t="str">
        <f ca="1">IFERROR(CONCATENATE(ROUND(OFFSET(환산공식!DK$15,$F908,0),1),"%"),"")</f>
        <v/>
      </c>
      <c r="O908" s="20">
        <f ca="1">IFERROR(OFFSET(환산공식!DL$15,$F908,0),"")</f>
        <v>0</v>
      </c>
      <c r="P908" s="188" t="str">
        <f t="shared" ca="1" si="29"/>
        <v>3% 이하</v>
      </c>
      <c r="Q908" s="194">
        <f ca="1">IFERROR(ROUND(OFFSET(환산공식!$FG$15,$F908,0),3),"")</f>
        <v>0</v>
      </c>
      <c r="R908" s="194">
        <f ca="1">OFFSET('배치점수 계산기'!H$10,$D908,0)</f>
        <v>195.73500000000001</v>
      </c>
      <c r="S908" s="194">
        <f ca="1">OFFSET('배치점수 계산기'!I$10,$D908,0)</f>
        <v>195.512</v>
      </c>
      <c r="T908" s="194">
        <f ca="1">OFFSET('배치점수 계산기'!J$10,$D908,0)</f>
        <v>195.23</v>
      </c>
      <c r="U908" s="194">
        <f ca="1">OFFSET('배치점수 계산기'!K$10,$D908,0)</f>
        <v>193.96799999999999</v>
      </c>
      <c r="V908" s="194">
        <f ca="1">OFFSET('배치점수 계산기'!L$10,$D908,0)</f>
        <v>192.928</v>
      </c>
      <c r="W908" s="186" t="str">
        <f ca="1">OFFSET('배치점수 계산기'!M$10,$D908,0)</f>
        <v>표점</v>
      </c>
      <c r="X908" s="184" t="str">
        <f ca="1">OFFSET('배치점수 계산기'!N$10,$D908,0)</f>
        <v>표점</v>
      </c>
      <c r="Y908" s="188">
        <f ca="1">OFFSET(환산공식!FW$15,$F908,0)</f>
        <v>0.25</v>
      </c>
      <c r="Z908" s="20">
        <f ca="1">OFFSET(환산공식!FX$15,$F908,0)</f>
        <v>0.45</v>
      </c>
      <c r="AA908" s="179">
        <f ca="1">OFFSET(환산공식!FY$15,$F908,0)</f>
        <v>0.3</v>
      </c>
      <c r="AB908" s="3"/>
      <c r="AD908">
        <f t="shared" ca="1" si="30"/>
        <v>6</v>
      </c>
      <c r="AF908" s="3"/>
      <c r="AG908" s="3"/>
      <c r="AH908" s="3"/>
    </row>
    <row r="909" spans="1:34">
      <c r="A909" s="198"/>
      <c r="B909" s="198"/>
      <c r="C909" s="198" t="s">
        <v>16648</v>
      </c>
      <c r="D909" s="195">
        <v>970</v>
      </c>
      <c r="E909" s="195">
        <v>135</v>
      </c>
      <c r="F909" s="195">
        <v>135</v>
      </c>
      <c r="G909" s="239">
        <v>902</v>
      </c>
      <c r="H909" s="197" t="s">
        <v>72</v>
      </c>
      <c r="I909" s="242" t="s">
        <v>494</v>
      </c>
      <c r="J909" s="242" t="s">
        <v>198</v>
      </c>
      <c r="K909" s="195" t="s">
        <v>70</v>
      </c>
      <c r="L909" s="20" t="str">
        <f ca="1">IF(OFFSET(환산공식!$ED$15,$F909,0)=1,"O","X")</f>
        <v>X</v>
      </c>
      <c r="M909" s="188">
        <f ca="1">IFERROR(OFFSET(환산공식!DJ$15,$F909,0),"")</f>
        <v>200</v>
      </c>
      <c r="N909" s="20" t="str">
        <f ca="1">IFERROR(CONCATENATE(ROUND(OFFSET(환산공식!DK$15,$F909,0),1),"%"),"")</f>
        <v>100%</v>
      </c>
      <c r="O909" s="20">
        <f ca="1">IFERROR(OFFSET(환산공식!DL$15,$F909,0),"")</f>
        <v>0</v>
      </c>
      <c r="P909" s="188" t="str">
        <f t="shared" ca="1" si="29"/>
        <v>3% 이하</v>
      </c>
      <c r="Q909" s="194">
        <f ca="1">IFERROR(ROUND(OFFSET(환산공식!$FG$15,$F909,0),3),"")</f>
        <v>0</v>
      </c>
      <c r="R909" s="194">
        <f ca="1">OFFSET('배치점수 계산기'!H$10,$D909,0)</f>
        <v>947.66300000000001</v>
      </c>
      <c r="S909" s="194">
        <f ca="1">OFFSET('배치점수 계산기'!I$10,$D909,0)</f>
        <v>946.37900000000002</v>
      </c>
      <c r="T909" s="194">
        <f ca="1">OFFSET('배치점수 계산기'!J$10,$D909,0)</f>
        <v>945.048</v>
      </c>
      <c r="U909" s="194">
        <f ca="1">OFFSET('배치점수 계산기'!K$10,$D909,0)</f>
        <v>943.38099999999997</v>
      </c>
      <c r="V909" s="194">
        <f ca="1">OFFSET('배치점수 계산기'!L$10,$D909,0)</f>
        <v>940.98599999999999</v>
      </c>
      <c r="W909" s="186" t="str">
        <f ca="1">OFFSET('배치점수 계산기'!M$10,$D909,0)</f>
        <v>표점/만점</v>
      </c>
      <c r="X909" s="184" t="str">
        <f ca="1">OFFSET('배치점수 계산기'!N$10,$D909,0)</f>
        <v>변표/만점</v>
      </c>
      <c r="Y909" s="188">
        <f ca="1">OFFSET(환산공식!FW$15,$F909,0)</f>
        <v>0.25</v>
      </c>
      <c r="Z909" s="20">
        <f ca="1">OFFSET(환산공식!FX$15,$F909,0)</f>
        <v>0.44</v>
      </c>
      <c r="AA909" s="179">
        <f ca="1">OFFSET(환산공식!FY$15,$F909,0)</f>
        <v>0.31</v>
      </c>
      <c r="AB909" s="3"/>
      <c r="AD909">
        <f t="shared" ca="1" si="30"/>
        <v>6</v>
      </c>
      <c r="AF909" s="3"/>
      <c r="AG909" s="3"/>
      <c r="AH909" s="3"/>
    </row>
    <row r="910" spans="1:34">
      <c r="A910" s="198"/>
      <c r="B910" s="198"/>
      <c r="C910" s="198" t="s">
        <v>16649</v>
      </c>
      <c r="D910" s="195">
        <v>971</v>
      </c>
      <c r="E910" s="195">
        <v>195</v>
      </c>
      <c r="F910" s="195">
        <v>195</v>
      </c>
      <c r="G910" s="239">
        <v>903</v>
      </c>
      <c r="H910" s="197" t="s">
        <v>72</v>
      </c>
      <c r="I910" s="242" t="s">
        <v>215</v>
      </c>
      <c r="J910" s="242" t="s">
        <v>198</v>
      </c>
      <c r="K910" s="195" t="s">
        <v>70</v>
      </c>
      <c r="L910" s="20" t="str">
        <f ca="1">IF(OFFSET(환산공식!$ED$15,$F910,0)=1,"O","X")</f>
        <v>X</v>
      </c>
      <c r="M910" s="188">
        <f ca="1">IFERROR(OFFSET(환산공식!DJ$15,$F910,0),"")</f>
        <v>125</v>
      </c>
      <c r="N910" s="20" t="str">
        <f ca="1">IFERROR(CONCATENATE(ROUND(OFFSET(환산공식!DK$15,$F910,0),1),"%"),"")</f>
        <v>100%</v>
      </c>
      <c r="O910" s="20">
        <f ca="1">IFERROR(OFFSET(환산공식!DL$15,$F910,0),"")</f>
        <v>10</v>
      </c>
      <c r="P910" s="188" t="str">
        <f t="shared" ca="1" si="29"/>
        <v>3% 이하</v>
      </c>
      <c r="Q910" s="194">
        <f ca="1">IFERROR(ROUND(OFFSET(환산공식!$FG$15,$F910,0),3),"")</f>
        <v>0</v>
      </c>
      <c r="R910" s="194">
        <f ca="1">OFFSET('배치점수 계산기'!H$10,$D910,0)</f>
        <v>726.71500000000003</v>
      </c>
      <c r="S910" s="194">
        <f ca="1">OFFSET('배치점수 계산기'!I$10,$D910,0)</f>
        <v>723.80600000000004</v>
      </c>
      <c r="T910" s="194">
        <f ca="1">OFFSET('배치점수 계산기'!J$10,$D910,0)</f>
        <v>722.34199999999998</v>
      </c>
      <c r="U910" s="194">
        <f ca="1">OFFSET('배치점수 계산기'!K$10,$D910,0)</f>
        <v>721.274</v>
      </c>
      <c r="V910" s="194">
        <f ca="1">OFFSET('배치점수 계산기'!L$10,$D910,0)</f>
        <v>718.66499999999996</v>
      </c>
      <c r="W910" s="186" t="str">
        <f ca="1">OFFSET('배치점수 계산기'!M$10,$D910,0)</f>
        <v>표점</v>
      </c>
      <c r="X910" s="184" t="str">
        <f ca="1">OFFSET('배치점수 계산기'!N$10,$D910,0)</f>
        <v>변표</v>
      </c>
      <c r="Y910" s="188">
        <f ca="1">OFFSET(환산공식!FW$15,$F910,0)</f>
        <v>0.28999999999999998</v>
      </c>
      <c r="Z910" s="20">
        <f ca="1">OFFSET(환산공식!FX$15,$F910,0)</f>
        <v>0.43</v>
      </c>
      <c r="AA910" s="179">
        <f ca="1">OFFSET(환산공식!FY$15,$F910,0)</f>
        <v>0.28999999999999998</v>
      </c>
      <c r="AB910" s="3"/>
      <c r="AD910">
        <f t="shared" ca="1" si="30"/>
        <v>6</v>
      </c>
      <c r="AF910" s="3"/>
      <c r="AG910" s="3"/>
      <c r="AH910" s="3"/>
    </row>
    <row r="911" spans="1:34">
      <c r="A911" s="198"/>
      <c r="B911" s="198"/>
      <c r="C911" s="198" t="s">
        <v>16650</v>
      </c>
      <c r="D911" s="195">
        <v>972</v>
      </c>
      <c r="E911" s="195">
        <v>139</v>
      </c>
      <c r="F911" s="195">
        <v>139</v>
      </c>
      <c r="G911" s="239">
        <v>904</v>
      </c>
      <c r="H911" s="197" t="s">
        <v>72</v>
      </c>
      <c r="I911" s="242" t="s">
        <v>195</v>
      </c>
      <c r="J911" s="242" t="s">
        <v>198</v>
      </c>
      <c r="K911" s="195" t="s">
        <v>70</v>
      </c>
      <c r="L911" s="20" t="str">
        <f ca="1">IF(OFFSET(환산공식!$ED$15,$F911,0)=1,"O","X")</f>
        <v>X</v>
      </c>
      <c r="M911" s="188">
        <f ca="1">IFERROR(OFFSET(환산공식!DJ$15,$F911,0),"")</f>
        <v>19.600000000000001</v>
      </c>
      <c r="N911" s="20" t="str">
        <f ca="1">IFERROR(CONCATENATE(ROUND(OFFSET(환산공식!DK$15,$F911,0),1),"%"),"")</f>
        <v>100%</v>
      </c>
      <c r="O911" s="20">
        <f ca="1">IFERROR(OFFSET(환산공식!DL$15,$F911,0),"")</f>
        <v>0</v>
      </c>
      <c r="P911" s="188" t="str">
        <f t="shared" ca="1" si="29"/>
        <v>3% 이하</v>
      </c>
      <c r="Q911" s="194">
        <f ca="1">IFERROR(ROUND(OFFSET(환산공식!$FG$15,$F911,0),3),"")</f>
        <v>0</v>
      </c>
      <c r="R911" s="194">
        <f ca="1">OFFSET('배치점수 계산기'!H$10,$D911,0)</f>
        <v>96.692999999999998</v>
      </c>
      <c r="S911" s="194">
        <f ca="1">OFFSET('배치점수 계산기'!I$10,$D911,0)</f>
        <v>96.593000000000004</v>
      </c>
      <c r="T911" s="194">
        <f ca="1">OFFSET('배치점수 계산기'!J$10,$D911,0)</f>
        <v>96.372</v>
      </c>
      <c r="U911" s="194">
        <f ca="1">OFFSET('배치점수 계산기'!K$10,$D911,0)</f>
        <v>96.201999999999998</v>
      </c>
      <c r="V911" s="194">
        <f ca="1">OFFSET('배치점수 계산기'!L$10,$D911,0)</f>
        <v>95.828000000000003</v>
      </c>
      <c r="W911" s="186" t="str">
        <f ca="1">OFFSET('배치점수 계산기'!M$10,$D911,0)</f>
        <v>백분위</v>
      </c>
      <c r="X911" s="184" t="str">
        <f ca="1">OFFSET('배치점수 계산기'!N$10,$D911,0)</f>
        <v>백분위</v>
      </c>
      <c r="Y911" s="188">
        <f ca="1">OFFSET(환산공식!FW$15,$F911,0)</f>
        <v>0.31</v>
      </c>
      <c r="Z911" s="20">
        <f ca="1">OFFSET(환산공식!FX$15,$F911,0)</f>
        <v>0.38</v>
      </c>
      <c r="AA911" s="179">
        <f ca="1">OFFSET(환산공식!FY$15,$F911,0)</f>
        <v>0.31</v>
      </c>
      <c r="AB911" s="3"/>
      <c r="AD911">
        <f t="shared" ca="1" si="30"/>
        <v>6</v>
      </c>
      <c r="AF911" s="3"/>
      <c r="AG911" s="3"/>
      <c r="AH911" s="3"/>
    </row>
    <row r="912" spans="1:34">
      <c r="A912" s="198"/>
      <c r="B912" s="198"/>
      <c r="C912" s="198" t="s">
        <v>16651</v>
      </c>
      <c r="D912" s="195">
        <v>973</v>
      </c>
      <c r="E912" s="195">
        <v>187</v>
      </c>
      <c r="F912" s="195">
        <v>187</v>
      </c>
      <c r="G912" s="239">
        <v>905</v>
      </c>
      <c r="H912" s="197" t="s">
        <v>72</v>
      </c>
      <c r="I912" s="242" t="s">
        <v>197</v>
      </c>
      <c r="J912" s="242" t="s">
        <v>198</v>
      </c>
      <c r="K912" s="195" t="s">
        <v>70</v>
      </c>
      <c r="L912" s="20" t="str">
        <f ca="1">IF(OFFSET(환산공식!$ED$15,$F912,0)=1,"O","X")</f>
        <v>X</v>
      </c>
      <c r="M912" s="188">
        <f ca="1">IFERROR(OFFSET(환산공식!DJ$15,$F912,0),"")</f>
        <v>100</v>
      </c>
      <c r="N912" s="20" t="str">
        <f ca="1">IFERROR(CONCATENATE(ROUND(OFFSET(환산공식!DK$15,$F912,0),1),"%"),"")</f>
        <v>100%</v>
      </c>
      <c r="O912" s="20">
        <f ca="1">IFERROR(OFFSET(환산공식!DL$15,$F912,0),"")</f>
        <v>1.5</v>
      </c>
      <c r="P912" s="188" t="str">
        <f t="shared" ca="1" si="29"/>
        <v>3% 이하</v>
      </c>
      <c r="Q912" s="194">
        <f ca="1">IFERROR(ROUND(OFFSET(환산공식!$FG$15,$F912,0),3),"")</f>
        <v>0</v>
      </c>
      <c r="R912" s="194">
        <f ca="1">OFFSET('배치점수 계산기'!H$10,$D912,0)</f>
        <v>500.96499999999997</v>
      </c>
      <c r="S912" s="194">
        <f ca="1">OFFSET('배치점수 계산기'!I$10,$D912,0)</f>
        <v>498.54700000000003</v>
      </c>
      <c r="T912" s="194">
        <f ca="1">OFFSET('배치점수 계산기'!J$10,$D912,0)</f>
        <v>497.44900000000001</v>
      </c>
      <c r="U912" s="194">
        <f ca="1">OFFSET('배치점수 계산기'!K$10,$D912,0)</f>
        <v>496.31200000000001</v>
      </c>
      <c r="V912" s="194">
        <f ca="1">OFFSET('배치점수 계산기'!L$10,$D912,0)</f>
        <v>495.07</v>
      </c>
      <c r="W912" s="186" t="str">
        <f ca="1">OFFSET('배치점수 계산기'!M$10,$D912,0)</f>
        <v>백분위</v>
      </c>
      <c r="X912" s="184" t="str">
        <f ca="1">OFFSET('배치점수 계산기'!N$10,$D912,0)</f>
        <v>백분위</v>
      </c>
      <c r="Y912" s="188">
        <f ca="1">OFFSET(환산공식!FW$15,$F912,0)</f>
        <v>0.25</v>
      </c>
      <c r="Z912" s="20">
        <f ca="1">OFFSET(환산공식!FX$15,$F912,0)</f>
        <v>0.38</v>
      </c>
      <c r="AA912" s="179">
        <f ca="1">OFFSET(환산공식!FY$15,$F912,0)</f>
        <v>0.38</v>
      </c>
      <c r="AB912" s="3"/>
      <c r="AD912">
        <f t="shared" ca="1" si="30"/>
        <v>6</v>
      </c>
      <c r="AF912" s="3"/>
      <c r="AG912" s="3"/>
      <c r="AH912" s="3"/>
    </row>
    <row r="913" spans="1:34">
      <c r="A913" s="198"/>
      <c r="B913" s="198"/>
      <c r="C913" s="198" t="s">
        <v>16652</v>
      </c>
      <c r="D913" s="195">
        <v>974</v>
      </c>
      <c r="E913" s="195">
        <v>181</v>
      </c>
      <c r="F913" s="195">
        <v>181</v>
      </c>
      <c r="G913" s="239">
        <v>906</v>
      </c>
      <c r="H913" s="197" t="s">
        <v>72</v>
      </c>
      <c r="I913" s="242" t="s">
        <v>245</v>
      </c>
      <c r="J913" s="242" t="s">
        <v>198</v>
      </c>
      <c r="K913" s="195" t="s">
        <v>70</v>
      </c>
      <c r="L913" s="20" t="str">
        <f ca="1">IF(OFFSET(환산공식!$ED$15,$F913,0)=1,"O","X")</f>
        <v>X</v>
      </c>
      <c r="M913" s="188">
        <f ca="1">IFERROR(OFFSET(환산공식!DJ$15,$F913,0),"")</f>
        <v>200</v>
      </c>
      <c r="N913" s="20" t="str">
        <f ca="1">IFERROR(CONCATENATE(ROUND(OFFSET(환산공식!DK$15,$F913,0),1),"%"),"")</f>
        <v>100%</v>
      </c>
      <c r="O913" s="20">
        <f ca="1">IFERROR(OFFSET(환산공식!DL$15,$F913,0),"")</f>
        <v>10</v>
      </c>
      <c r="P913" s="188" t="str">
        <f t="shared" ca="1" si="29"/>
        <v>3% 이하</v>
      </c>
      <c r="Q913" s="194">
        <f ca="1">IFERROR(ROUND(OFFSET(환산공식!$FG$15,$F913,0),3),"")</f>
        <v>0</v>
      </c>
      <c r="R913" s="194">
        <f ca="1">OFFSET('배치점수 계산기'!H$10,$D913,0)</f>
        <v>796.37199999999996</v>
      </c>
      <c r="S913" s="194">
        <f ca="1">OFFSET('배치점수 계산기'!I$10,$D913,0)</f>
        <v>795.65200000000004</v>
      </c>
      <c r="T913" s="194">
        <f ca="1">OFFSET('배치점수 계산기'!J$10,$D913,0)</f>
        <v>794.77599999999995</v>
      </c>
      <c r="U913" s="194">
        <f ca="1">OFFSET('배치점수 계산기'!K$10,$D913,0)</f>
        <v>791.98</v>
      </c>
      <c r="V913" s="194">
        <f ca="1">OFFSET('배치점수 계산기'!L$10,$D913,0)</f>
        <v>788.62800000000004</v>
      </c>
      <c r="W913" s="186" t="str">
        <f ca="1">OFFSET('배치점수 계산기'!M$10,$D913,0)</f>
        <v>백분위</v>
      </c>
      <c r="X913" s="184" t="str">
        <f ca="1">OFFSET('배치점수 계산기'!N$10,$D913,0)</f>
        <v>백분위</v>
      </c>
      <c r="Y913" s="188">
        <f ca="1">OFFSET(환산공식!FW$15,$F913,0)</f>
        <v>0.33</v>
      </c>
      <c r="Z913" s="20">
        <f ca="1">OFFSET(환산공식!FX$15,$F913,0)</f>
        <v>0.47</v>
      </c>
      <c r="AA913" s="179">
        <f ca="1">OFFSET(환산공식!FY$15,$F913,0)</f>
        <v>0.2</v>
      </c>
      <c r="AB913" s="3"/>
      <c r="AD913">
        <f t="shared" ca="1" si="30"/>
        <v>6</v>
      </c>
      <c r="AF913" s="3"/>
      <c r="AG913" s="3"/>
      <c r="AH913" s="3"/>
    </row>
    <row r="914" spans="1:34">
      <c r="A914" s="198"/>
      <c r="B914" s="198"/>
      <c r="C914" s="198" t="s">
        <v>16653</v>
      </c>
      <c r="D914" s="195">
        <v>975</v>
      </c>
      <c r="E914" s="195">
        <v>181</v>
      </c>
      <c r="F914" s="195">
        <v>181</v>
      </c>
      <c r="G914" s="239">
        <v>907</v>
      </c>
      <c r="H914" s="197" t="s">
        <v>72</v>
      </c>
      <c r="I914" s="242" t="s">
        <v>245</v>
      </c>
      <c r="J914" s="242" t="s">
        <v>432</v>
      </c>
      <c r="K914" s="195" t="s">
        <v>70</v>
      </c>
      <c r="L914" s="20" t="str">
        <f ca="1">IF(OFFSET(환산공식!$ED$15,$F914,0)=1,"O","X")</f>
        <v>X</v>
      </c>
      <c r="M914" s="188">
        <f ca="1">IFERROR(OFFSET(환산공식!DJ$15,$F914,0),"")</f>
        <v>200</v>
      </c>
      <c r="N914" s="20" t="str">
        <f ca="1">IFERROR(CONCATENATE(ROUND(OFFSET(환산공식!DK$15,$F914,0),1),"%"),"")</f>
        <v>100%</v>
      </c>
      <c r="O914" s="20">
        <f ca="1">IFERROR(OFFSET(환산공식!DL$15,$F914,0),"")</f>
        <v>10</v>
      </c>
      <c r="P914" s="188" t="str">
        <f t="shared" ca="1" si="29"/>
        <v>3% 이하</v>
      </c>
      <c r="Q914" s="194">
        <f ca="1">IFERROR(ROUND(OFFSET(환산공식!$FG$15,$F914,0),3),"")</f>
        <v>0</v>
      </c>
      <c r="R914" s="194">
        <f ca="1">OFFSET('배치점수 계산기'!H$10,$D914,0)</f>
        <v>791.44</v>
      </c>
      <c r="S914" s="194">
        <f ca="1">OFFSET('배치점수 계산기'!I$10,$D914,0)</f>
        <v>789.28399999999999</v>
      </c>
      <c r="T914" s="194">
        <f ca="1">OFFSET('배치점수 계산기'!J$10,$D914,0)</f>
        <v>787.548</v>
      </c>
      <c r="U914" s="194">
        <f ca="1">OFFSET('배치점수 계산기'!K$10,$D914,0)</f>
        <v>785.14</v>
      </c>
      <c r="V914" s="194">
        <f ca="1">OFFSET('배치점수 계산기'!L$10,$D914,0)</f>
        <v>780.13199999999995</v>
      </c>
      <c r="W914" s="186" t="str">
        <f ca="1">OFFSET('배치점수 계산기'!M$10,$D914,0)</f>
        <v>백분위</v>
      </c>
      <c r="X914" s="184" t="str">
        <f ca="1">OFFSET('배치점수 계산기'!N$10,$D914,0)</f>
        <v>백분위</v>
      </c>
      <c r="Y914" s="188">
        <f ca="1">OFFSET(환산공식!FW$15,$F914,0)</f>
        <v>0.33</v>
      </c>
      <c r="Z914" s="20">
        <f ca="1">OFFSET(환산공식!FX$15,$F914,0)</f>
        <v>0.47</v>
      </c>
      <c r="AA914" s="179">
        <f ca="1">OFFSET(환산공식!FY$15,$F914,0)</f>
        <v>0.2</v>
      </c>
      <c r="AB914" s="3"/>
      <c r="AD914">
        <f t="shared" ca="1" si="30"/>
        <v>6</v>
      </c>
      <c r="AF914" s="3"/>
      <c r="AG914" s="3"/>
      <c r="AH914" s="3"/>
    </row>
    <row r="915" spans="1:34">
      <c r="A915" s="198"/>
      <c r="B915" s="198"/>
      <c r="C915" s="198" t="s">
        <v>16654</v>
      </c>
      <c r="D915" s="195">
        <v>976</v>
      </c>
      <c r="E915" s="195">
        <v>144</v>
      </c>
      <c r="F915" s="195">
        <v>144</v>
      </c>
      <c r="G915" s="239">
        <v>908</v>
      </c>
      <c r="H915" s="197" t="s">
        <v>72</v>
      </c>
      <c r="I915" s="242" t="s">
        <v>256</v>
      </c>
      <c r="J915" s="242" t="s">
        <v>198</v>
      </c>
      <c r="K915" s="195" t="s">
        <v>70</v>
      </c>
      <c r="L915" s="20" t="str">
        <f ca="1">IF(OFFSET(환산공식!$ED$15,$F915,0)=1,"O","X")</f>
        <v>X</v>
      </c>
      <c r="M915" s="188">
        <f ca="1">IFERROR(OFFSET(환산공식!DJ$15,$F915,0),"")</f>
        <v>160</v>
      </c>
      <c r="N915" s="20" t="str">
        <f ca="1">IFERROR(CONCATENATE(ROUND(OFFSET(환산공식!DK$15,$F915,0),1),"%"),"")</f>
        <v>97.6%</v>
      </c>
      <c r="O915" s="20">
        <f ca="1">IFERROR(OFFSET(환산공식!DL$15,$F915,0),"")</f>
        <v>0</v>
      </c>
      <c r="P915" s="188" t="str">
        <f t="shared" ca="1" si="29"/>
        <v>3% 이하</v>
      </c>
      <c r="Q915" s="194">
        <f ca="1">IFERROR(ROUND(OFFSET(환산공식!$FG$15,$F915,0),3),"")</f>
        <v>4</v>
      </c>
      <c r="R915" s="194">
        <f ca="1">OFFSET('배치점수 계산기'!H$10,$D915,0)</f>
        <v>583.61400000000003</v>
      </c>
      <c r="S915" s="194">
        <f ca="1">OFFSET('배치점수 계산기'!I$10,$D915,0)</f>
        <v>583.47199999999998</v>
      </c>
      <c r="T915" s="194">
        <f ca="1">OFFSET('배치점수 계산기'!J$10,$D915,0)</f>
        <v>582.73199999999997</v>
      </c>
      <c r="U915" s="194">
        <f ca="1">OFFSET('배치점수 계산기'!K$10,$D915,0)</f>
        <v>582</v>
      </c>
      <c r="V915" s="194">
        <f ca="1">OFFSET('배치점수 계산기'!L$10,$D915,0)</f>
        <v>578.99800000000005</v>
      </c>
      <c r="W915" s="186" t="str">
        <f ca="1">OFFSET('배치점수 계산기'!M$10,$D915,0)</f>
        <v>표점</v>
      </c>
      <c r="X915" s="184" t="str">
        <f ca="1">OFFSET('배치점수 계산기'!N$10,$D915,0)</f>
        <v>표점</v>
      </c>
      <c r="Y915" s="188">
        <f ca="1">OFFSET(환산공식!FW$15,$F915,0)</f>
        <v>0.31</v>
      </c>
      <c r="Z915" s="20">
        <f ca="1">OFFSET(환산공식!FX$15,$F915,0)</f>
        <v>0.38</v>
      </c>
      <c r="AA915" s="179">
        <f ca="1">OFFSET(환산공식!FY$15,$F915,0)</f>
        <v>0.31</v>
      </c>
      <c r="AB915" s="3"/>
      <c r="AD915">
        <f t="shared" ca="1" si="30"/>
        <v>6</v>
      </c>
      <c r="AF915" s="3"/>
      <c r="AG915" s="3"/>
      <c r="AH915" s="3"/>
    </row>
    <row r="916" spans="1:34">
      <c r="A916" s="198"/>
      <c r="B916" s="198"/>
      <c r="C916" s="198" t="s">
        <v>16655</v>
      </c>
      <c r="D916" s="195">
        <v>977</v>
      </c>
      <c r="E916" s="195">
        <v>191</v>
      </c>
      <c r="F916" s="195">
        <v>191</v>
      </c>
      <c r="G916" s="239">
        <v>909</v>
      </c>
      <c r="H916" s="197" t="s">
        <v>72</v>
      </c>
      <c r="I916" s="242" t="s">
        <v>8000</v>
      </c>
      <c r="J916" s="242" t="s">
        <v>198</v>
      </c>
      <c r="K916" s="195" t="s">
        <v>70</v>
      </c>
      <c r="L916" s="20" t="str">
        <f ca="1">IF(OFFSET(환산공식!$ED$15,$F916,0)=1,"O","X")</f>
        <v>X</v>
      </c>
      <c r="M916" s="188">
        <f ca="1">IFERROR(OFFSET(환산공식!DJ$15,$F916,0),"")</f>
        <v>200</v>
      </c>
      <c r="N916" s="20" t="str">
        <f ca="1">IFERROR(CONCATENATE(ROUND(OFFSET(환산공식!DK$15,$F916,0),1),"%"),"")</f>
        <v>100%</v>
      </c>
      <c r="O916" s="20">
        <f ca="1">IFERROR(OFFSET(환산공식!DL$15,$F916,0),"")</f>
        <v>0</v>
      </c>
      <c r="P916" s="188" t="str">
        <f t="shared" ca="1" si="29"/>
        <v>3% 이하</v>
      </c>
      <c r="Q916" s="194">
        <f ca="1">IFERROR(ROUND(OFFSET(환산공식!$FG$15,$F916,0),3),"")</f>
        <v>0</v>
      </c>
      <c r="R916" s="194">
        <f ca="1">OFFSET('배치점수 계산기'!H$10,$D916,0)</f>
        <v>941.13199999999995</v>
      </c>
      <c r="S916" s="194">
        <f ca="1">OFFSET('배치점수 계산기'!I$10,$D916,0)</f>
        <v>940.13800000000003</v>
      </c>
      <c r="T916" s="194">
        <f ca="1">OFFSET('배치점수 계산기'!J$10,$D916,0)</f>
        <v>939.596</v>
      </c>
      <c r="U916" s="194">
        <f ca="1">OFFSET('배치점수 계산기'!K$10,$D916,0)</f>
        <v>938.26499999999999</v>
      </c>
      <c r="V916" s="194">
        <f ca="1">OFFSET('배치점수 계산기'!L$10,$D916,0)</f>
        <v>935.78</v>
      </c>
      <c r="W916" s="186" t="str">
        <f ca="1">OFFSET('배치점수 계산기'!M$10,$D916,0)</f>
        <v>표점/만점</v>
      </c>
      <c r="X916" s="184" t="str">
        <f ca="1">OFFSET('배치점수 계산기'!N$10,$D916,0)</f>
        <v>표점/만점</v>
      </c>
      <c r="Y916" s="188">
        <f ca="1">OFFSET(환산공식!FW$15,$F916,0)</f>
        <v>0.31</v>
      </c>
      <c r="Z916" s="20">
        <f ca="1">OFFSET(환산공식!FX$15,$F916,0)</f>
        <v>0.37</v>
      </c>
      <c r="AA916" s="179">
        <f ca="1">OFFSET(환산공식!FY$15,$F916,0)</f>
        <v>0.31</v>
      </c>
      <c r="AB916" s="3"/>
      <c r="AD916">
        <f t="shared" ca="1" si="30"/>
        <v>6</v>
      </c>
      <c r="AF916" s="3"/>
      <c r="AG916" s="3"/>
      <c r="AH916" s="3"/>
    </row>
    <row r="917" spans="1:34">
      <c r="A917" s="198"/>
      <c r="B917" s="198"/>
      <c r="C917" s="198" t="s">
        <v>16656</v>
      </c>
      <c r="D917" s="195">
        <v>978</v>
      </c>
      <c r="E917" s="195">
        <v>191</v>
      </c>
      <c r="F917" s="195">
        <v>191</v>
      </c>
      <c r="G917" s="239">
        <v>910</v>
      </c>
      <c r="H917" s="197" t="s">
        <v>72</v>
      </c>
      <c r="I917" s="242" t="s">
        <v>8000</v>
      </c>
      <c r="J917" s="242" t="s">
        <v>432</v>
      </c>
      <c r="K917" s="195" t="s">
        <v>70</v>
      </c>
      <c r="L917" s="20" t="str">
        <f ca="1">IF(OFFSET(환산공식!$ED$15,$F917,0)=1,"O","X")</f>
        <v>X</v>
      </c>
      <c r="M917" s="188">
        <f ca="1">IFERROR(OFFSET(환산공식!DJ$15,$F917,0),"")</f>
        <v>200</v>
      </c>
      <c r="N917" s="20" t="str">
        <f ca="1">IFERROR(CONCATENATE(ROUND(OFFSET(환산공식!DK$15,$F917,0),1),"%"),"")</f>
        <v>100%</v>
      </c>
      <c r="O917" s="20">
        <f ca="1">IFERROR(OFFSET(환산공식!DL$15,$F917,0),"")</f>
        <v>0</v>
      </c>
      <c r="P917" s="188" t="str">
        <f t="shared" ca="1" si="29"/>
        <v>3% 이하</v>
      </c>
      <c r="Q917" s="194">
        <f ca="1">IFERROR(ROUND(OFFSET(환산공식!$FG$15,$F917,0),3),"")</f>
        <v>0</v>
      </c>
      <c r="R917" s="194">
        <f ca="1">OFFSET('배치점수 계산기'!H$10,$D917,0)</f>
        <v>935.33299999999997</v>
      </c>
      <c r="S917" s="194">
        <f ca="1">OFFSET('배치점수 계산기'!I$10,$D917,0)</f>
        <v>934.23500000000001</v>
      </c>
      <c r="T917" s="194">
        <f ca="1">OFFSET('배치점수 계산기'!J$10,$D917,0)</f>
        <v>933.59900000000005</v>
      </c>
      <c r="U917" s="194">
        <f ca="1">OFFSET('배치점수 계산기'!K$10,$D917,0)</f>
        <v>932.5</v>
      </c>
      <c r="V917" s="194">
        <f ca="1">OFFSET('배치점수 계산기'!L$10,$D917,0)</f>
        <v>926.78399999999999</v>
      </c>
      <c r="W917" s="186" t="str">
        <f ca="1">OFFSET('배치점수 계산기'!M$10,$D917,0)</f>
        <v>표점/만점</v>
      </c>
      <c r="X917" s="184" t="str">
        <f ca="1">OFFSET('배치점수 계산기'!N$10,$D917,0)</f>
        <v>표점/만점</v>
      </c>
      <c r="Y917" s="188">
        <f ca="1">OFFSET(환산공식!FW$15,$F917,0)</f>
        <v>0.31</v>
      </c>
      <c r="Z917" s="20">
        <f ca="1">OFFSET(환산공식!FX$15,$F917,0)</f>
        <v>0.37</v>
      </c>
      <c r="AA917" s="179">
        <f ca="1">OFFSET(환산공식!FY$15,$F917,0)</f>
        <v>0.31</v>
      </c>
      <c r="AB917" s="3"/>
      <c r="AD917">
        <f t="shared" ca="1" si="30"/>
        <v>6</v>
      </c>
    </row>
    <row r="918" spans="1:34">
      <c r="A918" s="198"/>
      <c r="B918" s="198"/>
      <c r="C918" s="198" t="s">
        <v>16657</v>
      </c>
      <c r="D918" s="195">
        <v>979</v>
      </c>
      <c r="E918" s="195">
        <v>179</v>
      </c>
      <c r="F918" s="195">
        <v>179</v>
      </c>
      <c r="G918" s="239">
        <v>911</v>
      </c>
      <c r="H918" s="197" t="s">
        <v>72</v>
      </c>
      <c r="I918" s="242" t="s">
        <v>242</v>
      </c>
      <c r="J918" s="242" t="s">
        <v>432</v>
      </c>
      <c r="K918" s="195" t="s">
        <v>70</v>
      </c>
      <c r="L918" s="20" t="str">
        <f ca="1">IF(OFFSET(환산공식!$ED$15,$F918,0)=1,"O","X")</f>
        <v>X</v>
      </c>
      <c r="M918" s="188">
        <f ca="1">IFERROR(OFFSET(환산공식!DJ$15,$F918,0),"")</f>
        <v>135</v>
      </c>
      <c r="N918" s="20" t="str">
        <f ca="1">IFERROR(CONCATENATE(ROUND(OFFSET(환산공식!DK$15,$F918,0),1),"%"),"")</f>
        <v>100%</v>
      </c>
      <c r="O918" s="20">
        <f ca="1">IFERROR(OFFSET(환산공식!DL$15,$F918,0),"")</f>
        <v>0</v>
      </c>
      <c r="P918" s="188" t="str">
        <f t="shared" ca="1" si="29"/>
        <v>3% 이하</v>
      </c>
      <c r="Q918" s="194">
        <f ca="1">IFERROR(ROUND(OFFSET(환산공식!$FG$15,$F918,0),3),"")</f>
        <v>0</v>
      </c>
      <c r="R918" s="194">
        <f ca="1">OFFSET('배치점수 계산기'!H$10,$D918,0)</f>
        <v>531</v>
      </c>
      <c r="S918" s="194">
        <f ca="1">OFFSET('배치점수 계산기'!I$10,$D918,0)</f>
        <v>530.5</v>
      </c>
      <c r="T918" s="194">
        <f ca="1">OFFSET('배치점수 계산기'!J$10,$D918,0)</f>
        <v>529.9</v>
      </c>
      <c r="U918" s="194">
        <f ca="1">OFFSET('배치점수 계산기'!K$10,$D918,0)</f>
        <v>527.79999999999995</v>
      </c>
      <c r="V918" s="194">
        <f ca="1">OFFSET('배치점수 계산기'!L$10,$D918,0)</f>
        <v>522.9</v>
      </c>
      <c r="W918" s="186" t="str">
        <f ca="1">OFFSET('배치점수 계산기'!M$10,$D918,0)</f>
        <v>표점</v>
      </c>
      <c r="X918" s="184" t="str">
        <f ca="1">OFFSET('배치점수 계산기'!N$10,$D918,0)</f>
        <v>표점</v>
      </c>
      <c r="Y918" s="188">
        <f ca="1">OFFSET(환산공식!FW$15,$F918,0)</f>
        <v>0.33</v>
      </c>
      <c r="Z918" s="20">
        <f ca="1">OFFSET(환산공식!FX$15,$F918,0)</f>
        <v>0.33</v>
      </c>
      <c r="AA918" s="179">
        <f ca="1">OFFSET(환산공식!FY$15,$F918,0)</f>
        <v>0.33</v>
      </c>
      <c r="AB918" s="3"/>
      <c r="AD918">
        <f t="shared" ca="1" si="30"/>
        <v>6</v>
      </c>
    </row>
    <row r="919" spans="1:34">
      <c r="A919" s="198"/>
      <c r="B919" s="198"/>
      <c r="C919" s="198" t="s">
        <v>16658</v>
      </c>
      <c r="D919" s="195">
        <v>980</v>
      </c>
      <c r="E919" s="195">
        <v>179</v>
      </c>
      <c r="F919" s="195">
        <v>179</v>
      </c>
      <c r="G919" s="239">
        <v>912</v>
      </c>
      <c r="H919" s="197" t="s">
        <v>72</v>
      </c>
      <c r="I919" s="242" t="s">
        <v>242</v>
      </c>
      <c r="J919" s="242" t="s">
        <v>198</v>
      </c>
      <c r="K919" s="195" t="s">
        <v>70</v>
      </c>
      <c r="L919" s="20" t="str">
        <f ca="1">IF(OFFSET(환산공식!$ED$15,$F919,0)=1,"O","X")</f>
        <v>X</v>
      </c>
      <c r="M919" s="188">
        <f ca="1">IFERROR(OFFSET(환산공식!DJ$15,$F919,0),"")</f>
        <v>135</v>
      </c>
      <c r="N919" s="20" t="str">
        <f ca="1">IFERROR(CONCATENATE(ROUND(OFFSET(환산공식!DK$15,$F919,0),1),"%"),"")</f>
        <v>100%</v>
      </c>
      <c r="O919" s="20">
        <f ca="1">IFERROR(OFFSET(환산공식!DL$15,$F919,0),"")</f>
        <v>0</v>
      </c>
      <c r="P919" s="188" t="str">
        <f t="shared" ca="1" si="29"/>
        <v>3% 이하</v>
      </c>
      <c r="Q919" s="194">
        <f ca="1">IFERROR(ROUND(OFFSET(환산공식!$FG$15,$F919,0),3),"")</f>
        <v>0</v>
      </c>
      <c r="R919" s="194">
        <f ca="1">OFFSET('배치점수 계산기'!H$10,$D919,0)</f>
        <v>530.5</v>
      </c>
      <c r="S919" s="194">
        <f ca="1">OFFSET('배치점수 계산기'!I$10,$D919,0)</f>
        <v>529.1</v>
      </c>
      <c r="T919" s="194">
        <f ca="1">OFFSET('배치점수 계산기'!J$10,$D919,0)</f>
        <v>528.6</v>
      </c>
      <c r="U919" s="194">
        <f ca="1">OFFSET('배치점수 계산기'!K$10,$D919,0)</f>
        <v>526.9</v>
      </c>
      <c r="V919" s="194">
        <f ca="1">OFFSET('배치점수 계산기'!L$10,$D919,0)</f>
        <v>522.9</v>
      </c>
      <c r="W919" s="186" t="str">
        <f ca="1">OFFSET('배치점수 계산기'!M$10,$D919,0)</f>
        <v>표점</v>
      </c>
      <c r="X919" s="184" t="str">
        <f ca="1">OFFSET('배치점수 계산기'!N$10,$D919,0)</f>
        <v>표점</v>
      </c>
      <c r="Y919" s="188">
        <f ca="1">OFFSET(환산공식!FW$15,$F919,0)</f>
        <v>0.33</v>
      </c>
      <c r="Z919" s="20">
        <f ca="1">OFFSET(환산공식!FX$15,$F919,0)</f>
        <v>0.33</v>
      </c>
      <c r="AA919" s="179">
        <f ca="1">OFFSET(환산공식!FY$15,$F919,0)</f>
        <v>0.33</v>
      </c>
      <c r="AB919" s="3"/>
      <c r="AD919">
        <f t="shared" ca="1" si="30"/>
        <v>6</v>
      </c>
    </row>
    <row r="920" spans="1:34">
      <c r="A920" s="198"/>
      <c r="B920" s="198"/>
      <c r="C920" s="198" t="s">
        <v>16659</v>
      </c>
      <c r="D920" s="195">
        <v>981</v>
      </c>
      <c r="E920" s="195">
        <v>148</v>
      </c>
      <c r="F920" s="195">
        <v>148</v>
      </c>
      <c r="G920" s="239">
        <v>913</v>
      </c>
      <c r="H920" s="197" t="s">
        <v>72</v>
      </c>
      <c r="I920" s="242" t="s">
        <v>251</v>
      </c>
      <c r="J920" s="242" t="s">
        <v>198</v>
      </c>
      <c r="K920" s="195" t="s">
        <v>70</v>
      </c>
      <c r="L920" s="20" t="str">
        <f ca="1">IF(OFFSET(환산공식!$ED$15,$F920,0)=1,"O","X")</f>
        <v>X</v>
      </c>
      <c r="M920" s="188">
        <f ca="1">IFERROR(OFFSET(환산공식!DJ$15,$F920,0),"")</f>
        <v>150</v>
      </c>
      <c r="N920" s="20" t="str">
        <f ca="1">IFERROR(CONCATENATE(ROUND(OFFSET(환산공식!DK$15,$F920,0),1),"%"),"")</f>
        <v>100%</v>
      </c>
      <c r="O920" s="20">
        <f ca="1">IFERROR(OFFSET(환산공식!DL$15,$F920,0),"")</f>
        <v>5</v>
      </c>
      <c r="P920" s="188" t="str">
        <f t="shared" ca="1" si="29"/>
        <v>3% 이하</v>
      </c>
      <c r="Q920" s="194">
        <f ca="1">IFERROR(ROUND(OFFSET(환산공식!$FG$15,$F920,0),3),"")</f>
        <v>0</v>
      </c>
      <c r="R920" s="194">
        <f ca="1">OFFSET('배치점수 계산기'!H$10,$D920,0)</f>
        <v>941.00099999999998</v>
      </c>
      <c r="S920" s="194">
        <f ca="1">OFFSET('배치점수 계산기'!I$10,$D920,0)</f>
        <v>938.23900000000003</v>
      </c>
      <c r="T920" s="194">
        <f ca="1">OFFSET('배치점수 계산기'!J$10,$D920,0)</f>
        <v>935.13699999999994</v>
      </c>
      <c r="U920" s="194">
        <f ca="1">OFFSET('배치점수 계산기'!K$10,$D920,0)</f>
        <v>932.75599999999997</v>
      </c>
      <c r="V920" s="194">
        <f ca="1">OFFSET('배치점수 계산기'!L$10,$D920,0)</f>
        <v>928.23900000000003</v>
      </c>
      <c r="W920" s="186" t="str">
        <f ca="1">OFFSET('배치점수 계산기'!M$10,$D920,0)</f>
        <v>표점/만점</v>
      </c>
      <c r="X920" s="184" t="str">
        <f ca="1">OFFSET('배치점수 계산기'!N$10,$D920,0)</f>
        <v>백분위</v>
      </c>
      <c r="Y920" s="188">
        <f ca="1">OFFSET(환산공식!FW$15,$F920,0)</f>
        <v>0.26</v>
      </c>
      <c r="Z920" s="20">
        <f ca="1">OFFSET(환산공식!FX$15,$F920,0)</f>
        <v>0.37</v>
      </c>
      <c r="AA920" s="179">
        <f ca="1">OFFSET(환산공식!FY$15,$F920,0)</f>
        <v>0.37</v>
      </c>
      <c r="AB920" s="3"/>
      <c r="AD920">
        <f t="shared" ca="1" si="30"/>
        <v>6</v>
      </c>
    </row>
    <row r="921" spans="1:34">
      <c r="A921" s="198"/>
      <c r="B921" s="198"/>
      <c r="C921" s="198" t="s">
        <v>16660</v>
      </c>
      <c r="D921" s="195">
        <v>982</v>
      </c>
      <c r="E921" s="195">
        <v>154</v>
      </c>
      <c r="F921" s="195">
        <v>154</v>
      </c>
      <c r="G921" s="239">
        <v>914</v>
      </c>
      <c r="H921" s="197" t="s">
        <v>72</v>
      </c>
      <c r="I921" s="242" t="s">
        <v>255</v>
      </c>
      <c r="J921" s="242" t="s">
        <v>198</v>
      </c>
      <c r="K921" s="195" t="s">
        <v>70</v>
      </c>
      <c r="L921" s="20" t="str">
        <f ca="1">IF(OFFSET(환산공식!$ED$15,$F921,0)=1,"O","X")</f>
        <v>X</v>
      </c>
      <c r="M921" s="188">
        <f ca="1">IFERROR(OFFSET(환산공식!DJ$15,$F921,0),"")</f>
        <v>200</v>
      </c>
      <c r="N921" s="20" t="str">
        <f ca="1">IFERROR(CONCATENATE(ROUND(OFFSET(환산공식!DK$15,$F921,0),1),"%"),"")</f>
        <v>100%</v>
      </c>
      <c r="O921" s="20">
        <f ca="1">IFERROR(OFFSET(환산공식!DL$15,$F921,0),"")</f>
        <v>10</v>
      </c>
      <c r="P921" s="188" t="str">
        <f t="shared" ca="1" si="29"/>
        <v>3% 이하</v>
      </c>
      <c r="Q921" s="194">
        <f ca="1">IFERROR(ROUND(OFFSET(환산공식!$FG$15,$F921,0),3),"")</f>
        <v>0</v>
      </c>
      <c r="R921" s="194">
        <f ca="1">OFFSET('배치점수 계산기'!H$10,$D921,0)</f>
        <v>978.76</v>
      </c>
      <c r="S921" s="194">
        <f ca="1">OFFSET('배치점수 계산기'!I$10,$D921,0)</f>
        <v>974.125</v>
      </c>
      <c r="T921" s="194">
        <f ca="1">OFFSET('배치점수 계산기'!J$10,$D921,0)</f>
        <v>971.85500000000002</v>
      </c>
      <c r="U921" s="194">
        <f ca="1">OFFSET('배치점수 계산기'!K$10,$D921,0)</f>
        <v>968.495</v>
      </c>
      <c r="V921" s="194">
        <f ca="1">OFFSET('배치점수 계산기'!L$10,$D921,0)</f>
        <v>963.28499999999997</v>
      </c>
      <c r="W921" s="186" t="str">
        <f ca="1">OFFSET('배치점수 계산기'!M$10,$D921,0)</f>
        <v>백분위</v>
      </c>
      <c r="X921" s="184" t="str">
        <f ca="1">OFFSET('배치점수 계산기'!N$10,$D921,0)</f>
        <v>백분위</v>
      </c>
      <c r="Y921" s="188">
        <f ca="1">OFFSET(환산공식!FW$15,$F921,0)</f>
        <v>0.31</v>
      </c>
      <c r="Z921" s="20">
        <f ca="1">OFFSET(환산공식!FX$15,$F921,0)</f>
        <v>0.38</v>
      </c>
      <c r="AA921" s="179">
        <f ca="1">OFFSET(환산공식!FY$15,$F921,0)</f>
        <v>0.31</v>
      </c>
      <c r="AB921" s="3"/>
      <c r="AD921">
        <f t="shared" ca="1" si="30"/>
        <v>6</v>
      </c>
    </row>
    <row r="922" spans="1:34">
      <c r="A922" s="198"/>
      <c r="B922" s="198"/>
      <c r="C922" s="198" t="s">
        <v>16661</v>
      </c>
      <c r="D922" s="195">
        <v>983</v>
      </c>
      <c r="E922" s="195">
        <v>286</v>
      </c>
      <c r="F922" s="195">
        <v>286</v>
      </c>
      <c r="G922" s="239">
        <v>915</v>
      </c>
      <c r="H922" s="197" t="s">
        <v>72</v>
      </c>
      <c r="I922" s="242" t="s">
        <v>209</v>
      </c>
      <c r="J922" s="242" t="s">
        <v>7989</v>
      </c>
      <c r="K922" s="195" t="s">
        <v>70</v>
      </c>
      <c r="L922" s="20" t="str">
        <f ca="1">IF(OFFSET(환산공식!$ED$15,$F922,0)=1,"O","X")</f>
        <v>X</v>
      </c>
      <c r="M922" s="188">
        <f ca="1">IFERROR(OFFSET(환산공식!DJ$15,$F922,0),"")</f>
        <v>200</v>
      </c>
      <c r="N922" s="20" t="str">
        <f ca="1">IFERROR(CONCATENATE(ROUND(OFFSET(환산공식!DK$15,$F922,0),1),"%"),"")</f>
        <v>100%</v>
      </c>
      <c r="O922" s="20">
        <f ca="1">IFERROR(OFFSET(환산공식!DL$15,$F922,0),"")</f>
        <v>10</v>
      </c>
      <c r="P922" s="188" t="str">
        <f t="shared" ca="1" si="29"/>
        <v>3% 이하</v>
      </c>
      <c r="Q922" s="194">
        <f ca="1">IFERROR(ROUND(OFFSET(환산공식!$FG$15,$F922,0),3),"")</f>
        <v>0</v>
      </c>
      <c r="R922" s="194">
        <f ca="1">OFFSET('배치점수 계산기'!H$10,$D922,0)</f>
        <v>745.31</v>
      </c>
      <c r="S922" s="194">
        <f ca="1">OFFSET('배치점수 계산기'!I$10,$D922,0)</f>
        <v>744.77</v>
      </c>
      <c r="T922" s="194">
        <f ca="1">OFFSET('배치점수 계산기'!J$10,$D922,0)</f>
        <v>744.38</v>
      </c>
      <c r="U922" s="194">
        <f ca="1">OFFSET('배치점수 계산기'!K$10,$D922,0)</f>
        <v>742.81600000000003</v>
      </c>
      <c r="V922" s="194">
        <f ca="1">OFFSET('배치점수 계산기'!L$10,$D922,0)</f>
        <v>735.58</v>
      </c>
      <c r="W922" s="186" t="str">
        <f ca="1">OFFSET('배치점수 계산기'!M$10,$D922,0)</f>
        <v>표점</v>
      </c>
      <c r="X922" s="184" t="str">
        <f ca="1">OFFSET('배치점수 계산기'!N$10,$D922,0)</f>
        <v>표점</v>
      </c>
      <c r="Y922" s="188">
        <f ca="1">OFFSET(환산공식!FW$15,$F922,0)</f>
        <v>0.25</v>
      </c>
      <c r="Z922" s="20">
        <f ca="1">OFFSET(환산공식!FX$15,$F922,0)</f>
        <v>0.38</v>
      </c>
      <c r="AA922" s="179">
        <f ca="1">OFFSET(환산공식!FY$15,$F922,0)</f>
        <v>0.38</v>
      </c>
      <c r="AB922" s="3"/>
      <c r="AD922">
        <f t="shared" ca="1" si="30"/>
        <v>6</v>
      </c>
    </row>
    <row r="923" spans="1:34">
      <c r="A923" s="198"/>
      <c r="B923" s="198"/>
      <c r="C923" s="198" t="s">
        <v>16662</v>
      </c>
      <c r="D923" s="195">
        <v>984</v>
      </c>
      <c r="E923" s="195">
        <v>140</v>
      </c>
      <c r="F923" s="195">
        <v>140</v>
      </c>
      <c r="G923" s="239">
        <v>916</v>
      </c>
      <c r="H923" s="197" t="s">
        <v>72</v>
      </c>
      <c r="I923" s="242" t="s">
        <v>195</v>
      </c>
      <c r="J923" s="242" t="s">
        <v>205</v>
      </c>
      <c r="K923" s="195" t="s">
        <v>70</v>
      </c>
      <c r="L923" s="20" t="str">
        <f ca="1">IF(OFFSET(환산공식!$ED$15,$F923,0)=1,"O","X")</f>
        <v>X</v>
      </c>
      <c r="M923" s="188">
        <f ca="1">IFERROR(OFFSET(환산공식!DJ$15,$F923,0),"")</f>
        <v>19.600000000000001</v>
      </c>
      <c r="N923" s="20" t="str">
        <f ca="1">IFERROR(CONCATENATE(ROUND(OFFSET(환산공식!DK$15,$F923,0),1),"%"),"")</f>
        <v>100%</v>
      </c>
      <c r="O923" s="20">
        <f ca="1">IFERROR(OFFSET(환산공식!DL$15,$F923,0),"")</f>
        <v>0</v>
      </c>
      <c r="P923" s="188" t="str">
        <f t="shared" ca="1" si="29"/>
        <v>3% 이하</v>
      </c>
      <c r="Q923" s="194">
        <f ca="1">IFERROR(ROUND(OFFSET(환산공식!$FG$15,$F923,0),3),"")</f>
        <v>0</v>
      </c>
      <c r="R923" s="194">
        <f ca="1">OFFSET('배치점수 계산기'!H$10,$D923,0)</f>
        <v>97.370999999999995</v>
      </c>
      <c r="S923" s="194">
        <f ca="1">OFFSET('배치점수 계산기'!I$10,$D923,0)</f>
        <v>97.228999999999999</v>
      </c>
      <c r="T923" s="194">
        <f ca="1">OFFSET('배치점수 계산기'!J$10,$D923,0)</f>
        <v>97.066999999999993</v>
      </c>
      <c r="U923" s="194">
        <f ca="1">OFFSET('배치점수 계산기'!K$10,$D923,0)</f>
        <v>96.593000000000004</v>
      </c>
      <c r="V923" s="194">
        <f ca="1">OFFSET('배치점수 계산기'!L$10,$D923,0)</f>
        <v>95.513000000000005</v>
      </c>
      <c r="W923" s="186" t="str">
        <f ca="1">OFFSET('배치점수 계산기'!M$10,$D923,0)</f>
        <v>백분위</v>
      </c>
      <c r="X923" s="184" t="str">
        <f ca="1">OFFSET('배치점수 계산기'!N$10,$D923,0)</f>
        <v>백분위</v>
      </c>
      <c r="Y923" s="188">
        <f ca="1">OFFSET(환산공식!FW$15,$F923,0)</f>
        <v>0.31</v>
      </c>
      <c r="Z923" s="20">
        <f ca="1">OFFSET(환산공식!FX$15,$F923,0)</f>
        <v>0.38</v>
      </c>
      <c r="AA923" s="179">
        <f ca="1">OFFSET(환산공식!FY$15,$F923,0)</f>
        <v>0.31</v>
      </c>
      <c r="AB923" s="3"/>
      <c r="AD923">
        <f t="shared" ca="1" si="30"/>
        <v>6</v>
      </c>
    </row>
    <row r="924" spans="1:34">
      <c r="A924" s="198"/>
      <c r="B924" s="198"/>
      <c r="C924" s="198" t="s">
        <v>16663</v>
      </c>
      <c r="D924" s="195">
        <v>985</v>
      </c>
      <c r="E924" s="195">
        <v>149</v>
      </c>
      <c r="F924" s="195">
        <v>149</v>
      </c>
      <c r="G924" s="239">
        <v>917</v>
      </c>
      <c r="H924" s="197" t="s">
        <v>72</v>
      </c>
      <c r="I924" s="242" t="s">
        <v>203</v>
      </c>
      <c r="J924" s="242" t="s">
        <v>205</v>
      </c>
      <c r="K924" s="195" t="s">
        <v>70</v>
      </c>
      <c r="L924" s="20" t="str">
        <f ca="1">IF(OFFSET(환산공식!$ED$15,$F924,0)=1,"O","X")</f>
        <v>X</v>
      </c>
      <c r="M924" s="188">
        <f ca="1">IFERROR(OFFSET(환산공식!DJ$15,$F924,0),"")</f>
        <v>200</v>
      </c>
      <c r="N924" s="20" t="str">
        <f ca="1">IFERROR(CONCATENATE(ROUND(OFFSET(환산공식!DK$15,$F924,0),1),"%"),"")</f>
        <v>100%</v>
      </c>
      <c r="O924" s="20">
        <f ca="1">IFERROR(OFFSET(환산공식!DL$15,$F924,0),"")</f>
        <v>5</v>
      </c>
      <c r="P924" s="188" t="str">
        <f t="shared" ca="1" si="29"/>
        <v>3% 이하</v>
      </c>
      <c r="Q924" s="194">
        <f ca="1">IFERROR(ROUND(OFFSET(환산공식!$FG$15,$F924,0),3),"")</f>
        <v>0</v>
      </c>
      <c r="R924" s="194">
        <f ca="1">OFFSET('배치점수 계산기'!H$10,$D924,0)</f>
        <v>981.03200000000004</v>
      </c>
      <c r="S924" s="194">
        <f ca="1">OFFSET('배치점수 계산기'!I$10,$D924,0)</f>
        <v>973.72500000000002</v>
      </c>
      <c r="T924" s="194">
        <f ca="1">OFFSET('배치점수 계산기'!J$10,$D924,0)</f>
        <v>972.16300000000001</v>
      </c>
      <c r="U924" s="194">
        <f ca="1">OFFSET('배치점수 계산기'!K$10,$D924,0)</f>
        <v>965.01199999999994</v>
      </c>
      <c r="V924" s="194">
        <f ca="1">OFFSET('배치점수 계산기'!L$10,$D924,0)</f>
        <v>955.92100000000005</v>
      </c>
      <c r="W924" s="186" t="str">
        <f ca="1">OFFSET('배치점수 계산기'!M$10,$D924,0)</f>
        <v>백분위</v>
      </c>
      <c r="X924" s="184" t="str">
        <f ca="1">OFFSET('배치점수 계산기'!N$10,$D924,0)</f>
        <v>백분위</v>
      </c>
      <c r="Y924" s="188">
        <f ca="1">OFFSET(환산공식!FW$15,$F924,0)</f>
        <v>0.34</v>
      </c>
      <c r="Z924" s="20">
        <f ca="1">OFFSET(환산공식!FX$15,$F924,0)</f>
        <v>0.35</v>
      </c>
      <c r="AA924" s="179">
        <f ca="1">OFFSET(환산공식!FY$15,$F924,0)</f>
        <v>0.31</v>
      </c>
      <c r="AB924" s="3"/>
      <c r="AD924">
        <f t="shared" ca="1" si="30"/>
        <v>6</v>
      </c>
    </row>
    <row r="925" spans="1:34">
      <c r="A925" s="198"/>
      <c r="B925" s="198"/>
      <c r="C925" s="198" t="s">
        <v>16664</v>
      </c>
      <c r="D925" s="195">
        <v>986</v>
      </c>
      <c r="E925" s="195">
        <v>149</v>
      </c>
      <c r="F925" s="195">
        <v>149</v>
      </c>
      <c r="G925" s="239">
        <v>918</v>
      </c>
      <c r="H925" s="197" t="s">
        <v>72</v>
      </c>
      <c r="I925" s="242" t="s">
        <v>203</v>
      </c>
      <c r="J925" s="242" t="s">
        <v>434</v>
      </c>
      <c r="K925" s="195" t="s">
        <v>70</v>
      </c>
      <c r="L925" s="20" t="str">
        <f ca="1">IF(OFFSET(환산공식!$ED$15,$F925,0)=1,"O","X")</f>
        <v>X</v>
      </c>
      <c r="M925" s="188">
        <f ca="1">IFERROR(OFFSET(환산공식!DJ$15,$F925,0),"")</f>
        <v>200</v>
      </c>
      <c r="N925" s="20" t="str">
        <f ca="1">IFERROR(CONCATENATE(ROUND(OFFSET(환산공식!DK$15,$F925,0),1),"%"),"")</f>
        <v>100%</v>
      </c>
      <c r="O925" s="20">
        <f ca="1">IFERROR(OFFSET(환산공식!DL$15,$F925,0),"")</f>
        <v>5</v>
      </c>
      <c r="P925" s="188" t="str">
        <f t="shared" ca="1" si="29"/>
        <v>3% 이하</v>
      </c>
      <c r="Q925" s="194">
        <f ca="1">IFERROR(ROUND(OFFSET(환산공식!$FG$15,$F925,0),3),"")</f>
        <v>0</v>
      </c>
      <c r="R925" s="194">
        <f ca="1">OFFSET('배치점수 계산기'!H$10,$D925,0)</f>
        <v>967.40200000000004</v>
      </c>
      <c r="S925" s="194">
        <f ca="1">OFFSET('배치점수 계산기'!I$10,$D925,0)</f>
        <v>965.63699999999994</v>
      </c>
      <c r="T925" s="194">
        <f ca="1">OFFSET('배치점수 계산기'!J$10,$D925,0)</f>
        <v>964.95799999999997</v>
      </c>
      <c r="U925" s="194">
        <f ca="1">OFFSET('배치점수 계산기'!K$10,$D925,0)</f>
        <v>960.255</v>
      </c>
      <c r="V925" s="194">
        <f ca="1">OFFSET('배치점수 계산기'!L$10,$D925,0)</f>
        <v>950.58399999999995</v>
      </c>
      <c r="W925" s="186" t="str">
        <f ca="1">OFFSET('배치점수 계산기'!M$10,$D925,0)</f>
        <v>백분위</v>
      </c>
      <c r="X925" s="184" t="str">
        <f ca="1">OFFSET('배치점수 계산기'!N$10,$D925,0)</f>
        <v>백분위</v>
      </c>
      <c r="Y925" s="188">
        <f ca="1">OFFSET(환산공식!FW$15,$F925,0)</f>
        <v>0.34</v>
      </c>
      <c r="Z925" s="20">
        <f ca="1">OFFSET(환산공식!FX$15,$F925,0)</f>
        <v>0.35</v>
      </c>
      <c r="AA925" s="179">
        <f ca="1">OFFSET(환산공식!FY$15,$F925,0)</f>
        <v>0.31</v>
      </c>
      <c r="AB925" s="3"/>
      <c r="AD925">
        <f t="shared" ca="1" si="30"/>
        <v>6</v>
      </c>
    </row>
    <row r="926" spans="1:34">
      <c r="A926" s="198"/>
      <c r="B926" s="198"/>
      <c r="C926" s="198" t="s">
        <v>16665</v>
      </c>
      <c r="D926" s="195">
        <v>987</v>
      </c>
      <c r="E926" s="195">
        <v>159</v>
      </c>
      <c r="F926" s="195">
        <v>159</v>
      </c>
      <c r="G926" s="239">
        <v>919</v>
      </c>
      <c r="H926" s="197" t="s">
        <v>72</v>
      </c>
      <c r="I926" s="242" t="s">
        <v>207</v>
      </c>
      <c r="J926" s="242" t="s">
        <v>205</v>
      </c>
      <c r="K926" s="195" t="s">
        <v>70</v>
      </c>
      <c r="L926" s="20" t="str">
        <f ca="1">IF(OFFSET(환산공식!$ED$15,$F926,0)=1,"O","X")</f>
        <v>X</v>
      </c>
      <c r="M926" s="188">
        <f ca="1">IFERROR(OFFSET(환산공식!DJ$15,$F926,0),"")</f>
        <v>200</v>
      </c>
      <c r="N926" s="20" t="str">
        <f ca="1">IFERROR(CONCATENATE(ROUND(OFFSET(환산공식!DK$15,$F926,0),1),"%"),"")</f>
        <v>100%</v>
      </c>
      <c r="O926" s="20">
        <f ca="1">IFERROR(OFFSET(환산공식!DL$15,$F926,0),"")</f>
        <v>100</v>
      </c>
      <c r="P926" s="188" t="str">
        <f t="shared" ca="1" si="29"/>
        <v>3% 이하</v>
      </c>
      <c r="Q926" s="194">
        <f ca="1">IFERROR(ROUND(OFFSET(환산공식!$FG$15,$F926,0),3),"")</f>
        <v>0</v>
      </c>
      <c r="R926" s="194">
        <f ca="1">OFFSET('배치점수 계산기'!H$10,$D926,0)</f>
        <v>992.94799999999998</v>
      </c>
      <c r="S926" s="194">
        <f ca="1">OFFSET('배치점수 계산기'!I$10,$D926,0)</f>
        <v>991.49300000000005</v>
      </c>
      <c r="T926" s="194">
        <f ca="1">OFFSET('배치점수 계산기'!J$10,$D926,0)</f>
        <v>989.74</v>
      </c>
      <c r="U926" s="194">
        <f ca="1">OFFSET('배치점수 계산기'!K$10,$D926,0)</f>
        <v>979.33799999999997</v>
      </c>
      <c r="V926" s="194">
        <f ca="1">OFFSET('배치점수 계산기'!L$10,$D926,0)</f>
        <v>971.96</v>
      </c>
      <c r="W926" s="186" t="str">
        <f ca="1">OFFSET('배치점수 계산기'!M$10,$D926,0)</f>
        <v>백분위</v>
      </c>
      <c r="X926" s="184" t="str">
        <f ca="1">OFFSET('배치점수 계산기'!N$10,$D926,0)</f>
        <v>백분위</v>
      </c>
      <c r="Y926" s="188">
        <f ca="1">OFFSET(환산공식!FW$15,$F926,0)</f>
        <v>0.36</v>
      </c>
      <c r="Z926" s="20">
        <f ca="1">OFFSET(환산공식!FX$15,$F926,0)</f>
        <v>0.36</v>
      </c>
      <c r="AA926" s="179">
        <f ca="1">OFFSET(환산공식!FY$15,$F926,0)</f>
        <v>0.28999999999999998</v>
      </c>
      <c r="AB926" s="3"/>
      <c r="AD926">
        <f t="shared" ca="1" si="30"/>
        <v>6</v>
      </c>
    </row>
    <row r="927" spans="1:34">
      <c r="A927" s="198"/>
      <c r="B927" s="198"/>
      <c r="C927" s="198" t="s">
        <v>16666</v>
      </c>
      <c r="D927" s="195">
        <v>988</v>
      </c>
      <c r="E927" s="195">
        <v>47</v>
      </c>
      <c r="F927" s="195">
        <v>47</v>
      </c>
      <c r="G927" s="239">
        <v>920</v>
      </c>
      <c r="H927" s="197" t="s">
        <v>72</v>
      </c>
      <c r="I927" s="242" t="s">
        <v>217</v>
      </c>
      <c r="J927" s="242" t="s">
        <v>210</v>
      </c>
      <c r="K927" s="195" t="s">
        <v>70</v>
      </c>
      <c r="L927" s="20" t="str">
        <f ca="1">IF(OFFSET(환산공식!$ED$15,$F927,0)=1,"O","X")</f>
        <v>X</v>
      </c>
      <c r="M927" s="188">
        <f ca="1">IFERROR(OFFSET(환산공식!DJ$15,$F927,0),"")</f>
        <v>100</v>
      </c>
      <c r="N927" s="20" t="str">
        <f ca="1">IFERROR(CONCATENATE(ROUND(OFFSET(환산공식!DK$15,$F927,0),1),"%"),"")</f>
        <v>100%</v>
      </c>
      <c r="O927" s="20">
        <f ca="1">IFERROR(OFFSET(환산공식!DL$15,$F927,0),"")</f>
        <v>0</v>
      </c>
      <c r="P927" s="188" t="str">
        <f t="shared" ca="1" si="29"/>
        <v>3% 이하</v>
      </c>
      <c r="Q927" s="194">
        <f ca="1">IFERROR(ROUND(OFFSET(환산공식!$FG$15,$F927,0),3),"")</f>
        <v>0</v>
      </c>
      <c r="R927" s="194">
        <f ca="1">OFFSET('배치점수 계산기'!H$10,$D927,0)</f>
        <v>705.87300000000005</v>
      </c>
      <c r="S927" s="194">
        <f ca="1">OFFSET('배치점수 계산기'!I$10,$D927,0)</f>
        <v>704.68100000000004</v>
      </c>
      <c r="T927" s="194">
        <f ca="1">OFFSET('배치점수 계산기'!J$10,$D927,0)</f>
        <v>702.50099999999998</v>
      </c>
      <c r="U927" s="194">
        <f ca="1">OFFSET('배치점수 계산기'!K$10,$D927,0)</f>
        <v>701.51700000000005</v>
      </c>
      <c r="V927" s="194">
        <f ca="1">OFFSET('배치점수 계산기'!L$10,$D927,0)</f>
        <v>699.23099999999999</v>
      </c>
      <c r="W927" s="186" t="str">
        <f ca="1">OFFSET('배치점수 계산기'!M$10,$D927,0)</f>
        <v>표점</v>
      </c>
      <c r="X927" s="184" t="str">
        <f ca="1">OFFSET('배치점수 계산기'!N$10,$D927,0)</f>
        <v>변표</v>
      </c>
      <c r="Y927" s="188">
        <f ca="1">OFFSET(환산공식!FW$15,$F927,0)</f>
        <v>0.33</v>
      </c>
      <c r="Z927" s="20">
        <f ca="1">OFFSET(환산공식!FX$15,$F927,0)</f>
        <v>0.44</v>
      </c>
      <c r="AA927" s="179">
        <f ca="1">OFFSET(환산공식!FY$15,$F927,0)</f>
        <v>0.22</v>
      </c>
      <c r="AB927" s="3"/>
      <c r="AD927">
        <f t="shared" ca="1" si="30"/>
        <v>6</v>
      </c>
    </row>
    <row r="928" spans="1:34">
      <c r="A928" s="198"/>
      <c r="B928" s="198"/>
      <c r="C928" s="198" t="s">
        <v>16667</v>
      </c>
      <c r="D928" s="195">
        <v>989</v>
      </c>
      <c r="E928" s="195">
        <v>187</v>
      </c>
      <c r="F928" s="195">
        <v>187</v>
      </c>
      <c r="G928" s="239">
        <v>921</v>
      </c>
      <c r="H928" s="197" t="s">
        <v>72</v>
      </c>
      <c r="I928" s="242" t="s">
        <v>197</v>
      </c>
      <c r="J928" s="242" t="s">
        <v>16668</v>
      </c>
      <c r="K928" s="195" t="s">
        <v>70</v>
      </c>
      <c r="L928" s="20" t="str">
        <f ca="1">IF(OFFSET(환산공식!$ED$15,$F928,0)=1,"O","X")</f>
        <v>X</v>
      </c>
      <c r="M928" s="188">
        <f ca="1">IFERROR(OFFSET(환산공식!DJ$15,$F928,0),"")</f>
        <v>100</v>
      </c>
      <c r="N928" s="20" t="str">
        <f ca="1">IFERROR(CONCATENATE(ROUND(OFFSET(환산공식!DK$15,$F928,0),1),"%"),"")</f>
        <v>100%</v>
      </c>
      <c r="O928" s="20">
        <f ca="1">IFERROR(OFFSET(환산공식!DL$15,$F928,0),"")</f>
        <v>1.5</v>
      </c>
      <c r="P928" s="188" t="str">
        <f t="shared" ca="1" si="29"/>
        <v>3% 이하</v>
      </c>
      <c r="Q928" s="194">
        <f ca="1">IFERROR(ROUND(OFFSET(환산공식!$FG$15,$F928,0),3),"")</f>
        <v>0</v>
      </c>
      <c r="R928" s="194">
        <f ca="1">OFFSET('배치점수 계산기'!H$10,$D928,0)</f>
        <v>500.64</v>
      </c>
      <c r="S928" s="194">
        <f ca="1">OFFSET('배치점수 계산기'!I$10,$D928,0)</f>
        <v>499.56700000000001</v>
      </c>
      <c r="T928" s="194">
        <f ca="1">OFFSET('배치점수 계산기'!J$10,$D928,0)</f>
        <v>498.51400000000001</v>
      </c>
      <c r="U928" s="194">
        <f ca="1">OFFSET('배치점수 계산기'!K$10,$D928,0)</f>
        <v>497.44900000000001</v>
      </c>
      <c r="V928" s="194">
        <f ca="1">OFFSET('배치점수 계산기'!L$10,$D928,0)</f>
        <v>495.67500000000001</v>
      </c>
      <c r="W928" s="186" t="str">
        <f ca="1">OFFSET('배치점수 계산기'!M$10,$D928,0)</f>
        <v>백분위</v>
      </c>
      <c r="X928" s="184" t="str">
        <f ca="1">OFFSET('배치점수 계산기'!N$10,$D928,0)</f>
        <v>백분위</v>
      </c>
      <c r="Y928" s="188">
        <f ca="1">OFFSET(환산공식!FW$15,$F928,0)</f>
        <v>0.25</v>
      </c>
      <c r="Z928" s="20">
        <f ca="1">OFFSET(환산공식!FX$15,$F928,0)</f>
        <v>0.38</v>
      </c>
      <c r="AA928" s="179">
        <f ca="1">OFFSET(환산공식!FY$15,$F928,0)</f>
        <v>0.38</v>
      </c>
      <c r="AB928" s="3"/>
      <c r="AD928">
        <f t="shared" ca="1" si="30"/>
        <v>6</v>
      </c>
    </row>
    <row r="929" spans="1:30">
      <c r="A929" s="198"/>
      <c r="B929" s="198"/>
      <c r="C929" s="198" t="s">
        <v>16669</v>
      </c>
      <c r="D929" s="195">
        <v>990</v>
      </c>
      <c r="E929" s="195">
        <v>230</v>
      </c>
      <c r="F929" s="195">
        <v>230</v>
      </c>
      <c r="G929" s="239">
        <v>922</v>
      </c>
      <c r="H929" s="197" t="s">
        <v>72</v>
      </c>
      <c r="I929" s="242" t="s">
        <v>214</v>
      </c>
      <c r="J929" s="242" t="s">
        <v>210</v>
      </c>
      <c r="K929" s="195" t="s">
        <v>70</v>
      </c>
      <c r="L929" s="20" t="str">
        <f ca="1">IF(OFFSET(환산공식!$ED$15,$F929,0)=1,"O","X")</f>
        <v>X</v>
      </c>
      <c r="M929" s="188">
        <f ca="1">IFERROR(OFFSET(환산공식!DJ$15,$F929,0),"")</f>
        <v>40</v>
      </c>
      <c r="N929" s="20" t="str">
        <f ca="1">IFERROR(CONCATENATE(ROUND(OFFSET(환산공식!DK$15,$F929,0),1),"%"),"")</f>
        <v>100%</v>
      </c>
      <c r="O929" s="20">
        <f ca="1">IFERROR(OFFSET(환산공식!DL$15,$F929,0),"")</f>
        <v>0</v>
      </c>
      <c r="P929" s="188" t="str">
        <f t="shared" ca="1" si="29"/>
        <v>3% 이하</v>
      </c>
      <c r="Q929" s="194">
        <f ca="1">IFERROR(ROUND(OFFSET(환산공식!$FG$15,$F929,0),3),"")</f>
        <v>800</v>
      </c>
      <c r="R929" s="194">
        <f ca="1">OFFSET('배치점수 계산기'!H$10,$D929,0)</f>
        <v>987.54600000000005</v>
      </c>
      <c r="S929" s="194">
        <f ca="1">OFFSET('배치점수 계산기'!I$10,$D929,0)</f>
        <v>987.26</v>
      </c>
      <c r="T929" s="194">
        <f ca="1">OFFSET('배치점수 계산기'!J$10,$D929,0)</f>
        <v>987.00400000000002</v>
      </c>
      <c r="U929" s="194">
        <f ca="1">OFFSET('배치점수 계산기'!K$10,$D929,0)</f>
        <v>986.75199999999995</v>
      </c>
      <c r="V929" s="194">
        <f ca="1">OFFSET('배치점수 계산기'!L$10,$D929,0)</f>
        <v>986.30899999999997</v>
      </c>
      <c r="W929" s="186" t="str">
        <f ca="1">OFFSET('배치점수 계산기'!M$10,$D929,0)</f>
        <v>표점/만점</v>
      </c>
      <c r="X929" s="184" t="str">
        <f ca="1">OFFSET('배치점수 계산기'!N$10,$D929,0)</f>
        <v>표점/만점</v>
      </c>
      <c r="Y929" s="188">
        <f ca="1">OFFSET(환산공식!FW$15,$F929,0)</f>
        <v>0.25</v>
      </c>
      <c r="Z929" s="20">
        <f ca="1">OFFSET(환산공식!FX$15,$F929,0)</f>
        <v>0.37</v>
      </c>
      <c r="AA929" s="179">
        <f ca="1">OFFSET(환산공식!FY$15,$F929,0)</f>
        <v>0.37</v>
      </c>
      <c r="AB929" s="3"/>
      <c r="AD929">
        <f t="shared" ca="1" si="30"/>
        <v>6</v>
      </c>
    </row>
    <row r="930" spans="1:30">
      <c r="A930" s="198"/>
      <c r="B930" s="198"/>
      <c r="C930" s="198" t="s">
        <v>16670</v>
      </c>
      <c r="D930" s="195">
        <v>991</v>
      </c>
      <c r="E930" s="195">
        <v>192</v>
      </c>
      <c r="F930" s="195">
        <v>192</v>
      </c>
      <c r="G930" s="239">
        <v>923</v>
      </c>
      <c r="H930" s="197" t="s">
        <v>72</v>
      </c>
      <c r="I930" s="242" t="s">
        <v>8000</v>
      </c>
      <c r="J930" s="242" t="s">
        <v>210</v>
      </c>
      <c r="K930" s="195" t="s">
        <v>70</v>
      </c>
      <c r="L930" s="20" t="str">
        <f ca="1">IF(OFFSET(환산공식!$ED$15,$F930,0)=1,"O","X")</f>
        <v>X</v>
      </c>
      <c r="M930" s="188">
        <f ca="1">IFERROR(OFFSET(환산공식!DJ$15,$F930,0),"")</f>
        <v>200</v>
      </c>
      <c r="N930" s="20" t="str">
        <f ca="1">IFERROR(CONCATENATE(ROUND(OFFSET(환산공식!DK$15,$F930,0),1),"%"),"")</f>
        <v>100%</v>
      </c>
      <c r="O930" s="20">
        <f ca="1">IFERROR(OFFSET(환산공식!DL$15,$F930,0),"")</f>
        <v>0</v>
      </c>
      <c r="P930" s="188" t="str">
        <f t="shared" ca="1" si="29"/>
        <v>3% 이하</v>
      </c>
      <c r="Q930" s="194">
        <f ca="1">IFERROR(ROUND(OFFSET(환산공식!$FG$15,$F930,0),3),"")</f>
        <v>0</v>
      </c>
      <c r="R930" s="194">
        <f ca="1">OFFSET('배치점수 계산기'!H$10,$D930,0)</f>
        <v>944.79300000000001</v>
      </c>
      <c r="S930" s="194">
        <f ca="1">OFFSET('배치점수 계산기'!I$10,$D930,0)</f>
        <v>943.07600000000002</v>
      </c>
      <c r="T930" s="194">
        <f ca="1">OFFSET('배치점수 계산기'!J$10,$D930,0)</f>
        <v>942.24599999999998</v>
      </c>
      <c r="U930" s="194">
        <f ca="1">OFFSET('배치점수 계산기'!K$10,$D930,0)</f>
        <v>941.48699999999997</v>
      </c>
      <c r="V930" s="194">
        <f ca="1">OFFSET('배치점수 계산기'!L$10,$D930,0)</f>
        <v>937.90700000000004</v>
      </c>
      <c r="W930" s="186" t="str">
        <f ca="1">OFFSET('배치점수 계산기'!M$10,$D930,0)</f>
        <v>표점/만점</v>
      </c>
      <c r="X930" s="184" t="str">
        <f ca="1">OFFSET('배치점수 계산기'!N$10,$D930,0)</f>
        <v>표점/만점</v>
      </c>
      <c r="Y930" s="188">
        <f ca="1">OFFSET(환산공식!FW$15,$F930,0)</f>
        <v>0.31</v>
      </c>
      <c r="Z930" s="20">
        <f ca="1">OFFSET(환산공식!FX$15,$F930,0)</f>
        <v>0.37</v>
      </c>
      <c r="AA930" s="179">
        <f ca="1">OFFSET(환산공식!FY$15,$F930,0)</f>
        <v>0.31</v>
      </c>
      <c r="AB930" s="3"/>
      <c r="AD930">
        <f t="shared" ca="1" si="30"/>
        <v>6</v>
      </c>
    </row>
    <row r="931" spans="1:30">
      <c r="A931" s="198"/>
      <c r="B931" s="198"/>
      <c r="C931" s="198" t="s">
        <v>16671</v>
      </c>
      <c r="D931" s="195">
        <v>992</v>
      </c>
      <c r="E931" s="195">
        <v>89</v>
      </c>
      <c r="F931" s="195">
        <v>89</v>
      </c>
      <c r="G931" s="239">
        <v>924</v>
      </c>
      <c r="H931" s="197" t="s">
        <v>72</v>
      </c>
      <c r="I931" s="242" t="s">
        <v>224</v>
      </c>
      <c r="J931" s="242" t="s">
        <v>9292</v>
      </c>
      <c r="K931" s="195" t="s">
        <v>71</v>
      </c>
      <c r="L931" s="20" t="str">
        <f ca="1">IF(OFFSET(환산공식!$ED$15,$F931,0)=1,"O","X")</f>
        <v>X</v>
      </c>
      <c r="M931" s="188">
        <f ca="1">IFERROR(OFFSET(환산공식!DJ$15,$F931,0),"")</f>
        <v>200</v>
      </c>
      <c r="N931" s="20" t="str">
        <f ca="1">IFERROR(CONCATENATE(ROUND(OFFSET(환산공식!DK$15,$F931,0),1),"%"),"")</f>
        <v>100%</v>
      </c>
      <c r="O931" s="20">
        <f ca="1">IFERROR(OFFSET(환산공식!DL$15,$F931,0),"")</f>
        <v>10</v>
      </c>
      <c r="P931" s="188" t="str">
        <f t="shared" ca="1" si="29"/>
        <v>3% 이하</v>
      </c>
      <c r="Q931" s="194">
        <f ca="1">IFERROR(ROUND(OFFSET(환산공식!$FG$15,$F931,0),3),"")</f>
        <v>0</v>
      </c>
      <c r="R931" s="194">
        <f ca="1">OFFSET('배치점수 계산기'!H$10,$D931,0)</f>
        <v>927.55600000000004</v>
      </c>
      <c r="S931" s="194">
        <f ca="1">OFFSET('배치점수 계산기'!I$10,$D931,0)</f>
        <v>926.06600000000003</v>
      </c>
      <c r="T931" s="194">
        <f ca="1">OFFSET('배치점수 계산기'!J$10,$D931,0)</f>
        <v>922.58100000000002</v>
      </c>
      <c r="U931" s="194">
        <f ca="1">OFFSET('배치점수 계산기'!K$10,$D931,0)</f>
        <v>919.23900000000003</v>
      </c>
      <c r="V931" s="194">
        <f ca="1">OFFSET('배치점수 계산기'!L$10,$D931,0)</f>
        <v>915.88599999999997</v>
      </c>
      <c r="W931" s="186" t="str">
        <f ca="1">OFFSET('배치점수 계산기'!M$10,$D931,0)</f>
        <v>표점/만점</v>
      </c>
      <c r="X931" s="184" t="str">
        <f ca="1">OFFSET('배치점수 계산기'!N$10,$D931,0)</f>
        <v>변표/만점</v>
      </c>
      <c r="Y931" s="188">
        <f ca="1">OFFSET(환산공식!FW$15,$F931,0)</f>
        <v>0.38</v>
      </c>
      <c r="Z931" s="20">
        <f ca="1">OFFSET(환산공식!FX$15,$F931,0)</f>
        <v>0.37</v>
      </c>
      <c r="AA931" s="179">
        <f ca="1">OFFSET(환산공식!FY$15,$F931,0)</f>
        <v>0.25</v>
      </c>
      <c r="AB931" s="3"/>
      <c r="AD931">
        <f t="shared" ca="1" si="30"/>
        <v>6</v>
      </c>
    </row>
    <row r="932" spans="1:30">
      <c r="A932" s="198"/>
      <c r="B932" s="198"/>
      <c r="C932" s="198" t="s">
        <v>16672</v>
      </c>
      <c r="D932" s="195">
        <v>993</v>
      </c>
      <c r="E932" s="195">
        <v>243</v>
      </c>
      <c r="F932" s="195">
        <v>243</v>
      </c>
      <c r="G932" s="239">
        <v>925</v>
      </c>
      <c r="H932" s="197" t="s">
        <v>72</v>
      </c>
      <c r="I932" s="242" t="s">
        <v>407</v>
      </c>
      <c r="J932" s="242" t="s">
        <v>230</v>
      </c>
      <c r="K932" s="195" t="s">
        <v>71</v>
      </c>
      <c r="L932" s="20" t="str">
        <f ca="1">IF(OFFSET(환산공식!$ED$15,$F932,0)=1,"O","X")</f>
        <v>X</v>
      </c>
      <c r="M932" s="188">
        <f ca="1">IFERROR(OFFSET(환산공식!DJ$15,$F932,0),"")</f>
        <v>100</v>
      </c>
      <c r="N932" s="20" t="str">
        <f ca="1">IFERROR(CONCATENATE(ROUND(OFFSET(환산공식!DK$15,$F932,0),1),"%"),"")</f>
        <v>100%</v>
      </c>
      <c r="O932" s="20">
        <f ca="1">IFERROR(OFFSET(환산공식!DL$15,$F932,0),"")</f>
        <v>0</v>
      </c>
      <c r="P932" s="188" t="str">
        <f t="shared" ca="1" si="29"/>
        <v>3% 이하</v>
      </c>
      <c r="Q932" s="194">
        <f ca="1">IFERROR(ROUND(OFFSET(환산공식!$FG$15,$F932,0),3),"")</f>
        <v>0</v>
      </c>
      <c r="R932" s="194">
        <f ca="1">OFFSET('배치점수 계산기'!H$10,$D932,0)</f>
        <v>368.95</v>
      </c>
      <c r="S932" s="194">
        <f ca="1">OFFSET('배치점수 계산기'!I$10,$D932,0)</f>
        <v>365.51499999999999</v>
      </c>
      <c r="T932" s="194">
        <f ca="1">OFFSET('배치점수 계산기'!J$10,$D932,0)</f>
        <v>361.77499999999998</v>
      </c>
      <c r="U932" s="194">
        <f ca="1">OFFSET('배치점수 계산기'!K$10,$D932,0)</f>
        <v>357.48500000000001</v>
      </c>
      <c r="V932" s="194">
        <f ca="1">OFFSET('배치점수 계산기'!L$10,$D932,0)</f>
        <v>352.21</v>
      </c>
      <c r="W932" s="186" t="str">
        <f ca="1">OFFSET('배치점수 계산기'!M$10,$D932,0)</f>
        <v>백분위</v>
      </c>
      <c r="X932" s="184" t="str">
        <f ca="1">OFFSET('배치점수 계산기'!N$10,$D932,0)</f>
        <v>백분위</v>
      </c>
      <c r="Y932" s="188">
        <f ca="1">OFFSET(환산공식!FW$15,$F932,0)</f>
        <v>0.37</v>
      </c>
      <c r="Z932" s="20">
        <f ca="1">OFFSET(환산공식!FX$15,$F932,0)</f>
        <v>0.33</v>
      </c>
      <c r="AA932" s="179">
        <f ca="1">OFFSET(환산공식!FY$15,$F932,0)</f>
        <v>0.3</v>
      </c>
      <c r="AB932" s="3"/>
      <c r="AD932">
        <f t="shared" ca="1" si="30"/>
        <v>6</v>
      </c>
    </row>
    <row r="933" spans="1:30">
      <c r="A933" s="198"/>
      <c r="B933" s="198"/>
      <c r="C933" s="198"/>
      <c r="D933" s="195"/>
      <c r="E933" s="195"/>
      <c r="F933" s="195"/>
      <c r="G933" s="239"/>
      <c r="H933" s="197"/>
      <c r="I933" s="242"/>
      <c r="J933" s="242"/>
      <c r="K933" s="195"/>
      <c r="L933" s="20"/>
      <c r="M933" s="188"/>
      <c r="N933" s="20"/>
      <c r="O933" s="20"/>
      <c r="P933" s="188"/>
      <c r="Q933" s="194"/>
      <c r="R933" s="194"/>
      <c r="S933" s="194"/>
      <c r="T933" s="194"/>
      <c r="U933" s="194"/>
      <c r="V933" s="194"/>
      <c r="W933" s="186"/>
      <c r="X933" s="184"/>
      <c r="Y933" s="188"/>
      <c r="Z933" s="20"/>
      <c r="AA933" s="179"/>
      <c r="AB933" s="3"/>
    </row>
    <row r="934" spans="1:30">
      <c r="A934" s="198"/>
      <c r="B934" s="198"/>
      <c r="C934" s="198"/>
      <c r="D934" s="195"/>
      <c r="E934" s="195"/>
      <c r="F934" s="195"/>
      <c r="G934" s="239"/>
      <c r="H934" s="274"/>
      <c r="I934" s="645"/>
      <c r="J934" s="7"/>
      <c r="K934" s="7"/>
      <c r="L934" s="7"/>
      <c r="M934" s="274"/>
      <c r="N934" s="7"/>
      <c r="O934" s="7"/>
      <c r="P934" s="274"/>
      <c r="Q934" s="7"/>
      <c r="R934" s="7"/>
      <c r="S934" s="7"/>
      <c r="T934" s="7"/>
      <c r="U934" s="7"/>
      <c r="V934" s="7"/>
      <c r="W934" s="274"/>
      <c r="X934" s="7"/>
      <c r="Y934" s="274"/>
      <c r="Z934" s="7"/>
      <c r="AA934" s="8"/>
      <c r="AB934" s="3"/>
    </row>
  </sheetData>
  <sheetProtection algorithmName="SHA-512" hashValue="Yvy7xMFfgAPoqOAGsu12ET3qSnk1riP829P+o1cCX9HJYLT1LWmCWxBrkh6zCSvfmV7z/dcryf2wzTX51BY8UQ==" saltValue="vcijyCL0k+zl0DtDBj4o8A==" spinCount="100000" sheet="1" sort="0" autoFilter="0"/>
  <autoFilter ref="C7:K7" xr:uid="{072AB2A1-9EA8-4D57-BFFB-1605D67742C4}"/>
  <mergeCells count="7">
    <mergeCell ref="Y6:AA6"/>
    <mergeCell ref="I1:Q3"/>
    <mergeCell ref="R5:V5"/>
    <mergeCell ref="M6:O6"/>
    <mergeCell ref="P6:Q6"/>
    <mergeCell ref="W6:X6"/>
    <mergeCell ref="R2:V3"/>
  </mergeCells>
  <phoneticPr fontId="3" type="noConversion"/>
  <conditionalFormatting sqref="H8:Q933">
    <cfRule type="expression" dxfId="35" priority="3">
      <formula>$AD8=6</formula>
    </cfRule>
    <cfRule type="expression" dxfId="34" priority="4">
      <formula>$AD8=5</formula>
    </cfRule>
    <cfRule type="expression" dxfId="33" priority="5">
      <formula>$AD8=4</formula>
    </cfRule>
    <cfRule type="expression" dxfId="32" priority="6">
      <formula>$AD8=3</formula>
    </cfRule>
    <cfRule type="expression" dxfId="31" priority="7">
      <formula>$AD8=2</formula>
    </cfRule>
    <cfRule type="expression" dxfId="30" priority="8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DE09-7565-46C0-9595-F7237D3E14A7}">
  <dimension ref="A1:AH880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min="1" max="1" width="12.33203125" customWidth="1"/>
    <col min="2" max="6" width="10.6640625" hidden="1" customWidth="1"/>
    <col min="7" max="7" width="9.1640625" hidden="1" customWidth="1"/>
    <col min="8" max="8" width="9.1640625" customWidth="1"/>
    <col min="9" max="9" width="12.5" customWidth="1"/>
    <col min="10" max="10" width="25" customWidth="1"/>
    <col min="11" max="11" width="7" customWidth="1"/>
    <col min="12" max="12" width="8.6640625" customWidth="1"/>
    <col min="13" max="13" width="10.6640625" customWidth="1"/>
    <col min="14" max="14" width="12.1640625" customWidth="1"/>
    <col min="15" max="15" width="10.6640625" customWidth="1"/>
    <col min="16" max="16" width="13.83203125" customWidth="1"/>
    <col min="17" max="24" width="9.1640625" customWidth="1"/>
    <col min="25" max="27" width="5" customWidth="1"/>
    <col min="28" max="29" width="9" customWidth="1"/>
    <col min="30" max="30" width="9" hidden="1" customWidth="1"/>
    <col min="32" max="34" width="9" customWidth="1"/>
  </cols>
  <sheetData>
    <row r="1" spans="1:31" s="3" customFormat="1" ht="16.5" customHeight="1">
      <c r="A1" s="3" t="s">
        <v>505</v>
      </c>
      <c r="B1" s="3" t="s">
        <v>72</v>
      </c>
      <c r="C1" s="20" t="s">
        <v>79</v>
      </c>
      <c r="D1" s="20" t="s">
        <v>81</v>
      </c>
      <c r="E1" s="20" t="s">
        <v>506</v>
      </c>
      <c r="F1" s="20"/>
      <c r="G1" s="20"/>
      <c r="H1" s="20"/>
      <c r="I1" s="697" t="s">
        <v>16534</v>
      </c>
      <c r="J1" s="698"/>
      <c r="K1" s="698"/>
      <c r="L1" s="698"/>
      <c r="M1" s="698"/>
      <c r="N1" s="698"/>
      <c r="O1" s="698"/>
      <c r="P1" s="698"/>
      <c r="Q1" s="698"/>
      <c r="R1" s="20"/>
      <c r="S1" s="20"/>
      <c r="T1" s="20"/>
      <c r="U1" s="20"/>
      <c r="V1" s="20"/>
      <c r="W1" s="184"/>
      <c r="X1" s="184"/>
      <c r="Y1" s="20"/>
      <c r="Z1" s="20"/>
      <c r="AA1" s="20"/>
      <c r="AC1"/>
      <c r="AD1"/>
      <c r="AE1"/>
    </row>
    <row r="2" spans="1:31" s="3" customFormat="1">
      <c r="B2" s="3">
        <v>1</v>
      </c>
      <c r="C2" s="20">
        <v>2</v>
      </c>
      <c r="D2" s="20">
        <v>3</v>
      </c>
      <c r="E2" s="20">
        <v>4</v>
      </c>
      <c r="F2" s="20"/>
      <c r="G2" s="20"/>
      <c r="H2" s="20"/>
      <c r="I2" s="698"/>
      <c r="J2" s="698"/>
      <c r="K2" s="698"/>
      <c r="L2" s="698"/>
      <c r="M2" s="698"/>
      <c r="N2" s="698"/>
      <c r="O2" s="698"/>
      <c r="P2" s="698"/>
      <c r="Q2" s="698"/>
      <c r="R2" s="702" t="s">
        <v>507</v>
      </c>
      <c r="S2" s="702"/>
      <c r="T2" s="702"/>
      <c r="U2" s="702"/>
      <c r="V2" s="702"/>
      <c r="W2" s="184"/>
      <c r="X2" s="184"/>
      <c r="Y2" s="20"/>
      <c r="Z2" s="20"/>
      <c r="AA2" s="20"/>
      <c r="AC2"/>
      <c r="AD2"/>
      <c r="AE2"/>
    </row>
    <row r="3" spans="1:31" s="3" customFormat="1">
      <c r="A3" s="3" t="s">
        <v>505</v>
      </c>
      <c r="B3" s="244" t="s">
        <v>508</v>
      </c>
      <c r="C3" s="107"/>
      <c r="D3" s="20"/>
      <c r="E3" s="20"/>
      <c r="F3" s="20"/>
      <c r="G3" s="20"/>
      <c r="H3" s="20"/>
      <c r="I3" s="698"/>
      <c r="J3" s="698"/>
      <c r="K3" s="698"/>
      <c r="L3" s="698"/>
      <c r="M3" s="698"/>
      <c r="N3" s="698"/>
      <c r="O3" s="698"/>
      <c r="P3" s="698"/>
      <c r="Q3" s="698"/>
      <c r="R3" s="702"/>
      <c r="S3" s="702"/>
      <c r="T3" s="702"/>
      <c r="U3" s="702"/>
      <c r="V3" s="702"/>
      <c r="W3" s="184"/>
      <c r="X3" s="184"/>
      <c r="Y3" s="20"/>
      <c r="Z3" s="20"/>
      <c r="AA3" s="20"/>
      <c r="AC3"/>
      <c r="AD3"/>
      <c r="AE3"/>
    </row>
    <row r="4" spans="1:31" s="3" customFormat="1">
      <c r="B4" s="245">
        <v>2</v>
      </c>
      <c r="C4" s="110" t="str">
        <f>IF($B$4=1,CONCATENATE($B$1,AE4),IF($B$4=2,CONCATENATE($C$1,AE4),IF($B$4=3,CONCATENATE($D$1,AE4),IF($B$4=4,CONCATENATE($E$1,AE4)))))</f>
        <v>나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0"/>
      <c r="X4" s="184"/>
      <c r="Y4" s="20"/>
      <c r="Z4" s="20"/>
      <c r="AA4" s="20"/>
      <c r="AC4"/>
      <c r="AD4"/>
      <c r="AE4"/>
    </row>
    <row r="5" spans="1:31" s="3" customFormat="1" ht="18" thickBot="1">
      <c r="C5" s="243">
        <f>IFERROR(INDEX('배치점수 계산기'!A9:C9,MATCH(C4,'배치점수 계산기'!A7:C7,0)),)</f>
        <v>992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85"/>
      <c r="P5" s="20"/>
      <c r="Q5" s="20"/>
      <c r="R5" s="694" t="s">
        <v>509</v>
      </c>
      <c r="S5" s="695"/>
      <c r="T5" s="695"/>
      <c r="U5" s="695"/>
      <c r="V5" s="696"/>
      <c r="W5" s="199"/>
      <c r="X5" s="184"/>
      <c r="Y5" s="20"/>
      <c r="Z5" s="20"/>
      <c r="AA5" s="20"/>
      <c r="AC5"/>
      <c r="AD5"/>
      <c r="AE5"/>
    </row>
    <row r="6" spans="1:31" s="3" customFormat="1">
      <c r="D6" s="20"/>
      <c r="E6" s="20"/>
      <c r="F6" s="20"/>
      <c r="G6" s="20"/>
      <c r="H6" s="176"/>
      <c r="I6" s="187"/>
      <c r="J6" s="187"/>
      <c r="K6" s="187"/>
      <c r="L6" s="177"/>
      <c r="M6" s="694" t="s">
        <v>510</v>
      </c>
      <c r="N6" s="695"/>
      <c r="O6" s="696"/>
      <c r="P6" s="699" t="s">
        <v>511</v>
      </c>
      <c r="Q6" s="700"/>
      <c r="R6" s="178" t="s">
        <v>512</v>
      </c>
      <c r="S6" s="177" t="s">
        <v>513</v>
      </c>
      <c r="T6" s="177" t="s">
        <v>514</v>
      </c>
      <c r="U6" s="177" t="s">
        <v>515</v>
      </c>
      <c r="V6" s="179"/>
      <c r="W6" s="694" t="s">
        <v>516</v>
      </c>
      <c r="X6" s="701"/>
      <c r="Y6" s="694" t="s">
        <v>517</v>
      </c>
      <c r="Z6" s="695"/>
      <c r="AA6" s="696"/>
      <c r="AC6"/>
      <c r="AD6"/>
      <c r="AE6"/>
    </row>
    <row r="7" spans="1:31" s="3" customFormat="1">
      <c r="A7" s="198"/>
      <c r="B7" s="198"/>
      <c r="C7" s="198"/>
      <c r="D7" s="195"/>
      <c r="E7" s="195" t="s">
        <v>518</v>
      </c>
      <c r="F7" s="195"/>
      <c r="G7" s="195"/>
      <c r="H7" s="241" t="s">
        <v>539</v>
      </c>
      <c r="I7" s="196" t="s">
        <v>411</v>
      </c>
      <c r="J7" s="196" t="s">
        <v>412</v>
      </c>
      <c r="K7" s="240" t="s">
        <v>538</v>
      </c>
      <c r="L7" s="190" t="s">
        <v>519</v>
      </c>
      <c r="M7" s="189" t="s">
        <v>520</v>
      </c>
      <c r="N7" s="191" t="s">
        <v>521</v>
      </c>
      <c r="O7" s="191" t="s">
        <v>522</v>
      </c>
      <c r="P7" s="189" t="s">
        <v>523</v>
      </c>
      <c r="Q7" s="190" t="s">
        <v>524</v>
      </c>
      <c r="R7" s="180">
        <v>0.9</v>
      </c>
      <c r="S7" s="181">
        <v>0.7</v>
      </c>
      <c r="T7" s="209">
        <v>0.4</v>
      </c>
      <c r="U7" s="182">
        <v>0.1</v>
      </c>
      <c r="V7" s="183">
        <v>0.03</v>
      </c>
      <c r="W7" s="192" t="s">
        <v>525</v>
      </c>
      <c r="X7" s="193" t="s">
        <v>297</v>
      </c>
      <c r="Y7" s="176" t="s">
        <v>526</v>
      </c>
      <c r="Z7" s="187" t="s">
        <v>527</v>
      </c>
      <c r="AA7" s="177" t="s">
        <v>528</v>
      </c>
      <c r="AC7"/>
      <c r="AD7" t="s">
        <v>529</v>
      </c>
      <c r="AE7"/>
    </row>
    <row r="8" spans="1:31" s="3" customFormat="1">
      <c r="A8" s="198"/>
      <c r="B8" s="198"/>
      <c r="C8" s="198" t="str">
        <f>_xlfn.CONCAT($C$4,G8)</f>
        <v>나1</v>
      </c>
      <c r="D8" s="195">
        <f>MATCH($C8,'배치점수 계산기'!$O$11:$O$3001,0)</f>
        <v>994</v>
      </c>
      <c r="E8" s="195">
        <f ca="1">OFFSET('배치점수 계산기'!A$10,D8,0)</f>
        <v>2</v>
      </c>
      <c r="F8" s="195">
        <f ca="1">MATCH(E8,환산공식!$C$16:$C$903,0)</f>
        <v>2</v>
      </c>
      <c r="G8" s="239">
        <v>1</v>
      </c>
      <c r="H8" s="197" t="str">
        <f>IFERROR(INDEX('배치점수 계산기'!C$11:C$3001,MATCH($C8,'배치점수 계산기'!$O$11:$O$3001,0)),"")</f>
        <v>나</v>
      </c>
      <c r="I8" s="242" t="str">
        <f>IFERROR(INDEX('배치점수 계산기'!D$11:D$3001,MATCH($C8,'배치점수 계산기'!$O$11:$O$3001,0)),"")</f>
        <v>서울대</v>
      </c>
      <c r="J8" s="242" t="str">
        <f>IFERROR(INDEX('배치점수 계산기'!E$11:E$3001,MATCH($C8,'배치점수 계산기'!$O$11:$O$3001,0)),"")</f>
        <v>컴퓨터공학부</v>
      </c>
      <c r="K8" s="195" t="str">
        <f>IFERROR(INDEX('배치점수 계산기'!F$11:F$3001,MATCH($C8,'배치점수 계산기'!$O$11:$O$3001,0)),"")</f>
        <v>자연</v>
      </c>
      <c r="L8" s="20" t="str">
        <f ca="1">IF(OFFSET(환산공식!$ED$15,$F8,0)=1,"O","X")</f>
        <v>X</v>
      </c>
      <c r="M8" s="188">
        <f ca="1">IFERROR(OFFSET(환산공식!DJ$15,$F8,0),"")</f>
        <v>0</v>
      </c>
      <c r="N8" s="20" t="str">
        <f ca="1">IFERROR(CONCATENATE(ROUND(OFFSET(환산공식!DK$15,$F8,0),1),"%"),"")</f>
        <v/>
      </c>
      <c r="O8" s="20">
        <f ca="1">IFERROR(OFFSET(환산공식!DL$15,$F8,0),"")</f>
        <v>0</v>
      </c>
      <c r="P8" s="188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194">
        <f ca="1">IFERROR(ROUND(OFFSET(환산공식!$FG$15,$F8,0),3),"")</f>
        <v>0</v>
      </c>
      <c r="R8" s="194">
        <f ca="1">OFFSET('배치점수 계산기'!H$10,$D8,0)</f>
        <v>416.05200000000002</v>
      </c>
      <c r="S8" s="194">
        <f ca="1">OFFSET('배치점수 계산기'!I$10,$D8,0)</f>
        <v>412.53199999999998</v>
      </c>
      <c r="T8" s="194">
        <f ca="1">OFFSET('배치점수 계산기'!J$10,$D8,0)</f>
        <v>409.28399999999999</v>
      </c>
      <c r="U8" s="194">
        <f ca="1">OFFSET('배치점수 계산기'!K$10,$D8,0)</f>
        <v>405.68599999999998</v>
      </c>
      <c r="V8" s="194">
        <f ca="1">OFFSET('배치점수 계산기'!L$10,$D8,0)</f>
        <v>400.31799999999998</v>
      </c>
      <c r="W8" s="186" t="str">
        <f ca="1">OFFSET('배치점수 계산기'!M$10,$D8,0)</f>
        <v>표점</v>
      </c>
      <c r="X8" s="184" t="str">
        <f ca="1">OFFSET('배치점수 계산기'!N$10,$D8,0)</f>
        <v>표점</v>
      </c>
      <c r="Y8" s="188">
        <f ca="1">OFFSET(환산공식!FW$15,$F8,0)</f>
        <v>0.33</v>
      </c>
      <c r="Z8" s="20">
        <f ca="1">OFFSET(환산공식!FX$15,$F8,0)</f>
        <v>0.4</v>
      </c>
      <c r="AA8" s="179">
        <f ca="1">OFFSET(환산공식!FY$15,$F8,0)</f>
        <v>0.27</v>
      </c>
      <c r="AC8"/>
      <c r="AD8">
        <f ca="1">IF(L8="X",6,IF(Q8&gt;R8,1,IF(Q8&gt;S8,2,IF(Q8&gt;T8,3,IF(Q8&gt;U8,4,IF(Q8&gt;=V8,5,IF(Q8&lt;V8,6,"")))))))</f>
        <v>6</v>
      </c>
      <c r="AE8"/>
    </row>
    <row r="9" spans="1:31" s="3" customFormat="1">
      <c r="A9" s="198"/>
      <c r="B9" s="198"/>
      <c r="C9" s="198" t="s">
        <v>1461</v>
      </c>
      <c r="D9" s="195">
        <v>995</v>
      </c>
      <c r="E9" s="195">
        <v>2</v>
      </c>
      <c r="F9" s="195">
        <v>2</v>
      </c>
      <c r="G9" s="239">
        <v>2</v>
      </c>
      <c r="H9" s="197" t="s">
        <v>79</v>
      </c>
      <c r="I9" s="242" t="s">
        <v>196</v>
      </c>
      <c r="J9" s="242" t="s">
        <v>7808</v>
      </c>
      <c r="K9" s="195" t="s">
        <v>70</v>
      </c>
      <c r="L9" s="20" t="str">
        <f ca="1">IF(OFFSET(환산공식!$ED$15,$F9,0)=1,"O","X")</f>
        <v>X</v>
      </c>
      <c r="M9" s="188">
        <f ca="1">IFERROR(OFFSET(환산공식!DJ$15,$F9,0),"")</f>
        <v>0</v>
      </c>
      <c r="N9" s="20" t="str">
        <f ca="1">IFERROR(CONCATENATE(ROUND(OFFSET(환산공식!DK$15,$F9,0),1),"%"),"")</f>
        <v/>
      </c>
      <c r="O9" s="20">
        <f ca="1">IFERROR(OFFSET(환산공식!DL$15,$F9,0),"")</f>
        <v>0</v>
      </c>
      <c r="P9" s="188" t="str">
        <f t="shared" ref="P9:P72" ca="1" si="0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194">
        <f ca="1">IFERROR(ROUND(OFFSET(환산공식!$FG$15,$F9,0),3),"")</f>
        <v>0</v>
      </c>
      <c r="R9" s="194">
        <f ca="1">OFFSET('배치점수 계산기'!H$10,$D9,0)</f>
        <v>413.976</v>
      </c>
      <c r="S9" s="194">
        <f ca="1">OFFSET('배치점수 계산기'!I$10,$D9,0)</f>
        <v>412.67200000000003</v>
      </c>
      <c r="T9" s="194">
        <f ca="1">OFFSET('배치점수 계산기'!J$10,$D9,0)</f>
        <v>409.28399999999999</v>
      </c>
      <c r="U9" s="194">
        <f ca="1">OFFSET('배치점수 계산기'!K$10,$D9,0)</f>
        <v>405.43599999999998</v>
      </c>
      <c r="V9" s="194">
        <f ca="1">OFFSET('배치점수 계산기'!L$10,$D9,0)</f>
        <v>403.22</v>
      </c>
      <c r="W9" s="186" t="str">
        <f ca="1">OFFSET('배치점수 계산기'!M$10,$D9,0)</f>
        <v>표점</v>
      </c>
      <c r="X9" s="184" t="str">
        <f ca="1">OFFSET('배치점수 계산기'!N$10,$D9,0)</f>
        <v>표점</v>
      </c>
      <c r="Y9" s="188">
        <f ca="1">OFFSET(환산공식!FW$15,$F9,0)</f>
        <v>0.33</v>
      </c>
      <c r="Z9" s="20">
        <f ca="1">OFFSET(환산공식!FX$15,$F9,0)</f>
        <v>0.4</v>
      </c>
      <c r="AA9" s="179">
        <f ca="1">OFFSET(환산공식!FY$15,$F9,0)</f>
        <v>0.27</v>
      </c>
      <c r="AC9"/>
      <c r="AD9">
        <f t="shared" ref="AD9:AD72" ca="1" si="1">IF(L9="X",6,IF(Q9&gt;R9,1,IF(Q9&gt;S9,2,IF(Q9&gt;T9,3,IF(Q9&gt;U9,4,IF(Q9&gt;=V9,5,IF(Q9&lt;V9,6,"")))))))</f>
        <v>6</v>
      </c>
      <c r="AE9"/>
    </row>
    <row r="10" spans="1:31" s="3" customFormat="1">
      <c r="A10" s="198"/>
      <c r="B10" s="198"/>
      <c r="C10" s="198" t="s">
        <v>1462</v>
      </c>
      <c r="D10" s="195">
        <v>996</v>
      </c>
      <c r="E10" s="195">
        <v>2</v>
      </c>
      <c r="F10" s="195">
        <v>2</v>
      </c>
      <c r="G10" s="239">
        <v>3</v>
      </c>
      <c r="H10" s="197" t="s">
        <v>79</v>
      </c>
      <c r="I10" s="242" t="s">
        <v>196</v>
      </c>
      <c r="J10" s="242" t="s">
        <v>7910</v>
      </c>
      <c r="K10" s="195" t="s">
        <v>70</v>
      </c>
      <c r="L10" s="20" t="str">
        <f ca="1">IF(OFFSET(환산공식!$ED$15,$F10,0)=1,"O","X")</f>
        <v>X</v>
      </c>
      <c r="M10" s="188">
        <f ca="1">IFERROR(OFFSET(환산공식!DJ$15,$F10,0),"")</f>
        <v>0</v>
      </c>
      <c r="N10" s="20" t="str">
        <f ca="1">IFERROR(CONCATENATE(ROUND(OFFSET(환산공식!DK$15,$F10,0),1),"%"),"")</f>
        <v/>
      </c>
      <c r="O10" s="20">
        <f ca="1">IFERROR(OFFSET(환산공식!DL$15,$F10,0),"")</f>
        <v>0</v>
      </c>
      <c r="P10" s="188" t="str">
        <f t="shared" ca="1" si="0"/>
        <v>3% 이하</v>
      </c>
      <c r="Q10" s="194">
        <f ca="1">IFERROR(ROUND(OFFSET(환산공식!$FG$15,$F10,0),3),"")</f>
        <v>0</v>
      </c>
      <c r="R10" s="194">
        <f ca="1">OFFSET('배치점수 계산기'!H$10,$D10,0)</f>
        <v>408.98200000000003</v>
      </c>
      <c r="S10" s="194">
        <f ca="1">OFFSET('배치점수 계산기'!I$10,$D10,0)</f>
        <v>407.30599999999998</v>
      </c>
      <c r="T10" s="194">
        <f ca="1">OFFSET('배치점수 계산기'!J$10,$D10,0)</f>
        <v>405.68599999999998</v>
      </c>
      <c r="U10" s="194">
        <f ca="1">OFFSET('배치점수 계산기'!K$10,$D10,0)</f>
        <v>403.22</v>
      </c>
      <c r="V10" s="194">
        <f ca="1">OFFSET('배치점수 계산기'!L$10,$D10,0)</f>
        <v>400.59800000000001</v>
      </c>
      <c r="W10" s="186" t="str">
        <f ca="1">OFFSET('배치점수 계산기'!M$10,$D10,0)</f>
        <v>표점</v>
      </c>
      <c r="X10" s="184" t="str">
        <f ca="1">OFFSET('배치점수 계산기'!N$10,$D10,0)</f>
        <v>표점</v>
      </c>
      <c r="Y10" s="188">
        <f ca="1">OFFSET(환산공식!FW$15,$F10,0)</f>
        <v>0.33</v>
      </c>
      <c r="Z10" s="20">
        <f ca="1">OFFSET(환산공식!FX$15,$F10,0)</f>
        <v>0.4</v>
      </c>
      <c r="AA10" s="179">
        <f ca="1">OFFSET(환산공식!FY$15,$F10,0)</f>
        <v>0.27</v>
      </c>
      <c r="AC10"/>
      <c r="AD10">
        <f t="shared" ca="1" si="1"/>
        <v>6</v>
      </c>
      <c r="AE10"/>
    </row>
    <row r="11" spans="1:31" s="3" customFormat="1">
      <c r="A11" s="198"/>
      <c r="B11" s="198"/>
      <c r="C11" s="198" t="s">
        <v>1463</v>
      </c>
      <c r="D11" s="195">
        <v>997</v>
      </c>
      <c r="E11" s="195">
        <v>4</v>
      </c>
      <c r="F11" s="195">
        <v>4</v>
      </c>
      <c r="G11" s="239">
        <v>4</v>
      </c>
      <c r="H11" s="197" t="s">
        <v>79</v>
      </c>
      <c r="I11" s="242" t="s">
        <v>196</v>
      </c>
      <c r="J11" s="242" t="s">
        <v>7946</v>
      </c>
      <c r="K11" s="195" t="s">
        <v>70</v>
      </c>
      <c r="L11" s="20" t="str">
        <f ca="1">IF(OFFSET(환산공식!$ED$15,$F11,0)=1,"O","X")</f>
        <v>X</v>
      </c>
      <c r="M11" s="188">
        <f ca="1">IFERROR(OFFSET(환산공식!DJ$15,$F11,0),"")</f>
        <v>0</v>
      </c>
      <c r="N11" s="20" t="str">
        <f ca="1">IFERROR(CONCATENATE(ROUND(OFFSET(환산공식!DK$15,$F11,0),1),"%"),"")</f>
        <v/>
      </c>
      <c r="O11" s="20">
        <f ca="1">IFERROR(OFFSET(환산공식!DL$15,$F11,0),"")</f>
        <v>0</v>
      </c>
      <c r="P11" s="188" t="str">
        <f t="shared" ca="1" si="0"/>
        <v>3% 이하</v>
      </c>
      <c r="Q11" s="194">
        <f ca="1">IFERROR(ROUND(OFFSET(환산공식!$FG$15,$F11,0),3),"")</f>
        <v>0</v>
      </c>
      <c r="R11" s="194">
        <f ca="1">OFFSET('배치점수 계산기'!H$10,$D11,0)</f>
        <v>404.51</v>
      </c>
      <c r="S11" s="194">
        <f ca="1">OFFSET('배치점수 계산기'!I$10,$D11,0)</f>
        <v>403.3</v>
      </c>
      <c r="T11" s="194">
        <f ca="1">OFFSET('배치점수 계산기'!J$10,$D11,0)</f>
        <v>402.89</v>
      </c>
      <c r="U11" s="194">
        <f ca="1">OFFSET('배치점수 계산기'!K$10,$D11,0)</f>
        <v>401.48</v>
      </c>
      <c r="V11" s="194">
        <f ca="1">OFFSET('배치점수 계산기'!L$10,$D11,0)</f>
        <v>399.59</v>
      </c>
      <c r="W11" s="186" t="str">
        <f ca="1">OFFSET('배치점수 계산기'!M$10,$D11,0)</f>
        <v>표점</v>
      </c>
      <c r="X11" s="184" t="str">
        <f ca="1">OFFSET('배치점수 계산기'!N$10,$D11,0)</f>
        <v>표점</v>
      </c>
      <c r="Y11" s="188">
        <f ca="1">OFFSET(환산공식!FW$15,$F11,0)</f>
        <v>0.33</v>
      </c>
      <c r="Z11" s="20">
        <f ca="1">OFFSET(환산공식!FX$15,$F11,0)</f>
        <v>0.4</v>
      </c>
      <c r="AA11" s="179">
        <f ca="1">OFFSET(환산공식!FY$15,$F11,0)</f>
        <v>0.27</v>
      </c>
      <c r="AC11"/>
      <c r="AD11">
        <f t="shared" ca="1" si="1"/>
        <v>6</v>
      </c>
      <c r="AE11"/>
    </row>
    <row r="12" spans="1:31" s="3" customFormat="1">
      <c r="A12" s="198"/>
      <c r="B12" s="198"/>
      <c r="C12" s="198" t="s">
        <v>1464</v>
      </c>
      <c r="D12" s="195">
        <v>998</v>
      </c>
      <c r="E12" s="195">
        <v>1</v>
      </c>
      <c r="F12" s="195">
        <v>1</v>
      </c>
      <c r="G12" s="239">
        <v>5</v>
      </c>
      <c r="H12" s="197" t="s">
        <v>79</v>
      </c>
      <c r="I12" s="242" t="s">
        <v>196</v>
      </c>
      <c r="J12" s="242" t="s">
        <v>7905</v>
      </c>
      <c r="K12" s="195" t="s">
        <v>70</v>
      </c>
      <c r="L12" s="20" t="str">
        <f ca="1">IF(OFFSET(환산공식!$ED$15,$F12,0)=1,"O","X")</f>
        <v>X</v>
      </c>
      <c r="M12" s="188">
        <f ca="1">IFERROR(OFFSET(환산공식!DJ$15,$F12,0),"")</f>
        <v>0</v>
      </c>
      <c r="N12" s="20" t="str">
        <f ca="1">IFERROR(CONCATENATE(ROUND(OFFSET(환산공식!DK$15,$F12,0),1),"%"),"")</f>
        <v/>
      </c>
      <c r="O12" s="20">
        <f ca="1">IFERROR(OFFSET(환산공식!DL$15,$F12,0),"")</f>
        <v>0</v>
      </c>
      <c r="P12" s="188" t="str">
        <f t="shared" ca="1" si="0"/>
        <v>3% 이하</v>
      </c>
      <c r="Q12" s="194">
        <f ca="1">IFERROR(ROUND(OFFSET(환산공식!$FG$15,$F12,0),3),"")</f>
        <v>0</v>
      </c>
      <c r="R12" s="194">
        <f ca="1">OFFSET('배치점수 계산기'!H$10,$D12,0)</f>
        <v>406.58800000000002</v>
      </c>
      <c r="S12" s="194">
        <f ca="1">OFFSET('배치점수 계산기'!I$10,$D12,0)</f>
        <v>405.78199999999998</v>
      </c>
      <c r="T12" s="194">
        <f ca="1">OFFSET('배치점수 계산기'!J$10,$D12,0)</f>
        <v>404.90600000000001</v>
      </c>
      <c r="U12" s="194">
        <f ca="1">OFFSET('배치점수 계산기'!K$10,$D12,0)</f>
        <v>404.13</v>
      </c>
      <c r="V12" s="194">
        <f ca="1">OFFSET('배치점수 계산기'!L$10,$D12,0)</f>
        <v>399.60599999999999</v>
      </c>
      <c r="W12" s="186" t="str">
        <f ca="1">OFFSET('배치점수 계산기'!M$10,$D12,0)</f>
        <v>표점</v>
      </c>
      <c r="X12" s="184" t="str">
        <f ca="1">OFFSET('배치점수 계산기'!N$10,$D12,0)</f>
        <v>표점</v>
      </c>
      <c r="Y12" s="188">
        <f ca="1">OFFSET(환산공식!FW$15,$F12,0)</f>
        <v>0.33</v>
      </c>
      <c r="Z12" s="20">
        <f ca="1">OFFSET(환산공식!FX$15,$F12,0)</f>
        <v>0.4</v>
      </c>
      <c r="AA12" s="179">
        <f ca="1">OFFSET(환산공식!FY$15,$F12,0)</f>
        <v>0.27</v>
      </c>
      <c r="AC12"/>
      <c r="AD12">
        <f t="shared" ca="1" si="1"/>
        <v>6</v>
      </c>
      <c r="AE12"/>
    </row>
    <row r="13" spans="1:31" s="3" customFormat="1">
      <c r="A13" s="198"/>
      <c r="B13" s="198"/>
      <c r="C13" s="198" t="s">
        <v>1465</v>
      </c>
      <c r="D13" s="195">
        <v>999</v>
      </c>
      <c r="E13" s="195">
        <v>1</v>
      </c>
      <c r="F13" s="195">
        <v>1</v>
      </c>
      <c r="G13" s="239">
        <v>6</v>
      </c>
      <c r="H13" s="197" t="s">
        <v>79</v>
      </c>
      <c r="I13" s="242" t="s">
        <v>196</v>
      </c>
      <c r="J13" s="242" t="s">
        <v>7978</v>
      </c>
      <c r="K13" s="195" t="s">
        <v>70</v>
      </c>
      <c r="L13" s="20" t="str">
        <f ca="1">IF(OFFSET(환산공식!$ED$15,$F13,0)=1,"O","X")</f>
        <v>X</v>
      </c>
      <c r="M13" s="188">
        <f ca="1">IFERROR(OFFSET(환산공식!DJ$15,$F13,0),"")</f>
        <v>0</v>
      </c>
      <c r="N13" s="20" t="str">
        <f ca="1">IFERROR(CONCATENATE(ROUND(OFFSET(환산공식!DK$15,$F13,0),1),"%"),"")</f>
        <v/>
      </c>
      <c r="O13" s="20">
        <f ca="1">IFERROR(OFFSET(환산공식!DL$15,$F13,0),"")</f>
        <v>0</v>
      </c>
      <c r="P13" s="188" t="str">
        <f t="shared" ca="1" si="0"/>
        <v>3% 이하</v>
      </c>
      <c r="Q13" s="194">
        <f ca="1">IFERROR(ROUND(OFFSET(환산공식!$FG$15,$F13,0),3),"")</f>
        <v>0</v>
      </c>
      <c r="R13" s="194">
        <f ca="1">OFFSET('배치점수 계산기'!H$10,$D13,0)</f>
        <v>406.58800000000002</v>
      </c>
      <c r="S13" s="194">
        <f ca="1">OFFSET('배치점수 계산기'!I$10,$D13,0)</f>
        <v>405.71199999999999</v>
      </c>
      <c r="T13" s="194">
        <f ca="1">OFFSET('배치점수 계산기'!J$10,$D13,0)</f>
        <v>404.90600000000001</v>
      </c>
      <c r="U13" s="194">
        <f ca="1">OFFSET('배치점수 계산기'!K$10,$D13,0)</f>
        <v>400.92599999999999</v>
      </c>
      <c r="V13" s="194">
        <f ca="1">OFFSET('배치점수 계산기'!L$10,$D13,0)</f>
        <v>399.17200000000003</v>
      </c>
      <c r="W13" s="186" t="str">
        <f ca="1">OFFSET('배치점수 계산기'!M$10,$D13,0)</f>
        <v>표점</v>
      </c>
      <c r="X13" s="184" t="str">
        <f ca="1">OFFSET('배치점수 계산기'!N$10,$D13,0)</f>
        <v>표점</v>
      </c>
      <c r="Y13" s="188">
        <f ca="1">OFFSET(환산공식!FW$15,$F13,0)</f>
        <v>0.33</v>
      </c>
      <c r="Z13" s="20">
        <f ca="1">OFFSET(환산공식!FX$15,$F13,0)</f>
        <v>0.4</v>
      </c>
      <c r="AA13" s="179">
        <f ca="1">OFFSET(환산공식!FY$15,$F13,0)</f>
        <v>0.27</v>
      </c>
      <c r="AC13"/>
      <c r="AD13">
        <f t="shared" ca="1" si="1"/>
        <v>6</v>
      </c>
      <c r="AE13"/>
    </row>
    <row r="14" spans="1:31" s="3" customFormat="1">
      <c r="A14" s="198"/>
      <c r="B14" s="198"/>
      <c r="C14" s="198" t="s">
        <v>1466</v>
      </c>
      <c r="D14" s="195">
        <v>1000</v>
      </c>
      <c r="E14" s="195">
        <v>1</v>
      </c>
      <c r="F14" s="195">
        <v>1</v>
      </c>
      <c r="G14" s="239">
        <v>7</v>
      </c>
      <c r="H14" s="197" t="s">
        <v>79</v>
      </c>
      <c r="I14" s="242" t="s">
        <v>196</v>
      </c>
      <c r="J14" s="242" t="s">
        <v>8168</v>
      </c>
      <c r="K14" s="195" t="s">
        <v>70</v>
      </c>
      <c r="L14" s="20" t="str">
        <f ca="1">IF(OFFSET(환산공식!$ED$15,$F14,0)=1,"O","X")</f>
        <v>X</v>
      </c>
      <c r="M14" s="188">
        <f ca="1">IFERROR(OFFSET(환산공식!DJ$15,$F14,0),"")</f>
        <v>0</v>
      </c>
      <c r="N14" s="20" t="str">
        <f ca="1">IFERROR(CONCATENATE(ROUND(OFFSET(환산공식!DK$15,$F14,0),1),"%"),"")</f>
        <v/>
      </c>
      <c r="O14" s="20">
        <f ca="1">IFERROR(OFFSET(환산공식!DL$15,$F14,0),"")</f>
        <v>0</v>
      </c>
      <c r="P14" s="188" t="str">
        <f t="shared" ca="1" si="0"/>
        <v>3% 이하</v>
      </c>
      <c r="Q14" s="194">
        <f ca="1">IFERROR(ROUND(OFFSET(환산공식!$FG$15,$F14,0),3),"")</f>
        <v>0</v>
      </c>
      <c r="R14" s="194">
        <f ca="1">OFFSET('배치점수 계산기'!H$10,$D14,0)</f>
        <v>404.90600000000001</v>
      </c>
      <c r="S14" s="194">
        <f ca="1">OFFSET('배치점수 계산기'!I$10,$D14,0)</f>
        <v>404.13</v>
      </c>
      <c r="T14" s="194">
        <f ca="1">OFFSET('배치점수 계산기'!J$10,$D14,0)</f>
        <v>402.73</v>
      </c>
      <c r="U14" s="194">
        <f ca="1">OFFSET('배치점수 계산기'!K$10,$D14,0)</f>
        <v>401.2</v>
      </c>
      <c r="V14" s="194">
        <f ca="1">OFFSET('배치점수 계산기'!L$10,$D14,0)</f>
        <v>397.56599999999997</v>
      </c>
      <c r="W14" s="186" t="str">
        <f ca="1">OFFSET('배치점수 계산기'!M$10,$D14,0)</f>
        <v>표점</v>
      </c>
      <c r="X14" s="184" t="str">
        <f ca="1">OFFSET('배치점수 계산기'!N$10,$D14,0)</f>
        <v>표점</v>
      </c>
      <c r="Y14" s="188">
        <f ca="1">OFFSET(환산공식!FW$15,$F14,0)</f>
        <v>0.33</v>
      </c>
      <c r="Z14" s="20">
        <f ca="1">OFFSET(환산공식!FX$15,$F14,0)</f>
        <v>0.4</v>
      </c>
      <c r="AA14" s="179">
        <f ca="1">OFFSET(환산공식!FY$15,$F14,0)</f>
        <v>0.27</v>
      </c>
      <c r="AC14"/>
      <c r="AD14">
        <f t="shared" ca="1" si="1"/>
        <v>6</v>
      </c>
      <c r="AE14"/>
    </row>
    <row r="15" spans="1:31" s="3" customFormat="1">
      <c r="A15" s="198"/>
      <c r="B15" s="198"/>
      <c r="C15" s="198" t="s">
        <v>1467</v>
      </c>
      <c r="D15" s="195">
        <v>1001</v>
      </c>
      <c r="E15" s="195">
        <v>2</v>
      </c>
      <c r="F15" s="195">
        <v>2</v>
      </c>
      <c r="G15" s="239">
        <v>8</v>
      </c>
      <c r="H15" s="197" t="s">
        <v>79</v>
      </c>
      <c r="I15" s="242" t="s">
        <v>196</v>
      </c>
      <c r="J15" s="242" t="s">
        <v>8283</v>
      </c>
      <c r="K15" s="195" t="s">
        <v>70</v>
      </c>
      <c r="L15" s="20" t="str">
        <f ca="1">IF(OFFSET(환산공식!$ED$15,$F15,0)=1,"O","X")</f>
        <v>X</v>
      </c>
      <c r="M15" s="188">
        <f ca="1">IFERROR(OFFSET(환산공식!DJ$15,$F15,0),"")</f>
        <v>0</v>
      </c>
      <c r="N15" s="20" t="str">
        <f ca="1">IFERROR(CONCATENATE(ROUND(OFFSET(환산공식!DK$15,$F15,0),1),"%"),"")</f>
        <v/>
      </c>
      <c r="O15" s="20">
        <f ca="1">IFERROR(OFFSET(환산공식!DL$15,$F15,0),"")</f>
        <v>0</v>
      </c>
      <c r="P15" s="188" t="str">
        <f t="shared" ca="1" si="0"/>
        <v>3% 이하</v>
      </c>
      <c r="Q15" s="194">
        <f ca="1">IFERROR(ROUND(OFFSET(환산공식!$FG$15,$F15,0),3),"")</f>
        <v>0</v>
      </c>
      <c r="R15" s="194">
        <f ca="1">OFFSET('배치점수 계산기'!H$10,$D15,0)</f>
        <v>405.25799999999998</v>
      </c>
      <c r="S15" s="194">
        <f ca="1">OFFSET('배치점수 계산기'!I$10,$D15,0)</f>
        <v>404.05</v>
      </c>
      <c r="T15" s="194">
        <f ca="1">OFFSET('배치점수 계산기'!J$10,$D15,0)</f>
        <v>402.65</v>
      </c>
      <c r="U15" s="194">
        <f ca="1">OFFSET('배치점수 계산기'!K$10,$D15,0)</f>
        <v>401.488</v>
      </c>
      <c r="V15" s="194">
        <f ca="1">OFFSET('배치점수 계산기'!L$10,$D15,0)</f>
        <v>400.83800000000002</v>
      </c>
      <c r="W15" s="186" t="str">
        <f ca="1">OFFSET('배치점수 계산기'!M$10,$D15,0)</f>
        <v>표점</v>
      </c>
      <c r="X15" s="184" t="str">
        <f ca="1">OFFSET('배치점수 계산기'!N$10,$D15,0)</f>
        <v>표점</v>
      </c>
      <c r="Y15" s="188">
        <f ca="1">OFFSET(환산공식!FW$15,$F15,0)</f>
        <v>0.33</v>
      </c>
      <c r="Z15" s="20">
        <f ca="1">OFFSET(환산공식!FX$15,$F15,0)</f>
        <v>0.4</v>
      </c>
      <c r="AA15" s="179">
        <f ca="1">OFFSET(환산공식!FY$15,$F15,0)</f>
        <v>0.27</v>
      </c>
      <c r="AC15"/>
      <c r="AD15">
        <f t="shared" ca="1" si="1"/>
        <v>6</v>
      </c>
      <c r="AE15"/>
    </row>
    <row r="16" spans="1:31" s="3" customFormat="1">
      <c r="A16" s="198"/>
      <c r="B16" s="198"/>
      <c r="C16" s="198" t="s">
        <v>1468</v>
      </c>
      <c r="D16" s="195">
        <v>1002</v>
      </c>
      <c r="E16" s="195">
        <v>2</v>
      </c>
      <c r="F16" s="195">
        <v>2</v>
      </c>
      <c r="G16" s="239">
        <v>9</v>
      </c>
      <c r="H16" s="197" t="s">
        <v>79</v>
      </c>
      <c r="I16" s="242" t="s">
        <v>196</v>
      </c>
      <c r="J16" s="242" t="s">
        <v>8023</v>
      </c>
      <c r="K16" s="195" t="s">
        <v>70</v>
      </c>
      <c r="L16" s="20" t="str">
        <f ca="1">IF(OFFSET(환산공식!$ED$15,$F16,0)=1,"O","X")</f>
        <v>X</v>
      </c>
      <c r="M16" s="188">
        <f ca="1">IFERROR(OFFSET(환산공식!DJ$15,$F16,0),"")</f>
        <v>0</v>
      </c>
      <c r="N16" s="20" t="str">
        <f ca="1">IFERROR(CONCATENATE(ROUND(OFFSET(환산공식!DK$15,$F16,0),1),"%"),"")</f>
        <v/>
      </c>
      <c r="O16" s="20">
        <f ca="1">IFERROR(OFFSET(환산공식!DL$15,$F16,0),"")</f>
        <v>0</v>
      </c>
      <c r="P16" s="188" t="str">
        <f t="shared" ca="1" si="0"/>
        <v>3% 이하</v>
      </c>
      <c r="Q16" s="194">
        <f ca="1">IFERROR(ROUND(OFFSET(환산공식!$FG$15,$F16,0),3),"")</f>
        <v>0</v>
      </c>
      <c r="R16" s="194">
        <f ca="1">OFFSET('배치점수 계산기'!H$10,$D16,0)</f>
        <v>405.43599999999998</v>
      </c>
      <c r="S16" s="194">
        <f ca="1">OFFSET('배치점수 계산기'!I$10,$D16,0)</f>
        <v>404.26</v>
      </c>
      <c r="T16" s="194">
        <f ca="1">OFFSET('배치점수 계산기'!J$10,$D16,0)</f>
        <v>402.37799999999999</v>
      </c>
      <c r="U16" s="194">
        <f ca="1">OFFSET('배치점수 계산기'!K$10,$D16,0)</f>
        <v>400.59800000000001</v>
      </c>
      <c r="V16" s="194">
        <f ca="1">OFFSET('배치점수 계산기'!L$10,$D16,0)</f>
        <v>397.47800000000001</v>
      </c>
      <c r="W16" s="186" t="str">
        <f ca="1">OFFSET('배치점수 계산기'!M$10,$D16,0)</f>
        <v>표점</v>
      </c>
      <c r="X16" s="184" t="str">
        <f ca="1">OFFSET('배치점수 계산기'!N$10,$D16,0)</f>
        <v>표점</v>
      </c>
      <c r="Y16" s="188">
        <f ca="1">OFFSET(환산공식!FW$15,$F16,0)</f>
        <v>0.33</v>
      </c>
      <c r="Z16" s="20">
        <f ca="1">OFFSET(환산공식!FX$15,$F16,0)</f>
        <v>0.4</v>
      </c>
      <c r="AA16" s="179">
        <f ca="1">OFFSET(환산공식!FY$15,$F16,0)</f>
        <v>0.27</v>
      </c>
      <c r="AC16"/>
      <c r="AD16">
        <f t="shared" ca="1" si="1"/>
        <v>6</v>
      </c>
      <c r="AE16"/>
    </row>
    <row r="17" spans="1:31" s="3" customFormat="1">
      <c r="A17" s="198"/>
      <c r="B17" s="198"/>
      <c r="C17" s="198" t="s">
        <v>1469</v>
      </c>
      <c r="D17" s="195">
        <v>1003</v>
      </c>
      <c r="E17" s="195">
        <v>1</v>
      </c>
      <c r="F17" s="195">
        <v>1</v>
      </c>
      <c r="G17" s="239">
        <v>10</v>
      </c>
      <c r="H17" s="197" t="s">
        <v>79</v>
      </c>
      <c r="I17" s="242" t="s">
        <v>196</v>
      </c>
      <c r="J17" s="242" t="s">
        <v>8279</v>
      </c>
      <c r="K17" s="195" t="s">
        <v>70</v>
      </c>
      <c r="L17" s="20" t="str">
        <f ca="1">IF(OFFSET(환산공식!$ED$15,$F17,0)=1,"O","X")</f>
        <v>X</v>
      </c>
      <c r="M17" s="188">
        <f ca="1">IFERROR(OFFSET(환산공식!DJ$15,$F17,0),"")</f>
        <v>0</v>
      </c>
      <c r="N17" s="20" t="str">
        <f ca="1">IFERROR(CONCATENATE(ROUND(OFFSET(환산공식!DK$15,$F17,0),1),"%"),"")</f>
        <v/>
      </c>
      <c r="O17" s="20">
        <f ca="1">IFERROR(OFFSET(환산공식!DL$15,$F17,0),"")</f>
        <v>0</v>
      </c>
      <c r="P17" s="188" t="str">
        <f t="shared" ca="1" si="0"/>
        <v>3% 이하</v>
      </c>
      <c r="Q17" s="194">
        <f ca="1">IFERROR(ROUND(OFFSET(환산공식!$FG$15,$F17,0),3),"")</f>
        <v>0</v>
      </c>
      <c r="R17" s="194">
        <f ca="1">OFFSET('배치점수 계산기'!H$10,$D17,0)</f>
        <v>404.90600000000001</v>
      </c>
      <c r="S17" s="194">
        <f ca="1">OFFSET('배치점수 계산기'!I$10,$D17,0)</f>
        <v>404.13</v>
      </c>
      <c r="T17" s="194">
        <f ca="1">OFFSET('배치점수 계산기'!J$10,$D17,0)</f>
        <v>402.46600000000001</v>
      </c>
      <c r="U17" s="194">
        <f ca="1">OFFSET('배치점수 계산기'!K$10,$D17,0)</f>
        <v>400.92599999999999</v>
      </c>
      <c r="V17" s="194">
        <f ca="1">OFFSET('배치점수 계산기'!L$10,$D17,0)</f>
        <v>398.536</v>
      </c>
      <c r="W17" s="186" t="str">
        <f ca="1">OFFSET('배치점수 계산기'!M$10,$D17,0)</f>
        <v>표점</v>
      </c>
      <c r="X17" s="184" t="str">
        <f ca="1">OFFSET('배치점수 계산기'!N$10,$D17,0)</f>
        <v>표점</v>
      </c>
      <c r="Y17" s="188">
        <f ca="1">OFFSET(환산공식!FW$15,$F17,0)</f>
        <v>0.33</v>
      </c>
      <c r="Z17" s="20">
        <f ca="1">OFFSET(환산공식!FX$15,$F17,0)</f>
        <v>0.4</v>
      </c>
      <c r="AA17" s="179">
        <f ca="1">OFFSET(환산공식!FY$15,$F17,0)</f>
        <v>0.27</v>
      </c>
      <c r="AC17"/>
      <c r="AD17">
        <f t="shared" ca="1" si="1"/>
        <v>6</v>
      </c>
      <c r="AE17"/>
    </row>
    <row r="18" spans="1:31" s="3" customFormat="1">
      <c r="A18" s="198"/>
      <c r="B18" s="198"/>
      <c r="C18" s="198" t="s">
        <v>1470</v>
      </c>
      <c r="D18" s="195">
        <v>1004</v>
      </c>
      <c r="E18" s="195">
        <v>1</v>
      </c>
      <c r="F18" s="195">
        <v>1</v>
      </c>
      <c r="G18" s="239">
        <v>11</v>
      </c>
      <c r="H18" s="197" t="s">
        <v>79</v>
      </c>
      <c r="I18" s="242" t="s">
        <v>196</v>
      </c>
      <c r="J18" s="242" t="s">
        <v>8035</v>
      </c>
      <c r="K18" s="195" t="s">
        <v>70</v>
      </c>
      <c r="L18" s="20" t="str">
        <f ca="1">IF(OFFSET(환산공식!$ED$15,$F18,0)=1,"O","X")</f>
        <v>X</v>
      </c>
      <c r="M18" s="188">
        <f ca="1">IFERROR(OFFSET(환산공식!DJ$15,$F18,0),"")</f>
        <v>0</v>
      </c>
      <c r="N18" s="20" t="str">
        <f ca="1">IFERROR(CONCATENATE(ROUND(OFFSET(환산공식!DK$15,$F18,0),1),"%"),"")</f>
        <v/>
      </c>
      <c r="O18" s="20">
        <f ca="1">IFERROR(OFFSET(환산공식!DL$15,$F18,0),"")</f>
        <v>0</v>
      </c>
      <c r="P18" s="188" t="str">
        <f t="shared" ca="1" si="0"/>
        <v>3% 이하</v>
      </c>
      <c r="Q18" s="194">
        <f ca="1">IFERROR(ROUND(OFFSET(환산공식!$FG$15,$F18,0),3),"")</f>
        <v>0</v>
      </c>
      <c r="R18" s="194">
        <f ca="1">OFFSET('배치점수 계산기'!H$10,$D18,0)</f>
        <v>405.346</v>
      </c>
      <c r="S18" s="194">
        <f ca="1">OFFSET('배치점수 계산기'!I$10,$D18,0)</f>
        <v>403.85</v>
      </c>
      <c r="T18" s="194">
        <f ca="1">OFFSET('배치점수 계산기'!J$10,$D18,0)</f>
        <v>402.26</v>
      </c>
      <c r="U18" s="194">
        <f ca="1">OFFSET('배치점수 계산기'!K$10,$D18,0)</f>
        <v>399.31599999999997</v>
      </c>
      <c r="V18" s="194">
        <f ca="1">OFFSET('배치점수 계산기'!L$10,$D18,0)</f>
        <v>398.36200000000002</v>
      </c>
      <c r="W18" s="186" t="str">
        <f ca="1">OFFSET('배치점수 계산기'!M$10,$D18,0)</f>
        <v>표점</v>
      </c>
      <c r="X18" s="184" t="str">
        <f ca="1">OFFSET('배치점수 계산기'!N$10,$D18,0)</f>
        <v>표점</v>
      </c>
      <c r="Y18" s="188">
        <f ca="1">OFFSET(환산공식!FW$15,$F18,0)</f>
        <v>0.33</v>
      </c>
      <c r="Z18" s="20">
        <f ca="1">OFFSET(환산공식!FX$15,$F18,0)</f>
        <v>0.4</v>
      </c>
      <c r="AA18" s="179">
        <f ca="1">OFFSET(환산공식!FY$15,$F18,0)</f>
        <v>0.27</v>
      </c>
      <c r="AC18"/>
      <c r="AD18">
        <f t="shared" ca="1" si="1"/>
        <v>6</v>
      </c>
      <c r="AE18"/>
    </row>
    <row r="19" spans="1:31" s="3" customFormat="1">
      <c r="A19" s="198"/>
      <c r="B19" s="198"/>
      <c r="C19" s="198" t="s">
        <v>1471</v>
      </c>
      <c r="D19" s="195">
        <v>1005</v>
      </c>
      <c r="E19" s="195">
        <v>2</v>
      </c>
      <c r="F19" s="195">
        <v>2</v>
      </c>
      <c r="G19" s="239">
        <v>12</v>
      </c>
      <c r="H19" s="197" t="s">
        <v>79</v>
      </c>
      <c r="I19" s="242" t="s">
        <v>196</v>
      </c>
      <c r="J19" s="242" t="s">
        <v>8033</v>
      </c>
      <c r="K19" s="195" t="s">
        <v>70</v>
      </c>
      <c r="L19" s="20" t="str">
        <f ca="1">IF(OFFSET(환산공식!$ED$15,$F19,0)=1,"O","X")</f>
        <v>X</v>
      </c>
      <c r="M19" s="188">
        <f ca="1">IFERROR(OFFSET(환산공식!DJ$15,$F19,0),"")</f>
        <v>0</v>
      </c>
      <c r="N19" s="20" t="str">
        <f ca="1">IFERROR(CONCATENATE(ROUND(OFFSET(환산공식!DK$15,$F19,0),1),"%"),"")</f>
        <v/>
      </c>
      <c r="O19" s="20">
        <f ca="1">IFERROR(OFFSET(환산공식!DL$15,$F19,0),"")</f>
        <v>0</v>
      </c>
      <c r="P19" s="188" t="str">
        <f t="shared" ca="1" si="0"/>
        <v>3% 이하</v>
      </c>
      <c r="Q19" s="194">
        <f ca="1">IFERROR(ROUND(OFFSET(환산공식!$FG$15,$F19,0),3),"")</f>
        <v>0</v>
      </c>
      <c r="R19" s="194">
        <f ca="1">OFFSET('배치점수 계산기'!H$10,$D19,0)</f>
        <v>404.81799999999998</v>
      </c>
      <c r="S19" s="194">
        <f ca="1">OFFSET('배치점수 계산기'!I$10,$D19,0)</f>
        <v>404.05</v>
      </c>
      <c r="T19" s="194">
        <f ca="1">OFFSET('배치점수 계산기'!J$10,$D19,0)</f>
        <v>402.18</v>
      </c>
      <c r="U19" s="194">
        <f ca="1">OFFSET('배치점수 계산기'!K$10,$D19,0)</f>
        <v>400.03800000000001</v>
      </c>
      <c r="V19" s="194">
        <f ca="1">OFFSET('배치점수 계산기'!L$10,$D19,0)</f>
        <v>398.86799999999999</v>
      </c>
      <c r="W19" s="186" t="str">
        <f ca="1">OFFSET('배치점수 계산기'!M$10,$D19,0)</f>
        <v>표점</v>
      </c>
      <c r="X19" s="184" t="str">
        <f ca="1">OFFSET('배치점수 계산기'!N$10,$D19,0)</f>
        <v>표점</v>
      </c>
      <c r="Y19" s="188">
        <f ca="1">OFFSET(환산공식!FW$15,$F19,0)</f>
        <v>0.33</v>
      </c>
      <c r="Z19" s="20">
        <f ca="1">OFFSET(환산공식!FX$15,$F19,0)</f>
        <v>0.4</v>
      </c>
      <c r="AA19" s="179">
        <f ca="1">OFFSET(환산공식!FY$15,$F19,0)</f>
        <v>0.27</v>
      </c>
      <c r="AC19"/>
      <c r="AD19">
        <f t="shared" ca="1" si="1"/>
        <v>6</v>
      </c>
      <c r="AE19"/>
    </row>
    <row r="20" spans="1:31" s="3" customFormat="1">
      <c r="A20" s="198"/>
      <c r="B20" s="198"/>
      <c r="C20" s="198" t="s">
        <v>1472</v>
      </c>
      <c r="D20" s="195">
        <v>1006</v>
      </c>
      <c r="E20" s="195">
        <v>2</v>
      </c>
      <c r="F20" s="195">
        <v>2</v>
      </c>
      <c r="G20" s="239">
        <v>13</v>
      </c>
      <c r="H20" s="197" t="s">
        <v>79</v>
      </c>
      <c r="I20" s="242" t="s">
        <v>196</v>
      </c>
      <c r="J20" s="242" t="s">
        <v>8026</v>
      </c>
      <c r="K20" s="195" t="s">
        <v>70</v>
      </c>
      <c r="L20" s="20" t="str">
        <f ca="1">IF(OFFSET(환산공식!$ED$15,$F20,0)=1,"O","X")</f>
        <v>X</v>
      </c>
      <c r="M20" s="188">
        <f ca="1">IFERROR(OFFSET(환산공식!DJ$15,$F20,0),"")</f>
        <v>0</v>
      </c>
      <c r="N20" s="20" t="str">
        <f ca="1">IFERROR(CONCATENATE(ROUND(OFFSET(환산공식!DK$15,$F20,0),1),"%"),"")</f>
        <v/>
      </c>
      <c r="O20" s="20">
        <f ca="1">IFERROR(OFFSET(환산공식!DL$15,$F20,0),"")</f>
        <v>0</v>
      </c>
      <c r="P20" s="188" t="str">
        <f t="shared" ca="1" si="0"/>
        <v>3% 이하</v>
      </c>
      <c r="Q20" s="194">
        <f ca="1">IFERROR(ROUND(OFFSET(환산공식!$FG$15,$F20,0),3),"")</f>
        <v>0</v>
      </c>
      <c r="R20" s="194">
        <f ca="1">OFFSET('배치점수 계산기'!H$10,$D20,0)</f>
        <v>405.43599999999998</v>
      </c>
      <c r="S20" s="194">
        <f ca="1">OFFSET('배치점수 계산기'!I$10,$D20,0)</f>
        <v>404.26</v>
      </c>
      <c r="T20" s="194">
        <f ca="1">OFFSET('배치점수 계산기'!J$10,$D20,0)</f>
        <v>402.18</v>
      </c>
      <c r="U20" s="194">
        <f ca="1">OFFSET('배치점수 계산기'!K$10,$D20,0)</f>
        <v>400.03800000000001</v>
      </c>
      <c r="V20" s="194">
        <f ca="1">OFFSET('배치점수 계산기'!L$10,$D20,0)</f>
        <v>398.10599999999999</v>
      </c>
      <c r="W20" s="186" t="str">
        <f ca="1">OFFSET('배치점수 계산기'!M$10,$D20,0)</f>
        <v>표점</v>
      </c>
      <c r="X20" s="184" t="str">
        <f ca="1">OFFSET('배치점수 계산기'!N$10,$D20,0)</f>
        <v>표점</v>
      </c>
      <c r="Y20" s="188">
        <f ca="1">OFFSET(환산공식!FW$15,$F20,0)</f>
        <v>0.33</v>
      </c>
      <c r="Z20" s="20">
        <f ca="1">OFFSET(환산공식!FX$15,$F20,0)</f>
        <v>0.4</v>
      </c>
      <c r="AA20" s="179">
        <f ca="1">OFFSET(환산공식!FY$15,$F20,0)</f>
        <v>0.27</v>
      </c>
      <c r="AC20"/>
      <c r="AD20">
        <f t="shared" ca="1" si="1"/>
        <v>6</v>
      </c>
      <c r="AE20"/>
    </row>
    <row r="21" spans="1:31" s="3" customFormat="1">
      <c r="A21" s="198"/>
      <c r="B21" s="198"/>
      <c r="C21" s="198" t="s">
        <v>1473</v>
      </c>
      <c r="D21" s="195">
        <v>1007</v>
      </c>
      <c r="E21" s="195">
        <v>1</v>
      </c>
      <c r="F21" s="195">
        <v>1</v>
      </c>
      <c r="G21" s="239">
        <v>14</v>
      </c>
      <c r="H21" s="197" t="s">
        <v>79</v>
      </c>
      <c r="I21" s="242" t="s">
        <v>196</v>
      </c>
      <c r="J21" s="242" t="s">
        <v>8064</v>
      </c>
      <c r="K21" s="195" t="s">
        <v>70</v>
      </c>
      <c r="L21" s="20" t="str">
        <f ca="1">IF(OFFSET(환산공식!$ED$15,$F21,0)=1,"O","X")</f>
        <v>X</v>
      </c>
      <c r="M21" s="188">
        <f ca="1">IFERROR(OFFSET(환산공식!DJ$15,$F21,0),"")</f>
        <v>0</v>
      </c>
      <c r="N21" s="20" t="str">
        <f ca="1">IFERROR(CONCATENATE(ROUND(OFFSET(환산공식!DK$15,$F21,0),1),"%"),"")</f>
        <v/>
      </c>
      <c r="O21" s="20">
        <f ca="1">IFERROR(OFFSET(환산공식!DL$15,$F21,0),"")</f>
        <v>0</v>
      </c>
      <c r="P21" s="188" t="str">
        <f t="shared" ca="1" si="0"/>
        <v>3% 이하</v>
      </c>
      <c r="Q21" s="194">
        <f ca="1">IFERROR(ROUND(OFFSET(환산공식!$FG$15,$F21,0),3),"")</f>
        <v>0</v>
      </c>
      <c r="R21" s="194">
        <f ca="1">OFFSET('배치점수 계산기'!H$10,$D21,0)</f>
        <v>402.73</v>
      </c>
      <c r="S21" s="194">
        <f ca="1">OFFSET('배치점수 계산기'!I$10,$D21,0)</f>
        <v>402.46600000000001</v>
      </c>
      <c r="T21" s="194">
        <f ca="1">OFFSET('배치점수 계산기'!J$10,$D21,0)</f>
        <v>402.19600000000003</v>
      </c>
      <c r="U21" s="194">
        <f ca="1">OFFSET('배치점수 계산기'!K$10,$D21,0)</f>
        <v>400.68599999999998</v>
      </c>
      <c r="V21" s="194">
        <f ca="1">OFFSET('배치점수 계산기'!L$10,$D21,0)</f>
        <v>398.36200000000002</v>
      </c>
      <c r="W21" s="186" t="str">
        <f ca="1">OFFSET('배치점수 계산기'!M$10,$D21,0)</f>
        <v>표점</v>
      </c>
      <c r="X21" s="184" t="str">
        <f ca="1">OFFSET('배치점수 계산기'!N$10,$D21,0)</f>
        <v>표점</v>
      </c>
      <c r="Y21" s="188">
        <f ca="1">OFFSET(환산공식!FW$15,$F21,0)</f>
        <v>0.33</v>
      </c>
      <c r="Z21" s="20">
        <f ca="1">OFFSET(환산공식!FX$15,$F21,0)</f>
        <v>0.4</v>
      </c>
      <c r="AA21" s="179">
        <f ca="1">OFFSET(환산공식!FY$15,$F21,0)</f>
        <v>0.27</v>
      </c>
      <c r="AC21"/>
      <c r="AD21">
        <f t="shared" ca="1" si="1"/>
        <v>6</v>
      </c>
      <c r="AE21"/>
    </row>
    <row r="22" spans="1:31" s="3" customFormat="1">
      <c r="A22" s="198"/>
      <c r="B22" s="198"/>
      <c r="C22" s="198" t="s">
        <v>1474</v>
      </c>
      <c r="D22" s="195">
        <v>1008</v>
      </c>
      <c r="E22" s="195">
        <v>1</v>
      </c>
      <c r="F22" s="195">
        <v>1</v>
      </c>
      <c r="G22" s="239">
        <v>15</v>
      </c>
      <c r="H22" s="197" t="s">
        <v>79</v>
      </c>
      <c r="I22" s="242" t="s">
        <v>196</v>
      </c>
      <c r="J22" s="242" t="s">
        <v>8056</v>
      </c>
      <c r="K22" s="195" t="s">
        <v>70</v>
      </c>
      <c r="L22" s="20" t="str">
        <f ca="1">IF(OFFSET(환산공식!$ED$15,$F22,0)=1,"O","X")</f>
        <v>X</v>
      </c>
      <c r="M22" s="188">
        <f ca="1">IFERROR(OFFSET(환산공식!DJ$15,$F22,0),"")</f>
        <v>0</v>
      </c>
      <c r="N22" s="20" t="str">
        <f ca="1">IFERROR(CONCATENATE(ROUND(OFFSET(환산공식!DK$15,$F22,0),1),"%"),"")</f>
        <v/>
      </c>
      <c r="O22" s="20">
        <f ca="1">IFERROR(OFFSET(환산공식!DL$15,$F22,0),"")</f>
        <v>0</v>
      </c>
      <c r="P22" s="188" t="str">
        <f t="shared" ca="1" si="0"/>
        <v>3% 이하</v>
      </c>
      <c r="Q22" s="194">
        <f ca="1">IFERROR(ROUND(OFFSET(환산공식!$FG$15,$F22,0),3),"")</f>
        <v>0</v>
      </c>
      <c r="R22" s="194">
        <f ca="1">OFFSET('배치점수 계산기'!H$10,$D22,0)</f>
        <v>404.34</v>
      </c>
      <c r="S22" s="194">
        <f ca="1">OFFSET('배치점수 계산기'!I$10,$D22,0)</f>
        <v>403.3</v>
      </c>
      <c r="T22" s="194">
        <f ca="1">OFFSET('배치점수 계산기'!J$10,$D22,0)</f>
        <v>401.916</v>
      </c>
      <c r="U22" s="194">
        <f ca="1">OFFSET('배치점수 계산기'!K$10,$D22,0)</f>
        <v>400.12599999999998</v>
      </c>
      <c r="V22" s="194">
        <f ca="1">OFFSET('배치점수 계산기'!L$10,$D22,0)</f>
        <v>398.36200000000002</v>
      </c>
      <c r="W22" s="186" t="str">
        <f ca="1">OFFSET('배치점수 계산기'!M$10,$D22,0)</f>
        <v>표점</v>
      </c>
      <c r="X22" s="184" t="str">
        <f ca="1">OFFSET('배치점수 계산기'!N$10,$D22,0)</f>
        <v>표점</v>
      </c>
      <c r="Y22" s="188">
        <f ca="1">OFFSET(환산공식!FW$15,$F22,0)</f>
        <v>0.33</v>
      </c>
      <c r="Z22" s="20">
        <f ca="1">OFFSET(환산공식!FX$15,$F22,0)</f>
        <v>0.4</v>
      </c>
      <c r="AA22" s="179">
        <f ca="1">OFFSET(환산공식!FY$15,$F22,0)</f>
        <v>0.27</v>
      </c>
      <c r="AC22"/>
      <c r="AD22">
        <f t="shared" ca="1" si="1"/>
        <v>6</v>
      </c>
      <c r="AE22"/>
    </row>
    <row r="23" spans="1:31" s="3" customFormat="1">
      <c r="A23" s="198"/>
      <c r="B23" s="198"/>
      <c r="C23" s="198" t="s">
        <v>1475</v>
      </c>
      <c r="D23" s="195">
        <v>1009</v>
      </c>
      <c r="E23" s="195">
        <v>2</v>
      </c>
      <c r="F23" s="195">
        <v>2</v>
      </c>
      <c r="G23" s="239">
        <v>16</v>
      </c>
      <c r="H23" s="197" t="s">
        <v>79</v>
      </c>
      <c r="I23" s="242" t="s">
        <v>196</v>
      </c>
      <c r="J23" s="242" t="s">
        <v>8126</v>
      </c>
      <c r="K23" s="195" t="s">
        <v>70</v>
      </c>
      <c r="L23" s="20" t="str">
        <f ca="1">IF(OFFSET(환산공식!$ED$15,$F23,0)=1,"O","X")</f>
        <v>X</v>
      </c>
      <c r="M23" s="188">
        <f ca="1">IFERROR(OFFSET(환산공식!DJ$15,$F23,0),"")</f>
        <v>0</v>
      </c>
      <c r="N23" s="20" t="str">
        <f ca="1">IFERROR(CONCATENATE(ROUND(OFFSET(환산공식!DK$15,$F23,0),1),"%"),"")</f>
        <v/>
      </c>
      <c r="O23" s="20">
        <f ca="1">IFERROR(OFFSET(환산공식!DL$15,$F23,0),"")</f>
        <v>0</v>
      </c>
      <c r="P23" s="188" t="str">
        <f t="shared" ca="1" si="0"/>
        <v>3% 이하</v>
      </c>
      <c r="Q23" s="194">
        <f ca="1">IFERROR(ROUND(OFFSET(환산공식!$FG$15,$F23,0),3),"")</f>
        <v>0</v>
      </c>
      <c r="R23" s="194">
        <f ca="1">OFFSET('배치점수 계산기'!H$10,$D23,0)</f>
        <v>401.82799999999997</v>
      </c>
      <c r="S23" s="194">
        <f ca="1">OFFSET('배치점수 계산기'!I$10,$D23,0)</f>
        <v>401.488</v>
      </c>
      <c r="T23" s="194">
        <f ca="1">OFFSET('배치점수 계산기'!J$10,$D23,0)</f>
        <v>401.12</v>
      </c>
      <c r="U23" s="194">
        <f ca="1">OFFSET('배치점수 계산기'!K$10,$D23,0)</f>
        <v>399.07600000000002</v>
      </c>
      <c r="V23" s="194">
        <f ca="1">OFFSET('배치점수 계산기'!L$10,$D23,0)</f>
        <v>394.298</v>
      </c>
      <c r="W23" s="186" t="str">
        <f ca="1">OFFSET('배치점수 계산기'!M$10,$D23,0)</f>
        <v>표점</v>
      </c>
      <c r="X23" s="184" t="str">
        <f ca="1">OFFSET('배치점수 계산기'!N$10,$D23,0)</f>
        <v>표점</v>
      </c>
      <c r="Y23" s="188">
        <f ca="1">OFFSET(환산공식!FW$15,$F23,0)</f>
        <v>0.33</v>
      </c>
      <c r="Z23" s="20">
        <f ca="1">OFFSET(환산공식!FX$15,$F23,0)</f>
        <v>0.4</v>
      </c>
      <c r="AA23" s="179">
        <f ca="1">OFFSET(환산공식!FY$15,$F23,0)</f>
        <v>0.27</v>
      </c>
      <c r="AC23"/>
      <c r="AD23">
        <f t="shared" ca="1" si="1"/>
        <v>6</v>
      </c>
      <c r="AE23"/>
    </row>
    <row r="24" spans="1:31" s="3" customFormat="1">
      <c r="A24" s="198"/>
      <c r="B24" s="198"/>
      <c r="C24" s="198" t="s">
        <v>1476</v>
      </c>
      <c r="D24" s="195">
        <v>1010</v>
      </c>
      <c r="E24" s="195">
        <v>2</v>
      </c>
      <c r="F24" s="195">
        <v>2</v>
      </c>
      <c r="G24" s="239">
        <v>17</v>
      </c>
      <c r="H24" s="197" t="s">
        <v>79</v>
      </c>
      <c r="I24" s="242" t="s">
        <v>196</v>
      </c>
      <c r="J24" s="242" t="s">
        <v>8148</v>
      </c>
      <c r="K24" s="195" t="s">
        <v>70</v>
      </c>
      <c r="L24" s="20" t="str">
        <f ca="1">IF(OFFSET(환산공식!$ED$15,$F24,0)=1,"O","X")</f>
        <v>X</v>
      </c>
      <c r="M24" s="188">
        <f ca="1">IFERROR(OFFSET(환산공식!DJ$15,$F24,0),"")</f>
        <v>0</v>
      </c>
      <c r="N24" s="20" t="str">
        <f ca="1">IFERROR(CONCATENATE(ROUND(OFFSET(환산공식!DK$15,$F24,0),1),"%"),"")</f>
        <v/>
      </c>
      <c r="O24" s="20">
        <f ca="1">IFERROR(OFFSET(환산공식!DL$15,$F24,0),"")</f>
        <v>0</v>
      </c>
      <c r="P24" s="188" t="str">
        <f t="shared" ca="1" si="0"/>
        <v>3% 이하</v>
      </c>
      <c r="Q24" s="194">
        <f ca="1">IFERROR(ROUND(OFFSET(환산공식!$FG$15,$F24,0),3),"")</f>
        <v>0</v>
      </c>
      <c r="R24" s="194">
        <f ca="1">OFFSET('배치점수 계산기'!H$10,$D24,0)</f>
        <v>402.108</v>
      </c>
      <c r="S24" s="194">
        <f ca="1">OFFSET('배치점수 계산기'!I$10,$D24,0)</f>
        <v>401.82799999999997</v>
      </c>
      <c r="T24" s="194">
        <f ca="1">OFFSET('배치점수 계산기'!J$10,$D24,0)</f>
        <v>401.12</v>
      </c>
      <c r="U24" s="194">
        <f ca="1">OFFSET('배치점수 계산기'!K$10,$D24,0)</f>
        <v>399.22800000000001</v>
      </c>
      <c r="V24" s="194">
        <f ca="1">OFFSET('배치점수 계산기'!L$10,$D24,0)</f>
        <v>397.47800000000001</v>
      </c>
      <c r="W24" s="186" t="str">
        <f ca="1">OFFSET('배치점수 계산기'!M$10,$D24,0)</f>
        <v>표점</v>
      </c>
      <c r="X24" s="184" t="str">
        <f ca="1">OFFSET('배치점수 계산기'!N$10,$D24,0)</f>
        <v>표점</v>
      </c>
      <c r="Y24" s="188">
        <f ca="1">OFFSET(환산공식!FW$15,$F24,0)</f>
        <v>0.33</v>
      </c>
      <c r="Z24" s="20">
        <f ca="1">OFFSET(환산공식!FX$15,$F24,0)</f>
        <v>0.4</v>
      </c>
      <c r="AA24" s="179">
        <f ca="1">OFFSET(환산공식!FY$15,$F24,0)</f>
        <v>0.27</v>
      </c>
      <c r="AC24"/>
      <c r="AD24">
        <f t="shared" ca="1" si="1"/>
        <v>6</v>
      </c>
      <c r="AE24"/>
    </row>
    <row r="25" spans="1:31" s="3" customFormat="1">
      <c r="A25" s="198"/>
      <c r="B25" s="198"/>
      <c r="C25" s="198" t="s">
        <v>1477</v>
      </c>
      <c r="D25" s="195">
        <v>1011</v>
      </c>
      <c r="E25" s="195">
        <v>2</v>
      </c>
      <c r="F25" s="195">
        <v>2</v>
      </c>
      <c r="G25" s="239">
        <v>18</v>
      </c>
      <c r="H25" s="197" t="s">
        <v>79</v>
      </c>
      <c r="I25" s="242" t="s">
        <v>196</v>
      </c>
      <c r="J25" s="242" t="s">
        <v>8155</v>
      </c>
      <c r="K25" s="195" t="s">
        <v>70</v>
      </c>
      <c r="L25" s="20" t="str">
        <f ca="1">IF(OFFSET(환산공식!$ED$15,$F25,0)=1,"O","X")</f>
        <v>X</v>
      </c>
      <c r="M25" s="188">
        <f ca="1">IFERROR(OFFSET(환산공식!DJ$15,$F25,0),"")</f>
        <v>0</v>
      </c>
      <c r="N25" s="20" t="str">
        <f ca="1">IFERROR(CONCATENATE(ROUND(OFFSET(환산공식!DK$15,$F25,0),1),"%"),"")</f>
        <v/>
      </c>
      <c r="O25" s="20">
        <f ca="1">IFERROR(OFFSET(환산공식!DL$15,$F25,0),"")</f>
        <v>0</v>
      </c>
      <c r="P25" s="188" t="str">
        <f t="shared" ca="1" si="0"/>
        <v>3% 이하</v>
      </c>
      <c r="Q25" s="194">
        <f ca="1">IFERROR(ROUND(OFFSET(환산공식!$FG$15,$F25,0),3),"")</f>
        <v>0</v>
      </c>
      <c r="R25" s="194">
        <f ca="1">OFFSET('배치점수 계산기'!H$10,$D25,0)</f>
        <v>402.37799999999999</v>
      </c>
      <c r="S25" s="194">
        <f ca="1">OFFSET('배치점수 계산기'!I$10,$D25,0)</f>
        <v>401.82799999999997</v>
      </c>
      <c r="T25" s="194">
        <f ca="1">OFFSET('배치점수 계산기'!J$10,$D25,0)</f>
        <v>401.12</v>
      </c>
      <c r="U25" s="194">
        <f ca="1">OFFSET('배치점수 계산기'!K$10,$D25,0)</f>
        <v>398.26600000000002</v>
      </c>
      <c r="V25" s="194">
        <f ca="1">OFFSET('배치점수 계산기'!L$10,$D25,0)</f>
        <v>393.51600000000002</v>
      </c>
      <c r="W25" s="186" t="str">
        <f ca="1">OFFSET('배치점수 계산기'!M$10,$D25,0)</f>
        <v>표점</v>
      </c>
      <c r="X25" s="184" t="str">
        <f ca="1">OFFSET('배치점수 계산기'!N$10,$D25,0)</f>
        <v>표점</v>
      </c>
      <c r="Y25" s="188">
        <f ca="1">OFFSET(환산공식!FW$15,$F25,0)</f>
        <v>0.33</v>
      </c>
      <c r="Z25" s="20">
        <f ca="1">OFFSET(환산공식!FX$15,$F25,0)</f>
        <v>0.4</v>
      </c>
      <c r="AA25" s="179">
        <f ca="1">OFFSET(환산공식!FY$15,$F25,0)</f>
        <v>0.27</v>
      </c>
      <c r="AC25"/>
      <c r="AD25">
        <f t="shared" ca="1" si="1"/>
        <v>6</v>
      </c>
      <c r="AE25"/>
    </row>
    <row r="26" spans="1:31" s="3" customFormat="1">
      <c r="A26" s="198"/>
      <c r="B26" s="198"/>
      <c r="C26" s="198" t="s">
        <v>1478</v>
      </c>
      <c r="D26" s="195">
        <v>1012</v>
      </c>
      <c r="E26" s="195">
        <v>2</v>
      </c>
      <c r="F26" s="195">
        <v>2</v>
      </c>
      <c r="G26" s="239">
        <v>19</v>
      </c>
      <c r="H26" s="197" t="s">
        <v>79</v>
      </c>
      <c r="I26" s="242" t="s">
        <v>196</v>
      </c>
      <c r="J26" s="242" t="s">
        <v>559</v>
      </c>
      <c r="K26" s="195" t="s">
        <v>70</v>
      </c>
      <c r="L26" s="20" t="str">
        <f ca="1">IF(OFFSET(환산공식!$ED$15,$F26,0)=1,"O","X")</f>
        <v>X</v>
      </c>
      <c r="M26" s="188">
        <f ca="1">IFERROR(OFFSET(환산공식!DJ$15,$F26,0),"")</f>
        <v>0</v>
      </c>
      <c r="N26" s="20" t="str">
        <f ca="1">IFERROR(CONCATENATE(ROUND(OFFSET(환산공식!DK$15,$F26,0),1),"%"),"")</f>
        <v/>
      </c>
      <c r="O26" s="20">
        <f ca="1">IFERROR(OFFSET(환산공식!DL$15,$F26,0),"")</f>
        <v>0</v>
      </c>
      <c r="P26" s="188" t="str">
        <f t="shared" ca="1" si="0"/>
        <v>3% 이하</v>
      </c>
      <c r="Q26" s="194">
        <f ca="1">IFERROR(ROUND(OFFSET(환산공식!$FG$15,$F26,0),3),"")</f>
        <v>0</v>
      </c>
      <c r="R26" s="194">
        <f ca="1">OFFSET('배치점수 계산기'!H$10,$D26,0)</f>
        <v>402.108</v>
      </c>
      <c r="S26" s="194">
        <f ca="1">OFFSET('배치점수 계산기'!I$10,$D26,0)</f>
        <v>401.82799999999997</v>
      </c>
      <c r="T26" s="194">
        <f ca="1">OFFSET('배치점수 계산기'!J$10,$D26,0)</f>
        <v>401.12</v>
      </c>
      <c r="U26" s="194">
        <f ca="1">OFFSET('배치점수 계산기'!K$10,$D26,0)</f>
        <v>398.86799999999999</v>
      </c>
      <c r="V26" s="194">
        <f ca="1">OFFSET('배치점수 계산기'!L$10,$D26,0)</f>
        <v>395.69799999999998</v>
      </c>
      <c r="W26" s="186" t="str">
        <f ca="1">OFFSET('배치점수 계산기'!M$10,$D26,0)</f>
        <v>표점</v>
      </c>
      <c r="X26" s="184" t="str">
        <f ca="1">OFFSET('배치점수 계산기'!N$10,$D26,0)</f>
        <v>표점</v>
      </c>
      <c r="Y26" s="188">
        <f ca="1">OFFSET(환산공식!FW$15,$F26,0)</f>
        <v>0.33</v>
      </c>
      <c r="Z26" s="20">
        <f ca="1">OFFSET(환산공식!FX$15,$F26,0)</f>
        <v>0.4</v>
      </c>
      <c r="AA26" s="179">
        <f ca="1">OFFSET(환산공식!FY$15,$F26,0)</f>
        <v>0.27</v>
      </c>
      <c r="AC26"/>
      <c r="AD26">
        <f t="shared" ca="1" si="1"/>
        <v>6</v>
      </c>
      <c r="AE26"/>
    </row>
    <row r="27" spans="1:31" s="3" customFormat="1">
      <c r="A27" s="198"/>
      <c r="B27" s="198"/>
      <c r="C27" s="198" t="s">
        <v>1479</v>
      </c>
      <c r="D27" s="195">
        <v>1013</v>
      </c>
      <c r="E27" s="195">
        <v>2</v>
      </c>
      <c r="F27" s="195">
        <v>2</v>
      </c>
      <c r="G27" s="239">
        <v>20</v>
      </c>
      <c r="H27" s="197" t="s">
        <v>79</v>
      </c>
      <c r="I27" s="242" t="s">
        <v>196</v>
      </c>
      <c r="J27" s="242" t="s">
        <v>8080</v>
      </c>
      <c r="K27" s="195" t="s">
        <v>70</v>
      </c>
      <c r="L27" s="20" t="str">
        <f ca="1">IF(OFFSET(환산공식!$ED$15,$F27,0)=1,"O","X")</f>
        <v>X</v>
      </c>
      <c r="M27" s="188">
        <f ca="1">IFERROR(OFFSET(환산공식!DJ$15,$F27,0),"")</f>
        <v>0</v>
      </c>
      <c r="N27" s="20" t="str">
        <f ca="1">IFERROR(CONCATENATE(ROUND(OFFSET(환산공식!DK$15,$F27,0),1),"%"),"")</f>
        <v/>
      </c>
      <c r="O27" s="20">
        <f ca="1">IFERROR(OFFSET(환산공식!DL$15,$F27,0),"")</f>
        <v>0</v>
      </c>
      <c r="P27" s="188" t="str">
        <f t="shared" ca="1" si="0"/>
        <v>3% 이하</v>
      </c>
      <c r="Q27" s="194">
        <f ca="1">IFERROR(ROUND(OFFSET(환산공식!$FG$15,$F27,0),3),"")</f>
        <v>0</v>
      </c>
      <c r="R27" s="194">
        <f ca="1">OFFSET('배치점수 계산기'!H$10,$D27,0)</f>
        <v>403.77</v>
      </c>
      <c r="S27" s="194">
        <f ca="1">OFFSET('배치점수 계산기'!I$10,$D27,0)</f>
        <v>403.22</v>
      </c>
      <c r="T27" s="194">
        <f ca="1">OFFSET('배치점수 계산기'!J$10,$D27,0)</f>
        <v>400.83800000000002</v>
      </c>
      <c r="U27" s="194">
        <f ca="1">OFFSET('배치점수 계산기'!K$10,$D27,0)</f>
        <v>399.07600000000002</v>
      </c>
      <c r="V27" s="194">
        <f ca="1">OFFSET('배치점수 계산기'!L$10,$D27,0)</f>
        <v>397.56599999999997</v>
      </c>
      <c r="W27" s="186" t="str">
        <f ca="1">OFFSET('배치점수 계산기'!M$10,$D27,0)</f>
        <v>표점</v>
      </c>
      <c r="X27" s="184" t="str">
        <f ca="1">OFFSET('배치점수 계산기'!N$10,$D27,0)</f>
        <v>표점</v>
      </c>
      <c r="Y27" s="188">
        <f ca="1">OFFSET(환산공식!FW$15,$F27,0)</f>
        <v>0.33</v>
      </c>
      <c r="Z27" s="20">
        <f ca="1">OFFSET(환산공식!FX$15,$F27,0)</f>
        <v>0.4</v>
      </c>
      <c r="AA27" s="179">
        <f ca="1">OFFSET(환산공식!FY$15,$F27,0)</f>
        <v>0.27</v>
      </c>
      <c r="AC27"/>
      <c r="AD27">
        <f t="shared" ca="1" si="1"/>
        <v>6</v>
      </c>
      <c r="AE27"/>
    </row>
    <row r="28" spans="1:31" s="3" customFormat="1">
      <c r="A28" s="198"/>
      <c r="B28" s="198"/>
      <c r="C28" s="198" t="s">
        <v>1480</v>
      </c>
      <c r="D28" s="195">
        <v>1014</v>
      </c>
      <c r="E28" s="195">
        <v>2</v>
      </c>
      <c r="F28" s="195">
        <v>2</v>
      </c>
      <c r="G28" s="239">
        <v>21</v>
      </c>
      <c r="H28" s="197" t="s">
        <v>79</v>
      </c>
      <c r="I28" s="242" t="s">
        <v>196</v>
      </c>
      <c r="J28" s="242" t="s">
        <v>8011</v>
      </c>
      <c r="K28" s="195" t="s">
        <v>70</v>
      </c>
      <c r="L28" s="20" t="str">
        <f ca="1">IF(OFFSET(환산공식!$ED$15,$F28,0)=1,"O","X")</f>
        <v>X</v>
      </c>
      <c r="M28" s="188">
        <f ca="1">IFERROR(OFFSET(환산공식!DJ$15,$F28,0),"")</f>
        <v>0</v>
      </c>
      <c r="N28" s="20" t="str">
        <f ca="1">IFERROR(CONCATENATE(ROUND(OFFSET(환산공식!DK$15,$F28,0),1),"%"),"")</f>
        <v/>
      </c>
      <c r="O28" s="20">
        <f ca="1">IFERROR(OFFSET(환산공식!DL$15,$F28,0),"")</f>
        <v>0</v>
      </c>
      <c r="P28" s="188" t="str">
        <f t="shared" ca="1" si="0"/>
        <v>3% 이하</v>
      </c>
      <c r="Q28" s="194">
        <f ca="1">IFERROR(ROUND(OFFSET(환산공식!$FG$15,$F28,0),3),"")</f>
        <v>0</v>
      </c>
      <c r="R28" s="194">
        <f ca="1">OFFSET('배치점수 계산기'!H$10,$D28,0)</f>
        <v>402.37799999999999</v>
      </c>
      <c r="S28" s="194">
        <f ca="1">OFFSET('배치점수 계산기'!I$10,$D28,0)</f>
        <v>401.488</v>
      </c>
      <c r="T28" s="194">
        <f ca="1">OFFSET('배치점수 계산기'!J$10,$D28,0)</f>
        <v>400.31799999999998</v>
      </c>
      <c r="U28" s="194">
        <f ca="1">OFFSET('배치점수 계산기'!K$10,$D28,0)</f>
        <v>396.30799999999999</v>
      </c>
      <c r="V28" s="194">
        <f ca="1">OFFSET('배치점수 계산기'!L$10,$D28,0)</f>
        <v>393.29599999999999</v>
      </c>
      <c r="W28" s="186" t="str">
        <f ca="1">OFFSET('배치점수 계산기'!M$10,$D28,0)</f>
        <v>표점</v>
      </c>
      <c r="X28" s="184" t="str">
        <f ca="1">OFFSET('배치점수 계산기'!N$10,$D28,0)</f>
        <v>표점</v>
      </c>
      <c r="Y28" s="188">
        <f ca="1">OFFSET(환산공식!FW$15,$F28,0)</f>
        <v>0.33</v>
      </c>
      <c r="Z28" s="20">
        <f ca="1">OFFSET(환산공식!FX$15,$F28,0)</f>
        <v>0.4</v>
      </c>
      <c r="AA28" s="179">
        <f ca="1">OFFSET(환산공식!FY$15,$F28,0)</f>
        <v>0.27</v>
      </c>
      <c r="AC28"/>
      <c r="AD28">
        <f t="shared" ca="1" si="1"/>
        <v>6</v>
      </c>
      <c r="AE28"/>
    </row>
    <row r="29" spans="1:31" s="3" customFormat="1">
      <c r="A29" s="198"/>
      <c r="B29" s="198"/>
      <c r="C29" s="198" t="s">
        <v>1481</v>
      </c>
      <c r="D29" s="195">
        <v>1015</v>
      </c>
      <c r="E29" s="195">
        <v>2</v>
      </c>
      <c r="F29" s="195">
        <v>2</v>
      </c>
      <c r="G29" s="239">
        <v>22</v>
      </c>
      <c r="H29" s="197" t="s">
        <v>79</v>
      </c>
      <c r="I29" s="242" t="s">
        <v>196</v>
      </c>
      <c r="J29" s="242" t="s">
        <v>7248</v>
      </c>
      <c r="K29" s="195" t="s">
        <v>70</v>
      </c>
      <c r="L29" s="20" t="str">
        <f ca="1">IF(OFFSET(환산공식!$ED$15,$F29,0)=1,"O","X")</f>
        <v>X</v>
      </c>
      <c r="M29" s="188">
        <f ca="1">IFERROR(OFFSET(환산공식!DJ$15,$F29,0),"")</f>
        <v>0</v>
      </c>
      <c r="N29" s="20" t="str">
        <f ca="1">IFERROR(CONCATENATE(ROUND(OFFSET(환산공식!DK$15,$F29,0),1),"%"),"")</f>
        <v/>
      </c>
      <c r="O29" s="20">
        <f ca="1">IFERROR(OFFSET(환산공식!DL$15,$F29,0),"")</f>
        <v>0</v>
      </c>
      <c r="P29" s="188" t="str">
        <f t="shared" ca="1" si="0"/>
        <v>3% 이하</v>
      </c>
      <c r="Q29" s="194">
        <f ca="1">IFERROR(ROUND(OFFSET(환산공식!$FG$15,$F29,0),3),"")</f>
        <v>0</v>
      </c>
      <c r="R29" s="194">
        <f ca="1">OFFSET('배치점수 계산기'!H$10,$D29,0)</f>
        <v>403.22</v>
      </c>
      <c r="S29" s="194">
        <f ca="1">OFFSET('배치점수 계산기'!I$10,$D29,0)</f>
        <v>401.82799999999997</v>
      </c>
      <c r="T29" s="194">
        <f ca="1">OFFSET('배치점수 계산기'!J$10,$D29,0)</f>
        <v>400.03800000000001</v>
      </c>
      <c r="U29" s="194">
        <f ca="1">OFFSET('배치점수 계산기'!K$10,$D29,0)</f>
        <v>398.76799999999997</v>
      </c>
      <c r="V29" s="194">
        <f ca="1">OFFSET('배치점수 계산기'!L$10,$D29,0)</f>
        <v>397.47800000000001</v>
      </c>
      <c r="W29" s="186" t="str">
        <f ca="1">OFFSET('배치점수 계산기'!M$10,$D29,0)</f>
        <v>표점</v>
      </c>
      <c r="X29" s="184" t="str">
        <f ca="1">OFFSET('배치점수 계산기'!N$10,$D29,0)</f>
        <v>표점</v>
      </c>
      <c r="Y29" s="188">
        <f ca="1">OFFSET(환산공식!FW$15,$F29,0)</f>
        <v>0.33</v>
      </c>
      <c r="Z29" s="20">
        <f ca="1">OFFSET(환산공식!FX$15,$F29,0)</f>
        <v>0.4</v>
      </c>
      <c r="AA29" s="179">
        <f ca="1">OFFSET(환산공식!FY$15,$F29,0)</f>
        <v>0.27</v>
      </c>
      <c r="AC29"/>
      <c r="AD29">
        <f t="shared" ca="1" si="1"/>
        <v>6</v>
      </c>
      <c r="AE29"/>
    </row>
    <row r="30" spans="1:31" s="3" customFormat="1">
      <c r="A30" s="198"/>
      <c r="B30" s="198"/>
      <c r="C30" s="198" t="s">
        <v>1482</v>
      </c>
      <c r="D30" s="195">
        <v>1016</v>
      </c>
      <c r="E30" s="195">
        <v>1</v>
      </c>
      <c r="F30" s="195">
        <v>1</v>
      </c>
      <c r="G30" s="239">
        <v>23</v>
      </c>
      <c r="H30" s="197" t="s">
        <v>79</v>
      </c>
      <c r="I30" s="242" t="s">
        <v>196</v>
      </c>
      <c r="J30" s="242" t="s">
        <v>8236</v>
      </c>
      <c r="K30" s="195" t="s">
        <v>70</v>
      </c>
      <c r="L30" s="20" t="str">
        <f ca="1">IF(OFFSET(환산공식!$ED$15,$F30,0)=1,"O","X")</f>
        <v>X</v>
      </c>
      <c r="M30" s="188">
        <f ca="1">IFERROR(OFFSET(환산공식!DJ$15,$F30,0),"")</f>
        <v>0</v>
      </c>
      <c r="N30" s="20" t="str">
        <f ca="1">IFERROR(CONCATENATE(ROUND(OFFSET(환산공식!DK$15,$F30,0),1),"%"),"")</f>
        <v/>
      </c>
      <c r="O30" s="20">
        <f ca="1">IFERROR(OFFSET(환산공식!DL$15,$F30,0),"")</f>
        <v>0</v>
      </c>
      <c r="P30" s="188" t="str">
        <f t="shared" ca="1" si="0"/>
        <v>3% 이하</v>
      </c>
      <c r="Q30" s="194">
        <f ca="1">IFERROR(ROUND(OFFSET(환산공식!$FG$15,$F30,0),3),"")</f>
        <v>0</v>
      </c>
      <c r="R30" s="194">
        <f ca="1">OFFSET('배치점수 계산기'!H$10,$D30,0)</f>
        <v>401.916</v>
      </c>
      <c r="S30" s="194">
        <f ca="1">OFFSET('배치점수 계산기'!I$10,$D30,0)</f>
        <v>400.68599999999998</v>
      </c>
      <c r="T30" s="194">
        <f ca="1">OFFSET('배치점수 계산기'!J$10,$D30,0)</f>
        <v>399.60599999999999</v>
      </c>
      <c r="U30" s="194">
        <f ca="1">OFFSET('배치점수 계산기'!K$10,$D30,0)</f>
        <v>398.36200000000002</v>
      </c>
      <c r="V30" s="194">
        <f ca="1">OFFSET('배치점수 계산기'!L$10,$D30,0)</f>
        <v>395.98200000000003</v>
      </c>
      <c r="W30" s="186" t="str">
        <f ca="1">OFFSET('배치점수 계산기'!M$10,$D30,0)</f>
        <v>표점</v>
      </c>
      <c r="X30" s="184" t="str">
        <f ca="1">OFFSET('배치점수 계산기'!N$10,$D30,0)</f>
        <v>표점</v>
      </c>
      <c r="Y30" s="188">
        <f ca="1">OFFSET(환산공식!FW$15,$F30,0)</f>
        <v>0.33</v>
      </c>
      <c r="Z30" s="20">
        <f ca="1">OFFSET(환산공식!FX$15,$F30,0)</f>
        <v>0.4</v>
      </c>
      <c r="AA30" s="179">
        <f ca="1">OFFSET(환산공식!FY$15,$F30,0)</f>
        <v>0.27</v>
      </c>
      <c r="AC30"/>
      <c r="AD30">
        <f t="shared" ca="1" si="1"/>
        <v>6</v>
      </c>
      <c r="AE30"/>
    </row>
    <row r="31" spans="1:31" s="3" customFormat="1">
      <c r="A31" s="198"/>
      <c r="B31" s="198"/>
      <c r="C31" s="198" t="s">
        <v>1483</v>
      </c>
      <c r="D31" s="195">
        <v>1017</v>
      </c>
      <c r="E31" s="195">
        <v>2</v>
      </c>
      <c r="F31" s="195">
        <v>2</v>
      </c>
      <c r="G31" s="239">
        <v>24</v>
      </c>
      <c r="H31" s="197" t="s">
        <v>79</v>
      </c>
      <c r="I31" s="242" t="s">
        <v>196</v>
      </c>
      <c r="J31" s="242" t="s">
        <v>8243</v>
      </c>
      <c r="K31" s="195" t="s">
        <v>70</v>
      </c>
      <c r="L31" s="20" t="str">
        <f ca="1">IF(OFFSET(환산공식!$ED$15,$F31,0)=1,"O","X")</f>
        <v>X</v>
      </c>
      <c r="M31" s="188">
        <f ca="1">IFERROR(OFFSET(환산공식!DJ$15,$F31,0),"")</f>
        <v>0</v>
      </c>
      <c r="N31" s="20" t="str">
        <f ca="1">IFERROR(CONCATENATE(ROUND(OFFSET(환산공식!DK$15,$F31,0),1),"%"),"")</f>
        <v/>
      </c>
      <c r="O31" s="20">
        <f ca="1">IFERROR(OFFSET(환산공식!DL$15,$F31,0),"")</f>
        <v>0</v>
      </c>
      <c r="P31" s="188" t="str">
        <f t="shared" ca="1" si="0"/>
        <v>3% 이하</v>
      </c>
      <c r="Q31" s="194">
        <f ca="1">IFERROR(ROUND(OFFSET(환산공식!$FG$15,$F31,0),3),"")</f>
        <v>0</v>
      </c>
      <c r="R31" s="194">
        <f ca="1">OFFSET('배치점수 계산기'!H$10,$D31,0)</f>
        <v>400.83800000000002</v>
      </c>
      <c r="S31" s="194">
        <f ca="1">OFFSET('배치점수 계산기'!I$10,$D31,0)</f>
        <v>400.31799999999998</v>
      </c>
      <c r="T31" s="194">
        <f ca="1">OFFSET('배치점수 계산기'!J$10,$D31,0)</f>
        <v>399.51799999999997</v>
      </c>
      <c r="U31" s="194">
        <f ca="1">OFFSET('배치점수 계산기'!K$10,$D31,0)</f>
        <v>397.27800000000002</v>
      </c>
      <c r="V31" s="194">
        <f ca="1">OFFSET('배치점수 계산기'!L$10,$D31,0)</f>
        <v>393.61599999999999</v>
      </c>
      <c r="W31" s="186" t="str">
        <f ca="1">OFFSET('배치점수 계산기'!M$10,$D31,0)</f>
        <v>표점</v>
      </c>
      <c r="X31" s="184" t="str">
        <f ca="1">OFFSET('배치점수 계산기'!N$10,$D31,0)</f>
        <v>표점</v>
      </c>
      <c r="Y31" s="188">
        <f ca="1">OFFSET(환산공식!FW$15,$F31,0)</f>
        <v>0.33</v>
      </c>
      <c r="Z31" s="20">
        <f ca="1">OFFSET(환산공식!FX$15,$F31,0)</f>
        <v>0.4</v>
      </c>
      <c r="AA31" s="179">
        <f ca="1">OFFSET(환산공식!FY$15,$F31,0)</f>
        <v>0.27</v>
      </c>
      <c r="AC31"/>
      <c r="AD31">
        <f t="shared" ca="1" si="1"/>
        <v>6</v>
      </c>
      <c r="AE31"/>
    </row>
    <row r="32" spans="1:31" s="3" customFormat="1">
      <c r="A32" s="198"/>
      <c r="B32" s="198"/>
      <c r="C32" s="198" t="s">
        <v>1484</v>
      </c>
      <c r="D32" s="195">
        <v>1018</v>
      </c>
      <c r="E32" s="195">
        <v>1</v>
      </c>
      <c r="F32" s="195">
        <v>1</v>
      </c>
      <c r="G32" s="239">
        <v>25</v>
      </c>
      <c r="H32" s="197" t="s">
        <v>79</v>
      </c>
      <c r="I32" s="242" t="s">
        <v>196</v>
      </c>
      <c r="J32" s="242" t="s">
        <v>541</v>
      </c>
      <c r="K32" s="195" t="s">
        <v>70</v>
      </c>
      <c r="L32" s="20" t="str">
        <f ca="1">IF(OFFSET(환산공식!$ED$15,$F32,0)=1,"O","X")</f>
        <v>X</v>
      </c>
      <c r="M32" s="188">
        <f ca="1">IFERROR(OFFSET(환산공식!DJ$15,$F32,0),"")</f>
        <v>0</v>
      </c>
      <c r="N32" s="20" t="str">
        <f ca="1">IFERROR(CONCATENATE(ROUND(OFFSET(환산공식!DK$15,$F32,0),1),"%"),"")</f>
        <v/>
      </c>
      <c r="O32" s="20">
        <f ca="1">IFERROR(OFFSET(환산공식!DL$15,$F32,0),"")</f>
        <v>0</v>
      </c>
      <c r="P32" s="188" t="str">
        <f t="shared" ca="1" si="0"/>
        <v>3% 이하</v>
      </c>
      <c r="Q32" s="194">
        <f ca="1">IFERROR(ROUND(OFFSET(환산공식!$FG$15,$F32,0),3),"")</f>
        <v>0</v>
      </c>
      <c r="R32" s="194">
        <f ca="1">OFFSET('배치점수 계산기'!H$10,$D32,0)</f>
        <v>404.34</v>
      </c>
      <c r="S32" s="194">
        <f ca="1">OFFSET('배치점수 계산기'!I$10,$D32,0)</f>
        <v>401.57600000000002</v>
      </c>
      <c r="T32" s="194">
        <f ca="1">OFFSET('배치점수 계산기'!J$10,$D32,0)</f>
        <v>399.31599999999997</v>
      </c>
      <c r="U32" s="194">
        <f ca="1">OFFSET('배치점수 계산기'!K$10,$D32,0)</f>
        <v>397.56599999999997</v>
      </c>
      <c r="V32" s="194">
        <f ca="1">OFFSET('배치점수 계산기'!L$10,$D32,0)</f>
        <v>396.39600000000002</v>
      </c>
      <c r="W32" s="186" t="str">
        <f ca="1">OFFSET('배치점수 계산기'!M$10,$D32,0)</f>
        <v>표점</v>
      </c>
      <c r="X32" s="184" t="str">
        <f ca="1">OFFSET('배치점수 계산기'!N$10,$D32,0)</f>
        <v>표점</v>
      </c>
      <c r="Y32" s="188">
        <f ca="1">OFFSET(환산공식!FW$15,$F32,0)</f>
        <v>0.33</v>
      </c>
      <c r="Z32" s="20">
        <f ca="1">OFFSET(환산공식!FX$15,$F32,0)</f>
        <v>0.4</v>
      </c>
      <c r="AA32" s="179">
        <f ca="1">OFFSET(환산공식!FY$15,$F32,0)</f>
        <v>0.27</v>
      </c>
      <c r="AC32"/>
      <c r="AD32">
        <f t="shared" ca="1" si="1"/>
        <v>6</v>
      </c>
      <c r="AE32"/>
    </row>
    <row r="33" spans="1:31" s="3" customFormat="1">
      <c r="A33" s="198"/>
      <c r="B33" s="198"/>
      <c r="C33" s="198" t="s">
        <v>1485</v>
      </c>
      <c r="D33" s="195">
        <v>1019</v>
      </c>
      <c r="E33" s="195">
        <v>1</v>
      </c>
      <c r="F33" s="195">
        <v>1</v>
      </c>
      <c r="G33" s="239">
        <v>26</v>
      </c>
      <c r="H33" s="197" t="s">
        <v>79</v>
      </c>
      <c r="I33" s="242" t="s">
        <v>196</v>
      </c>
      <c r="J33" s="242" t="s">
        <v>8323</v>
      </c>
      <c r="K33" s="195" t="s">
        <v>70</v>
      </c>
      <c r="L33" s="20" t="str">
        <f ca="1">IF(OFFSET(환산공식!$ED$15,$F33,0)=1,"O","X")</f>
        <v>X</v>
      </c>
      <c r="M33" s="188">
        <f ca="1">IFERROR(OFFSET(환산공식!DJ$15,$F33,0),"")</f>
        <v>0</v>
      </c>
      <c r="N33" s="20" t="str">
        <f ca="1">IFERROR(CONCATENATE(ROUND(OFFSET(환산공식!DK$15,$F33,0),1),"%"),"")</f>
        <v/>
      </c>
      <c r="O33" s="20">
        <f ca="1">IFERROR(OFFSET(환산공식!DL$15,$F33,0),"")</f>
        <v>0</v>
      </c>
      <c r="P33" s="188" t="str">
        <f t="shared" ca="1" si="0"/>
        <v>3% 이하</v>
      </c>
      <c r="Q33" s="194">
        <f ca="1">IFERROR(ROUND(OFFSET(환산공식!$FG$15,$F33,0),3),"")</f>
        <v>0</v>
      </c>
      <c r="R33" s="194">
        <f ca="1">OFFSET('배치점수 계산기'!H$10,$D33,0)</f>
        <v>401.39600000000002</v>
      </c>
      <c r="S33" s="194">
        <f ca="1">OFFSET('배치점수 계산기'!I$10,$D33,0)</f>
        <v>400.12599999999998</v>
      </c>
      <c r="T33" s="194">
        <f ca="1">OFFSET('배치점수 계산기'!J$10,$D33,0)</f>
        <v>399.17200000000003</v>
      </c>
      <c r="U33" s="194">
        <f ca="1">OFFSET('배치점수 계산기'!K$10,$D33,0)</f>
        <v>398.202</v>
      </c>
      <c r="V33" s="194">
        <f ca="1">OFFSET('배치점수 계산기'!L$10,$D33,0)</f>
        <v>394.18599999999998</v>
      </c>
      <c r="W33" s="186" t="str">
        <f ca="1">OFFSET('배치점수 계산기'!M$10,$D33,0)</f>
        <v>표점</v>
      </c>
      <c r="X33" s="184" t="str">
        <f ca="1">OFFSET('배치점수 계산기'!N$10,$D33,0)</f>
        <v>표점</v>
      </c>
      <c r="Y33" s="188">
        <f ca="1">OFFSET(환산공식!FW$15,$F33,0)</f>
        <v>0.33</v>
      </c>
      <c r="Z33" s="20">
        <f ca="1">OFFSET(환산공식!FX$15,$F33,0)</f>
        <v>0.4</v>
      </c>
      <c r="AA33" s="179">
        <f ca="1">OFFSET(환산공식!FY$15,$F33,0)</f>
        <v>0.27</v>
      </c>
      <c r="AC33"/>
      <c r="AD33">
        <f t="shared" ca="1" si="1"/>
        <v>6</v>
      </c>
      <c r="AE33"/>
    </row>
    <row r="34" spans="1:31" s="3" customFormat="1">
      <c r="A34" s="198"/>
      <c r="B34" s="198"/>
      <c r="C34" s="198" t="s">
        <v>1486</v>
      </c>
      <c r="D34" s="195">
        <v>1020</v>
      </c>
      <c r="E34" s="195">
        <v>1</v>
      </c>
      <c r="F34" s="195">
        <v>1</v>
      </c>
      <c r="G34" s="239">
        <v>27</v>
      </c>
      <c r="H34" s="197" t="s">
        <v>79</v>
      </c>
      <c r="I34" s="242" t="s">
        <v>196</v>
      </c>
      <c r="J34" s="242" t="s">
        <v>8096</v>
      </c>
      <c r="K34" s="195" t="s">
        <v>70</v>
      </c>
      <c r="L34" s="20" t="str">
        <f ca="1">IF(OFFSET(환산공식!$ED$15,$F34,0)=1,"O","X")</f>
        <v>X</v>
      </c>
      <c r="M34" s="188">
        <f ca="1">IFERROR(OFFSET(환산공식!DJ$15,$F34,0),"")</f>
        <v>0</v>
      </c>
      <c r="N34" s="20" t="str">
        <f ca="1">IFERROR(CONCATENATE(ROUND(OFFSET(환산공식!DK$15,$F34,0),1),"%"),"")</f>
        <v/>
      </c>
      <c r="O34" s="20">
        <f ca="1">IFERROR(OFFSET(환산공식!DL$15,$F34,0),"")</f>
        <v>0</v>
      </c>
      <c r="P34" s="188" t="str">
        <f t="shared" ca="1" si="0"/>
        <v>3% 이하</v>
      </c>
      <c r="Q34" s="194">
        <f ca="1">IFERROR(ROUND(OFFSET(환산공식!$FG$15,$F34,0),3),"")</f>
        <v>0</v>
      </c>
      <c r="R34" s="194">
        <f ca="1">OFFSET('배치점수 계산기'!H$10,$D34,0)</f>
        <v>400.12599999999998</v>
      </c>
      <c r="S34" s="194">
        <f ca="1">OFFSET('배치점수 계산기'!I$10,$D34,0)</f>
        <v>399.60599999999999</v>
      </c>
      <c r="T34" s="194">
        <f ca="1">OFFSET('배치점수 계산기'!J$10,$D34,0)</f>
        <v>399.17200000000003</v>
      </c>
      <c r="U34" s="194">
        <f ca="1">OFFSET('배치점수 계산기'!K$10,$D34,0)</f>
        <v>398.10199999999998</v>
      </c>
      <c r="V34" s="194">
        <f ca="1">OFFSET('배치점수 계산기'!L$10,$D34,0)</f>
        <v>394.02199999999999</v>
      </c>
      <c r="W34" s="186" t="str">
        <f ca="1">OFFSET('배치점수 계산기'!M$10,$D34,0)</f>
        <v>표점</v>
      </c>
      <c r="X34" s="184" t="str">
        <f ca="1">OFFSET('배치점수 계산기'!N$10,$D34,0)</f>
        <v>표점</v>
      </c>
      <c r="Y34" s="188">
        <f ca="1">OFFSET(환산공식!FW$15,$F34,0)</f>
        <v>0.33</v>
      </c>
      <c r="Z34" s="20">
        <f ca="1">OFFSET(환산공식!FX$15,$F34,0)</f>
        <v>0.4</v>
      </c>
      <c r="AA34" s="179">
        <f ca="1">OFFSET(환산공식!FY$15,$F34,0)</f>
        <v>0.27</v>
      </c>
      <c r="AC34"/>
      <c r="AD34">
        <f t="shared" ca="1" si="1"/>
        <v>6</v>
      </c>
      <c r="AE34"/>
    </row>
    <row r="35" spans="1:31" s="3" customFormat="1">
      <c r="A35" s="198"/>
      <c r="B35" s="198"/>
      <c r="C35" s="198" t="s">
        <v>1487</v>
      </c>
      <c r="D35" s="195">
        <v>1021</v>
      </c>
      <c r="E35" s="195">
        <v>2</v>
      </c>
      <c r="F35" s="195">
        <v>2</v>
      </c>
      <c r="G35" s="239">
        <v>28</v>
      </c>
      <c r="H35" s="197" t="s">
        <v>79</v>
      </c>
      <c r="I35" s="242" t="s">
        <v>196</v>
      </c>
      <c r="J35" s="242" t="s">
        <v>8098</v>
      </c>
      <c r="K35" s="195" t="s">
        <v>70</v>
      </c>
      <c r="L35" s="20" t="str">
        <f ca="1">IF(OFFSET(환산공식!$ED$15,$F35,0)=1,"O","X")</f>
        <v>X</v>
      </c>
      <c r="M35" s="188">
        <f ca="1">IFERROR(OFFSET(환산공식!DJ$15,$F35,0),"")</f>
        <v>0</v>
      </c>
      <c r="N35" s="20" t="str">
        <f ca="1">IFERROR(CONCATENATE(ROUND(OFFSET(환산공식!DK$15,$F35,0),1),"%"),"")</f>
        <v/>
      </c>
      <c r="O35" s="20">
        <f ca="1">IFERROR(OFFSET(환산공식!DL$15,$F35,0),"")</f>
        <v>0</v>
      </c>
      <c r="P35" s="188" t="str">
        <f t="shared" ca="1" si="0"/>
        <v>3% 이하</v>
      </c>
      <c r="Q35" s="194">
        <f ca="1">IFERROR(ROUND(OFFSET(환산공식!$FG$15,$F35,0),3),"")</f>
        <v>0</v>
      </c>
      <c r="R35" s="194">
        <f ca="1">OFFSET('배치점수 계산기'!H$10,$D35,0)</f>
        <v>401.12</v>
      </c>
      <c r="S35" s="194">
        <f ca="1">OFFSET('배치점수 계산기'!I$10,$D35,0)</f>
        <v>399.75799999999998</v>
      </c>
      <c r="T35" s="194">
        <f ca="1">OFFSET('배치점수 계산기'!J$10,$D35,0)</f>
        <v>398.26600000000002</v>
      </c>
      <c r="U35" s="194">
        <f ca="1">OFFSET('배치점수 계산기'!K$10,$D35,0)</f>
        <v>396.49599999999998</v>
      </c>
      <c r="V35" s="194">
        <f ca="1">OFFSET('배치점수 계산기'!L$10,$D35,0)</f>
        <v>392.786</v>
      </c>
      <c r="W35" s="186" t="str">
        <f ca="1">OFFSET('배치점수 계산기'!M$10,$D35,0)</f>
        <v>표점</v>
      </c>
      <c r="X35" s="184" t="str">
        <f ca="1">OFFSET('배치점수 계산기'!N$10,$D35,0)</f>
        <v>표점</v>
      </c>
      <c r="Y35" s="188">
        <f ca="1">OFFSET(환산공식!FW$15,$F35,0)</f>
        <v>0.33</v>
      </c>
      <c r="Z35" s="20">
        <f ca="1">OFFSET(환산공식!FX$15,$F35,0)</f>
        <v>0.4</v>
      </c>
      <c r="AA35" s="179">
        <f ca="1">OFFSET(환산공식!FY$15,$F35,0)</f>
        <v>0.27</v>
      </c>
      <c r="AC35"/>
      <c r="AD35">
        <f t="shared" ca="1" si="1"/>
        <v>6</v>
      </c>
      <c r="AE35"/>
    </row>
    <row r="36" spans="1:31" s="3" customFormat="1">
      <c r="A36" s="198"/>
      <c r="B36" s="198"/>
      <c r="C36" s="198" t="s">
        <v>1488</v>
      </c>
      <c r="D36" s="195">
        <v>1022</v>
      </c>
      <c r="E36" s="195">
        <v>2</v>
      </c>
      <c r="F36" s="195">
        <v>2</v>
      </c>
      <c r="G36" s="239">
        <v>29</v>
      </c>
      <c r="H36" s="197" t="s">
        <v>79</v>
      </c>
      <c r="I36" s="242" t="s">
        <v>196</v>
      </c>
      <c r="J36" s="242" t="s">
        <v>8281</v>
      </c>
      <c r="K36" s="195" t="s">
        <v>70</v>
      </c>
      <c r="L36" s="20" t="str">
        <f ca="1">IF(OFFSET(환산공식!$ED$15,$F36,0)=1,"O","X")</f>
        <v>X</v>
      </c>
      <c r="M36" s="188">
        <f ca="1">IFERROR(OFFSET(환산공식!DJ$15,$F36,0),"")</f>
        <v>0</v>
      </c>
      <c r="N36" s="20" t="str">
        <f ca="1">IFERROR(CONCATENATE(ROUND(OFFSET(환산공식!DK$15,$F36,0),1),"%"),"")</f>
        <v/>
      </c>
      <c r="O36" s="20">
        <f ca="1">IFERROR(OFFSET(환산공식!DL$15,$F36,0),"")</f>
        <v>0</v>
      </c>
      <c r="P36" s="188" t="str">
        <f t="shared" ca="1" si="0"/>
        <v>3% 이하</v>
      </c>
      <c r="Q36" s="194">
        <f ca="1">IFERROR(ROUND(OFFSET(환산공식!$FG$15,$F36,0),3),"")</f>
        <v>0</v>
      </c>
      <c r="R36" s="194">
        <f ca="1">OFFSET('배치점수 계산기'!H$10,$D36,0)</f>
        <v>399.22800000000001</v>
      </c>
      <c r="S36" s="194">
        <f ca="1">OFFSET('배치점수 계산기'!I$10,$D36,0)</f>
        <v>398.76799999999997</v>
      </c>
      <c r="T36" s="194">
        <f ca="1">OFFSET('배치점수 계산기'!J$10,$D36,0)</f>
        <v>398.00599999999997</v>
      </c>
      <c r="U36" s="194">
        <f ca="1">OFFSET('배치점수 계산기'!K$10,$D36,0)</f>
        <v>396.49599999999998</v>
      </c>
      <c r="V36" s="194">
        <f ca="1">OFFSET('배치점수 계산기'!L$10,$D36,0)</f>
        <v>395.49799999999999</v>
      </c>
      <c r="W36" s="186" t="str">
        <f ca="1">OFFSET('배치점수 계산기'!M$10,$D36,0)</f>
        <v>표점</v>
      </c>
      <c r="X36" s="184" t="str">
        <f ca="1">OFFSET('배치점수 계산기'!N$10,$D36,0)</f>
        <v>표점</v>
      </c>
      <c r="Y36" s="188">
        <f ca="1">OFFSET(환산공식!FW$15,$F36,0)</f>
        <v>0.33</v>
      </c>
      <c r="Z36" s="20">
        <f ca="1">OFFSET(환산공식!FX$15,$F36,0)</f>
        <v>0.4</v>
      </c>
      <c r="AA36" s="179">
        <f ca="1">OFFSET(환산공식!FY$15,$F36,0)</f>
        <v>0.27</v>
      </c>
      <c r="AC36"/>
      <c r="AD36">
        <f t="shared" ca="1" si="1"/>
        <v>6</v>
      </c>
      <c r="AE36"/>
    </row>
    <row r="37" spans="1:31" s="3" customFormat="1">
      <c r="A37" s="198"/>
      <c r="B37" s="198"/>
      <c r="C37" s="198" t="s">
        <v>1489</v>
      </c>
      <c r="D37" s="195">
        <v>1023</v>
      </c>
      <c r="E37" s="195">
        <v>3</v>
      </c>
      <c r="F37" s="195">
        <v>3</v>
      </c>
      <c r="G37" s="239">
        <v>30</v>
      </c>
      <c r="H37" s="197" t="s">
        <v>79</v>
      </c>
      <c r="I37" s="242" t="s">
        <v>196</v>
      </c>
      <c r="J37" s="242" t="s">
        <v>8307</v>
      </c>
      <c r="K37" s="195" t="s">
        <v>70</v>
      </c>
      <c r="L37" s="20" t="str">
        <f ca="1">IF(OFFSET(환산공식!$ED$15,$F37,0)=1,"O","X")</f>
        <v>X</v>
      </c>
      <c r="M37" s="188">
        <f ca="1">IFERROR(OFFSET(환산공식!DJ$15,$F37,0),"")</f>
        <v>0</v>
      </c>
      <c r="N37" s="20" t="str">
        <f ca="1">IFERROR(CONCATENATE(ROUND(OFFSET(환산공식!DK$15,$F37,0),1),"%"),"")</f>
        <v/>
      </c>
      <c r="O37" s="20">
        <f ca="1">IFERROR(OFFSET(환산공식!DL$15,$F37,0),"")</f>
        <v>0</v>
      </c>
      <c r="P37" s="188" t="str">
        <f t="shared" ca="1" si="0"/>
        <v>3% 이하</v>
      </c>
      <c r="Q37" s="194">
        <f ca="1">IFERROR(ROUND(OFFSET(환산공식!$FG$15,$F37,0),3),"")</f>
        <v>0</v>
      </c>
      <c r="R37" s="194">
        <f ca="1">OFFSET('배치점수 계산기'!H$10,$D37,0)</f>
        <v>396.38</v>
      </c>
      <c r="S37" s="194">
        <f ca="1">OFFSET('배치점수 계산기'!I$10,$D37,0)</f>
        <v>395.8</v>
      </c>
      <c r="T37" s="194">
        <f ca="1">OFFSET('배치점수 계산기'!J$10,$D37,0)</f>
        <v>394.99</v>
      </c>
      <c r="U37" s="194">
        <f ca="1">OFFSET('배치점수 계산기'!K$10,$D37,0)</f>
        <v>393.52</v>
      </c>
      <c r="V37" s="194">
        <f ca="1">OFFSET('배치점수 계산기'!L$10,$D37,0)</f>
        <v>391.64</v>
      </c>
      <c r="W37" s="186" t="str">
        <f ca="1">OFFSET('배치점수 계산기'!M$10,$D37,0)</f>
        <v>표점</v>
      </c>
      <c r="X37" s="184" t="str">
        <f ca="1">OFFSET('배치점수 계산기'!N$10,$D37,0)</f>
        <v>표점</v>
      </c>
      <c r="Y37" s="188">
        <f ca="1">OFFSET(환산공식!FW$15,$F37,0)</f>
        <v>0.33</v>
      </c>
      <c r="Z37" s="20">
        <f ca="1">OFFSET(환산공식!FX$15,$F37,0)</f>
        <v>0.4</v>
      </c>
      <c r="AA37" s="179">
        <f ca="1">OFFSET(환산공식!FY$15,$F37,0)</f>
        <v>0.27</v>
      </c>
      <c r="AC37"/>
      <c r="AD37">
        <f t="shared" ca="1" si="1"/>
        <v>6</v>
      </c>
      <c r="AE37"/>
    </row>
    <row r="38" spans="1:31" s="3" customFormat="1">
      <c r="A38" s="198"/>
      <c r="B38" s="198"/>
      <c r="C38" s="198" t="s">
        <v>1490</v>
      </c>
      <c r="D38" s="195">
        <v>1024</v>
      </c>
      <c r="E38" s="195">
        <v>2</v>
      </c>
      <c r="F38" s="195">
        <v>2</v>
      </c>
      <c r="G38" s="239">
        <v>31</v>
      </c>
      <c r="H38" s="197" t="s">
        <v>79</v>
      </c>
      <c r="I38" s="242" t="s">
        <v>196</v>
      </c>
      <c r="J38" s="242" t="s">
        <v>8305</v>
      </c>
      <c r="K38" s="195" t="s">
        <v>70</v>
      </c>
      <c r="L38" s="20" t="str">
        <f ca="1">IF(OFFSET(환산공식!$ED$15,$F38,0)=1,"O","X")</f>
        <v>X</v>
      </c>
      <c r="M38" s="188">
        <f ca="1">IFERROR(OFFSET(환산공식!DJ$15,$F38,0),"")</f>
        <v>0</v>
      </c>
      <c r="N38" s="20" t="str">
        <f ca="1">IFERROR(CONCATENATE(ROUND(OFFSET(환산공식!DK$15,$F38,0),1),"%"),"")</f>
        <v/>
      </c>
      <c r="O38" s="20">
        <f ca="1">IFERROR(OFFSET(환산공식!DL$15,$F38,0),"")</f>
        <v>0</v>
      </c>
      <c r="P38" s="188" t="str">
        <f t="shared" ca="1" si="0"/>
        <v>3% 이하</v>
      </c>
      <c r="Q38" s="194">
        <f ca="1">IFERROR(ROUND(OFFSET(환산공식!$FG$15,$F38,0),3),"")</f>
        <v>0</v>
      </c>
      <c r="R38" s="194">
        <f ca="1">OFFSET('배치점수 계산기'!H$10,$D38,0)</f>
        <v>399.51799999999997</v>
      </c>
      <c r="S38" s="194">
        <f ca="1">OFFSET('배치점수 계산기'!I$10,$D38,0)</f>
        <v>398.76799999999997</v>
      </c>
      <c r="T38" s="194">
        <f ca="1">OFFSET('배치점수 계산기'!J$10,$D38,0)</f>
        <v>397.56599999999997</v>
      </c>
      <c r="U38" s="194">
        <f ca="1">OFFSET('배치점수 계산기'!K$10,$D38,0)</f>
        <v>396.49599999999998</v>
      </c>
      <c r="V38" s="194">
        <f ca="1">OFFSET('배치점수 계산기'!L$10,$D38,0)</f>
        <v>393.61599999999999</v>
      </c>
      <c r="W38" s="186" t="str">
        <f ca="1">OFFSET('배치점수 계산기'!M$10,$D38,0)</f>
        <v>표점</v>
      </c>
      <c r="X38" s="184" t="str">
        <f ca="1">OFFSET('배치점수 계산기'!N$10,$D38,0)</f>
        <v>표점</v>
      </c>
      <c r="Y38" s="188">
        <f ca="1">OFFSET(환산공식!FW$15,$F38,0)</f>
        <v>0.33</v>
      </c>
      <c r="Z38" s="20">
        <f ca="1">OFFSET(환산공식!FX$15,$F38,0)</f>
        <v>0.4</v>
      </c>
      <c r="AA38" s="179">
        <f ca="1">OFFSET(환산공식!FY$15,$F38,0)</f>
        <v>0.27</v>
      </c>
      <c r="AC38"/>
      <c r="AD38">
        <f t="shared" ca="1" si="1"/>
        <v>6</v>
      </c>
      <c r="AE38"/>
    </row>
    <row r="39" spans="1:31" s="3" customFormat="1">
      <c r="A39" s="198"/>
      <c r="B39" s="198"/>
      <c r="C39" s="198" t="s">
        <v>1491</v>
      </c>
      <c r="D39" s="195">
        <v>1025</v>
      </c>
      <c r="E39" s="195">
        <v>1</v>
      </c>
      <c r="F39" s="195">
        <v>1</v>
      </c>
      <c r="G39" s="239">
        <v>32</v>
      </c>
      <c r="H39" s="197" t="s">
        <v>79</v>
      </c>
      <c r="I39" s="242" t="s">
        <v>196</v>
      </c>
      <c r="J39" s="242" t="s">
        <v>8245</v>
      </c>
      <c r="K39" s="195" t="s">
        <v>70</v>
      </c>
      <c r="L39" s="20" t="str">
        <f ca="1">IF(OFFSET(환산공식!$ED$15,$F39,0)=1,"O","X")</f>
        <v>X</v>
      </c>
      <c r="M39" s="188">
        <f ca="1">IFERROR(OFFSET(환산공식!DJ$15,$F39,0),"")</f>
        <v>0</v>
      </c>
      <c r="N39" s="20" t="str">
        <f ca="1">IFERROR(CONCATENATE(ROUND(OFFSET(환산공식!DK$15,$F39,0),1),"%"),"")</f>
        <v/>
      </c>
      <c r="O39" s="20">
        <f ca="1">IFERROR(OFFSET(환산공식!DL$15,$F39,0),"")</f>
        <v>0</v>
      </c>
      <c r="P39" s="188" t="str">
        <f t="shared" ca="1" si="0"/>
        <v>3% 이하</v>
      </c>
      <c r="Q39" s="194">
        <f ca="1">IFERROR(ROUND(OFFSET(환산공식!$FG$15,$F39,0),3),"")</f>
        <v>0</v>
      </c>
      <c r="R39" s="194">
        <f ca="1">OFFSET('배치점수 계산기'!H$10,$D39,0)</f>
        <v>398.536</v>
      </c>
      <c r="S39" s="194">
        <f ca="1">OFFSET('배치점수 계산기'!I$10,$D39,0)</f>
        <v>398.202</v>
      </c>
      <c r="T39" s="194">
        <f ca="1">OFFSET('배치점수 계산기'!J$10,$D39,0)</f>
        <v>397.36599999999999</v>
      </c>
      <c r="U39" s="194">
        <f ca="1">OFFSET('배치점수 계산기'!K$10,$D39,0)</f>
        <v>395.98200000000003</v>
      </c>
      <c r="V39" s="194">
        <f ca="1">OFFSET('배치점수 계산기'!L$10,$D39,0)</f>
        <v>392.786</v>
      </c>
      <c r="W39" s="186" t="str">
        <f ca="1">OFFSET('배치점수 계산기'!M$10,$D39,0)</f>
        <v>표점</v>
      </c>
      <c r="X39" s="184" t="str">
        <f ca="1">OFFSET('배치점수 계산기'!N$10,$D39,0)</f>
        <v>표점</v>
      </c>
      <c r="Y39" s="188">
        <f ca="1">OFFSET(환산공식!FW$15,$F39,0)</f>
        <v>0.33</v>
      </c>
      <c r="Z39" s="20">
        <f ca="1">OFFSET(환산공식!FX$15,$F39,0)</f>
        <v>0.4</v>
      </c>
      <c r="AA39" s="179">
        <f ca="1">OFFSET(환산공식!FY$15,$F39,0)</f>
        <v>0.27</v>
      </c>
      <c r="AC39"/>
      <c r="AD39">
        <f t="shared" ca="1" si="1"/>
        <v>6</v>
      </c>
      <c r="AE39"/>
    </row>
    <row r="40" spans="1:31" s="3" customFormat="1">
      <c r="A40" s="198"/>
      <c r="B40" s="198"/>
      <c r="C40" s="198" t="s">
        <v>1492</v>
      </c>
      <c r="D40" s="195">
        <v>1026</v>
      </c>
      <c r="E40" s="195">
        <v>1</v>
      </c>
      <c r="F40" s="195">
        <v>1</v>
      </c>
      <c r="G40" s="239">
        <v>33</v>
      </c>
      <c r="H40" s="197" t="s">
        <v>79</v>
      </c>
      <c r="I40" s="242" t="s">
        <v>196</v>
      </c>
      <c r="J40" s="242" t="s">
        <v>8224</v>
      </c>
      <c r="K40" s="195" t="s">
        <v>70</v>
      </c>
      <c r="L40" s="20" t="str">
        <f ca="1">IF(OFFSET(환산공식!$ED$15,$F40,0)=1,"O","X")</f>
        <v>X</v>
      </c>
      <c r="M40" s="188">
        <f ca="1">IFERROR(OFFSET(환산공식!DJ$15,$F40,0),"")</f>
        <v>0</v>
      </c>
      <c r="N40" s="20" t="str">
        <f ca="1">IFERROR(CONCATENATE(ROUND(OFFSET(환산공식!DK$15,$F40,0),1),"%"),"")</f>
        <v/>
      </c>
      <c r="O40" s="20">
        <f ca="1">IFERROR(OFFSET(환산공식!DL$15,$F40,0),"")</f>
        <v>0</v>
      </c>
      <c r="P40" s="188" t="str">
        <f t="shared" ca="1" si="0"/>
        <v>3% 이하</v>
      </c>
      <c r="Q40" s="194">
        <f ca="1">IFERROR(ROUND(OFFSET(환산공식!$FG$15,$F40,0),3),"")</f>
        <v>0</v>
      </c>
      <c r="R40" s="194">
        <f ca="1">OFFSET('배치점수 계산기'!H$10,$D40,0)</f>
        <v>399.60599999999999</v>
      </c>
      <c r="S40" s="194">
        <f ca="1">OFFSET('배치점수 계산기'!I$10,$D40,0)</f>
        <v>398.536</v>
      </c>
      <c r="T40" s="194">
        <f ca="1">OFFSET('배치점수 계산기'!J$10,$D40,0)</f>
        <v>397.23200000000003</v>
      </c>
      <c r="U40" s="194">
        <f ca="1">OFFSET('배치점수 계산기'!K$10,$D40,0)</f>
        <v>396.39600000000002</v>
      </c>
      <c r="V40" s="194">
        <f ca="1">OFFSET('배치점수 계산기'!L$10,$D40,0)</f>
        <v>393.31200000000001</v>
      </c>
      <c r="W40" s="186" t="str">
        <f ca="1">OFFSET('배치점수 계산기'!M$10,$D40,0)</f>
        <v>표점</v>
      </c>
      <c r="X40" s="184" t="str">
        <f ca="1">OFFSET('배치점수 계산기'!N$10,$D40,0)</f>
        <v>표점</v>
      </c>
      <c r="Y40" s="188">
        <f ca="1">OFFSET(환산공식!FW$15,$F40,0)</f>
        <v>0.33</v>
      </c>
      <c r="Z40" s="20">
        <f ca="1">OFFSET(환산공식!FX$15,$F40,0)</f>
        <v>0.4</v>
      </c>
      <c r="AA40" s="179">
        <f ca="1">OFFSET(환산공식!FY$15,$F40,0)</f>
        <v>0.27</v>
      </c>
      <c r="AC40"/>
      <c r="AD40">
        <f t="shared" ca="1" si="1"/>
        <v>6</v>
      </c>
      <c r="AE40"/>
    </row>
    <row r="41" spans="1:31" s="3" customFormat="1">
      <c r="A41" s="198"/>
      <c r="B41" s="198"/>
      <c r="C41" s="198" t="s">
        <v>1493</v>
      </c>
      <c r="D41" s="195">
        <v>1027</v>
      </c>
      <c r="E41" s="195">
        <v>1</v>
      </c>
      <c r="F41" s="195">
        <v>1</v>
      </c>
      <c r="G41" s="239">
        <v>34</v>
      </c>
      <c r="H41" s="197" t="s">
        <v>79</v>
      </c>
      <c r="I41" s="242" t="s">
        <v>196</v>
      </c>
      <c r="J41" s="242" t="s">
        <v>8316</v>
      </c>
      <c r="K41" s="195" t="s">
        <v>70</v>
      </c>
      <c r="L41" s="20" t="str">
        <f ca="1">IF(OFFSET(환산공식!$ED$15,$F41,0)=1,"O","X")</f>
        <v>X</v>
      </c>
      <c r="M41" s="188">
        <f ca="1">IFERROR(OFFSET(환산공식!DJ$15,$F41,0),"")</f>
        <v>0</v>
      </c>
      <c r="N41" s="20" t="str">
        <f ca="1">IFERROR(CONCATENATE(ROUND(OFFSET(환산공식!DK$15,$F41,0),1),"%"),"")</f>
        <v/>
      </c>
      <c r="O41" s="20">
        <f ca="1">IFERROR(OFFSET(환산공식!DL$15,$F41,0),"")</f>
        <v>0</v>
      </c>
      <c r="P41" s="188" t="str">
        <f t="shared" ca="1" si="0"/>
        <v>3% 이하</v>
      </c>
      <c r="Q41" s="194">
        <f ca="1">IFERROR(ROUND(OFFSET(환산공식!$FG$15,$F41,0),3),"")</f>
        <v>0</v>
      </c>
      <c r="R41" s="194">
        <f ca="1">OFFSET('배치점수 계산기'!H$10,$D41,0)</f>
        <v>399.31599999999997</v>
      </c>
      <c r="S41" s="194">
        <f ca="1">OFFSET('배치점수 계산기'!I$10,$D41,0)</f>
        <v>398.36200000000002</v>
      </c>
      <c r="T41" s="194">
        <f ca="1">OFFSET('배치점수 계산기'!J$10,$D41,0)</f>
        <v>397.03199999999998</v>
      </c>
      <c r="U41" s="194">
        <f ca="1">OFFSET('배치점수 계산기'!K$10,$D41,0)</f>
        <v>396.04599999999999</v>
      </c>
      <c r="V41" s="194">
        <f ca="1">OFFSET('배치점수 계산기'!L$10,$D41,0)</f>
        <v>393.21199999999999</v>
      </c>
      <c r="W41" s="186" t="str">
        <f ca="1">OFFSET('배치점수 계산기'!M$10,$D41,0)</f>
        <v>표점</v>
      </c>
      <c r="X41" s="184" t="str">
        <f ca="1">OFFSET('배치점수 계산기'!N$10,$D41,0)</f>
        <v>표점</v>
      </c>
      <c r="Y41" s="188">
        <f ca="1">OFFSET(환산공식!FW$15,$F41,0)</f>
        <v>0.33</v>
      </c>
      <c r="Z41" s="20">
        <f ca="1">OFFSET(환산공식!FX$15,$F41,0)</f>
        <v>0.4</v>
      </c>
      <c r="AA41" s="179">
        <f ca="1">OFFSET(환산공식!FY$15,$F41,0)</f>
        <v>0.27</v>
      </c>
      <c r="AC41"/>
      <c r="AD41">
        <f t="shared" ca="1" si="1"/>
        <v>6</v>
      </c>
      <c r="AE41"/>
    </row>
    <row r="42" spans="1:31" s="3" customFormat="1">
      <c r="A42" s="198"/>
      <c r="B42" s="198"/>
      <c r="C42" s="198" t="s">
        <v>1494</v>
      </c>
      <c r="D42" s="195">
        <v>1028</v>
      </c>
      <c r="E42" s="195">
        <v>4</v>
      </c>
      <c r="F42" s="195">
        <v>4</v>
      </c>
      <c r="G42" s="239">
        <v>35</v>
      </c>
      <c r="H42" s="197" t="s">
        <v>79</v>
      </c>
      <c r="I42" s="242" t="s">
        <v>196</v>
      </c>
      <c r="J42" s="242" t="s">
        <v>7965</v>
      </c>
      <c r="K42" s="195" t="s">
        <v>71</v>
      </c>
      <c r="L42" s="20" t="str">
        <f ca="1">IF(OFFSET(환산공식!$ED$15,$F42,0)=1,"O","X")</f>
        <v>X</v>
      </c>
      <c r="M42" s="188">
        <f ca="1">IFERROR(OFFSET(환산공식!DJ$15,$F42,0),"")</f>
        <v>0</v>
      </c>
      <c r="N42" s="20" t="str">
        <f ca="1">IFERROR(CONCATENATE(ROUND(OFFSET(환산공식!DK$15,$F42,0),1),"%"),"")</f>
        <v/>
      </c>
      <c r="O42" s="20">
        <f ca="1">IFERROR(OFFSET(환산공식!DL$15,$F42,0),"")</f>
        <v>0</v>
      </c>
      <c r="P42" s="188" t="str">
        <f t="shared" ca="1" si="0"/>
        <v>3% 이하</v>
      </c>
      <c r="Q42" s="194">
        <f ca="1">IFERROR(ROUND(OFFSET(환산공식!$FG$15,$F42,0),3),"")</f>
        <v>0</v>
      </c>
      <c r="R42" s="194">
        <f ca="1">OFFSET('배치점수 계산기'!H$10,$D42,0)</f>
        <v>403.68</v>
      </c>
      <c r="S42" s="194">
        <f ca="1">OFFSET('배치점수 계산기'!I$10,$D42,0)</f>
        <v>403.07</v>
      </c>
      <c r="T42" s="194">
        <f ca="1">OFFSET('배치점수 계산기'!J$10,$D42,0)</f>
        <v>402.82</v>
      </c>
      <c r="U42" s="194">
        <f ca="1">OFFSET('배치점수 계산기'!K$10,$D42,0)</f>
        <v>401.27</v>
      </c>
      <c r="V42" s="194">
        <f ca="1">OFFSET('배치점수 계산기'!L$10,$D42,0)</f>
        <v>399.4</v>
      </c>
      <c r="W42" s="186" t="str">
        <f ca="1">OFFSET('배치점수 계산기'!M$10,$D42,0)</f>
        <v>표점</v>
      </c>
      <c r="X42" s="184" t="str">
        <f ca="1">OFFSET('배치점수 계산기'!N$10,$D42,0)</f>
        <v>표점</v>
      </c>
      <c r="Y42" s="188">
        <f ca="1">OFFSET(환산공식!FW$15,$F42,0)</f>
        <v>0.33</v>
      </c>
      <c r="Z42" s="20">
        <f ca="1">OFFSET(환산공식!FX$15,$F42,0)</f>
        <v>0.4</v>
      </c>
      <c r="AA42" s="179">
        <f ca="1">OFFSET(환산공식!FY$15,$F42,0)</f>
        <v>0.27</v>
      </c>
      <c r="AC42"/>
      <c r="AD42">
        <f t="shared" ca="1" si="1"/>
        <v>6</v>
      </c>
      <c r="AE42"/>
    </row>
    <row r="43" spans="1:31" s="3" customFormat="1">
      <c r="A43" s="198"/>
      <c r="B43" s="198"/>
      <c r="C43" s="198" t="s">
        <v>1495</v>
      </c>
      <c r="D43" s="195">
        <v>1029</v>
      </c>
      <c r="E43" s="195">
        <v>3</v>
      </c>
      <c r="F43" s="195">
        <v>3</v>
      </c>
      <c r="G43" s="239">
        <v>36</v>
      </c>
      <c r="H43" s="197" t="s">
        <v>79</v>
      </c>
      <c r="I43" s="242" t="s">
        <v>196</v>
      </c>
      <c r="J43" s="242" t="s">
        <v>7984</v>
      </c>
      <c r="K43" s="195" t="s">
        <v>71</v>
      </c>
      <c r="L43" s="20" t="str">
        <f ca="1">IF(OFFSET(환산공식!$ED$15,$F43,0)=1,"O","X")</f>
        <v>X</v>
      </c>
      <c r="M43" s="188">
        <f ca="1">IFERROR(OFFSET(환산공식!DJ$15,$F43,0),"")</f>
        <v>0</v>
      </c>
      <c r="N43" s="20" t="str">
        <f ca="1">IFERROR(CONCATENATE(ROUND(OFFSET(환산공식!DK$15,$F43,0),1),"%"),"")</f>
        <v/>
      </c>
      <c r="O43" s="20">
        <f ca="1">IFERROR(OFFSET(환산공식!DL$15,$F43,0),"")</f>
        <v>0</v>
      </c>
      <c r="P43" s="188" t="str">
        <f t="shared" ca="1" si="0"/>
        <v>3% 이하</v>
      </c>
      <c r="Q43" s="194">
        <f ca="1">IFERROR(ROUND(OFFSET(환산공식!$FG$15,$F43,0),3),"")</f>
        <v>0</v>
      </c>
      <c r="R43" s="194">
        <f ca="1">OFFSET('배치점수 계산기'!H$10,$D43,0)</f>
        <v>403.36</v>
      </c>
      <c r="S43" s="194">
        <f ca="1">OFFSET('배치점수 계산기'!I$10,$D43,0)</f>
        <v>402.23</v>
      </c>
      <c r="T43" s="194">
        <f ca="1">OFFSET('배치점수 계산기'!J$10,$D43,0)</f>
        <v>400.77</v>
      </c>
      <c r="U43" s="194">
        <f ca="1">OFFSET('배치점수 계산기'!K$10,$D43,0)</f>
        <v>399.67</v>
      </c>
      <c r="V43" s="194">
        <f ca="1">OFFSET('배치점수 계산기'!L$10,$D43,0)</f>
        <v>398.7</v>
      </c>
      <c r="W43" s="186" t="str">
        <f ca="1">OFFSET('배치점수 계산기'!M$10,$D43,0)</f>
        <v>표점</v>
      </c>
      <c r="X43" s="184" t="str">
        <f ca="1">OFFSET('배치점수 계산기'!N$10,$D43,0)</f>
        <v>표점</v>
      </c>
      <c r="Y43" s="188">
        <f ca="1">OFFSET(환산공식!FW$15,$F43,0)</f>
        <v>0.33</v>
      </c>
      <c r="Z43" s="20">
        <f ca="1">OFFSET(환산공식!FX$15,$F43,0)</f>
        <v>0.4</v>
      </c>
      <c r="AA43" s="179">
        <f ca="1">OFFSET(환산공식!FY$15,$F43,0)</f>
        <v>0.27</v>
      </c>
      <c r="AC43"/>
      <c r="AD43">
        <f t="shared" ca="1" si="1"/>
        <v>6</v>
      </c>
      <c r="AE43"/>
    </row>
    <row r="44" spans="1:31" s="3" customFormat="1">
      <c r="A44" s="198"/>
      <c r="B44" s="198"/>
      <c r="C44" s="198" t="s">
        <v>1496</v>
      </c>
      <c r="D44" s="195">
        <v>1030</v>
      </c>
      <c r="E44" s="195">
        <v>3</v>
      </c>
      <c r="F44" s="195">
        <v>3</v>
      </c>
      <c r="G44" s="239">
        <v>37</v>
      </c>
      <c r="H44" s="197" t="s">
        <v>79</v>
      </c>
      <c r="I44" s="242" t="s">
        <v>196</v>
      </c>
      <c r="J44" s="242" t="s">
        <v>491</v>
      </c>
      <c r="K44" s="195" t="s">
        <v>71</v>
      </c>
      <c r="L44" s="20" t="str">
        <f ca="1">IF(OFFSET(환산공식!$ED$15,$F44,0)=1,"O","X")</f>
        <v>X</v>
      </c>
      <c r="M44" s="188">
        <f ca="1">IFERROR(OFFSET(환산공식!DJ$15,$F44,0),"")</f>
        <v>0</v>
      </c>
      <c r="N44" s="20" t="str">
        <f ca="1">IFERROR(CONCATENATE(ROUND(OFFSET(환산공식!DK$15,$F44,0),1),"%"),"")</f>
        <v/>
      </c>
      <c r="O44" s="20">
        <f ca="1">IFERROR(OFFSET(환산공식!DL$15,$F44,0),"")</f>
        <v>0</v>
      </c>
      <c r="P44" s="188" t="str">
        <f t="shared" ca="1" si="0"/>
        <v>3% 이하</v>
      </c>
      <c r="Q44" s="194">
        <f ca="1">IFERROR(ROUND(OFFSET(환산공식!$FG$15,$F44,0),3),"")</f>
        <v>0</v>
      </c>
      <c r="R44" s="194">
        <f ca="1">OFFSET('배치점수 계산기'!H$10,$D44,0)</f>
        <v>402.46</v>
      </c>
      <c r="S44" s="194">
        <f ca="1">OFFSET('배치점수 계산기'!I$10,$D44,0)</f>
        <v>401.18</v>
      </c>
      <c r="T44" s="194">
        <f ca="1">OFFSET('배치점수 계산기'!J$10,$D44,0)</f>
        <v>399.96</v>
      </c>
      <c r="U44" s="194">
        <f ca="1">OFFSET('배치점수 계산기'!K$10,$D44,0)</f>
        <v>398.7</v>
      </c>
      <c r="V44" s="194">
        <f ca="1">OFFSET('배치점수 계산기'!L$10,$D44,0)</f>
        <v>397.41</v>
      </c>
      <c r="W44" s="186" t="str">
        <f ca="1">OFFSET('배치점수 계산기'!M$10,$D44,0)</f>
        <v>표점</v>
      </c>
      <c r="X44" s="184" t="str">
        <f ca="1">OFFSET('배치점수 계산기'!N$10,$D44,0)</f>
        <v>표점</v>
      </c>
      <c r="Y44" s="188">
        <f ca="1">OFFSET(환산공식!FW$15,$F44,0)</f>
        <v>0.33</v>
      </c>
      <c r="Z44" s="20">
        <f ca="1">OFFSET(환산공식!FX$15,$F44,0)</f>
        <v>0.4</v>
      </c>
      <c r="AA44" s="179">
        <f ca="1">OFFSET(환산공식!FY$15,$F44,0)</f>
        <v>0.27</v>
      </c>
      <c r="AC44"/>
      <c r="AD44">
        <f t="shared" ca="1" si="1"/>
        <v>6</v>
      </c>
      <c r="AE44"/>
    </row>
    <row r="45" spans="1:31" s="3" customFormat="1">
      <c r="A45" s="198"/>
      <c r="B45" s="198"/>
      <c r="C45" s="198" t="s">
        <v>1497</v>
      </c>
      <c r="D45" s="195">
        <v>1031</v>
      </c>
      <c r="E45" s="195">
        <v>3</v>
      </c>
      <c r="F45" s="195">
        <v>3</v>
      </c>
      <c r="G45" s="239">
        <v>38</v>
      </c>
      <c r="H45" s="197" t="s">
        <v>79</v>
      </c>
      <c r="I45" s="242" t="s">
        <v>196</v>
      </c>
      <c r="J45" s="242" t="s">
        <v>8197</v>
      </c>
      <c r="K45" s="195" t="s">
        <v>71</v>
      </c>
      <c r="L45" s="20" t="str">
        <f ca="1">IF(OFFSET(환산공식!$ED$15,$F45,0)=1,"O","X")</f>
        <v>X</v>
      </c>
      <c r="M45" s="188">
        <f ca="1">IFERROR(OFFSET(환산공식!DJ$15,$F45,0),"")</f>
        <v>0</v>
      </c>
      <c r="N45" s="20" t="str">
        <f ca="1">IFERROR(CONCATENATE(ROUND(OFFSET(환산공식!DK$15,$F45,0),1),"%"),"")</f>
        <v/>
      </c>
      <c r="O45" s="20">
        <f ca="1">IFERROR(OFFSET(환산공식!DL$15,$F45,0),"")</f>
        <v>0</v>
      </c>
      <c r="P45" s="188" t="str">
        <f t="shared" ca="1" si="0"/>
        <v>3% 이하</v>
      </c>
      <c r="Q45" s="194">
        <f ca="1">IFERROR(ROUND(OFFSET(환산공식!$FG$15,$F45,0),3),"")</f>
        <v>0</v>
      </c>
      <c r="R45" s="194">
        <f ca="1">OFFSET('배치점수 계산기'!H$10,$D45,0)</f>
        <v>399.12</v>
      </c>
      <c r="S45" s="194">
        <f ca="1">OFFSET('배치점수 계산기'!I$10,$D45,0)</f>
        <v>398.44</v>
      </c>
      <c r="T45" s="194">
        <f ca="1">OFFSET('배치점수 계산기'!J$10,$D45,0)</f>
        <v>397.69</v>
      </c>
      <c r="U45" s="194">
        <f ca="1">OFFSET('배치점수 계산기'!K$10,$D45,0)</f>
        <v>397.09</v>
      </c>
      <c r="V45" s="194">
        <f ca="1">OFFSET('배치점수 계산기'!L$10,$D45,0)</f>
        <v>396.5</v>
      </c>
      <c r="W45" s="186" t="str">
        <f ca="1">OFFSET('배치점수 계산기'!M$10,$D45,0)</f>
        <v>표점</v>
      </c>
      <c r="X45" s="184" t="str">
        <f ca="1">OFFSET('배치점수 계산기'!N$10,$D45,0)</f>
        <v>표점</v>
      </c>
      <c r="Y45" s="188">
        <f ca="1">OFFSET(환산공식!FW$15,$F45,0)</f>
        <v>0.33</v>
      </c>
      <c r="Z45" s="20">
        <f ca="1">OFFSET(환산공식!FX$15,$F45,0)</f>
        <v>0.4</v>
      </c>
      <c r="AA45" s="179">
        <f ca="1">OFFSET(환산공식!FY$15,$F45,0)</f>
        <v>0.27</v>
      </c>
      <c r="AC45"/>
      <c r="AD45">
        <f t="shared" ca="1" si="1"/>
        <v>6</v>
      </c>
      <c r="AE45"/>
    </row>
    <row r="46" spans="1:31" s="3" customFormat="1">
      <c r="A46" s="198"/>
      <c r="B46" s="198"/>
      <c r="C46" s="198" t="s">
        <v>1498</v>
      </c>
      <c r="D46" s="195">
        <v>1032</v>
      </c>
      <c r="E46" s="195">
        <v>3</v>
      </c>
      <c r="F46" s="195">
        <v>3</v>
      </c>
      <c r="G46" s="239">
        <v>39</v>
      </c>
      <c r="H46" s="197" t="s">
        <v>79</v>
      </c>
      <c r="I46" s="242" t="s">
        <v>196</v>
      </c>
      <c r="J46" s="242" t="s">
        <v>8130</v>
      </c>
      <c r="K46" s="195" t="s">
        <v>71</v>
      </c>
      <c r="L46" s="20" t="str">
        <f ca="1">IF(OFFSET(환산공식!$ED$15,$F46,0)=1,"O","X")</f>
        <v>X</v>
      </c>
      <c r="M46" s="188">
        <f ca="1">IFERROR(OFFSET(환산공식!DJ$15,$F46,0),"")</f>
        <v>0</v>
      </c>
      <c r="N46" s="20" t="str">
        <f ca="1">IFERROR(CONCATENATE(ROUND(OFFSET(환산공식!DK$15,$F46,0),1),"%"),"")</f>
        <v/>
      </c>
      <c r="O46" s="20">
        <f ca="1">IFERROR(OFFSET(환산공식!DL$15,$F46,0),"")</f>
        <v>0</v>
      </c>
      <c r="P46" s="188" t="str">
        <f t="shared" ca="1" si="0"/>
        <v>3% 이하</v>
      </c>
      <c r="Q46" s="194">
        <f ca="1">IFERROR(ROUND(OFFSET(환산공식!$FG$15,$F46,0),3),"")</f>
        <v>0</v>
      </c>
      <c r="R46" s="194">
        <f ca="1">OFFSET('배치점수 계산기'!H$10,$D46,0)</f>
        <v>399.02</v>
      </c>
      <c r="S46" s="194">
        <f ca="1">OFFSET('배치점수 계산기'!I$10,$D46,0)</f>
        <v>398.44</v>
      </c>
      <c r="T46" s="194">
        <f ca="1">OFFSET('배치점수 계산기'!J$10,$D46,0)</f>
        <v>397.57</v>
      </c>
      <c r="U46" s="194">
        <f ca="1">OFFSET('배치점수 계산기'!K$10,$D46,0)</f>
        <v>395.96</v>
      </c>
      <c r="V46" s="194">
        <f ca="1">OFFSET('배치점수 계산기'!L$10,$D46,0)</f>
        <v>393.96</v>
      </c>
      <c r="W46" s="186" t="str">
        <f ca="1">OFFSET('배치점수 계산기'!M$10,$D46,0)</f>
        <v>표점</v>
      </c>
      <c r="X46" s="184" t="str">
        <f ca="1">OFFSET('배치점수 계산기'!N$10,$D46,0)</f>
        <v>표점</v>
      </c>
      <c r="Y46" s="188">
        <f ca="1">OFFSET(환산공식!FW$15,$F46,0)</f>
        <v>0.33</v>
      </c>
      <c r="Z46" s="20">
        <f ca="1">OFFSET(환산공식!FX$15,$F46,0)</f>
        <v>0.4</v>
      </c>
      <c r="AA46" s="179">
        <f ca="1">OFFSET(환산공식!FY$15,$F46,0)</f>
        <v>0.27</v>
      </c>
      <c r="AC46"/>
      <c r="AD46">
        <f t="shared" ca="1" si="1"/>
        <v>6</v>
      </c>
      <c r="AE46"/>
    </row>
    <row r="47" spans="1:31" s="3" customFormat="1">
      <c r="A47" s="198"/>
      <c r="B47" s="198"/>
      <c r="C47" s="198" t="s">
        <v>1499</v>
      </c>
      <c r="D47" s="195">
        <v>1033</v>
      </c>
      <c r="E47" s="195">
        <v>3</v>
      </c>
      <c r="F47" s="195">
        <v>3</v>
      </c>
      <c r="G47" s="239">
        <v>40</v>
      </c>
      <c r="H47" s="197" t="s">
        <v>79</v>
      </c>
      <c r="I47" s="242" t="s">
        <v>196</v>
      </c>
      <c r="J47" s="242" t="s">
        <v>8290</v>
      </c>
      <c r="K47" s="195" t="s">
        <v>71</v>
      </c>
      <c r="L47" s="20" t="str">
        <f ca="1">IF(OFFSET(환산공식!$ED$15,$F47,0)=1,"O","X")</f>
        <v>X</v>
      </c>
      <c r="M47" s="188">
        <f ca="1">IFERROR(OFFSET(환산공식!DJ$15,$F47,0),"")</f>
        <v>0</v>
      </c>
      <c r="N47" s="20" t="str">
        <f ca="1">IFERROR(CONCATENATE(ROUND(OFFSET(환산공식!DK$15,$F47,0),1),"%"),"")</f>
        <v/>
      </c>
      <c r="O47" s="20">
        <f ca="1">IFERROR(OFFSET(환산공식!DL$15,$F47,0),"")</f>
        <v>0</v>
      </c>
      <c r="P47" s="188" t="str">
        <f t="shared" ca="1" si="0"/>
        <v>3% 이하</v>
      </c>
      <c r="Q47" s="194">
        <f ca="1">IFERROR(ROUND(OFFSET(환산공식!$FG$15,$F47,0),3),"")</f>
        <v>0</v>
      </c>
      <c r="R47" s="194">
        <f ca="1">OFFSET('배치점수 계산기'!H$10,$D47,0)</f>
        <v>398.44</v>
      </c>
      <c r="S47" s="194">
        <f ca="1">OFFSET('배치점수 계산기'!I$10,$D47,0)</f>
        <v>397.96</v>
      </c>
      <c r="T47" s="194">
        <f ca="1">OFFSET('배치점수 계산기'!J$10,$D47,0)</f>
        <v>397.09</v>
      </c>
      <c r="U47" s="194">
        <f ca="1">OFFSET('배치점수 계산기'!K$10,$D47,0)</f>
        <v>395.96</v>
      </c>
      <c r="V47" s="194">
        <f ca="1">OFFSET('배치점수 계산기'!L$10,$D47,0)</f>
        <v>393.52</v>
      </c>
      <c r="W47" s="186" t="str">
        <f ca="1">OFFSET('배치점수 계산기'!M$10,$D47,0)</f>
        <v>표점</v>
      </c>
      <c r="X47" s="184" t="str">
        <f ca="1">OFFSET('배치점수 계산기'!N$10,$D47,0)</f>
        <v>표점</v>
      </c>
      <c r="Y47" s="188">
        <f ca="1">OFFSET(환산공식!FW$15,$F47,0)</f>
        <v>0.33</v>
      </c>
      <c r="Z47" s="20">
        <f ca="1">OFFSET(환산공식!FX$15,$F47,0)</f>
        <v>0.4</v>
      </c>
      <c r="AA47" s="179">
        <f ca="1">OFFSET(환산공식!FY$15,$F47,0)</f>
        <v>0.27</v>
      </c>
      <c r="AC47"/>
      <c r="AD47">
        <f t="shared" ca="1" si="1"/>
        <v>6</v>
      </c>
      <c r="AE47"/>
    </row>
    <row r="48" spans="1:31" s="3" customFormat="1">
      <c r="A48" s="198"/>
      <c r="B48" s="198"/>
      <c r="C48" s="198" t="s">
        <v>1500</v>
      </c>
      <c r="D48" s="195">
        <v>1034</v>
      </c>
      <c r="E48" s="195">
        <v>3</v>
      </c>
      <c r="F48" s="195">
        <v>3</v>
      </c>
      <c r="G48" s="239">
        <v>41</v>
      </c>
      <c r="H48" s="197" t="s">
        <v>79</v>
      </c>
      <c r="I48" s="242" t="s">
        <v>196</v>
      </c>
      <c r="J48" s="242" t="s">
        <v>229</v>
      </c>
      <c r="K48" s="195" t="s">
        <v>71</v>
      </c>
      <c r="L48" s="20" t="str">
        <f ca="1">IF(OFFSET(환산공식!$ED$15,$F48,0)=1,"O","X")</f>
        <v>X</v>
      </c>
      <c r="M48" s="188">
        <f ca="1">IFERROR(OFFSET(환산공식!DJ$15,$F48,0),"")</f>
        <v>0</v>
      </c>
      <c r="N48" s="20" t="str">
        <f ca="1">IFERROR(CONCATENATE(ROUND(OFFSET(환산공식!DK$15,$F48,0),1),"%"),"")</f>
        <v/>
      </c>
      <c r="O48" s="20">
        <f ca="1">IFERROR(OFFSET(환산공식!DL$15,$F48,0),"")</f>
        <v>0</v>
      </c>
      <c r="P48" s="188" t="str">
        <f t="shared" ca="1" si="0"/>
        <v>3% 이하</v>
      </c>
      <c r="Q48" s="194">
        <f ca="1">IFERROR(ROUND(OFFSET(환산공식!$FG$15,$F48,0),3),"")</f>
        <v>0</v>
      </c>
      <c r="R48" s="194">
        <f ca="1">OFFSET('배치점수 계산기'!H$10,$D48,0)</f>
        <v>399.25</v>
      </c>
      <c r="S48" s="194">
        <f ca="1">OFFSET('배치점수 계산기'!I$10,$D48,0)</f>
        <v>397.96</v>
      </c>
      <c r="T48" s="194">
        <f ca="1">OFFSET('배치점수 계산기'!J$10,$D48,0)</f>
        <v>397.09</v>
      </c>
      <c r="U48" s="194">
        <f ca="1">OFFSET('배치점수 계산기'!K$10,$D48,0)</f>
        <v>395.96</v>
      </c>
      <c r="V48" s="194">
        <f ca="1">OFFSET('배치점수 계산기'!L$10,$D48,0)</f>
        <v>395.15</v>
      </c>
      <c r="W48" s="186" t="str">
        <f ca="1">OFFSET('배치점수 계산기'!M$10,$D48,0)</f>
        <v>표점</v>
      </c>
      <c r="X48" s="184" t="str">
        <f ca="1">OFFSET('배치점수 계산기'!N$10,$D48,0)</f>
        <v>표점</v>
      </c>
      <c r="Y48" s="188">
        <f ca="1">OFFSET(환산공식!FW$15,$F48,0)</f>
        <v>0.33</v>
      </c>
      <c r="Z48" s="20">
        <f ca="1">OFFSET(환산공식!FX$15,$F48,0)</f>
        <v>0.4</v>
      </c>
      <c r="AA48" s="179">
        <f ca="1">OFFSET(환산공식!FY$15,$F48,0)</f>
        <v>0.27</v>
      </c>
      <c r="AC48"/>
      <c r="AD48">
        <f t="shared" ca="1" si="1"/>
        <v>6</v>
      </c>
      <c r="AE48"/>
    </row>
    <row r="49" spans="1:31" s="3" customFormat="1">
      <c r="A49" s="198"/>
      <c r="B49" s="198"/>
      <c r="C49" s="198" t="s">
        <v>1501</v>
      </c>
      <c r="D49" s="195">
        <v>1035</v>
      </c>
      <c r="E49" s="195">
        <v>3</v>
      </c>
      <c r="F49" s="195">
        <v>3</v>
      </c>
      <c r="G49" s="239">
        <v>42</v>
      </c>
      <c r="H49" s="197" t="s">
        <v>79</v>
      </c>
      <c r="I49" s="242" t="s">
        <v>196</v>
      </c>
      <c r="J49" s="242" t="s">
        <v>8214</v>
      </c>
      <c r="K49" s="195" t="s">
        <v>71</v>
      </c>
      <c r="L49" s="20" t="str">
        <f ca="1">IF(OFFSET(환산공식!$ED$15,$F49,0)=1,"O","X")</f>
        <v>X</v>
      </c>
      <c r="M49" s="188">
        <f ca="1">IFERROR(OFFSET(환산공식!DJ$15,$F49,0),"")</f>
        <v>0</v>
      </c>
      <c r="N49" s="20" t="str">
        <f ca="1">IFERROR(CONCATENATE(ROUND(OFFSET(환산공식!DK$15,$F49,0),1),"%"),"")</f>
        <v/>
      </c>
      <c r="O49" s="20">
        <f ca="1">IFERROR(OFFSET(환산공식!DL$15,$F49,0),"")</f>
        <v>0</v>
      </c>
      <c r="P49" s="188" t="str">
        <f t="shared" ca="1" si="0"/>
        <v>3% 이하</v>
      </c>
      <c r="Q49" s="194">
        <f ca="1">IFERROR(ROUND(OFFSET(환산공식!$FG$15,$F49,0),3),"")</f>
        <v>0</v>
      </c>
      <c r="R49" s="194">
        <f ca="1">OFFSET('배치점수 계산기'!H$10,$D49,0)</f>
        <v>399.25</v>
      </c>
      <c r="S49" s="194">
        <f ca="1">OFFSET('배치점수 계산기'!I$10,$D49,0)</f>
        <v>397.57</v>
      </c>
      <c r="T49" s="194">
        <f ca="1">OFFSET('배치점수 계산기'!J$10,$D49,0)</f>
        <v>397.09</v>
      </c>
      <c r="U49" s="194">
        <f ca="1">OFFSET('배치점수 계산기'!K$10,$D49,0)</f>
        <v>395.8</v>
      </c>
      <c r="V49" s="194">
        <f ca="1">OFFSET('배치점수 계산기'!L$10,$D49,0)</f>
        <v>393.52</v>
      </c>
      <c r="W49" s="186" t="str">
        <f ca="1">OFFSET('배치점수 계산기'!M$10,$D49,0)</f>
        <v>표점</v>
      </c>
      <c r="X49" s="184" t="str">
        <f ca="1">OFFSET('배치점수 계산기'!N$10,$D49,0)</f>
        <v>표점</v>
      </c>
      <c r="Y49" s="188">
        <f ca="1">OFFSET(환산공식!FW$15,$F49,0)</f>
        <v>0.33</v>
      </c>
      <c r="Z49" s="20">
        <f ca="1">OFFSET(환산공식!FX$15,$F49,0)</f>
        <v>0.4</v>
      </c>
      <c r="AA49" s="179">
        <f ca="1">OFFSET(환산공식!FY$15,$F49,0)</f>
        <v>0.27</v>
      </c>
      <c r="AC49"/>
      <c r="AD49">
        <f t="shared" ca="1" si="1"/>
        <v>6</v>
      </c>
      <c r="AE49"/>
    </row>
    <row r="50" spans="1:31" s="3" customFormat="1">
      <c r="A50" s="198"/>
      <c r="B50" s="198"/>
      <c r="C50" s="198" t="s">
        <v>1502</v>
      </c>
      <c r="D50" s="195">
        <v>1036</v>
      </c>
      <c r="E50" s="195">
        <v>3</v>
      </c>
      <c r="F50" s="195">
        <v>3</v>
      </c>
      <c r="G50" s="239">
        <v>43</v>
      </c>
      <c r="H50" s="197" t="s">
        <v>79</v>
      </c>
      <c r="I50" s="242" t="s">
        <v>196</v>
      </c>
      <c r="J50" s="242" t="s">
        <v>8217</v>
      </c>
      <c r="K50" s="195" t="s">
        <v>71</v>
      </c>
      <c r="L50" s="20" t="str">
        <f ca="1">IF(OFFSET(환산공식!$ED$15,$F50,0)=1,"O","X")</f>
        <v>X</v>
      </c>
      <c r="M50" s="188">
        <f ca="1">IFERROR(OFFSET(환산공식!DJ$15,$F50,0),"")</f>
        <v>0</v>
      </c>
      <c r="N50" s="20" t="str">
        <f ca="1">IFERROR(CONCATENATE(ROUND(OFFSET(환산공식!DK$15,$F50,0),1),"%"),"")</f>
        <v/>
      </c>
      <c r="O50" s="20">
        <f ca="1">IFERROR(OFFSET(환산공식!DL$15,$F50,0),"")</f>
        <v>0</v>
      </c>
      <c r="P50" s="188" t="str">
        <f t="shared" ca="1" si="0"/>
        <v>3% 이하</v>
      </c>
      <c r="Q50" s="194">
        <f ca="1">IFERROR(ROUND(OFFSET(환산공식!$FG$15,$F50,0),3),"")</f>
        <v>0</v>
      </c>
      <c r="R50" s="194">
        <f ca="1">OFFSET('배치점수 계산기'!H$10,$D50,0)</f>
        <v>398.44</v>
      </c>
      <c r="S50" s="194">
        <f ca="1">OFFSET('배치점수 계산기'!I$10,$D50,0)</f>
        <v>397.09</v>
      </c>
      <c r="T50" s="194">
        <f ca="1">OFFSET('배치점수 계산기'!J$10,$D50,0)</f>
        <v>396.5</v>
      </c>
      <c r="U50" s="194">
        <f ca="1">OFFSET('배치점수 계산기'!K$10,$D50,0)</f>
        <v>395.47</v>
      </c>
      <c r="V50" s="194">
        <f ca="1">OFFSET('배치점수 계산기'!L$10,$D50,0)</f>
        <v>393.52</v>
      </c>
      <c r="W50" s="186" t="str">
        <f ca="1">OFFSET('배치점수 계산기'!M$10,$D50,0)</f>
        <v>표점</v>
      </c>
      <c r="X50" s="184" t="str">
        <f ca="1">OFFSET('배치점수 계산기'!N$10,$D50,0)</f>
        <v>표점</v>
      </c>
      <c r="Y50" s="188">
        <f ca="1">OFFSET(환산공식!FW$15,$F50,0)</f>
        <v>0.33</v>
      </c>
      <c r="Z50" s="20">
        <f ca="1">OFFSET(환산공식!FX$15,$F50,0)</f>
        <v>0.4</v>
      </c>
      <c r="AA50" s="179">
        <f ca="1">OFFSET(환산공식!FY$15,$F50,0)</f>
        <v>0.27</v>
      </c>
      <c r="AC50"/>
      <c r="AD50">
        <f t="shared" ca="1" si="1"/>
        <v>6</v>
      </c>
      <c r="AE50"/>
    </row>
    <row r="51" spans="1:31" s="3" customFormat="1">
      <c r="A51" s="198"/>
      <c r="B51" s="198"/>
      <c r="C51" s="198" t="s">
        <v>1503</v>
      </c>
      <c r="D51" s="195">
        <v>1037</v>
      </c>
      <c r="E51" s="195">
        <v>3</v>
      </c>
      <c r="F51" s="195">
        <v>3</v>
      </c>
      <c r="G51" s="239">
        <v>44</v>
      </c>
      <c r="H51" s="197" t="s">
        <v>79</v>
      </c>
      <c r="I51" s="242" t="s">
        <v>196</v>
      </c>
      <c r="J51" s="242" t="s">
        <v>8269</v>
      </c>
      <c r="K51" s="195" t="s">
        <v>71</v>
      </c>
      <c r="L51" s="20" t="str">
        <f ca="1">IF(OFFSET(환산공식!$ED$15,$F51,0)=1,"O","X")</f>
        <v>X</v>
      </c>
      <c r="M51" s="188">
        <f ca="1">IFERROR(OFFSET(환산공식!DJ$15,$F51,0),"")</f>
        <v>0</v>
      </c>
      <c r="N51" s="20" t="str">
        <f ca="1">IFERROR(CONCATENATE(ROUND(OFFSET(환산공식!DK$15,$F51,0),1),"%"),"")</f>
        <v/>
      </c>
      <c r="O51" s="20">
        <f ca="1">IFERROR(OFFSET(환산공식!DL$15,$F51,0),"")</f>
        <v>0</v>
      </c>
      <c r="P51" s="188" t="str">
        <f t="shared" ca="1" si="0"/>
        <v>3% 이하</v>
      </c>
      <c r="Q51" s="194">
        <f ca="1">IFERROR(ROUND(OFFSET(환산공식!$FG$15,$F51,0),3),"")</f>
        <v>0</v>
      </c>
      <c r="R51" s="194">
        <f ca="1">OFFSET('배치점수 계산기'!H$10,$D51,0)</f>
        <v>399.12</v>
      </c>
      <c r="S51" s="194">
        <f ca="1">OFFSET('배치점수 계산기'!I$10,$D51,0)</f>
        <v>397.09</v>
      </c>
      <c r="T51" s="194">
        <f ca="1">OFFSET('배치점수 계산기'!J$10,$D51,0)</f>
        <v>396.5</v>
      </c>
      <c r="U51" s="194">
        <f ca="1">OFFSET('배치점수 계산기'!K$10,$D51,0)</f>
        <v>396.16</v>
      </c>
      <c r="V51" s="194">
        <f ca="1">OFFSET('배치점수 계산기'!L$10,$D51,0)</f>
        <v>394.73</v>
      </c>
      <c r="W51" s="186" t="str">
        <f ca="1">OFFSET('배치점수 계산기'!M$10,$D51,0)</f>
        <v>표점</v>
      </c>
      <c r="X51" s="184" t="str">
        <f ca="1">OFFSET('배치점수 계산기'!N$10,$D51,0)</f>
        <v>표점</v>
      </c>
      <c r="Y51" s="188">
        <f ca="1">OFFSET(환산공식!FW$15,$F51,0)</f>
        <v>0.33</v>
      </c>
      <c r="Z51" s="20">
        <f ca="1">OFFSET(환산공식!FX$15,$F51,0)</f>
        <v>0.4</v>
      </c>
      <c r="AA51" s="179">
        <f ca="1">OFFSET(환산공식!FY$15,$F51,0)</f>
        <v>0.27</v>
      </c>
      <c r="AC51"/>
      <c r="AD51">
        <f t="shared" ca="1" si="1"/>
        <v>6</v>
      </c>
      <c r="AE51"/>
    </row>
    <row r="52" spans="1:31" s="3" customFormat="1">
      <c r="A52" s="198"/>
      <c r="B52" s="198"/>
      <c r="C52" s="198" t="s">
        <v>1504</v>
      </c>
      <c r="D52" s="195">
        <v>1038</v>
      </c>
      <c r="E52" s="195">
        <v>3</v>
      </c>
      <c r="F52" s="195">
        <v>3</v>
      </c>
      <c r="G52" s="239">
        <v>45</v>
      </c>
      <c r="H52" s="197" t="s">
        <v>79</v>
      </c>
      <c r="I52" s="242" t="s">
        <v>196</v>
      </c>
      <c r="J52" s="242" t="s">
        <v>8275</v>
      </c>
      <c r="K52" s="195" t="s">
        <v>71</v>
      </c>
      <c r="L52" s="20" t="str">
        <f ca="1">IF(OFFSET(환산공식!$ED$15,$F52,0)=1,"O","X")</f>
        <v>X</v>
      </c>
      <c r="M52" s="188">
        <f ca="1">IFERROR(OFFSET(환산공식!DJ$15,$F52,0),"")</f>
        <v>0</v>
      </c>
      <c r="N52" s="20" t="str">
        <f ca="1">IFERROR(CONCATENATE(ROUND(OFFSET(환산공식!DK$15,$F52,0),1),"%"),"")</f>
        <v/>
      </c>
      <c r="O52" s="20">
        <f ca="1">IFERROR(OFFSET(환산공식!DL$15,$F52,0),"")</f>
        <v>0</v>
      </c>
      <c r="P52" s="188" t="str">
        <f t="shared" ca="1" si="0"/>
        <v>3% 이하</v>
      </c>
      <c r="Q52" s="194">
        <f ca="1">IFERROR(ROUND(OFFSET(환산공식!$FG$15,$F52,0),3),"")</f>
        <v>0</v>
      </c>
      <c r="R52" s="194">
        <f ca="1">OFFSET('배치점수 계산기'!H$10,$D52,0)</f>
        <v>399.12</v>
      </c>
      <c r="S52" s="194">
        <f ca="1">OFFSET('배치점수 계산기'!I$10,$D52,0)</f>
        <v>397.09</v>
      </c>
      <c r="T52" s="194">
        <f ca="1">OFFSET('배치점수 계산기'!J$10,$D52,0)</f>
        <v>396.5</v>
      </c>
      <c r="U52" s="194">
        <f ca="1">OFFSET('배치점수 계산기'!K$10,$D52,0)</f>
        <v>396.16</v>
      </c>
      <c r="V52" s="194">
        <f ca="1">OFFSET('배치점수 계산기'!L$10,$D52,0)</f>
        <v>395.8</v>
      </c>
      <c r="W52" s="186" t="str">
        <f ca="1">OFFSET('배치점수 계산기'!M$10,$D52,0)</f>
        <v>표점</v>
      </c>
      <c r="X52" s="184" t="str">
        <f ca="1">OFFSET('배치점수 계산기'!N$10,$D52,0)</f>
        <v>표점</v>
      </c>
      <c r="Y52" s="188">
        <f ca="1">OFFSET(환산공식!FW$15,$F52,0)</f>
        <v>0.33</v>
      </c>
      <c r="Z52" s="20">
        <f ca="1">OFFSET(환산공식!FX$15,$F52,0)</f>
        <v>0.4</v>
      </c>
      <c r="AA52" s="179">
        <f ca="1">OFFSET(환산공식!FY$15,$F52,0)</f>
        <v>0.27</v>
      </c>
      <c r="AC52"/>
      <c r="AD52">
        <f t="shared" ca="1" si="1"/>
        <v>6</v>
      </c>
      <c r="AE52"/>
    </row>
    <row r="53" spans="1:31" s="3" customFormat="1">
      <c r="A53" s="198"/>
      <c r="B53" s="198"/>
      <c r="C53" s="198" t="s">
        <v>1505</v>
      </c>
      <c r="D53" s="195">
        <v>1039</v>
      </c>
      <c r="E53" s="195">
        <v>3</v>
      </c>
      <c r="F53" s="195">
        <v>3</v>
      </c>
      <c r="G53" s="239">
        <v>46</v>
      </c>
      <c r="H53" s="197" t="s">
        <v>79</v>
      </c>
      <c r="I53" s="242" t="s">
        <v>196</v>
      </c>
      <c r="J53" s="242" t="s">
        <v>8107</v>
      </c>
      <c r="K53" s="195" t="s">
        <v>71</v>
      </c>
      <c r="L53" s="20" t="str">
        <f ca="1">IF(OFFSET(환산공식!$ED$15,$F53,0)=1,"O","X")</f>
        <v>X</v>
      </c>
      <c r="M53" s="188">
        <f ca="1">IFERROR(OFFSET(환산공식!DJ$15,$F53,0),"")</f>
        <v>0</v>
      </c>
      <c r="N53" s="20" t="str">
        <f ca="1">IFERROR(CONCATENATE(ROUND(OFFSET(환산공식!DK$15,$F53,0),1),"%"),"")</f>
        <v/>
      </c>
      <c r="O53" s="20">
        <f ca="1">IFERROR(OFFSET(환산공식!DL$15,$F53,0),"")</f>
        <v>0</v>
      </c>
      <c r="P53" s="188" t="str">
        <f t="shared" ca="1" si="0"/>
        <v>3% 이하</v>
      </c>
      <c r="Q53" s="194">
        <f ca="1">IFERROR(ROUND(OFFSET(환산공식!$FG$15,$F53,0),3),"")</f>
        <v>0</v>
      </c>
      <c r="R53" s="194">
        <f ca="1">OFFSET('배치점수 계산기'!H$10,$D53,0)</f>
        <v>399.12</v>
      </c>
      <c r="S53" s="194">
        <f ca="1">OFFSET('배치점수 계산기'!I$10,$D53,0)</f>
        <v>397.09</v>
      </c>
      <c r="T53" s="194">
        <f ca="1">OFFSET('배치점수 계산기'!J$10,$D53,0)</f>
        <v>396.5</v>
      </c>
      <c r="U53" s="194">
        <f ca="1">OFFSET('배치점수 계산기'!K$10,$D53,0)</f>
        <v>395.37</v>
      </c>
      <c r="V53" s="194">
        <f ca="1">OFFSET('배치점수 계산기'!L$10,$D53,0)</f>
        <v>394.24</v>
      </c>
      <c r="W53" s="186" t="str">
        <f ca="1">OFFSET('배치점수 계산기'!M$10,$D53,0)</f>
        <v>표점</v>
      </c>
      <c r="X53" s="184" t="str">
        <f ca="1">OFFSET('배치점수 계산기'!N$10,$D53,0)</f>
        <v>표점</v>
      </c>
      <c r="Y53" s="188">
        <f ca="1">OFFSET(환산공식!FW$15,$F53,0)</f>
        <v>0.33</v>
      </c>
      <c r="Z53" s="20">
        <f ca="1">OFFSET(환산공식!FX$15,$F53,0)</f>
        <v>0.4</v>
      </c>
      <c r="AA53" s="179">
        <f ca="1">OFFSET(환산공식!FY$15,$F53,0)</f>
        <v>0.27</v>
      </c>
      <c r="AC53"/>
      <c r="AD53">
        <f t="shared" ca="1" si="1"/>
        <v>6</v>
      </c>
      <c r="AE53"/>
    </row>
    <row r="54" spans="1:31" s="3" customFormat="1">
      <c r="A54" s="198"/>
      <c r="B54" s="198"/>
      <c r="C54" s="198" t="s">
        <v>1506</v>
      </c>
      <c r="D54" s="195">
        <v>1040</v>
      </c>
      <c r="E54" s="195">
        <v>3</v>
      </c>
      <c r="F54" s="195">
        <v>3</v>
      </c>
      <c r="G54" s="239">
        <v>47</v>
      </c>
      <c r="H54" s="197" t="s">
        <v>79</v>
      </c>
      <c r="I54" s="242" t="s">
        <v>196</v>
      </c>
      <c r="J54" s="242" t="s">
        <v>8255</v>
      </c>
      <c r="K54" s="195" t="s">
        <v>71</v>
      </c>
      <c r="L54" s="20" t="str">
        <f ca="1">IF(OFFSET(환산공식!$ED$15,$F54,0)=1,"O","X")</f>
        <v>X</v>
      </c>
      <c r="M54" s="188">
        <f ca="1">IFERROR(OFFSET(환산공식!DJ$15,$F54,0),"")</f>
        <v>0</v>
      </c>
      <c r="N54" s="20" t="str">
        <f ca="1">IFERROR(CONCATENATE(ROUND(OFFSET(환산공식!DK$15,$F54,0),1),"%"),"")</f>
        <v/>
      </c>
      <c r="O54" s="20">
        <f ca="1">IFERROR(OFFSET(환산공식!DL$15,$F54,0),"")</f>
        <v>0</v>
      </c>
      <c r="P54" s="188" t="str">
        <f t="shared" ca="1" si="0"/>
        <v>3% 이하</v>
      </c>
      <c r="Q54" s="194">
        <f ca="1">IFERROR(ROUND(OFFSET(환산공식!$FG$15,$F54,0),3),"")</f>
        <v>0</v>
      </c>
      <c r="R54" s="194">
        <f ca="1">OFFSET('배치점수 계산기'!H$10,$D54,0)</f>
        <v>399.02</v>
      </c>
      <c r="S54" s="194">
        <f ca="1">OFFSET('배치점수 계산기'!I$10,$D54,0)</f>
        <v>397.57</v>
      </c>
      <c r="T54" s="194">
        <f ca="1">OFFSET('배치점수 계산기'!J$10,$D54,0)</f>
        <v>396.5</v>
      </c>
      <c r="U54" s="194">
        <f ca="1">OFFSET('배치점수 계산기'!K$10,$D54,0)</f>
        <v>395.8</v>
      </c>
      <c r="V54" s="194">
        <f ca="1">OFFSET('배치점수 계산기'!L$10,$D54,0)</f>
        <v>395.15</v>
      </c>
      <c r="W54" s="186" t="str">
        <f ca="1">OFFSET('배치점수 계산기'!M$10,$D54,0)</f>
        <v>표점</v>
      </c>
      <c r="X54" s="184" t="str">
        <f ca="1">OFFSET('배치점수 계산기'!N$10,$D54,0)</f>
        <v>표점</v>
      </c>
      <c r="Y54" s="188">
        <f ca="1">OFFSET(환산공식!FW$15,$F54,0)</f>
        <v>0.33</v>
      </c>
      <c r="Z54" s="20">
        <f ca="1">OFFSET(환산공식!FX$15,$F54,0)</f>
        <v>0.4</v>
      </c>
      <c r="AA54" s="179">
        <f ca="1">OFFSET(환산공식!FY$15,$F54,0)</f>
        <v>0.27</v>
      </c>
      <c r="AC54"/>
      <c r="AD54">
        <f t="shared" ca="1" si="1"/>
        <v>6</v>
      </c>
      <c r="AE54"/>
    </row>
    <row r="55" spans="1:31" s="3" customFormat="1">
      <c r="A55" s="198"/>
      <c r="B55" s="198"/>
      <c r="C55" s="198" t="s">
        <v>1507</v>
      </c>
      <c r="D55" s="195">
        <v>1041</v>
      </c>
      <c r="E55" s="195">
        <v>3</v>
      </c>
      <c r="F55" s="195">
        <v>3</v>
      </c>
      <c r="G55" s="239">
        <v>48</v>
      </c>
      <c r="H55" s="197" t="s">
        <v>79</v>
      </c>
      <c r="I55" s="242" t="s">
        <v>196</v>
      </c>
      <c r="J55" s="242" t="s">
        <v>499</v>
      </c>
      <c r="K55" s="195" t="s">
        <v>71</v>
      </c>
      <c r="L55" s="20" t="str">
        <f ca="1">IF(OFFSET(환산공식!$ED$15,$F55,0)=1,"O","X")</f>
        <v>X</v>
      </c>
      <c r="M55" s="188">
        <f ca="1">IFERROR(OFFSET(환산공식!DJ$15,$F55,0),"")</f>
        <v>0</v>
      </c>
      <c r="N55" s="20" t="str">
        <f ca="1">IFERROR(CONCATENATE(ROUND(OFFSET(환산공식!DK$15,$F55,0),1),"%"),"")</f>
        <v/>
      </c>
      <c r="O55" s="20">
        <f ca="1">IFERROR(OFFSET(환산공식!DL$15,$F55,0),"")</f>
        <v>0</v>
      </c>
      <c r="P55" s="188" t="str">
        <f t="shared" ca="1" si="0"/>
        <v>3% 이하</v>
      </c>
      <c r="Q55" s="194">
        <f ca="1">IFERROR(ROUND(OFFSET(환산공식!$FG$15,$F55,0),3),"")</f>
        <v>0</v>
      </c>
      <c r="R55" s="194">
        <f ca="1">OFFSET('배치점수 계산기'!H$10,$D55,0)</f>
        <v>398.7</v>
      </c>
      <c r="S55" s="194">
        <f ca="1">OFFSET('배치점수 계산기'!I$10,$D55,0)</f>
        <v>396.93</v>
      </c>
      <c r="T55" s="194">
        <f ca="1">OFFSET('배치점수 계산기'!J$10,$D55,0)</f>
        <v>396.38</v>
      </c>
      <c r="U55" s="194">
        <f ca="1">OFFSET('배치점수 계산기'!K$10,$D55,0)</f>
        <v>395.27</v>
      </c>
      <c r="V55" s="194">
        <f ca="1">OFFSET('배치점수 계산기'!L$10,$D55,0)</f>
        <v>392.45</v>
      </c>
      <c r="W55" s="186" t="str">
        <f ca="1">OFFSET('배치점수 계산기'!M$10,$D55,0)</f>
        <v>표점</v>
      </c>
      <c r="X55" s="184" t="str">
        <f ca="1">OFFSET('배치점수 계산기'!N$10,$D55,0)</f>
        <v>표점</v>
      </c>
      <c r="Y55" s="188">
        <f ca="1">OFFSET(환산공식!FW$15,$F55,0)</f>
        <v>0.33</v>
      </c>
      <c r="Z55" s="20">
        <f ca="1">OFFSET(환산공식!FX$15,$F55,0)</f>
        <v>0.4</v>
      </c>
      <c r="AA55" s="179">
        <f ca="1">OFFSET(환산공식!FY$15,$F55,0)</f>
        <v>0.27</v>
      </c>
      <c r="AC55"/>
      <c r="AD55">
        <f t="shared" ca="1" si="1"/>
        <v>6</v>
      </c>
      <c r="AE55"/>
    </row>
    <row r="56" spans="1:31" s="3" customFormat="1">
      <c r="A56" s="198"/>
      <c r="B56" s="198"/>
      <c r="C56" s="198" t="s">
        <v>1508</v>
      </c>
      <c r="D56" s="195">
        <v>1042</v>
      </c>
      <c r="E56" s="195">
        <v>3</v>
      </c>
      <c r="F56" s="195">
        <v>3</v>
      </c>
      <c r="G56" s="239">
        <v>49</v>
      </c>
      <c r="H56" s="197" t="s">
        <v>79</v>
      </c>
      <c r="I56" s="242" t="s">
        <v>196</v>
      </c>
      <c r="J56" s="242" t="s">
        <v>8190</v>
      </c>
      <c r="K56" s="195" t="s">
        <v>71</v>
      </c>
      <c r="L56" s="20" t="str">
        <f ca="1">IF(OFFSET(환산공식!$ED$15,$F56,0)=1,"O","X")</f>
        <v>X</v>
      </c>
      <c r="M56" s="188">
        <f ca="1">IFERROR(OFFSET(환산공식!DJ$15,$F56,0),"")</f>
        <v>0</v>
      </c>
      <c r="N56" s="20" t="str">
        <f ca="1">IFERROR(CONCATENATE(ROUND(OFFSET(환산공식!DK$15,$F56,0),1),"%"),"")</f>
        <v/>
      </c>
      <c r="O56" s="20">
        <f ca="1">IFERROR(OFFSET(환산공식!DL$15,$F56,0),"")</f>
        <v>0</v>
      </c>
      <c r="P56" s="188" t="str">
        <f t="shared" ca="1" si="0"/>
        <v>3% 이하</v>
      </c>
      <c r="Q56" s="194">
        <f ca="1">IFERROR(ROUND(OFFSET(환산공식!$FG$15,$F56,0),3),"")</f>
        <v>0</v>
      </c>
      <c r="R56" s="194">
        <f ca="1">OFFSET('배치점수 계산기'!H$10,$D56,0)</f>
        <v>397.69</v>
      </c>
      <c r="S56" s="194">
        <f ca="1">OFFSET('배치점수 계산기'!I$10,$D56,0)</f>
        <v>397.09</v>
      </c>
      <c r="T56" s="194">
        <f ca="1">OFFSET('배치점수 계산기'!J$10,$D56,0)</f>
        <v>396.38</v>
      </c>
      <c r="U56" s="194">
        <f ca="1">OFFSET('배치점수 계산기'!K$10,$D56,0)</f>
        <v>395.8</v>
      </c>
      <c r="V56" s="194">
        <f ca="1">OFFSET('배치점수 계산기'!L$10,$D56,0)</f>
        <v>395.15</v>
      </c>
      <c r="W56" s="186" t="str">
        <f ca="1">OFFSET('배치점수 계산기'!M$10,$D56,0)</f>
        <v>표점</v>
      </c>
      <c r="X56" s="184" t="str">
        <f ca="1">OFFSET('배치점수 계산기'!N$10,$D56,0)</f>
        <v>표점</v>
      </c>
      <c r="Y56" s="188">
        <f ca="1">OFFSET(환산공식!FW$15,$F56,0)</f>
        <v>0.33</v>
      </c>
      <c r="Z56" s="20">
        <f ca="1">OFFSET(환산공식!FX$15,$F56,0)</f>
        <v>0.4</v>
      </c>
      <c r="AA56" s="179">
        <f ca="1">OFFSET(환산공식!FY$15,$F56,0)</f>
        <v>0.27</v>
      </c>
      <c r="AC56"/>
      <c r="AD56">
        <f t="shared" ca="1" si="1"/>
        <v>6</v>
      </c>
      <c r="AE56"/>
    </row>
    <row r="57" spans="1:31" s="3" customFormat="1">
      <c r="A57" s="198"/>
      <c r="B57" s="198"/>
      <c r="C57" s="198" t="s">
        <v>1509</v>
      </c>
      <c r="D57" s="195">
        <v>1043</v>
      </c>
      <c r="E57" s="195">
        <v>3</v>
      </c>
      <c r="F57" s="195">
        <v>3</v>
      </c>
      <c r="G57" s="239">
        <v>50</v>
      </c>
      <c r="H57" s="197" t="s">
        <v>79</v>
      </c>
      <c r="I57" s="242" t="s">
        <v>196</v>
      </c>
      <c r="J57" s="242" t="s">
        <v>8216</v>
      </c>
      <c r="K57" s="195" t="s">
        <v>71</v>
      </c>
      <c r="L57" s="20" t="str">
        <f ca="1">IF(OFFSET(환산공식!$ED$15,$F57,0)=1,"O","X")</f>
        <v>X</v>
      </c>
      <c r="M57" s="188">
        <f ca="1">IFERROR(OFFSET(환산공식!DJ$15,$F57,0),"")</f>
        <v>0</v>
      </c>
      <c r="N57" s="20" t="str">
        <f ca="1">IFERROR(CONCATENATE(ROUND(OFFSET(환산공식!DK$15,$F57,0),1),"%"),"")</f>
        <v/>
      </c>
      <c r="O57" s="20">
        <f ca="1">IFERROR(OFFSET(환산공식!DL$15,$F57,0),"")</f>
        <v>0</v>
      </c>
      <c r="P57" s="188" t="str">
        <f t="shared" ca="1" si="0"/>
        <v>3% 이하</v>
      </c>
      <c r="Q57" s="194">
        <f ca="1">IFERROR(ROUND(OFFSET(환산공식!$FG$15,$F57,0),3),"")</f>
        <v>0</v>
      </c>
      <c r="R57" s="194">
        <f ca="1">OFFSET('배치점수 계산기'!H$10,$D57,0)</f>
        <v>398.12</v>
      </c>
      <c r="S57" s="194">
        <f ca="1">OFFSET('배치점수 계산기'!I$10,$D57,0)</f>
        <v>397.09</v>
      </c>
      <c r="T57" s="194">
        <f ca="1">OFFSET('배치점수 계산기'!J$10,$D57,0)</f>
        <v>396.38</v>
      </c>
      <c r="U57" s="194">
        <f ca="1">OFFSET('배치점수 계산기'!K$10,$D57,0)</f>
        <v>395.8</v>
      </c>
      <c r="V57" s="194">
        <f ca="1">OFFSET('배치점수 계산기'!L$10,$D57,0)</f>
        <v>395.27</v>
      </c>
      <c r="W57" s="186" t="str">
        <f ca="1">OFFSET('배치점수 계산기'!M$10,$D57,0)</f>
        <v>표점</v>
      </c>
      <c r="X57" s="184" t="str">
        <f ca="1">OFFSET('배치점수 계산기'!N$10,$D57,0)</f>
        <v>표점</v>
      </c>
      <c r="Y57" s="188">
        <f ca="1">OFFSET(환산공식!FW$15,$F57,0)</f>
        <v>0.33</v>
      </c>
      <c r="Z57" s="20">
        <f ca="1">OFFSET(환산공식!FX$15,$F57,0)</f>
        <v>0.4</v>
      </c>
      <c r="AA57" s="179">
        <f ca="1">OFFSET(환산공식!FY$15,$F57,0)</f>
        <v>0.27</v>
      </c>
      <c r="AC57"/>
      <c r="AD57">
        <f t="shared" ca="1" si="1"/>
        <v>6</v>
      </c>
      <c r="AE57"/>
    </row>
    <row r="58" spans="1:31" s="3" customFormat="1">
      <c r="A58" s="198"/>
      <c r="B58" s="198"/>
      <c r="C58" s="198" t="s">
        <v>1510</v>
      </c>
      <c r="D58" s="195">
        <v>1044</v>
      </c>
      <c r="E58" s="195">
        <v>3</v>
      </c>
      <c r="F58" s="195">
        <v>3</v>
      </c>
      <c r="G58" s="239">
        <v>51</v>
      </c>
      <c r="H58" s="197" t="s">
        <v>79</v>
      </c>
      <c r="I58" s="242" t="s">
        <v>196</v>
      </c>
      <c r="J58" s="242" t="s">
        <v>8266</v>
      </c>
      <c r="K58" s="195" t="s">
        <v>71</v>
      </c>
      <c r="L58" s="20" t="str">
        <f ca="1">IF(OFFSET(환산공식!$ED$15,$F58,0)=1,"O","X")</f>
        <v>X</v>
      </c>
      <c r="M58" s="188">
        <f ca="1">IFERROR(OFFSET(환산공식!DJ$15,$F58,0),"")</f>
        <v>0</v>
      </c>
      <c r="N58" s="20" t="str">
        <f ca="1">IFERROR(CONCATENATE(ROUND(OFFSET(환산공식!DK$15,$F58,0),1),"%"),"")</f>
        <v/>
      </c>
      <c r="O58" s="20">
        <f ca="1">IFERROR(OFFSET(환산공식!DL$15,$F58,0),"")</f>
        <v>0</v>
      </c>
      <c r="P58" s="188" t="str">
        <f t="shared" ca="1" si="0"/>
        <v>3% 이하</v>
      </c>
      <c r="Q58" s="194">
        <f ca="1">IFERROR(ROUND(OFFSET(환산공식!$FG$15,$F58,0),3),"")</f>
        <v>0</v>
      </c>
      <c r="R58" s="194">
        <f ca="1">OFFSET('배치점수 계산기'!H$10,$D58,0)</f>
        <v>397.57</v>
      </c>
      <c r="S58" s="194">
        <f ca="1">OFFSET('배치점수 계산기'!I$10,$D58,0)</f>
        <v>396.5</v>
      </c>
      <c r="T58" s="194">
        <f ca="1">OFFSET('배치점수 계산기'!J$10,$D58,0)</f>
        <v>395.96</v>
      </c>
      <c r="U58" s="194">
        <f ca="1">OFFSET('배치점수 계산기'!K$10,$D58,0)</f>
        <v>395.27</v>
      </c>
      <c r="V58" s="194">
        <f ca="1">OFFSET('배치점수 계산기'!L$10,$D58,0)</f>
        <v>394.61</v>
      </c>
      <c r="W58" s="186" t="str">
        <f ca="1">OFFSET('배치점수 계산기'!M$10,$D58,0)</f>
        <v>표점</v>
      </c>
      <c r="X58" s="184" t="str">
        <f ca="1">OFFSET('배치점수 계산기'!N$10,$D58,0)</f>
        <v>표점</v>
      </c>
      <c r="Y58" s="188">
        <f ca="1">OFFSET(환산공식!FW$15,$F58,0)</f>
        <v>0.33</v>
      </c>
      <c r="Z58" s="20">
        <f ca="1">OFFSET(환산공식!FX$15,$F58,0)</f>
        <v>0.4</v>
      </c>
      <c r="AA58" s="179">
        <f ca="1">OFFSET(환산공식!FY$15,$F58,0)</f>
        <v>0.27</v>
      </c>
      <c r="AC58"/>
      <c r="AD58">
        <f t="shared" ca="1" si="1"/>
        <v>6</v>
      </c>
      <c r="AE58"/>
    </row>
    <row r="59" spans="1:31" s="3" customFormat="1">
      <c r="A59" s="198"/>
      <c r="B59" s="198"/>
      <c r="C59" s="198" t="s">
        <v>1511</v>
      </c>
      <c r="D59" s="195">
        <v>1045</v>
      </c>
      <c r="E59" s="195">
        <v>3</v>
      </c>
      <c r="F59" s="195">
        <v>3</v>
      </c>
      <c r="G59" s="239">
        <v>52</v>
      </c>
      <c r="H59" s="197" t="s">
        <v>79</v>
      </c>
      <c r="I59" s="242" t="s">
        <v>196</v>
      </c>
      <c r="J59" s="242" t="s">
        <v>8319</v>
      </c>
      <c r="K59" s="195" t="s">
        <v>71</v>
      </c>
      <c r="L59" s="20" t="str">
        <f ca="1">IF(OFFSET(환산공식!$ED$15,$F59,0)=1,"O","X")</f>
        <v>X</v>
      </c>
      <c r="M59" s="188">
        <f ca="1">IFERROR(OFFSET(환산공식!DJ$15,$F59,0),"")</f>
        <v>0</v>
      </c>
      <c r="N59" s="20" t="str">
        <f ca="1">IFERROR(CONCATENATE(ROUND(OFFSET(환산공식!DK$15,$F59,0),1),"%"),"")</f>
        <v/>
      </c>
      <c r="O59" s="20">
        <f ca="1">IFERROR(OFFSET(환산공식!DL$15,$F59,0),"")</f>
        <v>0</v>
      </c>
      <c r="P59" s="188" t="str">
        <f t="shared" ca="1" si="0"/>
        <v>3% 이하</v>
      </c>
      <c r="Q59" s="194">
        <f ca="1">IFERROR(ROUND(OFFSET(환산공식!$FG$15,$F59,0),3),"")</f>
        <v>0</v>
      </c>
      <c r="R59" s="194">
        <f ca="1">OFFSET('배치점수 계산기'!H$10,$D59,0)</f>
        <v>397.69</v>
      </c>
      <c r="S59" s="194">
        <f ca="1">OFFSET('배치점수 계산기'!I$10,$D59,0)</f>
        <v>396.5</v>
      </c>
      <c r="T59" s="194">
        <f ca="1">OFFSET('배치점수 계산기'!J$10,$D59,0)</f>
        <v>395.96</v>
      </c>
      <c r="U59" s="194">
        <f ca="1">OFFSET('배치점수 계산기'!K$10,$D59,0)</f>
        <v>395.15</v>
      </c>
      <c r="V59" s="194">
        <f ca="1">OFFSET('배치점수 계산기'!L$10,$D59,0)</f>
        <v>394.02</v>
      </c>
      <c r="W59" s="186" t="str">
        <f ca="1">OFFSET('배치점수 계산기'!M$10,$D59,0)</f>
        <v>표점</v>
      </c>
      <c r="X59" s="184" t="str">
        <f ca="1">OFFSET('배치점수 계산기'!N$10,$D59,0)</f>
        <v>표점</v>
      </c>
      <c r="Y59" s="188">
        <f ca="1">OFFSET(환산공식!FW$15,$F59,0)</f>
        <v>0.33</v>
      </c>
      <c r="Z59" s="20">
        <f ca="1">OFFSET(환산공식!FX$15,$F59,0)</f>
        <v>0.4</v>
      </c>
      <c r="AA59" s="179">
        <f ca="1">OFFSET(환산공식!FY$15,$F59,0)</f>
        <v>0.27</v>
      </c>
      <c r="AC59"/>
      <c r="AD59">
        <f t="shared" ca="1" si="1"/>
        <v>6</v>
      </c>
      <c r="AE59"/>
    </row>
    <row r="60" spans="1:31" s="3" customFormat="1">
      <c r="A60" s="198"/>
      <c r="B60" s="198"/>
      <c r="C60" s="198" t="s">
        <v>1512</v>
      </c>
      <c r="D60" s="195">
        <v>1046</v>
      </c>
      <c r="E60" s="195">
        <v>3</v>
      </c>
      <c r="F60" s="195">
        <v>3</v>
      </c>
      <c r="G60" s="239">
        <v>53</v>
      </c>
      <c r="H60" s="197" t="s">
        <v>79</v>
      </c>
      <c r="I60" s="242" t="s">
        <v>196</v>
      </c>
      <c r="J60" s="242" t="s">
        <v>8299</v>
      </c>
      <c r="K60" s="195" t="s">
        <v>71</v>
      </c>
      <c r="L60" s="20" t="str">
        <f ca="1">IF(OFFSET(환산공식!$ED$15,$F60,0)=1,"O","X")</f>
        <v>X</v>
      </c>
      <c r="M60" s="188">
        <f ca="1">IFERROR(OFFSET(환산공식!DJ$15,$F60,0),"")</f>
        <v>0</v>
      </c>
      <c r="N60" s="20" t="str">
        <f ca="1">IFERROR(CONCATENATE(ROUND(OFFSET(환산공식!DK$15,$F60,0),1),"%"),"")</f>
        <v/>
      </c>
      <c r="O60" s="20">
        <f ca="1">IFERROR(OFFSET(환산공식!DL$15,$F60,0),"")</f>
        <v>0</v>
      </c>
      <c r="P60" s="188" t="str">
        <f t="shared" ca="1" si="0"/>
        <v>3% 이하</v>
      </c>
      <c r="Q60" s="194">
        <f ca="1">IFERROR(ROUND(OFFSET(환산공식!$FG$15,$F60,0),3),"")</f>
        <v>0</v>
      </c>
      <c r="R60" s="194">
        <f ca="1">OFFSET('배치점수 계산기'!H$10,$D60,0)</f>
        <v>397.09</v>
      </c>
      <c r="S60" s="194">
        <f ca="1">OFFSET('배치점수 계산기'!I$10,$D60,0)</f>
        <v>396.16</v>
      </c>
      <c r="T60" s="194">
        <f ca="1">OFFSET('배치점수 계산기'!J$10,$D60,0)</f>
        <v>395.8</v>
      </c>
      <c r="U60" s="194">
        <f ca="1">OFFSET('배치점수 계산기'!K$10,$D60,0)</f>
        <v>395.15</v>
      </c>
      <c r="V60" s="194">
        <f ca="1">OFFSET('배치점수 계산기'!L$10,$D60,0)</f>
        <v>394.44</v>
      </c>
      <c r="W60" s="186" t="str">
        <f ca="1">OFFSET('배치점수 계산기'!M$10,$D60,0)</f>
        <v>표점</v>
      </c>
      <c r="X60" s="184" t="str">
        <f ca="1">OFFSET('배치점수 계산기'!N$10,$D60,0)</f>
        <v>표점</v>
      </c>
      <c r="Y60" s="188">
        <f ca="1">OFFSET(환산공식!FW$15,$F60,0)</f>
        <v>0.33</v>
      </c>
      <c r="Z60" s="20">
        <f ca="1">OFFSET(환산공식!FX$15,$F60,0)</f>
        <v>0.4</v>
      </c>
      <c r="AA60" s="179">
        <f ca="1">OFFSET(환산공식!FY$15,$F60,0)</f>
        <v>0.27</v>
      </c>
      <c r="AC60"/>
      <c r="AD60">
        <f t="shared" ca="1" si="1"/>
        <v>6</v>
      </c>
      <c r="AE60"/>
    </row>
    <row r="61" spans="1:31" s="3" customFormat="1">
      <c r="A61" s="198"/>
      <c r="B61" s="198"/>
      <c r="C61" s="198" t="s">
        <v>1513</v>
      </c>
      <c r="D61" s="195">
        <v>1047</v>
      </c>
      <c r="E61" s="195">
        <v>3</v>
      </c>
      <c r="F61" s="195">
        <v>3</v>
      </c>
      <c r="G61" s="239">
        <v>54</v>
      </c>
      <c r="H61" s="197" t="s">
        <v>79</v>
      </c>
      <c r="I61" s="242" t="s">
        <v>196</v>
      </c>
      <c r="J61" s="242" t="s">
        <v>8232</v>
      </c>
      <c r="K61" s="195" t="s">
        <v>71</v>
      </c>
      <c r="L61" s="20" t="str">
        <f ca="1">IF(OFFSET(환산공식!$ED$15,$F61,0)=1,"O","X")</f>
        <v>X</v>
      </c>
      <c r="M61" s="188">
        <f ca="1">IFERROR(OFFSET(환산공식!DJ$15,$F61,0),"")</f>
        <v>0</v>
      </c>
      <c r="N61" s="20" t="str">
        <f ca="1">IFERROR(CONCATENATE(ROUND(OFFSET(환산공식!DK$15,$F61,0),1),"%"),"")</f>
        <v/>
      </c>
      <c r="O61" s="20">
        <f ca="1">IFERROR(OFFSET(환산공식!DL$15,$F61,0),"")</f>
        <v>0</v>
      </c>
      <c r="P61" s="188" t="str">
        <f t="shared" ca="1" si="0"/>
        <v>3% 이하</v>
      </c>
      <c r="Q61" s="194">
        <f ca="1">IFERROR(ROUND(OFFSET(환산공식!$FG$15,$F61,0),3),"")</f>
        <v>0</v>
      </c>
      <c r="R61" s="194">
        <f ca="1">OFFSET('배치점수 계산기'!H$10,$D61,0)</f>
        <v>396.93</v>
      </c>
      <c r="S61" s="194">
        <f ca="1">OFFSET('배치점수 계산기'!I$10,$D61,0)</f>
        <v>395.96</v>
      </c>
      <c r="T61" s="194">
        <f ca="1">OFFSET('배치점수 계산기'!J$10,$D61,0)</f>
        <v>395.47</v>
      </c>
      <c r="U61" s="194">
        <f ca="1">OFFSET('배치점수 계산기'!K$10,$D61,0)</f>
        <v>394.99</v>
      </c>
      <c r="V61" s="194">
        <f ca="1">OFFSET('배치점수 계산기'!L$10,$D61,0)</f>
        <v>394.24</v>
      </c>
      <c r="W61" s="186" t="str">
        <f ca="1">OFFSET('배치점수 계산기'!M$10,$D61,0)</f>
        <v>표점</v>
      </c>
      <c r="X61" s="184" t="str">
        <f ca="1">OFFSET('배치점수 계산기'!N$10,$D61,0)</f>
        <v>표점</v>
      </c>
      <c r="Y61" s="188">
        <f ca="1">OFFSET(환산공식!FW$15,$F61,0)</f>
        <v>0.33</v>
      </c>
      <c r="Z61" s="20">
        <f ca="1">OFFSET(환산공식!FX$15,$F61,0)</f>
        <v>0.4</v>
      </c>
      <c r="AA61" s="179">
        <f ca="1">OFFSET(환산공식!FY$15,$F61,0)</f>
        <v>0.27</v>
      </c>
      <c r="AC61"/>
      <c r="AD61">
        <f t="shared" ca="1" si="1"/>
        <v>6</v>
      </c>
      <c r="AE61"/>
    </row>
    <row r="62" spans="1:31" s="3" customFormat="1">
      <c r="A62" s="198"/>
      <c r="B62" s="198"/>
      <c r="C62" s="198" t="s">
        <v>1514</v>
      </c>
      <c r="D62" s="195">
        <v>1048</v>
      </c>
      <c r="E62" s="195">
        <v>3</v>
      </c>
      <c r="F62" s="195">
        <v>3</v>
      </c>
      <c r="G62" s="239">
        <v>55</v>
      </c>
      <c r="H62" s="197" t="s">
        <v>79</v>
      </c>
      <c r="I62" s="242" t="s">
        <v>196</v>
      </c>
      <c r="J62" s="242" t="s">
        <v>8337</v>
      </c>
      <c r="K62" s="195" t="s">
        <v>71</v>
      </c>
      <c r="L62" s="20" t="str">
        <f ca="1">IF(OFFSET(환산공식!$ED$15,$F62,0)=1,"O","X")</f>
        <v>X</v>
      </c>
      <c r="M62" s="188">
        <f ca="1">IFERROR(OFFSET(환산공식!DJ$15,$F62,0),"")</f>
        <v>0</v>
      </c>
      <c r="N62" s="20" t="str">
        <f ca="1">IFERROR(CONCATENATE(ROUND(OFFSET(환산공식!DK$15,$F62,0),1),"%"),"")</f>
        <v/>
      </c>
      <c r="O62" s="20">
        <f ca="1">IFERROR(OFFSET(환산공식!DL$15,$F62,0),"")</f>
        <v>0</v>
      </c>
      <c r="P62" s="188" t="str">
        <f t="shared" ca="1" si="0"/>
        <v>3% 이하</v>
      </c>
      <c r="Q62" s="194">
        <f ca="1">IFERROR(ROUND(OFFSET(환산공식!$FG$15,$F62,0),3),"")</f>
        <v>0</v>
      </c>
      <c r="R62" s="194">
        <f ca="1">OFFSET('배치점수 계산기'!H$10,$D62,0)</f>
        <v>396.83</v>
      </c>
      <c r="S62" s="194">
        <f ca="1">OFFSET('배치점수 계산기'!I$10,$D62,0)</f>
        <v>395.96</v>
      </c>
      <c r="T62" s="194">
        <f ca="1">OFFSET('배치점수 계산기'!J$10,$D62,0)</f>
        <v>395.47</v>
      </c>
      <c r="U62" s="194">
        <f ca="1">OFFSET('배치점수 계산기'!K$10,$D62,0)</f>
        <v>394.99</v>
      </c>
      <c r="V62" s="194">
        <f ca="1">OFFSET('배치점수 계산기'!L$10,$D62,0)</f>
        <v>394.24</v>
      </c>
      <c r="W62" s="186" t="str">
        <f ca="1">OFFSET('배치점수 계산기'!M$10,$D62,0)</f>
        <v>표점</v>
      </c>
      <c r="X62" s="184" t="str">
        <f ca="1">OFFSET('배치점수 계산기'!N$10,$D62,0)</f>
        <v>표점</v>
      </c>
      <c r="Y62" s="188">
        <f ca="1">OFFSET(환산공식!FW$15,$F62,0)</f>
        <v>0.33</v>
      </c>
      <c r="Z62" s="20">
        <f ca="1">OFFSET(환산공식!FX$15,$F62,0)</f>
        <v>0.4</v>
      </c>
      <c r="AA62" s="179">
        <f ca="1">OFFSET(환산공식!FY$15,$F62,0)</f>
        <v>0.27</v>
      </c>
      <c r="AC62"/>
      <c r="AD62">
        <f t="shared" ca="1" si="1"/>
        <v>6</v>
      </c>
      <c r="AE62"/>
    </row>
    <row r="63" spans="1:31" s="3" customFormat="1">
      <c r="A63" s="198"/>
      <c r="B63" s="198"/>
      <c r="C63" s="198" t="s">
        <v>1515</v>
      </c>
      <c r="D63" s="195">
        <v>1049</v>
      </c>
      <c r="E63" s="195">
        <v>3</v>
      </c>
      <c r="F63" s="195">
        <v>3</v>
      </c>
      <c r="G63" s="239">
        <v>56</v>
      </c>
      <c r="H63" s="197" t="s">
        <v>79</v>
      </c>
      <c r="I63" s="242" t="s">
        <v>196</v>
      </c>
      <c r="J63" s="242" t="s">
        <v>16673</v>
      </c>
      <c r="K63" s="195" t="s">
        <v>71</v>
      </c>
      <c r="L63" s="20" t="str">
        <f ca="1">IF(OFFSET(환산공식!$ED$15,$F63,0)=1,"O","X")</f>
        <v>X</v>
      </c>
      <c r="M63" s="188">
        <f ca="1">IFERROR(OFFSET(환산공식!DJ$15,$F63,0),"")</f>
        <v>0</v>
      </c>
      <c r="N63" s="20" t="str">
        <f ca="1">IFERROR(CONCATENATE(ROUND(OFFSET(환산공식!DK$15,$F63,0),1),"%"),"")</f>
        <v/>
      </c>
      <c r="O63" s="20">
        <f ca="1">IFERROR(OFFSET(환산공식!DL$15,$F63,0),"")</f>
        <v>0</v>
      </c>
      <c r="P63" s="188" t="str">
        <f t="shared" ca="1" si="0"/>
        <v>3% 이하</v>
      </c>
      <c r="Q63" s="194">
        <f ca="1">IFERROR(ROUND(OFFSET(환산공식!$FG$15,$F63,0),3),"")</f>
        <v>0</v>
      </c>
      <c r="R63" s="194">
        <f ca="1">OFFSET('배치점수 계산기'!H$10,$D63,0)</f>
        <v>396.93</v>
      </c>
      <c r="S63" s="194">
        <f ca="1">OFFSET('배치점수 계산기'!I$10,$D63,0)</f>
        <v>395.96</v>
      </c>
      <c r="T63" s="194">
        <f ca="1">OFFSET('배치점수 계산기'!J$10,$D63,0)</f>
        <v>395.47</v>
      </c>
      <c r="U63" s="194">
        <f ca="1">OFFSET('배치점수 계산기'!K$10,$D63,0)</f>
        <v>394.99</v>
      </c>
      <c r="V63" s="194">
        <f ca="1">OFFSET('배치점수 계산기'!L$10,$D63,0)</f>
        <v>394.24</v>
      </c>
      <c r="W63" s="186" t="str">
        <f ca="1">OFFSET('배치점수 계산기'!M$10,$D63,0)</f>
        <v>표점</v>
      </c>
      <c r="X63" s="184" t="str">
        <f ca="1">OFFSET('배치점수 계산기'!N$10,$D63,0)</f>
        <v>표점</v>
      </c>
      <c r="Y63" s="188">
        <f ca="1">OFFSET(환산공식!FW$15,$F63,0)</f>
        <v>0.33</v>
      </c>
      <c r="Z63" s="20">
        <f ca="1">OFFSET(환산공식!FX$15,$F63,0)</f>
        <v>0.4</v>
      </c>
      <c r="AA63" s="179">
        <f ca="1">OFFSET(환산공식!FY$15,$F63,0)</f>
        <v>0.27</v>
      </c>
      <c r="AC63"/>
      <c r="AD63">
        <f t="shared" ca="1" si="1"/>
        <v>6</v>
      </c>
      <c r="AE63"/>
    </row>
    <row r="64" spans="1:31" s="3" customFormat="1">
      <c r="A64" s="198"/>
      <c r="B64" s="198"/>
      <c r="C64" s="198" t="s">
        <v>1516</v>
      </c>
      <c r="D64" s="195">
        <v>1050</v>
      </c>
      <c r="E64" s="195">
        <v>3</v>
      </c>
      <c r="F64" s="195">
        <v>3</v>
      </c>
      <c r="G64" s="239">
        <v>57</v>
      </c>
      <c r="H64" s="197" t="s">
        <v>79</v>
      </c>
      <c r="I64" s="242" t="s">
        <v>196</v>
      </c>
      <c r="J64" s="242" t="s">
        <v>542</v>
      </c>
      <c r="K64" s="195" t="s">
        <v>71</v>
      </c>
      <c r="L64" s="20" t="str">
        <f ca="1">IF(OFFSET(환산공식!$ED$15,$F64,0)=1,"O","X")</f>
        <v>X</v>
      </c>
      <c r="M64" s="188">
        <f ca="1">IFERROR(OFFSET(환산공식!DJ$15,$F64,0),"")</f>
        <v>0</v>
      </c>
      <c r="N64" s="20" t="str">
        <f ca="1">IFERROR(CONCATENATE(ROUND(OFFSET(환산공식!DK$15,$F64,0),1),"%"),"")</f>
        <v/>
      </c>
      <c r="O64" s="20">
        <f ca="1">IFERROR(OFFSET(환산공식!DL$15,$F64,0),"")</f>
        <v>0</v>
      </c>
      <c r="P64" s="188" t="str">
        <f t="shared" ca="1" si="0"/>
        <v>3% 이하</v>
      </c>
      <c r="Q64" s="194">
        <f ca="1">IFERROR(ROUND(OFFSET(환산공식!$FG$15,$F64,0),3),"")</f>
        <v>0</v>
      </c>
      <c r="R64" s="194">
        <f ca="1">OFFSET('배치점수 계산기'!H$10,$D64,0)</f>
        <v>396.93</v>
      </c>
      <c r="S64" s="194">
        <f ca="1">OFFSET('배치점수 계산기'!I$10,$D64,0)</f>
        <v>396.16</v>
      </c>
      <c r="T64" s="194">
        <f ca="1">OFFSET('배치점수 계산기'!J$10,$D64,0)</f>
        <v>395.27</v>
      </c>
      <c r="U64" s="194">
        <f ca="1">OFFSET('배치점수 계산기'!K$10,$D64,0)</f>
        <v>394.61</v>
      </c>
      <c r="V64" s="194">
        <f ca="1">OFFSET('배치점수 계산기'!L$10,$D64,0)</f>
        <v>393.96</v>
      </c>
      <c r="W64" s="186" t="str">
        <f ca="1">OFFSET('배치점수 계산기'!M$10,$D64,0)</f>
        <v>표점</v>
      </c>
      <c r="X64" s="184" t="str">
        <f ca="1">OFFSET('배치점수 계산기'!N$10,$D64,0)</f>
        <v>표점</v>
      </c>
      <c r="Y64" s="188">
        <f ca="1">OFFSET(환산공식!FW$15,$F64,0)</f>
        <v>0.33</v>
      </c>
      <c r="Z64" s="20">
        <f ca="1">OFFSET(환산공식!FX$15,$F64,0)</f>
        <v>0.4</v>
      </c>
      <c r="AA64" s="179">
        <f ca="1">OFFSET(환산공식!FY$15,$F64,0)</f>
        <v>0.27</v>
      </c>
      <c r="AC64"/>
      <c r="AD64">
        <f t="shared" ca="1" si="1"/>
        <v>6</v>
      </c>
      <c r="AE64"/>
    </row>
    <row r="65" spans="1:31" s="3" customFormat="1">
      <c r="A65" s="198"/>
      <c r="B65" s="198"/>
      <c r="C65" s="198" t="s">
        <v>1517</v>
      </c>
      <c r="D65" s="195">
        <v>1051</v>
      </c>
      <c r="E65" s="195">
        <v>14</v>
      </c>
      <c r="F65" s="195">
        <v>14</v>
      </c>
      <c r="G65" s="239">
        <v>58</v>
      </c>
      <c r="H65" s="197" t="s">
        <v>79</v>
      </c>
      <c r="I65" s="242" t="s">
        <v>302</v>
      </c>
      <c r="J65" s="242" t="s">
        <v>8019</v>
      </c>
      <c r="K65" s="195" t="s">
        <v>70</v>
      </c>
      <c r="L65" s="20" t="str">
        <f ca="1">IF(OFFSET(환산공식!$ED$15,$F65,0)=1,"O","X")</f>
        <v>X</v>
      </c>
      <c r="M65" s="188">
        <f ca="1">IFERROR(OFFSET(환산공식!DJ$15,$F65,0),"")</f>
        <v>100</v>
      </c>
      <c r="N65" s="20" t="str">
        <f ca="1">IFERROR(CONCATENATE(ROUND(OFFSET(환산공식!DK$15,$F65,0),1),"%"),"")</f>
        <v>100%</v>
      </c>
      <c r="O65" s="20">
        <f ca="1">IFERROR(OFFSET(환산공식!DL$15,$F65,0),"")</f>
        <v>10</v>
      </c>
      <c r="P65" s="188" t="str">
        <f t="shared" ca="1" si="0"/>
        <v>3% 이하</v>
      </c>
      <c r="Q65" s="194">
        <f ca="1">IFERROR(ROUND(OFFSET(환산공식!$FG$15,$F65,0),3),"")</f>
        <v>0</v>
      </c>
      <c r="R65" s="194">
        <f ca="1">OFFSET('배치점수 계산기'!H$10,$D65,0)</f>
        <v>513.94799999999998</v>
      </c>
      <c r="S65" s="194">
        <f ca="1">OFFSET('배치점수 계산기'!I$10,$D65,0)</f>
        <v>513.31200000000001</v>
      </c>
      <c r="T65" s="194">
        <f ca="1">OFFSET('배치점수 계산기'!J$10,$D65,0)</f>
        <v>513.01199999999994</v>
      </c>
      <c r="U65" s="194">
        <f ca="1">OFFSET('배치점수 계산기'!K$10,$D65,0)</f>
        <v>511.024</v>
      </c>
      <c r="V65" s="194">
        <f ca="1">OFFSET('배치점수 계산기'!L$10,$D65,0)</f>
        <v>508.32100000000003</v>
      </c>
      <c r="W65" s="186" t="str">
        <f ca="1">OFFSET('배치점수 계산기'!M$10,$D65,0)</f>
        <v>표점</v>
      </c>
      <c r="X65" s="184" t="str">
        <f ca="1">OFFSET('배치점수 계산기'!N$10,$D65,0)</f>
        <v>변표</v>
      </c>
      <c r="Y65" s="188">
        <f ca="1">OFFSET(환산공식!FW$15,$F65,0)</f>
        <v>0.43</v>
      </c>
      <c r="Z65" s="20">
        <f ca="1">OFFSET(환산공식!FX$15,$F65,0)</f>
        <v>0.37</v>
      </c>
      <c r="AA65" s="179">
        <f ca="1">OFFSET(환산공식!FY$15,$F65,0)</f>
        <v>0.2</v>
      </c>
      <c r="AC65"/>
      <c r="AD65">
        <f t="shared" ca="1" si="1"/>
        <v>6</v>
      </c>
      <c r="AE65"/>
    </row>
    <row r="66" spans="1:31" s="3" customFormat="1">
      <c r="A66" s="198"/>
      <c r="B66" s="198"/>
      <c r="C66" s="198" t="s">
        <v>1518</v>
      </c>
      <c r="D66" s="195">
        <v>1052</v>
      </c>
      <c r="E66" s="195">
        <v>14</v>
      </c>
      <c r="F66" s="195">
        <v>14</v>
      </c>
      <c r="G66" s="239">
        <v>59</v>
      </c>
      <c r="H66" s="197" t="s">
        <v>79</v>
      </c>
      <c r="I66" s="242" t="s">
        <v>302</v>
      </c>
      <c r="J66" s="242" t="s">
        <v>8835</v>
      </c>
      <c r="K66" s="195" t="s">
        <v>70</v>
      </c>
      <c r="L66" s="20" t="str">
        <f ca="1">IF(OFFSET(환산공식!$ED$15,$F66,0)=1,"O","X")</f>
        <v>X</v>
      </c>
      <c r="M66" s="188">
        <f ca="1">IFERROR(OFFSET(환산공식!DJ$15,$F66,0),"")</f>
        <v>100</v>
      </c>
      <c r="N66" s="20" t="str">
        <f ca="1">IFERROR(CONCATENATE(ROUND(OFFSET(환산공식!DK$15,$F66,0),1),"%"),"")</f>
        <v>100%</v>
      </c>
      <c r="O66" s="20">
        <f ca="1">IFERROR(OFFSET(환산공식!DL$15,$F66,0),"")</f>
        <v>10</v>
      </c>
      <c r="P66" s="188" t="str">
        <f t="shared" ca="1" si="0"/>
        <v>3% 이하</v>
      </c>
      <c r="Q66" s="194">
        <f ca="1">IFERROR(ROUND(OFFSET(환산공식!$FG$15,$F66,0),3),"")</f>
        <v>0</v>
      </c>
      <c r="R66" s="194">
        <f ca="1">OFFSET('배치점수 계산기'!H$10,$D66,0)</f>
        <v>505.483</v>
      </c>
      <c r="S66" s="194">
        <f ca="1">OFFSET('배치점수 계산기'!I$10,$D66,0)</f>
        <v>504.85700000000003</v>
      </c>
      <c r="T66" s="194">
        <f ca="1">OFFSET('배치점수 계산기'!J$10,$D66,0)</f>
        <v>504.30599999999998</v>
      </c>
      <c r="U66" s="194">
        <f ca="1">OFFSET('배치점수 계산기'!K$10,$D66,0)</f>
        <v>502.27600000000001</v>
      </c>
      <c r="V66" s="194">
        <f ca="1">OFFSET('배치점수 계산기'!L$10,$D66,0)</f>
        <v>500.25799999999998</v>
      </c>
      <c r="W66" s="186" t="str">
        <f ca="1">OFFSET('배치점수 계산기'!M$10,$D66,0)</f>
        <v>표점</v>
      </c>
      <c r="X66" s="184" t="str">
        <f ca="1">OFFSET('배치점수 계산기'!N$10,$D66,0)</f>
        <v>변표</v>
      </c>
      <c r="Y66" s="188">
        <f ca="1">OFFSET(환산공식!FW$15,$F66,0)</f>
        <v>0.43</v>
      </c>
      <c r="Z66" s="20">
        <f ca="1">OFFSET(환산공식!FX$15,$F66,0)</f>
        <v>0.37</v>
      </c>
      <c r="AA66" s="179">
        <f ca="1">OFFSET(환산공식!FY$15,$F66,0)</f>
        <v>0.2</v>
      </c>
      <c r="AC66"/>
      <c r="AD66">
        <f t="shared" ca="1" si="1"/>
        <v>6</v>
      </c>
      <c r="AE66"/>
    </row>
    <row r="67" spans="1:31" s="3" customFormat="1">
      <c r="A67" s="198"/>
      <c r="B67" s="198"/>
      <c r="C67" s="198" t="s">
        <v>1519</v>
      </c>
      <c r="D67" s="195">
        <v>1053</v>
      </c>
      <c r="E67" s="195">
        <v>14</v>
      </c>
      <c r="F67" s="195">
        <v>14</v>
      </c>
      <c r="G67" s="239">
        <v>60</v>
      </c>
      <c r="H67" s="197" t="s">
        <v>79</v>
      </c>
      <c r="I67" s="242" t="s">
        <v>302</v>
      </c>
      <c r="J67" s="242" t="s">
        <v>8410</v>
      </c>
      <c r="K67" s="195" t="s">
        <v>70</v>
      </c>
      <c r="L67" s="20" t="str">
        <f ca="1">IF(OFFSET(환산공식!$ED$15,$F67,0)=1,"O","X")</f>
        <v>X</v>
      </c>
      <c r="M67" s="188">
        <f ca="1">IFERROR(OFFSET(환산공식!DJ$15,$F67,0),"")</f>
        <v>100</v>
      </c>
      <c r="N67" s="20" t="str">
        <f ca="1">IFERROR(CONCATENATE(ROUND(OFFSET(환산공식!DK$15,$F67,0),1),"%"),"")</f>
        <v>100%</v>
      </c>
      <c r="O67" s="20">
        <f ca="1">IFERROR(OFFSET(환산공식!DL$15,$F67,0),"")</f>
        <v>10</v>
      </c>
      <c r="P67" s="188" t="str">
        <f t="shared" ca="1" si="0"/>
        <v>3% 이하</v>
      </c>
      <c r="Q67" s="194">
        <f ca="1">IFERROR(ROUND(OFFSET(환산공식!$FG$15,$F67,0),3),"")</f>
        <v>0</v>
      </c>
      <c r="R67" s="194">
        <f ca="1">OFFSET('배치점수 계산기'!H$10,$D67,0)</f>
        <v>505.60300000000001</v>
      </c>
      <c r="S67" s="194">
        <f ca="1">OFFSET('배치점수 계산기'!I$10,$D67,0)</f>
        <v>504.85700000000003</v>
      </c>
      <c r="T67" s="194">
        <f ca="1">OFFSET('배치점수 계산기'!J$10,$D67,0)</f>
        <v>504.30599999999998</v>
      </c>
      <c r="U67" s="194">
        <f ca="1">OFFSET('배치점수 계산기'!K$10,$D67,0)</f>
        <v>502.27600000000001</v>
      </c>
      <c r="V67" s="194">
        <f ca="1">OFFSET('배치점수 계산기'!L$10,$D67,0)</f>
        <v>500.25799999999998</v>
      </c>
      <c r="W67" s="186" t="str">
        <f ca="1">OFFSET('배치점수 계산기'!M$10,$D67,0)</f>
        <v>표점</v>
      </c>
      <c r="X67" s="184" t="str">
        <f ca="1">OFFSET('배치점수 계산기'!N$10,$D67,0)</f>
        <v>변표</v>
      </c>
      <c r="Y67" s="188">
        <f ca="1">OFFSET(환산공식!FW$15,$F67,0)</f>
        <v>0.43</v>
      </c>
      <c r="Z67" s="20">
        <f ca="1">OFFSET(환산공식!FX$15,$F67,0)</f>
        <v>0.37</v>
      </c>
      <c r="AA67" s="179">
        <f ca="1">OFFSET(환산공식!FY$15,$F67,0)</f>
        <v>0.2</v>
      </c>
      <c r="AC67"/>
      <c r="AD67">
        <f t="shared" ca="1" si="1"/>
        <v>6</v>
      </c>
      <c r="AE67"/>
    </row>
    <row r="68" spans="1:31" s="3" customFormat="1">
      <c r="A68" s="198"/>
      <c r="B68" s="198"/>
      <c r="C68" s="198" t="s">
        <v>1520</v>
      </c>
      <c r="D68" s="195">
        <v>1054</v>
      </c>
      <c r="E68" s="195">
        <v>14</v>
      </c>
      <c r="F68" s="195">
        <v>14</v>
      </c>
      <c r="G68" s="239">
        <v>61</v>
      </c>
      <c r="H68" s="197" t="s">
        <v>79</v>
      </c>
      <c r="I68" s="242" t="s">
        <v>302</v>
      </c>
      <c r="J68" s="242" t="s">
        <v>8856</v>
      </c>
      <c r="K68" s="195" t="s">
        <v>70</v>
      </c>
      <c r="L68" s="20" t="str">
        <f ca="1">IF(OFFSET(환산공식!$ED$15,$F68,0)=1,"O","X")</f>
        <v>X</v>
      </c>
      <c r="M68" s="188">
        <f ca="1">IFERROR(OFFSET(환산공식!DJ$15,$F68,0),"")</f>
        <v>100</v>
      </c>
      <c r="N68" s="20" t="str">
        <f ca="1">IFERROR(CONCATENATE(ROUND(OFFSET(환산공식!DK$15,$F68,0),1),"%"),"")</f>
        <v>100%</v>
      </c>
      <c r="O68" s="20">
        <f ca="1">IFERROR(OFFSET(환산공식!DL$15,$F68,0),"")</f>
        <v>10</v>
      </c>
      <c r="P68" s="188" t="str">
        <f t="shared" ca="1" si="0"/>
        <v>3% 이하</v>
      </c>
      <c r="Q68" s="194">
        <f ca="1">IFERROR(ROUND(OFFSET(환산공식!$FG$15,$F68,0),3),"")</f>
        <v>0</v>
      </c>
      <c r="R68" s="194">
        <f ca="1">OFFSET('배치점수 계산기'!H$10,$D68,0)</f>
        <v>505.60300000000001</v>
      </c>
      <c r="S68" s="194">
        <f ca="1">OFFSET('배치점수 계산기'!I$10,$D68,0)</f>
        <v>505.09699999999998</v>
      </c>
      <c r="T68" s="194">
        <f ca="1">OFFSET('배치점수 계산기'!J$10,$D68,0)</f>
        <v>503.90699999999998</v>
      </c>
      <c r="U68" s="194">
        <f ca="1">OFFSET('배치점수 계산기'!K$10,$D68,0)</f>
        <v>501.97300000000001</v>
      </c>
      <c r="V68" s="194">
        <f ca="1">OFFSET('배치점수 계산기'!L$10,$D68,0)</f>
        <v>499.89800000000002</v>
      </c>
      <c r="W68" s="186" t="str">
        <f ca="1">OFFSET('배치점수 계산기'!M$10,$D68,0)</f>
        <v>표점</v>
      </c>
      <c r="X68" s="184" t="str">
        <f ca="1">OFFSET('배치점수 계산기'!N$10,$D68,0)</f>
        <v>변표</v>
      </c>
      <c r="Y68" s="188">
        <f ca="1">OFFSET(환산공식!FW$15,$F68,0)</f>
        <v>0.43</v>
      </c>
      <c r="Z68" s="20">
        <f ca="1">OFFSET(환산공식!FX$15,$F68,0)</f>
        <v>0.37</v>
      </c>
      <c r="AA68" s="179">
        <f ca="1">OFFSET(환산공식!FY$15,$F68,0)</f>
        <v>0.2</v>
      </c>
      <c r="AC68"/>
      <c r="AD68">
        <f t="shared" ca="1" si="1"/>
        <v>6</v>
      </c>
      <c r="AE68"/>
    </row>
    <row r="69" spans="1:31" s="3" customFormat="1">
      <c r="A69" s="198"/>
      <c r="B69" s="198"/>
      <c r="C69" s="198" t="s">
        <v>1521</v>
      </c>
      <c r="D69" s="195">
        <v>1055</v>
      </c>
      <c r="E69" s="195">
        <v>14</v>
      </c>
      <c r="F69" s="195">
        <v>14</v>
      </c>
      <c r="G69" s="239">
        <v>62</v>
      </c>
      <c r="H69" s="197" t="s">
        <v>79</v>
      </c>
      <c r="I69" s="242" t="s">
        <v>302</v>
      </c>
      <c r="J69" s="242" t="s">
        <v>8757</v>
      </c>
      <c r="K69" s="195" t="s">
        <v>70</v>
      </c>
      <c r="L69" s="20" t="str">
        <f ca="1">IF(OFFSET(환산공식!$ED$15,$F69,0)=1,"O","X")</f>
        <v>X</v>
      </c>
      <c r="M69" s="188">
        <f ca="1">IFERROR(OFFSET(환산공식!DJ$15,$F69,0),"")</f>
        <v>100</v>
      </c>
      <c r="N69" s="20" t="str">
        <f ca="1">IFERROR(CONCATENATE(ROUND(OFFSET(환산공식!DK$15,$F69,0),1),"%"),"")</f>
        <v>100%</v>
      </c>
      <c r="O69" s="20">
        <f ca="1">IFERROR(OFFSET(환산공식!DL$15,$F69,0),"")</f>
        <v>10</v>
      </c>
      <c r="P69" s="188" t="str">
        <f t="shared" ca="1" si="0"/>
        <v>3% 이하</v>
      </c>
      <c r="Q69" s="194">
        <f ca="1">IFERROR(ROUND(OFFSET(환산공식!$FG$15,$F69,0),3),"")</f>
        <v>0</v>
      </c>
      <c r="R69" s="194">
        <f ca="1">OFFSET('배치점수 계산기'!H$10,$D69,0)</f>
        <v>503.72899999999998</v>
      </c>
      <c r="S69" s="194">
        <f ca="1">OFFSET('배치점수 계산기'!I$10,$D69,0)</f>
        <v>503.52199999999999</v>
      </c>
      <c r="T69" s="194">
        <f ca="1">OFFSET('배치점수 계산기'!J$10,$D69,0)</f>
        <v>502.87700000000001</v>
      </c>
      <c r="U69" s="194">
        <f ca="1">OFFSET('배치점수 계산기'!K$10,$D69,0)</f>
        <v>500.928</v>
      </c>
      <c r="V69" s="194">
        <f ca="1">OFFSET('배치점수 계산기'!L$10,$D69,0)</f>
        <v>498.82</v>
      </c>
      <c r="W69" s="186" t="str">
        <f ca="1">OFFSET('배치점수 계산기'!M$10,$D69,0)</f>
        <v>표점</v>
      </c>
      <c r="X69" s="184" t="str">
        <f ca="1">OFFSET('배치점수 계산기'!N$10,$D69,0)</f>
        <v>변표</v>
      </c>
      <c r="Y69" s="188">
        <f ca="1">OFFSET(환산공식!FW$15,$F69,0)</f>
        <v>0.43</v>
      </c>
      <c r="Z69" s="20">
        <f ca="1">OFFSET(환산공식!FX$15,$F69,0)</f>
        <v>0.37</v>
      </c>
      <c r="AA69" s="179">
        <f ca="1">OFFSET(환산공식!FY$15,$F69,0)</f>
        <v>0.2</v>
      </c>
      <c r="AC69"/>
      <c r="AD69">
        <f t="shared" ca="1" si="1"/>
        <v>6</v>
      </c>
      <c r="AE69"/>
    </row>
    <row r="70" spans="1:31" s="3" customFormat="1">
      <c r="A70" s="198"/>
      <c r="B70" s="198"/>
      <c r="C70" s="198" t="s">
        <v>1522</v>
      </c>
      <c r="D70" s="195">
        <v>1056</v>
      </c>
      <c r="E70" s="195">
        <v>14</v>
      </c>
      <c r="F70" s="195">
        <v>14</v>
      </c>
      <c r="G70" s="239">
        <v>63</v>
      </c>
      <c r="H70" s="197" t="s">
        <v>79</v>
      </c>
      <c r="I70" s="242" t="s">
        <v>302</v>
      </c>
      <c r="J70" s="242" t="s">
        <v>8480</v>
      </c>
      <c r="K70" s="195" t="s">
        <v>70</v>
      </c>
      <c r="L70" s="20" t="str">
        <f ca="1">IF(OFFSET(환산공식!$ED$15,$F70,0)=1,"O","X")</f>
        <v>X</v>
      </c>
      <c r="M70" s="188">
        <f ca="1">IFERROR(OFFSET(환산공식!DJ$15,$F70,0),"")</f>
        <v>100</v>
      </c>
      <c r="N70" s="20" t="str">
        <f ca="1">IFERROR(CONCATENATE(ROUND(OFFSET(환산공식!DK$15,$F70,0),1),"%"),"")</f>
        <v>100%</v>
      </c>
      <c r="O70" s="20">
        <f ca="1">IFERROR(OFFSET(환산공식!DL$15,$F70,0),"")</f>
        <v>10</v>
      </c>
      <c r="P70" s="188" t="str">
        <f t="shared" ca="1" si="0"/>
        <v>3% 이하</v>
      </c>
      <c r="Q70" s="194">
        <f ca="1">IFERROR(ROUND(OFFSET(환산공식!$FG$15,$F70,0),3),"")</f>
        <v>0</v>
      </c>
      <c r="R70" s="194">
        <f ca="1">OFFSET('배치점수 계산기'!H$10,$D70,0)</f>
        <v>503.36700000000002</v>
      </c>
      <c r="S70" s="194">
        <f ca="1">OFFSET('배치점수 계산기'!I$10,$D70,0)</f>
        <v>502.87700000000001</v>
      </c>
      <c r="T70" s="194">
        <f ca="1">OFFSET('배치점수 계산기'!J$10,$D70,0)</f>
        <v>502.58499999999998</v>
      </c>
      <c r="U70" s="194">
        <f ca="1">OFFSET('배치점수 계산기'!K$10,$D70,0)</f>
        <v>500.56799999999998</v>
      </c>
      <c r="V70" s="194">
        <f ca="1">OFFSET('배치점수 계산기'!L$10,$D70,0)</f>
        <v>498.39800000000002</v>
      </c>
      <c r="W70" s="186" t="str">
        <f ca="1">OFFSET('배치점수 계산기'!M$10,$D70,0)</f>
        <v>표점</v>
      </c>
      <c r="X70" s="184" t="str">
        <f ca="1">OFFSET('배치점수 계산기'!N$10,$D70,0)</f>
        <v>변표</v>
      </c>
      <c r="Y70" s="188">
        <f ca="1">OFFSET(환산공식!FW$15,$F70,0)</f>
        <v>0.43</v>
      </c>
      <c r="Z70" s="20">
        <f ca="1">OFFSET(환산공식!FX$15,$F70,0)</f>
        <v>0.37</v>
      </c>
      <c r="AA70" s="179">
        <f ca="1">OFFSET(환산공식!FY$15,$F70,0)</f>
        <v>0.2</v>
      </c>
      <c r="AC70"/>
      <c r="AD70">
        <f t="shared" ca="1" si="1"/>
        <v>6</v>
      </c>
      <c r="AE70"/>
    </row>
    <row r="71" spans="1:31" s="3" customFormat="1">
      <c r="A71" s="198"/>
      <c r="B71" s="198"/>
      <c r="C71" s="198" t="s">
        <v>1523</v>
      </c>
      <c r="D71" s="195">
        <v>1057</v>
      </c>
      <c r="E71" s="195">
        <v>14</v>
      </c>
      <c r="F71" s="195">
        <v>14</v>
      </c>
      <c r="G71" s="239">
        <v>64</v>
      </c>
      <c r="H71" s="197" t="s">
        <v>79</v>
      </c>
      <c r="I71" s="242" t="s">
        <v>302</v>
      </c>
      <c r="J71" s="242" t="s">
        <v>550</v>
      </c>
      <c r="K71" s="195" t="s">
        <v>70</v>
      </c>
      <c r="L71" s="20" t="str">
        <f ca="1">IF(OFFSET(환산공식!$ED$15,$F71,0)=1,"O","X")</f>
        <v>X</v>
      </c>
      <c r="M71" s="188">
        <f ca="1">IFERROR(OFFSET(환산공식!DJ$15,$F71,0),"")</f>
        <v>100</v>
      </c>
      <c r="N71" s="20" t="str">
        <f ca="1">IFERROR(CONCATENATE(ROUND(OFFSET(환산공식!DK$15,$F71,0),1),"%"),"")</f>
        <v>100%</v>
      </c>
      <c r="O71" s="20">
        <f ca="1">IFERROR(OFFSET(환산공식!DL$15,$F71,0),"")</f>
        <v>10</v>
      </c>
      <c r="P71" s="188" t="str">
        <f t="shared" ca="1" si="0"/>
        <v>3% 이하</v>
      </c>
      <c r="Q71" s="194">
        <f ca="1">IFERROR(ROUND(OFFSET(환산공식!$FG$15,$F71,0),3),"")</f>
        <v>0</v>
      </c>
      <c r="R71" s="194">
        <f ca="1">OFFSET('배치점수 계산기'!H$10,$D71,0)</f>
        <v>502.75700000000001</v>
      </c>
      <c r="S71" s="194">
        <f ca="1">OFFSET('배치점수 계산기'!I$10,$D71,0)</f>
        <v>502.27600000000001</v>
      </c>
      <c r="T71" s="194">
        <f ca="1">OFFSET('배치점수 계산기'!J$10,$D71,0)</f>
        <v>501.65300000000002</v>
      </c>
      <c r="U71" s="194">
        <f ca="1">OFFSET('배치점수 계산기'!K$10,$D71,0)</f>
        <v>500.31799999999998</v>
      </c>
      <c r="V71" s="194">
        <f ca="1">OFFSET('배치점수 계산기'!L$10,$D71,0)</f>
        <v>498.94</v>
      </c>
      <c r="W71" s="186" t="str">
        <f ca="1">OFFSET('배치점수 계산기'!M$10,$D71,0)</f>
        <v>표점</v>
      </c>
      <c r="X71" s="184" t="str">
        <f ca="1">OFFSET('배치점수 계산기'!N$10,$D71,0)</f>
        <v>변표</v>
      </c>
      <c r="Y71" s="188">
        <f ca="1">OFFSET(환산공식!FW$15,$F71,0)</f>
        <v>0.43</v>
      </c>
      <c r="Z71" s="20">
        <f ca="1">OFFSET(환산공식!FX$15,$F71,0)</f>
        <v>0.37</v>
      </c>
      <c r="AA71" s="179">
        <f ca="1">OFFSET(환산공식!FY$15,$F71,0)</f>
        <v>0.2</v>
      </c>
      <c r="AC71"/>
      <c r="AD71">
        <f t="shared" ca="1" si="1"/>
        <v>6</v>
      </c>
      <c r="AE71"/>
    </row>
    <row r="72" spans="1:31" s="3" customFormat="1">
      <c r="A72" s="198"/>
      <c r="B72" s="198"/>
      <c r="C72" s="198" t="s">
        <v>1524</v>
      </c>
      <c r="D72" s="195">
        <v>1058</v>
      </c>
      <c r="E72" s="195">
        <v>14</v>
      </c>
      <c r="F72" s="195">
        <v>14</v>
      </c>
      <c r="G72" s="239">
        <v>65</v>
      </c>
      <c r="H72" s="197" t="s">
        <v>79</v>
      </c>
      <c r="I72" s="242" t="s">
        <v>302</v>
      </c>
      <c r="J72" s="242" t="s">
        <v>551</v>
      </c>
      <c r="K72" s="195" t="s">
        <v>70</v>
      </c>
      <c r="L72" s="20" t="str">
        <f ca="1">IF(OFFSET(환산공식!$ED$15,$F72,0)=1,"O","X")</f>
        <v>X</v>
      </c>
      <c r="M72" s="188">
        <f ca="1">IFERROR(OFFSET(환산공식!DJ$15,$F72,0),"")</f>
        <v>100</v>
      </c>
      <c r="N72" s="20" t="str">
        <f ca="1">IFERROR(CONCATENATE(ROUND(OFFSET(환산공식!DK$15,$F72,0),1),"%"),"")</f>
        <v>100%</v>
      </c>
      <c r="O72" s="20">
        <f ca="1">IFERROR(OFFSET(환산공식!DL$15,$F72,0),"")</f>
        <v>10</v>
      </c>
      <c r="P72" s="188" t="str">
        <f t="shared" ca="1" si="0"/>
        <v>3% 이하</v>
      </c>
      <c r="Q72" s="194">
        <f ca="1">IFERROR(ROUND(OFFSET(환산공식!$FG$15,$F72,0),3),"")</f>
        <v>0</v>
      </c>
      <c r="R72" s="194">
        <f ca="1">OFFSET('배치점수 계산기'!H$10,$D72,0)</f>
        <v>502.27600000000001</v>
      </c>
      <c r="S72" s="194">
        <f ca="1">OFFSET('배치점수 계산기'!I$10,$D72,0)</f>
        <v>501.476</v>
      </c>
      <c r="T72" s="194">
        <f ca="1">OFFSET('배치점수 계산기'!J$10,$D72,0)</f>
        <v>501.166</v>
      </c>
      <c r="U72" s="194">
        <f ca="1">OFFSET('배치점수 계산기'!K$10,$D72,0)</f>
        <v>499.78</v>
      </c>
      <c r="V72" s="194">
        <f ca="1">OFFSET('배치점수 계산기'!L$10,$D72,0)</f>
        <v>498.39800000000002</v>
      </c>
      <c r="W72" s="186" t="str">
        <f ca="1">OFFSET('배치점수 계산기'!M$10,$D72,0)</f>
        <v>표점</v>
      </c>
      <c r="X72" s="184" t="str">
        <f ca="1">OFFSET('배치점수 계산기'!N$10,$D72,0)</f>
        <v>변표</v>
      </c>
      <c r="Y72" s="188">
        <f ca="1">OFFSET(환산공식!FW$15,$F72,0)</f>
        <v>0.43</v>
      </c>
      <c r="Z72" s="20">
        <f ca="1">OFFSET(환산공식!FX$15,$F72,0)</f>
        <v>0.37</v>
      </c>
      <c r="AA72" s="179">
        <f ca="1">OFFSET(환산공식!FY$15,$F72,0)</f>
        <v>0.2</v>
      </c>
      <c r="AC72"/>
      <c r="AD72">
        <f t="shared" ca="1" si="1"/>
        <v>6</v>
      </c>
      <c r="AE72"/>
    </row>
    <row r="73" spans="1:31" s="3" customFormat="1">
      <c r="A73" s="198"/>
      <c r="B73" s="198"/>
      <c r="C73" s="198" t="s">
        <v>1525</v>
      </c>
      <c r="D73" s="195">
        <v>1059</v>
      </c>
      <c r="E73" s="195">
        <v>14</v>
      </c>
      <c r="F73" s="195">
        <v>14</v>
      </c>
      <c r="G73" s="239">
        <v>66</v>
      </c>
      <c r="H73" s="197" t="s">
        <v>79</v>
      </c>
      <c r="I73" s="242" t="s">
        <v>302</v>
      </c>
      <c r="J73" s="242" t="s">
        <v>555</v>
      </c>
      <c r="K73" s="195" t="s">
        <v>70</v>
      </c>
      <c r="L73" s="20" t="str">
        <f ca="1">IF(OFFSET(환산공식!$ED$15,$F73,0)=1,"O","X")</f>
        <v>X</v>
      </c>
      <c r="M73" s="188">
        <f ca="1">IFERROR(OFFSET(환산공식!DJ$15,$F73,0),"")</f>
        <v>100</v>
      </c>
      <c r="N73" s="20" t="str">
        <f ca="1">IFERROR(CONCATENATE(ROUND(OFFSET(환산공식!DK$15,$F73,0),1),"%"),"")</f>
        <v>100%</v>
      </c>
      <c r="O73" s="20">
        <f ca="1">IFERROR(OFFSET(환산공식!DL$15,$F73,0),"")</f>
        <v>10</v>
      </c>
      <c r="P73" s="188" t="str">
        <f t="shared" ref="P73:P136" ca="1" si="2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3% 이하</v>
      </c>
      <c r="Q73" s="194">
        <f ca="1">IFERROR(ROUND(OFFSET(환산공식!$FG$15,$F73,0),3),"")</f>
        <v>0</v>
      </c>
      <c r="R73" s="194">
        <f ca="1">OFFSET('배치점수 계산기'!H$10,$D73,0)</f>
        <v>502.09300000000002</v>
      </c>
      <c r="S73" s="194">
        <f ca="1">OFFSET('배치점수 계산기'!I$10,$D73,0)</f>
        <v>501.476</v>
      </c>
      <c r="T73" s="194">
        <f ca="1">OFFSET('배치점수 계산기'!J$10,$D73,0)</f>
        <v>501.048</v>
      </c>
      <c r="U73" s="194">
        <f ca="1">OFFSET('배치점수 계산기'!K$10,$D73,0)</f>
        <v>499.66</v>
      </c>
      <c r="V73" s="194">
        <f ca="1">OFFSET('배치점수 계산기'!L$10,$D73,0)</f>
        <v>498.27800000000002</v>
      </c>
      <c r="W73" s="186" t="str">
        <f ca="1">OFFSET('배치점수 계산기'!M$10,$D73,0)</f>
        <v>표점</v>
      </c>
      <c r="X73" s="184" t="str">
        <f ca="1">OFFSET('배치점수 계산기'!N$10,$D73,0)</f>
        <v>변표</v>
      </c>
      <c r="Y73" s="188">
        <f ca="1">OFFSET(환산공식!FW$15,$F73,0)</f>
        <v>0.43</v>
      </c>
      <c r="Z73" s="20">
        <f ca="1">OFFSET(환산공식!FX$15,$F73,0)</f>
        <v>0.37</v>
      </c>
      <c r="AA73" s="179">
        <f ca="1">OFFSET(환산공식!FY$15,$F73,0)</f>
        <v>0.2</v>
      </c>
      <c r="AC73"/>
      <c r="AD73">
        <f t="shared" ref="AD73:AD136" ca="1" si="3">IF(L73="X",6,IF(Q73&gt;R73,1,IF(Q73&gt;S73,2,IF(Q73&gt;T73,3,IF(Q73&gt;U73,4,IF(Q73&gt;=V73,5,IF(Q73&lt;V73,6,"")))))))</f>
        <v>6</v>
      </c>
      <c r="AE73"/>
    </row>
    <row r="74" spans="1:31" s="3" customFormat="1">
      <c r="A74" s="198"/>
      <c r="B74" s="198"/>
      <c r="C74" s="198" t="s">
        <v>1526</v>
      </c>
      <c r="D74" s="195">
        <v>1060</v>
      </c>
      <c r="E74" s="195">
        <v>14</v>
      </c>
      <c r="F74" s="195">
        <v>14</v>
      </c>
      <c r="G74" s="239">
        <v>67</v>
      </c>
      <c r="H74" s="197" t="s">
        <v>79</v>
      </c>
      <c r="I74" s="242" t="s">
        <v>302</v>
      </c>
      <c r="J74" s="242" t="s">
        <v>8538</v>
      </c>
      <c r="K74" s="195" t="s">
        <v>70</v>
      </c>
      <c r="L74" s="20" t="str">
        <f ca="1">IF(OFFSET(환산공식!$ED$15,$F74,0)=1,"O","X")</f>
        <v>X</v>
      </c>
      <c r="M74" s="188">
        <f ca="1">IFERROR(OFFSET(환산공식!DJ$15,$F74,0),"")</f>
        <v>100</v>
      </c>
      <c r="N74" s="20" t="str">
        <f ca="1">IFERROR(CONCATENATE(ROUND(OFFSET(환산공식!DK$15,$F74,0),1),"%"),"")</f>
        <v>100%</v>
      </c>
      <c r="O74" s="20">
        <f ca="1">IFERROR(OFFSET(환산공식!DL$15,$F74,0),"")</f>
        <v>10</v>
      </c>
      <c r="P74" s="188" t="str">
        <f t="shared" ca="1" si="2"/>
        <v>3% 이하</v>
      </c>
      <c r="Q74" s="194">
        <f ca="1">IFERROR(ROUND(OFFSET(환산공식!$FG$15,$F74,0),3),"")</f>
        <v>0</v>
      </c>
      <c r="R74" s="194">
        <f ca="1">OFFSET('배치점수 계산기'!H$10,$D74,0)</f>
        <v>502.09300000000002</v>
      </c>
      <c r="S74" s="194">
        <f ca="1">OFFSET('배치점수 계산기'!I$10,$D74,0)</f>
        <v>501.476</v>
      </c>
      <c r="T74" s="194">
        <f ca="1">OFFSET('배치점수 계산기'!J$10,$D74,0)</f>
        <v>501.048</v>
      </c>
      <c r="U74" s="194">
        <f ca="1">OFFSET('배치점수 계산기'!K$10,$D74,0)</f>
        <v>499.66</v>
      </c>
      <c r="V74" s="194">
        <f ca="1">OFFSET('배치점수 계산기'!L$10,$D74,0)</f>
        <v>498.27800000000002</v>
      </c>
      <c r="W74" s="186" t="str">
        <f ca="1">OFFSET('배치점수 계산기'!M$10,$D74,0)</f>
        <v>표점</v>
      </c>
      <c r="X74" s="184" t="str">
        <f ca="1">OFFSET('배치점수 계산기'!N$10,$D74,0)</f>
        <v>변표</v>
      </c>
      <c r="Y74" s="188">
        <f ca="1">OFFSET(환산공식!FW$15,$F74,0)</f>
        <v>0.43</v>
      </c>
      <c r="Z74" s="20">
        <f ca="1">OFFSET(환산공식!FX$15,$F74,0)</f>
        <v>0.37</v>
      </c>
      <c r="AA74" s="179">
        <f ca="1">OFFSET(환산공식!FY$15,$F74,0)</f>
        <v>0.2</v>
      </c>
      <c r="AC74"/>
      <c r="AD74">
        <f t="shared" ca="1" si="3"/>
        <v>6</v>
      </c>
      <c r="AE74"/>
    </row>
    <row r="75" spans="1:31" s="3" customFormat="1">
      <c r="A75" s="198"/>
      <c r="B75" s="198"/>
      <c r="C75" s="198" t="s">
        <v>1527</v>
      </c>
      <c r="D75" s="195">
        <v>1061</v>
      </c>
      <c r="E75" s="195">
        <v>14</v>
      </c>
      <c r="F75" s="195">
        <v>14</v>
      </c>
      <c r="G75" s="239">
        <v>68</v>
      </c>
      <c r="H75" s="197" t="s">
        <v>79</v>
      </c>
      <c r="I75" s="242" t="s">
        <v>302</v>
      </c>
      <c r="J75" s="242" t="s">
        <v>8815</v>
      </c>
      <c r="K75" s="195" t="s">
        <v>70</v>
      </c>
      <c r="L75" s="20" t="str">
        <f ca="1">IF(OFFSET(환산공식!$ED$15,$F75,0)=1,"O","X")</f>
        <v>X</v>
      </c>
      <c r="M75" s="188">
        <f ca="1">IFERROR(OFFSET(환산공식!DJ$15,$F75,0),"")</f>
        <v>100</v>
      </c>
      <c r="N75" s="20" t="str">
        <f ca="1">IFERROR(CONCATENATE(ROUND(OFFSET(환산공식!DK$15,$F75,0),1),"%"),"")</f>
        <v>100%</v>
      </c>
      <c r="O75" s="20">
        <f ca="1">IFERROR(OFFSET(환산공식!DL$15,$F75,0),"")</f>
        <v>10</v>
      </c>
      <c r="P75" s="188" t="str">
        <f t="shared" ca="1" si="2"/>
        <v>3% 이하</v>
      </c>
      <c r="Q75" s="194">
        <f ca="1">IFERROR(ROUND(OFFSET(환산공식!$FG$15,$F75,0),3),"")</f>
        <v>0</v>
      </c>
      <c r="R75" s="194">
        <f ca="1">OFFSET('배치점수 계산기'!H$10,$D75,0)</f>
        <v>501.97300000000001</v>
      </c>
      <c r="S75" s="194">
        <f ca="1">OFFSET('배치점수 계산기'!I$10,$D75,0)</f>
        <v>501.476</v>
      </c>
      <c r="T75" s="194">
        <f ca="1">OFFSET('배치점수 계산기'!J$10,$D75,0)</f>
        <v>501.048</v>
      </c>
      <c r="U75" s="194">
        <f ca="1">OFFSET('배치점수 계산기'!K$10,$D75,0)</f>
        <v>498.94</v>
      </c>
      <c r="V75" s="194">
        <f ca="1">OFFSET('배치점수 계산기'!L$10,$D75,0)</f>
        <v>496.82499999999999</v>
      </c>
      <c r="W75" s="186" t="str">
        <f ca="1">OFFSET('배치점수 계산기'!M$10,$D75,0)</f>
        <v>표점</v>
      </c>
      <c r="X75" s="184" t="str">
        <f ca="1">OFFSET('배치점수 계산기'!N$10,$D75,0)</f>
        <v>변표</v>
      </c>
      <c r="Y75" s="188">
        <f ca="1">OFFSET(환산공식!FW$15,$F75,0)</f>
        <v>0.43</v>
      </c>
      <c r="Z75" s="20">
        <f ca="1">OFFSET(환산공식!FX$15,$F75,0)</f>
        <v>0.37</v>
      </c>
      <c r="AA75" s="179">
        <f ca="1">OFFSET(환산공식!FY$15,$F75,0)</f>
        <v>0.2</v>
      </c>
      <c r="AC75"/>
      <c r="AD75">
        <f t="shared" ca="1" si="3"/>
        <v>6</v>
      </c>
      <c r="AE75"/>
    </row>
    <row r="76" spans="1:31" s="3" customFormat="1">
      <c r="A76" s="198"/>
      <c r="B76" s="198"/>
      <c r="C76" s="198" t="s">
        <v>1528</v>
      </c>
      <c r="D76" s="195">
        <v>1062</v>
      </c>
      <c r="E76" s="195">
        <v>15</v>
      </c>
      <c r="F76" s="195">
        <v>15</v>
      </c>
      <c r="G76" s="239">
        <v>69</v>
      </c>
      <c r="H76" s="197" t="s">
        <v>79</v>
      </c>
      <c r="I76" s="242" t="s">
        <v>302</v>
      </c>
      <c r="J76" s="242" t="s">
        <v>544</v>
      </c>
      <c r="K76" s="195" t="s">
        <v>70</v>
      </c>
      <c r="L76" s="20" t="str">
        <f ca="1">IF(OFFSET(환산공식!$ED$15,$F76,0)=1,"O","X")</f>
        <v>X</v>
      </c>
      <c r="M76" s="188">
        <f ca="1">IFERROR(OFFSET(환산공식!DJ$15,$F76,0),"")</f>
        <v>100</v>
      </c>
      <c r="N76" s="20" t="str">
        <f ca="1">IFERROR(CONCATENATE(ROUND(OFFSET(환산공식!DK$15,$F76,0),1),"%"),"")</f>
        <v>100%</v>
      </c>
      <c r="O76" s="20">
        <f ca="1">IFERROR(OFFSET(환산공식!DL$15,$F76,0),"")</f>
        <v>10</v>
      </c>
      <c r="P76" s="188" t="str">
        <f t="shared" ca="1" si="2"/>
        <v>3% 이하</v>
      </c>
      <c r="Q76" s="194">
        <f ca="1">IFERROR(ROUND(OFFSET(환산공식!$FG$15,$F76,0),3),"")</f>
        <v>0</v>
      </c>
      <c r="R76" s="194">
        <f ca="1">OFFSET('배치점수 계산기'!H$10,$D76,0)</f>
        <v>491.43599999999998</v>
      </c>
      <c r="S76" s="194">
        <f ca="1">OFFSET('배치점수 계산기'!I$10,$D76,0)</f>
        <v>490.80200000000002</v>
      </c>
      <c r="T76" s="194">
        <f ca="1">OFFSET('배치점수 계산기'!J$10,$D76,0)</f>
        <v>488.95400000000001</v>
      </c>
      <c r="U76" s="194">
        <f ca="1">OFFSET('배치점수 계산기'!K$10,$D76,0)</f>
        <v>485.06599999999997</v>
      </c>
      <c r="V76" s="194">
        <f ca="1">OFFSET('배치점수 계산기'!L$10,$D76,0)</f>
        <v>481.05799999999999</v>
      </c>
      <c r="W76" s="186" t="str">
        <f ca="1">OFFSET('배치점수 계산기'!M$10,$D76,0)</f>
        <v>표점</v>
      </c>
      <c r="X76" s="184" t="str">
        <f ca="1">OFFSET('배치점수 계산기'!N$10,$D76,0)</f>
        <v>변표</v>
      </c>
      <c r="Y76" s="188">
        <f ca="1">OFFSET(환산공식!FW$15,$F76,0)</f>
        <v>0.43</v>
      </c>
      <c r="Z76" s="20">
        <f ca="1">OFFSET(환산공식!FX$15,$F76,0)</f>
        <v>0.37</v>
      </c>
      <c r="AA76" s="179">
        <f ca="1">OFFSET(환산공식!FY$15,$F76,0)</f>
        <v>0.2</v>
      </c>
      <c r="AC76"/>
      <c r="AD76">
        <f t="shared" ca="1" si="3"/>
        <v>6</v>
      </c>
      <c r="AE76"/>
    </row>
    <row r="77" spans="1:31" s="3" customFormat="1">
      <c r="A77" s="198"/>
      <c r="B77" s="198"/>
      <c r="C77" s="198" t="s">
        <v>1529</v>
      </c>
      <c r="D77" s="195">
        <v>1063</v>
      </c>
      <c r="E77" s="195">
        <v>15</v>
      </c>
      <c r="F77" s="195">
        <v>15</v>
      </c>
      <c r="G77" s="239">
        <v>70</v>
      </c>
      <c r="H77" s="197" t="s">
        <v>79</v>
      </c>
      <c r="I77" s="242" t="s">
        <v>302</v>
      </c>
      <c r="J77" s="242" t="s">
        <v>10410</v>
      </c>
      <c r="K77" s="195" t="s">
        <v>70</v>
      </c>
      <c r="L77" s="20" t="str">
        <f ca="1">IF(OFFSET(환산공식!$ED$15,$F77,0)=1,"O","X")</f>
        <v>X</v>
      </c>
      <c r="M77" s="188">
        <f ca="1">IFERROR(OFFSET(환산공식!DJ$15,$F77,0),"")</f>
        <v>100</v>
      </c>
      <c r="N77" s="20" t="str">
        <f ca="1">IFERROR(CONCATENATE(ROUND(OFFSET(환산공식!DK$15,$F77,0),1),"%"),"")</f>
        <v>100%</v>
      </c>
      <c r="O77" s="20">
        <f ca="1">IFERROR(OFFSET(환산공식!DL$15,$F77,0),"")</f>
        <v>10</v>
      </c>
      <c r="P77" s="188" t="str">
        <f t="shared" ca="1" si="2"/>
        <v>3% 이하</v>
      </c>
      <c r="Q77" s="194">
        <f ca="1">IFERROR(ROUND(OFFSET(환산공식!$FG$15,$F77,0),3),"")</f>
        <v>0</v>
      </c>
      <c r="R77" s="194">
        <f ca="1">OFFSET('배치점수 계산기'!H$10,$D77,0)</f>
        <v>486.983</v>
      </c>
      <c r="S77" s="194">
        <f ca="1">OFFSET('배치점수 계산기'!I$10,$D77,0)</f>
        <v>484.38</v>
      </c>
      <c r="T77" s="194">
        <f ca="1">OFFSET('배치점수 계산기'!J$10,$D77,0)</f>
        <v>481.75799999999998</v>
      </c>
      <c r="U77" s="194">
        <f ca="1">OFFSET('배치점수 계산기'!K$10,$D77,0)</f>
        <v>477.39699999999999</v>
      </c>
      <c r="V77" s="194">
        <f ca="1">OFFSET('배치점수 계산기'!L$10,$D77,0)</f>
        <v>472.726</v>
      </c>
      <c r="W77" s="186" t="str">
        <f ca="1">OFFSET('배치점수 계산기'!M$10,$D77,0)</f>
        <v>표점</v>
      </c>
      <c r="X77" s="184" t="str">
        <f ca="1">OFFSET('배치점수 계산기'!N$10,$D77,0)</f>
        <v>변표</v>
      </c>
      <c r="Y77" s="188">
        <f ca="1">OFFSET(환산공식!FW$15,$F77,0)</f>
        <v>0.43</v>
      </c>
      <c r="Z77" s="20">
        <f ca="1">OFFSET(환산공식!FX$15,$F77,0)</f>
        <v>0.37</v>
      </c>
      <c r="AA77" s="179">
        <f ca="1">OFFSET(환산공식!FY$15,$F77,0)</f>
        <v>0.2</v>
      </c>
      <c r="AC77"/>
      <c r="AD77">
        <f t="shared" ca="1" si="3"/>
        <v>6</v>
      </c>
      <c r="AE77"/>
    </row>
    <row r="78" spans="1:31" s="3" customFormat="1">
      <c r="A78" s="198"/>
      <c r="B78" s="198"/>
      <c r="C78" s="198" t="s">
        <v>1530</v>
      </c>
      <c r="D78" s="195">
        <v>1064</v>
      </c>
      <c r="E78" s="195">
        <v>14</v>
      </c>
      <c r="F78" s="195">
        <v>14</v>
      </c>
      <c r="G78" s="239">
        <v>71</v>
      </c>
      <c r="H78" s="197" t="s">
        <v>79</v>
      </c>
      <c r="I78" s="242" t="s">
        <v>302</v>
      </c>
      <c r="J78" s="242" t="s">
        <v>8659</v>
      </c>
      <c r="K78" s="195" t="s">
        <v>71</v>
      </c>
      <c r="L78" s="20" t="str">
        <f ca="1">IF(OFFSET(환산공식!$ED$15,$F78,0)=1,"O","X")</f>
        <v>X</v>
      </c>
      <c r="M78" s="188">
        <f ca="1">IFERROR(OFFSET(환산공식!DJ$15,$F78,0),"")</f>
        <v>100</v>
      </c>
      <c r="N78" s="20" t="str">
        <f ca="1">IFERROR(CONCATENATE(ROUND(OFFSET(환산공식!DK$15,$F78,0),1),"%"),"")</f>
        <v>100%</v>
      </c>
      <c r="O78" s="20">
        <f ca="1">IFERROR(OFFSET(환산공식!DL$15,$F78,0),"")</f>
        <v>10</v>
      </c>
      <c r="P78" s="188" t="str">
        <f t="shared" ca="1" si="2"/>
        <v>3% 이하</v>
      </c>
      <c r="Q78" s="194">
        <f ca="1">IFERROR(ROUND(OFFSET(환산공식!$FG$15,$F78,0),3),"")</f>
        <v>0</v>
      </c>
      <c r="R78" s="194">
        <f ca="1">OFFSET('배치점수 계산기'!H$10,$D78,0)</f>
        <v>503.36700000000002</v>
      </c>
      <c r="S78" s="194">
        <f ca="1">OFFSET('배치점수 계산기'!I$10,$D78,0)</f>
        <v>502.75700000000001</v>
      </c>
      <c r="T78" s="194">
        <f ca="1">OFFSET('배치점수 계산기'!J$10,$D78,0)</f>
        <v>501.97300000000001</v>
      </c>
      <c r="U78" s="194">
        <f ca="1">OFFSET('배치점수 계산기'!K$10,$D78,0)</f>
        <v>501.166</v>
      </c>
      <c r="V78" s="194">
        <f ca="1">OFFSET('배치점수 계산기'!L$10,$D78,0)</f>
        <v>499.42</v>
      </c>
      <c r="W78" s="186" t="str">
        <f ca="1">OFFSET('배치점수 계산기'!M$10,$D78,0)</f>
        <v>표점</v>
      </c>
      <c r="X78" s="184" t="str">
        <f ca="1">OFFSET('배치점수 계산기'!N$10,$D78,0)</f>
        <v>변표</v>
      </c>
      <c r="Y78" s="188">
        <f ca="1">OFFSET(환산공식!FW$15,$F78,0)</f>
        <v>0.43</v>
      </c>
      <c r="Z78" s="20">
        <f ca="1">OFFSET(환산공식!FX$15,$F78,0)</f>
        <v>0.37</v>
      </c>
      <c r="AA78" s="179">
        <f ca="1">OFFSET(환산공식!FY$15,$F78,0)</f>
        <v>0.2</v>
      </c>
      <c r="AC78"/>
      <c r="AD78">
        <f t="shared" ca="1" si="3"/>
        <v>6</v>
      </c>
      <c r="AE78"/>
    </row>
    <row r="79" spans="1:31" s="3" customFormat="1">
      <c r="A79" s="198"/>
      <c r="B79" s="198"/>
      <c r="C79" s="198" t="s">
        <v>1531</v>
      </c>
      <c r="D79" s="195">
        <v>1065</v>
      </c>
      <c r="E79" s="195">
        <v>14</v>
      </c>
      <c r="F79" s="195">
        <v>14</v>
      </c>
      <c r="G79" s="239">
        <v>72</v>
      </c>
      <c r="H79" s="197" t="s">
        <v>79</v>
      </c>
      <c r="I79" s="242" t="s">
        <v>302</v>
      </c>
      <c r="J79" s="242" t="s">
        <v>489</v>
      </c>
      <c r="K79" s="195" t="s">
        <v>71</v>
      </c>
      <c r="L79" s="20" t="str">
        <f ca="1">IF(OFFSET(환산공식!$ED$15,$F79,0)=1,"O","X")</f>
        <v>X</v>
      </c>
      <c r="M79" s="188">
        <f ca="1">IFERROR(OFFSET(환산공식!DJ$15,$F79,0),"")</f>
        <v>100</v>
      </c>
      <c r="N79" s="20" t="str">
        <f ca="1">IFERROR(CONCATENATE(ROUND(OFFSET(환산공식!DK$15,$F79,0),1),"%"),"")</f>
        <v>100%</v>
      </c>
      <c r="O79" s="20">
        <f ca="1">IFERROR(OFFSET(환산공식!DL$15,$F79,0),"")</f>
        <v>10</v>
      </c>
      <c r="P79" s="188" t="str">
        <f t="shared" ca="1" si="2"/>
        <v>3% 이하</v>
      </c>
      <c r="Q79" s="194">
        <f ca="1">IFERROR(ROUND(OFFSET(환산공식!$FG$15,$F79,0),3),"")</f>
        <v>0</v>
      </c>
      <c r="R79" s="194">
        <f ca="1">OFFSET('배치점수 계산기'!H$10,$D79,0)</f>
        <v>503.24700000000001</v>
      </c>
      <c r="S79" s="194">
        <f ca="1">OFFSET('배치점수 계산기'!I$10,$D79,0)</f>
        <v>502.637</v>
      </c>
      <c r="T79" s="194">
        <f ca="1">OFFSET('배치점수 계산기'!J$10,$D79,0)</f>
        <v>501.733</v>
      </c>
      <c r="U79" s="194">
        <f ca="1">OFFSET('배치점수 계산기'!K$10,$D79,0)</f>
        <v>501.048</v>
      </c>
      <c r="V79" s="194">
        <f ca="1">OFFSET('배치점수 계산기'!L$10,$D79,0)</f>
        <v>499.35300000000001</v>
      </c>
      <c r="W79" s="186" t="str">
        <f ca="1">OFFSET('배치점수 계산기'!M$10,$D79,0)</f>
        <v>표점</v>
      </c>
      <c r="X79" s="184" t="str">
        <f ca="1">OFFSET('배치점수 계산기'!N$10,$D79,0)</f>
        <v>변표</v>
      </c>
      <c r="Y79" s="188">
        <f ca="1">OFFSET(환산공식!FW$15,$F79,0)</f>
        <v>0.43</v>
      </c>
      <c r="Z79" s="20">
        <f ca="1">OFFSET(환산공식!FX$15,$F79,0)</f>
        <v>0.37</v>
      </c>
      <c r="AA79" s="179">
        <f ca="1">OFFSET(환산공식!FY$15,$F79,0)</f>
        <v>0.2</v>
      </c>
      <c r="AC79"/>
      <c r="AD79">
        <f t="shared" ca="1" si="3"/>
        <v>6</v>
      </c>
      <c r="AE79"/>
    </row>
    <row r="80" spans="1:31" s="3" customFormat="1">
      <c r="A80" s="198"/>
      <c r="B80" s="198"/>
      <c r="C80" s="198" t="s">
        <v>1532</v>
      </c>
      <c r="D80" s="195">
        <v>1066</v>
      </c>
      <c r="E80" s="195">
        <v>14</v>
      </c>
      <c r="F80" s="195">
        <v>14</v>
      </c>
      <c r="G80" s="239">
        <v>73</v>
      </c>
      <c r="H80" s="197" t="s">
        <v>79</v>
      </c>
      <c r="I80" s="242" t="s">
        <v>302</v>
      </c>
      <c r="J80" s="242" t="s">
        <v>8874</v>
      </c>
      <c r="K80" s="195" t="s">
        <v>71</v>
      </c>
      <c r="L80" s="20" t="str">
        <f ca="1">IF(OFFSET(환산공식!$ED$15,$F80,0)=1,"O","X")</f>
        <v>X</v>
      </c>
      <c r="M80" s="188">
        <f ca="1">IFERROR(OFFSET(환산공식!DJ$15,$F80,0),"")</f>
        <v>100</v>
      </c>
      <c r="N80" s="20" t="str">
        <f ca="1">IFERROR(CONCATENATE(ROUND(OFFSET(환산공식!DK$15,$F80,0),1),"%"),"")</f>
        <v>100%</v>
      </c>
      <c r="O80" s="20">
        <f ca="1">IFERROR(OFFSET(환산공식!DL$15,$F80,0),"")</f>
        <v>10</v>
      </c>
      <c r="P80" s="188" t="str">
        <f t="shared" ca="1" si="2"/>
        <v>3% 이하</v>
      </c>
      <c r="Q80" s="194">
        <f ca="1">IFERROR(ROUND(OFFSET(환산공식!$FG$15,$F80,0),3),"")</f>
        <v>0</v>
      </c>
      <c r="R80" s="194">
        <f ca="1">OFFSET('배치점수 계산기'!H$10,$D80,0)</f>
        <v>501.65300000000002</v>
      </c>
      <c r="S80" s="194">
        <f ca="1">OFFSET('배치점수 계산기'!I$10,$D80,0)</f>
        <v>501.36700000000002</v>
      </c>
      <c r="T80" s="194">
        <f ca="1">OFFSET('배치점수 계산기'!J$10,$D80,0)</f>
        <v>500.928</v>
      </c>
      <c r="U80" s="194">
        <f ca="1">OFFSET('배치점수 계산기'!K$10,$D80,0)</f>
        <v>500.01799999999997</v>
      </c>
      <c r="V80" s="194">
        <f ca="1">OFFSET('배치점수 계산기'!L$10,$D80,0)</f>
        <v>498.39800000000002</v>
      </c>
      <c r="W80" s="186" t="str">
        <f ca="1">OFFSET('배치점수 계산기'!M$10,$D80,0)</f>
        <v>표점</v>
      </c>
      <c r="X80" s="184" t="str">
        <f ca="1">OFFSET('배치점수 계산기'!N$10,$D80,0)</f>
        <v>변표</v>
      </c>
      <c r="Y80" s="188">
        <f ca="1">OFFSET(환산공식!FW$15,$F80,0)</f>
        <v>0.43</v>
      </c>
      <c r="Z80" s="20">
        <f ca="1">OFFSET(환산공식!FX$15,$F80,0)</f>
        <v>0.37</v>
      </c>
      <c r="AA80" s="179">
        <f ca="1">OFFSET(환산공식!FY$15,$F80,0)</f>
        <v>0.2</v>
      </c>
      <c r="AC80"/>
      <c r="AD80">
        <f t="shared" ca="1" si="3"/>
        <v>6</v>
      </c>
      <c r="AE80"/>
    </row>
    <row r="81" spans="1:31" s="3" customFormat="1">
      <c r="A81" s="198"/>
      <c r="B81" s="198"/>
      <c r="C81" s="198" t="s">
        <v>1533</v>
      </c>
      <c r="D81" s="195">
        <v>1067</v>
      </c>
      <c r="E81" s="195">
        <v>14</v>
      </c>
      <c r="F81" s="195">
        <v>14</v>
      </c>
      <c r="G81" s="239">
        <v>74</v>
      </c>
      <c r="H81" s="197" t="s">
        <v>79</v>
      </c>
      <c r="I81" s="242" t="s">
        <v>302</v>
      </c>
      <c r="J81" s="242" t="s">
        <v>8902</v>
      </c>
      <c r="K81" s="195" t="s">
        <v>71</v>
      </c>
      <c r="L81" s="20" t="str">
        <f ca="1">IF(OFFSET(환산공식!$ED$15,$F81,0)=1,"O","X")</f>
        <v>X</v>
      </c>
      <c r="M81" s="188">
        <f ca="1">IFERROR(OFFSET(환산공식!DJ$15,$F81,0),"")</f>
        <v>100</v>
      </c>
      <c r="N81" s="20" t="str">
        <f ca="1">IFERROR(CONCATENATE(ROUND(OFFSET(환산공식!DK$15,$F81,0),1),"%"),"")</f>
        <v>100%</v>
      </c>
      <c r="O81" s="20">
        <f ca="1">IFERROR(OFFSET(환산공식!DL$15,$F81,0),"")</f>
        <v>10</v>
      </c>
      <c r="P81" s="188" t="str">
        <f t="shared" ca="1" si="2"/>
        <v>3% 이하</v>
      </c>
      <c r="Q81" s="194">
        <f ca="1">IFERROR(ROUND(OFFSET(환산공식!$FG$15,$F81,0),3),"")</f>
        <v>0</v>
      </c>
      <c r="R81" s="194">
        <f ca="1">OFFSET('배치점수 계산기'!H$10,$D81,0)</f>
        <v>502.39600000000002</v>
      </c>
      <c r="S81" s="194">
        <f ca="1">OFFSET('배치점수 계산기'!I$10,$D81,0)</f>
        <v>501.048</v>
      </c>
      <c r="T81" s="194">
        <f ca="1">OFFSET('배치점수 계산기'!J$10,$D81,0)</f>
        <v>500.31799999999998</v>
      </c>
      <c r="U81" s="194">
        <f ca="1">OFFSET('배치점수 계산기'!K$10,$D81,0)</f>
        <v>499.42</v>
      </c>
      <c r="V81" s="194">
        <f ca="1">OFFSET('배치점수 계산기'!L$10,$D81,0)</f>
        <v>497.93400000000003</v>
      </c>
      <c r="W81" s="186" t="str">
        <f ca="1">OFFSET('배치점수 계산기'!M$10,$D81,0)</f>
        <v>표점</v>
      </c>
      <c r="X81" s="184" t="str">
        <f ca="1">OFFSET('배치점수 계산기'!N$10,$D81,0)</f>
        <v>변표</v>
      </c>
      <c r="Y81" s="188">
        <f ca="1">OFFSET(환산공식!FW$15,$F81,0)</f>
        <v>0.43</v>
      </c>
      <c r="Z81" s="20">
        <f ca="1">OFFSET(환산공식!FX$15,$F81,0)</f>
        <v>0.37</v>
      </c>
      <c r="AA81" s="179">
        <f ca="1">OFFSET(환산공식!FY$15,$F81,0)</f>
        <v>0.2</v>
      </c>
      <c r="AC81"/>
      <c r="AD81">
        <f t="shared" ca="1" si="3"/>
        <v>6</v>
      </c>
      <c r="AE81"/>
    </row>
    <row r="82" spans="1:31" s="3" customFormat="1">
      <c r="A82" s="198"/>
      <c r="B82" s="198"/>
      <c r="C82" s="198" t="s">
        <v>1534</v>
      </c>
      <c r="D82" s="195">
        <v>1068</v>
      </c>
      <c r="E82" s="195">
        <v>14</v>
      </c>
      <c r="F82" s="195">
        <v>14</v>
      </c>
      <c r="G82" s="239">
        <v>75</v>
      </c>
      <c r="H82" s="197" t="s">
        <v>79</v>
      </c>
      <c r="I82" s="242" t="s">
        <v>302</v>
      </c>
      <c r="J82" s="242" t="s">
        <v>8900</v>
      </c>
      <c r="K82" s="195" t="s">
        <v>71</v>
      </c>
      <c r="L82" s="20" t="str">
        <f ca="1">IF(OFFSET(환산공식!$ED$15,$F82,0)=1,"O","X")</f>
        <v>X</v>
      </c>
      <c r="M82" s="188">
        <f ca="1">IFERROR(OFFSET(환산공식!DJ$15,$F82,0),"")</f>
        <v>100</v>
      </c>
      <c r="N82" s="20" t="str">
        <f ca="1">IFERROR(CONCATENATE(ROUND(OFFSET(환산공식!DK$15,$F82,0),1),"%"),"")</f>
        <v>100%</v>
      </c>
      <c r="O82" s="20">
        <f ca="1">IFERROR(OFFSET(환산공식!DL$15,$F82,0),"")</f>
        <v>10</v>
      </c>
      <c r="P82" s="188" t="str">
        <f t="shared" ca="1" si="2"/>
        <v>3% 이하</v>
      </c>
      <c r="Q82" s="194">
        <f ca="1">IFERROR(ROUND(OFFSET(환산공식!$FG$15,$F82,0),3),"")</f>
        <v>0</v>
      </c>
      <c r="R82" s="194">
        <f ca="1">OFFSET('배치점수 계산기'!H$10,$D82,0)</f>
        <v>502.39600000000002</v>
      </c>
      <c r="S82" s="194">
        <f ca="1">OFFSET('배치점수 계산기'!I$10,$D82,0)</f>
        <v>501.048</v>
      </c>
      <c r="T82" s="194">
        <f ca="1">OFFSET('배치점수 계산기'!J$10,$D82,0)</f>
        <v>500.31799999999998</v>
      </c>
      <c r="U82" s="194">
        <f ca="1">OFFSET('배치점수 계산기'!K$10,$D82,0)</f>
        <v>499.66</v>
      </c>
      <c r="V82" s="194">
        <f ca="1">OFFSET('배치점수 계산기'!L$10,$D82,0)</f>
        <v>498.39800000000002</v>
      </c>
      <c r="W82" s="186" t="str">
        <f ca="1">OFFSET('배치점수 계산기'!M$10,$D82,0)</f>
        <v>표점</v>
      </c>
      <c r="X82" s="184" t="str">
        <f ca="1">OFFSET('배치점수 계산기'!N$10,$D82,0)</f>
        <v>변표</v>
      </c>
      <c r="Y82" s="188">
        <f ca="1">OFFSET(환산공식!FW$15,$F82,0)</f>
        <v>0.43</v>
      </c>
      <c r="Z82" s="20">
        <f ca="1">OFFSET(환산공식!FX$15,$F82,0)</f>
        <v>0.37</v>
      </c>
      <c r="AA82" s="179">
        <f ca="1">OFFSET(환산공식!FY$15,$F82,0)</f>
        <v>0.2</v>
      </c>
      <c r="AC82"/>
      <c r="AD82">
        <f t="shared" ca="1" si="3"/>
        <v>6</v>
      </c>
      <c r="AE82"/>
    </row>
    <row r="83" spans="1:31" s="3" customFormat="1">
      <c r="A83" s="198"/>
      <c r="B83" s="198"/>
      <c r="C83" s="198" t="s">
        <v>1535</v>
      </c>
      <c r="D83" s="195">
        <v>1069</v>
      </c>
      <c r="E83" s="195">
        <v>14</v>
      </c>
      <c r="F83" s="195">
        <v>14</v>
      </c>
      <c r="G83" s="239">
        <v>76</v>
      </c>
      <c r="H83" s="197" t="s">
        <v>79</v>
      </c>
      <c r="I83" s="242" t="s">
        <v>302</v>
      </c>
      <c r="J83" s="242" t="s">
        <v>16674</v>
      </c>
      <c r="K83" s="195" t="s">
        <v>71</v>
      </c>
      <c r="L83" s="20" t="str">
        <f ca="1">IF(OFFSET(환산공식!$ED$15,$F83,0)=1,"O","X")</f>
        <v>X</v>
      </c>
      <c r="M83" s="188">
        <f ca="1">IFERROR(OFFSET(환산공식!DJ$15,$F83,0),"")</f>
        <v>100</v>
      </c>
      <c r="N83" s="20" t="str">
        <f ca="1">IFERROR(CONCATENATE(ROUND(OFFSET(환산공식!DK$15,$F83,0),1),"%"),"")</f>
        <v>100%</v>
      </c>
      <c r="O83" s="20">
        <f ca="1">IFERROR(OFFSET(환산공식!DL$15,$F83,0),"")</f>
        <v>10</v>
      </c>
      <c r="P83" s="188" t="str">
        <f t="shared" ca="1" si="2"/>
        <v>3% 이하</v>
      </c>
      <c r="Q83" s="194">
        <f ca="1">IFERROR(ROUND(OFFSET(환산공식!$FG$15,$F83,0),3),"")</f>
        <v>0</v>
      </c>
      <c r="R83" s="194">
        <f ca="1">OFFSET('배치점수 계산기'!H$10,$D83,0)</f>
        <v>502.39600000000002</v>
      </c>
      <c r="S83" s="194">
        <f ca="1">OFFSET('배치점수 계산기'!I$10,$D83,0)</f>
        <v>501.048</v>
      </c>
      <c r="T83" s="194">
        <f ca="1">OFFSET('배치점수 계산기'!J$10,$D83,0)</f>
        <v>500.31799999999998</v>
      </c>
      <c r="U83" s="194">
        <f ca="1">OFFSET('배치점수 계산기'!K$10,$D83,0)</f>
        <v>499.66</v>
      </c>
      <c r="V83" s="194">
        <f ca="1">OFFSET('배치점수 계산기'!L$10,$D83,0)</f>
        <v>498.39800000000002</v>
      </c>
      <c r="W83" s="186" t="str">
        <f ca="1">OFFSET('배치점수 계산기'!M$10,$D83,0)</f>
        <v>표점</v>
      </c>
      <c r="X83" s="184" t="str">
        <f ca="1">OFFSET('배치점수 계산기'!N$10,$D83,0)</f>
        <v>변표</v>
      </c>
      <c r="Y83" s="188">
        <f ca="1">OFFSET(환산공식!FW$15,$F83,0)</f>
        <v>0.43</v>
      </c>
      <c r="Z83" s="20">
        <f ca="1">OFFSET(환산공식!FX$15,$F83,0)</f>
        <v>0.37</v>
      </c>
      <c r="AA83" s="179">
        <f ca="1">OFFSET(환산공식!FY$15,$F83,0)</f>
        <v>0.2</v>
      </c>
      <c r="AC83"/>
      <c r="AD83">
        <f t="shared" ca="1" si="3"/>
        <v>6</v>
      </c>
      <c r="AE83"/>
    </row>
    <row r="84" spans="1:31" s="3" customFormat="1">
      <c r="A84" s="198"/>
      <c r="B84" s="198"/>
      <c r="C84" s="198" t="s">
        <v>1536</v>
      </c>
      <c r="D84" s="195">
        <v>1070</v>
      </c>
      <c r="E84" s="195">
        <v>14</v>
      </c>
      <c r="F84" s="195">
        <v>14</v>
      </c>
      <c r="G84" s="239">
        <v>77</v>
      </c>
      <c r="H84" s="197" t="s">
        <v>79</v>
      </c>
      <c r="I84" s="242" t="s">
        <v>302</v>
      </c>
      <c r="J84" s="242" t="s">
        <v>8912</v>
      </c>
      <c r="K84" s="195" t="s">
        <v>71</v>
      </c>
      <c r="L84" s="20" t="str">
        <f ca="1">IF(OFFSET(환산공식!$ED$15,$F84,0)=1,"O","X")</f>
        <v>X</v>
      </c>
      <c r="M84" s="188">
        <f ca="1">IFERROR(OFFSET(환산공식!DJ$15,$F84,0),"")</f>
        <v>100</v>
      </c>
      <c r="N84" s="20" t="str">
        <f ca="1">IFERROR(CONCATENATE(ROUND(OFFSET(환산공식!DK$15,$F84,0),1),"%"),"")</f>
        <v>100%</v>
      </c>
      <c r="O84" s="20">
        <f ca="1">IFERROR(OFFSET(환산공식!DL$15,$F84,0),"")</f>
        <v>10</v>
      </c>
      <c r="P84" s="188" t="str">
        <f t="shared" ca="1" si="2"/>
        <v>3% 이하</v>
      </c>
      <c r="Q84" s="194">
        <f ca="1">IFERROR(ROUND(OFFSET(환산공식!$FG$15,$F84,0),3),"")</f>
        <v>0</v>
      </c>
      <c r="R84" s="194">
        <f ca="1">OFFSET('배치점수 계산기'!H$10,$D84,0)</f>
        <v>501.476</v>
      </c>
      <c r="S84" s="194">
        <f ca="1">OFFSET('배치점수 계산기'!I$10,$D84,0)</f>
        <v>500.928</v>
      </c>
      <c r="T84" s="194">
        <f ca="1">OFFSET('배치점수 계산기'!J$10,$D84,0)</f>
        <v>500.01799999999997</v>
      </c>
      <c r="U84" s="194">
        <f ca="1">OFFSET('배치점수 계산기'!K$10,$D84,0)</f>
        <v>499.113</v>
      </c>
      <c r="V84" s="194">
        <f ca="1">OFFSET('배치점수 계산기'!L$10,$D84,0)</f>
        <v>497.68400000000003</v>
      </c>
      <c r="W84" s="186" t="str">
        <f ca="1">OFFSET('배치점수 계산기'!M$10,$D84,0)</f>
        <v>표점</v>
      </c>
      <c r="X84" s="184" t="str">
        <f ca="1">OFFSET('배치점수 계산기'!N$10,$D84,0)</f>
        <v>변표</v>
      </c>
      <c r="Y84" s="188">
        <f ca="1">OFFSET(환산공식!FW$15,$F84,0)</f>
        <v>0.43</v>
      </c>
      <c r="Z84" s="20">
        <f ca="1">OFFSET(환산공식!FX$15,$F84,0)</f>
        <v>0.37</v>
      </c>
      <c r="AA84" s="179">
        <f ca="1">OFFSET(환산공식!FY$15,$F84,0)</f>
        <v>0.2</v>
      </c>
      <c r="AC84"/>
      <c r="AD84">
        <f t="shared" ca="1" si="3"/>
        <v>6</v>
      </c>
      <c r="AE84"/>
    </row>
    <row r="85" spans="1:31" s="3" customFormat="1">
      <c r="A85" s="198"/>
      <c r="B85" s="198"/>
      <c r="C85" s="198" t="s">
        <v>1537</v>
      </c>
      <c r="D85" s="195">
        <v>1071</v>
      </c>
      <c r="E85" s="195">
        <v>14</v>
      </c>
      <c r="F85" s="195">
        <v>14</v>
      </c>
      <c r="G85" s="239">
        <v>78</v>
      </c>
      <c r="H85" s="197" t="s">
        <v>79</v>
      </c>
      <c r="I85" s="242" t="s">
        <v>302</v>
      </c>
      <c r="J85" s="242" t="s">
        <v>8889</v>
      </c>
      <c r="K85" s="195" t="s">
        <v>71</v>
      </c>
      <c r="L85" s="20" t="str">
        <f ca="1">IF(OFFSET(환산공식!$ED$15,$F85,0)=1,"O","X")</f>
        <v>X</v>
      </c>
      <c r="M85" s="188">
        <f ca="1">IFERROR(OFFSET(환산공식!DJ$15,$F85,0),"")</f>
        <v>100</v>
      </c>
      <c r="N85" s="20" t="str">
        <f ca="1">IFERROR(CONCATENATE(ROUND(OFFSET(환산공식!DK$15,$F85,0),1),"%"),"")</f>
        <v>100%</v>
      </c>
      <c r="O85" s="20">
        <f ca="1">IFERROR(OFFSET(환산공식!DL$15,$F85,0),"")</f>
        <v>10</v>
      </c>
      <c r="P85" s="188" t="str">
        <f t="shared" ca="1" si="2"/>
        <v>3% 이하</v>
      </c>
      <c r="Q85" s="194">
        <f ca="1">IFERROR(ROUND(OFFSET(환산공식!$FG$15,$F85,0),3),"")</f>
        <v>0</v>
      </c>
      <c r="R85" s="194">
        <f ca="1">OFFSET('배치점수 계산기'!H$10,$D85,0)</f>
        <v>501.97300000000001</v>
      </c>
      <c r="S85" s="194">
        <f ca="1">OFFSET('배치점수 계산기'!I$10,$D85,0)</f>
        <v>501.35599999999999</v>
      </c>
      <c r="T85" s="194">
        <f ca="1">OFFSET('배치점수 계산기'!J$10,$D85,0)</f>
        <v>500.01799999999997</v>
      </c>
      <c r="U85" s="194">
        <f ca="1">OFFSET('배치점수 계산기'!K$10,$D85,0)</f>
        <v>499.113</v>
      </c>
      <c r="V85" s="194">
        <f ca="1">OFFSET('배치점수 계산기'!L$10,$D85,0)</f>
        <v>497.68400000000003</v>
      </c>
      <c r="W85" s="186" t="str">
        <f ca="1">OFFSET('배치점수 계산기'!M$10,$D85,0)</f>
        <v>표점</v>
      </c>
      <c r="X85" s="184" t="str">
        <f ca="1">OFFSET('배치점수 계산기'!N$10,$D85,0)</f>
        <v>변표</v>
      </c>
      <c r="Y85" s="188">
        <f ca="1">OFFSET(환산공식!FW$15,$F85,0)</f>
        <v>0.43</v>
      </c>
      <c r="Z85" s="20">
        <f ca="1">OFFSET(환산공식!FX$15,$F85,0)</f>
        <v>0.37</v>
      </c>
      <c r="AA85" s="179">
        <f ca="1">OFFSET(환산공식!FY$15,$F85,0)</f>
        <v>0.2</v>
      </c>
      <c r="AC85"/>
      <c r="AD85">
        <f t="shared" ca="1" si="3"/>
        <v>6</v>
      </c>
      <c r="AE85"/>
    </row>
    <row r="86" spans="1:31" s="3" customFormat="1">
      <c r="A86" s="198"/>
      <c r="B86" s="198"/>
      <c r="C86" s="198" t="s">
        <v>1538</v>
      </c>
      <c r="D86" s="195">
        <v>1072</v>
      </c>
      <c r="E86" s="195">
        <v>14</v>
      </c>
      <c r="F86" s="195">
        <v>14</v>
      </c>
      <c r="G86" s="239">
        <v>79</v>
      </c>
      <c r="H86" s="197" t="s">
        <v>79</v>
      </c>
      <c r="I86" s="242" t="s">
        <v>302</v>
      </c>
      <c r="J86" s="242" t="s">
        <v>8947</v>
      </c>
      <c r="K86" s="195" t="s">
        <v>71</v>
      </c>
      <c r="L86" s="20" t="str">
        <f ca="1">IF(OFFSET(환산공식!$ED$15,$F86,0)=1,"O","X")</f>
        <v>X</v>
      </c>
      <c r="M86" s="188">
        <f ca="1">IFERROR(OFFSET(환산공식!DJ$15,$F86,0),"")</f>
        <v>100</v>
      </c>
      <c r="N86" s="20" t="str">
        <f ca="1">IFERROR(CONCATENATE(ROUND(OFFSET(환산공식!DK$15,$F86,0),1),"%"),"")</f>
        <v>100%</v>
      </c>
      <c r="O86" s="20">
        <f ca="1">IFERROR(OFFSET(환산공식!DL$15,$F86,0),"")</f>
        <v>10</v>
      </c>
      <c r="P86" s="188" t="str">
        <f t="shared" ca="1" si="2"/>
        <v>3% 이하</v>
      </c>
      <c r="Q86" s="194">
        <f ca="1">IFERROR(ROUND(OFFSET(환산공식!$FG$15,$F86,0),3),"")</f>
        <v>0</v>
      </c>
      <c r="R86" s="194">
        <f ca="1">OFFSET('배치점수 계산기'!H$10,$D86,0)</f>
        <v>500.68799999999999</v>
      </c>
      <c r="S86" s="194">
        <f ca="1">OFFSET('배치점수 계산기'!I$10,$D86,0)</f>
        <v>499.89800000000002</v>
      </c>
      <c r="T86" s="194">
        <f ca="1">OFFSET('배치점수 계산기'!J$10,$D86,0)</f>
        <v>499.113</v>
      </c>
      <c r="U86" s="194">
        <f ca="1">OFFSET('배치점수 계산기'!K$10,$D86,0)</f>
        <v>498.39800000000002</v>
      </c>
      <c r="V86" s="194">
        <f ca="1">OFFSET('배치점수 계산기'!L$10,$D86,0)</f>
        <v>496.69499999999999</v>
      </c>
      <c r="W86" s="186" t="str">
        <f ca="1">OFFSET('배치점수 계산기'!M$10,$D86,0)</f>
        <v>표점</v>
      </c>
      <c r="X86" s="184" t="str">
        <f ca="1">OFFSET('배치점수 계산기'!N$10,$D86,0)</f>
        <v>변표</v>
      </c>
      <c r="Y86" s="188">
        <f ca="1">OFFSET(환산공식!FW$15,$F86,0)</f>
        <v>0.43</v>
      </c>
      <c r="Z86" s="20">
        <f ca="1">OFFSET(환산공식!FX$15,$F86,0)</f>
        <v>0.37</v>
      </c>
      <c r="AA86" s="179">
        <f ca="1">OFFSET(환산공식!FY$15,$F86,0)</f>
        <v>0.2</v>
      </c>
      <c r="AC86"/>
      <c r="AD86">
        <f t="shared" ca="1" si="3"/>
        <v>6</v>
      </c>
      <c r="AE86"/>
    </row>
    <row r="87" spans="1:31" s="3" customFormat="1">
      <c r="A87" s="198"/>
      <c r="B87" s="198"/>
      <c r="C87" s="198" t="s">
        <v>1539</v>
      </c>
      <c r="D87" s="195">
        <v>1073</v>
      </c>
      <c r="E87" s="195">
        <v>14</v>
      </c>
      <c r="F87" s="195">
        <v>14</v>
      </c>
      <c r="G87" s="239">
        <v>80</v>
      </c>
      <c r="H87" s="197" t="s">
        <v>79</v>
      </c>
      <c r="I87" s="242" t="s">
        <v>302</v>
      </c>
      <c r="J87" s="242" t="s">
        <v>9002</v>
      </c>
      <c r="K87" s="195" t="s">
        <v>71</v>
      </c>
      <c r="L87" s="20" t="str">
        <f ca="1">IF(OFFSET(환산공식!$ED$15,$F87,0)=1,"O","X")</f>
        <v>X</v>
      </c>
      <c r="M87" s="188">
        <f ca="1">IFERROR(OFFSET(환산공식!DJ$15,$F87,0),"")</f>
        <v>100</v>
      </c>
      <c r="N87" s="20" t="str">
        <f ca="1">IFERROR(CONCATENATE(ROUND(OFFSET(환산공식!DK$15,$F87,0),1),"%"),"")</f>
        <v>100%</v>
      </c>
      <c r="O87" s="20">
        <f ca="1">IFERROR(OFFSET(환산공식!DL$15,$F87,0),"")</f>
        <v>10</v>
      </c>
      <c r="P87" s="188" t="str">
        <f t="shared" ca="1" si="2"/>
        <v>3% 이하</v>
      </c>
      <c r="Q87" s="194">
        <f ca="1">IFERROR(ROUND(OFFSET(환산공식!$FG$15,$F87,0),3),"")</f>
        <v>0</v>
      </c>
      <c r="R87" s="194">
        <f ca="1">OFFSET('배치점수 계산기'!H$10,$D87,0)</f>
        <v>499.78</v>
      </c>
      <c r="S87" s="194">
        <f ca="1">OFFSET('배치점수 계산기'!I$10,$D87,0)</f>
        <v>498.94</v>
      </c>
      <c r="T87" s="194">
        <f ca="1">OFFSET('배치점수 계산기'!J$10,$D87,0)</f>
        <v>498.39800000000002</v>
      </c>
      <c r="U87" s="194">
        <f ca="1">OFFSET('배치점수 계산기'!K$10,$D87,0)</f>
        <v>497.68400000000003</v>
      </c>
      <c r="V87" s="194">
        <f ca="1">OFFSET('배치점수 계산기'!L$10,$D87,0)</f>
        <v>495.613</v>
      </c>
      <c r="W87" s="186" t="str">
        <f ca="1">OFFSET('배치점수 계산기'!M$10,$D87,0)</f>
        <v>표점</v>
      </c>
      <c r="X87" s="184" t="str">
        <f ca="1">OFFSET('배치점수 계산기'!N$10,$D87,0)</f>
        <v>변표</v>
      </c>
      <c r="Y87" s="188">
        <f ca="1">OFFSET(환산공식!FW$15,$F87,0)</f>
        <v>0.43</v>
      </c>
      <c r="Z87" s="20">
        <f ca="1">OFFSET(환산공식!FX$15,$F87,0)</f>
        <v>0.37</v>
      </c>
      <c r="AA87" s="179">
        <f ca="1">OFFSET(환산공식!FY$15,$F87,0)</f>
        <v>0.2</v>
      </c>
      <c r="AC87"/>
      <c r="AD87">
        <f t="shared" ca="1" si="3"/>
        <v>6</v>
      </c>
      <c r="AE87"/>
    </row>
    <row r="88" spans="1:31" s="3" customFormat="1">
      <c r="A88" s="198"/>
      <c r="B88" s="198"/>
      <c r="C88" s="198" t="s">
        <v>1540</v>
      </c>
      <c r="D88" s="195">
        <v>1074</v>
      </c>
      <c r="E88" s="195">
        <v>15</v>
      </c>
      <c r="F88" s="195">
        <v>15</v>
      </c>
      <c r="G88" s="239">
        <v>81</v>
      </c>
      <c r="H88" s="197" t="s">
        <v>79</v>
      </c>
      <c r="I88" s="242" t="s">
        <v>302</v>
      </c>
      <c r="J88" s="242" t="s">
        <v>9876</v>
      </c>
      <c r="K88" s="195" t="s">
        <v>71</v>
      </c>
      <c r="L88" s="20" t="str">
        <f ca="1">IF(OFFSET(환산공식!$ED$15,$F88,0)=1,"O","X")</f>
        <v>X</v>
      </c>
      <c r="M88" s="188">
        <f ca="1">IFERROR(OFFSET(환산공식!DJ$15,$F88,0),"")</f>
        <v>100</v>
      </c>
      <c r="N88" s="20" t="str">
        <f ca="1">IFERROR(CONCATENATE(ROUND(OFFSET(환산공식!DK$15,$F88,0),1),"%"),"")</f>
        <v>100%</v>
      </c>
      <c r="O88" s="20">
        <f ca="1">IFERROR(OFFSET(환산공식!DL$15,$F88,0),"")</f>
        <v>10</v>
      </c>
      <c r="P88" s="188" t="str">
        <f t="shared" ca="1" si="2"/>
        <v>3% 이하</v>
      </c>
      <c r="Q88" s="194">
        <f ca="1">IFERROR(ROUND(OFFSET(환산공식!$FG$15,$F88,0),3),"")</f>
        <v>0</v>
      </c>
      <c r="R88" s="194">
        <f ca="1">OFFSET('배치점수 계산기'!H$10,$D88,0)</f>
        <v>489.83600000000001</v>
      </c>
      <c r="S88" s="194">
        <f ca="1">OFFSET('배치점수 계산기'!I$10,$D88,0)</f>
        <v>489.22699999999998</v>
      </c>
      <c r="T88" s="194">
        <f ca="1">OFFSET('배치점수 계산기'!J$10,$D88,0)</f>
        <v>488.12</v>
      </c>
      <c r="U88" s="194">
        <f ca="1">OFFSET('배치점수 계산기'!K$10,$D88,0)</f>
        <v>485.47199999999998</v>
      </c>
      <c r="V88" s="194">
        <f ca="1">OFFSET('배치점수 계산기'!L$10,$D88,0)</f>
        <v>480.01</v>
      </c>
      <c r="W88" s="186" t="str">
        <f ca="1">OFFSET('배치점수 계산기'!M$10,$D88,0)</f>
        <v>표점</v>
      </c>
      <c r="X88" s="184" t="str">
        <f ca="1">OFFSET('배치점수 계산기'!N$10,$D88,0)</f>
        <v>변표</v>
      </c>
      <c r="Y88" s="188">
        <f ca="1">OFFSET(환산공식!FW$15,$F88,0)</f>
        <v>0.43</v>
      </c>
      <c r="Z88" s="20">
        <f ca="1">OFFSET(환산공식!FX$15,$F88,0)</f>
        <v>0.37</v>
      </c>
      <c r="AA88" s="179">
        <f ca="1">OFFSET(환산공식!FY$15,$F88,0)</f>
        <v>0.2</v>
      </c>
      <c r="AC88"/>
      <c r="AD88">
        <f t="shared" ca="1" si="3"/>
        <v>6</v>
      </c>
      <c r="AE88"/>
    </row>
    <row r="89" spans="1:31" s="3" customFormat="1">
      <c r="A89" s="198"/>
      <c r="B89" s="198"/>
      <c r="C89" s="198" t="s">
        <v>1541</v>
      </c>
      <c r="D89" s="195">
        <v>1075</v>
      </c>
      <c r="E89" s="195">
        <v>15</v>
      </c>
      <c r="F89" s="195">
        <v>15</v>
      </c>
      <c r="G89" s="239">
        <v>82</v>
      </c>
      <c r="H89" s="197" t="s">
        <v>79</v>
      </c>
      <c r="I89" s="242" t="s">
        <v>302</v>
      </c>
      <c r="J89" s="242" t="s">
        <v>10685</v>
      </c>
      <c r="K89" s="195" t="s">
        <v>71</v>
      </c>
      <c r="L89" s="20" t="str">
        <f ca="1">IF(OFFSET(환산공식!$ED$15,$F89,0)=1,"O","X")</f>
        <v>X</v>
      </c>
      <c r="M89" s="188">
        <f ca="1">IFERROR(OFFSET(환산공식!DJ$15,$F89,0),"")</f>
        <v>100</v>
      </c>
      <c r="N89" s="20" t="str">
        <f ca="1">IFERROR(CONCATENATE(ROUND(OFFSET(환산공식!DK$15,$F89,0),1),"%"),"")</f>
        <v>100%</v>
      </c>
      <c r="O89" s="20">
        <f ca="1">IFERROR(OFFSET(환산공식!DL$15,$F89,0),"")</f>
        <v>10</v>
      </c>
      <c r="P89" s="188" t="str">
        <f t="shared" ca="1" si="2"/>
        <v>3% 이하</v>
      </c>
      <c r="Q89" s="194">
        <f ca="1">IFERROR(ROUND(OFFSET(환산공식!$FG$15,$F89,0),3),"")</f>
        <v>0</v>
      </c>
      <c r="R89" s="194">
        <f ca="1">OFFSET('배치점수 계산기'!H$10,$D89,0)</f>
        <v>483.61200000000002</v>
      </c>
      <c r="S89" s="194">
        <f ca="1">OFFSET('배치점수 계산기'!I$10,$D89,0)</f>
        <v>480.899</v>
      </c>
      <c r="T89" s="194">
        <f ca="1">OFFSET('배치점수 계산기'!J$10,$D89,0)</f>
        <v>478.62400000000002</v>
      </c>
      <c r="U89" s="194">
        <f ca="1">OFFSET('배치점수 계산기'!K$10,$D89,0)</f>
        <v>475.25</v>
      </c>
      <c r="V89" s="194">
        <f ca="1">OFFSET('배치점수 계산기'!L$10,$D89,0)</f>
        <v>472.202</v>
      </c>
      <c r="W89" s="186" t="str">
        <f ca="1">OFFSET('배치점수 계산기'!M$10,$D89,0)</f>
        <v>표점</v>
      </c>
      <c r="X89" s="184" t="str">
        <f ca="1">OFFSET('배치점수 계산기'!N$10,$D89,0)</f>
        <v>변표</v>
      </c>
      <c r="Y89" s="188">
        <f ca="1">OFFSET(환산공식!FW$15,$F89,0)</f>
        <v>0.43</v>
      </c>
      <c r="Z89" s="20">
        <f ca="1">OFFSET(환산공식!FX$15,$F89,0)</f>
        <v>0.37</v>
      </c>
      <c r="AA89" s="179">
        <f ca="1">OFFSET(환산공식!FY$15,$F89,0)</f>
        <v>0.2</v>
      </c>
      <c r="AC89"/>
      <c r="AD89">
        <f t="shared" ca="1" si="3"/>
        <v>6</v>
      </c>
      <c r="AE89"/>
    </row>
    <row r="90" spans="1:31" s="3" customFormat="1">
      <c r="A90" s="198"/>
      <c r="B90" s="198"/>
      <c r="C90" s="198" t="s">
        <v>1542</v>
      </c>
      <c r="D90" s="195">
        <v>1076</v>
      </c>
      <c r="E90" s="195">
        <v>274</v>
      </c>
      <c r="F90" s="195">
        <v>274</v>
      </c>
      <c r="G90" s="239">
        <v>83</v>
      </c>
      <c r="H90" s="197" t="s">
        <v>79</v>
      </c>
      <c r="I90" s="242" t="s">
        <v>77</v>
      </c>
      <c r="J90" s="242" t="s">
        <v>8174</v>
      </c>
      <c r="K90" s="195" t="s">
        <v>70</v>
      </c>
      <c r="L90" s="20" t="str">
        <f ca="1">IF(OFFSET(환산공식!$ED$15,$F90,0)=1,"O","X")</f>
        <v>X</v>
      </c>
      <c r="M90" s="188">
        <f ca="1">IFERROR(OFFSET(환산공식!DJ$15,$F90,0),"")</f>
        <v>63.5</v>
      </c>
      <c r="N90" s="20" t="str">
        <f ca="1">IFERROR(CONCATENATE(ROUND(OFFSET(환산공식!DK$15,$F90,0),1),"%"),"")</f>
        <v>100%</v>
      </c>
      <c r="O90" s="20">
        <f ca="1">IFERROR(OFFSET(환산공식!DL$15,$F90,0),"")</f>
        <v>0</v>
      </c>
      <c r="P90" s="188" t="str">
        <f t="shared" ca="1" si="2"/>
        <v>3% 이하</v>
      </c>
      <c r="Q90" s="194">
        <f ca="1">IFERROR(ROUND(OFFSET(환산공식!$FG$15,$F90,0),3),"")</f>
        <v>0</v>
      </c>
      <c r="R90" s="194">
        <f ca="1">OFFSET('배치점수 계산기'!H$10,$D90,0)</f>
        <v>670.03099999999995</v>
      </c>
      <c r="S90" s="194">
        <f ca="1">OFFSET('배치점수 계산기'!I$10,$D90,0)</f>
        <v>668.68100000000004</v>
      </c>
      <c r="T90" s="194">
        <f ca="1">OFFSET('배치점수 계산기'!J$10,$D90,0)</f>
        <v>666.12800000000004</v>
      </c>
      <c r="U90" s="194">
        <f ca="1">OFFSET('배치점수 계산기'!K$10,$D90,0)</f>
        <v>665.21400000000006</v>
      </c>
      <c r="V90" s="194">
        <f ca="1">OFFSET('배치점수 계산기'!L$10,$D90,0)</f>
        <v>657.80799999999999</v>
      </c>
      <c r="W90" s="186" t="str">
        <f ca="1">OFFSET('배치점수 계산기'!M$10,$D90,0)</f>
        <v>표점</v>
      </c>
      <c r="X90" s="184" t="str">
        <f ca="1">OFFSET('배치점수 계산기'!N$10,$D90,0)</f>
        <v>변표</v>
      </c>
      <c r="Y90" s="188">
        <f ca="1">OFFSET(환산공식!FW$15,$F90,0)</f>
        <v>0.33</v>
      </c>
      <c r="Z90" s="20">
        <f ca="1">OFFSET(환산공식!FX$15,$F90,0)</f>
        <v>0.44</v>
      </c>
      <c r="AA90" s="179">
        <f ca="1">OFFSET(환산공식!FY$15,$F90,0)</f>
        <v>0.22</v>
      </c>
      <c r="AC90"/>
      <c r="AD90">
        <f t="shared" ca="1" si="3"/>
        <v>6</v>
      </c>
      <c r="AE90"/>
    </row>
    <row r="91" spans="1:31" s="3" customFormat="1">
      <c r="A91" s="198"/>
      <c r="B91" s="198"/>
      <c r="C91" s="198" t="s">
        <v>1543</v>
      </c>
      <c r="D91" s="195">
        <v>1077</v>
      </c>
      <c r="E91" s="195">
        <v>274</v>
      </c>
      <c r="F91" s="195">
        <v>274</v>
      </c>
      <c r="G91" s="239">
        <v>84</v>
      </c>
      <c r="H91" s="197" t="s">
        <v>79</v>
      </c>
      <c r="I91" s="242" t="s">
        <v>77</v>
      </c>
      <c r="J91" s="242" t="s">
        <v>16675</v>
      </c>
      <c r="K91" s="195" t="s">
        <v>70</v>
      </c>
      <c r="L91" s="20" t="str">
        <f ca="1">IF(OFFSET(환산공식!$ED$15,$F91,0)=1,"O","X")</f>
        <v>X</v>
      </c>
      <c r="M91" s="188">
        <f ca="1">IFERROR(OFFSET(환산공식!DJ$15,$F91,0),"")</f>
        <v>63.5</v>
      </c>
      <c r="N91" s="20" t="str">
        <f ca="1">IFERROR(CONCATENATE(ROUND(OFFSET(환산공식!DK$15,$F91,0),1),"%"),"")</f>
        <v>100%</v>
      </c>
      <c r="O91" s="20">
        <f ca="1">IFERROR(OFFSET(환산공식!DL$15,$F91,0),"")</f>
        <v>0</v>
      </c>
      <c r="P91" s="188" t="str">
        <f t="shared" ca="1" si="2"/>
        <v>3% 이하</v>
      </c>
      <c r="Q91" s="194">
        <f ca="1">IFERROR(ROUND(OFFSET(환산공식!$FG$15,$F91,0),3),"")</f>
        <v>0</v>
      </c>
      <c r="R91" s="194">
        <f ca="1">OFFSET('배치점수 계산기'!H$10,$D91,0)</f>
        <v>659.59299999999996</v>
      </c>
      <c r="S91" s="194">
        <f ca="1">OFFSET('배치점수 계산기'!I$10,$D91,0)</f>
        <v>658.63</v>
      </c>
      <c r="T91" s="194">
        <f ca="1">OFFSET('배치점수 계산기'!J$10,$D91,0)</f>
        <v>657.80799999999999</v>
      </c>
      <c r="U91" s="194">
        <f ca="1">OFFSET('배치점수 계산기'!K$10,$D91,0)</f>
        <v>656.41099999999994</v>
      </c>
      <c r="V91" s="194">
        <f ca="1">OFFSET('배치점수 계산기'!L$10,$D91,0)</f>
        <v>654.35799999999995</v>
      </c>
      <c r="W91" s="186" t="str">
        <f ca="1">OFFSET('배치점수 계산기'!M$10,$D91,0)</f>
        <v>표점</v>
      </c>
      <c r="X91" s="184" t="str">
        <f ca="1">OFFSET('배치점수 계산기'!N$10,$D91,0)</f>
        <v>변표</v>
      </c>
      <c r="Y91" s="188">
        <f ca="1">OFFSET(환산공식!FW$15,$F91,0)</f>
        <v>0.33</v>
      </c>
      <c r="Z91" s="20">
        <f ca="1">OFFSET(환산공식!FX$15,$F91,0)</f>
        <v>0.44</v>
      </c>
      <c r="AA91" s="179">
        <f ca="1">OFFSET(환산공식!FY$15,$F91,0)</f>
        <v>0.22</v>
      </c>
      <c r="AC91"/>
      <c r="AD91">
        <f t="shared" ca="1" si="3"/>
        <v>6</v>
      </c>
      <c r="AE91"/>
    </row>
    <row r="92" spans="1:31" s="3" customFormat="1">
      <c r="A92" s="198"/>
      <c r="B92" s="198"/>
      <c r="C92" s="198" t="s">
        <v>1544</v>
      </c>
      <c r="D92" s="195">
        <v>1078</v>
      </c>
      <c r="E92" s="195">
        <v>274</v>
      </c>
      <c r="F92" s="195">
        <v>274</v>
      </c>
      <c r="G92" s="239">
        <v>85</v>
      </c>
      <c r="H92" s="197" t="s">
        <v>79</v>
      </c>
      <c r="I92" s="242" t="s">
        <v>77</v>
      </c>
      <c r="J92" s="242" t="s">
        <v>8491</v>
      </c>
      <c r="K92" s="195" t="s">
        <v>70</v>
      </c>
      <c r="L92" s="20" t="str">
        <f ca="1">IF(OFFSET(환산공식!$ED$15,$F92,0)=1,"O","X")</f>
        <v>X</v>
      </c>
      <c r="M92" s="188">
        <f ca="1">IFERROR(OFFSET(환산공식!DJ$15,$F92,0),"")</f>
        <v>63.5</v>
      </c>
      <c r="N92" s="20" t="str">
        <f ca="1">IFERROR(CONCATENATE(ROUND(OFFSET(환산공식!DK$15,$F92,0),1),"%"),"")</f>
        <v>100%</v>
      </c>
      <c r="O92" s="20">
        <f ca="1">IFERROR(OFFSET(환산공식!DL$15,$F92,0),"")</f>
        <v>0</v>
      </c>
      <c r="P92" s="188" t="str">
        <f t="shared" ca="1" si="2"/>
        <v>3% 이하</v>
      </c>
      <c r="Q92" s="194">
        <f ca="1">IFERROR(ROUND(OFFSET(환산공식!$FG$15,$F92,0),3),"")</f>
        <v>0</v>
      </c>
      <c r="R92" s="194">
        <f ca="1">OFFSET('배치점수 계산기'!H$10,$D92,0)</f>
        <v>658.63</v>
      </c>
      <c r="S92" s="194">
        <f ca="1">OFFSET('배치점수 계산기'!I$10,$D92,0)</f>
        <v>657.80799999999999</v>
      </c>
      <c r="T92" s="194">
        <f ca="1">OFFSET('배치점수 계산기'!J$10,$D92,0)</f>
        <v>656.72500000000002</v>
      </c>
      <c r="U92" s="194">
        <f ca="1">OFFSET('배치점수 계산기'!K$10,$D92,0)</f>
        <v>655.572</v>
      </c>
      <c r="V92" s="194">
        <f ca="1">OFFSET('배치점수 계산기'!L$10,$D92,0)</f>
        <v>653.55499999999995</v>
      </c>
      <c r="W92" s="186" t="str">
        <f ca="1">OFFSET('배치점수 계산기'!M$10,$D92,0)</f>
        <v>표점</v>
      </c>
      <c r="X92" s="184" t="str">
        <f ca="1">OFFSET('배치점수 계산기'!N$10,$D92,0)</f>
        <v>변표</v>
      </c>
      <c r="Y92" s="188">
        <f ca="1">OFFSET(환산공식!FW$15,$F92,0)</f>
        <v>0.33</v>
      </c>
      <c r="Z92" s="20">
        <f ca="1">OFFSET(환산공식!FX$15,$F92,0)</f>
        <v>0.44</v>
      </c>
      <c r="AA92" s="179">
        <f ca="1">OFFSET(환산공식!FY$15,$F92,0)</f>
        <v>0.22</v>
      </c>
      <c r="AC92"/>
      <c r="AD92">
        <f t="shared" ca="1" si="3"/>
        <v>6</v>
      </c>
      <c r="AE92"/>
    </row>
    <row r="93" spans="1:31" s="3" customFormat="1">
      <c r="A93" s="198"/>
      <c r="B93" s="198"/>
      <c r="C93" s="198" t="s">
        <v>1545</v>
      </c>
      <c r="D93" s="195">
        <v>1079</v>
      </c>
      <c r="E93" s="195">
        <v>274</v>
      </c>
      <c r="F93" s="195">
        <v>274</v>
      </c>
      <c r="G93" s="239">
        <v>86</v>
      </c>
      <c r="H93" s="197" t="s">
        <v>79</v>
      </c>
      <c r="I93" s="242" t="s">
        <v>77</v>
      </c>
      <c r="J93" s="242" t="s">
        <v>8916</v>
      </c>
      <c r="K93" s="195" t="s">
        <v>70</v>
      </c>
      <c r="L93" s="20" t="str">
        <f ca="1">IF(OFFSET(환산공식!$ED$15,$F93,0)=1,"O","X")</f>
        <v>X</v>
      </c>
      <c r="M93" s="188">
        <f ca="1">IFERROR(OFFSET(환산공식!DJ$15,$F93,0),"")</f>
        <v>63.5</v>
      </c>
      <c r="N93" s="20" t="str">
        <f ca="1">IFERROR(CONCATENATE(ROUND(OFFSET(환산공식!DK$15,$F93,0),1),"%"),"")</f>
        <v>100%</v>
      </c>
      <c r="O93" s="20">
        <f ca="1">IFERROR(OFFSET(환산공식!DL$15,$F93,0),"")</f>
        <v>0</v>
      </c>
      <c r="P93" s="188" t="str">
        <f t="shared" ca="1" si="2"/>
        <v>3% 이하</v>
      </c>
      <c r="Q93" s="194">
        <f ca="1">IFERROR(ROUND(OFFSET(환산공식!$FG$15,$F93,0),3),"")</f>
        <v>0</v>
      </c>
      <c r="R93" s="194">
        <f ca="1">OFFSET('배치점수 계산기'!H$10,$D93,0)</f>
        <v>657.80799999999999</v>
      </c>
      <c r="S93" s="194">
        <f ca="1">OFFSET('배치점수 계산기'!I$10,$D93,0)</f>
        <v>656.72500000000002</v>
      </c>
      <c r="T93" s="194">
        <f ca="1">OFFSET('배치점수 계산기'!J$10,$D93,0)</f>
        <v>655.95100000000002</v>
      </c>
      <c r="U93" s="194">
        <f ca="1">OFFSET('배치점수 계산기'!K$10,$D93,0)</f>
        <v>654.80799999999999</v>
      </c>
      <c r="V93" s="194">
        <f ca="1">OFFSET('배치점수 계산기'!L$10,$D93,0)</f>
        <v>653.04700000000003</v>
      </c>
      <c r="W93" s="186" t="str">
        <f ca="1">OFFSET('배치점수 계산기'!M$10,$D93,0)</f>
        <v>표점</v>
      </c>
      <c r="X93" s="184" t="str">
        <f ca="1">OFFSET('배치점수 계산기'!N$10,$D93,0)</f>
        <v>변표</v>
      </c>
      <c r="Y93" s="188">
        <f ca="1">OFFSET(환산공식!FW$15,$F93,0)</f>
        <v>0.33</v>
      </c>
      <c r="Z93" s="20">
        <f ca="1">OFFSET(환산공식!FX$15,$F93,0)</f>
        <v>0.44</v>
      </c>
      <c r="AA93" s="179">
        <f ca="1">OFFSET(환산공식!FY$15,$F93,0)</f>
        <v>0.22</v>
      </c>
      <c r="AC93"/>
      <c r="AD93">
        <f t="shared" ca="1" si="3"/>
        <v>6</v>
      </c>
      <c r="AE93"/>
    </row>
    <row r="94" spans="1:31" s="3" customFormat="1">
      <c r="A94" s="198"/>
      <c r="B94" s="198"/>
      <c r="C94" s="198" t="s">
        <v>1546</v>
      </c>
      <c r="D94" s="195">
        <v>1080</v>
      </c>
      <c r="E94" s="195">
        <v>274</v>
      </c>
      <c r="F94" s="195">
        <v>274</v>
      </c>
      <c r="G94" s="239">
        <v>87</v>
      </c>
      <c r="H94" s="197" t="s">
        <v>79</v>
      </c>
      <c r="I94" s="242" t="s">
        <v>77</v>
      </c>
      <c r="J94" s="242" t="s">
        <v>8718</v>
      </c>
      <c r="K94" s="195" t="s">
        <v>70</v>
      </c>
      <c r="L94" s="20" t="str">
        <f ca="1">IF(OFFSET(환산공식!$ED$15,$F94,0)=1,"O","X")</f>
        <v>X</v>
      </c>
      <c r="M94" s="188">
        <f ca="1">IFERROR(OFFSET(환산공식!DJ$15,$F94,0),"")</f>
        <v>63.5</v>
      </c>
      <c r="N94" s="20" t="str">
        <f ca="1">IFERROR(CONCATENATE(ROUND(OFFSET(환산공식!DK$15,$F94,0),1),"%"),"")</f>
        <v>100%</v>
      </c>
      <c r="O94" s="20">
        <f ca="1">IFERROR(OFFSET(환산공식!DL$15,$F94,0),"")</f>
        <v>0</v>
      </c>
      <c r="P94" s="188" t="str">
        <f t="shared" ca="1" si="2"/>
        <v>3% 이하</v>
      </c>
      <c r="Q94" s="194">
        <f ca="1">IFERROR(ROUND(OFFSET(환산공식!$FG$15,$F94,0),3),"")</f>
        <v>0</v>
      </c>
      <c r="R94" s="194">
        <f ca="1">OFFSET('배치점수 계산기'!H$10,$D94,0)</f>
        <v>655.70100000000002</v>
      </c>
      <c r="S94" s="194">
        <f ca="1">OFFSET('배치점수 계산기'!I$10,$D94,0)</f>
        <v>655.07299999999998</v>
      </c>
      <c r="T94" s="194">
        <f ca="1">OFFSET('배치점수 계산기'!J$10,$D94,0)</f>
        <v>654.24900000000002</v>
      </c>
      <c r="U94" s="194">
        <f ca="1">OFFSET('배치점수 계산기'!K$10,$D94,0)</f>
        <v>653.55499999999995</v>
      </c>
      <c r="V94" s="194">
        <f ca="1">OFFSET('배치점수 계산기'!L$10,$D94,0)</f>
        <v>652.47699999999998</v>
      </c>
      <c r="W94" s="186" t="str">
        <f ca="1">OFFSET('배치점수 계산기'!M$10,$D94,0)</f>
        <v>표점</v>
      </c>
      <c r="X94" s="184" t="str">
        <f ca="1">OFFSET('배치점수 계산기'!N$10,$D94,0)</f>
        <v>변표</v>
      </c>
      <c r="Y94" s="188">
        <f ca="1">OFFSET(환산공식!FW$15,$F94,0)</f>
        <v>0.33</v>
      </c>
      <c r="Z94" s="20">
        <f ca="1">OFFSET(환산공식!FX$15,$F94,0)</f>
        <v>0.44</v>
      </c>
      <c r="AA94" s="179">
        <f ca="1">OFFSET(환산공식!FY$15,$F94,0)</f>
        <v>0.22</v>
      </c>
      <c r="AC94"/>
      <c r="AD94">
        <f t="shared" ca="1" si="3"/>
        <v>6</v>
      </c>
      <c r="AE94"/>
    </row>
    <row r="95" spans="1:31" s="3" customFormat="1">
      <c r="A95" s="198"/>
      <c r="B95" s="198"/>
      <c r="C95" s="198" t="s">
        <v>1547</v>
      </c>
      <c r="D95" s="195">
        <v>1081</v>
      </c>
      <c r="E95" s="195">
        <v>279</v>
      </c>
      <c r="F95" s="195">
        <v>279</v>
      </c>
      <c r="G95" s="239">
        <v>88</v>
      </c>
      <c r="H95" s="197" t="s">
        <v>79</v>
      </c>
      <c r="I95" s="242" t="s">
        <v>77</v>
      </c>
      <c r="J95" s="242" t="s">
        <v>8283</v>
      </c>
      <c r="K95" s="195" t="s">
        <v>70</v>
      </c>
      <c r="L95" s="20" t="str">
        <f ca="1">IF(OFFSET(환산공식!$ED$15,$F95,0)=1,"O","X")</f>
        <v>X</v>
      </c>
      <c r="M95" s="188">
        <f ca="1">IFERROR(OFFSET(환산공식!DJ$15,$F95,0),"")</f>
        <v>63.5</v>
      </c>
      <c r="N95" s="20" t="str">
        <f ca="1">IFERROR(CONCATENATE(ROUND(OFFSET(환산공식!DK$15,$F95,0),1),"%"),"")</f>
        <v>100%</v>
      </c>
      <c r="O95" s="20">
        <f ca="1">IFERROR(OFFSET(환산공식!DL$15,$F95,0),"")</f>
        <v>0</v>
      </c>
      <c r="P95" s="188" t="str">
        <f t="shared" ca="1" si="2"/>
        <v>3% 이하</v>
      </c>
      <c r="Q95" s="194">
        <f ca="1">IFERROR(ROUND(OFFSET(환산공식!$FG$15,$F95,0),3),"")</f>
        <v>0</v>
      </c>
      <c r="R95" s="194">
        <f ca="1">OFFSET('배치점수 계산기'!H$10,$D95,0)</f>
        <v>509.85700000000003</v>
      </c>
      <c r="S95" s="194">
        <f ca="1">OFFSET('배치점수 계산기'!I$10,$D95,0)</f>
        <v>509.404</v>
      </c>
      <c r="T95" s="194">
        <f ca="1">OFFSET('배치점수 계산기'!J$10,$D95,0)</f>
        <v>508.88</v>
      </c>
      <c r="U95" s="194">
        <f ca="1">OFFSET('배치점수 계산기'!K$10,$D95,0)</f>
        <v>508.154</v>
      </c>
      <c r="V95" s="194">
        <f ca="1">OFFSET('배치점수 계산기'!L$10,$D95,0)</f>
        <v>506.27499999999998</v>
      </c>
      <c r="W95" s="186" t="str">
        <f ca="1">OFFSET('배치점수 계산기'!M$10,$D95,0)</f>
        <v>표점</v>
      </c>
      <c r="X95" s="184" t="str">
        <f ca="1">OFFSET('배치점수 계산기'!N$10,$D95,0)</f>
        <v>변표</v>
      </c>
      <c r="Y95" s="188">
        <f ca="1">OFFSET(환산공식!FW$15,$F95,0)</f>
        <v>0.33</v>
      </c>
      <c r="Z95" s="20">
        <f ca="1">OFFSET(환산공식!FX$15,$F95,0)</f>
        <v>0.44</v>
      </c>
      <c r="AA95" s="179">
        <f ca="1">OFFSET(환산공식!FY$15,$F95,0)</f>
        <v>0.22</v>
      </c>
      <c r="AC95"/>
      <c r="AD95">
        <f t="shared" ca="1" si="3"/>
        <v>6</v>
      </c>
      <c r="AE95"/>
    </row>
    <row r="96" spans="1:31" s="3" customFormat="1">
      <c r="A96" s="198"/>
      <c r="B96" s="198"/>
      <c r="C96" s="198" t="s">
        <v>1548</v>
      </c>
      <c r="D96" s="195">
        <v>1082</v>
      </c>
      <c r="E96" s="195">
        <v>274</v>
      </c>
      <c r="F96" s="195">
        <v>274</v>
      </c>
      <c r="G96" s="239">
        <v>89</v>
      </c>
      <c r="H96" s="197" t="s">
        <v>79</v>
      </c>
      <c r="I96" s="242" t="s">
        <v>77</v>
      </c>
      <c r="J96" s="242" t="s">
        <v>8126</v>
      </c>
      <c r="K96" s="195" t="s">
        <v>70</v>
      </c>
      <c r="L96" s="20" t="str">
        <f ca="1">IF(OFFSET(환산공식!$ED$15,$F96,0)=1,"O","X")</f>
        <v>X</v>
      </c>
      <c r="M96" s="188">
        <f ca="1">IFERROR(OFFSET(환산공식!DJ$15,$F96,0),"")</f>
        <v>63.5</v>
      </c>
      <c r="N96" s="20" t="str">
        <f ca="1">IFERROR(CONCATENATE(ROUND(OFFSET(환산공식!DK$15,$F96,0),1),"%"),"")</f>
        <v>100%</v>
      </c>
      <c r="O96" s="20">
        <f ca="1">IFERROR(OFFSET(환산공식!DL$15,$F96,0),"")</f>
        <v>0</v>
      </c>
      <c r="P96" s="188" t="str">
        <f t="shared" ca="1" si="2"/>
        <v>3% 이하</v>
      </c>
      <c r="Q96" s="194">
        <f ca="1">IFERROR(ROUND(OFFSET(환산공식!$FG$15,$F96,0),3),"")</f>
        <v>0</v>
      </c>
      <c r="R96" s="194">
        <f ca="1">OFFSET('배치점수 계산기'!H$10,$D96,0)</f>
        <v>654.80799999999999</v>
      </c>
      <c r="S96" s="194">
        <f ca="1">OFFSET('배치점수 계산기'!I$10,$D96,0)</f>
        <v>654.24900000000002</v>
      </c>
      <c r="T96" s="194">
        <f ca="1">OFFSET('배치점수 계산기'!J$10,$D96,0)</f>
        <v>653.44799999999998</v>
      </c>
      <c r="U96" s="194">
        <f ca="1">OFFSET('배치점수 계산기'!K$10,$D96,0)</f>
        <v>652.81200000000001</v>
      </c>
      <c r="V96" s="194">
        <f ca="1">OFFSET('배치점수 계산기'!L$10,$D96,0)</f>
        <v>652.03800000000001</v>
      </c>
      <c r="W96" s="186" t="str">
        <f ca="1">OFFSET('배치점수 계산기'!M$10,$D96,0)</f>
        <v>표점</v>
      </c>
      <c r="X96" s="184" t="str">
        <f ca="1">OFFSET('배치점수 계산기'!N$10,$D96,0)</f>
        <v>변표</v>
      </c>
      <c r="Y96" s="188">
        <f ca="1">OFFSET(환산공식!FW$15,$F96,0)</f>
        <v>0.33</v>
      </c>
      <c r="Z96" s="20">
        <f ca="1">OFFSET(환산공식!FX$15,$F96,0)</f>
        <v>0.44</v>
      </c>
      <c r="AA96" s="179">
        <f ca="1">OFFSET(환산공식!FY$15,$F96,0)</f>
        <v>0.22</v>
      </c>
      <c r="AC96"/>
      <c r="AD96">
        <f t="shared" ca="1" si="3"/>
        <v>6</v>
      </c>
      <c r="AE96"/>
    </row>
    <row r="97" spans="1:31" s="3" customFormat="1">
      <c r="A97" s="198"/>
      <c r="B97" s="198"/>
      <c r="C97" s="198" t="s">
        <v>1549</v>
      </c>
      <c r="D97" s="195">
        <v>1083</v>
      </c>
      <c r="E97" s="195">
        <v>277</v>
      </c>
      <c r="F97" s="195">
        <v>277</v>
      </c>
      <c r="G97" s="239">
        <v>90</v>
      </c>
      <c r="H97" s="197" t="s">
        <v>79</v>
      </c>
      <c r="I97" s="242" t="s">
        <v>77</v>
      </c>
      <c r="J97" s="242" t="s">
        <v>8646</v>
      </c>
      <c r="K97" s="195" t="s">
        <v>71</v>
      </c>
      <c r="L97" s="20" t="str">
        <f ca="1">IF(OFFSET(환산공식!$ED$15,$F97,0)=1,"O","X")</f>
        <v>X</v>
      </c>
      <c r="M97" s="188">
        <f ca="1">IFERROR(OFFSET(환산공식!DJ$15,$F97,0),"")</f>
        <v>63.5</v>
      </c>
      <c r="N97" s="20" t="str">
        <f ca="1">IFERROR(CONCATENATE(ROUND(OFFSET(환산공식!DK$15,$F97,0),1),"%"),"")</f>
        <v>100%</v>
      </c>
      <c r="O97" s="20">
        <f ca="1">IFERROR(OFFSET(환산공식!DL$15,$F97,0),"")</f>
        <v>0</v>
      </c>
      <c r="P97" s="188" t="str">
        <f t="shared" ca="1" si="2"/>
        <v>3% 이하</v>
      </c>
      <c r="Q97" s="194">
        <f ca="1">IFERROR(ROUND(OFFSET(환산공식!$FG$15,$F97,0),3),"")</f>
        <v>0</v>
      </c>
      <c r="R97" s="194">
        <f ca="1">OFFSET('배치점수 계산기'!H$10,$D97,0)</f>
        <v>656.11599999999999</v>
      </c>
      <c r="S97" s="194">
        <f ca="1">OFFSET('배치점수 계산기'!I$10,$D97,0)</f>
        <v>654.74800000000005</v>
      </c>
      <c r="T97" s="194">
        <f ca="1">OFFSET('배치점수 계산기'!J$10,$D97,0)</f>
        <v>653.59299999999996</v>
      </c>
      <c r="U97" s="194">
        <f ca="1">OFFSET('배치점수 계산기'!K$10,$D97,0)</f>
        <v>650.65099999999995</v>
      </c>
      <c r="V97" s="194">
        <f ca="1">OFFSET('배치점수 계산기'!L$10,$D97,0)</f>
        <v>649.17700000000002</v>
      </c>
      <c r="W97" s="186" t="str">
        <f ca="1">OFFSET('배치점수 계산기'!M$10,$D97,0)</f>
        <v>표점</v>
      </c>
      <c r="X97" s="184" t="str">
        <f ca="1">OFFSET('배치점수 계산기'!N$10,$D97,0)</f>
        <v>변표</v>
      </c>
      <c r="Y97" s="188">
        <f ca="1">OFFSET(환산공식!FW$15,$F97,0)</f>
        <v>0.33</v>
      </c>
      <c r="Z97" s="20">
        <f ca="1">OFFSET(환산공식!FX$15,$F97,0)</f>
        <v>0.44</v>
      </c>
      <c r="AA97" s="179">
        <f ca="1">OFFSET(환산공식!FY$15,$F97,0)</f>
        <v>0.22</v>
      </c>
      <c r="AC97"/>
      <c r="AD97">
        <f t="shared" ca="1" si="3"/>
        <v>6</v>
      </c>
      <c r="AE97"/>
    </row>
    <row r="98" spans="1:31" s="3" customFormat="1">
      <c r="A98" s="198"/>
      <c r="B98" s="198"/>
      <c r="C98" s="198" t="s">
        <v>1550</v>
      </c>
      <c r="D98" s="195">
        <v>1084</v>
      </c>
      <c r="E98" s="195">
        <v>277</v>
      </c>
      <c r="F98" s="195">
        <v>277</v>
      </c>
      <c r="G98" s="239">
        <v>91</v>
      </c>
      <c r="H98" s="197" t="s">
        <v>79</v>
      </c>
      <c r="I98" s="242" t="s">
        <v>77</v>
      </c>
      <c r="J98" s="242" t="s">
        <v>8696</v>
      </c>
      <c r="K98" s="195" t="s">
        <v>71</v>
      </c>
      <c r="L98" s="20" t="str">
        <f ca="1">IF(OFFSET(환산공식!$ED$15,$F98,0)=1,"O","X")</f>
        <v>X</v>
      </c>
      <c r="M98" s="188">
        <f ca="1">IFERROR(OFFSET(환산공식!DJ$15,$F98,0),"")</f>
        <v>63.5</v>
      </c>
      <c r="N98" s="20" t="str">
        <f ca="1">IFERROR(CONCATENATE(ROUND(OFFSET(환산공식!DK$15,$F98,0),1),"%"),"")</f>
        <v>100%</v>
      </c>
      <c r="O98" s="20">
        <f ca="1">IFERROR(OFFSET(환산공식!DL$15,$F98,0),"")</f>
        <v>0</v>
      </c>
      <c r="P98" s="188" t="str">
        <f t="shared" ca="1" si="2"/>
        <v>3% 이하</v>
      </c>
      <c r="Q98" s="194">
        <f ca="1">IFERROR(ROUND(OFFSET(환산공식!$FG$15,$F98,0),3),"")</f>
        <v>0</v>
      </c>
      <c r="R98" s="194">
        <f ca="1">OFFSET('배치점수 계산기'!H$10,$D98,0)</f>
        <v>654.15599999999995</v>
      </c>
      <c r="S98" s="194">
        <f ca="1">OFFSET('배치점수 계산기'!I$10,$D98,0)</f>
        <v>653.01400000000001</v>
      </c>
      <c r="T98" s="194">
        <f ca="1">OFFSET('배치점수 계산기'!J$10,$D98,0)</f>
        <v>651.05799999999999</v>
      </c>
      <c r="U98" s="194">
        <f ca="1">OFFSET('배치점수 계산기'!K$10,$D98,0)</f>
        <v>650.04899999999998</v>
      </c>
      <c r="V98" s="194">
        <f ca="1">OFFSET('배치점수 계산기'!L$10,$D98,0)</f>
        <v>648.84500000000003</v>
      </c>
      <c r="W98" s="186" t="str">
        <f ca="1">OFFSET('배치점수 계산기'!M$10,$D98,0)</f>
        <v>표점</v>
      </c>
      <c r="X98" s="184" t="str">
        <f ca="1">OFFSET('배치점수 계산기'!N$10,$D98,0)</f>
        <v>변표</v>
      </c>
      <c r="Y98" s="188">
        <f ca="1">OFFSET(환산공식!FW$15,$F98,0)</f>
        <v>0.33</v>
      </c>
      <c r="Z98" s="20">
        <f ca="1">OFFSET(환산공식!FX$15,$F98,0)</f>
        <v>0.44</v>
      </c>
      <c r="AA98" s="179">
        <f ca="1">OFFSET(환산공식!FY$15,$F98,0)</f>
        <v>0.22</v>
      </c>
      <c r="AC98"/>
      <c r="AD98">
        <f t="shared" ca="1" si="3"/>
        <v>6</v>
      </c>
      <c r="AE98"/>
    </row>
    <row r="99" spans="1:31" s="3" customFormat="1">
      <c r="A99" s="198"/>
      <c r="B99" s="198"/>
      <c r="C99" s="198" t="s">
        <v>1551</v>
      </c>
      <c r="D99" s="195">
        <v>1085</v>
      </c>
      <c r="E99" s="195">
        <v>280</v>
      </c>
      <c r="F99" s="195">
        <v>280</v>
      </c>
      <c r="G99" s="239">
        <v>92</v>
      </c>
      <c r="H99" s="197" t="s">
        <v>79</v>
      </c>
      <c r="I99" s="242" t="s">
        <v>77</v>
      </c>
      <c r="J99" s="242" t="s">
        <v>8772</v>
      </c>
      <c r="K99" s="195" t="s">
        <v>71</v>
      </c>
      <c r="L99" s="20" t="str">
        <f ca="1">IF(OFFSET(환산공식!$ED$15,$F99,0)=1,"O","X")</f>
        <v>X</v>
      </c>
      <c r="M99" s="188">
        <f ca="1">IFERROR(OFFSET(환산공식!DJ$15,$F99,0),"")</f>
        <v>63.5</v>
      </c>
      <c r="N99" s="20" t="str">
        <f ca="1">IFERROR(CONCATENATE(ROUND(OFFSET(환산공식!DK$15,$F99,0),1),"%"),"")</f>
        <v>100%</v>
      </c>
      <c r="O99" s="20">
        <f ca="1">IFERROR(OFFSET(환산공식!DL$15,$F99,0),"")</f>
        <v>0</v>
      </c>
      <c r="P99" s="188" t="str">
        <f t="shared" ca="1" si="2"/>
        <v>3% 이하</v>
      </c>
      <c r="Q99" s="194">
        <f ca="1">IFERROR(ROUND(OFFSET(환산공식!$FG$15,$F99,0),3),"")</f>
        <v>0</v>
      </c>
      <c r="R99" s="194">
        <f ca="1">OFFSET('배치점수 계산기'!H$10,$D99,0)</f>
        <v>533.90599999999995</v>
      </c>
      <c r="S99" s="194">
        <f ca="1">OFFSET('배치점수 계산기'!I$10,$D99,0)</f>
        <v>532.90200000000004</v>
      </c>
      <c r="T99" s="194">
        <f ca="1">OFFSET('배치점수 계산기'!J$10,$D99,0)</f>
        <v>532.06200000000001</v>
      </c>
      <c r="U99" s="194">
        <f ca="1">OFFSET('배치점수 계산기'!K$10,$D99,0)</f>
        <v>531.41200000000003</v>
      </c>
      <c r="V99" s="194">
        <f ca="1">OFFSET('배치점수 계산기'!L$10,$D99,0)</f>
        <v>530.22199999999998</v>
      </c>
      <c r="W99" s="186" t="str">
        <f ca="1">OFFSET('배치점수 계산기'!M$10,$D99,0)</f>
        <v>표점</v>
      </c>
      <c r="X99" s="184" t="str">
        <f ca="1">OFFSET('배치점수 계산기'!N$10,$D99,0)</f>
        <v>변표</v>
      </c>
      <c r="Y99" s="188">
        <f ca="1">OFFSET(환산공식!FW$15,$F99,0)</f>
        <v>0.33</v>
      </c>
      <c r="Z99" s="20">
        <f ca="1">OFFSET(환산공식!FX$15,$F99,0)</f>
        <v>0.44</v>
      </c>
      <c r="AA99" s="179">
        <f ca="1">OFFSET(환산공식!FY$15,$F99,0)</f>
        <v>0.22</v>
      </c>
      <c r="AC99"/>
      <c r="AD99">
        <f t="shared" ca="1" si="3"/>
        <v>6</v>
      </c>
      <c r="AE99"/>
    </row>
    <row r="100" spans="1:31" s="3" customFormat="1">
      <c r="A100" s="198"/>
      <c r="B100" s="198"/>
      <c r="C100" s="198" t="s">
        <v>1552</v>
      </c>
      <c r="D100" s="195">
        <v>1086</v>
      </c>
      <c r="E100" s="195">
        <v>280</v>
      </c>
      <c r="F100" s="195">
        <v>280</v>
      </c>
      <c r="G100" s="239">
        <v>93</v>
      </c>
      <c r="H100" s="197" t="s">
        <v>79</v>
      </c>
      <c r="I100" s="242" t="s">
        <v>77</v>
      </c>
      <c r="J100" s="242" t="s">
        <v>8974</v>
      </c>
      <c r="K100" s="195" t="s">
        <v>71</v>
      </c>
      <c r="L100" s="20" t="str">
        <f ca="1">IF(OFFSET(환산공식!$ED$15,$F100,0)=1,"O","X")</f>
        <v>X</v>
      </c>
      <c r="M100" s="188">
        <f ca="1">IFERROR(OFFSET(환산공식!DJ$15,$F100,0),"")</f>
        <v>63.5</v>
      </c>
      <c r="N100" s="20" t="str">
        <f ca="1">IFERROR(CONCATENATE(ROUND(OFFSET(환산공식!DK$15,$F100,0),1),"%"),"")</f>
        <v>100%</v>
      </c>
      <c r="O100" s="20">
        <f ca="1">IFERROR(OFFSET(환산공식!DL$15,$F100,0),"")</f>
        <v>0</v>
      </c>
      <c r="P100" s="188" t="str">
        <f t="shared" ca="1" si="2"/>
        <v>3% 이하</v>
      </c>
      <c r="Q100" s="194">
        <f ca="1">IFERROR(ROUND(OFFSET(환산공식!$FG$15,$F100,0),3),"")</f>
        <v>0</v>
      </c>
      <c r="R100" s="194">
        <f ca="1">OFFSET('배치점수 계산기'!H$10,$D100,0)</f>
        <v>533.47699999999998</v>
      </c>
      <c r="S100" s="194">
        <f ca="1">OFFSET('배치점수 계산기'!I$10,$D100,0)</f>
        <v>532.48199999999997</v>
      </c>
      <c r="T100" s="194">
        <f ca="1">OFFSET('배치점수 계산기'!J$10,$D100,0)</f>
        <v>531.93600000000004</v>
      </c>
      <c r="U100" s="194">
        <f ca="1">OFFSET('배치점수 계산기'!K$10,$D100,0)</f>
        <v>531.05200000000002</v>
      </c>
      <c r="V100" s="194">
        <f ca="1">OFFSET('배치점수 계산기'!L$10,$D100,0)</f>
        <v>529.95799999999997</v>
      </c>
      <c r="W100" s="186" t="str">
        <f ca="1">OFFSET('배치점수 계산기'!M$10,$D100,0)</f>
        <v>표점</v>
      </c>
      <c r="X100" s="184" t="str">
        <f ca="1">OFFSET('배치점수 계산기'!N$10,$D100,0)</f>
        <v>변표</v>
      </c>
      <c r="Y100" s="188">
        <f ca="1">OFFSET(환산공식!FW$15,$F100,0)</f>
        <v>0.33</v>
      </c>
      <c r="Z100" s="20">
        <f ca="1">OFFSET(환산공식!FX$15,$F100,0)</f>
        <v>0.44</v>
      </c>
      <c r="AA100" s="179">
        <f ca="1">OFFSET(환산공식!FY$15,$F100,0)</f>
        <v>0.22</v>
      </c>
      <c r="AC100"/>
      <c r="AD100">
        <f t="shared" ca="1" si="3"/>
        <v>6</v>
      </c>
      <c r="AE100"/>
    </row>
    <row r="101" spans="1:31" s="3" customFormat="1">
      <c r="A101" s="198"/>
      <c r="B101" s="198"/>
      <c r="C101" s="198" t="s">
        <v>1553</v>
      </c>
      <c r="D101" s="195">
        <v>1087</v>
      </c>
      <c r="E101" s="195">
        <v>277</v>
      </c>
      <c r="F101" s="195">
        <v>277</v>
      </c>
      <c r="G101" s="239">
        <v>94</v>
      </c>
      <c r="H101" s="197" t="s">
        <v>79</v>
      </c>
      <c r="I101" s="242" t="s">
        <v>77</v>
      </c>
      <c r="J101" s="242" t="s">
        <v>8969</v>
      </c>
      <c r="K101" s="195" t="s">
        <v>71</v>
      </c>
      <c r="L101" s="20" t="str">
        <f ca="1">IF(OFFSET(환산공식!$ED$15,$F101,0)=1,"O","X")</f>
        <v>X</v>
      </c>
      <c r="M101" s="188">
        <f ca="1">IFERROR(OFFSET(환산공식!DJ$15,$F101,0),"")</f>
        <v>63.5</v>
      </c>
      <c r="N101" s="20" t="str">
        <f ca="1">IFERROR(CONCATENATE(ROUND(OFFSET(환산공식!DK$15,$F101,0),1),"%"),"")</f>
        <v>100%</v>
      </c>
      <c r="O101" s="20">
        <f ca="1">IFERROR(OFFSET(환산공식!DL$15,$F101,0),"")</f>
        <v>0</v>
      </c>
      <c r="P101" s="188" t="str">
        <f t="shared" ca="1" si="2"/>
        <v>3% 이하</v>
      </c>
      <c r="Q101" s="194">
        <f ca="1">IFERROR(ROUND(OFFSET(환산공식!$FG$15,$F101,0),3),"")</f>
        <v>0</v>
      </c>
      <c r="R101" s="194">
        <f ca="1">OFFSET('배치점수 계산기'!H$10,$D101,0)</f>
        <v>651.05799999999999</v>
      </c>
      <c r="S101" s="194">
        <f ca="1">OFFSET('배치점수 계산기'!I$10,$D101,0)</f>
        <v>649.81700000000001</v>
      </c>
      <c r="T101" s="194">
        <f ca="1">OFFSET('배치점수 계산기'!J$10,$D101,0)</f>
        <v>649.13800000000003</v>
      </c>
      <c r="U101" s="194">
        <f ca="1">OFFSET('배치점수 계산기'!K$10,$D101,0)</f>
        <v>648.03499999999997</v>
      </c>
      <c r="V101" s="194">
        <f ca="1">OFFSET('배치점수 계산기'!L$10,$D101,0)</f>
        <v>646.66999999999996</v>
      </c>
      <c r="W101" s="186" t="str">
        <f ca="1">OFFSET('배치점수 계산기'!M$10,$D101,0)</f>
        <v>표점</v>
      </c>
      <c r="X101" s="184" t="str">
        <f ca="1">OFFSET('배치점수 계산기'!N$10,$D101,0)</f>
        <v>변표</v>
      </c>
      <c r="Y101" s="188">
        <f ca="1">OFFSET(환산공식!FW$15,$F101,0)</f>
        <v>0.33</v>
      </c>
      <c r="Z101" s="20">
        <f ca="1">OFFSET(환산공식!FX$15,$F101,0)</f>
        <v>0.44</v>
      </c>
      <c r="AA101" s="179">
        <f ca="1">OFFSET(환산공식!FY$15,$F101,0)</f>
        <v>0.22</v>
      </c>
      <c r="AC101"/>
      <c r="AD101">
        <f t="shared" ca="1" si="3"/>
        <v>6</v>
      </c>
      <c r="AE101"/>
    </row>
    <row r="102" spans="1:31" s="3" customFormat="1">
      <c r="A102" s="198"/>
      <c r="B102" s="198"/>
      <c r="C102" s="198" t="s">
        <v>1554</v>
      </c>
      <c r="D102" s="195">
        <v>1088</v>
      </c>
      <c r="E102" s="195">
        <v>277</v>
      </c>
      <c r="F102" s="195">
        <v>277</v>
      </c>
      <c r="G102" s="239">
        <v>95</v>
      </c>
      <c r="H102" s="197" t="s">
        <v>79</v>
      </c>
      <c r="I102" s="242" t="s">
        <v>77</v>
      </c>
      <c r="J102" s="242" t="s">
        <v>8980</v>
      </c>
      <c r="K102" s="195" t="s">
        <v>71</v>
      </c>
      <c r="L102" s="20" t="str">
        <f ca="1">IF(OFFSET(환산공식!$ED$15,$F102,0)=1,"O","X")</f>
        <v>X</v>
      </c>
      <c r="M102" s="188">
        <f ca="1">IFERROR(OFFSET(환산공식!DJ$15,$F102,0),"")</f>
        <v>63.5</v>
      </c>
      <c r="N102" s="20" t="str">
        <f ca="1">IFERROR(CONCATENATE(ROUND(OFFSET(환산공식!DK$15,$F102,0),1),"%"),"")</f>
        <v>100%</v>
      </c>
      <c r="O102" s="20">
        <f ca="1">IFERROR(OFFSET(환산공식!DL$15,$F102,0),"")</f>
        <v>0</v>
      </c>
      <c r="P102" s="188" t="str">
        <f t="shared" ca="1" si="2"/>
        <v>3% 이하</v>
      </c>
      <c r="Q102" s="194">
        <f ca="1">IFERROR(ROUND(OFFSET(환산공식!$FG$15,$F102,0),3),"")</f>
        <v>0</v>
      </c>
      <c r="R102" s="194">
        <f ca="1">OFFSET('배치점수 계산기'!H$10,$D102,0)</f>
        <v>651.05799999999999</v>
      </c>
      <c r="S102" s="194">
        <f ca="1">OFFSET('배치점수 계산기'!I$10,$D102,0)</f>
        <v>649.69899999999996</v>
      </c>
      <c r="T102" s="194">
        <f ca="1">OFFSET('배치점수 계산기'!J$10,$D102,0)</f>
        <v>649.02</v>
      </c>
      <c r="U102" s="194">
        <f ca="1">OFFSET('배치점수 계산기'!K$10,$D102,0)</f>
        <v>647.39200000000005</v>
      </c>
      <c r="V102" s="194">
        <f ca="1">OFFSET('배치점수 계산기'!L$10,$D102,0)</f>
        <v>645.84199999999998</v>
      </c>
      <c r="W102" s="186" t="str">
        <f ca="1">OFFSET('배치점수 계산기'!M$10,$D102,0)</f>
        <v>표점</v>
      </c>
      <c r="X102" s="184" t="str">
        <f ca="1">OFFSET('배치점수 계산기'!N$10,$D102,0)</f>
        <v>변표</v>
      </c>
      <c r="Y102" s="188">
        <f ca="1">OFFSET(환산공식!FW$15,$F102,0)</f>
        <v>0.33</v>
      </c>
      <c r="Z102" s="20">
        <f ca="1">OFFSET(환산공식!FX$15,$F102,0)</f>
        <v>0.44</v>
      </c>
      <c r="AA102" s="179">
        <f ca="1">OFFSET(환산공식!FY$15,$F102,0)</f>
        <v>0.22</v>
      </c>
      <c r="AC102"/>
      <c r="AD102">
        <f t="shared" ca="1" si="3"/>
        <v>6</v>
      </c>
      <c r="AE102"/>
    </row>
    <row r="103" spans="1:31" s="3" customFormat="1">
      <c r="A103" s="198"/>
      <c r="B103" s="198"/>
      <c r="C103" s="198" t="s">
        <v>1555</v>
      </c>
      <c r="D103" s="195">
        <v>1089</v>
      </c>
      <c r="E103" s="195">
        <v>26</v>
      </c>
      <c r="F103" s="195">
        <v>26</v>
      </c>
      <c r="G103" s="239">
        <v>96</v>
      </c>
      <c r="H103" s="197" t="s">
        <v>79</v>
      </c>
      <c r="I103" s="242" t="s">
        <v>80</v>
      </c>
      <c r="J103" s="242" t="s">
        <v>8007</v>
      </c>
      <c r="K103" s="195" t="s">
        <v>70</v>
      </c>
      <c r="L103" s="20" t="str">
        <f ca="1">IF(OFFSET(환산공식!$ED$15,$F103,0)=1,"O","X")</f>
        <v>X</v>
      </c>
      <c r="M103" s="188">
        <f ca="1">IFERROR(OFFSET(환산공식!DJ$15,$F103,0),"")</f>
        <v>100</v>
      </c>
      <c r="N103" s="20" t="str">
        <f ca="1">IFERROR(CONCATENATE(ROUND(OFFSET(환산공식!DK$15,$F103,0),1),"%"),"")</f>
        <v>100%</v>
      </c>
      <c r="O103" s="20">
        <f ca="1">IFERROR(OFFSET(환산공식!DL$15,$F103,0),"")</f>
        <v>0</v>
      </c>
      <c r="P103" s="188" t="str">
        <f t="shared" ca="1" si="2"/>
        <v>3% 이하</v>
      </c>
      <c r="Q103" s="194">
        <f ca="1">IFERROR(ROUND(OFFSET(환산공식!$FG$15,$F103,0),3),"")</f>
        <v>0</v>
      </c>
      <c r="R103" s="194">
        <f ca="1">OFFSET('배치점수 계산기'!H$10,$D103,0)</f>
        <v>870.64099999999996</v>
      </c>
      <c r="S103" s="194">
        <f ca="1">OFFSET('배치점수 계산기'!I$10,$D103,0)</f>
        <v>866.875</v>
      </c>
      <c r="T103" s="194">
        <f ca="1">OFFSET('배치점수 계산기'!J$10,$D103,0)</f>
        <v>864.54499999999996</v>
      </c>
      <c r="U103" s="194">
        <f ca="1">OFFSET('배치점수 계산기'!K$10,$D103,0)</f>
        <v>859.63</v>
      </c>
      <c r="V103" s="194">
        <f ca="1">OFFSET('배치점수 계산기'!L$10,$D103,0)</f>
        <v>857.30499999999995</v>
      </c>
      <c r="W103" s="186" t="str">
        <f ca="1">OFFSET('배치점수 계산기'!M$10,$D103,0)</f>
        <v>표점/만점</v>
      </c>
      <c r="X103" s="184" t="str">
        <f ca="1">OFFSET('배치점수 계산기'!N$10,$D103,0)</f>
        <v>변표/만점</v>
      </c>
      <c r="Y103" s="188">
        <f ca="1">OFFSET(환산공식!FW$15,$F103,0)</f>
        <v>0.28000000000000003</v>
      </c>
      <c r="Z103" s="20">
        <f ca="1">OFFSET(환산공식!FX$15,$F103,0)</f>
        <v>0.44</v>
      </c>
      <c r="AA103" s="179">
        <f ca="1">OFFSET(환산공식!FY$15,$F103,0)</f>
        <v>0.28000000000000003</v>
      </c>
      <c r="AC103"/>
      <c r="AD103">
        <f t="shared" ca="1" si="3"/>
        <v>6</v>
      </c>
      <c r="AE103"/>
    </row>
    <row r="104" spans="1:31" s="3" customFormat="1">
      <c r="A104" s="198"/>
      <c r="B104" s="198"/>
      <c r="C104" s="198" t="s">
        <v>1556</v>
      </c>
      <c r="D104" s="195">
        <v>1090</v>
      </c>
      <c r="E104" s="195">
        <v>26</v>
      </c>
      <c r="F104" s="195">
        <v>26</v>
      </c>
      <c r="G104" s="239">
        <v>97</v>
      </c>
      <c r="H104" s="197" t="s">
        <v>79</v>
      </c>
      <c r="I104" s="242" t="s">
        <v>80</v>
      </c>
      <c r="J104" s="242" t="s">
        <v>8239</v>
      </c>
      <c r="K104" s="195" t="s">
        <v>70</v>
      </c>
      <c r="L104" s="20" t="str">
        <f ca="1">IF(OFFSET(환산공식!$ED$15,$F104,0)=1,"O","X")</f>
        <v>X</v>
      </c>
      <c r="M104" s="188">
        <f ca="1">IFERROR(OFFSET(환산공식!DJ$15,$F104,0),"")</f>
        <v>100</v>
      </c>
      <c r="N104" s="20" t="str">
        <f ca="1">IFERROR(CONCATENATE(ROUND(OFFSET(환산공식!DK$15,$F104,0),1),"%"),"")</f>
        <v>100%</v>
      </c>
      <c r="O104" s="20">
        <f ca="1">IFERROR(OFFSET(환산공식!DL$15,$F104,0),"")</f>
        <v>0</v>
      </c>
      <c r="P104" s="188" t="str">
        <f t="shared" ca="1" si="2"/>
        <v>3% 이하</v>
      </c>
      <c r="Q104" s="194">
        <f ca="1">IFERROR(ROUND(OFFSET(환산공식!$FG$15,$F104,0),3),"")</f>
        <v>0</v>
      </c>
      <c r="R104" s="194">
        <f ca="1">OFFSET('배치점수 계산기'!H$10,$D104,0)</f>
        <v>861.41600000000005</v>
      </c>
      <c r="S104" s="194">
        <f ca="1">OFFSET('배치점수 계산기'!I$10,$D104,0)</f>
        <v>859.16700000000003</v>
      </c>
      <c r="T104" s="194">
        <f ca="1">OFFSET('배치점수 계산기'!J$10,$D104,0)</f>
        <v>857.59699999999998</v>
      </c>
      <c r="U104" s="194">
        <f ca="1">OFFSET('배치점수 계산기'!K$10,$D104,0)</f>
        <v>851.01</v>
      </c>
      <c r="V104" s="194">
        <f ca="1">OFFSET('배치점수 계산기'!L$10,$D104,0)</f>
        <v>848.29200000000003</v>
      </c>
      <c r="W104" s="186" t="str">
        <f ca="1">OFFSET('배치점수 계산기'!M$10,$D104,0)</f>
        <v>표점/만점</v>
      </c>
      <c r="X104" s="184" t="str">
        <f ca="1">OFFSET('배치점수 계산기'!N$10,$D104,0)</f>
        <v>변표/만점</v>
      </c>
      <c r="Y104" s="188">
        <f ca="1">OFFSET(환산공식!FW$15,$F104,0)</f>
        <v>0.28000000000000003</v>
      </c>
      <c r="Z104" s="20">
        <f ca="1">OFFSET(환산공식!FX$15,$F104,0)</f>
        <v>0.44</v>
      </c>
      <c r="AA104" s="179">
        <f ca="1">OFFSET(환산공식!FY$15,$F104,0)</f>
        <v>0.28000000000000003</v>
      </c>
      <c r="AC104"/>
      <c r="AD104">
        <f t="shared" ca="1" si="3"/>
        <v>6</v>
      </c>
      <c r="AE104"/>
    </row>
    <row r="105" spans="1:31" s="3" customFormat="1">
      <c r="A105" s="198"/>
      <c r="B105" s="198"/>
      <c r="C105" s="198" t="s">
        <v>1557</v>
      </c>
      <c r="D105" s="195">
        <v>1091</v>
      </c>
      <c r="E105" s="195">
        <v>26</v>
      </c>
      <c r="F105" s="195">
        <v>26</v>
      </c>
      <c r="G105" s="239">
        <v>98</v>
      </c>
      <c r="H105" s="197" t="s">
        <v>79</v>
      </c>
      <c r="I105" s="242" t="s">
        <v>80</v>
      </c>
      <c r="J105" s="242" t="s">
        <v>8396</v>
      </c>
      <c r="K105" s="195" t="s">
        <v>70</v>
      </c>
      <c r="L105" s="20" t="str">
        <f ca="1">IF(OFFSET(환산공식!$ED$15,$F105,0)=1,"O","X")</f>
        <v>X</v>
      </c>
      <c r="M105" s="188">
        <f ca="1">IFERROR(OFFSET(환산공식!DJ$15,$F105,0),"")</f>
        <v>100</v>
      </c>
      <c r="N105" s="20" t="str">
        <f ca="1">IFERROR(CONCATENATE(ROUND(OFFSET(환산공식!DK$15,$F105,0),1),"%"),"")</f>
        <v>100%</v>
      </c>
      <c r="O105" s="20">
        <f ca="1">IFERROR(OFFSET(환산공식!DL$15,$F105,0),"")</f>
        <v>0</v>
      </c>
      <c r="P105" s="188" t="str">
        <f t="shared" ca="1" si="2"/>
        <v>3% 이하</v>
      </c>
      <c r="Q105" s="194">
        <f ca="1">IFERROR(ROUND(OFFSET(환산공식!$FG$15,$F105,0),3),"")</f>
        <v>0</v>
      </c>
      <c r="R105" s="194">
        <f ca="1">OFFSET('배치점수 계산기'!H$10,$D105,0)</f>
        <v>851.58799999999997</v>
      </c>
      <c r="S105" s="194">
        <f ca="1">OFFSET('배치점수 계산기'!I$10,$D105,0)</f>
        <v>850.85699999999997</v>
      </c>
      <c r="T105" s="194">
        <f ca="1">OFFSET('배치점수 계산기'!J$10,$D105,0)</f>
        <v>849.79700000000003</v>
      </c>
      <c r="U105" s="194">
        <f ca="1">OFFSET('배치점수 계산기'!K$10,$D105,0)</f>
        <v>847.83299999999997</v>
      </c>
      <c r="V105" s="194">
        <f ca="1">OFFSET('배치점수 계산기'!L$10,$D105,0)</f>
        <v>847.12699999999995</v>
      </c>
      <c r="W105" s="186" t="str">
        <f ca="1">OFFSET('배치점수 계산기'!M$10,$D105,0)</f>
        <v>표점/만점</v>
      </c>
      <c r="X105" s="184" t="str">
        <f ca="1">OFFSET('배치점수 계산기'!N$10,$D105,0)</f>
        <v>변표/만점</v>
      </c>
      <c r="Y105" s="188">
        <f ca="1">OFFSET(환산공식!FW$15,$F105,0)</f>
        <v>0.28000000000000003</v>
      </c>
      <c r="Z105" s="20">
        <f ca="1">OFFSET(환산공식!FX$15,$F105,0)</f>
        <v>0.44</v>
      </c>
      <c r="AA105" s="179">
        <f ca="1">OFFSET(환산공식!FY$15,$F105,0)</f>
        <v>0.28000000000000003</v>
      </c>
      <c r="AC105"/>
      <c r="AD105">
        <f t="shared" ca="1" si="3"/>
        <v>6</v>
      </c>
      <c r="AE105"/>
    </row>
    <row r="106" spans="1:31" s="3" customFormat="1">
      <c r="A106" s="198"/>
      <c r="B106" s="198"/>
      <c r="C106" s="198" t="s">
        <v>1558</v>
      </c>
      <c r="D106" s="195">
        <v>1092</v>
      </c>
      <c r="E106" s="195">
        <v>26</v>
      </c>
      <c r="F106" s="195">
        <v>26</v>
      </c>
      <c r="G106" s="239">
        <v>99</v>
      </c>
      <c r="H106" s="197" t="s">
        <v>79</v>
      </c>
      <c r="I106" s="242" t="s">
        <v>80</v>
      </c>
      <c r="J106" s="242" t="s">
        <v>8384</v>
      </c>
      <c r="K106" s="195" t="s">
        <v>70</v>
      </c>
      <c r="L106" s="20" t="str">
        <f ca="1">IF(OFFSET(환산공식!$ED$15,$F106,0)=1,"O","X")</f>
        <v>X</v>
      </c>
      <c r="M106" s="188">
        <f ca="1">IFERROR(OFFSET(환산공식!DJ$15,$F106,0),"")</f>
        <v>100</v>
      </c>
      <c r="N106" s="20" t="str">
        <f ca="1">IFERROR(CONCATENATE(ROUND(OFFSET(환산공식!DK$15,$F106,0),1),"%"),"")</f>
        <v>100%</v>
      </c>
      <c r="O106" s="20">
        <f ca="1">IFERROR(OFFSET(환산공식!DL$15,$F106,0),"")</f>
        <v>0</v>
      </c>
      <c r="P106" s="188" t="str">
        <f t="shared" ca="1" si="2"/>
        <v>3% 이하</v>
      </c>
      <c r="Q106" s="194">
        <f ca="1">IFERROR(ROUND(OFFSET(환산공식!$FG$15,$F106,0),3),"")</f>
        <v>0</v>
      </c>
      <c r="R106" s="194">
        <f ca="1">OFFSET('배치점수 계산기'!H$10,$D106,0)</f>
        <v>850.85699999999997</v>
      </c>
      <c r="S106" s="194">
        <f ca="1">OFFSET('배치점수 계산기'!I$10,$D106,0)</f>
        <v>850.20899999999995</v>
      </c>
      <c r="T106" s="194">
        <f ca="1">OFFSET('배치점수 계산기'!J$10,$D106,0)</f>
        <v>849.21900000000005</v>
      </c>
      <c r="U106" s="194">
        <f ca="1">OFFSET('배치점수 계산기'!K$10,$D106,0)</f>
        <v>847.50400000000002</v>
      </c>
      <c r="V106" s="194">
        <f ca="1">OFFSET('배치점수 계산기'!L$10,$D106,0)</f>
        <v>846.36900000000003</v>
      </c>
      <c r="W106" s="186" t="str">
        <f ca="1">OFFSET('배치점수 계산기'!M$10,$D106,0)</f>
        <v>표점/만점</v>
      </c>
      <c r="X106" s="184" t="str">
        <f ca="1">OFFSET('배치점수 계산기'!N$10,$D106,0)</f>
        <v>변표/만점</v>
      </c>
      <c r="Y106" s="188">
        <f ca="1">OFFSET(환산공식!FW$15,$F106,0)</f>
        <v>0.28000000000000003</v>
      </c>
      <c r="Z106" s="20">
        <f ca="1">OFFSET(환산공식!FX$15,$F106,0)</f>
        <v>0.44</v>
      </c>
      <c r="AA106" s="179">
        <f ca="1">OFFSET(환산공식!FY$15,$F106,0)</f>
        <v>0.28000000000000003</v>
      </c>
      <c r="AC106"/>
      <c r="AD106">
        <f t="shared" ca="1" si="3"/>
        <v>6</v>
      </c>
      <c r="AE106"/>
    </row>
    <row r="107" spans="1:31" s="3" customFormat="1">
      <c r="A107" s="198"/>
      <c r="B107" s="198"/>
      <c r="C107" s="198" t="s">
        <v>1559</v>
      </c>
      <c r="D107" s="195">
        <v>1093</v>
      </c>
      <c r="E107" s="195">
        <v>26</v>
      </c>
      <c r="F107" s="195">
        <v>26</v>
      </c>
      <c r="G107" s="239">
        <v>100</v>
      </c>
      <c r="H107" s="197" t="s">
        <v>79</v>
      </c>
      <c r="I107" s="242" t="s">
        <v>80</v>
      </c>
      <c r="J107" s="242" t="s">
        <v>8415</v>
      </c>
      <c r="K107" s="195" t="s">
        <v>70</v>
      </c>
      <c r="L107" s="20" t="str">
        <f ca="1">IF(OFFSET(환산공식!$ED$15,$F107,0)=1,"O","X")</f>
        <v>X</v>
      </c>
      <c r="M107" s="188">
        <f ca="1">IFERROR(OFFSET(환산공식!DJ$15,$F107,0),"")</f>
        <v>100</v>
      </c>
      <c r="N107" s="20" t="str">
        <f ca="1">IFERROR(CONCATENATE(ROUND(OFFSET(환산공식!DK$15,$F107,0),1),"%"),"")</f>
        <v>100%</v>
      </c>
      <c r="O107" s="20">
        <f ca="1">IFERROR(OFFSET(환산공식!DL$15,$F107,0),"")</f>
        <v>0</v>
      </c>
      <c r="P107" s="188" t="str">
        <f t="shared" ca="1" si="2"/>
        <v>3% 이하</v>
      </c>
      <c r="Q107" s="194">
        <f ca="1">IFERROR(ROUND(OFFSET(환산공식!$FG$15,$F107,0),3),"")</f>
        <v>0</v>
      </c>
      <c r="R107" s="194">
        <f ca="1">OFFSET('배치점수 계산기'!H$10,$D107,0)</f>
        <v>855.50099999999998</v>
      </c>
      <c r="S107" s="194">
        <f ca="1">OFFSET('배치점수 계산기'!I$10,$D107,0)</f>
        <v>851.01</v>
      </c>
      <c r="T107" s="194">
        <f ca="1">OFFSET('배치점수 계산기'!J$10,$D107,0)</f>
        <v>849.21900000000005</v>
      </c>
      <c r="U107" s="194">
        <f ca="1">OFFSET('배치점수 계산기'!K$10,$D107,0)</f>
        <v>847.43600000000004</v>
      </c>
      <c r="V107" s="194">
        <f ca="1">OFFSET('배치점수 계산기'!L$10,$D107,0)</f>
        <v>846.52200000000005</v>
      </c>
      <c r="W107" s="186" t="str">
        <f ca="1">OFFSET('배치점수 계산기'!M$10,$D107,0)</f>
        <v>표점/만점</v>
      </c>
      <c r="X107" s="184" t="str">
        <f ca="1">OFFSET('배치점수 계산기'!N$10,$D107,0)</f>
        <v>변표/만점</v>
      </c>
      <c r="Y107" s="188">
        <f ca="1">OFFSET(환산공식!FW$15,$F107,0)</f>
        <v>0.28000000000000003</v>
      </c>
      <c r="Z107" s="20">
        <f ca="1">OFFSET(환산공식!FX$15,$F107,0)</f>
        <v>0.44</v>
      </c>
      <c r="AA107" s="179">
        <f ca="1">OFFSET(환산공식!FY$15,$F107,0)</f>
        <v>0.28000000000000003</v>
      </c>
      <c r="AC107"/>
      <c r="AD107">
        <f t="shared" ca="1" si="3"/>
        <v>6</v>
      </c>
      <c r="AE107"/>
    </row>
    <row r="108" spans="1:31" s="3" customFormat="1">
      <c r="A108" s="198"/>
      <c r="B108" s="198"/>
      <c r="C108" s="198" t="s">
        <v>1560</v>
      </c>
      <c r="D108" s="195">
        <v>1094</v>
      </c>
      <c r="E108" s="195">
        <v>26</v>
      </c>
      <c r="F108" s="195">
        <v>26</v>
      </c>
      <c r="G108" s="239">
        <v>101</v>
      </c>
      <c r="H108" s="197" t="s">
        <v>79</v>
      </c>
      <c r="I108" s="242" t="s">
        <v>80</v>
      </c>
      <c r="J108" s="242" t="s">
        <v>8418</v>
      </c>
      <c r="K108" s="195" t="s">
        <v>70</v>
      </c>
      <c r="L108" s="20" t="str">
        <f ca="1">IF(OFFSET(환산공식!$ED$15,$F108,0)=1,"O","X")</f>
        <v>X</v>
      </c>
      <c r="M108" s="188">
        <f ca="1">IFERROR(OFFSET(환산공식!DJ$15,$F108,0),"")</f>
        <v>100</v>
      </c>
      <c r="N108" s="20" t="str">
        <f ca="1">IFERROR(CONCATENATE(ROUND(OFFSET(환산공식!DK$15,$F108,0),1),"%"),"")</f>
        <v>100%</v>
      </c>
      <c r="O108" s="20">
        <f ca="1">IFERROR(OFFSET(환산공식!DL$15,$F108,0),"")</f>
        <v>0</v>
      </c>
      <c r="P108" s="188" t="str">
        <f t="shared" ca="1" si="2"/>
        <v>3% 이하</v>
      </c>
      <c r="Q108" s="194">
        <f ca="1">IFERROR(ROUND(OFFSET(환산공식!$FG$15,$F108,0),3),"")</f>
        <v>0</v>
      </c>
      <c r="R108" s="194">
        <f ca="1">OFFSET('배치점수 계산기'!H$10,$D108,0)</f>
        <v>854.76199999999994</v>
      </c>
      <c r="S108" s="194">
        <f ca="1">OFFSET('배치점수 계산기'!I$10,$D108,0)</f>
        <v>851.01</v>
      </c>
      <c r="T108" s="194">
        <f ca="1">OFFSET('배치점수 계산기'!J$10,$D108,0)</f>
        <v>848.94100000000003</v>
      </c>
      <c r="U108" s="194">
        <f ca="1">OFFSET('배치점수 계산기'!K$10,$D108,0)</f>
        <v>847.72699999999998</v>
      </c>
      <c r="V108" s="194">
        <f ca="1">OFFSET('배치점수 계산기'!L$10,$D108,0)</f>
        <v>846.36900000000003</v>
      </c>
      <c r="W108" s="186" t="str">
        <f ca="1">OFFSET('배치점수 계산기'!M$10,$D108,0)</f>
        <v>표점/만점</v>
      </c>
      <c r="X108" s="184" t="str">
        <f ca="1">OFFSET('배치점수 계산기'!N$10,$D108,0)</f>
        <v>변표/만점</v>
      </c>
      <c r="Y108" s="188">
        <f ca="1">OFFSET(환산공식!FW$15,$F108,0)</f>
        <v>0.28000000000000003</v>
      </c>
      <c r="Z108" s="20">
        <f ca="1">OFFSET(환산공식!FX$15,$F108,0)</f>
        <v>0.44</v>
      </c>
      <c r="AA108" s="179">
        <f ca="1">OFFSET(환산공식!FY$15,$F108,0)</f>
        <v>0.28000000000000003</v>
      </c>
      <c r="AC108"/>
      <c r="AD108">
        <f t="shared" ca="1" si="3"/>
        <v>6</v>
      </c>
      <c r="AE108"/>
    </row>
    <row r="109" spans="1:31" s="3" customFormat="1">
      <c r="A109" s="198"/>
      <c r="B109" s="198"/>
      <c r="C109" s="198" t="s">
        <v>1561</v>
      </c>
      <c r="D109" s="195">
        <v>1095</v>
      </c>
      <c r="E109" s="195">
        <v>26</v>
      </c>
      <c r="F109" s="195">
        <v>26</v>
      </c>
      <c r="G109" s="239">
        <v>102</v>
      </c>
      <c r="H109" s="197" t="s">
        <v>79</v>
      </c>
      <c r="I109" s="242" t="s">
        <v>80</v>
      </c>
      <c r="J109" s="242" t="s">
        <v>8440</v>
      </c>
      <c r="K109" s="195" t="s">
        <v>70</v>
      </c>
      <c r="L109" s="20" t="str">
        <f ca="1">IF(OFFSET(환산공식!$ED$15,$F109,0)=1,"O","X")</f>
        <v>X</v>
      </c>
      <c r="M109" s="188">
        <f ca="1">IFERROR(OFFSET(환산공식!DJ$15,$F109,0),"")</f>
        <v>100</v>
      </c>
      <c r="N109" s="20" t="str">
        <f ca="1">IFERROR(CONCATENATE(ROUND(OFFSET(환산공식!DK$15,$F109,0),1),"%"),"")</f>
        <v>100%</v>
      </c>
      <c r="O109" s="20">
        <f ca="1">IFERROR(OFFSET(환산공식!DL$15,$F109,0),"")</f>
        <v>0</v>
      </c>
      <c r="P109" s="188" t="str">
        <f t="shared" ca="1" si="2"/>
        <v>3% 이하</v>
      </c>
      <c r="Q109" s="194">
        <f ca="1">IFERROR(ROUND(OFFSET(환산공식!$FG$15,$F109,0),3),"")</f>
        <v>0</v>
      </c>
      <c r="R109" s="194">
        <f ca="1">OFFSET('배치점수 계산기'!H$10,$D109,0)</f>
        <v>850.85699999999997</v>
      </c>
      <c r="S109" s="194">
        <f ca="1">OFFSET('배치점수 계산기'!I$10,$D109,0)</f>
        <v>849.79700000000003</v>
      </c>
      <c r="T109" s="194">
        <f ca="1">OFFSET('배치점수 계산기'!J$10,$D109,0)</f>
        <v>848.71900000000005</v>
      </c>
      <c r="U109" s="194">
        <f ca="1">OFFSET('배치점수 계산기'!K$10,$D109,0)</f>
        <v>846.36900000000003</v>
      </c>
      <c r="V109" s="194">
        <f ca="1">OFFSET('배치점수 계산기'!L$10,$D109,0)</f>
        <v>844.01099999999997</v>
      </c>
      <c r="W109" s="186" t="str">
        <f ca="1">OFFSET('배치점수 계산기'!M$10,$D109,0)</f>
        <v>표점/만점</v>
      </c>
      <c r="X109" s="184" t="str">
        <f ca="1">OFFSET('배치점수 계산기'!N$10,$D109,0)</f>
        <v>변표/만점</v>
      </c>
      <c r="Y109" s="188">
        <f ca="1">OFFSET(환산공식!FW$15,$F109,0)</f>
        <v>0.28000000000000003</v>
      </c>
      <c r="Z109" s="20">
        <f ca="1">OFFSET(환산공식!FX$15,$F109,0)</f>
        <v>0.44</v>
      </c>
      <c r="AA109" s="179">
        <f ca="1">OFFSET(환산공식!FY$15,$F109,0)</f>
        <v>0.28000000000000003</v>
      </c>
      <c r="AC109"/>
      <c r="AD109">
        <f t="shared" ca="1" si="3"/>
        <v>6</v>
      </c>
      <c r="AE109"/>
    </row>
    <row r="110" spans="1:31" s="3" customFormat="1">
      <c r="A110" s="198"/>
      <c r="B110" s="198"/>
      <c r="C110" s="198" t="s">
        <v>1562</v>
      </c>
      <c r="D110" s="195">
        <v>1096</v>
      </c>
      <c r="E110" s="195">
        <v>26</v>
      </c>
      <c r="F110" s="195">
        <v>26</v>
      </c>
      <c r="G110" s="239">
        <v>103</v>
      </c>
      <c r="H110" s="197" t="s">
        <v>79</v>
      </c>
      <c r="I110" s="242" t="s">
        <v>80</v>
      </c>
      <c r="J110" s="242" t="s">
        <v>8443</v>
      </c>
      <c r="K110" s="195" t="s">
        <v>70</v>
      </c>
      <c r="L110" s="20" t="str">
        <f ca="1">IF(OFFSET(환산공식!$ED$15,$F110,0)=1,"O","X")</f>
        <v>X</v>
      </c>
      <c r="M110" s="188">
        <f ca="1">IFERROR(OFFSET(환산공식!DJ$15,$F110,0),"")</f>
        <v>100</v>
      </c>
      <c r="N110" s="20" t="str">
        <f ca="1">IFERROR(CONCATENATE(ROUND(OFFSET(환산공식!DK$15,$F110,0),1),"%"),"")</f>
        <v>100%</v>
      </c>
      <c r="O110" s="20">
        <f ca="1">IFERROR(OFFSET(환산공식!DL$15,$F110,0),"")</f>
        <v>0</v>
      </c>
      <c r="P110" s="188" t="str">
        <f t="shared" ca="1" si="2"/>
        <v>3% 이하</v>
      </c>
      <c r="Q110" s="194">
        <f ca="1">IFERROR(ROUND(OFFSET(환산공식!$FG$15,$F110,0),3),"")</f>
        <v>0</v>
      </c>
      <c r="R110" s="194">
        <f ca="1">OFFSET('배치점수 계산기'!H$10,$D110,0)</f>
        <v>849.21900000000005</v>
      </c>
      <c r="S110" s="194">
        <f ca="1">OFFSET('배치점수 계산기'!I$10,$D110,0)</f>
        <v>848.71900000000005</v>
      </c>
      <c r="T110" s="194">
        <f ca="1">OFFSET('배치점수 계산기'!J$10,$D110,0)</f>
        <v>847.72699999999998</v>
      </c>
      <c r="U110" s="194">
        <f ca="1">OFFSET('배치점수 계산기'!K$10,$D110,0)</f>
        <v>846.21600000000001</v>
      </c>
      <c r="V110" s="194">
        <f ca="1">OFFSET('배치점수 계산기'!L$10,$D110,0)</f>
        <v>843.35500000000002</v>
      </c>
      <c r="W110" s="186" t="str">
        <f ca="1">OFFSET('배치점수 계산기'!M$10,$D110,0)</f>
        <v>표점/만점</v>
      </c>
      <c r="X110" s="184" t="str">
        <f ca="1">OFFSET('배치점수 계산기'!N$10,$D110,0)</f>
        <v>변표/만점</v>
      </c>
      <c r="Y110" s="188">
        <f ca="1">OFFSET(환산공식!FW$15,$F110,0)</f>
        <v>0.28000000000000003</v>
      </c>
      <c r="Z110" s="20">
        <f ca="1">OFFSET(환산공식!FX$15,$F110,0)</f>
        <v>0.44</v>
      </c>
      <c r="AA110" s="179">
        <f ca="1">OFFSET(환산공식!FY$15,$F110,0)</f>
        <v>0.28000000000000003</v>
      </c>
      <c r="AC110"/>
      <c r="AD110">
        <f t="shared" ca="1" si="3"/>
        <v>6</v>
      </c>
      <c r="AE110"/>
    </row>
    <row r="111" spans="1:31" s="3" customFormat="1">
      <c r="A111" s="198"/>
      <c r="B111" s="198"/>
      <c r="C111" s="198" t="s">
        <v>1563</v>
      </c>
      <c r="D111" s="195">
        <v>1097</v>
      </c>
      <c r="E111" s="195">
        <v>26</v>
      </c>
      <c r="F111" s="195">
        <v>26</v>
      </c>
      <c r="G111" s="239">
        <v>104</v>
      </c>
      <c r="H111" s="197" t="s">
        <v>79</v>
      </c>
      <c r="I111" s="242" t="s">
        <v>80</v>
      </c>
      <c r="J111" s="242" t="s">
        <v>8502</v>
      </c>
      <c r="K111" s="195" t="s">
        <v>70</v>
      </c>
      <c r="L111" s="20" t="str">
        <f ca="1">IF(OFFSET(환산공식!$ED$15,$F111,0)=1,"O","X")</f>
        <v>X</v>
      </c>
      <c r="M111" s="188">
        <f ca="1">IFERROR(OFFSET(환산공식!DJ$15,$F111,0),"")</f>
        <v>100</v>
      </c>
      <c r="N111" s="20" t="str">
        <f ca="1">IFERROR(CONCATENATE(ROUND(OFFSET(환산공식!DK$15,$F111,0),1),"%"),"")</f>
        <v>100%</v>
      </c>
      <c r="O111" s="20">
        <f ca="1">IFERROR(OFFSET(환산공식!DL$15,$F111,0),"")</f>
        <v>0</v>
      </c>
      <c r="P111" s="188" t="str">
        <f t="shared" ca="1" si="2"/>
        <v>3% 이하</v>
      </c>
      <c r="Q111" s="194">
        <f ca="1">IFERROR(ROUND(OFFSET(환산공식!$FG$15,$F111,0),3),"")</f>
        <v>0</v>
      </c>
      <c r="R111" s="194">
        <f ca="1">OFFSET('배치점수 계산기'!H$10,$D111,0)</f>
        <v>849.79700000000003</v>
      </c>
      <c r="S111" s="194">
        <f ca="1">OFFSET('배치점수 계산기'!I$10,$D111,0)</f>
        <v>848.94100000000003</v>
      </c>
      <c r="T111" s="194">
        <f ca="1">OFFSET('배치점수 계산기'!J$10,$D111,0)</f>
        <v>847.72699999999998</v>
      </c>
      <c r="U111" s="194">
        <f ca="1">OFFSET('배치점수 계산기'!K$10,$D111,0)</f>
        <v>845.55600000000004</v>
      </c>
      <c r="V111" s="194">
        <f ca="1">OFFSET('배치점수 계산기'!L$10,$D111,0)</f>
        <v>843.125</v>
      </c>
      <c r="W111" s="186" t="str">
        <f ca="1">OFFSET('배치점수 계산기'!M$10,$D111,0)</f>
        <v>표점/만점</v>
      </c>
      <c r="X111" s="184" t="str">
        <f ca="1">OFFSET('배치점수 계산기'!N$10,$D111,0)</f>
        <v>변표/만점</v>
      </c>
      <c r="Y111" s="188">
        <f ca="1">OFFSET(환산공식!FW$15,$F111,0)</f>
        <v>0.28000000000000003</v>
      </c>
      <c r="Z111" s="20">
        <f ca="1">OFFSET(환산공식!FX$15,$F111,0)</f>
        <v>0.44</v>
      </c>
      <c r="AA111" s="179">
        <f ca="1">OFFSET(환산공식!FY$15,$F111,0)</f>
        <v>0.28000000000000003</v>
      </c>
      <c r="AC111"/>
      <c r="AD111">
        <f t="shared" ca="1" si="3"/>
        <v>6</v>
      </c>
      <c r="AE111"/>
    </row>
    <row r="112" spans="1:31" s="3" customFormat="1">
      <c r="A112" s="198"/>
      <c r="B112" s="198"/>
      <c r="C112" s="198" t="s">
        <v>1564</v>
      </c>
      <c r="D112" s="195">
        <v>1098</v>
      </c>
      <c r="E112" s="195">
        <v>26</v>
      </c>
      <c r="F112" s="195">
        <v>26</v>
      </c>
      <c r="G112" s="239">
        <v>105</v>
      </c>
      <c r="H112" s="197" t="s">
        <v>79</v>
      </c>
      <c r="I112" s="242" t="s">
        <v>80</v>
      </c>
      <c r="J112" s="242" t="s">
        <v>551</v>
      </c>
      <c r="K112" s="195" t="s">
        <v>70</v>
      </c>
      <c r="L112" s="20" t="str">
        <f ca="1">IF(OFFSET(환산공식!$ED$15,$F112,0)=1,"O","X")</f>
        <v>X</v>
      </c>
      <c r="M112" s="188">
        <f ca="1">IFERROR(OFFSET(환산공식!DJ$15,$F112,0),"")</f>
        <v>100</v>
      </c>
      <c r="N112" s="20" t="str">
        <f ca="1">IFERROR(CONCATENATE(ROUND(OFFSET(환산공식!DK$15,$F112,0),1),"%"),"")</f>
        <v>100%</v>
      </c>
      <c r="O112" s="20">
        <f ca="1">IFERROR(OFFSET(환산공식!DL$15,$F112,0),"")</f>
        <v>0</v>
      </c>
      <c r="P112" s="188" t="str">
        <f t="shared" ca="1" si="2"/>
        <v>3% 이하</v>
      </c>
      <c r="Q112" s="194">
        <f ca="1">IFERROR(ROUND(OFFSET(환산공식!$FG$15,$F112,0),3),"")</f>
        <v>0</v>
      </c>
      <c r="R112" s="194">
        <f ca="1">OFFSET('배치점수 계산기'!H$10,$D112,0)</f>
        <v>849.60400000000004</v>
      </c>
      <c r="S112" s="194">
        <f ca="1">OFFSET('배치점수 계산기'!I$10,$D112,0)</f>
        <v>848.71900000000005</v>
      </c>
      <c r="T112" s="194">
        <f ca="1">OFFSET('배치점수 계산기'!J$10,$D112,0)</f>
        <v>847.72699999999998</v>
      </c>
      <c r="U112" s="194">
        <f ca="1">OFFSET('배치점수 계산기'!K$10,$D112,0)</f>
        <v>846.21600000000001</v>
      </c>
      <c r="V112" s="194">
        <f ca="1">OFFSET('배치점수 계산기'!L$10,$D112,0)</f>
        <v>844.553</v>
      </c>
      <c r="W112" s="186" t="str">
        <f ca="1">OFFSET('배치점수 계산기'!M$10,$D112,0)</f>
        <v>표점/만점</v>
      </c>
      <c r="X112" s="184" t="str">
        <f ca="1">OFFSET('배치점수 계산기'!N$10,$D112,0)</f>
        <v>변표/만점</v>
      </c>
      <c r="Y112" s="188">
        <f ca="1">OFFSET(환산공식!FW$15,$F112,0)</f>
        <v>0.28000000000000003</v>
      </c>
      <c r="Z112" s="20">
        <f ca="1">OFFSET(환산공식!FX$15,$F112,0)</f>
        <v>0.44</v>
      </c>
      <c r="AA112" s="179">
        <f ca="1">OFFSET(환산공식!FY$15,$F112,0)</f>
        <v>0.28000000000000003</v>
      </c>
      <c r="AC112"/>
      <c r="AD112">
        <f t="shared" ca="1" si="3"/>
        <v>6</v>
      </c>
      <c r="AE112"/>
    </row>
    <row r="113" spans="1:31" s="3" customFormat="1">
      <c r="A113" s="198"/>
      <c r="B113" s="198"/>
      <c r="C113" s="198" t="s">
        <v>1565</v>
      </c>
      <c r="D113" s="195">
        <v>1099</v>
      </c>
      <c r="E113" s="195">
        <v>26</v>
      </c>
      <c r="F113" s="195">
        <v>26</v>
      </c>
      <c r="G113" s="239">
        <v>106</v>
      </c>
      <c r="H113" s="197" t="s">
        <v>79</v>
      </c>
      <c r="I113" s="242" t="s">
        <v>80</v>
      </c>
      <c r="J113" s="242" t="s">
        <v>8538</v>
      </c>
      <c r="K113" s="195" t="s">
        <v>70</v>
      </c>
      <c r="L113" s="20" t="str">
        <f ca="1">IF(OFFSET(환산공식!$ED$15,$F113,0)=1,"O","X")</f>
        <v>X</v>
      </c>
      <c r="M113" s="188">
        <f ca="1">IFERROR(OFFSET(환산공식!DJ$15,$F113,0),"")</f>
        <v>100</v>
      </c>
      <c r="N113" s="20" t="str">
        <f ca="1">IFERROR(CONCATENATE(ROUND(OFFSET(환산공식!DK$15,$F113,0),1),"%"),"")</f>
        <v>100%</v>
      </c>
      <c r="O113" s="20">
        <f ca="1">IFERROR(OFFSET(환산공식!DL$15,$F113,0),"")</f>
        <v>0</v>
      </c>
      <c r="P113" s="188" t="str">
        <f t="shared" ca="1" si="2"/>
        <v>3% 이하</v>
      </c>
      <c r="Q113" s="194">
        <f ca="1">IFERROR(ROUND(OFFSET(환산공식!$FG$15,$F113,0),3),"")</f>
        <v>0</v>
      </c>
      <c r="R113" s="194">
        <f ca="1">OFFSET('배치점수 계산기'!H$10,$D113,0)</f>
        <v>849.60400000000004</v>
      </c>
      <c r="S113" s="194">
        <f ca="1">OFFSET('배치점수 계산기'!I$10,$D113,0)</f>
        <v>848.71900000000005</v>
      </c>
      <c r="T113" s="194">
        <f ca="1">OFFSET('배치점수 계산기'!J$10,$D113,0)</f>
        <v>847.72699999999998</v>
      </c>
      <c r="U113" s="194">
        <f ca="1">OFFSET('배치점수 계산기'!K$10,$D113,0)</f>
        <v>846.52200000000005</v>
      </c>
      <c r="V113" s="194">
        <f ca="1">OFFSET('배치점수 계산기'!L$10,$D113,0)</f>
        <v>844.69200000000001</v>
      </c>
      <c r="W113" s="186" t="str">
        <f ca="1">OFFSET('배치점수 계산기'!M$10,$D113,0)</f>
        <v>표점/만점</v>
      </c>
      <c r="X113" s="184" t="str">
        <f ca="1">OFFSET('배치점수 계산기'!N$10,$D113,0)</f>
        <v>변표/만점</v>
      </c>
      <c r="Y113" s="188">
        <f ca="1">OFFSET(환산공식!FW$15,$F113,0)</f>
        <v>0.28000000000000003</v>
      </c>
      <c r="Z113" s="20">
        <f ca="1">OFFSET(환산공식!FX$15,$F113,0)</f>
        <v>0.44</v>
      </c>
      <c r="AA113" s="179">
        <f ca="1">OFFSET(환산공식!FY$15,$F113,0)</f>
        <v>0.28000000000000003</v>
      </c>
      <c r="AC113"/>
      <c r="AD113">
        <f t="shared" ca="1" si="3"/>
        <v>6</v>
      </c>
      <c r="AE113"/>
    </row>
    <row r="114" spans="1:31" s="3" customFormat="1">
      <c r="A114" s="198"/>
      <c r="B114" s="198"/>
      <c r="C114" s="198" t="s">
        <v>1566</v>
      </c>
      <c r="D114" s="195">
        <v>1100</v>
      </c>
      <c r="E114" s="195">
        <v>26</v>
      </c>
      <c r="F114" s="195">
        <v>26</v>
      </c>
      <c r="G114" s="239">
        <v>107</v>
      </c>
      <c r="H114" s="197" t="s">
        <v>79</v>
      </c>
      <c r="I114" s="242" t="s">
        <v>80</v>
      </c>
      <c r="J114" s="242" t="s">
        <v>8614</v>
      </c>
      <c r="K114" s="195" t="s">
        <v>70</v>
      </c>
      <c r="L114" s="20" t="str">
        <f ca="1">IF(OFFSET(환산공식!$ED$15,$F114,0)=1,"O","X")</f>
        <v>X</v>
      </c>
      <c r="M114" s="188">
        <f ca="1">IFERROR(OFFSET(환산공식!DJ$15,$F114,0),"")</f>
        <v>100</v>
      </c>
      <c r="N114" s="20" t="str">
        <f ca="1">IFERROR(CONCATENATE(ROUND(OFFSET(환산공식!DK$15,$F114,0),1),"%"),"")</f>
        <v>100%</v>
      </c>
      <c r="O114" s="20">
        <f ca="1">IFERROR(OFFSET(환산공식!DL$15,$F114,0),"")</f>
        <v>0</v>
      </c>
      <c r="P114" s="188" t="str">
        <f t="shared" ca="1" si="2"/>
        <v>3% 이하</v>
      </c>
      <c r="Q114" s="194">
        <f ca="1">IFERROR(ROUND(OFFSET(환산공식!$FG$15,$F114,0),3),"")</f>
        <v>0</v>
      </c>
      <c r="R114" s="194">
        <f ca="1">OFFSET('배치점수 계산기'!H$10,$D114,0)</f>
        <v>848.94100000000003</v>
      </c>
      <c r="S114" s="194">
        <f ca="1">OFFSET('배치점수 계산기'!I$10,$D114,0)</f>
        <v>848.13900000000001</v>
      </c>
      <c r="T114" s="194">
        <f ca="1">OFFSET('배치점수 계산기'!J$10,$D114,0)</f>
        <v>847.50400000000002</v>
      </c>
      <c r="U114" s="194">
        <f ca="1">OFFSET('배치점수 계산기'!K$10,$D114,0)</f>
        <v>846.36900000000003</v>
      </c>
      <c r="V114" s="194">
        <f ca="1">OFFSET('배치점수 계산기'!L$10,$D114,0)</f>
        <v>845.25699999999995</v>
      </c>
      <c r="W114" s="186" t="str">
        <f ca="1">OFFSET('배치점수 계산기'!M$10,$D114,0)</f>
        <v>표점/만점</v>
      </c>
      <c r="X114" s="184" t="str">
        <f ca="1">OFFSET('배치점수 계산기'!N$10,$D114,0)</f>
        <v>변표/만점</v>
      </c>
      <c r="Y114" s="188">
        <f ca="1">OFFSET(환산공식!FW$15,$F114,0)</f>
        <v>0.28000000000000003</v>
      </c>
      <c r="Z114" s="20">
        <f ca="1">OFFSET(환산공식!FX$15,$F114,0)</f>
        <v>0.44</v>
      </c>
      <c r="AA114" s="179">
        <f ca="1">OFFSET(환산공식!FY$15,$F114,0)</f>
        <v>0.28000000000000003</v>
      </c>
      <c r="AC114"/>
      <c r="AD114">
        <f t="shared" ca="1" si="3"/>
        <v>6</v>
      </c>
      <c r="AE114"/>
    </row>
    <row r="115" spans="1:31" s="3" customFormat="1">
      <c r="A115" s="198"/>
      <c r="B115" s="198"/>
      <c r="C115" s="198" t="s">
        <v>1567</v>
      </c>
      <c r="D115" s="195">
        <v>1101</v>
      </c>
      <c r="E115" s="195">
        <v>29</v>
      </c>
      <c r="F115" s="195">
        <v>29</v>
      </c>
      <c r="G115" s="239">
        <v>108</v>
      </c>
      <c r="H115" s="197" t="s">
        <v>79</v>
      </c>
      <c r="I115" s="242" t="s">
        <v>80</v>
      </c>
      <c r="J115" s="242" t="s">
        <v>8563</v>
      </c>
      <c r="K115" s="195" t="s">
        <v>71</v>
      </c>
      <c r="L115" s="20" t="str">
        <f ca="1">IF(OFFSET(환산공식!$ED$15,$F115,0)=1,"O","X")</f>
        <v>X</v>
      </c>
      <c r="M115" s="188">
        <f ca="1">IFERROR(OFFSET(환산공식!DJ$15,$F115,0),"")</f>
        <v>100</v>
      </c>
      <c r="N115" s="20" t="str">
        <f ca="1">IFERROR(CONCATENATE(ROUND(OFFSET(환산공식!DK$15,$F115,0),1),"%"),"")</f>
        <v>100%</v>
      </c>
      <c r="O115" s="20">
        <f ca="1">IFERROR(OFFSET(환산공식!DL$15,$F115,0),"")</f>
        <v>0</v>
      </c>
      <c r="P115" s="188" t="str">
        <f t="shared" ca="1" si="2"/>
        <v>3% 이하</v>
      </c>
      <c r="Q115" s="194">
        <f ca="1">IFERROR(ROUND(OFFSET(환산공식!$FG$15,$F115,0),3),"")</f>
        <v>0</v>
      </c>
      <c r="R115" s="194">
        <f ca="1">OFFSET('배치점수 계산기'!H$10,$D115,0)</f>
        <v>849.13900000000001</v>
      </c>
      <c r="S115" s="194">
        <f ca="1">OFFSET('배치점수 계산기'!I$10,$D115,0)</f>
        <v>848.30399999999997</v>
      </c>
      <c r="T115" s="194">
        <f ca="1">OFFSET('배치점수 계산기'!J$10,$D115,0)</f>
        <v>846.62</v>
      </c>
      <c r="U115" s="194">
        <f ca="1">OFFSET('배치점수 계산기'!K$10,$D115,0)</f>
        <v>844.61199999999997</v>
      </c>
      <c r="V115" s="194">
        <f ca="1">OFFSET('배치점수 계산기'!L$10,$D115,0)</f>
        <v>843.03599999999994</v>
      </c>
      <c r="W115" s="186" t="str">
        <f ca="1">OFFSET('배치점수 계산기'!M$10,$D115,0)</f>
        <v>표점/만점</v>
      </c>
      <c r="X115" s="184" t="str">
        <f ca="1">OFFSET('배치점수 계산기'!N$10,$D115,0)</f>
        <v>변표/만점</v>
      </c>
      <c r="Y115" s="188">
        <f ca="1">OFFSET(환산공식!FW$15,$F115,0)</f>
        <v>0.39</v>
      </c>
      <c r="Z115" s="20">
        <f ca="1">OFFSET(환산공식!FX$15,$F115,0)</f>
        <v>0.39</v>
      </c>
      <c r="AA115" s="179">
        <f ca="1">OFFSET(환산공식!FY$15,$F115,0)</f>
        <v>0.22</v>
      </c>
      <c r="AC115"/>
      <c r="AD115">
        <f t="shared" ca="1" si="3"/>
        <v>6</v>
      </c>
      <c r="AE115"/>
    </row>
    <row r="116" spans="1:31" s="3" customFormat="1">
      <c r="A116" s="198"/>
      <c r="B116" s="198"/>
      <c r="C116" s="198" t="s">
        <v>1568</v>
      </c>
      <c r="D116" s="195">
        <v>1102</v>
      </c>
      <c r="E116" s="195">
        <v>29</v>
      </c>
      <c r="F116" s="195">
        <v>29</v>
      </c>
      <c r="G116" s="239">
        <v>109</v>
      </c>
      <c r="H116" s="197" t="s">
        <v>79</v>
      </c>
      <c r="I116" s="242" t="s">
        <v>80</v>
      </c>
      <c r="J116" s="242" t="s">
        <v>8898</v>
      </c>
      <c r="K116" s="195" t="s">
        <v>71</v>
      </c>
      <c r="L116" s="20" t="str">
        <f ca="1">IF(OFFSET(환산공식!$ED$15,$F116,0)=1,"O","X")</f>
        <v>X</v>
      </c>
      <c r="M116" s="188">
        <f ca="1">IFERROR(OFFSET(환산공식!DJ$15,$F116,0),"")</f>
        <v>100</v>
      </c>
      <c r="N116" s="20" t="str">
        <f ca="1">IFERROR(CONCATENATE(ROUND(OFFSET(환산공식!DK$15,$F116,0),1),"%"),"")</f>
        <v>100%</v>
      </c>
      <c r="O116" s="20">
        <f ca="1">IFERROR(OFFSET(환산공식!DL$15,$F116,0),"")</f>
        <v>0</v>
      </c>
      <c r="P116" s="188" t="str">
        <f t="shared" ca="1" si="2"/>
        <v>3% 이하</v>
      </c>
      <c r="Q116" s="194">
        <f ca="1">IFERROR(ROUND(OFFSET(환산공식!$FG$15,$F116,0),3),"")</f>
        <v>0</v>
      </c>
      <c r="R116" s="194">
        <f ca="1">OFFSET('배치점수 계산기'!H$10,$D116,0)</f>
        <v>844.15700000000004</v>
      </c>
      <c r="S116" s="194">
        <f ca="1">OFFSET('배치점수 계산기'!I$10,$D116,0)</f>
        <v>843.03599999999994</v>
      </c>
      <c r="T116" s="194">
        <f ca="1">OFFSET('배치점수 계산기'!J$10,$D116,0)</f>
        <v>841.96400000000006</v>
      </c>
      <c r="U116" s="194">
        <f ca="1">OFFSET('배치점수 계산기'!K$10,$D116,0)</f>
        <v>841.05600000000004</v>
      </c>
      <c r="V116" s="194">
        <f ca="1">OFFSET('배치점수 계산기'!L$10,$D116,0)</f>
        <v>837.529</v>
      </c>
      <c r="W116" s="186" t="str">
        <f ca="1">OFFSET('배치점수 계산기'!M$10,$D116,0)</f>
        <v>표점/만점</v>
      </c>
      <c r="X116" s="184" t="str">
        <f ca="1">OFFSET('배치점수 계산기'!N$10,$D116,0)</f>
        <v>변표/만점</v>
      </c>
      <c r="Y116" s="188">
        <f ca="1">OFFSET(환산공식!FW$15,$F116,0)</f>
        <v>0.39</v>
      </c>
      <c r="Z116" s="20">
        <f ca="1">OFFSET(환산공식!FX$15,$F116,0)</f>
        <v>0.39</v>
      </c>
      <c r="AA116" s="179">
        <f ca="1">OFFSET(환산공식!FY$15,$F116,0)</f>
        <v>0.22</v>
      </c>
      <c r="AC116"/>
      <c r="AD116">
        <f t="shared" ca="1" si="3"/>
        <v>6</v>
      </c>
      <c r="AE116"/>
    </row>
    <row r="117" spans="1:31" s="3" customFormat="1">
      <c r="A117" s="198"/>
      <c r="B117" s="198"/>
      <c r="C117" s="198" t="s">
        <v>1569</v>
      </c>
      <c r="D117" s="195">
        <v>1103</v>
      </c>
      <c r="E117" s="195">
        <v>28</v>
      </c>
      <c r="F117" s="195">
        <v>28</v>
      </c>
      <c r="G117" s="239">
        <v>110</v>
      </c>
      <c r="H117" s="197" t="s">
        <v>79</v>
      </c>
      <c r="I117" s="242" t="s">
        <v>80</v>
      </c>
      <c r="J117" s="242" t="s">
        <v>8997</v>
      </c>
      <c r="K117" s="195" t="s">
        <v>71</v>
      </c>
      <c r="L117" s="20" t="str">
        <f ca="1">IF(OFFSET(환산공식!$ED$15,$F117,0)=1,"O","X")</f>
        <v>X</v>
      </c>
      <c r="M117" s="188">
        <f ca="1">IFERROR(OFFSET(환산공식!DJ$15,$F117,0),"")</f>
        <v>100</v>
      </c>
      <c r="N117" s="20" t="str">
        <f ca="1">IFERROR(CONCATENATE(ROUND(OFFSET(환산공식!DK$15,$F117,0),1),"%"),"")</f>
        <v>100%</v>
      </c>
      <c r="O117" s="20">
        <f ca="1">IFERROR(OFFSET(환산공식!DL$15,$F117,0),"")</f>
        <v>0</v>
      </c>
      <c r="P117" s="188" t="str">
        <f t="shared" ca="1" si="2"/>
        <v>3% 이하</v>
      </c>
      <c r="Q117" s="194">
        <f ca="1">IFERROR(ROUND(OFFSET(환산공식!$FG$15,$F117,0),3),"")</f>
        <v>0</v>
      </c>
      <c r="R117" s="194">
        <f ca="1">OFFSET('배치점수 계산기'!H$10,$D117,0)</f>
        <v>843.928</v>
      </c>
      <c r="S117" s="194">
        <f ca="1">OFFSET('배치점수 계산기'!I$10,$D117,0)</f>
        <v>842.779</v>
      </c>
      <c r="T117" s="194">
        <f ca="1">OFFSET('배치점수 계산기'!J$10,$D117,0)</f>
        <v>842.04200000000003</v>
      </c>
      <c r="U117" s="194">
        <f ca="1">OFFSET('배치점수 계산기'!K$10,$D117,0)</f>
        <v>840.48500000000001</v>
      </c>
      <c r="V117" s="194">
        <f ca="1">OFFSET('배치점수 계산기'!L$10,$D117,0)</f>
        <v>839.57100000000003</v>
      </c>
      <c r="W117" s="186" t="str">
        <f ca="1">OFFSET('배치점수 계산기'!M$10,$D117,0)</f>
        <v>표점/만점</v>
      </c>
      <c r="X117" s="184" t="str">
        <f ca="1">OFFSET('배치점수 계산기'!N$10,$D117,0)</f>
        <v>변표/만점</v>
      </c>
      <c r="Y117" s="188">
        <f ca="1">OFFSET(환산공식!FW$15,$F117,0)</f>
        <v>0.39</v>
      </c>
      <c r="Z117" s="20">
        <f ca="1">OFFSET(환산공식!FX$15,$F117,0)</f>
        <v>0.33</v>
      </c>
      <c r="AA117" s="179">
        <f ca="1">OFFSET(환산공식!FY$15,$F117,0)</f>
        <v>0.28000000000000003</v>
      </c>
      <c r="AC117"/>
      <c r="AD117">
        <f t="shared" ca="1" si="3"/>
        <v>6</v>
      </c>
      <c r="AE117"/>
    </row>
    <row r="118" spans="1:31" s="3" customFormat="1">
      <c r="A118" s="198"/>
      <c r="B118" s="198"/>
      <c r="C118" s="198" t="s">
        <v>1570</v>
      </c>
      <c r="D118" s="195">
        <v>1104</v>
      </c>
      <c r="E118" s="195">
        <v>29</v>
      </c>
      <c r="F118" s="195">
        <v>29</v>
      </c>
      <c r="G118" s="239">
        <v>111</v>
      </c>
      <c r="H118" s="197" t="s">
        <v>79</v>
      </c>
      <c r="I118" s="242" t="s">
        <v>80</v>
      </c>
      <c r="J118" s="242" t="s">
        <v>489</v>
      </c>
      <c r="K118" s="195" t="s">
        <v>71</v>
      </c>
      <c r="L118" s="20" t="str">
        <f ca="1">IF(OFFSET(환산공식!$ED$15,$F118,0)=1,"O","X")</f>
        <v>X</v>
      </c>
      <c r="M118" s="188">
        <f ca="1">IFERROR(OFFSET(환산공식!DJ$15,$F118,0),"")</f>
        <v>100</v>
      </c>
      <c r="N118" s="20" t="str">
        <f ca="1">IFERROR(CONCATENATE(ROUND(OFFSET(환산공식!DK$15,$F118,0),1),"%"),"")</f>
        <v>100%</v>
      </c>
      <c r="O118" s="20">
        <f ca="1">IFERROR(OFFSET(환산공식!DL$15,$F118,0),"")</f>
        <v>0</v>
      </c>
      <c r="P118" s="188" t="str">
        <f t="shared" ca="1" si="2"/>
        <v>3% 이하</v>
      </c>
      <c r="Q118" s="194">
        <f ca="1">IFERROR(ROUND(OFFSET(환산공식!$FG$15,$F118,0),3),"")</f>
        <v>0</v>
      </c>
      <c r="R118" s="194">
        <f ca="1">OFFSET('배치점수 계산기'!H$10,$D118,0)</f>
        <v>843.06100000000004</v>
      </c>
      <c r="S118" s="194">
        <f ca="1">OFFSET('배치점수 계산기'!I$10,$D118,0)</f>
        <v>840.68100000000004</v>
      </c>
      <c r="T118" s="194">
        <f ca="1">OFFSET('배치점수 계산기'!J$10,$D118,0)</f>
        <v>839.60799999999995</v>
      </c>
      <c r="U118" s="194">
        <f ca="1">OFFSET('배치점수 계산기'!K$10,$D118,0)</f>
        <v>838.68799999999999</v>
      </c>
      <c r="V118" s="194">
        <f ca="1">OFFSET('배치점수 계산기'!L$10,$D118,0)</f>
        <v>836.30100000000004</v>
      </c>
      <c r="W118" s="186" t="str">
        <f ca="1">OFFSET('배치점수 계산기'!M$10,$D118,0)</f>
        <v>표점/만점</v>
      </c>
      <c r="X118" s="184" t="str">
        <f ca="1">OFFSET('배치점수 계산기'!N$10,$D118,0)</f>
        <v>변표/만점</v>
      </c>
      <c r="Y118" s="188">
        <f ca="1">OFFSET(환산공식!FW$15,$F118,0)</f>
        <v>0.39</v>
      </c>
      <c r="Z118" s="20">
        <f ca="1">OFFSET(환산공식!FX$15,$F118,0)</f>
        <v>0.39</v>
      </c>
      <c r="AA118" s="179">
        <f ca="1">OFFSET(환산공식!FY$15,$F118,0)</f>
        <v>0.22</v>
      </c>
      <c r="AC118"/>
      <c r="AD118">
        <f t="shared" ca="1" si="3"/>
        <v>6</v>
      </c>
      <c r="AE118"/>
    </row>
    <row r="119" spans="1:31" s="3" customFormat="1">
      <c r="A119" s="198"/>
      <c r="B119" s="198"/>
      <c r="C119" s="198" t="s">
        <v>1571</v>
      </c>
      <c r="D119" s="195">
        <v>1105</v>
      </c>
      <c r="E119" s="195">
        <v>28</v>
      </c>
      <c r="F119" s="195">
        <v>28</v>
      </c>
      <c r="G119" s="239">
        <v>112</v>
      </c>
      <c r="H119" s="197" t="s">
        <v>79</v>
      </c>
      <c r="I119" s="242" t="s">
        <v>80</v>
      </c>
      <c r="J119" s="242" t="s">
        <v>9077</v>
      </c>
      <c r="K119" s="195" t="s">
        <v>71</v>
      </c>
      <c r="L119" s="20" t="str">
        <f ca="1">IF(OFFSET(환산공식!$ED$15,$F119,0)=1,"O","X")</f>
        <v>X</v>
      </c>
      <c r="M119" s="188">
        <f ca="1">IFERROR(OFFSET(환산공식!DJ$15,$F119,0),"")</f>
        <v>100</v>
      </c>
      <c r="N119" s="20" t="str">
        <f ca="1">IFERROR(CONCATENATE(ROUND(OFFSET(환산공식!DK$15,$F119,0),1),"%"),"")</f>
        <v>100%</v>
      </c>
      <c r="O119" s="20">
        <f ca="1">IFERROR(OFFSET(환산공식!DL$15,$F119,0),"")</f>
        <v>0</v>
      </c>
      <c r="P119" s="188" t="str">
        <f t="shared" ca="1" si="2"/>
        <v>3% 이하</v>
      </c>
      <c r="Q119" s="194">
        <f ca="1">IFERROR(ROUND(OFFSET(환산공식!$FG$15,$F119,0),3),"")</f>
        <v>0</v>
      </c>
      <c r="R119" s="194">
        <f ca="1">OFFSET('배치점수 계산기'!H$10,$D119,0)</f>
        <v>842.447</v>
      </c>
      <c r="S119" s="194">
        <f ca="1">OFFSET('배치점수 계산기'!I$10,$D119,0)</f>
        <v>840.21</v>
      </c>
      <c r="T119" s="194">
        <f ca="1">OFFSET('배치점수 계산기'!J$10,$D119,0)</f>
        <v>839.19600000000003</v>
      </c>
      <c r="U119" s="194">
        <f ca="1">OFFSET('배치점수 계산기'!K$10,$D119,0)</f>
        <v>838.048</v>
      </c>
      <c r="V119" s="194">
        <f ca="1">OFFSET('배치점수 계산기'!L$10,$D119,0)</f>
        <v>835.79499999999996</v>
      </c>
      <c r="W119" s="186" t="str">
        <f ca="1">OFFSET('배치점수 계산기'!M$10,$D119,0)</f>
        <v>표점/만점</v>
      </c>
      <c r="X119" s="184" t="str">
        <f ca="1">OFFSET('배치점수 계산기'!N$10,$D119,0)</f>
        <v>변표/만점</v>
      </c>
      <c r="Y119" s="188">
        <f ca="1">OFFSET(환산공식!FW$15,$F119,0)</f>
        <v>0.39</v>
      </c>
      <c r="Z119" s="20">
        <f ca="1">OFFSET(환산공식!FX$15,$F119,0)</f>
        <v>0.33</v>
      </c>
      <c r="AA119" s="179">
        <f ca="1">OFFSET(환산공식!FY$15,$F119,0)</f>
        <v>0.28000000000000003</v>
      </c>
      <c r="AC119"/>
      <c r="AD119">
        <f t="shared" ca="1" si="3"/>
        <v>6</v>
      </c>
      <c r="AE119"/>
    </row>
    <row r="120" spans="1:31" s="3" customFormat="1">
      <c r="A120" s="198"/>
      <c r="B120" s="198"/>
      <c r="C120" s="198" t="s">
        <v>1572</v>
      </c>
      <c r="D120" s="195">
        <v>1106</v>
      </c>
      <c r="E120" s="195">
        <v>28</v>
      </c>
      <c r="F120" s="195">
        <v>28</v>
      </c>
      <c r="G120" s="239">
        <v>113</v>
      </c>
      <c r="H120" s="197" t="s">
        <v>79</v>
      </c>
      <c r="I120" s="242" t="s">
        <v>80</v>
      </c>
      <c r="J120" s="242" t="s">
        <v>9141</v>
      </c>
      <c r="K120" s="195" t="s">
        <v>71</v>
      </c>
      <c r="L120" s="20" t="str">
        <f ca="1">IF(OFFSET(환산공식!$ED$15,$F120,0)=1,"O","X")</f>
        <v>X</v>
      </c>
      <c r="M120" s="188">
        <f ca="1">IFERROR(OFFSET(환산공식!DJ$15,$F120,0),"")</f>
        <v>100</v>
      </c>
      <c r="N120" s="20" t="str">
        <f ca="1">IFERROR(CONCATENATE(ROUND(OFFSET(환산공식!DK$15,$F120,0),1),"%"),"")</f>
        <v>100%</v>
      </c>
      <c r="O120" s="20">
        <f ca="1">IFERROR(OFFSET(환산공식!DL$15,$F120,0),"")</f>
        <v>0</v>
      </c>
      <c r="P120" s="188" t="str">
        <f t="shared" ca="1" si="2"/>
        <v>3% 이하</v>
      </c>
      <c r="Q120" s="194">
        <f ca="1">IFERROR(ROUND(OFFSET(환산공식!$FG$15,$F120,0),3),"")</f>
        <v>0</v>
      </c>
      <c r="R120" s="194">
        <f ca="1">OFFSET('배치점수 계산기'!H$10,$D120,0)</f>
        <v>840.48500000000001</v>
      </c>
      <c r="S120" s="194">
        <f ca="1">OFFSET('배치점수 계산기'!I$10,$D120,0)</f>
        <v>838.86400000000003</v>
      </c>
      <c r="T120" s="194">
        <f ca="1">OFFSET('배치점수 계산기'!J$10,$D120,0)</f>
        <v>837.55899999999997</v>
      </c>
      <c r="U120" s="194">
        <f ca="1">OFFSET('배치점수 계산기'!K$10,$D120,0)</f>
        <v>836.41800000000001</v>
      </c>
      <c r="V120" s="194">
        <f ca="1">OFFSET('배치점수 계산기'!L$10,$D120,0)</f>
        <v>833.76</v>
      </c>
      <c r="W120" s="186" t="str">
        <f ca="1">OFFSET('배치점수 계산기'!M$10,$D120,0)</f>
        <v>표점/만점</v>
      </c>
      <c r="X120" s="184" t="str">
        <f ca="1">OFFSET('배치점수 계산기'!N$10,$D120,0)</f>
        <v>변표/만점</v>
      </c>
      <c r="Y120" s="188">
        <f ca="1">OFFSET(환산공식!FW$15,$F120,0)</f>
        <v>0.39</v>
      </c>
      <c r="Z120" s="20">
        <f ca="1">OFFSET(환산공식!FX$15,$F120,0)</f>
        <v>0.33</v>
      </c>
      <c r="AA120" s="179">
        <f ca="1">OFFSET(환산공식!FY$15,$F120,0)</f>
        <v>0.28000000000000003</v>
      </c>
      <c r="AC120"/>
      <c r="AD120">
        <f t="shared" ca="1" si="3"/>
        <v>6</v>
      </c>
      <c r="AE120"/>
    </row>
    <row r="121" spans="1:31" s="3" customFormat="1">
      <c r="A121" s="198"/>
      <c r="B121" s="198"/>
      <c r="C121" s="198" t="s">
        <v>1573</v>
      </c>
      <c r="D121" s="195">
        <v>1107</v>
      </c>
      <c r="E121" s="195">
        <v>28</v>
      </c>
      <c r="F121" s="195">
        <v>28</v>
      </c>
      <c r="G121" s="239">
        <v>114</v>
      </c>
      <c r="H121" s="197" t="s">
        <v>79</v>
      </c>
      <c r="I121" s="242" t="s">
        <v>80</v>
      </c>
      <c r="J121" s="242" t="s">
        <v>8726</v>
      </c>
      <c r="K121" s="195" t="s">
        <v>71</v>
      </c>
      <c r="L121" s="20" t="str">
        <f ca="1">IF(OFFSET(환산공식!$ED$15,$F121,0)=1,"O","X")</f>
        <v>X</v>
      </c>
      <c r="M121" s="188">
        <f ca="1">IFERROR(OFFSET(환산공식!DJ$15,$F121,0),"")</f>
        <v>100</v>
      </c>
      <c r="N121" s="20" t="str">
        <f ca="1">IFERROR(CONCATENATE(ROUND(OFFSET(환산공식!DK$15,$F121,0),1),"%"),"")</f>
        <v>100%</v>
      </c>
      <c r="O121" s="20">
        <f ca="1">IFERROR(OFFSET(환산공식!DL$15,$F121,0),"")</f>
        <v>0</v>
      </c>
      <c r="P121" s="188" t="str">
        <f t="shared" ca="1" si="2"/>
        <v>3% 이하</v>
      </c>
      <c r="Q121" s="194">
        <f ca="1">IFERROR(ROUND(OFFSET(환산공식!$FG$15,$F121,0),3),"")</f>
        <v>0</v>
      </c>
      <c r="R121" s="194">
        <f ca="1">OFFSET('배치점수 계산기'!H$10,$D121,0)</f>
        <v>841.53399999999999</v>
      </c>
      <c r="S121" s="194">
        <f ca="1">OFFSET('배치점수 계산기'!I$10,$D121,0)</f>
        <v>839.41099999999994</v>
      </c>
      <c r="T121" s="194">
        <f ca="1">OFFSET('배치점수 계산기'!J$10,$D121,0)</f>
        <v>836.96400000000006</v>
      </c>
      <c r="U121" s="194">
        <f ca="1">OFFSET('배치점수 계산기'!K$10,$D121,0)</f>
        <v>833.404</v>
      </c>
      <c r="V121" s="194">
        <f ca="1">OFFSET('배치점수 계산기'!L$10,$D121,0)</f>
        <v>831.06600000000003</v>
      </c>
      <c r="W121" s="186" t="str">
        <f ca="1">OFFSET('배치점수 계산기'!M$10,$D121,0)</f>
        <v>표점/만점</v>
      </c>
      <c r="X121" s="184" t="str">
        <f ca="1">OFFSET('배치점수 계산기'!N$10,$D121,0)</f>
        <v>변표/만점</v>
      </c>
      <c r="Y121" s="188">
        <f ca="1">OFFSET(환산공식!FW$15,$F121,0)</f>
        <v>0.39</v>
      </c>
      <c r="Z121" s="20">
        <f ca="1">OFFSET(환산공식!FX$15,$F121,0)</f>
        <v>0.33</v>
      </c>
      <c r="AA121" s="179">
        <f ca="1">OFFSET(환산공식!FY$15,$F121,0)</f>
        <v>0.28000000000000003</v>
      </c>
      <c r="AC121"/>
      <c r="AD121">
        <f t="shared" ca="1" si="3"/>
        <v>6</v>
      </c>
      <c r="AE121"/>
    </row>
    <row r="122" spans="1:31" s="3" customFormat="1">
      <c r="A122" s="198"/>
      <c r="B122" s="198"/>
      <c r="C122" s="198" t="s">
        <v>1574</v>
      </c>
      <c r="D122" s="195">
        <v>1108</v>
      </c>
      <c r="E122" s="195">
        <v>30</v>
      </c>
      <c r="F122" s="195">
        <v>30</v>
      </c>
      <c r="G122" s="239">
        <v>115</v>
      </c>
      <c r="H122" s="197" t="s">
        <v>79</v>
      </c>
      <c r="I122" s="242" t="s">
        <v>228</v>
      </c>
      <c r="J122" s="242" t="s">
        <v>9595</v>
      </c>
      <c r="K122" s="195" t="s">
        <v>70</v>
      </c>
      <c r="L122" s="20" t="str">
        <f ca="1">IF(OFFSET(환산공식!$ED$15,$F122,0)=1,"O","X")</f>
        <v>X</v>
      </c>
      <c r="M122" s="188">
        <f ca="1">IFERROR(OFFSET(환산공식!DJ$15,$F122,0),"")</f>
        <v>100</v>
      </c>
      <c r="N122" s="20" t="str">
        <f ca="1">IFERROR(CONCATENATE(ROUND(OFFSET(환산공식!DK$15,$F122,0),1),"%"),"")</f>
        <v>100%</v>
      </c>
      <c r="O122" s="20">
        <f ca="1">IFERROR(OFFSET(환산공식!DL$15,$F122,0),"")</f>
        <v>10</v>
      </c>
      <c r="P122" s="188" t="str">
        <f t="shared" ca="1" si="2"/>
        <v>3% 이하</v>
      </c>
      <c r="Q122" s="194">
        <f ca="1">IFERROR(ROUND(OFFSET(환산공식!$FG$15,$F122,0),3),"")</f>
        <v>0</v>
      </c>
      <c r="R122" s="194">
        <f ca="1">OFFSET('배치점수 계산기'!H$10,$D122,0)</f>
        <v>764.58699999999999</v>
      </c>
      <c r="S122" s="194">
        <f ca="1">OFFSET('배치점수 계산기'!I$10,$D122,0)</f>
        <v>763.73699999999997</v>
      </c>
      <c r="T122" s="194">
        <f ca="1">OFFSET('배치점수 계산기'!J$10,$D122,0)</f>
        <v>762.07600000000002</v>
      </c>
      <c r="U122" s="194">
        <f ca="1">OFFSET('배치점수 계산기'!K$10,$D122,0)</f>
        <v>759.45600000000002</v>
      </c>
      <c r="V122" s="194">
        <f ca="1">OFFSET('배치점수 계산기'!L$10,$D122,0)</f>
        <v>755.86099999999999</v>
      </c>
      <c r="W122" s="186" t="str">
        <f ca="1">OFFSET('배치점수 계산기'!M$10,$D122,0)</f>
        <v>표점</v>
      </c>
      <c r="X122" s="184" t="str">
        <f ca="1">OFFSET('배치점수 계산기'!N$10,$D122,0)</f>
        <v>변표</v>
      </c>
      <c r="Y122" s="188">
        <f ca="1">OFFSET(환산공식!FW$15,$F122,0)</f>
        <v>0.3</v>
      </c>
      <c r="Z122" s="20">
        <f ca="1">OFFSET(환산공식!FX$15,$F122,0)</f>
        <v>0.35</v>
      </c>
      <c r="AA122" s="179">
        <f ca="1">OFFSET(환산공식!FY$15,$F122,0)</f>
        <v>0.35</v>
      </c>
      <c r="AC122"/>
      <c r="AD122">
        <f t="shared" ca="1" si="3"/>
        <v>6</v>
      </c>
      <c r="AE122"/>
    </row>
    <row r="123" spans="1:31" s="3" customFormat="1">
      <c r="A123" s="198"/>
      <c r="B123" s="198"/>
      <c r="C123" s="198" t="s">
        <v>1575</v>
      </c>
      <c r="D123" s="195">
        <v>1109</v>
      </c>
      <c r="E123" s="195">
        <v>30</v>
      </c>
      <c r="F123" s="195">
        <v>30</v>
      </c>
      <c r="G123" s="239">
        <v>116</v>
      </c>
      <c r="H123" s="197" t="s">
        <v>79</v>
      </c>
      <c r="I123" s="242" t="s">
        <v>228</v>
      </c>
      <c r="J123" s="242" t="s">
        <v>8538</v>
      </c>
      <c r="K123" s="195" t="s">
        <v>70</v>
      </c>
      <c r="L123" s="20" t="str">
        <f ca="1">IF(OFFSET(환산공식!$ED$15,$F123,0)=1,"O","X")</f>
        <v>X</v>
      </c>
      <c r="M123" s="188">
        <f ca="1">IFERROR(OFFSET(환산공식!DJ$15,$F123,0),"")</f>
        <v>100</v>
      </c>
      <c r="N123" s="20" t="str">
        <f ca="1">IFERROR(CONCATENATE(ROUND(OFFSET(환산공식!DK$15,$F123,0),1),"%"),"")</f>
        <v>100%</v>
      </c>
      <c r="O123" s="20">
        <f ca="1">IFERROR(OFFSET(환산공식!DL$15,$F123,0),"")</f>
        <v>10</v>
      </c>
      <c r="P123" s="188" t="str">
        <f t="shared" ca="1" si="2"/>
        <v>3% 이하</v>
      </c>
      <c r="Q123" s="194">
        <f ca="1">IFERROR(ROUND(OFFSET(환산공식!$FG$15,$F123,0),3),"")</f>
        <v>0</v>
      </c>
      <c r="R123" s="194">
        <f ca="1">OFFSET('배치점수 계산기'!H$10,$D123,0)</f>
        <v>763.73699999999997</v>
      </c>
      <c r="S123" s="194">
        <f ca="1">OFFSET('배치점수 계산기'!I$10,$D123,0)</f>
        <v>762.40099999999995</v>
      </c>
      <c r="T123" s="194">
        <f ca="1">OFFSET('배치점수 계산기'!J$10,$D123,0)</f>
        <v>761.23400000000004</v>
      </c>
      <c r="U123" s="194">
        <f ca="1">OFFSET('배치점수 계산기'!K$10,$D123,0)</f>
        <v>759.78200000000004</v>
      </c>
      <c r="V123" s="194">
        <f ca="1">OFFSET('배치점수 계산기'!L$10,$D123,0)</f>
        <v>758.024</v>
      </c>
      <c r="W123" s="186" t="str">
        <f ca="1">OFFSET('배치점수 계산기'!M$10,$D123,0)</f>
        <v>표점</v>
      </c>
      <c r="X123" s="184" t="str">
        <f ca="1">OFFSET('배치점수 계산기'!N$10,$D123,0)</f>
        <v>변표</v>
      </c>
      <c r="Y123" s="188">
        <f ca="1">OFFSET(환산공식!FW$15,$F123,0)</f>
        <v>0.3</v>
      </c>
      <c r="Z123" s="20">
        <f ca="1">OFFSET(환산공식!FX$15,$F123,0)</f>
        <v>0.35</v>
      </c>
      <c r="AA123" s="179">
        <f ca="1">OFFSET(환산공식!FY$15,$F123,0)</f>
        <v>0.35</v>
      </c>
      <c r="AC123"/>
      <c r="AD123">
        <f t="shared" ca="1" si="3"/>
        <v>6</v>
      </c>
      <c r="AE123"/>
    </row>
    <row r="124" spans="1:31" s="3" customFormat="1">
      <c r="A124" s="198"/>
      <c r="B124" s="198"/>
      <c r="C124" s="198" t="s">
        <v>1576</v>
      </c>
      <c r="D124" s="195">
        <v>1110</v>
      </c>
      <c r="E124" s="195">
        <v>30</v>
      </c>
      <c r="F124" s="195">
        <v>30</v>
      </c>
      <c r="G124" s="239">
        <v>117</v>
      </c>
      <c r="H124" s="197" t="s">
        <v>79</v>
      </c>
      <c r="I124" s="242" t="s">
        <v>228</v>
      </c>
      <c r="J124" s="242" t="s">
        <v>9425</v>
      </c>
      <c r="K124" s="195" t="s">
        <v>70</v>
      </c>
      <c r="L124" s="20" t="str">
        <f ca="1">IF(OFFSET(환산공식!$ED$15,$F124,0)=1,"O","X")</f>
        <v>X</v>
      </c>
      <c r="M124" s="188">
        <f ca="1">IFERROR(OFFSET(환산공식!DJ$15,$F124,0),"")</f>
        <v>100</v>
      </c>
      <c r="N124" s="20" t="str">
        <f ca="1">IFERROR(CONCATENATE(ROUND(OFFSET(환산공식!DK$15,$F124,0),1),"%"),"")</f>
        <v>100%</v>
      </c>
      <c r="O124" s="20">
        <f ca="1">IFERROR(OFFSET(환산공식!DL$15,$F124,0),"")</f>
        <v>10</v>
      </c>
      <c r="P124" s="188" t="str">
        <f t="shared" ca="1" si="2"/>
        <v>3% 이하</v>
      </c>
      <c r="Q124" s="194">
        <f ca="1">IFERROR(ROUND(OFFSET(환산공식!$FG$15,$F124,0),3),"")</f>
        <v>0</v>
      </c>
      <c r="R124" s="194">
        <f ca="1">OFFSET('배치점수 계산기'!H$10,$D124,0)</f>
        <v>760.29899999999998</v>
      </c>
      <c r="S124" s="194">
        <f ca="1">OFFSET('배치점수 계산기'!I$10,$D124,0)</f>
        <v>759.78200000000004</v>
      </c>
      <c r="T124" s="194">
        <f ca="1">OFFSET('배치점수 계산기'!J$10,$D124,0)</f>
        <v>758.524</v>
      </c>
      <c r="U124" s="194">
        <f ca="1">OFFSET('배치점수 계산기'!K$10,$D124,0)</f>
        <v>756.87900000000002</v>
      </c>
      <c r="V124" s="194">
        <f ca="1">OFFSET('배치점수 계산기'!L$10,$D124,0)</f>
        <v>754.90899999999999</v>
      </c>
      <c r="W124" s="186" t="str">
        <f ca="1">OFFSET('배치점수 계산기'!M$10,$D124,0)</f>
        <v>표점</v>
      </c>
      <c r="X124" s="184" t="str">
        <f ca="1">OFFSET('배치점수 계산기'!N$10,$D124,0)</f>
        <v>변표</v>
      </c>
      <c r="Y124" s="188">
        <f ca="1">OFFSET(환산공식!FW$15,$F124,0)</f>
        <v>0.3</v>
      </c>
      <c r="Z124" s="20">
        <f ca="1">OFFSET(환산공식!FX$15,$F124,0)</f>
        <v>0.35</v>
      </c>
      <c r="AA124" s="179">
        <f ca="1">OFFSET(환산공식!FY$15,$F124,0)</f>
        <v>0.35</v>
      </c>
      <c r="AC124"/>
      <c r="AD124">
        <f t="shared" ca="1" si="3"/>
        <v>6</v>
      </c>
      <c r="AE124"/>
    </row>
    <row r="125" spans="1:31" s="3" customFormat="1">
      <c r="A125" s="198"/>
      <c r="B125" s="198"/>
      <c r="C125" s="198" t="s">
        <v>1577</v>
      </c>
      <c r="D125" s="195">
        <v>1111</v>
      </c>
      <c r="E125" s="195">
        <v>30</v>
      </c>
      <c r="F125" s="195">
        <v>30</v>
      </c>
      <c r="G125" s="239">
        <v>118</v>
      </c>
      <c r="H125" s="197" t="s">
        <v>79</v>
      </c>
      <c r="I125" s="242" t="s">
        <v>228</v>
      </c>
      <c r="J125" s="242" t="s">
        <v>9378</v>
      </c>
      <c r="K125" s="195" t="s">
        <v>70</v>
      </c>
      <c r="L125" s="20" t="str">
        <f ca="1">IF(OFFSET(환산공식!$ED$15,$F125,0)=1,"O","X")</f>
        <v>X</v>
      </c>
      <c r="M125" s="188">
        <f ca="1">IFERROR(OFFSET(환산공식!DJ$15,$F125,0),"")</f>
        <v>100</v>
      </c>
      <c r="N125" s="20" t="str">
        <f ca="1">IFERROR(CONCATENATE(ROUND(OFFSET(환산공식!DK$15,$F125,0),1),"%"),"")</f>
        <v>100%</v>
      </c>
      <c r="O125" s="20">
        <f ca="1">IFERROR(OFFSET(환산공식!DL$15,$F125,0),"")</f>
        <v>10</v>
      </c>
      <c r="P125" s="188" t="str">
        <f t="shared" ca="1" si="2"/>
        <v>3% 이하</v>
      </c>
      <c r="Q125" s="194">
        <f ca="1">IFERROR(ROUND(OFFSET(환산공식!$FG$15,$F125,0),3),"")</f>
        <v>0</v>
      </c>
      <c r="R125" s="194">
        <f ca="1">OFFSET('배치점수 계산기'!H$10,$D125,0)</f>
        <v>760.90800000000002</v>
      </c>
      <c r="S125" s="194">
        <f ca="1">OFFSET('배치점수 계산기'!I$10,$D125,0)</f>
        <v>760.29899999999998</v>
      </c>
      <c r="T125" s="194">
        <f ca="1">OFFSET('배치점수 계산기'!J$10,$D125,0)</f>
        <v>758.524</v>
      </c>
      <c r="U125" s="194">
        <f ca="1">OFFSET('배치점수 계산기'!K$10,$D125,0)</f>
        <v>756.87900000000002</v>
      </c>
      <c r="V125" s="194">
        <f ca="1">OFFSET('배치점수 계산기'!L$10,$D125,0)</f>
        <v>755.48400000000004</v>
      </c>
      <c r="W125" s="186" t="str">
        <f ca="1">OFFSET('배치점수 계산기'!M$10,$D125,0)</f>
        <v>표점</v>
      </c>
      <c r="X125" s="184" t="str">
        <f ca="1">OFFSET('배치점수 계산기'!N$10,$D125,0)</f>
        <v>변표</v>
      </c>
      <c r="Y125" s="188">
        <f ca="1">OFFSET(환산공식!FW$15,$F125,0)</f>
        <v>0.3</v>
      </c>
      <c r="Z125" s="20">
        <f ca="1">OFFSET(환산공식!FX$15,$F125,0)</f>
        <v>0.35</v>
      </c>
      <c r="AA125" s="179">
        <f ca="1">OFFSET(환산공식!FY$15,$F125,0)</f>
        <v>0.35</v>
      </c>
      <c r="AC125"/>
      <c r="AD125">
        <f t="shared" ca="1" si="3"/>
        <v>6</v>
      </c>
      <c r="AE125"/>
    </row>
    <row r="126" spans="1:31" s="3" customFormat="1">
      <c r="A126" s="198"/>
      <c r="B126" s="198"/>
      <c r="C126" s="198" t="s">
        <v>1578</v>
      </c>
      <c r="D126" s="195">
        <v>1112</v>
      </c>
      <c r="E126" s="195">
        <v>30</v>
      </c>
      <c r="F126" s="195">
        <v>30</v>
      </c>
      <c r="G126" s="239">
        <v>119</v>
      </c>
      <c r="H126" s="197" t="s">
        <v>79</v>
      </c>
      <c r="I126" s="242" t="s">
        <v>228</v>
      </c>
      <c r="J126" s="242" t="s">
        <v>550</v>
      </c>
      <c r="K126" s="195" t="s">
        <v>70</v>
      </c>
      <c r="L126" s="20" t="str">
        <f ca="1">IF(OFFSET(환산공식!$ED$15,$F126,0)=1,"O","X")</f>
        <v>X</v>
      </c>
      <c r="M126" s="188">
        <f ca="1">IFERROR(OFFSET(환산공식!DJ$15,$F126,0),"")</f>
        <v>100</v>
      </c>
      <c r="N126" s="20" t="str">
        <f ca="1">IFERROR(CONCATENATE(ROUND(OFFSET(환산공식!DK$15,$F126,0),1),"%"),"")</f>
        <v>100%</v>
      </c>
      <c r="O126" s="20">
        <f ca="1">IFERROR(OFFSET(환산공식!DL$15,$F126,0),"")</f>
        <v>10</v>
      </c>
      <c r="P126" s="188" t="str">
        <f t="shared" ca="1" si="2"/>
        <v>3% 이하</v>
      </c>
      <c r="Q126" s="194">
        <f ca="1">IFERROR(ROUND(OFFSET(환산공식!$FG$15,$F126,0),3),"")</f>
        <v>0</v>
      </c>
      <c r="R126" s="194">
        <f ca="1">OFFSET('배치점수 계산기'!H$10,$D126,0)</f>
        <v>761.23400000000004</v>
      </c>
      <c r="S126" s="194">
        <f ca="1">OFFSET('배치점수 계산기'!I$10,$D126,0)</f>
        <v>759.78200000000004</v>
      </c>
      <c r="T126" s="194">
        <f ca="1">OFFSET('배치점수 계산기'!J$10,$D126,0)</f>
        <v>758.37400000000002</v>
      </c>
      <c r="U126" s="194">
        <f ca="1">OFFSET('배치점수 계산기'!K$10,$D126,0)</f>
        <v>756.28599999999994</v>
      </c>
      <c r="V126" s="194">
        <f ca="1">OFFSET('배치점수 계산기'!L$10,$D126,0)</f>
        <v>754.31200000000001</v>
      </c>
      <c r="W126" s="186" t="str">
        <f ca="1">OFFSET('배치점수 계산기'!M$10,$D126,0)</f>
        <v>표점</v>
      </c>
      <c r="X126" s="184" t="str">
        <f ca="1">OFFSET('배치점수 계산기'!N$10,$D126,0)</f>
        <v>변표</v>
      </c>
      <c r="Y126" s="188">
        <f ca="1">OFFSET(환산공식!FW$15,$F126,0)</f>
        <v>0.3</v>
      </c>
      <c r="Z126" s="20">
        <f ca="1">OFFSET(환산공식!FX$15,$F126,0)</f>
        <v>0.35</v>
      </c>
      <c r="AA126" s="179">
        <f ca="1">OFFSET(환산공식!FY$15,$F126,0)</f>
        <v>0.35</v>
      </c>
      <c r="AC126"/>
      <c r="AD126">
        <f t="shared" ca="1" si="3"/>
        <v>6</v>
      </c>
      <c r="AE126"/>
    </row>
    <row r="127" spans="1:31" s="3" customFormat="1">
      <c r="A127" s="198"/>
      <c r="B127" s="198"/>
      <c r="C127" s="198" t="s">
        <v>1579</v>
      </c>
      <c r="D127" s="195">
        <v>1113</v>
      </c>
      <c r="E127" s="195">
        <v>30</v>
      </c>
      <c r="F127" s="195">
        <v>30</v>
      </c>
      <c r="G127" s="239">
        <v>120</v>
      </c>
      <c r="H127" s="197" t="s">
        <v>79</v>
      </c>
      <c r="I127" s="242" t="s">
        <v>228</v>
      </c>
      <c r="J127" s="242" t="s">
        <v>418</v>
      </c>
      <c r="K127" s="195" t="s">
        <v>70</v>
      </c>
      <c r="L127" s="20" t="str">
        <f ca="1">IF(OFFSET(환산공식!$ED$15,$F127,0)=1,"O","X")</f>
        <v>X</v>
      </c>
      <c r="M127" s="188">
        <f ca="1">IFERROR(OFFSET(환산공식!DJ$15,$F127,0),"")</f>
        <v>100</v>
      </c>
      <c r="N127" s="20" t="str">
        <f ca="1">IFERROR(CONCATENATE(ROUND(OFFSET(환산공식!DK$15,$F127,0),1),"%"),"")</f>
        <v>100%</v>
      </c>
      <c r="O127" s="20">
        <f ca="1">IFERROR(OFFSET(환산공식!DL$15,$F127,0),"")</f>
        <v>10</v>
      </c>
      <c r="P127" s="188" t="str">
        <f t="shared" ca="1" si="2"/>
        <v>3% 이하</v>
      </c>
      <c r="Q127" s="194">
        <f ca="1">IFERROR(ROUND(OFFSET(환산공식!$FG$15,$F127,0),3),"")</f>
        <v>0</v>
      </c>
      <c r="R127" s="194">
        <f ca="1">OFFSET('배치점수 계산기'!H$10,$D127,0)</f>
        <v>759.93200000000002</v>
      </c>
      <c r="S127" s="194">
        <f ca="1">OFFSET('배치점수 계산기'!I$10,$D127,0)</f>
        <v>759.56500000000005</v>
      </c>
      <c r="T127" s="194">
        <f ca="1">OFFSET('배치점수 계산기'!J$10,$D127,0)</f>
        <v>757.66399999999999</v>
      </c>
      <c r="U127" s="194">
        <f ca="1">OFFSET('배치점수 계산기'!K$10,$D127,0)</f>
        <v>756.27</v>
      </c>
      <c r="V127" s="194">
        <f ca="1">OFFSET('배치점수 계산기'!L$10,$D127,0)</f>
        <v>754.57100000000003</v>
      </c>
      <c r="W127" s="186" t="str">
        <f ca="1">OFFSET('배치점수 계산기'!M$10,$D127,0)</f>
        <v>표점</v>
      </c>
      <c r="X127" s="184" t="str">
        <f ca="1">OFFSET('배치점수 계산기'!N$10,$D127,0)</f>
        <v>변표</v>
      </c>
      <c r="Y127" s="188">
        <f ca="1">OFFSET(환산공식!FW$15,$F127,0)</f>
        <v>0.3</v>
      </c>
      <c r="Z127" s="20">
        <f ca="1">OFFSET(환산공식!FX$15,$F127,0)</f>
        <v>0.35</v>
      </c>
      <c r="AA127" s="179">
        <f ca="1">OFFSET(환산공식!FY$15,$F127,0)</f>
        <v>0.35</v>
      </c>
      <c r="AC127"/>
      <c r="AD127">
        <f t="shared" ca="1" si="3"/>
        <v>6</v>
      </c>
      <c r="AE127"/>
    </row>
    <row r="128" spans="1:31" s="3" customFormat="1">
      <c r="A128" s="198"/>
      <c r="B128" s="198"/>
      <c r="C128" s="198" t="s">
        <v>1580</v>
      </c>
      <c r="D128" s="195">
        <v>1114</v>
      </c>
      <c r="E128" s="195">
        <v>30</v>
      </c>
      <c r="F128" s="195">
        <v>30</v>
      </c>
      <c r="G128" s="239">
        <v>121</v>
      </c>
      <c r="H128" s="197" t="s">
        <v>79</v>
      </c>
      <c r="I128" s="242" t="s">
        <v>228</v>
      </c>
      <c r="J128" s="242" t="s">
        <v>11334</v>
      </c>
      <c r="K128" s="195" t="s">
        <v>70</v>
      </c>
      <c r="L128" s="20" t="str">
        <f ca="1">IF(OFFSET(환산공식!$ED$15,$F128,0)=1,"O","X")</f>
        <v>X</v>
      </c>
      <c r="M128" s="188">
        <f ca="1">IFERROR(OFFSET(환산공식!DJ$15,$F128,0),"")</f>
        <v>100</v>
      </c>
      <c r="N128" s="20" t="str">
        <f ca="1">IFERROR(CONCATENATE(ROUND(OFFSET(환산공식!DK$15,$F128,0),1),"%"),"")</f>
        <v>100%</v>
      </c>
      <c r="O128" s="20">
        <f ca="1">IFERROR(OFFSET(환산공식!DL$15,$F128,0),"")</f>
        <v>10</v>
      </c>
      <c r="P128" s="188" t="str">
        <f t="shared" ca="1" si="2"/>
        <v>3% 이하</v>
      </c>
      <c r="Q128" s="194">
        <f ca="1">IFERROR(ROUND(OFFSET(환산공식!$FG$15,$F128,0),3),"")</f>
        <v>0</v>
      </c>
      <c r="R128" s="194">
        <f ca="1">OFFSET('배치점수 계산기'!H$10,$D128,0)</f>
        <v>728.11500000000001</v>
      </c>
      <c r="S128" s="194">
        <f ca="1">OFFSET('배치점수 계산기'!I$10,$D128,0)</f>
        <v>727.28899999999999</v>
      </c>
      <c r="T128" s="194">
        <f ca="1">OFFSET('배치점수 계산기'!J$10,$D128,0)</f>
        <v>726.78</v>
      </c>
      <c r="U128" s="194">
        <f ca="1">OFFSET('배치점수 계산기'!K$10,$D128,0)</f>
        <v>725.97699999999998</v>
      </c>
      <c r="V128" s="194">
        <f ca="1">OFFSET('배치점수 계산기'!L$10,$D128,0)</f>
        <v>724.45600000000002</v>
      </c>
      <c r="W128" s="186" t="str">
        <f ca="1">OFFSET('배치점수 계산기'!M$10,$D128,0)</f>
        <v>표점</v>
      </c>
      <c r="X128" s="184" t="str">
        <f ca="1">OFFSET('배치점수 계산기'!N$10,$D128,0)</f>
        <v>변표</v>
      </c>
      <c r="Y128" s="188">
        <f ca="1">OFFSET(환산공식!FW$15,$F128,0)</f>
        <v>0.3</v>
      </c>
      <c r="Z128" s="20">
        <f ca="1">OFFSET(환산공식!FX$15,$F128,0)</f>
        <v>0.35</v>
      </c>
      <c r="AA128" s="179">
        <f ca="1">OFFSET(환산공식!FY$15,$F128,0)</f>
        <v>0.35</v>
      </c>
      <c r="AC128"/>
      <c r="AD128">
        <f t="shared" ca="1" si="3"/>
        <v>6</v>
      </c>
      <c r="AE128"/>
    </row>
    <row r="129" spans="1:31" s="3" customFormat="1">
      <c r="A129" s="198"/>
      <c r="B129" s="198"/>
      <c r="C129" s="198" t="s">
        <v>1581</v>
      </c>
      <c r="D129" s="195">
        <v>1115</v>
      </c>
      <c r="E129" s="195">
        <v>30</v>
      </c>
      <c r="F129" s="195">
        <v>30</v>
      </c>
      <c r="G129" s="239">
        <v>122</v>
      </c>
      <c r="H129" s="197" t="s">
        <v>79</v>
      </c>
      <c r="I129" s="242" t="s">
        <v>228</v>
      </c>
      <c r="J129" s="242" t="s">
        <v>11598</v>
      </c>
      <c r="K129" s="195" t="s">
        <v>70</v>
      </c>
      <c r="L129" s="20" t="str">
        <f ca="1">IF(OFFSET(환산공식!$ED$15,$F129,0)=1,"O","X")</f>
        <v>X</v>
      </c>
      <c r="M129" s="188">
        <f ca="1">IFERROR(OFFSET(환산공식!DJ$15,$F129,0),"")</f>
        <v>100</v>
      </c>
      <c r="N129" s="20" t="str">
        <f ca="1">IFERROR(CONCATENATE(ROUND(OFFSET(환산공식!DK$15,$F129,0),1),"%"),"")</f>
        <v>100%</v>
      </c>
      <c r="O129" s="20">
        <f ca="1">IFERROR(OFFSET(환산공식!DL$15,$F129,0),"")</f>
        <v>10</v>
      </c>
      <c r="P129" s="188" t="str">
        <f t="shared" ca="1" si="2"/>
        <v>3% 이하</v>
      </c>
      <c r="Q129" s="194">
        <f ca="1">IFERROR(ROUND(OFFSET(환산공식!$FG$15,$F129,0),3),"")</f>
        <v>0</v>
      </c>
      <c r="R129" s="194">
        <f ca="1">OFFSET('배치점수 계산기'!H$10,$D129,0)</f>
        <v>730.08600000000001</v>
      </c>
      <c r="S129" s="194">
        <f ca="1">OFFSET('배치점수 계산기'!I$10,$D129,0)</f>
        <v>724.45600000000002</v>
      </c>
      <c r="T129" s="194">
        <f ca="1">OFFSET('배치점수 계산기'!J$10,$D129,0)</f>
        <v>719.95299999999997</v>
      </c>
      <c r="U129" s="194">
        <f ca="1">OFFSET('배치점수 계산기'!K$10,$D129,0)</f>
        <v>715.43499999999995</v>
      </c>
      <c r="V129" s="194">
        <f ca="1">OFFSET('배치점수 계산기'!L$10,$D129,0)</f>
        <v>710.61400000000003</v>
      </c>
      <c r="W129" s="186" t="str">
        <f ca="1">OFFSET('배치점수 계산기'!M$10,$D129,0)</f>
        <v>표점</v>
      </c>
      <c r="X129" s="184" t="str">
        <f ca="1">OFFSET('배치점수 계산기'!N$10,$D129,0)</f>
        <v>변표</v>
      </c>
      <c r="Y129" s="188">
        <f ca="1">OFFSET(환산공식!FW$15,$F129,0)</f>
        <v>0.3</v>
      </c>
      <c r="Z129" s="20">
        <f ca="1">OFFSET(환산공식!FX$15,$F129,0)</f>
        <v>0.35</v>
      </c>
      <c r="AA129" s="179">
        <f ca="1">OFFSET(환산공식!FY$15,$F129,0)</f>
        <v>0.35</v>
      </c>
      <c r="AC129"/>
      <c r="AD129">
        <f t="shared" ca="1" si="3"/>
        <v>6</v>
      </c>
      <c r="AE129"/>
    </row>
    <row r="130" spans="1:31" s="3" customFormat="1">
      <c r="A130" s="198"/>
      <c r="B130" s="198"/>
      <c r="C130" s="198" t="s">
        <v>1582</v>
      </c>
      <c r="D130" s="195">
        <v>1116</v>
      </c>
      <c r="E130" s="195">
        <v>30</v>
      </c>
      <c r="F130" s="195">
        <v>30</v>
      </c>
      <c r="G130" s="239">
        <v>123</v>
      </c>
      <c r="H130" s="197" t="s">
        <v>79</v>
      </c>
      <c r="I130" s="242" t="s">
        <v>228</v>
      </c>
      <c r="J130" s="242" t="s">
        <v>12351</v>
      </c>
      <c r="K130" s="195" t="s">
        <v>70</v>
      </c>
      <c r="L130" s="20" t="str">
        <f ca="1">IF(OFFSET(환산공식!$ED$15,$F130,0)=1,"O","X")</f>
        <v>X</v>
      </c>
      <c r="M130" s="188">
        <f ca="1">IFERROR(OFFSET(환산공식!DJ$15,$F130,0),"")</f>
        <v>100</v>
      </c>
      <c r="N130" s="20" t="str">
        <f ca="1">IFERROR(CONCATENATE(ROUND(OFFSET(환산공식!DK$15,$F130,0),1),"%"),"")</f>
        <v>100%</v>
      </c>
      <c r="O130" s="20">
        <f ca="1">IFERROR(OFFSET(환산공식!DL$15,$F130,0),"")</f>
        <v>10</v>
      </c>
      <c r="P130" s="188" t="str">
        <f t="shared" ca="1" si="2"/>
        <v>3% 이하</v>
      </c>
      <c r="Q130" s="194">
        <f ca="1">IFERROR(ROUND(OFFSET(환산공식!$FG$15,$F130,0),3),"")</f>
        <v>0</v>
      </c>
      <c r="R130" s="194">
        <f ca="1">OFFSET('배치점수 계산기'!H$10,$D130,0)</f>
        <v>706.40599999999995</v>
      </c>
      <c r="S130" s="194">
        <f ca="1">OFFSET('배치점수 계산기'!I$10,$D130,0)</f>
        <v>704.87599999999998</v>
      </c>
      <c r="T130" s="194">
        <f ca="1">OFFSET('배치점수 계산기'!J$10,$D130,0)</f>
        <v>703.97799999999995</v>
      </c>
      <c r="U130" s="194">
        <f ca="1">OFFSET('배치점수 계산기'!K$10,$D130,0)</f>
        <v>702.5</v>
      </c>
      <c r="V130" s="194">
        <f ca="1">OFFSET('배치점수 계산기'!L$10,$D130,0)</f>
        <v>700.03</v>
      </c>
      <c r="W130" s="186" t="str">
        <f ca="1">OFFSET('배치점수 계산기'!M$10,$D130,0)</f>
        <v>표점</v>
      </c>
      <c r="X130" s="184" t="str">
        <f ca="1">OFFSET('배치점수 계산기'!N$10,$D130,0)</f>
        <v>변표</v>
      </c>
      <c r="Y130" s="188">
        <f ca="1">OFFSET(환산공식!FW$15,$F130,0)</f>
        <v>0.3</v>
      </c>
      <c r="Z130" s="20">
        <f ca="1">OFFSET(환산공식!FX$15,$F130,0)</f>
        <v>0.35</v>
      </c>
      <c r="AA130" s="179">
        <f ca="1">OFFSET(환산공식!FY$15,$F130,0)</f>
        <v>0.35</v>
      </c>
      <c r="AC130"/>
      <c r="AD130">
        <f t="shared" ca="1" si="3"/>
        <v>6</v>
      </c>
      <c r="AE130"/>
    </row>
    <row r="131" spans="1:31" s="3" customFormat="1">
      <c r="A131" s="198"/>
      <c r="B131" s="198"/>
      <c r="C131" s="198" t="s">
        <v>1583</v>
      </c>
      <c r="D131" s="195">
        <v>1117</v>
      </c>
      <c r="E131" s="195">
        <v>31</v>
      </c>
      <c r="F131" s="195">
        <v>31</v>
      </c>
      <c r="G131" s="239">
        <v>124</v>
      </c>
      <c r="H131" s="197" t="s">
        <v>79</v>
      </c>
      <c r="I131" s="242" t="s">
        <v>228</v>
      </c>
      <c r="J131" s="242" t="s">
        <v>10660</v>
      </c>
      <c r="K131" s="195" t="s">
        <v>71</v>
      </c>
      <c r="L131" s="20" t="str">
        <f ca="1">IF(OFFSET(환산공식!$ED$15,$F131,0)=1,"O","X")</f>
        <v>X</v>
      </c>
      <c r="M131" s="188">
        <f ca="1">IFERROR(OFFSET(환산공식!DJ$15,$F131,0),"")</f>
        <v>100</v>
      </c>
      <c r="N131" s="20" t="str">
        <f ca="1">IFERROR(CONCATENATE(ROUND(OFFSET(환산공식!DK$15,$F131,0),1),"%"),"")</f>
        <v>100%</v>
      </c>
      <c r="O131" s="20">
        <f ca="1">IFERROR(OFFSET(환산공식!DL$15,$F131,0),"")</f>
        <v>10</v>
      </c>
      <c r="P131" s="188" t="str">
        <f t="shared" ca="1" si="2"/>
        <v>3% 이하</v>
      </c>
      <c r="Q131" s="194">
        <f ca="1">IFERROR(ROUND(OFFSET(환산공식!$FG$15,$F131,0),3),"")</f>
        <v>0</v>
      </c>
      <c r="R131" s="194">
        <f ca="1">OFFSET('배치점수 계산기'!H$10,$D131,0)</f>
        <v>766.08500000000004</v>
      </c>
      <c r="S131" s="194">
        <f ca="1">OFFSET('배치점수 계산기'!I$10,$D131,0)</f>
        <v>764.50900000000001</v>
      </c>
      <c r="T131" s="194">
        <f ca="1">OFFSET('배치점수 계산기'!J$10,$D131,0)</f>
        <v>763.07899999999995</v>
      </c>
      <c r="U131" s="194">
        <f ca="1">OFFSET('배치점수 계산기'!K$10,$D131,0)</f>
        <v>760.29600000000005</v>
      </c>
      <c r="V131" s="194">
        <f ca="1">OFFSET('배치점수 계산기'!L$10,$D131,0)</f>
        <v>755.92499999999995</v>
      </c>
      <c r="W131" s="186" t="str">
        <f ca="1">OFFSET('배치점수 계산기'!M$10,$D131,0)</f>
        <v>표점</v>
      </c>
      <c r="X131" s="184" t="str">
        <f ca="1">OFFSET('배치점수 계산기'!N$10,$D131,0)</f>
        <v>변표</v>
      </c>
      <c r="Y131" s="188">
        <f ca="1">OFFSET(환산공식!FW$15,$F131,0)</f>
        <v>0.35</v>
      </c>
      <c r="Z131" s="20">
        <f ca="1">OFFSET(환산공식!FX$15,$F131,0)</f>
        <v>0.3</v>
      </c>
      <c r="AA131" s="179">
        <f ca="1">OFFSET(환산공식!FY$15,$F131,0)</f>
        <v>0.35</v>
      </c>
      <c r="AC131"/>
      <c r="AD131">
        <f t="shared" ca="1" si="3"/>
        <v>6</v>
      </c>
      <c r="AE131"/>
    </row>
    <row r="132" spans="1:31" s="3" customFormat="1">
      <c r="A132" s="198"/>
      <c r="B132" s="198"/>
      <c r="C132" s="198" t="s">
        <v>1584</v>
      </c>
      <c r="D132" s="195">
        <v>1118</v>
      </c>
      <c r="E132" s="195">
        <v>32</v>
      </c>
      <c r="F132" s="195">
        <v>32</v>
      </c>
      <c r="G132" s="239">
        <v>125</v>
      </c>
      <c r="H132" s="197" t="s">
        <v>79</v>
      </c>
      <c r="I132" s="242" t="s">
        <v>228</v>
      </c>
      <c r="J132" s="242" t="s">
        <v>8775</v>
      </c>
      <c r="K132" s="195" t="s">
        <v>71</v>
      </c>
      <c r="L132" s="20" t="str">
        <f ca="1">IF(OFFSET(환산공식!$ED$15,$F132,0)=1,"O","X")</f>
        <v>X</v>
      </c>
      <c r="M132" s="188">
        <f ca="1">IFERROR(OFFSET(환산공식!DJ$15,$F132,0),"")</f>
        <v>100</v>
      </c>
      <c r="N132" s="20" t="str">
        <f ca="1">IFERROR(CONCATENATE(ROUND(OFFSET(환산공식!DK$15,$F132,0),1),"%"),"")</f>
        <v>100%</v>
      </c>
      <c r="O132" s="20">
        <f ca="1">IFERROR(OFFSET(환산공식!DL$15,$F132,0),"")</f>
        <v>10</v>
      </c>
      <c r="P132" s="188" t="str">
        <f t="shared" ca="1" si="2"/>
        <v>3% 이하</v>
      </c>
      <c r="Q132" s="194">
        <f ca="1">IFERROR(ROUND(OFFSET(환산공식!$FG$15,$F132,0),3),"")</f>
        <v>0</v>
      </c>
      <c r="R132" s="194">
        <f ca="1">OFFSET('배치점수 계산기'!H$10,$D132,0)</f>
        <v>758.64499999999998</v>
      </c>
      <c r="S132" s="194">
        <f ca="1">OFFSET('배치점수 계산기'!I$10,$D132,0)</f>
        <v>757.63199999999995</v>
      </c>
      <c r="T132" s="194">
        <f ca="1">OFFSET('배치점수 계산기'!J$10,$D132,0)</f>
        <v>756.625</v>
      </c>
      <c r="U132" s="194">
        <f ca="1">OFFSET('배치점수 계산기'!K$10,$D132,0)</f>
        <v>755.67700000000002</v>
      </c>
      <c r="V132" s="194">
        <f ca="1">OFFSET('배치점수 계산기'!L$10,$D132,0)</f>
        <v>754.36199999999997</v>
      </c>
      <c r="W132" s="186" t="str">
        <f ca="1">OFFSET('배치점수 계산기'!M$10,$D132,0)</f>
        <v>표점</v>
      </c>
      <c r="X132" s="184" t="str">
        <f ca="1">OFFSET('배치점수 계산기'!N$10,$D132,0)</f>
        <v>변표</v>
      </c>
      <c r="Y132" s="188">
        <f ca="1">OFFSET(환산공식!FW$15,$F132,0)</f>
        <v>0.3</v>
      </c>
      <c r="Z132" s="20">
        <f ca="1">OFFSET(환산공식!FX$15,$F132,0)</f>
        <v>0.4</v>
      </c>
      <c r="AA132" s="179">
        <f ca="1">OFFSET(환산공식!FY$15,$F132,0)</f>
        <v>0.3</v>
      </c>
      <c r="AC132"/>
      <c r="AD132">
        <f t="shared" ca="1" si="3"/>
        <v>6</v>
      </c>
      <c r="AE132"/>
    </row>
    <row r="133" spans="1:31" s="3" customFormat="1">
      <c r="A133" s="198"/>
      <c r="B133" s="198"/>
      <c r="C133" s="198" t="s">
        <v>1585</v>
      </c>
      <c r="D133" s="195">
        <v>1119</v>
      </c>
      <c r="E133" s="195">
        <v>31</v>
      </c>
      <c r="F133" s="195">
        <v>31</v>
      </c>
      <c r="G133" s="239">
        <v>126</v>
      </c>
      <c r="H133" s="197" t="s">
        <v>79</v>
      </c>
      <c r="I133" s="242" t="s">
        <v>228</v>
      </c>
      <c r="J133" s="242" t="s">
        <v>9275</v>
      </c>
      <c r="K133" s="195" t="s">
        <v>71</v>
      </c>
      <c r="L133" s="20" t="str">
        <f ca="1">IF(OFFSET(환산공식!$ED$15,$F133,0)=1,"O","X")</f>
        <v>X</v>
      </c>
      <c r="M133" s="188">
        <f ca="1">IFERROR(OFFSET(환산공식!DJ$15,$F133,0),"")</f>
        <v>100</v>
      </c>
      <c r="N133" s="20" t="str">
        <f ca="1">IFERROR(CONCATENATE(ROUND(OFFSET(환산공식!DK$15,$F133,0),1),"%"),"")</f>
        <v>100%</v>
      </c>
      <c r="O133" s="20">
        <f ca="1">IFERROR(OFFSET(환산공식!DL$15,$F133,0),"")</f>
        <v>10</v>
      </c>
      <c r="P133" s="188" t="str">
        <f t="shared" ca="1" si="2"/>
        <v>3% 이하</v>
      </c>
      <c r="Q133" s="194">
        <f ca="1">IFERROR(ROUND(OFFSET(환산공식!$FG$15,$F133,0),3),"")</f>
        <v>0</v>
      </c>
      <c r="R133" s="194">
        <f ca="1">OFFSET('배치점수 계산기'!H$10,$D133,0)</f>
        <v>764.04899999999998</v>
      </c>
      <c r="S133" s="194">
        <f ca="1">OFFSET('배치점수 계산기'!I$10,$D133,0)</f>
        <v>762.12300000000005</v>
      </c>
      <c r="T133" s="194">
        <f ca="1">OFFSET('배치점수 계산기'!J$10,$D133,0)</f>
        <v>760.79600000000005</v>
      </c>
      <c r="U133" s="194">
        <f ca="1">OFFSET('배치점수 계산기'!K$10,$D133,0)</f>
        <v>757.96400000000006</v>
      </c>
      <c r="V133" s="194">
        <f ca="1">OFFSET('배치점수 계산기'!L$10,$D133,0)</f>
        <v>754.51300000000003</v>
      </c>
      <c r="W133" s="186" t="str">
        <f ca="1">OFFSET('배치점수 계산기'!M$10,$D133,0)</f>
        <v>표점</v>
      </c>
      <c r="X133" s="184" t="str">
        <f ca="1">OFFSET('배치점수 계산기'!N$10,$D133,0)</f>
        <v>변표</v>
      </c>
      <c r="Y133" s="188">
        <f ca="1">OFFSET(환산공식!FW$15,$F133,0)</f>
        <v>0.35</v>
      </c>
      <c r="Z133" s="20">
        <f ca="1">OFFSET(환산공식!FX$15,$F133,0)</f>
        <v>0.3</v>
      </c>
      <c r="AA133" s="179">
        <f ca="1">OFFSET(환산공식!FY$15,$F133,0)</f>
        <v>0.35</v>
      </c>
      <c r="AC133"/>
      <c r="AD133">
        <f t="shared" ca="1" si="3"/>
        <v>6</v>
      </c>
      <c r="AE133"/>
    </row>
    <row r="134" spans="1:31" s="3" customFormat="1">
      <c r="A134" s="198"/>
      <c r="B134" s="198"/>
      <c r="C134" s="198" t="s">
        <v>1586</v>
      </c>
      <c r="D134" s="195">
        <v>1120</v>
      </c>
      <c r="E134" s="195">
        <v>31</v>
      </c>
      <c r="F134" s="195">
        <v>31</v>
      </c>
      <c r="G134" s="239">
        <v>127</v>
      </c>
      <c r="H134" s="197" t="s">
        <v>79</v>
      </c>
      <c r="I134" s="242" t="s">
        <v>228</v>
      </c>
      <c r="J134" s="242" t="s">
        <v>8772</v>
      </c>
      <c r="K134" s="195" t="s">
        <v>71</v>
      </c>
      <c r="L134" s="20" t="str">
        <f ca="1">IF(OFFSET(환산공식!$ED$15,$F134,0)=1,"O","X")</f>
        <v>X</v>
      </c>
      <c r="M134" s="188">
        <f ca="1">IFERROR(OFFSET(환산공식!DJ$15,$F134,0),"")</f>
        <v>100</v>
      </c>
      <c r="N134" s="20" t="str">
        <f ca="1">IFERROR(CONCATENATE(ROUND(OFFSET(환산공식!DK$15,$F134,0),1),"%"),"")</f>
        <v>100%</v>
      </c>
      <c r="O134" s="20">
        <f ca="1">IFERROR(OFFSET(환산공식!DL$15,$F134,0),"")</f>
        <v>10</v>
      </c>
      <c r="P134" s="188" t="str">
        <f t="shared" ca="1" si="2"/>
        <v>3% 이하</v>
      </c>
      <c r="Q134" s="194">
        <f ca="1">IFERROR(ROUND(OFFSET(환산공식!$FG$15,$F134,0),3),"")</f>
        <v>0</v>
      </c>
      <c r="R134" s="194">
        <f ca="1">OFFSET('배치점수 계산기'!H$10,$D134,0)</f>
        <v>761.23099999999999</v>
      </c>
      <c r="S134" s="194">
        <f ca="1">OFFSET('배치점수 계산기'!I$10,$D134,0)</f>
        <v>758.93100000000004</v>
      </c>
      <c r="T134" s="194">
        <f ca="1">OFFSET('배치점수 계산기'!J$10,$D134,0)</f>
        <v>757.33900000000006</v>
      </c>
      <c r="U134" s="194">
        <f ca="1">OFFSET('배치점수 계산기'!K$10,$D134,0)</f>
        <v>754.51300000000003</v>
      </c>
      <c r="V134" s="194">
        <f ca="1">OFFSET('배치점수 계산기'!L$10,$D134,0)</f>
        <v>750.98800000000006</v>
      </c>
      <c r="W134" s="186" t="str">
        <f ca="1">OFFSET('배치점수 계산기'!M$10,$D134,0)</f>
        <v>표점</v>
      </c>
      <c r="X134" s="184" t="str">
        <f ca="1">OFFSET('배치점수 계산기'!N$10,$D134,0)</f>
        <v>변표</v>
      </c>
      <c r="Y134" s="188">
        <f ca="1">OFFSET(환산공식!FW$15,$F134,0)</f>
        <v>0.35</v>
      </c>
      <c r="Z134" s="20">
        <f ca="1">OFFSET(환산공식!FX$15,$F134,0)</f>
        <v>0.3</v>
      </c>
      <c r="AA134" s="179">
        <f ca="1">OFFSET(환산공식!FY$15,$F134,0)</f>
        <v>0.35</v>
      </c>
      <c r="AC134"/>
      <c r="AD134">
        <f t="shared" ca="1" si="3"/>
        <v>6</v>
      </c>
      <c r="AE134"/>
    </row>
    <row r="135" spans="1:31" s="3" customFormat="1">
      <c r="A135" s="198"/>
      <c r="B135" s="198"/>
      <c r="C135" s="198" t="s">
        <v>1587</v>
      </c>
      <c r="D135" s="195">
        <v>1121</v>
      </c>
      <c r="E135" s="195">
        <v>32</v>
      </c>
      <c r="F135" s="195">
        <v>32</v>
      </c>
      <c r="G135" s="239">
        <v>128</v>
      </c>
      <c r="H135" s="197" t="s">
        <v>79</v>
      </c>
      <c r="I135" s="242" t="s">
        <v>228</v>
      </c>
      <c r="J135" s="242" t="s">
        <v>491</v>
      </c>
      <c r="K135" s="195" t="s">
        <v>71</v>
      </c>
      <c r="L135" s="20" t="str">
        <f ca="1">IF(OFFSET(환산공식!$ED$15,$F135,0)=1,"O","X")</f>
        <v>X</v>
      </c>
      <c r="M135" s="188">
        <f ca="1">IFERROR(OFFSET(환산공식!DJ$15,$F135,0),"")</f>
        <v>100</v>
      </c>
      <c r="N135" s="20" t="str">
        <f ca="1">IFERROR(CONCATENATE(ROUND(OFFSET(환산공식!DK$15,$F135,0),1),"%"),"")</f>
        <v>100%</v>
      </c>
      <c r="O135" s="20">
        <f ca="1">IFERROR(OFFSET(환산공식!DL$15,$F135,0),"")</f>
        <v>10</v>
      </c>
      <c r="P135" s="188" t="str">
        <f t="shared" ca="1" si="2"/>
        <v>3% 이하</v>
      </c>
      <c r="Q135" s="194">
        <f ca="1">IFERROR(ROUND(OFFSET(환산공식!$FG$15,$F135,0),3),"")</f>
        <v>0</v>
      </c>
      <c r="R135" s="194">
        <f ca="1">OFFSET('배치점수 계산기'!H$10,$D135,0)</f>
        <v>754.71</v>
      </c>
      <c r="S135" s="194">
        <f ca="1">OFFSET('배치점수 계산기'!I$10,$D135,0)</f>
        <v>753.69500000000005</v>
      </c>
      <c r="T135" s="194">
        <f ca="1">OFFSET('배치점수 계산기'!J$10,$D135,0)</f>
        <v>751.34</v>
      </c>
      <c r="U135" s="194">
        <f ca="1">OFFSET('배치점수 계산기'!K$10,$D135,0)</f>
        <v>749.23500000000001</v>
      </c>
      <c r="V135" s="194">
        <f ca="1">OFFSET('배치점수 계산기'!L$10,$D135,0)</f>
        <v>747.56299999999999</v>
      </c>
      <c r="W135" s="186" t="str">
        <f ca="1">OFFSET('배치점수 계산기'!M$10,$D135,0)</f>
        <v>표점</v>
      </c>
      <c r="X135" s="184" t="str">
        <f ca="1">OFFSET('배치점수 계산기'!N$10,$D135,0)</f>
        <v>변표</v>
      </c>
      <c r="Y135" s="188">
        <f ca="1">OFFSET(환산공식!FW$15,$F135,0)</f>
        <v>0.3</v>
      </c>
      <c r="Z135" s="20">
        <f ca="1">OFFSET(환산공식!FX$15,$F135,0)</f>
        <v>0.4</v>
      </c>
      <c r="AA135" s="179">
        <f ca="1">OFFSET(환산공식!FY$15,$F135,0)</f>
        <v>0.3</v>
      </c>
      <c r="AC135"/>
      <c r="AD135">
        <f t="shared" ca="1" si="3"/>
        <v>6</v>
      </c>
      <c r="AE135"/>
    </row>
    <row r="136" spans="1:31" s="3" customFormat="1">
      <c r="A136" s="198"/>
      <c r="B136" s="198"/>
      <c r="C136" s="198" t="s">
        <v>1588</v>
      </c>
      <c r="D136" s="195">
        <v>1122</v>
      </c>
      <c r="E136" s="195">
        <v>31</v>
      </c>
      <c r="F136" s="195">
        <v>31</v>
      </c>
      <c r="G136" s="239">
        <v>129</v>
      </c>
      <c r="H136" s="197" t="s">
        <v>79</v>
      </c>
      <c r="I136" s="242" t="s">
        <v>228</v>
      </c>
      <c r="J136" s="242" t="s">
        <v>9447</v>
      </c>
      <c r="K136" s="195" t="s">
        <v>71</v>
      </c>
      <c r="L136" s="20" t="str">
        <f ca="1">IF(OFFSET(환산공식!$ED$15,$F136,0)=1,"O","X")</f>
        <v>X</v>
      </c>
      <c r="M136" s="188">
        <f ca="1">IFERROR(OFFSET(환산공식!DJ$15,$F136,0),"")</f>
        <v>100</v>
      </c>
      <c r="N136" s="20" t="str">
        <f ca="1">IFERROR(CONCATENATE(ROUND(OFFSET(환산공식!DK$15,$F136,0),1),"%"),"")</f>
        <v>100%</v>
      </c>
      <c r="O136" s="20">
        <f ca="1">IFERROR(OFFSET(환산공식!DL$15,$F136,0),"")</f>
        <v>10</v>
      </c>
      <c r="P136" s="188" t="str">
        <f t="shared" ca="1" si="2"/>
        <v>3% 이하</v>
      </c>
      <c r="Q136" s="194">
        <f ca="1">IFERROR(ROUND(OFFSET(환산공식!$FG$15,$F136,0),3),"")</f>
        <v>0</v>
      </c>
      <c r="R136" s="194">
        <f ca="1">OFFSET('배치점수 계산기'!H$10,$D136,0)</f>
        <v>760.79600000000005</v>
      </c>
      <c r="S136" s="194">
        <f ca="1">OFFSET('배치점수 계산기'!I$10,$D136,0)</f>
        <v>758.57100000000003</v>
      </c>
      <c r="T136" s="194">
        <f ca="1">OFFSET('배치점수 계산기'!J$10,$D136,0)</f>
        <v>757.01199999999994</v>
      </c>
      <c r="U136" s="194">
        <f ca="1">OFFSET('배치점수 계산기'!K$10,$D136,0)</f>
        <v>754.51300000000003</v>
      </c>
      <c r="V136" s="194">
        <f ca="1">OFFSET('배치점수 계산기'!L$10,$D136,0)</f>
        <v>751.27300000000002</v>
      </c>
      <c r="W136" s="186" t="str">
        <f ca="1">OFFSET('배치점수 계산기'!M$10,$D136,0)</f>
        <v>표점</v>
      </c>
      <c r="X136" s="184" t="str">
        <f ca="1">OFFSET('배치점수 계산기'!N$10,$D136,0)</f>
        <v>변표</v>
      </c>
      <c r="Y136" s="188">
        <f ca="1">OFFSET(환산공식!FW$15,$F136,0)</f>
        <v>0.35</v>
      </c>
      <c r="Z136" s="20">
        <f ca="1">OFFSET(환산공식!FX$15,$F136,0)</f>
        <v>0.3</v>
      </c>
      <c r="AA136" s="179">
        <f ca="1">OFFSET(환산공식!FY$15,$F136,0)</f>
        <v>0.35</v>
      </c>
      <c r="AC136"/>
      <c r="AD136">
        <f t="shared" ca="1" si="3"/>
        <v>6</v>
      </c>
      <c r="AE136"/>
    </row>
    <row r="137" spans="1:31" s="3" customFormat="1">
      <c r="A137" s="198"/>
      <c r="B137" s="198"/>
      <c r="C137" s="198" t="s">
        <v>1589</v>
      </c>
      <c r="D137" s="195">
        <v>1123</v>
      </c>
      <c r="E137" s="195">
        <v>32</v>
      </c>
      <c r="F137" s="195">
        <v>32</v>
      </c>
      <c r="G137" s="239">
        <v>130</v>
      </c>
      <c r="H137" s="197" t="s">
        <v>79</v>
      </c>
      <c r="I137" s="242" t="s">
        <v>228</v>
      </c>
      <c r="J137" s="242" t="s">
        <v>9462</v>
      </c>
      <c r="K137" s="195" t="s">
        <v>71</v>
      </c>
      <c r="L137" s="20" t="str">
        <f ca="1">IF(OFFSET(환산공식!$ED$15,$F137,0)=1,"O","X")</f>
        <v>X</v>
      </c>
      <c r="M137" s="188">
        <f ca="1">IFERROR(OFFSET(환산공식!DJ$15,$F137,0),"")</f>
        <v>100</v>
      </c>
      <c r="N137" s="20" t="str">
        <f ca="1">IFERROR(CONCATENATE(ROUND(OFFSET(환산공식!DK$15,$F137,0),1),"%"),"")</f>
        <v>100%</v>
      </c>
      <c r="O137" s="20">
        <f ca="1">IFERROR(OFFSET(환산공식!DL$15,$F137,0),"")</f>
        <v>10</v>
      </c>
      <c r="P137" s="188" t="str">
        <f t="shared" ref="P137:P200" ca="1" si="4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194">
        <f ca="1">IFERROR(ROUND(OFFSET(환산공식!$FG$15,$F137,0),3),"")</f>
        <v>0</v>
      </c>
      <c r="R137" s="194">
        <f ca="1">OFFSET('배치점수 계산기'!H$10,$D137,0)</f>
        <v>753.22500000000002</v>
      </c>
      <c r="S137" s="194">
        <f ca="1">OFFSET('배치점수 계산기'!I$10,$D137,0)</f>
        <v>752.05600000000004</v>
      </c>
      <c r="T137" s="194">
        <f ca="1">OFFSET('배치점수 계산기'!J$10,$D137,0)</f>
        <v>750.87300000000005</v>
      </c>
      <c r="U137" s="194">
        <f ca="1">OFFSET('배치점수 계산기'!K$10,$D137,0)</f>
        <v>748.88499999999999</v>
      </c>
      <c r="V137" s="194">
        <f ca="1">OFFSET('배치점수 계산기'!L$10,$D137,0)</f>
        <v>745.33399999999995</v>
      </c>
      <c r="W137" s="186" t="str">
        <f ca="1">OFFSET('배치점수 계산기'!M$10,$D137,0)</f>
        <v>표점</v>
      </c>
      <c r="X137" s="184" t="str">
        <f ca="1">OFFSET('배치점수 계산기'!N$10,$D137,0)</f>
        <v>변표</v>
      </c>
      <c r="Y137" s="188">
        <f ca="1">OFFSET(환산공식!FW$15,$F137,0)</f>
        <v>0.3</v>
      </c>
      <c r="Z137" s="20">
        <f ca="1">OFFSET(환산공식!FX$15,$F137,0)</f>
        <v>0.4</v>
      </c>
      <c r="AA137" s="179">
        <f ca="1">OFFSET(환산공식!FY$15,$F137,0)</f>
        <v>0.3</v>
      </c>
      <c r="AC137"/>
      <c r="AD137">
        <f t="shared" ref="AD137:AD200" ca="1" si="5">IF(L137="X",6,IF(Q137&gt;R137,1,IF(Q137&gt;S137,2,IF(Q137&gt;T137,3,IF(Q137&gt;U137,4,IF(Q137&gt;=V137,5,IF(Q137&lt;V137,6,"")))))))</f>
        <v>6</v>
      </c>
      <c r="AE137"/>
    </row>
    <row r="138" spans="1:31" s="3" customFormat="1">
      <c r="A138" s="198"/>
      <c r="B138" s="198"/>
      <c r="C138" s="198" t="s">
        <v>1590</v>
      </c>
      <c r="D138" s="195">
        <v>1124</v>
      </c>
      <c r="E138" s="195">
        <v>31</v>
      </c>
      <c r="F138" s="195">
        <v>31</v>
      </c>
      <c r="G138" s="239">
        <v>131</v>
      </c>
      <c r="H138" s="197" t="s">
        <v>79</v>
      </c>
      <c r="I138" s="242" t="s">
        <v>228</v>
      </c>
      <c r="J138" s="242" t="s">
        <v>8216</v>
      </c>
      <c r="K138" s="195" t="s">
        <v>71</v>
      </c>
      <c r="L138" s="20" t="str">
        <f ca="1">IF(OFFSET(환산공식!$ED$15,$F138,0)=1,"O","X")</f>
        <v>X</v>
      </c>
      <c r="M138" s="188">
        <f ca="1">IFERROR(OFFSET(환산공식!DJ$15,$F138,0),"")</f>
        <v>100</v>
      </c>
      <c r="N138" s="20" t="str">
        <f ca="1">IFERROR(CONCATENATE(ROUND(OFFSET(환산공식!DK$15,$F138,0),1),"%"),"")</f>
        <v>100%</v>
      </c>
      <c r="O138" s="20">
        <f ca="1">IFERROR(OFFSET(환산공식!DL$15,$F138,0),"")</f>
        <v>10</v>
      </c>
      <c r="P138" s="188" t="str">
        <f t="shared" ca="1" si="4"/>
        <v>3% 이하</v>
      </c>
      <c r="Q138" s="194">
        <f ca="1">IFERROR(ROUND(OFFSET(환산공식!$FG$15,$F138,0),3),"")</f>
        <v>0</v>
      </c>
      <c r="R138" s="194">
        <f ca="1">OFFSET('배치점수 계산기'!H$10,$D138,0)</f>
        <v>763.25400000000002</v>
      </c>
      <c r="S138" s="194">
        <f ca="1">OFFSET('배치점수 계산기'!I$10,$D138,0)</f>
        <v>759.95</v>
      </c>
      <c r="T138" s="194">
        <f ca="1">OFFSET('배치점수 계산기'!J$10,$D138,0)</f>
        <v>756.577</v>
      </c>
      <c r="U138" s="194">
        <f ca="1">OFFSET('배치점수 계산기'!K$10,$D138,0)</f>
        <v>754.83799999999997</v>
      </c>
      <c r="V138" s="194">
        <f ca="1">OFFSET('배치점수 계산기'!L$10,$D138,0)</f>
        <v>753.16600000000005</v>
      </c>
      <c r="W138" s="186" t="str">
        <f ca="1">OFFSET('배치점수 계산기'!M$10,$D138,0)</f>
        <v>표점</v>
      </c>
      <c r="X138" s="184" t="str">
        <f ca="1">OFFSET('배치점수 계산기'!N$10,$D138,0)</f>
        <v>변표</v>
      </c>
      <c r="Y138" s="188">
        <f ca="1">OFFSET(환산공식!FW$15,$F138,0)</f>
        <v>0.35</v>
      </c>
      <c r="Z138" s="20">
        <f ca="1">OFFSET(환산공식!FX$15,$F138,0)</f>
        <v>0.3</v>
      </c>
      <c r="AA138" s="179">
        <f ca="1">OFFSET(환산공식!FY$15,$F138,0)</f>
        <v>0.35</v>
      </c>
      <c r="AC138"/>
      <c r="AD138">
        <f t="shared" ca="1" si="5"/>
        <v>6</v>
      </c>
      <c r="AE138"/>
    </row>
    <row r="139" spans="1:31" s="3" customFormat="1">
      <c r="A139" s="198"/>
      <c r="B139" s="198"/>
      <c r="C139" s="198" t="s">
        <v>1591</v>
      </c>
      <c r="D139" s="195">
        <v>1125</v>
      </c>
      <c r="E139" s="195">
        <v>32</v>
      </c>
      <c r="F139" s="195">
        <v>32</v>
      </c>
      <c r="G139" s="239">
        <v>132</v>
      </c>
      <c r="H139" s="197" t="s">
        <v>79</v>
      </c>
      <c r="I139" s="242" t="s">
        <v>228</v>
      </c>
      <c r="J139" s="242" t="s">
        <v>8217</v>
      </c>
      <c r="K139" s="195" t="s">
        <v>71</v>
      </c>
      <c r="L139" s="20" t="str">
        <f ca="1">IF(OFFSET(환산공식!$ED$15,$F139,0)=1,"O","X")</f>
        <v>X</v>
      </c>
      <c r="M139" s="188">
        <f ca="1">IFERROR(OFFSET(환산공식!DJ$15,$F139,0),"")</f>
        <v>100</v>
      </c>
      <c r="N139" s="20" t="str">
        <f ca="1">IFERROR(CONCATENATE(ROUND(OFFSET(환산공식!DK$15,$F139,0),1),"%"),"")</f>
        <v>100%</v>
      </c>
      <c r="O139" s="20">
        <f ca="1">IFERROR(OFFSET(환산공식!DL$15,$F139,0),"")</f>
        <v>10</v>
      </c>
      <c r="P139" s="188" t="str">
        <f t="shared" ca="1" si="4"/>
        <v>3% 이하</v>
      </c>
      <c r="Q139" s="194">
        <f ca="1">IFERROR(ROUND(OFFSET(환산공식!$FG$15,$F139,0),3),"")</f>
        <v>0</v>
      </c>
      <c r="R139" s="194">
        <f ca="1">OFFSET('배치점수 계산기'!H$10,$D139,0)</f>
        <v>754.71</v>
      </c>
      <c r="S139" s="194">
        <f ca="1">OFFSET('배치점수 계산기'!I$10,$D139,0)</f>
        <v>752.37300000000005</v>
      </c>
      <c r="T139" s="194">
        <f ca="1">OFFSET('배치점수 계산기'!J$10,$D139,0)</f>
        <v>750.673</v>
      </c>
      <c r="U139" s="194">
        <f ca="1">OFFSET('배치점수 계산기'!K$10,$D139,0)</f>
        <v>749.11800000000005</v>
      </c>
      <c r="V139" s="194">
        <f ca="1">OFFSET('배치점수 계산기'!L$10,$D139,0)</f>
        <v>747.14200000000005</v>
      </c>
      <c r="W139" s="186" t="str">
        <f ca="1">OFFSET('배치점수 계산기'!M$10,$D139,0)</f>
        <v>표점</v>
      </c>
      <c r="X139" s="184" t="str">
        <f ca="1">OFFSET('배치점수 계산기'!N$10,$D139,0)</f>
        <v>변표</v>
      </c>
      <c r="Y139" s="188">
        <f ca="1">OFFSET(환산공식!FW$15,$F139,0)</f>
        <v>0.3</v>
      </c>
      <c r="Z139" s="20">
        <f ca="1">OFFSET(환산공식!FX$15,$F139,0)</f>
        <v>0.4</v>
      </c>
      <c r="AA139" s="179">
        <f ca="1">OFFSET(환산공식!FY$15,$F139,0)</f>
        <v>0.3</v>
      </c>
      <c r="AC139"/>
      <c r="AD139">
        <f t="shared" ca="1" si="5"/>
        <v>6</v>
      </c>
      <c r="AE139"/>
    </row>
    <row r="140" spans="1:31" s="3" customFormat="1">
      <c r="A140" s="198"/>
      <c r="B140" s="198"/>
      <c r="C140" s="198" t="s">
        <v>1592</v>
      </c>
      <c r="D140" s="195">
        <v>1126</v>
      </c>
      <c r="E140" s="195">
        <v>32</v>
      </c>
      <c r="F140" s="195">
        <v>32</v>
      </c>
      <c r="G140" s="239">
        <v>133</v>
      </c>
      <c r="H140" s="197" t="s">
        <v>79</v>
      </c>
      <c r="I140" s="242" t="s">
        <v>228</v>
      </c>
      <c r="J140" s="242" t="s">
        <v>16676</v>
      </c>
      <c r="K140" s="195" t="s">
        <v>71</v>
      </c>
      <c r="L140" s="20" t="str">
        <f ca="1">IF(OFFSET(환산공식!$ED$15,$F140,0)=1,"O","X")</f>
        <v>X</v>
      </c>
      <c r="M140" s="188">
        <f ca="1">IFERROR(OFFSET(환산공식!DJ$15,$F140,0),"")</f>
        <v>100</v>
      </c>
      <c r="N140" s="20" t="str">
        <f ca="1">IFERROR(CONCATENATE(ROUND(OFFSET(환산공식!DK$15,$F140,0),1),"%"),"")</f>
        <v>100%</v>
      </c>
      <c r="O140" s="20">
        <f ca="1">IFERROR(OFFSET(환산공식!DL$15,$F140,0),"")</f>
        <v>10</v>
      </c>
      <c r="P140" s="188" t="str">
        <f t="shared" ca="1" si="4"/>
        <v>3% 이하</v>
      </c>
      <c r="Q140" s="194">
        <f ca="1">IFERROR(ROUND(OFFSET(환산공식!$FG$15,$F140,0),3),"")</f>
        <v>0</v>
      </c>
      <c r="R140" s="194">
        <f ca="1">OFFSET('배치점수 계산기'!H$10,$D140,0)</f>
        <v>752.05600000000004</v>
      </c>
      <c r="S140" s="194">
        <f ca="1">OFFSET('배치점수 계산기'!I$10,$D140,0)</f>
        <v>750.87300000000005</v>
      </c>
      <c r="T140" s="194">
        <f ca="1">OFFSET('배치점수 계산기'!J$10,$D140,0)</f>
        <v>750.51599999999996</v>
      </c>
      <c r="U140" s="194">
        <f ca="1">OFFSET('배치점수 계산기'!K$10,$D140,0)</f>
        <v>748.76800000000003</v>
      </c>
      <c r="V140" s="194">
        <f ca="1">OFFSET('배치점수 계산기'!L$10,$D140,0)</f>
        <v>747.64599999999996</v>
      </c>
      <c r="W140" s="186" t="str">
        <f ca="1">OFFSET('배치점수 계산기'!M$10,$D140,0)</f>
        <v>표점</v>
      </c>
      <c r="X140" s="184" t="str">
        <f ca="1">OFFSET('배치점수 계산기'!N$10,$D140,0)</f>
        <v>변표</v>
      </c>
      <c r="Y140" s="188">
        <f ca="1">OFFSET(환산공식!FW$15,$F140,0)</f>
        <v>0.3</v>
      </c>
      <c r="Z140" s="20">
        <f ca="1">OFFSET(환산공식!FX$15,$F140,0)</f>
        <v>0.4</v>
      </c>
      <c r="AA140" s="179">
        <f ca="1">OFFSET(환산공식!FY$15,$F140,0)</f>
        <v>0.3</v>
      </c>
      <c r="AC140"/>
      <c r="AD140">
        <f t="shared" ca="1" si="5"/>
        <v>6</v>
      </c>
      <c r="AE140"/>
    </row>
    <row r="141" spans="1:31" s="3" customFormat="1">
      <c r="A141" s="198"/>
      <c r="B141" s="198"/>
      <c r="C141" s="198" t="s">
        <v>1593</v>
      </c>
      <c r="D141" s="195">
        <v>1127</v>
      </c>
      <c r="E141" s="195">
        <v>32</v>
      </c>
      <c r="F141" s="195">
        <v>32</v>
      </c>
      <c r="G141" s="239">
        <v>134</v>
      </c>
      <c r="H141" s="197" t="s">
        <v>79</v>
      </c>
      <c r="I141" s="242" t="s">
        <v>228</v>
      </c>
      <c r="J141" s="242" t="s">
        <v>8214</v>
      </c>
      <c r="K141" s="195" t="s">
        <v>71</v>
      </c>
      <c r="L141" s="20" t="str">
        <f ca="1">IF(OFFSET(환산공식!$ED$15,$F141,0)=1,"O","X")</f>
        <v>X</v>
      </c>
      <c r="M141" s="188">
        <f ca="1">IFERROR(OFFSET(환산공식!DJ$15,$F141,0),"")</f>
        <v>100</v>
      </c>
      <c r="N141" s="20" t="str">
        <f ca="1">IFERROR(CONCATENATE(ROUND(OFFSET(환산공식!DK$15,$F141,0),1),"%"),"")</f>
        <v>100%</v>
      </c>
      <c r="O141" s="20">
        <f ca="1">IFERROR(OFFSET(환산공식!DL$15,$F141,0),"")</f>
        <v>10</v>
      </c>
      <c r="P141" s="188" t="str">
        <f t="shared" ca="1" si="4"/>
        <v>3% 이하</v>
      </c>
      <c r="Q141" s="194">
        <f ca="1">IFERROR(ROUND(OFFSET(환산공식!$FG$15,$F141,0),3),"")</f>
        <v>0</v>
      </c>
      <c r="R141" s="194">
        <f ca="1">OFFSET('배치점수 계산기'!H$10,$D141,0)</f>
        <v>752.37300000000005</v>
      </c>
      <c r="S141" s="194">
        <f ca="1">OFFSET('배치점수 계산기'!I$10,$D141,0)</f>
        <v>751.34</v>
      </c>
      <c r="T141" s="194">
        <f ca="1">OFFSET('배치점수 계산기'!J$10,$D141,0)</f>
        <v>750.51599999999996</v>
      </c>
      <c r="U141" s="194">
        <f ca="1">OFFSET('배치점수 계산기'!K$10,$D141,0)</f>
        <v>749.54200000000003</v>
      </c>
      <c r="V141" s="194">
        <f ca="1">OFFSET('배치점수 계산기'!L$10,$D141,0)</f>
        <v>748.03</v>
      </c>
      <c r="W141" s="186" t="str">
        <f ca="1">OFFSET('배치점수 계산기'!M$10,$D141,0)</f>
        <v>표점</v>
      </c>
      <c r="X141" s="184" t="str">
        <f ca="1">OFFSET('배치점수 계산기'!N$10,$D141,0)</f>
        <v>변표</v>
      </c>
      <c r="Y141" s="188">
        <f ca="1">OFFSET(환산공식!FW$15,$F141,0)</f>
        <v>0.3</v>
      </c>
      <c r="Z141" s="20">
        <f ca="1">OFFSET(환산공식!FX$15,$F141,0)</f>
        <v>0.4</v>
      </c>
      <c r="AA141" s="179">
        <f ca="1">OFFSET(환산공식!FY$15,$F141,0)</f>
        <v>0.3</v>
      </c>
      <c r="AC141"/>
      <c r="AD141">
        <f t="shared" ca="1" si="5"/>
        <v>6</v>
      </c>
      <c r="AE141"/>
    </row>
    <row r="142" spans="1:31" s="3" customFormat="1">
      <c r="A142" s="198"/>
      <c r="B142" s="198"/>
      <c r="C142" s="198" t="s">
        <v>1594</v>
      </c>
      <c r="D142" s="195">
        <v>1128</v>
      </c>
      <c r="E142" s="195">
        <v>32</v>
      </c>
      <c r="F142" s="195">
        <v>32</v>
      </c>
      <c r="G142" s="239">
        <v>135</v>
      </c>
      <c r="H142" s="197" t="s">
        <v>79</v>
      </c>
      <c r="I142" s="242" t="s">
        <v>228</v>
      </c>
      <c r="J142" s="242" t="s">
        <v>9423</v>
      </c>
      <c r="K142" s="195" t="s">
        <v>71</v>
      </c>
      <c r="L142" s="20" t="str">
        <f ca="1">IF(OFFSET(환산공식!$ED$15,$F142,0)=1,"O","X")</f>
        <v>X</v>
      </c>
      <c r="M142" s="188">
        <f ca="1">IFERROR(OFFSET(환산공식!DJ$15,$F142,0),"")</f>
        <v>100</v>
      </c>
      <c r="N142" s="20" t="str">
        <f ca="1">IFERROR(CONCATENATE(ROUND(OFFSET(환산공식!DK$15,$F142,0),1),"%"),"")</f>
        <v>100%</v>
      </c>
      <c r="O142" s="20">
        <f ca="1">IFERROR(OFFSET(환산공식!DL$15,$F142,0),"")</f>
        <v>10</v>
      </c>
      <c r="P142" s="188" t="str">
        <f t="shared" ca="1" si="4"/>
        <v>3% 이하</v>
      </c>
      <c r="Q142" s="194">
        <f ca="1">IFERROR(ROUND(OFFSET(환산공식!$FG$15,$F142,0),3),"")</f>
        <v>0</v>
      </c>
      <c r="R142" s="194">
        <f ca="1">OFFSET('배치점수 계산기'!H$10,$D142,0)</f>
        <v>754.89300000000003</v>
      </c>
      <c r="S142" s="194">
        <f ca="1">OFFSET('배치점수 계산기'!I$10,$D142,0)</f>
        <v>751.34</v>
      </c>
      <c r="T142" s="194">
        <f ca="1">OFFSET('배치점수 계산기'!J$10,$D142,0)</f>
        <v>750.24</v>
      </c>
      <c r="U142" s="194">
        <f ca="1">OFFSET('배치점수 계산기'!K$10,$D142,0)</f>
        <v>749.74</v>
      </c>
      <c r="V142" s="194">
        <f ca="1">OFFSET('배치점수 계산기'!L$10,$D142,0)</f>
        <v>747.79600000000005</v>
      </c>
      <c r="W142" s="186" t="str">
        <f ca="1">OFFSET('배치점수 계산기'!M$10,$D142,0)</f>
        <v>표점</v>
      </c>
      <c r="X142" s="184" t="str">
        <f ca="1">OFFSET('배치점수 계산기'!N$10,$D142,0)</f>
        <v>변표</v>
      </c>
      <c r="Y142" s="188">
        <f ca="1">OFFSET(환산공식!FW$15,$F142,0)</f>
        <v>0.3</v>
      </c>
      <c r="Z142" s="20">
        <f ca="1">OFFSET(환산공식!FX$15,$F142,0)</f>
        <v>0.4</v>
      </c>
      <c r="AA142" s="179">
        <f ca="1">OFFSET(환산공식!FY$15,$F142,0)</f>
        <v>0.3</v>
      </c>
      <c r="AC142"/>
      <c r="AD142">
        <f t="shared" ca="1" si="5"/>
        <v>6</v>
      </c>
      <c r="AE142"/>
    </row>
    <row r="143" spans="1:31" s="3" customFormat="1">
      <c r="A143" s="198"/>
      <c r="B143" s="198"/>
      <c r="C143" s="198" t="s">
        <v>1595</v>
      </c>
      <c r="D143" s="195">
        <v>1129</v>
      </c>
      <c r="E143" s="195">
        <v>32</v>
      </c>
      <c r="F143" s="195">
        <v>32</v>
      </c>
      <c r="G143" s="239">
        <v>136</v>
      </c>
      <c r="H143" s="197" t="s">
        <v>79</v>
      </c>
      <c r="I143" s="242" t="s">
        <v>228</v>
      </c>
      <c r="J143" s="242" t="s">
        <v>9494</v>
      </c>
      <c r="K143" s="195" t="s">
        <v>71</v>
      </c>
      <c r="L143" s="20" t="str">
        <f ca="1">IF(OFFSET(환산공식!$ED$15,$F143,0)=1,"O","X")</f>
        <v>X</v>
      </c>
      <c r="M143" s="188">
        <f ca="1">IFERROR(OFFSET(환산공식!DJ$15,$F143,0),"")</f>
        <v>100</v>
      </c>
      <c r="N143" s="20" t="str">
        <f ca="1">IFERROR(CONCATENATE(ROUND(OFFSET(환산공식!DK$15,$F143,0),1),"%"),"")</f>
        <v>100%</v>
      </c>
      <c r="O143" s="20">
        <f ca="1">IFERROR(OFFSET(환산공식!DL$15,$F143,0),"")</f>
        <v>10</v>
      </c>
      <c r="P143" s="188" t="str">
        <f t="shared" ca="1" si="4"/>
        <v>3% 이하</v>
      </c>
      <c r="Q143" s="194">
        <f ca="1">IFERROR(ROUND(OFFSET(환산공식!$FG$15,$F143,0),3),"")</f>
        <v>0</v>
      </c>
      <c r="R143" s="194">
        <f ca="1">OFFSET('배치점수 계산기'!H$10,$D143,0)</f>
        <v>753.69500000000005</v>
      </c>
      <c r="S143" s="194">
        <f ca="1">OFFSET('배치점수 계산기'!I$10,$D143,0)</f>
        <v>751.34</v>
      </c>
      <c r="T143" s="194">
        <f ca="1">OFFSET('배치점수 계산기'!J$10,$D143,0)</f>
        <v>750.04</v>
      </c>
      <c r="U143" s="194">
        <f ca="1">OFFSET('배치점수 계산기'!K$10,$D143,0)</f>
        <v>747.14200000000005</v>
      </c>
      <c r="V143" s="194">
        <f ca="1">OFFSET('배치점수 계산기'!L$10,$D143,0)</f>
        <v>743.81200000000001</v>
      </c>
      <c r="W143" s="186" t="str">
        <f ca="1">OFFSET('배치점수 계산기'!M$10,$D143,0)</f>
        <v>표점</v>
      </c>
      <c r="X143" s="184" t="str">
        <f ca="1">OFFSET('배치점수 계산기'!N$10,$D143,0)</f>
        <v>변표</v>
      </c>
      <c r="Y143" s="188">
        <f ca="1">OFFSET(환산공식!FW$15,$F143,0)</f>
        <v>0.3</v>
      </c>
      <c r="Z143" s="20">
        <f ca="1">OFFSET(환산공식!FX$15,$F143,0)</f>
        <v>0.4</v>
      </c>
      <c r="AA143" s="179">
        <f ca="1">OFFSET(환산공식!FY$15,$F143,0)</f>
        <v>0.3</v>
      </c>
      <c r="AC143"/>
      <c r="AD143">
        <f t="shared" ca="1" si="5"/>
        <v>6</v>
      </c>
      <c r="AE143"/>
    </row>
    <row r="144" spans="1:31" s="3" customFormat="1">
      <c r="A144" s="198"/>
      <c r="B144" s="198"/>
      <c r="C144" s="198" t="s">
        <v>1596</v>
      </c>
      <c r="D144" s="195">
        <v>1130</v>
      </c>
      <c r="E144" s="195">
        <v>32</v>
      </c>
      <c r="F144" s="195">
        <v>32</v>
      </c>
      <c r="G144" s="239">
        <v>137</v>
      </c>
      <c r="H144" s="197" t="s">
        <v>79</v>
      </c>
      <c r="I144" s="242" t="s">
        <v>228</v>
      </c>
      <c r="J144" s="242" t="s">
        <v>9709</v>
      </c>
      <c r="K144" s="195" t="s">
        <v>71</v>
      </c>
      <c r="L144" s="20" t="str">
        <f ca="1">IF(OFFSET(환산공식!$ED$15,$F144,0)=1,"O","X")</f>
        <v>X</v>
      </c>
      <c r="M144" s="188">
        <f ca="1">IFERROR(OFFSET(환산공식!DJ$15,$F144,0),"")</f>
        <v>100</v>
      </c>
      <c r="N144" s="20" t="str">
        <f ca="1">IFERROR(CONCATENATE(ROUND(OFFSET(환산공식!DK$15,$F144,0),1),"%"),"")</f>
        <v>100%</v>
      </c>
      <c r="O144" s="20">
        <f ca="1">IFERROR(OFFSET(환산공식!DL$15,$F144,0),"")</f>
        <v>10</v>
      </c>
      <c r="P144" s="188" t="str">
        <f t="shared" ca="1" si="4"/>
        <v>3% 이하</v>
      </c>
      <c r="Q144" s="194">
        <f ca="1">IFERROR(ROUND(OFFSET(환산공식!$FG$15,$F144,0),3),"")</f>
        <v>0</v>
      </c>
      <c r="R144" s="194">
        <f ca="1">OFFSET('배치점수 계산기'!H$10,$D144,0)</f>
        <v>753.69500000000005</v>
      </c>
      <c r="S144" s="194">
        <f ca="1">OFFSET('배치점수 계산기'!I$10,$D144,0)</f>
        <v>751.34</v>
      </c>
      <c r="T144" s="194">
        <f ca="1">OFFSET('배치점수 계산기'!J$10,$D144,0)</f>
        <v>750.04</v>
      </c>
      <c r="U144" s="194">
        <f ca="1">OFFSET('배치점수 계산기'!K$10,$D144,0)</f>
        <v>747.14200000000005</v>
      </c>
      <c r="V144" s="194">
        <f ca="1">OFFSET('배치점수 계산기'!L$10,$D144,0)</f>
        <v>743.81200000000001</v>
      </c>
      <c r="W144" s="186" t="str">
        <f ca="1">OFFSET('배치점수 계산기'!M$10,$D144,0)</f>
        <v>표점</v>
      </c>
      <c r="X144" s="184" t="str">
        <f ca="1">OFFSET('배치점수 계산기'!N$10,$D144,0)</f>
        <v>변표</v>
      </c>
      <c r="Y144" s="188">
        <f ca="1">OFFSET(환산공식!FW$15,$F144,0)</f>
        <v>0.3</v>
      </c>
      <c r="Z144" s="20">
        <f ca="1">OFFSET(환산공식!FX$15,$F144,0)</f>
        <v>0.4</v>
      </c>
      <c r="AA144" s="179">
        <f ca="1">OFFSET(환산공식!FY$15,$F144,0)</f>
        <v>0.3</v>
      </c>
      <c r="AC144"/>
      <c r="AD144">
        <f t="shared" ca="1" si="5"/>
        <v>6</v>
      </c>
      <c r="AE144"/>
    </row>
    <row r="145" spans="1:31" s="3" customFormat="1">
      <c r="A145" s="198"/>
      <c r="B145" s="198"/>
      <c r="C145" s="198" t="s">
        <v>1597</v>
      </c>
      <c r="D145" s="195">
        <v>1131</v>
      </c>
      <c r="E145" s="195">
        <v>283</v>
      </c>
      <c r="F145" s="195">
        <v>283</v>
      </c>
      <c r="G145" s="239">
        <v>138</v>
      </c>
      <c r="H145" s="197" t="s">
        <v>79</v>
      </c>
      <c r="I145" s="242" t="s">
        <v>228</v>
      </c>
      <c r="J145" s="242" t="s">
        <v>10104</v>
      </c>
      <c r="K145" s="195" t="s">
        <v>71</v>
      </c>
      <c r="L145" s="20" t="str">
        <f ca="1">IF(OFFSET(환산공식!$ED$15,$F145,0)=1,"O","X")</f>
        <v>X</v>
      </c>
      <c r="M145" s="188">
        <f ca="1">IFERROR(OFFSET(환산공식!DJ$15,$F145,0),"")</f>
        <v>100</v>
      </c>
      <c r="N145" s="20" t="str">
        <f ca="1">IFERROR(CONCATENATE(ROUND(OFFSET(환산공식!DK$15,$F145,0),1),"%"),"")</f>
        <v>100%</v>
      </c>
      <c r="O145" s="20">
        <f ca="1">IFERROR(OFFSET(환산공식!DL$15,$F145,0),"")</f>
        <v>10</v>
      </c>
      <c r="P145" s="188" t="str">
        <f t="shared" ca="1" si="4"/>
        <v>3% 이하</v>
      </c>
      <c r="Q145" s="194">
        <f ca="1">IFERROR(ROUND(OFFSET(환산공식!$FG$15,$F145,0),3),"")</f>
        <v>0</v>
      </c>
      <c r="R145" s="194">
        <f ca="1">OFFSET('배치점수 계산기'!H$10,$D145,0)</f>
        <v>749.22500000000002</v>
      </c>
      <c r="S145" s="194">
        <f ca="1">OFFSET('배치점수 계산기'!I$10,$D145,0)</f>
        <v>747.15700000000004</v>
      </c>
      <c r="T145" s="194">
        <f ca="1">OFFSET('배치점수 계산기'!J$10,$D145,0)</f>
        <v>745.98900000000003</v>
      </c>
      <c r="U145" s="194">
        <f ca="1">OFFSET('배치점수 계산기'!K$10,$D145,0)</f>
        <v>743.46299999999997</v>
      </c>
      <c r="V145" s="194">
        <f ca="1">OFFSET('배치점수 계산기'!L$10,$D145,0)</f>
        <v>739.87</v>
      </c>
      <c r="W145" s="186" t="str">
        <f ca="1">OFFSET('배치점수 계산기'!M$10,$D145,0)</f>
        <v>표점</v>
      </c>
      <c r="X145" s="184" t="str">
        <f ca="1">OFFSET('배치점수 계산기'!N$10,$D145,0)</f>
        <v>변표</v>
      </c>
      <c r="Y145" s="188">
        <f ca="1">OFFSET(환산공식!FW$15,$F145,0)</f>
        <v>0.35</v>
      </c>
      <c r="Z145" s="20">
        <f ca="1">OFFSET(환산공식!FX$15,$F145,0)</f>
        <v>0.3</v>
      </c>
      <c r="AA145" s="179">
        <f ca="1">OFFSET(환산공식!FY$15,$F145,0)</f>
        <v>0.35</v>
      </c>
      <c r="AC145"/>
      <c r="AD145">
        <f t="shared" ca="1" si="5"/>
        <v>6</v>
      </c>
      <c r="AE145"/>
    </row>
    <row r="146" spans="1:31" s="3" customFormat="1">
      <c r="A146" s="198"/>
      <c r="B146" s="198"/>
      <c r="C146" s="198" t="s">
        <v>1598</v>
      </c>
      <c r="D146" s="195">
        <v>1132</v>
      </c>
      <c r="E146" s="195">
        <v>283</v>
      </c>
      <c r="F146" s="195">
        <v>283</v>
      </c>
      <c r="G146" s="239">
        <v>139</v>
      </c>
      <c r="H146" s="197" t="s">
        <v>79</v>
      </c>
      <c r="I146" s="242" t="s">
        <v>228</v>
      </c>
      <c r="J146" s="242" t="s">
        <v>12576</v>
      </c>
      <c r="K146" s="195" t="s">
        <v>71</v>
      </c>
      <c r="L146" s="20" t="str">
        <f ca="1">IF(OFFSET(환산공식!$ED$15,$F146,0)=1,"O","X")</f>
        <v>X</v>
      </c>
      <c r="M146" s="188">
        <f ca="1">IFERROR(OFFSET(환산공식!DJ$15,$F146,0),"")</f>
        <v>100</v>
      </c>
      <c r="N146" s="20" t="str">
        <f ca="1">IFERROR(CONCATENATE(ROUND(OFFSET(환산공식!DK$15,$F146,0),1),"%"),"")</f>
        <v>100%</v>
      </c>
      <c r="O146" s="20">
        <f ca="1">IFERROR(OFFSET(환산공식!DL$15,$F146,0),"")</f>
        <v>10</v>
      </c>
      <c r="P146" s="188" t="str">
        <f t="shared" ca="1" si="4"/>
        <v>3% 이하</v>
      </c>
      <c r="Q146" s="194">
        <f ca="1">IFERROR(ROUND(OFFSET(환산공식!$FG$15,$F146,0),3),"")</f>
        <v>0</v>
      </c>
      <c r="R146" s="194">
        <f ca="1">OFFSET('배치점수 계산기'!H$10,$D146,0)</f>
        <v>700.38</v>
      </c>
      <c r="S146" s="194">
        <f ca="1">OFFSET('배치점수 계산기'!I$10,$D146,0)</f>
        <v>699.29399999999998</v>
      </c>
      <c r="T146" s="194">
        <f ca="1">OFFSET('배치점수 계산기'!J$10,$D146,0)</f>
        <v>698.39499999999998</v>
      </c>
      <c r="U146" s="194">
        <f ca="1">OFFSET('배치점수 계산기'!K$10,$D146,0)</f>
        <v>696.84299999999996</v>
      </c>
      <c r="V146" s="194">
        <f ca="1">OFFSET('배치점수 계산기'!L$10,$D146,0)</f>
        <v>694.79100000000005</v>
      </c>
      <c r="W146" s="186" t="str">
        <f ca="1">OFFSET('배치점수 계산기'!M$10,$D146,0)</f>
        <v>표점</v>
      </c>
      <c r="X146" s="184" t="str">
        <f ca="1">OFFSET('배치점수 계산기'!N$10,$D146,0)</f>
        <v>변표</v>
      </c>
      <c r="Y146" s="188">
        <f ca="1">OFFSET(환산공식!FW$15,$F146,0)</f>
        <v>0.35</v>
      </c>
      <c r="Z146" s="20">
        <f ca="1">OFFSET(환산공식!FX$15,$F146,0)</f>
        <v>0.3</v>
      </c>
      <c r="AA146" s="179">
        <f ca="1">OFFSET(환산공식!FY$15,$F146,0)</f>
        <v>0.35</v>
      </c>
      <c r="AC146"/>
      <c r="AD146">
        <f t="shared" ca="1" si="5"/>
        <v>6</v>
      </c>
      <c r="AE146"/>
    </row>
    <row r="147" spans="1:31" s="3" customFormat="1">
      <c r="A147" s="198"/>
      <c r="B147" s="198"/>
      <c r="C147" s="198" t="s">
        <v>1599</v>
      </c>
      <c r="D147" s="195">
        <v>1133</v>
      </c>
      <c r="E147" s="195">
        <v>33</v>
      </c>
      <c r="F147" s="195">
        <v>33</v>
      </c>
      <c r="G147" s="239">
        <v>140</v>
      </c>
      <c r="H147" s="197" t="s">
        <v>79</v>
      </c>
      <c r="I147" s="242" t="s">
        <v>82</v>
      </c>
      <c r="J147" s="242" t="s">
        <v>9074</v>
      </c>
      <c r="K147" s="195" t="s">
        <v>70</v>
      </c>
      <c r="L147" s="20" t="str">
        <f ca="1">IF(OFFSET(환산공식!$ED$15,$F147,0)=1,"O","X")</f>
        <v>X</v>
      </c>
      <c r="M147" s="188">
        <f ca="1">IFERROR(OFFSET(환산공식!DJ$15,$F147,0),"")</f>
        <v>0</v>
      </c>
      <c r="N147" s="20" t="str">
        <f ca="1">IFERROR(CONCATENATE(ROUND(OFFSET(환산공식!DK$15,$F147,0),1),"%"),"")</f>
        <v/>
      </c>
      <c r="O147" s="20">
        <f ca="1">IFERROR(OFFSET(환산공식!DL$15,$F147,0),"")</f>
        <v>0</v>
      </c>
      <c r="P147" s="188" t="str">
        <f t="shared" ca="1" si="4"/>
        <v>3% 이하</v>
      </c>
      <c r="Q147" s="194">
        <f ca="1">IFERROR(ROUND(OFFSET(환산공식!$FG$15,$F147,0),3),"")</f>
        <v>0</v>
      </c>
      <c r="R147" s="194">
        <f ca="1">OFFSET('배치점수 계산기'!H$10,$D147,0)</f>
        <v>389.39</v>
      </c>
      <c r="S147" s="194">
        <f ca="1">OFFSET('배치점수 계산기'!I$10,$D147,0)</f>
        <v>387.70400000000001</v>
      </c>
      <c r="T147" s="194">
        <f ca="1">OFFSET('배치점수 계산기'!J$10,$D147,0)</f>
        <v>386.25299999999999</v>
      </c>
      <c r="U147" s="194">
        <f ca="1">OFFSET('배치점수 계산기'!K$10,$D147,0)</f>
        <v>385.00599999999997</v>
      </c>
      <c r="V147" s="194">
        <f ca="1">OFFSET('배치점수 계산기'!L$10,$D147,0)</f>
        <v>382.57299999999998</v>
      </c>
      <c r="W147" s="186" t="str">
        <f ca="1">OFFSET('배치점수 계산기'!M$10,$D147,0)</f>
        <v>표점</v>
      </c>
      <c r="X147" s="184" t="str">
        <f ca="1">OFFSET('배치점수 계산기'!N$10,$D147,0)</f>
        <v>변표</v>
      </c>
      <c r="Y147" s="188">
        <f ca="1">OFFSET(환산공식!FW$15,$F147,0)</f>
        <v>0.25</v>
      </c>
      <c r="Z147" s="20">
        <f ca="1">OFFSET(환산공식!FX$15,$F147,0)</f>
        <v>0.4</v>
      </c>
      <c r="AA147" s="179">
        <f ca="1">OFFSET(환산공식!FY$15,$F147,0)</f>
        <v>0.35</v>
      </c>
      <c r="AC147"/>
      <c r="AD147">
        <f t="shared" ca="1" si="5"/>
        <v>6</v>
      </c>
      <c r="AE147"/>
    </row>
    <row r="148" spans="1:31" s="3" customFormat="1">
      <c r="A148" s="198"/>
      <c r="B148" s="198"/>
      <c r="C148" s="198" t="s">
        <v>1600</v>
      </c>
      <c r="D148" s="195">
        <v>1134</v>
      </c>
      <c r="E148" s="195">
        <v>33</v>
      </c>
      <c r="F148" s="195">
        <v>33</v>
      </c>
      <c r="G148" s="239">
        <v>141</v>
      </c>
      <c r="H148" s="197" t="s">
        <v>79</v>
      </c>
      <c r="I148" s="242" t="s">
        <v>82</v>
      </c>
      <c r="J148" s="242" t="s">
        <v>9314</v>
      </c>
      <c r="K148" s="195" t="s">
        <v>70</v>
      </c>
      <c r="L148" s="20" t="str">
        <f ca="1">IF(OFFSET(환산공식!$ED$15,$F148,0)=1,"O","X")</f>
        <v>X</v>
      </c>
      <c r="M148" s="188">
        <f ca="1">IFERROR(OFFSET(환산공식!DJ$15,$F148,0),"")</f>
        <v>0</v>
      </c>
      <c r="N148" s="20" t="str">
        <f ca="1">IFERROR(CONCATENATE(ROUND(OFFSET(환산공식!DK$15,$F148,0),1),"%"),"")</f>
        <v/>
      </c>
      <c r="O148" s="20">
        <f ca="1">IFERROR(OFFSET(환산공식!DL$15,$F148,0),"")</f>
        <v>0</v>
      </c>
      <c r="P148" s="188" t="str">
        <f t="shared" ca="1" si="4"/>
        <v>3% 이하</v>
      </c>
      <c r="Q148" s="194">
        <f ca="1">IFERROR(ROUND(OFFSET(환산공식!$FG$15,$F148,0),3),"")</f>
        <v>0</v>
      </c>
      <c r="R148" s="194">
        <f ca="1">OFFSET('배치점수 계산기'!H$10,$D148,0)</f>
        <v>388.75200000000001</v>
      </c>
      <c r="S148" s="194">
        <f ca="1">OFFSET('배치점수 계산기'!I$10,$D148,0)</f>
        <v>387.94400000000002</v>
      </c>
      <c r="T148" s="194">
        <f ca="1">OFFSET('배치점수 계산기'!J$10,$D148,0)</f>
        <v>385.90699999999998</v>
      </c>
      <c r="U148" s="194">
        <f ca="1">OFFSET('배치점수 계산기'!K$10,$D148,0)</f>
        <v>385.072</v>
      </c>
      <c r="V148" s="194">
        <f ca="1">OFFSET('배치점수 계산기'!L$10,$D148,0)</f>
        <v>383.928</v>
      </c>
      <c r="W148" s="186" t="str">
        <f ca="1">OFFSET('배치점수 계산기'!M$10,$D148,0)</f>
        <v>표점</v>
      </c>
      <c r="X148" s="184" t="str">
        <f ca="1">OFFSET('배치점수 계산기'!N$10,$D148,0)</f>
        <v>변표</v>
      </c>
      <c r="Y148" s="188">
        <f ca="1">OFFSET(환산공식!FW$15,$F148,0)</f>
        <v>0.25</v>
      </c>
      <c r="Z148" s="20">
        <f ca="1">OFFSET(환산공식!FX$15,$F148,0)</f>
        <v>0.4</v>
      </c>
      <c r="AA148" s="179">
        <f ca="1">OFFSET(환산공식!FY$15,$F148,0)</f>
        <v>0.35</v>
      </c>
      <c r="AC148"/>
      <c r="AD148">
        <f t="shared" ca="1" si="5"/>
        <v>6</v>
      </c>
      <c r="AE148"/>
    </row>
    <row r="149" spans="1:31" s="3" customFormat="1">
      <c r="A149" s="198"/>
      <c r="B149" s="198"/>
      <c r="C149" s="198" t="s">
        <v>1601</v>
      </c>
      <c r="D149" s="195">
        <v>1135</v>
      </c>
      <c r="E149" s="195">
        <v>33</v>
      </c>
      <c r="F149" s="195">
        <v>33</v>
      </c>
      <c r="G149" s="239">
        <v>142</v>
      </c>
      <c r="H149" s="197" t="s">
        <v>79</v>
      </c>
      <c r="I149" s="242" t="s">
        <v>82</v>
      </c>
      <c r="J149" s="242" t="s">
        <v>8418</v>
      </c>
      <c r="K149" s="195" t="s">
        <v>70</v>
      </c>
      <c r="L149" s="20" t="str">
        <f ca="1">IF(OFFSET(환산공식!$ED$15,$F149,0)=1,"O","X")</f>
        <v>X</v>
      </c>
      <c r="M149" s="188">
        <f ca="1">IFERROR(OFFSET(환산공식!DJ$15,$F149,0),"")</f>
        <v>0</v>
      </c>
      <c r="N149" s="20" t="str">
        <f ca="1">IFERROR(CONCATENATE(ROUND(OFFSET(환산공식!DK$15,$F149,0),1),"%"),"")</f>
        <v/>
      </c>
      <c r="O149" s="20">
        <f ca="1">IFERROR(OFFSET(환산공식!DL$15,$F149,0),"")</f>
        <v>0</v>
      </c>
      <c r="P149" s="188" t="str">
        <f t="shared" ca="1" si="4"/>
        <v>3% 이하</v>
      </c>
      <c r="Q149" s="194">
        <f ca="1">IFERROR(ROUND(OFFSET(환산공식!$FG$15,$F149,0),3),"")</f>
        <v>0</v>
      </c>
      <c r="R149" s="194">
        <f ca="1">OFFSET('배치점수 계산기'!H$10,$D149,0)</f>
        <v>388.75200000000001</v>
      </c>
      <c r="S149" s="194">
        <f ca="1">OFFSET('배치점수 계산기'!I$10,$D149,0)</f>
        <v>386.86200000000002</v>
      </c>
      <c r="T149" s="194">
        <f ca="1">OFFSET('배치점수 계산기'!J$10,$D149,0)</f>
        <v>385.71800000000002</v>
      </c>
      <c r="U149" s="194">
        <f ca="1">OFFSET('배치점수 계산기'!K$10,$D149,0)</f>
        <v>384.57499999999999</v>
      </c>
      <c r="V149" s="194">
        <f ca="1">OFFSET('배치점수 계산기'!L$10,$D149,0)</f>
        <v>382.64800000000002</v>
      </c>
      <c r="W149" s="186" t="str">
        <f ca="1">OFFSET('배치점수 계산기'!M$10,$D149,0)</f>
        <v>표점</v>
      </c>
      <c r="X149" s="184" t="str">
        <f ca="1">OFFSET('배치점수 계산기'!N$10,$D149,0)</f>
        <v>변표</v>
      </c>
      <c r="Y149" s="188">
        <f ca="1">OFFSET(환산공식!FW$15,$F149,0)</f>
        <v>0.25</v>
      </c>
      <c r="Z149" s="20">
        <f ca="1">OFFSET(환산공식!FX$15,$F149,0)</f>
        <v>0.4</v>
      </c>
      <c r="AA149" s="179">
        <f ca="1">OFFSET(환산공식!FY$15,$F149,0)</f>
        <v>0.35</v>
      </c>
      <c r="AC149"/>
      <c r="AD149">
        <f t="shared" ca="1" si="5"/>
        <v>6</v>
      </c>
      <c r="AE149"/>
    </row>
    <row r="150" spans="1:31" s="3" customFormat="1">
      <c r="A150" s="198"/>
      <c r="B150" s="198"/>
      <c r="C150" s="198" t="s">
        <v>1602</v>
      </c>
      <c r="D150" s="195">
        <v>1136</v>
      </c>
      <c r="E150" s="195">
        <v>33</v>
      </c>
      <c r="F150" s="195">
        <v>33</v>
      </c>
      <c r="G150" s="239">
        <v>143</v>
      </c>
      <c r="H150" s="197" t="s">
        <v>79</v>
      </c>
      <c r="I150" s="242" t="s">
        <v>82</v>
      </c>
      <c r="J150" s="242" t="s">
        <v>8757</v>
      </c>
      <c r="K150" s="195" t="s">
        <v>70</v>
      </c>
      <c r="L150" s="20" t="str">
        <f ca="1">IF(OFFSET(환산공식!$ED$15,$F150,0)=1,"O","X")</f>
        <v>X</v>
      </c>
      <c r="M150" s="188">
        <f ca="1">IFERROR(OFFSET(환산공식!DJ$15,$F150,0),"")</f>
        <v>0</v>
      </c>
      <c r="N150" s="20" t="str">
        <f ca="1">IFERROR(CONCATENATE(ROUND(OFFSET(환산공식!DK$15,$F150,0),1),"%"),"")</f>
        <v/>
      </c>
      <c r="O150" s="20">
        <f ca="1">IFERROR(OFFSET(환산공식!DL$15,$F150,0),"")</f>
        <v>0</v>
      </c>
      <c r="P150" s="188" t="str">
        <f t="shared" ca="1" si="4"/>
        <v>3% 이하</v>
      </c>
      <c r="Q150" s="194">
        <f ca="1">IFERROR(ROUND(OFFSET(환산공식!$FG$15,$F150,0),3),"")</f>
        <v>0</v>
      </c>
      <c r="R150" s="194">
        <f ca="1">OFFSET('배치점수 계산기'!H$10,$D150,0)</f>
        <v>388.63600000000002</v>
      </c>
      <c r="S150" s="194">
        <f ca="1">OFFSET('배치점수 계산기'!I$10,$D150,0)</f>
        <v>386.66699999999997</v>
      </c>
      <c r="T150" s="194">
        <f ca="1">OFFSET('배치점수 계산기'!J$10,$D150,0)</f>
        <v>385.57799999999997</v>
      </c>
      <c r="U150" s="194">
        <f ca="1">OFFSET('배치점수 계산기'!K$10,$D150,0)</f>
        <v>384.43400000000003</v>
      </c>
      <c r="V150" s="194">
        <f ca="1">OFFSET('배치점수 계산기'!L$10,$D150,0)</f>
        <v>381.96100000000001</v>
      </c>
      <c r="W150" s="186" t="str">
        <f ca="1">OFFSET('배치점수 계산기'!M$10,$D150,0)</f>
        <v>표점</v>
      </c>
      <c r="X150" s="184" t="str">
        <f ca="1">OFFSET('배치점수 계산기'!N$10,$D150,0)</f>
        <v>변표</v>
      </c>
      <c r="Y150" s="188">
        <f ca="1">OFFSET(환산공식!FW$15,$F150,0)</f>
        <v>0.25</v>
      </c>
      <c r="Z150" s="20">
        <f ca="1">OFFSET(환산공식!FX$15,$F150,0)</f>
        <v>0.4</v>
      </c>
      <c r="AA150" s="179">
        <f ca="1">OFFSET(환산공식!FY$15,$F150,0)</f>
        <v>0.35</v>
      </c>
      <c r="AC150"/>
      <c r="AD150">
        <f t="shared" ca="1" si="5"/>
        <v>6</v>
      </c>
      <c r="AE150"/>
    </row>
    <row r="151" spans="1:31" s="3" customFormat="1">
      <c r="A151" s="198"/>
      <c r="B151" s="198"/>
      <c r="C151" s="198" t="s">
        <v>1603</v>
      </c>
      <c r="D151" s="195">
        <v>1137</v>
      </c>
      <c r="E151" s="195">
        <v>33</v>
      </c>
      <c r="F151" s="195">
        <v>33</v>
      </c>
      <c r="G151" s="239">
        <v>144</v>
      </c>
      <c r="H151" s="197" t="s">
        <v>79</v>
      </c>
      <c r="I151" s="242" t="s">
        <v>82</v>
      </c>
      <c r="J151" s="242" t="s">
        <v>9439</v>
      </c>
      <c r="K151" s="195" t="s">
        <v>70</v>
      </c>
      <c r="L151" s="20" t="str">
        <f ca="1">IF(OFFSET(환산공식!$ED$15,$F151,0)=1,"O","X")</f>
        <v>X</v>
      </c>
      <c r="M151" s="188">
        <f ca="1">IFERROR(OFFSET(환산공식!DJ$15,$F151,0),"")</f>
        <v>0</v>
      </c>
      <c r="N151" s="20" t="str">
        <f ca="1">IFERROR(CONCATENATE(ROUND(OFFSET(환산공식!DK$15,$F151,0),1),"%"),"")</f>
        <v/>
      </c>
      <c r="O151" s="20">
        <f ca="1">IFERROR(OFFSET(환산공식!DL$15,$F151,0),"")</f>
        <v>0</v>
      </c>
      <c r="P151" s="188" t="str">
        <f t="shared" ca="1" si="4"/>
        <v>3% 이하</v>
      </c>
      <c r="Q151" s="194">
        <f ca="1">IFERROR(ROUND(OFFSET(환산공식!$FG$15,$F151,0),3),"")</f>
        <v>0</v>
      </c>
      <c r="R151" s="194">
        <f ca="1">OFFSET('배치점수 계산기'!H$10,$D151,0)</f>
        <v>389.94900000000001</v>
      </c>
      <c r="S151" s="194">
        <f ca="1">OFFSET('배치점수 계산기'!I$10,$D151,0)</f>
        <v>387.48500000000001</v>
      </c>
      <c r="T151" s="194">
        <f ca="1">OFFSET('배치점수 계산기'!J$10,$D151,0)</f>
        <v>384.87700000000001</v>
      </c>
      <c r="U151" s="194">
        <f ca="1">OFFSET('배치점수 계산기'!K$10,$D151,0)</f>
        <v>383.07499999999999</v>
      </c>
      <c r="V151" s="194">
        <f ca="1">OFFSET('배치점수 계산기'!L$10,$D151,0)</f>
        <v>380.49900000000002</v>
      </c>
      <c r="W151" s="186" t="str">
        <f ca="1">OFFSET('배치점수 계산기'!M$10,$D151,0)</f>
        <v>표점</v>
      </c>
      <c r="X151" s="184" t="str">
        <f ca="1">OFFSET('배치점수 계산기'!N$10,$D151,0)</f>
        <v>변표</v>
      </c>
      <c r="Y151" s="188">
        <f ca="1">OFFSET(환산공식!FW$15,$F151,0)</f>
        <v>0.25</v>
      </c>
      <c r="Z151" s="20">
        <f ca="1">OFFSET(환산공식!FX$15,$F151,0)</f>
        <v>0.4</v>
      </c>
      <c r="AA151" s="179">
        <f ca="1">OFFSET(환산공식!FY$15,$F151,0)</f>
        <v>0.35</v>
      </c>
      <c r="AC151"/>
      <c r="AD151">
        <f t="shared" ca="1" si="5"/>
        <v>6</v>
      </c>
      <c r="AE151"/>
    </row>
    <row r="152" spans="1:31" s="3" customFormat="1">
      <c r="A152" s="198"/>
      <c r="B152" s="198"/>
      <c r="C152" s="198" t="s">
        <v>1604</v>
      </c>
      <c r="D152" s="195">
        <v>1138</v>
      </c>
      <c r="E152" s="195">
        <v>33</v>
      </c>
      <c r="F152" s="195">
        <v>33</v>
      </c>
      <c r="G152" s="239">
        <v>145</v>
      </c>
      <c r="H152" s="197" t="s">
        <v>79</v>
      </c>
      <c r="I152" s="242" t="s">
        <v>82</v>
      </c>
      <c r="J152" s="242" t="s">
        <v>9558</v>
      </c>
      <c r="K152" s="195" t="s">
        <v>70</v>
      </c>
      <c r="L152" s="20" t="str">
        <f ca="1">IF(OFFSET(환산공식!$ED$15,$F152,0)=1,"O","X")</f>
        <v>X</v>
      </c>
      <c r="M152" s="188">
        <f ca="1">IFERROR(OFFSET(환산공식!DJ$15,$F152,0),"")</f>
        <v>0</v>
      </c>
      <c r="N152" s="20" t="str">
        <f ca="1">IFERROR(CONCATENATE(ROUND(OFFSET(환산공식!DK$15,$F152,0),1),"%"),"")</f>
        <v/>
      </c>
      <c r="O152" s="20">
        <f ca="1">IFERROR(OFFSET(환산공식!DL$15,$F152,0),"")</f>
        <v>0</v>
      </c>
      <c r="P152" s="188" t="str">
        <f t="shared" ca="1" si="4"/>
        <v>3% 이하</v>
      </c>
      <c r="Q152" s="194">
        <f ca="1">IFERROR(ROUND(OFFSET(환산공식!$FG$15,$F152,0),3),"")</f>
        <v>0</v>
      </c>
      <c r="R152" s="194">
        <f ca="1">OFFSET('배치점수 계산기'!H$10,$D152,0)</f>
        <v>389.00900000000001</v>
      </c>
      <c r="S152" s="194">
        <f ca="1">OFFSET('배치점수 계산기'!I$10,$D152,0)</f>
        <v>386.51600000000002</v>
      </c>
      <c r="T152" s="194">
        <f ca="1">OFFSET('배치점수 계산기'!J$10,$D152,0)</f>
        <v>384.18200000000002</v>
      </c>
      <c r="U152" s="194">
        <f ca="1">OFFSET('배치점수 계산기'!K$10,$D152,0)</f>
        <v>382.31</v>
      </c>
      <c r="V152" s="194">
        <f ca="1">OFFSET('배치점수 계산기'!L$10,$D152,0)</f>
        <v>379.70299999999997</v>
      </c>
      <c r="W152" s="186" t="str">
        <f ca="1">OFFSET('배치점수 계산기'!M$10,$D152,0)</f>
        <v>표점</v>
      </c>
      <c r="X152" s="184" t="str">
        <f ca="1">OFFSET('배치점수 계산기'!N$10,$D152,0)</f>
        <v>변표</v>
      </c>
      <c r="Y152" s="188">
        <f ca="1">OFFSET(환산공식!FW$15,$F152,0)</f>
        <v>0.25</v>
      </c>
      <c r="Z152" s="20">
        <f ca="1">OFFSET(환산공식!FX$15,$F152,0)</f>
        <v>0.4</v>
      </c>
      <c r="AA152" s="179">
        <f ca="1">OFFSET(환산공식!FY$15,$F152,0)</f>
        <v>0.35</v>
      </c>
      <c r="AC152"/>
      <c r="AD152">
        <f t="shared" ca="1" si="5"/>
        <v>6</v>
      </c>
      <c r="AE152"/>
    </row>
    <row r="153" spans="1:31" s="3" customFormat="1">
      <c r="A153" s="198"/>
      <c r="B153" s="198"/>
      <c r="C153" s="198" t="s">
        <v>1605</v>
      </c>
      <c r="D153" s="195">
        <v>1139</v>
      </c>
      <c r="E153" s="195">
        <v>33</v>
      </c>
      <c r="F153" s="195">
        <v>33</v>
      </c>
      <c r="G153" s="239">
        <v>146</v>
      </c>
      <c r="H153" s="197" t="s">
        <v>79</v>
      </c>
      <c r="I153" s="242" t="s">
        <v>82</v>
      </c>
      <c r="J153" s="242" t="s">
        <v>9544</v>
      </c>
      <c r="K153" s="195" t="s">
        <v>70</v>
      </c>
      <c r="L153" s="20" t="str">
        <f ca="1">IF(OFFSET(환산공식!$ED$15,$F153,0)=1,"O","X")</f>
        <v>X</v>
      </c>
      <c r="M153" s="188">
        <f ca="1">IFERROR(OFFSET(환산공식!DJ$15,$F153,0),"")</f>
        <v>0</v>
      </c>
      <c r="N153" s="20" t="str">
        <f ca="1">IFERROR(CONCATENATE(ROUND(OFFSET(환산공식!DK$15,$F153,0),1),"%"),"")</f>
        <v/>
      </c>
      <c r="O153" s="20">
        <f ca="1">IFERROR(OFFSET(환산공식!DL$15,$F153,0),"")</f>
        <v>0</v>
      </c>
      <c r="P153" s="188" t="str">
        <f t="shared" ca="1" si="4"/>
        <v>3% 이하</v>
      </c>
      <c r="Q153" s="194">
        <f ca="1">IFERROR(ROUND(OFFSET(환산공식!$FG$15,$F153,0),3),"")</f>
        <v>0</v>
      </c>
      <c r="R153" s="194">
        <f ca="1">OFFSET('배치점수 계산기'!H$10,$D153,0)</f>
        <v>389.00900000000001</v>
      </c>
      <c r="S153" s="194">
        <f ca="1">OFFSET('배치점수 계산기'!I$10,$D153,0)</f>
        <v>386.51600000000002</v>
      </c>
      <c r="T153" s="194">
        <f ca="1">OFFSET('배치점수 계산기'!J$10,$D153,0)</f>
        <v>384.18200000000002</v>
      </c>
      <c r="U153" s="194">
        <f ca="1">OFFSET('배치점수 계산기'!K$10,$D153,0)</f>
        <v>382.31</v>
      </c>
      <c r="V153" s="194">
        <f ca="1">OFFSET('배치점수 계산기'!L$10,$D153,0)</f>
        <v>379.70299999999997</v>
      </c>
      <c r="W153" s="186" t="str">
        <f ca="1">OFFSET('배치점수 계산기'!M$10,$D153,0)</f>
        <v>표점</v>
      </c>
      <c r="X153" s="184" t="str">
        <f ca="1">OFFSET('배치점수 계산기'!N$10,$D153,0)</f>
        <v>변표</v>
      </c>
      <c r="Y153" s="188">
        <f ca="1">OFFSET(환산공식!FW$15,$F153,0)</f>
        <v>0.25</v>
      </c>
      <c r="Z153" s="20">
        <f ca="1">OFFSET(환산공식!FX$15,$F153,0)</f>
        <v>0.4</v>
      </c>
      <c r="AA153" s="179">
        <f ca="1">OFFSET(환산공식!FY$15,$F153,0)</f>
        <v>0.35</v>
      </c>
      <c r="AC153"/>
      <c r="AD153">
        <f t="shared" ca="1" si="5"/>
        <v>6</v>
      </c>
      <c r="AE153"/>
    </row>
    <row r="154" spans="1:31" s="3" customFormat="1">
      <c r="A154" s="198"/>
      <c r="B154" s="198"/>
      <c r="C154" s="198" t="s">
        <v>1606</v>
      </c>
      <c r="D154" s="195">
        <v>1140</v>
      </c>
      <c r="E154" s="195">
        <v>33</v>
      </c>
      <c r="F154" s="195">
        <v>33</v>
      </c>
      <c r="G154" s="239">
        <v>147</v>
      </c>
      <c r="H154" s="197" t="s">
        <v>79</v>
      </c>
      <c r="I154" s="242" t="s">
        <v>82</v>
      </c>
      <c r="J154" s="242" t="s">
        <v>9576</v>
      </c>
      <c r="K154" s="195" t="s">
        <v>70</v>
      </c>
      <c r="L154" s="20" t="str">
        <f ca="1">IF(OFFSET(환산공식!$ED$15,$F154,0)=1,"O","X")</f>
        <v>X</v>
      </c>
      <c r="M154" s="188">
        <f ca="1">IFERROR(OFFSET(환산공식!DJ$15,$F154,0),"")</f>
        <v>0</v>
      </c>
      <c r="N154" s="20" t="str">
        <f ca="1">IFERROR(CONCATENATE(ROUND(OFFSET(환산공식!DK$15,$F154,0),1),"%"),"")</f>
        <v/>
      </c>
      <c r="O154" s="20">
        <f ca="1">IFERROR(OFFSET(환산공식!DL$15,$F154,0),"")</f>
        <v>0</v>
      </c>
      <c r="P154" s="188" t="str">
        <f t="shared" ca="1" si="4"/>
        <v>3% 이하</v>
      </c>
      <c r="Q154" s="194">
        <f ca="1">IFERROR(ROUND(OFFSET(환산공식!$FG$15,$F154,0),3),"")</f>
        <v>0</v>
      </c>
      <c r="R154" s="194">
        <f ca="1">OFFSET('배치점수 계산기'!H$10,$D154,0)</f>
        <v>388.827</v>
      </c>
      <c r="S154" s="194">
        <f ca="1">OFFSET('배치점수 계산기'!I$10,$D154,0)</f>
        <v>386.44099999999997</v>
      </c>
      <c r="T154" s="194">
        <f ca="1">OFFSET('배치점수 계산기'!J$10,$D154,0)</f>
        <v>384.00299999999999</v>
      </c>
      <c r="U154" s="194">
        <f ca="1">OFFSET('배치점수 계산기'!K$10,$D154,0)</f>
        <v>382.24400000000003</v>
      </c>
      <c r="V154" s="194">
        <f ca="1">OFFSET('배치점수 계산기'!L$10,$D154,0)</f>
        <v>379.46800000000002</v>
      </c>
      <c r="W154" s="186" t="str">
        <f ca="1">OFFSET('배치점수 계산기'!M$10,$D154,0)</f>
        <v>표점</v>
      </c>
      <c r="X154" s="184" t="str">
        <f ca="1">OFFSET('배치점수 계산기'!N$10,$D154,0)</f>
        <v>변표</v>
      </c>
      <c r="Y154" s="188">
        <f ca="1">OFFSET(환산공식!FW$15,$F154,0)</f>
        <v>0.25</v>
      </c>
      <c r="Z154" s="20">
        <f ca="1">OFFSET(환산공식!FX$15,$F154,0)</f>
        <v>0.4</v>
      </c>
      <c r="AA154" s="179">
        <f ca="1">OFFSET(환산공식!FY$15,$F154,0)</f>
        <v>0.35</v>
      </c>
      <c r="AC154"/>
      <c r="AD154">
        <f t="shared" ca="1" si="5"/>
        <v>6</v>
      </c>
      <c r="AE154"/>
    </row>
    <row r="155" spans="1:31" s="3" customFormat="1">
      <c r="A155" s="198"/>
      <c r="B155" s="198"/>
      <c r="C155" s="198" t="s">
        <v>1607</v>
      </c>
      <c r="D155" s="195">
        <v>1141</v>
      </c>
      <c r="E155" s="195">
        <v>33</v>
      </c>
      <c r="F155" s="195">
        <v>33</v>
      </c>
      <c r="G155" s="239">
        <v>148</v>
      </c>
      <c r="H155" s="197" t="s">
        <v>79</v>
      </c>
      <c r="I155" s="242" t="s">
        <v>82</v>
      </c>
      <c r="J155" s="242" t="s">
        <v>8448</v>
      </c>
      <c r="K155" s="195" t="s">
        <v>70</v>
      </c>
      <c r="L155" s="20" t="str">
        <f ca="1">IF(OFFSET(환산공식!$ED$15,$F155,0)=1,"O","X")</f>
        <v>X</v>
      </c>
      <c r="M155" s="188">
        <f ca="1">IFERROR(OFFSET(환산공식!DJ$15,$F155,0),"")</f>
        <v>0</v>
      </c>
      <c r="N155" s="20" t="str">
        <f ca="1">IFERROR(CONCATENATE(ROUND(OFFSET(환산공식!DK$15,$F155,0),1),"%"),"")</f>
        <v/>
      </c>
      <c r="O155" s="20">
        <f ca="1">IFERROR(OFFSET(환산공식!DL$15,$F155,0),"")</f>
        <v>0</v>
      </c>
      <c r="P155" s="188" t="str">
        <f t="shared" ca="1" si="4"/>
        <v>3% 이하</v>
      </c>
      <c r="Q155" s="194">
        <f ca="1">IFERROR(ROUND(OFFSET(환산공식!$FG$15,$F155,0),3),"")</f>
        <v>0</v>
      </c>
      <c r="R155" s="194">
        <f ca="1">OFFSET('배치점수 계산기'!H$10,$D155,0)</f>
        <v>388.63600000000002</v>
      </c>
      <c r="S155" s="194">
        <f ca="1">OFFSET('배치점수 계산기'!I$10,$D155,0)</f>
        <v>386.25299999999999</v>
      </c>
      <c r="T155" s="194">
        <f ca="1">OFFSET('배치점수 계산기'!J$10,$D155,0)</f>
        <v>383.86200000000002</v>
      </c>
      <c r="U155" s="194">
        <f ca="1">OFFSET('배치점수 계산기'!K$10,$D155,0)</f>
        <v>381.96100000000001</v>
      </c>
      <c r="V155" s="194">
        <f ca="1">OFFSET('배치점수 계산기'!L$10,$D155,0)</f>
        <v>379.24099999999999</v>
      </c>
      <c r="W155" s="186" t="str">
        <f ca="1">OFFSET('배치점수 계산기'!M$10,$D155,0)</f>
        <v>표점</v>
      </c>
      <c r="X155" s="184" t="str">
        <f ca="1">OFFSET('배치점수 계산기'!N$10,$D155,0)</f>
        <v>변표</v>
      </c>
      <c r="Y155" s="188">
        <f ca="1">OFFSET(환산공식!FW$15,$F155,0)</f>
        <v>0.25</v>
      </c>
      <c r="Z155" s="20">
        <f ca="1">OFFSET(환산공식!FX$15,$F155,0)</f>
        <v>0.4</v>
      </c>
      <c r="AA155" s="179">
        <f ca="1">OFFSET(환산공식!FY$15,$F155,0)</f>
        <v>0.35</v>
      </c>
      <c r="AC155"/>
      <c r="AD155">
        <f t="shared" ca="1" si="5"/>
        <v>6</v>
      </c>
      <c r="AE155"/>
    </row>
    <row r="156" spans="1:31" s="3" customFormat="1">
      <c r="A156" s="198"/>
      <c r="B156" s="198"/>
      <c r="C156" s="198" t="s">
        <v>1608</v>
      </c>
      <c r="D156" s="195">
        <v>1142</v>
      </c>
      <c r="E156" s="195">
        <v>33</v>
      </c>
      <c r="F156" s="195">
        <v>33</v>
      </c>
      <c r="G156" s="239">
        <v>149</v>
      </c>
      <c r="H156" s="197" t="s">
        <v>79</v>
      </c>
      <c r="I156" s="242" t="s">
        <v>82</v>
      </c>
      <c r="J156" s="242" t="s">
        <v>9630</v>
      </c>
      <c r="K156" s="195" t="s">
        <v>70</v>
      </c>
      <c r="L156" s="20" t="str">
        <f ca="1">IF(OFFSET(환산공식!$ED$15,$F156,0)=1,"O","X")</f>
        <v>X</v>
      </c>
      <c r="M156" s="188">
        <f ca="1">IFERROR(OFFSET(환산공식!DJ$15,$F156,0),"")</f>
        <v>0</v>
      </c>
      <c r="N156" s="20" t="str">
        <f ca="1">IFERROR(CONCATENATE(ROUND(OFFSET(환산공식!DK$15,$F156,0),1),"%"),"")</f>
        <v/>
      </c>
      <c r="O156" s="20">
        <f ca="1">IFERROR(OFFSET(환산공식!DL$15,$F156,0),"")</f>
        <v>0</v>
      </c>
      <c r="P156" s="188" t="str">
        <f t="shared" ca="1" si="4"/>
        <v>3% 이하</v>
      </c>
      <c r="Q156" s="194">
        <f ca="1">IFERROR(ROUND(OFFSET(환산공식!$FG$15,$F156,0),3),"")</f>
        <v>0</v>
      </c>
      <c r="R156" s="194">
        <f ca="1">OFFSET('배치점수 계산기'!H$10,$D156,0)</f>
        <v>388.01900000000001</v>
      </c>
      <c r="S156" s="194">
        <f ca="1">OFFSET('배치점수 계산기'!I$10,$D156,0)</f>
        <v>385.71800000000002</v>
      </c>
      <c r="T156" s="194">
        <f ca="1">OFFSET('배치점수 계산기'!J$10,$D156,0)</f>
        <v>383.42399999999998</v>
      </c>
      <c r="U156" s="194">
        <f ca="1">OFFSET('배치점수 계산기'!K$10,$D156,0)</f>
        <v>381.541</v>
      </c>
      <c r="V156" s="194">
        <f ca="1">OFFSET('배치점수 계산기'!L$10,$D156,0)</f>
        <v>378.86799999999999</v>
      </c>
      <c r="W156" s="186" t="str">
        <f ca="1">OFFSET('배치점수 계산기'!M$10,$D156,0)</f>
        <v>표점</v>
      </c>
      <c r="X156" s="184" t="str">
        <f ca="1">OFFSET('배치점수 계산기'!N$10,$D156,0)</f>
        <v>변표</v>
      </c>
      <c r="Y156" s="188">
        <f ca="1">OFFSET(환산공식!FW$15,$F156,0)</f>
        <v>0.25</v>
      </c>
      <c r="Z156" s="20">
        <f ca="1">OFFSET(환산공식!FX$15,$F156,0)</f>
        <v>0.4</v>
      </c>
      <c r="AA156" s="179">
        <f ca="1">OFFSET(환산공식!FY$15,$F156,0)</f>
        <v>0.35</v>
      </c>
      <c r="AC156"/>
      <c r="AD156">
        <f t="shared" ca="1" si="5"/>
        <v>6</v>
      </c>
      <c r="AE156"/>
    </row>
    <row r="157" spans="1:31" s="3" customFormat="1">
      <c r="A157" s="198"/>
      <c r="B157" s="198"/>
      <c r="C157" s="198" t="s">
        <v>1609</v>
      </c>
      <c r="D157" s="195">
        <v>1143</v>
      </c>
      <c r="E157" s="195">
        <v>33</v>
      </c>
      <c r="F157" s="195">
        <v>33</v>
      </c>
      <c r="G157" s="239">
        <v>150</v>
      </c>
      <c r="H157" s="197" t="s">
        <v>79</v>
      </c>
      <c r="I157" s="242" t="s">
        <v>82</v>
      </c>
      <c r="J157" s="242" t="s">
        <v>9649</v>
      </c>
      <c r="K157" s="195" t="s">
        <v>70</v>
      </c>
      <c r="L157" s="20" t="str">
        <f ca="1">IF(OFFSET(환산공식!$ED$15,$F157,0)=1,"O","X")</f>
        <v>X</v>
      </c>
      <c r="M157" s="188">
        <f ca="1">IFERROR(OFFSET(환산공식!DJ$15,$F157,0),"")</f>
        <v>0</v>
      </c>
      <c r="N157" s="20" t="str">
        <f ca="1">IFERROR(CONCATENATE(ROUND(OFFSET(환산공식!DK$15,$F157,0),1),"%"),"")</f>
        <v/>
      </c>
      <c r="O157" s="20">
        <f ca="1">IFERROR(OFFSET(환산공식!DL$15,$F157,0),"")</f>
        <v>0</v>
      </c>
      <c r="P157" s="188" t="str">
        <f t="shared" ca="1" si="4"/>
        <v>3% 이하</v>
      </c>
      <c r="Q157" s="194">
        <f ca="1">IFERROR(ROUND(OFFSET(환산공식!$FG$15,$F157,0),3),"")</f>
        <v>0</v>
      </c>
      <c r="R157" s="194">
        <f ca="1">OFFSET('배치점수 계산기'!H$10,$D157,0)</f>
        <v>387.94400000000002</v>
      </c>
      <c r="S157" s="194">
        <f ca="1">OFFSET('배치점수 계산기'!I$10,$D157,0)</f>
        <v>385.71800000000002</v>
      </c>
      <c r="T157" s="194">
        <f ca="1">OFFSET('배치점수 계산기'!J$10,$D157,0)</f>
        <v>383.28300000000002</v>
      </c>
      <c r="U157" s="194">
        <f ca="1">OFFSET('배치점수 계산기'!K$10,$D157,0)</f>
        <v>381.428</v>
      </c>
      <c r="V157" s="194">
        <f ca="1">OFFSET('배치점수 계산기'!L$10,$D157,0)</f>
        <v>378.76100000000002</v>
      </c>
      <c r="W157" s="186" t="str">
        <f ca="1">OFFSET('배치점수 계산기'!M$10,$D157,0)</f>
        <v>표점</v>
      </c>
      <c r="X157" s="184" t="str">
        <f ca="1">OFFSET('배치점수 계산기'!N$10,$D157,0)</f>
        <v>변표</v>
      </c>
      <c r="Y157" s="188">
        <f ca="1">OFFSET(환산공식!FW$15,$F157,0)</f>
        <v>0.25</v>
      </c>
      <c r="Z157" s="20">
        <f ca="1">OFFSET(환산공식!FX$15,$F157,0)</f>
        <v>0.4</v>
      </c>
      <c r="AA157" s="179">
        <f ca="1">OFFSET(환산공식!FY$15,$F157,0)</f>
        <v>0.35</v>
      </c>
      <c r="AC157"/>
      <c r="AD157">
        <f t="shared" ca="1" si="5"/>
        <v>6</v>
      </c>
      <c r="AE157"/>
    </row>
    <row r="158" spans="1:31" s="3" customFormat="1">
      <c r="A158" s="198"/>
      <c r="B158" s="198"/>
      <c r="C158" s="198" t="s">
        <v>1610</v>
      </c>
      <c r="D158" s="195">
        <v>1144</v>
      </c>
      <c r="E158" s="195">
        <v>33</v>
      </c>
      <c r="F158" s="195">
        <v>33</v>
      </c>
      <c r="G158" s="239">
        <v>151</v>
      </c>
      <c r="H158" s="197" t="s">
        <v>79</v>
      </c>
      <c r="I158" s="242" t="s">
        <v>82</v>
      </c>
      <c r="J158" s="242" t="s">
        <v>9663</v>
      </c>
      <c r="K158" s="195" t="s">
        <v>70</v>
      </c>
      <c r="L158" s="20" t="str">
        <f ca="1">IF(OFFSET(환산공식!$ED$15,$F158,0)=1,"O","X")</f>
        <v>X</v>
      </c>
      <c r="M158" s="188">
        <f ca="1">IFERROR(OFFSET(환산공식!DJ$15,$F158,0),"")</f>
        <v>0</v>
      </c>
      <c r="N158" s="20" t="str">
        <f ca="1">IFERROR(CONCATENATE(ROUND(OFFSET(환산공식!DK$15,$F158,0),1),"%"),"")</f>
        <v/>
      </c>
      <c r="O158" s="20">
        <f ca="1">IFERROR(OFFSET(환산공식!DL$15,$F158,0),"")</f>
        <v>0</v>
      </c>
      <c r="P158" s="188" t="str">
        <f t="shared" ca="1" si="4"/>
        <v>3% 이하</v>
      </c>
      <c r="Q158" s="194">
        <f ca="1">IFERROR(ROUND(OFFSET(환산공식!$FG$15,$F158,0),3),"")</f>
        <v>0</v>
      </c>
      <c r="R158" s="194">
        <f ca="1">OFFSET('배치점수 계산기'!H$10,$D158,0)</f>
        <v>387.70400000000001</v>
      </c>
      <c r="S158" s="194">
        <f ca="1">OFFSET('배치점수 계산기'!I$10,$D158,0)</f>
        <v>385.57799999999997</v>
      </c>
      <c r="T158" s="194">
        <f ca="1">OFFSET('배치점수 계산기'!J$10,$D158,0)</f>
        <v>383.21800000000002</v>
      </c>
      <c r="U158" s="194">
        <f ca="1">OFFSET('배치점수 계산기'!K$10,$D158,0)</f>
        <v>381.29899999999998</v>
      </c>
      <c r="V158" s="194">
        <f ca="1">OFFSET('배치점수 계산기'!L$10,$D158,0)</f>
        <v>377.12799999999999</v>
      </c>
      <c r="W158" s="186" t="str">
        <f ca="1">OFFSET('배치점수 계산기'!M$10,$D158,0)</f>
        <v>표점</v>
      </c>
      <c r="X158" s="184" t="str">
        <f ca="1">OFFSET('배치점수 계산기'!N$10,$D158,0)</f>
        <v>변표</v>
      </c>
      <c r="Y158" s="188">
        <f ca="1">OFFSET(환산공식!FW$15,$F158,0)</f>
        <v>0.25</v>
      </c>
      <c r="Z158" s="20">
        <f ca="1">OFFSET(환산공식!FX$15,$F158,0)</f>
        <v>0.4</v>
      </c>
      <c r="AA158" s="179">
        <f ca="1">OFFSET(환산공식!FY$15,$F158,0)</f>
        <v>0.35</v>
      </c>
      <c r="AC158"/>
      <c r="AD158">
        <f t="shared" ca="1" si="5"/>
        <v>6</v>
      </c>
      <c r="AE158"/>
    </row>
    <row r="159" spans="1:31" s="3" customFormat="1">
      <c r="A159" s="198"/>
      <c r="B159" s="198"/>
      <c r="C159" s="198" t="s">
        <v>1611</v>
      </c>
      <c r="D159" s="195">
        <v>1145</v>
      </c>
      <c r="E159" s="195">
        <v>33</v>
      </c>
      <c r="F159" s="195">
        <v>33</v>
      </c>
      <c r="G159" s="239">
        <v>152</v>
      </c>
      <c r="H159" s="197" t="s">
        <v>79</v>
      </c>
      <c r="I159" s="242" t="s">
        <v>82</v>
      </c>
      <c r="J159" s="242" t="s">
        <v>9754</v>
      </c>
      <c r="K159" s="195" t="s">
        <v>70</v>
      </c>
      <c r="L159" s="20" t="str">
        <f ca="1">IF(OFFSET(환산공식!$ED$15,$F159,0)=1,"O","X")</f>
        <v>X</v>
      </c>
      <c r="M159" s="188">
        <f ca="1">IFERROR(OFFSET(환산공식!DJ$15,$F159,0),"")</f>
        <v>0</v>
      </c>
      <c r="N159" s="20" t="str">
        <f ca="1">IFERROR(CONCATENATE(ROUND(OFFSET(환산공식!DK$15,$F159,0),1),"%"),"")</f>
        <v/>
      </c>
      <c r="O159" s="20">
        <f ca="1">IFERROR(OFFSET(환산공식!DL$15,$F159,0),"")</f>
        <v>0</v>
      </c>
      <c r="P159" s="188" t="str">
        <f t="shared" ca="1" si="4"/>
        <v>3% 이하</v>
      </c>
      <c r="Q159" s="194">
        <f ca="1">IFERROR(ROUND(OFFSET(환산공식!$FG$15,$F159,0),3),"")</f>
        <v>0</v>
      </c>
      <c r="R159" s="194">
        <f ca="1">OFFSET('배치점수 계산기'!H$10,$D159,0)</f>
        <v>385.137</v>
      </c>
      <c r="S159" s="194">
        <f ca="1">OFFSET('배치점수 계산기'!I$10,$D159,0)</f>
        <v>384.00299999999999</v>
      </c>
      <c r="T159" s="194">
        <f ca="1">OFFSET('배치점수 계산기'!J$10,$D159,0)</f>
        <v>383.21800000000002</v>
      </c>
      <c r="U159" s="194">
        <f ca="1">OFFSET('배치점수 계산기'!K$10,$D159,0)</f>
        <v>381.96100000000001</v>
      </c>
      <c r="V159" s="194">
        <f ca="1">OFFSET('배치점수 계산기'!L$10,$D159,0)</f>
        <v>380.57400000000001</v>
      </c>
      <c r="W159" s="186" t="str">
        <f ca="1">OFFSET('배치점수 계산기'!M$10,$D159,0)</f>
        <v>표점</v>
      </c>
      <c r="X159" s="184" t="str">
        <f ca="1">OFFSET('배치점수 계산기'!N$10,$D159,0)</f>
        <v>변표</v>
      </c>
      <c r="Y159" s="188">
        <f ca="1">OFFSET(환산공식!FW$15,$F159,0)</f>
        <v>0.25</v>
      </c>
      <c r="Z159" s="20">
        <f ca="1">OFFSET(환산공식!FX$15,$F159,0)</f>
        <v>0.4</v>
      </c>
      <c r="AA159" s="179">
        <f ca="1">OFFSET(환산공식!FY$15,$F159,0)</f>
        <v>0.35</v>
      </c>
      <c r="AC159"/>
      <c r="AD159">
        <f t="shared" ca="1" si="5"/>
        <v>6</v>
      </c>
      <c r="AE159"/>
    </row>
    <row r="160" spans="1:31" s="3" customFormat="1">
      <c r="A160" s="198"/>
      <c r="B160" s="198"/>
      <c r="C160" s="198" t="s">
        <v>1612</v>
      </c>
      <c r="D160" s="195">
        <v>1146</v>
      </c>
      <c r="E160" s="195">
        <v>33</v>
      </c>
      <c r="F160" s="195">
        <v>33</v>
      </c>
      <c r="G160" s="239">
        <v>153</v>
      </c>
      <c r="H160" s="197" t="s">
        <v>79</v>
      </c>
      <c r="I160" s="242" t="s">
        <v>82</v>
      </c>
      <c r="J160" s="242" t="s">
        <v>9674</v>
      </c>
      <c r="K160" s="195" t="s">
        <v>70</v>
      </c>
      <c r="L160" s="20" t="str">
        <f ca="1">IF(OFFSET(환산공식!$ED$15,$F160,0)=1,"O","X")</f>
        <v>X</v>
      </c>
      <c r="M160" s="188">
        <f ca="1">IFERROR(OFFSET(환산공식!DJ$15,$F160,0),"")</f>
        <v>0</v>
      </c>
      <c r="N160" s="20" t="str">
        <f ca="1">IFERROR(CONCATENATE(ROUND(OFFSET(환산공식!DK$15,$F160,0),1),"%"),"")</f>
        <v/>
      </c>
      <c r="O160" s="20">
        <f ca="1">IFERROR(OFFSET(환산공식!DL$15,$F160,0),"")</f>
        <v>0</v>
      </c>
      <c r="P160" s="188" t="str">
        <f t="shared" ca="1" si="4"/>
        <v>3% 이하</v>
      </c>
      <c r="Q160" s="194">
        <f ca="1">IFERROR(ROUND(OFFSET(환산공식!$FG$15,$F160,0),3),"")</f>
        <v>0</v>
      </c>
      <c r="R160" s="194">
        <f ca="1">OFFSET('배치점수 계산기'!H$10,$D160,0)</f>
        <v>387.48500000000001</v>
      </c>
      <c r="S160" s="194">
        <f ca="1">OFFSET('배치점수 계산기'!I$10,$D160,0)</f>
        <v>385.44799999999998</v>
      </c>
      <c r="T160" s="194">
        <f ca="1">OFFSET('배치점수 계산기'!J$10,$D160,0)</f>
        <v>383.07499999999999</v>
      </c>
      <c r="U160" s="194">
        <f ca="1">OFFSET('배치점수 계산기'!K$10,$D160,0)</f>
        <v>381.11</v>
      </c>
      <c r="V160" s="194">
        <f ca="1">OFFSET('배치점수 계산기'!L$10,$D160,0)</f>
        <v>378.459</v>
      </c>
      <c r="W160" s="186" t="str">
        <f ca="1">OFFSET('배치점수 계산기'!M$10,$D160,0)</f>
        <v>표점</v>
      </c>
      <c r="X160" s="184" t="str">
        <f ca="1">OFFSET('배치점수 계산기'!N$10,$D160,0)</f>
        <v>변표</v>
      </c>
      <c r="Y160" s="188">
        <f ca="1">OFFSET(환산공식!FW$15,$F160,0)</f>
        <v>0.25</v>
      </c>
      <c r="Z160" s="20">
        <f ca="1">OFFSET(환산공식!FX$15,$F160,0)</f>
        <v>0.4</v>
      </c>
      <c r="AA160" s="179">
        <f ca="1">OFFSET(환산공식!FY$15,$F160,0)</f>
        <v>0.35</v>
      </c>
      <c r="AC160"/>
      <c r="AD160">
        <f t="shared" ca="1" si="5"/>
        <v>6</v>
      </c>
      <c r="AE160"/>
    </row>
    <row r="161" spans="1:31" s="3" customFormat="1">
      <c r="A161" s="198"/>
      <c r="B161" s="198"/>
      <c r="C161" s="198" t="s">
        <v>1613</v>
      </c>
      <c r="D161" s="195">
        <v>1147</v>
      </c>
      <c r="E161" s="195">
        <v>33</v>
      </c>
      <c r="F161" s="195">
        <v>33</v>
      </c>
      <c r="G161" s="239">
        <v>154</v>
      </c>
      <c r="H161" s="197" t="s">
        <v>79</v>
      </c>
      <c r="I161" s="242" t="s">
        <v>82</v>
      </c>
      <c r="J161" s="242" t="s">
        <v>8744</v>
      </c>
      <c r="K161" s="195" t="s">
        <v>70</v>
      </c>
      <c r="L161" s="20" t="str">
        <f ca="1">IF(OFFSET(환산공식!$ED$15,$F161,0)=1,"O","X")</f>
        <v>X</v>
      </c>
      <c r="M161" s="188">
        <f ca="1">IFERROR(OFFSET(환산공식!DJ$15,$F161,0),"")</f>
        <v>0</v>
      </c>
      <c r="N161" s="20" t="str">
        <f ca="1">IFERROR(CONCATENATE(ROUND(OFFSET(환산공식!DK$15,$F161,0),1),"%"),"")</f>
        <v/>
      </c>
      <c r="O161" s="20">
        <f ca="1">IFERROR(OFFSET(환산공식!DL$15,$F161,0),"")</f>
        <v>0</v>
      </c>
      <c r="P161" s="188" t="str">
        <f t="shared" ca="1" si="4"/>
        <v>3% 이하</v>
      </c>
      <c r="Q161" s="194">
        <f ca="1">IFERROR(ROUND(OFFSET(환산공식!$FG$15,$F161,0),3),"")</f>
        <v>0</v>
      </c>
      <c r="R161" s="194">
        <f ca="1">OFFSET('배치점수 계산기'!H$10,$D161,0)</f>
        <v>387.42</v>
      </c>
      <c r="S161" s="194">
        <f ca="1">OFFSET('배치점수 계산기'!I$10,$D161,0)</f>
        <v>385.26</v>
      </c>
      <c r="T161" s="194">
        <f ca="1">OFFSET('배치점수 계산기'!J$10,$D161,0)</f>
        <v>382.90600000000001</v>
      </c>
      <c r="U161" s="194">
        <f ca="1">OFFSET('배치점수 계산기'!K$10,$D161,0)</f>
        <v>381.03500000000003</v>
      </c>
      <c r="V161" s="194">
        <f ca="1">OFFSET('배치점수 계산기'!L$10,$D161,0)</f>
        <v>378.38400000000001</v>
      </c>
      <c r="W161" s="186" t="str">
        <f ca="1">OFFSET('배치점수 계산기'!M$10,$D161,0)</f>
        <v>표점</v>
      </c>
      <c r="X161" s="184" t="str">
        <f ca="1">OFFSET('배치점수 계산기'!N$10,$D161,0)</f>
        <v>변표</v>
      </c>
      <c r="Y161" s="188">
        <f ca="1">OFFSET(환산공식!FW$15,$F161,0)</f>
        <v>0.25</v>
      </c>
      <c r="Z161" s="20">
        <f ca="1">OFFSET(환산공식!FX$15,$F161,0)</f>
        <v>0.4</v>
      </c>
      <c r="AA161" s="179">
        <f ca="1">OFFSET(환산공식!FY$15,$F161,0)</f>
        <v>0.35</v>
      </c>
      <c r="AC161"/>
      <c r="AD161">
        <f t="shared" ca="1" si="5"/>
        <v>6</v>
      </c>
      <c r="AE161"/>
    </row>
    <row r="162" spans="1:31" s="3" customFormat="1">
      <c r="A162" s="198"/>
      <c r="B162" s="198"/>
      <c r="C162" s="198" t="s">
        <v>1614</v>
      </c>
      <c r="D162" s="195">
        <v>1148</v>
      </c>
      <c r="E162" s="195">
        <v>33</v>
      </c>
      <c r="F162" s="195">
        <v>33</v>
      </c>
      <c r="G162" s="239">
        <v>155</v>
      </c>
      <c r="H162" s="197" t="s">
        <v>79</v>
      </c>
      <c r="I162" s="242" t="s">
        <v>82</v>
      </c>
      <c r="J162" s="242" t="s">
        <v>9703</v>
      </c>
      <c r="K162" s="195" t="s">
        <v>70</v>
      </c>
      <c r="L162" s="20" t="str">
        <f ca="1">IF(OFFSET(환산공식!$ED$15,$F162,0)=1,"O","X")</f>
        <v>X</v>
      </c>
      <c r="M162" s="188">
        <f ca="1">IFERROR(OFFSET(환산공식!DJ$15,$F162,0),"")</f>
        <v>0</v>
      </c>
      <c r="N162" s="20" t="str">
        <f ca="1">IFERROR(CONCATENATE(ROUND(OFFSET(환산공식!DK$15,$F162,0),1),"%"),"")</f>
        <v/>
      </c>
      <c r="O162" s="20">
        <f ca="1">IFERROR(OFFSET(환산공식!DL$15,$F162,0),"")</f>
        <v>0</v>
      </c>
      <c r="P162" s="188" t="str">
        <f t="shared" ca="1" si="4"/>
        <v>3% 이하</v>
      </c>
      <c r="Q162" s="194">
        <f ca="1">IFERROR(ROUND(OFFSET(환산공식!$FG$15,$F162,0),3),"")</f>
        <v>0</v>
      </c>
      <c r="R162" s="194">
        <f ca="1">OFFSET('배치점수 계산기'!H$10,$D162,0)</f>
        <v>386.86200000000002</v>
      </c>
      <c r="S162" s="194">
        <f ca="1">OFFSET('배치점수 계산기'!I$10,$D162,0)</f>
        <v>385.072</v>
      </c>
      <c r="T162" s="194">
        <f ca="1">OFFSET('배치점수 계산기'!J$10,$D162,0)</f>
        <v>382.64800000000002</v>
      </c>
      <c r="U162" s="194">
        <f ca="1">OFFSET('배치점수 계산기'!K$10,$D162,0)</f>
        <v>380.70299999999997</v>
      </c>
      <c r="V162" s="194">
        <f ca="1">OFFSET('배치점수 계산기'!L$10,$D162,0)</f>
        <v>378.00599999999997</v>
      </c>
      <c r="W162" s="186" t="str">
        <f ca="1">OFFSET('배치점수 계산기'!M$10,$D162,0)</f>
        <v>표점</v>
      </c>
      <c r="X162" s="184" t="str">
        <f ca="1">OFFSET('배치점수 계산기'!N$10,$D162,0)</f>
        <v>변표</v>
      </c>
      <c r="Y162" s="188">
        <f ca="1">OFFSET(환산공식!FW$15,$F162,0)</f>
        <v>0.25</v>
      </c>
      <c r="Z162" s="20">
        <f ca="1">OFFSET(환산공식!FX$15,$F162,0)</f>
        <v>0.4</v>
      </c>
      <c r="AA162" s="179">
        <f ca="1">OFFSET(환산공식!FY$15,$F162,0)</f>
        <v>0.35</v>
      </c>
      <c r="AC162"/>
      <c r="AD162">
        <f t="shared" ca="1" si="5"/>
        <v>6</v>
      </c>
      <c r="AE162"/>
    </row>
    <row r="163" spans="1:31" s="3" customFormat="1">
      <c r="A163" s="198"/>
      <c r="B163" s="198"/>
      <c r="C163" s="198" t="s">
        <v>1615</v>
      </c>
      <c r="D163" s="195">
        <v>1149</v>
      </c>
      <c r="E163" s="195">
        <v>33</v>
      </c>
      <c r="F163" s="195">
        <v>33</v>
      </c>
      <c r="G163" s="239">
        <v>156</v>
      </c>
      <c r="H163" s="197" t="s">
        <v>79</v>
      </c>
      <c r="I163" s="242" t="s">
        <v>82</v>
      </c>
      <c r="J163" s="242" t="s">
        <v>9911</v>
      </c>
      <c r="K163" s="195" t="s">
        <v>70</v>
      </c>
      <c r="L163" s="20" t="str">
        <f ca="1">IF(OFFSET(환산공식!$ED$15,$F163,0)=1,"O","X")</f>
        <v>X</v>
      </c>
      <c r="M163" s="188">
        <f ca="1">IFERROR(OFFSET(환산공식!DJ$15,$F163,0),"")</f>
        <v>0</v>
      </c>
      <c r="N163" s="20" t="str">
        <f ca="1">IFERROR(CONCATENATE(ROUND(OFFSET(환산공식!DK$15,$F163,0),1),"%"),"")</f>
        <v/>
      </c>
      <c r="O163" s="20">
        <f ca="1">IFERROR(OFFSET(환산공식!DL$15,$F163,0),"")</f>
        <v>0</v>
      </c>
      <c r="P163" s="188" t="str">
        <f t="shared" ca="1" si="4"/>
        <v>3% 이하</v>
      </c>
      <c r="Q163" s="194">
        <f ca="1">IFERROR(ROUND(OFFSET(환산공식!$FG$15,$F163,0),3),"")</f>
        <v>0</v>
      </c>
      <c r="R163" s="194">
        <f ca="1">OFFSET('배치점수 계산기'!H$10,$D163,0)</f>
        <v>384.57499999999999</v>
      </c>
      <c r="S163" s="194">
        <f ca="1">OFFSET('배치점수 계산기'!I$10,$D163,0)</f>
        <v>382.72300000000001</v>
      </c>
      <c r="T163" s="194">
        <f ca="1">OFFSET('배치점수 계산기'!J$10,$D163,0)</f>
        <v>380.14100000000002</v>
      </c>
      <c r="U163" s="194">
        <f ca="1">OFFSET('배치점수 계산기'!K$10,$D163,0)</f>
        <v>378.149</v>
      </c>
      <c r="V163" s="194">
        <f ca="1">OFFSET('배치점수 계산기'!L$10,$D163,0)</f>
        <v>375.48399999999998</v>
      </c>
      <c r="W163" s="186" t="str">
        <f ca="1">OFFSET('배치점수 계산기'!M$10,$D163,0)</f>
        <v>표점</v>
      </c>
      <c r="X163" s="184" t="str">
        <f ca="1">OFFSET('배치점수 계산기'!N$10,$D163,0)</f>
        <v>변표</v>
      </c>
      <c r="Y163" s="188">
        <f ca="1">OFFSET(환산공식!FW$15,$F163,0)</f>
        <v>0.25</v>
      </c>
      <c r="Z163" s="20">
        <f ca="1">OFFSET(환산공식!FX$15,$F163,0)</f>
        <v>0.4</v>
      </c>
      <c r="AA163" s="179">
        <f ca="1">OFFSET(환산공식!FY$15,$F163,0)</f>
        <v>0.35</v>
      </c>
      <c r="AC163"/>
      <c r="AD163">
        <f t="shared" ca="1" si="5"/>
        <v>6</v>
      </c>
      <c r="AE163"/>
    </row>
    <row r="164" spans="1:31" s="3" customFormat="1">
      <c r="A164" s="198"/>
      <c r="B164" s="198"/>
      <c r="C164" s="198" t="s">
        <v>1616</v>
      </c>
      <c r="D164" s="195">
        <v>1150</v>
      </c>
      <c r="E164" s="195">
        <v>35</v>
      </c>
      <c r="F164" s="195">
        <v>35</v>
      </c>
      <c r="G164" s="239">
        <v>157</v>
      </c>
      <c r="H164" s="197" t="s">
        <v>79</v>
      </c>
      <c r="I164" s="242" t="s">
        <v>82</v>
      </c>
      <c r="J164" s="242" t="s">
        <v>9727</v>
      </c>
      <c r="K164" s="195" t="s">
        <v>71</v>
      </c>
      <c r="L164" s="20" t="str">
        <f ca="1">IF(OFFSET(환산공식!$ED$15,$F164,0)=1,"O","X")</f>
        <v>X</v>
      </c>
      <c r="M164" s="188">
        <f ca="1">IFERROR(OFFSET(환산공식!DJ$15,$F164,0),"")</f>
        <v>0</v>
      </c>
      <c r="N164" s="20" t="str">
        <f ca="1">IFERROR(CONCATENATE(ROUND(OFFSET(환산공식!DK$15,$F164,0),1),"%"),"")</f>
        <v/>
      </c>
      <c r="O164" s="20">
        <f ca="1">IFERROR(OFFSET(환산공식!DL$15,$F164,0),"")</f>
        <v>0</v>
      </c>
      <c r="P164" s="188" t="str">
        <f t="shared" ca="1" si="4"/>
        <v>3% 이하</v>
      </c>
      <c r="Q164" s="194">
        <f ca="1">IFERROR(ROUND(OFFSET(환산공식!$FG$15,$F164,0),3),"")</f>
        <v>0</v>
      </c>
      <c r="R164" s="194">
        <f ca="1">OFFSET('배치점수 계산기'!H$10,$D164,0)</f>
        <v>383.08300000000003</v>
      </c>
      <c r="S164" s="194">
        <f ca="1">OFFSET('배치점수 계산기'!I$10,$D164,0)</f>
        <v>381.36099999999999</v>
      </c>
      <c r="T164" s="194">
        <f ca="1">OFFSET('배치점수 계산기'!J$10,$D164,0)</f>
        <v>379.04899999999998</v>
      </c>
      <c r="U164" s="194">
        <f ca="1">OFFSET('배치점수 계산기'!K$10,$D164,0)</f>
        <v>377.26299999999998</v>
      </c>
      <c r="V164" s="194">
        <f ca="1">OFFSET('배치점수 계산기'!L$10,$D164,0)</f>
        <v>374.79899999999998</v>
      </c>
      <c r="W164" s="186" t="str">
        <f ca="1">OFFSET('배치점수 계산기'!M$10,$D164,0)</f>
        <v>표점</v>
      </c>
      <c r="X164" s="184" t="str">
        <f ca="1">OFFSET('배치점수 계산기'!N$10,$D164,0)</f>
        <v>변표</v>
      </c>
      <c r="Y164" s="188">
        <f ca="1">OFFSET(환산공식!FW$15,$F164,0)</f>
        <v>0.35</v>
      </c>
      <c r="Z164" s="20">
        <f ca="1">OFFSET(환산공식!FX$15,$F164,0)</f>
        <v>0.35</v>
      </c>
      <c r="AA164" s="179">
        <f ca="1">OFFSET(환산공식!FY$15,$F164,0)</f>
        <v>0.3</v>
      </c>
      <c r="AC164"/>
      <c r="AD164">
        <f t="shared" ca="1" si="5"/>
        <v>6</v>
      </c>
      <c r="AE164"/>
    </row>
    <row r="165" spans="1:31" s="3" customFormat="1">
      <c r="A165" s="198"/>
      <c r="B165" s="198"/>
      <c r="C165" s="198" t="s">
        <v>1617</v>
      </c>
      <c r="D165" s="195">
        <v>1151</v>
      </c>
      <c r="E165" s="195">
        <v>44</v>
      </c>
      <c r="F165" s="195">
        <v>44</v>
      </c>
      <c r="G165" s="239">
        <v>158</v>
      </c>
      <c r="H165" s="197" t="s">
        <v>79</v>
      </c>
      <c r="I165" s="242" t="s">
        <v>83</v>
      </c>
      <c r="J165" s="242" t="s">
        <v>9039</v>
      </c>
      <c r="K165" s="195" t="s">
        <v>70</v>
      </c>
      <c r="L165" s="20" t="str">
        <f ca="1">IF(OFFSET(환산공식!$ED$15,$F165,0)=1,"O","X")</f>
        <v>X</v>
      </c>
      <c r="M165" s="188">
        <f ca="1">IFERROR(OFFSET(환산공식!DJ$15,$F165,0),"")</f>
        <v>100</v>
      </c>
      <c r="N165" s="20" t="str">
        <f ca="1">IFERROR(CONCATENATE(ROUND(OFFSET(환산공식!DK$15,$F165,0),1),"%"),"")</f>
        <v>100%</v>
      </c>
      <c r="O165" s="20">
        <f ca="1">IFERROR(OFFSET(환산공식!DL$15,$F165,0),"")</f>
        <v>0</v>
      </c>
      <c r="P165" s="188" t="str">
        <f t="shared" ca="1" si="4"/>
        <v>3% 이하</v>
      </c>
      <c r="Q165" s="194">
        <f ca="1">IFERROR(ROUND(OFFSET(환산공식!$FG$15,$F165,0),3),"")</f>
        <v>0</v>
      </c>
      <c r="R165" s="194">
        <f ca="1">OFFSET('배치점수 계산기'!H$10,$D165,0)</f>
        <v>917.41700000000003</v>
      </c>
      <c r="S165" s="194">
        <f ca="1">OFFSET('배치점수 계산기'!I$10,$D165,0)</f>
        <v>914.36</v>
      </c>
      <c r="T165" s="194">
        <f ca="1">OFFSET('배치점수 계산기'!J$10,$D165,0)</f>
        <v>909.80100000000004</v>
      </c>
      <c r="U165" s="194">
        <f ca="1">OFFSET('배치점수 계산기'!K$10,$D165,0)</f>
        <v>906.02099999999996</v>
      </c>
      <c r="V165" s="194">
        <f ca="1">OFFSET('배치점수 계산기'!L$10,$D165,0)</f>
        <v>900.91399999999999</v>
      </c>
      <c r="W165" s="186" t="str">
        <f ca="1">OFFSET('배치점수 계산기'!M$10,$D165,0)</f>
        <v>표점/만점</v>
      </c>
      <c r="X165" s="184" t="str">
        <f ca="1">OFFSET('배치점수 계산기'!N$10,$D165,0)</f>
        <v>변표/만점</v>
      </c>
      <c r="Y165" s="188">
        <f ca="1">OFFSET(환산공식!FW$15,$F165,0)</f>
        <v>0.34</v>
      </c>
      <c r="Z165" s="20">
        <f ca="1">OFFSET(환산공식!FX$15,$F165,0)</f>
        <v>0.44</v>
      </c>
      <c r="AA165" s="179">
        <f ca="1">OFFSET(환산공식!FY$15,$F165,0)</f>
        <v>0.22</v>
      </c>
      <c r="AC165"/>
      <c r="AD165">
        <f t="shared" ca="1" si="5"/>
        <v>6</v>
      </c>
      <c r="AE165"/>
    </row>
    <row r="166" spans="1:31" s="3" customFormat="1">
      <c r="A166" s="198"/>
      <c r="B166" s="198"/>
      <c r="C166" s="198" t="s">
        <v>1618</v>
      </c>
      <c r="D166" s="195">
        <v>1152</v>
      </c>
      <c r="E166" s="195">
        <v>44</v>
      </c>
      <c r="F166" s="195">
        <v>44</v>
      </c>
      <c r="G166" s="239">
        <v>159</v>
      </c>
      <c r="H166" s="197" t="s">
        <v>79</v>
      </c>
      <c r="I166" s="242" t="s">
        <v>83</v>
      </c>
      <c r="J166" s="242" t="s">
        <v>9074</v>
      </c>
      <c r="K166" s="195" t="s">
        <v>70</v>
      </c>
      <c r="L166" s="20" t="str">
        <f ca="1">IF(OFFSET(환산공식!$ED$15,$F166,0)=1,"O","X")</f>
        <v>X</v>
      </c>
      <c r="M166" s="188">
        <f ca="1">IFERROR(OFFSET(환산공식!DJ$15,$F166,0),"")</f>
        <v>100</v>
      </c>
      <c r="N166" s="20" t="str">
        <f ca="1">IFERROR(CONCATENATE(ROUND(OFFSET(환산공식!DK$15,$F166,0),1),"%"),"")</f>
        <v>100%</v>
      </c>
      <c r="O166" s="20">
        <f ca="1">IFERROR(OFFSET(환산공식!DL$15,$F166,0),"")</f>
        <v>0</v>
      </c>
      <c r="P166" s="188" t="str">
        <f t="shared" ca="1" si="4"/>
        <v>3% 이하</v>
      </c>
      <c r="Q166" s="194">
        <f ca="1">IFERROR(ROUND(OFFSET(환산공식!$FG$15,$F166,0),3),"")</f>
        <v>0</v>
      </c>
      <c r="R166" s="194">
        <f ca="1">OFFSET('배치점수 계산기'!H$10,$D166,0)</f>
        <v>915.41800000000001</v>
      </c>
      <c r="S166" s="194">
        <f ca="1">OFFSET('배치점수 계산기'!I$10,$D166,0)</f>
        <v>912.92399999999998</v>
      </c>
      <c r="T166" s="194">
        <f ca="1">OFFSET('배치점수 계산기'!J$10,$D166,0)</f>
        <v>909.80100000000004</v>
      </c>
      <c r="U166" s="194">
        <f ca="1">OFFSET('배치점수 계산기'!K$10,$D166,0)</f>
        <v>907.34500000000003</v>
      </c>
      <c r="V166" s="194">
        <f ca="1">OFFSET('배치점수 계산기'!L$10,$D166,0)</f>
        <v>901.49900000000002</v>
      </c>
      <c r="W166" s="186" t="str">
        <f ca="1">OFFSET('배치점수 계산기'!M$10,$D166,0)</f>
        <v>표점/만점</v>
      </c>
      <c r="X166" s="184" t="str">
        <f ca="1">OFFSET('배치점수 계산기'!N$10,$D166,0)</f>
        <v>변표/만점</v>
      </c>
      <c r="Y166" s="188">
        <f ca="1">OFFSET(환산공식!FW$15,$F166,0)</f>
        <v>0.34</v>
      </c>
      <c r="Z166" s="20">
        <f ca="1">OFFSET(환산공식!FX$15,$F166,0)</f>
        <v>0.44</v>
      </c>
      <c r="AA166" s="179">
        <f ca="1">OFFSET(환산공식!FY$15,$F166,0)</f>
        <v>0.22</v>
      </c>
      <c r="AC166"/>
      <c r="AD166">
        <f t="shared" ca="1" si="5"/>
        <v>6</v>
      </c>
      <c r="AE166"/>
    </row>
    <row r="167" spans="1:31" s="3" customFormat="1">
      <c r="A167" s="198"/>
      <c r="B167" s="198"/>
      <c r="C167" s="198" t="s">
        <v>1619</v>
      </c>
      <c r="D167" s="195">
        <v>1153</v>
      </c>
      <c r="E167" s="195">
        <v>44</v>
      </c>
      <c r="F167" s="195">
        <v>44</v>
      </c>
      <c r="G167" s="239">
        <v>160</v>
      </c>
      <c r="H167" s="197" t="s">
        <v>79</v>
      </c>
      <c r="I167" s="242" t="s">
        <v>83</v>
      </c>
      <c r="J167" s="242" t="s">
        <v>8418</v>
      </c>
      <c r="K167" s="195" t="s">
        <v>70</v>
      </c>
      <c r="L167" s="20" t="str">
        <f ca="1">IF(OFFSET(환산공식!$ED$15,$F167,0)=1,"O","X")</f>
        <v>X</v>
      </c>
      <c r="M167" s="188">
        <f ca="1">IFERROR(OFFSET(환산공식!DJ$15,$F167,0),"")</f>
        <v>100</v>
      </c>
      <c r="N167" s="20" t="str">
        <f ca="1">IFERROR(CONCATENATE(ROUND(OFFSET(환산공식!DK$15,$F167,0),1),"%"),"")</f>
        <v>100%</v>
      </c>
      <c r="O167" s="20">
        <f ca="1">IFERROR(OFFSET(환산공식!DL$15,$F167,0),"")</f>
        <v>0</v>
      </c>
      <c r="P167" s="188" t="str">
        <f t="shared" ca="1" si="4"/>
        <v>3% 이하</v>
      </c>
      <c r="Q167" s="194">
        <f ca="1">IFERROR(ROUND(OFFSET(환산공식!$FG$15,$F167,0),3),"")</f>
        <v>0</v>
      </c>
      <c r="R167" s="194">
        <f ca="1">OFFSET('배치점수 계산기'!H$10,$D167,0)</f>
        <v>915.05600000000004</v>
      </c>
      <c r="S167" s="194">
        <f ca="1">OFFSET('배치점수 계산기'!I$10,$D167,0)</f>
        <v>912.37199999999996</v>
      </c>
      <c r="T167" s="194">
        <f ca="1">OFFSET('배치점수 계산기'!J$10,$D167,0)</f>
        <v>909.28</v>
      </c>
      <c r="U167" s="194">
        <f ca="1">OFFSET('배치점수 계산기'!K$10,$D167,0)</f>
        <v>902.41800000000001</v>
      </c>
      <c r="V167" s="194">
        <f ca="1">OFFSET('배치점수 계산기'!L$10,$D167,0)</f>
        <v>899.59400000000005</v>
      </c>
      <c r="W167" s="186" t="str">
        <f ca="1">OFFSET('배치점수 계산기'!M$10,$D167,0)</f>
        <v>표점/만점</v>
      </c>
      <c r="X167" s="184" t="str">
        <f ca="1">OFFSET('배치점수 계산기'!N$10,$D167,0)</f>
        <v>변표/만점</v>
      </c>
      <c r="Y167" s="188">
        <f ca="1">OFFSET(환산공식!FW$15,$F167,0)</f>
        <v>0.34</v>
      </c>
      <c r="Z167" s="20">
        <f ca="1">OFFSET(환산공식!FX$15,$F167,0)</f>
        <v>0.44</v>
      </c>
      <c r="AA167" s="179">
        <f ca="1">OFFSET(환산공식!FY$15,$F167,0)</f>
        <v>0.22</v>
      </c>
      <c r="AC167"/>
      <c r="AD167">
        <f t="shared" ca="1" si="5"/>
        <v>6</v>
      </c>
      <c r="AE167"/>
    </row>
    <row r="168" spans="1:31" s="3" customFormat="1">
      <c r="A168" s="198"/>
      <c r="B168" s="198"/>
      <c r="C168" s="198" t="s">
        <v>1620</v>
      </c>
      <c r="D168" s="195">
        <v>1154</v>
      </c>
      <c r="E168" s="195">
        <v>44</v>
      </c>
      <c r="F168" s="195">
        <v>44</v>
      </c>
      <c r="G168" s="239">
        <v>161</v>
      </c>
      <c r="H168" s="197" t="s">
        <v>79</v>
      </c>
      <c r="I168" s="242" t="s">
        <v>83</v>
      </c>
      <c r="J168" s="242" t="s">
        <v>9124</v>
      </c>
      <c r="K168" s="195" t="s">
        <v>70</v>
      </c>
      <c r="L168" s="20" t="str">
        <f ca="1">IF(OFFSET(환산공식!$ED$15,$F168,0)=1,"O","X")</f>
        <v>X</v>
      </c>
      <c r="M168" s="188">
        <f ca="1">IFERROR(OFFSET(환산공식!DJ$15,$F168,0),"")</f>
        <v>100</v>
      </c>
      <c r="N168" s="20" t="str">
        <f ca="1">IFERROR(CONCATENATE(ROUND(OFFSET(환산공식!DK$15,$F168,0),1),"%"),"")</f>
        <v>100%</v>
      </c>
      <c r="O168" s="20">
        <f ca="1">IFERROR(OFFSET(환산공식!DL$15,$F168,0),"")</f>
        <v>0</v>
      </c>
      <c r="P168" s="188" t="str">
        <f t="shared" ca="1" si="4"/>
        <v>3% 이하</v>
      </c>
      <c r="Q168" s="194">
        <f ca="1">IFERROR(ROUND(OFFSET(환산공식!$FG$15,$F168,0),3),"")</f>
        <v>0</v>
      </c>
      <c r="R168" s="194">
        <f ca="1">OFFSET('배치점수 계산기'!H$10,$D168,0)</f>
        <v>913.93700000000001</v>
      </c>
      <c r="S168" s="194">
        <f ca="1">OFFSET('배치점수 계산기'!I$10,$D168,0)</f>
        <v>910.76099999999997</v>
      </c>
      <c r="T168" s="194">
        <f ca="1">OFFSET('배치점수 계산기'!J$10,$D168,0)</f>
        <v>907.91200000000003</v>
      </c>
      <c r="U168" s="194">
        <f ca="1">OFFSET('배치점수 계산기'!K$10,$D168,0)</f>
        <v>902.93499999999995</v>
      </c>
      <c r="V168" s="194">
        <f ca="1">OFFSET('배치점수 계산기'!L$10,$D168,0)</f>
        <v>897.98599999999999</v>
      </c>
      <c r="W168" s="186" t="str">
        <f ca="1">OFFSET('배치점수 계산기'!M$10,$D168,0)</f>
        <v>표점/만점</v>
      </c>
      <c r="X168" s="184" t="str">
        <f ca="1">OFFSET('배치점수 계산기'!N$10,$D168,0)</f>
        <v>변표/만점</v>
      </c>
      <c r="Y168" s="188">
        <f ca="1">OFFSET(환산공식!FW$15,$F168,0)</f>
        <v>0.34</v>
      </c>
      <c r="Z168" s="20">
        <f ca="1">OFFSET(환산공식!FX$15,$F168,0)</f>
        <v>0.44</v>
      </c>
      <c r="AA168" s="179">
        <f ca="1">OFFSET(환산공식!FY$15,$F168,0)</f>
        <v>0.22</v>
      </c>
      <c r="AC168"/>
      <c r="AD168">
        <f t="shared" ca="1" si="5"/>
        <v>6</v>
      </c>
      <c r="AE168"/>
    </row>
    <row r="169" spans="1:31" s="3" customFormat="1">
      <c r="A169" s="198"/>
      <c r="B169" s="198"/>
      <c r="C169" s="198" t="s">
        <v>1621</v>
      </c>
      <c r="D169" s="195">
        <v>1155</v>
      </c>
      <c r="E169" s="195">
        <v>44</v>
      </c>
      <c r="F169" s="195">
        <v>44</v>
      </c>
      <c r="G169" s="239">
        <v>162</v>
      </c>
      <c r="H169" s="197" t="s">
        <v>79</v>
      </c>
      <c r="I169" s="242" t="s">
        <v>83</v>
      </c>
      <c r="J169" s="242" t="s">
        <v>9107</v>
      </c>
      <c r="K169" s="195" t="s">
        <v>70</v>
      </c>
      <c r="L169" s="20" t="str">
        <f ca="1">IF(OFFSET(환산공식!$ED$15,$F169,0)=1,"O","X")</f>
        <v>X</v>
      </c>
      <c r="M169" s="188">
        <f ca="1">IFERROR(OFFSET(환산공식!DJ$15,$F169,0),"")</f>
        <v>100</v>
      </c>
      <c r="N169" s="20" t="str">
        <f ca="1">IFERROR(CONCATENATE(ROUND(OFFSET(환산공식!DK$15,$F169,0),1),"%"),"")</f>
        <v>100%</v>
      </c>
      <c r="O169" s="20">
        <f ca="1">IFERROR(OFFSET(환산공식!DL$15,$F169,0),"")</f>
        <v>0</v>
      </c>
      <c r="P169" s="188" t="str">
        <f t="shared" ca="1" si="4"/>
        <v>3% 이하</v>
      </c>
      <c r="Q169" s="194">
        <f ca="1">IFERROR(ROUND(OFFSET(환산공식!$FG$15,$F169,0),3),"")</f>
        <v>0</v>
      </c>
      <c r="R169" s="194">
        <f ca="1">OFFSET('배치점수 계산기'!H$10,$D169,0)</f>
        <v>914.85199999999998</v>
      </c>
      <c r="S169" s="194">
        <f ca="1">OFFSET('배치점수 계산기'!I$10,$D169,0)</f>
        <v>911.88</v>
      </c>
      <c r="T169" s="194">
        <f ca="1">OFFSET('배치점수 계산기'!J$10,$D169,0)</f>
        <v>907.70799999999997</v>
      </c>
      <c r="U169" s="194">
        <f ca="1">OFFSET('배치점수 계산기'!K$10,$D169,0)</f>
        <v>902.05100000000004</v>
      </c>
      <c r="V169" s="194">
        <f ca="1">OFFSET('배치점수 계산기'!L$10,$D169,0)</f>
        <v>899.42899999999997</v>
      </c>
      <c r="W169" s="186" t="str">
        <f ca="1">OFFSET('배치점수 계산기'!M$10,$D169,0)</f>
        <v>표점/만점</v>
      </c>
      <c r="X169" s="184" t="str">
        <f ca="1">OFFSET('배치점수 계산기'!N$10,$D169,0)</f>
        <v>변표/만점</v>
      </c>
      <c r="Y169" s="188">
        <f ca="1">OFFSET(환산공식!FW$15,$F169,0)</f>
        <v>0.34</v>
      </c>
      <c r="Z169" s="20">
        <f ca="1">OFFSET(환산공식!FX$15,$F169,0)</f>
        <v>0.44</v>
      </c>
      <c r="AA169" s="179">
        <f ca="1">OFFSET(환산공식!FY$15,$F169,0)</f>
        <v>0.22</v>
      </c>
      <c r="AC169"/>
      <c r="AD169">
        <f t="shared" ca="1" si="5"/>
        <v>6</v>
      </c>
      <c r="AE169"/>
    </row>
    <row r="170" spans="1:31" s="3" customFormat="1">
      <c r="A170" s="198"/>
      <c r="B170" s="198"/>
      <c r="C170" s="198" t="s">
        <v>1622</v>
      </c>
      <c r="D170" s="195">
        <v>1156</v>
      </c>
      <c r="E170" s="195">
        <v>44</v>
      </c>
      <c r="F170" s="195">
        <v>44</v>
      </c>
      <c r="G170" s="239">
        <v>163</v>
      </c>
      <c r="H170" s="197" t="s">
        <v>79</v>
      </c>
      <c r="I170" s="242" t="s">
        <v>83</v>
      </c>
      <c r="J170" s="242" t="s">
        <v>7910</v>
      </c>
      <c r="K170" s="195" t="s">
        <v>70</v>
      </c>
      <c r="L170" s="20" t="str">
        <f ca="1">IF(OFFSET(환산공식!$ED$15,$F170,0)=1,"O","X")</f>
        <v>X</v>
      </c>
      <c r="M170" s="188">
        <f ca="1">IFERROR(OFFSET(환산공식!DJ$15,$F170,0),"")</f>
        <v>100</v>
      </c>
      <c r="N170" s="20" t="str">
        <f ca="1">IFERROR(CONCATENATE(ROUND(OFFSET(환산공식!DK$15,$F170,0),1),"%"),"")</f>
        <v>100%</v>
      </c>
      <c r="O170" s="20">
        <f ca="1">IFERROR(OFFSET(환산공식!DL$15,$F170,0),"")</f>
        <v>0</v>
      </c>
      <c r="P170" s="188" t="str">
        <f t="shared" ca="1" si="4"/>
        <v>3% 이하</v>
      </c>
      <c r="Q170" s="194">
        <f ca="1">IFERROR(ROUND(OFFSET(환산공식!$FG$15,$F170,0),3),"")</f>
        <v>0</v>
      </c>
      <c r="R170" s="194">
        <f ca="1">OFFSET('배치점수 계산기'!H$10,$D170,0)</f>
        <v>914.36</v>
      </c>
      <c r="S170" s="194">
        <f ca="1">OFFSET('배치점수 계산기'!I$10,$D170,0)</f>
        <v>911.67600000000004</v>
      </c>
      <c r="T170" s="194">
        <f ca="1">OFFSET('배치점수 계산기'!J$10,$D170,0)</f>
        <v>907.51099999999997</v>
      </c>
      <c r="U170" s="194">
        <f ca="1">OFFSET('배치점수 계산기'!K$10,$D170,0)</f>
        <v>901.99099999999999</v>
      </c>
      <c r="V170" s="194">
        <f ca="1">OFFSET('배치점수 계산기'!L$10,$D170,0)</f>
        <v>897.98599999999999</v>
      </c>
      <c r="W170" s="186" t="str">
        <f ca="1">OFFSET('배치점수 계산기'!M$10,$D170,0)</f>
        <v>표점/만점</v>
      </c>
      <c r="X170" s="184" t="str">
        <f ca="1">OFFSET('배치점수 계산기'!N$10,$D170,0)</f>
        <v>변표/만점</v>
      </c>
      <c r="Y170" s="188">
        <f ca="1">OFFSET(환산공식!FW$15,$F170,0)</f>
        <v>0.34</v>
      </c>
      <c r="Z170" s="20">
        <f ca="1">OFFSET(환산공식!FX$15,$F170,0)</f>
        <v>0.44</v>
      </c>
      <c r="AA170" s="179">
        <f ca="1">OFFSET(환산공식!FY$15,$F170,0)</f>
        <v>0.22</v>
      </c>
      <c r="AC170"/>
      <c r="AD170">
        <f t="shared" ca="1" si="5"/>
        <v>6</v>
      </c>
      <c r="AE170"/>
    </row>
    <row r="171" spans="1:31" s="3" customFormat="1">
      <c r="A171" s="198"/>
      <c r="B171" s="198"/>
      <c r="C171" s="198" t="s">
        <v>1623</v>
      </c>
      <c r="D171" s="195">
        <v>1157</v>
      </c>
      <c r="E171" s="195">
        <v>44</v>
      </c>
      <c r="F171" s="195">
        <v>44</v>
      </c>
      <c r="G171" s="239">
        <v>164</v>
      </c>
      <c r="H171" s="197" t="s">
        <v>79</v>
      </c>
      <c r="I171" s="242" t="s">
        <v>83</v>
      </c>
      <c r="J171" s="242" t="s">
        <v>8640</v>
      </c>
      <c r="K171" s="195" t="s">
        <v>70</v>
      </c>
      <c r="L171" s="20" t="str">
        <f ca="1">IF(OFFSET(환산공식!$ED$15,$F171,0)=1,"O","X")</f>
        <v>X</v>
      </c>
      <c r="M171" s="188">
        <f ca="1">IFERROR(OFFSET(환산공식!DJ$15,$F171,0),"")</f>
        <v>100</v>
      </c>
      <c r="N171" s="20" t="str">
        <f ca="1">IFERROR(CONCATENATE(ROUND(OFFSET(환산공식!DK$15,$F171,0),1),"%"),"")</f>
        <v>100%</v>
      </c>
      <c r="O171" s="20">
        <f ca="1">IFERROR(OFFSET(환산공식!DL$15,$F171,0),"")</f>
        <v>0</v>
      </c>
      <c r="P171" s="188" t="str">
        <f t="shared" ca="1" si="4"/>
        <v>3% 이하</v>
      </c>
      <c r="Q171" s="194">
        <f ca="1">IFERROR(ROUND(OFFSET(환산공식!$FG$15,$F171,0),3),"")</f>
        <v>0</v>
      </c>
      <c r="R171" s="194">
        <f ca="1">OFFSET('배치점수 계산기'!H$10,$D171,0)</f>
        <v>913.93700000000001</v>
      </c>
      <c r="S171" s="194">
        <f ca="1">OFFSET('배치점수 계산기'!I$10,$D171,0)</f>
        <v>910.76099999999997</v>
      </c>
      <c r="T171" s="194">
        <f ca="1">OFFSET('배치점수 계산기'!J$10,$D171,0)</f>
        <v>906.44299999999998</v>
      </c>
      <c r="U171" s="194">
        <f ca="1">OFFSET('배치점수 계산기'!K$10,$D171,0)</f>
        <v>902.93499999999995</v>
      </c>
      <c r="V171" s="194">
        <f ca="1">OFFSET('배치점수 계산기'!L$10,$D171,0)</f>
        <v>899.26300000000003</v>
      </c>
      <c r="W171" s="186" t="str">
        <f ca="1">OFFSET('배치점수 계산기'!M$10,$D171,0)</f>
        <v>표점/만점</v>
      </c>
      <c r="X171" s="184" t="str">
        <f ca="1">OFFSET('배치점수 계산기'!N$10,$D171,0)</f>
        <v>변표/만점</v>
      </c>
      <c r="Y171" s="188">
        <f ca="1">OFFSET(환산공식!FW$15,$F171,0)</f>
        <v>0.34</v>
      </c>
      <c r="Z171" s="20">
        <f ca="1">OFFSET(환산공식!FX$15,$F171,0)</f>
        <v>0.44</v>
      </c>
      <c r="AA171" s="179">
        <f ca="1">OFFSET(환산공식!FY$15,$F171,0)</f>
        <v>0.22</v>
      </c>
      <c r="AC171"/>
      <c r="AD171">
        <f t="shared" ca="1" si="5"/>
        <v>6</v>
      </c>
      <c r="AE171"/>
    </row>
    <row r="172" spans="1:31" s="3" customFormat="1">
      <c r="A172" s="198"/>
      <c r="B172" s="198"/>
      <c r="C172" s="198" t="s">
        <v>1624</v>
      </c>
      <c r="D172" s="195">
        <v>1158</v>
      </c>
      <c r="E172" s="195">
        <v>44</v>
      </c>
      <c r="F172" s="195">
        <v>44</v>
      </c>
      <c r="G172" s="239">
        <v>165</v>
      </c>
      <c r="H172" s="197" t="s">
        <v>79</v>
      </c>
      <c r="I172" s="242" t="s">
        <v>83</v>
      </c>
      <c r="J172" s="242" t="s">
        <v>8538</v>
      </c>
      <c r="K172" s="195" t="s">
        <v>70</v>
      </c>
      <c r="L172" s="20" t="str">
        <f ca="1">IF(OFFSET(환산공식!$ED$15,$F172,0)=1,"O","X")</f>
        <v>X</v>
      </c>
      <c r="M172" s="188">
        <f ca="1">IFERROR(OFFSET(환산공식!DJ$15,$F172,0),"")</f>
        <v>100</v>
      </c>
      <c r="N172" s="20" t="str">
        <f ca="1">IFERROR(CONCATENATE(ROUND(OFFSET(환산공식!DK$15,$F172,0),1),"%"),"")</f>
        <v>100%</v>
      </c>
      <c r="O172" s="20">
        <f ca="1">IFERROR(OFFSET(환산공식!DL$15,$F172,0),"")</f>
        <v>0</v>
      </c>
      <c r="P172" s="188" t="str">
        <f t="shared" ca="1" si="4"/>
        <v>3% 이하</v>
      </c>
      <c r="Q172" s="194">
        <f ca="1">IFERROR(ROUND(OFFSET(환산공식!$FG$15,$F172,0),3),"")</f>
        <v>0</v>
      </c>
      <c r="R172" s="194">
        <f ca="1">OFFSET('배치점수 계산기'!H$10,$D172,0)</f>
        <v>913.93700000000001</v>
      </c>
      <c r="S172" s="194">
        <f ca="1">OFFSET('배치점수 계산기'!I$10,$D172,0)</f>
        <v>909.28</v>
      </c>
      <c r="T172" s="194">
        <f ca="1">OFFSET('배치점수 계산기'!J$10,$D172,0)</f>
        <v>905.24099999999999</v>
      </c>
      <c r="U172" s="194">
        <f ca="1">OFFSET('배치점수 계산기'!K$10,$D172,0)</f>
        <v>902.93499999999995</v>
      </c>
      <c r="V172" s="194">
        <f ca="1">OFFSET('배치점수 계산기'!L$10,$D172,0)</f>
        <v>897.98599999999999</v>
      </c>
      <c r="W172" s="186" t="str">
        <f ca="1">OFFSET('배치점수 계산기'!M$10,$D172,0)</f>
        <v>표점/만점</v>
      </c>
      <c r="X172" s="184" t="str">
        <f ca="1">OFFSET('배치점수 계산기'!N$10,$D172,0)</f>
        <v>변표/만점</v>
      </c>
      <c r="Y172" s="188">
        <f ca="1">OFFSET(환산공식!FW$15,$F172,0)</f>
        <v>0.34</v>
      </c>
      <c r="Z172" s="20">
        <f ca="1">OFFSET(환산공식!FX$15,$F172,0)</f>
        <v>0.44</v>
      </c>
      <c r="AA172" s="179">
        <f ca="1">OFFSET(환산공식!FY$15,$F172,0)</f>
        <v>0.22</v>
      </c>
      <c r="AC172"/>
      <c r="AD172">
        <f t="shared" ca="1" si="5"/>
        <v>6</v>
      </c>
      <c r="AE172"/>
    </row>
    <row r="173" spans="1:31" s="3" customFormat="1">
      <c r="A173" s="198"/>
      <c r="B173" s="198"/>
      <c r="C173" s="198" t="s">
        <v>1625</v>
      </c>
      <c r="D173" s="195">
        <v>1159</v>
      </c>
      <c r="E173" s="195">
        <v>44</v>
      </c>
      <c r="F173" s="195">
        <v>44</v>
      </c>
      <c r="G173" s="239">
        <v>166</v>
      </c>
      <c r="H173" s="197" t="s">
        <v>79</v>
      </c>
      <c r="I173" s="242" t="s">
        <v>83</v>
      </c>
      <c r="J173" s="242" t="s">
        <v>9349</v>
      </c>
      <c r="K173" s="195" t="s">
        <v>70</v>
      </c>
      <c r="L173" s="20" t="str">
        <f ca="1">IF(OFFSET(환산공식!$ED$15,$F173,0)=1,"O","X")</f>
        <v>X</v>
      </c>
      <c r="M173" s="188">
        <f ca="1">IFERROR(OFFSET(환산공식!DJ$15,$F173,0),"")</f>
        <v>100</v>
      </c>
      <c r="N173" s="20" t="str">
        <f ca="1">IFERROR(CONCATENATE(ROUND(OFFSET(환산공식!DK$15,$F173,0),1),"%"),"")</f>
        <v>100%</v>
      </c>
      <c r="O173" s="20">
        <f ca="1">IFERROR(OFFSET(환산공식!DL$15,$F173,0),"")</f>
        <v>0</v>
      </c>
      <c r="P173" s="188" t="str">
        <f t="shared" ca="1" si="4"/>
        <v>3% 이하</v>
      </c>
      <c r="Q173" s="194">
        <f ca="1">IFERROR(ROUND(OFFSET(환산공식!$FG$15,$F173,0),3),"")</f>
        <v>0</v>
      </c>
      <c r="R173" s="194">
        <f ca="1">OFFSET('배치점수 계산기'!H$10,$D173,0)</f>
        <v>911.88</v>
      </c>
      <c r="S173" s="194">
        <f ca="1">OFFSET('배치점수 계산기'!I$10,$D173,0)</f>
        <v>909.28</v>
      </c>
      <c r="T173" s="194">
        <f ca="1">OFFSET('배치점수 계산기'!J$10,$D173,0)</f>
        <v>904.75599999999997</v>
      </c>
      <c r="U173" s="194">
        <f ca="1">OFFSET('배치점수 계산기'!K$10,$D173,0)</f>
        <v>901.28099999999995</v>
      </c>
      <c r="V173" s="194">
        <f ca="1">OFFSET('배치점수 계산기'!L$10,$D173,0)</f>
        <v>897.98599999999999</v>
      </c>
      <c r="W173" s="186" t="str">
        <f ca="1">OFFSET('배치점수 계산기'!M$10,$D173,0)</f>
        <v>표점/만점</v>
      </c>
      <c r="X173" s="184" t="str">
        <f ca="1">OFFSET('배치점수 계산기'!N$10,$D173,0)</f>
        <v>변표/만점</v>
      </c>
      <c r="Y173" s="188">
        <f ca="1">OFFSET(환산공식!FW$15,$F173,0)</f>
        <v>0.34</v>
      </c>
      <c r="Z173" s="20">
        <f ca="1">OFFSET(환산공식!FX$15,$F173,0)</f>
        <v>0.44</v>
      </c>
      <c r="AA173" s="179">
        <f ca="1">OFFSET(환산공식!FY$15,$F173,0)</f>
        <v>0.22</v>
      </c>
      <c r="AC173"/>
      <c r="AD173">
        <f t="shared" ca="1" si="5"/>
        <v>6</v>
      </c>
      <c r="AE173"/>
    </row>
    <row r="174" spans="1:31" s="3" customFormat="1">
      <c r="A174" s="198"/>
      <c r="B174" s="198"/>
      <c r="C174" s="198" t="s">
        <v>1626</v>
      </c>
      <c r="D174" s="195">
        <v>1160</v>
      </c>
      <c r="E174" s="195">
        <v>45</v>
      </c>
      <c r="F174" s="195">
        <v>45</v>
      </c>
      <c r="G174" s="239">
        <v>167</v>
      </c>
      <c r="H174" s="197" t="s">
        <v>79</v>
      </c>
      <c r="I174" s="242" t="s">
        <v>83</v>
      </c>
      <c r="J174" s="242" t="s">
        <v>9369</v>
      </c>
      <c r="K174" s="195" t="s">
        <v>70</v>
      </c>
      <c r="L174" s="20" t="str">
        <f ca="1">IF(OFFSET(환산공식!$ED$15,$F174,0)=1,"O","X")</f>
        <v>X</v>
      </c>
      <c r="M174" s="188">
        <f ca="1">IFERROR(OFFSET(환산공식!DJ$15,$F174,0),"")</f>
        <v>100</v>
      </c>
      <c r="N174" s="20" t="str">
        <f ca="1">IFERROR(CONCATENATE(ROUND(OFFSET(환산공식!DK$15,$F174,0),1),"%"),"")</f>
        <v>100%</v>
      </c>
      <c r="O174" s="20">
        <f ca="1">IFERROR(OFFSET(환산공식!DL$15,$F174,0),"")</f>
        <v>0</v>
      </c>
      <c r="P174" s="188" t="str">
        <f t="shared" ca="1" si="4"/>
        <v>3% 이하</v>
      </c>
      <c r="Q174" s="194">
        <f ca="1">IFERROR(ROUND(OFFSET(환산공식!$FG$15,$F174,0),3),"")</f>
        <v>0</v>
      </c>
      <c r="R174" s="194">
        <f ca="1">OFFSET('배치점수 계산기'!H$10,$D174,0)</f>
        <v>909.18</v>
      </c>
      <c r="S174" s="194">
        <f ca="1">OFFSET('배치점수 계산기'!I$10,$D174,0)</f>
        <v>907.26199999999994</v>
      </c>
      <c r="T174" s="194">
        <f ca="1">OFFSET('배치점수 계산기'!J$10,$D174,0)</f>
        <v>903.66399999999999</v>
      </c>
      <c r="U174" s="194">
        <f ca="1">OFFSET('배치점수 계산기'!K$10,$D174,0)</f>
        <v>900.98199999999997</v>
      </c>
      <c r="V174" s="194">
        <f ca="1">OFFSET('배치점수 계산기'!L$10,$D174,0)</f>
        <v>898.25599999999997</v>
      </c>
      <c r="W174" s="186" t="str">
        <f ca="1">OFFSET('배치점수 계산기'!M$10,$D174,0)</f>
        <v>표점/만점</v>
      </c>
      <c r="X174" s="184" t="str">
        <f ca="1">OFFSET('배치점수 계산기'!N$10,$D174,0)</f>
        <v>변표/만점</v>
      </c>
      <c r="Y174" s="188">
        <f ca="1">OFFSET(환산공식!FW$15,$F174,0)</f>
        <v>0.34</v>
      </c>
      <c r="Z174" s="20">
        <f ca="1">OFFSET(환산공식!FX$15,$F174,0)</f>
        <v>0.39</v>
      </c>
      <c r="AA174" s="179">
        <f ca="1">OFFSET(환산공식!FY$15,$F174,0)</f>
        <v>0.28000000000000003</v>
      </c>
      <c r="AC174"/>
      <c r="AD174">
        <f t="shared" ca="1" si="5"/>
        <v>6</v>
      </c>
      <c r="AE174"/>
    </row>
    <row r="175" spans="1:31" s="3" customFormat="1">
      <c r="A175" s="198"/>
      <c r="B175" s="198"/>
      <c r="C175" s="198" t="s">
        <v>1627</v>
      </c>
      <c r="D175" s="195">
        <v>1161</v>
      </c>
      <c r="E175" s="195">
        <v>44</v>
      </c>
      <c r="F175" s="195">
        <v>44</v>
      </c>
      <c r="G175" s="239">
        <v>168</v>
      </c>
      <c r="H175" s="197" t="s">
        <v>79</v>
      </c>
      <c r="I175" s="242" t="s">
        <v>83</v>
      </c>
      <c r="J175" s="242" t="s">
        <v>550</v>
      </c>
      <c r="K175" s="195" t="s">
        <v>70</v>
      </c>
      <c r="L175" s="20" t="str">
        <f ca="1">IF(OFFSET(환산공식!$ED$15,$F175,0)=1,"O","X")</f>
        <v>X</v>
      </c>
      <c r="M175" s="188">
        <f ca="1">IFERROR(OFFSET(환산공식!DJ$15,$F175,0),"")</f>
        <v>100</v>
      </c>
      <c r="N175" s="20" t="str">
        <f ca="1">IFERROR(CONCATENATE(ROUND(OFFSET(환산공식!DK$15,$F175,0),1),"%"),"")</f>
        <v>100%</v>
      </c>
      <c r="O175" s="20">
        <f ca="1">IFERROR(OFFSET(환산공식!DL$15,$F175,0),"")</f>
        <v>0</v>
      </c>
      <c r="P175" s="188" t="str">
        <f t="shared" ca="1" si="4"/>
        <v>3% 이하</v>
      </c>
      <c r="Q175" s="194">
        <f ca="1">IFERROR(ROUND(OFFSET(환산공식!$FG$15,$F175,0),3),"")</f>
        <v>0</v>
      </c>
      <c r="R175" s="194">
        <f ca="1">OFFSET('배치점수 계산기'!H$10,$D175,0)</f>
        <v>910.76099999999997</v>
      </c>
      <c r="S175" s="194">
        <f ca="1">OFFSET('배치점수 계산기'!I$10,$D175,0)</f>
        <v>907.91200000000003</v>
      </c>
      <c r="T175" s="194">
        <f ca="1">OFFSET('배치점수 계산기'!J$10,$D175,0)</f>
        <v>903.68799999999999</v>
      </c>
      <c r="U175" s="194">
        <f ca="1">OFFSET('배치점수 계산기'!K$10,$D175,0)</f>
        <v>900.91399999999999</v>
      </c>
      <c r="V175" s="194">
        <f ca="1">OFFSET('배치점수 계산기'!L$10,$D175,0)</f>
        <v>898.35500000000002</v>
      </c>
      <c r="W175" s="186" t="str">
        <f ca="1">OFFSET('배치점수 계산기'!M$10,$D175,0)</f>
        <v>표점/만점</v>
      </c>
      <c r="X175" s="184" t="str">
        <f ca="1">OFFSET('배치점수 계산기'!N$10,$D175,0)</f>
        <v>변표/만점</v>
      </c>
      <c r="Y175" s="188">
        <f ca="1">OFFSET(환산공식!FW$15,$F175,0)</f>
        <v>0.34</v>
      </c>
      <c r="Z175" s="20">
        <f ca="1">OFFSET(환산공식!FX$15,$F175,0)</f>
        <v>0.44</v>
      </c>
      <c r="AA175" s="179">
        <f ca="1">OFFSET(환산공식!FY$15,$F175,0)</f>
        <v>0.22</v>
      </c>
      <c r="AC175"/>
      <c r="AD175">
        <f t="shared" ca="1" si="5"/>
        <v>6</v>
      </c>
      <c r="AE175"/>
    </row>
    <row r="176" spans="1:31" s="3" customFormat="1">
      <c r="A176" s="198"/>
      <c r="B176" s="198"/>
      <c r="C176" s="198" t="s">
        <v>1628</v>
      </c>
      <c r="D176" s="195">
        <v>1162</v>
      </c>
      <c r="E176" s="195">
        <v>44</v>
      </c>
      <c r="F176" s="195">
        <v>44</v>
      </c>
      <c r="G176" s="239">
        <v>169</v>
      </c>
      <c r="H176" s="197" t="s">
        <v>79</v>
      </c>
      <c r="I176" s="242" t="s">
        <v>83</v>
      </c>
      <c r="J176" s="242" t="s">
        <v>551</v>
      </c>
      <c r="K176" s="195" t="s">
        <v>70</v>
      </c>
      <c r="L176" s="20" t="str">
        <f ca="1">IF(OFFSET(환산공식!$ED$15,$F176,0)=1,"O","X")</f>
        <v>X</v>
      </c>
      <c r="M176" s="188">
        <f ca="1">IFERROR(OFFSET(환산공식!DJ$15,$F176,0),"")</f>
        <v>100</v>
      </c>
      <c r="N176" s="20" t="str">
        <f ca="1">IFERROR(CONCATENATE(ROUND(OFFSET(환산공식!DK$15,$F176,0),1),"%"),"")</f>
        <v>100%</v>
      </c>
      <c r="O176" s="20">
        <f ca="1">IFERROR(OFFSET(환산공식!DL$15,$F176,0),"")</f>
        <v>0</v>
      </c>
      <c r="P176" s="188" t="str">
        <f t="shared" ca="1" si="4"/>
        <v>3% 이하</v>
      </c>
      <c r="Q176" s="194">
        <f ca="1">IFERROR(ROUND(OFFSET(환산공식!$FG$15,$F176,0),3),"")</f>
        <v>0</v>
      </c>
      <c r="R176" s="194">
        <f ca="1">OFFSET('배치점수 계산기'!H$10,$D176,0)</f>
        <v>912.92399999999998</v>
      </c>
      <c r="S176" s="194">
        <f ca="1">OFFSET('배치점수 계산기'!I$10,$D176,0)</f>
        <v>909.64300000000003</v>
      </c>
      <c r="T176" s="194">
        <f ca="1">OFFSET('배치점수 계산기'!J$10,$D176,0)</f>
        <v>903.42600000000004</v>
      </c>
      <c r="U176" s="194">
        <f ca="1">OFFSET('배치점수 계산기'!K$10,$D176,0)</f>
        <v>900.91399999999999</v>
      </c>
      <c r="V176" s="194">
        <f ca="1">OFFSET('배치점수 계산기'!L$10,$D176,0)</f>
        <v>899.42899999999997</v>
      </c>
      <c r="W176" s="186" t="str">
        <f ca="1">OFFSET('배치점수 계산기'!M$10,$D176,0)</f>
        <v>표점/만점</v>
      </c>
      <c r="X176" s="184" t="str">
        <f ca="1">OFFSET('배치점수 계산기'!N$10,$D176,0)</f>
        <v>변표/만점</v>
      </c>
      <c r="Y176" s="188">
        <f ca="1">OFFSET(환산공식!FW$15,$F176,0)</f>
        <v>0.34</v>
      </c>
      <c r="Z176" s="20">
        <f ca="1">OFFSET(환산공식!FX$15,$F176,0)</f>
        <v>0.44</v>
      </c>
      <c r="AA176" s="179">
        <f ca="1">OFFSET(환산공식!FY$15,$F176,0)</f>
        <v>0.22</v>
      </c>
      <c r="AC176"/>
      <c r="AD176">
        <f t="shared" ca="1" si="5"/>
        <v>6</v>
      </c>
      <c r="AE176"/>
    </row>
    <row r="177" spans="1:31" s="3" customFormat="1">
      <c r="A177" s="198"/>
      <c r="B177" s="198"/>
      <c r="C177" s="198" t="s">
        <v>1629</v>
      </c>
      <c r="D177" s="195">
        <v>1163</v>
      </c>
      <c r="E177" s="195">
        <v>44</v>
      </c>
      <c r="F177" s="195">
        <v>44</v>
      </c>
      <c r="G177" s="239">
        <v>170</v>
      </c>
      <c r="H177" s="197" t="s">
        <v>79</v>
      </c>
      <c r="I177" s="242" t="s">
        <v>83</v>
      </c>
      <c r="J177" s="242" t="s">
        <v>9339</v>
      </c>
      <c r="K177" s="195" t="s">
        <v>70</v>
      </c>
      <c r="L177" s="20" t="str">
        <f ca="1">IF(OFFSET(환산공식!$ED$15,$F177,0)=1,"O","X")</f>
        <v>X</v>
      </c>
      <c r="M177" s="188">
        <f ca="1">IFERROR(OFFSET(환산공식!DJ$15,$F177,0),"")</f>
        <v>100</v>
      </c>
      <c r="N177" s="20" t="str">
        <f ca="1">IFERROR(CONCATENATE(ROUND(OFFSET(환산공식!DK$15,$F177,0),1),"%"),"")</f>
        <v>100%</v>
      </c>
      <c r="O177" s="20">
        <f ca="1">IFERROR(OFFSET(환산공식!DL$15,$F177,0),"")</f>
        <v>0</v>
      </c>
      <c r="P177" s="188" t="str">
        <f t="shared" ca="1" si="4"/>
        <v>3% 이하</v>
      </c>
      <c r="Q177" s="194">
        <f ca="1">IFERROR(ROUND(OFFSET(환산공식!$FG$15,$F177,0),3),"")</f>
        <v>0</v>
      </c>
      <c r="R177" s="194">
        <f ca="1">OFFSET('배치점수 계산기'!H$10,$D177,0)</f>
        <v>909.28</v>
      </c>
      <c r="S177" s="194">
        <f ca="1">OFFSET('배치점수 계산기'!I$10,$D177,0)</f>
        <v>907.51099999999997</v>
      </c>
      <c r="T177" s="194">
        <f ca="1">OFFSET('배치점수 계산기'!J$10,$D177,0)</f>
        <v>902.93499999999995</v>
      </c>
      <c r="U177" s="194">
        <f ca="1">OFFSET('배치점수 계산기'!K$10,$D177,0)</f>
        <v>900.54499999999996</v>
      </c>
      <c r="V177" s="194">
        <f ca="1">OFFSET('배치점수 계산기'!L$10,$D177,0)</f>
        <v>897.07799999999997</v>
      </c>
      <c r="W177" s="186" t="str">
        <f ca="1">OFFSET('배치점수 계산기'!M$10,$D177,0)</f>
        <v>표점/만점</v>
      </c>
      <c r="X177" s="184" t="str">
        <f ca="1">OFFSET('배치점수 계산기'!N$10,$D177,0)</f>
        <v>변표/만점</v>
      </c>
      <c r="Y177" s="188">
        <f ca="1">OFFSET(환산공식!FW$15,$F177,0)</f>
        <v>0.34</v>
      </c>
      <c r="Z177" s="20">
        <f ca="1">OFFSET(환산공식!FX$15,$F177,0)</f>
        <v>0.44</v>
      </c>
      <c r="AA177" s="179">
        <f ca="1">OFFSET(환산공식!FY$15,$F177,0)</f>
        <v>0.22</v>
      </c>
      <c r="AC177"/>
      <c r="AD177">
        <f t="shared" ca="1" si="5"/>
        <v>6</v>
      </c>
      <c r="AE177"/>
    </row>
    <row r="178" spans="1:31" s="3" customFormat="1">
      <c r="A178" s="198"/>
      <c r="B178" s="198"/>
      <c r="C178" s="198" t="s">
        <v>1630</v>
      </c>
      <c r="D178" s="195">
        <v>1164</v>
      </c>
      <c r="E178" s="195">
        <v>44</v>
      </c>
      <c r="F178" s="195">
        <v>44</v>
      </c>
      <c r="G178" s="239">
        <v>171</v>
      </c>
      <c r="H178" s="197" t="s">
        <v>79</v>
      </c>
      <c r="I178" s="242" t="s">
        <v>83</v>
      </c>
      <c r="J178" s="242" t="s">
        <v>9417</v>
      </c>
      <c r="K178" s="195" t="s">
        <v>70</v>
      </c>
      <c r="L178" s="20" t="str">
        <f ca="1">IF(OFFSET(환산공식!$ED$15,$F178,0)=1,"O","X")</f>
        <v>X</v>
      </c>
      <c r="M178" s="188">
        <f ca="1">IFERROR(OFFSET(환산공식!DJ$15,$F178,0),"")</f>
        <v>100</v>
      </c>
      <c r="N178" s="20" t="str">
        <f ca="1">IFERROR(CONCATENATE(ROUND(OFFSET(환산공식!DK$15,$F178,0),1),"%"),"")</f>
        <v>100%</v>
      </c>
      <c r="O178" s="20">
        <f ca="1">IFERROR(OFFSET(환산공식!DL$15,$F178,0),"")</f>
        <v>0</v>
      </c>
      <c r="P178" s="188" t="str">
        <f t="shared" ca="1" si="4"/>
        <v>3% 이하</v>
      </c>
      <c r="Q178" s="194">
        <f ca="1">IFERROR(ROUND(OFFSET(환산공식!$FG$15,$F178,0),3),"")</f>
        <v>0</v>
      </c>
      <c r="R178" s="194">
        <f ca="1">OFFSET('배치점수 계산기'!H$10,$D178,0)</f>
        <v>912.37199999999996</v>
      </c>
      <c r="S178" s="194">
        <f ca="1">OFFSET('배치점수 계산기'!I$10,$D178,0)</f>
        <v>908.33500000000004</v>
      </c>
      <c r="T178" s="194">
        <f ca="1">OFFSET('배치점수 계산기'!J$10,$D178,0)</f>
        <v>902.99099999999999</v>
      </c>
      <c r="U178" s="194">
        <f ca="1">OFFSET('배치점수 계산기'!K$10,$D178,0)</f>
        <v>900.15800000000002</v>
      </c>
      <c r="V178" s="194">
        <f ca="1">OFFSET('배치점수 계산기'!L$10,$D178,0)</f>
        <v>896.87400000000002</v>
      </c>
      <c r="W178" s="186" t="str">
        <f ca="1">OFFSET('배치점수 계산기'!M$10,$D178,0)</f>
        <v>표점/만점</v>
      </c>
      <c r="X178" s="184" t="str">
        <f ca="1">OFFSET('배치점수 계산기'!N$10,$D178,0)</f>
        <v>변표/만점</v>
      </c>
      <c r="Y178" s="188">
        <f ca="1">OFFSET(환산공식!FW$15,$F178,0)</f>
        <v>0.34</v>
      </c>
      <c r="Z178" s="20">
        <f ca="1">OFFSET(환산공식!FX$15,$F178,0)</f>
        <v>0.44</v>
      </c>
      <c r="AA178" s="179">
        <f ca="1">OFFSET(환산공식!FY$15,$F178,0)</f>
        <v>0.22</v>
      </c>
      <c r="AC178"/>
      <c r="AD178">
        <f t="shared" ca="1" si="5"/>
        <v>6</v>
      </c>
      <c r="AE178"/>
    </row>
    <row r="179" spans="1:31" s="3" customFormat="1">
      <c r="A179" s="198"/>
      <c r="B179" s="198"/>
      <c r="C179" s="198" t="s">
        <v>1631</v>
      </c>
      <c r="D179" s="195">
        <v>1165</v>
      </c>
      <c r="E179" s="195">
        <v>44</v>
      </c>
      <c r="F179" s="195">
        <v>44</v>
      </c>
      <c r="G179" s="239">
        <v>172</v>
      </c>
      <c r="H179" s="197" t="s">
        <v>79</v>
      </c>
      <c r="I179" s="242" t="s">
        <v>83</v>
      </c>
      <c r="J179" s="242" t="s">
        <v>9309</v>
      </c>
      <c r="K179" s="195" t="s">
        <v>70</v>
      </c>
      <c r="L179" s="20" t="str">
        <f ca="1">IF(OFFSET(환산공식!$ED$15,$F179,0)=1,"O","X")</f>
        <v>X</v>
      </c>
      <c r="M179" s="188">
        <f ca="1">IFERROR(OFFSET(환산공식!DJ$15,$F179,0),"")</f>
        <v>100</v>
      </c>
      <c r="N179" s="20" t="str">
        <f ca="1">IFERROR(CONCATENATE(ROUND(OFFSET(환산공식!DK$15,$F179,0),1),"%"),"")</f>
        <v>100%</v>
      </c>
      <c r="O179" s="20">
        <f ca="1">IFERROR(OFFSET(환산공식!DL$15,$F179,0),"")</f>
        <v>0</v>
      </c>
      <c r="P179" s="188" t="str">
        <f t="shared" ca="1" si="4"/>
        <v>3% 이하</v>
      </c>
      <c r="Q179" s="194">
        <f ca="1">IFERROR(ROUND(OFFSET(환산공식!$FG$15,$F179,0),3),"")</f>
        <v>0</v>
      </c>
      <c r="R179" s="194">
        <f ca="1">OFFSET('배치점수 계산기'!H$10,$D179,0)</f>
        <v>911.88</v>
      </c>
      <c r="S179" s="194">
        <f ca="1">OFFSET('배치점수 계산기'!I$10,$D179,0)</f>
        <v>907.91200000000003</v>
      </c>
      <c r="T179" s="194">
        <f ca="1">OFFSET('배치점수 계산기'!J$10,$D179,0)</f>
        <v>902.62199999999996</v>
      </c>
      <c r="U179" s="194">
        <f ca="1">OFFSET('배치점수 계산기'!K$10,$D179,0)</f>
        <v>898.71799999999996</v>
      </c>
      <c r="V179" s="194">
        <f ca="1">OFFSET('배치점수 계산기'!L$10,$D179,0)</f>
        <v>895.23199999999997</v>
      </c>
      <c r="W179" s="186" t="str">
        <f ca="1">OFFSET('배치점수 계산기'!M$10,$D179,0)</f>
        <v>표점/만점</v>
      </c>
      <c r="X179" s="184" t="str">
        <f ca="1">OFFSET('배치점수 계산기'!N$10,$D179,0)</f>
        <v>변표/만점</v>
      </c>
      <c r="Y179" s="188">
        <f ca="1">OFFSET(환산공식!FW$15,$F179,0)</f>
        <v>0.34</v>
      </c>
      <c r="Z179" s="20">
        <f ca="1">OFFSET(환산공식!FX$15,$F179,0)</f>
        <v>0.44</v>
      </c>
      <c r="AA179" s="179">
        <f ca="1">OFFSET(환산공식!FY$15,$F179,0)</f>
        <v>0.22</v>
      </c>
      <c r="AC179"/>
      <c r="AD179">
        <f t="shared" ca="1" si="5"/>
        <v>6</v>
      </c>
      <c r="AE179"/>
    </row>
    <row r="180" spans="1:31" s="3" customFormat="1">
      <c r="A180" s="198"/>
      <c r="B180" s="198"/>
      <c r="C180" s="198" t="s">
        <v>1632</v>
      </c>
      <c r="D180" s="195">
        <v>1166</v>
      </c>
      <c r="E180" s="195">
        <v>44</v>
      </c>
      <c r="F180" s="195">
        <v>44</v>
      </c>
      <c r="G180" s="239">
        <v>173</v>
      </c>
      <c r="H180" s="197" t="s">
        <v>79</v>
      </c>
      <c r="I180" s="242" t="s">
        <v>83</v>
      </c>
      <c r="J180" s="242" t="s">
        <v>9360</v>
      </c>
      <c r="K180" s="195" t="s">
        <v>70</v>
      </c>
      <c r="L180" s="20" t="str">
        <f ca="1">IF(OFFSET(환산공식!$ED$15,$F180,0)=1,"O","X")</f>
        <v>X</v>
      </c>
      <c r="M180" s="188">
        <f ca="1">IFERROR(OFFSET(환산공식!DJ$15,$F180,0),"")</f>
        <v>100</v>
      </c>
      <c r="N180" s="20" t="str">
        <f ca="1">IFERROR(CONCATENATE(ROUND(OFFSET(환산공식!DK$15,$F180,0),1),"%"),"")</f>
        <v>100%</v>
      </c>
      <c r="O180" s="20">
        <f ca="1">IFERROR(OFFSET(환산공식!DL$15,$F180,0),"")</f>
        <v>0</v>
      </c>
      <c r="P180" s="188" t="str">
        <f t="shared" ca="1" si="4"/>
        <v>3% 이하</v>
      </c>
      <c r="Q180" s="194">
        <f ca="1">IFERROR(ROUND(OFFSET(환산공식!$FG$15,$F180,0),3),"")</f>
        <v>0</v>
      </c>
      <c r="R180" s="194">
        <f ca="1">OFFSET('배치점수 계산기'!H$10,$D180,0)</f>
        <v>909.64300000000003</v>
      </c>
      <c r="S180" s="194">
        <f ca="1">OFFSET('배치점수 계산기'!I$10,$D180,0)</f>
        <v>906.44299999999998</v>
      </c>
      <c r="T180" s="194">
        <f ca="1">OFFSET('배치점수 계산기'!J$10,$D180,0)</f>
        <v>902.05100000000004</v>
      </c>
      <c r="U180" s="194">
        <f ca="1">OFFSET('배치점수 계산기'!K$10,$D180,0)</f>
        <v>899.42899999999997</v>
      </c>
      <c r="V180" s="194">
        <f ca="1">OFFSET('배치점수 계산기'!L$10,$D180,0)</f>
        <v>895.96</v>
      </c>
      <c r="W180" s="186" t="str">
        <f ca="1">OFFSET('배치점수 계산기'!M$10,$D180,0)</f>
        <v>표점/만점</v>
      </c>
      <c r="X180" s="184" t="str">
        <f ca="1">OFFSET('배치점수 계산기'!N$10,$D180,0)</f>
        <v>변표/만점</v>
      </c>
      <c r="Y180" s="188">
        <f ca="1">OFFSET(환산공식!FW$15,$F180,0)</f>
        <v>0.34</v>
      </c>
      <c r="Z180" s="20">
        <f ca="1">OFFSET(환산공식!FX$15,$F180,0)</f>
        <v>0.44</v>
      </c>
      <c r="AA180" s="179">
        <f ca="1">OFFSET(환산공식!FY$15,$F180,0)</f>
        <v>0.22</v>
      </c>
      <c r="AC180"/>
      <c r="AD180">
        <f t="shared" ca="1" si="5"/>
        <v>6</v>
      </c>
      <c r="AE180"/>
    </row>
    <row r="181" spans="1:31" s="3" customFormat="1">
      <c r="A181" s="198"/>
      <c r="B181" s="198"/>
      <c r="C181" s="198" t="s">
        <v>1633</v>
      </c>
      <c r="D181" s="195">
        <v>1167</v>
      </c>
      <c r="E181" s="195">
        <v>45</v>
      </c>
      <c r="F181" s="195">
        <v>45</v>
      </c>
      <c r="G181" s="239">
        <v>174</v>
      </c>
      <c r="H181" s="197" t="s">
        <v>79</v>
      </c>
      <c r="I181" s="242" t="s">
        <v>83</v>
      </c>
      <c r="J181" s="242" t="s">
        <v>9622</v>
      </c>
      <c r="K181" s="195" t="s">
        <v>70</v>
      </c>
      <c r="L181" s="20" t="str">
        <f ca="1">IF(OFFSET(환산공식!$ED$15,$F181,0)=1,"O","X")</f>
        <v>X</v>
      </c>
      <c r="M181" s="188">
        <f ca="1">IFERROR(OFFSET(환산공식!DJ$15,$F181,0),"")</f>
        <v>100</v>
      </c>
      <c r="N181" s="20" t="str">
        <f ca="1">IFERROR(CONCATENATE(ROUND(OFFSET(환산공식!DK$15,$F181,0),1),"%"),"")</f>
        <v>100%</v>
      </c>
      <c r="O181" s="20">
        <f ca="1">IFERROR(OFFSET(환산공식!DL$15,$F181,0),"")</f>
        <v>0</v>
      </c>
      <c r="P181" s="188" t="str">
        <f t="shared" ca="1" si="4"/>
        <v>3% 이하</v>
      </c>
      <c r="Q181" s="194">
        <f ca="1">IFERROR(ROUND(OFFSET(환산공식!$FG$15,$F181,0),3),"")</f>
        <v>0</v>
      </c>
      <c r="R181" s="194">
        <f ca="1">OFFSET('배치점수 계산기'!H$10,$D181,0)</f>
        <v>909.44399999999996</v>
      </c>
      <c r="S181" s="194">
        <f ca="1">OFFSET('배치점수 계산기'!I$10,$D181,0)</f>
        <v>903.81700000000001</v>
      </c>
      <c r="T181" s="194">
        <f ca="1">OFFSET('배치점수 계산기'!J$10,$D181,0)</f>
        <v>897.74099999999999</v>
      </c>
      <c r="U181" s="194">
        <f ca="1">OFFSET('배치점수 계산기'!K$10,$D181,0)</f>
        <v>893.7</v>
      </c>
      <c r="V181" s="194">
        <f ca="1">OFFSET('배치점수 계산기'!L$10,$D181,0)</f>
        <v>887.72199999999998</v>
      </c>
      <c r="W181" s="186" t="str">
        <f ca="1">OFFSET('배치점수 계산기'!M$10,$D181,0)</f>
        <v>표점/만점</v>
      </c>
      <c r="X181" s="184" t="str">
        <f ca="1">OFFSET('배치점수 계산기'!N$10,$D181,0)</f>
        <v>변표/만점</v>
      </c>
      <c r="Y181" s="188">
        <f ca="1">OFFSET(환산공식!FW$15,$F181,0)</f>
        <v>0.34</v>
      </c>
      <c r="Z181" s="20">
        <f ca="1">OFFSET(환산공식!FX$15,$F181,0)</f>
        <v>0.39</v>
      </c>
      <c r="AA181" s="179">
        <f ca="1">OFFSET(환산공식!FY$15,$F181,0)</f>
        <v>0.28000000000000003</v>
      </c>
      <c r="AC181"/>
      <c r="AD181">
        <f t="shared" ca="1" si="5"/>
        <v>6</v>
      </c>
      <c r="AE181"/>
    </row>
    <row r="182" spans="1:31" s="3" customFormat="1">
      <c r="A182" s="198"/>
      <c r="B182" s="198"/>
      <c r="C182" s="198" t="s">
        <v>1634</v>
      </c>
      <c r="D182" s="195">
        <v>1168</v>
      </c>
      <c r="E182" s="195">
        <v>45</v>
      </c>
      <c r="F182" s="195">
        <v>45</v>
      </c>
      <c r="G182" s="239">
        <v>175</v>
      </c>
      <c r="H182" s="197" t="s">
        <v>79</v>
      </c>
      <c r="I182" s="242" t="s">
        <v>83</v>
      </c>
      <c r="J182" s="242" t="s">
        <v>9616</v>
      </c>
      <c r="K182" s="195" t="s">
        <v>70</v>
      </c>
      <c r="L182" s="20" t="str">
        <f ca="1">IF(OFFSET(환산공식!$ED$15,$F182,0)=1,"O","X")</f>
        <v>X</v>
      </c>
      <c r="M182" s="188">
        <f ca="1">IFERROR(OFFSET(환산공식!DJ$15,$F182,0),"")</f>
        <v>100</v>
      </c>
      <c r="N182" s="20" t="str">
        <f ca="1">IFERROR(CONCATENATE(ROUND(OFFSET(환산공식!DK$15,$F182,0),1),"%"),"")</f>
        <v>100%</v>
      </c>
      <c r="O182" s="20">
        <f ca="1">IFERROR(OFFSET(환산공식!DL$15,$F182,0),"")</f>
        <v>0</v>
      </c>
      <c r="P182" s="188" t="str">
        <f t="shared" ca="1" si="4"/>
        <v>3% 이하</v>
      </c>
      <c r="Q182" s="194">
        <f ca="1">IFERROR(ROUND(OFFSET(환산공식!$FG$15,$F182,0),3),"")</f>
        <v>0</v>
      </c>
      <c r="R182" s="194">
        <f ca="1">OFFSET('배치점수 계산기'!H$10,$D182,0)</f>
        <v>909.44399999999996</v>
      </c>
      <c r="S182" s="194">
        <f ca="1">OFFSET('배치점수 계산기'!I$10,$D182,0)</f>
        <v>903.81700000000001</v>
      </c>
      <c r="T182" s="194">
        <f ca="1">OFFSET('배치점수 계산기'!J$10,$D182,0)</f>
        <v>897.74099999999999</v>
      </c>
      <c r="U182" s="194">
        <f ca="1">OFFSET('배치점수 계산기'!K$10,$D182,0)</f>
        <v>893.7</v>
      </c>
      <c r="V182" s="194">
        <f ca="1">OFFSET('배치점수 계산기'!L$10,$D182,0)</f>
        <v>887.72199999999998</v>
      </c>
      <c r="W182" s="186" t="str">
        <f ca="1">OFFSET('배치점수 계산기'!M$10,$D182,0)</f>
        <v>표점/만점</v>
      </c>
      <c r="X182" s="184" t="str">
        <f ca="1">OFFSET('배치점수 계산기'!N$10,$D182,0)</f>
        <v>변표/만점</v>
      </c>
      <c r="Y182" s="188">
        <f ca="1">OFFSET(환산공식!FW$15,$F182,0)</f>
        <v>0.34</v>
      </c>
      <c r="Z182" s="20">
        <f ca="1">OFFSET(환산공식!FX$15,$F182,0)</f>
        <v>0.39</v>
      </c>
      <c r="AA182" s="179">
        <f ca="1">OFFSET(환산공식!FY$15,$F182,0)</f>
        <v>0.28000000000000003</v>
      </c>
      <c r="AC182"/>
      <c r="AD182">
        <f t="shared" ca="1" si="5"/>
        <v>6</v>
      </c>
      <c r="AE182"/>
    </row>
    <row r="183" spans="1:31" s="3" customFormat="1">
      <c r="A183" s="198"/>
      <c r="B183" s="198"/>
      <c r="C183" s="198" t="s">
        <v>1635</v>
      </c>
      <c r="D183" s="195">
        <v>1169</v>
      </c>
      <c r="E183" s="195">
        <v>41</v>
      </c>
      <c r="F183" s="195">
        <v>41</v>
      </c>
      <c r="G183" s="239">
        <v>176</v>
      </c>
      <c r="H183" s="197" t="s">
        <v>79</v>
      </c>
      <c r="I183" s="242" t="s">
        <v>83</v>
      </c>
      <c r="J183" s="242" t="s">
        <v>8957</v>
      </c>
      <c r="K183" s="195" t="s">
        <v>71</v>
      </c>
      <c r="L183" s="20" t="str">
        <f ca="1">IF(OFFSET(환산공식!$ED$15,$F183,0)=1,"O","X")</f>
        <v>X</v>
      </c>
      <c r="M183" s="188">
        <f ca="1">IFERROR(OFFSET(환산공식!DJ$15,$F183,0),"")</f>
        <v>150</v>
      </c>
      <c r="N183" s="20" t="str">
        <f ca="1">IFERROR(CONCATENATE(ROUND(OFFSET(환산공식!DK$15,$F183,0),1),"%"),"")</f>
        <v>100%</v>
      </c>
      <c r="O183" s="20">
        <f ca="1">IFERROR(OFFSET(환산공식!DL$15,$F183,0),"")</f>
        <v>0</v>
      </c>
      <c r="P183" s="188" t="str">
        <f t="shared" ca="1" si="4"/>
        <v>3% 이하</v>
      </c>
      <c r="Q183" s="194">
        <f ca="1">IFERROR(ROUND(OFFSET(환산공식!$FG$15,$F183,0),3),"")</f>
        <v>0</v>
      </c>
      <c r="R183" s="194">
        <f ca="1">OFFSET('배치점수 계산기'!H$10,$D183,0)</f>
        <v>922.54300000000001</v>
      </c>
      <c r="S183" s="194">
        <f ca="1">OFFSET('배치점수 계산기'!I$10,$D183,0)</f>
        <v>919.89400000000001</v>
      </c>
      <c r="T183" s="194">
        <f ca="1">OFFSET('배치점수 계산기'!J$10,$D183,0)</f>
        <v>917.20399999999995</v>
      </c>
      <c r="U183" s="194">
        <f ca="1">OFFSET('배치점수 계산기'!K$10,$D183,0)</f>
        <v>910.95100000000002</v>
      </c>
      <c r="V183" s="194">
        <f ca="1">OFFSET('배치점수 계산기'!L$10,$D183,0)</f>
        <v>908.47699999999998</v>
      </c>
      <c r="W183" s="186" t="str">
        <f ca="1">OFFSET('배치점수 계산기'!M$10,$D183,0)</f>
        <v>표점/만점</v>
      </c>
      <c r="X183" s="184" t="str">
        <f ca="1">OFFSET('배치점수 계산기'!N$10,$D183,0)</f>
        <v>변표/만점</v>
      </c>
      <c r="Y183" s="188">
        <f ca="1">OFFSET(환산공식!FW$15,$F183,0)</f>
        <v>0.41</v>
      </c>
      <c r="Z183" s="20">
        <f ca="1">OFFSET(환산공식!FX$15,$F183,0)</f>
        <v>0.41</v>
      </c>
      <c r="AA183" s="179">
        <f ca="1">OFFSET(환산공식!FY$15,$F183,0)</f>
        <v>0.18</v>
      </c>
      <c r="AC183"/>
      <c r="AD183">
        <f t="shared" ca="1" si="5"/>
        <v>6</v>
      </c>
      <c r="AE183"/>
    </row>
    <row r="184" spans="1:31" s="3" customFormat="1">
      <c r="A184" s="198"/>
      <c r="B184" s="198"/>
      <c r="C184" s="198" t="s">
        <v>1636</v>
      </c>
      <c r="D184" s="195">
        <v>1170</v>
      </c>
      <c r="E184" s="195">
        <v>42</v>
      </c>
      <c r="F184" s="195">
        <v>42</v>
      </c>
      <c r="G184" s="239">
        <v>177</v>
      </c>
      <c r="H184" s="197" t="s">
        <v>79</v>
      </c>
      <c r="I184" s="242" t="s">
        <v>83</v>
      </c>
      <c r="J184" s="242" t="s">
        <v>9332</v>
      </c>
      <c r="K184" s="195" t="s">
        <v>71</v>
      </c>
      <c r="L184" s="20" t="str">
        <f ca="1">IF(OFFSET(환산공식!$ED$15,$F184,0)=1,"O","X")</f>
        <v>X</v>
      </c>
      <c r="M184" s="188">
        <f ca="1">IFERROR(OFFSET(환산공식!DJ$15,$F184,0),"")</f>
        <v>200</v>
      </c>
      <c r="N184" s="20" t="str">
        <f ca="1">IFERROR(CONCATENATE(ROUND(OFFSET(환산공식!DK$15,$F184,0),1),"%"),"")</f>
        <v>100%</v>
      </c>
      <c r="O184" s="20">
        <f ca="1">IFERROR(OFFSET(환산공식!DL$15,$F184,0),"")</f>
        <v>0</v>
      </c>
      <c r="P184" s="188" t="str">
        <f t="shared" ca="1" si="4"/>
        <v>3% 이하</v>
      </c>
      <c r="Q184" s="194">
        <f ca="1">IFERROR(ROUND(OFFSET(환산공식!$FG$15,$F184,0),3),"")</f>
        <v>0</v>
      </c>
      <c r="R184" s="194">
        <f ca="1">OFFSET('배치점수 계산기'!H$10,$D184,0)</f>
        <v>920.87199999999996</v>
      </c>
      <c r="S184" s="194">
        <f ca="1">OFFSET('배치점수 계산기'!I$10,$D184,0)</f>
        <v>918.55600000000004</v>
      </c>
      <c r="T184" s="194">
        <f ca="1">OFFSET('배치점수 계산기'!J$10,$D184,0)</f>
        <v>914.00900000000001</v>
      </c>
      <c r="U184" s="194">
        <f ca="1">OFFSET('배치점수 계산기'!K$10,$D184,0)</f>
        <v>910.35500000000002</v>
      </c>
      <c r="V184" s="194">
        <f ca="1">OFFSET('배치점수 계산기'!L$10,$D184,0)</f>
        <v>901.697</v>
      </c>
      <c r="W184" s="186" t="str">
        <f ca="1">OFFSET('배치점수 계산기'!M$10,$D184,0)</f>
        <v>표점/만점</v>
      </c>
      <c r="X184" s="184" t="str">
        <f ca="1">OFFSET('배치점수 계산기'!N$10,$D184,0)</f>
        <v>변표/만점</v>
      </c>
      <c r="Y184" s="188">
        <f ca="1">OFFSET(환산공식!FW$15,$F184,0)</f>
        <v>0.44</v>
      </c>
      <c r="Z184" s="20">
        <f ca="1">OFFSET(환산공식!FX$15,$F184,0)</f>
        <v>0.31</v>
      </c>
      <c r="AA184" s="179">
        <f ca="1">OFFSET(환산공식!FY$15,$F184,0)</f>
        <v>0.25</v>
      </c>
      <c r="AC184"/>
      <c r="AD184">
        <f t="shared" ca="1" si="5"/>
        <v>6</v>
      </c>
      <c r="AE184"/>
    </row>
    <row r="185" spans="1:31" s="3" customFormat="1">
      <c r="A185" s="198"/>
      <c r="B185" s="198"/>
      <c r="C185" s="198" t="s">
        <v>1637</v>
      </c>
      <c r="D185" s="195">
        <v>1171</v>
      </c>
      <c r="E185" s="195">
        <v>41</v>
      </c>
      <c r="F185" s="195">
        <v>41</v>
      </c>
      <c r="G185" s="239">
        <v>178</v>
      </c>
      <c r="H185" s="197" t="s">
        <v>79</v>
      </c>
      <c r="I185" s="242" t="s">
        <v>83</v>
      </c>
      <c r="J185" s="242" t="s">
        <v>489</v>
      </c>
      <c r="K185" s="195" t="s">
        <v>71</v>
      </c>
      <c r="L185" s="20" t="str">
        <f ca="1">IF(OFFSET(환산공식!$ED$15,$F185,0)=1,"O","X")</f>
        <v>X</v>
      </c>
      <c r="M185" s="188">
        <f ca="1">IFERROR(OFFSET(환산공식!DJ$15,$F185,0),"")</f>
        <v>150</v>
      </c>
      <c r="N185" s="20" t="str">
        <f ca="1">IFERROR(CONCATENATE(ROUND(OFFSET(환산공식!DK$15,$F185,0),1),"%"),"")</f>
        <v>100%</v>
      </c>
      <c r="O185" s="20">
        <f ca="1">IFERROR(OFFSET(환산공식!DL$15,$F185,0),"")</f>
        <v>0</v>
      </c>
      <c r="P185" s="188" t="str">
        <f t="shared" ca="1" si="4"/>
        <v>3% 이하</v>
      </c>
      <c r="Q185" s="194">
        <f ca="1">IFERROR(ROUND(OFFSET(환산공식!$FG$15,$F185,0),3),"")</f>
        <v>0</v>
      </c>
      <c r="R185" s="194">
        <f ca="1">OFFSET('배치점수 계산기'!H$10,$D185,0)</f>
        <v>916.39099999999996</v>
      </c>
      <c r="S185" s="194">
        <f ca="1">OFFSET('배치점수 계산기'!I$10,$D185,0)</f>
        <v>913.02800000000002</v>
      </c>
      <c r="T185" s="194">
        <f ca="1">OFFSET('배치점수 계산기'!J$10,$D185,0)</f>
        <v>909.20500000000004</v>
      </c>
      <c r="U185" s="194">
        <f ca="1">OFFSET('배치점수 계산기'!K$10,$D185,0)</f>
        <v>904.14499999999998</v>
      </c>
      <c r="V185" s="194">
        <f ca="1">OFFSET('배치점수 계산기'!L$10,$D185,0)</f>
        <v>900.83</v>
      </c>
      <c r="W185" s="186" t="str">
        <f ca="1">OFFSET('배치점수 계산기'!M$10,$D185,0)</f>
        <v>표점/만점</v>
      </c>
      <c r="X185" s="184" t="str">
        <f ca="1">OFFSET('배치점수 계산기'!N$10,$D185,0)</f>
        <v>변표/만점</v>
      </c>
      <c r="Y185" s="188">
        <f ca="1">OFFSET(환산공식!FW$15,$F185,0)</f>
        <v>0.41</v>
      </c>
      <c r="Z185" s="20">
        <f ca="1">OFFSET(환산공식!FX$15,$F185,0)</f>
        <v>0.41</v>
      </c>
      <c r="AA185" s="179">
        <f ca="1">OFFSET(환산공식!FY$15,$F185,0)</f>
        <v>0.18</v>
      </c>
      <c r="AC185"/>
      <c r="AD185">
        <f t="shared" ca="1" si="5"/>
        <v>6</v>
      </c>
      <c r="AE185"/>
    </row>
    <row r="186" spans="1:31" s="3" customFormat="1">
      <c r="A186" s="198"/>
      <c r="B186" s="198"/>
      <c r="C186" s="198" t="s">
        <v>1638</v>
      </c>
      <c r="D186" s="195">
        <v>1172</v>
      </c>
      <c r="E186" s="195">
        <v>42</v>
      </c>
      <c r="F186" s="195">
        <v>42</v>
      </c>
      <c r="G186" s="239">
        <v>179</v>
      </c>
      <c r="H186" s="197" t="s">
        <v>79</v>
      </c>
      <c r="I186" s="242" t="s">
        <v>83</v>
      </c>
      <c r="J186" s="242" t="s">
        <v>9430</v>
      </c>
      <c r="K186" s="195" t="s">
        <v>71</v>
      </c>
      <c r="L186" s="20" t="str">
        <f ca="1">IF(OFFSET(환산공식!$ED$15,$F186,0)=1,"O","X")</f>
        <v>X</v>
      </c>
      <c r="M186" s="188">
        <f ca="1">IFERROR(OFFSET(환산공식!DJ$15,$F186,0),"")</f>
        <v>200</v>
      </c>
      <c r="N186" s="20" t="str">
        <f ca="1">IFERROR(CONCATENATE(ROUND(OFFSET(환산공식!DK$15,$F186,0),1),"%"),"")</f>
        <v>100%</v>
      </c>
      <c r="O186" s="20">
        <f ca="1">IFERROR(OFFSET(환산공식!DL$15,$F186,0),"")</f>
        <v>0</v>
      </c>
      <c r="P186" s="188" t="str">
        <f t="shared" ca="1" si="4"/>
        <v>3% 이하</v>
      </c>
      <c r="Q186" s="194">
        <f ca="1">IFERROR(ROUND(OFFSET(환산공식!$FG$15,$F186,0),3),"")</f>
        <v>0</v>
      </c>
      <c r="R186" s="194">
        <f ca="1">OFFSET('배치점수 계산기'!H$10,$D186,0)</f>
        <v>916.42700000000002</v>
      </c>
      <c r="S186" s="194">
        <f ca="1">OFFSET('배치점수 계산기'!I$10,$D186,0)</f>
        <v>915.19600000000003</v>
      </c>
      <c r="T186" s="194">
        <f ca="1">OFFSET('배치점수 계산기'!J$10,$D186,0)</f>
        <v>912.62199999999996</v>
      </c>
      <c r="U186" s="194">
        <f ca="1">OFFSET('배치점수 계산기'!K$10,$D186,0)</f>
        <v>907.47500000000002</v>
      </c>
      <c r="V186" s="194">
        <f ca="1">OFFSET('배치점수 계산기'!L$10,$D186,0)</f>
        <v>902.80899999999997</v>
      </c>
      <c r="W186" s="186" t="str">
        <f ca="1">OFFSET('배치점수 계산기'!M$10,$D186,0)</f>
        <v>표점/만점</v>
      </c>
      <c r="X186" s="184" t="str">
        <f ca="1">OFFSET('배치점수 계산기'!N$10,$D186,0)</f>
        <v>변표/만점</v>
      </c>
      <c r="Y186" s="188">
        <f ca="1">OFFSET(환산공식!FW$15,$F186,0)</f>
        <v>0.44</v>
      </c>
      <c r="Z186" s="20">
        <f ca="1">OFFSET(환산공식!FX$15,$F186,0)</f>
        <v>0.31</v>
      </c>
      <c r="AA186" s="179">
        <f ca="1">OFFSET(환산공식!FY$15,$F186,0)</f>
        <v>0.25</v>
      </c>
      <c r="AC186"/>
      <c r="AD186">
        <f t="shared" ca="1" si="5"/>
        <v>6</v>
      </c>
      <c r="AE186"/>
    </row>
    <row r="187" spans="1:31" s="3" customFormat="1">
      <c r="A187" s="198"/>
      <c r="B187" s="198"/>
      <c r="C187" s="198" t="s">
        <v>1639</v>
      </c>
      <c r="D187" s="195">
        <v>1173</v>
      </c>
      <c r="E187" s="195">
        <v>41</v>
      </c>
      <c r="F187" s="195">
        <v>41</v>
      </c>
      <c r="G187" s="239">
        <v>180</v>
      </c>
      <c r="H187" s="197" t="s">
        <v>79</v>
      </c>
      <c r="I187" s="242" t="s">
        <v>83</v>
      </c>
      <c r="J187" s="242" t="s">
        <v>491</v>
      </c>
      <c r="K187" s="195" t="s">
        <v>71</v>
      </c>
      <c r="L187" s="20" t="str">
        <f ca="1">IF(OFFSET(환산공식!$ED$15,$F187,0)=1,"O","X")</f>
        <v>X</v>
      </c>
      <c r="M187" s="188">
        <f ca="1">IFERROR(OFFSET(환산공식!DJ$15,$F187,0),"")</f>
        <v>150</v>
      </c>
      <c r="N187" s="20" t="str">
        <f ca="1">IFERROR(CONCATENATE(ROUND(OFFSET(환산공식!DK$15,$F187,0),1),"%"),"")</f>
        <v>100%</v>
      </c>
      <c r="O187" s="20">
        <f ca="1">IFERROR(OFFSET(환산공식!DL$15,$F187,0),"")</f>
        <v>0</v>
      </c>
      <c r="P187" s="188" t="str">
        <f t="shared" ca="1" si="4"/>
        <v>3% 이하</v>
      </c>
      <c r="Q187" s="194">
        <f ca="1">IFERROR(ROUND(OFFSET(환산공식!$FG$15,$F187,0),3),"")</f>
        <v>0</v>
      </c>
      <c r="R187" s="194">
        <f ca="1">OFFSET('배치점수 계산기'!H$10,$D187,0)</f>
        <v>916.14</v>
      </c>
      <c r="S187" s="194">
        <f ca="1">OFFSET('배치점수 계산기'!I$10,$D187,0)</f>
        <v>913.12800000000004</v>
      </c>
      <c r="T187" s="194">
        <f ca="1">OFFSET('배치점수 계산기'!J$10,$D187,0)</f>
        <v>908.95299999999997</v>
      </c>
      <c r="U187" s="194">
        <f ca="1">OFFSET('배치점수 계산기'!K$10,$D187,0)</f>
        <v>903.98</v>
      </c>
      <c r="V187" s="194">
        <f ca="1">OFFSET('배치점수 계산기'!L$10,$D187,0)</f>
        <v>900.35799999999995</v>
      </c>
      <c r="W187" s="186" t="str">
        <f ca="1">OFFSET('배치점수 계산기'!M$10,$D187,0)</f>
        <v>표점/만점</v>
      </c>
      <c r="X187" s="184" t="str">
        <f ca="1">OFFSET('배치점수 계산기'!N$10,$D187,0)</f>
        <v>변표/만점</v>
      </c>
      <c r="Y187" s="188">
        <f ca="1">OFFSET(환산공식!FW$15,$F187,0)</f>
        <v>0.41</v>
      </c>
      <c r="Z187" s="20">
        <f ca="1">OFFSET(환산공식!FX$15,$F187,0)</f>
        <v>0.41</v>
      </c>
      <c r="AA187" s="179">
        <f ca="1">OFFSET(환산공식!FY$15,$F187,0)</f>
        <v>0.18</v>
      </c>
      <c r="AC187"/>
      <c r="AD187">
        <f t="shared" ca="1" si="5"/>
        <v>6</v>
      </c>
      <c r="AE187"/>
    </row>
    <row r="188" spans="1:31" s="3" customFormat="1">
      <c r="A188" s="198"/>
      <c r="B188" s="198"/>
      <c r="C188" s="198" t="s">
        <v>1640</v>
      </c>
      <c r="D188" s="195">
        <v>1174</v>
      </c>
      <c r="E188" s="195">
        <v>42</v>
      </c>
      <c r="F188" s="195">
        <v>42</v>
      </c>
      <c r="G188" s="239">
        <v>181</v>
      </c>
      <c r="H188" s="197" t="s">
        <v>79</v>
      </c>
      <c r="I188" s="242" t="s">
        <v>83</v>
      </c>
      <c r="J188" s="242" t="s">
        <v>8726</v>
      </c>
      <c r="K188" s="195" t="s">
        <v>71</v>
      </c>
      <c r="L188" s="20" t="str">
        <f ca="1">IF(OFFSET(환산공식!$ED$15,$F188,0)=1,"O","X")</f>
        <v>X</v>
      </c>
      <c r="M188" s="188">
        <f ca="1">IFERROR(OFFSET(환산공식!DJ$15,$F188,0),"")</f>
        <v>200</v>
      </c>
      <c r="N188" s="20" t="str">
        <f ca="1">IFERROR(CONCATENATE(ROUND(OFFSET(환산공식!DK$15,$F188,0),1),"%"),"")</f>
        <v>100%</v>
      </c>
      <c r="O188" s="20">
        <f ca="1">IFERROR(OFFSET(환산공식!DL$15,$F188,0),"")</f>
        <v>0</v>
      </c>
      <c r="P188" s="188" t="str">
        <f t="shared" ca="1" si="4"/>
        <v>3% 이하</v>
      </c>
      <c r="Q188" s="194">
        <f ca="1">IFERROR(ROUND(OFFSET(환산공식!$FG$15,$F188,0),3),"")</f>
        <v>0</v>
      </c>
      <c r="R188" s="194">
        <f ca="1">OFFSET('배치점수 계산기'!H$10,$D188,0)</f>
        <v>918.87699999999995</v>
      </c>
      <c r="S188" s="194">
        <f ca="1">OFFSET('배치점수 계산기'!I$10,$D188,0)</f>
        <v>915.58399999999995</v>
      </c>
      <c r="T188" s="194">
        <f ca="1">OFFSET('배치점수 계산기'!J$10,$D188,0)</f>
        <v>911.79200000000003</v>
      </c>
      <c r="U188" s="194">
        <f ca="1">OFFSET('배치점수 계산기'!K$10,$D188,0)</f>
        <v>905.798</v>
      </c>
      <c r="V188" s="194">
        <f ca="1">OFFSET('배치점수 계산기'!L$10,$D188,0)</f>
        <v>897.79700000000003</v>
      </c>
      <c r="W188" s="186" t="str">
        <f ca="1">OFFSET('배치점수 계산기'!M$10,$D188,0)</f>
        <v>표점/만점</v>
      </c>
      <c r="X188" s="184" t="str">
        <f ca="1">OFFSET('배치점수 계산기'!N$10,$D188,0)</f>
        <v>변표/만점</v>
      </c>
      <c r="Y188" s="188">
        <f ca="1">OFFSET(환산공식!FW$15,$F188,0)</f>
        <v>0.44</v>
      </c>
      <c r="Z188" s="20">
        <f ca="1">OFFSET(환산공식!FX$15,$F188,0)</f>
        <v>0.31</v>
      </c>
      <c r="AA188" s="179">
        <f ca="1">OFFSET(환산공식!FY$15,$F188,0)</f>
        <v>0.25</v>
      </c>
      <c r="AC188"/>
      <c r="AD188">
        <f t="shared" ca="1" si="5"/>
        <v>6</v>
      </c>
      <c r="AE188"/>
    </row>
    <row r="189" spans="1:31" s="3" customFormat="1">
      <c r="A189" s="198"/>
      <c r="B189" s="198"/>
      <c r="C189" s="198" t="s">
        <v>1641</v>
      </c>
      <c r="D189" s="195">
        <v>1175</v>
      </c>
      <c r="E189" s="195">
        <v>42</v>
      </c>
      <c r="F189" s="195">
        <v>42</v>
      </c>
      <c r="G189" s="239">
        <v>182</v>
      </c>
      <c r="H189" s="197" t="s">
        <v>79</v>
      </c>
      <c r="I189" s="242" t="s">
        <v>83</v>
      </c>
      <c r="J189" s="242" t="s">
        <v>8883</v>
      </c>
      <c r="K189" s="195" t="s">
        <v>71</v>
      </c>
      <c r="L189" s="20" t="str">
        <f ca="1">IF(OFFSET(환산공식!$ED$15,$F189,0)=1,"O","X")</f>
        <v>X</v>
      </c>
      <c r="M189" s="188">
        <f ca="1">IFERROR(OFFSET(환산공식!DJ$15,$F189,0),"")</f>
        <v>200</v>
      </c>
      <c r="N189" s="20" t="str">
        <f ca="1">IFERROR(CONCATENATE(ROUND(OFFSET(환산공식!DK$15,$F189,0),1),"%"),"")</f>
        <v>100%</v>
      </c>
      <c r="O189" s="20">
        <f ca="1">IFERROR(OFFSET(환산공식!DL$15,$F189,0),"")</f>
        <v>0</v>
      </c>
      <c r="P189" s="188" t="str">
        <f t="shared" ca="1" si="4"/>
        <v>3% 이하</v>
      </c>
      <c r="Q189" s="194">
        <f ca="1">IFERROR(ROUND(OFFSET(환산공식!$FG$15,$F189,0),3),"")</f>
        <v>0</v>
      </c>
      <c r="R189" s="194">
        <f ca="1">OFFSET('배치점수 계산기'!H$10,$D189,0)</f>
        <v>920.87199999999996</v>
      </c>
      <c r="S189" s="194">
        <f ca="1">OFFSET('배치점수 계산기'!I$10,$D189,0)</f>
        <v>916.42700000000002</v>
      </c>
      <c r="T189" s="194">
        <f ca="1">OFFSET('배치점수 계산기'!J$10,$D189,0)</f>
        <v>911.15200000000004</v>
      </c>
      <c r="U189" s="194">
        <f ca="1">OFFSET('배치점수 계산기'!K$10,$D189,0)</f>
        <v>907.47500000000002</v>
      </c>
      <c r="V189" s="194">
        <f ca="1">OFFSET('배치점수 계산기'!L$10,$D189,0)</f>
        <v>902.80899999999997</v>
      </c>
      <c r="W189" s="186" t="str">
        <f ca="1">OFFSET('배치점수 계산기'!M$10,$D189,0)</f>
        <v>표점/만점</v>
      </c>
      <c r="X189" s="184" t="str">
        <f ca="1">OFFSET('배치점수 계산기'!N$10,$D189,0)</f>
        <v>변표/만점</v>
      </c>
      <c r="Y189" s="188">
        <f ca="1">OFFSET(환산공식!FW$15,$F189,0)</f>
        <v>0.44</v>
      </c>
      <c r="Z189" s="20">
        <f ca="1">OFFSET(환산공식!FX$15,$F189,0)</f>
        <v>0.31</v>
      </c>
      <c r="AA189" s="179">
        <f ca="1">OFFSET(환산공식!FY$15,$F189,0)</f>
        <v>0.25</v>
      </c>
      <c r="AC189"/>
      <c r="AD189">
        <f t="shared" ca="1" si="5"/>
        <v>6</v>
      </c>
      <c r="AE189"/>
    </row>
    <row r="190" spans="1:31" s="3" customFormat="1">
      <c r="A190" s="198"/>
      <c r="B190" s="198"/>
      <c r="C190" s="198" t="s">
        <v>1642</v>
      </c>
      <c r="D190" s="195">
        <v>1176</v>
      </c>
      <c r="E190" s="195">
        <v>42</v>
      </c>
      <c r="F190" s="195">
        <v>42</v>
      </c>
      <c r="G190" s="239">
        <v>183</v>
      </c>
      <c r="H190" s="197" t="s">
        <v>79</v>
      </c>
      <c r="I190" s="242" t="s">
        <v>83</v>
      </c>
      <c r="J190" s="242" t="s">
        <v>8654</v>
      </c>
      <c r="K190" s="195" t="s">
        <v>71</v>
      </c>
      <c r="L190" s="20" t="str">
        <f ca="1">IF(OFFSET(환산공식!$ED$15,$F190,0)=1,"O","X")</f>
        <v>X</v>
      </c>
      <c r="M190" s="188">
        <f ca="1">IFERROR(OFFSET(환산공식!DJ$15,$F190,0),"")</f>
        <v>200</v>
      </c>
      <c r="N190" s="20" t="str">
        <f ca="1">IFERROR(CONCATENATE(ROUND(OFFSET(환산공식!DK$15,$F190,0),1),"%"),"")</f>
        <v>100%</v>
      </c>
      <c r="O190" s="20">
        <f ca="1">IFERROR(OFFSET(환산공식!DL$15,$F190,0),"")</f>
        <v>0</v>
      </c>
      <c r="P190" s="188" t="str">
        <f t="shared" ca="1" si="4"/>
        <v>3% 이하</v>
      </c>
      <c r="Q190" s="194">
        <f ca="1">IFERROR(ROUND(OFFSET(환산공식!$FG$15,$F190,0),3),"")</f>
        <v>0</v>
      </c>
      <c r="R190" s="194">
        <f ca="1">OFFSET('배치점수 계산기'!H$10,$D190,0)</f>
        <v>920.67499999999995</v>
      </c>
      <c r="S190" s="194">
        <f ca="1">OFFSET('배치점수 계산기'!I$10,$D190,0)</f>
        <v>916.404</v>
      </c>
      <c r="T190" s="194">
        <f ca="1">OFFSET('배치점수 계산기'!J$10,$D190,0)</f>
        <v>910.87400000000002</v>
      </c>
      <c r="U190" s="194">
        <f ca="1">OFFSET('배치점수 계산기'!K$10,$D190,0)</f>
        <v>907.33399999999995</v>
      </c>
      <c r="V190" s="194">
        <f ca="1">OFFSET('배치점수 계산기'!L$10,$D190,0)</f>
        <v>902.66800000000001</v>
      </c>
      <c r="W190" s="186" t="str">
        <f ca="1">OFFSET('배치점수 계산기'!M$10,$D190,0)</f>
        <v>표점/만점</v>
      </c>
      <c r="X190" s="184" t="str">
        <f ca="1">OFFSET('배치점수 계산기'!N$10,$D190,0)</f>
        <v>변표/만점</v>
      </c>
      <c r="Y190" s="188">
        <f ca="1">OFFSET(환산공식!FW$15,$F190,0)</f>
        <v>0.44</v>
      </c>
      <c r="Z190" s="20">
        <f ca="1">OFFSET(환산공식!FX$15,$F190,0)</f>
        <v>0.31</v>
      </c>
      <c r="AA190" s="179">
        <f ca="1">OFFSET(환산공식!FY$15,$F190,0)</f>
        <v>0.25</v>
      </c>
      <c r="AC190"/>
      <c r="AD190">
        <f t="shared" ca="1" si="5"/>
        <v>6</v>
      </c>
      <c r="AE190"/>
    </row>
    <row r="191" spans="1:31" s="3" customFormat="1">
      <c r="A191" s="198"/>
      <c r="B191" s="198"/>
      <c r="C191" s="198" t="s">
        <v>1643</v>
      </c>
      <c r="D191" s="195">
        <v>1177</v>
      </c>
      <c r="E191" s="195">
        <v>42</v>
      </c>
      <c r="F191" s="195">
        <v>42</v>
      </c>
      <c r="G191" s="239">
        <v>184</v>
      </c>
      <c r="H191" s="197" t="s">
        <v>79</v>
      </c>
      <c r="I191" s="242" t="s">
        <v>83</v>
      </c>
      <c r="J191" s="242" t="s">
        <v>8618</v>
      </c>
      <c r="K191" s="195" t="s">
        <v>71</v>
      </c>
      <c r="L191" s="20" t="str">
        <f ca="1">IF(OFFSET(환산공식!$ED$15,$F191,0)=1,"O","X")</f>
        <v>X</v>
      </c>
      <c r="M191" s="188">
        <f ca="1">IFERROR(OFFSET(환산공식!DJ$15,$F191,0),"")</f>
        <v>200</v>
      </c>
      <c r="N191" s="20" t="str">
        <f ca="1">IFERROR(CONCATENATE(ROUND(OFFSET(환산공식!DK$15,$F191,0),1),"%"),"")</f>
        <v>100%</v>
      </c>
      <c r="O191" s="20">
        <f ca="1">IFERROR(OFFSET(환산공식!DL$15,$F191,0),"")</f>
        <v>0</v>
      </c>
      <c r="P191" s="188" t="str">
        <f t="shared" ca="1" si="4"/>
        <v>3% 이하</v>
      </c>
      <c r="Q191" s="194">
        <f ca="1">IFERROR(ROUND(OFFSET(환산공식!$FG$15,$F191,0),3),"")</f>
        <v>0</v>
      </c>
      <c r="R191" s="194">
        <f ca="1">OFFSET('배치점수 계산기'!H$10,$D191,0)</f>
        <v>920.67499999999995</v>
      </c>
      <c r="S191" s="194">
        <f ca="1">OFFSET('배치점수 계산기'!I$10,$D191,0)</f>
        <v>916.404</v>
      </c>
      <c r="T191" s="194">
        <f ca="1">OFFSET('배치점수 계산기'!J$10,$D191,0)</f>
        <v>910.87400000000002</v>
      </c>
      <c r="U191" s="194">
        <f ca="1">OFFSET('배치점수 계산기'!K$10,$D191,0)</f>
        <v>907.33399999999995</v>
      </c>
      <c r="V191" s="194">
        <f ca="1">OFFSET('배치점수 계산기'!L$10,$D191,0)</f>
        <v>902.66800000000001</v>
      </c>
      <c r="W191" s="186" t="str">
        <f ca="1">OFFSET('배치점수 계산기'!M$10,$D191,0)</f>
        <v>표점/만점</v>
      </c>
      <c r="X191" s="184" t="str">
        <f ca="1">OFFSET('배치점수 계산기'!N$10,$D191,0)</f>
        <v>변표/만점</v>
      </c>
      <c r="Y191" s="188">
        <f ca="1">OFFSET(환산공식!FW$15,$F191,0)</f>
        <v>0.44</v>
      </c>
      <c r="Z191" s="20">
        <f ca="1">OFFSET(환산공식!FX$15,$F191,0)</f>
        <v>0.31</v>
      </c>
      <c r="AA191" s="179">
        <f ca="1">OFFSET(환산공식!FY$15,$F191,0)</f>
        <v>0.25</v>
      </c>
      <c r="AC191"/>
      <c r="AD191">
        <f t="shared" ca="1" si="5"/>
        <v>6</v>
      </c>
      <c r="AE191"/>
    </row>
    <row r="192" spans="1:31" s="3" customFormat="1">
      <c r="A192" s="198"/>
      <c r="B192" s="198"/>
      <c r="C192" s="198" t="s">
        <v>1644</v>
      </c>
      <c r="D192" s="195">
        <v>1178</v>
      </c>
      <c r="E192" s="195">
        <v>42</v>
      </c>
      <c r="F192" s="195">
        <v>42</v>
      </c>
      <c r="G192" s="239">
        <v>185</v>
      </c>
      <c r="H192" s="197" t="s">
        <v>79</v>
      </c>
      <c r="I192" s="242" t="s">
        <v>83</v>
      </c>
      <c r="J192" s="242" t="s">
        <v>9479</v>
      </c>
      <c r="K192" s="195" t="s">
        <v>71</v>
      </c>
      <c r="L192" s="20" t="str">
        <f ca="1">IF(OFFSET(환산공식!$ED$15,$F192,0)=1,"O","X")</f>
        <v>X</v>
      </c>
      <c r="M192" s="188">
        <f ca="1">IFERROR(OFFSET(환산공식!DJ$15,$F192,0),"")</f>
        <v>200</v>
      </c>
      <c r="N192" s="20" t="str">
        <f ca="1">IFERROR(CONCATENATE(ROUND(OFFSET(환산공식!DK$15,$F192,0),1),"%"),"")</f>
        <v>100%</v>
      </c>
      <c r="O192" s="20">
        <f ca="1">IFERROR(OFFSET(환산공식!DL$15,$F192,0),"")</f>
        <v>0</v>
      </c>
      <c r="P192" s="188" t="str">
        <f t="shared" ca="1" si="4"/>
        <v>3% 이하</v>
      </c>
      <c r="Q192" s="194">
        <f ca="1">IFERROR(ROUND(OFFSET(환산공식!$FG$15,$F192,0),3),"")</f>
        <v>0</v>
      </c>
      <c r="R192" s="194">
        <f ca="1">OFFSET('배치점수 계산기'!H$10,$D192,0)</f>
        <v>920.29600000000005</v>
      </c>
      <c r="S192" s="194">
        <f ca="1">OFFSET('배치점수 계산기'!I$10,$D192,0)</f>
        <v>915.96299999999997</v>
      </c>
      <c r="T192" s="194">
        <f ca="1">OFFSET('배치점수 계산기'!J$10,$D192,0)</f>
        <v>910.87400000000002</v>
      </c>
      <c r="U192" s="194">
        <f ca="1">OFFSET('배치점수 계산기'!K$10,$D192,0)</f>
        <v>907.05700000000002</v>
      </c>
      <c r="V192" s="194">
        <f ca="1">OFFSET('배치점수 계산기'!L$10,$D192,0)</f>
        <v>902.08900000000006</v>
      </c>
      <c r="W192" s="186" t="str">
        <f ca="1">OFFSET('배치점수 계산기'!M$10,$D192,0)</f>
        <v>표점/만점</v>
      </c>
      <c r="X192" s="184" t="str">
        <f ca="1">OFFSET('배치점수 계산기'!N$10,$D192,0)</f>
        <v>변표/만점</v>
      </c>
      <c r="Y192" s="188">
        <f ca="1">OFFSET(환산공식!FW$15,$F192,0)</f>
        <v>0.44</v>
      </c>
      <c r="Z192" s="20">
        <f ca="1">OFFSET(환산공식!FX$15,$F192,0)</f>
        <v>0.31</v>
      </c>
      <c r="AA192" s="179">
        <f ca="1">OFFSET(환산공식!FY$15,$F192,0)</f>
        <v>0.25</v>
      </c>
      <c r="AC192"/>
      <c r="AD192">
        <f t="shared" ca="1" si="5"/>
        <v>6</v>
      </c>
      <c r="AE192"/>
    </row>
    <row r="193" spans="1:31" s="3" customFormat="1">
      <c r="A193" s="198"/>
      <c r="B193" s="198"/>
      <c r="C193" s="198" t="s">
        <v>1645</v>
      </c>
      <c r="D193" s="195">
        <v>1179</v>
      </c>
      <c r="E193" s="195">
        <v>42</v>
      </c>
      <c r="F193" s="195">
        <v>42</v>
      </c>
      <c r="G193" s="239">
        <v>186</v>
      </c>
      <c r="H193" s="197" t="s">
        <v>79</v>
      </c>
      <c r="I193" s="242" t="s">
        <v>83</v>
      </c>
      <c r="J193" s="242" t="s">
        <v>9511</v>
      </c>
      <c r="K193" s="195" t="s">
        <v>71</v>
      </c>
      <c r="L193" s="20" t="str">
        <f ca="1">IF(OFFSET(환산공식!$ED$15,$F193,0)=1,"O","X")</f>
        <v>X</v>
      </c>
      <c r="M193" s="188">
        <f ca="1">IFERROR(OFFSET(환산공식!DJ$15,$F193,0),"")</f>
        <v>200</v>
      </c>
      <c r="N193" s="20" t="str">
        <f ca="1">IFERROR(CONCATENATE(ROUND(OFFSET(환산공식!DK$15,$F193,0),1),"%"),"")</f>
        <v>100%</v>
      </c>
      <c r="O193" s="20">
        <f ca="1">IFERROR(OFFSET(환산공식!DL$15,$F193,0),"")</f>
        <v>0</v>
      </c>
      <c r="P193" s="188" t="str">
        <f t="shared" ca="1" si="4"/>
        <v>3% 이하</v>
      </c>
      <c r="Q193" s="194">
        <f ca="1">IFERROR(ROUND(OFFSET(환산공식!$FG$15,$F193,0),3),"")</f>
        <v>0</v>
      </c>
      <c r="R193" s="194">
        <f ca="1">OFFSET('배치점수 계산기'!H$10,$D193,0)</f>
        <v>920.29600000000005</v>
      </c>
      <c r="S193" s="194">
        <f ca="1">OFFSET('배치점수 계산기'!I$10,$D193,0)</f>
        <v>915.96299999999997</v>
      </c>
      <c r="T193" s="194">
        <f ca="1">OFFSET('배치점수 계산기'!J$10,$D193,0)</f>
        <v>910.87400000000002</v>
      </c>
      <c r="U193" s="194">
        <f ca="1">OFFSET('배치점수 계산기'!K$10,$D193,0)</f>
        <v>907.05700000000002</v>
      </c>
      <c r="V193" s="194">
        <f ca="1">OFFSET('배치점수 계산기'!L$10,$D193,0)</f>
        <v>902.08900000000006</v>
      </c>
      <c r="W193" s="186" t="str">
        <f ca="1">OFFSET('배치점수 계산기'!M$10,$D193,0)</f>
        <v>표점/만점</v>
      </c>
      <c r="X193" s="184" t="str">
        <f ca="1">OFFSET('배치점수 계산기'!N$10,$D193,0)</f>
        <v>변표/만점</v>
      </c>
      <c r="Y193" s="188">
        <f ca="1">OFFSET(환산공식!FW$15,$F193,0)</f>
        <v>0.44</v>
      </c>
      <c r="Z193" s="20">
        <f ca="1">OFFSET(환산공식!FX$15,$F193,0)</f>
        <v>0.31</v>
      </c>
      <c r="AA193" s="179">
        <f ca="1">OFFSET(환산공식!FY$15,$F193,0)</f>
        <v>0.25</v>
      </c>
      <c r="AC193"/>
      <c r="AD193">
        <f t="shared" ca="1" si="5"/>
        <v>6</v>
      </c>
      <c r="AE193"/>
    </row>
    <row r="194" spans="1:31" s="3" customFormat="1">
      <c r="A194" s="198"/>
      <c r="B194" s="198"/>
      <c r="C194" s="198" t="s">
        <v>1646</v>
      </c>
      <c r="D194" s="195">
        <v>1180</v>
      </c>
      <c r="E194" s="195">
        <v>41</v>
      </c>
      <c r="F194" s="195">
        <v>41</v>
      </c>
      <c r="G194" s="239">
        <v>187</v>
      </c>
      <c r="H194" s="197" t="s">
        <v>79</v>
      </c>
      <c r="I194" s="242" t="s">
        <v>83</v>
      </c>
      <c r="J194" s="242" t="s">
        <v>499</v>
      </c>
      <c r="K194" s="195" t="s">
        <v>71</v>
      </c>
      <c r="L194" s="20" t="str">
        <f ca="1">IF(OFFSET(환산공식!$ED$15,$F194,0)=1,"O","X")</f>
        <v>X</v>
      </c>
      <c r="M194" s="188">
        <f ca="1">IFERROR(OFFSET(환산공식!DJ$15,$F194,0),"")</f>
        <v>150</v>
      </c>
      <c r="N194" s="20" t="str">
        <f ca="1">IFERROR(CONCATENATE(ROUND(OFFSET(환산공식!DK$15,$F194,0),1),"%"),"")</f>
        <v>100%</v>
      </c>
      <c r="O194" s="20">
        <f ca="1">IFERROR(OFFSET(환산공식!DL$15,$F194,0),"")</f>
        <v>0</v>
      </c>
      <c r="P194" s="188" t="str">
        <f t="shared" ca="1" si="4"/>
        <v>3% 이하</v>
      </c>
      <c r="Q194" s="194">
        <f ca="1">IFERROR(ROUND(OFFSET(환산공식!$FG$15,$F194,0),3),"")</f>
        <v>0</v>
      </c>
      <c r="R194" s="194">
        <f ca="1">OFFSET('배치점수 계산기'!H$10,$D194,0)</f>
        <v>904.14499999999998</v>
      </c>
      <c r="S194" s="194">
        <f ca="1">OFFSET('배치점수 계산기'!I$10,$D194,0)</f>
        <v>900.83</v>
      </c>
      <c r="T194" s="194">
        <f ca="1">OFFSET('배치점수 계산기'!J$10,$D194,0)</f>
        <v>894.99800000000005</v>
      </c>
      <c r="U194" s="194">
        <f ca="1">OFFSET('배치점수 계산기'!K$10,$D194,0)</f>
        <v>890.98099999999999</v>
      </c>
      <c r="V194" s="194">
        <f ca="1">OFFSET('배치점수 계산기'!L$10,$D194,0)</f>
        <v>884.78200000000004</v>
      </c>
      <c r="W194" s="186" t="str">
        <f ca="1">OFFSET('배치점수 계산기'!M$10,$D194,0)</f>
        <v>표점/만점</v>
      </c>
      <c r="X194" s="184" t="str">
        <f ca="1">OFFSET('배치점수 계산기'!N$10,$D194,0)</f>
        <v>변표/만점</v>
      </c>
      <c r="Y194" s="188">
        <f ca="1">OFFSET(환산공식!FW$15,$F194,0)</f>
        <v>0.41</v>
      </c>
      <c r="Z194" s="20">
        <f ca="1">OFFSET(환산공식!FX$15,$F194,0)</f>
        <v>0.41</v>
      </c>
      <c r="AA194" s="179">
        <f ca="1">OFFSET(환산공식!FY$15,$F194,0)</f>
        <v>0.18</v>
      </c>
      <c r="AC194"/>
      <c r="AD194">
        <f t="shared" ca="1" si="5"/>
        <v>6</v>
      </c>
      <c r="AE194"/>
    </row>
    <row r="195" spans="1:31" s="3" customFormat="1">
      <c r="A195" s="198"/>
      <c r="B195" s="198"/>
      <c r="C195" s="198" t="s">
        <v>1647</v>
      </c>
      <c r="D195" s="195">
        <v>1181</v>
      </c>
      <c r="E195" s="195">
        <v>88</v>
      </c>
      <c r="F195" s="195">
        <v>88</v>
      </c>
      <c r="G195" s="239">
        <v>188</v>
      </c>
      <c r="H195" s="197" t="s">
        <v>79</v>
      </c>
      <c r="I195" s="242" t="s">
        <v>224</v>
      </c>
      <c r="J195" s="242" t="s">
        <v>9245</v>
      </c>
      <c r="K195" s="195" t="s">
        <v>70</v>
      </c>
      <c r="L195" s="20" t="str">
        <f ca="1">IF(OFFSET(환산공식!$ED$15,$F195,0)=1,"O","X")</f>
        <v>X</v>
      </c>
      <c r="M195" s="188">
        <f ca="1">IFERROR(OFFSET(환산공식!DJ$15,$F195,0),"")</f>
        <v>200</v>
      </c>
      <c r="N195" s="20" t="str">
        <f ca="1">IFERROR(CONCATENATE(ROUND(OFFSET(환산공식!DK$15,$F195,0),1),"%"),"")</f>
        <v>100%</v>
      </c>
      <c r="O195" s="20">
        <f ca="1">IFERROR(OFFSET(환산공식!DL$15,$F195,0),"")</f>
        <v>10</v>
      </c>
      <c r="P195" s="188" t="str">
        <f t="shared" ca="1" si="4"/>
        <v>3% 이하</v>
      </c>
      <c r="Q195" s="194">
        <f ca="1">IFERROR(ROUND(OFFSET(환산공식!$FG$15,$F195,0),3),"")</f>
        <v>0</v>
      </c>
      <c r="R195" s="194">
        <f ca="1">OFFSET('배치점수 계산기'!H$10,$D195,0)</f>
        <v>937.39800000000002</v>
      </c>
      <c r="S195" s="194">
        <f ca="1">OFFSET('배치점수 계산기'!I$10,$D195,0)</f>
        <v>935.83199999999999</v>
      </c>
      <c r="T195" s="194">
        <f ca="1">OFFSET('배치점수 계산기'!J$10,$D195,0)</f>
        <v>934.83399999999995</v>
      </c>
      <c r="U195" s="194">
        <f ca="1">OFFSET('배치점수 계산기'!K$10,$D195,0)</f>
        <v>930.875</v>
      </c>
      <c r="V195" s="194">
        <f ca="1">OFFSET('배치점수 계산기'!L$10,$D195,0)</f>
        <v>925.81899999999996</v>
      </c>
      <c r="W195" s="186" t="str">
        <f ca="1">OFFSET('배치점수 계산기'!M$10,$D195,0)</f>
        <v>표점/만점</v>
      </c>
      <c r="X195" s="184" t="str">
        <f ca="1">OFFSET('배치점수 계산기'!N$10,$D195,0)</f>
        <v>변표/만점</v>
      </c>
      <c r="Y195" s="188">
        <f ca="1">OFFSET(환산공식!FW$15,$F195,0)</f>
        <v>0.31</v>
      </c>
      <c r="Z195" s="20">
        <f ca="1">OFFSET(환산공식!FX$15,$F195,0)</f>
        <v>0.37</v>
      </c>
      <c r="AA195" s="179">
        <f ca="1">OFFSET(환산공식!FY$15,$F195,0)</f>
        <v>0.31</v>
      </c>
      <c r="AC195"/>
      <c r="AD195">
        <f t="shared" ca="1" si="5"/>
        <v>6</v>
      </c>
      <c r="AE195"/>
    </row>
    <row r="196" spans="1:31" s="3" customFormat="1">
      <c r="A196" s="198"/>
      <c r="B196" s="198"/>
      <c r="C196" s="198" t="s">
        <v>1648</v>
      </c>
      <c r="D196" s="195">
        <v>1182</v>
      </c>
      <c r="E196" s="195">
        <v>88</v>
      </c>
      <c r="F196" s="195">
        <v>88</v>
      </c>
      <c r="G196" s="239">
        <v>189</v>
      </c>
      <c r="H196" s="197" t="s">
        <v>79</v>
      </c>
      <c r="I196" s="242" t="s">
        <v>224</v>
      </c>
      <c r="J196" s="242" t="s">
        <v>9503</v>
      </c>
      <c r="K196" s="195" t="s">
        <v>70</v>
      </c>
      <c r="L196" s="20" t="str">
        <f ca="1">IF(OFFSET(환산공식!$ED$15,$F196,0)=1,"O","X")</f>
        <v>X</v>
      </c>
      <c r="M196" s="188">
        <f ca="1">IFERROR(OFFSET(환산공식!DJ$15,$F196,0),"")</f>
        <v>200</v>
      </c>
      <c r="N196" s="20" t="str">
        <f ca="1">IFERROR(CONCATENATE(ROUND(OFFSET(환산공식!DK$15,$F196,0),1),"%"),"")</f>
        <v>100%</v>
      </c>
      <c r="O196" s="20">
        <f ca="1">IFERROR(OFFSET(환산공식!DL$15,$F196,0),"")</f>
        <v>10</v>
      </c>
      <c r="P196" s="188" t="str">
        <f t="shared" ca="1" si="4"/>
        <v>3% 이하</v>
      </c>
      <c r="Q196" s="194">
        <f ca="1">IFERROR(ROUND(OFFSET(환산공식!$FG$15,$F196,0),3),"")</f>
        <v>0</v>
      </c>
      <c r="R196" s="194">
        <f ca="1">OFFSET('배치점수 계산기'!H$10,$D196,0)</f>
        <v>935.83199999999999</v>
      </c>
      <c r="S196" s="194">
        <f ca="1">OFFSET('배치점수 계산기'!I$10,$D196,0)</f>
        <v>932.54899999999998</v>
      </c>
      <c r="T196" s="194">
        <f ca="1">OFFSET('배치점수 계산기'!J$10,$D196,0)</f>
        <v>929.56</v>
      </c>
      <c r="U196" s="194">
        <f ca="1">OFFSET('배치점수 계산기'!K$10,$D196,0)</f>
        <v>927.63400000000001</v>
      </c>
      <c r="V196" s="194">
        <f ca="1">OFFSET('배치점수 계산기'!L$10,$D196,0)</f>
        <v>925.81899999999996</v>
      </c>
      <c r="W196" s="186" t="str">
        <f ca="1">OFFSET('배치점수 계산기'!M$10,$D196,0)</f>
        <v>표점/만점</v>
      </c>
      <c r="X196" s="184" t="str">
        <f ca="1">OFFSET('배치점수 계산기'!N$10,$D196,0)</f>
        <v>변표/만점</v>
      </c>
      <c r="Y196" s="188">
        <f ca="1">OFFSET(환산공식!FW$15,$F196,0)</f>
        <v>0.31</v>
      </c>
      <c r="Z196" s="20">
        <f ca="1">OFFSET(환산공식!FX$15,$F196,0)</f>
        <v>0.37</v>
      </c>
      <c r="AA196" s="179">
        <f ca="1">OFFSET(환산공식!FY$15,$F196,0)</f>
        <v>0.31</v>
      </c>
      <c r="AC196"/>
      <c r="AD196">
        <f t="shared" ca="1" si="5"/>
        <v>6</v>
      </c>
      <c r="AE196"/>
    </row>
    <row r="197" spans="1:31" s="3" customFormat="1">
      <c r="A197" s="198"/>
      <c r="B197" s="198"/>
      <c r="C197" s="198" t="s">
        <v>1649</v>
      </c>
      <c r="D197" s="195">
        <v>1183</v>
      </c>
      <c r="E197" s="195">
        <v>88</v>
      </c>
      <c r="F197" s="195">
        <v>88</v>
      </c>
      <c r="G197" s="239">
        <v>190</v>
      </c>
      <c r="H197" s="197" t="s">
        <v>79</v>
      </c>
      <c r="I197" s="242" t="s">
        <v>224</v>
      </c>
      <c r="J197" s="242" t="s">
        <v>9627</v>
      </c>
      <c r="K197" s="195" t="s">
        <v>70</v>
      </c>
      <c r="L197" s="20" t="str">
        <f ca="1">IF(OFFSET(환산공식!$ED$15,$F197,0)=1,"O","X")</f>
        <v>X</v>
      </c>
      <c r="M197" s="188">
        <f ca="1">IFERROR(OFFSET(환산공식!DJ$15,$F197,0),"")</f>
        <v>200</v>
      </c>
      <c r="N197" s="20" t="str">
        <f ca="1">IFERROR(CONCATENATE(ROUND(OFFSET(환산공식!DK$15,$F197,0),1),"%"),"")</f>
        <v>100%</v>
      </c>
      <c r="O197" s="20">
        <f ca="1">IFERROR(OFFSET(환산공식!DL$15,$F197,0),"")</f>
        <v>10</v>
      </c>
      <c r="P197" s="188" t="str">
        <f t="shared" ca="1" si="4"/>
        <v>3% 이하</v>
      </c>
      <c r="Q197" s="194">
        <f ca="1">IFERROR(ROUND(OFFSET(환산공식!$FG$15,$F197,0),3),"")</f>
        <v>0</v>
      </c>
      <c r="R197" s="194">
        <f ca="1">OFFSET('배치점수 계산기'!H$10,$D197,0)</f>
        <v>933.39200000000005</v>
      </c>
      <c r="S197" s="194">
        <f ca="1">OFFSET('배치점수 계산기'!I$10,$D197,0)</f>
        <v>930.02599999999995</v>
      </c>
      <c r="T197" s="194">
        <f ca="1">OFFSET('배치점수 계산기'!J$10,$D197,0)</f>
        <v>927.63400000000001</v>
      </c>
      <c r="U197" s="194">
        <f ca="1">OFFSET('배치점수 계산기'!K$10,$D197,0)</f>
        <v>925.22400000000005</v>
      </c>
      <c r="V197" s="194">
        <f ca="1">OFFSET('배치점수 계산기'!L$10,$D197,0)</f>
        <v>920.66399999999999</v>
      </c>
      <c r="W197" s="186" t="str">
        <f ca="1">OFFSET('배치점수 계산기'!M$10,$D197,0)</f>
        <v>표점/만점</v>
      </c>
      <c r="X197" s="184" t="str">
        <f ca="1">OFFSET('배치점수 계산기'!N$10,$D197,0)</f>
        <v>변표/만점</v>
      </c>
      <c r="Y197" s="188">
        <f ca="1">OFFSET(환산공식!FW$15,$F197,0)</f>
        <v>0.31</v>
      </c>
      <c r="Z197" s="20">
        <f ca="1">OFFSET(환산공식!FX$15,$F197,0)</f>
        <v>0.37</v>
      </c>
      <c r="AA197" s="179">
        <f ca="1">OFFSET(환산공식!FY$15,$F197,0)</f>
        <v>0.31</v>
      </c>
      <c r="AC197"/>
      <c r="AD197">
        <f t="shared" ca="1" si="5"/>
        <v>6</v>
      </c>
      <c r="AE197"/>
    </row>
    <row r="198" spans="1:31" s="3" customFormat="1">
      <c r="A198" s="198"/>
      <c r="B198" s="198"/>
      <c r="C198" s="198" t="s">
        <v>1650</v>
      </c>
      <c r="D198" s="195">
        <v>1184</v>
      </c>
      <c r="E198" s="195">
        <v>88</v>
      </c>
      <c r="F198" s="195">
        <v>88</v>
      </c>
      <c r="G198" s="239">
        <v>191</v>
      </c>
      <c r="H198" s="197" t="s">
        <v>79</v>
      </c>
      <c r="I198" s="242" t="s">
        <v>224</v>
      </c>
      <c r="J198" s="242" t="s">
        <v>9808</v>
      </c>
      <c r="K198" s="195" t="s">
        <v>70</v>
      </c>
      <c r="L198" s="20" t="str">
        <f ca="1">IF(OFFSET(환산공식!$ED$15,$F198,0)=1,"O","X")</f>
        <v>X</v>
      </c>
      <c r="M198" s="188">
        <f ca="1">IFERROR(OFFSET(환산공식!DJ$15,$F198,0),"")</f>
        <v>200</v>
      </c>
      <c r="N198" s="20" t="str">
        <f ca="1">IFERROR(CONCATENATE(ROUND(OFFSET(환산공식!DK$15,$F198,0),1),"%"),"")</f>
        <v>100%</v>
      </c>
      <c r="O198" s="20">
        <f ca="1">IFERROR(OFFSET(환산공식!DL$15,$F198,0),"")</f>
        <v>10</v>
      </c>
      <c r="P198" s="188" t="str">
        <f t="shared" ca="1" si="4"/>
        <v>3% 이하</v>
      </c>
      <c r="Q198" s="194">
        <f ca="1">IFERROR(ROUND(OFFSET(환산공식!$FG$15,$F198,0),3),"")</f>
        <v>0</v>
      </c>
      <c r="R198" s="194">
        <f ca="1">OFFSET('배치점수 계산기'!H$10,$D198,0)</f>
        <v>926.44899999999996</v>
      </c>
      <c r="S198" s="194">
        <f ca="1">OFFSET('배치점수 계산기'!I$10,$D198,0)</f>
        <v>925.22400000000005</v>
      </c>
      <c r="T198" s="194">
        <f ca="1">OFFSET('배치점수 계산기'!J$10,$D198,0)</f>
        <v>923.96600000000001</v>
      </c>
      <c r="U198" s="194">
        <f ca="1">OFFSET('배치점수 계산기'!K$10,$D198,0)</f>
        <v>921.46900000000005</v>
      </c>
      <c r="V198" s="194">
        <f ca="1">OFFSET('배치점수 계산기'!L$10,$D198,0)</f>
        <v>915.44899999999996</v>
      </c>
      <c r="W198" s="186" t="str">
        <f ca="1">OFFSET('배치점수 계산기'!M$10,$D198,0)</f>
        <v>표점/만점</v>
      </c>
      <c r="X198" s="184" t="str">
        <f ca="1">OFFSET('배치점수 계산기'!N$10,$D198,0)</f>
        <v>변표/만점</v>
      </c>
      <c r="Y198" s="188">
        <f ca="1">OFFSET(환산공식!FW$15,$F198,0)</f>
        <v>0.31</v>
      </c>
      <c r="Z198" s="20">
        <f ca="1">OFFSET(환산공식!FX$15,$F198,0)</f>
        <v>0.37</v>
      </c>
      <c r="AA198" s="179">
        <f ca="1">OFFSET(환산공식!FY$15,$F198,0)</f>
        <v>0.31</v>
      </c>
      <c r="AC198"/>
      <c r="AD198">
        <f t="shared" ca="1" si="5"/>
        <v>6</v>
      </c>
      <c r="AE198"/>
    </row>
    <row r="199" spans="1:31" s="3" customFormat="1">
      <c r="A199" s="198"/>
      <c r="B199" s="198"/>
      <c r="C199" s="198" t="s">
        <v>1651</v>
      </c>
      <c r="D199" s="195">
        <v>1185</v>
      </c>
      <c r="E199" s="195">
        <v>89</v>
      </c>
      <c r="F199" s="195">
        <v>89</v>
      </c>
      <c r="G199" s="239">
        <v>192</v>
      </c>
      <c r="H199" s="197" t="s">
        <v>79</v>
      </c>
      <c r="I199" s="242" t="s">
        <v>224</v>
      </c>
      <c r="J199" s="242" t="s">
        <v>9272</v>
      </c>
      <c r="K199" s="195" t="s">
        <v>71</v>
      </c>
      <c r="L199" s="20" t="str">
        <f ca="1">IF(OFFSET(환산공식!$ED$15,$F199,0)=1,"O","X")</f>
        <v>X</v>
      </c>
      <c r="M199" s="188">
        <f ca="1">IFERROR(OFFSET(환산공식!DJ$15,$F199,0),"")</f>
        <v>200</v>
      </c>
      <c r="N199" s="20" t="str">
        <f ca="1">IFERROR(CONCATENATE(ROUND(OFFSET(환산공식!DK$15,$F199,0),1),"%"),"")</f>
        <v>100%</v>
      </c>
      <c r="O199" s="20">
        <f ca="1">IFERROR(OFFSET(환산공식!DL$15,$F199,0),"")</f>
        <v>10</v>
      </c>
      <c r="P199" s="188" t="str">
        <f t="shared" ca="1" si="4"/>
        <v>3% 이하</v>
      </c>
      <c r="Q199" s="194">
        <f ca="1">IFERROR(ROUND(OFFSET(환산공식!$FG$15,$F199,0),3),"")</f>
        <v>0</v>
      </c>
      <c r="R199" s="194">
        <f ca="1">OFFSET('배치점수 계산기'!H$10,$D199,0)</f>
        <v>930.86699999999996</v>
      </c>
      <c r="S199" s="194">
        <f ca="1">OFFSET('배치점수 계산기'!I$10,$D199,0)</f>
        <v>926.93200000000002</v>
      </c>
      <c r="T199" s="194">
        <f ca="1">OFFSET('배치점수 계산기'!J$10,$D199,0)</f>
        <v>925.06799999999998</v>
      </c>
      <c r="U199" s="194">
        <f ca="1">OFFSET('배치점수 계산기'!K$10,$D199,0)</f>
        <v>923.06700000000001</v>
      </c>
      <c r="V199" s="194">
        <f ca="1">OFFSET('배치점수 계산기'!L$10,$D199,0)</f>
        <v>919.44399999999996</v>
      </c>
      <c r="W199" s="186" t="str">
        <f ca="1">OFFSET('배치점수 계산기'!M$10,$D199,0)</f>
        <v>표점/만점</v>
      </c>
      <c r="X199" s="184" t="str">
        <f ca="1">OFFSET('배치점수 계산기'!N$10,$D199,0)</f>
        <v>변표/만점</v>
      </c>
      <c r="Y199" s="188">
        <f ca="1">OFFSET(환산공식!FW$15,$F199,0)</f>
        <v>0.38</v>
      </c>
      <c r="Z199" s="20">
        <f ca="1">OFFSET(환산공식!FX$15,$F199,0)</f>
        <v>0.37</v>
      </c>
      <c r="AA199" s="179">
        <f ca="1">OFFSET(환산공식!FY$15,$F199,0)</f>
        <v>0.25</v>
      </c>
      <c r="AC199"/>
      <c r="AD199">
        <f t="shared" ca="1" si="5"/>
        <v>6</v>
      </c>
      <c r="AE199"/>
    </row>
    <row r="200" spans="1:31" s="3" customFormat="1">
      <c r="A200" s="198"/>
      <c r="B200" s="198"/>
      <c r="C200" s="198" t="s">
        <v>1652</v>
      </c>
      <c r="D200" s="195">
        <v>1186</v>
      </c>
      <c r="E200" s="195">
        <v>89</v>
      </c>
      <c r="F200" s="195">
        <v>89</v>
      </c>
      <c r="G200" s="239">
        <v>193</v>
      </c>
      <c r="H200" s="197" t="s">
        <v>79</v>
      </c>
      <c r="I200" s="242" t="s">
        <v>224</v>
      </c>
      <c r="J200" s="242" t="s">
        <v>9586</v>
      </c>
      <c r="K200" s="195" t="s">
        <v>71</v>
      </c>
      <c r="L200" s="20" t="str">
        <f ca="1">IF(OFFSET(환산공식!$ED$15,$F200,0)=1,"O","X")</f>
        <v>X</v>
      </c>
      <c r="M200" s="188">
        <f ca="1">IFERROR(OFFSET(환산공식!DJ$15,$F200,0),"")</f>
        <v>200</v>
      </c>
      <c r="N200" s="20" t="str">
        <f ca="1">IFERROR(CONCATENATE(ROUND(OFFSET(환산공식!DK$15,$F200,0),1),"%"),"")</f>
        <v>100%</v>
      </c>
      <c r="O200" s="20">
        <f ca="1">IFERROR(OFFSET(환산공식!DL$15,$F200,0),"")</f>
        <v>10</v>
      </c>
      <c r="P200" s="188" t="str">
        <f t="shared" ca="1" si="4"/>
        <v>3% 이하</v>
      </c>
      <c r="Q200" s="194">
        <f ca="1">IFERROR(ROUND(OFFSET(환산공식!$FG$15,$F200,0),3),"")</f>
        <v>0</v>
      </c>
      <c r="R200" s="194">
        <f ca="1">OFFSET('배치점수 계산기'!H$10,$D200,0)</f>
        <v>923.48699999999997</v>
      </c>
      <c r="S200" s="194">
        <f ca="1">OFFSET('배치점수 계산기'!I$10,$D200,0)</f>
        <v>922.92600000000004</v>
      </c>
      <c r="T200" s="194">
        <f ca="1">OFFSET('배치점수 계산기'!J$10,$D200,0)</f>
        <v>921.76400000000001</v>
      </c>
      <c r="U200" s="194">
        <f ca="1">OFFSET('배치점수 계산기'!K$10,$D200,0)</f>
        <v>919.44399999999996</v>
      </c>
      <c r="V200" s="194">
        <f ca="1">OFFSET('배치점수 계산기'!L$10,$D200,0)</f>
        <v>914.81</v>
      </c>
      <c r="W200" s="186" t="str">
        <f ca="1">OFFSET('배치점수 계산기'!M$10,$D200,0)</f>
        <v>표점/만점</v>
      </c>
      <c r="X200" s="184" t="str">
        <f ca="1">OFFSET('배치점수 계산기'!N$10,$D200,0)</f>
        <v>변표/만점</v>
      </c>
      <c r="Y200" s="188">
        <f ca="1">OFFSET(환산공식!FW$15,$F200,0)</f>
        <v>0.38</v>
      </c>
      <c r="Z200" s="20">
        <f ca="1">OFFSET(환산공식!FX$15,$F200,0)</f>
        <v>0.37</v>
      </c>
      <c r="AA200" s="179">
        <f ca="1">OFFSET(환산공식!FY$15,$F200,0)</f>
        <v>0.25</v>
      </c>
      <c r="AC200"/>
      <c r="AD200">
        <f t="shared" ca="1" si="5"/>
        <v>6</v>
      </c>
      <c r="AE200"/>
    </row>
    <row r="201" spans="1:31" s="3" customFormat="1">
      <c r="A201" s="198"/>
      <c r="B201" s="198"/>
      <c r="C201" s="198" t="s">
        <v>1653</v>
      </c>
      <c r="D201" s="195">
        <v>1187</v>
      </c>
      <c r="E201" s="195">
        <v>89</v>
      </c>
      <c r="F201" s="195">
        <v>89</v>
      </c>
      <c r="G201" s="239">
        <v>194</v>
      </c>
      <c r="H201" s="197" t="s">
        <v>79</v>
      </c>
      <c r="I201" s="242" t="s">
        <v>224</v>
      </c>
      <c r="J201" s="242" t="s">
        <v>8772</v>
      </c>
      <c r="K201" s="195" t="s">
        <v>71</v>
      </c>
      <c r="L201" s="20" t="str">
        <f ca="1">IF(OFFSET(환산공식!$ED$15,$F201,0)=1,"O","X")</f>
        <v>X</v>
      </c>
      <c r="M201" s="188">
        <f ca="1">IFERROR(OFFSET(환산공식!DJ$15,$F201,0),"")</f>
        <v>200</v>
      </c>
      <c r="N201" s="20" t="str">
        <f ca="1">IFERROR(CONCATENATE(ROUND(OFFSET(환산공식!DK$15,$F201,0),1),"%"),"")</f>
        <v>100%</v>
      </c>
      <c r="O201" s="20">
        <f ca="1">IFERROR(OFFSET(환산공식!DL$15,$F201,0),"")</f>
        <v>10</v>
      </c>
      <c r="P201" s="188" t="str">
        <f t="shared" ref="P201:P264" ca="1" si="6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3% 이하</v>
      </c>
      <c r="Q201" s="194">
        <f ca="1">IFERROR(ROUND(OFFSET(환산공식!$FG$15,$F201,0),3),"")</f>
        <v>0</v>
      </c>
      <c r="R201" s="194">
        <f ca="1">OFFSET('배치점수 계산기'!H$10,$D201,0)</f>
        <v>924.08900000000006</v>
      </c>
      <c r="S201" s="194">
        <f ca="1">OFFSET('배치점수 계산기'!I$10,$D201,0)</f>
        <v>923.06700000000001</v>
      </c>
      <c r="T201" s="194">
        <f ca="1">OFFSET('배치점수 계산기'!J$10,$D201,0)</f>
        <v>921.76400000000001</v>
      </c>
      <c r="U201" s="194">
        <f ca="1">OFFSET('배치점수 계산기'!K$10,$D201,0)</f>
        <v>920.4</v>
      </c>
      <c r="V201" s="194">
        <f ca="1">OFFSET('배치점수 계산기'!L$10,$D201,0)</f>
        <v>918.45699999999999</v>
      </c>
      <c r="W201" s="186" t="str">
        <f ca="1">OFFSET('배치점수 계산기'!M$10,$D201,0)</f>
        <v>표점/만점</v>
      </c>
      <c r="X201" s="184" t="str">
        <f ca="1">OFFSET('배치점수 계산기'!N$10,$D201,0)</f>
        <v>변표/만점</v>
      </c>
      <c r="Y201" s="188">
        <f ca="1">OFFSET(환산공식!FW$15,$F201,0)</f>
        <v>0.38</v>
      </c>
      <c r="Z201" s="20">
        <f ca="1">OFFSET(환산공식!FX$15,$F201,0)</f>
        <v>0.37</v>
      </c>
      <c r="AA201" s="179">
        <f ca="1">OFFSET(환산공식!FY$15,$F201,0)</f>
        <v>0.25</v>
      </c>
      <c r="AC201"/>
      <c r="AD201">
        <f t="shared" ref="AD201:AD264" ca="1" si="7">IF(L201="X",6,IF(Q201&gt;R201,1,IF(Q201&gt;S201,2,IF(Q201&gt;T201,3,IF(Q201&gt;U201,4,IF(Q201&gt;=V201,5,IF(Q201&lt;V201,6,"")))))))</f>
        <v>6</v>
      </c>
      <c r="AE201"/>
    </row>
    <row r="202" spans="1:31" s="3" customFormat="1">
      <c r="A202" s="198"/>
      <c r="B202" s="198"/>
      <c r="C202" s="198" t="s">
        <v>1654</v>
      </c>
      <c r="D202" s="195">
        <v>1188</v>
      </c>
      <c r="E202" s="195">
        <v>90</v>
      </c>
      <c r="F202" s="195">
        <v>90</v>
      </c>
      <c r="G202" s="239">
        <v>195</v>
      </c>
      <c r="H202" s="197" t="s">
        <v>79</v>
      </c>
      <c r="I202" s="242" t="s">
        <v>224</v>
      </c>
      <c r="J202" s="242" t="s">
        <v>9508</v>
      </c>
      <c r="K202" s="195" t="s">
        <v>71</v>
      </c>
      <c r="L202" s="20" t="str">
        <f ca="1">IF(OFFSET(환산공식!$ED$15,$F202,0)=1,"O","X")</f>
        <v>X</v>
      </c>
      <c r="M202" s="188">
        <f ca="1">IFERROR(OFFSET(환산공식!DJ$15,$F202,0),"")</f>
        <v>200</v>
      </c>
      <c r="N202" s="20" t="str">
        <f ca="1">IFERROR(CONCATENATE(ROUND(OFFSET(환산공식!DK$15,$F202,0),1),"%"),"")</f>
        <v>100%</v>
      </c>
      <c r="O202" s="20">
        <f ca="1">IFERROR(OFFSET(환산공식!DL$15,$F202,0),"")</f>
        <v>10</v>
      </c>
      <c r="P202" s="188" t="str">
        <f t="shared" ca="1" si="6"/>
        <v>3% 이하</v>
      </c>
      <c r="Q202" s="194">
        <f ca="1">IFERROR(ROUND(OFFSET(환산공식!$FG$15,$F202,0),3),"")</f>
        <v>0</v>
      </c>
      <c r="R202" s="194">
        <f ca="1">OFFSET('배치점수 계산기'!H$10,$D202,0)</f>
        <v>935.27300000000002</v>
      </c>
      <c r="S202" s="194">
        <f ca="1">OFFSET('배치점수 계산기'!I$10,$D202,0)</f>
        <v>931.98400000000004</v>
      </c>
      <c r="T202" s="194">
        <f ca="1">OFFSET('배치점수 계산기'!J$10,$D202,0)</f>
        <v>926.39200000000005</v>
      </c>
      <c r="U202" s="194">
        <f ca="1">OFFSET('배치점수 계산기'!K$10,$D202,0)</f>
        <v>924.91300000000001</v>
      </c>
      <c r="V202" s="194">
        <f ca="1">OFFSET('배치점수 계산기'!L$10,$D202,0)</f>
        <v>921.65200000000004</v>
      </c>
      <c r="W202" s="186" t="str">
        <f ca="1">OFFSET('배치점수 계산기'!M$10,$D202,0)</f>
        <v>표점/만점</v>
      </c>
      <c r="X202" s="184" t="str">
        <f ca="1">OFFSET('배치점수 계산기'!N$10,$D202,0)</f>
        <v>변표/만점</v>
      </c>
      <c r="Y202" s="188">
        <f ca="1">OFFSET(환산공식!FW$15,$F202,0)</f>
        <v>0.38</v>
      </c>
      <c r="Z202" s="20">
        <f ca="1">OFFSET(환산공식!FX$15,$F202,0)</f>
        <v>0.37</v>
      </c>
      <c r="AA202" s="179">
        <f ca="1">OFFSET(환산공식!FY$15,$F202,0)</f>
        <v>0.25</v>
      </c>
      <c r="AC202"/>
      <c r="AD202">
        <f t="shared" ca="1" si="7"/>
        <v>6</v>
      </c>
      <c r="AE202"/>
    </row>
    <row r="203" spans="1:31" s="3" customFormat="1">
      <c r="A203" s="198"/>
      <c r="B203" s="198"/>
      <c r="C203" s="198" t="s">
        <v>1655</v>
      </c>
      <c r="D203" s="195">
        <v>1189</v>
      </c>
      <c r="E203" s="195">
        <v>89</v>
      </c>
      <c r="F203" s="195">
        <v>89</v>
      </c>
      <c r="G203" s="239">
        <v>196</v>
      </c>
      <c r="H203" s="197" t="s">
        <v>79</v>
      </c>
      <c r="I203" s="242" t="s">
        <v>224</v>
      </c>
      <c r="J203" s="242" t="s">
        <v>9464</v>
      </c>
      <c r="K203" s="195" t="s">
        <v>71</v>
      </c>
      <c r="L203" s="20" t="str">
        <f ca="1">IF(OFFSET(환산공식!$ED$15,$F203,0)=1,"O","X")</f>
        <v>X</v>
      </c>
      <c r="M203" s="188">
        <f ca="1">IFERROR(OFFSET(환산공식!DJ$15,$F203,0),"")</f>
        <v>200</v>
      </c>
      <c r="N203" s="20" t="str">
        <f ca="1">IFERROR(CONCATENATE(ROUND(OFFSET(환산공식!DK$15,$F203,0),1),"%"),"")</f>
        <v>100%</v>
      </c>
      <c r="O203" s="20">
        <f ca="1">IFERROR(OFFSET(환산공식!DL$15,$F203,0),"")</f>
        <v>10</v>
      </c>
      <c r="P203" s="188" t="str">
        <f t="shared" ca="1" si="6"/>
        <v>3% 이하</v>
      </c>
      <c r="Q203" s="194">
        <f ca="1">IFERROR(ROUND(OFFSET(환산공식!$FG$15,$F203,0),3),"")</f>
        <v>0</v>
      </c>
      <c r="R203" s="194">
        <f ca="1">OFFSET('배치점수 계산기'!H$10,$D203,0)</f>
        <v>928.97699999999998</v>
      </c>
      <c r="S203" s="194">
        <f ca="1">OFFSET('배치점수 계산기'!I$10,$D203,0)</f>
        <v>924.71299999999997</v>
      </c>
      <c r="T203" s="194">
        <f ca="1">OFFSET('배치점수 계산기'!J$10,$D203,0)</f>
        <v>920.33900000000006</v>
      </c>
      <c r="U203" s="194">
        <f ca="1">OFFSET('배치점수 계산기'!K$10,$D203,0)</f>
        <v>917.02300000000002</v>
      </c>
      <c r="V203" s="194">
        <f ca="1">OFFSET('배치점수 계산기'!L$10,$D203,0)</f>
        <v>911.97900000000004</v>
      </c>
      <c r="W203" s="186" t="str">
        <f ca="1">OFFSET('배치점수 계산기'!M$10,$D203,0)</f>
        <v>표점/만점</v>
      </c>
      <c r="X203" s="184" t="str">
        <f ca="1">OFFSET('배치점수 계산기'!N$10,$D203,0)</f>
        <v>변표/만점</v>
      </c>
      <c r="Y203" s="188">
        <f ca="1">OFFSET(환산공식!FW$15,$F203,0)</f>
        <v>0.38</v>
      </c>
      <c r="Z203" s="20">
        <f ca="1">OFFSET(환산공식!FX$15,$F203,0)</f>
        <v>0.37</v>
      </c>
      <c r="AA203" s="179">
        <f ca="1">OFFSET(환산공식!FY$15,$F203,0)</f>
        <v>0.25</v>
      </c>
      <c r="AC203"/>
      <c r="AD203">
        <f t="shared" ca="1" si="7"/>
        <v>6</v>
      </c>
      <c r="AE203"/>
    </row>
    <row r="204" spans="1:31" s="3" customFormat="1">
      <c r="A204" s="198"/>
      <c r="B204" s="198"/>
      <c r="C204" s="198" t="s">
        <v>1656</v>
      </c>
      <c r="D204" s="195">
        <v>1190</v>
      </c>
      <c r="E204" s="195">
        <v>40</v>
      </c>
      <c r="F204" s="195">
        <v>40</v>
      </c>
      <c r="G204" s="239">
        <v>197</v>
      </c>
      <c r="H204" s="197" t="s">
        <v>79</v>
      </c>
      <c r="I204" s="242" t="s">
        <v>9336</v>
      </c>
      <c r="J204" s="242" t="s">
        <v>11409</v>
      </c>
      <c r="K204" s="195" t="s">
        <v>70</v>
      </c>
      <c r="L204" s="20" t="str">
        <f ca="1">IF(OFFSET(환산공식!$ED$15,$F204,0)=1,"O","X")</f>
        <v>X</v>
      </c>
      <c r="M204" s="188">
        <f ca="1">IFERROR(OFFSET(환산공식!DJ$15,$F204,0),"")</f>
        <v>105</v>
      </c>
      <c r="N204" s="20" t="str">
        <f ca="1">IFERROR(CONCATENATE(ROUND(OFFSET(환산공식!DK$15,$F204,0),1),"%"),"")</f>
        <v>100%</v>
      </c>
      <c r="O204" s="20">
        <f ca="1">IFERROR(OFFSET(환산공식!DL$15,$F204,0),"")</f>
        <v>10</v>
      </c>
      <c r="P204" s="188" t="str">
        <f t="shared" ca="1" si="6"/>
        <v>3% 이하</v>
      </c>
      <c r="Q204" s="194">
        <f ca="1">IFERROR(ROUND(OFFSET(환산공식!$FG$15,$F204,0),3),"")</f>
        <v>0</v>
      </c>
      <c r="R204" s="194">
        <f ca="1">OFFSET('배치점수 계산기'!H$10,$D204,0)</f>
        <v>626.92899999999997</v>
      </c>
      <c r="S204" s="194">
        <f ca="1">OFFSET('배치점수 계산기'!I$10,$D204,0)</f>
        <v>624.69299999999998</v>
      </c>
      <c r="T204" s="194">
        <f ca="1">OFFSET('배치점수 계산기'!J$10,$D204,0)</f>
        <v>622.71500000000003</v>
      </c>
      <c r="U204" s="194">
        <f ca="1">OFFSET('배치점수 계산기'!K$10,$D204,0)</f>
        <v>619.75199999999995</v>
      </c>
      <c r="V204" s="194">
        <f ca="1">OFFSET('배치점수 계산기'!L$10,$D204,0)</f>
        <v>613.52599999999995</v>
      </c>
      <c r="W204" s="186" t="str">
        <f ca="1">OFFSET('배치점수 계산기'!M$10,$D204,0)</f>
        <v>표점/만점</v>
      </c>
      <c r="X204" s="184" t="str">
        <f ca="1">OFFSET('배치점수 계산기'!N$10,$D204,0)</f>
        <v>변표/만점</v>
      </c>
      <c r="Y204" s="188">
        <f ca="1">OFFSET(환산공식!FW$15,$F204,0)</f>
        <v>0.24</v>
      </c>
      <c r="Z204" s="20">
        <f ca="1">OFFSET(환산공식!FX$15,$F204,0)</f>
        <v>0.41</v>
      </c>
      <c r="AA204" s="179">
        <f ca="1">OFFSET(환산공식!FY$15,$F204,0)</f>
        <v>0.35</v>
      </c>
      <c r="AC204"/>
      <c r="AD204">
        <f t="shared" ca="1" si="7"/>
        <v>6</v>
      </c>
      <c r="AE204"/>
    </row>
    <row r="205" spans="1:31" s="3" customFormat="1">
      <c r="A205" s="198"/>
      <c r="B205" s="198"/>
      <c r="C205" s="198" t="s">
        <v>1657</v>
      </c>
      <c r="D205" s="195">
        <v>1191</v>
      </c>
      <c r="E205" s="195">
        <v>40</v>
      </c>
      <c r="F205" s="195">
        <v>40</v>
      </c>
      <c r="G205" s="239">
        <v>198</v>
      </c>
      <c r="H205" s="197" t="s">
        <v>79</v>
      </c>
      <c r="I205" s="242" t="s">
        <v>9336</v>
      </c>
      <c r="J205" s="242" t="s">
        <v>9439</v>
      </c>
      <c r="K205" s="195" t="s">
        <v>70</v>
      </c>
      <c r="L205" s="20" t="str">
        <f ca="1">IF(OFFSET(환산공식!$ED$15,$F205,0)=1,"O","X")</f>
        <v>X</v>
      </c>
      <c r="M205" s="188">
        <f ca="1">IFERROR(OFFSET(환산공식!DJ$15,$F205,0),"")</f>
        <v>105</v>
      </c>
      <c r="N205" s="20" t="str">
        <f ca="1">IFERROR(CONCATENATE(ROUND(OFFSET(환산공식!DK$15,$F205,0),1),"%"),"")</f>
        <v>100%</v>
      </c>
      <c r="O205" s="20">
        <f ca="1">IFERROR(OFFSET(환산공식!DL$15,$F205,0),"")</f>
        <v>10</v>
      </c>
      <c r="P205" s="188" t="str">
        <f t="shared" ca="1" si="6"/>
        <v>3% 이하</v>
      </c>
      <c r="Q205" s="194">
        <f ca="1">IFERROR(ROUND(OFFSET(환산공식!$FG$15,$F205,0),3),"")</f>
        <v>0</v>
      </c>
      <c r="R205" s="194">
        <f ca="1">OFFSET('배치점수 계산기'!H$10,$D205,0)</f>
        <v>625.82500000000005</v>
      </c>
      <c r="S205" s="194">
        <f ca="1">OFFSET('배치점수 계산기'!I$10,$D205,0)</f>
        <v>623.69100000000003</v>
      </c>
      <c r="T205" s="194">
        <f ca="1">OFFSET('배치점수 계산기'!J$10,$D205,0)</f>
        <v>621.74300000000005</v>
      </c>
      <c r="U205" s="194">
        <f ca="1">OFFSET('배치점수 계산기'!K$10,$D205,0)</f>
        <v>619.27499999999998</v>
      </c>
      <c r="V205" s="194">
        <f ca="1">OFFSET('배치점수 계산기'!L$10,$D205,0)</f>
        <v>615.601</v>
      </c>
      <c r="W205" s="186" t="str">
        <f ca="1">OFFSET('배치점수 계산기'!M$10,$D205,0)</f>
        <v>표점/만점</v>
      </c>
      <c r="X205" s="184" t="str">
        <f ca="1">OFFSET('배치점수 계산기'!N$10,$D205,0)</f>
        <v>변표/만점</v>
      </c>
      <c r="Y205" s="188">
        <f ca="1">OFFSET(환산공식!FW$15,$F205,0)</f>
        <v>0.24</v>
      </c>
      <c r="Z205" s="20">
        <f ca="1">OFFSET(환산공식!FX$15,$F205,0)</f>
        <v>0.41</v>
      </c>
      <c r="AA205" s="179">
        <f ca="1">OFFSET(환산공식!FY$15,$F205,0)</f>
        <v>0.35</v>
      </c>
      <c r="AC205"/>
      <c r="AD205">
        <f t="shared" ca="1" si="7"/>
        <v>6</v>
      </c>
      <c r="AE205"/>
    </row>
    <row r="206" spans="1:31" s="3" customFormat="1">
      <c r="A206" s="198"/>
      <c r="B206" s="198"/>
      <c r="C206" s="198" t="s">
        <v>1658</v>
      </c>
      <c r="D206" s="195">
        <v>1192</v>
      </c>
      <c r="E206" s="195">
        <v>40</v>
      </c>
      <c r="F206" s="195">
        <v>40</v>
      </c>
      <c r="G206" s="239">
        <v>199</v>
      </c>
      <c r="H206" s="197" t="s">
        <v>79</v>
      </c>
      <c r="I206" s="242" t="s">
        <v>9336</v>
      </c>
      <c r="J206" s="242" t="s">
        <v>7825</v>
      </c>
      <c r="K206" s="195" t="s">
        <v>70</v>
      </c>
      <c r="L206" s="20" t="str">
        <f ca="1">IF(OFFSET(환산공식!$ED$15,$F206,0)=1,"O","X")</f>
        <v>X</v>
      </c>
      <c r="M206" s="188">
        <f ca="1">IFERROR(OFFSET(환산공식!DJ$15,$F206,0),"")</f>
        <v>105</v>
      </c>
      <c r="N206" s="20" t="str">
        <f ca="1">IFERROR(CONCATENATE(ROUND(OFFSET(환산공식!DK$15,$F206,0),1),"%"),"")</f>
        <v>100%</v>
      </c>
      <c r="O206" s="20">
        <f ca="1">IFERROR(OFFSET(환산공식!DL$15,$F206,0),"")</f>
        <v>10</v>
      </c>
      <c r="P206" s="188" t="str">
        <f t="shared" ca="1" si="6"/>
        <v>3% 이하</v>
      </c>
      <c r="Q206" s="194">
        <f ca="1">IFERROR(ROUND(OFFSET(환산공식!$FG$15,$F206,0),3),"")</f>
        <v>0</v>
      </c>
      <c r="R206" s="194">
        <f ca="1">OFFSET('배치점수 계산기'!H$10,$D206,0)</f>
        <v>625.37400000000002</v>
      </c>
      <c r="S206" s="194">
        <f ca="1">OFFSET('배치점수 계산기'!I$10,$D206,0)</f>
        <v>622.98599999999999</v>
      </c>
      <c r="T206" s="194">
        <f ca="1">OFFSET('배치점수 계산기'!J$10,$D206,0)</f>
        <v>621.26300000000003</v>
      </c>
      <c r="U206" s="194">
        <f ca="1">OFFSET('배치점수 계산기'!K$10,$D206,0)</f>
        <v>618.88</v>
      </c>
      <c r="V206" s="194">
        <f ca="1">OFFSET('배치점수 계산기'!L$10,$D206,0)</f>
        <v>611.52</v>
      </c>
      <c r="W206" s="186" t="str">
        <f ca="1">OFFSET('배치점수 계산기'!M$10,$D206,0)</f>
        <v>표점/만점</v>
      </c>
      <c r="X206" s="184" t="str">
        <f ca="1">OFFSET('배치점수 계산기'!N$10,$D206,0)</f>
        <v>변표/만점</v>
      </c>
      <c r="Y206" s="188">
        <f ca="1">OFFSET(환산공식!FW$15,$F206,0)</f>
        <v>0.24</v>
      </c>
      <c r="Z206" s="20">
        <f ca="1">OFFSET(환산공식!FX$15,$F206,0)</f>
        <v>0.41</v>
      </c>
      <c r="AA206" s="179">
        <f ca="1">OFFSET(환산공식!FY$15,$F206,0)</f>
        <v>0.35</v>
      </c>
      <c r="AC206"/>
      <c r="AD206">
        <f t="shared" ca="1" si="7"/>
        <v>6</v>
      </c>
      <c r="AE206"/>
    </row>
    <row r="207" spans="1:31" s="3" customFormat="1">
      <c r="A207" s="198"/>
      <c r="B207" s="198"/>
      <c r="C207" s="198" t="s">
        <v>1659</v>
      </c>
      <c r="D207" s="195">
        <v>1193</v>
      </c>
      <c r="E207" s="195">
        <v>40</v>
      </c>
      <c r="F207" s="195">
        <v>40</v>
      </c>
      <c r="G207" s="239">
        <v>200</v>
      </c>
      <c r="H207" s="197" t="s">
        <v>79</v>
      </c>
      <c r="I207" s="242" t="s">
        <v>9336</v>
      </c>
      <c r="J207" s="242" t="s">
        <v>420</v>
      </c>
      <c r="K207" s="195" t="s">
        <v>70</v>
      </c>
      <c r="L207" s="20" t="str">
        <f ca="1">IF(OFFSET(환산공식!$ED$15,$F207,0)=1,"O","X")</f>
        <v>X</v>
      </c>
      <c r="M207" s="188">
        <f ca="1">IFERROR(OFFSET(환산공식!DJ$15,$F207,0),"")</f>
        <v>105</v>
      </c>
      <c r="N207" s="20" t="str">
        <f ca="1">IFERROR(CONCATENATE(ROUND(OFFSET(환산공식!DK$15,$F207,0),1),"%"),"")</f>
        <v>100%</v>
      </c>
      <c r="O207" s="20">
        <f ca="1">IFERROR(OFFSET(환산공식!DL$15,$F207,0),"")</f>
        <v>10</v>
      </c>
      <c r="P207" s="188" t="str">
        <f t="shared" ca="1" si="6"/>
        <v>3% 이하</v>
      </c>
      <c r="Q207" s="194">
        <f ca="1">IFERROR(ROUND(OFFSET(환산공식!$FG$15,$F207,0),3),"")</f>
        <v>0</v>
      </c>
      <c r="R207" s="194">
        <f ca="1">OFFSET('배치점수 계산기'!H$10,$D207,0)</f>
        <v>624.59799999999996</v>
      </c>
      <c r="S207" s="194">
        <f ca="1">OFFSET('배치점수 계산기'!I$10,$D207,0)</f>
        <v>622.62300000000005</v>
      </c>
      <c r="T207" s="194">
        <f ca="1">OFFSET('배치점수 계산기'!J$10,$D207,0)</f>
        <v>620.67600000000004</v>
      </c>
      <c r="U207" s="194">
        <f ca="1">OFFSET('배치점수 계산기'!K$10,$D207,0)</f>
        <v>618.34</v>
      </c>
      <c r="V207" s="194">
        <f ca="1">OFFSET('배치점수 계산기'!L$10,$D207,0)</f>
        <v>614.55999999999995</v>
      </c>
      <c r="W207" s="186" t="str">
        <f ca="1">OFFSET('배치점수 계산기'!M$10,$D207,0)</f>
        <v>표점/만점</v>
      </c>
      <c r="X207" s="184" t="str">
        <f ca="1">OFFSET('배치점수 계산기'!N$10,$D207,0)</f>
        <v>변표/만점</v>
      </c>
      <c r="Y207" s="188">
        <f ca="1">OFFSET(환산공식!FW$15,$F207,0)</f>
        <v>0.24</v>
      </c>
      <c r="Z207" s="20">
        <f ca="1">OFFSET(환산공식!FX$15,$F207,0)</f>
        <v>0.41</v>
      </c>
      <c r="AA207" s="179">
        <f ca="1">OFFSET(환산공식!FY$15,$F207,0)</f>
        <v>0.35</v>
      </c>
      <c r="AC207"/>
      <c r="AD207">
        <f t="shared" ca="1" si="7"/>
        <v>6</v>
      </c>
      <c r="AE207"/>
    </row>
    <row r="208" spans="1:31" s="3" customFormat="1">
      <c r="A208" s="198"/>
      <c r="B208" s="198"/>
      <c r="C208" s="198" t="s">
        <v>1660</v>
      </c>
      <c r="D208" s="195">
        <v>1194</v>
      </c>
      <c r="E208" s="195">
        <v>40</v>
      </c>
      <c r="F208" s="195">
        <v>40</v>
      </c>
      <c r="G208" s="239">
        <v>201</v>
      </c>
      <c r="H208" s="197" t="s">
        <v>79</v>
      </c>
      <c r="I208" s="242" t="s">
        <v>9336</v>
      </c>
      <c r="J208" s="242" t="s">
        <v>9795</v>
      </c>
      <c r="K208" s="195" t="s">
        <v>70</v>
      </c>
      <c r="L208" s="20" t="str">
        <f ca="1">IF(OFFSET(환산공식!$ED$15,$F208,0)=1,"O","X")</f>
        <v>X</v>
      </c>
      <c r="M208" s="188">
        <f ca="1">IFERROR(OFFSET(환산공식!DJ$15,$F208,0),"")</f>
        <v>105</v>
      </c>
      <c r="N208" s="20" t="str">
        <f ca="1">IFERROR(CONCATENATE(ROUND(OFFSET(환산공식!DK$15,$F208,0),1),"%"),"")</f>
        <v>100%</v>
      </c>
      <c r="O208" s="20">
        <f ca="1">IFERROR(OFFSET(환산공식!DL$15,$F208,0),"")</f>
        <v>10</v>
      </c>
      <c r="P208" s="188" t="str">
        <f t="shared" ca="1" si="6"/>
        <v>3% 이하</v>
      </c>
      <c r="Q208" s="194">
        <f ca="1">IFERROR(ROUND(OFFSET(환산공식!$FG$15,$F208,0),3),"")</f>
        <v>0</v>
      </c>
      <c r="R208" s="194">
        <f ca="1">OFFSET('배치점수 계산기'!H$10,$D208,0)</f>
        <v>623.59500000000003</v>
      </c>
      <c r="S208" s="194">
        <f ca="1">OFFSET('배치점수 계산기'!I$10,$D208,0)</f>
        <v>621.64800000000002</v>
      </c>
      <c r="T208" s="194">
        <f ca="1">OFFSET('배치점수 계산기'!J$10,$D208,0)</f>
        <v>620.04100000000005</v>
      </c>
      <c r="U208" s="194">
        <f ca="1">OFFSET('배치점수 계산기'!K$10,$D208,0)</f>
        <v>617.68100000000004</v>
      </c>
      <c r="V208" s="194">
        <f ca="1">OFFSET('배치점수 계산기'!L$10,$D208,0)</f>
        <v>613.75199999999995</v>
      </c>
      <c r="W208" s="186" t="str">
        <f ca="1">OFFSET('배치점수 계산기'!M$10,$D208,0)</f>
        <v>표점/만점</v>
      </c>
      <c r="X208" s="184" t="str">
        <f ca="1">OFFSET('배치점수 계산기'!N$10,$D208,0)</f>
        <v>변표/만점</v>
      </c>
      <c r="Y208" s="188">
        <f ca="1">OFFSET(환산공식!FW$15,$F208,0)</f>
        <v>0.24</v>
      </c>
      <c r="Z208" s="20">
        <f ca="1">OFFSET(환산공식!FX$15,$F208,0)</f>
        <v>0.41</v>
      </c>
      <c r="AA208" s="179">
        <f ca="1">OFFSET(환산공식!FY$15,$F208,0)</f>
        <v>0.35</v>
      </c>
      <c r="AC208"/>
      <c r="AD208">
        <f t="shared" ca="1" si="7"/>
        <v>6</v>
      </c>
      <c r="AE208"/>
    </row>
    <row r="209" spans="1:31" s="3" customFormat="1">
      <c r="A209" s="198"/>
      <c r="B209" s="198"/>
      <c r="C209" s="198" t="s">
        <v>1661</v>
      </c>
      <c r="D209" s="195">
        <v>1195</v>
      </c>
      <c r="E209" s="195">
        <v>39</v>
      </c>
      <c r="F209" s="195">
        <v>39</v>
      </c>
      <c r="G209" s="239">
        <v>202</v>
      </c>
      <c r="H209" s="197" t="s">
        <v>79</v>
      </c>
      <c r="I209" s="242" t="s">
        <v>9336</v>
      </c>
      <c r="J209" s="242" t="s">
        <v>9596</v>
      </c>
      <c r="K209" s="195" t="s">
        <v>71</v>
      </c>
      <c r="L209" s="20" t="str">
        <f ca="1">IF(OFFSET(환산공식!$ED$15,$F209,0)=1,"O","X")</f>
        <v>X</v>
      </c>
      <c r="M209" s="188">
        <f ca="1">IFERROR(OFFSET(환산공식!DJ$15,$F209,0),"")</f>
        <v>105</v>
      </c>
      <c r="N209" s="20" t="str">
        <f ca="1">IFERROR(CONCATENATE(ROUND(OFFSET(환산공식!DK$15,$F209,0),1),"%"),"")</f>
        <v>100%</v>
      </c>
      <c r="O209" s="20">
        <f ca="1">IFERROR(OFFSET(환산공식!DL$15,$F209,0),"")</f>
        <v>10</v>
      </c>
      <c r="P209" s="188" t="str">
        <f t="shared" ca="1" si="6"/>
        <v>3% 이하</v>
      </c>
      <c r="Q209" s="194">
        <f ca="1">IFERROR(ROUND(OFFSET(환산공식!$FG$15,$F209,0),3),"")</f>
        <v>0</v>
      </c>
      <c r="R209" s="194">
        <f ca="1">OFFSET('배치점수 계산기'!H$10,$D209,0)</f>
        <v>652.44500000000005</v>
      </c>
      <c r="S209" s="194">
        <f ca="1">OFFSET('배치점수 계산기'!I$10,$D209,0)</f>
        <v>651.75400000000002</v>
      </c>
      <c r="T209" s="194">
        <f ca="1">OFFSET('배치점수 계산기'!J$10,$D209,0)</f>
        <v>649.97</v>
      </c>
      <c r="U209" s="194">
        <f ca="1">OFFSET('배치점수 계산기'!K$10,$D209,0)</f>
        <v>648.30600000000004</v>
      </c>
      <c r="V209" s="194">
        <f ca="1">OFFSET('배치점수 계산기'!L$10,$D209,0)</f>
        <v>646.64800000000002</v>
      </c>
      <c r="W209" s="186" t="str">
        <f ca="1">OFFSET('배치점수 계산기'!M$10,$D209,0)</f>
        <v>표점/만점</v>
      </c>
      <c r="X209" s="184" t="str">
        <f ca="1">OFFSET('배치점수 계산기'!N$10,$D209,0)</f>
        <v>변표/만점</v>
      </c>
      <c r="Y209" s="188">
        <f ca="1">OFFSET(환산공식!FW$15,$F209,0)</f>
        <v>0.35</v>
      </c>
      <c r="Z209" s="20">
        <f ca="1">OFFSET(환산공식!FX$15,$F209,0)</f>
        <v>0.41</v>
      </c>
      <c r="AA209" s="179">
        <f ca="1">OFFSET(환산공식!FY$15,$F209,0)</f>
        <v>0.23</v>
      </c>
      <c r="AC209"/>
      <c r="AD209">
        <f t="shared" ca="1" si="7"/>
        <v>6</v>
      </c>
      <c r="AE209"/>
    </row>
    <row r="210" spans="1:31" s="3" customFormat="1">
      <c r="A210" s="198"/>
      <c r="B210" s="198"/>
      <c r="C210" s="198" t="s">
        <v>1662</v>
      </c>
      <c r="D210" s="195">
        <v>1196</v>
      </c>
      <c r="E210" s="195">
        <v>39</v>
      </c>
      <c r="F210" s="195">
        <v>39</v>
      </c>
      <c r="G210" s="239">
        <v>203</v>
      </c>
      <c r="H210" s="197" t="s">
        <v>79</v>
      </c>
      <c r="I210" s="242" t="s">
        <v>9336</v>
      </c>
      <c r="J210" s="242" t="s">
        <v>9633</v>
      </c>
      <c r="K210" s="195" t="s">
        <v>71</v>
      </c>
      <c r="L210" s="20" t="str">
        <f ca="1">IF(OFFSET(환산공식!$ED$15,$F210,0)=1,"O","X")</f>
        <v>X</v>
      </c>
      <c r="M210" s="188">
        <f ca="1">IFERROR(OFFSET(환산공식!DJ$15,$F210,0),"")</f>
        <v>105</v>
      </c>
      <c r="N210" s="20" t="str">
        <f ca="1">IFERROR(CONCATENATE(ROUND(OFFSET(환산공식!DK$15,$F210,0),1),"%"),"")</f>
        <v>100%</v>
      </c>
      <c r="O210" s="20">
        <f ca="1">IFERROR(OFFSET(환산공식!DL$15,$F210,0),"")</f>
        <v>10</v>
      </c>
      <c r="P210" s="188" t="str">
        <f t="shared" ca="1" si="6"/>
        <v>3% 이하</v>
      </c>
      <c r="Q210" s="194">
        <f ca="1">IFERROR(ROUND(OFFSET(환산공식!$FG$15,$F210,0),3),"")</f>
        <v>0</v>
      </c>
      <c r="R210" s="194">
        <f ca="1">OFFSET('배치점수 계산기'!H$10,$D210,0)</f>
        <v>653.36500000000001</v>
      </c>
      <c r="S210" s="194">
        <f ca="1">OFFSET('배치점수 계산기'!I$10,$D210,0)</f>
        <v>651.15499999999997</v>
      </c>
      <c r="T210" s="194">
        <f ca="1">OFFSET('배치점수 계산기'!J$10,$D210,0)</f>
        <v>649.03700000000003</v>
      </c>
      <c r="U210" s="194">
        <f ca="1">OFFSET('배치점수 계산기'!K$10,$D210,0)</f>
        <v>644.55700000000002</v>
      </c>
      <c r="V210" s="194">
        <f ca="1">OFFSET('배치점수 계산기'!L$10,$D210,0)</f>
        <v>641.31299999999999</v>
      </c>
      <c r="W210" s="186" t="str">
        <f ca="1">OFFSET('배치점수 계산기'!M$10,$D210,0)</f>
        <v>표점/만점</v>
      </c>
      <c r="X210" s="184" t="str">
        <f ca="1">OFFSET('배치점수 계산기'!N$10,$D210,0)</f>
        <v>변표/만점</v>
      </c>
      <c r="Y210" s="188">
        <f ca="1">OFFSET(환산공식!FW$15,$F210,0)</f>
        <v>0.35</v>
      </c>
      <c r="Z210" s="20">
        <f ca="1">OFFSET(환산공식!FX$15,$F210,0)</f>
        <v>0.41</v>
      </c>
      <c r="AA210" s="179">
        <f ca="1">OFFSET(환산공식!FY$15,$F210,0)</f>
        <v>0.23</v>
      </c>
      <c r="AC210"/>
      <c r="AD210">
        <f t="shared" ca="1" si="7"/>
        <v>6</v>
      </c>
      <c r="AE210"/>
    </row>
    <row r="211" spans="1:31" s="3" customFormat="1">
      <c r="A211" s="198"/>
      <c r="B211" s="198"/>
      <c r="C211" s="198" t="s">
        <v>1663</v>
      </c>
      <c r="D211" s="195">
        <v>1197</v>
      </c>
      <c r="E211" s="195">
        <v>39</v>
      </c>
      <c r="F211" s="195">
        <v>39</v>
      </c>
      <c r="G211" s="239">
        <v>204</v>
      </c>
      <c r="H211" s="197" t="s">
        <v>79</v>
      </c>
      <c r="I211" s="242" t="s">
        <v>9336</v>
      </c>
      <c r="J211" s="242" t="s">
        <v>489</v>
      </c>
      <c r="K211" s="195" t="s">
        <v>71</v>
      </c>
      <c r="L211" s="20" t="str">
        <f ca="1">IF(OFFSET(환산공식!$ED$15,$F211,0)=1,"O","X")</f>
        <v>X</v>
      </c>
      <c r="M211" s="188">
        <f ca="1">IFERROR(OFFSET(환산공식!DJ$15,$F211,0),"")</f>
        <v>105</v>
      </c>
      <c r="N211" s="20" t="str">
        <f ca="1">IFERROR(CONCATENATE(ROUND(OFFSET(환산공식!DK$15,$F211,0),1),"%"),"")</f>
        <v>100%</v>
      </c>
      <c r="O211" s="20">
        <f ca="1">IFERROR(OFFSET(환산공식!DL$15,$F211,0),"")</f>
        <v>10</v>
      </c>
      <c r="P211" s="188" t="str">
        <f t="shared" ca="1" si="6"/>
        <v>3% 이하</v>
      </c>
      <c r="Q211" s="194">
        <f ca="1">IFERROR(ROUND(OFFSET(환산공식!$FG$15,$F211,0),3),"")</f>
        <v>0</v>
      </c>
      <c r="R211" s="194">
        <f ca="1">OFFSET('배치점수 계산기'!H$10,$D211,0)</f>
        <v>652.91999999999996</v>
      </c>
      <c r="S211" s="194">
        <f ca="1">OFFSET('배치점수 계산기'!I$10,$D211,0)</f>
        <v>650.327</v>
      </c>
      <c r="T211" s="194">
        <f ca="1">OFFSET('배치점수 계산기'!J$10,$D211,0)</f>
        <v>646.84400000000005</v>
      </c>
      <c r="U211" s="194">
        <f ca="1">OFFSET('배치점수 계산기'!K$10,$D211,0)</f>
        <v>644.62699999999995</v>
      </c>
      <c r="V211" s="194">
        <f ca="1">OFFSET('배치점수 계산기'!L$10,$D211,0)</f>
        <v>640.88699999999994</v>
      </c>
      <c r="W211" s="186" t="str">
        <f ca="1">OFFSET('배치점수 계산기'!M$10,$D211,0)</f>
        <v>표점/만점</v>
      </c>
      <c r="X211" s="184" t="str">
        <f ca="1">OFFSET('배치점수 계산기'!N$10,$D211,0)</f>
        <v>변표/만점</v>
      </c>
      <c r="Y211" s="188">
        <f ca="1">OFFSET(환산공식!FW$15,$F211,0)</f>
        <v>0.35</v>
      </c>
      <c r="Z211" s="20">
        <f ca="1">OFFSET(환산공식!FX$15,$F211,0)</f>
        <v>0.41</v>
      </c>
      <c r="AA211" s="179">
        <f ca="1">OFFSET(환산공식!FY$15,$F211,0)</f>
        <v>0.23</v>
      </c>
      <c r="AC211"/>
      <c r="AD211">
        <f t="shared" ca="1" si="7"/>
        <v>6</v>
      </c>
      <c r="AE211"/>
    </row>
    <row r="212" spans="1:31" s="3" customFormat="1">
      <c r="A212" s="198"/>
      <c r="B212" s="198"/>
      <c r="C212" s="198" t="s">
        <v>1664</v>
      </c>
      <c r="D212" s="195">
        <v>1198</v>
      </c>
      <c r="E212" s="195">
        <v>39</v>
      </c>
      <c r="F212" s="195">
        <v>39</v>
      </c>
      <c r="G212" s="239">
        <v>205</v>
      </c>
      <c r="H212" s="197" t="s">
        <v>79</v>
      </c>
      <c r="I212" s="242" t="s">
        <v>9336</v>
      </c>
      <c r="J212" s="242" t="s">
        <v>8726</v>
      </c>
      <c r="K212" s="195" t="s">
        <v>71</v>
      </c>
      <c r="L212" s="20" t="str">
        <f ca="1">IF(OFFSET(환산공식!$ED$15,$F212,0)=1,"O","X")</f>
        <v>X</v>
      </c>
      <c r="M212" s="188">
        <f ca="1">IFERROR(OFFSET(환산공식!DJ$15,$F212,0),"")</f>
        <v>105</v>
      </c>
      <c r="N212" s="20" t="str">
        <f ca="1">IFERROR(CONCATENATE(ROUND(OFFSET(환산공식!DK$15,$F212,0),1),"%"),"")</f>
        <v>100%</v>
      </c>
      <c r="O212" s="20">
        <f ca="1">IFERROR(OFFSET(환산공식!DL$15,$F212,0),"")</f>
        <v>10</v>
      </c>
      <c r="P212" s="188" t="str">
        <f t="shared" ca="1" si="6"/>
        <v>3% 이하</v>
      </c>
      <c r="Q212" s="194">
        <f ca="1">IFERROR(ROUND(OFFSET(환산공식!$FG$15,$F212,0),3),"")</f>
        <v>0</v>
      </c>
      <c r="R212" s="194">
        <f ca="1">OFFSET('배치점수 계산기'!H$10,$D212,0)</f>
        <v>652.44500000000005</v>
      </c>
      <c r="S212" s="194">
        <f ca="1">OFFSET('배치점수 계산기'!I$10,$D212,0)</f>
        <v>649.90099999999995</v>
      </c>
      <c r="T212" s="194">
        <f ca="1">OFFSET('배치점수 계산기'!J$10,$D212,0)</f>
        <v>646.54100000000005</v>
      </c>
      <c r="U212" s="194">
        <f ca="1">OFFSET('배치점수 계산기'!K$10,$D212,0)</f>
        <v>644.23800000000006</v>
      </c>
      <c r="V212" s="194">
        <f ca="1">OFFSET('배치점수 계산기'!L$10,$D212,0)</f>
        <v>639.83600000000001</v>
      </c>
      <c r="W212" s="186" t="str">
        <f ca="1">OFFSET('배치점수 계산기'!M$10,$D212,0)</f>
        <v>표점/만점</v>
      </c>
      <c r="X212" s="184" t="str">
        <f ca="1">OFFSET('배치점수 계산기'!N$10,$D212,0)</f>
        <v>변표/만점</v>
      </c>
      <c r="Y212" s="188">
        <f ca="1">OFFSET(환산공식!FW$15,$F212,0)</f>
        <v>0.35</v>
      </c>
      <c r="Z212" s="20">
        <f ca="1">OFFSET(환산공식!FX$15,$F212,0)</f>
        <v>0.41</v>
      </c>
      <c r="AA212" s="179">
        <f ca="1">OFFSET(환산공식!FY$15,$F212,0)</f>
        <v>0.23</v>
      </c>
      <c r="AC212"/>
      <c r="AD212">
        <f t="shared" ca="1" si="7"/>
        <v>6</v>
      </c>
      <c r="AE212"/>
    </row>
    <row r="213" spans="1:31" s="3" customFormat="1">
      <c r="A213" s="198"/>
      <c r="B213" s="198"/>
      <c r="C213" s="198" t="s">
        <v>1665</v>
      </c>
      <c r="D213" s="195">
        <v>1199</v>
      </c>
      <c r="E213" s="195">
        <v>38</v>
      </c>
      <c r="F213" s="195">
        <v>38</v>
      </c>
      <c r="G213" s="239">
        <v>206</v>
      </c>
      <c r="H213" s="197" t="s">
        <v>79</v>
      </c>
      <c r="I213" s="242" t="s">
        <v>9336</v>
      </c>
      <c r="J213" s="242" t="s">
        <v>9761</v>
      </c>
      <c r="K213" s="195" t="s">
        <v>71</v>
      </c>
      <c r="L213" s="20" t="str">
        <f ca="1">IF(OFFSET(환산공식!$ED$15,$F213,0)=1,"O","X")</f>
        <v>X</v>
      </c>
      <c r="M213" s="188">
        <f ca="1">IFERROR(OFFSET(환산공식!DJ$15,$F213,0),"")</f>
        <v>140</v>
      </c>
      <c r="N213" s="20" t="str">
        <f ca="1">IFERROR(CONCATENATE(ROUND(OFFSET(환산공식!DK$15,$F213,0),1),"%"),"")</f>
        <v>100%</v>
      </c>
      <c r="O213" s="20">
        <f ca="1">IFERROR(OFFSET(환산공식!DL$15,$F213,0),"")</f>
        <v>10</v>
      </c>
      <c r="P213" s="188" t="str">
        <f t="shared" ca="1" si="6"/>
        <v>3% 이하</v>
      </c>
      <c r="Q213" s="194">
        <f ca="1">IFERROR(ROUND(OFFSET(환산공식!$FG$15,$F213,0),3),"")</f>
        <v>0</v>
      </c>
      <c r="R213" s="194">
        <f ca="1">OFFSET('배치점수 계산기'!H$10,$D213,0)</f>
        <v>656.88499999999999</v>
      </c>
      <c r="S213" s="194">
        <f ca="1">OFFSET('배치점수 계산기'!I$10,$D213,0)</f>
        <v>652.601</v>
      </c>
      <c r="T213" s="194">
        <f ca="1">OFFSET('배치점수 계산기'!J$10,$D213,0)</f>
        <v>649.63</v>
      </c>
      <c r="U213" s="194">
        <f ca="1">OFFSET('배치점수 계산기'!K$10,$D213,0)</f>
        <v>646.18100000000004</v>
      </c>
      <c r="V213" s="194">
        <f ca="1">OFFSET('배치점수 계산기'!L$10,$D213,0)</f>
        <v>642.91099999999994</v>
      </c>
      <c r="W213" s="186" t="str">
        <f ca="1">OFFSET('배치점수 계산기'!M$10,$D213,0)</f>
        <v>표점/만점</v>
      </c>
      <c r="X213" s="184" t="str">
        <f ca="1">OFFSET('배치점수 계산기'!N$10,$D213,0)</f>
        <v>변표/만점</v>
      </c>
      <c r="Y213" s="188">
        <f ca="1">OFFSET(환산공식!FW$15,$F213,0)</f>
        <v>0.38</v>
      </c>
      <c r="Z213" s="20">
        <f ca="1">OFFSET(환산공식!FX$15,$F213,0)</f>
        <v>0.37</v>
      </c>
      <c r="AA213" s="179">
        <f ca="1">OFFSET(환산공식!FY$15,$F213,0)</f>
        <v>0.25</v>
      </c>
      <c r="AC213"/>
      <c r="AD213">
        <f t="shared" ca="1" si="7"/>
        <v>6</v>
      </c>
      <c r="AE213"/>
    </row>
    <row r="214" spans="1:31" s="3" customFormat="1">
      <c r="A214" s="198"/>
      <c r="B214" s="198"/>
      <c r="C214" s="198" t="s">
        <v>1666</v>
      </c>
      <c r="D214" s="195">
        <v>1200</v>
      </c>
      <c r="E214" s="195">
        <v>39</v>
      </c>
      <c r="F214" s="195">
        <v>39</v>
      </c>
      <c r="G214" s="239">
        <v>207</v>
      </c>
      <c r="H214" s="197" t="s">
        <v>79</v>
      </c>
      <c r="I214" s="242" t="s">
        <v>9336</v>
      </c>
      <c r="J214" s="242" t="s">
        <v>8534</v>
      </c>
      <c r="K214" s="195" t="s">
        <v>71</v>
      </c>
      <c r="L214" s="20" t="str">
        <f ca="1">IF(OFFSET(환산공식!$ED$15,$F214,0)=1,"O","X")</f>
        <v>X</v>
      </c>
      <c r="M214" s="188">
        <f ca="1">IFERROR(OFFSET(환산공식!DJ$15,$F214,0),"")</f>
        <v>105</v>
      </c>
      <c r="N214" s="20" t="str">
        <f ca="1">IFERROR(CONCATENATE(ROUND(OFFSET(환산공식!DK$15,$F214,0),1),"%"),"")</f>
        <v>100%</v>
      </c>
      <c r="O214" s="20">
        <f ca="1">IFERROR(OFFSET(환산공식!DL$15,$F214,0),"")</f>
        <v>10</v>
      </c>
      <c r="P214" s="188" t="str">
        <f t="shared" ca="1" si="6"/>
        <v>3% 이하</v>
      </c>
      <c r="Q214" s="194">
        <f ca="1">IFERROR(ROUND(OFFSET(환산공식!$FG$15,$F214,0),3),"")</f>
        <v>0</v>
      </c>
      <c r="R214" s="194">
        <f ca="1">OFFSET('배치점수 계산기'!H$10,$D214,0)</f>
        <v>651.75400000000002</v>
      </c>
      <c r="S214" s="194">
        <f ca="1">OFFSET('배치점수 계산기'!I$10,$D214,0)</f>
        <v>649.03700000000003</v>
      </c>
      <c r="T214" s="194">
        <f ca="1">OFFSET('배치점수 계산기'!J$10,$D214,0)</f>
        <v>645.87599999999998</v>
      </c>
      <c r="U214" s="194">
        <f ca="1">OFFSET('배치점수 계산기'!K$10,$D214,0)</f>
        <v>643.68399999999997</v>
      </c>
      <c r="V214" s="194">
        <f ca="1">OFFSET('배치점수 계산기'!L$10,$D214,0)</f>
        <v>639.03</v>
      </c>
      <c r="W214" s="186" t="str">
        <f ca="1">OFFSET('배치점수 계산기'!M$10,$D214,0)</f>
        <v>표점/만점</v>
      </c>
      <c r="X214" s="184" t="str">
        <f ca="1">OFFSET('배치점수 계산기'!N$10,$D214,0)</f>
        <v>변표/만점</v>
      </c>
      <c r="Y214" s="188">
        <f ca="1">OFFSET(환산공식!FW$15,$F214,0)</f>
        <v>0.35</v>
      </c>
      <c r="Z214" s="20">
        <f ca="1">OFFSET(환산공식!FX$15,$F214,0)</f>
        <v>0.41</v>
      </c>
      <c r="AA214" s="179">
        <f ca="1">OFFSET(환산공식!FY$15,$F214,0)</f>
        <v>0.23</v>
      </c>
      <c r="AC214"/>
      <c r="AD214">
        <f t="shared" ca="1" si="7"/>
        <v>6</v>
      </c>
      <c r="AE214"/>
    </row>
    <row r="215" spans="1:31" s="3" customFormat="1">
      <c r="A215" s="198"/>
      <c r="B215" s="198"/>
      <c r="C215" s="198" t="s">
        <v>1667</v>
      </c>
      <c r="D215" s="195">
        <v>1201</v>
      </c>
      <c r="E215" s="195">
        <v>38</v>
      </c>
      <c r="F215" s="195">
        <v>38</v>
      </c>
      <c r="G215" s="239">
        <v>208</v>
      </c>
      <c r="H215" s="197" t="s">
        <v>79</v>
      </c>
      <c r="I215" s="242" t="s">
        <v>9336</v>
      </c>
      <c r="J215" s="242" t="s">
        <v>9806</v>
      </c>
      <c r="K215" s="195" t="s">
        <v>71</v>
      </c>
      <c r="L215" s="20" t="str">
        <f ca="1">IF(OFFSET(환산공식!$ED$15,$F215,0)=1,"O","X")</f>
        <v>X</v>
      </c>
      <c r="M215" s="188">
        <f ca="1">IFERROR(OFFSET(환산공식!DJ$15,$F215,0),"")</f>
        <v>140</v>
      </c>
      <c r="N215" s="20" t="str">
        <f ca="1">IFERROR(CONCATENATE(ROUND(OFFSET(환산공식!DK$15,$F215,0),1),"%"),"")</f>
        <v>100%</v>
      </c>
      <c r="O215" s="20">
        <f ca="1">IFERROR(OFFSET(환산공식!DL$15,$F215,0),"")</f>
        <v>10</v>
      </c>
      <c r="P215" s="188" t="str">
        <f t="shared" ca="1" si="6"/>
        <v>3% 이하</v>
      </c>
      <c r="Q215" s="194">
        <f ca="1">IFERROR(ROUND(OFFSET(환산공식!$FG$15,$F215,0),3),"")</f>
        <v>0</v>
      </c>
      <c r="R215" s="194">
        <f ca="1">OFFSET('배치점수 계산기'!H$10,$D215,0)</f>
        <v>654.56500000000005</v>
      </c>
      <c r="S215" s="194">
        <f ca="1">OFFSET('배치점수 계산기'!I$10,$D215,0)</f>
        <v>652.11699999999996</v>
      </c>
      <c r="T215" s="194">
        <f ca="1">OFFSET('배치점수 계산기'!J$10,$D215,0)</f>
        <v>649.10199999999998</v>
      </c>
      <c r="U215" s="194">
        <f ca="1">OFFSET('배치점수 계산기'!K$10,$D215,0)</f>
        <v>646.88</v>
      </c>
      <c r="V215" s="194">
        <f ca="1">OFFSET('배치점수 계산기'!L$10,$D215,0)</f>
        <v>642.36699999999996</v>
      </c>
      <c r="W215" s="186" t="str">
        <f ca="1">OFFSET('배치점수 계산기'!M$10,$D215,0)</f>
        <v>표점/만점</v>
      </c>
      <c r="X215" s="184" t="str">
        <f ca="1">OFFSET('배치점수 계산기'!N$10,$D215,0)</f>
        <v>변표/만점</v>
      </c>
      <c r="Y215" s="188">
        <f ca="1">OFFSET(환산공식!FW$15,$F215,0)</f>
        <v>0.38</v>
      </c>
      <c r="Z215" s="20">
        <f ca="1">OFFSET(환산공식!FX$15,$F215,0)</f>
        <v>0.37</v>
      </c>
      <c r="AA215" s="179">
        <f ca="1">OFFSET(환산공식!FY$15,$F215,0)</f>
        <v>0.25</v>
      </c>
      <c r="AC215"/>
      <c r="AD215">
        <f t="shared" ca="1" si="7"/>
        <v>6</v>
      </c>
      <c r="AE215"/>
    </row>
    <row r="216" spans="1:31" s="3" customFormat="1">
      <c r="A216" s="198"/>
      <c r="B216" s="198"/>
      <c r="C216" s="198" t="s">
        <v>1668</v>
      </c>
      <c r="D216" s="195">
        <v>1202</v>
      </c>
      <c r="E216" s="195">
        <v>38</v>
      </c>
      <c r="F216" s="195">
        <v>38</v>
      </c>
      <c r="G216" s="239">
        <v>209</v>
      </c>
      <c r="H216" s="197" t="s">
        <v>79</v>
      </c>
      <c r="I216" s="242" t="s">
        <v>9336</v>
      </c>
      <c r="J216" s="242" t="s">
        <v>9818</v>
      </c>
      <c r="K216" s="195" t="s">
        <v>71</v>
      </c>
      <c r="L216" s="20" t="str">
        <f ca="1">IF(OFFSET(환산공식!$ED$15,$F216,0)=1,"O","X")</f>
        <v>X</v>
      </c>
      <c r="M216" s="188">
        <f ca="1">IFERROR(OFFSET(환산공식!DJ$15,$F216,0),"")</f>
        <v>140</v>
      </c>
      <c r="N216" s="20" t="str">
        <f ca="1">IFERROR(CONCATENATE(ROUND(OFFSET(환산공식!DK$15,$F216,0),1),"%"),"")</f>
        <v>100%</v>
      </c>
      <c r="O216" s="20">
        <f ca="1">IFERROR(OFFSET(환산공식!DL$15,$F216,0),"")</f>
        <v>10</v>
      </c>
      <c r="P216" s="188" t="str">
        <f t="shared" ca="1" si="6"/>
        <v>3% 이하</v>
      </c>
      <c r="Q216" s="194">
        <f ca="1">IFERROR(ROUND(OFFSET(환산공식!$FG$15,$F216,0),3),"")</f>
        <v>0</v>
      </c>
      <c r="R216" s="194">
        <f ca="1">OFFSET('배치점수 계산기'!H$10,$D216,0)</f>
        <v>654.27099999999996</v>
      </c>
      <c r="S216" s="194">
        <f ca="1">OFFSET('배치점수 계산기'!I$10,$D216,0)</f>
        <v>651.73699999999997</v>
      </c>
      <c r="T216" s="194">
        <f ca="1">OFFSET('배치점수 계산기'!J$10,$D216,0)</f>
        <v>648.70899999999995</v>
      </c>
      <c r="U216" s="194">
        <f ca="1">OFFSET('배치점수 계산기'!K$10,$D216,0)</f>
        <v>646.18100000000004</v>
      </c>
      <c r="V216" s="194">
        <f ca="1">OFFSET('배치점수 계산기'!L$10,$D216,0)</f>
        <v>641.97400000000005</v>
      </c>
      <c r="W216" s="186" t="str">
        <f ca="1">OFFSET('배치점수 계산기'!M$10,$D216,0)</f>
        <v>표점/만점</v>
      </c>
      <c r="X216" s="184" t="str">
        <f ca="1">OFFSET('배치점수 계산기'!N$10,$D216,0)</f>
        <v>변표/만점</v>
      </c>
      <c r="Y216" s="188">
        <f ca="1">OFFSET(환산공식!FW$15,$F216,0)</f>
        <v>0.38</v>
      </c>
      <c r="Z216" s="20">
        <f ca="1">OFFSET(환산공식!FX$15,$F216,0)</f>
        <v>0.37</v>
      </c>
      <c r="AA216" s="179">
        <f ca="1">OFFSET(환산공식!FY$15,$F216,0)</f>
        <v>0.25</v>
      </c>
      <c r="AC216"/>
      <c r="AD216">
        <f t="shared" ca="1" si="7"/>
        <v>6</v>
      </c>
      <c r="AE216"/>
    </row>
    <row r="217" spans="1:31" s="3" customFormat="1">
      <c r="A217" s="198"/>
      <c r="B217" s="198"/>
      <c r="C217" s="198" t="s">
        <v>1669</v>
      </c>
      <c r="D217" s="195">
        <v>1203</v>
      </c>
      <c r="E217" s="195">
        <v>38</v>
      </c>
      <c r="F217" s="195">
        <v>38</v>
      </c>
      <c r="G217" s="239">
        <v>210</v>
      </c>
      <c r="H217" s="197" t="s">
        <v>79</v>
      </c>
      <c r="I217" s="242" t="s">
        <v>9336</v>
      </c>
      <c r="J217" s="242" t="s">
        <v>9827</v>
      </c>
      <c r="K217" s="195" t="s">
        <v>71</v>
      </c>
      <c r="L217" s="20" t="str">
        <f ca="1">IF(OFFSET(환산공식!$ED$15,$F217,0)=1,"O","X")</f>
        <v>X</v>
      </c>
      <c r="M217" s="188">
        <f ca="1">IFERROR(OFFSET(환산공식!DJ$15,$F217,0),"")</f>
        <v>140</v>
      </c>
      <c r="N217" s="20" t="str">
        <f ca="1">IFERROR(CONCATENATE(ROUND(OFFSET(환산공식!DK$15,$F217,0),1),"%"),"")</f>
        <v>100%</v>
      </c>
      <c r="O217" s="20">
        <f ca="1">IFERROR(OFFSET(환산공식!DL$15,$F217,0),"")</f>
        <v>10</v>
      </c>
      <c r="P217" s="188" t="str">
        <f t="shared" ca="1" si="6"/>
        <v>3% 이하</v>
      </c>
      <c r="Q217" s="194">
        <f ca="1">IFERROR(ROUND(OFFSET(환산공식!$FG$15,$F217,0),3),"")</f>
        <v>0</v>
      </c>
      <c r="R217" s="194">
        <f ca="1">OFFSET('배치점수 계산기'!H$10,$D217,0)</f>
        <v>654.27099999999996</v>
      </c>
      <c r="S217" s="194">
        <f ca="1">OFFSET('배치점수 계산기'!I$10,$D217,0)</f>
        <v>651.73699999999997</v>
      </c>
      <c r="T217" s="194">
        <f ca="1">OFFSET('배치점수 계산기'!J$10,$D217,0)</f>
        <v>648.70899999999995</v>
      </c>
      <c r="U217" s="194">
        <f ca="1">OFFSET('배치점수 계산기'!K$10,$D217,0)</f>
        <v>646.18100000000004</v>
      </c>
      <c r="V217" s="194">
        <f ca="1">OFFSET('배치점수 계산기'!L$10,$D217,0)</f>
        <v>641.97400000000005</v>
      </c>
      <c r="W217" s="186" t="str">
        <f ca="1">OFFSET('배치점수 계산기'!M$10,$D217,0)</f>
        <v>표점/만점</v>
      </c>
      <c r="X217" s="184" t="str">
        <f ca="1">OFFSET('배치점수 계산기'!N$10,$D217,0)</f>
        <v>변표/만점</v>
      </c>
      <c r="Y217" s="188">
        <f ca="1">OFFSET(환산공식!FW$15,$F217,0)</f>
        <v>0.38</v>
      </c>
      <c r="Z217" s="20">
        <f ca="1">OFFSET(환산공식!FX$15,$F217,0)</f>
        <v>0.37</v>
      </c>
      <c r="AA217" s="179">
        <f ca="1">OFFSET(환산공식!FY$15,$F217,0)</f>
        <v>0.25</v>
      </c>
      <c r="AC217"/>
      <c r="AD217">
        <f t="shared" ca="1" si="7"/>
        <v>6</v>
      </c>
      <c r="AE217"/>
    </row>
    <row r="218" spans="1:31" s="3" customFormat="1">
      <c r="A218" s="198"/>
      <c r="B218" s="198"/>
      <c r="C218" s="198" t="s">
        <v>1670</v>
      </c>
      <c r="D218" s="195">
        <v>1204</v>
      </c>
      <c r="E218" s="195">
        <v>39</v>
      </c>
      <c r="F218" s="195">
        <v>39</v>
      </c>
      <c r="G218" s="239">
        <v>211</v>
      </c>
      <c r="H218" s="197" t="s">
        <v>79</v>
      </c>
      <c r="I218" s="242" t="s">
        <v>9336</v>
      </c>
      <c r="J218" s="242" t="s">
        <v>491</v>
      </c>
      <c r="K218" s="195" t="s">
        <v>71</v>
      </c>
      <c r="L218" s="20" t="str">
        <f ca="1">IF(OFFSET(환산공식!$ED$15,$F218,0)=1,"O","X")</f>
        <v>X</v>
      </c>
      <c r="M218" s="188">
        <f ca="1">IFERROR(OFFSET(환산공식!DJ$15,$F218,0),"")</f>
        <v>105</v>
      </c>
      <c r="N218" s="20" t="str">
        <f ca="1">IFERROR(CONCATENATE(ROUND(OFFSET(환산공식!DK$15,$F218,0),1),"%"),"")</f>
        <v>100%</v>
      </c>
      <c r="O218" s="20">
        <f ca="1">IFERROR(OFFSET(환산공식!DL$15,$F218,0),"")</f>
        <v>10</v>
      </c>
      <c r="P218" s="188" t="str">
        <f t="shared" ca="1" si="6"/>
        <v>3% 이하</v>
      </c>
      <c r="Q218" s="194">
        <f ca="1">IFERROR(ROUND(OFFSET(환산공식!$FG$15,$F218,0),3),"")</f>
        <v>0</v>
      </c>
      <c r="R218" s="194">
        <f ca="1">OFFSET('배치점수 계산기'!H$10,$D218,0)</f>
        <v>647.22299999999996</v>
      </c>
      <c r="S218" s="194">
        <f ca="1">OFFSET('배치점수 계산기'!I$10,$D218,0)</f>
        <v>646.16200000000003</v>
      </c>
      <c r="T218" s="194">
        <f ca="1">OFFSET('배치점수 계산기'!J$10,$D218,0)</f>
        <v>645.13699999999994</v>
      </c>
      <c r="U218" s="194">
        <f ca="1">OFFSET('배치점수 계산기'!K$10,$D218,0)</f>
        <v>636.06399999999996</v>
      </c>
      <c r="V218" s="194">
        <f ca="1">OFFSET('배치점수 계산기'!L$10,$D218,0)</f>
        <v>632.95399999999995</v>
      </c>
      <c r="W218" s="186" t="str">
        <f ca="1">OFFSET('배치점수 계산기'!M$10,$D218,0)</f>
        <v>표점/만점</v>
      </c>
      <c r="X218" s="184" t="str">
        <f ca="1">OFFSET('배치점수 계산기'!N$10,$D218,0)</f>
        <v>변표/만점</v>
      </c>
      <c r="Y218" s="188">
        <f ca="1">OFFSET(환산공식!FW$15,$F218,0)</f>
        <v>0.35</v>
      </c>
      <c r="Z218" s="20">
        <f ca="1">OFFSET(환산공식!FX$15,$F218,0)</f>
        <v>0.41</v>
      </c>
      <c r="AA218" s="179">
        <f ca="1">OFFSET(환산공식!FY$15,$F218,0)</f>
        <v>0.23</v>
      </c>
      <c r="AC218"/>
      <c r="AD218">
        <f t="shared" ca="1" si="7"/>
        <v>6</v>
      </c>
      <c r="AE218"/>
    </row>
    <row r="219" spans="1:31" s="3" customFormat="1">
      <c r="A219" s="198"/>
      <c r="B219" s="198"/>
      <c r="C219" s="198" t="s">
        <v>1671</v>
      </c>
      <c r="D219" s="195">
        <v>1205</v>
      </c>
      <c r="E219" s="195">
        <v>39</v>
      </c>
      <c r="F219" s="195">
        <v>39</v>
      </c>
      <c r="G219" s="239">
        <v>212</v>
      </c>
      <c r="H219" s="197" t="s">
        <v>79</v>
      </c>
      <c r="I219" s="242" t="s">
        <v>9336</v>
      </c>
      <c r="J219" s="242" t="s">
        <v>9896</v>
      </c>
      <c r="K219" s="195" t="s">
        <v>71</v>
      </c>
      <c r="L219" s="20" t="str">
        <f ca="1">IF(OFFSET(환산공식!$ED$15,$F219,0)=1,"O","X")</f>
        <v>X</v>
      </c>
      <c r="M219" s="188">
        <f ca="1">IFERROR(OFFSET(환산공식!DJ$15,$F219,0),"")</f>
        <v>105</v>
      </c>
      <c r="N219" s="20" t="str">
        <f ca="1">IFERROR(CONCATENATE(ROUND(OFFSET(환산공식!DK$15,$F219,0),1),"%"),"")</f>
        <v>100%</v>
      </c>
      <c r="O219" s="20">
        <f ca="1">IFERROR(OFFSET(환산공식!DL$15,$F219,0),"")</f>
        <v>10</v>
      </c>
      <c r="P219" s="188" t="str">
        <f t="shared" ca="1" si="6"/>
        <v>3% 이하</v>
      </c>
      <c r="Q219" s="194">
        <f ca="1">IFERROR(ROUND(OFFSET(환산공식!$FG$15,$F219,0),3),"")</f>
        <v>0</v>
      </c>
      <c r="R219" s="194">
        <f ca="1">OFFSET('배치점수 계산기'!H$10,$D219,0)</f>
        <v>648.35500000000002</v>
      </c>
      <c r="S219" s="194">
        <f ca="1">OFFSET('배치점수 계산기'!I$10,$D219,0)</f>
        <v>646.71699999999998</v>
      </c>
      <c r="T219" s="194">
        <f ca="1">OFFSET('배치점수 계산기'!J$10,$D219,0)</f>
        <v>645.13699999999994</v>
      </c>
      <c r="U219" s="194">
        <f ca="1">OFFSET('배치점수 계산기'!K$10,$D219,0)</f>
        <v>638.38199999999995</v>
      </c>
      <c r="V219" s="194">
        <f ca="1">OFFSET('배치점수 계산기'!L$10,$D219,0)</f>
        <v>635.40200000000004</v>
      </c>
      <c r="W219" s="186" t="str">
        <f ca="1">OFFSET('배치점수 계산기'!M$10,$D219,0)</f>
        <v>표점/만점</v>
      </c>
      <c r="X219" s="184" t="str">
        <f ca="1">OFFSET('배치점수 계산기'!N$10,$D219,0)</f>
        <v>변표/만점</v>
      </c>
      <c r="Y219" s="188">
        <f ca="1">OFFSET(환산공식!FW$15,$F219,0)</f>
        <v>0.35</v>
      </c>
      <c r="Z219" s="20">
        <f ca="1">OFFSET(환산공식!FX$15,$F219,0)</f>
        <v>0.41</v>
      </c>
      <c r="AA219" s="179">
        <f ca="1">OFFSET(환산공식!FY$15,$F219,0)</f>
        <v>0.23</v>
      </c>
      <c r="AC219"/>
      <c r="AD219">
        <f t="shared" ca="1" si="7"/>
        <v>6</v>
      </c>
      <c r="AE219"/>
    </row>
    <row r="220" spans="1:31" s="3" customFormat="1">
      <c r="A220" s="198"/>
      <c r="B220" s="198"/>
      <c r="C220" s="198" t="s">
        <v>1672</v>
      </c>
      <c r="D220" s="195">
        <v>1206</v>
      </c>
      <c r="E220" s="195">
        <v>38</v>
      </c>
      <c r="F220" s="195">
        <v>38</v>
      </c>
      <c r="G220" s="239">
        <v>213</v>
      </c>
      <c r="H220" s="197" t="s">
        <v>79</v>
      </c>
      <c r="I220" s="242" t="s">
        <v>9336</v>
      </c>
      <c r="J220" s="242" t="s">
        <v>9899</v>
      </c>
      <c r="K220" s="195" t="s">
        <v>71</v>
      </c>
      <c r="L220" s="20" t="str">
        <f ca="1">IF(OFFSET(환산공식!$ED$15,$F220,0)=1,"O","X")</f>
        <v>X</v>
      </c>
      <c r="M220" s="188">
        <f ca="1">IFERROR(OFFSET(환산공식!DJ$15,$F220,0),"")</f>
        <v>140</v>
      </c>
      <c r="N220" s="20" t="str">
        <f ca="1">IFERROR(CONCATENATE(ROUND(OFFSET(환산공식!DK$15,$F220,0),1),"%"),"")</f>
        <v>100%</v>
      </c>
      <c r="O220" s="20">
        <f ca="1">IFERROR(OFFSET(환산공식!DL$15,$F220,0),"")</f>
        <v>10</v>
      </c>
      <c r="P220" s="188" t="str">
        <f t="shared" ca="1" si="6"/>
        <v>3% 이하</v>
      </c>
      <c r="Q220" s="194">
        <f ca="1">IFERROR(ROUND(OFFSET(환산공식!$FG$15,$F220,0),3),"")</f>
        <v>0</v>
      </c>
      <c r="R220" s="194">
        <f ca="1">OFFSET('배치점수 계산기'!H$10,$D220,0)</f>
        <v>653.11800000000005</v>
      </c>
      <c r="S220" s="194">
        <f ca="1">OFFSET('배치점수 계산기'!I$10,$D220,0)</f>
        <v>650.67499999999995</v>
      </c>
      <c r="T220" s="194">
        <f ca="1">OFFSET('배치점수 계산기'!J$10,$D220,0)</f>
        <v>648.53700000000003</v>
      </c>
      <c r="U220" s="194">
        <f ca="1">OFFSET('배치점수 계산기'!K$10,$D220,0)</f>
        <v>645.70799999999997</v>
      </c>
      <c r="V220" s="194">
        <f ca="1">OFFSET('배치점수 계산기'!L$10,$D220,0)</f>
        <v>640.82100000000003</v>
      </c>
      <c r="W220" s="186" t="str">
        <f ca="1">OFFSET('배치점수 계산기'!M$10,$D220,0)</f>
        <v>표점/만점</v>
      </c>
      <c r="X220" s="184" t="str">
        <f ca="1">OFFSET('배치점수 계산기'!N$10,$D220,0)</f>
        <v>변표/만점</v>
      </c>
      <c r="Y220" s="188">
        <f ca="1">OFFSET(환산공식!FW$15,$F220,0)</f>
        <v>0.38</v>
      </c>
      <c r="Z220" s="20">
        <f ca="1">OFFSET(환산공식!FX$15,$F220,0)</f>
        <v>0.37</v>
      </c>
      <c r="AA220" s="179">
        <f ca="1">OFFSET(환산공식!FY$15,$F220,0)</f>
        <v>0.25</v>
      </c>
      <c r="AC220"/>
      <c r="AD220">
        <f t="shared" ca="1" si="7"/>
        <v>6</v>
      </c>
      <c r="AE220"/>
    </row>
    <row r="221" spans="1:31" s="3" customFormat="1">
      <c r="A221" s="198"/>
      <c r="B221" s="198"/>
      <c r="C221" s="198" t="s">
        <v>1673</v>
      </c>
      <c r="D221" s="195">
        <v>1207</v>
      </c>
      <c r="E221" s="195">
        <v>38</v>
      </c>
      <c r="F221" s="195">
        <v>38</v>
      </c>
      <c r="G221" s="239">
        <v>214</v>
      </c>
      <c r="H221" s="197" t="s">
        <v>79</v>
      </c>
      <c r="I221" s="242" t="s">
        <v>9336</v>
      </c>
      <c r="J221" s="242" t="s">
        <v>9907</v>
      </c>
      <c r="K221" s="195" t="s">
        <v>71</v>
      </c>
      <c r="L221" s="20" t="str">
        <f ca="1">IF(OFFSET(환산공식!$ED$15,$F221,0)=1,"O","X")</f>
        <v>X</v>
      </c>
      <c r="M221" s="188">
        <f ca="1">IFERROR(OFFSET(환산공식!DJ$15,$F221,0),"")</f>
        <v>140</v>
      </c>
      <c r="N221" s="20" t="str">
        <f ca="1">IFERROR(CONCATENATE(ROUND(OFFSET(환산공식!DK$15,$F221,0),1),"%"),"")</f>
        <v>100%</v>
      </c>
      <c r="O221" s="20">
        <f ca="1">IFERROR(OFFSET(환산공식!DL$15,$F221,0),"")</f>
        <v>10</v>
      </c>
      <c r="P221" s="188" t="str">
        <f t="shared" ca="1" si="6"/>
        <v>3% 이하</v>
      </c>
      <c r="Q221" s="194">
        <f ca="1">IFERROR(ROUND(OFFSET(환산공식!$FG$15,$F221,0),3),"")</f>
        <v>0</v>
      </c>
      <c r="R221" s="194">
        <f ca="1">OFFSET('배치점수 계산기'!H$10,$D221,0)</f>
        <v>653.11800000000005</v>
      </c>
      <c r="S221" s="194">
        <f ca="1">OFFSET('배치점수 계산기'!I$10,$D221,0)</f>
        <v>650.67499999999995</v>
      </c>
      <c r="T221" s="194">
        <f ca="1">OFFSET('배치점수 계산기'!J$10,$D221,0)</f>
        <v>648.53700000000003</v>
      </c>
      <c r="U221" s="194">
        <f ca="1">OFFSET('배치점수 계산기'!K$10,$D221,0)</f>
        <v>645.70799999999997</v>
      </c>
      <c r="V221" s="194">
        <f ca="1">OFFSET('배치점수 계산기'!L$10,$D221,0)</f>
        <v>640.82100000000003</v>
      </c>
      <c r="W221" s="186" t="str">
        <f ca="1">OFFSET('배치점수 계산기'!M$10,$D221,0)</f>
        <v>표점/만점</v>
      </c>
      <c r="X221" s="184" t="str">
        <f ca="1">OFFSET('배치점수 계산기'!N$10,$D221,0)</f>
        <v>변표/만점</v>
      </c>
      <c r="Y221" s="188">
        <f ca="1">OFFSET(환산공식!FW$15,$F221,0)</f>
        <v>0.38</v>
      </c>
      <c r="Z221" s="20">
        <f ca="1">OFFSET(환산공식!FX$15,$F221,0)</f>
        <v>0.37</v>
      </c>
      <c r="AA221" s="179">
        <f ca="1">OFFSET(환산공식!FY$15,$F221,0)</f>
        <v>0.25</v>
      </c>
      <c r="AC221"/>
      <c r="AD221">
        <f t="shared" ca="1" si="7"/>
        <v>6</v>
      </c>
      <c r="AE221"/>
    </row>
    <row r="222" spans="1:31" s="3" customFormat="1">
      <c r="A222" s="198"/>
      <c r="B222" s="198"/>
      <c r="C222" s="198" t="s">
        <v>1674</v>
      </c>
      <c r="D222" s="195">
        <v>1208</v>
      </c>
      <c r="E222" s="195">
        <v>38</v>
      </c>
      <c r="F222" s="195">
        <v>38</v>
      </c>
      <c r="G222" s="239">
        <v>215</v>
      </c>
      <c r="H222" s="197" t="s">
        <v>79</v>
      </c>
      <c r="I222" s="242" t="s">
        <v>9336</v>
      </c>
      <c r="J222" s="242" t="s">
        <v>9848</v>
      </c>
      <c r="K222" s="195" t="s">
        <v>71</v>
      </c>
      <c r="L222" s="20" t="str">
        <f ca="1">IF(OFFSET(환산공식!$ED$15,$F222,0)=1,"O","X")</f>
        <v>X</v>
      </c>
      <c r="M222" s="188">
        <f ca="1">IFERROR(OFFSET(환산공식!DJ$15,$F222,0),"")</f>
        <v>140</v>
      </c>
      <c r="N222" s="20" t="str">
        <f ca="1">IFERROR(CONCATENATE(ROUND(OFFSET(환산공식!DK$15,$F222,0),1),"%"),"")</f>
        <v>100%</v>
      </c>
      <c r="O222" s="20">
        <f ca="1">IFERROR(OFFSET(환산공식!DL$15,$F222,0),"")</f>
        <v>10</v>
      </c>
      <c r="P222" s="188" t="str">
        <f t="shared" ca="1" si="6"/>
        <v>3% 이하</v>
      </c>
      <c r="Q222" s="194">
        <f ca="1">IFERROR(ROUND(OFFSET(환산공식!$FG$15,$F222,0),3),"")</f>
        <v>0</v>
      </c>
      <c r="R222" s="194">
        <f ca="1">OFFSET('배치점수 계산기'!H$10,$D222,0)</f>
        <v>653.93100000000004</v>
      </c>
      <c r="S222" s="194">
        <f ca="1">OFFSET('배치점수 계산기'!I$10,$D222,0)</f>
        <v>651.34100000000001</v>
      </c>
      <c r="T222" s="194">
        <f ca="1">OFFSET('배치점수 계산기'!J$10,$D222,0)</f>
        <v>648.29600000000005</v>
      </c>
      <c r="U222" s="194">
        <f ca="1">OFFSET('배치점수 계산기'!K$10,$D222,0)</f>
        <v>645.56500000000005</v>
      </c>
      <c r="V222" s="194">
        <f ca="1">OFFSET('배치점수 계산기'!L$10,$D222,0)</f>
        <v>641.51599999999996</v>
      </c>
      <c r="W222" s="186" t="str">
        <f ca="1">OFFSET('배치점수 계산기'!M$10,$D222,0)</f>
        <v>표점/만점</v>
      </c>
      <c r="X222" s="184" t="str">
        <f ca="1">OFFSET('배치점수 계산기'!N$10,$D222,0)</f>
        <v>변표/만점</v>
      </c>
      <c r="Y222" s="188">
        <f ca="1">OFFSET(환산공식!FW$15,$F222,0)</f>
        <v>0.38</v>
      </c>
      <c r="Z222" s="20">
        <f ca="1">OFFSET(환산공식!FX$15,$F222,0)</f>
        <v>0.37</v>
      </c>
      <c r="AA222" s="179">
        <f ca="1">OFFSET(환산공식!FY$15,$F222,0)</f>
        <v>0.25</v>
      </c>
      <c r="AC222"/>
      <c r="AD222">
        <f t="shared" ca="1" si="7"/>
        <v>6</v>
      </c>
      <c r="AE222"/>
    </row>
    <row r="223" spans="1:31" s="3" customFormat="1">
      <c r="A223" s="198"/>
      <c r="B223" s="198"/>
      <c r="C223" s="198" t="s">
        <v>1675</v>
      </c>
      <c r="D223" s="195">
        <v>1209</v>
      </c>
      <c r="E223" s="195">
        <v>38</v>
      </c>
      <c r="F223" s="195">
        <v>38</v>
      </c>
      <c r="G223" s="239">
        <v>216</v>
      </c>
      <c r="H223" s="197" t="s">
        <v>79</v>
      </c>
      <c r="I223" s="242" t="s">
        <v>9336</v>
      </c>
      <c r="J223" s="242" t="s">
        <v>9882</v>
      </c>
      <c r="K223" s="195" t="s">
        <v>71</v>
      </c>
      <c r="L223" s="20" t="str">
        <f ca="1">IF(OFFSET(환산공식!$ED$15,$F223,0)=1,"O","X")</f>
        <v>X</v>
      </c>
      <c r="M223" s="188">
        <f ca="1">IFERROR(OFFSET(환산공식!DJ$15,$F223,0),"")</f>
        <v>140</v>
      </c>
      <c r="N223" s="20" t="str">
        <f ca="1">IFERROR(CONCATENATE(ROUND(OFFSET(환산공식!DK$15,$F223,0),1),"%"),"")</f>
        <v>100%</v>
      </c>
      <c r="O223" s="20">
        <f ca="1">IFERROR(OFFSET(환산공식!DL$15,$F223,0),"")</f>
        <v>10</v>
      </c>
      <c r="P223" s="188" t="str">
        <f t="shared" ca="1" si="6"/>
        <v>3% 이하</v>
      </c>
      <c r="Q223" s="194">
        <f ca="1">IFERROR(ROUND(OFFSET(환산공식!$FG$15,$F223,0),3),"")</f>
        <v>0</v>
      </c>
      <c r="R223" s="194">
        <f ca="1">OFFSET('배치점수 계산기'!H$10,$D223,0)</f>
        <v>655.08399999999995</v>
      </c>
      <c r="S223" s="194">
        <f ca="1">OFFSET('배치점수 계산기'!I$10,$D223,0)</f>
        <v>651.05200000000002</v>
      </c>
      <c r="T223" s="194">
        <f ca="1">OFFSET('배치점수 계산기'!J$10,$D223,0)</f>
        <v>647.90300000000002</v>
      </c>
      <c r="U223" s="194">
        <f ca="1">OFFSET('배치점수 계산기'!K$10,$D223,0)</f>
        <v>641.79499999999996</v>
      </c>
      <c r="V223" s="194">
        <f ca="1">OFFSET('배치점수 계산기'!L$10,$D223,0)</f>
        <v>637.46</v>
      </c>
      <c r="W223" s="186" t="str">
        <f ca="1">OFFSET('배치점수 계산기'!M$10,$D223,0)</f>
        <v>표점/만점</v>
      </c>
      <c r="X223" s="184" t="str">
        <f ca="1">OFFSET('배치점수 계산기'!N$10,$D223,0)</f>
        <v>변표/만점</v>
      </c>
      <c r="Y223" s="188">
        <f ca="1">OFFSET(환산공식!FW$15,$F223,0)</f>
        <v>0.38</v>
      </c>
      <c r="Z223" s="20">
        <f ca="1">OFFSET(환산공식!FX$15,$F223,0)</f>
        <v>0.37</v>
      </c>
      <c r="AA223" s="179">
        <f ca="1">OFFSET(환산공식!FY$15,$F223,0)</f>
        <v>0.25</v>
      </c>
      <c r="AC223"/>
      <c r="AD223">
        <f t="shared" ca="1" si="7"/>
        <v>6</v>
      </c>
      <c r="AE223"/>
    </row>
    <row r="224" spans="1:31" s="3" customFormat="1">
      <c r="A224" s="198"/>
      <c r="B224" s="198"/>
      <c r="C224" s="198" t="s">
        <v>1676</v>
      </c>
      <c r="D224" s="195">
        <v>1210</v>
      </c>
      <c r="E224" s="195">
        <v>38</v>
      </c>
      <c r="F224" s="195">
        <v>38</v>
      </c>
      <c r="G224" s="239">
        <v>217</v>
      </c>
      <c r="H224" s="197" t="s">
        <v>79</v>
      </c>
      <c r="I224" s="242" t="s">
        <v>9336</v>
      </c>
      <c r="J224" s="242" t="s">
        <v>9905</v>
      </c>
      <c r="K224" s="195" t="s">
        <v>71</v>
      </c>
      <c r="L224" s="20" t="str">
        <f ca="1">IF(OFFSET(환산공식!$ED$15,$F224,0)=1,"O","X")</f>
        <v>X</v>
      </c>
      <c r="M224" s="188">
        <f ca="1">IFERROR(OFFSET(환산공식!DJ$15,$F224,0),"")</f>
        <v>140</v>
      </c>
      <c r="N224" s="20" t="str">
        <f ca="1">IFERROR(CONCATENATE(ROUND(OFFSET(환산공식!DK$15,$F224,0),1),"%"),"")</f>
        <v>100%</v>
      </c>
      <c r="O224" s="20">
        <f ca="1">IFERROR(OFFSET(환산공식!DL$15,$F224,0),"")</f>
        <v>10</v>
      </c>
      <c r="P224" s="188" t="str">
        <f t="shared" ca="1" si="6"/>
        <v>3% 이하</v>
      </c>
      <c r="Q224" s="194">
        <f ca="1">IFERROR(ROUND(OFFSET(환산공식!$FG$15,$F224,0),3),"")</f>
        <v>0</v>
      </c>
      <c r="R224" s="194">
        <f ca="1">OFFSET('배치점수 계산기'!H$10,$D224,0)</f>
        <v>653.26099999999997</v>
      </c>
      <c r="S224" s="194">
        <f ca="1">OFFSET('배치점수 계산기'!I$10,$D224,0)</f>
        <v>650.80999999999995</v>
      </c>
      <c r="T224" s="194">
        <f ca="1">OFFSET('배치점수 계산기'!J$10,$D224,0)</f>
        <v>647.82100000000003</v>
      </c>
      <c r="U224" s="194">
        <f ca="1">OFFSET('배치점수 계산기'!K$10,$D224,0)</f>
        <v>644.78599999999994</v>
      </c>
      <c r="V224" s="194">
        <f ca="1">OFFSET('배치점수 계산기'!L$10,$D224,0)</f>
        <v>640.9</v>
      </c>
      <c r="W224" s="186" t="str">
        <f ca="1">OFFSET('배치점수 계산기'!M$10,$D224,0)</f>
        <v>표점/만점</v>
      </c>
      <c r="X224" s="184" t="str">
        <f ca="1">OFFSET('배치점수 계산기'!N$10,$D224,0)</f>
        <v>변표/만점</v>
      </c>
      <c r="Y224" s="188">
        <f ca="1">OFFSET(환산공식!FW$15,$F224,0)</f>
        <v>0.38</v>
      </c>
      <c r="Z224" s="20">
        <f ca="1">OFFSET(환산공식!FX$15,$F224,0)</f>
        <v>0.37</v>
      </c>
      <c r="AA224" s="179">
        <f ca="1">OFFSET(환산공식!FY$15,$F224,0)</f>
        <v>0.25</v>
      </c>
      <c r="AC224"/>
      <c r="AD224">
        <f t="shared" ca="1" si="7"/>
        <v>6</v>
      </c>
      <c r="AE224"/>
    </row>
    <row r="225" spans="1:31" s="3" customFormat="1">
      <c r="A225" s="198"/>
      <c r="B225" s="198"/>
      <c r="C225" s="198" t="s">
        <v>1677</v>
      </c>
      <c r="D225" s="195">
        <v>1211</v>
      </c>
      <c r="E225" s="195">
        <v>38</v>
      </c>
      <c r="F225" s="195">
        <v>38</v>
      </c>
      <c r="G225" s="239">
        <v>218</v>
      </c>
      <c r="H225" s="197" t="s">
        <v>79</v>
      </c>
      <c r="I225" s="242" t="s">
        <v>9336</v>
      </c>
      <c r="J225" s="242" t="s">
        <v>9950</v>
      </c>
      <c r="K225" s="195" t="s">
        <v>71</v>
      </c>
      <c r="L225" s="20" t="str">
        <f ca="1">IF(OFFSET(환산공식!$ED$15,$F225,0)=1,"O","X")</f>
        <v>X</v>
      </c>
      <c r="M225" s="188">
        <f ca="1">IFERROR(OFFSET(환산공식!DJ$15,$F225,0),"")</f>
        <v>140</v>
      </c>
      <c r="N225" s="20" t="str">
        <f ca="1">IFERROR(CONCATENATE(ROUND(OFFSET(환산공식!DK$15,$F225,0),1),"%"),"")</f>
        <v>100%</v>
      </c>
      <c r="O225" s="20">
        <f ca="1">IFERROR(OFFSET(환산공식!DL$15,$F225,0),"")</f>
        <v>10</v>
      </c>
      <c r="P225" s="188" t="str">
        <f t="shared" ca="1" si="6"/>
        <v>3% 이하</v>
      </c>
      <c r="Q225" s="194">
        <f ca="1">IFERROR(ROUND(OFFSET(환산공식!$FG$15,$F225,0),3),"")</f>
        <v>0</v>
      </c>
      <c r="R225" s="194">
        <f ca="1">OFFSET('배치점수 계산기'!H$10,$D225,0)</f>
        <v>653.11800000000005</v>
      </c>
      <c r="S225" s="194">
        <f ca="1">OFFSET('배치점수 계산기'!I$10,$D225,0)</f>
        <v>650.67499999999995</v>
      </c>
      <c r="T225" s="194">
        <f ca="1">OFFSET('배치점수 계산기'!J$10,$D225,0)</f>
        <v>647.82100000000003</v>
      </c>
      <c r="U225" s="194">
        <f ca="1">OFFSET('배치점수 계산기'!K$10,$D225,0)</f>
        <v>644.64300000000003</v>
      </c>
      <c r="V225" s="194">
        <f ca="1">OFFSET('배치점수 계산기'!L$10,$D225,0)</f>
        <v>638.74599999999998</v>
      </c>
      <c r="W225" s="186" t="str">
        <f ca="1">OFFSET('배치점수 계산기'!M$10,$D225,0)</f>
        <v>표점/만점</v>
      </c>
      <c r="X225" s="184" t="str">
        <f ca="1">OFFSET('배치점수 계산기'!N$10,$D225,0)</f>
        <v>변표/만점</v>
      </c>
      <c r="Y225" s="188">
        <f ca="1">OFFSET(환산공식!FW$15,$F225,0)</f>
        <v>0.38</v>
      </c>
      <c r="Z225" s="20">
        <f ca="1">OFFSET(환산공식!FX$15,$F225,0)</f>
        <v>0.37</v>
      </c>
      <c r="AA225" s="179">
        <f ca="1">OFFSET(환산공식!FY$15,$F225,0)</f>
        <v>0.25</v>
      </c>
      <c r="AC225"/>
      <c r="AD225">
        <f t="shared" ca="1" si="7"/>
        <v>6</v>
      </c>
      <c r="AE225"/>
    </row>
    <row r="226" spans="1:31" s="3" customFormat="1">
      <c r="A226" s="198"/>
      <c r="B226" s="198"/>
      <c r="C226" s="198" t="s">
        <v>1678</v>
      </c>
      <c r="D226" s="195">
        <v>1212</v>
      </c>
      <c r="E226" s="195">
        <v>38</v>
      </c>
      <c r="F226" s="195">
        <v>38</v>
      </c>
      <c r="G226" s="239">
        <v>219</v>
      </c>
      <c r="H226" s="197" t="s">
        <v>79</v>
      </c>
      <c r="I226" s="242" t="s">
        <v>9336</v>
      </c>
      <c r="J226" s="242" t="s">
        <v>9942</v>
      </c>
      <c r="K226" s="195" t="s">
        <v>71</v>
      </c>
      <c r="L226" s="20" t="str">
        <f ca="1">IF(OFFSET(환산공식!$ED$15,$F226,0)=1,"O","X")</f>
        <v>X</v>
      </c>
      <c r="M226" s="188">
        <f ca="1">IFERROR(OFFSET(환산공식!DJ$15,$F226,0),"")</f>
        <v>140</v>
      </c>
      <c r="N226" s="20" t="str">
        <f ca="1">IFERROR(CONCATENATE(ROUND(OFFSET(환산공식!DK$15,$F226,0),1),"%"),"")</f>
        <v>100%</v>
      </c>
      <c r="O226" s="20">
        <f ca="1">IFERROR(OFFSET(환산공식!DL$15,$F226,0),"")</f>
        <v>10</v>
      </c>
      <c r="P226" s="188" t="str">
        <f t="shared" ca="1" si="6"/>
        <v>3% 이하</v>
      </c>
      <c r="Q226" s="194">
        <f ca="1">IFERROR(ROUND(OFFSET(환산공식!$FG$15,$F226,0),3),"")</f>
        <v>0</v>
      </c>
      <c r="R226" s="194">
        <f ca="1">OFFSET('배치점수 계산기'!H$10,$D226,0)</f>
        <v>653.11800000000005</v>
      </c>
      <c r="S226" s="194">
        <f ca="1">OFFSET('배치점수 계산기'!I$10,$D226,0)</f>
        <v>650.67499999999995</v>
      </c>
      <c r="T226" s="194">
        <f ca="1">OFFSET('배치점수 계산기'!J$10,$D226,0)</f>
        <v>647.82100000000003</v>
      </c>
      <c r="U226" s="194">
        <f ca="1">OFFSET('배치점수 계산기'!K$10,$D226,0)</f>
        <v>644.64300000000003</v>
      </c>
      <c r="V226" s="194">
        <f ca="1">OFFSET('배치점수 계산기'!L$10,$D226,0)</f>
        <v>640.82100000000003</v>
      </c>
      <c r="W226" s="186" t="str">
        <f ca="1">OFFSET('배치점수 계산기'!M$10,$D226,0)</f>
        <v>표점/만점</v>
      </c>
      <c r="X226" s="184" t="str">
        <f ca="1">OFFSET('배치점수 계산기'!N$10,$D226,0)</f>
        <v>변표/만점</v>
      </c>
      <c r="Y226" s="188">
        <f ca="1">OFFSET(환산공식!FW$15,$F226,0)</f>
        <v>0.38</v>
      </c>
      <c r="Z226" s="20">
        <f ca="1">OFFSET(환산공식!FX$15,$F226,0)</f>
        <v>0.37</v>
      </c>
      <c r="AA226" s="179">
        <f ca="1">OFFSET(환산공식!FY$15,$F226,0)</f>
        <v>0.25</v>
      </c>
      <c r="AC226"/>
      <c r="AD226">
        <f t="shared" ca="1" si="7"/>
        <v>6</v>
      </c>
      <c r="AE226"/>
    </row>
    <row r="227" spans="1:31" s="3" customFormat="1">
      <c r="A227" s="198"/>
      <c r="B227" s="198"/>
      <c r="C227" s="198" t="s">
        <v>1679</v>
      </c>
      <c r="D227" s="195">
        <v>1213</v>
      </c>
      <c r="E227" s="195">
        <v>38</v>
      </c>
      <c r="F227" s="195">
        <v>38</v>
      </c>
      <c r="G227" s="239">
        <v>220</v>
      </c>
      <c r="H227" s="197" t="s">
        <v>79</v>
      </c>
      <c r="I227" s="242" t="s">
        <v>9336</v>
      </c>
      <c r="J227" s="242" t="s">
        <v>9941</v>
      </c>
      <c r="K227" s="195" t="s">
        <v>71</v>
      </c>
      <c r="L227" s="20" t="str">
        <f ca="1">IF(OFFSET(환산공식!$ED$15,$F227,0)=1,"O","X")</f>
        <v>X</v>
      </c>
      <c r="M227" s="188">
        <f ca="1">IFERROR(OFFSET(환산공식!DJ$15,$F227,0),"")</f>
        <v>140</v>
      </c>
      <c r="N227" s="20" t="str">
        <f ca="1">IFERROR(CONCATENATE(ROUND(OFFSET(환산공식!DK$15,$F227,0),1),"%"),"")</f>
        <v>100%</v>
      </c>
      <c r="O227" s="20">
        <f ca="1">IFERROR(OFFSET(환산공식!DL$15,$F227,0),"")</f>
        <v>10</v>
      </c>
      <c r="P227" s="188" t="str">
        <f t="shared" ca="1" si="6"/>
        <v>3% 이하</v>
      </c>
      <c r="Q227" s="194">
        <f ca="1">IFERROR(ROUND(OFFSET(환산공식!$FG$15,$F227,0),3),"")</f>
        <v>0</v>
      </c>
      <c r="R227" s="194">
        <f ca="1">OFFSET('배치점수 계산기'!H$10,$D227,0)</f>
        <v>653.11800000000005</v>
      </c>
      <c r="S227" s="194">
        <f ca="1">OFFSET('배치점수 계산기'!I$10,$D227,0)</f>
        <v>650.67499999999995</v>
      </c>
      <c r="T227" s="194">
        <f ca="1">OFFSET('배치점수 계산기'!J$10,$D227,0)</f>
        <v>647.82100000000003</v>
      </c>
      <c r="U227" s="194">
        <f ca="1">OFFSET('배치점수 계산기'!K$10,$D227,0)</f>
        <v>644.64300000000003</v>
      </c>
      <c r="V227" s="194">
        <f ca="1">OFFSET('배치점수 계산기'!L$10,$D227,0)</f>
        <v>638.74599999999998</v>
      </c>
      <c r="W227" s="186" t="str">
        <f ca="1">OFFSET('배치점수 계산기'!M$10,$D227,0)</f>
        <v>표점/만점</v>
      </c>
      <c r="X227" s="184" t="str">
        <f ca="1">OFFSET('배치점수 계산기'!N$10,$D227,0)</f>
        <v>변표/만점</v>
      </c>
      <c r="Y227" s="188">
        <f ca="1">OFFSET(환산공식!FW$15,$F227,0)</f>
        <v>0.38</v>
      </c>
      <c r="Z227" s="20">
        <f ca="1">OFFSET(환산공식!FX$15,$F227,0)</f>
        <v>0.37</v>
      </c>
      <c r="AA227" s="179">
        <f ca="1">OFFSET(환산공식!FY$15,$F227,0)</f>
        <v>0.25</v>
      </c>
      <c r="AC227"/>
      <c r="AD227">
        <f t="shared" ca="1" si="7"/>
        <v>6</v>
      </c>
      <c r="AE227"/>
    </row>
    <row r="228" spans="1:31" s="3" customFormat="1">
      <c r="A228" s="198"/>
      <c r="B228" s="198"/>
      <c r="C228" s="198" t="s">
        <v>1680</v>
      </c>
      <c r="D228" s="195">
        <v>1214</v>
      </c>
      <c r="E228" s="195">
        <v>38</v>
      </c>
      <c r="F228" s="195">
        <v>38</v>
      </c>
      <c r="G228" s="239">
        <v>221</v>
      </c>
      <c r="H228" s="197" t="s">
        <v>79</v>
      </c>
      <c r="I228" s="242" t="s">
        <v>9336</v>
      </c>
      <c r="J228" s="242" t="s">
        <v>9983</v>
      </c>
      <c r="K228" s="195" t="s">
        <v>71</v>
      </c>
      <c r="L228" s="20" t="str">
        <f ca="1">IF(OFFSET(환산공식!$ED$15,$F228,0)=1,"O","X")</f>
        <v>X</v>
      </c>
      <c r="M228" s="188">
        <f ca="1">IFERROR(OFFSET(환산공식!DJ$15,$F228,0),"")</f>
        <v>140</v>
      </c>
      <c r="N228" s="20" t="str">
        <f ca="1">IFERROR(CONCATENATE(ROUND(OFFSET(환산공식!DK$15,$F228,0),1),"%"),"")</f>
        <v>100%</v>
      </c>
      <c r="O228" s="20">
        <f ca="1">IFERROR(OFFSET(환산공식!DL$15,$F228,0),"")</f>
        <v>10</v>
      </c>
      <c r="P228" s="188" t="str">
        <f t="shared" ca="1" si="6"/>
        <v>3% 이하</v>
      </c>
      <c r="Q228" s="194">
        <f ca="1">IFERROR(ROUND(OFFSET(환산공식!$FG$15,$F228,0),3),"")</f>
        <v>0</v>
      </c>
      <c r="R228" s="194">
        <f ca="1">OFFSET('배치점수 계산기'!H$10,$D228,0)</f>
        <v>653.06500000000005</v>
      </c>
      <c r="S228" s="194">
        <f ca="1">OFFSET('배치점수 계산기'!I$10,$D228,0)</f>
        <v>650.43299999999999</v>
      </c>
      <c r="T228" s="194">
        <f ca="1">OFFSET('배치점수 계산기'!J$10,$D228,0)</f>
        <v>647.52700000000004</v>
      </c>
      <c r="U228" s="194">
        <f ca="1">OFFSET('배치점수 계산기'!K$10,$D228,0)</f>
        <v>644.49199999999996</v>
      </c>
      <c r="V228" s="194">
        <f ca="1">OFFSET('배치점수 계산기'!L$10,$D228,0)</f>
        <v>640.57899999999995</v>
      </c>
      <c r="W228" s="186" t="str">
        <f ca="1">OFFSET('배치점수 계산기'!M$10,$D228,0)</f>
        <v>표점/만점</v>
      </c>
      <c r="X228" s="184" t="str">
        <f ca="1">OFFSET('배치점수 계산기'!N$10,$D228,0)</f>
        <v>변표/만점</v>
      </c>
      <c r="Y228" s="188">
        <f ca="1">OFFSET(환산공식!FW$15,$F228,0)</f>
        <v>0.38</v>
      </c>
      <c r="Z228" s="20">
        <f ca="1">OFFSET(환산공식!FX$15,$F228,0)</f>
        <v>0.37</v>
      </c>
      <c r="AA228" s="179">
        <f ca="1">OFFSET(환산공식!FY$15,$F228,0)</f>
        <v>0.25</v>
      </c>
      <c r="AC228"/>
      <c r="AD228">
        <f t="shared" ca="1" si="7"/>
        <v>6</v>
      </c>
      <c r="AE228"/>
    </row>
    <row r="229" spans="1:31" s="3" customFormat="1">
      <c r="A229" s="198"/>
      <c r="B229" s="198"/>
      <c r="C229" s="198" t="s">
        <v>1681</v>
      </c>
      <c r="D229" s="195">
        <v>1215</v>
      </c>
      <c r="E229" s="195">
        <v>38</v>
      </c>
      <c r="F229" s="195">
        <v>38</v>
      </c>
      <c r="G229" s="239">
        <v>222</v>
      </c>
      <c r="H229" s="197" t="s">
        <v>79</v>
      </c>
      <c r="I229" s="242" t="s">
        <v>9336</v>
      </c>
      <c r="J229" s="242" t="s">
        <v>9958</v>
      </c>
      <c r="K229" s="195" t="s">
        <v>71</v>
      </c>
      <c r="L229" s="20" t="str">
        <f ca="1">IF(OFFSET(환산공식!$ED$15,$F229,0)=1,"O","X")</f>
        <v>X</v>
      </c>
      <c r="M229" s="188">
        <f ca="1">IFERROR(OFFSET(환산공식!DJ$15,$F229,0),"")</f>
        <v>140</v>
      </c>
      <c r="N229" s="20" t="str">
        <f ca="1">IFERROR(CONCATENATE(ROUND(OFFSET(환산공식!DK$15,$F229,0),1),"%"),"")</f>
        <v>100%</v>
      </c>
      <c r="O229" s="20">
        <f ca="1">IFERROR(OFFSET(환산공식!DL$15,$F229,0),"")</f>
        <v>10</v>
      </c>
      <c r="P229" s="188" t="str">
        <f t="shared" ca="1" si="6"/>
        <v>3% 이하</v>
      </c>
      <c r="Q229" s="194">
        <f ca="1">IFERROR(ROUND(OFFSET(환산공식!$FG$15,$F229,0),3),"")</f>
        <v>0</v>
      </c>
      <c r="R229" s="194">
        <f ca="1">OFFSET('배치점수 계산기'!H$10,$D229,0)</f>
        <v>653.06500000000005</v>
      </c>
      <c r="S229" s="194">
        <f ca="1">OFFSET('배치점수 계산기'!I$10,$D229,0)</f>
        <v>650.43299999999999</v>
      </c>
      <c r="T229" s="194">
        <f ca="1">OFFSET('배치점수 계산기'!J$10,$D229,0)</f>
        <v>647.52700000000004</v>
      </c>
      <c r="U229" s="194">
        <f ca="1">OFFSET('배치점수 계산기'!K$10,$D229,0)</f>
        <v>644.49199999999996</v>
      </c>
      <c r="V229" s="194">
        <f ca="1">OFFSET('배치점수 계산기'!L$10,$D229,0)</f>
        <v>638.505</v>
      </c>
      <c r="W229" s="186" t="str">
        <f ca="1">OFFSET('배치점수 계산기'!M$10,$D229,0)</f>
        <v>표점/만점</v>
      </c>
      <c r="X229" s="184" t="str">
        <f ca="1">OFFSET('배치점수 계산기'!N$10,$D229,0)</f>
        <v>변표/만점</v>
      </c>
      <c r="Y229" s="188">
        <f ca="1">OFFSET(환산공식!FW$15,$F229,0)</f>
        <v>0.38</v>
      </c>
      <c r="Z229" s="20">
        <f ca="1">OFFSET(환산공식!FX$15,$F229,0)</f>
        <v>0.37</v>
      </c>
      <c r="AA229" s="179">
        <f ca="1">OFFSET(환산공식!FY$15,$F229,0)</f>
        <v>0.25</v>
      </c>
      <c r="AC229"/>
      <c r="AD229">
        <f t="shared" ca="1" si="7"/>
        <v>6</v>
      </c>
      <c r="AE229"/>
    </row>
    <row r="230" spans="1:31" s="3" customFormat="1">
      <c r="A230" s="198"/>
      <c r="B230" s="198"/>
      <c r="C230" s="198" t="s">
        <v>1682</v>
      </c>
      <c r="D230" s="195">
        <v>1216</v>
      </c>
      <c r="E230" s="195">
        <v>38</v>
      </c>
      <c r="F230" s="195">
        <v>38</v>
      </c>
      <c r="G230" s="239">
        <v>223</v>
      </c>
      <c r="H230" s="197" t="s">
        <v>79</v>
      </c>
      <c r="I230" s="242" t="s">
        <v>9336</v>
      </c>
      <c r="J230" s="242" t="s">
        <v>9891</v>
      </c>
      <c r="K230" s="195" t="s">
        <v>71</v>
      </c>
      <c r="L230" s="20" t="str">
        <f ca="1">IF(OFFSET(환산공식!$ED$15,$F230,0)=1,"O","X")</f>
        <v>X</v>
      </c>
      <c r="M230" s="188">
        <f ca="1">IFERROR(OFFSET(환산공식!DJ$15,$F230,0),"")</f>
        <v>140</v>
      </c>
      <c r="N230" s="20" t="str">
        <f ca="1">IFERROR(CONCATENATE(ROUND(OFFSET(환산공식!DK$15,$F230,0),1),"%"),"")</f>
        <v>100%</v>
      </c>
      <c r="O230" s="20">
        <f ca="1">IFERROR(OFFSET(환산공식!DL$15,$F230,0),"")</f>
        <v>10</v>
      </c>
      <c r="P230" s="188" t="str">
        <f t="shared" ca="1" si="6"/>
        <v>3% 이하</v>
      </c>
      <c r="Q230" s="194">
        <f ca="1">IFERROR(ROUND(OFFSET(환산공식!$FG$15,$F230,0),3),"")</f>
        <v>0</v>
      </c>
      <c r="R230" s="194">
        <f ca="1">OFFSET('배치점수 계산기'!H$10,$D230,0)</f>
        <v>654.56500000000005</v>
      </c>
      <c r="S230" s="194">
        <f ca="1">OFFSET('배치점수 계산기'!I$10,$D230,0)</f>
        <v>651.34100000000001</v>
      </c>
      <c r="T230" s="194">
        <f ca="1">OFFSET('배치점수 계산기'!J$10,$D230,0)</f>
        <v>647.52700000000004</v>
      </c>
      <c r="U230" s="194">
        <f ca="1">OFFSET('배치점수 계산기'!K$10,$D230,0)</f>
        <v>641.51599999999996</v>
      </c>
      <c r="V230" s="194">
        <f ca="1">OFFSET('배치점수 계산기'!L$10,$D230,0)</f>
        <v>633.51800000000003</v>
      </c>
      <c r="W230" s="186" t="str">
        <f ca="1">OFFSET('배치점수 계산기'!M$10,$D230,0)</f>
        <v>표점/만점</v>
      </c>
      <c r="X230" s="184" t="str">
        <f ca="1">OFFSET('배치점수 계산기'!N$10,$D230,0)</f>
        <v>변표/만점</v>
      </c>
      <c r="Y230" s="188">
        <f ca="1">OFFSET(환산공식!FW$15,$F230,0)</f>
        <v>0.38</v>
      </c>
      <c r="Z230" s="20">
        <f ca="1">OFFSET(환산공식!FX$15,$F230,0)</f>
        <v>0.37</v>
      </c>
      <c r="AA230" s="179">
        <f ca="1">OFFSET(환산공식!FY$15,$F230,0)</f>
        <v>0.25</v>
      </c>
      <c r="AC230"/>
      <c r="AD230">
        <f t="shared" ca="1" si="7"/>
        <v>6</v>
      </c>
      <c r="AE230"/>
    </row>
    <row r="231" spans="1:31" s="3" customFormat="1">
      <c r="A231" s="198"/>
      <c r="B231" s="198"/>
      <c r="C231" s="198" t="s">
        <v>1683</v>
      </c>
      <c r="D231" s="195">
        <v>1217</v>
      </c>
      <c r="E231" s="195">
        <v>38</v>
      </c>
      <c r="F231" s="195">
        <v>38</v>
      </c>
      <c r="G231" s="239">
        <v>224</v>
      </c>
      <c r="H231" s="197" t="s">
        <v>79</v>
      </c>
      <c r="I231" s="242" t="s">
        <v>9336</v>
      </c>
      <c r="J231" s="242" t="s">
        <v>9906</v>
      </c>
      <c r="K231" s="195" t="s">
        <v>71</v>
      </c>
      <c r="L231" s="20" t="str">
        <f ca="1">IF(OFFSET(환산공식!$ED$15,$F231,0)=1,"O","X")</f>
        <v>X</v>
      </c>
      <c r="M231" s="188">
        <f ca="1">IFERROR(OFFSET(환산공식!DJ$15,$F231,0),"")</f>
        <v>140</v>
      </c>
      <c r="N231" s="20" t="str">
        <f ca="1">IFERROR(CONCATENATE(ROUND(OFFSET(환산공식!DK$15,$F231,0),1),"%"),"")</f>
        <v>100%</v>
      </c>
      <c r="O231" s="20">
        <f ca="1">IFERROR(OFFSET(환산공식!DL$15,$F231,0),"")</f>
        <v>10</v>
      </c>
      <c r="P231" s="188" t="str">
        <f t="shared" ca="1" si="6"/>
        <v>3% 이하</v>
      </c>
      <c r="Q231" s="194">
        <f ca="1">IFERROR(ROUND(OFFSET(환산공식!$FG$15,$F231,0),3),"")</f>
        <v>0</v>
      </c>
      <c r="R231" s="194">
        <f ca="1">OFFSET('배치점수 계산기'!H$10,$D231,0)</f>
        <v>654.46600000000001</v>
      </c>
      <c r="S231" s="194">
        <f ca="1">OFFSET('배치점수 계산기'!I$10,$D231,0)</f>
        <v>651.24300000000005</v>
      </c>
      <c r="T231" s="194">
        <f ca="1">OFFSET('배치점수 계산기'!J$10,$D231,0)</f>
        <v>647.42899999999997</v>
      </c>
      <c r="U231" s="194">
        <f ca="1">OFFSET('배치점수 계산기'!K$10,$D231,0)</f>
        <v>641.274</v>
      </c>
      <c r="V231" s="194">
        <f ca="1">OFFSET('배치점수 계산기'!L$10,$D231,0)</f>
        <v>633.27599999999995</v>
      </c>
      <c r="W231" s="186" t="str">
        <f ca="1">OFFSET('배치점수 계산기'!M$10,$D231,0)</f>
        <v>표점/만점</v>
      </c>
      <c r="X231" s="184" t="str">
        <f ca="1">OFFSET('배치점수 계산기'!N$10,$D231,0)</f>
        <v>변표/만점</v>
      </c>
      <c r="Y231" s="188">
        <f ca="1">OFFSET(환산공식!FW$15,$F231,0)</f>
        <v>0.38</v>
      </c>
      <c r="Z231" s="20">
        <f ca="1">OFFSET(환산공식!FX$15,$F231,0)</f>
        <v>0.37</v>
      </c>
      <c r="AA231" s="179">
        <f ca="1">OFFSET(환산공식!FY$15,$F231,0)</f>
        <v>0.25</v>
      </c>
      <c r="AC231"/>
      <c r="AD231">
        <f t="shared" ca="1" si="7"/>
        <v>6</v>
      </c>
      <c r="AE231"/>
    </row>
    <row r="232" spans="1:31" s="3" customFormat="1">
      <c r="A232" s="198"/>
      <c r="B232" s="198"/>
      <c r="C232" s="198" t="s">
        <v>1684</v>
      </c>
      <c r="D232" s="195">
        <v>1218</v>
      </c>
      <c r="E232" s="195">
        <v>38</v>
      </c>
      <c r="F232" s="195">
        <v>38</v>
      </c>
      <c r="G232" s="239">
        <v>225</v>
      </c>
      <c r="H232" s="197" t="s">
        <v>79</v>
      </c>
      <c r="I232" s="242" t="s">
        <v>9336</v>
      </c>
      <c r="J232" s="242" t="s">
        <v>10017</v>
      </c>
      <c r="K232" s="195" t="s">
        <v>71</v>
      </c>
      <c r="L232" s="20" t="str">
        <f ca="1">IF(OFFSET(환산공식!$ED$15,$F232,0)=1,"O","X")</f>
        <v>X</v>
      </c>
      <c r="M232" s="188">
        <f ca="1">IFERROR(OFFSET(환산공식!DJ$15,$F232,0),"")</f>
        <v>140</v>
      </c>
      <c r="N232" s="20" t="str">
        <f ca="1">IFERROR(CONCATENATE(ROUND(OFFSET(환산공식!DK$15,$F232,0),1),"%"),"")</f>
        <v>100%</v>
      </c>
      <c r="O232" s="20">
        <f ca="1">IFERROR(OFFSET(환산공식!DL$15,$F232,0),"")</f>
        <v>10</v>
      </c>
      <c r="P232" s="188" t="str">
        <f t="shared" ca="1" si="6"/>
        <v>3% 이하</v>
      </c>
      <c r="Q232" s="194">
        <f ca="1">IFERROR(ROUND(OFFSET(환산공식!$FG$15,$F232,0),3),"")</f>
        <v>0</v>
      </c>
      <c r="R232" s="194">
        <f ca="1">OFFSET('배치점수 계산기'!H$10,$D232,0)</f>
        <v>652.50199999999995</v>
      </c>
      <c r="S232" s="194">
        <f ca="1">OFFSET('배치점수 계산기'!I$10,$D232,0)</f>
        <v>650.05899999999997</v>
      </c>
      <c r="T232" s="194">
        <f ca="1">OFFSET('배치점수 계산기'!J$10,$D232,0)</f>
        <v>647.18700000000001</v>
      </c>
      <c r="U232" s="194">
        <f ca="1">OFFSET('배치점수 계산기'!K$10,$D232,0)</f>
        <v>644.25</v>
      </c>
      <c r="V232" s="194">
        <f ca="1">OFFSET('배치점수 계산기'!L$10,$D232,0)</f>
        <v>640.33799999999997</v>
      </c>
      <c r="W232" s="186" t="str">
        <f ca="1">OFFSET('배치점수 계산기'!M$10,$D232,0)</f>
        <v>표점/만점</v>
      </c>
      <c r="X232" s="184" t="str">
        <f ca="1">OFFSET('배치점수 계산기'!N$10,$D232,0)</f>
        <v>변표/만점</v>
      </c>
      <c r="Y232" s="188">
        <f ca="1">OFFSET(환산공식!FW$15,$F232,0)</f>
        <v>0.38</v>
      </c>
      <c r="Z232" s="20">
        <f ca="1">OFFSET(환산공식!FX$15,$F232,0)</f>
        <v>0.37</v>
      </c>
      <c r="AA232" s="179">
        <f ca="1">OFFSET(환산공식!FY$15,$F232,0)</f>
        <v>0.25</v>
      </c>
      <c r="AC232"/>
      <c r="AD232">
        <f t="shared" ca="1" si="7"/>
        <v>6</v>
      </c>
      <c r="AE232"/>
    </row>
    <row r="233" spans="1:31" s="3" customFormat="1">
      <c r="A233" s="198"/>
      <c r="B233" s="198"/>
      <c r="C233" s="198" t="s">
        <v>1685</v>
      </c>
      <c r="D233" s="195">
        <v>1219</v>
      </c>
      <c r="E233" s="195">
        <v>39</v>
      </c>
      <c r="F233" s="195">
        <v>39</v>
      </c>
      <c r="G233" s="239">
        <v>226</v>
      </c>
      <c r="H233" s="197" t="s">
        <v>79</v>
      </c>
      <c r="I233" s="242" t="s">
        <v>9336</v>
      </c>
      <c r="J233" s="242" t="s">
        <v>9411</v>
      </c>
      <c r="K233" s="195" t="s">
        <v>71</v>
      </c>
      <c r="L233" s="20" t="str">
        <f ca="1">IF(OFFSET(환산공식!$ED$15,$F233,0)=1,"O","X")</f>
        <v>X</v>
      </c>
      <c r="M233" s="188">
        <f ca="1">IFERROR(OFFSET(환산공식!DJ$15,$F233,0),"")</f>
        <v>105</v>
      </c>
      <c r="N233" s="20" t="str">
        <f ca="1">IFERROR(CONCATENATE(ROUND(OFFSET(환산공식!DK$15,$F233,0),1),"%"),"")</f>
        <v>100%</v>
      </c>
      <c r="O233" s="20">
        <f ca="1">IFERROR(OFFSET(환산공식!DL$15,$F233,0),"")</f>
        <v>10</v>
      </c>
      <c r="P233" s="188" t="str">
        <f t="shared" ca="1" si="6"/>
        <v>3% 이하</v>
      </c>
      <c r="Q233" s="194">
        <f ca="1">IFERROR(ROUND(OFFSET(환산공식!$FG$15,$F233,0),3),"")</f>
        <v>0</v>
      </c>
      <c r="R233" s="194">
        <f ca="1">OFFSET('배치점수 계산기'!H$10,$D233,0)</f>
        <v>649.03700000000003</v>
      </c>
      <c r="S233" s="194">
        <f ca="1">OFFSET('배치점수 계산기'!I$10,$D233,0)</f>
        <v>646.71699999999998</v>
      </c>
      <c r="T233" s="194">
        <f ca="1">OFFSET('배치점수 계산기'!J$10,$D233,0)</f>
        <v>643.827</v>
      </c>
      <c r="U233" s="194">
        <f ca="1">OFFSET('배치점수 계산기'!K$10,$D233,0)</f>
        <v>640.50800000000004</v>
      </c>
      <c r="V233" s="194">
        <f ca="1">OFFSET('배치점수 계산기'!L$10,$D233,0)</f>
        <v>636.55999999999995</v>
      </c>
      <c r="W233" s="186" t="str">
        <f ca="1">OFFSET('배치점수 계산기'!M$10,$D233,0)</f>
        <v>표점/만점</v>
      </c>
      <c r="X233" s="184" t="str">
        <f ca="1">OFFSET('배치점수 계산기'!N$10,$D233,0)</f>
        <v>변표/만점</v>
      </c>
      <c r="Y233" s="188">
        <f ca="1">OFFSET(환산공식!FW$15,$F233,0)</f>
        <v>0.35</v>
      </c>
      <c r="Z233" s="20">
        <f ca="1">OFFSET(환산공식!FX$15,$F233,0)</f>
        <v>0.41</v>
      </c>
      <c r="AA233" s="179">
        <f ca="1">OFFSET(환산공식!FY$15,$F233,0)</f>
        <v>0.23</v>
      </c>
      <c r="AC233"/>
      <c r="AD233">
        <f t="shared" ca="1" si="7"/>
        <v>6</v>
      </c>
      <c r="AE233"/>
    </row>
    <row r="234" spans="1:31" s="3" customFormat="1">
      <c r="A234" s="198"/>
      <c r="B234" s="198"/>
      <c r="C234" s="198" t="s">
        <v>1686</v>
      </c>
      <c r="D234" s="195">
        <v>1220</v>
      </c>
      <c r="E234" s="195">
        <v>39</v>
      </c>
      <c r="F234" s="195">
        <v>39</v>
      </c>
      <c r="G234" s="239">
        <v>227</v>
      </c>
      <c r="H234" s="197" t="s">
        <v>79</v>
      </c>
      <c r="I234" s="242" t="s">
        <v>9336</v>
      </c>
      <c r="J234" s="242" t="s">
        <v>10015</v>
      </c>
      <c r="K234" s="195" t="s">
        <v>71</v>
      </c>
      <c r="L234" s="20" t="str">
        <f ca="1">IF(OFFSET(환산공식!$ED$15,$F234,0)=1,"O","X")</f>
        <v>X</v>
      </c>
      <c r="M234" s="188">
        <f ca="1">IFERROR(OFFSET(환산공식!DJ$15,$F234,0),"")</f>
        <v>105</v>
      </c>
      <c r="N234" s="20" t="str">
        <f ca="1">IFERROR(CONCATENATE(ROUND(OFFSET(환산공식!DK$15,$F234,0),1),"%"),"")</f>
        <v>100%</v>
      </c>
      <c r="O234" s="20">
        <f ca="1">IFERROR(OFFSET(환산공식!DL$15,$F234,0),"")</f>
        <v>10</v>
      </c>
      <c r="P234" s="188" t="str">
        <f t="shared" ca="1" si="6"/>
        <v>3% 이하</v>
      </c>
      <c r="Q234" s="194">
        <f ca="1">IFERROR(ROUND(OFFSET(환산공식!$FG$15,$F234,0),3),"")</f>
        <v>0</v>
      </c>
      <c r="R234" s="194">
        <f ca="1">OFFSET('배치점수 계산기'!H$10,$D234,0)</f>
        <v>649.03700000000003</v>
      </c>
      <c r="S234" s="194">
        <f ca="1">OFFSET('배치점수 계산기'!I$10,$D234,0)</f>
        <v>646.64800000000002</v>
      </c>
      <c r="T234" s="194">
        <f ca="1">OFFSET('배치점수 계산기'!J$10,$D234,0)</f>
        <v>643.68399999999997</v>
      </c>
      <c r="U234" s="194">
        <f ca="1">OFFSET('배치점수 계산기'!K$10,$D234,0)</f>
        <v>640.40099999999995</v>
      </c>
      <c r="V234" s="194">
        <f ca="1">OFFSET('배치점수 계산기'!L$10,$D234,0)</f>
        <v>636.38300000000004</v>
      </c>
      <c r="W234" s="186" t="str">
        <f ca="1">OFFSET('배치점수 계산기'!M$10,$D234,0)</f>
        <v>표점/만점</v>
      </c>
      <c r="X234" s="184" t="str">
        <f ca="1">OFFSET('배치점수 계산기'!N$10,$D234,0)</f>
        <v>변표/만점</v>
      </c>
      <c r="Y234" s="188">
        <f ca="1">OFFSET(환산공식!FW$15,$F234,0)</f>
        <v>0.35</v>
      </c>
      <c r="Z234" s="20">
        <f ca="1">OFFSET(환산공식!FX$15,$F234,0)</f>
        <v>0.41</v>
      </c>
      <c r="AA234" s="179">
        <f ca="1">OFFSET(환산공식!FY$15,$F234,0)</f>
        <v>0.23</v>
      </c>
      <c r="AC234"/>
      <c r="AD234">
        <f t="shared" ca="1" si="7"/>
        <v>6</v>
      </c>
      <c r="AE234"/>
    </row>
    <row r="235" spans="1:31" s="3" customFormat="1">
      <c r="A235" s="198"/>
      <c r="B235" s="198"/>
      <c r="C235" s="198" t="s">
        <v>1687</v>
      </c>
      <c r="D235" s="195">
        <v>1221</v>
      </c>
      <c r="E235" s="195">
        <v>38</v>
      </c>
      <c r="F235" s="195">
        <v>38</v>
      </c>
      <c r="G235" s="239">
        <v>228</v>
      </c>
      <c r="H235" s="197" t="s">
        <v>79</v>
      </c>
      <c r="I235" s="242" t="s">
        <v>9336</v>
      </c>
      <c r="J235" s="242" t="s">
        <v>11672</v>
      </c>
      <c r="K235" s="195" t="s">
        <v>71</v>
      </c>
      <c r="L235" s="20" t="str">
        <f ca="1">IF(OFFSET(환산공식!$ED$15,$F235,0)=1,"O","X")</f>
        <v>X</v>
      </c>
      <c r="M235" s="188">
        <f ca="1">IFERROR(OFFSET(환산공식!DJ$15,$F235,0),"")</f>
        <v>140</v>
      </c>
      <c r="N235" s="20" t="str">
        <f ca="1">IFERROR(CONCATENATE(ROUND(OFFSET(환산공식!DK$15,$F235,0),1),"%"),"")</f>
        <v>100%</v>
      </c>
      <c r="O235" s="20">
        <f ca="1">IFERROR(OFFSET(환산공식!DL$15,$F235,0),"")</f>
        <v>10</v>
      </c>
      <c r="P235" s="188" t="str">
        <f t="shared" ca="1" si="6"/>
        <v>3% 이하</v>
      </c>
      <c r="Q235" s="194">
        <f ca="1">IFERROR(ROUND(OFFSET(환산공식!$FG$15,$F235,0),3),"")</f>
        <v>0</v>
      </c>
      <c r="R235" s="194">
        <f ca="1">OFFSET('배치점수 계산기'!H$10,$D235,0)</f>
        <v>622.76900000000001</v>
      </c>
      <c r="S235" s="194">
        <f ca="1">OFFSET('배치점수 계산기'!I$10,$D235,0)</f>
        <v>620.40700000000004</v>
      </c>
      <c r="T235" s="194">
        <f ca="1">OFFSET('배치점수 계산기'!J$10,$D235,0)</f>
        <v>618.03899999999999</v>
      </c>
      <c r="U235" s="194">
        <f ca="1">OFFSET('배치점수 계산기'!K$10,$D235,0)</f>
        <v>615.92200000000003</v>
      </c>
      <c r="V235" s="194">
        <f ca="1">OFFSET('배치점수 계산기'!L$10,$D235,0)</f>
        <v>613.23199999999997</v>
      </c>
      <c r="W235" s="186" t="str">
        <f ca="1">OFFSET('배치점수 계산기'!M$10,$D235,0)</f>
        <v>표점/만점</v>
      </c>
      <c r="X235" s="184" t="str">
        <f ca="1">OFFSET('배치점수 계산기'!N$10,$D235,0)</f>
        <v>변표/만점</v>
      </c>
      <c r="Y235" s="188">
        <f ca="1">OFFSET(환산공식!FW$15,$F235,0)</f>
        <v>0.38</v>
      </c>
      <c r="Z235" s="20">
        <f ca="1">OFFSET(환산공식!FX$15,$F235,0)</f>
        <v>0.37</v>
      </c>
      <c r="AA235" s="179">
        <f ca="1">OFFSET(환산공식!FY$15,$F235,0)</f>
        <v>0.25</v>
      </c>
      <c r="AC235"/>
      <c r="AD235">
        <f t="shared" ca="1" si="7"/>
        <v>6</v>
      </c>
      <c r="AE235"/>
    </row>
    <row r="236" spans="1:31" s="3" customFormat="1">
      <c r="A236" s="198"/>
      <c r="B236" s="198"/>
      <c r="C236" s="198" t="s">
        <v>1688</v>
      </c>
      <c r="D236" s="195">
        <v>1222</v>
      </c>
      <c r="E236" s="195">
        <v>38</v>
      </c>
      <c r="F236" s="195">
        <v>38</v>
      </c>
      <c r="G236" s="239">
        <v>229</v>
      </c>
      <c r="H236" s="197" t="s">
        <v>79</v>
      </c>
      <c r="I236" s="242" t="s">
        <v>9336</v>
      </c>
      <c r="J236" s="242" t="s">
        <v>8883</v>
      </c>
      <c r="K236" s="195" t="s">
        <v>71</v>
      </c>
      <c r="L236" s="20" t="str">
        <f ca="1">IF(OFFSET(환산공식!$ED$15,$F236,0)=1,"O","X")</f>
        <v>X</v>
      </c>
      <c r="M236" s="188">
        <f ca="1">IFERROR(OFFSET(환산공식!DJ$15,$F236,0),"")</f>
        <v>140</v>
      </c>
      <c r="N236" s="20" t="str">
        <f ca="1">IFERROR(CONCATENATE(ROUND(OFFSET(환산공식!DK$15,$F236,0),1),"%"),"")</f>
        <v>100%</v>
      </c>
      <c r="O236" s="20">
        <f ca="1">IFERROR(OFFSET(환산공식!DL$15,$F236,0),"")</f>
        <v>10</v>
      </c>
      <c r="P236" s="188" t="str">
        <f t="shared" ca="1" si="6"/>
        <v>3% 이하</v>
      </c>
      <c r="Q236" s="194">
        <f ca="1">IFERROR(ROUND(OFFSET(환산공식!$FG$15,$F236,0),3),"")</f>
        <v>0</v>
      </c>
      <c r="R236" s="194">
        <f ca="1">OFFSET('배치점수 계산기'!H$10,$D236,0)</f>
        <v>616.60299999999995</v>
      </c>
      <c r="S236" s="194">
        <f ca="1">OFFSET('배치점수 계산기'!I$10,$D236,0)</f>
        <v>615.29700000000003</v>
      </c>
      <c r="T236" s="194">
        <f ca="1">OFFSET('배치점수 계산기'!J$10,$D236,0)</f>
        <v>613.99599999999998</v>
      </c>
      <c r="U236" s="194">
        <f ca="1">OFFSET('배치점수 계산기'!K$10,$D236,0)</f>
        <v>610.31799999999998</v>
      </c>
      <c r="V236" s="194">
        <f ca="1">OFFSET('배치점수 계산기'!L$10,$D236,0)</f>
        <v>609.14499999999998</v>
      </c>
      <c r="W236" s="186" t="str">
        <f ca="1">OFFSET('배치점수 계산기'!M$10,$D236,0)</f>
        <v>표점/만점</v>
      </c>
      <c r="X236" s="184" t="str">
        <f ca="1">OFFSET('배치점수 계산기'!N$10,$D236,0)</f>
        <v>변표/만점</v>
      </c>
      <c r="Y236" s="188">
        <f ca="1">OFFSET(환산공식!FW$15,$F236,0)</f>
        <v>0.38</v>
      </c>
      <c r="Z236" s="20">
        <f ca="1">OFFSET(환산공식!FX$15,$F236,0)</f>
        <v>0.37</v>
      </c>
      <c r="AA236" s="179">
        <f ca="1">OFFSET(환산공식!FY$15,$F236,0)</f>
        <v>0.25</v>
      </c>
      <c r="AC236"/>
      <c r="AD236">
        <f t="shared" ca="1" si="7"/>
        <v>6</v>
      </c>
      <c r="AE236"/>
    </row>
    <row r="237" spans="1:31" s="3" customFormat="1">
      <c r="A237" s="198"/>
      <c r="B237" s="198"/>
      <c r="C237" s="198" t="s">
        <v>1689</v>
      </c>
      <c r="D237" s="195">
        <v>1223</v>
      </c>
      <c r="E237" s="195">
        <v>38</v>
      </c>
      <c r="F237" s="195">
        <v>38</v>
      </c>
      <c r="G237" s="239">
        <v>230</v>
      </c>
      <c r="H237" s="197" t="s">
        <v>79</v>
      </c>
      <c r="I237" s="242" t="s">
        <v>9336</v>
      </c>
      <c r="J237" s="242" t="s">
        <v>12067</v>
      </c>
      <c r="K237" s="195" t="s">
        <v>71</v>
      </c>
      <c r="L237" s="20" t="str">
        <f ca="1">IF(OFFSET(환산공식!$ED$15,$F237,0)=1,"O","X")</f>
        <v>X</v>
      </c>
      <c r="M237" s="188">
        <f ca="1">IFERROR(OFFSET(환산공식!DJ$15,$F237,0),"")</f>
        <v>140</v>
      </c>
      <c r="N237" s="20" t="str">
        <f ca="1">IFERROR(CONCATENATE(ROUND(OFFSET(환산공식!DK$15,$F237,0),1),"%"),"")</f>
        <v>100%</v>
      </c>
      <c r="O237" s="20">
        <f ca="1">IFERROR(OFFSET(환산공식!DL$15,$F237,0),"")</f>
        <v>10</v>
      </c>
      <c r="P237" s="188" t="str">
        <f t="shared" ca="1" si="6"/>
        <v>3% 이하</v>
      </c>
      <c r="Q237" s="194">
        <f ca="1">IFERROR(ROUND(OFFSET(환산공식!$FG$15,$F237,0),3),"")</f>
        <v>0</v>
      </c>
      <c r="R237" s="194">
        <f ca="1">OFFSET('배치점수 계산기'!H$10,$D237,0)</f>
        <v>618.34500000000003</v>
      </c>
      <c r="S237" s="194">
        <f ca="1">OFFSET('배치점수 계산기'!I$10,$D237,0)</f>
        <v>616.16399999999999</v>
      </c>
      <c r="T237" s="194">
        <f ca="1">OFFSET('배치점수 계산기'!J$10,$D237,0)</f>
        <v>613.23199999999997</v>
      </c>
      <c r="U237" s="194">
        <f ca="1">OFFSET('배치점수 계산기'!K$10,$D237,0)</f>
        <v>610.21400000000006</v>
      </c>
      <c r="V237" s="194">
        <f ca="1">OFFSET('배치점수 계산기'!L$10,$D237,0)</f>
        <v>605.47299999999996</v>
      </c>
      <c r="W237" s="186" t="str">
        <f ca="1">OFFSET('배치점수 계산기'!M$10,$D237,0)</f>
        <v>표점/만점</v>
      </c>
      <c r="X237" s="184" t="str">
        <f ca="1">OFFSET('배치점수 계산기'!N$10,$D237,0)</f>
        <v>변표/만점</v>
      </c>
      <c r="Y237" s="188">
        <f ca="1">OFFSET(환산공식!FW$15,$F237,0)</f>
        <v>0.38</v>
      </c>
      <c r="Z237" s="20">
        <f ca="1">OFFSET(환산공식!FX$15,$F237,0)</f>
        <v>0.37</v>
      </c>
      <c r="AA237" s="179">
        <f ca="1">OFFSET(환산공식!FY$15,$F237,0)</f>
        <v>0.25</v>
      </c>
      <c r="AC237"/>
      <c r="AD237">
        <f t="shared" ca="1" si="7"/>
        <v>6</v>
      </c>
      <c r="AE237"/>
    </row>
    <row r="238" spans="1:31" s="3" customFormat="1">
      <c r="A238" s="198"/>
      <c r="B238" s="198"/>
      <c r="C238" s="198" t="s">
        <v>1690</v>
      </c>
      <c r="D238" s="195">
        <v>1224</v>
      </c>
      <c r="E238" s="195">
        <v>38</v>
      </c>
      <c r="F238" s="195">
        <v>38</v>
      </c>
      <c r="G238" s="239">
        <v>231</v>
      </c>
      <c r="H238" s="197" t="s">
        <v>79</v>
      </c>
      <c r="I238" s="242" t="s">
        <v>9336</v>
      </c>
      <c r="J238" s="242" t="s">
        <v>12133</v>
      </c>
      <c r="K238" s="195" t="s">
        <v>71</v>
      </c>
      <c r="L238" s="20" t="str">
        <f ca="1">IF(OFFSET(환산공식!$ED$15,$F238,0)=1,"O","X")</f>
        <v>X</v>
      </c>
      <c r="M238" s="188">
        <f ca="1">IFERROR(OFFSET(환산공식!DJ$15,$F238,0),"")</f>
        <v>140</v>
      </c>
      <c r="N238" s="20" t="str">
        <f ca="1">IFERROR(CONCATENATE(ROUND(OFFSET(환산공식!DK$15,$F238,0),1),"%"),"")</f>
        <v>100%</v>
      </c>
      <c r="O238" s="20">
        <f ca="1">IFERROR(OFFSET(환산공식!DL$15,$F238,0),"")</f>
        <v>10</v>
      </c>
      <c r="P238" s="188" t="str">
        <f t="shared" ca="1" si="6"/>
        <v>3% 이하</v>
      </c>
      <c r="Q238" s="194">
        <f ca="1">IFERROR(ROUND(OFFSET(환산공식!$FG$15,$F238,0),3),"")</f>
        <v>0</v>
      </c>
      <c r="R238" s="194">
        <f ca="1">OFFSET('배치점수 계산기'!H$10,$D238,0)</f>
        <v>617.94000000000005</v>
      </c>
      <c r="S238" s="194">
        <f ca="1">OFFSET('배치점수 계산기'!I$10,$D238,0)</f>
        <v>615.77099999999996</v>
      </c>
      <c r="T238" s="194">
        <f ca="1">OFFSET('배치점수 계산기'!J$10,$D238,0)</f>
        <v>612.476</v>
      </c>
      <c r="U238" s="194">
        <f ca="1">OFFSET('배치점수 계산기'!K$10,$D238,0)</f>
        <v>610.21400000000006</v>
      </c>
      <c r="V238" s="194">
        <f ca="1">OFFSET('배치점수 계산기'!L$10,$D238,0)</f>
        <v>607.41600000000005</v>
      </c>
      <c r="W238" s="186" t="str">
        <f ca="1">OFFSET('배치점수 계산기'!M$10,$D238,0)</f>
        <v>표점/만점</v>
      </c>
      <c r="X238" s="184" t="str">
        <f ca="1">OFFSET('배치점수 계산기'!N$10,$D238,0)</f>
        <v>변표/만점</v>
      </c>
      <c r="Y238" s="188">
        <f ca="1">OFFSET(환산공식!FW$15,$F238,0)</f>
        <v>0.38</v>
      </c>
      <c r="Z238" s="20">
        <f ca="1">OFFSET(환산공식!FX$15,$F238,0)</f>
        <v>0.37</v>
      </c>
      <c r="AA238" s="179">
        <f ca="1">OFFSET(환산공식!FY$15,$F238,0)</f>
        <v>0.25</v>
      </c>
      <c r="AC238"/>
      <c r="AD238">
        <f t="shared" ca="1" si="7"/>
        <v>6</v>
      </c>
      <c r="AE238"/>
    </row>
    <row r="239" spans="1:31" s="3" customFormat="1">
      <c r="A239" s="198"/>
      <c r="B239" s="198"/>
      <c r="C239" s="198" t="s">
        <v>1691</v>
      </c>
      <c r="D239" s="195">
        <v>1225</v>
      </c>
      <c r="E239" s="195">
        <v>38</v>
      </c>
      <c r="F239" s="195">
        <v>38</v>
      </c>
      <c r="G239" s="239">
        <v>232</v>
      </c>
      <c r="H239" s="197" t="s">
        <v>79</v>
      </c>
      <c r="I239" s="242" t="s">
        <v>9336</v>
      </c>
      <c r="J239" s="242" t="s">
        <v>12177</v>
      </c>
      <c r="K239" s="195" t="s">
        <v>71</v>
      </c>
      <c r="L239" s="20" t="str">
        <f ca="1">IF(OFFSET(환산공식!$ED$15,$F239,0)=1,"O","X")</f>
        <v>X</v>
      </c>
      <c r="M239" s="188">
        <f ca="1">IFERROR(OFFSET(환산공식!DJ$15,$F239,0),"")</f>
        <v>140</v>
      </c>
      <c r="N239" s="20" t="str">
        <f ca="1">IFERROR(CONCATENATE(ROUND(OFFSET(환산공식!DK$15,$F239,0),1),"%"),"")</f>
        <v>100%</v>
      </c>
      <c r="O239" s="20">
        <f ca="1">IFERROR(OFFSET(환산공식!DL$15,$F239,0),"")</f>
        <v>10</v>
      </c>
      <c r="P239" s="188" t="str">
        <f t="shared" ca="1" si="6"/>
        <v>3% 이하</v>
      </c>
      <c r="Q239" s="194">
        <f ca="1">IFERROR(ROUND(OFFSET(환산공식!$FG$15,$F239,0),3),"")</f>
        <v>0</v>
      </c>
      <c r="R239" s="194">
        <f ca="1">OFFSET('배치점수 계산기'!H$10,$D239,0)</f>
        <v>616.99599999999998</v>
      </c>
      <c r="S239" s="194">
        <f ca="1">OFFSET('배치점수 계산기'!I$10,$D239,0)</f>
        <v>614.68100000000004</v>
      </c>
      <c r="T239" s="194">
        <f ca="1">OFFSET('배치점수 계산기'!J$10,$D239,0)</f>
        <v>611.399</v>
      </c>
      <c r="U239" s="194">
        <f ca="1">OFFSET('배치점수 계산기'!K$10,$D239,0)</f>
        <v>609.08000000000004</v>
      </c>
      <c r="V239" s="194">
        <f ca="1">OFFSET('배치점수 계산기'!L$10,$D239,0)</f>
        <v>603.94200000000001</v>
      </c>
      <c r="W239" s="186" t="str">
        <f ca="1">OFFSET('배치점수 계산기'!M$10,$D239,0)</f>
        <v>표점/만점</v>
      </c>
      <c r="X239" s="184" t="str">
        <f ca="1">OFFSET('배치점수 계산기'!N$10,$D239,0)</f>
        <v>변표/만점</v>
      </c>
      <c r="Y239" s="188">
        <f ca="1">OFFSET(환산공식!FW$15,$F239,0)</f>
        <v>0.38</v>
      </c>
      <c r="Z239" s="20">
        <f ca="1">OFFSET(환산공식!FX$15,$F239,0)</f>
        <v>0.37</v>
      </c>
      <c r="AA239" s="179">
        <f ca="1">OFFSET(환산공식!FY$15,$F239,0)</f>
        <v>0.25</v>
      </c>
      <c r="AC239"/>
      <c r="AD239">
        <f t="shared" ca="1" si="7"/>
        <v>6</v>
      </c>
      <c r="AE239"/>
    </row>
    <row r="240" spans="1:31" s="3" customFormat="1">
      <c r="A240" s="198"/>
      <c r="B240" s="198"/>
      <c r="C240" s="198" t="s">
        <v>1692</v>
      </c>
      <c r="D240" s="195">
        <v>1226</v>
      </c>
      <c r="E240" s="195">
        <v>38</v>
      </c>
      <c r="F240" s="195">
        <v>38</v>
      </c>
      <c r="G240" s="239">
        <v>233</v>
      </c>
      <c r="H240" s="197" t="s">
        <v>79</v>
      </c>
      <c r="I240" s="242" t="s">
        <v>9336</v>
      </c>
      <c r="J240" s="242" t="s">
        <v>12207</v>
      </c>
      <c r="K240" s="195" t="s">
        <v>71</v>
      </c>
      <c r="L240" s="20" t="str">
        <f ca="1">IF(OFFSET(환산공식!$ED$15,$F240,0)=1,"O","X")</f>
        <v>X</v>
      </c>
      <c r="M240" s="188">
        <f ca="1">IFERROR(OFFSET(환산공식!DJ$15,$F240,0),"")</f>
        <v>140</v>
      </c>
      <c r="N240" s="20" t="str">
        <f ca="1">IFERROR(CONCATENATE(ROUND(OFFSET(환산공식!DK$15,$F240,0),1),"%"),"")</f>
        <v>100%</v>
      </c>
      <c r="O240" s="20">
        <f ca="1">IFERROR(OFFSET(환산공식!DL$15,$F240,0),"")</f>
        <v>10</v>
      </c>
      <c r="P240" s="188" t="str">
        <f t="shared" ca="1" si="6"/>
        <v>3% 이하</v>
      </c>
      <c r="Q240" s="194">
        <f ca="1">IFERROR(ROUND(OFFSET(환산공식!$FG$15,$F240,0),3),"")</f>
        <v>0</v>
      </c>
      <c r="R240" s="194">
        <f ca="1">OFFSET('배치점수 계산기'!H$10,$D240,0)</f>
        <v>617.68600000000004</v>
      </c>
      <c r="S240" s="194">
        <f ca="1">OFFSET('배치점수 계산기'!I$10,$D240,0)</f>
        <v>613.99599999999998</v>
      </c>
      <c r="T240" s="194">
        <f ca="1">OFFSET('배치점수 계산기'!J$10,$D240,0)</f>
        <v>611.02599999999995</v>
      </c>
      <c r="U240" s="194">
        <f ca="1">OFFSET('배치점수 계산기'!K$10,$D240,0)</f>
        <v>609.53800000000001</v>
      </c>
      <c r="V240" s="194">
        <f ca="1">OFFSET('배치점수 계산기'!L$10,$D240,0)</f>
        <v>607.69899999999996</v>
      </c>
      <c r="W240" s="186" t="str">
        <f ca="1">OFFSET('배치점수 계산기'!M$10,$D240,0)</f>
        <v>표점/만점</v>
      </c>
      <c r="X240" s="184" t="str">
        <f ca="1">OFFSET('배치점수 계산기'!N$10,$D240,0)</f>
        <v>변표/만점</v>
      </c>
      <c r="Y240" s="188">
        <f ca="1">OFFSET(환산공식!FW$15,$F240,0)</f>
        <v>0.38</v>
      </c>
      <c r="Z240" s="20">
        <f ca="1">OFFSET(환산공식!FX$15,$F240,0)</f>
        <v>0.37</v>
      </c>
      <c r="AA240" s="179">
        <f ca="1">OFFSET(환산공식!FY$15,$F240,0)</f>
        <v>0.25</v>
      </c>
      <c r="AC240"/>
      <c r="AD240">
        <f t="shared" ca="1" si="7"/>
        <v>6</v>
      </c>
      <c r="AE240"/>
    </row>
    <row r="241" spans="1:31" s="3" customFormat="1">
      <c r="A241" s="198"/>
      <c r="B241" s="198"/>
      <c r="C241" s="198" t="s">
        <v>1693</v>
      </c>
      <c r="D241" s="195">
        <v>1227</v>
      </c>
      <c r="E241" s="195">
        <v>38</v>
      </c>
      <c r="F241" s="195">
        <v>38</v>
      </c>
      <c r="G241" s="239">
        <v>234</v>
      </c>
      <c r="H241" s="197" t="s">
        <v>79</v>
      </c>
      <c r="I241" s="242" t="s">
        <v>9336</v>
      </c>
      <c r="J241" s="242" t="s">
        <v>12366</v>
      </c>
      <c r="K241" s="195" t="s">
        <v>71</v>
      </c>
      <c r="L241" s="20" t="str">
        <f ca="1">IF(OFFSET(환산공식!$ED$15,$F241,0)=1,"O","X")</f>
        <v>X</v>
      </c>
      <c r="M241" s="188">
        <f ca="1">IFERROR(OFFSET(환산공식!DJ$15,$F241,0),"")</f>
        <v>140</v>
      </c>
      <c r="N241" s="20" t="str">
        <f ca="1">IFERROR(CONCATENATE(ROUND(OFFSET(환산공식!DK$15,$F241,0),1),"%"),"")</f>
        <v>100%</v>
      </c>
      <c r="O241" s="20">
        <f ca="1">IFERROR(OFFSET(환산공식!DL$15,$F241,0),"")</f>
        <v>10</v>
      </c>
      <c r="P241" s="188" t="str">
        <f t="shared" ca="1" si="6"/>
        <v>3% 이하</v>
      </c>
      <c r="Q241" s="194">
        <f ca="1">IFERROR(ROUND(OFFSET(환산공식!$FG$15,$F241,0),3),"")</f>
        <v>0</v>
      </c>
      <c r="R241" s="194">
        <f ca="1">OFFSET('배치점수 계산기'!H$10,$D241,0)</f>
        <v>612.52</v>
      </c>
      <c r="S241" s="194">
        <f ca="1">OFFSET('배치점수 계산기'!I$10,$D241,0)</f>
        <v>610.69200000000001</v>
      </c>
      <c r="T241" s="194">
        <f ca="1">OFFSET('배치점수 계산기'!J$10,$D241,0)</f>
        <v>608.50800000000004</v>
      </c>
      <c r="U241" s="194">
        <f ca="1">OFFSET('배치점수 계산기'!K$10,$D241,0)</f>
        <v>606.74300000000005</v>
      </c>
      <c r="V241" s="194">
        <f ca="1">OFFSET('배치점수 계산기'!L$10,$D241,0)</f>
        <v>604.45500000000004</v>
      </c>
      <c r="W241" s="186" t="str">
        <f ca="1">OFFSET('배치점수 계산기'!M$10,$D241,0)</f>
        <v>표점/만점</v>
      </c>
      <c r="X241" s="184" t="str">
        <f ca="1">OFFSET('배치점수 계산기'!N$10,$D241,0)</f>
        <v>변표/만점</v>
      </c>
      <c r="Y241" s="188">
        <f ca="1">OFFSET(환산공식!FW$15,$F241,0)</f>
        <v>0.38</v>
      </c>
      <c r="Z241" s="20">
        <f ca="1">OFFSET(환산공식!FX$15,$F241,0)</f>
        <v>0.37</v>
      </c>
      <c r="AA241" s="179">
        <f ca="1">OFFSET(환산공식!FY$15,$F241,0)</f>
        <v>0.25</v>
      </c>
      <c r="AC241"/>
      <c r="AD241">
        <f t="shared" ca="1" si="7"/>
        <v>6</v>
      </c>
      <c r="AE241"/>
    </row>
    <row r="242" spans="1:31" s="3" customFormat="1">
      <c r="A242" s="198"/>
      <c r="B242" s="198"/>
      <c r="C242" s="198" t="s">
        <v>1694</v>
      </c>
      <c r="D242" s="195">
        <v>1228</v>
      </c>
      <c r="E242" s="195">
        <v>38</v>
      </c>
      <c r="F242" s="195">
        <v>38</v>
      </c>
      <c r="G242" s="239">
        <v>235</v>
      </c>
      <c r="H242" s="197" t="s">
        <v>79</v>
      </c>
      <c r="I242" s="242" t="s">
        <v>9336</v>
      </c>
      <c r="J242" s="242" t="s">
        <v>12436</v>
      </c>
      <c r="K242" s="195" t="s">
        <v>71</v>
      </c>
      <c r="L242" s="20" t="str">
        <f ca="1">IF(OFFSET(환산공식!$ED$15,$F242,0)=1,"O","X")</f>
        <v>X</v>
      </c>
      <c r="M242" s="188">
        <f ca="1">IFERROR(OFFSET(환산공식!DJ$15,$F242,0),"")</f>
        <v>140</v>
      </c>
      <c r="N242" s="20" t="str">
        <f ca="1">IFERROR(CONCATENATE(ROUND(OFFSET(환산공식!DK$15,$F242,0),1),"%"),"")</f>
        <v>100%</v>
      </c>
      <c r="O242" s="20">
        <f ca="1">IFERROR(OFFSET(환산공식!DL$15,$F242,0),"")</f>
        <v>10</v>
      </c>
      <c r="P242" s="188" t="str">
        <f t="shared" ca="1" si="6"/>
        <v>3% 이하</v>
      </c>
      <c r="Q242" s="194">
        <f ca="1">IFERROR(ROUND(OFFSET(환산공식!$FG$15,$F242,0),3),"")</f>
        <v>0</v>
      </c>
      <c r="R242" s="194">
        <f ca="1">OFFSET('배치점수 계산기'!H$10,$D242,0)</f>
        <v>611.077</v>
      </c>
      <c r="S242" s="194">
        <f ca="1">OFFSET('배치점수 계산기'!I$10,$D242,0)</f>
        <v>609.63699999999994</v>
      </c>
      <c r="T242" s="194">
        <f ca="1">OFFSET('배치점수 계산기'!J$10,$D242,0)</f>
        <v>607.31700000000001</v>
      </c>
      <c r="U242" s="194">
        <f ca="1">OFFSET('배치점수 계산기'!K$10,$D242,0)</f>
        <v>605.23099999999999</v>
      </c>
      <c r="V242" s="194">
        <f ca="1">OFFSET('배치점수 계산기'!L$10,$D242,0)</f>
        <v>602.84799999999996</v>
      </c>
      <c r="W242" s="186" t="str">
        <f ca="1">OFFSET('배치점수 계산기'!M$10,$D242,0)</f>
        <v>표점/만점</v>
      </c>
      <c r="X242" s="184" t="str">
        <f ca="1">OFFSET('배치점수 계산기'!N$10,$D242,0)</f>
        <v>변표/만점</v>
      </c>
      <c r="Y242" s="188">
        <f ca="1">OFFSET(환산공식!FW$15,$F242,0)</f>
        <v>0.38</v>
      </c>
      <c r="Z242" s="20">
        <f ca="1">OFFSET(환산공식!FX$15,$F242,0)</f>
        <v>0.37</v>
      </c>
      <c r="AA242" s="179">
        <f ca="1">OFFSET(환산공식!FY$15,$F242,0)</f>
        <v>0.25</v>
      </c>
      <c r="AC242"/>
      <c r="AD242">
        <f t="shared" ca="1" si="7"/>
        <v>6</v>
      </c>
      <c r="AE242"/>
    </row>
    <row r="243" spans="1:31" s="3" customFormat="1">
      <c r="A243" s="198"/>
      <c r="B243" s="198"/>
      <c r="C243" s="198" t="s">
        <v>1695</v>
      </c>
      <c r="D243" s="195">
        <v>1229</v>
      </c>
      <c r="E243" s="195">
        <v>38</v>
      </c>
      <c r="F243" s="195">
        <v>38</v>
      </c>
      <c r="G243" s="239">
        <v>236</v>
      </c>
      <c r="H243" s="197" t="s">
        <v>79</v>
      </c>
      <c r="I243" s="242" t="s">
        <v>9336</v>
      </c>
      <c r="J243" s="242" t="s">
        <v>8863</v>
      </c>
      <c r="K243" s="195" t="s">
        <v>71</v>
      </c>
      <c r="L243" s="20" t="str">
        <f ca="1">IF(OFFSET(환산공식!$ED$15,$F243,0)=1,"O","X")</f>
        <v>X</v>
      </c>
      <c r="M243" s="188">
        <f ca="1">IFERROR(OFFSET(환산공식!DJ$15,$F243,0),"")</f>
        <v>140</v>
      </c>
      <c r="N243" s="20" t="str">
        <f ca="1">IFERROR(CONCATENATE(ROUND(OFFSET(환산공식!DK$15,$F243,0),1),"%"),"")</f>
        <v>100%</v>
      </c>
      <c r="O243" s="20">
        <f ca="1">IFERROR(OFFSET(환산공식!DL$15,$F243,0),"")</f>
        <v>10</v>
      </c>
      <c r="P243" s="188" t="str">
        <f t="shared" ca="1" si="6"/>
        <v>3% 이하</v>
      </c>
      <c r="Q243" s="194">
        <f ca="1">IFERROR(ROUND(OFFSET(환산공식!$FG$15,$F243,0),3),"")</f>
        <v>0</v>
      </c>
      <c r="R243" s="194">
        <f ca="1">OFFSET('배치점수 계산기'!H$10,$D243,0)</f>
        <v>608.36699999999996</v>
      </c>
      <c r="S243" s="194">
        <f ca="1">OFFSET('배치점수 계산기'!I$10,$D243,0)</f>
        <v>607.31700000000001</v>
      </c>
      <c r="T243" s="194">
        <f ca="1">OFFSET('배치점수 계산기'!J$10,$D243,0)</f>
        <v>606.548</v>
      </c>
      <c r="U243" s="194">
        <f ca="1">OFFSET('배치점수 계산기'!K$10,$D243,0)</f>
        <v>602.64700000000005</v>
      </c>
      <c r="V243" s="194">
        <f ca="1">OFFSET('배치점수 계산기'!L$10,$D243,0)</f>
        <v>601.49400000000003</v>
      </c>
      <c r="W243" s="186" t="str">
        <f ca="1">OFFSET('배치점수 계산기'!M$10,$D243,0)</f>
        <v>표점/만점</v>
      </c>
      <c r="X243" s="184" t="str">
        <f ca="1">OFFSET('배치점수 계산기'!N$10,$D243,0)</f>
        <v>변표/만점</v>
      </c>
      <c r="Y243" s="188">
        <f ca="1">OFFSET(환산공식!FW$15,$F243,0)</f>
        <v>0.38</v>
      </c>
      <c r="Z243" s="20">
        <f ca="1">OFFSET(환산공식!FX$15,$F243,0)</f>
        <v>0.37</v>
      </c>
      <c r="AA243" s="179">
        <f ca="1">OFFSET(환산공식!FY$15,$F243,0)</f>
        <v>0.25</v>
      </c>
      <c r="AC243"/>
      <c r="AD243">
        <f t="shared" ca="1" si="7"/>
        <v>6</v>
      </c>
      <c r="AE243"/>
    </row>
    <row r="244" spans="1:31" s="3" customFormat="1">
      <c r="A244" s="198"/>
      <c r="B244" s="198"/>
      <c r="C244" s="198" t="s">
        <v>1696</v>
      </c>
      <c r="D244" s="195">
        <v>1230</v>
      </c>
      <c r="E244" s="195">
        <v>38</v>
      </c>
      <c r="F244" s="195">
        <v>38</v>
      </c>
      <c r="G244" s="239">
        <v>237</v>
      </c>
      <c r="H244" s="197" t="s">
        <v>79</v>
      </c>
      <c r="I244" s="242" t="s">
        <v>9336</v>
      </c>
      <c r="J244" s="242" t="s">
        <v>12566</v>
      </c>
      <c r="K244" s="195" t="s">
        <v>71</v>
      </c>
      <c r="L244" s="20" t="str">
        <f ca="1">IF(OFFSET(환산공식!$ED$15,$F244,0)=1,"O","X")</f>
        <v>X</v>
      </c>
      <c r="M244" s="188">
        <f ca="1">IFERROR(OFFSET(환산공식!DJ$15,$F244,0),"")</f>
        <v>140</v>
      </c>
      <c r="N244" s="20" t="str">
        <f ca="1">IFERROR(CONCATENATE(ROUND(OFFSET(환산공식!DK$15,$F244,0),1),"%"),"")</f>
        <v>100%</v>
      </c>
      <c r="O244" s="20">
        <f ca="1">IFERROR(OFFSET(환산공식!DL$15,$F244,0),"")</f>
        <v>10</v>
      </c>
      <c r="P244" s="188" t="str">
        <f t="shared" ca="1" si="6"/>
        <v>3% 이하</v>
      </c>
      <c r="Q244" s="194">
        <f ca="1">IFERROR(ROUND(OFFSET(환산공식!$FG$15,$F244,0),3),"")</f>
        <v>0</v>
      </c>
      <c r="R244" s="194">
        <f ca="1">OFFSET('배치점수 계산기'!H$10,$D244,0)</f>
        <v>608.36699999999996</v>
      </c>
      <c r="S244" s="194">
        <f ca="1">OFFSET('배치점수 계산기'!I$10,$D244,0)</f>
        <v>606.548</v>
      </c>
      <c r="T244" s="194">
        <f ca="1">OFFSET('배치점수 계산기'!J$10,$D244,0)</f>
        <v>603.46100000000001</v>
      </c>
      <c r="U244" s="194">
        <f ca="1">OFFSET('배치점수 계산기'!K$10,$D244,0)</f>
        <v>601.49400000000003</v>
      </c>
      <c r="V244" s="194">
        <f ca="1">OFFSET('배치점수 계산기'!L$10,$D244,0)</f>
        <v>598.62099999999998</v>
      </c>
      <c r="W244" s="186" t="str">
        <f ca="1">OFFSET('배치점수 계산기'!M$10,$D244,0)</f>
        <v>표점/만점</v>
      </c>
      <c r="X244" s="184" t="str">
        <f ca="1">OFFSET('배치점수 계산기'!N$10,$D244,0)</f>
        <v>변표/만점</v>
      </c>
      <c r="Y244" s="188">
        <f ca="1">OFFSET(환산공식!FW$15,$F244,0)</f>
        <v>0.38</v>
      </c>
      <c r="Z244" s="20">
        <f ca="1">OFFSET(환산공식!FX$15,$F244,0)</f>
        <v>0.37</v>
      </c>
      <c r="AA244" s="179">
        <f ca="1">OFFSET(환산공식!FY$15,$F244,0)</f>
        <v>0.25</v>
      </c>
      <c r="AC244"/>
      <c r="AD244">
        <f t="shared" ca="1" si="7"/>
        <v>6</v>
      </c>
      <c r="AE244"/>
    </row>
    <row r="245" spans="1:31" s="3" customFormat="1">
      <c r="A245" s="198"/>
      <c r="B245" s="198"/>
      <c r="C245" s="198" t="s">
        <v>1697</v>
      </c>
      <c r="D245" s="195">
        <v>1231</v>
      </c>
      <c r="E245" s="195">
        <v>38</v>
      </c>
      <c r="F245" s="195">
        <v>38</v>
      </c>
      <c r="G245" s="239">
        <v>238</v>
      </c>
      <c r="H245" s="197" t="s">
        <v>79</v>
      </c>
      <c r="I245" s="242" t="s">
        <v>9336</v>
      </c>
      <c r="J245" s="242" t="s">
        <v>12667</v>
      </c>
      <c r="K245" s="195" t="s">
        <v>71</v>
      </c>
      <c r="L245" s="20" t="str">
        <f ca="1">IF(OFFSET(환산공식!$ED$15,$F245,0)=1,"O","X")</f>
        <v>X</v>
      </c>
      <c r="M245" s="188">
        <f ca="1">IFERROR(OFFSET(환산공식!DJ$15,$F245,0),"")</f>
        <v>140</v>
      </c>
      <c r="N245" s="20" t="str">
        <f ca="1">IFERROR(CONCATENATE(ROUND(OFFSET(환산공식!DK$15,$F245,0),1),"%"),"")</f>
        <v>100%</v>
      </c>
      <c r="O245" s="20">
        <f ca="1">IFERROR(OFFSET(환산공식!DL$15,$F245,0),"")</f>
        <v>10</v>
      </c>
      <c r="P245" s="188" t="str">
        <f t="shared" ca="1" si="6"/>
        <v>3% 이하</v>
      </c>
      <c r="Q245" s="194">
        <f ca="1">IFERROR(ROUND(OFFSET(환산공식!$FG$15,$F245,0),3),"")</f>
        <v>0</v>
      </c>
      <c r="R245" s="194">
        <f ca="1">OFFSET('배치점수 계산기'!H$10,$D245,0)</f>
        <v>604.93700000000001</v>
      </c>
      <c r="S245" s="194">
        <f ca="1">OFFSET('배치점수 계산기'!I$10,$D245,0)</f>
        <v>603.46100000000001</v>
      </c>
      <c r="T245" s="194">
        <f ca="1">OFFSET('배치점수 계산기'!J$10,$D245,0)</f>
        <v>602.64700000000005</v>
      </c>
      <c r="U245" s="194">
        <f ca="1">OFFSET('배치점수 계산기'!K$10,$D245,0)</f>
        <v>599.75900000000001</v>
      </c>
      <c r="V245" s="194">
        <f ca="1">OFFSET('배치점수 계산기'!L$10,$D245,0)</f>
        <v>598.06500000000005</v>
      </c>
      <c r="W245" s="186" t="str">
        <f ca="1">OFFSET('배치점수 계산기'!M$10,$D245,0)</f>
        <v>표점/만점</v>
      </c>
      <c r="X245" s="184" t="str">
        <f ca="1">OFFSET('배치점수 계산기'!N$10,$D245,0)</f>
        <v>변표/만점</v>
      </c>
      <c r="Y245" s="188">
        <f ca="1">OFFSET(환산공식!FW$15,$F245,0)</f>
        <v>0.38</v>
      </c>
      <c r="Z245" s="20">
        <f ca="1">OFFSET(환산공식!FX$15,$F245,0)</f>
        <v>0.37</v>
      </c>
      <c r="AA245" s="179">
        <f ca="1">OFFSET(환산공식!FY$15,$F245,0)</f>
        <v>0.25</v>
      </c>
      <c r="AC245"/>
      <c r="AD245">
        <f t="shared" ca="1" si="7"/>
        <v>6</v>
      </c>
      <c r="AE245"/>
    </row>
    <row r="246" spans="1:31" s="3" customFormat="1">
      <c r="A246" s="198"/>
      <c r="B246" s="198"/>
      <c r="C246" s="198" t="s">
        <v>1698</v>
      </c>
      <c r="D246" s="195">
        <v>1232</v>
      </c>
      <c r="E246" s="195">
        <v>47</v>
      </c>
      <c r="F246" s="195">
        <v>47</v>
      </c>
      <c r="G246" s="239">
        <v>239</v>
      </c>
      <c r="H246" s="197" t="s">
        <v>79</v>
      </c>
      <c r="I246" s="242" t="s">
        <v>217</v>
      </c>
      <c r="J246" s="242" t="s">
        <v>9206</v>
      </c>
      <c r="K246" s="195" t="s">
        <v>70</v>
      </c>
      <c r="L246" s="20" t="str">
        <f ca="1">IF(OFFSET(환산공식!$ED$15,$F246,0)=1,"O","X")</f>
        <v>X</v>
      </c>
      <c r="M246" s="188">
        <f ca="1">IFERROR(OFFSET(환산공식!DJ$15,$F246,0),"")</f>
        <v>100</v>
      </c>
      <c r="N246" s="20" t="str">
        <f ca="1">IFERROR(CONCATENATE(ROUND(OFFSET(환산공식!DK$15,$F246,0),1),"%"),"")</f>
        <v>100%</v>
      </c>
      <c r="O246" s="20">
        <f ca="1">IFERROR(OFFSET(환산공식!DL$15,$F246,0),"")</f>
        <v>0</v>
      </c>
      <c r="P246" s="188" t="str">
        <f t="shared" ca="1" si="6"/>
        <v>3% 이하</v>
      </c>
      <c r="Q246" s="194">
        <f ca="1">IFERROR(ROUND(OFFSET(환산공식!$FG$15,$F246,0),3),"")</f>
        <v>0</v>
      </c>
      <c r="R246" s="194">
        <f ca="1">OFFSET('배치점수 계산기'!H$10,$D246,0)</f>
        <v>674.87</v>
      </c>
      <c r="S246" s="194">
        <f ca="1">OFFSET('배치점수 계산기'!I$10,$D246,0)</f>
        <v>672.08199999999999</v>
      </c>
      <c r="T246" s="194">
        <f ca="1">OFFSET('배치점수 계산기'!J$10,$D246,0)</f>
        <v>667.30499999999995</v>
      </c>
      <c r="U246" s="194">
        <f ca="1">OFFSET('배치점수 계산기'!K$10,$D246,0)</f>
        <v>665.11400000000003</v>
      </c>
      <c r="V246" s="194">
        <f ca="1">OFFSET('배치점수 계산기'!L$10,$D246,0)</f>
        <v>661.32799999999997</v>
      </c>
      <c r="W246" s="186" t="str">
        <f ca="1">OFFSET('배치점수 계산기'!M$10,$D246,0)</f>
        <v>표점</v>
      </c>
      <c r="X246" s="184" t="str">
        <f ca="1">OFFSET('배치점수 계산기'!N$10,$D246,0)</f>
        <v>변표</v>
      </c>
      <c r="Y246" s="188">
        <f ca="1">OFFSET(환산공식!FW$15,$F246,0)</f>
        <v>0.33</v>
      </c>
      <c r="Z246" s="20">
        <f ca="1">OFFSET(환산공식!FX$15,$F246,0)</f>
        <v>0.44</v>
      </c>
      <c r="AA246" s="179">
        <f ca="1">OFFSET(환산공식!FY$15,$F246,0)</f>
        <v>0.22</v>
      </c>
      <c r="AC246"/>
      <c r="AD246">
        <f t="shared" ca="1" si="7"/>
        <v>6</v>
      </c>
      <c r="AE246"/>
    </row>
    <row r="247" spans="1:31" s="3" customFormat="1">
      <c r="A247" s="198"/>
      <c r="B247" s="198"/>
      <c r="C247" s="198" t="s">
        <v>1699</v>
      </c>
      <c r="D247" s="195">
        <v>1233</v>
      </c>
      <c r="E247" s="195">
        <v>47</v>
      </c>
      <c r="F247" s="195">
        <v>47</v>
      </c>
      <c r="G247" s="239">
        <v>240</v>
      </c>
      <c r="H247" s="197" t="s">
        <v>79</v>
      </c>
      <c r="I247" s="242" t="s">
        <v>217</v>
      </c>
      <c r="J247" s="242" t="s">
        <v>551</v>
      </c>
      <c r="K247" s="195" t="s">
        <v>70</v>
      </c>
      <c r="L247" s="20" t="str">
        <f ca="1">IF(OFFSET(환산공식!$ED$15,$F247,0)=1,"O","X")</f>
        <v>X</v>
      </c>
      <c r="M247" s="188">
        <f ca="1">IFERROR(OFFSET(환산공식!DJ$15,$F247,0),"")</f>
        <v>100</v>
      </c>
      <c r="N247" s="20" t="str">
        <f ca="1">IFERROR(CONCATENATE(ROUND(OFFSET(환산공식!DK$15,$F247,0),1),"%"),"")</f>
        <v>100%</v>
      </c>
      <c r="O247" s="20">
        <f ca="1">IFERROR(OFFSET(환산공식!DL$15,$F247,0),"")</f>
        <v>0</v>
      </c>
      <c r="P247" s="188" t="str">
        <f t="shared" ca="1" si="6"/>
        <v>3% 이하</v>
      </c>
      <c r="Q247" s="194">
        <f ca="1">IFERROR(ROUND(OFFSET(환산공식!$FG$15,$F247,0),3),"")</f>
        <v>0</v>
      </c>
      <c r="R247" s="194">
        <f ca="1">OFFSET('배치점수 계산기'!H$10,$D247,0)</f>
        <v>670.98199999999997</v>
      </c>
      <c r="S247" s="194">
        <f ca="1">OFFSET('배치점수 계산기'!I$10,$D247,0)</f>
        <v>668.19200000000001</v>
      </c>
      <c r="T247" s="194">
        <f ca="1">OFFSET('배치점수 계산기'!J$10,$D247,0)</f>
        <v>666.53</v>
      </c>
      <c r="U247" s="194">
        <f ca="1">OFFSET('배치점수 계산기'!K$10,$D247,0)</f>
        <v>663.81600000000003</v>
      </c>
      <c r="V247" s="194">
        <f ca="1">OFFSET('배치점수 계산기'!L$10,$D247,0)</f>
        <v>657.24199999999996</v>
      </c>
      <c r="W247" s="186" t="str">
        <f ca="1">OFFSET('배치점수 계산기'!M$10,$D247,0)</f>
        <v>표점</v>
      </c>
      <c r="X247" s="184" t="str">
        <f ca="1">OFFSET('배치점수 계산기'!N$10,$D247,0)</f>
        <v>변표</v>
      </c>
      <c r="Y247" s="188">
        <f ca="1">OFFSET(환산공식!FW$15,$F247,0)</f>
        <v>0.33</v>
      </c>
      <c r="Z247" s="20">
        <f ca="1">OFFSET(환산공식!FX$15,$F247,0)</f>
        <v>0.44</v>
      </c>
      <c r="AA247" s="179">
        <f ca="1">OFFSET(환산공식!FY$15,$F247,0)</f>
        <v>0.22</v>
      </c>
      <c r="AC247"/>
      <c r="AD247">
        <f t="shared" ca="1" si="7"/>
        <v>6</v>
      </c>
      <c r="AE247"/>
    </row>
    <row r="248" spans="1:31" s="3" customFormat="1">
      <c r="A248" s="198"/>
      <c r="B248" s="198"/>
      <c r="C248" s="198" t="s">
        <v>1700</v>
      </c>
      <c r="D248" s="195">
        <v>1234</v>
      </c>
      <c r="E248" s="195">
        <v>47</v>
      </c>
      <c r="F248" s="195">
        <v>47</v>
      </c>
      <c r="G248" s="239">
        <v>241</v>
      </c>
      <c r="H248" s="197" t="s">
        <v>79</v>
      </c>
      <c r="I248" s="242" t="s">
        <v>217</v>
      </c>
      <c r="J248" s="242" t="s">
        <v>8011</v>
      </c>
      <c r="K248" s="195" t="s">
        <v>70</v>
      </c>
      <c r="L248" s="20" t="str">
        <f ca="1">IF(OFFSET(환산공식!$ED$15,$F248,0)=1,"O","X")</f>
        <v>X</v>
      </c>
      <c r="M248" s="188">
        <f ca="1">IFERROR(OFFSET(환산공식!DJ$15,$F248,0),"")</f>
        <v>100</v>
      </c>
      <c r="N248" s="20" t="str">
        <f ca="1">IFERROR(CONCATENATE(ROUND(OFFSET(환산공식!DK$15,$F248,0),1),"%"),"")</f>
        <v>100%</v>
      </c>
      <c r="O248" s="20">
        <f ca="1">IFERROR(OFFSET(환산공식!DL$15,$F248,0),"")</f>
        <v>0</v>
      </c>
      <c r="P248" s="188" t="str">
        <f t="shared" ca="1" si="6"/>
        <v>3% 이하</v>
      </c>
      <c r="Q248" s="194">
        <f ca="1">IFERROR(ROUND(OFFSET(환산공식!$FG$15,$F248,0),3),"")</f>
        <v>0</v>
      </c>
      <c r="R248" s="194">
        <f ca="1">OFFSET('배치점수 계산기'!H$10,$D248,0)</f>
        <v>670.73</v>
      </c>
      <c r="S248" s="194">
        <f ca="1">OFFSET('배치점수 계산기'!I$10,$D248,0)</f>
        <v>667.67499999999995</v>
      </c>
      <c r="T248" s="194">
        <f ca="1">OFFSET('배치점수 계산기'!J$10,$D248,0)</f>
        <v>665.48900000000003</v>
      </c>
      <c r="U248" s="194">
        <f ca="1">OFFSET('배치점수 계산기'!K$10,$D248,0)</f>
        <v>663.81600000000003</v>
      </c>
      <c r="V248" s="194">
        <f ca="1">OFFSET('배치점수 계산기'!L$10,$D248,0)</f>
        <v>661.88</v>
      </c>
      <c r="W248" s="186" t="str">
        <f ca="1">OFFSET('배치점수 계산기'!M$10,$D248,0)</f>
        <v>표점</v>
      </c>
      <c r="X248" s="184" t="str">
        <f ca="1">OFFSET('배치점수 계산기'!N$10,$D248,0)</f>
        <v>변표</v>
      </c>
      <c r="Y248" s="188">
        <f ca="1">OFFSET(환산공식!FW$15,$F248,0)</f>
        <v>0.33</v>
      </c>
      <c r="Z248" s="20">
        <f ca="1">OFFSET(환산공식!FX$15,$F248,0)</f>
        <v>0.44</v>
      </c>
      <c r="AA248" s="179">
        <f ca="1">OFFSET(환산공식!FY$15,$F248,0)</f>
        <v>0.22</v>
      </c>
      <c r="AC248"/>
      <c r="AD248">
        <f t="shared" ca="1" si="7"/>
        <v>6</v>
      </c>
      <c r="AE248"/>
    </row>
    <row r="249" spans="1:31" s="3" customFormat="1">
      <c r="A249" s="198"/>
      <c r="B249" s="198"/>
      <c r="C249" s="198" t="s">
        <v>1701</v>
      </c>
      <c r="D249" s="195">
        <v>1235</v>
      </c>
      <c r="E249" s="195">
        <v>47</v>
      </c>
      <c r="F249" s="195">
        <v>47</v>
      </c>
      <c r="G249" s="239">
        <v>242</v>
      </c>
      <c r="H249" s="197" t="s">
        <v>79</v>
      </c>
      <c r="I249" s="242" t="s">
        <v>217</v>
      </c>
      <c r="J249" s="242" t="s">
        <v>9400</v>
      </c>
      <c r="K249" s="195" t="s">
        <v>70</v>
      </c>
      <c r="L249" s="20" t="str">
        <f ca="1">IF(OFFSET(환산공식!$ED$15,$F249,0)=1,"O","X")</f>
        <v>X</v>
      </c>
      <c r="M249" s="188">
        <f ca="1">IFERROR(OFFSET(환산공식!DJ$15,$F249,0),"")</f>
        <v>100</v>
      </c>
      <c r="N249" s="20" t="str">
        <f ca="1">IFERROR(CONCATENATE(ROUND(OFFSET(환산공식!DK$15,$F249,0),1),"%"),"")</f>
        <v>100%</v>
      </c>
      <c r="O249" s="20">
        <f ca="1">IFERROR(OFFSET(환산공식!DL$15,$F249,0),"")</f>
        <v>0</v>
      </c>
      <c r="P249" s="188" t="str">
        <f t="shared" ca="1" si="6"/>
        <v>3% 이하</v>
      </c>
      <c r="Q249" s="194">
        <f ca="1">IFERROR(ROUND(OFFSET(환산공식!$FG$15,$F249,0),3),"")</f>
        <v>0</v>
      </c>
      <c r="R249" s="194">
        <f ca="1">OFFSET('배치점수 계산기'!H$10,$D249,0)</f>
        <v>669.81600000000003</v>
      </c>
      <c r="S249" s="194">
        <f ca="1">OFFSET('배치점수 계산기'!I$10,$D249,0)</f>
        <v>667.30499999999995</v>
      </c>
      <c r="T249" s="194">
        <f ca="1">OFFSET('배치점수 계산기'!J$10,$D249,0)</f>
        <v>665.35</v>
      </c>
      <c r="U249" s="194">
        <f ca="1">OFFSET('배치점수 계산기'!K$10,$D249,0)</f>
        <v>663.59</v>
      </c>
      <c r="V249" s="194">
        <f ca="1">OFFSET('배치점수 계산기'!L$10,$D249,0)</f>
        <v>656.30799999999999</v>
      </c>
      <c r="W249" s="186" t="str">
        <f ca="1">OFFSET('배치점수 계산기'!M$10,$D249,0)</f>
        <v>표점</v>
      </c>
      <c r="X249" s="184" t="str">
        <f ca="1">OFFSET('배치점수 계산기'!N$10,$D249,0)</f>
        <v>변표</v>
      </c>
      <c r="Y249" s="188">
        <f ca="1">OFFSET(환산공식!FW$15,$F249,0)</f>
        <v>0.33</v>
      </c>
      <c r="Z249" s="20">
        <f ca="1">OFFSET(환산공식!FX$15,$F249,0)</f>
        <v>0.44</v>
      </c>
      <c r="AA249" s="179">
        <f ca="1">OFFSET(환산공식!FY$15,$F249,0)</f>
        <v>0.22</v>
      </c>
      <c r="AC249"/>
      <c r="AD249">
        <f t="shared" ca="1" si="7"/>
        <v>6</v>
      </c>
      <c r="AE249"/>
    </row>
    <row r="250" spans="1:31" s="3" customFormat="1">
      <c r="A250" s="198"/>
      <c r="B250" s="198"/>
      <c r="C250" s="198" t="s">
        <v>1702</v>
      </c>
      <c r="D250" s="195">
        <v>1236</v>
      </c>
      <c r="E250" s="195">
        <v>47</v>
      </c>
      <c r="F250" s="195">
        <v>47</v>
      </c>
      <c r="G250" s="239">
        <v>243</v>
      </c>
      <c r="H250" s="197" t="s">
        <v>79</v>
      </c>
      <c r="I250" s="242" t="s">
        <v>217</v>
      </c>
      <c r="J250" s="242" t="s">
        <v>555</v>
      </c>
      <c r="K250" s="195" t="s">
        <v>70</v>
      </c>
      <c r="L250" s="20" t="str">
        <f ca="1">IF(OFFSET(환산공식!$ED$15,$F250,0)=1,"O","X")</f>
        <v>X</v>
      </c>
      <c r="M250" s="188">
        <f ca="1">IFERROR(OFFSET(환산공식!DJ$15,$F250,0),"")</f>
        <v>100</v>
      </c>
      <c r="N250" s="20" t="str">
        <f ca="1">IFERROR(CONCATENATE(ROUND(OFFSET(환산공식!DK$15,$F250,0),1),"%"),"")</f>
        <v>100%</v>
      </c>
      <c r="O250" s="20">
        <f ca="1">IFERROR(OFFSET(환산공식!DL$15,$F250,0),"")</f>
        <v>0</v>
      </c>
      <c r="P250" s="188" t="str">
        <f t="shared" ca="1" si="6"/>
        <v>3% 이하</v>
      </c>
      <c r="Q250" s="194">
        <f ca="1">IFERROR(ROUND(OFFSET(환산공식!$FG$15,$F250,0),3),"")</f>
        <v>0</v>
      </c>
      <c r="R250" s="194">
        <f ca="1">OFFSET('배치점수 계산기'!H$10,$D250,0)</f>
        <v>667.02</v>
      </c>
      <c r="S250" s="194">
        <f ca="1">OFFSET('배치점수 계산기'!I$10,$D250,0)</f>
        <v>665.11400000000003</v>
      </c>
      <c r="T250" s="194">
        <f ca="1">OFFSET('배치점수 계산기'!J$10,$D250,0)</f>
        <v>663.322</v>
      </c>
      <c r="U250" s="194">
        <f ca="1">OFFSET('배치점수 계산기'!K$10,$D250,0)</f>
        <v>661.32799999999997</v>
      </c>
      <c r="V250" s="194">
        <f ca="1">OFFSET('배치점수 계산기'!L$10,$D250,0)</f>
        <v>653.90499999999997</v>
      </c>
      <c r="W250" s="186" t="str">
        <f ca="1">OFFSET('배치점수 계산기'!M$10,$D250,0)</f>
        <v>표점</v>
      </c>
      <c r="X250" s="184" t="str">
        <f ca="1">OFFSET('배치점수 계산기'!N$10,$D250,0)</f>
        <v>변표</v>
      </c>
      <c r="Y250" s="188">
        <f ca="1">OFFSET(환산공식!FW$15,$F250,0)</f>
        <v>0.33</v>
      </c>
      <c r="Z250" s="20">
        <f ca="1">OFFSET(환산공식!FX$15,$F250,0)</f>
        <v>0.44</v>
      </c>
      <c r="AA250" s="179">
        <f ca="1">OFFSET(환산공식!FY$15,$F250,0)</f>
        <v>0.22</v>
      </c>
      <c r="AC250"/>
      <c r="AD250">
        <f t="shared" ca="1" si="7"/>
        <v>6</v>
      </c>
      <c r="AE250"/>
    </row>
    <row r="251" spans="1:31" s="3" customFormat="1">
      <c r="A251" s="198"/>
      <c r="B251" s="198"/>
      <c r="C251" s="198" t="s">
        <v>1703</v>
      </c>
      <c r="D251" s="195">
        <v>1237</v>
      </c>
      <c r="E251" s="195">
        <v>47</v>
      </c>
      <c r="F251" s="195">
        <v>47</v>
      </c>
      <c r="G251" s="239">
        <v>244</v>
      </c>
      <c r="H251" s="197" t="s">
        <v>79</v>
      </c>
      <c r="I251" s="242" t="s">
        <v>217</v>
      </c>
      <c r="J251" s="242" t="s">
        <v>9600</v>
      </c>
      <c r="K251" s="195" t="s">
        <v>70</v>
      </c>
      <c r="L251" s="20" t="str">
        <f ca="1">IF(OFFSET(환산공식!$ED$15,$F251,0)=1,"O","X")</f>
        <v>X</v>
      </c>
      <c r="M251" s="188">
        <f ca="1">IFERROR(OFFSET(환산공식!DJ$15,$F251,0),"")</f>
        <v>100</v>
      </c>
      <c r="N251" s="20" t="str">
        <f ca="1">IFERROR(CONCATENATE(ROUND(OFFSET(환산공식!DK$15,$F251,0),1),"%"),"")</f>
        <v>100%</v>
      </c>
      <c r="O251" s="20">
        <f ca="1">IFERROR(OFFSET(환산공식!DL$15,$F251,0),"")</f>
        <v>0</v>
      </c>
      <c r="P251" s="188" t="str">
        <f t="shared" ca="1" si="6"/>
        <v>3% 이하</v>
      </c>
      <c r="Q251" s="194">
        <f ca="1">IFERROR(ROUND(OFFSET(환산공식!$FG$15,$F251,0),3),"")</f>
        <v>0</v>
      </c>
      <c r="R251" s="194">
        <f ca="1">OFFSET('배치점수 계산기'!H$10,$D251,0)</f>
        <v>669.26599999999996</v>
      </c>
      <c r="S251" s="194">
        <f ca="1">OFFSET('배치점수 계산기'!I$10,$D251,0)</f>
        <v>666.00699999999995</v>
      </c>
      <c r="T251" s="194">
        <f ca="1">OFFSET('배치점수 계산기'!J$10,$D251,0)</f>
        <v>662.27800000000002</v>
      </c>
      <c r="U251" s="194">
        <f ca="1">OFFSET('배치점수 계산기'!K$10,$D251,0)</f>
        <v>659.56200000000001</v>
      </c>
      <c r="V251" s="194">
        <f ca="1">OFFSET('배치점수 계산기'!L$10,$D251,0)</f>
        <v>655.55799999999999</v>
      </c>
      <c r="W251" s="186" t="str">
        <f ca="1">OFFSET('배치점수 계산기'!M$10,$D251,0)</f>
        <v>표점</v>
      </c>
      <c r="X251" s="184" t="str">
        <f ca="1">OFFSET('배치점수 계산기'!N$10,$D251,0)</f>
        <v>변표</v>
      </c>
      <c r="Y251" s="188">
        <f ca="1">OFFSET(환산공식!FW$15,$F251,0)</f>
        <v>0.33</v>
      </c>
      <c r="Z251" s="20">
        <f ca="1">OFFSET(환산공식!FX$15,$F251,0)</f>
        <v>0.44</v>
      </c>
      <c r="AA251" s="179">
        <f ca="1">OFFSET(환산공식!FY$15,$F251,0)</f>
        <v>0.22</v>
      </c>
      <c r="AC251"/>
      <c r="AD251">
        <f t="shared" ca="1" si="7"/>
        <v>6</v>
      </c>
      <c r="AE251"/>
    </row>
    <row r="252" spans="1:31" s="3" customFormat="1">
      <c r="A252" s="198"/>
      <c r="B252" s="198"/>
      <c r="C252" s="198" t="s">
        <v>1704</v>
      </c>
      <c r="D252" s="195">
        <v>1238</v>
      </c>
      <c r="E252" s="195">
        <v>47</v>
      </c>
      <c r="F252" s="195">
        <v>47</v>
      </c>
      <c r="G252" s="239">
        <v>245</v>
      </c>
      <c r="H252" s="197" t="s">
        <v>79</v>
      </c>
      <c r="I252" s="242" t="s">
        <v>217</v>
      </c>
      <c r="J252" s="242" t="s">
        <v>9670</v>
      </c>
      <c r="K252" s="195" t="s">
        <v>70</v>
      </c>
      <c r="L252" s="20" t="str">
        <f ca="1">IF(OFFSET(환산공식!$ED$15,$F252,0)=1,"O","X")</f>
        <v>X</v>
      </c>
      <c r="M252" s="188">
        <f ca="1">IFERROR(OFFSET(환산공식!DJ$15,$F252,0),"")</f>
        <v>100</v>
      </c>
      <c r="N252" s="20" t="str">
        <f ca="1">IFERROR(CONCATENATE(ROUND(OFFSET(환산공식!DK$15,$F252,0),1),"%"),"")</f>
        <v>100%</v>
      </c>
      <c r="O252" s="20">
        <f ca="1">IFERROR(OFFSET(환산공식!DL$15,$F252,0),"")</f>
        <v>0</v>
      </c>
      <c r="P252" s="188" t="str">
        <f t="shared" ca="1" si="6"/>
        <v>3% 이하</v>
      </c>
      <c r="Q252" s="194">
        <f ca="1">IFERROR(ROUND(OFFSET(환산공식!$FG$15,$F252,0),3),"")</f>
        <v>0</v>
      </c>
      <c r="R252" s="194">
        <f ca="1">OFFSET('배치점수 계산기'!H$10,$D252,0)</f>
        <v>667.72299999999996</v>
      </c>
      <c r="S252" s="194">
        <f ca="1">OFFSET('배치점수 계산기'!I$10,$D252,0)</f>
        <v>664.85199999999998</v>
      </c>
      <c r="T252" s="194">
        <f ca="1">OFFSET('배치점수 계산기'!J$10,$D252,0)</f>
        <v>661.26</v>
      </c>
      <c r="U252" s="194">
        <f ca="1">OFFSET('배치점수 계산기'!K$10,$D252,0)</f>
        <v>658.399</v>
      </c>
      <c r="V252" s="194">
        <f ca="1">OFFSET('배치점수 계산기'!L$10,$D252,0)</f>
        <v>654.35500000000002</v>
      </c>
      <c r="W252" s="186" t="str">
        <f ca="1">OFFSET('배치점수 계산기'!M$10,$D252,0)</f>
        <v>표점</v>
      </c>
      <c r="X252" s="184" t="str">
        <f ca="1">OFFSET('배치점수 계산기'!N$10,$D252,0)</f>
        <v>변표</v>
      </c>
      <c r="Y252" s="188">
        <f ca="1">OFFSET(환산공식!FW$15,$F252,0)</f>
        <v>0.33</v>
      </c>
      <c r="Z252" s="20">
        <f ca="1">OFFSET(환산공식!FX$15,$F252,0)</f>
        <v>0.44</v>
      </c>
      <c r="AA252" s="179">
        <f ca="1">OFFSET(환산공식!FY$15,$F252,0)</f>
        <v>0.22</v>
      </c>
      <c r="AC252"/>
      <c r="AD252">
        <f t="shared" ca="1" si="7"/>
        <v>6</v>
      </c>
      <c r="AE252"/>
    </row>
    <row r="253" spans="1:31" s="3" customFormat="1">
      <c r="A253" s="198"/>
      <c r="B253" s="198"/>
      <c r="C253" s="198" t="s">
        <v>1705</v>
      </c>
      <c r="D253" s="195">
        <v>1239</v>
      </c>
      <c r="E253" s="195">
        <v>47</v>
      </c>
      <c r="F253" s="195">
        <v>47</v>
      </c>
      <c r="G253" s="239">
        <v>246</v>
      </c>
      <c r="H253" s="197" t="s">
        <v>79</v>
      </c>
      <c r="I253" s="242" t="s">
        <v>217</v>
      </c>
      <c r="J253" s="242" t="s">
        <v>9694</v>
      </c>
      <c r="K253" s="195" t="s">
        <v>70</v>
      </c>
      <c r="L253" s="20" t="str">
        <f ca="1">IF(OFFSET(환산공식!$ED$15,$F253,0)=1,"O","X")</f>
        <v>X</v>
      </c>
      <c r="M253" s="188">
        <f ca="1">IFERROR(OFFSET(환산공식!DJ$15,$F253,0),"")</f>
        <v>100</v>
      </c>
      <c r="N253" s="20" t="str">
        <f ca="1">IFERROR(CONCATENATE(ROUND(OFFSET(환산공식!DK$15,$F253,0),1),"%"),"")</f>
        <v>100%</v>
      </c>
      <c r="O253" s="20">
        <f ca="1">IFERROR(OFFSET(환산공식!DL$15,$F253,0),"")</f>
        <v>0</v>
      </c>
      <c r="P253" s="188" t="str">
        <f t="shared" ca="1" si="6"/>
        <v>3% 이하</v>
      </c>
      <c r="Q253" s="194">
        <f ca="1">IFERROR(ROUND(OFFSET(환산공식!$FG$15,$F253,0),3),"")</f>
        <v>0</v>
      </c>
      <c r="R253" s="194">
        <f ca="1">OFFSET('배치점수 계산기'!H$10,$D253,0)</f>
        <v>667.30499999999995</v>
      </c>
      <c r="S253" s="194">
        <f ca="1">OFFSET('배치점수 계산기'!I$10,$D253,0)</f>
        <v>664.48599999999999</v>
      </c>
      <c r="T253" s="194">
        <f ca="1">OFFSET('배치점수 계산기'!J$10,$D253,0)</f>
        <v>660.94399999999996</v>
      </c>
      <c r="U253" s="194">
        <f ca="1">OFFSET('배치점수 계산기'!K$10,$D253,0)</f>
        <v>657.87599999999998</v>
      </c>
      <c r="V253" s="194">
        <f ca="1">OFFSET('배치점수 계산기'!L$10,$D253,0)</f>
        <v>653.90499999999997</v>
      </c>
      <c r="W253" s="186" t="str">
        <f ca="1">OFFSET('배치점수 계산기'!M$10,$D253,0)</f>
        <v>표점</v>
      </c>
      <c r="X253" s="184" t="str">
        <f ca="1">OFFSET('배치점수 계산기'!N$10,$D253,0)</f>
        <v>변표</v>
      </c>
      <c r="Y253" s="188">
        <f ca="1">OFFSET(환산공식!FW$15,$F253,0)</f>
        <v>0.33</v>
      </c>
      <c r="Z253" s="20">
        <f ca="1">OFFSET(환산공식!FX$15,$F253,0)</f>
        <v>0.44</v>
      </c>
      <c r="AA253" s="179">
        <f ca="1">OFFSET(환산공식!FY$15,$F253,0)</f>
        <v>0.22</v>
      </c>
      <c r="AC253"/>
      <c r="AD253">
        <f t="shared" ca="1" si="7"/>
        <v>6</v>
      </c>
      <c r="AE253"/>
    </row>
    <row r="254" spans="1:31" s="3" customFormat="1">
      <c r="A254" s="198"/>
      <c r="B254" s="198"/>
      <c r="C254" s="198" t="s">
        <v>1706</v>
      </c>
      <c r="D254" s="195">
        <v>1240</v>
      </c>
      <c r="E254" s="195">
        <v>47</v>
      </c>
      <c r="F254" s="195">
        <v>47</v>
      </c>
      <c r="G254" s="239">
        <v>247</v>
      </c>
      <c r="H254" s="197" t="s">
        <v>79</v>
      </c>
      <c r="I254" s="242" t="s">
        <v>217</v>
      </c>
      <c r="J254" s="242" t="s">
        <v>9759</v>
      </c>
      <c r="K254" s="195" t="s">
        <v>70</v>
      </c>
      <c r="L254" s="20" t="str">
        <f ca="1">IF(OFFSET(환산공식!$ED$15,$F254,0)=1,"O","X")</f>
        <v>X</v>
      </c>
      <c r="M254" s="188">
        <f ca="1">IFERROR(OFFSET(환산공식!DJ$15,$F254,0),"")</f>
        <v>100</v>
      </c>
      <c r="N254" s="20" t="str">
        <f ca="1">IFERROR(CONCATENATE(ROUND(OFFSET(환산공식!DK$15,$F254,0),1),"%"),"")</f>
        <v>100%</v>
      </c>
      <c r="O254" s="20">
        <f ca="1">IFERROR(OFFSET(환산공식!DL$15,$F254,0),"")</f>
        <v>0</v>
      </c>
      <c r="P254" s="188" t="str">
        <f t="shared" ca="1" si="6"/>
        <v>3% 이하</v>
      </c>
      <c r="Q254" s="194">
        <f ca="1">IFERROR(ROUND(OFFSET(환산공식!$FG$15,$F254,0),3),"")</f>
        <v>0</v>
      </c>
      <c r="R254" s="194">
        <f ca="1">OFFSET('배치점수 계산기'!H$10,$D254,0)</f>
        <v>665.48900000000003</v>
      </c>
      <c r="S254" s="194">
        <f ca="1">OFFSET('배치점수 계산기'!I$10,$D254,0)</f>
        <v>662.80200000000002</v>
      </c>
      <c r="T254" s="194">
        <f ca="1">OFFSET('배치점수 계산기'!J$10,$D254,0)</f>
        <v>659.15099999999995</v>
      </c>
      <c r="U254" s="194">
        <f ca="1">OFFSET('배치점수 계산기'!K$10,$D254,0)</f>
        <v>656.15800000000002</v>
      </c>
      <c r="V254" s="194">
        <f ca="1">OFFSET('배치점수 계산기'!L$10,$D254,0)</f>
        <v>652.47</v>
      </c>
      <c r="W254" s="186" t="str">
        <f ca="1">OFFSET('배치점수 계산기'!M$10,$D254,0)</f>
        <v>표점</v>
      </c>
      <c r="X254" s="184" t="str">
        <f ca="1">OFFSET('배치점수 계산기'!N$10,$D254,0)</f>
        <v>변표</v>
      </c>
      <c r="Y254" s="188">
        <f ca="1">OFFSET(환산공식!FW$15,$F254,0)</f>
        <v>0.33</v>
      </c>
      <c r="Z254" s="20">
        <f ca="1">OFFSET(환산공식!FX$15,$F254,0)</f>
        <v>0.44</v>
      </c>
      <c r="AA254" s="179">
        <f ca="1">OFFSET(환산공식!FY$15,$F254,0)</f>
        <v>0.22</v>
      </c>
      <c r="AC254"/>
      <c r="AD254">
        <f t="shared" ca="1" si="7"/>
        <v>6</v>
      </c>
      <c r="AE254"/>
    </row>
    <row r="255" spans="1:31" s="3" customFormat="1">
      <c r="A255" s="198"/>
      <c r="B255" s="198"/>
      <c r="C255" s="198" t="s">
        <v>1707</v>
      </c>
      <c r="D255" s="195">
        <v>1241</v>
      </c>
      <c r="E255" s="195">
        <v>48</v>
      </c>
      <c r="F255" s="195">
        <v>48</v>
      </c>
      <c r="G255" s="239">
        <v>248</v>
      </c>
      <c r="H255" s="197" t="s">
        <v>79</v>
      </c>
      <c r="I255" s="242" t="s">
        <v>217</v>
      </c>
      <c r="J255" s="242" t="s">
        <v>8654</v>
      </c>
      <c r="K255" s="195" t="s">
        <v>71</v>
      </c>
      <c r="L255" s="20" t="str">
        <f ca="1">IF(OFFSET(환산공식!$ED$15,$F255,0)=1,"O","X")</f>
        <v>X</v>
      </c>
      <c r="M255" s="188">
        <f ca="1">IFERROR(OFFSET(환산공식!DJ$15,$F255,0),"")</f>
        <v>100</v>
      </c>
      <c r="N255" s="20" t="str">
        <f ca="1">IFERROR(CONCATENATE(ROUND(OFFSET(환산공식!DK$15,$F255,0),1),"%"),"")</f>
        <v>100%</v>
      </c>
      <c r="O255" s="20">
        <f ca="1">IFERROR(OFFSET(환산공식!DL$15,$F255,0),"")</f>
        <v>0</v>
      </c>
      <c r="P255" s="188" t="str">
        <f t="shared" ca="1" si="6"/>
        <v>3% 이하</v>
      </c>
      <c r="Q255" s="194">
        <f ca="1">IFERROR(ROUND(OFFSET(환산공식!$FG$15,$F255,0),3),"")</f>
        <v>0</v>
      </c>
      <c r="R255" s="194">
        <f ca="1">OFFSET('배치점수 계산기'!H$10,$D255,0)</f>
        <v>679.42399999999998</v>
      </c>
      <c r="S255" s="194">
        <f ca="1">OFFSET('배치점수 계산기'!I$10,$D255,0)</f>
        <v>675.98199999999997</v>
      </c>
      <c r="T255" s="194">
        <f ca="1">OFFSET('배치점수 계산기'!J$10,$D255,0)</f>
        <v>672.32</v>
      </c>
      <c r="U255" s="194">
        <f ca="1">OFFSET('배치점수 계산기'!K$10,$D255,0)</f>
        <v>669.48400000000004</v>
      </c>
      <c r="V255" s="194">
        <f ca="1">OFFSET('배치점수 계산기'!L$10,$D255,0)</f>
        <v>665.93399999999997</v>
      </c>
      <c r="W255" s="186" t="str">
        <f ca="1">OFFSET('배치점수 계산기'!M$10,$D255,0)</f>
        <v>표점</v>
      </c>
      <c r="X255" s="184" t="str">
        <f ca="1">OFFSET('배치점수 계산기'!N$10,$D255,0)</f>
        <v>변표</v>
      </c>
      <c r="Y255" s="188">
        <f ca="1">OFFSET(환산공식!FW$15,$F255,0)</f>
        <v>0.44</v>
      </c>
      <c r="Z255" s="20">
        <f ca="1">OFFSET(환산공식!FX$15,$F255,0)</f>
        <v>0.33</v>
      </c>
      <c r="AA255" s="179">
        <f ca="1">OFFSET(환산공식!FY$15,$F255,0)</f>
        <v>0.22</v>
      </c>
      <c r="AC255"/>
      <c r="AD255">
        <f t="shared" ca="1" si="7"/>
        <v>6</v>
      </c>
      <c r="AE255"/>
    </row>
    <row r="256" spans="1:31" s="3" customFormat="1">
      <c r="A256" s="198"/>
      <c r="B256" s="198"/>
      <c r="C256" s="198" t="s">
        <v>1708</v>
      </c>
      <c r="D256" s="195">
        <v>1242</v>
      </c>
      <c r="E256" s="195">
        <v>48</v>
      </c>
      <c r="F256" s="195">
        <v>48</v>
      </c>
      <c r="G256" s="239">
        <v>249</v>
      </c>
      <c r="H256" s="197" t="s">
        <v>79</v>
      </c>
      <c r="I256" s="242" t="s">
        <v>217</v>
      </c>
      <c r="J256" s="242" t="s">
        <v>9017</v>
      </c>
      <c r="K256" s="195" t="s">
        <v>71</v>
      </c>
      <c r="L256" s="20" t="str">
        <f ca="1">IF(OFFSET(환산공식!$ED$15,$F256,0)=1,"O","X")</f>
        <v>X</v>
      </c>
      <c r="M256" s="188">
        <f ca="1">IFERROR(OFFSET(환산공식!DJ$15,$F256,0),"")</f>
        <v>100</v>
      </c>
      <c r="N256" s="20" t="str">
        <f ca="1">IFERROR(CONCATENATE(ROUND(OFFSET(환산공식!DK$15,$F256,0),1),"%"),"")</f>
        <v>100%</v>
      </c>
      <c r="O256" s="20">
        <f ca="1">IFERROR(OFFSET(환산공식!DL$15,$F256,0),"")</f>
        <v>0</v>
      </c>
      <c r="P256" s="188" t="str">
        <f t="shared" ca="1" si="6"/>
        <v>3% 이하</v>
      </c>
      <c r="Q256" s="194">
        <f ca="1">IFERROR(ROUND(OFFSET(환산공식!$FG$15,$F256,0),3),"")</f>
        <v>0</v>
      </c>
      <c r="R256" s="194">
        <f ca="1">OFFSET('배치점수 계산기'!H$10,$D256,0)</f>
        <v>679.14200000000005</v>
      </c>
      <c r="S256" s="194">
        <f ca="1">OFFSET('배치점수 계산기'!I$10,$D256,0)</f>
        <v>675.51400000000001</v>
      </c>
      <c r="T256" s="194">
        <f ca="1">OFFSET('배치점수 계산기'!J$10,$D256,0)</f>
        <v>671.91</v>
      </c>
      <c r="U256" s="194">
        <f ca="1">OFFSET('배치점수 계산기'!K$10,$D256,0)</f>
        <v>669.452</v>
      </c>
      <c r="V256" s="194">
        <f ca="1">OFFSET('배치점수 계산기'!L$10,$D256,0)</f>
        <v>665.81600000000003</v>
      </c>
      <c r="W256" s="186" t="str">
        <f ca="1">OFFSET('배치점수 계산기'!M$10,$D256,0)</f>
        <v>표점</v>
      </c>
      <c r="X256" s="184" t="str">
        <f ca="1">OFFSET('배치점수 계산기'!N$10,$D256,0)</f>
        <v>변표</v>
      </c>
      <c r="Y256" s="188">
        <f ca="1">OFFSET(환산공식!FW$15,$F256,0)</f>
        <v>0.44</v>
      </c>
      <c r="Z256" s="20">
        <f ca="1">OFFSET(환산공식!FX$15,$F256,0)</f>
        <v>0.33</v>
      </c>
      <c r="AA256" s="179">
        <f ca="1">OFFSET(환산공식!FY$15,$F256,0)</f>
        <v>0.22</v>
      </c>
      <c r="AC256"/>
      <c r="AD256">
        <f t="shared" ca="1" si="7"/>
        <v>6</v>
      </c>
      <c r="AE256"/>
    </row>
    <row r="257" spans="1:31" s="3" customFormat="1">
      <c r="A257" s="198"/>
      <c r="B257" s="198"/>
      <c r="C257" s="198" t="s">
        <v>1709</v>
      </c>
      <c r="D257" s="195">
        <v>1243</v>
      </c>
      <c r="E257" s="195">
        <v>48</v>
      </c>
      <c r="F257" s="195">
        <v>48</v>
      </c>
      <c r="G257" s="239">
        <v>250</v>
      </c>
      <c r="H257" s="197" t="s">
        <v>79</v>
      </c>
      <c r="I257" s="242" t="s">
        <v>217</v>
      </c>
      <c r="J257" s="242" t="s">
        <v>9573</v>
      </c>
      <c r="K257" s="195" t="s">
        <v>71</v>
      </c>
      <c r="L257" s="20" t="str">
        <f ca="1">IF(OFFSET(환산공식!$ED$15,$F257,0)=1,"O","X")</f>
        <v>X</v>
      </c>
      <c r="M257" s="188">
        <f ca="1">IFERROR(OFFSET(환산공식!DJ$15,$F257,0),"")</f>
        <v>100</v>
      </c>
      <c r="N257" s="20" t="str">
        <f ca="1">IFERROR(CONCATENATE(ROUND(OFFSET(환산공식!DK$15,$F257,0),1),"%"),"")</f>
        <v>100%</v>
      </c>
      <c r="O257" s="20">
        <f ca="1">IFERROR(OFFSET(환산공식!DL$15,$F257,0),"")</f>
        <v>0</v>
      </c>
      <c r="P257" s="188" t="str">
        <f t="shared" ca="1" si="6"/>
        <v>3% 이하</v>
      </c>
      <c r="Q257" s="194">
        <f ca="1">IFERROR(ROUND(OFFSET(환산공식!$FG$15,$F257,0),3),"")</f>
        <v>0</v>
      </c>
      <c r="R257" s="194">
        <f ca="1">OFFSET('배치점수 계산기'!H$10,$D257,0)</f>
        <v>678.52800000000002</v>
      </c>
      <c r="S257" s="194">
        <f ca="1">OFFSET('배치점수 계산기'!I$10,$D257,0)</f>
        <v>675.36400000000003</v>
      </c>
      <c r="T257" s="194">
        <f ca="1">OFFSET('배치점수 계산기'!J$10,$D257,0)</f>
        <v>671.44200000000001</v>
      </c>
      <c r="U257" s="194">
        <f ca="1">OFFSET('배치점수 계산기'!K$10,$D257,0)</f>
        <v>669.01800000000003</v>
      </c>
      <c r="V257" s="194">
        <f ca="1">OFFSET('배치점수 계산기'!L$10,$D257,0)</f>
        <v>665.41800000000001</v>
      </c>
      <c r="W257" s="186" t="str">
        <f ca="1">OFFSET('배치점수 계산기'!M$10,$D257,0)</f>
        <v>표점</v>
      </c>
      <c r="X257" s="184" t="str">
        <f ca="1">OFFSET('배치점수 계산기'!N$10,$D257,0)</f>
        <v>변표</v>
      </c>
      <c r="Y257" s="188">
        <f ca="1">OFFSET(환산공식!FW$15,$F257,0)</f>
        <v>0.44</v>
      </c>
      <c r="Z257" s="20">
        <f ca="1">OFFSET(환산공식!FX$15,$F257,0)</f>
        <v>0.33</v>
      </c>
      <c r="AA257" s="179">
        <f ca="1">OFFSET(환산공식!FY$15,$F257,0)</f>
        <v>0.22</v>
      </c>
      <c r="AC257"/>
      <c r="AD257">
        <f t="shared" ca="1" si="7"/>
        <v>6</v>
      </c>
      <c r="AE257"/>
    </row>
    <row r="258" spans="1:31" s="3" customFormat="1">
      <c r="A258" s="198"/>
      <c r="B258" s="198"/>
      <c r="C258" s="198" t="s">
        <v>1710</v>
      </c>
      <c r="D258" s="195">
        <v>1244</v>
      </c>
      <c r="E258" s="195">
        <v>47</v>
      </c>
      <c r="F258" s="195">
        <v>47</v>
      </c>
      <c r="G258" s="239">
        <v>251</v>
      </c>
      <c r="H258" s="197" t="s">
        <v>79</v>
      </c>
      <c r="I258" s="242" t="s">
        <v>217</v>
      </c>
      <c r="J258" s="242" t="s">
        <v>8775</v>
      </c>
      <c r="K258" s="195" t="s">
        <v>71</v>
      </c>
      <c r="L258" s="20" t="str">
        <f ca="1">IF(OFFSET(환산공식!$ED$15,$F258,0)=1,"O","X")</f>
        <v>X</v>
      </c>
      <c r="M258" s="188">
        <f ca="1">IFERROR(OFFSET(환산공식!DJ$15,$F258,0),"")</f>
        <v>100</v>
      </c>
      <c r="N258" s="20" t="str">
        <f ca="1">IFERROR(CONCATENATE(ROUND(OFFSET(환산공식!DK$15,$F258,0),1),"%"),"")</f>
        <v>100%</v>
      </c>
      <c r="O258" s="20">
        <f ca="1">IFERROR(OFFSET(환산공식!DL$15,$F258,0),"")</f>
        <v>0</v>
      </c>
      <c r="P258" s="188" t="str">
        <f t="shared" ca="1" si="6"/>
        <v>3% 이하</v>
      </c>
      <c r="Q258" s="194">
        <f ca="1">IFERROR(ROUND(OFFSET(환산공식!$FG$15,$F258,0),3),"")</f>
        <v>0</v>
      </c>
      <c r="R258" s="194">
        <f ca="1">OFFSET('배치점수 계산기'!H$10,$D258,0)</f>
        <v>667.45500000000004</v>
      </c>
      <c r="S258" s="194">
        <f ca="1">OFFSET('배치점수 계산기'!I$10,$D258,0)</f>
        <v>666.00699999999995</v>
      </c>
      <c r="T258" s="194">
        <f ca="1">OFFSET('배치점수 계산기'!J$10,$D258,0)</f>
        <v>664.48599999999999</v>
      </c>
      <c r="U258" s="194">
        <f ca="1">OFFSET('배치점수 계산기'!K$10,$D258,0)</f>
        <v>660.82600000000002</v>
      </c>
      <c r="V258" s="194">
        <f ca="1">OFFSET('배치점수 계산기'!L$10,$D258,0)</f>
        <v>656.30799999999999</v>
      </c>
      <c r="W258" s="186" t="str">
        <f ca="1">OFFSET('배치점수 계산기'!M$10,$D258,0)</f>
        <v>표점</v>
      </c>
      <c r="X258" s="184" t="str">
        <f ca="1">OFFSET('배치점수 계산기'!N$10,$D258,0)</f>
        <v>변표</v>
      </c>
      <c r="Y258" s="188">
        <f ca="1">OFFSET(환산공식!FW$15,$F258,0)</f>
        <v>0.33</v>
      </c>
      <c r="Z258" s="20">
        <f ca="1">OFFSET(환산공식!FX$15,$F258,0)</f>
        <v>0.44</v>
      </c>
      <c r="AA258" s="179">
        <f ca="1">OFFSET(환산공식!FY$15,$F258,0)</f>
        <v>0.22</v>
      </c>
      <c r="AC258"/>
      <c r="AD258">
        <f t="shared" ca="1" si="7"/>
        <v>6</v>
      </c>
      <c r="AE258"/>
    </row>
    <row r="259" spans="1:31" s="3" customFormat="1">
      <c r="A259" s="198"/>
      <c r="B259" s="198"/>
      <c r="C259" s="198" t="s">
        <v>1711</v>
      </c>
      <c r="D259" s="195">
        <v>1245</v>
      </c>
      <c r="E259" s="195">
        <v>48</v>
      </c>
      <c r="F259" s="195">
        <v>48</v>
      </c>
      <c r="G259" s="239">
        <v>252</v>
      </c>
      <c r="H259" s="197" t="s">
        <v>79</v>
      </c>
      <c r="I259" s="242" t="s">
        <v>217</v>
      </c>
      <c r="J259" s="242" t="s">
        <v>8618</v>
      </c>
      <c r="K259" s="195" t="s">
        <v>71</v>
      </c>
      <c r="L259" s="20" t="str">
        <f ca="1">IF(OFFSET(환산공식!$ED$15,$F259,0)=1,"O","X")</f>
        <v>X</v>
      </c>
      <c r="M259" s="188">
        <f ca="1">IFERROR(OFFSET(환산공식!DJ$15,$F259,0),"")</f>
        <v>100</v>
      </c>
      <c r="N259" s="20" t="str">
        <f ca="1">IFERROR(CONCATENATE(ROUND(OFFSET(환산공식!DK$15,$F259,0),1),"%"),"")</f>
        <v>100%</v>
      </c>
      <c r="O259" s="20">
        <f ca="1">IFERROR(OFFSET(환산공식!DL$15,$F259,0),"")</f>
        <v>0</v>
      </c>
      <c r="P259" s="188" t="str">
        <f t="shared" ca="1" si="6"/>
        <v>3% 이하</v>
      </c>
      <c r="Q259" s="194">
        <f ca="1">IFERROR(ROUND(OFFSET(환산공식!$FG$15,$F259,0),3),"")</f>
        <v>0</v>
      </c>
      <c r="R259" s="194">
        <f ca="1">OFFSET('배치점수 계산기'!H$10,$D259,0)</f>
        <v>677.78200000000004</v>
      </c>
      <c r="S259" s="194">
        <f ca="1">OFFSET('배치점수 계산기'!I$10,$D259,0)</f>
        <v>674.78</v>
      </c>
      <c r="T259" s="194">
        <f ca="1">OFFSET('배치점수 계산기'!J$10,$D259,0)</f>
        <v>670.95399999999995</v>
      </c>
      <c r="U259" s="194">
        <f ca="1">OFFSET('배치점수 계산기'!K$10,$D259,0)</f>
        <v>668.48800000000006</v>
      </c>
      <c r="V259" s="194">
        <f ca="1">OFFSET('배치점수 계산기'!L$10,$D259,0)</f>
        <v>664.65800000000002</v>
      </c>
      <c r="W259" s="186" t="str">
        <f ca="1">OFFSET('배치점수 계산기'!M$10,$D259,0)</f>
        <v>표점</v>
      </c>
      <c r="X259" s="184" t="str">
        <f ca="1">OFFSET('배치점수 계산기'!N$10,$D259,0)</f>
        <v>변표</v>
      </c>
      <c r="Y259" s="188">
        <f ca="1">OFFSET(환산공식!FW$15,$F259,0)</f>
        <v>0.44</v>
      </c>
      <c r="Z259" s="20">
        <f ca="1">OFFSET(환산공식!FX$15,$F259,0)</f>
        <v>0.33</v>
      </c>
      <c r="AA259" s="179">
        <f ca="1">OFFSET(환산공식!FY$15,$F259,0)</f>
        <v>0.22</v>
      </c>
      <c r="AC259"/>
      <c r="AD259">
        <f t="shared" ca="1" si="7"/>
        <v>6</v>
      </c>
      <c r="AE259"/>
    </row>
    <row r="260" spans="1:31" s="3" customFormat="1">
      <c r="A260" s="198"/>
      <c r="B260" s="198"/>
      <c r="C260" s="198" t="s">
        <v>1712</v>
      </c>
      <c r="D260" s="195">
        <v>1246</v>
      </c>
      <c r="E260" s="195">
        <v>48</v>
      </c>
      <c r="F260" s="195">
        <v>48</v>
      </c>
      <c r="G260" s="239">
        <v>253</v>
      </c>
      <c r="H260" s="197" t="s">
        <v>79</v>
      </c>
      <c r="I260" s="242" t="s">
        <v>217</v>
      </c>
      <c r="J260" s="242" t="s">
        <v>8753</v>
      </c>
      <c r="K260" s="195" t="s">
        <v>71</v>
      </c>
      <c r="L260" s="20" t="str">
        <f ca="1">IF(OFFSET(환산공식!$ED$15,$F260,0)=1,"O","X")</f>
        <v>X</v>
      </c>
      <c r="M260" s="188">
        <f ca="1">IFERROR(OFFSET(환산공식!DJ$15,$F260,0),"")</f>
        <v>100</v>
      </c>
      <c r="N260" s="20" t="str">
        <f ca="1">IFERROR(CONCATENATE(ROUND(OFFSET(환산공식!DK$15,$F260,0),1),"%"),"")</f>
        <v>100%</v>
      </c>
      <c r="O260" s="20">
        <f ca="1">IFERROR(OFFSET(환산공식!DL$15,$F260,0),"")</f>
        <v>0</v>
      </c>
      <c r="P260" s="188" t="str">
        <f t="shared" ca="1" si="6"/>
        <v>3% 이하</v>
      </c>
      <c r="Q260" s="194">
        <f ca="1">IFERROR(ROUND(OFFSET(환산공식!$FG$15,$F260,0),3),"")</f>
        <v>0</v>
      </c>
      <c r="R260" s="194">
        <f ca="1">OFFSET('배치점수 계산기'!H$10,$D260,0)</f>
        <v>676.21799999999996</v>
      </c>
      <c r="S260" s="194">
        <f ca="1">OFFSET('배치점수 계산기'!I$10,$D260,0)</f>
        <v>673.58399999999995</v>
      </c>
      <c r="T260" s="194">
        <f ca="1">OFFSET('배치점수 계산기'!J$10,$D260,0)</f>
        <v>669.88800000000003</v>
      </c>
      <c r="U260" s="194">
        <f ca="1">OFFSET('배치점수 계산기'!K$10,$D260,0)</f>
        <v>667.18600000000004</v>
      </c>
      <c r="V260" s="194">
        <f ca="1">OFFSET('배치점수 계산기'!L$10,$D260,0)</f>
        <v>661.46199999999999</v>
      </c>
      <c r="W260" s="186" t="str">
        <f ca="1">OFFSET('배치점수 계산기'!M$10,$D260,0)</f>
        <v>표점</v>
      </c>
      <c r="X260" s="184" t="str">
        <f ca="1">OFFSET('배치점수 계산기'!N$10,$D260,0)</f>
        <v>변표</v>
      </c>
      <c r="Y260" s="188">
        <f ca="1">OFFSET(환산공식!FW$15,$F260,0)</f>
        <v>0.44</v>
      </c>
      <c r="Z260" s="20">
        <f ca="1">OFFSET(환산공식!FX$15,$F260,0)</f>
        <v>0.33</v>
      </c>
      <c r="AA260" s="179">
        <f ca="1">OFFSET(환산공식!FY$15,$F260,0)</f>
        <v>0.22</v>
      </c>
      <c r="AC260"/>
      <c r="AD260">
        <f t="shared" ca="1" si="7"/>
        <v>6</v>
      </c>
      <c r="AE260"/>
    </row>
    <row r="261" spans="1:31" s="3" customFormat="1">
      <c r="A261" s="198"/>
      <c r="B261" s="198"/>
      <c r="C261" s="198" t="s">
        <v>1713</v>
      </c>
      <c r="D261" s="195">
        <v>1247</v>
      </c>
      <c r="E261" s="195">
        <v>48</v>
      </c>
      <c r="F261" s="195">
        <v>48</v>
      </c>
      <c r="G261" s="239">
        <v>254</v>
      </c>
      <c r="H261" s="197" t="s">
        <v>79</v>
      </c>
      <c r="I261" s="242" t="s">
        <v>217</v>
      </c>
      <c r="J261" s="242" t="s">
        <v>9699</v>
      </c>
      <c r="K261" s="195" t="s">
        <v>71</v>
      </c>
      <c r="L261" s="20" t="str">
        <f ca="1">IF(OFFSET(환산공식!$ED$15,$F261,0)=1,"O","X")</f>
        <v>X</v>
      </c>
      <c r="M261" s="188">
        <f ca="1">IFERROR(OFFSET(환산공식!DJ$15,$F261,0),"")</f>
        <v>100</v>
      </c>
      <c r="N261" s="20" t="str">
        <f ca="1">IFERROR(CONCATENATE(ROUND(OFFSET(환산공식!DK$15,$F261,0),1),"%"),"")</f>
        <v>100%</v>
      </c>
      <c r="O261" s="20">
        <f ca="1">IFERROR(OFFSET(환산공식!DL$15,$F261,0),"")</f>
        <v>0</v>
      </c>
      <c r="P261" s="188" t="str">
        <f t="shared" ca="1" si="6"/>
        <v>3% 이하</v>
      </c>
      <c r="Q261" s="194">
        <f ca="1">IFERROR(ROUND(OFFSET(환산공식!$FG$15,$F261,0),3),"")</f>
        <v>0</v>
      </c>
      <c r="R261" s="194">
        <f ca="1">OFFSET('배치점수 계산기'!H$10,$D261,0)</f>
        <v>676.06799999999998</v>
      </c>
      <c r="S261" s="194">
        <f ca="1">OFFSET('배치점수 계산기'!I$10,$D261,0)</f>
        <v>673.46600000000001</v>
      </c>
      <c r="T261" s="194">
        <f ca="1">OFFSET('배치점수 계산기'!J$10,$D261,0)</f>
        <v>669.80200000000002</v>
      </c>
      <c r="U261" s="194">
        <f ca="1">OFFSET('배치점수 계산기'!K$10,$D261,0)</f>
        <v>667.21799999999996</v>
      </c>
      <c r="V261" s="194">
        <f ca="1">OFFSET('배치점수 계산기'!L$10,$D261,0)</f>
        <v>663.28800000000001</v>
      </c>
      <c r="W261" s="186" t="str">
        <f ca="1">OFFSET('배치점수 계산기'!M$10,$D261,0)</f>
        <v>표점</v>
      </c>
      <c r="X261" s="184" t="str">
        <f ca="1">OFFSET('배치점수 계산기'!N$10,$D261,0)</f>
        <v>변표</v>
      </c>
      <c r="Y261" s="188">
        <f ca="1">OFFSET(환산공식!FW$15,$F261,0)</f>
        <v>0.44</v>
      </c>
      <c r="Z261" s="20">
        <f ca="1">OFFSET(환산공식!FX$15,$F261,0)</f>
        <v>0.33</v>
      </c>
      <c r="AA261" s="179">
        <f ca="1">OFFSET(환산공식!FY$15,$F261,0)</f>
        <v>0.22</v>
      </c>
      <c r="AC261"/>
      <c r="AD261">
        <f t="shared" ca="1" si="7"/>
        <v>6</v>
      </c>
      <c r="AE261"/>
    </row>
    <row r="262" spans="1:31" s="3" customFormat="1">
      <c r="A262" s="198"/>
      <c r="B262" s="198"/>
      <c r="C262" s="198" t="s">
        <v>1714</v>
      </c>
      <c r="D262" s="195">
        <v>1248</v>
      </c>
      <c r="E262" s="195">
        <v>47</v>
      </c>
      <c r="F262" s="195">
        <v>47</v>
      </c>
      <c r="G262" s="239">
        <v>255</v>
      </c>
      <c r="H262" s="197" t="s">
        <v>79</v>
      </c>
      <c r="I262" s="242" t="s">
        <v>217</v>
      </c>
      <c r="J262" s="242" t="s">
        <v>9540</v>
      </c>
      <c r="K262" s="195" t="s">
        <v>71</v>
      </c>
      <c r="L262" s="20" t="str">
        <f ca="1">IF(OFFSET(환산공식!$ED$15,$F262,0)=1,"O","X")</f>
        <v>X</v>
      </c>
      <c r="M262" s="188">
        <f ca="1">IFERROR(OFFSET(환산공식!DJ$15,$F262,0),"")</f>
        <v>100</v>
      </c>
      <c r="N262" s="20" t="str">
        <f ca="1">IFERROR(CONCATENATE(ROUND(OFFSET(환산공식!DK$15,$F262,0),1),"%"),"")</f>
        <v>100%</v>
      </c>
      <c r="O262" s="20">
        <f ca="1">IFERROR(OFFSET(환산공식!DL$15,$F262,0),"")</f>
        <v>0</v>
      </c>
      <c r="P262" s="188" t="str">
        <f t="shared" ca="1" si="6"/>
        <v>3% 이하</v>
      </c>
      <c r="Q262" s="194">
        <f ca="1">IFERROR(ROUND(OFFSET(환산공식!$FG$15,$F262,0),3),"")</f>
        <v>0</v>
      </c>
      <c r="R262" s="194">
        <f ca="1">OFFSET('배치점수 계산기'!H$10,$D262,0)</f>
        <v>669.66600000000005</v>
      </c>
      <c r="S262" s="194">
        <f ca="1">OFFSET('배치점수 계산기'!I$10,$D262,0)</f>
        <v>666.27499999999998</v>
      </c>
      <c r="T262" s="194">
        <f ca="1">OFFSET('배치점수 계산기'!J$10,$D262,0)</f>
        <v>662.39599999999996</v>
      </c>
      <c r="U262" s="194">
        <f ca="1">OFFSET('배치점수 계산기'!K$10,$D262,0)</f>
        <v>659.79399999999998</v>
      </c>
      <c r="V262" s="194">
        <f ca="1">OFFSET('배치점수 계산기'!L$10,$D262,0)</f>
        <v>655.87599999999998</v>
      </c>
      <c r="W262" s="186" t="str">
        <f ca="1">OFFSET('배치점수 계산기'!M$10,$D262,0)</f>
        <v>표점</v>
      </c>
      <c r="X262" s="184" t="str">
        <f ca="1">OFFSET('배치점수 계산기'!N$10,$D262,0)</f>
        <v>변표</v>
      </c>
      <c r="Y262" s="188">
        <f ca="1">OFFSET(환산공식!FW$15,$F262,0)</f>
        <v>0.33</v>
      </c>
      <c r="Z262" s="20">
        <f ca="1">OFFSET(환산공식!FX$15,$F262,0)</f>
        <v>0.44</v>
      </c>
      <c r="AA262" s="179">
        <f ca="1">OFFSET(환산공식!FY$15,$F262,0)</f>
        <v>0.22</v>
      </c>
      <c r="AC262"/>
      <c r="AD262">
        <f t="shared" ca="1" si="7"/>
        <v>6</v>
      </c>
      <c r="AE262"/>
    </row>
    <row r="263" spans="1:31" s="3" customFormat="1">
      <c r="A263" s="198"/>
      <c r="B263" s="198"/>
      <c r="C263" s="198" t="s">
        <v>1715</v>
      </c>
      <c r="D263" s="195">
        <v>1249</v>
      </c>
      <c r="E263" s="195">
        <v>48</v>
      </c>
      <c r="F263" s="195">
        <v>48</v>
      </c>
      <c r="G263" s="239">
        <v>256</v>
      </c>
      <c r="H263" s="197" t="s">
        <v>79</v>
      </c>
      <c r="I263" s="242" t="s">
        <v>217</v>
      </c>
      <c r="J263" s="242" t="s">
        <v>8863</v>
      </c>
      <c r="K263" s="195" t="s">
        <v>71</v>
      </c>
      <c r="L263" s="20" t="str">
        <f ca="1">IF(OFFSET(환산공식!$ED$15,$F263,0)=1,"O","X")</f>
        <v>X</v>
      </c>
      <c r="M263" s="188">
        <f ca="1">IFERROR(OFFSET(환산공식!DJ$15,$F263,0),"")</f>
        <v>100</v>
      </c>
      <c r="N263" s="20" t="str">
        <f ca="1">IFERROR(CONCATENATE(ROUND(OFFSET(환산공식!DK$15,$F263,0),1),"%"),"")</f>
        <v>100%</v>
      </c>
      <c r="O263" s="20">
        <f ca="1">IFERROR(OFFSET(환산공식!DL$15,$F263,0),"")</f>
        <v>0</v>
      </c>
      <c r="P263" s="188" t="str">
        <f t="shared" ca="1" si="6"/>
        <v>3% 이하</v>
      </c>
      <c r="Q263" s="194">
        <f ca="1">IFERROR(ROUND(OFFSET(환산공식!$FG$15,$F263,0),3),"")</f>
        <v>0</v>
      </c>
      <c r="R263" s="194">
        <f ca="1">OFFSET('배치점수 계산기'!H$10,$D263,0)</f>
        <v>675.51400000000001</v>
      </c>
      <c r="S263" s="194">
        <f ca="1">OFFSET('배치점수 계산기'!I$10,$D263,0)</f>
        <v>672.78800000000001</v>
      </c>
      <c r="T263" s="194">
        <f ca="1">OFFSET('배치점수 계산기'!J$10,$D263,0)</f>
        <v>669.10400000000004</v>
      </c>
      <c r="U263" s="194">
        <f ca="1">OFFSET('배치점수 계산기'!K$10,$D263,0)</f>
        <v>666.43200000000002</v>
      </c>
      <c r="V263" s="194">
        <f ca="1">OFFSET('배치점수 계산기'!L$10,$D263,0)</f>
        <v>660.66399999999999</v>
      </c>
      <c r="W263" s="186" t="str">
        <f ca="1">OFFSET('배치점수 계산기'!M$10,$D263,0)</f>
        <v>표점</v>
      </c>
      <c r="X263" s="184" t="str">
        <f ca="1">OFFSET('배치점수 계산기'!N$10,$D263,0)</f>
        <v>변표</v>
      </c>
      <c r="Y263" s="188">
        <f ca="1">OFFSET(환산공식!FW$15,$F263,0)</f>
        <v>0.44</v>
      </c>
      <c r="Z263" s="20">
        <f ca="1">OFFSET(환산공식!FX$15,$F263,0)</f>
        <v>0.33</v>
      </c>
      <c r="AA263" s="179">
        <f ca="1">OFFSET(환산공식!FY$15,$F263,0)</f>
        <v>0.22</v>
      </c>
      <c r="AC263"/>
      <c r="AD263">
        <f t="shared" ca="1" si="7"/>
        <v>6</v>
      </c>
      <c r="AE263"/>
    </row>
    <row r="264" spans="1:31" s="3" customFormat="1">
      <c r="A264" s="198"/>
      <c r="B264" s="198"/>
      <c r="C264" s="198" t="s">
        <v>1716</v>
      </c>
      <c r="D264" s="195">
        <v>1250</v>
      </c>
      <c r="E264" s="195">
        <v>47</v>
      </c>
      <c r="F264" s="195">
        <v>47</v>
      </c>
      <c r="G264" s="239">
        <v>257</v>
      </c>
      <c r="H264" s="197" t="s">
        <v>79</v>
      </c>
      <c r="I264" s="242" t="s">
        <v>217</v>
      </c>
      <c r="J264" s="242" t="s">
        <v>8659</v>
      </c>
      <c r="K264" s="195" t="s">
        <v>71</v>
      </c>
      <c r="L264" s="20" t="str">
        <f ca="1">IF(OFFSET(환산공식!$ED$15,$F264,0)=1,"O","X")</f>
        <v>X</v>
      </c>
      <c r="M264" s="188">
        <f ca="1">IFERROR(OFFSET(환산공식!DJ$15,$F264,0),"")</f>
        <v>100</v>
      </c>
      <c r="N264" s="20" t="str">
        <f ca="1">IFERROR(CONCATENATE(ROUND(OFFSET(환산공식!DK$15,$F264,0),1),"%"),"")</f>
        <v>100%</v>
      </c>
      <c r="O264" s="20">
        <f ca="1">IFERROR(OFFSET(환산공식!DL$15,$F264,0),"")</f>
        <v>0</v>
      </c>
      <c r="P264" s="188" t="str">
        <f t="shared" ca="1" si="6"/>
        <v>3% 이하</v>
      </c>
      <c r="Q264" s="194">
        <f ca="1">IFERROR(ROUND(OFFSET(환산공식!$FG$15,$F264,0),3),"")</f>
        <v>0</v>
      </c>
      <c r="R264" s="194">
        <f ca="1">OFFSET('배치점수 계산기'!H$10,$D264,0)</f>
        <v>667.72299999999996</v>
      </c>
      <c r="S264" s="194">
        <f ca="1">OFFSET('배치점수 계산기'!I$10,$D264,0)</f>
        <v>664.85199999999998</v>
      </c>
      <c r="T264" s="194">
        <f ca="1">OFFSET('배치점수 계산기'!J$10,$D264,0)</f>
        <v>661.26</v>
      </c>
      <c r="U264" s="194">
        <f ca="1">OFFSET('배치점수 계산기'!K$10,$D264,0)</f>
        <v>658.399</v>
      </c>
      <c r="V264" s="194">
        <f ca="1">OFFSET('배치점수 계산기'!L$10,$D264,0)</f>
        <v>654.35500000000002</v>
      </c>
      <c r="W264" s="186" t="str">
        <f ca="1">OFFSET('배치점수 계산기'!M$10,$D264,0)</f>
        <v>표점</v>
      </c>
      <c r="X264" s="184" t="str">
        <f ca="1">OFFSET('배치점수 계산기'!N$10,$D264,0)</f>
        <v>변표</v>
      </c>
      <c r="Y264" s="188">
        <f ca="1">OFFSET(환산공식!FW$15,$F264,0)</f>
        <v>0.33</v>
      </c>
      <c r="Z264" s="20">
        <f ca="1">OFFSET(환산공식!FX$15,$F264,0)</f>
        <v>0.44</v>
      </c>
      <c r="AA264" s="179">
        <f ca="1">OFFSET(환산공식!FY$15,$F264,0)</f>
        <v>0.22</v>
      </c>
      <c r="AC264"/>
      <c r="AD264">
        <f t="shared" ca="1" si="7"/>
        <v>6</v>
      </c>
      <c r="AE264"/>
    </row>
    <row r="265" spans="1:31" s="3" customFormat="1">
      <c r="A265" s="198"/>
      <c r="B265" s="198"/>
      <c r="C265" s="198" t="s">
        <v>1717</v>
      </c>
      <c r="D265" s="195">
        <v>1251</v>
      </c>
      <c r="E265" s="195">
        <v>47</v>
      </c>
      <c r="F265" s="195">
        <v>47</v>
      </c>
      <c r="G265" s="239">
        <v>258</v>
      </c>
      <c r="H265" s="197" t="s">
        <v>79</v>
      </c>
      <c r="I265" s="242" t="s">
        <v>217</v>
      </c>
      <c r="J265" s="242" t="s">
        <v>8534</v>
      </c>
      <c r="K265" s="195" t="s">
        <v>71</v>
      </c>
      <c r="L265" s="20" t="str">
        <f ca="1">IF(OFFSET(환산공식!$ED$15,$F265,0)=1,"O","X")</f>
        <v>X</v>
      </c>
      <c r="M265" s="188">
        <f ca="1">IFERROR(OFFSET(환산공식!DJ$15,$F265,0),"")</f>
        <v>100</v>
      </c>
      <c r="N265" s="20" t="str">
        <f ca="1">IFERROR(CONCATENATE(ROUND(OFFSET(환산공식!DK$15,$F265,0),1),"%"),"")</f>
        <v>100%</v>
      </c>
      <c r="O265" s="20">
        <f ca="1">IFERROR(OFFSET(환산공식!DL$15,$F265,0),"")</f>
        <v>0</v>
      </c>
      <c r="P265" s="188" t="str">
        <f t="shared" ref="P265:P328" ca="1" si="8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3% 이하</v>
      </c>
      <c r="Q265" s="194">
        <f ca="1">IFERROR(ROUND(OFFSET(환산공식!$FG$15,$F265,0),3),"")</f>
        <v>0</v>
      </c>
      <c r="R265" s="194">
        <f ca="1">OFFSET('배치점수 계산기'!H$10,$D265,0)</f>
        <v>667.02</v>
      </c>
      <c r="S265" s="194">
        <f ca="1">OFFSET('배치점수 계산기'!I$10,$D265,0)</f>
        <v>664.21799999999996</v>
      </c>
      <c r="T265" s="194">
        <f ca="1">OFFSET('배치점수 계산기'!J$10,$D265,0)</f>
        <v>660.54</v>
      </c>
      <c r="U265" s="194">
        <f ca="1">OFFSET('배치점수 계산기'!K$10,$D265,0)</f>
        <v>657.49699999999996</v>
      </c>
      <c r="V265" s="194">
        <f ca="1">OFFSET('배치점수 계산기'!L$10,$D265,0)</f>
        <v>653.45000000000005</v>
      </c>
      <c r="W265" s="186" t="str">
        <f ca="1">OFFSET('배치점수 계산기'!M$10,$D265,0)</f>
        <v>표점</v>
      </c>
      <c r="X265" s="184" t="str">
        <f ca="1">OFFSET('배치점수 계산기'!N$10,$D265,0)</f>
        <v>변표</v>
      </c>
      <c r="Y265" s="188">
        <f ca="1">OFFSET(환산공식!FW$15,$F265,0)</f>
        <v>0.33</v>
      </c>
      <c r="Z265" s="20">
        <f ca="1">OFFSET(환산공식!FX$15,$F265,0)</f>
        <v>0.44</v>
      </c>
      <c r="AA265" s="179">
        <f ca="1">OFFSET(환산공식!FY$15,$F265,0)</f>
        <v>0.22</v>
      </c>
      <c r="AC265"/>
      <c r="AD265">
        <f t="shared" ref="AD265:AD328" ca="1" si="9">IF(L265="X",6,IF(Q265&gt;R265,1,IF(Q265&gt;S265,2,IF(Q265&gt;T265,3,IF(Q265&gt;U265,4,IF(Q265&gt;=V265,5,IF(Q265&lt;V265,6,"")))))))</f>
        <v>6</v>
      </c>
      <c r="AE265"/>
    </row>
    <row r="266" spans="1:31" s="3" customFormat="1">
      <c r="A266" s="198"/>
      <c r="B266" s="198"/>
      <c r="C266" s="198" t="s">
        <v>1718</v>
      </c>
      <c r="D266" s="195">
        <v>1252</v>
      </c>
      <c r="E266" s="195">
        <v>47</v>
      </c>
      <c r="F266" s="195">
        <v>47</v>
      </c>
      <c r="G266" s="239">
        <v>259</v>
      </c>
      <c r="H266" s="197" t="s">
        <v>79</v>
      </c>
      <c r="I266" s="242" t="s">
        <v>217</v>
      </c>
      <c r="J266" s="242" t="s">
        <v>8696</v>
      </c>
      <c r="K266" s="195" t="s">
        <v>71</v>
      </c>
      <c r="L266" s="20" t="str">
        <f ca="1">IF(OFFSET(환산공식!$ED$15,$F266,0)=1,"O","X")</f>
        <v>X</v>
      </c>
      <c r="M266" s="188">
        <f ca="1">IFERROR(OFFSET(환산공식!DJ$15,$F266,0),"")</f>
        <v>100</v>
      </c>
      <c r="N266" s="20" t="str">
        <f ca="1">IFERROR(CONCATENATE(ROUND(OFFSET(환산공식!DK$15,$F266,0),1),"%"),"")</f>
        <v>100%</v>
      </c>
      <c r="O266" s="20">
        <f ca="1">IFERROR(OFFSET(환산공식!DL$15,$F266,0),"")</f>
        <v>0</v>
      </c>
      <c r="P266" s="188" t="str">
        <f t="shared" ca="1" si="8"/>
        <v>3% 이하</v>
      </c>
      <c r="Q266" s="194">
        <f ca="1">IFERROR(ROUND(OFFSET(환산공식!$FG$15,$F266,0),3),"")</f>
        <v>0</v>
      </c>
      <c r="R266" s="194">
        <f ca="1">OFFSET('배치점수 계산기'!H$10,$D266,0)</f>
        <v>667.02</v>
      </c>
      <c r="S266" s="194">
        <f ca="1">OFFSET('배치점수 계산기'!I$10,$D266,0)</f>
        <v>664.21799999999996</v>
      </c>
      <c r="T266" s="194">
        <f ca="1">OFFSET('배치점수 계산기'!J$10,$D266,0)</f>
        <v>660.54</v>
      </c>
      <c r="U266" s="194">
        <f ca="1">OFFSET('배치점수 계산기'!K$10,$D266,0)</f>
        <v>657.49699999999996</v>
      </c>
      <c r="V266" s="194">
        <f ca="1">OFFSET('배치점수 계산기'!L$10,$D266,0)</f>
        <v>653.45000000000005</v>
      </c>
      <c r="W266" s="186" t="str">
        <f ca="1">OFFSET('배치점수 계산기'!M$10,$D266,0)</f>
        <v>표점</v>
      </c>
      <c r="X266" s="184" t="str">
        <f ca="1">OFFSET('배치점수 계산기'!N$10,$D266,0)</f>
        <v>변표</v>
      </c>
      <c r="Y266" s="188">
        <f ca="1">OFFSET(환산공식!FW$15,$F266,0)</f>
        <v>0.33</v>
      </c>
      <c r="Z266" s="20">
        <f ca="1">OFFSET(환산공식!FX$15,$F266,0)</f>
        <v>0.44</v>
      </c>
      <c r="AA266" s="179">
        <f ca="1">OFFSET(환산공식!FY$15,$F266,0)</f>
        <v>0.22</v>
      </c>
      <c r="AC266"/>
      <c r="AD266">
        <f t="shared" ca="1" si="9"/>
        <v>6</v>
      </c>
      <c r="AE266"/>
    </row>
    <row r="267" spans="1:31" s="3" customFormat="1">
      <c r="A267" s="198"/>
      <c r="B267" s="198"/>
      <c r="C267" s="198" t="s">
        <v>1719</v>
      </c>
      <c r="D267" s="195">
        <v>1253</v>
      </c>
      <c r="E267" s="195">
        <v>47</v>
      </c>
      <c r="F267" s="195">
        <v>47</v>
      </c>
      <c r="G267" s="239">
        <v>260</v>
      </c>
      <c r="H267" s="197" t="s">
        <v>79</v>
      </c>
      <c r="I267" s="242" t="s">
        <v>217</v>
      </c>
      <c r="J267" s="242" t="s">
        <v>8726</v>
      </c>
      <c r="K267" s="195" t="s">
        <v>71</v>
      </c>
      <c r="L267" s="20" t="str">
        <f ca="1">IF(OFFSET(환산공식!$ED$15,$F267,0)=1,"O","X")</f>
        <v>X</v>
      </c>
      <c r="M267" s="188">
        <f ca="1">IFERROR(OFFSET(환산공식!DJ$15,$F267,0),"")</f>
        <v>100</v>
      </c>
      <c r="N267" s="20" t="str">
        <f ca="1">IFERROR(CONCATENATE(ROUND(OFFSET(환산공식!DK$15,$F267,0),1),"%"),"")</f>
        <v>100%</v>
      </c>
      <c r="O267" s="20">
        <f ca="1">IFERROR(OFFSET(환산공식!DL$15,$F267,0),"")</f>
        <v>0</v>
      </c>
      <c r="P267" s="188" t="str">
        <f t="shared" ca="1" si="8"/>
        <v>3% 이하</v>
      </c>
      <c r="Q267" s="194">
        <f ca="1">IFERROR(ROUND(OFFSET(환산공식!$FG$15,$F267,0),3),"")</f>
        <v>0</v>
      </c>
      <c r="R267" s="194">
        <f ca="1">OFFSET('배치점수 계산기'!H$10,$D267,0)</f>
        <v>666.27499999999998</v>
      </c>
      <c r="S267" s="194">
        <f ca="1">OFFSET('배치점수 계산기'!I$10,$D267,0)</f>
        <v>663.44</v>
      </c>
      <c r="T267" s="194">
        <f ca="1">OFFSET('배치점수 계산기'!J$10,$D267,0)</f>
        <v>659.79399999999998</v>
      </c>
      <c r="U267" s="194">
        <f ca="1">OFFSET('배치점수 계산기'!K$10,$D267,0)</f>
        <v>656.76</v>
      </c>
      <c r="V267" s="194">
        <f ca="1">OFFSET('배치점수 계산기'!L$10,$D267,0)</f>
        <v>652.94500000000005</v>
      </c>
      <c r="W267" s="186" t="str">
        <f ca="1">OFFSET('배치점수 계산기'!M$10,$D267,0)</f>
        <v>표점</v>
      </c>
      <c r="X267" s="184" t="str">
        <f ca="1">OFFSET('배치점수 계산기'!N$10,$D267,0)</f>
        <v>변표</v>
      </c>
      <c r="Y267" s="188">
        <f ca="1">OFFSET(환산공식!FW$15,$F267,0)</f>
        <v>0.33</v>
      </c>
      <c r="Z267" s="20">
        <f ca="1">OFFSET(환산공식!FX$15,$F267,0)</f>
        <v>0.44</v>
      </c>
      <c r="AA267" s="179">
        <f ca="1">OFFSET(환산공식!FY$15,$F267,0)</f>
        <v>0.22</v>
      </c>
      <c r="AC267"/>
      <c r="AD267">
        <f t="shared" ca="1" si="9"/>
        <v>6</v>
      </c>
      <c r="AE267"/>
    </row>
    <row r="268" spans="1:31" s="3" customFormat="1">
      <c r="A268" s="198"/>
      <c r="B268" s="198"/>
      <c r="C268" s="198" t="s">
        <v>1720</v>
      </c>
      <c r="D268" s="195">
        <v>1254</v>
      </c>
      <c r="E268" s="195">
        <v>53</v>
      </c>
      <c r="F268" s="195">
        <v>53</v>
      </c>
      <c r="G268" s="239">
        <v>261</v>
      </c>
      <c r="H268" s="197" t="s">
        <v>79</v>
      </c>
      <c r="I268" s="242" t="s">
        <v>233</v>
      </c>
      <c r="J268" s="242" t="s">
        <v>9715</v>
      </c>
      <c r="K268" s="195" t="s">
        <v>70</v>
      </c>
      <c r="L268" s="20" t="str">
        <f ca="1">IF(OFFSET(환산공식!$ED$15,$F268,0)=1,"O","X")</f>
        <v>X</v>
      </c>
      <c r="M268" s="188">
        <f ca="1">IFERROR(OFFSET(환산공식!DJ$15,$F268,0),"")</f>
        <v>150</v>
      </c>
      <c r="N268" s="20" t="str">
        <f ca="1">IFERROR(CONCATENATE(ROUND(OFFSET(환산공식!DK$15,$F268,0),1),"%"),"")</f>
        <v>100%</v>
      </c>
      <c r="O268" s="20">
        <f ca="1">IFERROR(OFFSET(환산공식!DL$15,$F268,0),"")</f>
        <v>0</v>
      </c>
      <c r="P268" s="188" t="str">
        <f t="shared" ca="1" si="8"/>
        <v>3% 이하</v>
      </c>
      <c r="Q268" s="194">
        <f ca="1">IFERROR(ROUND(OFFSET(환산공식!$FG$15,$F268,0),3),"")</f>
        <v>0</v>
      </c>
      <c r="R268" s="194">
        <f ca="1">OFFSET('배치점수 계산기'!H$10,$D268,0)</f>
        <v>694.86</v>
      </c>
      <c r="S268" s="194">
        <f ca="1">OFFSET('배치점수 계산기'!I$10,$D268,0)</f>
        <v>694.12900000000002</v>
      </c>
      <c r="T268" s="194">
        <f ca="1">OFFSET('배치점수 계산기'!J$10,$D268,0)</f>
        <v>692.17200000000003</v>
      </c>
      <c r="U268" s="194">
        <f ca="1">OFFSET('배치점수 계산기'!K$10,$D268,0)</f>
        <v>690.85699999999997</v>
      </c>
      <c r="V268" s="194">
        <f ca="1">OFFSET('배치점수 계산기'!L$10,$D268,0)</f>
        <v>689.62</v>
      </c>
      <c r="W268" s="186" t="str">
        <f ca="1">OFFSET('배치점수 계산기'!M$10,$D268,0)</f>
        <v>표점</v>
      </c>
      <c r="X268" s="184" t="str">
        <f ca="1">OFFSET('배치점수 계산기'!N$10,$D268,0)</f>
        <v>변표</v>
      </c>
      <c r="Y268" s="188">
        <f ca="1">OFFSET(환산공식!FW$15,$F268,0)</f>
        <v>0.28999999999999998</v>
      </c>
      <c r="Z268" s="20">
        <f ca="1">OFFSET(환산공식!FX$15,$F268,0)</f>
        <v>0.41</v>
      </c>
      <c r="AA268" s="179">
        <f ca="1">OFFSET(환산공식!FY$15,$F268,0)</f>
        <v>0.28999999999999998</v>
      </c>
      <c r="AC268"/>
      <c r="AD268">
        <f t="shared" ca="1" si="9"/>
        <v>6</v>
      </c>
      <c r="AE268"/>
    </row>
    <row r="269" spans="1:31" s="3" customFormat="1">
      <c r="A269" s="198"/>
      <c r="B269" s="198"/>
      <c r="C269" s="198" t="s">
        <v>1721</v>
      </c>
      <c r="D269" s="195">
        <v>1255</v>
      </c>
      <c r="E269" s="195">
        <v>53</v>
      </c>
      <c r="F269" s="195">
        <v>53</v>
      </c>
      <c r="G269" s="239">
        <v>262</v>
      </c>
      <c r="H269" s="197" t="s">
        <v>79</v>
      </c>
      <c r="I269" s="242" t="s">
        <v>233</v>
      </c>
      <c r="J269" s="242" t="s">
        <v>9764</v>
      </c>
      <c r="K269" s="195" t="s">
        <v>70</v>
      </c>
      <c r="L269" s="20" t="str">
        <f ca="1">IF(OFFSET(환산공식!$ED$15,$F269,0)=1,"O","X")</f>
        <v>X</v>
      </c>
      <c r="M269" s="188">
        <f ca="1">IFERROR(OFFSET(환산공식!DJ$15,$F269,0),"")</f>
        <v>150</v>
      </c>
      <c r="N269" s="20" t="str">
        <f ca="1">IFERROR(CONCATENATE(ROUND(OFFSET(환산공식!DK$15,$F269,0),1),"%"),"")</f>
        <v>100%</v>
      </c>
      <c r="O269" s="20">
        <f ca="1">IFERROR(OFFSET(환산공식!DL$15,$F269,0),"")</f>
        <v>0</v>
      </c>
      <c r="P269" s="188" t="str">
        <f t="shared" ca="1" si="8"/>
        <v>3% 이하</v>
      </c>
      <c r="Q269" s="194">
        <f ca="1">IFERROR(ROUND(OFFSET(환산공식!$FG$15,$F269,0),3),"")</f>
        <v>0</v>
      </c>
      <c r="R269" s="194">
        <f ca="1">OFFSET('배치점수 계산기'!H$10,$D269,0)</f>
        <v>696.57899999999995</v>
      </c>
      <c r="S269" s="194">
        <f ca="1">OFFSET('배치점수 계산기'!I$10,$D269,0)</f>
        <v>693.90099999999995</v>
      </c>
      <c r="T269" s="194">
        <f ca="1">OFFSET('배치점수 계산기'!J$10,$D269,0)</f>
        <v>690.35599999999999</v>
      </c>
      <c r="U269" s="194">
        <f ca="1">OFFSET('배치점수 계산기'!K$10,$D269,0)</f>
        <v>687.40800000000002</v>
      </c>
      <c r="V269" s="194">
        <f ca="1">OFFSET('배치점수 계산기'!L$10,$D269,0)</f>
        <v>683.505</v>
      </c>
      <c r="W269" s="186" t="str">
        <f ca="1">OFFSET('배치점수 계산기'!M$10,$D269,0)</f>
        <v>표점</v>
      </c>
      <c r="X269" s="184" t="str">
        <f ca="1">OFFSET('배치점수 계산기'!N$10,$D269,0)</f>
        <v>변표</v>
      </c>
      <c r="Y269" s="188">
        <f ca="1">OFFSET(환산공식!FW$15,$F269,0)</f>
        <v>0.28999999999999998</v>
      </c>
      <c r="Z269" s="20">
        <f ca="1">OFFSET(환산공식!FX$15,$F269,0)</f>
        <v>0.41</v>
      </c>
      <c r="AA269" s="179">
        <f ca="1">OFFSET(환산공식!FY$15,$F269,0)</f>
        <v>0.28999999999999998</v>
      </c>
      <c r="AC269"/>
      <c r="AD269">
        <f t="shared" ca="1" si="9"/>
        <v>6</v>
      </c>
      <c r="AE269"/>
    </row>
    <row r="270" spans="1:31" s="3" customFormat="1">
      <c r="A270" s="198"/>
      <c r="B270" s="198"/>
      <c r="C270" s="198" t="s">
        <v>1722</v>
      </c>
      <c r="D270" s="195">
        <v>1256</v>
      </c>
      <c r="E270" s="195">
        <v>51</v>
      </c>
      <c r="F270" s="195">
        <v>51</v>
      </c>
      <c r="G270" s="239">
        <v>263</v>
      </c>
      <c r="H270" s="197" t="s">
        <v>79</v>
      </c>
      <c r="I270" s="242" t="s">
        <v>233</v>
      </c>
      <c r="J270" s="242" t="s">
        <v>7910</v>
      </c>
      <c r="K270" s="195" t="s">
        <v>70</v>
      </c>
      <c r="L270" s="20" t="str">
        <f ca="1">IF(OFFSET(환산공식!$ED$15,$F270,0)=1,"O","X")</f>
        <v>X</v>
      </c>
      <c r="M270" s="188">
        <f ca="1">IFERROR(OFFSET(환산공식!DJ$15,$F270,0),"")</f>
        <v>150</v>
      </c>
      <c r="N270" s="20" t="str">
        <f ca="1">IFERROR(CONCATENATE(ROUND(OFFSET(환산공식!DK$15,$F270,0),1),"%"),"")</f>
        <v>100%</v>
      </c>
      <c r="O270" s="20">
        <f ca="1">IFERROR(OFFSET(환산공식!DL$15,$F270,0),"")</f>
        <v>0</v>
      </c>
      <c r="P270" s="188" t="str">
        <f t="shared" ca="1" si="8"/>
        <v>3% 이하</v>
      </c>
      <c r="Q270" s="194">
        <f ca="1">IFERROR(ROUND(OFFSET(환산공식!$FG$15,$F270,0),3),"")</f>
        <v>0</v>
      </c>
      <c r="R270" s="194">
        <f ca="1">OFFSET('배치점수 계산기'!H$10,$D270,0)</f>
        <v>691.45699999999999</v>
      </c>
      <c r="S270" s="194">
        <f ca="1">OFFSET('배치점수 계산기'!I$10,$D270,0)</f>
        <v>688.90599999999995</v>
      </c>
      <c r="T270" s="194">
        <f ca="1">OFFSET('배치점수 계산기'!J$10,$D270,0)</f>
        <v>685.42499999999995</v>
      </c>
      <c r="U270" s="194">
        <f ca="1">OFFSET('배치점수 계산기'!K$10,$D270,0)</f>
        <v>682.60199999999998</v>
      </c>
      <c r="V270" s="194">
        <f ca="1">OFFSET('배치점수 계산기'!L$10,$D270,0)</f>
        <v>678.87900000000002</v>
      </c>
      <c r="W270" s="186" t="str">
        <f ca="1">OFFSET('배치점수 계산기'!M$10,$D270,0)</f>
        <v>표점</v>
      </c>
      <c r="X270" s="184" t="str">
        <f ca="1">OFFSET('배치점수 계산기'!N$10,$D270,0)</f>
        <v>변표</v>
      </c>
      <c r="Y270" s="188">
        <f ca="1">OFFSET(환산공식!FW$15,$F270,0)</f>
        <v>0.28999999999999998</v>
      </c>
      <c r="Z270" s="20">
        <f ca="1">OFFSET(환산공식!FX$15,$F270,0)</f>
        <v>0.41</v>
      </c>
      <c r="AA270" s="179">
        <f ca="1">OFFSET(환산공식!FY$15,$F270,0)</f>
        <v>0.28999999999999998</v>
      </c>
      <c r="AC270"/>
      <c r="AD270">
        <f t="shared" ca="1" si="9"/>
        <v>6</v>
      </c>
      <c r="AE270"/>
    </row>
    <row r="271" spans="1:31" s="3" customFormat="1">
      <c r="A271" s="198"/>
      <c r="B271" s="198"/>
      <c r="C271" s="198" t="s">
        <v>1723</v>
      </c>
      <c r="D271" s="195">
        <v>1257</v>
      </c>
      <c r="E271" s="195">
        <v>53</v>
      </c>
      <c r="F271" s="195">
        <v>53</v>
      </c>
      <c r="G271" s="239">
        <v>264</v>
      </c>
      <c r="H271" s="197" t="s">
        <v>79</v>
      </c>
      <c r="I271" s="242" t="s">
        <v>233</v>
      </c>
      <c r="J271" s="242" t="s">
        <v>9795</v>
      </c>
      <c r="K271" s="195" t="s">
        <v>70</v>
      </c>
      <c r="L271" s="20" t="str">
        <f ca="1">IF(OFFSET(환산공식!$ED$15,$F271,0)=1,"O","X")</f>
        <v>X</v>
      </c>
      <c r="M271" s="188">
        <f ca="1">IFERROR(OFFSET(환산공식!DJ$15,$F271,0),"")</f>
        <v>150</v>
      </c>
      <c r="N271" s="20" t="str">
        <f ca="1">IFERROR(CONCATENATE(ROUND(OFFSET(환산공식!DK$15,$F271,0),1),"%"),"")</f>
        <v>100%</v>
      </c>
      <c r="O271" s="20">
        <f ca="1">IFERROR(OFFSET(환산공식!DL$15,$F271,0),"")</f>
        <v>0</v>
      </c>
      <c r="P271" s="188" t="str">
        <f t="shared" ca="1" si="8"/>
        <v>3% 이하</v>
      </c>
      <c r="Q271" s="194">
        <f ca="1">IFERROR(ROUND(OFFSET(환산공식!$FG$15,$F271,0),3),"")</f>
        <v>0</v>
      </c>
      <c r="R271" s="194">
        <f ca="1">OFFSET('배치점수 계산기'!H$10,$D271,0)</f>
        <v>695.83299999999997</v>
      </c>
      <c r="S271" s="194">
        <f ca="1">OFFSET('배치점수 계산기'!I$10,$D271,0)</f>
        <v>693.14700000000005</v>
      </c>
      <c r="T271" s="194">
        <f ca="1">OFFSET('배치점수 계산기'!J$10,$D271,0)</f>
        <v>689.62</v>
      </c>
      <c r="U271" s="194">
        <f ca="1">OFFSET('배치점수 계산기'!K$10,$D271,0)</f>
        <v>686.68100000000004</v>
      </c>
      <c r="V271" s="194">
        <f ca="1">OFFSET('배치점수 계산기'!L$10,$D271,0)</f>
        <v>682.99300000000005</v>
      </c>
      <c r="W271" s="186" t="str">
        <f ca="1">OFFSET('배치점수 계산기'!M$10,$D271,0)</f>
        <v>표점</v>
      </c>
      <c r="X271" s="184" t="str">
        <f ca="1">OFFSET('배치점수 계산기'!N$10,$D271,0)</f>
        <v>변표</v>
      </c>
      <c r="Y271" s="188">
        <f ca="1">OFFSET(환산공식!FW$15,$F271,0)</f>
        <v>0.28999999999999998</v>
      </c>
      <c r="Z271" s="20">
        <f ca="1">OFFSET(환산공식!FX$15,$F271,0)</f>
        <v>0.41</v>
      </c>
      <c r="AA271" s="179">
        <f ca="1">OFFSET(환산공식!FY$15,$F271,0)</f>
        <v>0.28999999999999998</v>
      </c>
      <c r="AC271"/>
      <c r="AD271">
        <f t="shared" ca="1" si="9"/>
        <v>6</v>
      </c>
      <c r="AE271"/>
    </row>
    <row r="272" spans="1:31" s="3" customFormat="1">
      <c r="A272" s="198"/>
      <c r="B272" s="198"/>
      <c r="C272" s="198" t="s">
        <v>1724</v>
      </c>
      <c r="D272" s="195">
        <v>1258</v>
      </c>
      <c r="E272" s="195">
        <v>51</v>
      </c>
      <c r="F272" s="195">
        <v>51</v>
      </c>
      <c r="G272" s="239">
        <v>265</v>
      </c>
      <c r="H272" s="197" t="s">
        <v>79</v>
      </c>
      <c r="I272" s="242" t="s">
        <v>233</v>
      </c>
      <c r="J272" s="242" t="s">
        <v>551</v>
      </c>
      <c r="K272" s="195" t="s">
        <v>70</v>
      </c>
      <c r="L272" s="20" t="str">
        <f ca="1">IF(OFFSET(환산공식!$ED$15,$F272,0)=1,"O","X")</f>
        <v>X</v>
      </c>
      <c r="M272" s="188">
        <f ca="1">IFERROR(OFFSET(환산공식!DJ$15,$F272,0),"")</f>
        <v>150</v>
      </c>
      <c r="N272" s="20" t="str">
        <f ca="1">IFERROR(CONCATENATE(ROUND(OFFSET(환산공식!DK$15,$F272,0),1),"%"),"")</f>
        <v>100%</v>
      </c>
      <c r="O272" s="20">
        <f ca="1">IFERROR(OFFSET(환산공식!DL$15,$F272,0),"")</f>
        <v>0</v>
      </c>
      <c r="P272" s="188" t="str">
        <f t="shared" ca="1" si="8"/>
        <v>3% 이하</v>
      </c>
      <c r="Q272" s="194">
        <f ca="1">IFERROR(ROUND(OFFSET(환산공식!$FG$15,$F272,0),3),"")</f>
        <v>0</v>
      </c>
      <c r="R272" s="194">
        <f ca="1">OFFSET('배치점수 계산기'!H$10,$D272,0)</f>
        <v>690.23599999999999</v>
      </c>
      <c r="S272" s="194">
        <f ca="1">OFFSET('배치점수 계산기'!I$10,$D272,0)</f>
        <v>687.572</v>
      </c>
      <c r="T272" s="194">
        <f ca="1">OFFSET('배치점수 계산기'!J$10,$D272,0)</f>
        <v>684.04899999999998</v>
      </c>
      <c r="U272" s="194">
        <f ca="1">OFFSET('배치점수 계산기'!K$10,$D272,0)</f>
        <v>681.29899999999998</v>
      </c>
      <c r="V272" s="194">
        <f ca="1">OFFSET('배치점수 계산기'!L$10,$D272,0)</f>
        <v>677.54100000000005</v>
      </c>
      <c r="W272" s="186" t="str">
        <f ca="1">OFFSET('배치점수 계산기'!M$10,$D272,0)</f>
        <v>표점</v>
      </c>
      <c r="X272" s="184" t="str">
        <f ca="1">OFFSET('배치점수 계산기'!N$10,$D272,0)</f>
        <v>변표</v>
      </c>
      <c r="Y272" s="188">
        <f ca="1">OFFSET(환산공식!FW$15,$F272,0)</f>
        <v>0.28999999999999998</v>
      </c>
      <c r="Z272" s="20">
        <f ca="1">OFFSET(환산공식!FX$15,$F272,0)</f>
        <v>0.41</v>
      </c>
      <c r="AA272" s="179">
        <f ca="1">OFFSET(환산공식!FY$15,$F272,0)</f>
        <v>0.28999999999999998</v>
      </c>
      <c r="AC272"/>
      <c r="AD272">
        <f t="shared" ca="1" si="9"/>
        <v>6</v>
      </c>
      <c r="AE272"/>
    </row>
    <row r="273" spans="1:34" s="3" customFormat="1">
      <c r="A273" s="198"/>
      <c r="B273" s="198"/>
      <c r="C273" s="198" t="s">
        <v>1725</v>
      </c>
      <c r="D273" s="195">
        <v>1259</v>
      </c>
      <c r="E273" s="195">
        <v>53</v>
      </c>
      <c r="F273" s="195">
        <v>53</v>
      </c>
      <c r="G273" s="239">
        <v>266</v>
      </c>
      <c r="H273" s="197" t="s">
        <v>79</v>
      </c>
      <c r="I273" s="242" t="s">
        <v>233</v>
      </c>
      <c r="J273" s="242" t="s">
        <v>8624</v>
      </c>
      <c r="K273" s="195" t="s">
        <v>70</v>
      </c>
      <c r="L273" s="20" t="str">
        <f ca="1">IF(OFFSET(환산공식!$ED$15,$F273,0)=1,"O","X")</f>
        <v>X</v>
      </c>
      <c r="M273" s="188">
        <f ca="1">IFERROR(OFFSET(환산공식!DJ$15,$F273,0),"")</f>
        <v>150</v>
      </c>
      <c r="N273" s="20" t="str">
        <f ca="1">IFERROR(CONCATENATE(ROUND(OFFSET(환산공식!DK$15,$F273,0),1),"%"),"")</f>
        <v>100%</v>
      </c>
      <c r="O273" s="20">
        <f ca="1">IFERROR(OFFSET(환산공식!DL$15,$F273,0),"")</f>
        <v>0</v>
      </c>
      <c r="P273" s="188" t="str">
        <f t="shared" ca="1" si="8"/>
        <v>3% 이하</v>
      </c>
      <c r="Q273" s="194">
        <f ca="1">IFERROR(ROUND(OFFSET(환산공식!$FG$15,$F273,0),3),"")</f>
        <v>0</v>
      </c>
      <c r="R273" s="194">
        <f ca="1">OFFSET('배치점수 계산기'!H$10,$D273,0)</f>
        <v>694.12900000000002</v>
      </c>
      <c r="S273" s="194">
        <f ca="1">OFFSET('배치점수 계산기'!I$10,$D273,0)</f>
        <v>691.28899999999999</v>
      </c>
      <c r="T273" s="194">
        <f ca="1">OFFSET('배치점수 계산기'!J$10,$D273,0)</f>
        <v>687.67600000000004</v>
      </c>
      <c r="U273" s="194">
        <f ca="1">OFFSET('배치점수 계산기'!K$10,$D273,0)</f>
        <v>684.76099999999997</v>
      </c>
      <c r="V273" s="194">
        <f ca="1">OFFSET('배치점수 계산기'!L$10,$D273,0)</f>
        <v>681.11199999999997</v>
      </c>
      <c r="W273" s="186" t="str">
        <f ca="1">OFFSET('배치점수 계산기'!M$10,$D273,0)</f>
        <v>표점</v>
      </c>
      <c r="X273" s="184" t="str">
        <f ca="1">OFFSET('배치점수 계산기'!N$10,$D273,0)</f>
        <v>변표</v>
      </c>
      <c r="Y273" s="188">
        <f ca="1">OFFSET(환산공식!FW$15,$F273,0)</f>
        <v>0.28999999999999998</v>
      </c>
      <c r="Z273" s="20">
        <f ca="1">OFFSET(환산공식!FX$15,$F273,0)</f>
        <v>0.41</v>
      </c>
      <c r="AA273" s="179">
        <f ca="1">OFFSET(환산공식!FY$15,$F273,0)</f>
        <v>0.28999999999999998</v>
      </c>
      <c r="AC273"/>
      <c r="AD273">
        <f t="shared" ca="1" si="9"/>
        <v>6</v>
      </c>
      <c r="AE273"/>
    </row>
    <row r="274" spans="1:34" s="3" customFormat="1">
      <c r="A274" s="198"/>
      <c r="B274" s="198"/>
      <c r="C274" s="198" t="s">
        <v>1726</v>
      </c>
      <c r="D274" s="195">
        <v>1260</v>
      </c>
      <c r="E274" s="195">
        <v>53</v>
      </c>
      <c r="F274" s="195">
        <v>53</v>
      </c>
      <c r="G274" s="239">
        <v>267</v>
      </c>
      <c r="H274" s="197" t="s">
        <v>79</v>
      </c>
      <c r="I274" s="242" t="s">
        <v>233</v>
      </c>
      <c r="J274" s="242" t="s">
        <v>10030</v>
      </c>
      <c r="K274" s="195" t="s">
        <v>70</v>
      </c>
      <c r="L274" s="20" t="str">
        <f ca="1">IF(OFFSET(환산공식!$ED$15,$F274,0)=1,"O","X")</f>
        <v>X</v>
      </c>
      <c r="M274" s="188">
        <f ca="1">IFERROR(OFFSET(환산공식!DJ$15,$F274,0),"")</f>
        <v>150</v>
      </c>
      <c r="N274" s="20" t="str">
        <f ca="1">IFERROR(CONCATENATE(ROUND(OFFSET(환산공식!DK$15,$F274,0),1),"%"),"")</f>
        <v>100%</v>
      </c>
      <c r="O274" s="20">
        <f ca="1">IFERROR(OFFSET(환산공식!DL$15,$F274,0),"")</f>
        <v>0</v>
      </c>
      <c r="P274" s="188" t="str">
        <f t="shared" ca="1" si="8"/>
        <v>3% 이하</v>
      </c>
      <c r="Q274" s="194">
        <f ca="1">IFERROR(ROUND(OFFSET(환산공식!$FG$15,$F274,0),3),"")</f>
        <v>0</v>
      </c>
      <c r="R274" s="194">
        <f ca="1">OFFSET('배치점수 계산기'!H$10,$D274,0)</f>
        <v>692.88</v>
      </c>
      <c r="S274" s="194">
        <f ca="1">OFFSET('배치점수 계산기'!I$10,$D274,0)</f>
        <v>690.154</v>
      </c>
      <c r="T274" s="194">
        <f ca="1">OFFSET('배치점수 계산기'!J$10,$D274,0)</f>
        <v>686.245</v>
      </c>
      <c r="U274" s="194">
        <f ca="1">OFFSET('배치점수 계산기'!K$10,$D274,0)</f>
        <v>683.51499999999999</v>
      </c>
      <c r="V274" s="194">
        <f ca="1">OFFSET('배치점수 계산기'!L$10,$D274,0)</f>
        <v>679.54300000000001</v>
      </c>
      <c r="W274" s="186" t="str">
        <f ca="1">OFFSET('배치점수 계산기'!M$10,$D274,0)</f>
        <v>표점</v>
      </c>
      <c r="X274" s="184" t="str">
        <f ca="1">OFFSET('배치점수 계산기'!N$10,$D274,0)</f>
        <v>변표</v>
      </c>
      <c r="Y274" s="188">
        <f ca="1">OFFSET(환산공식!FW$15,$F274,0)</f>
        <v>0.28999999999999998</v>
      </c>
      <c r="Z274" s="20">
        <f ca="1">OFFSET(환산공식!FX$15,$F274,0)</f>
        <v>0.41</v>
      </c>
      <c r="AA274" s="179">
        <f ca="1">OFFSET(환산공식!FY$15,$F274,0)</f>
        <v>0.28999999999999998</v>
      </c>
      <c r="AC274"/>
      <c r="AD274">
        <f t="shared" ca="1" si="9"/>
        <v>6</v>
      </c>
      <c r="AE274"/>
    </row>
    <row r="275" spans="1:34" s="3" customFormat="1">
      <c r="A275" s="198"/>
      <c r="B275" s="198"/>
      <c r="C275" s="198" t="s">
        <v>1727</v>
      </c>
      <c r="D275" s="195">
        <v>1261</v>
      </c>
      <c r="E275" s="195">
        <v>53</v>
      </c>
      <c r="F275" s="195">
        <v>53</v>
      </c>
      <c r="G275" s="239">
        <v>268</v>
      </c>
      <c r="H275" s="197" t="s">
        <v>79</v>
      </c>
      <c r="I275" s="242" t="s">
        <v>233</v>
      </c>
      <c r="J275" s="242" t="s">
        <v>9544</v>
      </c>
      <c r="K275" s="195" t="s">
        <v>70</v>
      </c>
      <c r="L275" s="20" t="str">
        <f ca="1">IF(OFFSET(환산공식!$ED$15,$F275,0)=1,"O","X")</f>
        <v>X</v>
      </c>
      <c r="M275" s="188">
        <f ca="1">IFERROR(OFFSET(환산공식!DJ$15,$F275,0),"")</f>
        <v>150</v>
      </c>
      <c r="N275" s="20" t="str">
        <f ca="1">IFERROR(CONCATENATE(ROUND(OFFSET(환산공식!DK$15,$F275,0),1),"%"),"")</f>
        <v>100%</v>
      </c>
      <c r="O275" s="20">
        <f ca="1">IFERROR(OFFSET(환산공식!DL$15,$F275,0),"")</f>
        <v>0</v>
      </c>
      <c r="P275" s="188" t="str">
        <f t="shared" ca="1" si="8"/>
        <v>3% 이하</v>
      </c>
      <c r="Q275" s="194">
        <f ca="1">IFERROR(ROUND(OFFSET(환산공식!$FG$15,$F275,0),3),"")</f>
        <v>0</v>
      </c>
      <c r="R275" s="194">
        <f ca="1">OFFSET('배치점수 계산기'!H$10,$D275,0)</f>
        <v>692.06899999999996</v>
      </c>
      <c r="S275" s="194">
        <f ca="1">OFFSET('배치점수 계산기'!I$10,$D275,0)</f>
        <v>689.41800000000001</v>
      </c>
      <c r="T275" s="194">
        <f ca="1">OFFSET('배치점수 계산기'!J$10,$D275,0)</f>
        <v>685.55</v>
      </c>
      <c r="U275" s="194">
        <f ca="1">OFFSET('배치점수 계산기'!K$10,$D275,0)</f>
        <v>682.86800000000005</v>
      </c>
      <c r="V275" s="194">
        <f ca="1">OFFSET('배치점수 계산기'!L$10,$D275,0)</f>
        <v>678.66300000000001</v>
      </c>
      <c r="W275" s="186" t="str">
        <f ca="1">OFFSET('배치점수 계산기'!M$10,$D275,0)</f>
        <v>표점</v>
      </c>
      <c r="X275" s="184" t="str">
        <f ca="1">OFFSET('배치점수 계산기'!N$10,$D275,0)</f>
        <v>변표</v>
      </c>
      <c r="Y275" s="188">
        <f ca="1">OFFSET(환산공식!FW$15,$F275,0)</f>
        <v>0.28999999999999998</v>
      </c>
      <c r="Z275" s="20">
        <f ca="1">OFFSET(환산공식!FX$15,$F275,0)</f>
        <v>0.41</v>
      </c>
      <c r="AA275" s="179">
        <f ca="1">OFFSET(환산공식!FY$15,$F275,0)</f>
        <v>0.28999999999999998</v>
      </c>
      <c r="AC275"/>
      <c r="AD275">
        <f t="shared" ca="1" si="9"/>
        <v>6</v>
      </c>
      <c r="AE275"/>
    </row>
    <row r="276" spans="1:34" s="3" customFormat="1">
      <c r="A276" s="198"/>
      <c r="B276" s="198"/>
      <c r="C276" s="198" t="s">
        <v>1728</v>
      </c>
      <c r="D276" s="195">
        <v>1262</v>
      </c>
      <c r="E276" s="195">
        <v>54</v>
      </c>
      <c r="F276" s="195">
        <v>54</v>
      </c>
      <c r="G276" s="239">
        <v>269</v>
      </c>
      <c r="H276" s="197" t="s">
        <v>79</v>
      </c>
      <c r="I276" s="242" t="s">
        <v>233</v>
      </c>
      <c r="J276" s="242" t="s">
        <v>9209</v>
      </c>
      <c r="K276" s="195" t="s">
        <v>71</v>
      </c>
      <c r="L276" s="20" t="str">
        <f ca="1">IF(OFFSET(환산공식!$ED$15,$F276,0)=1,"O","X")</f>
        <v>X</v>
      </c>
      <c r="M276" s="188">
        <f ca="1">IFERROR(OFFSET(환산공식!DJ$15,$F276,0),"")</f>
        <v>150</v>
      </c>
      <c r="N276" s="20" t="str">
        <f ca="1">IFERROR(CONCATENATE(ROUND(OFFSET(환산공식!DK$15,$F276,0),1),"%"),"")</f>
        <v>100%</v>
      </c>
      <c r="O276" s="20">
        <f ca="1">IFERROR(OFFSET(환산공식!DL$15,$F276,0),"")</f>
        <v>0</v>
      </c>
      <c r="P276" s="188" t="str">
        <f t="shared" ca="1" si="8"/>
        <v>3% 이하</v>
      </c>
      <c r="Q276" s="194">
        <f ca="1">IFERROR(ROUND(OFFSET(환산공식!$FG$15,$F276,0),3),"")</f>
        <v>0</v>
      </c>
      <c r="R276" s="194">
        <f ca="1">OFFSET('배치점수 계산기'!H$10,$D276,0)</f>
        <v>701.11500000000001</v>
      </c>
      <c r="S276" s="194">
        <f ca="1">OFFSET('배치점수 계산기'!I$10,$D276,0)</f>
        <v>698.76099999999997</v>
      </c>
      <c r="T276" s="194">
        <f ca="1">OFFSET('배치점수 계산기'!J$10,$D276,0)</f>
        <v>695.46500000000003</v>
      </c>
      <c r="U276" s="194">
        <f ca="1">OFFSET('배치점수 계산기'!K$10,$D276,0)</f>
        <v>692.97500000000002</v>
      </c>
      <c r="V276" s="194">
        <f ca="1">OFFSET('배치점수 계산기'!L$10,$D276,0)</f>
        <v>688.86</v>
      </c>
      <c r="W276" s="186" t="str">
        <f ca="1">OFFSET('배치점수 계산기'!M$10,$D276,0)</f>
        <v>표점</v>
      </c>
      <c r="X276" s="184" t="str">
        <f ca="1">OFFSET('배치점수 계산기'!N$10,$D276,0)</f>
        <v>변표</v>
      </c>
      <c r="Y276" s="188">
        <f ca="1">OFFSET(환산공식!FW$15,$F276,0)</f>
        <v>0.41</v>
      </c>
      <c r="Z276" s="20">
        <f ca="1">OFFSET(환산공식!FX$15,$F276,0)</f>
        <v>0.28999999999999998</v>
      </c>
      <c r="AA276" s="179">
        <f ca="1">OFFSET(환산공식!FY$15,$F276,0)</f>
        <v>0.28999999999999998</v>
      </c>
      <c r="AC276"/>
      <c r="AD276">
        <f t="shared" ca="1" si="9"/>
        <v>6</v>
      </c>
      <c r="AE276"/>
    </row>
    <row r="277" spans="1:34" s="3" customFormat="1">
      <c r="A277" s="198"/>
      <c r="B277" s="198"/>
      <c r="C277" s="198" t="s">
        <v>1729</v>
      </c>
      <c r="D277" s="195">
        <v>1263</v>
      </c>
      <c r="E277" s="195">
        <v>54</v>
      </c>
      <c r="F277" s="195">
        <v>54</v>
      </c>
      <c r="G277" s="239">
        <v>270</v>
      </c>
      <c r="H277" s="197" t="s">
        <v>79</v>
      </c>
      <c r="I277" s="242" t="s">
        <v>233</v>
      </c>
      <c r="J277" s="242" t="s">
        <v>9757</v>
      </c>
      <c r="K277" s="195" t="s">
        <v>71</v>
      </c>
      <c r="L277" s="20" t="str">
        <f ca="1">IF(OFFSET(환산공식!$ED$15,$F277,0)=1,"O","X")</f>
        <v>X</v>
      </c>
      <c r="M277" s="188">
        <f ca="1">IFERROR(OFFSET(환산공식!DJ$15,$F277,0),"")</f>
        <v>150</v>
      </c>
      <c r="N277" s="20" t="str">
        <f ca="1">IFERROR(CONCATENATE(ROUND(OFFSET(환산공식!DK$15,$F277,0),1),"%"),"")</f>
        <v>100%</v>
      </c>
      <c r="O277" s="20">
        <f ca="1">IFERROR(OFFSET(환산공식!DL$15,$F277,0),"")</f>
        <v>0</v>
      </c>
      <c r="P277" s="188" t="str">
        <f t="shared" ca="1" si="8"/>
        <v>3% 이하</v>
      </c>
      <c r="Q277" s="194">
        <f ca="1">IFERROR(ROUND(OFFSET(환산공식!$FG$15,$F277,0),3),"")</f>
        <v>0</v>
      </c>
      <c r="R277" s="194">
        <f ca="1">OFFSET('배치점수 계산기'!H$10,$D277,0)</f>
        <v>694.33500000000004</v>
      </c>
      <c r="S277" s="194">
        <f ca="1">OFFSET('배치점수 계산기'!I$10,$D277,0)</f>
        <v>691.86500000000001</v>
      </c>
      <c r="T277" s="194">
        <f ca="1">OFFSET('배치점수 계산기'!J$10,$D277,0)</f>
        <v>688.44399999999996</v>
      </c>
      <c r="U277" s="194">
        <f ca="1">OFFSET('배치점수 계산기'!K$10,$D277,0)</f>
        <v>685.86400000000003</v>
      </c>
      <c r="V277" s="194">
        <f ca="1">OFFSET('배치점수 계산기'!L$10,$D277,0)</f>
        <v>680.42899999999997</v>
      </c>
      <c r="W277" s="186" t="str">
        <f ca="1">OFFSET('배치점수 계산기'!M$10,$D277,0)</f>
        <v>표점</v>
      </c>
      <c r="X277" s="184" t="str">
        <f ca="1">OFFSET('배치점수 계산기'!N$10,$D277,0)</f>
        <v>변표</v>
      </c>
      <c r="Y277" s="188">
        <f ca="1">OFFSET(환산공식!FW$15,$F277,0)</f>
        <v>0.41</v>
      </c>
      <c r="Z277" s="20">
        <f ca="1">OFFSET(환산공식!FX$15,$F277,0)</f>
        <v>0.28999999999999998</v>
      </c>
      <c r="AA277" s="179">
        <f ca="1">OFFSET(환산공식!FY$15,$F277,0)</f>
        <v>0.28999999999999998</v>
      </c>
      <c r="AC277"/>
      <c r="AD277">
        <f t="shared" ca="1" si="9"/>
        <v>6</v>
      </c>
      <c r="AE277"/>
    </row>
    <row r="278" spans="1:34" s="3" customFormat="1">
      <c r="A278" s="198"/>
      <c r="B278" s="198"/>
      <c r="C278" s="198" t="s">
        <v>1730</v>
      </c>
      <c r="D278" s="195">
        <v>1264</v>
      </c>
      <c r="E278" s="195">
        <v>54</v>
      </c>
      <c r="F278" s="195">
        <v>54</v>
      </c>
      <c r="G278" s="239">
        <v>271</v>
      </c>
      <c r="H278" s="197" t="s">
        <v>79</v>
      </c>
      <c r="I278" s="242" t="s">
        <v>233</v>
      </c>
      <c r="J278" s="242" t="s">
        <v>8696</v>
      </c>
      <c r="K278" s="195" t="s">
        <v>71</v>
      </c>
      <c r="L278" s="20" t="str">
        <f ca="1">IF(OFFSET(환산공식!$ED$15,$F278,0)=1,"O","X")</f>
        <v>X</v>
      </c>
      <c r="M278" s="188">
        <f ca="1">IFERROR(OFFSET(환산공식!DJ$15,$F278,0),"")</f>
        <v>150</v>
      </c>
      <c r="N278" s="20" t="str">
        <f ca="1">IFERROR(CONCATENATE(ROUND(OFFSET(환산공식!DK$15,$F278,0),1),"%"),"")</f>
        <v>100%</v>
      </c>
      <c r="O278" s="20">
        <f ca="1">IFERROR(OFFSET(환산공식!DL$15,$F278,0),"")</f>
        <v>0</v>
      </c>
      <c r="P278" s="188" t="str">
        <f t="shared" ca="1" si="8"/>
        <v>3% 이하</v>
      </c>
      <c r="Q278" s="194">
        <f ca="1">IFERROR(ROUND(OFFSET(환산공식!$FG$15,$F278,0),3),"")</f>
        <v>0</v>
      </c>
      <c r="R278" s="194">
        <f ca="1">OFFSET('배치점수 계산기'!H$10,$D278,0)</f>
        <v>694.06399999999996</v>
      </c>
      <c r="S278" s="194">
        <f ca="1">OFFSET('배치점수 계산기'!I$10,$D278,0)</f>
        <v>691.48800000000006</v>
      </c>
      <c r="T278" s="194">
        <f ca="1">OFFSET('배치점수 계산기'!J$10,$D278,0)</f>
        <v>688.01400000000001</v>
      </c>
      <c r="U278" s="194">
        <f ca="1">OFFSET('배치점수 계산기'!K$10,$D278,0)</f>
        <v>685.53499999999997</v>
      </c>
      <c r="V278" s="194">
        <f ca="1">OFFSET('배치점수 계산기'!L$10,$D278,0)</f>
        <v>681.99099999999999</v>
      </c>
      <c r="W278" s="186" t="str">
        <f ca="1">OFFSET('배치점수 계산기'!M$10,$D278,0)</f>
        <v>표점</v>
      </c>
      <c r="X278" s="184" t="str">
        <f ca="1">OFFSET('배치점수 계산기'!N$10,$D278,0)</f>
        <v>변표</v>
      </c>
      <c r="Y278" s="188">
        <f ca="1">OFFSET(환산공식!FW$15,$F278,0)</f>
        <v>0.41</v>
      </c>
      <c r="Z278" s="20">
        <f ca="1">OFFSET(환산공식!FX$15,$F278,0)</f>
        <v>0.28999999999999998</v>
      </c>
      <c r="AA278" s="179">
        <f ca="1">OFFSET(환산공식!FY$15,$F278,0)</f>
        <v>0.28999999999999998</v>
      </c>
      <c r="AC278"/>
      <c r="AD278">
        <f t="shared" ca="1" si="9"/>
        <v>6</v>
      </c>
      <c r="AE278"/>
    </row>
    <row r="279" spans="1:34" s="3" customFormat="1">
      <c r="A279" s="198"/>
      <c r="B279" s="198"/>
      <c r="C279" s="198" t="s">
        <v>1731</v>
      </c>
      <c r="D279" s="195">
        <v>1265</v>
      </c>
      <c r="E279" s="195">
        <v>54</v>
      </c>
      <c r="F279" s="195">
        <v>54</v>
      </c>
      <c r="G279" s="239">
        <v>272</v>
      </c>
      <c r="H279" s="197" t="s">
        <v>79</v>
      </c>
      <c r="I279" s="242" t="s">
        <v>233</v>
      </c>
      <c r="J279" s="242" t="s">
        <v>8883</v>
      </c>
      <c r="K279" s="195" t="s">
        <v>71</v>
      </c>
      <c r="L279" s="20" t="str">
        <f ca="1">IF(OFFSET(환산공식!$ED$15,$F279,0)=1,"O","X")</f>
        <v>X</v>
      </c>
      <c r="M279" s="188">
        <f ca="1">IFERROR(OFFSET(환산공식!DJ$15,$F279,0),"")</f>
        <v>150</v>
      </c>
      <c r="N279" s="20" t="str">
        <f ca="1">IFERROR(CONCATENATE(ROUND(OFFSET(환산공식!DK$15,$F279,0),1),"%"),"")</f>
        <v>100%</v>
      </c>
      <c r="O279" s="20">
        <f ca="1">IFERROR(OFFSET(환산공식!DL$15,$F279,0),"")</f>
        <v>0</v>
      </c>
      <c r="P279" s="188" t="str">
        <f t="shared" ca="1" si="8"/>
        <v>3% 이하</v>
      </c>
      <c r="Q279" s="194">
        <f ca="1">IFERROR(ROUND(OFFSET(환산공식!$FG$15,$F279,0),3),"")</f>
        <v>0</v>
      </c>
      <c r="R279" s="194">
        <f ca="1">OFFSET('배치점수 계산기'!H$10,$D279,0)</f>
        <v>693.53800000000001</v>
      </c>
      <c r="S279" s="194">
        <f ca="1">OFFSET('배치점수 계산기'!I$10,$D279,0)</f>
        <v>690.90300000000002</v>
      </c>
      <c r="T279" s="194">
        <f ca="1">OFFSET('배치점수 계산기'!J$10,$D279,0)</f>
        <v>687.53</v>
      </c>
      <c r="U279" s="194">
        <f ca="1">OFFSET('배치점수 계산기'!K$10,$D279,0)</f>
        <v>684.92600000000004</v>
      </c>
      <c r="V279" s="194">
        <f ca="1">OFFSET('배치점수 계산기'!L$10,$D279,0)</f>
        <v>679.52099999999996</v>
      </c>
      <c r="W279" s="186" t="str">
        <f ca="1">OFFSET('배치점수 계산기'!M$10,$D279,0)</f>
        <v>표점</v>
      </c>
      <c r="X279" s="184" t="str">
        <f ca="1">OFFSET('배치점수 계산기'!N$10,$D279,0)</f>
        <v>변표</v>
      </c>
      <c r="Y279" s="188">
        <f ca="1">OFFSET(환산공식!FW$15,$F279,0)</f>
        <v>0.41</v>
      </c>
      <c r="Z279" s="20">
        <f ca="1">OFFSET(환산공식!FX$15,$F279,0)</f>
        <v>0.28999999999999998</v>
      </c>
      <c r="AA279" s="179">
        <f ca="1">OFFSET(환산공식!FY$15,$F279,0)</f>
        <v>0.28999999999999998</v>
      </c>
      <c r="AC279"/>
      <c r="AD279">
        <f t="shared" ca="1" si="9"/>
        <v>6</v>
      </c>
      <c r="AE279"/>
    </row>
    <row r="280" spans="1:34">
      <c r="A280" s="198"/>
      <c r="B280" s="198"/>
      <c r="C280" s="198" t="s">
        <v>1732</v>
      </c>
      <c r="D280" s="195">
        <v>1266</v>
      </c>
      <c r="E280" s="195">
        <v>54</v>
      </c>
      <c r="F280" s="195">
        <v>54</v>
      </c>
      <c r="G280" s="239">
        <v>273</v>
      </c>
      <c r="H280" s="197" t="s">
        <v>79</v>
      </c>
      <c r="I280" s="242" t="s">
        <v>233</v>
      </c>
      <c r="J280" s="242" t="s">
        <v>9833</v>
      </c>
      <c r="K280" s="195" t="s">
        <v>71</v>
      </c>
      <c r="L280" s="20" t="str">
        <f ca="1">IF(OFFSET(환산공식!$ED$15,$F280,0)=1,"O","X")</f>
        <v>X</v>
      </c>
      <c r="M280" s="188">
        <f ca="1">IFERROR(OFFSET(환산공식!DJ$15,$F280,0),"")</f>
        <v>150</v>
      </c>
      <c r="N280" s="20" t="str">
        <f ca="1">IFERROR(CONCATENATE(ROUND(OFFSET(환산공식!DK$15,$F280,0),1),"%"),"")</f>
        <v>100%</v>
      </c>
      <c r="O280" s="20">
        <f ca="1">IFERROR(OFFSET(환산공식!DL$15,$F280,0),"")</f>
        <v>0</v>
      </c>
      <c r="P280" s="188" t="str">
        <f t="shared" ca="1" si="8"/>
        <v>3% 이하</v>
      </c>
      <c r="Q280" s="194">
        <f ca="1">IFERROR(ROUND(OFFSET(환산공식!$FG$15,$F280,0),3),"")</f>
        <v>0</v>
      </c>
      <c r="R280" s="194">
        <f ca="1">OFFSET('배치점수 계산기'!H$10,$D280,0)</f>
        <v>693.42100000000005</v>
      </c>
      <c r="S280" s="194">
        <f ca="1">OFFSET('배치점수 계산기'!I$10,$D280,0)</f>
        <v>690.72799999999995</v>
      </c>
      <c r="T280" s="194">
        <f ca="1">OFFSET('배치점수 계산기'!J$10,$D280,0)</f>
        <v>687.50599999999997</v>
      </c>
      <c r="U280" s="194">
        <f ca="1">OFFSET('배치점수 계산기'!K$10,$D280,0)</f>
        <v>684.92600000000004</v>
      </c>
      <c r="V280" s="194">
        <f ca="1">OFFSET('배치점수 계산기'!L$10,$D280,0)</f>
        <v>679.26300000000003</v>
      </c>
      <c r="W280" s="186" t="str">
        <f ca="1">OFFSET('배치점수 계산기'!M$10,$D280,0)</f>
        <v>표점</v>
      </c>
      <c r="X280" s="184" t="str">
        <f ca="1">OFFSET('배치점수 계산기'!N$10,$D280,0)</f>
        <v>변표</v>
      </c>
      <c r="Y280" s="188">
        <f ca="1">OFFSET(환산공식!FW$15,$F280,0)</f>
        <v>0.41</v>
      </c>
      <c r="Z280" s="20">
        <f ca="1">OFFSET(환산공식!FX$15,$F280,0)</f>
        <v>0.28999999999999998</v>
      </c>
      <c r="AA280" s="179">
        <f ca="1">OFFSET(환산공식!FY$15,$F280,0)</f>
        <v>0.28999999999999998</v>
      </c>
      <c r="AB280" s="3"/>
      <c r="AD280">
        <f t="shared" ca="1" si="9"/>
        <v>6</v>
      </c>
      <c r="AF280" s="3"/>
      <c r="AG280" s="3"/>
      <c r="AH280" s="3"/>
    </row>
    <row r="281" spans="1:34">
      <c r="A281" s="198"/>
      <c r="B281" s="198"/>
      <c r="C281" s="198" t="s">
        <v>1733</v>
      </c>
      <c r="D281" s="195">
        <v>1267</v>
      </c>
      <c r="E281" s="195">
        <v>54</v>
      </c>
      <c r="F281" s="195">
        <v>54</v>
      </c>
      <c r="G281" s="239">
        <v>274</v>
      </c>
      <c r="H281" s="197" t="s">
        <v>79</v>
      </c>
      <c r="I281" s="242" t="s">
        <v>233</v>
      </c>
      <c r="J281" s="242" t="s">
        <v>9835</v>
      </c>
      <c r="K281" s="195" t="s">
        <v>71</v>
      </c>
      <c r="L281" s="20" t="str">
        <f ca="1">IF(OFFSET(환산공식!$ED$15,$F281,0)=1,"O","X")</f>
        <v>X</v>
      </c>
      <c r="M281" s="188">
        <f ca="1">IFERROR(OFFSET(환산공식!DJ$15,$F281,0),"")</f>
        <v>150</v>
      </c>
      <c r="N281" s="20" t="str">
        <f ca="1">IFERROR(CONCATENATE(ROUND(OFFSET(환산공식!DK$15,$F281,0),1),"%"),"")</f>
        <v>100%</v>
      </c>
      <c r="O281" s="20">
        <f ca="1">IFERROR(OFFSET(환산공식!DL$15,$F281,0),"")</f>
        <v>0</v>
      </c>
      <c r="P281" s="188" t="str">
        <f t="shared" ca="1" si="8"/>
        <v>3% 이하</v>
      </c>
      <c r="Q281" s="194">
        <f ca="1">IFERROR(ROUND(OFFSET(환산공식!$FG$15,$F281,0),3),"")</f>
        <v>0</v>
      </c>
      <c r="R281" s="194">
        <f ca="1">OFFSET('배치점수 계산기'!H$10,$D281,0)</f>
        <v>693.42100000000005</v>
      </c>
      <c r="S281" s="194">
        <f ca="1">OFFSET('배치점수 계산기'!I$10,$D281,0)</f>
        <v>690.72799999999995</v>
      </c>
      <c r="T281" s="194">
        <f ca="1">OFFSET('배치점수 계산기'!J$10,$D281,0)</f>
        <v>687.50599999999997</v>
      </c>
      <c r="U281" s="194">
        <f ca="1">OFFSET('배치점수 계산기'!K$10,$D281,0)</f>
        <v>684.92600000000004</v>
      </c>
      <c r="V281" s="194">
        <f ca="1">OFFSET('배치점수 계산기'!L$10,$D281,0)</f>
        <v>679.26300000000003</v>
      </c>
      <c r="W281" s="186" t="str">
        <f ca="1">OFFSET('배치점수 계산기'!M$10,$D281,0)</f>
        <v>표점</v>
      </c>
      <c r="X281" s="184" t="str">
        <f ca="1">OFFSET('배치점수 계산기'!N$10,$D281,0)</f>
        <v>변표</v>
      </c>
      <c r="Y281" s="188">
        <f ca="1">OFFSET(환산공식!FW$15,$F281,0)</f>
        <v>0.41</v>
      </c>
      <c r="Z281" s="20">
        <f ca="1">OFFSET(환산공식!FX$15,$F281,0)</f>
        <v>0.28999999999999998</v>
      </c>
      <c r="AA281" s="179">
        <f ca="1">OFFSET(환산공식!FY$15,$F281,0)</f>
        <v>0.28999999999999998</v>
      </c>
      <c r="AB281" s="3"/>
      <c r="AD281">
        <f t="shared" ca="1" si="9"/>
        <v>6</v>
      </c>
      <c r="AF281" s="3"/>
      <c r="AG281" s="3"/>
      <c r="AH281" s="3"/>
    </row>
    <row r="282" spans="1:34">
      <c r="A282" s="198"/>
      <c r="B282" s="198"/>
      <c r="C282" s="198" t="s">
        <v>1734</v>
      </c>
      <c r="D282" s="195">
        <v>1268</v>
      </c>
      <c r="E282" s="195">
        <v>54</v>
      </c>
      <c r="F282" s="195">
        <v>54</v>
      </c>
      <c r="G282" s="239">
        <v>275</v>
      </c>
      <c r="H282" s="197" t="s">
        <v>79</v>
      </c>
      <c r="I282" s="242" t="s">
        <v>233</v>
      </c>
      <c r="J282" s="242" t="s">
        <v>9475</v>
      </c>
      <c r="K282" s="195" t="s">
        <v>71</v>
      </c>
      <c r="L282" s="20" t="str">
        <f ca="1">IF(OFFSET(환산공식!$ED$15,$F282,0)=1,"O","X")</f>
        <v>X</v>
      </c>
      <c r="M282" s="188">
        <f ca="1">IFERROR(OFFSET(환산공식!DJ$15,$F282,0),"")</f>
        <v>150</v>
      </c>
      <c r="N282" s="20" t="str">
        <f ca="1">IFERROR(CONCATENATE(ROUND(OFFSET(환산공식!DK$15,$F282,0),1),"%"),"")</f>
        <v>100%</v>
      </c>
      <c r="O282" s="20">
        <f ca="1">IFERROR(OFFSET(환산공식!DL$15,$F282,0),"")</f>
        <v>0</v>
      </c>
      <c r="P282" s="188" t="str">
        <f t="shared" ca="1" si="8"/>
        <v>3% 이하</v>
      </c>
      <c r="Q282" s="194">
        <f ca="1">IFERROR(ROUND(OFFSET(환산공식!$FG$15,$F282,0),3),"")</f>
        <v>0</v>
      </c>
      <c r="R282" s="194">
        <f ca="1">OFFSET('배치점수 계산기'!H$10,$D282,0)</f>
        <v>693.1</v>
      </c>
      <c r="S282" s="194">
        <f ca="1">OFFSET('배치점수 계산기'!I$10,$D282,0)</f>
        <v>690.27099999999996</v>
      </c>
      <c r="T282" s="194">
        <f ca="1">OFFSET('배치점수 계산기'!J$10,$D282,0)</f>
        <v>687.23</v>
      </c>
      <c r="U282" s="194">
        <f ca="1">OFFSET('배치점수 계산기'!K$10,$D282,0)</f>
        <v>684.52499999999998</v>
      </c>
      <c r="V282" s="194">
        <f ca="1">OFFSET('배치점수 계산기'!L$10,$D282,0)</f>
        <v>678.86099999999999</v>
      </c>
      <c r="W282" s="186" t="str">
        <f ca="1">OFFSET('배치점수 계산기'!M$10,$D282,0)</f>
        <v>표점</v>
      </c>
      <c r="X282" s="184" t="str">
        <f ca="1">OFFSET('배치점수 계산기'!N$10,$D282,0)</f>
        <v>변표</v>
      </c>
      <c r="Y282" s="188">
        <f ca="1">OFFSET(환산공식!FW$15,$F282,0)</f>
        <v>0.41</v>
      </c>
      <c r="Z282" s="20">
        <f ca="1">OFFSET(환산공식!FX$15,$F282,0)</f>
        <v>0.28999999999999998</v>
      </c>
      <c r="AA282" s="179">
        <f ca="1">OFFSET(환산공식!FY$15,$F282,0)</f>
        <v>0.28999999999999998</v>
      </c>
      <c r="AB282" s="3"/>
      <c r="AD282">
        <f t="shared" ca="1" si="9"/>
        <v>6</v>
      </c>
      <c r="AF282" s="3"/>
      <c r="AG282" s="3"/>
      <c r="AH282" s="3"/>
    </row>
    <row r="283" spans="1:34">
      <c r="A283" s="198"/>
      <c r="B283" s="198"/>
      <c r="C283" s="198" t="s">
        <v>1735</v>
      </c>
      <c r="D283" s="195">
        <v>1269</v>
      </c>
      <c r="E283" s="195">
        <v>54</v>
      </c>
      <c r="F283" s="195">
        <v>54</v>
      </c>
      <c r="G283" s="239">
        <v>276</v>
      </c>
      <c r="H283" s="197" t="s">
        <v>79</v>
      </c>
      <c r="I283" s="242" t="s">
        <v>233</v>
      </c>
      <c r="J283" s="242" t="s">
        <v>8863</v>
      </c>
      <c r="K283" s="195" t="s">
        <v>71</v>
      </c>
      <c r="L283" s="20" t="str">
        <f ca="1">IF(OFFSET(환산공식!$ED$15,$F283,0)=1,"O","X")</f>
        <v>X</v>
      </c>
      <c r="M283" s="188">
        <f ca="1">IFERROR(OFFSET(환산공식!DJ$15,$F283,0),"")</f>
        <v>150</v>
      </c>
      <c r="N283" s="20" t="str">
        <f ca="1">IFERROR(CONCATENATE(ROUND(OFFSET(환산공식!DK$15,$F283,0),1),"%"),"")</f>
        <v>100%</v>
      </c>
      <c r="O283" s="20">
        <f ca="1">IFERROR(OFFSET(환산공식!DL$15,$F283,0),"")</f>
        <v>0</v>
      </c>
      <c r="P283" s="188" t="str">
        <f t="shared" ca="1" si="8"/>
        <v>3% 이하</v>
      </c>
      <c r="Q283" s="194">
        <f ca="1">IFERROR(ROUND(OFFSET(환산공식!$FG$15,$F283,0),3),"")</f>
        <v>0</v>
      </c>
      <c r="R283" s="194">
        <f ca="1">OFFSET('배치점수 계산기'!H$10,$D283,0)</f>
        <v>692.06399999999996</v>
      </c>
      <c r="S283" s="194">
        <f ca="1">OFFSET('배치점수 계산기'!I$10,$D283,0)</f>
        <v>689.505</v>
      </c>
      <c r="T283" s="194">
        <f ca="1">OFFSET('배치점수 계산기'!J$10,$D283,0)</f>
        <v>686.27099999999996</v>
      </c>
      <c r="U283" s="194">
        <f ca="1">OFFSET('배치점수 계산기'!K$10,$D283,0)</f>
        <v>683.55</v>
      </c>
      <c r="V283" s="194">
        <f ca="1">OFFSET('배치점수 계산기'!L$10,$D283,0)</f>
        <v>677.95399999999995</v>
      </c>
      <c r="W283" s="186" t="str">
        <f ca="1">OFFSET('배치점수 계산기'!M$10,$D283,0)</f>
        <v>표점</v>
      </c>
      <c r="X283" s="184" t="str">
        <f ca="1">OFFSET('배치점수 계산기'!N$10,$D283,0)</f>
        <v>변표</v>
      </c>
      <c r="Y283" s="188">
        <f ca="1">OFFSET(환산공식!FW$15,$F283,0)</f>
        <v>0.41</v>
      </c>
      <c r="Z283" s="20">
        <f ca="1">OFFSET(환산공식!FX$15,$F283,0)</f>
        <v>0.28999999999999998</v>
      </c>
      <c r="AA283" s="179">
        <f ca="1">OFFSET(환산공식!FY$15,$F283,0)</f>
        <v>0.28999999999999998</v>
      </c>
      <c r="AB283" s="3"/>
      <c r="AD283">
        <f t="shared" ca="1" si="9"/>
        <v>6</v>
      </c>
      <c r="AF283" s="3"/>
      <c r="AG283" s="3"/>
      <c r="AH283" s="3"/>
    </row>
    <row r="284" spans="1:34">
      <c r="A284" s="198"/>
      <c r="B284" s="198"/>
      <c r="C284" s="198" t="s">
        <v>1736</v>
      </c>
      <c r="D284" s="195">
        <v>1270</v>
      </c>
      <c r="E284" s="195">
        <v>54</v>
      </c>
      <c r="F284" s="195">
        <v>54</v>
      </c>
      <c r="G284" s="239">
        <v>277</v>
      </c>
      <c r="H284" s="197" t="s">
        <v>79</v>
      </c>
      <c r="I284" s="242" t="s">
        <v>233</v>
      </c>
      <c r="J284" s="242" t="s">
        <v>9936</v>
      </c>
      <c r="K284" s="195" t="s">
        <v>71</v>
      </c>
      <c r="L284" s="20" t="str">
        <f ca="1">IF(OFFSET(환산공식!$ED$15,$F284,0)=1,"O","X")</f>
        <v>X</v>
      </c>
      <c r="M284" s="188">
        <f ca="1">IFERROR(OFFSET(환산공식!DJ$15,$F284,0),"")</f>
        <v>150</v>
      </c>
      <c r="N284" s="20" t="str">
        <f ca="1">IFERROR(CONCATENATE(ROUND(OFFSET(환산공식!DK$15,$F284,0),1),"%"),"")</f>
        <v>100%</v>
      </c>
      <c r="O284" s="20">
        <f ca="1">IFERROR(OFFSET(환산공식!DL$15,$F284,0),"")</f>
        <v>0</v>
      </c>
      <c r="P284" s="188" t="str">
        <f t="shared" ca="1" si="8"/>
        <v>3% 이하</v>
      </c>
      <c r="Q284" s="194">
        <f ca="1">IFERROR(ROUND(OFFSET(환산공식!$FG$15,$F284,0),3),"")</f>
        <v>0</v>
      </c>
      <c r="R284" s="194">
        <f ca="1">OFFSET('배치점수 계산기'!H$10,$D284,0)</f>
        <v>692.06399999999996</v>
      </c>
      <c r="S284" s="194">
        <f ca="1">OFFSET('배치점수 계산기'!I$10,$D284,0)</f>
        <v>689.505</v>
      </c>
      <c r="T284" s="194">
        <f ca="1">OFFSET('배치점수 계산기'!J$10,$D284,0)</f>
        <v>686.27099999999996</v>
      </c>
      <c r="U284" s="194">
        <f ca="1">OFFSET('배치점수 계산기'!K$10,$D284,0)</f>
        <v>683.55</v>
      </c>
      <c r="V284" s="194">
        <f ca="1">OFFSET('배치점수 계산기'!L$10,$D284,0)</f>
        <v>677.95399999999995</v>
      </c>
      <c r="W284" s="186" t="str">
        <f ca="1">OFFSET('배치점수 계산기'!M$10,$D284,0)</f>
        <v>표점</v>
      </c>
      <c r="X284" s="184" t="str">
        <f ca="1">OFFSET('배치점수 계산기'!N$10,$D284,0)</f>
        <v>변표</v>
      </c>
      <c r="Y284" s="188">
        <f ca="1">OFFSET(환산공식!FW$15,$F284,0)</f>
        <v>0.41</v>
      </c>
      <c r="Z284" s="20">
        <f ca="1">OFFSET(환산공식!FX$15,$F284,0)</f>
        <v>0.28999999999999998</v>
      </c>
      <c r="AA284" s="179">
        <f ca="1">OFFSET(환산공식!FY$15,$F284,0)</f>
        <v>0.28999999999999998</v>
      </c>
      <c r="AB284" s="3"/>
      <c r="AD284">
        <f t="shared" ca="1" si="9"/>
        <v>6</v>
      </c>
      <c r="AF284" s="3"/>
      <c r="AG284" s="3"/>
      <c r="AH284" s="3"/>
    </row>
    <row r="285" spans="1:34">
      <c r="A285" s="198"/>
      <c r="B285" s="198"/>
      <c r="C285" s="198" t="s">
        <v>1737</v>
      </c>
      <c r="D285" s="195">
        <v>1271</v>
      </c>
      <c r="E285" s="195">
        <v>54</v>
      </c>
      <c r="F285" s="195">
        <v>54</v>
      </c>
      <c r="G285" s="239">
        <v>278</v>
      </c>
      <c r="H285" s="197" t="s">
        <v>79</v>
      </c>
      <c r="I285" s="242" t="s">
        <v>233</v>
      </c>
      <c r="J285" s="242" t="s">
        <v>9963</v>
      </c>
      <c r="K285" s="195" t="s">
        <v>71</v>
      </c>
      <c r="L285" s="20" t="str">
        <f ca="1">IF(OFFSET(환산공식!$ED$15,$F285,0)=1,"O","X")</f>
        <v>X</v>
      </c>
      <c r="M285" s="188">
        <f ca="1">IFERROR(OFFSET(환산공식!DJ$15,$F285,0),"")</f>
        <v>150</v>
      </c>
      <c r="N285" s="20" t="str">
        <f ca="1">IFERROR(CONCATENATE(ROUND(OFFSET(환산공식!DK$15,$F285,0),1),"%"),"")</f>
        <v>100%</v>
      </c>
      <c r="O285" s="20">
        <f ca="1">IFERROR(OFFSET(환산공식!DL$15,$F285,0),"")</f>
        <v>0</v>
      </c>
      <c r="P285" s="188" t="str">
        <f t="shared" ca="1" si="8"/>
        <v>3% 이하</v>
      </c>
      <c r="Q285" s="194">
        <f ca="1">IFERROR(ROUND(OFFSET(환산공식!$FG$15,$F285,0),3),"")</f>
        <v>0</v>
      </c>
      <c r="R285" s="194">
        <f ca="1">OFFSET('배치점수 계산기'!H$10,$D285,0)</f>
        <v>691.86500000000001</v>
      </c>
      <c r="S285" s="194">
        <f ca="1">OFFSET('배치점수 계산기'!I$10,$D285,0)</f>
        <v>689.404</v>
      </c>
      <c r="T285" s="194">
        <f ca="1">OFFSET('배치점수 계산기'!J$10,$D285,0)</f>
        <v>686.17</v>
      </c>
      <c r="U285" s="194">
        <f ca="1">OFFSET('배치점수 계산기'!K$10,$D285,0)</f>
        <v>683.38900000000001</v>
      </c>
      <c r="V285" s="194">
        <f ca="1">OFFSET('배치점수 계산기'!L$10,$D285,0)</f>
        <v>677.779</v>
      </c>
      <c r="W285" s="186" t="str">
        <f ca="1">OFFSET('배치점수 계산기'!M$10,$D285,0)</f>
        <v>표점</v>
      </c>
      <c r="X285" s="184" t="str">
        <f ca="1">OFFSET('배치점수 계산기'!N$10,$D285,0)</f>
        <v>변표</v>
      </c>
      <c r="Y285" s="188">
        <f ca="1">OFFSET(환산공식!FW$15,$F285,0)</f>
        <v>0.41</v>
      </c>
      <c r="Z285" s="20">
        <f ca="1">OFFSET(환산공식!FX$15,$F285,0)</f>
        <v>0.28999999999999998</v>
      </c>
      <c r="AA285" s="179">
        <f ca="1">OFFSET(환산공식!FY$15,$F285,0)</f>
        <v>0.28999999999999998</v>
      </c>
      <c r="AB285" s="3"/>
      <c r="AD285">
        <f t="shared" ca="1" si="9"/>
        <v>6</v>
      </c>
      <c r="AF285" s="3"/>
      <c r="AG285" s="3"/>
      <c r="AH285" s="3"/>
    </row>
    <row r="286" spans="1:34">
      <c r="A286" s="198"/>
      <c r="B286" s="198"/>
      <c r="C286" s="198" t="s">
        <v>1738</v>
      </c>
      <c r="D286" s="195">
        <v>1272</v>
      </c>
      <c r="E286" s="195">
        <v>54</v>
      </c>
      <c r="F286" s="195">
        <v>54</v>
      </c>
      <c r="G286" s="239">
        <v>279</v>
      </c>
      <c r="H286" s="197" t="s">
        <v>79</v>
      </c>
      <c r="I286" s="242" t="s">
        <v>233</v>
      </c>
      <c r="J286" s="242" t="s">
        <v>9953</v>
      </c>
      <c r="K286" s="195" t="s">
        <v>71</v>
      </c>
      <c r="L286" s="20" t="str">
        <f ca="1">IF(OFFSET(환산공식!$ED$15,$F286,0)=1,"O","X")</f>
        <v>X</v>
      </c>
      <c r="M286" s="188">
        <f ca="1">IFERROR(OFFSET(환산공식!DJ$15,$F286,0),"")</f>
        <v>150</v>
      </c>
      <c r="N286" s="20" t="str">
        <f ca="1">IFERROR(CONCATENATE(ROUND(OFFSET(환산공식!DK$15,$F286,0),1),"%"),"")</f>
        <v>100%</v>
      </c>
      <c r="O286" s="20">
        <f ca="1">IFERROR(OFFSET(환산공식!DL$15,$F286,0),"")</f>
        <v>0</v>
      </c>
      <c r="P286" s="188" t="str">
        <f t="shared" ca="1" si="8"/>
        <v>3% 이하</v>
      </c>
      <c r="Q286" s="194">
        <f ca="1">IFERROR(ROUND(OFFSET(환산공식!$FG$15,$F286,0),3),"")</f>
        <v>0</v>
      </c>
      <c r="R286" s="194">
        <f ca="1">OFFSET('배치점수 계산기'!H$10,$D286,0)</f>
        <v>691.86500000000001</v>
      </c>
      <c r="S286" s="194">
        <f ca="1">OFFSET('배치점수 계산기'!I$10,$D286,0)</f>
        <v>689.404</v>
      </c>
      <c r="T286" s="194">
        <f ca="1">OFFSET('배치점수 계산기'!J$10,$D286,0)</f>
        <v>686.17</v>
      </c>
      <c r="U286" s="194">
        <f ca="1">OFFSET('배치점수 계산기'!K$10,$D286,0)</f>
        <v>683.38900000000001</v>
      </c>
      <c r="V286" s="194">
        <f ca="1">OFFSET('배치점수 계산기'!L$10,$D286,0)</f>
        <v>677.779</v>
      </c>
      <c r="W286" s="186" t="str">
        <f ca="1">OFFSET('배치점수 계산기'!M$10,$D286,0)</f>
        <v>표점</v>
      </c>
      <c r="X286" s="184" t="str">
        <f ca="1">OFFSET('배치점수 계산기'!N$10,$D286,0)</f>
        <v>변표</v>
      </c>
      <c r="Y286" s="188">
        <f ca="1">OFFSET(환산공식!FW$15,$F286,0)</f>
        <v>0.41</v>
      </c>
      <c r="Z286" s="20">
        <f ca="1">OFFSET(환산공식!FX$15,$F286,0)</f>
        <v>0.28999999999999998</v>
      </c>
      <c r="AA286" s="179">
        <f ca="1">OFFSET(환산공식!FY$15,$F286,0)</f>
        <v>0.28999999999999998</v>
      </c>
      <c r="AB286" s="3"/>
      <c r="AD286">
        <f t="shared" ca="1" si="9"/>
        <v>6</v>
      </c>
      <c r="AF286" s="3"/>
      <c r="AG286" s="3"/>
      <c r="AH286" s="3"/>
    </row>
    <row r="287" spans="1:34">
      <c r="A287" s="198"/>
      <c r="B287" s="198"/>
      <c r="C287" s="198" t="s">
        <v>1739</v>
      </c>
      <c r="D287" s="195">
        <v>1273</v>
      </c>
      <c r="E287" s="195">
        <v>54</v>
      </c>
      <c r="F287" s="195">
        <v>54</v>
      </c>
      <c r="G287" s="239">
        <v>280</v>
      </c>
      <c r="H287" s="197" t="s">
        <v>79</v>
      </c>
      <c r="I287" s="242" t="s">
        <v>233</v>
      </c>
      <c r="J287" s="242" t="s">
        <v>9966</v>
      </c>
      <c r="K287" s="195" t="s">
        <v>71</v>
      </c>
      <c r="L287" s="20" t="str">
        <f ca="1">IF(OFFSET(환산공식!$ED$15,$F287,0)=1,"O","X")</f>
        <v>X</v>
      </c>
      <c r="M287" s="188">
        <f ca="1">IFERROR(OFFSET(환산공식!DJ$15,$F287,0),"")</f>
        <v>150</v>
      </c>
      <c r="N287" s="20" t="str">
        <f ca="1">IFERROR(CONCATENATE(ROUND(OFFSET(환산공식!DK$15,$F287,0),1),"%"),"")</f>
        <v>100%</v>
      </c>
      <c r="O287" s="20">
        <f ca="1">IFERROR(OFFSET(환산공식!DL$15,$F287,0),"")</f>
        <v>0</v>
      </c>
      <c r="P287" s="188" t="str">
        <f t="shared" ca="1" si="8"/>
        <v>3% 이하</v>
      </c>
      <c r="Q287" s="194">
        <f ca="1">IFERROR(ROUND(OFFSET(환산공식!$FG$15,$F287,0),3),"")</f>
        <v>0</v>
      </c>
      <c r="R287" s="194">
        <f ca="1">OFFSET('배치점수 계산기'!H$10,$D287,0)</f>
        <v>691.86500000000001</v>
      </c>
      <c r="S287" s="194">
        <f ca="1">OFFSET('배치점수 계산기'!I$10,$D287,0)</f>
        <v>689.20500000000004</v>
      </c>
      <c r="T287" s="194">
        <f ca="1">OFFSET('배치점수 계산기'!J$10,$D287,0)</f>
        <v>685.86400000000003</v>
      </c>
      <c r="U287" s="194">
        <f ca="1">OFFSET('배치점수 계산기'!K$10,$D287,0)</f>
        <v>683.18399999999997</v>
      </c>
      <c r="V287" s="194">
        <f ca="1">OFFSET('배치점수 계산기'!L$10,$D287,0)</f>
        <v>677.40800000000002</v>
      </c>
      <c r="W287" s="186" t="str">
        <f ca="1">OFFSET('배치점수 계산기'!M$10,$D287,0)</f>
        <v>표점</v>
      </c>
      <c r="X287" s="184" t="str">
        <f ca="1">OFFSET('배치점수 계산기'!N$10,$D287,0)</f>
        <v>변표</v>
      </c>
      <c r="Y287" s="188">
        <f ca="1">OFFSET(환산공식!FW$15,$F287,0)</f>
        <v>0.41</v>
      </c>
      <c r="Z287" s="20">
        <f ca="1">OFFSET(환산공식!FX$15,$F287,0)</f>
        <v>0.28999999999999998</v>
      </c>
      <c r="AA287" s="179">
        <f ca="1">OFFSET(환산공식!FY$15,$F287,0)</f>
        <v>0.28999999999999998</v>
      </c>
      <c r="AB287" s="3"/>
      <c r="AD287">
        <f t="shared" ca="1" si="9"/>
        <v>6</v>
      </c>
      <c r="AF287" s="3"/>
      <c r="AG287" s="3"/>
      <c r="AH287" s="3"/>
    </row>
    <row r="288" spans="1:34">
      <c r="A288" s="198"/>
      <c r="B288" s="198"/>
      <c r="C288" s="198" t="s">
        <v>1740</v>
      </c>
      <c r="D288" s="195">
        <v>1274</v>
      </c>
      <c r="E288" s="195">
        <v>54</v>
      </c>
      <c r="F288" s="195">
        <v>54</v>
      </c>
      <c r="G288" s="239">
        <v>281</v>
      </c>
      <c r="H288" s="197" t="s">
        <v>79</v>
      </c>
      <c r="I288" s="242" t="s">
        <v>233</v>
      </c>
      <c r="J288" s="242" t="s">
        <v>10304</v>
      </c>
      <c r="K288" s="195" t="s">
        <v>71</v>
      </c>
      <c r="L288" s="20" t="str">
        <f ca="1">IF(OFFSET(환산공식!$ED$15,$F288,0)=1,"O","X")</f>
        <v>X</v>
      </c>
      <c r="M288" s="188">
        <f ca="1">IFERROR(OFFSET(환산공식!DJ$15,$F288,0),"")</f>
        <v>150</v>
      </c>
      <c r="N288" s="20" t="str">
        <f ca="1">IFERROR(CONCATENATE(ROUND(OFFSET(환산공식!DK$15,$F288,0),1),"%"),"")</f>
        <v>100%</v>
      </c>
      <c r="O288" s="20">
        <f ca="1">IFERROR(OFFSET(환산공식!DL$15,$F288,0),"")</f>
        <v>0</v>
      </c>
      <c r="P288" s="188" t="str">
        <f t="shared" ca="1" si="8"/>
        <v>3% 이하</v>
      </c>
      <c r="Q288" s="194">
        <f ca="1">IFERROR(ROUND(OFFSET(환산공식!$FG$15,$F288,0),3),"")</f>
        <v>0</v>
      </c>
      <c r="R288" s="194">
        <f ca="1">OFFSET('배치점수 계산기'!H$10,$D288,0)</f>
        <v>685.86400000000003</v>
      </c>
      <c r="S288" s="194">
        <f ca="1">OFFSET('배치점수 계산기'!I$10,$D288,0)</f>
        <v>683.18399999999997</v>
      </c>
      <c r="T288" s="194">
        <f ca="1">OFFSET('배치점수 계산기'!J$10,$D288,0)</f>
        <v>679.52099999999996</v>
      </c>
      <c r="U288" s="194">
        <f ca="1">OFFSET('배치점수 계산기'!K$10,$D288,0)</f>
        <v>676.50599999999997</v>
      </c>
      <c r="V288" s="194">
        <f ca="1">OFFSET('배치점수 계산기'!L$10,$D288,0)</f>
        <v>672.22</v>
      </c>
      <c r="W288" s="186" t="str">
        <f ca="1">OFFSET('배치점수 계산기'!M$10,$D288,0)</f>
        <v>표점</v>
      </c>
      <c r="X288" s="184" t="str">
        <f ca="1">OFFSET('배치점수 계산기'!N$10,$D288,0)</f>
        <v>변표</v>
      </c>
      <c r="Y288" s="188">
        <f ca="1">OFFSET(환산공식!FW$15,$F288,0)</f>
        <v>0.41</v>
      </c>
      <c r="Z288" s="20">
        <f ca="1">OFFSET(환산공식!FX$15,$F288,0)</f>
        <v>0.28999999999999998</v>
      </c>
      <c r="AA288" s="179">
        <f ca="1">OFFSET(환산공식!FY$15,$F288,0)</f>
        <v>0.28999999999999998</v>
      </c>
      <c r="AB288" s="3"/>
      <c r="AD288">
        <f t="shared" ca="1" si="9"/>
        <v>6</v>
      </c>
      <c r="AF288" s="3"/>
      <c r="AG288" s="3"/>
      <c r="AH288" s="3"/>
    </row>
    <row r="289" spans="1:34">
      <c r="A289" s="198"/>
      <c r="B289" s="198"/>
      <c r="C289" s="198" t="s">
        <v>1741</v>
      </c>
      <c r="D289" s="195">
        <v>1275</v>
      </c>
      <c r="E289" s="195">
        <v>63</v>
      </c>
      <c r="F289" s="195">
        <v>63</v>
      </c>
      <c r="G289" s="239">
        <v>282</v>
      </c>
      <c r="H289" s="197" t="s">
        <v>79</v>
      </c>
      <c r="I289" s="242" t="s">
        <v>254</v>
      </c>
      <c r="J289" s="242" t="s">
        <v>10375</v>
      </c>
      <c r="K289" s="195" t="s">
        <v>70</v>
      </c>
      <c r="L289" s="20" t="str">
        <f ca="1">IF(OFFSET(환산공식!$ED$15,$F289,0)=1,"O","X")</f>
        <v>X</v>
      </c>
      <c r="M289" s="188">
        <f ca="1">IFERROR(OFFSET(환산공식!DJ$15,$F289,0),"")</f>
        <v>150</v>
      </c>
      <c r="N289" s="20" t="str">
        <f ca="1">IFERROR(CONCATENATE(ROUND(OFFSET(환산공식!DK$15,$F289,0),1),"%"),"")</f>
        <v>100%</v>
      </c>
      <c r="O289" s="20">
        <f ca="1">IFERROR(OFFSET(환산공식!DL$15,$F289,0),"")</f>
        <v>3</v>
      </c>
      <c r="P289" s="188" t="str">
        <f t="shared" ca="1" si="8"/>
        <v>3% 이하</v>
      </c>
      <c r="Q289" s="194">
        <f ca="1">IFERROR(ROUND(OFFSET(환산공식!$FG$15,$F289,0),3),"")</f>
        <v>0</v>
      </c>
      <c r="R289" s="194">
        <f ca="1">OFFSET('배치점수 계산기'!H$10,$D289,0)</f>
        <v>897.74599999999998</v>
      </c>
      <c r="S289" s="194">
        <f ca="1">OFFSET('배치점수 계산기'!I$10,$D289,0)</f>
        <v>895.39099999999996</v>
      </c>
      <c r="T289" s="194">
        <f ca="1">OFFSET('배치점수 계산기'!J$10,$D289,0)</f>
        <v>892.36800000000005</v>
      </c>
      <c r="U289" s="194">
        <f ca="1">OFFSET('배치점수 계산기'!K$10,$D289,0)</f>
        <v>886.06399999999996</v>
      </c>
      <c r="V289" s="194">
        <f ca="1">OFFSET('배치점수 계산기'!L$10,$D289,0)</f>
        <v>879.41300000000001</v>
      </c>
      <c r="W289" s="186" t="str">
        <f ca="1">OFFSET('배치점수 계산기'!M$10,$D289,0)</f>
        <v>표점/만점</v>
      </c>
      <c r="X289" s="184" t="str">
        <f ca="1">OFFSET('배치점수 계산기'!N$10,$D289,0)</f>
        <v>변표/만점</v>
      </c>
      <c r="Y289" s="188">
        <f ca="1">OFFSET(환산공식!FW$15,$F289,0)</f>
        <v>0.3</v>
      </c>
      <c r="Z289" s="20">
        <f ca="1">OFFSET(환산공식!FX$15,$F289,0)</f>
        <v>0.41</v>
      </c>
      <c r="AA289" s="179">
        <f ca="1">OFFSET(환산공식!FY$15,$F289,0)</f>
        <v>0.28999999999999998</v>
      </c>
      <c r="AB289" s="3"/>
      <c r="AD289">
        <f t="shared" ca="1" si="9"/>
        <v>6</v>
      </c>
      <c r="AF289" s="3"/>
      <c r="AG289" s="3"/>
      <c r="AH289" s="3"/>
    </row>
    <row r="290" spans="1:34">
      <c r="A290" s="198"/>
      <c r="B290" s="198"/>
      <c r="C290" s="198" t="s">
        <v>1742</v>
      </c>
      <c r="D290" s="195">
        <v>1276</v>
      </c>
      <c r="E290" s="195">
        <v>64</v>
      </c>
      <c r="F290" s="195">
        <v>64</v>
      </c>
      <c r="G290" s="239">
        <v>283</v>
      </c>
      <c r="H290" s="197" t="s">
        <v>79</v>
      </c>
      <c r="I290" s="242" t="s">
        <v>254</v>
      </c>
      <c r="J290" s="242" t="s">
        <v>7965</v>
      </c>
      <c r="K290" s="195" t="s">
        <v>71</v>
      </c>
      <c r="L290" s="20" t="str">
        <f ca="1">IF(OFFSET(환산공식!$ED$15,$F290,0)=1,"O","X")</f>
        <v>X</v>
      </c>
      <c r="M290" s="188">
        <f ca="1">IFERROR(OFFSET(환산공식!DJ$15,$F290,0),"")</f>
        <v>150</v>
      </c>
      <c r="N290" s="20" t="str">
        <f ca="1">IFERROR(CONCATENATE(ROUND(OFFSET(환산공식!DK$15,$F290,0),1),"%"),"")</f>
        <v>100%</v>
      </c>
      <c r="O290" s="20">
        <f ca="1">IFERROR(OFFSET(환산공식!DL$15,$F290,0),"")</f>
        <v>3</v>
      </c>
      <c r="P290" s="188" t="str">
        <f t="shared" ca="1" si="8"/>
        <v>3% 이하</v>
      </c>
      <c r="Q290" s="194">
        <f ca="1">IFERROR(ROUND(OFFSET(환산공식!$FG$15,$F290,0),3),"")</f>
        <v>0</v>
      </c>
      <c r="R290" s="194">
        <f ca="1">OFFSET('배치점수 계산기'!H$10,$D290,0)</f>
        <v>897.47400000000005</v>
      </c>
      <c r="S290" s="194">
        <f ca="1">OFFSET('배치점수 계산기'!I$10,$D290,0)</f>
        <v>895.20399999999995</v>
      </c>
      <c r="T290" s="194">
        <f ca="1">OFFSET('배치점수 계산기'!J$10,$D290,0)</f>
        <v>892.11800000000005</v>
      </c>
      <c r="U290" s="194">
        <f ca="1">OFFSET('배치점수 계산기'!K$10,$D290,0)</f>
        <v>886.99599999999998</v>
      </c>
      <c r="V290" s="194">
        <f ca="1">OFFSET('배치점수 계산기'!L$10,$D290,0)</f>
        <v>881.13099999999997</v>
      </c>
      <c r="W290" s="186" t="str">
        <f ca="1">OFFSET('배치점수 계산기'!M$10,$D290,0)</f>
        <v>표점/만점</v>
      </c>
      <c r="X290" s="184" t="str">
        <f ca="1">OFFSET('배치점수 계산기'!N$10,$D290,0)</f>
        <v>변표/만점</v>
      </c>
      <c r="Y290" s="188">
        <f ca="1">OFFSET(환산공식!FW$15,$F290,0)</f>
        <v>0.35</v>
      </c>
      <c r="Z290" s="20">
        <f ca="1">OFFSET(환산공식!FX$15,$F290,0)</f>
        <v>0.35</v>
      </c>
      <c r="AA290" s="179">
        <f ca="1">OFFSET(환산공식!FY$15,$F290,0)</f>
        <v>0.28999999999999998</v>
      </c>
      <c r="AB290" s="3"/>
      <c r="AD290">
        <f t="shared" ca="1" si="9"/>
        <v>6</v>
      </c>
      <c r="AF290" s="3"/>
      <c r="AG290" s="3"/>
      <c r="AH290" s="3"/>
    </row>
    <row r="291" spans="1:34">
      <c r="A291" s="198"/>
      <c r="B291" s="198"/>
      <c r="C291" s="198" t="s">
        <v>1743</v>
      </c>
      <c r="D291" s="195">
        <v>1277</v>
      </c>
      <c r="E291" s="195">
        <v>85</v>
      </c>
      <c r="F291" s="195">
        <v>85</v>
      </c>
      <c r="G291" s="239">
        <v>284</v>
      </c>
      <c r="H291" s="197" t="s">
        <v>79</v>
      </c>
      <c r="I291" s="242" t="s">
        <v>9189</v>
      </c>
      <c r="J291" s="242" t="s">
        <v>16680</v>
      </c>
      <c r="K291" s="195" t="s">
        <v>70</v>
      </c>
      <c r="L291" s="20" t="str">
        <f ca="1">IF(OFFSET(환산공식!$ED$15,$F291,0)=1,"O","X")</f>
        <v>X</v>
      </c>
      <c r="M291" s="188">
        <f ca="1">IFERROR(OFFSET(환산공식!DJ$15,$F291,0),"")</f>
        <v>200</v>
      </c>
      <c r="N291" s="20" t="str">
        <f ca="1">IFERROR(CONCATENATE(ROUND(OFFSET(환산공식!DK$15,$F291,0),1),"%"),"")</f>
        <v>100%</v>
      </c>
      <c r="O291" s="20">
        <f ca="1">IFERROR(OFFSET(환산공식!DL$15,$F291,0),"")</f>
        <v>0</v>
      </c>
      <c r="P291" s="188" t="str">
        <f t="shared" ca="1" si="8"/>
        <v>3% 이하</v>
      </c>
      <c r="Q291" s="194">
        <f ca="1">IFERROR(ROUND(OFFSET(환산공식!$FG$15,$F291,0),3),"")</f>
        <v>0</v>
      </c>
      <c r="R291" s="194">
        <f ca="1">OFFSET('배치점수 계산기'!H$10,$D291,0)</f>
        <v>910.67499999999995</v>
      </c>
      <c r="S291" s="194">
        <f ca="1">OFFSET('배치점수 계산기'!I$10,$D291,0)</f>
        <v>907.91700000000003</v>
      </c>
      <c r="T291" s="194">
        <f ca="1">OFFSET('배치점수 계산기'!J$10,$D291,0)</f>
        <v>904.64</v>
      </c>
      <c r="U291" s="194">
        <f ca="1">OFFSET('배치점수 계산기'!K$10,$D291,0)</f>
        <v>899.91499999999996</v>
      </c>
      <c r="V291" s="194">
        <f ca="1">OFFSET('배치점수 계산기'!L$10,$D291,0)</f>
        <v>893.57</v>
      </c>
      <c r="W291" s="186" t="str">
        <f ca="1">OFFSET('배치점수 계산기'!M$10,$D291,0)</f>
        <v>표점/만점</v>
      </c>
      <c r="X291" s="184" t="str">
        <f ca="1">OFFSET('배치점수 계산기'!N$10,$D291,0)</f>
        <v>표점/만점</v>
      </c>
      <c r="Y291" s="188">
        <f ca="1">OFFSET(환산공식!FW$15,$F291,0)</f>
        <v>0.25</v>
      </c>
      <c r="Z291" s="20">
        <f ca="1">OFFSET(환산공식!FX$15,$F291,0)</f>
        <v>0.44</v>
      </c>
      <c r="AA291" s="179">
        <f ca="1">OFFSET(환산공식!FY$15,$F291,0)</f>
        <v>0.31</v>
      </c>
      <c r="AB291" s="3"/>
      <c r="AD291">
        <f t="shared" ca="1" si="9"/>
        <v>6</v>
      </c>
      <c r="AF291" s="3"/>
      <c r="AG291" s="3"/>
      <c r="AH291" s="3"/>
    </row>
    <row r="292" spans="1:34">
      <c r="A292" s="198"/>
      <c r="B292" s="198"/>
      <c r="C292" s="198" t="s">
        <v>1744</v>
      </c>
      <c r="D292" s="195">
        <v>1278</v>
      </c>
      <c r="E292" s="195">
        <v>85</v>
      </c>
      <c r="F292" s="195">
        <v>85</v>
      </c>
      <c r="G292" s="239">
        <v>285</v>
      </c>
      <c r="H292" s="197" t="s">
        <v>79</v>
      </c>
      <c r="I292" s="242" t="s">
        <v>9189</v>
      </c>
      <c r="J292" s="242" t="s">
        <v>9074</v>
      </c>
      <c r="K292" s="195" t="s">
        <v>70</v>
      </c>
      <c r="L292" s="20" t="str">
        <f ca="1">IF(OFFSET(환산공식!$ED$15,$F292,0)=1,"O","X")</f>
        <v>X</v>
      </c>
      <c r="M292" s="188">
        <f ca="1">IFERROR(OFFSET(환산공식!DJ$15,$F292,0),"")</f>
        <v>200</v>
      </c>
      <c r="N292" s="20" t="str">
        <f ca="1">IFERROR(CONCATENATE(ROUND(OFFSET(환산공식!DK$15,$F292,0),1),"%"),"")</f>
        <v>100%</v>
      </c>
      <c r="O292" s="20">
        <f ca="1">IFERROR(OFFSET(환산공식!DL$15,$F292,0),"")</f>
        <v>0</v>
      </c>
      <c r="P292" s="188" t="str">
        <f t="shared" ca="1" si="8"/>
        <v>3% 이하</v>
      </c>
      <c r="Q292" s="194">
        <f ca="1">IFERROR(ROUND(OFFSET(환산공식!$FG$15,$F292,0),3),"")</f>
        <v>0</v>
      </c>
      <c r="R292" s="194">
        <f ca="1">OFFSET('배치점수 계산기'!H$10,$D292,0)</f>
        <v>909.84299999999996</v>
      </c>
      <c r="S292" s="194">
        <f ca="1">OFFSET('배치점수 계산기'!I$10,$D292,0)</f>
        <v>907.14700000000005</v>
      </c>
      <c r="T292" s="194">
        <f ca="1">OFFSET('배치점수 계산기'!J$10,$D292,0)</f>
        <v>903.92700000000002</v>
      </c>
      <c r="U292" s="194">
        <f ca="1">OFFSET('배치점수 계산기'!K$10,$D292,0)</f>
        <v>899.08299999999997</v>
      </c>
      <c r="V292" s="194">
        <f ca="1">OFFSET('배치점수 계산기'!L$10,$D292,0)</f>
        <v>892.99199999999996</v>
      </c>
      <c r="W292" s="186" t="str">
        <f ca="1">OFFSET('배치점수 계산기'!M$10,$D292,0)</f>
        <v>표점/만점</v>
      </c>
      <c r="X292" s="184" t="str">
        <f ca="1">OFFSET('배치점수 계산기'!N$10,$D292,0)</f>
        <v>표점/만점</v>
      </c>
      <c r="Y292" s="188">
        <f ca="1">OFFSET(환산공식!FW$15,$F292,0)</f>
        <v>0.25</v>
      </c>
      <c r="Z292" s="20">
        <f ca="1">OFFSET(환산공식!FX$15,$F292,0)</f>
        <v>0.44</v>
      </c>
      <c r="AA292" s="179">
        <f ca="1">OFFSET(환산공식!FY$15,$F292,0)</f>
        <v>0.31</v>
      </c>
      <c r="AB292" s="3"/>
      <c r="AD292">
        <f t="shared" ca="1" si="9"/>
        <v>6</v>
      </c>
      <c r="AF292" s="3"/>
      <c r="AG292" s="3"/>
      <c r="AH292" s="3"/>
    </row>
    <row r="293" spans="1:34">
      <c r="A293" s="198"/>
      <c r="B293" s="198"/>
      <c r="C293" s="198" t="s">
        <v>1745</v>
      </c>
      <c r="D293" s="195">
        <v>1279</v>
      </c>
      <c r="E293" s="195">
        <v>85</v>
      </c>
      <c r="F293" s="195">
        <v>85</v>
      </c>
      <c r="G293" s="239">
        <v>286</v>
      </c>
      <c r="H293" s="197" t="s">
        <v>79</v>
      </c>
      <c r="I293" s="242" t="s">
        <v>9189</v>
      </c>
      <c r="J293" s="242" t="s">
        <v>10263</v>
      </c>
      <c r="K293" s="195" t="s">
        <v>70</v>
      </c>
      <c r="L293" s="20" t="str">
        <f ca="1">IF(OFFSET(환산공식!$ED$15,$F293,0)=1,"O","X")</f>
        <v>X</v>
      </c>
      <c r="M293" s="188">
        <f ca="1">IFERROR(OFFSET(환산공식!DJ$15,$F293,0),"")</f>
        <v>200</v>
      </c>
      <c r="N293" s="20" t="str">
        <f ca="1">IFERROR(CONCATENATE(ROUND(OFFSET(환산공식!DK$15,$F293,0),1),"%"),"")</f>
        <v>100%</v>
      </c>
      <c r="O293" s="20">
        <f ca="1">IFERROR(OFFSET(환산공식!DL$15,$F293,0),"")</f>
        <v>0</v>
      </c>
      <c r="P293" s="188" t="str">
        <f t="shared" ca="1" si="8"/>
        <v>3% 이하</v>
      </c>
      <c r="Q293" s="194">
        <f ca="1">IFERROR(ROUND(OFFSET(환산공식!$FG$15,$F293,0),3),"")</f>
        <v>0</v>
      </c>
      <c r="R293" s="194">
        <f ca="1">OFFSET('배치점수 계산기'!H$10,$D293,0)</f>
        <v>907.91700000000003</v>
      </c>
      <c r="S293" s="194">
        <f ca="1">OFFSET('배치점수 계산기'!I$10,$D293,0)</f>
        <v>905.41099999999994</v>
      </c>
      <c r="T293" s="194">
        <f ca="1">OFFSET('배치점수 계산기'!J$10,$D293,0)</f>
        <v>901.51499999999999</v>
      </c>
      <c r="U293" s="194">
        <f ca="1">OFFSET('배치점수 계산기'!K$10,$D293,0)</f>
        <v>897.42100000000005</v>
      </c>
      <c r="V293" s="194">
        <f ca="1">OFFSET('배치점수 계산기'!L$10,$D293,0)</f>
        <v>891.06299999999999</v>
      </c>
      <c r="W293" s="186" t="str">
        <f ca="1">OFFSET('배치점수 계산기'!M$10,$D293,0)</f>
        <v>표점/만점</v>
      </c>
      <c r="X293" s="184" t="str">
        <f ca="1">OFFSET('배치점수 계산기'!N$10,$D293,0)</f>
        <v>표점/만점</v>
      </c>
      <c r="Y293" s="188">
        <f ca="1">OFFSET(환산공식!FW$15,$F293,0)</f>
        <v>0.25</v>
      </c>
      <c r="Z293" s="20">
        <f ca="1">OFFSET(환산공식!FX$15,$F293,0)</f>
        <v>0.44</v>
      </c>
      <c r="AA293" s="179">
        <f ca="1">OFFSET(환산공식!FY$15,$F293,0)</f>
        <v>0.31</v>
      </c>
      <c r="AB293" s="3"/>
      <c r="AD293">
        <f t="shared" ca="1" si="9"/>
        <v>6</v>
      </c>
      <c r="AF293" s="3"/>
      <c r="AG293" s="3"/>
      <c r="AH293" s="3"/>
    </row>
    <row r="294" spans="1:34">
      <c r="A294" s="198"/>
      <c r="B294" s="198"/>
      <c r="C294" s="198" t="s">
        <v>1746</v>
      </c>
      <c r="D294" s="195">
        <v>1280</v>
      </c>
      <c r="E294" s="195">
        <v>85</v>
      </c>
      <c r="F294" s="195">
        <v>85</v>
      </c>
      <c r="G294" s="239">
        <v>287</v>
      </c>
      <c r="H294" s="197" t="s">
        <v>79</v>
      </c>
      <c r="I294" s="242" t="s">
        <v>9189</v>
      </c>
      <c r="J294" s="242" t="s">
        <v>10352</v>
      </c>
      <c r="K294" s="195" t="s">
        <v>70</v>
      </c>
      <c r="L294" s="20" t="str">
        <f ca="1">IF(OFFSET(환산공식!$ED$15,$F294,0)=1,"O","X")</f>
        <v>X</v>
      </c>
      <c r="M294" s="188">
        <f ca="1">IFERROR(OFFSET(환산공식!DJ$15,$F294,0),"")</f>
        <v>200</v>
      </c>
      <c r="N294" s="20" t="str">
        <f ca="1">IFERROR(CONCATENATE(ROUND(OFFSET(환산공식!DK$15,$F294,0),1),"%"),"")</f>
        <v>100%</v>
      </c>
      <c r="O294" s="20">
        <f ca="1">IFERROR(OFFSET(환산공식!DL$15,$F294,0),"")</f>
        <v>0</v>
      </c>
      <c r="P294" s="188" t="str">
        <f t="shared" ca="1" si="8"/>
        <v>3% 이하</v>
      </c>
      <c r="Q294" s="194">
        <f ca="1">IFERROR(ROUND(OFFSET(환산공식!$FG$15,$F294,0),3),"")</f>
        <v>0</v>
      </c>
      <c r="R294" s="194">
        <f ca="1">OFFSET('배치점수 계산기'!H$10,$D294,0)</f>
        <v>907.14700000000005</v>
      </c>
      <c r="S294" s="194">
        <f ca="1">OFFSET('배치점수 계산기'!I$10,$D294,0)</f>
        <v>904.45100000000002</v>
      </c>
      <c r="T294" s="194">
        <f ca="1">OFFSET('배치점수 계산기'!J$10,$D294,0)</f>
        <v>900.74699999999996</v>
      </c>
      <c r="U294" s="194">
        <f ca="1">OFFSET('배치점수 계산기'!K$10,$D294,0)</f>
        <v>897.23099999999999</v>
      </c>
      <c r="V294" s="194">
        <f ca="1">OFFSET('배치점수 계산기'!L$10,$D294,0)</f>
        <v>891.64400000000001</v>
      </c>
      <c r="W294" s="186" t="str">
        <f ca="1">OFFSET('배치점수 계산기'!M$10,$D294,0)</f>
        <v>표점/만점</v>
      </c>
      <c r="X294" s="184" t="str">
        <f ca="1">OFFSET('배치점수 계산기'!N$10,$D294,0)</f>
        <v>표점/만점</v>
      </c>
      <c r="Y294" s="188">
        <f ca="1">OFFSET(환산공식!FW$15,$F294,0)</f>
        <v>0.25</v>
      </c>
      <c r="Z294" s="20">
        <f ca="1">OFFSET(환산공식!FX$15,$F294,0)</f>
        <v>0.44</v>
      </c>
      <c r="AA294" s="179">
        <f ca="1">OFFSET(환산공식!FY$15,$F294,0)</f>
        <v>0.31</v>
      </c>
      <c r="AB294" s="3"/>
      <c r="AD294">
        <f t="shared" ca="1" si="9"/>
        <v>6</v>
      </c>
      <c r="AF294" s="3"/>
      <c r="AG294" s="3"/>
      <c r="AH294" s="3"/>
    </row>
    <row r="295" spans="1:34">
      <c r="A295" s="198"/>
      <c r="B295" s="198"/>
      <c r="C295" s="198" t="s">
        <v>1747</v>
      </c>
      <c r="D295" s="195">
        <v>1281</v>
      </c>
      <c r="E295" s="195">
        <v>85</v>
      </c>
      <c r="F295" s="195">
        <v>85</v>
      </c>
      <c r="G295" s="239">
        <v>288</v>
      </c>
      <c r="H295" s="197" t="s">
        <v>79</v>
      </c>
      <c r="I295" s="242" t="s">
        <v>9189</v>
      </c>
      <c r="J295" s="242" t="s">
        <v>8757</v>
      </c>
      <c r="K295" s="195" t="s">
        <v>70</v>
      </c>
      <c r="L295" s="20" t="str">
        <f ca="1">IF(OFFSET(환산공식!$ED$15,$F295,0)=1,"O","X")</f>
        <v>X</v>
      </c>
      <c r="M295" s="188">
        <f ca="1">IFERROR(OFFSET(환산공식!DJ$15,$F295,0),"")</f>
        <v>200</v>
      </c>
      <c r="N295" s="20" t="str">
        <f ca="1">IFERROR(CONCATENATE(ROUND(OFFSET(환산공식!DK$15,$F295,0),1),"%"),"")</f>
        <v>100%</v>
      </c>
      <c r="O295" s="20">
        <f ca="1">IFERROR(OFFSET(환산공식!DL$15,$F295,0),"")</f>
        <v>0</v>
      </c>
      <c r="P295" s="188" t="str">
        <f t="shared" ca="1" si="8"/>
        <v>3% 이하</v>
      </c>
      <c r="Q295" s="194">
        <f ca="1">IFERROR(ROUND(OFFSET(환산공식!$FG$15,$F295,0),3),"")</f>
        <v>0</v>
      </c>
      <c r="R295" s="194">
        <f ca="1">OFFSET('배치점수 계산기'!H$10,$D295,0)</f>
        <v>907.14700000000005</v>
      </c>
      <c r="S295" s="194">
        <f ca="1">OFFSET('배치점수 계산기'!I$10,$D295,0)</f>
        <v>904.45100000000002</v>
      </c>
      <c r="T295" s="194">
        <f ca="1">OFFSET('배치점수 계산기'!J$10,$D295,0)</f>
        <v>900.74699999999996</v>
      </c>
      <c r="U295" s="194">
        <f ca="1">OFFSET('배치점수 계산기'!K$10,$D295,0)</f>
        <v>897.23099999999999</v>
      </c>
      <c r="V295" s="194">
        <f ca="1">OFFSET('배치점수 계산기'!L$10,$D295,0)</f>
        <v>891.64400000000001</v>
      </c>
      <c r="W295" s="186" t="str">
        <f ca="1">OFFSET('배치점수 계산기'!M$10,$D295,0)</f>
        <v>표점/만점</v>
      </c>
      <c r="X295" s="184" t="str">
        <f ca="1">OFFSET('배치점수 계산기'!N$10,$D295,0)</f>
        <v>표점/만점</v>
      </c>
      <c r="Y295" s="188">
        <f ca="1">OFFSET(환산공식!FW$15,$F295,0)</f>
        <v>0.25</v>
      </c>
      <c r="Z295" s="20">
        <f ca="1">OFFSET(환산공식!FX$15,$F295,0)</f>
        <v>0.44</v>
      </c>
      <c r="AA295" s="179">
        <f ca="1">OFFSET(환산공식!FY$15,$F295,0)</f>
        <v>0.31</v>
      </c>
      <c r="AB295" s="3"/>
      <c r="AD295">
        <f t="shared" ca="1" si="9"/>
        <v>6</v>
      </c>
      <c r="AF295" s="3"/>
      <c r="AG295" s="3"/>
      <c r="AH295" s="3"/>
    </row>
    <row r="296" spans="1:34">
      <c r="A296" s="198"/>
      <c r="B296" s="198"/>
      <c r="C296" s="198" t="s">
        <v>1748</v>
      </c>
      <c r="D296" s="195">
        <v>1282</v>
      </c>
      <c r="E296" s="195">
        <v>85</v>
      </c>
      <c r="F296" s="195">
        <v>85</v>
      </c>
      <c r="G296" s="239">
        <v>289</v>
      </c>
      <c r="H296" s="197" t="s">
        <v>79</v>
      </c>
      <c r="I296" s="242" t="s">
        <v>9189</v>
      </c>
      <c r="J296" s="242" t="s">
        <v>16681</v>
      </c>
      <c r="K296" s="195" t="s">
        <v>70</v>
      </c>
      <c r="L296" s="20" t="str">
        <f ca="1">IF(OFFSET(환산공식!$ED$15,$F296,0)=1,"O","X")</f>
        <v>X</v>
      </c>
      <c r="M296" s="188">
        <f ca="1">IFERROR(OFFSET(환산공식!DJ$15,$F296,0),"")</f>
        <v>200</v>
      </c>
      <c r="N296" s="20" t="str">
        <f ca="1">IFERROR(CONCATENATE(ROUND(OFFSET(환산공식!DK$15,$F296,0),1),"%"),"")</f>
        <v>100%</v>
      </c>
      <c r="O296" s="20">
        <f ca="1">IFERROR(OFFSET(환산공식!DL$15,$F296,0),"")</f>
        <v>0</v>
      </c>
      <c r="P296" s="188" t="str">
        <f t="shared" ca="1" si="8"/>
        <v>3% 이하</v>
      </c>
      <c r="Q296" s="194">
        <f ca="1">IFERROR(ROUND(OFFSET(환산공식!$FG$15,$F296,0),3),"")</f>
        <v>0</v>
      </c>
      <c r="R296" s="194">
        <f ca="1">OFFSET('배치점수 계산기'!H$10,$D296,0)</f>
        <v>906.68499999999995</v>
      </c>
      <c r="S296" s="194">
        <f ca="1">OFFSET('배치점수 계산기'!I$10,$D296,0)</f>
        <v>903.92700000000002</v>
      </c>
      <c r="T296" s="194">
        <f ca="1">OFFSET('배치점수 계산기'!J$10,$D296,0)</f>
        <v>900.35699999999997</v>
      </c>
      <c r="U296" s="194">
        <f ca="1">OFFSET('배치점수 계산기'!K$10,$D296,0)</f>
        <v>896.78700000000003</v>
      </c>
      <c r="V296" s="194">
        <f ca="1">OFFSET('배치점수 계산기'!L$10,$D296,0)</f>
        <v>891.19899999999996</v>
      </c>
      <c r="W296" s="186" t="str">
        <f ca="1">OFFSET('배치점수 계산기'!M$10,$D296,0)</f>
        <v>표점/만점</v>
      </c>
      <c r="X296" s="184" t="str">
        <f ca="1">OFFSET('배치점수 계산기'!N$10,$D296,0)</f>
        <v>표점/만점</v>
      </c>
      <c r="Y296" s="188">
        <f ca="1">OFFSET(환산공식!FW$15,$F296,0)</f>
        <v>0.25</v>
      </c>
      <c r="Z296" s="20">
        <f ca="1">OFFSET(환산공식!FX$15,$F296,0)</f>
        <v>0.44</v>
      </c>
      <c r="AA296" s="179">
        <f ca="1">OFFSET(환산공식!FY$15,$F296,0)</f>
        <v>0.31</v>
      </c>
      <c r="AB296" s="3"/>
      <c r="AD296">
        <f t="shared" ca="1" si="9"/>
        <v>6</v>
      </c>
      <c r="AF296" s="3"/>
      <c r="AG296" s="3"/>
      <c r="AH296" s="3"/>
    </row>
    <row r="297" spans="1:34">
      <c r="A297" s="198"/>
      <c r="B297" s="198"/>
      <c r="C297" s="198" t="s">
        <v>1749</v>
      </c>
      <c r="D297" s="195">
        <v>1283</v>
      </c>
      <c r="E297" s="195">
        <v>85</v>
      </c>
      <c r="F297" s="195">
        <v>85</v>
      </c>
      <c r="G297" s="239">
        <v>290</v>
      </c>
      <c r="H297" s="197" t="s">
        <v>79</v>
      </c>
      <c r="I297" s="242" t="s">
        <v>9189</v>
      </c>
      <c r="J297" s="242" t="s">
        <v>10447</v>
      </c>
      <c r="K297" s="195" t="s">
        <v>70</v>
      </c>
      <c r="L297" s="20" t="str">
        <f ca="1">IF(OFFSET(환산공식!$ED$15,$F297,0)=1,"O","X")</f>
        <v>X</v>
      </c>
      <c r="M297" s="188">
        <f ca="1">IFERROR(OFFSET(환산공식!DJ$15,$F297,0),"")</f>
        <v>200</v>
      </c>
      <c r="N297" s="20" t="str">
        <f ca="1">IFERROR(CONCATENATE(ROUND(OFFSET(환산공식!DK$15,$F297,0),1),"%"),"")</f>
        <v>100%</v>
      </c>
      <c r="O297" s="20">
        <f ca="1">IFERROR(OFFSET(환산공식!DL$15,$F297,0),"")</f>
        <v>0</v>
      </c>
      <c r="P297" s="188" t="str">
        <f t="shared" ca="1" si="8"/>
        <v>3% 이하</v>
      </c>
      <c r="Q297" s="194">
        <f ca="1">IFERROR(ROUND(OFFSET(환산공식!$FG$15,$F297,0),3),"")</f>
        <v>0</v>
      </c>
      <c r="R297" s="194">
        <f ca="1">OFFSET('배치점수 계산기'!H$10,$D297,0)</f>
        <v>903.67499999999995</v>
      </c>
      <c r="S297" s="194">
        <f ca="1">OFFSET('배치점수 계산기'!I$10,$D297,0)</f>
        <v>900.49300000000005</v>
      </c>
      <c r="T297" s="194">
        <f ca="1">OFFSET('배치점수 계산기'!J$10,$D297,0)</f>
        <v>897.55700000000002</v>
      </c>
      <c r="U297" s="194">
        <f ca="1">OFFSET('배치점수 계산기'!K$10,$D297,0)</f>
        <v>893.75900000000001</v>
      </c>
      <c r="V297" s="194">
        <f ca="1">OFFSET('배치점수 계산기'!L$10,$D297,0)</f>
        <v>888.74699999999996</v>
      </c>
      <c r="W297" s="186" t="str">
        <f ca="1">OFFSET('배치점수 계산기'!M$10,$D297,0)</f>
        <v>표점/만점</v>
      </c>
      <c r="X297" s="184" t="str">
        <f ca="1">OFFSET('배치점수 계산기'!N$10,$D297,0)</f>
        <v>표점/만점</v>
      </c>
      <c r="Y297" s="188">
        <f ca="1">OFFSET(환산공식!FW$15,$F297,0)</f>
        <v>0.25</v>
      </c>
      <c r="Z297" s="20">
        <f ca="1">OFFSET(환산공식!FX$15,$F297,0)</f>
        <v>0.44</v>
      </c>
      <c r="AA297" s="179">
        <f ca="1">OFFSET(환산공식!FY$15,$F297,0)</f>
        <v>0.31</v>
      </c>
      <c r="AB297" s="3"/>
      <c r="AD297">
        <f t="shared" ca="1" si="9"/>
        <v>6</v>
      </c>
      <c r="AF297" s="3"/>
      <c r="AG297" s="3"/>
      <c r="AH297" s="3"/>
    </row>
    <row r="298" spans="1:34">
      <c r="A298" s="198"/>
      <c r="B298" s="198"/>
      <c r="C298" s="198" t="s">
        <v>1750</v>
      </c>
      <c r="D298" s="195">
        <v>1284</v>
      </c>
      <c r="E298" s="195">
        <v>85</v>
      </c>
      <c r="F298" s="195">
        <v>85</v>
      </c>
      <c r="G298" s="239">
        <v>291</v>
      </c>
      <c r="H298" s="197" t="s">
        <v>79</v>
      </c>
      <c r="I298" s="242" t="s">
        <v>9189</v>
      </c>
      <c r="J298" s="242" t="s">
        <v>10587</v>
      </c>
      <c r="K298" s="195" t="s">
        <v>70</v>
      </c>
      <c r="L298" s="20" t="str">
        <f ca="1">IF(OFFSET(환산공식!$ED$15,$F298,0)=1,"O","X")</f>
        <v>X</v>
      </c>
      <c r="M298" s="188">
        <f ca="1">IFERROR(OFFSET(환산공식!DJ$15,$F298,0),"")</f>
        <v>200</v>
      </c>
      <c r="N298" s="20" t="str">
        <f ca="1">IFERROR(CONCATENATE(ROUND(OFFSET(환산공식!DK$15,$F298,0),1),"%"),"")</f>
        <v>100%</v>
      </c>
      <c r="O298" s="20">
        <f ca="1">IFERROR(OFFSET(환산공식!DL$15,$F298,0),"")</f>
        <v>0</v>
      </c>
      <c r="P298" s="188" t="str">
        <f t="shared" ca="1" si="8"/>
        <v>3% 이하</v>
      </c>
      <c r="Q298" s="194">
        <f ca="1">IFERROR(ROUND(OFFSET(환산공식!$FG$15,$F298,0),3),"")</f>
        <v>0</v>
      </c>
      <c r="R298" s="194">
        <f ca="1">OFFSET('배치점수 계산기'!H$10,$D298,0)</f>
        <v>901.37900000000002</v>
      </c>
      <c r="S298" s="194">
        <f ca="1">OFFSET('배치점수 계산기'!I$10,$D298,0)</f>
        <v>898.83100000000002</v>
      </c>
      <c r="T298" s="194">
        <f ca="1">OFFSET('배치점수 계산기'!J$10,$D298,0)</f>
        <v>896.78700000000003</v>
      </c>
      <c r="U298" s="194">
        <f ca="1">OFFSET('배치점수 계산기'!K$10,$D298,0)</f>
        <v>892.99199999999996</v>
      </c>
      <c r="V298" s="194">
        <f ca="1">OFFSET('배치점수 계산기'!L$10,$D298,0)</f>
        <v>888.74699999999996</v>
      </c>
      <c r="W298" s="186" t="str">
        <f ca="1">OFFSET('배치점수 계산기'!M$10,$D298,0)</f>
        <v>표점/만점</v>
      </c>
      <c r="X298" s="184" t="str">
        <f ca="1">OFFSET('배치점수 계산기'!N$10,$D298,0)</f>
        <v>표점/만점</v>
      </c>
      <c r="Y298" s="188">
        <f ca="1">OFFSET(환산공식!FW$15,$F298,0)</f>
        <v>0.25</v>
      </c>
      <c r="Z298" s="20">
        <f ca="1">OFFSET(환산공식!FX$15,$F298,0)</f>
        <v>0.44</v>
      </c>
      <c r="AA298" s="179">
        <f ca="1">OFFSET(환산공식!FY$15,$F298,0)</f>
        <v>0.31</v>
      </c>
      <c r="AB298" s="3"/>
      <c r="AD298">
        <f t="shared" ca="1" si="9"/>
        <v>6</v>
      </c>
      <c r="AF298" s="3"/>
      <c r="AG298" s="3"/>
      <c r="AH298" s="3"/>
    </row>
    <row r="299" spans="1:34">
      <c r="A299" s="198"/>
      <c r="B299" s="198"/>
      <c r="C299" s="198" t="s">
        <v>1751</v>
      </c>
      <c r="D299" s="195">
        <v>1285</v>
      </c>
      <c r="E299" s="195">
        <v>85</v>
      </c>
      <c r="F299" s="195">
        <v>85</v>
      </c>
      <c r="G299" s="239">
        <v>292</v>
      </c>
      <c r="H299" s="197" t="s">
        <v>79</v>
      </c>
      <c r="I299" s="242" t="s">
        <v>9189</v>
      </c>
      <c r="J299" s="242" t="s">
        <v>10636</v>
      </c>
      <c r="K299" s="195" t="s">
        <v>70</v>
      </c>
      <c r="L299" s="20" t="str">
        <f ca="1">IF(OFFSET(환산공식!$ED$15,$F299,0)=1,"O","X")</f>
        <v>X</v>
      </c>
      <c r="M299" s="188">
        <f ca="1">IFERROR(OFFSET(환산공식!DJ$15,$F299,0),"")</f>
        <v>200</v>
      </c>
      <c r="N299" s="20" t="str">
        <f ca="1">IFERROR(CONCATENATE(ROUND(OFFSET(환산공식!DK$15,$F299,0),1),"%"),"")</f>
        <v>100%</v>
      </c>
      <c r="O299" s="20">
        <f ca="1">IFERROR(OFFSET(환산공식!DL$15,$F299,0),"")</f>
        <v>0</v>
      </c>
      <c r="P299" s="188" t="str">
        <f t="shared" ca="1" si="8"/>
        <v>3% 이하</v>
      </c>
      <c r="Q299" s="194">
        <f ca="1">IFERROR(ROUND(OFFSET(환산공식!$FG$15,$F299,0),3),"")</f>
        <v>0</v>
      </c>
      <c r="R299" s="194">
        <f ca="1">OFFSET('배치점수 계산기'!H$10,$D299,0)</f>
        <v>899.91499999999996</v>
      </c>
      <c r="S299" s="194">
        <f ca="1">OFFSET('배치점수 계산기'!I$10,$D299,0)</f>
        <v>897.55700000000002</v>
      </c>
      <c r="T299" s="194">
        <f ca="1">OFFSET('배치점수 계산기'!J$10,$D299,0)</f>
        <v>895.62900000000002</v>
      </c>
      <c r="U299" s="194">
        <f ca="1">OFFSET('배치점수 계산기'!K$10,$D299,0)</f>
        <v>892.16</v>
      </c>
      <c r="V299" s="194">
        <f ca="1">OFFSET('배치점수 계산기'!L$10,$D299,0)</f>
        <v>887.84299999999996</v>
      </c>
      <c r="W299" s="186" t="str">
        <f ca="1">OFFSET('배치점수 계산기'!M$10,$D299,0)</f>
        <v>표점/만점</v>
      </c>
      <c r="X299" s="184" t="str">
        <f ca="1">OFFSET('배치점수 계산기'!N$10,$D299,0)</f>
        <v>표점/만점</v>
      </c>
      <c r="Y299" s="188">
        <f ca="1">OFFSET(환산공식!FW$15,$F299,0)</f>
        <v>0.25</v>
      </c>
      <c r="Z299" s="20">
        <f ca="1">OFFSET(환산공식!FX$15,$F299,0)</f>
        <v>0.44</v>
      </c>
      <c r="AA299" s="179">
        <f ca="1">OFFSET(환산공식!FY$15,$F299,0)</f>
        <v>0.31</v>
      </c>
      <c r="AB299" s="3"/>
      <c r="AD299">
        <f t="shared" ca="1" si="9"/>
        <v>6</v>
      </c>
      <c r="AF299" s="3"/>
      <c r="AG299" s="3"/>
      <c r="AH299" s="3"/>
    </row>
    <row r="300" spans="1:34">
      <c r="A300" s="198"/>
      <c r="B300" s="198"/>
      <c r="C300" s="198" t="s">
        <v>1752</v>
      </c>
      <c r="D300" s="195">
        <v>1286</v>
      </c>
      <c r="E300" s="195">
        <v>85</v>
      </c>
      <c r="F300" s="195">
        <v>85</v>
      </c>
      <c r="G300" s="239">
        <v>293</v>
      </c>
      <c r="H300" s="197" t="s">
        <v>79</v>
      </c>
      <c r="I300" s="242" t="s">
        <v>9189</v>
      </c>
      <c r="J300" s="242" t="s">
        <v>10633</v>
      </c>
      <c r="K300" s="195" t="s">
        <v>70</v>
      </c>
      <c r="L300" s="20" t="str">
        <f ca="1">IF(OFFSET(환산공식!$ED$15,$F300,0)=1,"O","X")</f>
        <v>X</v>
      </c>
      <c r="M300" s="188">
        <f ca="1">IFERROR(OFFSET(환산공식!DJ$15,$F300,0),"")</f>
        <v>200</v>
      </c>
      <c r="N300" s="20" t="str">
        <f ca="1">IFERROR(CONCATENATE(ROUND(OFFSET(환산공식!DK$15,$F300,0),1),"%"),"")</f>
        <v>100%</v>
      </c>
      <c r="O300" s="20">
        <f ca="1">IFERROR(OFFSET(환산공식!DL$15,$F300,0),"")</f>
        <v>0</v>
      </c>
      <c r="P300" s="188" t="str">
        <f t="shared" ca="1" si="8"/>
        <v>3% 이하</v>
      </c>
      <c r="Q300" s="194">
        <f ca="1">IFERROR(ROUND(OFFSET(환산공식!$FG$15,$F300,0),3),"")</f>
        <v>0</v>
      </c>
      <c r="R300" s="194">
        <f ca="1">OFFSET('배치점수 계산기'!H$10,$D300,0)</f>
        <v>899.91499999999996</v>
      </c>
      <c r="S300" s="194">
        <f ca="1">OFFSET('배치점수 계산기'!I$10,$D300,0)</f>
        <v>897.55700000000002</v>
      </c>
      <c r="T300" s="194">
        <f ca="1">OFFSET('배치점수 계산기'!J$10,$D300,0)</f>
        <v>895.62900000000002</v>
      </c>
      <c r="U300" s="194">
        <f ca="1">OFFSET('배치점수 계산기'!K$10,$D300,0)</f>
        <v>892.16</v>
      </c>
      <c r="V300" s="194">
        <f ca="1">OFFSET('배치점수 계산기'!L$10,$D300,0)</f>
        <v>887.84299999999996</v>
      </c>
      <c r="W300" s="186" t="str">
        <f ca="1">OFFSET('배치점수 계산기'!M$10,$D300,0)</f>
        <v>표점/만점</v>
      </c>
      <c r="X300" s="184" t="str">
        <f ca="1">OFFSET('배치점수 계산기'!N$10,$D300,0)</f>
        <v>표점/만점</v>
      </c>
      <c r="Y300" s="188">
        <f ca="1">OFFSET(환산공식!FW$15,$F300,0)</f>
        <v>0.25</v>
      </c>
      <c r="Z300" s="20">
        <f ca="1">OFFSET(환산공식!FX$15,$F300,0)</f>
        <v>0.44</v>
      </c>
      <c r="AA300" s="179">
        <f ca="1">OFFSET(환산공식!FY$15,$F300,0)</f>
        <v>0.31</v>
      </c>
      <c r="AB300" s="3"/>
      <c r="AD300">
        <f t="shared" ca="1" si="9"/>
        <v>6</v>
      </c>
      <c r="AF300" s="3"/>
      <c r="AG300" s="3"/>
      <c r="AH300" s="3"/>
    </row>
    <row r="301" spans="1:34">
      <c r="A301" s="198"/>
      <c r="B301" s="198"/>
      <c r="C301" s="198" t="s">
        <v>1753</v>
      </c>
      <c r="D301" s="195">
        <v>1287</v>
      </c>
      <c r="E301" s="195">
        <v>84</v>
      </c>
      <c r="F301" s="195">
        <v>84</v>
      </c>
      <c r="G301" s="239">
        <v>294</v>
      </c>
      <c r="H301" s="197" t="s">
        <v>79</v>
      </c>
      <c r="I301" s="242" t="s">
        <v>9189</v>
      </c>
      <c r="J301" s="242" t="s">
        <v>10257</v>
      </c>
      <c r="K301" s="195" t="s">
        <v>71</v>
      </c>
      <c r="L301" s="20" t="str">
        <f ca="1">IF(OFFSET(환산공식!$ED$15,$F301,0)=1,"O","X")</f>
        <v>X</v>
      </c>
      <c r="M301" s="188">
        <f ca="1">IFERROR(OFFSET(환산공식!DJ$15,$F301,0),"")</f>
        <v>200</v>
      </c>
      <c r="N301" s="20" t="str">
        <f ca="1">IFERROR(CONCATENATE(ROUND(OFFSET(환산공식!DK$15,$F301,0),1),"%"),"")</f>
        <v>100%</v>
      </c>
      <c r="O301" s="20">
        <f ca="1">IFERROR(OFFSET(환산공식!DL$15,$F301,0),"")</f>
        <v>0</v>
      </c>
      <c r="P301" s="188" t="str">
        <f t="shared" ca="1" si="8"/>
        <v>3% 이하</v>
      </c>
      <c r="Q301" s="194">
        <f ca="1">IFERROR(ROUND(OFFSET(환산공식!$FG$15,$F301,0),3),"")</f>
        <v>0</v>
      </c>
      <c r="R301" s="194">
        <f ca="1">OFFSET('배치점수 계산기'!H$10,$D301,0)</f>
        <v>899.92899999999997</v>
      </c>
      <c r="S301" s="194">
        <f ca="1">OFFSET('배치점수 계산기'!I$10,$D301,0)</f>
        <v>897.40800000000002</v>
      </c>
      <c r="T301" s="194">
        <f ca="1">OFFSET('배치점수 계산기'!J$10,$D301,0)</f>
        <v>893.96199999999999</v>
      </c>
      <c r="U301" s="194">
        <f ca="1">OFFSET('배치점수 계산기'!K$10,$D301,0)</f>
        <v>889.48599999999999</v>
      </c>
      <c r="V301" s="194">
        <f ca="1">OFFSET('배치점수 계산기'!L$10,$D301,0)</f>
        <v>882.50800000000004</v>
      </c>
      <c r="W301" s="186" t="str">
        <f ca="1">OFFSET('배치점수 계산기'!M$10,$D301,0)</f>
        <v>표점/만점</v>
      </c>
      <c r="X301" s="184" t="str">
        <f ca="1">OFFSET('배치점수 계산기'!N$10,$D301,0)</f>
        <v>표점/만점</v>
      </c>
      <c r="Y301" s="188">
        <f ca="1">OFFSET(환산공식!FW$15,$F301,0)</f>
        <v>0.38</v>
      </c>
      <c r="Z301" s="20">
        <f ca="1">OFFSET(환산공식!FX$15,$F301,0)</f>
        <v>0.31</v>
      </c>
      <c r="AA301" s="179">
        <f ca="1">OFFSET(환산공식!FY$15,$F301,0)</f>
        <v>0.31</v>
      </c>
      <c r="AB301" s="3"/>
      <c r="AD301">
        <f t="shared" ca="1" si="9"/>
        <v>6</v>
      </c>
      <c r="AF301" s="3"/>
      <c r="AG301" s="3"/>
      <c r="AH301" s="3"/>
    </row>
    <row r="302" spans="1:34">
      <c r="A302" s="198"/>
      <c r="B302" s="198"/>
      <c r="C302" s="198" t="s">
        <v>1754</v>
      </c>
      <c r="D302" s="195">
        <v>1288</v>
      </c>
      <c r="E302" s="195">
        <v>86</v>
      </c>
      <c r="F302" s="195">
        <v>86</v>
      </c>
      <c r="G302" s="239">
        <v>295</v>
      </c>
      <c r="H302" s="197" t="s">
        <v>79</v>
      </c>
      <c r="I302" s="242" t="s">
        <v>9189</v>
      </c>
      <c r="J302" s="242" t="s">
        <v>10191</v>
      </c>
      <c r="K302" s="195" t="s">
        <v>71</v>
      </c>
      <c r="L302" s="20" t="str">
        <f ca="1">IF(OFFSET(환산공식!$ED$15,$F302,0)=1,"O","X")</f>
        <v>X</v>
      </c>
      <c r="M302" s="188">
        <f ca="1">IFERROR(OFFSET(환산공식!DJ$15,$F302,0),"")</f>
        <v>200</v>
      </c>
      <c r="N302" s="20" t="str">
        <f ca="1">IFERROR(CONCATENATE(ROUND(OFFSET(환산공식!DK$15,$F302,0),1),"%"),"")</f>
        <v>100%</v>
      </c>
      <c r="O302" s="20">
        <f ca="1">IFERROR(OFFSET(환산공식!DL$15,$F302,0),"")</f>
        <v>0</v>
      </c>
      <c r="P302" s="188" t="str">
        <f t="shared" ca="1" si="8"/>
        <v>3% 이하</v>
      </c>
      <c r="Q302" s="194">
        <f ca="1">IFERROR(ROUND(OFFSET(환산공식!$FG$15,$F302,0),3),"")</f>
        <v>0</v>
      </c>
      <c r="R302" s="194">
        <f ca="1">OFFSET('배치점수 계산기'!H$10,$D302,0)</f>
        <v>892.10199999999998</v>
      </c>
      <c r="S302" s="194">
        <f ca="1">OFFSET('배치점수 계산기'!I$10,$D302,0)</f>
        <v>889.13300000000004</v>
      </c>
      <c r="T302" s="194">
        <f ca="1">OFFSET('배치점수 계산기'!J$10,$D302,0)</f>
        <v>885.82299999999998</v>
      </c>
      <c r="U302" s="194">
        <f ca="1">OFFSET('배치점수 계산기'!K$10,$D302,0)</f>
        <v>880.54100000000005</v>
      </c>
      <c r="V302" s="194">
        <f ca="1">OFFSET('배치점수 계산기'!L$10,$D302,0)</f>
        <v>873.56399999999996</v>
      </c>
      <c r="W302" s="186" t="str">
        <f ca="1">OFFSET('배치점수 계산기'!M$10,$D302,0)</f>
        <v>표점/만점</v>
      </c>
      <c r="X302" s="184" t="str">
        <f ca="1">OFFSET('배치점수 계산기'!N$10,$D302,0)</f>
        <v>표점/만점</v>
      </c>
      <c r="Y302" s="188">
        <f ca="1">OFFSET(환산공식!FW$15,$F302,0)</f>
        <v>0.31</v>
      </c>
      <c r="Z302" s="20">
        <f ca="1">OFFSET(환산공식!FX$15,$F302,0)</f>
        <v>0.37</v>
      </c>
      <c r="AA302" s="179">
        <f ca="1">OFFSET(환산공식!FY$15,$F302,0)</f>
        <v>0.31</v>
      </c>
      <c r="AB302" s="3"/>
      <c r="AD302">
        <f t="shared" ca="1" si="9"/>
        <v>6</v>
      </c>
      <c r="AF302" s="3"/>
      <c r="AG302" s="3"/>
      <c r="AH302" s="3"/>
    </row>
    <row r="303" spans="1:34">
      <c r="A303" s="198"/>
      <c r="B303" s="198"/>
      <c r="C303" s="198" t="s">
        <v>1755</v>
      </c>
      <c r="D303" s="195">
        <v>1289</v>
      </c>
      <c r="E303" s="195">
        <v>75</v>
      </c>
      <c r="F303" s="195">
        <v>75</v>
      </c>
      <c r="G303" s="239">
        <v>296</v>
      </c>
      <c r="H303" s="197" t="s">
        <v>79</v>
      </c>
      <c r="I303" s="242" t="s">
        <v>236</v>
      </c>
      <c r="J303" s="242" t="s">
        <v>10108</v>
      </c>
      <c r="K303" s="195" t="s">
        <v>70</v>
      </c>
      <c r="L303" s="20" t="str">
        <f ca="1">IF(OFFSET(환산공식!$ED$15,$F303,0)=1,"O","X")</f>
        <v>X</v>
      </c>
      <c r="M303" s="188">
        <f ca="1">IFERROR(OFFSET(환산공식!DJ$15,$F303,0),"")</f>
        <v>200</v>
      </c>
      <c r="N303" s="20" t="str">
        <f ca="1">IFERROR(CONCATENATE(ROUND(OFFSET(환산공식!DK$15,$F303,0),1),"%"),"")</f>
        <v>100%</v>
      </c>
      <c r="O303" s="20">
        <f ca="1">IFERROR(OFFSET(환산공식!DL$15,$F303,0),"")</f>
        <v>4</v>
      </c>
      <c r="P303" s="188" t="str">
        <f t="shared" ca="1" si="8"/>
        <v>3% 이하</v>
      </c>
      <c r="Q303" s="194">
        <f ca="1">IFERROR(ROUND(OFFSET(환산공식!$FG$15,$F303,0),3),"")</f>
        <v>0</v>
      </c>
      <c r="R303" s="194">
        <f ca="1">OFFSET('배치점수 계산기'!H$10,$D303,0)</f>
        <v>916.04700000000003</v>
      </c>
      <c r="S303" s="194">
        <f ca="1">OFFSET('배치점수 계산기'!I$10,$D303,0)</f>
        <v>911.05</v>
      </c>
      <c r="T303" s="194">
        <f ca="1">OFFSET('배치점수 계산기'!J$10,$D303,0)</f>
        <v>906.57600000000002</v>
      </c>
      <c r="U303" s="194">
        <f ca="1">OFFSET('배치점수 계산기'!K$10,$D303,0)</f>
        <v>902.64300000000003</v>
      </c>
      <c r="V303" s="194">
        <f ca="1">OFFSET('배치점수 계산기'!L$10,$D303,0)</f>
        <v>896.91</v>
      </c>
      <c r="W303" s="186" t="str">
        <f ca="1">OFFSET('배치점수 계산기'!M$10,$D303,0)</f>
        <v>표점/만점</v>
      </c>
      <c r="X303" s="184" t="str">
        <f ca="1">OFFSET('배치점수 계산기'!N$10,$D303,0)</f>
        <v>변표/만점</v>
      </c>
      <c r="Y303" s="188">
        <f ca="1">OFFSET(환산공식!FW$15,$F303,0)</f>
        <v>0.25</v>
      </c>
      <c r="Z303" s="20">
        <f ca="1">OFFSET(환산공식!FX$15,$F303,0)</f>
        <v>0.44</v>
      </c>
      <c r="AA303" s="179">
        <f ca="1">OFFSET(환산공식!FY$15,$F303,0)</f>
        <v>0.31</v>
      </c>
      <c r="AB303" s="3"/>
      <c r="AD303">
        <f t="shared" ca="1" si="9"/>
        <v>6</v>
      </c>
      <c r="AF303" s="3"/>
      <c r="AG303" s="3"/>
      <c r="AH303" s="3"/>
    </row>
    <row r="304" spans="1:34">
      <c r="A304" s="198"/>
      <c r="B304" s="198"/>
      <c r="C304" s="198" t="s">
        <v>1756</v>
      </c>
      <c r="D304" s="195">
        <v>1290</v>
      </c>
      <c r="E304" s="195">
        <v>75</v>
      </c>
      <c r="F304" s="195">
        <v>75</v>
      </c>
      <c r="G304" s="239">
        <v>297</v>
      </c>
      <c r="H304" s="197" t="s">
        <v>79</v>
      </c>
      <c r="I304" s="242" t="s">
        <v>236</v>
      </c>
      <c r="J304" s="242" t="s">
        <v>9103</v>
      </c>
      <c r="K304" s="195" t="s">
        <v>70</v>
      </c>
      <c r="L304" s="20" t="str">
        <f ca="1">IF(OFFSET(환산공식!$ED$15,$F304,0)=1,"O","X")</f>
        <v>X</v>
      </c>
      <c r="M304" s="188">
        <f ca="1">IFERROR(OFFSET(환산공식!DJ$15,$F304,0),"")</f>
        <v>200</v>
      </c>
      <c r="N304" s="20" t="str">
        <f ca="1">IFERROR(CONCATENATE(ROUND(OFFSET(환산공식!DK$15,$F304,0),1),"%"),"")</f>
        <v>100%</v>
      </c>
      <c r="O304" s="20">
        <f ca="1">IFERROR(OFFSET(환산공식!DL$15,$F304,0),"")</f>
        <v>4</v>
      </c>
      <c r="P304" s="188" t="str">
        <f t="shared" ca="1" si="8"/>
        <v>3% 이하</v>
      </c>
      <c r="Q304" s="194">
        <f ca="1">IFERROR(ROUND(OFFSET(환산공식!$FG$15,$F304,0),3),"")</f>
        <v>0</v>
      </c>
      <c r="R304" s="194">
        <f ca="1">OFFSET('배치점수 계산기'!H$10,$D304,0)</f>
        <v>911.94299999999998</v>
      </c>
      <c r="S304" s="194">
        <f ca="1">OFFSET('배치점수 계산기'!I$10,$D304,0)</f>
        <v>906.43700000000001</v>
      </c>
      <c r="T304" s="194">
        <f ca="1">OFFSET('배치점수 계산기'!J$10,$D304,0)</f>
        <v>903.17</v>
      </c>
      <c r="U304" s="194">
        <f ca="1">OFFSET('배치점수 계산기'!K$10,$D304,0)</f>
        <v>899.77599999999995</v>
      </c>
      <c r="V304" s="194">
        <f ca="1">OFFSET('배치점수 계산기'!L$10,$D304,0)</f>
        <v>892.27499999999998</v>
      </c>
      <c r="W304" s="186" t="str">
        <f ca="1">OFFSET('배치점수 계산기'!M$10,$D304,0)</f>
        <v>표점/만점</v>
      </c>
      <c r="X304" s="184" t="str">
        <f ca="1">OFFSET('배치점수 계산기'!N$10,$D304,0)</f>
        <v>변표/만점</v>
      </c>
      <c r="Y304" s="188">
        <f ca="1">OFFSET(환산공식!FW$15,$F304,0)</f>
        <v>0.25</v>
      </c>
      <c r="Z304" s="20">
        <f ca="1">OFFSET(환산공식!FX$15,$F304,0)</f>
        <v>0.44</v>
      </c>
      <c r="AA304" s="179">
        <f ca="1">OFFSET(환산공식!FY$15,$F304,0)</f>
        <v>0.31</v>
      </c>
      <c r="AB304" s="3"/>
      <c r="AD304">
        <f t="shared" ca="1" si="9"/>
        <v>6</v>
      </c>
      <c r="AF304" s="3"/>
      <c r="AG304" s="3"/>
      <c r="AH304" s="3"/>
    </row>
    <row r="305" spans="1:34">
      <c r="A305" s="198"/>
      <c r="B305" s="198"/>
      <c r="C305" s="198" t="s">
        <v>1757</v>
      </c>
      <c r="D305" s="195">
        <v>1291</v>
      </c>
      <c r="E305" s="195">
        <v>76</v>
      </c>
      <c r="F305" s="195">
        <v>76</v>
      </c>
      <c r="G305" s="239">
        <v>298</v>
      </c>
      <c r="H305" s="197" t="s">
        <v>79</v>
      </c>
      <c r="I305" s="242" t="s">
        <v>236</v>
      </c>
      <c r="J305" s="242" t="s">
        <v>8654</v>
      </c>
      <c r="K305" s="195" t="s">
        <v>71</v>
      </c>
      <c r="L305" s="20" t="str">
        <f ca="1">IF(OFFSET(환산공식!$ED$15,$F305,0)=1,"O","X")</f>
        <v>X</v>
      </c>
      <c r="M305" s="188">
        <f ca="1">IFERROR(OFFSET(환산공식!DJ$15,$F305,0),"")</f>
        <v>200</v>
      </c>
      <c r="N305" s="20" t="str">
        <f ca="1">IFERROR(CONCATENATE(ROUND(OFFSET(환산공식!DK$15,$F305,0),1),"%"),"")</f>
        <v>100%</v>
      </c>
      <c r="O305" s="20">
        <f ca="1">IFERROR(OFFSET(환산공식!DL$15,$F305,0),"")</f>
        <v>4</v>
      </c>
      <c r="P305" s="188" t="str">
        <f t="shared" ca="1" si="8"/>
        <v>3% 이하</v>
      </c>
      <c r="Q305" s="194">
        <f ca="1">IFERROR(ROUND(OFFSET(환산공식!$FG$15,$F305,0),3),"")</f>
        <v>0</v>
      </c>
      <c r="R305" s="194">
        <f ca="1">OFFSET('배치점수 계산기'!H$10,$D305,0)</f>
        <v>904.50300000000004</v>
      </c>
      <c r="S305" s="194">
        <f ca="1">OFFSET('배치점수 계산기'!I$10,$D305,0)</f>
        <v>899.22400000000005</v>
      </c>
      <c r="T305" s="194">
        <f ca="1">OFFSET('배치점수 계산기'!J$10,$D305,0)</f>
        <v>895.197</v>
      </c>
      <c r="U305" s="194">
        <f ca="1">OFFSET('배치점수 계산기'!K$10,$D305,0)</f>
        <v>891.63199999999995</v>
      </c>
      <c r="V305" s="194">
        <f ca="1">OFFSET('배치점수 계산기'!L$10,$D305,0)</f>
        <v>884.88099999999997</v>
      </c>
      <c r="W305" s="186" t="str">
        <f ca="1">OFFSET('배치점수 계산기'!M$10,$D305,0)</f>
        <v>표점/만점</v>
      </c>
      <c r="X305" s="184" t="str">
        <f ca="1">OFFSET('배치점수 계산기'!N$10,$D305,0)</f>
        <v>변표/만점</v>
      </c>
      <c r="Y305" s="188">
        <f ca="1">OFFSET(환산공식!FW$15,$F305,0)</f>
        <v>0.44</v>
      </c>
      <c r="Z305" s="20">
        <f ca="1">OFFSET(환산공식!FX$15,$F305,0)</f>
        <v>0.25</v>
      </c>
      <c r="AA305" s="179">
        <f ca="1">OFFSET(환산공식!FY$15,$F305,0)</f>
        <v>0.31</v>
      </c>
      <c r="AB305" s="3"/>
      <c r="AD305">
        <f t="shared" ca="1" si="9"/>
        <v>6</v>
      </c>
      <c r="AF305" s="3"/>
      <c r="AG305" s="3"/>
      <c r="AH305" s="3"/>
    </row>
    <row r="306" spans="1:34">
      <c r="A306" s="198"/>
      <c r="B306" s="198"/>
      <c r="C306" s="198" t="s">
        <v>1758</v>
      </c>
      <c r="D306" s="195">
        <v>1292</v>
      </c>
      <c r="E306" s="195">
        <v>76</v>
      </c>
      <c r="F306" s="195">
        <v>76</v>
      </c>
      <c r="G306" s="239">
        <v>299</v>
      </c>
      <c r="H306" s="197" t="s">
        <v>79</v>
      </c>
      <c r="I306" s="242" t="s">
        <v>236</v>
      </c>
      <c r="J306" s="242" t="s">
        <v>560</v>
      </c>
      <c r="K306" s="195" t="s">
        <v>71</v>
      </c>
      <c r="L306" s="20" t="str">
        <f ca="1">IF(OFFSET(환산공식!$ED$15,$F306,0)=1,"O","X")</f>
        <v>X</v>
      </c>
      <c r="M306" s="188">
        <f ca="1">IFERROR(OFFSET(환산공식!DJ$15,$F306,0),"")</f>
        <v>200</v>
      </c>
      <c r="N306" s="20" t="str">
        <f ca="1">IFERROR(CONCATENATE(ROUND(OFFSET(환산공식!DK$15,$F306,0),1),"%"),"")</f>
        <v>100%</v>
      </c>
      <c r="O306" s="20">
        <f ca="1">IFERROR(OFFSET(환산공식!DL$15,$F306,0),"")</f>
        <v>4</v>
      </c>
      <c r="P306" s="188" t="str">
        <f t="shared" ca="1" si="8"/>
        <v>3% 이하</v>
      </c>
      <c r="Q306" s="194">
        <f ca="1">IFERROR(ROUND(OFFSET(환산공식!$FG$15,$F306,0),3),"")</f>
        <v>0</v>
      </c>
      <c r="R306" s="194">
        <f ca="1">OFFSET('배치점수 계산기'!H$10,$D306,0)</f>
        <v>902.34100000000001</v>
      </c>
      <c r="S306" s="194">
        <f ca="1">OFFSET('배치점수 계산기'!I$10,$D306,0)</f>
        <v>896.62400000000002</v>
      </c>
      <c r="T306" s="194">
        <f ca="1">OFFSET('배치점수 계산기'!J$10,$D306,0)</f>
        <v>892.63699999999994</v>
      </c>
      <c r="U306" s="194">
        <f ca="1">OFFSET('배치점수 계산기'!K$10,$D306,0)</f>
        <v>889.56500000000005</v>
      </c>
      <c r="V306" s="194">
        <f ca="1">OFFSET('배치점수 계산기'!L$10,$D306,0)</f>
        <v>882.15099999999995</v>
      </c>
      <c r="W306" s="186" t="str">
        <f ca="1">OFFSET('배치점수 계산기'!M$10,$D306,0)</f>
        <v>표점/만점</v>
      </c>
      <c r="X306" s="184" t="str">
        <f ca="1">OFFSET('배치점수 계산기'!N$10,$D306,0)</f>
        <v>변표/만점</v>
      </c>
      <c r="Y306" s="188">
        <f ca="1">OFFSET(환산공식!FW$15,$F306,0)</f>
        <v>0.44</v>
      </c>
      <c r="Z306" s="20">
        <f ca="1">OFFSET(환산공식!FX$15,$F306,0)</f>
        <v>0.25</v>
      </c>
      <c r="AA306" s="179">
        <f ca="1">OFFSET(환산공식!FY$15,$F306,0)</f>
        <v>0.31</v>
      </c>
      <c r="AB306" s="3"/>
      <c r="AD306">
        <f t="shared" ca="1" si="9"/>
        <v>6</v>
      </c>
      <c r="AF306" s="3"/>
      <c r="AG306" s="3"/>
      <c r="AH306" s="3"/>
    </row>
    <row r="307" spans="1:34">
      <c r="A307" s="198"/>
      <c r="B307" s="198"/>
      <c r="C307" s="198" t="s">
        <v>1759</v>
      </c>
      <c r="D307" s="195">
        <v>1293</v>
      </c>
      <c r="E307" s="195">
        <v>67</v>
      </c>
      <c r="F307" s="195">
        <v>67</v>
      </c>
      <c r="G307" s="239">
        <v>300</v>
      </c>
      <c r="H307" s="197" t="s">
        <v>79</v>
      </c>
      <c r="I307" s="242" t="s">
        <v>237</v>
      </c>
      <c r="J307" s="242" t="s">
        <v>16677</v>
      </c>
      <c r="K307" s="195" t="s">
        <v>70</v>
      </c>
      <c r="L307" s="20" t="str">
        <f ca="1">IF(OFFSET(환산공식!$ED$15,$F307,0)=1,"O","X")</f>
        <v>X</v>
      </c>
      <c r="M307" s="188">
        <f ca="1">IFERROR(OFFSET(환산공식!DJ$15,$F307,0),"")</f>
        <v>200</v>
      </c>
      <c r="N307" s="20" t="str">
        <f ca="1">IFERROR(CONCATENATE(ROUND(OFFSET(환산공식!DK$15,$F307,0),1),"%"),"")</f>
        <v>100%</v>
      </c>
      <c r="O307" s="20">
        <f ca="1">IFERROR(OFFSET(환산공식!DL$15,$F307,0),"")</f>
        <v>0</v>
      </c>
      <c r="P307" s="188" t="str">
        <f t="shared" ca="1" si="8"/>
        <v>3% 이하</v>
      </c>
      <c r="Q307" s="194">
        <f ca="1">IFERROR(ROUND(OFFSET(환산공식!$FG$15,$F307,0),3),"")</f>
        <v>0</v>
      </c>
      <c r="R307" s="194">
        <f ca="1">OFFSET('배치점수 계산기'!H$10,$D307,0)</f>
        <v>710.61699999999996</v>
      </c>
      <c r="S307" s="194">
        <f ca="1">OFFSET('배치점수 계산기'!I$10,$D307,0)</f>
        <v>708.28399999999999</v>
      </c>
      <c r="T307" s="194">
        <f ca="1">OFFSET('배치점수 계산기'!J$10,$D307,0)</f>
        <v>706.101</v>
      </c>
      <c r="U307" s="194">
        <f ca="1">OFFSET('배치점수 계산기'!K$10,$D307,0)</f>
        <v>703.28</v>
      </c>
      <c r="V307" s="194">
        <f ca="1">OFFSET('배치점수 계산기'!L$10,$D307,0)</f>
        <v>698.53499999999997</v>
      </c>
      <c r="W307" s="186" t="str">
        <f ca="1">OFFSET('배치점수 계산기'!M$10,$D307,0)</f>
        <v>표점</v>
      </c>
      <c r="X307" s="184" t="str">
        <f ca="1">OFFSET('배치점수 계산기'!N$10,$D307,0)</f>
        <v>표점</v>
      </c>
      <c r="Y307" s="188">
        <f ca="1">OFFSET(환산공식!FW$15,$F307,0)</f>
        <v>0.25</v>
      </c>
      <c r="Z307" s="20">
        <f ca="1">OFFSET(환산공식!FX$15,$F307,0)</f>
        <v>0.38</v>
      </c>
      <c r="AA307" s="179">
        <f ca="1">OFFSET(환산공식!FY$15,$F307,0)</f>
        <v>0.38</v>
      </c>
      <c r="AB307" s="3"/>
      <c r="AD307">
        <f t="shared" ca="1" si="9"/>
        <v>6</v>
      </c>
      <c r="AF307" s="3"/>
      <c r="AG307" s="3"/>
      <c r="AH307" s="3"/>
    </row>
    <row r="308" spans="1:34">
      <c r="A308" s="198"/>
      <c r="B308" s="198"/>
      <c r="C308" s="198" t="s">
        <v>1760</v>
      </c>
      <c r="D308" s="195">
        <v>1294</v>
      </c>
      <c r="E308" s="195">
        <v>67</v>
      </c>
      <c r="F308" s="195">
        <v>67</v>
      </c>
      <c r="G308" s="239">
        <v>301</v>
      </c>
      <c r="H308" s="197" t="s">
        <v>79</v>
      </c>
      <c r="I308" s="242" t="s">
        <v>237</v>
      </c>
      <c r="J308" s="242" t="s">
        <v>10236</v>
      </c>
      <c r="K308" s="195" t="s">
        <v>70</v>
      </c>
      <c r="L308" s="20" t="str">
        <f ca="1">IF(OFFSET(환산공식!$ED$15,$F308,0)=1,"O","X")</f>
        <v>X</v>
      </c>
      <c r="M308" s="188">
        <f ca="1">IFERROR(OFFSET(환산공식!DJ$15,$F308,0),"")</f>
        <v>200</v>
      </c>
      <c r="N308" s="20" t="str">
        <f ca="1">IFERROR(CONCATENATE(ROUND(OFFSET(환산공식!DK$15,$F308,0),1),"%"),"")</f>
        <v>100%</v>
      </c>
      <c r="O308" s="20">
        <f ca="1">IFERROR(OFFSET(환산공식!DL$15,$F308,0),"")</f>
        <v>0</v>
      </c>
      <c r="P308" s="188" t="str">
        <f t="shared" ca="1" si="8"/>
        <v>3% 이하</v>
      </c>
      <c r="Q308" s="194">
        <f ca="1">IFERROR(ROUND(OFFSET(환산공식!$FG$15,$F308,0),3),"")</f>
        <v>0</v>
      </c>
      <c r="R308" s="194">
        <f ca="1">OFFSET('배치점수 계산기'!H$10,$D308,0)</f>
        <v>704.67200000000003</v>
      </c>
      <c r="S308" s="194">
        <f ca="1">OFFSET('배치점수 계산기'!I$10,$D308,0)</f>
        <v>701.86699999999996</v>
      </c>
      <c r="T308" s="194">
        <f ca="1">OFFSET('배치점수 계산기'!J$10,$D308,0)</f>
        <v>699.59100000000001</v>
      </c>
      <c r="U308" s="194">
        <f ca="1">OFFSET('배치점수 계산기'!K$10,$D308,0)</f>
        <v>696.577</v>
      </c>
      <c r="V308" s="194">
        <f ca="1">OFFSET('배치점수 계산기'!L$10,$D308,0)</f>
        <v>691.58699999999999</v>
      </c>
      <c r="W308" s="186" t="str">
        <f ca="1">OFFSET('배치점수 계산기'!M$10,$D308,0)</f>
        <v>표점</v>
      </c>
      <c r="X308" s="184" t="str">
        <f ca="1">OFFSET('배치점수 계산기'!N$10,$D308,0)</f>
        <v>표점</v>
      </c>
      <c r="Y308" s="188">
        <f ca="1">OFFSET(환산공식!FW$15,$F308,0)</f>
        <v>0.25</v>
      </c>
      <c r="Z308" s="20">
        <f ca="1">OFFSET(환산공식!FX$15,$F308,0)</f>
        <v>0.38</v>
      </c>
      <c r="AA308" s="179">
        <f ca="1">OFFSET(환산공식!FY$15,$F308,0)</f>
        <v>0.38</v>
      </c>
      <c r="AB308" s="3"/>
      <c r="AD308">
        <f t="shared" ca="1" si="9"/>
        <v>6</v>
      </c>
      <c r="AF308" s="3"/>
      <c r="AG308" s="3"/>
      <c r="AH308" s="3"/>
    </row>
    <row r="309" spans="1:34">
      <c r="A309" s="198"/>
      <c r="B309" s="198"/>
      <c r="C309" s="198" t="s">
        <v>1761</v>
      </c>
      <c r="D309" s="195">
        <v>1295</v>
      </c>
      <c r="E309" s="195">
        <v>67</v>
      </c>
      <c r="F309" s="195">
        <v>67</v>
      </c>
      <c r="G309" s="239">
        <v>302</v>
      </c>
      <c r="H309" s="197" t="s">
        <v>79</v>
      </c>
      <c r="I309" s="242" t="s">
        <v>237</v>
      </c>
      <c r="J309" s="242" t="s">
        <v>10433</v>
      </c>
      <c r="K309" s="195" t="s">
        <v>70</v>
      </c>
      <c r="L309" s="20" t="str">
        <f ca="1">IF(OFFSET(환산공식!$ED$15,$F309,0)=1,"O","X")</f>
        <v>X</v>
      </c>
      <c r="M309" s="188">
        <f ca="1">IFERROR(OFFSET(환산공식!DJ$15,$F309,0),"")</f>
        <v>200</v>
      </c>
      <c r="N309" s="20" t="str">
        <f ca="1">IFERROR(CONCATENATE(ROUND(OFFSET(환산공식!DK$15,$F309,0),1),"%"),"")</f>
        <v>100%</v>
      </c>
      <c r="O309" s="20">
        <f ca="1">IFERROR(OFFSET(환산공식!DL$15,$F309,0),"")</f>
        <v>0</v>
      </c>
      <c r="P309" s="188" t="str">
        <f t="shared" ca="1" si="8"/>
        <v>3% 이하</v>
      </c>
      <c r="Q309" s="194">
        <f ca="1">IFERROR(ROUND(OFFSET(환산공식!$FG$15,$F309,0),3),"")</f>
        <v>0</v>
      </c>
      <c r="R309" s="194">
        <f ca="1">OFFSET('배치점수 계산기'!H$10,$D309,0)</f>
        <v>701.45799999999997</v>
      </c>
      <c r="S309" s="194">
        <f ca="1">OFFSET('배치점수 계산기'!I$10,$D309,0)</f>
        <v>699.06200000000001</v>
      </c>
      <c r="T309" s="194">
        <f ca="1">OFFSET('배치점수 계산기'!J$10,$D309,0)</f>
        <v>696.73199999999997</v>
      </c>
      <c r="U309" s="194">
        <f ca="1">OFFSET('배치점수 계산기'!K$10,$D309,0)</f>
        <v>693.40899999999999</v>
      </c>
      <c r="V309" s="194">
        <f ca="1">OFFSET('배치점수 계산기'!L$10,$D309,0)</f>
        <v>685.20299999999997</v>
      </c>
      <c r="W309" s="186" t="str">
        <f ca="1">OFFSET('배치점수 계산기'!M$10,$D309,0)</f>
        <v>표점</v>
      </c>
      <c r="X309" s="184" t="str">
        <f ca="1">OFFSET('배치점수 계산기'!N$10,$D309,0)</f>
        <v>표점</v>
      </c>
      <c r="Y309" s="188">
        <f ca="1">OFFSET(환산공식!FW$15,$F309,0)</f>
        <v>0.25</v>
      </c>
      <c r="Z309" s="20">
        <f ca="1">OFFSET(환산공식!FX$15,$F309,0)</f>
        <v>0.38</v>
      </c>
      <c r="AA309" s="179">
        <f ca="1">OFFSET(환산공식!FY$15,$F309,0)</f>
        <v>0.38</v>
      </c>
      <c r="AB309" s="3"/>
      <c r="AD309">
        <f t="shared" ca="1" si="9"/>
        <v>6</v>
      </c>
      <c r="AF309" s="3"/>
      <c r="AG309" s="3"/>
      <c r="AH309" s="3"/>
    </row>
    <row r="310" spans="1:34">
      <c r="A310" s="198"/>
      <c r="B310" s="198"/>
      <c r="C310" s="198" t="s">
        <v>1762</v>
      </c>
      <c r="D310" s="195">
        <v>1296</v>
      </c>
      <c r="E310" s="195">
        <v>67</v>
      </c>
      <c r="F310" s="195">
        <v>67</v>
      </c>
      <c r="G310" s="239">
        <v>303</v>
      </c>
      <c r="H310" s="197" t="s">
        <v>79</v>
      </c>
      <c r="I310" s="242" t="s">
        <v>237</v>
      </c>
      <c r="J310" s="242" t="s">
        <v>9090</v>
      </c>
      <c r="K310" s="195" t="s">
        <v>70</v>
      </c>
      <c r="L310" s="20" t="str">
        <f ca="1">IF(OFFSET(환산공식!$ED$15,$F310,0)=1,"O","X")</f>
        <v>X</v>
      </c>
      <c r="M310" s="188">
        <f ca="1">IFERROR(OFFSET(환산공식!DJ$15,$F310,0),"")</f>
        <v>200</v>
      </c>
      <c r="N310" s="20" t="str">
        <f ca="1">IFERROR(CONCATENATE(ROUND(OFFSET(환산공식!DK$15,$F310,0),1),"%"),"")</f>
        <v>100%</v>
      </c>
      <c r="O310" s="20">
        <f ca="1">IFERROR(OFFSET(환산공식!DL$15,$F310,0),"")</f>
        <v>0</v>
      </c>
      <c r="P310" s="188" t="str">
        <f t="shared" ca="1" si="8"/>
        <v>3% 이하</v>
      </c>
      <c r="Q310" s="194">
        <f ca="1">IFERROR(ROUND(OFFSET(환산공식!$FG$15,$F310,0),3),"")</f>
        <v>0</v>
      </c>
      <c r="R310" s="194">
        <f ca="1">OFFSET('배치점수 계산기'!H$10,$D310,0)</f>
        <v>701.71299999999997</v>
      </c>
      <c r="S310" s="194">
        <f ca="1">OFFSET('배치점수 계산기'!I$10,$D310,0)</f>
        <v>698.90800000000002</v>
      </c>
      <c r="T310" s="194">
        <f ca="1">OFFSET('배치점수 계산기'!J$10,$D310,0)</f>
        <v>696.577</v>
      </c>
      <c r="U310" s="194">
        <f ca="1">OFFSET('배치점수 계산기'!K$10,$D310,0)</f>
        <v>693.40899999999999</v>
      </c>
      <c r="V310" s="194">
        <f ca="1">OFFSET('배치점수 계산기'!L$10,$D310,0)</f>
        <v>689.76599999999996</v>
      </c>
      <c r="W310" s="186" t="str">
        <f ca="1">OFFSET('배치점수 계산기'!M$10,$D310,0)</f>
        <v>표점</v>
      </c>
      <c r="X310" s="184" t="str">
        <f ca="1">OFFSET('배치점수 계산기'!N$10,$D310,0)</f>
        <v>표점</v>
      </c>
      <c r="Y310" s="188">
        <f ca="1">OFFSET(환산공식!FW$15,$F310,0)</f>
        <v>0.25</v>
      </c>
      <c r="Z310" s="20">
        <f ca="1">OFFSET(환산공식!FX$15,$F310,0)</f>
        <v>0.38</v>
      </c>
      <c r="AA310" s="179">
        <f ca="1">OFFSET(환산공식!FY$15,$F310,0)</f>
        <v>0.38</v>
      </c>
      <c r="AB310" s="3"/>
      <c r="AD310">
        <f t="shared" ca="1" si="9"/>
        <v>6</v>
      </c>
      <c r="AF310" s="3"/>
      <c r="AG310" s="3"/>
      <c r="AH310" s="3"/>
    </row>
    <row r="311" spans="1:34">
      <c r="A311" s="198"/>
      <c r="B311" s="198"/>
      <c r="C311" s="198" t="s">
        <v>1763</v>
      </c>
      <c r="D311" s="195">
        <v>1297</v>
      </c>
      <c r="E311" s="195">
        <v>67</v>
      </c>
      <c r="F311" s="195">
        <v>67</v>
      </c>
      <c r="G311" s="239">
        <v>304</v>
      </c>
      <c r="H311" s="197" t="s">
        <v>79</v>
      </c>
      <c r="I311" s="242" t="s">
        <v>237</v>
      </c>
      <c r="J311" s="242" t="s">
        <v>16678</v>
      </c>
      <c r="K311" s="195" t="s">
        <v>70</v>
      </c>
      <c r="L311" s="20" t="str">
        <f ca="1">IF(OFFSET(환산공식!$ED$15,$F311,0)=1,"O","X")</f>
        <v>X</v>
      </c>
      <c r="M311" s="188">
        <f ca="1">IFERROR(OFFSET(환산공식!DJ$15,$F311,0),"")</f>
        <v>200</v>
      </c>
      <c r="N311" s="20" t="str">
        <f ca="1">IFERROR(CONCATENATE(ROUND(OFFSET(환산공식!DK$15,$F311,0),1),"%"),"")</f>
        <v>100%</v>
      </c>
      <c r="O311" s="20">
        <f ca="1">IFERROR(OFFSET(환산공식!DL$15,$F311,0),"")</f>
        <v>0</v>
      </c>
      <c r="P311" s="188" t="str">
        <f t="shared" ca="1" si="8"/>
        <v>3% 이하</v>
      </c>
      <c r="Q311" s="194">
        <f ca="1">IFERROR(ROUND(OFFSET(환산공식!$FG$15,$F311,0),3),"")</f>
        <v>0</v>
      </c>
      <c r="R311" s="194">
        <f ca="1">OFFSET('배치점수 계산기'!H$10,$D311,0)</f>
        <v>701.35799999999995</v>
      </c>
      <c r="S311" s="194">
        <f ca="1">OFFSET('배치점수 계산기'!I$10,$D311,0)</f>
        <v>698.63499999999999</v>
      </c>
      <c r="T311" s="194">
        <f ca="1">OFFSET('배치점수 계산기'!J$10,$D311,0)</f>
        <v>696.10299999999995</v>
      </c>
      <c r="U311" s="194">
        <f ca="1">OFFSET('배치점수 계산기'!K$10,$D311,0)</f>
        <v>692.952</v>
      </c>
      <c r="V311" s="194">
        <f ca="1">OFFSET('배치점수 계산기'!L$10,$D311,0)</f>
        <v>689.40899999999999</v>
      </c>
      <c r="W311" s="186" t="str">
        <f ca="1">OFFSET('배치점수 계산기'!M$10,$D311,0)</f>
        <v>표점</v>
      </c>
      <c r="X311" s="184" t="str">
        <f ca="1">OFFSET('배치점수 계산기'!N$10,$D311,0)</f>
        <v>표점</v>
      </c>
      <c r="Y311" s="188">
        <f ca="1">OFFSET(환산공식!FW$15,$F311,0)</f>
        <v>0.25</v>
      </c>
      <c r="Z311" s="20">
        <f ca="1">OFFSET(환산공식!FX$15,$F311,0)</f>
        <v>0.38</v>
      </c>
      <c r="AA311" s="179">
        <f ca="1">OFFSET(환산공식!FY$15,$F311,0)</f>
        <v>0.38</v>
      </c>
      <c r="AB311" s="3"/>
      <c r="AD311">
        <f t="shared" ca="1" si="9"/>
        <v>6</v>
      </c>
      <c r="AF311" s="3"/>
      <c r="AG311" s="3"/>
      <c r="AH311" s="3"/>
    </row>
    <row r="312" spans="1:34">
      <c r="A312" s="198"/>
      <c r="B312" s="198"/>
      <c r="C312" s="198" t="s">
        <v>1764</v>
      </c>
      <c r="D312" s="195">
        <v>1298</v>
      </c>
      <c r="E312" s="195">
        <v>67</v>
      </c>
      <c r="F312" s="195">
        <v>67</v>
      </c>
      <c r="G312" s="239">
        <v>305</v>
      </c>
      <c r="H312" s="197" t="s">
        <v>79</v>
      </c>
      <c r="I312" s="242" t="s">
        <v>237</v>
      </c>
      <c r="J312" s="242" t="s">
        <v>10653</v>
      </c>
      <c r="K312" s="195" t="s">
        <v>70</v>
      </c>
      <c r="L312" s="20" t="str">
        <f ca="1">IF(OFFSET(환산공식!$ED$15,$F312,0)=1,"O","X")</f>
        <v>X</v>
      </c>
      <c r="M312" s="188">
        <f ca="1">IFERROR(OFFSET(환산공식!DJ$15,$F312,0),"")</f>
        <v>200</v>
      </c>
      <c r="N312" s="20" t="str">
        <f ca="1">IFERROR(CONCATENATE(ROUND(OFFSET(환산공식!DK$15,$F312,0),1),"%"),"")</f>
        <v>100%</v>
      </c>
      <c r="O312" s="20">
        <f ca="1">IFERROR(OFFSET(환산공식!DL$15,$F312,0),"")</f>
        <v>0</v>
      </c>
      <c r="P312" s="188" t="str">
        <f t="shared" ca="1" si="8"/>
        <v>3% 이하</v>
      </c>
      <c r="Q312" s="194">
        <f ca="1">IFERROR(ROUND(OFFSET(환산공식!$FG$15,$F312,0),3),"")</f>
        <v>0</v>
      </c>
      <c r="R312" s="194">
        <f ca="1">OFFSET('배치점수 계산기'!H$10,$D312,0)</f>
        <v>698.90800000000002</v>
      </c>
      <c r="S312" s="194">
        <f ca="1">OFFSET('배치점수 계산기'!I$10,$D312,0)</f>
        <v>696.10299999999995</v>
      </c>
      <c r="T312" s="194">
        <f ca="1">OFFSET('배치점수 계산기'!J$10,$D312,0)</f>
        <v>692.952</v>
      </c>
      <c r="U312" s="194">
        <f ca="1">OFFSET('배치점수 계산기'!K$10,$D312,0)</f>
        <v>690.649</v>
      </c>
      <c r="V312" s="194">
        <f ca="1">OFFSET('배치점수 계산기'!L$10,$D312,0)</f>
        <v>686.904</v>
      </c>
      <c r="W312" s="186" t="str">
        <f ca="1">OFFSET('배치점수 계산기'!M$10,$D312,0)</f>
        <v>표점</v>
      </c>
      <c r="X312" s="184" t="str">
        <f ca="1">OFFSET('배치점수 계산기'!N$10,$D312,0)</f>
        <v>표점</v>
      </c>
      <c r="Y312" s="188">
        <f ca="1">OFFSET(환산공식!FW$15,$F312,0)</f>
        <v>0.25</v>
      </c>
      <c r="Z312" s="20">
        <f ca="1">OFFSET(환산공식!FX$15,$F312,0)</f>
        <v>0.38</v>
      </c>
      <c r="AA312" s="179">
        <f ca="1">OFFSET(환산공식!FY$15,$F312,0)</f>
        <v>0.38</v>
      </c>
      <c r="AB312" s="3"/>
      <c r="AD312">
        <f t="shared" ca="1" si="9"/>
        <v>6</v>
      </c>
      <c r="AF312" s="3"/>
      <c r="AG312" s="3"/>
      <c r="AH312" s="3"/>
    </row>
    <row r="313" spans="1:34">
      <c r="A313" s="198"/>
      <c r="B313" s="198"/>
      <c r="C313" s="198" t="s">
        <v>1765</v>
      </c>
      <c r="D313" s="195">
        <v>1299</v>
      </c>
      <c r="E313" s="195">
        <v>67</v>
      </c>
      <c r="F313" s="195">
        <v>67</v>
      </c>
      <c r="G313" s="239">
        <v>306</v>
      </c>
      <c r="H313" s="197" t="s">
        <v>79</v>
      </c>
      <c r="I313" s="242" t="s">
        <v>237</v>
      </c>
      <c r="J313" s="242" t="s">
        <v>10831</v>
      </c>
      <c r="K313" s="195" t="s">
        <v>70</v>
      </c>
      <c r="L313" s="20" t="str">
        <f ca="1">IF(OFFSET(환산공식!$ED$15,$F313,0)=1,"O","X")</f>
        <v>X</v>
      </c>
      <c r="M313" s="188">
        <f ca="1">IFERROR(OFFSET(환산공식!DJ$15,$F313,0),"")</f>
        <v>200</v>
      </c>
      <c r="N313" s="20" t="str">
        <f ca="1">IFERROR(CONCATENATE(ROUND(OFFSET(환산공식!DK$15,$F313,0),1),"%"),"")</f>
        <v>100%</v>
      </c>
      <c r="O313" s="20">
        <f ca="1">IFERROR(OFFSET(환산공식!DL$15,$F313,0),"")</f>
        <v>0</v>
      </c>
      <c r="P313" s="188" t="str">
        <f t="shared" ca="1" si="8"/>
        <v>3% 이하</v>
      </c>
      <c r="Q313" s="194">
        <f ca="1">IFERROR(ROUND(OFFSET(환산공식!$FG$15,$F313,0),3),"")</f>
        <v>0</v>
      </c>
      <c r="R313" s="194">
        <f ca="1">OFFSET('배치점수 계산기'!H$10,$D313,0)</f>
        <v>694.601</v>
      </c>
      <c r="S313" s="194">
        <f ca="1">OFFSET('배치점수 계산기'!I$10,$D313,0)</f>
        <v>691.85900000000004</v>
      </c>
      <c r="T313" s="194">
        <f ca="1">OFFSET('배치점수 계산기'!J$10,$D313,0)</f>
        <v>690.29200000000003</v>
      </c>
      <c r="U313" s="194">
        <f ca="1">OFFSET('배치점수 계산기'!K$10,$D313,0)</f>
        <v>687.63300000000004</v>
      </c>
      <c r="V313" s="194">
        <f ca="1">OFFSET('배치점수 계산기'!L$10,$D313,0)</f>
        <v>684.71</v>
      </c>
      <c r="W313" s="186" t="str">
        <f ca="1">OFFSET('배치점수 계산기'!M$10,$D313,0)</f>
        <v>표점</v>
      </c>
      <c r="X313" s="184" t="str">
        <f ca="1">OFFSET('배치점수 계산기'!N$10,$D313,0)</f>
        <v>표점</v>
      </c>
      <c r="Y313" s="188">
        <f ca="1">OFFSET(환산공식!FW$15,$F313,0)</f>
        <v>0.25</v>
      </c>
      <c r="Z313" s="20">
        <f ca="1">OFFSET(환산공식!FX$15,$F313,0)</f>
        <v>0.38</v>
      </c>
      <c r="AA313" s="179">
        <f ca="1">OFFSET(환산공식!FY$15,$F313,0)</f>
        <v>0.38</v>
      </c>
      <c r="AB313" s="3"/>
      <c r="AD313">
        <f t="shared" ca="1" si="9"/>
        <v>6</v>
      </c>
      <c r="AF313" s="3"/>
      <c r="AG313" s="3"/>
      <c r="AH313" s="3"/>
    </row>
    <row r="314" spans="1:34">
      <c r="A314" s="198"/>
      <c r="B314" s="198"/>
      <c r="C314" s="198" t="s">
        <v>1766</v>
      </c>
      <c r="D314" s="195">
        <v>1300</v>
      </c>
      <c r="E314" s="195">
        <v>67</v>
      </c>
      <c r="F314" s="195">
        <v>67</v>
      </c>
      <c r="G314" s="239">
        <v>307</v>
      </c>
      <c r="H314" s="197" t="s">
        <v>79</v>
      </c>
      <c r="I314" s="242" t="s">
        <v>237</v>
      </c>
      <c r="J314" s="242" t="s">
        <v>8168</v>
      </c>
      <c r="K314" s="195" t="s">
        <v>70</v>
      </c>
      <c r="L314" s="20" t="str">
        <f ca="1">IF(OFFSET(환산공식!$ED$15,$F314,0)=1,"O","X")</f>
        <v>X</v>
      </c>
      <c r="M314" s="188">
        <f ca="1">IFERROR(OFFSET(환산공식!DJ$15,$F314,0),"")</f>
        <v>200</v>
      </c>
      <c r="N314" s="20" t="str">
        <f ca="1">IFERROR(CONCATENATE(ROUND(OFFSET(환산공식!DK$15,$F314,0),1),"%"),"")</f>
        <v>100%</v>
      </c>
      <c r="O314" s="20">
        <f ca="1">IFERROR(OFFSET(환산공식!DL$15,$F314,0),"")</f>
        <v>0</v>
      </c>
      <c r="P314" s="188" t="str">
        <f t="shared" ca="1" si="8"/>
        <v>3% 이하</v>
      </c>
      <c r="Q314" s="194">
        <f ca="1">IFERROR(ROUND(OFFSET(환산공식!$FG$15,$F314,0),3),"")</f>
        <v>0</v>
      </c>
      <c r="R314" s="194">
        <f ca="1">OFFSET('배치점수 계산기'!H$10,$D314,0)</f>
        <v>692.625</v>
      </c>
      <c r="S314" s="194">
        <f ca="1">OFFSET('배치점수 계산기'!I$10,$D314,0)</f>
        <v>690.68600000000004</v>
      </c>
      <c r="T314" s="194">
        <f ca="1">OFFSET('배치점수 계산기'!J$10,$D314,0)</f>
        <v>688.26199999999994</v>
      </c>
      <c r="U314" s="194">
        <f ca="1">OFFSET('배치점수 계산기'!K$10,$D314,0)</f>
        <v>686.495</v>
      </c>
      <c r="V314" s="194">
        <f ca="1">OFFSET('배치점수 계산기'!L$10,$D314,0)</f>
        <v>683.45299999999997</v>
      </c>
      <c r="W314" s="186" t="str">
        <f ca="1">OFFSET('배치점수 계산기'!M$10,$D314,0)</f>
        <v>표점</v>
      </c>
      <c r="X314" s="184" t="str">
        <f ca="1">OFFSET('배치점수 계산기'!N$10,$D314,0)</f>
        <v>표점</v>
      </c>
      <c r="Y314" s="188">
        <f ca="1">OFFSET(환산공식!FW$15,$F314,0)</f>
        <v>0.25</v>
      </c>
      <c r="Z314" s="20">
        <f ca="1">OFFSET(환산공식!FX$15,$F314,0)</f>
        <v>0.38</v>
      </c>
      <c r="AA314" s="179">
        <f ca="1">OFFSET(환산공식!FY$15,$F314,0)</f>
        <v>0.38</v>
      </c>
      <c r="AB314" s="3"/>
      <c r="AD314">
        <f t="shared" ca="1" si="9"/>
        <v>6</v>
      </c>
      <c r="AF314" s="3"/>
      <c r="AG314" s="3"/>
      <c r="AH314" s="3"/>
    </row>
    <row r="315" spans="1:34">
      <c r="A315" s="198"/>
      <c r="B315" s="198"/>
      <c r="C315" s="198" t="s">
        <v>1767</v>
      </c>
      <c r="D315" s="195">
        <v>1301</v>
      </c>
      <c r="E315" s="195">
        <v>68</v>
      </c>
      <c r="F315" s="195">
        <v>68</v>
      </c>
      <c r="G315" s="239">
        <v>308</v>
      </c>
      <c r="H315" s="197" t="s">
        <v>79</v>
      </c>
      <c r="I315" s="242" t="s">
        <v>237</v>
      </c>
      <c r="J315" s="242" t="s">
        <v>8659</v>
      </c>
      <c r="K315" s="195" t="s">
        <v>71</v>
      </c>
      <c r="L315" s="20" t="str">
        <f ca="1">IF(OFFSET(환산공식!$ED$15,$F315,0)=1,"O","X")</f>
        <v>X</v>
      </c>
      <c r="M315" s="188">
        <f ca="1">IFERROR(OFFSET(환산공식!DJ$15,$F315,0),"")</f>
        <v>200</v>
      </c>
      <c r="N315" s="20" t="str">
        <f ca="1">IFERROR(CONCATENATE(ROUND(OFFSET(환산공식!DK$15,$F315,0),1),"%"),"")</f>
        <v>100%</v>
      </c>
      <c r="O315" s="20">
        <f ca="1">IFERROR(OFFSET(환산공식!DL$15,$F315,0),"")</f>
        <v>0</v>
      </c>
      <c r="P315" s="188" t="str">
        <f t="shared" ca="1" si="8"/>
        <v>3% 이하</v>
      </c>
      <c r="Q315" s="194">
        <f ca="1">IFERROR(ROUND(OFFSET(환산공식!$FG$15,$F315,0),3),"")</f>
        <v>0</v>
      </c>
      <c r="R315" s="194">
        <f ca="1">OFFSET('배치점수 계산기'!H$10,$D315,0)</f>
        <v>697.90599999999995</v>
      </c>
      <c r="S315" s="194">
        <f ca="1">OFFSET('배치점수 계산기'!I$10,$D315,0)</f>
        <v>695.06399999999996</v>
      </c>
      <c r="T315" s="194">
        <f ca="1">OFFSET('배치점수 계산기'!J$10,$D315,0)</f>
        <v>692.88599999999997</v>
      </c>
      <c r="U315" s="194">
        <f ca="1">OFFSET('배치점수 계산기'!K$10,$D315,0)</f>
        <v>689.32600000000002</v>
      </c>
      <c r="V315" s="194">
        <f ca="1">OFFSET('배치점수 계산기'!L$10,$D315,0)</f>
        <v>684.05399999999997</v>
      </c>
      <c r="W315" s="186" t="str">
        <f ca="1">OFFSET('배치점수 계산기'!M$10,$D315,0)</f>
        <v>표점</v>
      </c>
      <c r="X315" s="184" t="str">
        <f ca="1">OFFSET('배치점수 계산기'!N$10,$D315,0)</f>
        <v>표점</v>
      </c>
      <c r="Y315" s="188">
        <f ca="1">OFFSET(환산공식!FW$15,$F315,0)</f>
        <v>0.38</v>
      </c>
      <c r="Z315" s="20">
        <f ca="1">OFFSET(환산공식!FX$15,$F315,0)</f>
        <v>0.38</v>
      </c>
      <c r="AA315" s="179">
        <f ca="1">OFFSET(환산공식!FY$15,$F315,0)</f>
        <v>0.25</v>
      </c>
      <c r="AB315" s="3"/>
      <c r="AD315">
        <f t="shared" ca="1" si="9"/>
        <v>6</v>
      </c>
      <c r="AF315" s="3"/>
      <c r="AG315" s="3"/>
      <c r="AH315" s="3"/>
    </row>
    <row r="316" spans="1:34">
      <c r="A316" s="198"/>
      <c r="B316" s="198"/>
      <c r="C316" s="198" t="s">
        <v>1768</v>
      </c>
      <c r="D316" s="195">
        <v>1302</v>
      </c>
      <c r="E316" s="195">
        <v>68</v>
      </c>
      <c r="F316" s="195">
        <v>68</v>
      </c>
      <c r="G316" s="239">
        <v>309</v>
      </c>
      <c r="H316" s="197" t="s">
        <v>79</v>
      </c>
      <c r="I316" s="242" t="s">
        <v>237</v>
      </c>
      <c r="J316" s="242" t="s">
        <v>8534</v>
      </c>
      <c r="K316" s="195" t="s">
        <v>71</v>
      </c>
      <c r="L316" s="20" t="str">
        <f ca="1">IF(OFFSET(환산공식!$ED$15,$F316,0)=1,"O","X")</f>
        <v>X</v>
      </c>
      <c r="M316" s="188">
        <f ca="1">IFERROR(OFFSET(환산공식!DJ$15,$F316,0),"")</f>
        <v>200</v>
      </c>
      <c r="N316" s="20" t="str">
        <f ca="1">IFERROR(CONCATENATE(ROUND(OFFSET(환산공식!DK$15,$F316,0),1),"%"),"")</f>
        <v>100%</v>
      </c>
      <c r="O316" s="20">
        <f ca="1">IFERROR(OFFSET(환산공식!DL$15,$F316,0),"")</f>
        <v>0</v>
      </c>
      <c r="P316" s="188" t="str">
        <f t="shared" ca="1" si="8"/>
        <v>3% 이하</v>
      </c>
      <c r="Q316" s="194">
        <f ca="1">IFERROR(ROUND(OFFSET(환산공식!$FG$15,$F316,0),3),"")</f>
        <v>0</v>
      </c>
      <c r="R316" s="194">
        <f ca="1">OFFSET('배치점수 계산기'!H$10,$D316,0)</f>
        <v>694.64400000000001</v>
      </c>
      <c r="S316" s="194">
        <f ca="1">OFFSET('배치점수 계산기'!I$10,$D316,0)</f>
        <v>692.80399999999997</v>
      </c>
      <c r="T316" s="194">
        <f ca="1">OFFSET('배치점수 계산기'!J$10,$D316,0)</f>
        <v>689.12400000000002</v>
      </c>
      <c r="U316" s="194">
        <f ca="1">OFFSET('배치점수 계산기'!K$10,$D316,0)</f>
        <v>687.15</v>
      </c>
      <c r="V316" s="194">
        <f ca="1">OFFSET('배치점수 계산기'!L$10,$D316,0)</f>
        <v>684.40599999999995</v>
      </c>
      <c r="W316" s="186" t="str">
        <f ca="1">OFFSET('배치점수 계산기'!M$10,$D316,0)</f>
        <v>표점</v>
      </c>
      <c r="X316" s="184" t="str">
        <f ca="1">OFFSET('배치점수 계산기'!N$10,$D316,0)</f>
        <v>표점</v>
      </c>
      <c r="Y316" s="188">
        <f ca="1">OFFSET(환산공식!FW$15,$F316,0)</f>
        <v>0.38</v>
      </c>
      <c r="Z316" s="20">
        <f ca="1">OFFSET(환산공식!FX$15,$F316,0)</f>
        <v>0.38</v>
      </c>
      <c r="AA316" s="179">
        <f ca="1">OFFSET(환산공식!FY$15,$F316,0)</f>
        <v>0.25</v>
      </c>
      <c r="AB316" s="3"/>
      <c r="AD316">
        <f t="shared" ca="1" si="9"/>
        <v>6</v>
      </c>
      <c r="AF316" s="3"/>
      <c r="AG316" s="3"/>
      <c r="AH316" s="3"/>
    </row>
    <row r="317" spans="1:34">
      <c r="A317" s="198"/>
      <c r="B317" s="198"/>
      <c r="C317" s="198" t="s">
        <v>1769</v>
      </c>
      <c r="D317" s="195">
        <v>1303</v>
      </c>
      <c r="E317" s="195">
        <v>68</v>
      </c>
      <c r="F317" s="195">
        <v>68</v>
      </c>
      <c r="G317" s="239">
        <v>310</v>
      </c>
      <c r="H317" s="197" t="s">
        <v>79</v>
      </c>
      <c r="I317" s="242" t="s">
        <v>237</v>
      </c>
      <c r="J317" s="242" t="s">
        <v>7249</v>
      </c>
      <c r="K317" s="195" t="s">
        <v>71</v>
      </c>
      <c r="L317" s="20" t="str">
        <f ca="1">IF(OFFSET(환산공식!$ED$15,$F317,0)=1,"O","X")</f>
        <v>X</v>
      </c>
      <c r="M317" s="188">
        <f ca="1">IFERROR(OFFSET(환산공식!DJ$15,$F317,0),"")</f>
        <v>200</v>
      </c>
      <c r="N317" s="20" t="str">
        <f ca="1">IFERROR(CONCATENATE(ROUND(OFFSET(환산공식!DK$15,$F317,0),1),"%"),"")</f>
        <v>100%</v>
      </c>
      <c r="O317" s="20">
        <f ca="1">IFERROR(OFFSET(환산공식!DL$15,$F317,0),"")</f>
        <v>0</v>
      </c>
      <c r="P317" s="188" t="str">
        <f t="shared" ca="1" si="8"/>
        <v>3% 이하</v>
      </c>
      <c r="Q317" s="194">
        <f ca="1">IFERROR(ROUND(OFFSET(환산공식!$FG$15,$F317,0),3),"")</f>
        <v>0</v>
      </c>
      <c r="R317" s="194">
        <f ca="1">OFFSET('배치점수 계산기'!H$10,$D317,0)</f>
        <v>694.79399999999998</v>
      </c>
      <c r="S317" s="194">
        <f ca="1">OFFSET('배치점수 계산기'!I$10,$D317,0)</f>
        <v>692.11599999999999</v>
      </c>
      <c r="T317" s="194">
        <f ca="1">OFFSET('배치점수 계산기'!J$10,$D317,0)</f>
        <v>689.12400000000002</v>
      </c>
      <c r="U317" s="194">
        <f ca="1">OFFSET('배치점수 계산기'!K$10,$D317,0)</f>
        <v>686.66399999999999</v>
      </c>
      <c r="V317" s="194">
        <f ca="1">OFFSET('배치점수 계산기'!L$10,$D317,0)</f>
        <v>682.75</v>
      </c>
      <c r="W317" s="186" t="str">
        <f ca="1">OFFSET('배치점수 계산기'!M$10,$D317,0)</f>
        <v>표점</v>
      </c>
      <c r="X317" s="184" t="str">
        <f ca="1">OFFSET('배치점수 계산기'!N$10,$D317,0)</f>
        <v>표점</v>
      </c>
      <c r="Y317" s="188">
        <f ca="1">OFFSET(환산공식!FW$15,$F317,0)</f>
        <v>0.38</v>
      </c>
      <c r="Z317" s="20">
        <f ca="1">OFFSET(환산공식!FX$15,$F317,0)</f>
        <v>0.38</v>
      </c>
      <c r="AA317" s="179">
        <f ca="1">OFFSET(환산공식!FY$15,$F317,0)</f>
        <v>0.25</v>
      </c>
      <c r="AB317" s="3"/>
      <c r="AD317">
        <f t="shared" ca="1" si="9"/>
        <v>6</v>
      </c>
      <c r="AF317" s="3"/>
      <c r="AG317" s="3"/>
      <c r="AH317" s="3"/>
    </row>
    <row r="318" spans="1:34">
      <c r="A318" s="198"/>
      <c r="B318" s="198"/>
      <c r="C318" s="198" t="s">
        <v>1770</v>
      </c>
      <c r="D318" s="195">
        <v>1304</v>
      </c>
      <c r="E318" s="195">
        <v>68</v>
      </c>
      <c r="F318" s="195">
        <v>68</v>
      </c>
      <c r="G318" s="239">
        <v>311</v>
      </c>
      <c r="H318" s="197" t="s">
        <v>79</v>
      </c>
      <c r="I318" s="242" t="s">
        <v>237</v>
      </c>
      <c r="J318" s="242" t="s">
        <v>8726</v>
      </c>
      <c r="K318" s="195" t="s">
        <v>71</v>
      </c>
      <c r="L318" s="20" t="str">
        <f ca="1">IF(OFFSET(환산공식!$ED$15,$F318,0)=1,"O","X")</f>
        <v>X</v>
      </c>
      <c r="M318" s="188">
        <f ca="1">IFERROR(OFFSET(환산공식!DJ$15,$F318,0),"")</f>
        <v>200</v>
      </c>
      <c r="N318" s="20" t="str">
        <f ca="1">IFERROR(CONCATENATE(ROUND(OFFSET(환산공식!DK$15,$F318,0),1),"%"),"")</f>
        <v>100%</v>
      </c>
      <c r="O318" s="20">
        <f ca="1">IFERROR(OFFSET(환산공식!DL$15,$F318,0),"")</f>
        <v>0</v>
      </c>
      <c r="P318" s="188" t="str">
        <f t="shared" ca="1" si="8"/>
        <v>3% 이하</v>
      </c>
      <c r="Q318" s="194">
        <f ca="1">IFERROR(ROUND(OFFSET(환산공식!$FG$15,$F318,0),3),"")</f>
        <v>0</v>
      </c>
      <c r="R318" s="194">
        <f ca="1">OFFSET('배치점수 계산기'!H$10,$D318,0)</f>
        <v>694.49400000000003</v>
      </c>
      <c r="S318" s="194">
        <f ca="1">OFFSET('배치점수 계산기'!I$10,$D318,0)</f>
        <v>692.11599999999999</v>
      </c>
      <c r="T318" s="194">
        <f ca="1">OFFSET('배치점수 계산기'!J$10,$D318,0)</f>
        <v>688.97400000000005</v>
      </c>
      <c r="U318" s="194">
        <f ca="1">OFFSET('배치점수 계산기'!K$10,$D318,0)</f>
        <v>687</v>
      </c>
      <c r="V318" s="194">
        <f ca="1">OFFSET('배치점수 계산기'!L$10,$D318,0)</f>
        <v>684.39</v>
      </c>
      <c r="W318" s="186" t="str">
        <f ca="1">OFFSET('배치점수 계산기'!M$10,$D318,0)</f>
        <v>표점</v>
      </c>
      <c r="X318" s="184" t="str">
        <f ca="1">OFFSET('배치점수 계산기'!N$10,$D318,0)</f>
        <v>표점</v>
      </c>
      <c r="Y318" s="188">
        <f ca="1">OFFSET(환산공식!FW$15,$F318,0)</f>
        <v>0.38</v>
      </c>
      <c r="Z318" s="20">
        <f ca="1">OFFSET(환산공식!FX$15,$F318,0)</f>
        <v>0.38</v>
      </c>
      <c r="AA318" s="179">
        <f ca="1">OFFSET(환산공식!FY$15,$F318,0)</f>
        <v>0.25</v>
      </c>
      <c r="AB318" s="3"/>
      <c r="AD318">
        <f t="shared" ca="1" si="9"/>
        <v>6</v>
      </c>
      <c r="AF318" s="3"/>
      <c r="AG318" s="3"/>
      <c r="AH318" s="3"/>
    </row>
    <row r="319" spans="1:34">
      <c r="A319" s="198"/>
      <c r="B319" s="198"/>
      <c r="C319" s="198" t="s">
        <v>1771</v>
      </c>
      <c r="D319" s="195">
        <v>1305</v>
      </c>
      <c r="E319" s="195">
        <v>68</v>
      </c>
      <c r="F319" s="195">
        <v>68</v>
      </c>
      <c r="G319" s="239">
        <v>312</v>
      </c>
      <c r="H319" s="197" t="s">
        <v>79</v>
      </c>
      <c r="I319" s="242" t="s">
        <v>237</v>
      </c>
      <c r="J319" s="242" t="s">
        <v>9633</v>
      </c>
      <c r="K319" s="195" t="s">
        <v>71</v>
      </c>
      <c r="L319" s="20" t="str">
        <f ca="1">IF(OFFSET(환산공식!$ED$15,$F319,0)=1,"O","X")</f>
        <v>X</v>
      </c>
      <c r="M319" s="188">
        <f ca="1">IFERROR(OFFSET(환산공식!DJ$15,$F319,0),"")</f>
        <v>200</v>
      </c>
      <c r="N319" s="20" t="str">
        <f ca="1">IFERROR(CONCATENATE(ROUND(OFFSET(환산공식!DK$15,$F319,0),1),"%"),"")</f>
        <v>100%</v>
      </c>
      <c r="O319" s="20">
        <f ca="1">IFERROR(OFFSET(환산공식!DL$15,$F319,0),"")</f>
        <v>0</v>
      </c>
      <c r="P319" s="188" t="str">
        <f t="shared" ca="1" si="8"/>
        <v>3% 이하</v>
      </c>
      <c r="Q319" s="194">
        <f ca="1">IFERROR(ROUND(OFFSET(환산공식!$FG$15,$F319,0),3),"")</f>
        <v>0</v>
      </c>
      <c r="R319" s="194">
        <f ca="1">OFFSET('배치점수 계산기'!H$10,$D319,0)</f>
        <v>693.60599999999999</v>
      </c>
      <c r="S319" s="194">
        <f ca="1">OFFSET('배치점수 계산기'!I$10,$D319,0)</f>
        <v>691.04600000000005</v>
      </c>
      <c r="T319" s="194">
        <f ca="1">OFFSET('배치점수 계산기'!J$10,$D319,0)</f>
        <v>687.98599999999999</v>
      </c>
      <c r="U319" s="194">
        <f ca="1">OFFSET('배치점수 계산기'!K$10,$D319,0)</f>
        <v>686.24599999999998</v>
      </c>
      <c r="V319" s="194">
        <f ca="1">OFFSET('배치점수 계산기'!L$10,$D319,0)</f>
        <v>681.64599999999996</v>
      </c>
      <c r="W319" s="186" t="str">
        <f ca="1">OFFSET('배치점수 계산기'!M$10,$D319,0)</f>
        <v>표점</v>
      </c>
      <c r="X319" s="184" t="str">
        <f ca="1">OFFSET('배치점수 계산기'!N$10,$D319,0)</f>
        <v>표점</v>
      </c>
      <c r="Y319" s="188">
        <f ca="1">OFFSET(환산공식!FW$15,$F319,0)</f>
        <v>0.38</v>
      </c>
      <c r="Z319" s="20">
        <f ca="1">OFFSET(환산공식!FX$15,$F319,0)</f>
        <v>0.38</v>
      </c>
      <c r="AA319" s="179">
        <f ca="1">OFFSET(환산공식!FY$15,$F319,0)</f>
        <v>0.25</v>
      </c>
      <c r="AB319" s="3"/>
      <c r="AD319">
        <f t="shared" ca="1" si="9"/>
        <v>6</v>
      </c>
      <c r="AF319" s="3"/>
      <c r="AG319" s="3"/>
      <c r="AH319" s="3"/>
    </row>
    <row r="320" spans="1:34">
      <c r="A320" s="198"/>
      <c r="B320" s="198"/>
      <c r="C320" s="198" t="s">
        <v>1772</v>
      </c>
      <c r="D320" s="195">
        <v>1306</v>
      </c>
      <c r="E320" s="195">
        <v>68</v>
      </c>
      <c r="F320" s="195">
        <v>68</v>
      </c>
      <c r="G320" s="239">
        <v>313</v>
      </c>
      <c r="H320" s="197" t="s">
        <v>79</v>
      </c>
      <c r="I320" s="242" t="s">
        <v>237</v>
      </c>
      <c r="J320" s="242" t="s">
        <v>8217</v>
      </c>
      <c r="K320" s="195" t="s">
        <v>71</v>
      </c>
      <c r="L320" s="20" t="str">
        <f ca="1">IF(OFFSET(환산공식!$ED$15,$F320,0)=1,"O","X")</f>
        <v>X</v>
      </c>
      <c r="M320" s="188">
        <f ca="1">IFERROR(OFFSET(환산공식!DJ$15,$F320,0),"")</f>
        <v>200</v>
      </c>
      <c r="N320" s="20" t="str">
        <f ca="1">IFERROR(CONCATENATE(ROUND(OFFSET(환산공식!DK$15,$F320,0),1),"%"),"")</f>
        <v>100%</v>
      </c>
      <c r="O320" s="20">
        <f ca="1">IFERROR(OFFSET(환산공식!DL$15,$F320,0),"")</f>
        <v>0</v>
      </c>
      <c r="P320" s="188" t="str">
        <f t="shared" ca="1" si="8"/>
        <v>3% 이하</v>
      </c>
      <c r="Q320" s="194">
        <f ca="1">IFERROR(ROUND(OFFSET(환산공식!$FG$15,$F320,0),3),"")</f>
        <v>0</v>
      </c>
      <c r="R320" s="194">
        <f ca="1">OFFSET('배치점수 계산기'!H$10,$D320,0)</f>
        <v>692.53599999999994</v>
      </c>
      <c r="S320" s="194">
        <f ca="1">OFFSET('배치점수 계산기'!I$10,$D320,0)</f>
        <v>690.54600000000005</v>
      </c>
      <c r="T320" s="194">
        <f ca="1">OFFSET('배치점수 계산기'!J$10,$D320,0)</f>
        <v>687.3</v>
      </c>
      <c r="U320" s="194">
        <f ca="1">OFFSET('배치점수 계산기'!K$10,$D320,0)</f>
        <v>685.59400000000005</v>
      </c>
      <c r="V320" s="194">
        <f ca="1">OFFSET('배치점수 계산기'!L$10,$D320,0)</f>
        <v>682.14599999999996</v>
      </c>
      <c r="W320" s="186" t="str">
        <f ca="1">OFFSET('배치점수 계산기'!M$10,$D320,0)</f>
        <v>표점</v>
      </c>
      <c r="X320" s="184" t="str">
        <f ca="1">OFFSET('배치점수 계산기'!N$10,$D320,0)</f>
        <v>표점</v>
      </c>
      <c r="Y320" s="188">
        <f ca="1">OFFSET(환산공식!FW$15,$F320,0)</f>
        <v>0.38</v>
      </c>
      <c r="Z320" s="20">
        <f ca="1">OFFSET(환산공식!FX$15,$F320,0)</f>
        <v>0.38</v>
      </c>
      <c r="AA320" s="179">
        <f ca="1">OFFSET(환산공식!FY$15,$F320,0)</f>
        <v>0.25</v>
      </c>
      <c r="AB320" s="3"/>
      <c r="AD320">
        <f t="shared" ca="1" si="9"/>
        <v>6</v>
      </c>
      <c r="AF320" s="3"/>
      <c r="AG320" s="3"/>
      <c r="AH320" s="3"/>
    </row>
    <row r="321" spans="1:34">
      <c r="A321" s="198"/>
      <c r="B321" s="198"/>
      <c r="C321" s="198" t="s">
        <v>1773</v>
      </c>
      <c r="D321" s="195">
        <v>1307</v>
      </c>
      <c r="E321" s="195">
        <v>68</v>
      </c>
      <c r="F321" s="195">
        <v>68</v>
      </c>
      <c r="G321" s="239">
        <v>314</v>
      </c>
      <c r="H321" s="197" t="s">
        <v>79</v>
      </c>
      <c r="I321" s="242" t="s">
        <v>237</v>
      </c>
      <c r="J321" s="242" t="s">
        <v>16679</v>
      </c>
      <c r="K321" s="195" t="s">
        <v>71</v>
      </c>
      <c r="L321" s="20" t="str">
        <f ca="1">IF(OFFSET(환산공식!$ED$15,$F321,0)=1,"O","X")</f>
        <v>X</v>
      </c>
      <c r="M321" s="188">
        <f ca="1">IFERROR(OFFSET(환산공식!DJ$15,$F321,0),"")</f>
        <v>200</v>
      </c>
      <c r="N321" s="20" t="str">
        <f ca="1">IFERROR(CONCATENATE(ROUND(OFFSET(환산공식!DK$15,$F321,0),1),"%"),"")</f>
        <v>100%</v>
      </c>
      <c r="O321" s="20">
        <f ca="1">IFERROR(OFFSET(환산공식!DL$15,$F321,0),"")</f>
        <v>0</v>
      </c>
      <c r="P321" s="188" t="str">
        <f t="shared" ca="1" si="8"/>
        <v>3% 이하</v>
      </c>
      <c r="Q321" s="194">
        <f ca="1">IFERROR(ROUND(OFFSET(환산공식!$FG$15,$F321,0),3),"")</f>
        <v>0</v>
      </c>
      <c r="R321" s="194">
        <f ca="1">OFFSET('배치점수 계산기'!H$10,$D321,0)</f>
        <v>692.37</v>
      </c>
      <c r="S321" s="194">
        <f ca="1">OFFSET('배치점수 계산기'!I$10,$D321,0)</f>
        <v>689.91</v>
      </c>
      <c r="T321" s="194">
        <f ca="1">OFFSET('배치점수 계산기'!J$10,$D321,0)</f>
        <v>687.15</v>
      </c>
      <c r="U321" s="194">
        <f ca="1">OFFSET('배치점수 계산기'!K$10,$D321,0)</f>
        <v>685.44399999999996</v>
      </c>
      <c r="V321" s="194">
        <f ca="1">OFFSET('배치점수 계산기'!L$10,$D321,0)</f>
        <v>682.01300000000003</v>
      </c>
      <c r="W321" s="186" t="str">
        <f ca="1">OFFSET('배치점수 계산기'!M$10,$D321,0)</f>
        <v>표점</v>
      </c>
      <c r="X321" s="184" t="str">
        <f ca="1">OFFSET('배치점수 계산기'!N$10,$D321,0)</f>
        <v>표점</v>
      </c>
      <c r="Y321" s="188">
        <f ca="1">OFFSET(환산공식!FW$15,$F321,0)</f>
        <v>0.38</v>
      </c>
      <c r="Z321" s="20">
        <f ca="1">OFFSET(환산공식!FX$15,$F321,0)</f>
        <v>0.38</v>
      </c>
      <c r="AA321" s="179">
        <f ca="1">OFFSET(환산공식!FY$15,$F321,0)</f>
        <v>0.25</v>
      </c>
      <c r="AB321" s="3"/>
      <c r="AD321">
        <f t="shared" ca="1" si="9"/>
        <v>6</v>
      </c>
      <c r="AF321" s="3"/>
      <c r="AG321" s="3"/>
      <c r="AH321" s="3"/>
    </row>
    <row r="322" spans="1:34">
      <c r="A322" s="198"/>
      <c r="B322" s="198"/>
      <c r="C322" s="198" t="s">
        <v>1774</v>
      </c>
      <c r="D322" s="195">
        <v>1308</v>
      </c>
      <c r="E322" s="195">
        <v>68</v>
      </c>
      <c r="F322" s="195">
        <v>68</v>
      </c>
      <c r="G322" s="239">
        <v>315</v>
      </c>
      <c r="H322" s="197" t="s">
        <v>79</v>
      </c>
      <c r="I322" s="242" t="s">
        <v>237</v>
      </c>
      <c r="J322" s="242" t="s">
        <v>10680</v>
      </c>
      <c r="K322" s="195" t="s">
        <v>71</v>
      </c>
      <c r="L322" s="20" t="str">
        <f ca="1">IF(OFFSET(환산공식!$ED$15,$F322,0)=1,"O","X")</f>
        <v>X</v>
      </c>
      <c r="M322" s="188">
        <f ca="1">IFERROR(OFFSET(환산공식!DJ$15,$F322,0),"")</f>
        <v>200</v>
      </c>
      <c r="N322" s="20" t="str">
        <f ca="1">IFERROR(CONCATENATE(ROUND(OFFSET(환산공식!DK$15,$F322,0),1),"%"),"")</f>
        <v>100%</v>
      </c>
      <c r="O322" s="20">
        <f ca="1">IFERROR(OFFSET(환산공식!DL$15,$F322,0),"")</f>
        <v>0</v>
      </c>
      <c r="P322" s="188" t="str">
        <f t="shared" ca="1" si="8"/>
        <v>3% 이하</v>
      </c>
      <c r="Q322" s="194">
        <f ca="1">IFERROR(ROUND(OFFSET(환산공식!$FG$15,$F322,0),3),"")</f>
        <v>0</v>
      </c>
      <c r="R322" s="194">
        <f ca="1">OFFSET('배치점수 계산기'!H$10,$D322,0)</f>
        <v>690.96400000000006</v>
      </c>
      <c r="S322" s="194">
        <f ca="1">OFFSET('배치점수 계산기'!I$10,$D322,0)</f>
        <v>688.54</v>
      </c>
      <c r="T322" s="194">
        <f ca="1">OFFSET('배치점수 계산기'!J$10,$D322,0)</f>
        <v>686.096</v>
      </c>
      <c r="U322" s="194">
        <f ca="1">OFFSET('배치점수 계산기'!K$10,$D322,0)</f>
        <v>684.54</v>
      </c>
      <c r="V322" s="194">
        <f ca="1">OFFSET('배치점수 계산기'!L$10,$D322,0)</f>
        <v>681.29399999999998</v>
      </c>
      <c r="W322" s="186" t="str">
        <f ca="1">OFFSET('배치점수 계산기'!M$10,$D322,0)</f>
        <v>표점</v>
      </c>
      <c r="X322" s="184" t="str">
        <f ca="1">OFFSET('배치점수 계산기'!N$10,$D322,0)</f>
        <v>표점</v>
      </c>
      <c r="Y322" s="188">
        <f ca="1">OFFSET(환산공식!FW$15,$F322,0)</f>
        <v>0.38</v>
      </c>
      <c r="Z322" s="20">
        <f ca="1">OFFSET(환산공식!FX$15,$F322,0)</f>
        <v>0.38</v>
      </c>
      <c r="AA322" s="179">
        <f ca="1">OFFSET(환산공식!FY$15,$F322,0)</f>
        <v>0.25</v>
      </c>
      <c r="AB322" s="3"/>
      <c r="AD322">
        <f t="shared" ca="1" si="9"/>
        <v>6</v>
      </c>
      <c r="AF322" s="3"/>
      <c r="AG322" s="3"/>
      <c r="AH322" s="3"/>
    </row>
    <row r="323" spans="1:34">
      <c r="A323" s="198"/>
      <c r="B323" s="198"/>
      <c r="C323" s="198" t="s">
        <v>1775</v>
      </c>
      <c r="D323" s="195">
        <v>1309</v>
      </c>
      <c r="E323" s="195">
        <v>79</v>
      </c>
      <c r="F323" s="195">
        <v>79</v>
      </c>
      <c r="G323" s="239">
        <v>316</v>
      </c>
      <c r="H323" s="197" t="s">
        <v>79</v>
      </c>
      <c r="I323" s="242" t="s">
        <v>301</v>
      </c>
      <c r="J323" s="242" t="s">
        <v>16682</v>
      </c>
      <c r="K323" s="195" t="s">
        <v>70</v>
      </c>
      <c r="L323" s="20" t="str">
        <f ca="1">IF(OFFSET(환산공식!$ED$15,$F323,0)=1,"O","X")</f>
        <v>X</v>
      </c>
      <c r="M323" s="188">
        <f ca="1">IFERROR(OFFSET(환산공식!DJ$15,$F323,0),"")</f>
        <v>200</v>
      </c>
      <c r="N323" s="20" t="str">
        <f ca="1">IFERROR(CONCATENATE(ROUND(OFFSET(환산공식!DK$15,$F323,0),1),"%"),"")</f>
        <v>100%</v>
      </c>
      <c r="O323" s="20">
        <f ca="1">IFERROR(OFFSET(환산공식!DL$15,$F323,0),"")</f>
        <v>10</v>
      </c>
      <c r="P323" s="188" t="str">
        <f t="shared" ca="1" si="8"/>
        <v>3% 이하</v>
      </c>
      <c r="Q323" s="194">
        <f ca="1">IFERROR(ROUND(OFFSET(환산공식!$FG$15,$F323,0),3),"")</f>
        <v>0</v>
      </c>
      <c r="R323" s="194">
        <f ca="1">OFFSET('배치점수 계산기'!H$10,$D323,0)</f>
        <v>716.69500000000005</v>
      </c>
      <c r="S323" s="194">
        <f ca="1">OFFSET('배치점수 계산기'!I$10,$D323,0)</f>
        <v>714.14099999999996</v>
      </c>
      <c r="T323" s="194">
        <f ca="1">OFFSET('배치점수 계산기'!J$10,$D323,0)</f>
        <v>710.60599999999999</v>
      </c>
      <c r="U323" s="194">
        <f ca="1">OFFSET('배치점수 계산기'!K$10,$D323,0)</f>
        <v>707.76700000000005</v>
      </c>
      <c r="V323" s="194">
        <f ca="1">OFFSET('배치점수 계산기'!L$10,$D323,0)</f>
        <v>703.26199999999994</v>
      </c>
      <c r="W323" s="186" t="str">
        <f ca="1">OFFSET('배치점수 계산기'!M$10,$D323,0)</f>
        <v>표점</v>
      </c>
      <c r="X323" s="184" t="str">
        <f ca="1">OFFSET('배치점수 계산기'!N$10,$D323,0)</f>
        <v>변표</v>
      </c>
      <c r="Y323" s="188">
        <f ca="1">OFFSET(환산공식!FW$15,$F323,0)</f>
        <v>0.25</v>
      </c>
      <c r="Z323" s="20">
        <f ca="1">OFFSET(환산공식!FX$15,$F323,0)</f>
        <v>0.44</v>
      </c>
      <c r="AA323" s="179">
        <f ca="1">OFFSET(환산공식!FY$15,$F323,0)</f>
        <v>0.31</v>
      </c>
      <c r="AB323" s="3"/>
      <c r="AD323">
        <f t="shared" ca="1" si="9"/>
        <v>6</v>
      </c>
      <c r="AF323" s="3"/>
      <c r="AG323" s="3"/>
      <c r="AH323" s="3"/>
    </row>
    <row r="324" spans="1:34">
      <c r="A324" s="198"/>
      <c r="B324" s="198"/>
      <c r="C324" s="198" t="s">
        <v>1776</v>
      </c>
      <c r="D324" s="195">
        <v>1310</v>
      </c>
      <c r="E324" s="195">
        <v>79</v>
      </c>
      <c r="F324" s="195">
        <v>79</v>
      </c>
      <c r="G324" s="239">
        <v>317</v>
      </c>
      <c r="H324" s="197" t="s">
        <v>79</v>
      </c>
      <c r="I324" s="242" t="s">
        <v>301</v>
      </c>
      <c r="J324" s="242" t="s">
        <v>16683</v>
      </c>
      <c r="K324" s="195" t="s">
        <v>70</v>
      </c>
      <c r="L324" s="20" t="str">
        <f ca="1">IF(OFFSET(환산공식!$ED$15,$F324,0)=1,"O","X")</f>
        <v>X</v>
      </c>
      <c r="M324" s="188">
        <f ca="1">IFERROR(OFFSET(환산공식!DJ$15,$F324,0),"")</f>
        <v>200</v>
      </c>
      <c r="N324" s="20" t="str">
        <f ca="1">IFERROR(CONCATENATE(ROUND(OFFSET(환산공식!DK$15,$F324,0),1),"%"),"")</f>
        <v>100%</v>
      </c>
      <c r="O324" s="20">
        <f ca="1">IFERROR(OFFSET(환산공식!DL$15,$F324,0),"")</f>
        <v>10</v>
      </c>
      <c r="P324" s="188" t="str">
        <f t="shared" ca="1" si="8"/>
        <v>3% 이하</v>
      </c>
      <c r="Q324" s="194">
        <f ca="1">IFERROR(ROUND(OFFSET(환산공식!$FG$15,$F324,0),3),"")</f>
        <v>0</v>
      </c>
      <c r="R324" s="194">
        <f ca="1">OFFSET('배치점수 계산기'!H$10,$D324,0)</f>
        <v>710.18799999999999</v>
      </c>
      <c r="S324" s="194">
        <f ca="1">OFFSET('배치점수 계산기'!I$10,$D324,0)</f>
        <v>707.35400000000004</v>
      </c>
      <c r="T324" s="194">
        <f ca="1">OFFSET('배치점수 계산기'!J$10,$D324,0)</f>
        <v>704.45299999999997</v>
      </c>
      <c r="U324" s="194">
        <f ca="1">OFFSET('배치점수 계산기'!K$10,$D324,0)</f>
        <v>702.41499999999996</v>
      </c>
      <c r="V324" s="194">
        <f ca="1">OFFSET('배치점수 계산기'!L$10,$D324,0)</f>
        <v>699.05399999999997</v>
      </c>
      <c r="W324" s="186" t="str">
        <f ca="1">OFFSET('배치점수 계산기'!M$10,$D324,0)</f>
        <v>표점</v>
      </c>
      <c r="X324" s="184" t="str">
        <f ca="1">OFFSET('배치점수 계산기'!N$10,$D324,0)</f>
        <v>변표</v>
      </c>
      <c r="Y324" s="188">
        <f ca="1">OFFSET(환산공식!FW$15,$F324,0)</f>
        <v>0.25</v>
      </c>
      <c r="Z324" s="20">
        <f ca="1">OFFSET(환산공식!FX$15,$F324,0)</f>
        <v>0.44</v>
      </c>
      <c r="AA324" s="179">
        <f ca="1">OFFSET(환산공식!FY$15,$F324,0)</f>
        <v>0.31</v>
      </c>
      <c r="AB324" s="3"/>
      <c r="AD324">
        <f t="shared" ca="1" si="9"/>
        <v>6</v>
      </c>
      <c r="AF324" s="3"/>
      <c r="AG324" s="3"/>
      <c r="AH324" s="3"/>
    </row>
    <row r="325" spans="1:34">
      <c r="A325" s="198"/>
      <c r="B325" s="198"/>
      <c r="C325" s="198" t="s">
        <v>1777</v>
      </c>
      <c r="D325" s="195">
        <v>1311</v>
      </c>
      <c r="E325" s="195">
        <v>79</v>
      </c>
      <c r="F325" s="195">
        <v>79</v>
      </c>
      <c r="G325" s="239">
        <v>318</v>
      </c>
      <c r="H325" s="197" t="s">
        <v>79</v>
      </c>
      <c r="I325" s="242" t="s">
        <v>301</v>
      </c>
      <c r="J325" s="242" t="s">
        <v>420</v>
      </c>
      <c r="K325" s="195" t="s">
        <v>70</v>
      </c>
      <c r="L325" s="20" t="str">
        <f ca="1">IF(OFFSET(환산공식!$ED$15,$F325,0)=1,"O","X")</f>
        <v>X</v>
      </c>
      <c r="M325" s="188">
        <f ca="1">IFERROR(OFFSET(환산공식!DJ$15,$F325,0),"")</f>
        <v>200</v>
      </c>
      <c r="N325" s="20" t="str">
        <f ca="1">IFERROR(CONCATENATE(ROUND(OFFSET(환산공식!DK$15,$F325,0),1),"%"),"")</f>
        <v>100%</v>
      </c>
      <c r="O325" s="20">
        <f ca="1">IFERROR(OFFSET(환산공식!DL$15,$F325,0),"")</f>
        <v>10</v>
      </c>
      <c r="P325" s="188" t="str">
        <f t="shared" ca="1" si="8"/>
        <v>3% 이하</v>
      </c>
      <c r="Q325" s="194">
        <f ca="1">IFERROR(ROUND(OFFSET(환산공식!$FG$15,$F325,0),3),"")</f>
        <v>0</v>
      </c>
      <c r="R325" s="194">
        <f ca="1">OFFSET('배치점수 계산기'!H$10,$D325,0)</f>
        <v>707.76700000000005</v>
      </c>
      <c r="S325" s="194">
        <f ca="1">OFFSET('배치점수 계산기'!I$10,$D325,0)</f>
        <v>705.36599999999999</v>
      </c>
      <c r="T325" s="194">
        <f ca="1">OFFSET('배치점수 계산기'!J$10,$D325,0)</f>
        <v>702.67200000000003</v>
      </c>
      <c r="U325" s="194">
        <f ca="1">OFFSET('배치점수 계산기'!K$10,$D325,0)</f>
        <v>700.928</v>
      </c>
      <c r="V325" s="194">
        <f ca="1">OFFSET('배치점수 계산기'!L$10,$D325,0)</f>
        <v>697.59500000000003</v>
      </c>
      <c r="W325" s="186" t="str">
        <f ca="1">OFFSET('배치점수 계산기'!M$10,$D325,0)</f>
        <v>표점</v>
      </c>
      <c r="X325" s="184" t="str">
        <f ca="1">OFFSET('배치점수 계산기'!N$10,$D325,0)</f>
        <v>변표</v>
      </c>
      <c r="Y325" s="188">
        <f ca="1">OFFSET(환산공식!FW$15,$F325,0)</f>
        <v>0.25</v>
      </c>
      <c r="Z325" s="20">
        <f ca="1">OFFSET(환산공식!FX$15,$F325,0)</f>
        <v>0.44</v>
      </c>
      <c r="AA325" s="179">
        <f ca="1">OFFSET(환산공식!FY$15,$F325,0)</f>
        <v>0.31</v>
      </c>
      <c r="AB325" s="3"/>
      <c r="AD325">
        <f t="shared" ca="1" si="9"/>
        <v>6</v>
      </c>
      <c r="AF325" s="3"/>
      <c r="AG325" s="3"/>
      <c r="AH325" s="3"/>
    </row>
    <row r="326" spans="1:34">
      <c r="A326" s="198"/>
      <c r="B326" s="198"/>
      <c r="C326" s="198" t="s">
        <v>1778</v>
      </c>
      <c r="D326" s="195">
        <v>1312</v>
      </c>
      <c r="E326" s="195">
        <v>79</v>
      </c>
      <c r="F326" s="195">
        <v>79</v>
      </c>
      <c r="G326" s="239">
        <v>319</v>
      </c>
      <c r="H326" s="197" t="s">
        <v>79</v>
      </c>
      <c r="I326" s="242" t="s">
        <v>301</v>
      </c>
      <c r="J326" s="242" t="s">
        <v>10821</v>
      </c>
      <c r="K326" s="195" t="s">
        <v>70</v>
      </c>
      <c r="L326" s="20" t="str">
        <f ca="1">IF(OFFSET(환산공식!$ED$15,$F326,0)=1,"O","X")</f>
        <v>X</v>
      </c>
      <c r="M326" s="188">
        <f ca="1">IFERROR(OFFSET(환산공식!DJ$15,$F326,0),"")</f>
        <v>200</v>
      </c>
      <c r="N326" s="20" t="str">
        <f ca="1">IFERROR(CONCATENATE(ROUND(OFFSET(환산공식!DK$15,$F326,0),1),"%"),"")</f>
        <v>100%</v>
      </c>
      <c r="O326" s="20">
        <f ca="1">IFERROR(OFFSET(환산공식!DL$15,$F326,0),"")</f>
        <v>10</v>
      </c>
      <c r="P326" s="188" t="str">
        <f t="shared" ca="1" si="8"/>
        <v>3% 이하</v>
      </c>
      <c r="Q326" s="194">
        <f ca="1">IFERROR(ROUND(OFFSET(환산공식!$FG$15,$F326,0),3),"")</f>
        <v>0</v>
      </c>
      <c r="R326" s="194">
        <f ca="1">OFFSET('배치점수 계산기'!H$10,$D326,0)</f>
        <v>706.61699999999996</v>
      </c>
      <c r="S326" s="194">
        <f ca="1">OFFSET('배치점수 계산기'!I$10,$D326,0)</f>
        <v>704.68200000000002</v>
      </c>
      <c r="T326" s="194">
        <f ca="1">OFFSET('배치점수 계산기'!J$10,$D326,0)</f>
        <v>702.03399999999999</v>
      </c>
      <c r="U326" s="194">
        <f ca="1">OFFSET('배치점수 계산기'!K$10,$D326,0)</f>
        <v>700.37800000000004</v>
      </c>
      <c r="V326" s="194">
        <f ca="1">OFFSET('배치점수 계산기'!L$10,$D326,0)</f>
        <v>697.07600000000002</v>
      </c>
      <c r="W326" s="186" t="str">
        <f ca="1">OFFSET('배치점수 계산기'!M$10,$D326,0)</f>
        <v>표점</v>
      </c>
      <c r="X326" s="184" t="str">
        <f ca="1">OFFSET('배치점수 계산기'!N$10,$D326,0)</f>
        <v>변표</v>
      </c>
      <c r="Y326" s="188">
        <f ca="1">OFFSET(환산공식!FW$15,$F326,0)</f>
        <v>0.25</v>
      </c>
      <c r="Z326" s="20">
        <f ca="1">OFFSET(환산공식!FX$15,$F326,0)</f>
        <v>0.44</v>
      </c>
      <c r="AA326" s="179">
        <f ca="1">OFFSET(환산공식!FY$15,$F326,0)</f>
        <v>0.31</v>
      </c>
      <c r="AB326" s="3"/>
      <c r="AD326">
        <f t="shared" ca="1" si="9"/>
        <v>6</v>
      </c>
      <c r="AF326" s="3"/>
      <c r="AG326" s="3"/>
      <c r="AH326" s="3"/>
    </row>
    <row r="327" spans="1:34">
      <c r="A327" s="198"/>
      <c r="B327" s="198"/>
      <c r="C327" s="198" t="s">
        <v>1779</v>
      </c>
      <c r="D327" s="195">
        <v>1313</v>
      </c>
      <c r="E327" s="195">
        <v>79</v>
      </c>
      <c r="F327" s="195">
        <v>79</v>
      </c>
      <c r="G327" s="239">
        <v>320</v>
      </c>
      <c r="H327" s="197" t="s">
        <v>79</v>
      </c>
      <c r="I327" s="242" t="s">
        <v>301</v>
      </c>
      <c r="J327" s="242" t="s">
        <v>16684</v>
      </c>
      <c r="K327" s="195" t="s">
        <v>70</v>
      </c>
      <c r="L327" s="20" t="str">
        <f ca="1">IF(OFFSET(환산공식!$ED$15,$F327,0)=1,"O","X")</f>
        <v>X</v>
      </c>
      <c r="M327" s="188">
        <f ca="1">IFERROR(OFFSET(환산공식!DJ$15,$F327,0),"")</f>
        <v>200</v>
      </c>
      <c r="N327" s="20" t="str">
        <f ca="1">IFERROR(CONCATENATE(ROUND(OFFSET(환산공식!DK$15,$F327,0),1),"%"),"")</f>
        <v>100%</v>
      </c>
      <c r="O327" s="20">
        <f ca="1">IFERROR(OFFSET(환산공식!DL$15,$F327,0),"")</f>
        <v>10</v>
      </c>
      <c r="P327" s="188" t="str">
        <f t="shared" ca="1" si="8"/>
        <v>3% 이하</v>
      </c>
      <c r="Q327" s="194">
        <f ca="1">IFERROR(ROUND(OFFSET(환산공식!$FG$15,$F327,0),3),"")</f>
        <v>0</v>
      </c>
      <c r="R327" s="194">
        <f ca="1">OFFSET('배치점수 계산기'!H$10,$D327,0)</f>
        <v>698.428</v>
      </c>
      <c r="S327" s="194">
        <f ca="1">OFFSET('배치점수 계산기'!I$10,$D327,0)</f>
        <v>696.71199999999999</v>
      </c>
      <c r="T327" s="194">
        <f ca="1">OFFSET('배치점수 계산기'!J$10,$D327,0)</f>
        <v>693.99699999999996</v>
      </c>
      <c r="U327" s="194">
        <f ca="1">OFFSET('배치점수 계산기'!K$10,$D327,0)</f>
        <v>690.88900000000001</v>
      </c>
      <c r="V327" s="194">
        <f ca="1">OFFSET('배치점수 계산기'!L$10,$D327,0)</f>
        <v>686.37800000000004</v>
      </c>
      <c r="W327" s="186" t="str">
        <f ca="1">OFFSET('배치점수 계산기'!M$10,$D327,0)</f>
        <v>표점</v>
      </c>
      <c r="X327" s="184" t="str">
        <f ca="1">OFFSET('배치점수 계산기'!N$10,$D327,0)</f>
        <v>변표</v>
      </c>
      <c r="Y327" s="188">
        <f ca="1">OFFSET(환산공식!FW$15,$F327,0)</f>
        <v>0.25</v>
      </c>
      <c r="Z327" s="20">
        <f ca="1">OFFSET(환산공식!FX$15,$F327,0)</f>
        <v>0.44</v>
      </c>
      <c r="AA327" s="179">
        <f ca="1">OFFSET(환산공식!FY$15,$F327,0)</f>
        <v>0.31</v>
      </c>
      <c r="AB327" s="3"/>
      <c r="AD327">
        <f t="shared" ca="1" si="9"/>
        <v>6</v>
      </c>
      <c r="AF327" s="3"/>
      <c r="AG327" s="3"/>
      <c r="AH327" s="3"/>
    </row>
    <row r="328" spans="1:34">
      <c r="A328" s="198"/>
      <c r="B328" s="198"/>
      <c r="C328" s="198" t="s">
        <v>1780</v>
      </c>
      <c r="D328" s="195">
        <v>1314</v>
      </c>
      <c r="E328" s="195">
        <v>79</v>
      </c>
      <c r="F328" s="195">
        <v>79</v>
      </c>
      <c r="G328" s="239">
        <v>321</v>
      </c>
      <c r="H328" s="197" t="s">
        <v>79</v>
      </c>
      <c r="I328" s="242" t="s">
        <v>301</v>
      </c>
      <c r="J328" s="242" t="s">
        <v>546</v>
      </c>
      <c r="K328" s="195" t="s">
        <v>70</v>
      </c>
      <c r="L328" s="20" t="str">
        <f ca="1">IF(OFFSET(환산공식!$ED$15,$F328,0)=1,"O","X")</f>
        <v>X</v>
      </c>
      <c r="M328" s="188">
        <f ca="1">IFERROR(OFFSET(환산공식!DJ$15,$F328,0),"")</f>
        <v>200</v>
      </c>
      <c r="N328" s="20" t="str">
        <f ca="1">IFERROR(CONCATENATE(ROUND(OFFSET(환산공식!DK$15,$F328,0),1),"%"),"")</f>
        <v>100%</v>
      </c>
      <c r="O328" s="20">
        <f ca="1">IFERROR(OFFSET(환산공식!DL$15,$F328,0),"")</f>
        <v>10</v>
      </c>
      <c r="P328" s="188" t="str">
        <f t="shared" ca="1" si="8"/>
        <v>3% 이하</v>
      </c>
      <c r="Q328" s="194">
        <f ca="1">IFERROR(ROUND(OFFSET(환산공식!$FG$15,$F328,0),3),"")</f>
        <v>0</v>
      </c>
      <c r="R328" s="194">
        <f ca="1">OFFSET('배치점수 계산기'!H$10,$D328,0)</f>
        <v>691.44</v>
      </c>
      <c r="S328" s="194">
        <f ca="1">OFFSET('배치점수 계산기'!I$10,$D328,0)</f>
        <v>689.423</v>
      </c>
      <c r="T328" s="194">
        <f ca="1">OFFSET('배치점수 계산기'!J$10,$D328,0)</f>
        <v>686.28300000000002</v>
      </c>
      <c r="U328" s="194">
        <f ca="1">OFFSET('배치점수 계산기'!K$10,$D328,0)</f>
        <v>683.476</v>
      </c>
      <c r="V328" s="194">
        <f ca="1">OFFSET('배치점수 계산기'!L$10,$D328,0)</f>
        <v>682.00800000000004</v>
      </c>
      <c r="W328" s="186" t="str">
        <f ca="1">OFFSET('배치점수 계산기'!M$10,$D328,0)</f>
        <v>표점</v>
      </c>
      <c r="X328" s="184" t="str">
        <f ca="1">OFFSET('배치점수 계산기'!N$10,$D328,0)</f>
        <v>변표</v>
      </c>
      <c r="Y328" s="188">
        <f ca="1">OFFSET(환산공식!FW$15,$F328,0)</f>
        <v>0.25</v>
      </c>
      <c r="Z328" s="20">
        <f ca="1">OFFSET(환산공식!FX$15,$F328,0)</f>
        <v>0.44</v>
      </c>
      <c r="AA328" s="179">
        <f ca="1">OFFSET(환산공식!FY$15,$F328,0)</f>
        <v>0.31</v>
      </c>
      <c r="AB328" s="3"/>
      <c r="AD328">
        <f t="shared" ca="1" si="9"/>
        <v>6</v>
      </c>
      <c r="AF328" s="3"/>
      <c r="AG328" s="3"/>
      <c r="AH328" s="3"/>
    </row>
    <row r="329" spans="1:34">
      <c r="A329" s="198"/>
      <c r="B329" s="198"/>
      <c r="C329" s="198" t="s">
        <v>1781</v>
      </c>
      <c r="D329" s="195">
        <v>1315</v>
      </c>
      <c r="E329" s="195">
        <v>79</v>
      </c>
      <c r="F329" s="195">
        <v>79</v>
      </c>
      <c r="G329" s="239">
        <v>322</v>
      </c>
      <c r="H329" s="197" t="s">
        <v>79</v>
      </c>
      <c r="I329" s="242" t="s">
        <v>301</v>
      </c>
      <c r="J329" s="242" t="s">
        <v>16685</v>
      </c>
      <c r="K329" s="195" t="s">
        <v>70</v>
      </c>
      <c r="L329" s="20" t="str">
        <f ca="1">IF(OFFSET(환산공식!$ED$15,$F329,0)=1,"O","X")</f>
        <v>X</v>
      </c>
      <c r="M329" s="188">
        <f ca="1">IFERROR(OFFSET(환산공식!DJ$15,$F329,0),"")</f>
        <v>200</v>
      </c>
      <c r="N329" s="20" t="str">
        <f ca="1">IFERROR(CONCATENATE(ROUND(OFFSET(환산공식!DK$15,$F329,0),1),"%"),"")</f>
        <v>100%</v>
      </c>
      <c r="O329" s="20">
        <f ca="1">IFERROR(OFFSET(환산공식!DL$15,$F329,0),"")</f>
        <v>10</v>
      </c>
      <c r="P329" s="188" t="str">
        <f t="shared" ref="P329:P392" ca="1" si="10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3% 이하</v>
      </c>
      <c r="Q329" s="194">
        <f ca="1">IFERROR(ROUND(OFFSET(환산공식!$FG$15,$F329,0),3),"")</f>
        <v>0</v>
      </c>
      <c r="R329" s="194">
        <f ca="1">OFFSET('배치점수 계산기'!H$10,$D329,0)</f>
        <v>688.09199999999998</v>
      </c>
      <c r="S329" s="194">
        <f ca="1">OFFSET('배치점수 계산기'!I$10,$D329,0)</f>
        <v>685.91</v>
      </c>
      <c r="T329" s="194">
        <f ca="1">OFFSET('배치점수 계산기'!J$10,$D329,0)</f>
        <v>683.86300000000006</v>
      </c>
      <c r="U329" s="194">
        <f ca="1">OFFSET('배치점수 계산기'!K$10,$D329,0)</f>
        <v>679.23400000000004</v>
      </c>
      <c r="V329" s="194">
        <f ca="1">OFFSET('배치점수 계산기'!L$10,$D329,0)</f>
        <v>674.79600000000005</v>
      </c>
      <c r="W329" s="186" t="str">
        <f ca="1">OFFSET('배치점수 계산기'!M$10,$D329,0)</f>
        <v>표점</v>
      </c>
      <c r="X329" s="184" t="str">
        <f ca="1">OFFSET('배치점수 계산기'!N$10,$D329,0)</f>
        <v>변표</v>
      </c>
      <c r="Y329" s="188">
        <f ca="1">OFFSET(환산공식!FW$15,$F329,0)</f>
        <v>0.25</v>
      </c>
      <c r="Z329" s="20">
        <f ca="1">OFFSET(환산공식!FX$15,$F329,0)</f>
        <v>0.44</v>
      </c>
      <c r="AA329" s="179">
        <f ca="1">OFFSET(환산공식!FY$15,$F329,0)</f>
        <v>0.31</v>
      </c>
      <c r="AB329" s="3"/>
      <c r="AD329">
        <f t="shared" ref="AD329:AD392" ca="1" si="11">IF(L329="X",6,IF(Q329&gt;R329,1,IF(Q329&gt;S329,2,IF(Q329&gt;T329,3,IF(Q329&gt;U329,4,IF(Q329&gt;=V329,5,IF(Q329&lt;V329,6,"")))))))</f>
        <v>6</v>
      </c>
      <c r="AF329" s="3"/>
      <c r="AG329" s="3"/>
      <c r="AH329" s="3"/>
    </row>
    <row r="330" spans="1:34">
      <c r="A330" s="198"/>
      <c r="B330" s="198"/>
      <c r="C330" s="198" t="s">
        <v>1782</v>
      </c>
      <c r="D330" s="195">
        <v>1318</v>
      </c>
      <c r="E330" s="195">
        <v>79</v>
      </c>
      <c r="F330" s="195">
        <v>79</v>
      </c>
      <c r="G330" s="239">
        <v>323</v>
      </c>
      <c r="H330" s="197" t="s">
        <v>79</v>
      </c>
      <c r="I330" s="242" t="s">
        <v>301</v>
      </c>
      <c r="J330" s="242" t="s">
        <v>12563</v>
      </c>
      <c r="K330" s="195" t="s">
        <v>70</v>
      </c>
      <c r="L330" s="20" t="str">
        <f ca="1">IF(OFFSET(환산공식!$ED$15,$F330,0)=1,"O","X")</f>
        <v>X</v>
      </c>
      <c r="M330" s="188">
        <f ca="1">IFERROR(OFFSET(환산공식!DJ$15,$F330,0),"")</f>
        <v>200</v>
      </c>
      <c r="N330" s="20" t="str">
        <f ca="1">IFERROR(CONCATENATE(ROUND(OFFSET(환산공식!DK$15,$F330,0),1),"%"),"")</f>
        <v>100%</v>
      </c>
      <c r="O330" s="20">
        <f ca="1">IFERROR(OFFSET(환산공식!DL$15,$F330,0),"")</f>
        <v>10</v>
      </c>
      <c r="P330" s="188" t="str">
        <f t="shared" ca="1" si="10"/>
        <v>3% 이하</v>
      </c>
      <c r="Q330" s="194">
        <f ca="1">IFERROR(ROUND(OFFSET(환산공식!$FG$15,$F330,0),3),"")</f>
        <v>0</v>
      </c>
      <c r="R330" s="194">
        <f ca="1">OFFSET('배치점수 계산기'!H$10,$D330,0)</f>
        <v>682.49300000000005</v>
      </c>
      <c r="S330" s="194">
        <f ca="1">OFFSET('배치점수 계산기'!I$10,$D330,0)</f>
        <v>681.06899999999996</v>
      </c>
      <c r="T330" s="194">
        <f ca="1">OFFSET('배치점수 계산기'!J$10,$D330,0)</f>
        <v>678.89700000000005</v>
      </c>
      <c r="U330" s="194">
        <f ca="1">OFFSET('배치점수 계산기'!K$10,$D330,0)</f>
        <v>676.35900000000004</v>
      </c>
      <c r="V330" s="194">
        <f ca="1">OFFSET('배치점수 계산기'!L$10,$D330,0)</f>
        <v>672.59799999999996</v>
      </c>
      <c r="W330" s="186" t="str">
        <f ca="1">OFFSET('배치점수 계산기'!M$10,$D330,0)</f>
        <v>표점</v>
      </c>
      <c r="X330" s="184" t="str">
        <f ca="1">OFFSET('배치점수 계산기'!N$10,$D330,0)</f>
        <v>변표</v>
      </c>
      <c r="Y330" s="188">
        <f ca="1">OFFSET(환산공식!FW$15,$F330,0)</f>
        <v>0.25</v>
      </c>
      <c r="Z330" s="20">
        <f ca="1">OFFSET(환산공식!FX$15,$F330,0)</f>
        <v>0.44</v>
      </c>
      <c r="AA330" s="179">
        <f ca="1">OFFSET(환산공식!FY$15,$F330,0)</f>
        <v>0.31</v>
      </c>
      <c r="AB330" s="3"/>
      <c r="AD330">
        <f t="shared" ca="1" si="11"/>
        <v>6</v>
      </c>
      <c r="AF330" s="3"/>
      <c r="AG330" s="3"/>
      <c r="AH330" s="3"/>
    </row>
    <row r="331" spans="1:34">
      <c r="A331" s="198"/>
      <c r="B331" s="198"/>
      <c r="C331" s="198" t="s">
        <v>1783</v>
      </c>
      <c r="D331" s="195">
        <v>1319</v>
      </c>
      <c r="E331" s="195">
        <v>79</v>
      </c>
      <c r="F331" s="195">
        <v>79</v>
      </c>
      <c r="G331" s="239">
        <v>324</v>
      </c>
      <c r="H331" s="197" t="s">
        <v>79</v>
      </c>
      <c r="I331" s="242" t="s">
        <v>301</v>
      </c>
      <c r="J331" s="242" t="s">
        <v>12708</v>
      </c>
      <c r="K331" s="195" t="s">
        <v>70</v>
      </c>
      <c r="L331" s="20" t="str">
        <f ca="1">IF(OFFSET(환산공식!$ED$15,$F331,0)=1,"O","X")</f>
        <v>X</v>
      </c>
      <c r="M331" s="188">
        <f ca="1">IFERROR(OFFSET(환산공식!DJ$15,$F331,0),"")</f>
        <v>200</v>
      </c>
      <c r="N331" s="20" t="str">
        <f ca="1">IFERROR(CONCATENATE(ROUND(OFFSET(환산공식!DK$15,$F331,0),1),"%"),"")</f>
        <v>100%</v>
      </c>
      <c r="O331" s="20">
        <f ca="1">IFERROR(OFFSET(환산공식!DL$15,$F331,0),"")</f>
        <v>10</v>
      </c>
      <c r="P331" s="188" t="str">
        <f t="shared" ca="1" si="10"/>
        <v>3% 이하</v>
      </c>
      <c r="Q331" s="194">
        <f ca="1">IFERROR(ROUND(OFFSET(환산공식!$FG$15,$F331,0),3),"")</f>
        <v>0</v>
      </c>
      <c r="R331" s="194">
        <f ca="1">OFFSET('배치점수 계산기'!H$10,$D331,0)</f>
        <v>679.84400000000005</v>
      </c>
      <c r="S331" s="194">
        <f ca="1">OFFSET('배치점수 계산기'!I$10,$D331,0)</f>
        <v>678.56799999999998</v>
      </c>
      <c r="T331" s="194">
        <f ca="1">OFFSET('배치점수 계산기'!J$10,$D331,0)</f>
        <v>676.31200000000001</v>
      </c>
      <c r="U331" s="194">
        <f ca="1">OFFSET('배치점수 계산기'!K$10,$D331,0)</f>
        <v>673.80200000000002</v>
      </c>
      <c r="V331" s="194">
        <f ca="1">OFFSET('배치점수 계산기'!L$10,$D331,0)</f>
        <v>669.86199999999997</v>
      </c>
      <c r="W331" s="186" t="str">
        <f ca="1">OFFSET('배치점수 계산기'!M$10,$D331,0)</f>
        <v>표점</v>
      </c>
      <c r="X331" s="184" t="str">
        <f ca="1">OFFSET('배치점수 계산기'!N$10,$D331,0)</f>
        <v>변표</v>
      </c>
      <c r="Y331" s="188">
        <f ca="1">OFFSET(환산공식!FW$15,$F331,0)</f>
        <v>0.25</v>
      </c>
      <c r="Z331" s="20">
        <f ca="1">OFFSET(환산공식!FX$15,$F331,0)</f>
        <v>0.44</v>
      </c>
      <c r="AA331" s="179">
        <f ca="1">OFFSET(환산공식!FY$15,$F331,0)</f>
        <v>0.31</v>
      </c>
      <c r="AB331" s="3"/>
      <c r="AD331">
        <f t="shared" ca="1" si="11"/>
        <v>6</v>
      </c>
      <c r="AF331" s="3"/>
      <c r="AG331" s="3"/>
      <c r="AH331" s="3"/>
    </row>
    <row r="332" spans="1:34">
      <c r="A332" s="198"/>
      <c r="B332" s="198"/>
      <c r="C332" s="198" t="s">
        <v>1784</v>
      </c>
      <c r="D332" s="195">
        <v>1320</v>
      </c>
      <c r="E332" s="195">
        <v>80</v>
      </c>
      <c r="F332" s="195">
        <v>80</v>
      </c>
      <c r="G332" s="239">
        <v>325</v>
      </c>
      <c r="H332" s="197" t="s">
        <v>79</v>
      </c>
      <c r="I332" s="242" t="s">
        <v>301</v>
      </c>
      <c r="J332" s="242" t="s">
        <v>10817</v>
      </c>
      <c r="K332" s="195" t="s">
        <v>71</v>
      </c>
      <c r="L332" s="20" t="str">
        <f ca="1">IF(OFFSET(환산공식!$ED$15,$F332,0)=1,"O","X")</f>
        <v>X</v>
      </c>
      <c r="M332" s="188">
        <f ca="1">IFERROR(OFFSET(환산공식!DJ$15,$F332,0),"")</f>
        <v>200</v>
      </c>
      <c r="N332" s="20" t="str">
        <f ca="1">IFERROR(CONCATENATE(ROUND(OFFSET(환산공식!DK$15,$F332,0),1),"%"),"")</f>
        <v>100%</v>
      </c>
      <c r="O332" s="20">
        <f ca="1">IFERROR(OFFSET(환산공식!DL$15,$F332,0),"")</f>
        <v>10</v>
      </c>
      <c r="P332" s="188" t="str">
        <f t="shared" ca="1" si="10"/>
        <v>3% 이하</v>
      </c>
      <c r="Q332" s="194">
        <f ca="1">IFERROR(ROUND(OFFSET(환산공식!$FG$15,$F332,0),3),"")</f>
        <v>0</v>
      </c>
      <c r="R332" s="194">
        <f ca="1">OFFSET('배치점수 계산기'!H$10,$D332,0)</f>
        <v>699.89300000000003</v>
      </c>
      <c r="S332" s="194">
        <f ca="1">OFFSET('배치점수 계산기'!I$10,$D332,0)</f>
        <v>697.53399999999999</v>
      </c>
      <c r="T332" s="194">
        <f ca="1">OFFSET('배치점수 계산기'!J$10,$D332,0)</f>
        <v>694.76900000000001</v>
      </c>
      <c r="U332" s="194">
        <f ca="1">OFFSET('배치점수 계산기'!K$10,$D332,0)</f>
        <v>692.38599999999997</v>
      </c>
      <c r="V332" s="194">
        <f ca="1">OFFSET('배치점수 계산기'!L$10,$D332,0)</f>
        <v>688.721</v>
      </c>
      <c r="W332" s="186" t="str">
        <f ca="1">OFFSET('배치점수 계산기'!M$10,$D332,0)</f>
        <v>표점</v>
      </c>
      <c r="X332" s="184" t="str">
        <f ca="1">OFFSET('배치점수 계산기'!N$10,$D332,0)</f>
        <v>변표</v>
      </c>
      <c r="Y332" s="188">
        <f ca="1">OFFSET(환산공식!FW$15,$F332,0)</f>
        <v>0.38</v>
      </c>
      <c r="Z332" s="20">
        <f ca="1">OFFSET(환산공식!FX$15,$F332,0)</f>
        <v>0.38</v>
      </c>
      <c r="AA332" s="179">
        <f ca="1">OFFSET(환산공식!FY$15,$F332,0)</f>
        <v>0.25</v>
      </c>
      <c r="AB332" s="3"/>
      <c r="AD332">
        <f t="shared" ca="1" si="11"/>
        <v>6</v>
      </c>
      <c r="AF332" s="3"/>
      <c r="AG332" s="3"/>
      <c r="AH332" s="3"/>
    </row>
    <row r="333" spans="1:34">
      <c r="A333" s="198"/>
      <c r="B333" s="198"/>
      <c r="C333" s="198" t="s">
        <v>1785</v>
      </c>
      <c r="D333" s="195">
        <v>1321</v>
      </c>
      <c r="E333" s="195">
        <v>80</v>
      </c>
      <c r="F333" s="195">
        <v>80</v>
      </c>
      <c r="G333" s="239">
        <v>326</v>
      </c>
      <c r="H333" s="197" t="s">
        <v>79</v>
      </c>
      <c r="I333" s="242" t="s">
        <v>301</v>
      </c>
      <c r="J333" s="242" t="s">
        <v>12404</v>
      </c>
      <c r="K333" s="195" t="s">
        <v>71</v>
      </c>
      <c r="L333" s="20" t="str">
        <f ca="1">IF(OFFSET(환산공식!$ED$15,$F333,0)=1,"O","X")</f>
        <v>X</v>
      </c>
      <c r="M333" s="188">
        <f ca="1">IFERROR(OFFSET(환산공식!DJ$15,$F333,0),"")</f>
        <v>200</v>
      </c>
      <c r="N333" s="20" t="str">
        <f ca="1">IFERROR(CONCATENATE(ROUND(OFFSET(환산공식!DK$15,$F333,0),1),"%"),"")</f>
        <v>100%</v>
      </c>
      <c r="O333" s="20">
        <f ca="1">IFERROR(OFFSET(환산공식!DL$15,$F333,0),"")</f>
        <v>10</v>
      </c>
      <c r="P333" s="188" t="str">
        <f t="shared" ca="1" si="10"/>
        <v>3% 이하</v>
      </c>
      <c r="Q333" s="194">
        <f ca="1">IFERROR(ROUND(OFFSET(환산공식!$FG$15,$F333,0),3),"")</f>
        <v>0</v>
      </c>
      <c r="R333" s="194">
        <f ca="1">OFFSET('배치점수 계산기'!H$10,$D333,0)</f>
        <v>675.88900000000001</v>
      </c>
      <c r="S333" s="194">
        <f ca="1">OFFSET('배치점수 계산기'!I$10,$D333,0)</f>
        <v>674.202</v>
      </c>
      <c r="T333" s="194">
        <f ca="1">OFFSET('배치점수 계산기'!J$10,$D333,0)</f>
        <v>671.87699999999995</v>
      </c>
      <c r="U333" s="194">
        <f ca="1">OFFSET('배치점수 계산기'!K$10,$D333,0)</f>
        <v>668.93100000000004</v>
      </c>
      <c r="V333" s="194">
        <f ca="1">OFFSET('배치점수 계산기'!L$10,$D333,0)</f>
        <v>665.40099999999995</v>
      </c>
      <c r="W333" s="186" t="str">
        <f ca="1">OFFSET('배치점수 계산기'!M$10,$D333,0)</f>
        <v>표점</v>
      </c>
      <c r="X333" s="184" t="str">
        <f ca="1">OFFSET('배치점수 계산기'!N$10,$D333,0)</f>
        <v>변표</v>
      </c>
      <c r="Y333" s="188">
        <f ca="1">OFFSET(환산공식!FW$15,$F333,0)</f>
        <v>0.38</v>
      </c>
      <c r="Z333" s="20">
        <f ca="1">OFFSET(환산공식!FX$15,$F333,0)</f>
        <v>0.38</v>
      </c>
      <c r="AA333" s="179">
        <f ca="1">OFFSET(환산공식!FY$15,$F333,0)</f>
        <v>0.25</v>
      </c>
      <c r="AB333" s="3"/>
      <c r="AD333">
        <f t="shared" ca="1" si="11"/>
        <v>6</v>
      </c>
      <c r="AF333" s="3"/>
      <c r="AG333" s="3"/>
      <c r="AH333" s="3"/>
    </row>
    <row r="334" spans="1:34">
      <c r="A334" s="198"/>
      <c r="B334" s="198"/>
      <c r="C334" s="198" t="s">
        <v>1786</v>
      </c>
      <c r="D334" s="195">
        <v>1322</v>
      </c>
      <c r="E334" s="195">
        <v>111</v>
      </c>
      <c r="F334" s="195">
        <v>111</v>
      </c>
      <c r="G334" s="239">
        <v>327</v>
      </c>
      <c r="H334" s="197" t="s">
        <v>79</v>
      </c>
      <c r="I334" s="242" t="s">
        <v>221</v>
      </c>
      <c r="J334" s="242" t="s">
        <v>9103</v>
      </c>
      <c r="K334" s="195" t="s">
        <v>70</v>
      </c>
      <c r="L334" s="20" t="str">
        <f ca="1">IF(OFFSET(환산공식!$ED$15,$F334,0)=1,"O","X")</f>
        <v>X</v>
      </c>
      <c r="M334" s="188">
        <f ca="1">IFERROR(OFFSET(환산공식!DJ$15,$F334,0),"")</f>
        <v>150</v>
      </c>
      <c r="N334" s="20" t="str">
        <f ca="1">IFERROR(CONCATENATE(ROUND(OFFSET(환산공식!DK$15,$F334,0),1),"%"),"")</f>
        <v>100%</v>
      </c>
      <c r="O334" s="20">
        <f ca="1">IFERROR(OFFSET(환산공식!DL$15,$F334,0),"")</f>
        <v>0</v>
      </c>
      <c r="P334" s="188" t="str">
        <f t="shared" ca="1" si="10"/>
        <v>3% 이하</v>
      </c>
      <c r="Q334" s="194">
        <f ca="1">IFERROR(ROUND(OFFSET(환산공식!$FG$15,$F334,0),3),"")</f>
        <v>0</v>
      </c>
      <c r="R334" s="194">
        <f ca="1">OFFSET('배치점수 계산기'!H$10,$D334,0)</f>
        <v>907.58600000000001</v>
      </c>
      <c r="S334" s="194">
        <f ca="1">OFFSET('배치점수 계산기'!I$10,$D334,0)</f>
        <v>904.08699999999999</v>
      </c>
      <c r="T334" s="194">
        <f ca="1">OFFSET('배치점수 계산기'!J$10,$D334,0)</f>
        <v>900.03899999999999</v>
      </c>
      <c r="U334" s="194">
        <f ca="1">OFFSET('배치점수 계산기'!K$10,$D334,0)</f>
        <v>894.37099999999998</v>
      </c>
      <c r="V334" s="194">
        <f ca="1">OFFSET('배치점수 계산기'!L$10,$D334,0)</f>
        <v>888.57500000000005</v>
      </c>
      <c r="W334" s="186" t="str">
        <f ca="1">OFFSET('배치점수 계산기'!M$10,$D334,0)</f>
        <v>표점/만점</v>
      </c>
      <c r="X334" s="184" t="str">
        <f ca="1">OFFSET('배치점수 계산기'!N$10,$D334,0)</f>
        <v>변표/만점</v>
      </c>
      <c r="Y334" s="188">
        <f ca="1">OFFSET(환산공식!FW$15,$F334,0)</f>
        <v>0.24</v>
      </c>
      <c r="Z334" s="20">
        <f ca="1">OFFSET(환산공식!FX$15,$F334,0)</f>
        <v>0.41</v>
      </c>
      <c r="AA334" s="179">
        <f ca="1">OFFSET(환산공식!FY$15,$F334,0)</f>
        <v>0.35</v>
      </c>
      <c r="AB334" s="3"/>
      <c r="AD334">
        <f t="shared" ca="1" si="11"/>
        <v>6</v>
      </c>
      <c r="AF334" s="3"/>
      <c r="AG334" s="3"/>
      <c r="AH334" s="3"/>
    </row>
    <row r="335" spans="1:34">
      <c r="A335" s="198"/>
      <c r="B335" s="198"/>
      <c r="C335" s="198" t="s">
        <v>1787</v>
      </c>
      <c r="D335" s="195">
        <v>1323</v>
      </c>
      <c r="E335" s="195">
        <v>114</v>
      </c>
      <c r="F335" s="195">
        <v>114</v>
      </c>
      <c r="G335" s="239">
        <v>328</v>
      </c>
      <c r="H335" s="197" t="s">
        <v>79</v>
      </c>
      <c r="I335" s="242" t="s">
        <v>221</v>
      </c>
      <c r="J335" s="242" t="s">
        <v>8938</v>
      </c>
      <c r="K335" s="195" t="s">
        <v>71</v>
      </c>
      <c r="L335" s="20" t="str">
        <f ca="1">IF(OFFSET(환산공식!$ED$15,$F335,0)=1,"O","X")</f>
        <v>X</v>
      </c>
      <c r="M335" s="188">
        <f ca="1">IFERROR(OFFSET(환산공식!DJ$15,$F335,0),"")</f>
        <v>150</v>
      </c>
      <c r="N335" s="20" t="str">
        <f ca="1">IFERROR(CONCATENATE(ROUND(OFFSET(환산공식!DK$15,$F335,0),1),"%"),"")</f>
        <v>100%</v>
      </c>
      <c r="O335" s="20">
        <f ca="1">IFERROR(OFFSET(환산공식!DL$15,$F335,0),"")</f>
        <v>0</v>
      </c>
      <c r="P335" s="188" t="str">
        <f t="shared" ca="1" si="10"/>
        <v>3% 이하</v>
      </c>
      <c r="Q335" s="194">
        <f ca="1">IFERROR(ROUND(OFFSET(환산공식!$FG$15,$F335,0),3),"")</f>
        <v>0</v>
      </c>
      <c r="R335" s="194">
        <f ca="1">OFFSET('배치점수 계산기'!H$10,$D335,0)</f>
        <v>898.98199999999997</v>
      </c>
      <c r="S335" s="194">
        <f ca="1">OFFSET('배치점수 계산기'!I$10,$D335,0)</f>
        <v>895.78599999999994</v>
      </c>
      <c r="T335" s="194">
        <f ca="1">OFFSET('배치점수 계산기'!J$10,$D335,0)</f>
        <v>891.49599999999998</v>
      </c>
      <c r="U335" s="194">
        <f ca="1">OFFSET('배치점수 계산기'!K$10,$D335,0)</f>
        <v>886.3</v>
      </c>
      <c r="V335" s="194">
        <f ca="1">OFFSET('배치점수 계산기'!L$10,$D335,0)</f>
        <v>880.50900000000001</v>
      </c>
      <c r="W335" s="186" t="str">
        <f ca="1">OFFSET('배치점수 계산기'!M$10,$D335,0)</f>
        <v>표점/만점</v>
      </c>
      <c r="X335" s="184" t="str">
        <f ca="1">OFFSET('배치점수 계산기'!N$10,$D335,0)</f>
        <v>변표/만점</v>
      </c>
      <c r="Y335" s="188">
        <f ca="1">OFFSET(환산공식!FW$15,$F335,0)</f>
        <v>0.41</v>
      </c>
      <c r="Z335" s="20">
        <f ca="1">OFFSET(환산공식!FX$15,$F335,0)</f>
        <v>0.28999999999999998</v>
      </c>
      <c r="AA335" s="179">
        <f ca="1">OFFSET(환산공식!FY$15,$F335,0)</f>
        <v>0.28999999999999998</v>
      </c>
      <c r="AB335" s="3"/>
      <c r="AD335">
        <f t="shared" ca="1" si="11"/>
        <v>6</v>
      </c>
      <c r="AF335" s="3"/>
      <c r="AG335" s="3"/>
      <c r="AH335" s="3"/>
    </row>
    <row r="336" spans="1:34">
      <c r="A336" s="198"/>
      <c r="B336" s="198"/>
      <c r="C336" s="198" t="s">
        <v>1788</v>
      </c>
      <c r="D336" s="195">
        <v>1324</v>
      </c>
      <c r="E336" s="195">
        <v>115</v>
      </c>
      <c r="F336" s="195">
        <v>115</v>
      </c>
      <c r="G336" s="239">
        <v>329</v>
      </c>
      <c r="H336" s="197" t="s">
        <v>79</v>
      </c>
      <c r="I336" s="242" t="s">
        <v>238</v>
      </c>
      <c r="J336" s="242" t="s">
        <v>10395</v>
      </c>
      <c r="K336" s="195" t="s">
        <v>70</v>
      </c>
      <c r="L336" s="20" t="str">
        <f ca="1">IF(OFFSET(환산공식!$ED$15,$F336,0)=1,"O","X")</f>
        <v>X</v>
      </c>
      <c r="M336" s="188">
        <f ca="1">IFERROR(OFFSET(환산공식!DJ$15,$F336,0),"")</f>
        <v>100</v>
      </c>
      <c r="N336" s="20" t="str">
        <f ca="1">IFERROR(CONCATENATE(ROUND(OFFSET(환산공식!DK$15,$F336,0),1),"%"),"")</f>
        <v>100%</v>
      </c>
      <c r="O336" s="20">
        <f ca="1">IFERROR(OFFSET(환산공식!DL$15,$F336,0),"")</f>
        <v>0</v>
      </c>
      <c r="P336" s="188" t="str">
        <f t="shared" ca="1" si="10"/>
        <v>3% 이하</v>
      </c>
      <c r="Q336" s="194">
        <f ca="1">IFERROR(ROUND(OFFSET(환산공식!$FG$15,$F336,0),3),"")</f>
        <v>0</v>
      </c>
      <c r="R336" s="194">
        <f ca="1">OFFSET('배치점수 계산기'!H$10,$D336,0)</f>
        <v>901.60500000000002</v>
      </c>
      <c r="S336" s="194">
        <f ca="1">OFFSET('배치점수 계산기'!I$10,$D336,0)</f>
        <v>898.65200000000004</v>
      </c>
      <c r="T336" s="194">
        <f ca="1">OFFSET('배치점수 계산기'!J$10,$D336,0)</f>
        <v>895.31700000000001</v>
      </c>
      <c r="U336" s="194">
        <f ca="1">OFFSET('배치점수 계산기'!K$10,$D336,0)</f>
        <v>890.13599999999997</v>
      </c>
      <c r="V336" s="194">
        <f ca="1">OFFSET('배치점수 계산기'!L$10,$D336,0)</f>
        <v>884.66399999999999</v>
      </c>
      <c r="W336" s="186" t="str">
        <f ca="1">OFFSET('배치점수 계산기'!M$10,$D336,0)</f>
        <v>표점/만점</v>
      </c>
      <c r="X336" s="184" t="str">
        <f ca="1">OFFSET('배치점수 계산기'!N$10,$D336,0)</f>
        <v>변표/만점</v>
      </c>
      <c r="Y336" s="188">
        <f ca="1">OFFSET(환산공식!FW$15,$F336,0)</f>
        <v>0.28000000000000003</v>
      </c>
      <c r="Z336" s="20">
        <f ca="1">OFFSET(환산공식!FX$15,$F336,0)</f>
        <v>0.39</v>
      </c>
      <c r="AA336" s="179">
        <f ca="1">OFFSET(환산공식!FY$15,$F336,0)</f>
        <v>0.33</v>
      </c>
      <c r="AB336" s="3"/>
      <c r="AD336">
        <f t="shared" ca="1" si="11"/>
        <v>6</v>
      </c>
      <c r="AF336" s="3"/>
      <c r="AG336" s="3"/>
      <c r="AH336" s="3"/>
    </row>
    <row r="337" spans="1:34">
      <c r="A337" s="198"/>
      <c r="B337" s="198"/>
      <c r="C337" s="198" t="s">
        <v>1789</v>
      </c>
      <c r="D337" s="195">
        <v>1325</v>
      </c>
      <c r="E337" s="195">
        <v>115</v>
      </c>
      <c r="F337" s="195">
        <v>115</v>
      </c>
      <c r="G337" s="239">
        <v>330</v>
      </c>
      <c r="H337" s="197" t="s">
        <v>79</v>
      </c>
      <c r="I337" s="242" t="s">
        <v>238</v>
      </c>
      <c r="J337" s="242" t="s">
        <v>8835</v>
      </c>
      <c r="K337" s="195" t="s">
        <v>70</v>
      </c>
      <c r="L337" s="20" t="str">
        <f ca="1">IF(OFFSET(환산공식!$ED$15,$F337,0)=1,"O","X")</f>
        <v>X</v>
      </c>
      <c r="M337" s="188">
        <f ca="1">IFERROR(OFFSET(환산공식!DJ$15,$F337,0),"")</f>
        <v>100</v>
      </c>
      <c r="N337" s="20" t="str">
        <f ca="1">IFERROR(CONCATENATE(ROUND(OFFSET(환산공식!DK$15,$F337,0),1),"%"),"")</f>
        <v>100%</v>
      </c>
      <c r="O337" s="20">
        <f ca="1">IFERROR(OFFSET(환산공식!DL$15,$F337,0),"")</f>
        <v>0</v>
      </c>
      <c r="P337" s="188" t="str">
        <f t="shared" ca="1" si="10"/>
        <v>3% 이하</v>
      </c>
      <c r="Q337" s="194">
        <f ca="1">IFERROR(ROUND(OFFSET(환산공식!$FG$15,$F337,0),3),"")</f>
        <v>0</v>
      </c>
      <c r="R337" s="194">
        <f ca="1">OFFSET('배치점수 계산기'!H$10,$D337,0)</f>
        <v>894.88800000000003</v>
      </c>
      <c r="S337" s="194">
        <f ca="1">OFFSET('배치점수 계산기'!I$10,$D337,0)</f>
        <v>891.875</v>
      </c>
      <c r="T337" s="194">
        <f ca="1">OFFSET('배치점수 계산기'!J$10,$D337,0)</f>
        <v>888.91200000000003</v>
      </c>
      <c r="U337" s="194">
        <f ca="1">OFFSET('배치점수 계산기'!K$10,$D337,0)</f>
        <v>884.51900000000001</v>
      </c>
      <c r="V337" s="194">
        <f ca="1">OFFSET('배치점수 계산기'!L$10,$D337,0)</f>
        <v>879.60799999999995</v>
      </c>
      <c r="W337" s="186" t="str">
        <f ca="1">OFFSET('배치점수 계산기'!M$10,$D337,0)</f>
        <v>표점/만점</v>
      </c>
      <c r="X337" s="184" t="str">
        <f ca="1">OFFSET('배치점수 계산기'!N$10,$D337,0)</f>
        <v>변표/만점</v>
      </c>
      <c r="Y337" s="188">
        <f ca="1">OFFSET(환산공식!FW$15,$F337,0)</f>
        <v>0.28000000000000003</v>
      </c>
      <c r="Z337" s="20">
        <f ca="1">OFFSET(환산공식!FX$15,$F337,0)</f>
        <v>0.39</v>
      </c>
      <c r="AA337" s="179">
        <f ca="1">OFFSET(환산공식!FY$15,$F337,0)</f>
        <v>0.33</v>
      </c>
      <c r="AB337" s="3"/>
      <c r="AD337">
        <f t="shared" ca="1" si="11"/>
        <v>6</v>
      </c>
      <c r="AF337" s="3"/>
      <c r="AG337" s="3"/>
      <c r="AH337" s="3"/>
    </row>
    <row r="338" spans="1:34">
      <c r="A338" s="198"/>
      <c r="B338" s="198"/>
      <c r="C338" s="198" t="s">
        <v>1790</v>
      </c>
      <c r="D338" s="195">
        <v>1326</v>
      </c>
      <c r="E338" s="195">
        <v>115</v>
      </c>
      <c r="F338" s="195">
        <v>115</v>
      </c>
      <c r="G338" s="239">
        <v>331</v>
      </c>
      <c r="H338" s="197" t="s">
        <v>79</v>
      </c>
      <c r="I338" s="242" t="s">
        <v>238</v>
      </c>
      <c r="J338" s="242" t="s">
        <v>10769</v>
      </c>
      <c r="K338" s="195" t="s">
        <v>70</v>
      </c>
      <c r="L338" s="20" t="str">
        <f ca="1">IF(OFFSET(환산공식!$ED$15,$F338,0)=1,"O","X")</f>
        <v>X</v>
      </c>
      <c r="M338" s="188">
        <f ca="1">IFERROR(OFFSET(환산공식!DJ$15,$F338,0),"")</f>
        <v>100</v>
      </c>
      <c r="N338" s="20" t="str">
        <f ca="1">IFERROR(CONCATENATE(ROUND(OFFSET(환산공식!DK$15,$F338,0),1),"%"),"")</f>
        <v>100%</v>
      </c>
      <c r="O338" s="20">
        <f ca="1">IFERROR(OFFSET(환산공식!DL$15,$F338,0),"")</f>
        <v>0</v>
      </c>
      <c r="P338" s="188" t="str">
        <f t="shared" ca="1" si="10"/>
        <v>3% 이하</v>
      </c>
      <c r="Q338" s="194">
        <f ca="1">IFERROR(ROUND(OFFSET(환산공식!$FG$15,$F338,0),3),"")</f>
        <v>0</v>
      </c>
      <c r="R338" s="194">
        <f ca="1">OFFSET('배치점수 계산기'!H$10,$D338,0)</f>
        <v>892.56700000000001</v>
      </c>
      <c r="S338" s="194">
        <f ca="1">OFFSET('배치점수 계산기'!I$10,$D338,0)</f>
        <v>888.91200000000003</v>
      </c>
      <c r="T338" s="194">
        <f ca="1">OFFSET('배치점수 계산기'!J$10,$D338,0)</f>
        <v>886.10500000000002</v>
      </c>
      <c r="U338" s="194">
        <f ca="1">OFFSET('배치점수 계산기'!K$10,$D338,0)</f>
        <v>883.03899999999999</v>
      </c>
      <c r="V338" s="194">
        <f ca="1">OFFSET('배치점수 계산기'!L$10,$D338,0)</f>
        <v>878.59699999999998</v>
      </c>
      <c r="W338" s="186" t="str">
        <f ca="1">OFFSET('배치점수 계산기'!M$10,$D338,0)</f>
        <v>표점/만점</v>
      </c>
      <c r="X338" s="184" t="str">
        <f ca="1">OFFSET('배치점수 계산기'!N$10,$D338,0)</f>
        <v>변표/만점</v>
      </c>
      <c r="Y338" s="188">
        <f ca="1">OFFSET(환산공식!FW$15,$F338,0)</f>
        <v>0.28000000000000003</v>
      </c>
      <c r="Z338" s="20">
        <f ca="1">OFFSET(환산공식!FX$15,$F338,0)</f>
        <v>0.39</v>
      </c>
      <c r="AA338" s="179">
        <f ca="1">OFFSET(환산공식!FY$15,$F338,0)</f>
        <v>0.33</v>
      </c>
      <c r="AB338" s="3"/>
      <c r="AD338">
        <f t="shared" ca="1" si="11"/>
        <v>6</v>
      </c>
      <c r="AF338" s="3"/>
      <c r="AG338" s="3"/>
      <c r="AH338" s="3"/>
    </row>
    <row r="339" spans="1:34">
      <c r="A339" s="198"/>
      <c r="B339" s="198"/>
      <c r="C339" s="198" t="s">
        <v>1791</v>
      </c>
      <c r="D339" s="195">
        <v>1327</v>
      </c>
      <c r="E339" s="195">
        <v>115</v>
      </c>
      <c r="F339" s="195">
        <v>115</v>
      </c>
      <c r="G339" s="239">
        <v>332</v>
      </c>
      <c r="H339" s="197" t="s">
        <v>79</v>
      </c>
      <c r="I339" s="242" t="s">
        <v>238</v>
      </c>
      <c r="J339" s="242" t="s">
        <v>8633</v>
      </c>
      <c r="K339" s="195" t="s">
        <v>70</v>
      </c>
      <c r="L339" s="20" t="str">
        <f ca="1">IF(OFFSET(환산공식!$ED$15,$F339,0)=1,"O","X")</f>
        <v>X</v>
      </c>
      <c r="M339" s="188">
        <f ca="1">IFERROR(OFFSET(환산공식!DJ$15,$F339,0),"")</f>
        <v>100</v>
      </c>
      <c r="N339" s="20" t="str">
        <f ca="1">IFERROR(CONCATENATE(ROUND(OFFSET(환산공식!DK$15,$F339,0),1),"%"),"")</f>
        <v>100%</v>
      </c>
      <c r="O339" s="20">
        <f ca="1">IFERROR(OFFSET(환산공식!DL$15,$F339,0),"")</f>
        <v>0</v>
      </c>
      <c r="P339" s="188" t="str">
        <f t="shared" ca="1" si="10"/>
        <v>3% 이하</v>
      </c>
      <c r="Q339" s="194">
        <f ca="1">IFERROR(ROUND(OFFSET(환산공식!$FG$15,$F339,0),3),"")</f>
        <v>0</v>
      </c>
      <c r="R339" s="194">
        <f ca="1">OFFSET('배치점수 계산기'!H$10,$D339,0)</f>
        <v>890.78700000000003</v>
      </c>
      <c r="S339" s="194">
        <f ca="1">OFFSET('배치점수 계산기'!I$10,$D339,0)</f>
        <v>887.86800000000005</v>
      </c>
      <c r="T339" s="194">
        <f ca="1">OFFSET('배치점수 계산기'!J$10,$D339,0)</f>
        <v>885.423</v>
      </c>
      <c r="U339" s="194">
        <f ca="1">OFFSET('배치점수 계산기'!K$10,$D339,0)</f>
        <v>882.20600000000002</v>
      </c>
      <c r="V339" s="194">
        <f ca="1">OFFSET('배치점수 계산기'!L$10,$D339,0)</f>
        <v>877.86099999999999</v>
      </c>
      <c r="W339" s="186" t="str">
        <f ca="1">OFFSET('배치점수 계산기'!M$10,$D339,0)</f>
        <v>표점/만점</v>
      </c>
      <c r="X339" s="184" t="str">
        <f ca="1">OFFSET('배치점수 계산기'!N$10,$D339,0)</f>
        <v>변표/만점</v>
      </c>
      <c r="Y339" s="188">
        <f ca="1">OFFSET(환산공식!FW$15,$F339,0)</f>
        <v>0.28000000000000003</v>
      </c>
      <c r="Z339" s="20">
        <f ca="1">OFFSET(환산공식!FX$15,$F339,0)</f>
        <v>0.39</v>
      </c>
      <c r="AA339" s="179">
        <f ca="1">OFFSET(환산공식!FY$15,$F339,0)</f>
        <v>0.33</v>
      </c>
      <c r="AB339" s="3"/>
      <c r="AD339">
        <f t="shared" ca="1" si="11"/>
        <v>6</v>
      </c>
      <c r="AF339" s="3"/>
      <c r="AG339" s="3"/>
      <c r="AH339" s="3"/>
    </row>
    <row r="340" spans="1:34">
      <c r="A340" s="198"/>
      <c r="B340" s="198"/>
      <c r="C340" s="198" t="s">
        <v>1792</v>
      </c>
      <c r="D340" s="195">
        <v>1328</v>
      </c>
      <c r="E340" s="195">
        <v>115</v>
      </c>
      <c r="F340" s="195">
        <v>115</v>
      </c>
      <c r="G340" s="239">
        <v>333</v>
      </c>
      <c r="H340" s="197" t="s">
        <v>79</v>
      </c>
      <c r="I340" s="242" t="s">
        <v>238</v>
      </c>
      <c r="J340" s="242" t="s">
        <v>10912</v>
      </c>
      <c r="K340" s="195" t="s">
        <v>70</v>
      </c>
      <c r="L340" s="20" t="str">
        <f ca="1">IF(OFFSET(환산공식!$ED$15,$F340,0)=1,"O","X")</f>
        <v>X</v>
      </c>
      <c r="M340" s="188">
        <f ca="1">IFERROR(OFFSET(환산공식!DJ$15,$F340,0),"")</f>
        <v>100</v>
      </c>
      <c r="N340" s="20" t="str">
        <f ca="1">IFERROR(CONCATENATE(ROUND(OFFSET(환산공식!DK$15,$F340,0),1),"%"),"")</f>
        <v>100%</v>
      </c>
      <c r="O340" s="20">
        <f ca="1">IFERROR(OFFSET(환산공식!DL$15,$F340,0),"")</f>
        <v>0</v>
      </c>
      <c r="P340" s="188" t="str">
        <f t="shared" ca="1" si="10"/>
        <v>3% 이하</v>
      </c>
      <c r="Q340" s="194">
        <f ca="1">IFERROR(ROUND(OFFSET(환산공식!$FG$15,$F340,0),3),"")</f>
        <v>0</v>
      </c>
      <c r="R340" s="194">
        <f ca="1">OFFSET('배치점수 계산기'!H$10,$D340,0)</f>
        <v>891.875</v>
      </c>
      <c r="S340" s="194">
        <f ca="1">OFFSET('배치점수 계산기'!I$10,$D340,0)</f>
        <v>888.48199999999997</v>
      </c>
      <c r="T340" s="194">
        <f ca="1">OFFSET('배치점수 계산기'!J$10,$D340,0)</f>
        <v>885.08399999999995</v>
      </c>
      <c r="U340" s="194">
        <f ca="1">OFFSET('배치점수 계산기'!K$10,$D340,0)</f>
        <v>881.60699999999997</v>
      </c>
      <c r="V340" s="194">
        <f ca="1">OFFSET('배치점수 계산기'!L$10,$D340,0)</f>
        <v>877.45699999999999</v>
      </c>
      <c r="W340" s="186" t="str">
        <f ca="1">OFFSET('배치점수 계산기'!M$10,$D340,0)</f>
        <v>표점/만점</v>
      </c>
      <c r="X340" s="184" t="str">
        <f ca="1">OFFSET('배치점수 계산기'!N$10,$D340,0)</f>
        <v>변표/만점</v>
      </c>
      <c r="Y340" s="188">
        <f ca="1">OFFSET(환산공식!FW$15,$F340,0)</f>
        <v>0.28000000000000003</v>
      </c>
      <c r="Z340" s="20">
        <f ca="1">OFFSET(환산공식!FX$15,$F340,0)</f>
        <v>0.39</v>
      </c>
      <c r="AA340" s="179">
        <f ca="1">OFFSET(환산공식!FY$15,$F340,0)</f>
        <v>0.33</v>
      </c>
      <c r="AB340" s="3"/>
      <c r="AD340">
        <f t="shared" ca="1" si="11"/>
        <v>6</v>
      </c>
      <c r="AF340" s="3"/>
      <c r="AG340" s="3"/>
      <c r="AH340" s="3"/>
    </row>
    <row r="341" spans="1:34">
      <c r="A341" s="198"/>
      <c r="B341" s="198"/>
      <c r="C341" s="198" t="s">
        <v>1793</v>
      </c>
      <c r="D341" s="195">
        <v>1329</v>
      </c>
      <c r="E341" s="195">
        <v>115</v>
      </c>
      <c r="F341" s="195">
        <v>115</v>
      </c>
      <c r="G341" s="239">
        <v>334</v>
      </c>
      <c r="H341" s="197" t="s">
        <v>79</v>
      </c>
      <c r="I341" s="242" t="s">
        <v>238</v>
      </c>
      <c r="J341" s="242" t="s">
        <v>8323</v>
      </c>
      <c r="K341" s="195" t="s">
        <v>70</v>
      </c>
      <c r="L341" s="20" t="str">
        <f ca="1">IF(OFFSET(환산공식!$ED$15,$F341,0)=1,"O","X")</f>
        <v>X</v>
      </c>
      <c r="M341" s="188">
        <f ca="1">IFERROR(OFFSET(환산공식!DJ$15,$F341,0),"")</f>
        <v>100</v>
      </c>
      <c r="N341" s="20" t="str">
        <f ca="1">IFERROR(CONCATENATE(ROUND(OFFSET(환산공식!DK$15,$F341,0),1),"%"),"")</f>
        <v>100%</v>
      </c>
      <c r="O341" s="20">
        <f ca="1">IFERROR(OFFSET(환산공식!DL$15,$F341,0),"")</f>
        <v>0</v>
      </c>
      <c r="P341" s="188" t="str">
        <f t="shared" ca="1" si="10"/>
        <v>3% 이하</v>
      </c>
      <c r="Q341" s="194">
        <f ca="1">IFERROR(ROUND(OFFSET(환산공식!$FG$15,$F341,0),3),"")</f>
        <v>0</v>
      </c>
      <c r="R341" s="194">
        <f ca="1">OFFSET('배치점수 계산기'!H$10,$D341,0)</f>
        <v>890.13599999999997</v>
      </c>
      <c r="S341" s="194">
        <f ca="1">OFFSET('배치점수 계산기'!I$10,$D341,0)</f>
        <v>886.46600000000001</v>
      </c>
      <c r="T341" s="194">
        <f ca="1">OFFSET('배치점수 계산기'!J$10,$D341,0)</f>
        <v>883.33900000000006</v>
      </c>
      <c r="U341" s="194">
        <f ca="1">OFFSET('배치점수 계산기'!K$10,$D341,0)</f>
        <v>879.96299999999997</v>
      </c>
      <c r="V341" s="194">
        <f ca="1">OFFSET('배치점수 계산기'!L$10,$D341,0)</f>
        <v>875.03300000000002</v>
      </c>
      <c r="W341" s="186" t="str">
        <f ca="1">OFFSET('배치점수 계산기'!M$10,$D341,0)</f>
        <v>표점/만점</v>
      </c>
      <c r="X341" s="184" t="str">
        <f ca="1">OFFSET('배치점수 계산기'!N$10,$D341,0)</f>
        <v>변표/만점</v>
      </c>
      <c r="Y341" s="188">
        <f ca="1">OFFSET(환산공식!FW$15,$F341,0)</f>
        <v>0.28000000000000003</v>
      </c>
      <c r="Z341" s="20">
        <f ca="1">OFFSET(환산공식!FX$15,$F341,0)</f>
        <v>0.39</v>
      </c>
      <c r="AA341" s="179">
        <f ca="1">OFFSET(환산공식!FY$15,$F341,0)</f>
        <v>0.33</v>
      </c>
      <c r="AB341" s="3"/>
      <c r="AD341">
        <f t="shared" ca="1" si="11"/>
        <v>6</v>
      </c>
      <c r="AF341" s="3"/>
      <c r="AG341" s="3"/>
      <c r="AH341" s="3"/>
    </row>
    <row r="342" spans="1:34">
      <c r="A342" s="198"/>
      <c r="B342" s="198"/>
      <c r="C342" s="198" t="s">
        <v>1794</v>
      </c>
      <c r="D342" s="195">
        <v>1330</v>
      </c>
      <c r="E342" s="195">
        <v>115</v>
      </c>
      <c r="F342" s="195">
        <v>115</v>
      </c>
      <c r="G342" s="239">
        <v>335</v>
      </c>
      <c r="H342" s="197" t="s">
        <v>79</v>
      </c>
      <c r="I342" s="242" t="s">
        <v>238</v>
      </c>
      <c r="J342" s="242" t="s">
        <v>10967</v>
      </c>
      <c r="K342" s="195" t="s">
        <v>70</v>
      </c>
      <c r="L342" s="20" t="str">
        <f ca="1">IF(OFFSET(환산공식!$ED$15,$F342,0)=1,"O","X")</f>
        <v>X</v>
      </c>
      <c r="M342" s="188">
        <f ca="1">IFERROR(OFFSET(환산공식!DJ$15,$F342,0),"")</f>
        <v>100</v>
      </c>
      <c r="N342" s="20" t="str">
        <f ca="1">IFERROR(CONCATENATE(ROUND(OFFSET(환산공식!DK$15,$F342,0),1),"%"),"")</f>
        <v>100%</v>
      </c>
      <c r="O342" s="20">
        <f ca="1">IFERROR(OFFSET(환산공식!DL$15,$F342,0),"")</f>
        <v>0</v>
      </c>
      <c r="P342" s="188" t="str">
        <f t="shared" ca="1" si="10"/>
        <v>3% 이하</v>
      </c>
      <c r="Q342" s="194">
        <f ca="1">IFERROR(ROUND(OFFSET(환산공식!$FG$15,$F342,0),3),"")</f>
        <v>0</v>
      </c>
      <c r="R342" s="194">
        <f ca="1">OFFSET('배치점수 계산기'!H$10,$D342,0)</f>
        <v>890.78700000000003</v>
      </c>
      <c r="S342" s="194">
        <f ca="1">OFFSET('배치점수 계산기'!I$10,$D342,0)</f>
        <v>886.91</v>
      </c>
      <c r="T342" s="194">
        <f ca="1">OFFSET('배치점수 계산기'!J$10,$D342,0)</f>
        <v>883.33900000000006</v>
      </c>
      <c r="U342" s="194">
        <f ca="1">OFFSET('배치점수 계산기'!K$10,$D342,0)</f>
        <v>880.51900000000001</v>
      </c>
      <c r="V342" s="194">
        <f ca="1">OFFSET('배치점수 계산기'!L$10,$D342,0)</f>
        <v>876.26700000000005</v>
      </c>
      <c r="W342" s="186" t="str">
        <f ca="1">OFFSET('배치점수 계산기'!M$10,$D342,0)</f>
        <v>표점/만점</v>
      </c>
      <c r="X342" s="184" t="str">
        <f ca="1">OFFSET('배치점수 계산기'!N$10,$D342,0)</f>
        <v>변표/만점</v>
      </c>
      <c r="Y342" s="188">
        <f ca="1">OFFSET(환산공식!FW$15,$F342,0)</f>
        <v>0.28000000000000003</v>
      </c>
      <c r="Z342" s="20">
        <f ca="1">OFFSET(환산공식!FX$15,$F342,0)</f>
        <v>0.39</v>
      </c>
      <c r="AA342" s="179">
        <f ca="1">OFFSET(환산공식!FY$15,$F342,0)</f>
        <v>0.33</v>
      </c>
      <c r="AB342" s="3"/>
      <c r="AD342">
        <f t="shared" ca="1" si="11"/>
        <v>6</v>
      </c>
      <c r="AF342" s="3"/>
      <c r="AG342" s="3"/>
      <c r="AH342" s="3"/>
    </row>
    <row r="343" spans="1:34">
      <c r="A343" s="198"/>
      <c r="B343" s="198"/>
      <c r="C343" s="198" t="s">
        <v>1795</v>
      </c>
      <c r="D343" s="195">
        <v>1331</v>
      </c>
      <c r="E343" s="195">
        <v>117</v>
      </c>
      <c r="F343" s="195">
        <v>117</v>
      </c>
      <c r="G343" s="239">
        <v>336</v>
      </c>
      <c r="H343" s="197" t="s">
        <v>79</v>
      </c>
      <c r="I343" s="242" t="s">
        <v>238</v>
      </c>
      <c r="J343" s="242" t="s">
        <v>7251</v>
      </c>
      <c r="K343" s="195" t="s">
        <v>70</v>
      </c>
      <c r="L343" s="20" t="str">
        <f ca="1">IF(OFFSET(환산공식!$ED$15,$F343,0)=1,"O","X")</f>
        <v>X</v>
      </c>
      <c r="M343" s="188">
        <f ca="1">IFERROR(OFFSET(환산공식!DJ$15,$F343,0),"")</f>
        <v>100</v>
      </c>
      <c r="N343" s="20" t="str">
        <f ca="1">IFERROR(CONCATENATE(ROUND(OFFSET(환산공식!DK$15,$F343,0),1),"%"),"")</f>
        <v>100%</v>
      </c>
      <c r="O343" s="20">
        <f ca="1">IFERROR(OFFSET(환산공식!DL$15,$F343,0),"")</f>
        <v>0</v>
      </c>
      <c r="P343" s="188" t="str">
        <f t="shared" ca="1" si="10"/>
        <v>3% 이하</v>
      </c>
      <c r="Q343" s="194">
        <f ca="1">IFERROR(ROUND(OFFSET(환산공식!$FG$15,$F343,0),3),"")</f>
        <v>0</v>
      </c>
      <c r="R343" s="194">
        <f ca="1">OFFSET('배치점수 계산기'!H$10,$D343,0)</f>
        <v>880.81799999999998</v>
      </c>
      <c r="S343" s="194">
        <f ca="1">OFFSET('배치점수 계산기'!I$10,$D343,0)</f>
        <v>878.03800000000001</v>
      </c>
      <c r="T343" s="194">
        <f ca="1">OFFSET('배치점수 계산기'!J$10,$D343,0)</f>
        <v>874.81899999999996</v>
      </c>
      <c r="U343" s="194">
        <f ca="1">OFFSET('배치점수 계산기'!K$10,$D343,0)</f>
        <v>871.58600000000001</v>
      </c>
      <c r="V343" s="194">
        <f ca="1">OFFSET('배치점수 계산기'!L$10,$D343,0)</f>
        <v>867.53</v>
      </c>
      <c r="W343" s="186" t="str">
        <f ca="1">OFFSET('배치점수 계산기'!M$10,$D343,0)</f>
        <v>표점/만점</v>
      </c>
      <c r="X343" s="184" t="str">
        <f ca="1">OFFSET('배치점수 계산기'!N$10,$D343,0)</f>
        <v>변표/만점</v>
      </c>
      <c r="Y343" s="188">
        <f ca="1">OFFSET(환산공식!FW$15,$F343,0)</f>
        <v>0.28000000000000003</v>
      </c>
      <c r="Z343" s="20">
        <f ca="1">OFFSET(환산공식!FX$15,$F343,0)</f>
        <v>0.45</v>
      </c>
      <c r="AA343" s="179">
        <f ca="1">OFFSET(환산공식!FY$15,$F343,0)</f>
        <v>0.27</v>
      </c>
      <c r="AB343" s="3"/>
      <c r="AD343">
        <f t="shared" ca="1" si="11"/>
        <v>6</v>
      </c>
      <c r="AF343" s="3"/>
      <c r="AG343" s="3"/>
      <c r="AH343" s="3"/>
    </row>
    <row r="344" spans="1:34">
      <c r="A344" s="198"/>
      <c r="B344" s="198"/>
      <c r="C344" s="198" t="s">
        <v>1796</v>
      </c>
      <c r="D344" s="195">
        <v>1332</v>
      </c>
      <c r="E344" s="195">
        <v>115</v>
      </c>
      <c r="F344" s="195">
        <v>115</v>
      </c>
      <c r="G344" s="239">
        <v>337</v>
      </c>
      <c r="H344" s="197" t="s">
        <v>79</v>
      </c>
      <c r="I344" s="242" t="s">
        <v>238</v>
      </c>
      <c r="J344" s="242" t="s">
        <v>8283</v>
      </c>
      <c r="K344" s="195" t="s">
        <v>70</v>
      </c>
      <c r="L344" s="20" t="str">
        <f ca="1">IF(OFFSET(환산공식!$ED$15,$F344,0)=1,"O","X")</f>
        <v>X</v>
      </c>
      <c r="M344" s="188">
        <f ca="1">IFERROR(OFFSET(환산공식!DJ$15,$F344,0),"")</f>
        <v>100</v>
      </c>
      <c r="N344" s="20" t="str">
        <f ca="1">IFERROR(CONCATENATE(ROUND(OFFSET(환산공식!DK$15,$F344,0),1),"%"),"")</f>
        <v>100%</v>
      </c>
      <c r="O344" s="20">
        <f ca="1">IFERROR(OFFSET(환산공식!DL$15,$F344,0),"")</f>
        <v>0</v>
      </c>
      <c r="P344" s="188" t="str">
        <f t="shared" ca="1" si="10"/>
        <v>3% 이하</v>
      </c>
      <c r="Q344" s="194">
        <f ca="1">IFERROR(ROUND(OFFSET(환산공식!$FG$15,$F344,0),3),"")</f>
        <v>0</v>
      </c>
      <c r="R344" s="194">
        <f ca="1">OFFSET('배치점수 계산기'!H$10,$D344,0)</f>
        <v>887.08</v>
      </c>
      <c r="S344" s="194">
        <f ca="1">OFFSET('배치점수 계산기'!I$10,$D344,0)</f>
        <v>884.51900000000001</v>
      </c>
      <c r="T344" s="194">
        <f ca="1">OFFSET('배치점수 계산기'!J$10,$D344,0)</f>
        <v>881.46199999999999</v>
      </c>
      <c r="U344" s="194">
        <f ca="1">OFFSET('배치점수 계산기'!K$10,$D344,0)</f>
        <v>878.59699999999998</v>
      </c>
      <c r="V344" s="194">
        <f ca="1">OFFSET('배치점수 계산기'!L$10,$D344,0)</f>
        <v>874.39599999999996</v>
      </c>
      <c r="W344" s="186" t="str">
        <f ca="1">OFFSET('배치점수 계산기'!M$10,$D344,0)</f>
        <v>표점/만점</v>
      </c>
      <c r="X344" s="184" t="str">
        <f ca="1">OFFSET('배치점수 계산기'!N$10,$D344,0)</f>
        <v>변표/만점</v>
      </c>
      <c r="Y344" s="188">
        <f ca="1">OFFSET(환산공식!FW$15,$F344,0)</f>
        <v>0.28000000000000003</v>
      </c>
      <c r="Z344" s="20">
        <f ca="1">OFFSET(환산공식!FX$15,$F344,0)</f>
        <v>0.39</v>
      </c>
      <c r="AA344" s="179">
        <f ca="1">OFFSET(환산공식!FY$15,$F344,0)</f>
        <v>0.33</v>
      </c>
      <c r="AB344" s="3"/>
      <c r="AD344">
        <f t="shared" ca="1" si="11"/>
        <v>6</v>
      </c>
      <c r="AF344" s="3"/>
      <c r="AG344" s="3"/>
      <c r="AH344" s="3"/>
    </row>
    <row r="345" spans="1:34">
      <c r="A345" s="198"/>
      <c r="B345" s="198"/>
      <c r="C345" s="198" t="s">
        <v>1797</v>
      </c>
      <c r="D345" s="195">
        <v>1333</v>
      </c>
      <c r="E345" s="195">
        <v>115</v>
      </c>
      <c r="F345" s="195">
        <v>115</v>
      </c>
      <c r="G345" s="239">
        <v>338</v>
      </c>
      <c r="H345" s="197" t="s">
        <v>79</v>
      </c>
      <c r="I345" s="242" t="s">
        <v>238</v>
      </c>
      <c r="J345" s="242" t="s">
        <v>8307</v>
      </c>
      <c r="K345" s="195" t="s">
        <v>70</v>
      </c>
      <c r="L345" s="20" t="str">
        <f ca="1">IF(OFFSET(환산공식!$ED$15,$F345,0)=1,"O","X")</f>
        <v>X</v>
      </c>
      <c r="M345" s="188">
        <f ca="1">IFERROR(OFFSET(환산공식!DJ$15,$F345,0),"")</f>
        <v>100</v>
      </c>
      <c r="N345" s="20" t="str">
        <f ca="1">IFERROR(CONCATENATE(ROUND(OFFSET(환산공식!DK$15,$F345,0),1),"%"),"")</f>
        <v>100%</v>
      </c>
      <c r="O345" s="20">
        <f ca="1">IFERROR(OFFSET(환산공식!DL$15,$F345,0),"")</f>
        <v>0</v>
      </c>
      <c r="P345" s="188" t="str">
        <f t="shared" ca="1" si="10"/>
        <v>3% 이하</v>
      </c>
      <c r="Q345" s="194">
        <f ca="1">IFERROR(ROUND(OFFSET(환산공식!$FG$15,$F345,0),3),"")</f>
        <v>0</v>
      </c>
      <c r="R345" s="194">
        <f ca="1">OFFSET('배치점수 계산기'!H$10,$D345,0)</f>
        <v>888.48199999999997</v>
      </c>
      <c r="S345" s="194">
        <f ca="1">OFFSET('배치점수 계산기'!I$10,$D345,0)</f>
        <v>884.51900000000001</v>
      </c>
      <c r="T345" s="194">
        <f ca="1">OFFSET('배치점수 계산기'!J$10,$D345,0)</f>
        <v>881.08799999999997</v>
      </c>
      <c r="U345" s="194">
        <f ca="1">OFFSET('배치점수 계산기'!K$10,$D345,0)</f>
        <v>877.57100000000003</v>
      </c>
      <c r="V345" s="194">
        <f ca="1">OFFSET('배치점수 계산기'!L$10,$D345,0)</f>
        <v>873.18899999999996</v>
      </c>
      <c r="W345" s="186" t="str">
        <f ca="1">OFFSET('배치점수 계산기'!M$10,$D345,0)</f>
        <v>표점/만점</v>
      </c>
      <c r="X345" s="184" t="str">
        <f ca="1">OFFSET('배치점수 계산기'!N$10,$D345,0)</f>
        <v>변표/만점</v>
      </c>
      <c r="Y345" s="188">
        <f ca="1">OFFSET(환산공식!FW$15,$F345,0)</f>
        <v>0.28000000000000003</v>
      </c>
      <c r="Z345" s="20">
        <f ca="1">OFFSET(환산공식!FX$15,$F345,0)</f>
        <v>0.39</v>
      </c>
      <c r="AA345" s="179">
        <f ca="1">OFFSET(환산공식!FY$15,$F345,0)</f>
        <v>0.33</v>
      </c>
      <c r="AB345" s="3"/>
      <c r="AD345">
        <f t="shared" ca="1" si="11"/>
        <v>6</v>
      </c>
      <c r="AF345" s="3"/>
      <c r="AG345" s="3"/>
      <c r="AH345" s="3"/>
    </row>
    <row r="346" spans="1:34">
      <c r="A346" s="198"/>
      <c r="B346" s="198"/>
      <c r="C346" s="198" t="s">
        <v>1798</v>
      </c>
      <c r="D346" s="195">
        <v>1334</v>
      </c>
      <c r="E346" s="195">
        <v>118</v>
      </c>
      <c r="F346" s="195">
        <v>118</v>
      </c>
      <c r="G346" s="239">
        <v>339</v>
      </c>
      <c r="H346" s="197" t="s">
        <v>79</v>
      </c>
      <c r="I346" s="242" t="s">
        <v>238</v>
      </c>
      <c r="J346" s="242" t="s">
        <v>10159</v>
      </c>
      <c r="K346" s="195" t="s">
        <v>71</v>
      </c>
      <c r="L346" s="20" t="str">
        <f ca="1">IF(OFFSET(환산공식!$ED$15,$F346,0)=1,"O","X")</f>
        <v>X</v>
      </c>
      <c r="M346" s="188">
        <f ca="1">IFERROR(OFFSET(환산공식!DJ$15,$F346,0),"")</f>
        <v>150</v>
      </c>
      <c r="N346" s="20" t="str">
        <f ca="1">IFERROR(CONCATENATE(ROUND(OFFSET(환산공식!DK$15,$F346,0),1),"%"),"")</f>
        <v>100%</v>
      </c>
      <c r="O346" s="20">
        <f ca="1">IFERROR(OFFSET(환산공식!DL$15,$F346,0),"")</f>
        <v>0</v>
      </c>
      <c r="P346" s="188" t="str">
        <f t="shared" ca="1" si="10"/>
        <v>3% 이하</v>
      </c>
      <c r="Q346" s="194">
        <f ca="1">IFERROR(ROUND(OFFSET(환산공식!$FG$15,$F346,0),3),"")</f>
        <v>0</v>
      </c>
      <c r="R346" s="194">
        <f ca="1">OFFSET('배치점수 계산기'!H$10,$D346,0)</f>
        <v>904.74300000000005</v>
      </c>
      <c r="S346" s="194">
        <f ca="1">OFFSET('배치점수 계산기'!I$10,$D346,0)</f>
        <v>901.96</v>
      </c>
      <c r="T346" s="194">
        <f ca="1">OFFSET('배치점수 계산기'!J$10,$D346,0)</f>
        <v>899.55600000000004</v>
      </c>
      <c r="U346" s="194">
        <f ca="1">OFFSET('배치점수 계산기'!K$10,$D346,0)</f>
        <v>895.55100000000004</v>
      </c>
      <c r="V346" s="194">
        <f ca="1">OFFSET('배치점수 계산기'!L$10,$D346,0)</f>
        <v>888.49199999999996</v>
      </c>
      <c r="W346" s="186" t="str">
        <f ca="1">OFFSET('배치점수 계산기'!M$10,$D346,0)</f>
        <v>표점/만점</v>
      </c>
      <c r="X346" s="184" t="str">
        <f ca="1">OFFSET('배치점수 계산기'!N$10,$D346,0)</f>
        <v>변표/만점</v>
      </c>
      <c r="Y346" s="188">
        <f ca="1">OFFSET(환산공식!FW$15,$F346,0)</f>
        <v>0.42</v>
      </c>
      <c r="Z346" s="20">
        <f ca="1">OFFSET(환산공식!FX$15,$F346,0)</f>
        <v>0.3</v>
      </c>
      <c r="AA346" s="179">
        <f ca="1">OFFSET(환산공식!FY$15,$F346,0)</f>
        <v>0.28999999999999998</v>
      </c>
      <c r="AB346" s="3"/>
      <c r="AD346">
        <f t="shared" ca="1" si="11"/>
        <v>6</v>
      </c>
      <c r="AF346" s="3"/>
      <c r="AG346" s="3"/>
      <c r="AH346" s="3"/>
    </row>
    <row r="347" spans="1:34">
      <c r="A347" s="198"/>
      <c r="B347" s="198"/>
      <c r="C347" s="198" t="s">
        <v>1799</v>
      </c>
      <c r="D347" s="195">
        <v>1335</v>
      </c>
      <c r="E347" s="195">
        <v>118</v>
      </c>
      <c r="F347" s="195">
        <v>118</v>
      </c>
      <c r="G347" s="239">
        <v>340</v>
      </c>
      <c r="H347" s="197" t="s">
        <v>79</v>
      </c>
      <c r="I347" s="242" t="s">
        <v>238</v>
      </c>
      <c r="J347" s="242" t="s">
        <v>8269</v>
      </c>
      <c r="K347" s="195" t="s">
        <v>71</v>
      </c>
      <c r="L347" s="20" t="str">
        <f ca="1">IF(OFFSET(환산공식!$ED$15,$F347,0)=1,"O","X")</f>
        <v>X</v>
      </c>
      <c r="M347" s="188">
        <f ca="1">IFERROR(OFFSET(환산공식!DJ$15,$F347,0),"")</f>
        <v>150</v>
      </c>
      <c r="N347" s="20" t="str">
        <f ca="1">IFERROR(CONCATENATE(ROUND(OFFSET(환산공식!DK$15,$F347,0),1),"%"),"")</f>
        <v>100%</v>
      </c>
      <c r="O347" s="20">
        <f ca="1">IFERROR(OFFSET(환산공식!DL$15,$F347,0),"")</f>
        <v>0</v>
      </c>
      <c r="P347" s="188" t="str">
        <f t="shared" ca="1" si="10"/>
        <v>3% 이하</v>
      </c>
      <c r="Q347" s="194">
        <f ca="1">IFERROR(ROUND(OFFSET(환산공식!$FG$15,$F347,0),3),"")</f>
        <v>0</v>
      </c>
      <c r="R347" s="194">
        <f ca="1">OFFSET('배치점수 계산기'!H$10,$D347,0)</f>
        <v>895.91399999999999</v>
      </c>
      <c r="S347" s="194">
        <f ca="1">OFFSET('배치점수 계산기'!I$10,$D347,0)</f>
        <v>891.70100000000002</v>
      </c>
      <c r="T347" s="194">
        <f ca="1">OFFSET('배치점수 계산기'!J$10,$D347,0)</f>
        <v>886.97900000000004</v>
      </c>
      <c r="U347" s="194">
        <f ca="1">OFFSET('배치점수 계산기'!K$10,$D347,0)</f>
        <v>882.04899999999998</v>
      </c>
      <c r="V347" s="194">
        <f ca="1">OFFSET('배치점수 계산기'!L$10,$D347,0)</f>
        <v>876.08799999999997</v>
      </c>
      <c r="W347" s="186" t="str">
        <f ca="1">OFFSET('배치점수 계산기'!M$10,$D347,0)</f>
        <v>표점/만점</v>
      </c>
      <c r="X347" s="184" t="str">
        <f ca="1">OFFSET('배치점수 계산기'!N$10,$D347,0)</f>
        <v>변표/만점</v>
      </c>
      <c r="Y347" s="188">
        <f ca="1">OFFSET(환산공식!FW$15,$F347,0)</f>
        <v>0.42</v>
      </c>
      <c r="Z347" s="20">
        <f ca="1">OFFSET(환산공식!FX$15,$F347,0)</f>
        <v>0.3</v>
      </c>
      <c r="AA347" s="179">
        <f ca="1">OFFSET(환산공식!FY$15,$F347,0)</f>
        <v>0.28999999999999998</v>
      </c>
      <c r="AB347" s="3"/>
      <c r="AD347">
        <f t="shared" ca="1" si="11"/>
        <v>6</v>
      </c>
      <c r="AF347" s="3"/>
      <c r="AG347" s="3"/>
      <c r="AH347" s="3"/>
    </row>
    <row r="348" spans="1:34">
      <c r="A348" s="198"/>
      <c r="B348" s="198"/>
      <c r="C348" s="198" t="s">
        <v>1800</v>
      </c>
      <c r="D348" s="195">
        <v>1336</v>
      </c>
      <c r="E348" s="195">
        <v>119</v>
      </c>
      <c r="F348" s="195">
        <v>119</v>
      </c>
      <c r="G348" s="239">
        <v>341</v>
      </c>
      <c r="H348" s="197" t="s">
        <v>79</v>
      </c>
      <c r="I348" s="242" t="s">
        <v>238</v>
      </c>
      <c r="J348" s="242" t="s">
        <v>7253</v>
      </c>
      <c r="K348" s="195" t="s">
        <v>71</v>
      </c>
      <c r="L348" s="20" t="str">
        <f ca="1">IF(OFFSET(환산공식!$ED$15,$F348,0)=1,"O","X")</f>
        <v>X</v>
      </c>
      <c r="M348" s="188">
        <f ca="1">IFERROR(OFFSET(환산공식!DJ$15,$F348,0),"")</f>
        <v>100</v>
      </c>
      <c r="N348" s="20" t="str">
        <f ca="1">IFERROR(CONCATENATE(ROUND(OFFSET(환산공식!DK$15,$F348,0),1),"%"),"")</f>
        <v>100%</v>
      </c>
      <c r="O348" s="20">
        <f ca="1">IFERROR(OFFSET(환산공식!DL$15,$F348,0),"")</f>
        <v>0</v>
      </c>
      <c r="P348" s="188" t="str">
        <f t="shared" ca="1" si="10"/>
        <v>3% 이하</v>
      </c>
      <c r="Q348" s="194">
        <f ca="1">IFERROR(ROUND(OFFSET(환산공식!$FG$15,$F348,0),3),"")</f>
        <v>0</v>
      </c>
      <c r="R348" s="194">
        <f ca="1">OFFSET('배치점수 계산기'!H$10,$D348,0)</f>
        <v>889.07100000000003</v>
      </c>
      <c r="S348" s="194">
        <f ca="1">OFFSET('배치점수 계산기'!I$10,$D348,0)</f>
        <v>884.66899999999998</v>
      </c>
      <c r="T348" s="194">
        <f ca="1">OFFSET('배치점수 계산기'!J$10,$D348,0)</f>
        <v>881.08</v>
      </c>
      <c r="U348" s="194">
        <f ca="1">OFFSET('배치점수 계산기'!K$10,$D348,0)</f>
        <v>877.34299999999996</v>
      </c>
      <c r="V348" s="194">
        <f ca="1">OFFSET('배치점수 계산기'!L$10,$D348,0)</f>
        <v>872.39400000000001</v>
      </c>
      <c r="W348" s="186" t="str">
        <f ca="1">OFFSET('배치점수 계산기'!M$10,$D348,0)</f>
        <v>표점/만점</v>
      </c>
      <c r="X348" s="184" t="str">
        <f ca="1">OFFSET('배치점수 계산기'!N$10,$D348,0)</f>
        <v>변표/만점</v>
      </c>
      <c r="Y348" s="188">
        <f ca="1">OFFSET(환산공식!FW$15,$F348,0)</f>
        <v>0.39</v>
      </c>
      <c r="Z348" s="20">
        <f ca="1">OFFSET(환산공식!FX$15,$F348,0)</f>
        <v>0.34</v>
      </c>
      <c r="AA348" s="179">
        <f ca="1">OFFSET(환산공식!FY$15,$F348,0)</f>
        <v>0.27</v>
      </c>
      <c r="AB348" s="3"/>
      <c r="AD348">
        <f t="shared" ca="1" si="11"/>
        <v>6</v>
      </c>
      <c r="AF348" s="3"/>
      <c r="AG348" s="3"/>
      <c r="AH348" s="3"/>
    </row>
    <row r="349" spans="1:34">
      <c r="A349" s="198"/>
      <c r="B349" s="198"/>
      <c r="C349" s="198" t="s">
        <v>1801</v>
      </c>
      <c r="D349" s="195">
        <v>1337</v>
      </c>
      <c r="E349" s="195">
        <v>118</v>
      </c>
      <c r="F349" s="195">
        <v>118</v>
      </c>
      <c r="G349" s="239">
        <v>342</v>
      </c>
      <c r="H349" s="197" t="s">
        <v>79</v>
      </c>
      <c r="I349" s="242" t="s">
        <v>238</v>
      </c>
      <c r="J349" s="242" t="s">
        <v>8898</v>
      </c>
      <c r="K349" s="195" t="s">
        <v>71</v>
      </c>
      <c r="L349" s="20" t="str">
        <f ca="1">IF(OFFSET(환산공식!$ED$15,$F349,0)=1,"O","X")</f>
        <v>X</v>
      </c>
      <c r="M349" s="188">
        <f ca="1">IFERROR(OFFSET(환산공식!DJ$15,$F349,0),"")</f>
        <v>150</v>
      </c>
      <c r="N349" s="20" t="str">
        <f ca="1">IFERROR(CONCATENATE(ROUND(OFFSET(환산공식!DK$15,$F349,0),1),"%"),"")</f>
        <v>100%</v>
      </c>
      <c r="O349" s="20">
        <f ca="1">IFERROR(OFFSET(환산공식!DL$15,$F349,0),"")</f>
        <v>0</v>
      </c>
      <c r="P349" s="188" t="str">
        <f t="shared" ca="1" si="10"/>
        <v>3% 이하</v>
      </c>
      <c r="Q349" s="194">
        <f ca="1">IFERROR(ROUND(OFFSET(환산공식!$FG$15,$F349,0),3),"")</f>
        <v>0</v>
      </c>
      <c r="R349" s="194">
        <f ca="1">OFFSET('배치점수 계산기'!H$10,$D349,0)</f>
        <v>891.99800000000005</v>
      </c>
      <c r="S349" s="194">
        <f ca="1">OFFSET('배치점수 계산기'!I$10,$D349,0)</f>
        <v>889.10900000000004</v>
      </c>
      <c r="T349" s="194">
        <f ca="1">OFFSET('배치점수 계산기'!J$10,$D349,0)</f>
        <v>886.51099999999997</v>
      </c>
      <c r="U349" s="194">
        <f ca="1">OFFSET('배치점수 계산기'!K$10,$D349,0)</f>
        <v>883.63199999999995</v>
      </c>
      <c r="V349" s="194">
        <f ca="1">OFFSET('배치점수 계산기'!L$10,$D349,0)</f>
        <v>878.86099999999999</v>
      </c>
      <c r="W349" s="186" t="str">
        <f ca="1">OFFSET('배치점수 계산기'!M$10,$D349,0)</f>
        <v>표점/만점</v>
      </c>
      <c r="X349" s="184" t="str">
        <f ca="1">OFFSET('배치점수 계산기'!N$10,$D349,0)</f>
        <v>변표/만점</v>
      </c>
      <c r="Y349" s="188">
        <f ca="1">OFFSET(환산공식!FW$15,$F349,0)</f>
        <v>0.42</v>
      </c>
      <c r="Z349" s="20">
        <f ca="1">OFFSET(환산공식!FX$15,$F349,0)</f>
        <v>0.3</v>
      </c>
      <c r="AA349" s="179">
        <f ca="1">OFFSET(환산공식!FY$15,$F349,0)</f>
        <v>0.28999999999999998</v>
      </c>
      <c r="AB349" s="3"/>
      <c r="AD349">
        <f t="shared" ca="1" si="11"/>
        <v>6</v>
      </c>
      <c r="AF349" s="3"/>
      <c r="AG349" s="3"/>
      <c r="AH349" s="3"/>
    </row>
    <row r="350" spans="1:34">
      <c r="A350" s="198"/>
      <c r="B350" s="198"/>
      <c r="C350" s="198" t="s">
        <v>1802</v>
      </c>
      <c r="D350" s="195">
        <v>1338</v>
      </c>
      <c r="E350" s="195">
        <v>118</v>
      </c>
      <c r="F350" s="195">
        <v>118</v>
      </c>
      <c r="G350" s="239">
        <v>343</v>
      </c>
      <c r="H350" s="197" t="s">
        <v>79</v>
      </c>
      <c r="I350" s="242" t="s">
        <v>238</v>
      </c>
      <c r="J350" s="242" t="s">
        <v>8659</v>
      </c>
      <c r="K350" s="195" t="s">
        <v>71</v>
      </c>
      <c r="L350" s="20" t="str">
        <f ca="1">IF(OFFSET(환산공식!$ED$15,$F350,0)=1,"O","X")</f>
        <v>X</v>
      </c>
      <c r="M350" s="188">
        <f ca="1">IFERROR(OFFSET(환산공식!DJ$15,$F350,0),"")</f>
        <v>150</v>
      </c>
      <c r="N350" s="20" t="str">
        <f ca="1">IFERROR(CONCATENATE(ROUND(OFFSET(환산공식!DK$15,$F350,0),1),"%"),"")</f>
        <v>100%</v>
      </c>
      <c r="O350" s="20">
        <f ca="1">IFERROR(OFFSET(환산공식!DL$15,$F350,0),"")</f>
        <v>0</v>
      </c>
      <c r="P350" s="188" t="str">
        <f t="shared" ca="1" si="10"/>
        <v>3% 이하</v>
      </c>
      <c r="Q350" s="194">
        <f ca="1">IFERROR(ROUND(OFFSET(환산공식!$FG$15,$F350,0),3),"")</f>
        <v>0</v>
      </c>
      <c r="R350" s="194">
        <f ca="1">OFFSET('배치점수 계산기'!H$10,$D350,0)</f>
        <v>889.10900000000004</v>
      </c>
      <c r="S350" s="194">
        <f ca="1">OFFSET('배치점수 계산기'!I$10,$D350,0)</f>
        <v>887.83500000000004</v>
      </c>
      <c r="T350" s="194">
        <f ca="1">OFFSET('배치점수 계산기'!J$10,$D350,0)</f>
        <v>886.27300000000002</v>
      </c>
      <c r="U350" s="194">
        <f ca="1">OFFSET('배치점수 계산기'!K$10,$D350,0)</f>
        <v>883.89</v>
      </c>
      <c r="V350" s="194">
        <f ca="1">OFFSET('배치점수 계산기'!L$10,$D350,0)</f>
        <v>876.08799999999997</v>
      </c>
      <c r="W350" s="186" t="str">
        <f ca="1">OFFSET('배치점수 계산기'!M$10,$D350,0)</f>
        <v>표점/만점</v>
      </c>
      <c r="X350" s="184" t="str">
        <f ca="1">OFFSET('배치점수 계산기'!N$10,$D350,0)</f>
        <v>변표/만점</v>
      </c>
      <c r="Y350" s="188">
        <f ca="1">OFFSET(환산공식!FW$15,$F350,0)</f>
        <v>0.42</v>
      </c>
      <c r="Z350" s="20">
        <f ca="1">OFFSET(환산공식!FX$15,$F350,0)</f>
        <v>0.3</v>
      </c>
      <c r="AA350" s="179">
        <f ca="1">OFFSET(환산공식!FY$15,$F350,0)</f>
        <v>0.28999999999999998</v>
      </c>
      <c r="AB350" s="3"/>
      <c r="AD350">
        <f t="shared" ca="1" si="11"/>
        <v>6</v>
      </c>
      <c r="AF350" s="3"/>
      <c r="AG350" s="3"/>
      <c r="AH350" s="3"/>
    </row>
    <row r="351" spans="1:34">
      <c r="A351" s="198"/>
      <c r="B351" s="198"/>
      <c r="C351" s="198" t="s">
        <v>1803</v>
      </c>
      <c r="D351" s="195">
        <v>1339</v>
      </c>
      <c r="E351" s="195">
        <v>118</v>
      </c>
      <c r="F351" s="195">
        <v>118</v>
      </c>
      <c r="G351" s="239">
        <v>344</v>
      </c>
      <c r="H351" s="197" t="s">
        <v>79</v>
      </c>
      <c r="I351" s="242" t="s">
        <v>238</v>
      </c>
      <c r="J351" s="242" t="s">
        <v>8534</v>
      </c>
      <c r="K351" s="195" t="s">
        <v>71</v>
      </c>
      <c r="L351" s="20" t="str">
        <f ca="1">IF(OFFSET(환산공식!$ED$15,$F351,0)=1,"O","X")</f>
        <v>X</v>
      </c>
      <c r="M351" s="188">
        <f ca="1">IFERROR(OFFSET(환산공식!DJ$15,$F351,0),"")</f>
        <v>150</v>
      </c>
      <c r="N351" s="20" t="str">
        <f ca="1">IFERROR(CONCATENATE(ROUND(OFFSET(환산공식!DK$15,$F351,0),1),"%"),"")</f>
        <v>100%</v>
      </c>
      <c r="O351" s="20">
        <f ca="1">IFERROR(OFFSET(환산공식!DL$15,$F351,0),"")</f>
        <v>0</v>
      </c>
      <c r="P351" s="188" t="str">
        <f t="shared" ca="1" si="10"/>
        <v>3% 이하</v>
      </c>
      <c r="Q351" s="194">
        <f ca="1">IFERROR(ROUND(OFFSET(환산공식!$FG$15,$F351,0),3),"")</f>
        <v>0</v>
      </c>
      <c r="R351" s="194">
        <f ca="1">OFFSET('배치점수 계산기'!H$10,$D351,0)</f>
        <v>890.40099999999995</v>
      </c>
      <c r="S351" s="194">
        <f ca="1">OFFSET('배치점수 계산기'!I$10,$D351,0)</f>
        <v>886.27300000000002</v>
      </c>
      <c r="T351" s="194">
        <f ca="1">OFFSET('배치점수 계산기'!J$10,$D351,0)</f>
        <v>883.29</v>
      </c>
      <c r="U351" s="194">
        <f ca="1">OFFSET('배치점수 계산기'!K$10,$D351,0)</f>
        <v>879.30100000000004</v>
      </c>
      <c r="V351" s="194">
        <f ca="1">OFFSET('배치점수 계산기'!L$10,$D351,0)</f>
        <v>874.76599999999996</v>
      </c>
      <c r="W351" s="186" t="str">
        <f ca="1">OFFSET('배치점수 계산기'!M$10,$D351,0)</f>
        <v>표점/만점</v>
      </c>
      <c r="X351" s="184" t="str">
        <f ca="1">OFFSET('배치점수 계산기'!N$10,$D351,0)</f>
        <v>변표/만점</v>
      </c>
      <c r="Y351" s="188">
        <f ca="1">OFFSET(환산공식!FW$15,$F351,0)</f>
        <v>0.42</v>
      </c>
      <c r="Z351" s="20">
        <f ca="1">OFFSET(환산공식!FX$15,$F351,0)</f>
        <v>0.3</v>
      </c>
      <c r="AA351" s="179">
        <f ca="1">OFFSET(환산공식!FY$15,$F351,0)</f>
        <v>0.28999999999999998</v>
      </c>
      <c r="AB351" s="3"/>
      <c r="AD351">
        <f t="shared" ca="1" si="11"/>
        <v>6</v>
      </c>
      <c r="AF351" s="3"/>
      <c r="AG351" s="3"/>
      <c r="AH351" s="3"/>
    </row>
    <row r="352" spans="1:34">
      <c r="A352" s="198"/>
      <c r="B352" s="198"/>
      <c r="C352" s="198" t="s">
        <v>1804</v>
      </c>
      <c r="D352" s="195">
        <v>1340</v>
      </c>
      <c r="E352" s="195">
        <v>118</v>
      </c>
      <c r="F352" s="195">
        <v>118</v>
      </c>
      <c r="G352" s="239">
        <v>345</v>
      </c>
      <c r="H352" s="197" t="s">
        <v>79</v>
      </c>
      <c r="I352" s="242" t="s">
        <v>238</v>
      </c>
      <c r="J352" s="242" t="s">
        <v>8883</v>
      </c>
      <c r="K352" s="195" t="s">
        <v>71</v>
      </c>
      <c r="L352" s="20" t="str">
        <f ca="1">IF(OFFSET(환산공식!$ED$15,$F352,0)=1,"O","X")</f>
        <v>X</v>
      </c>
      <c r="M352" s="188">
        <f ca="1">IFERROR(OFFSET(환산공식!DJ$15,$F352,0),"")</f>
        <v>150</v>
      </c>
      <c r="N352" s="20" t="str">
        <f ca="1">IFERROR(CONCATENATE(ROUND(OFFSET(환산공식!DK$15,$F352,0),1),"%"),"")</f>
        <v>100%</v>
      </c>
      <c r="O352" s="20">
        <f ca="1">IFERROR(OFFSET(환산공식!DL$15,$F352,0),"")</f>
        <v>0</v>
      </c>
      <c r="P352" s="188" t="str">
        <f t="shared" ca="1" si="10"/>
        <v>3% 이하</v>
      </c>
      <c r="Q352" s="194">
        <f ca="1">IFERROR(ROUND(OFFSET(환산공식!$FG$15,$F352,0),3),"")</f>
        <v>0</v>
      </c>
      <c r="R352" s="194">
        <f ca="1">OFFSET('배치점수 계산기'!H$10,$D352,0)</f>
        <v>885.29100000000005</v>
      </c>
      <c r="S352" s="194">
        <f ca="1">OFFSET('배치점수 계산기'!I$10,$D352,0)</f>
        <v>882.04899999999998</v>
      </c>
      <c r="T352" s="194">
        <f ca="1">OFFSET('배치점수 계산기'!J$10,$D352,0)</f>
        <v>878.86099999999999</v>
      </c>
      <c r="U352" s="194">
        <f ca="1">OFFSET('배치점수 계산기'!K$10,$D352,0)</f>
        <v>875.18399999999997</v>
      </c>
      <c r="V352" s="194">
        <f ca="1">OFFSET('배치점수 계산기'!L$10,$D352,0)</f>
        <v>870.69200000000001</v>
      </c>
      <c r="W352" s="186" t="str">
        <f ca="1">OFFSET('배치점수 계산기'!M$10,$D352,0)</f>
        <v>표점/만점</v>
      </c>
      <c r="X352" s="184" t="str">
        <f ca="1">OFFSET('배치점수 계산기'!N$10,$D352,0)</f>
        <v>변표/만점</v>
      </c>
      <c r="Y352" s="188">
        <f ca="1">OFFSET(환산공식!FW$15,$F352,0)</f>
        <v>0.42</v>
      </c>
      <c r="Z352" s="20">
        <f ca="1">OFFSET(환산공식!FX$15,$F352,0)</f>
        <v>0.3</v>
      </c>
      <c r="AA352" s="179">
        <f ca="1">OFFSET(환산공식!FY$15,$F352,0)</f>
        <v>0.28999999999999998</v>
      </c>
      <c r="AB352" s="3"/>
      <c r="AD352">
        <f t="shared" ca="1" si="11"/>
        <v>6</v>
      </c>
      <c r="AF352" s="3"/>
      <c r="AG352" s="3"/>
      <c r="AH352" s="3"/>
    </row>
    <row r="353" spans="1:34">
      <c r="A353" s="198"/>
      <c r="B353" s="198"/>
      <c r="C353" s="198" t="s">
        <v>1805</v>
      </c>
      <c r="D353" s="195">
        <v>1341</v>
      </c>
      <c r="E353" s="195">
        <v>118</v>
      </c>
      <c r="F353" s="195">
        <v>118</v>
      </c>
      <c r="G353" s="239">
        <v>346</v>
      </c>
      <c r="H353" s="197" t="s">
        <v>79</v>
      </c>
      <c r="I353" s="242" t="s">
        <v>238</v>
      </c>
      <c r="J353" s="242" t="s">
        <v>11039</v>
      </c>
      <c r="K353" s="195" t="s">
        <v>71</v>
      </c>
      <c r="L353" s="20" t="str">
        <f ca="1">IF(OFFSET(환산공식!$ED$15,$F353,0)=1,"O","X")</f>
        <v>X</v>
      </c>
      <c r="M353" s="188">
        <f ca="1">IFERROR(OFFSET(환산공식!DJ$15,$F353,0),"")</f>
        <v>150</v>
      </c>
      <c r="N353" s="20" t="str">
        <f ca="1">IFERROR(CONCATENATE(ROUND(OFFSET(환산공식!DK$15,$F353,0),1),"%"),"")</f>
        <v>100%</v>
      </c>
      <c r="O353" s="20">
        <f ca="1">IFERROR(OFFSET(환산공식!DL$15,$F353,0),"")</f>
        <v>0</v>
      </c>
      <c r="P353" s="188" t="str">
        <f t="shared" ca="1" si="10"/>
        <v>3% 이하</v>
      </c>
      <c r="Q353" s="194">
        <f ca="1">IFERROR(ROUND(OFFSET(환산공식!$FG$15,$F353,0),3),"")</f>
        <v>0</v>
      </c>
      <c r="R353" s="194">
        <f ca="1">OFFSET('배치점수 계산기'!H$10,$D353,0)</f>
        <v>884.91200000000003</v>
      </c>
      <c r="S353" s="194">
        <f ca="1">OFFSET('배치점수 계산기'!I$10,$D353,0)</f>
        <v>881.31</v>
      </c>
      <c r="T353" s="194">
        <f ca="1">OFFSET('배치점수 계산기'!J$10,$D353,0)</f>
        <v>878.48199999999997</v>
      </c>
      <c r="U353" s="194">
        <f ca="1">OFFSET('배치점수 계산기'!K$10,$D353,0)</f>
        <v>874.76599999999996</v>
      </c>
      <c r="V353" s="194">
        <f ca="1">OFFSET('배치점수 계산기'!L$10,$D353,0)</f>
        <v>870.19600000000003</v>
      </c>
      <c r="W353" s="186" t="str">
        <f ca="1">OFFSET('배치점수 계산기'!M$10,$D353,0)</f>
        <v>표점/만점</v>
      </c>
      <c r="X353" s="184" t="str">
        <f ca="1">OFFSET('배치점수 계산기'!N$10,$D353,0)</f>
        <v>변표/만점</v>
      </c>
      <c r="Y353" s="188">
        <f ca="1">OFFSET(환산공식!FW$15,$F353,0)</f>
        <v>0.42</v>
      </c>
      <c r="Z353" s="20">
        <f ca="1">OFFSET(환산공식!FX$15,$F353,0)</f>
        <v>0.3</v>
      </c>
      <c r="AA353" s="179">
        <f ca="1">OFFSET(환산공식!FY$15,$F353,0)</f>
        <v>0.28999999999999998</v>
      </c>
      <c r="AB353" s="3"/>
      <c r="AD353">
        <f t="shared" ca="1" si="11"/>
        <v>6</v>
      </c>
      <c r="AF353" s="3"/>
      <c r="AG353" s="3"/>
      <c r="AH353" s="3"/>
    </row>
    <row r="354" spans="1:34">
      <c r="A354" s="198"/>
      <c r="B354" s="198"/>
      <c r="C354" s="198" t="s">
        <v>1806</v>
      </c>
      <c r="D354" s="195">
        <v>1342</v>
      </c>
      <c r="E354" s="195">
        <v>118</v>
      </c>
      <c r="F354" s="195">
        <v>118</v>
      </c>
      <c r="G354" s="239">
        <v>347</v>
      </c>
      <c r="H354" s="197" t="s">
        <v>79</v>
      </c>
      <c r="I354" s="242" t="s">
        <v>238</v>
      </c>
      <c r="J354" s="242" t="s">
        <v>11060</v>
      </c>
      <c r="K354" s="195" t="s">
        <v>71</v>
      </c>
      <c r="L354" s="20" t="str">
        <f ca="1">IF(OFFSET(환산공식!$ED$15,$F354,0)=1,"O","X")</f>
        <v>X</v>
      </c>
      <c r="M354" s="188">
        <f ca="1">IFERROR(OFFSET(환산공식!DJ$15,$F354,0),"")</f>
        <v>150</v>
      </c>
      <c r="N354" s="20" t="str">
        <f ca="1">IFERROR(CONCATENATE(ROUND(OFFSET(환산공식!DK$15,$F354,0),1),"%"),"")</f>
        <v>100%</v>
      </c>
      <c r="O354" s="20">
        <f ca="1">IFERROR(OFFSET(환산공식!DL$15,$F354,0),"")</f>
        <v>0</v>
      </c>
      <c r="P354" s="188" t="str">
        <f t="shared" ca="1" si="10"/>
        <v>3% 이하</v>
      </c>
      <c r="Q354" s="194">
        <f ca="1">IFERROR(ROUND(OFFSET(환산공식!$FG$15,$F354,0),3),"")</f>
        <v>0</v>
      </c>
      <c r="R354" s="194">
        <f ca="1">OFFSET('배치점수 계산기'!H$10,$D354,0)</f>
        <v>884.74699999999996</v>
      </c>
      <c r="S354" s="194">
        <f ca="1">OFFSET('배치점수 계산기'!I$10,$D354,0)</f>
        <v>880.93100000000004</v>
      </c>
      <c r="T354" s="194">
        <f ca="1">OFFSET('배치점수 계산기'!J$10,$D354,0)</f>
        <v>878.06399999999996</v>
      </c>
      <c r="U354" s="194">
        <f ca="1">OFFSET('배치점수 계산기'!K$10,$D354,0)</f>
        <v>874.56600000000003</v>
      </c>
      <c r="V354" s="194">
        <f ca="1">OFFSET('배치점수 계산기'!L$10,$D354,0)</f>
        <v>869.81700000000001</v>
      </c>
      <c r="W354" s="186" t="str">
        <f ca="1">OFFSET('배치점수 계산기'!M$10,$D354,0)</f>
        <v>표점/만점</v>
      </c>
      <c r="X354" s="184" t="str">
        <f ca="1">OFFSET('배치점수 계산기'!N$10,$D354,0)</f>
        <v>변표/만점</v>
      </c>
      <c r="Y354" s="188">
        <f ca="1">OFFSET(환산공식!FW$15,$F354,0)</f>
        <v>0.42</v>
      </c>
      <c r="Z354" s="20">
        <f ca="1">OFFSET(환산공식!FX$15,$F354,0)</f>
        <v>0.3</v>
      </c>
      <c r="AA354" s="179">
        <f ca="1">OFFSET(환산공식!FY$15,$F354,0)</f>
        <v>0.28999999999999998</v>
      </c>
      <c r="AB354" s="3"/>
      <c r="AD354">
        <f t="shared" ca="1" si="11"/>
        <v>6</v>
      </c>
      <c r="AF354" s="3"/>
      <c r="AG354" s="3"/>
      <c r="AH354" s="3"/>
    </row>
    <row r="355" spans="1:34">
      <c r="A355" s="198"/>
      <c r="B355" s="198"/>
      <c r="C355" s="198" t="s">
        <v>1807</v>
      </c>
      <c r="D355" s="195">
        <v>1343</v>
      </c>
      <c r="E355" s="195">
        <v>118</v>
      </c>
      <c r="F355" s="195">
        <v>118</v>
      </c>
      <c r="G355" s="239">
        <v>348</v>
      </c>
      <c r="H355" s="197" t="s">
        <v>79</v>
      </c>
      <c r="I355" s="242" t="s">
        <v>238</v>
      </c>
      <c r="J355" s="242" t="s">
        <v>8216</v>
      </c>
      <c r="K355" s="195" t="s">
        <v>71</v>
      </c>
      <c r="L355" s="20" t="str">
        <f ca="1">IF(OFFSET(환산공식!$ED$15,$F355,0)=1,"O","X")</f>
        <v>X</v>
      </c>
      <c r="M355" s="188">
        <f ca="1">IFERROR(OFFSET(환산공식!DJ$15,$F355,0),"")</f>
        <v>150</v>
      </c>
      <c r="N355" s="20" t="str">
        <f ca="1">IFERROR(CONCATENATE(ROUND(OFFSET(환산공식!DK$15,$F355,0),1),"%"),"")</f>
        <v>100%</v>
      </c>
      <c r="O355" s="20">
        <f ca="1">IFERROR(OFFSET(환산공식!DL$15,$F355,0),"")</f>
        <v>0</v>
      </c>
      <c r="P355" s="188" t="str">
        <f t="shared" ca="1" si="10"/>
        <v>3% 이하</v>
      </c>
      <c r="Q355" s="194">
        <f ca="1">IFERROR(ROUND(OFFSET(환산공식!$FG$15,$F355,0),3),"")</f>
        <v>0</v>
      </c>
      <c r="R355" s="194">
        <f ca="1">OFFSET('배치점수 계산기'!H$10,$D355,0)</f>
        <v>884.03099999999995</v>
      </c>
      <c r="S355" s="194">
        <f ca="1">OFFSET('배치점수 계산기'!I$10,$D355,0)</f>
        <v>880.93100000000004</v>
      </c>
      <c r="T355" s="194">
        <f ca="1">OFFSET('배치점수 계산기'!J$10,$D355,0)</f>
        <v>877.95299999999997</v>
      </c>
      <c r="U355" s="194">
        <f ca="1">OFFSET('배치점수 계산기'!K$10,$D355,0)</f>
        <v>873.38499999999999</v>
      </c>
      <c r="V355" s="194">
        <f ca="1">OFFSET('배치점수 계산기'!L$10,$D355,0)</f>
        <v>867.61199999999997</v>
      </c>
      <c r="W355" s="186" t="str">
        <f ca="1">OFFSET('배치점수 계산기'!M$10,$D355,0)</f>
        <v>표점/만점</v>
      </c>
      <c r="X355" s="184" t="str">
        <f ca="1">OFFSET('배치점수 계산기'!N$10,$D355,0)</f>
        <v>변표/만점</v>
      </c>
      <c r="Y355" s="188">
        <f ca="1">OFFSET(환산공식!FW$15,$F355,0)</f>
        <v>0.42</v>
      </c>
      <c r="Z355" s="20">
        <f ca="1">OFFSET(환산공식!FX$15,$F355,0)</f>
        <v>0.3</v>
      </c>
      <c r="AA355" s="179">
        <f ca="1">OFFSET(환산공식!FY$15,$F355,0)</f>
        <v>0.28999999999999998</v>
      </c>
      <c r="AB355" s="3"/>
      <c r="AD355">
        <f t="shared" ca="1" si="11"/>
        <v>6</v>
      </c>
      <c r="AF355" s="3"/>
      <c r="AG355" s="3"/>
      <c r="AH355" s="3"/>
    </row>
    <row r="356" spans="1:34">
      <c r="A356" s="198"/>
      <c r="B356" s="198"/>
      <c r="C356" s="198" t="s">
        <v>1808</v>
      </c>
      <c r="D356" s="195">
        <v>1344</v>
      </c>
      <c r="E356" s="195">
        <v>92</v>
      </c>
      <c r="F356" s="195">
        <v>92</v>
      </c>
      <c r="G356" s="239">
        <v>349</v>
      </c>
      <c r="H356" s="197" t="s">
        <v>79</v>
      </c>
      <c r="I356" s="242" t="s">
        <v>422</v>
      </c>
      <c r="J356" s="242" t="s">
        <v>10908</v>
      </c>
      <c r="K356" s="195" t="s">
        <v>70</v>
      </c>
      <c r="L356" s="20" t="str">
        <f ca="1">IF(OFFSET(환산공식!$ED$15,$F356,0)=1,"O","X")</f>
        <v>X</v>
      </c>
      <c r="M356" s="188">
        <f ca="1">IFERROR(OFFSET(환산공식!DJ$15,$F356,0),"")</f>
        <v>200</v>
      </c>
      <c r="N356" s="20" t="str">
        <f ca="1">IFERROR(CONCATENATE(ROUND(OFFSET(환산공식!DK$15,$F356,0),1),"%"),"")</f>
        <v>100%</v>
      </c>
      <c r="O356" s="20">
        <f ca="1">IFERROR(OFFSET(환산공식!DL$15,$F356,0),"")</f>
        <v>5</v>
      </c>
      <c r="P356" s="188" t="str">
        <f t="shared" ca="1" si="10"/>
        <v>3% 이하</v>
      </c>
      <c r="Q356" s="194">
        <f ca="1">IFERROR(ROUND(OFFSET(환산공식!$FG$15,$F356,0),3),"")</f>
        <v>0</v>
      </c>
      <c r="R356" s="194">
        <f ca="1">OFFSET('배치점수 계산기'!H$10,$D356,0)</f>
        <v>883.16</v>
      </c>
      <c r="S356" s="194">
        <f ca="1">OFFSET('배치점수 계산기'!I$10,$D356,0)</f>
        <v>876.66</v>
      </c>
      <c r="T356" s="194">
        <f ca="1">OFFSET('배치점수 계산기'!J$10,$D356,0)</f>
        <v>870.52</v>
      </c>
      <c r="U356" s="194">
        <f ca="1">OFFSET('배치점수 계산기'!K$10,$D356,0)</f>
        <v>865.75</v>
      </c>
      <c r="V356" s="194">
        <f ca="1">OFFSET('배치점수 계산기'!L$10,$D356,0)</f>
        <v>854.51</v>
      </c>
      <c r="W356" s="186" t="str">
        <f ca="1">OFFSET('배치점수 계산기'!M$10,$D356,0)</f>
        <v>백분위</v>
      </c>
      <c r="X356" s="184" t="str">
        <f ca="1">OFFSET('배치점수 계산기'!N$10,$D356,0)</f>
        <v>백분위</v>
      </c>
      <c r="Y356" s="188">
        <f ca="1">OFFSET(환산공식!FW$15,$F356,0)</f>
        <v>0.44</v>
      </c>
      <c r="Z356" s="20">
        <f ca="1">OFFSET(환산공식!FX$15,$F356,0)</f>
        <v>0.31</v>
      </c>
      <c r="AA356" s="179">
        <f ca="1">OFFSET(환산공식!FY$15,$F356,0)</f>
        <v>0.25</v>
      </c>
      <c r="AB356" s="3"/>
      <c r="AD356">
        <f t="shared" ca="1" si="11"/>
        <v>6</v>
      </c>
      <c r="AF356" s="3"/>
      <c r="AG356" s="3"/>
      <c r="AH356" s="3"/>
    </row>
    <row r="357" spans="1:34">
      <c r="A357" s="198"/>
      <c r="B357" s="198"/>
      <c r="C357" s="198" t="s">
        <v>1809</v>
      </c>
      <c r="D357" s="195">
        <v>1345</v>
      </c>
      <c r="E357" s="195">
        <v>91</v>
      </c>
      <c r="F357" s="195">
        <v>91</v>
      </c>
      <c r="G357" s="239">
        <v>350</v>
      </c>
      <c r="H357" s="197" t="s">
        <v>79</v>
      </c>
      <c r="I357" s="242" t="s">
        <v>422</v>
      </c>
      <c r="J357" s="242" t="s">
        <v>10939</v>
      </c>
      <c r="K357" s="195" t="s">
        <v>70</v>
      </c>
      <c r="L357" s="20" t="str">
        <f ca="1">IF(OFFSET(환산공식!$ED$15,$F357,0)=1,"O","X")</f>
        <v>X</v>
      </c>
      <c r="M357" s="188">
        <f ca="1">IFERROR(OFFSET(환산공식!DJ$15,$F357,0),"")</f>
        <v>150</v>
      </c>
      <c r="N357" s="20" t="str">
        <f ca="1">IFERROR(CONCATENATE(ROUND(OFFSET(환산공식!DK$15,$F357,0),1),"%"),"")</f>
        <v>100%</v>
      </c>
      <c r="O357" s="20">
        <f ca="1">IFERROR(OFFSET(환산공식!DL$15,$F357,0),"")</f>
        <v>5</v>
      </c>
      <c r="P357" s="188" t="str">
        <f t="shared" ca="1" si="10"/>
        <v>3% 이하</v>
      </c>
      <c r="Q357" s="194">
        <f ca="1">IFERROR(ROUND(OFFSET(환산공식!$FG$15,$F357,0),3),"")</f>
        <v>0</v>
      </c>
      <c r="R357" s="194">
        <f ca="1">OFFSET('배치점수 계산기'!H$10,$D357,0)</f>
        <v>894.46299999999997</v>
      </c>
      <c r="S357" s="194">
        <f ca="1">OFFSET('배치점수 계산기'!I$10,$D357,0)</f>
        <v>889.52800000000002</v>
      </c>
      <c r="T357" s="194">
        <f ca="1">OFFSET('배치점수 계산기'!J$10,$D357,0)</f>
        <v>880.63499999999999</v>
      </c>
      <c r="U357" s="194">
        <f ca="1">OFFSET('배치점수 계산기'!K$10,$D357,0)</f>
        <v>875.96500000000003</v>
      </c>
      <c r="V357" s="194">
        <f ca="1">OFFSET('배치점수 계산기'!L$10,$D357,0)</f>
        <v>866.90499999999997</v>
      </c>
      <c r="W357" s="186" t="str">
        <f ca="1">OFFSET('배치점수 계산기'!M$10,$D357,0)</f>
        <v>백분위</v>
      </c>
      <c r="X357" s="184" t="str">
        <f ca="1">OFFSET('배치점수 계산기'!N$10,$D357,0)</f>
        <v>백분위</v>
      </c>
      <c r="Y357" s="188">
        <f ca="1">OFFSET(환산공식!FW$15,$F357,0)</f>
        <v>0.24</v>
      </c>
      <c r="Z357" s="20">
        <f ca="1">OFFSET(환산공식!FX$15,$F357,0)</f>
        <v>0.41</v>
      </c>
      <c r="AA357" s="179">
        <f ca="1">OFFSET(환산공식!FY$15,$F357,0)</f>
        <v>0.35</v>
      </c>
      <c r="AB357" s="3"/>
      <c r="AD357">
        <f t="shared" ca="1" si="11"/>
        <v>6</v>
      </c>
      <c r="AF357" s="3"/>
      <c r="AG357" s="3"/>
      <c r="AH357" s="3"/>
    </row>
    <row r="358" spans="1:34">
      <c r="A358" s="198"/>
      <c r="B358" s="198"/>
      <c r="C358" s="198" t="s">
        <v>1810</v>
      </c>
      <c r="D358" s="195">
        <v>1346</v>
      </c>
      <c r="E358" s="195">
        <v>91</v>
      </c>
      <c r="F358" s="195">
        <v>91</v>
      </c>
      <c r="G358" s="239">
        <v>351</v>
      </c>
      <c r="H358" s="197" t="s">
        <v>79</v>
      </c>
      <c r="I358" s="242" t="s">
        <v>422</v>
      </c>
      <c r="J358" s="242" t="s">
        <v>11088</v>
      </c>
      <c r="K358" s="195" t="s">
        <v>70</v>
      </c>
      <c r="L358" s="20" t="str">
        <f ca="1">IF(OFFSET(환산공식!$ED$15,$F358,0)=1,"O","X")</f>
        <v>X</v>
      </c>
      <c r="M358" s="188">
        <f ca="1">IFERROR(OFFSET(환산공식!DJ$15,$F358,0),"")</f>
        <v>150</v>
      </c>
      <c r="N358" s="20" t="str">
        <f ca="1">IFERROR(CONCATENATE(ROUND(OFFSET(환산공식!DK$15,$F358,0),1),"%"),"")</f>
        <v>100%</v>
      </c>
      <c r="O358" s="20">
        <f ca="1">IFERROR(OFFSET(환산공식!DL$15,$F358,0),"")</f>
        <v>5</v>
      </c>
      <c r="P358" s="188" t="str">
        <f t="shared" ca="1" si="10"/>
        <v>3% 이하</v>
      </c>
      <c r="Q358" s="194">
        <f ca="1">IFERROR(ROUND(OFFSET(환산공식!$FG$15,$F358,0),3),"")</f>
        <v>0</v>
      </c>
      <c r="R358" s="194">
        <f ca="1">OFFSET('배치점수 계산기'!H$10,$D358,0)</f>
        <v>886.28399999999999</v>
      </c>
      <c r="S358" s="194">
        <f ca="1">OFFSET('배치점수 계산기'!I$10,$D358,0)</f>
        <v>881.29700000000003</v>
      </c>
      <c r="T358" s="194">
        <f ca="1">OFFSET('배치점수 계산기'!J$10,$D358,0)</f>
        <v>873.44799999999998</v>
      </c>
      <c r="U358" s="194">
        <f ca="1">OFFSET('배치점수 계산기'!K$10,$D358,0)</f>
        <v>868.673</v>
      </c>
      <c r="V358" s="194">
        <f ca="1">OFFSET('배치점수 계산기'!L$10,$D358,0)</f>
        <v>858.65800000000002</v>
      </c>
      <c r="W358" s="186" t="str">
        <f ca="1">OFFSET('배치점수 계산기'!M$10,$D358,0)</f>
        <v>백분위</v>
      </c>
      <c r="X358" s="184" t="str">
        <f ca="1">OFFSET('배치점수 계산기'!N$10,$D358,0)</f>
        <v>백분위</v>
      </c>
      <c r="Y358" s="188">
        <f ca="1">OFFSET(환산공식!FW$15,$F358,0)</f>
        <v>0.24</v>
      </c>
      <c r="Z358" s="20">
        <f ca="1">OFFSET(환산공식!FX$15,$F358,0)</f>
        <v>0.41</v>
      </c>
      <c r="AA358" s="179">
        <f ca="1">OFFSET(환산공식!FY$15,$F358,0)</f>
        <v>0.35</v>
      </c>
      <c r="AB358" s="3"/>
      <c r="AD358">
        <f t="shared" ca="1" si="11"/>
        <v>6</v>
      </c>
      <c r="AF358" s="3"/>
      <c r="AG358" s="3"/>
      <c r="AH358" s="3"/>
    </row>
    <row r="359" spans="1:34">
      <c r="A359" s="198"/>
      <c r="B359" s="198"/>
      <c r="C359" s="198" t="s">
        <v>1811</v>
      </c>
      <c r="D359" s="195">
        <v>1347</v>
      </c>
      <c r="E359" s="195">
        <v>91</v>
      </c>
      <c r="F359" s="195">
        <v>91</v>
      </c>
      <c r="G359" s="239">
        <v>352</v>
      </c>
      <c r="H359" s="197" t="s">
        <v>79</v>
      </c>
      <c r="I359" s="242" t="s">
        <v>422</v>
      </c>
      <c r="J359" s="242" t="s">
        <v>11256</v>
      </c>
      <c r="K359" s="195" t="s">
        <v>70</v>
      </c>
      <c r="L359" s="20" t="str">
        <f ca="1">IF(OFFSET(환산공식!$ED$15,$F359,0)=1,"O","X")</f>
        <v>X</v>
      </c>
      <c r="M359" s="188">
        <f ca="1">IFERROR(OFFSET(환산공식!DJ$15,$F359,0),"")</f>
        <v>150</v>
      </c>
      <c r="N359" s="20" t="str">
        <f ca="1">IFERROR(CONCATENATE(ROUND(OFFSET(환산공식!DK$15,$F359,0),1),"%"),"")</f>
        <v>100%</v>
      </c>
      <c r="O359" s="20">
        <f ca="1">IFERROR(OFFSET(환산공식!DL$15,$F359,0),"")</f>
        <v>5</v>
      </c>
      <c r="P359" s="188" t="str">
        <f t="shared" ca="1" si="10"/>
        <v>3% 이하</v>
      </c>
      <c r="Q359" s="194">
        <f ca="1">IFERROR(ROUND(OFFSET(환산공식!$FG$15,$F359,0),3),"")</f>
        <v>0</v>
      </c>
      <c r="R359" s="194">
        <f ca="1">OFFSET('배치점수 계산기'!H$10,$D359,0)</f>
        <v>877.78899999999999</v>
      </c>
      <c r="S359" s="194">
        <f ca="1">OFFSET('배치점수 계산기'!I$10,$D359,0)</f>
        <v>873.17499999999995</v>
      </c>
      <c r="T359" s="194">
        <f ca="1">OFFSET('배치점수 계산기'!J$10,$D359,0)</f>
        <v>865.20799999999997</v>
      </c>
      <c r="U359" s="194">
        <f ca="1">OFFSET('배치점수 계산기'!K$10,$D359,0)</f>
        <v>858.77200000000005</v>
      </c>
      <c r="V359" s="194">
        <f ca="1">OFFSET('배치점수 계산기'!L$10,$D359,0)</f>
        <v>848.14300000000003</v>
      </c>
      <c r="W359" s="186" t="str">
        <f ca="1">OFFSET('배치점수 계산기'!M$10,$D359,0)</f>
        <v>백분위</v>
      </c>
      <c r="X359" s="184" t="str">
        <f ca="1">OFFSET('배치점수 계산기'!N$10,$D359,0)</f>
        <v>백분위</v>
      </c>
      <c r="Y359" s="188">
        <f ca="1">OFFSET(환산공식!FW$15,$F359,0)</f>
        <v>0.24</v>
      </c>
      <c r="Z359" s="20">
        <f ca="1">OFFSET(환산공식!FX$15,$F359,0)</f>
        <v>0.41</v>
      </c>
      <c r="AA359" s="179">
        <f ca="1">OFFSET(환산공식!FY$15,$F359,0)</f>
        <v>0.35</v>
      </c>
      <c r="AB359" s="3"/>
      <c r="AD359">
        <f t="shared" ca="1" si="11"/>
        <v>6</v>
      </c>
      <c r="AF359" s="3"/>
      <c r="AG359" s="3"/>
      <c r="AH359" s="3"/>
    </row>
    <row r="360" spans="1:34">
      <c r="A360" s="198"/>
      <c r="B360" s="198"/>
      <c r="C360" s="198" t="s">
        <v>1812</v>
      </c>
      <c r="D360" s="195">
        <v>1348</v>
      </c>
      <c r="E360" s="195">
        <v>91</v>
      </c>
      <c r="F360" s="195">
        <v>91</v>
      </c>
      <c r="G360" s="239">
        <v>353</v>
      </c>
      <c r="H360" s="197" t="s">
        <v>79</v>
      </c>
      <c r="I360" s="242" t="s">
        <v>422</v>
      </c>
      <c r="J360" s="242" t="s">
        <v>8410</v>
      </c>
      <c r="K360" s="195" t="s">
        <v>70</v>
      </c>
      <c r="L360" s="20" t="str">
        <f ca="1">IF(OFFSET(환산공식!$ED$15,$F360,0)=1,"O","X")</f>
        <v>X</v>
      </c>
      <c r="M360" s="188">
        <f ca="1">IFERROR(OFFSET(환산공식!DJ$15,$F360,0),"")</f>
        <v>150</v>
      </c>
      <c r="N360" s="20" t="str">
        <f ca="1">IFERROR(CONCATENATE(ROUND(OFFSET(환산공식!DK$15,$F360,0),1),"%"),"")</f>
        <v>100%</v>
      </c>
      <c r="O360" s="20">
        <f ca="1">IFERROR(OFFSET(환산공식!DL$15,$F360,0),"")</f>
        <v>5</v>
      </c>
      <c r="P360" s="188" t="str">
        <f t="shared" ca="1" si="10"/>
        <v>3% 이하</v>
      </c>
      <c r="Q360" s="194">
        <f ca="1">IFERROR(ROUND(OFFSET(환산공식!$FG$15,$F360,0),3),"")</f>
        <v>0</v>
      </c>
      <c r="R360" s="194">
        <f ca="1">OFFSET('배치점수 계산기'!H$10,$D360,0)</f>
        <v>867.81100000000004</v>
      </c>
      <c r="S360" s="194">
        <f ca="1">OFFSET('배치점수 계산기'!I$10,$D360,0)</f>
        <v>862.61199999999997</v>
      </c>
      <c r="T360" s="194">
        <f ca="1">OFFSET('배치점수 계산기'!J$10,$D360,0)</f>
        <v>853.01900000000001</v>
      </c>
      <c r="U360" s="194">
        <f ca="1">OFFSET('배치점수 계산기'!K$10,$D360,0)</f>
        <v>846.47699999999998</v>
      </c>
      <c r="V360" s="194">
        <f ca="1">OFFSET('배치점수 계산기'!L$10,$D360,0)</f>
        <v>835.83100000000002</v>
      </c>
      <c r="W360" s="186" t="str">
        <f ca="1">OFFSET('배치점수 계산기'!M$10,$D360,0)</f>
        <v>백분위</v>
      </c>
      <c r="X360" s="184" t="str">
        <f ca="1">OFFSET('배치점수 계산기'!N$10,$D360,0)</f>
        <v>백분위</v>
      </c>
      <c r="Y360" s="188">
        <f ca="1">OFFSET(환산공식!FW$15,$F360,0)</f>
        <v>0.24</v>
      </c>
      <c r="Z360" s="20">
        <f ca="1">OFFSET(환산공식!FX$15,$F360,0)</f>
        <v>0.41</v>
      </c>
      <c r="AA360" s="179">
        <f ca="1">OFFSET(환산공식!FY$15,$F360,0)</f>
        <v>0.35</v>
      </c>
      <c r="AB360" s="3"/>
      <c r="AD360">
        <f t="shared" ca="1" si="11"/>
        <v>6</v>
      </c>
      <c r="AF360" s="3"/>
      <c r="AG360" s="3"/>
      <c r="AH360" s="3"/>
    </row>
    <row r="361" spans="1:34">
      <c r="A361" s="198"/>
      <c r="B361" s="198"/>
      <c r="C361" s="198" t="s">
        <v>1813</v>
      </c>
      <c r="D361" s="195">
        <v>1349</v>
      </c>
      <c r="E361" s="195">
        <v>94</v>
      </c>
      <c r="F361" s="195">
        <v>94</v>
      </c>
      <c r="G361" s="239">
        <v>354</v>
      </c>
      <c r="H361" s="197" t="s">
        <v>79</v>
      </c>
      <c r="I361" s="242" t="s">
        <v>422</v>
      </c>
      <c r="J361" s="242" t="s">
        <v>8659</v>
      </c>
      <c r="K361" s="195" t="s">
        <v>71</v>
      </c>
      <c r="L361" s="20" t="str">
        <f ca="1">IF(OFFSET(환산공식!$ED$15,$F361,0)=1,"O","X")</f>
        <v>X</v>
      </c>
      <c r="M361" s="188">
        <f ca="1">IFERROR(OFFSET(환산공식!DJ$15,$F361,0),"")</f>
        <v>200</v>
      </c>
      <c r="N361" s="20" t="str">
        <f ca="1">IFERROR(CONCATENATE(ROUND(OFFSET(환산공식!DK$15,$F361,0),1),"%"),"")</f>
        <v>100%</v>
      </c>
      <c r="O361" s="20">
        <f ca="1">IFERROR(OFFSET(환산공식!DL$15,$F361,0),"")</f>
        <v>5</v>
      </c>
      <c r="P361" s="188" t="str">
        <f t="shared" ca="1" si="10"/>
        <v>3% 이하</v>
      </c>
      <c r="Q361" s="194">
        <f ca="1">IFERROR(ROUND(OFFSET(환산공식!$FG$15,$F361,0),3),"")</f>
        <v>0</v>
      </c>
      <c r="R361" s="194">
        <f ca="1">OFFSET('배치점수 계산기'!H$10,$D361,0)</f>
        <v>875.63499999999999</v>
      </c>
      <c r="S361" s="194">
        <f ca="1">OFFSET('배치점수 계산기'!I$10,$D361,0)</f>
        <v>870.6</v>
      </c>
      <c r="T361" s="194">
        <f ca="1">OFFSET('배치점수 계산기'!J$10,$D361,0)</f>
        <v>862.11500000000001</v>
      </c>
      <c r="U361" s="194">
        <f ca="1">OFFSET('배치점수 계산기'!K$10,$D361,0)</f>
        <v>857.15</v>
      </c>
      <c r="V361" s="194">
        <f ca="1">OFFSET('배치점수 계산기'!L$10,$D361,0)</f>
        <v>848.16</v>
      </c>
      <c r="W361" s="186" t="str">
        <f ca="1">OFFSET('배치점수 계산기'!M$10,$D361,0)</f>
        <v>백분위</v>
      </c>
      <c r="X361" s="184" t="str">
        <f ca="1">OFFSET('배치점수 계산기'!N$10,$D361,0)</f>
        <v>백분위</v>
      </c>
      <c r="Y361" s="188">
        <f ca="1">OFFSET(환산공식!FW$15,$F361,0)</f>
        <v>0.31</v>
      </c>
      <c r="Z361" s="20">
        <f ca="1">OFFSET(환산공식!FX$15,$F361,0)</f>
        <v>0.44</v>
      </c>
      <c r="AA361" s="179">
        <f ca="1">OFFSET(환산공식!FY$15,$F361,0)</f>
        <v>0.25</v>
      </c>
      <c r="AB361" s="3"/>
      <c r="AD361">
        <f t="shared" ca="1" si="11"/>
        <v>6</v>
      </c>
      <c r="AF361" s="3"/>
      <c r="AG361" s="3"/>
      <c r="AH361" s="3"/>
    </row>
    <row r="362" spans="1:34">
      <c r="A362" s="198"/>
      <c r="B362" s="198"/>
      <c r="C362" s="198" t="s">
        <v>1814</v>
      </c>
      <c r="D362" s="195">
        <v>1350</v>
      </c>
      <c r="E362" s="195">
        <v>93</v>
      </c>
      <c r="F362" s="195">
        <v>93</v>
      </c>
      <c r="G362" s="239">
        <v>355</v>
      </c>
      <c r="H362" s="197" t="s">
        <v>79</v>
      </c>
      <c r="I362" s="242" t="s">
        <v>422</v>
      </c>
      <c r="J362" s="242" t="s">
        <v>9835</v>
      </c>
      <c r="K362" s="195" t="s">
        <v>71</v>
      </c>
      <c r="L362" s="20" t="str">
        <f ca="1">IF(OFFSET(환산공식!$ED$15,$F362,0)=1,"O","X")</f>
        <v>X</v>
      </c>
      <c r="M362" s="188">
        <f ca="1">IFERROR(OFFSET(환산공식!DJ$15,$F362,0),"")</f>
        <v>200</v>
      </c>
      <c r="N362" s="20" t="str">
        <f ca="1">IFERROR(CONCATENATE(ROUND(OFFSET(환산공식!DK$15,$F362,0),1),"%"),"")</f>
        <v>100%</v>
      </c>
      <c r="O362" s="20">
        <f ca="1">IFERROR(OFFSET(환산공식!DL$15,$F362,0),"")</f>
        <v>5</v>
      </c>
      <c r="P362" s="188" t="str">
        <f t="shared" ca="1" si="10"/>
        <v>3% 이하</v>
      </c>
      <c r="Q362" s="194">
        <f ca="1">IFERROR(ROUND(OFFSET(환산공식!$FG$15,$F362,0),3),"")</f>
        <v>0</v>
      </c>
      <c r="R362" s="194">
        <f ca="1">OFFSET('배치점수 계산기'!H$10,$D362,0)</f>
        <v>878.34500000000003</v>
      </c>
      <c r="S362" s="194">
        <f ca="1">OFFSET('배치점수 계산기'!I$10,$D362,0)</f>
        <v>872.48500000000001</v>
      </c>
      <c r="T362" s="194">
        <f ca="1">OFFSET('배치점수 계산기'!J$10,$D362,0)</f>
        <v>865.79499999999996</v>
      </c>
      <c r="U362" s="194">
        <f ca="1">OFFSET('배치점수 계산기'!K$10,$D362,0)</f>
        <v>860.43</v>
      </c>
      <c r="V362" s="194">
        <f ca="1">OFFSET('배치점수 계산기'!L$10,$D362,0)</f>
        <v>852.09</v>
      </c>
      <c r="W362" s="186" t="str">
        <f ca="1">OFFSET('배치점수 계산기'!M$10,$D362,0)</f>
        <v>백분위</v>
      </c>
      <c r="X362" s="184" t="str">
        <f ca="1">OFFSET('배치점수 계산기'!N$10,$D362,0)</f>
        <v>백분위</v>
      </c>
      <c r="Y362" s="188">
        <f ca="1">OFFSET(환산공식!FW$15,$F362,0)</f>
        <v>0.44</v>
      </c>
      <c r="Z362" s="20">
        <f ca="1">OFFSET(환산공식!FX$15,$F362,0)</f>
        <v>0.31</v>
      </c>
      <c r="AA362" s="179">
        <f ca="1">OFFSET(환산공식!FY$15,$F362,0)</f>
        <v>0.25</v>
      </c>
      <c r="AB362" s="3"/>
      <c r="AD362">
        <f t="shared" ca="1" si="11"/>
        <v>6</v>
      </c>
      <c r="AF362" s="3"/>
      <c r="AG362" s="3"/>
      <c r="AH362" s="3"/>
    </row>
    <row r="363" spans="1:34">
      <c r="A363" s="198"/>
      <c r="B363" s="198"/>
      <c r="C363" s="198" t="s">
        <v>1815</v>
      </c>
      <c r="D363" s="195">
        <v>1351</v>
      </c>
      <c r="E363" s="195">
        <v>93</v>
      </c>
      <c r="F363" s="195">
        <v>93</v>
      </c>
      <c r="G363" s="239">
        <v>356</v>
      </c>
      <c r="H363" s="197" t="s">
        <v>79</v>
      </c>
      <c r="I363" s="242" t="s">
        <v>422</v>
      </c>
      <c r="J363" s="242" t="s">
        <v>11149</v>
      </c>
      <c r="K363" s="195" t="s">
        <v>71</v>
      </c>
      <c r="L363" s="20" t="str">
        <f ca="1">IF(OFFSET(환산공식!$ED$15,$F363,0)=1,"O","X")</f>
        <v>X</v>
      </c>
      <c r="M363" s="188">
        <f ca="1">IFERROR(OFFSET(환산공식!DJ$15,$F363,0),"")</f>
        <v>200</v>
      </c>
      <c r="N363" s="20" t="str">
        <f ca="1">IFERROR(CONCATENATE(ROUND(OFFSET(환산공식!DK$15,$F363,0),1),"%"),"")</f>
        <v>100%</v>
      </c>
      <c r="O363" s="20">
        <f ca="1">IFERROR(OFFSET(환산공식!DL$15,$F363,0),"")</f>
        <v>5</v>
      </c>
      <c r="P363" s="188" t="str">
        <f t="shared" ca="1" si="10"/>
        <v>3% 이하</v>
      </c>
      <c r="Q363" s="194">
        <f ca="1">IFERROR(ROUND(OFFSET(환산공식!$FG$15,$F363,0),3),"")</f>
        <v>0</v>
      </c>
      <c r="R363" s="194">
        <f ca="1">OFFSET('배치점수 계산기'!H$10,$D363,0)</f>
        <v>871.13499999999999</v>
      </c>
      <c r="S363" s="194">
        <f ca="1">OFFSET('배치점수 계산기'!I$10,$D363,0)</f>
        <v>866.995</v>
      </c>
      <c r="T363" s="194">
        <f ca="1">OFFSET('배치점수 계산기'!J$10,$D363,0)</f>
        <v>859.70500000000004</v>
      </c>
      <c r="U363" s="194">
        <f ca="1">OFFSET('배치점수 계산기'!K$10,$D363,0)</f>
        <v>854.19</v>
      </c>
      <c r="V363" s="194">
        <f ca="1">OFFSET('배치점수 계산기'!L$10,$D363,0)</f>
        <v>845</v>
      </c>
      <c r="W363" s="186" t="str">
        <f ca="1">OFFSET('배치점수 계산기'!M$10,$D363,0)</f>
        <v>백분위</v>
      </c>
      <c r="X363" s="184" t="str">
        <f ca="1">OFFSET('배치점수 계산기'!N$10,$D363,0)</f>
        <v>백분위</v>
      </c>
      <c r="Y363" s="188">
        <f ca="1">OFFSET(환산공식!FW$15,$F363,0)</f>
        <v>0.44</v>
      </c>
      <c r="Z363" s="20">
        <f ca="1">OFFSET(환산공식!FX$15,$F363,0)</f>
        <v>0.31</v>
      </c>
      <c r="AA363" s="179">
        <f ca="1">OFFSET(환산공식!FY$15,$F363,0)</f>
        <v>0.25</v>
      </c>
      <c r="AB363" s="3"/>
      <c r="AD363">
        <f t="shared" ca="1" si="11"/>
        <v>6</v>
      </c>
      <c r="AF363" s="3"/>
      <c r="AG363" s="3"/>
      <c r="AH363" s="3"/>
    </row>
    <row r="364" spans="1:34">
      <c r="A364" s="198"/>
      <c r="B364" s="198"/>
      <c r="C364" s="198" t="s">
        <v>1816</v>
      </c>
      <c r="D364" s="195">
        <v>1352</v>
      </c>
      <c r="E364" s="195">
        <v>93</v>
      </c>
      <c r="F364" s="195">
        <v>93</v>
      </c>
      <c r="G364" s="239">
        <v>357</v>
      </c>
      <c r="H364" s="197" t="s">
        <v>79</v>
      </c>
      <c r="I364" s="242" t="s">
        <v>422</v>
      </c>
      <c r="J364" s="242" t="s">
        <v>8618</v>
      </c>
      <c r="K364" s="195" t="s">
        <v>71</v>
      </c>
      <c r="L364" s="20" t="str">
        <f ca="1">IF(OFFSET(환산공식!$ED$15,$F364,0)=1,"O","X")</f>
        <v>X</v>
      </c>
      <c r="M364" s="188">
        <f ca="1">IFERROR(OFFSET(환산공식!DJ$15,$F364,0),"")</f>
        <v>200</v>
      </c>
      <c r="N364" s="20" t="str">
        <f ca="1">IFERROR(CONCATENATE(ROUND(OFFSET(환산공식!DK$15,$F364,0),1),"%"),"")</f>
        <v>100%</v>
      </c>
      <c r="O364" s="20">
        <f ca="1">IFERROR(OFFSET(환산공식!DL$15,$F364,0),"")</f>
        <v>5</v>
      </c>
      <c r="P364" s="188" t="str">
        <f t="shared" ca="1" si="10"/>
        <v>3% 이하</v>
      </c>
      <c r="Q364" s="194">
        <f ca="1">IFERROR(ROUND(OFFSET(환산공식!$FG$15,$F364,0),3),"")</f>
        <v>0</v>
      </c>
      <c r="R364" s="194">
        <f ca="1">OFFSET('배치점수 계산기'!H$10,$D364,0)</f>
        <v>869.59</v>
      </c>
      <c r="S364" s="194">
        <f ca="1">OFFSET('배치점수 계산기'!I$10,$D364,0)</f>
        <v>865.02</v>
      </c>
      <c r="T364" s="194">
        <f ca="1">OFFSET('배치점수 계산기'!J$10,$D364,0)</f>
        <v>857.48500000000001</v>
      </c>
      <c r="U364" s="194">
        <f ca="1">OFFSET('배치점수 계산기'!K$10,$D364,0)</f>
        <v>852.44</v>
      </c>
      <c r="V364" s="194">
        <f ca="1">OFFSET('배치점수 계산기'!L$10,$D364,0)</f>
        <v>842.08</v>
      </c>
      <c r="W364" s="186" t="str">
        <f ca="1">OFFSET('배치점수 계산기'!M$10,$D364,0)</f>
        <v>백분위</v>
      </c>
      <c r="X364" s="184" t="str">
        <f ca="1">OFFSET('배치점수 계산기'!N$10,$D364,0)</f>
        <v>백분위</v>
      </c>
      <c r="Y364" s="188">
        <f ca="1">OFFSET(환산공식!FW$15,$F364,0)</f>
        <v>0.44</v>
      </c>
      <c r="Z364" s="20">
        <f ca="1">OFFSET(환산공식!FX$15,$F364,0)</f>
        <v>0.31</v>
      </c>
      <c r="AA364" s="179">
        <f ca="1">OFFSET(환산공식!FY$15,$F364,0)</f>
        <v>0.25</v>
      </c>
      <c r="AB364" s="3"/>
      <c r="AD364">
        <f t="shared" ca="1" si="11"/>
        <v>6</v>
      </c>
      <c r="AF364" s="3"/>
      <c r="AG364" s="3"/>
      <c r="AH364" s="3"/>
    </row>
    <row r="365" spans="1:34">
      <c r="A365" s="198"/>
      <c r="B365" s="198"/>
      <c r="C365" s="198" t="s">
        <v>1817</v>
      </c>
      <c r="D365" s="195">
        <v>1353</v>
      </c>
      <c r="E365" s="195">
        <v>93</v>
      </c>
      <c r="F365" s="195">
        <v>93</v>
      </c>
      <c r="G365" s="239">
        <v>358</v>
      </c>
      <c r="H365" s="197" t="s">
        <v>79</v>
      </c>
      <c r="I365" s="242" t="s">
        <v>422</v>
      </c>
      <c r="J365" s="242" t="s">
        <v>8534</v>
      </c>
      <c r="K365" s="195" t="s">
        <v>71</v>
      </c>
      <c r="L365" s="20" t="str">
        <f ca="1">IF(OFFSET(환산공식!$ED$15,$F365,0)=1,"O","X")</f>
        <v>X</v>
      </c>
      <c r="M365" s="188">
        <f ca="1">IFERROR(OFFSET(환산공식!DJ$15,$F365,0),"")</f>
        <v>200</v>
      </c>
      <c r="N365" s="20" t="str">
        <f ca="1">IFERROR(CONCATENATE(ROUND(OFFSET(환산공식!DK$15,$F365,0),1),"%"),"")</f>
        <v>100%</v>
      </c>
      <c r="O365" s="20">
        <f ca="1">IFERROR(OFFSET(환산공식!DL$15,$F365,0),"")</f>
        <v>5</v>
      </c>
      <c r="P365" s="188" t="str">
        <f t="shared" ca="1" si="10"/>
        <v>3% 이하</v>
      </c>
      <c r="Q365" s="194">
        <f ca="1">IFERROR(ROUND(OFFSET(환산공식!$FG$15,$F365,0),3),"")</f>
        <v>0</v>
      </c>
      <c r="R365" s="194">
        <f ca="1">OFFSET('배치점수 계산기'!H$10,$D365,0)</f>
        <v>869.34</v>
      </c>
      <c r="S365" s="194">
        <f ca="1">OFFSET('배치점수 계산기'!I$10,$D365,0)</f>
        <v>865.02</v>
      </c>
      <c r="T365" s="194">
        <f ca="1">OFFSET('배치점수 계산기'!J$10,$D365,0)</f>
        <v>857.48500000000001</v>
      </c>
      <c r="U365" s="194">
        <f ca="1">OFFSET('배치점수 계산기'!K$10,$D365,0)</f>
        <v>852.44</v>
      </c>
      <c r="V365" s="194">
        <f ca="1">OFFSET('배치점수 계산기'!L$10,$D365,0)</f>
        <v>842.08</v>
      </c>
      <c r="W365" s="186" t="str">
        <f ca="1">OFFSET('배치점수 계산기'!M$10,$D365,0)</f>
        <v>백분위</v>
      </c>
      <c r="X365" s="184" t="str">
        <f ca="1">OFFSET('배치점수 계산기'!N$10,$D365,0)</f>
        <v>백분위</v>
      </c>
      <c r="Y365" s="188">
        <f ca="1">OFFSET(환산공식!FW$15,$F365,0)</f>
        <v>0.44</v>
      </c>
      <c r="Z365" s="20">
        <f ca="1">OFFSET(환산공식!FX$15,$F365,0)</f>
        <v>0.31</v>
      </c>
      <c r="AA365" s="179">
        <f ca="1">OFFSET(환산공식!FY$15,$F365,0)</f>
        <v>0.25</v>
      </c>
      <c r="AB365" s="3"/>
      <c r="AD365">
        <f t="shared" ca="1" si="11"/>
        <v>6</v>
      </c>
      <c r="AF365" s="3"/>
      <c r="AG365" s="3"/>
      <c r="AH365" s="3"/>
    </row>
    <row r="366" spans="1:34">
      <c r="A366" s="198"/>
      <c r="B366" s="198"/>
      <c r="C366" s="198" t="s">
        <v>1818</v>
      </c>
      <c r="D366" s="195">
        <v>1354</v>
      </c>
      <c r="E366" s="195">
        <v>94</v>
      </c>
      <c r="F366" s="195">
        <v>94</v>
      </c>
      <c r="G366" s="239">
        <v>359</v>
      </c>
      <c r="H366" s="197" t="s">
        <v>79</v>
      </c>
      <c r="I366" s="242" t="s">
        <v>422</v>
      </c>
      <c r="J366" s="242" t="s">
        <v>9396</v>
      </c>
      <c r="K366" s="195" t="s">
        <v>71</v>
      </c>
      <c r="L366" s="20" t="str">
        <f ca="1">IF(OFFSET(환산공식!$ED$15,$F366,0)=1,"O","X")</f>
        <v>X</v>
      </c>
      <c r="M366" s="188">
        <f ca="1">IFERROR(OFFSET(환산공식!DJ$15,$F366,0),"")</f>
        <v>200</v>
      </c>
      <c r="N366" s="20" t="str">
        <f ca="1">IFERROR(CONCATENATE(ROUND(OFFSET(환산공식!DK$15,$F366,0),1),"%"),"")</f>
        <v>100%</v>
      </c>
      <c r="O366" s="20">
        <f ca="1">IFERROR(OFFSET(환산공식!DL$15,$F366,0),"")</f>
        <v>5</v>
      </c>
      <c r="P366" s="188" t="str">
        <f t="shared" ca="1" si="10"/>
        <v>3% 이하</v>
      </c>
      <c r="Q366" s="194">
        <f ca="1">IFERROR(ROUND(OFFSET(환산공식!$FG$15,$F366,0),3),"")</f>
        <v>0</v>
      </c>
      <c r="R366" s="194">
        <f ca="1">OFFSET('배치점수 계산기'!H$10,$D366,0)</f>
        <v>861.69</v>
      </c>
      <c r="S366" s="194">
        <f ca="1">OFFSET('배치점수 계산기'!I$10,$D366,0)</f>
        <v>857.15</v>
      </c>
      <c r="T366" s="194">
        <f ca="1">OFFSET('배치점수 계산기'!J$10,$D366,0)</f>
        <v>849.43499999999995</v>
      </c>
      <c r="U366" s="194">
        <f ca="1">OFFSET('배치점수 계산기'!K$10,$D366,0)</f>
        <v>843.67</v>
      </c>
      <c r="V366" s="194">
        <f ca="1">OFFSET('배치점수 계산기'!L$10,$D366,0)</f>
        <v>834.005</v>
      </c>
      <c r="W366" s="186" t="str">
        <f ca="1">OFFSET('배치점수 계산기'!M$10,$D366,0)</f>
        <v>백분위</v>
      </c>
      <c r="X366" s="184" t="str">
        <f ca="1">OFFSET('배치점수 계산기'!N$10,$D366,0)</f>
        <v>백분위</v>
      </c>
      <c r="Y366" s="188">
        <f ca="1">OFFSET(환산공식!FW$15,$F366,0)</f>
        <v>0.31</v>
      </c>
      <c r="Z366" s="20">
        <f ca="1">OFFSET(환산공식!FX$15,$F366,0)</f>
        <v>0.44</v>
      </c>
      <c r="AA366" s="179">
        <f ca="1">OFFSET(환산공식!FY$15,$F366,0)</f>
        <v>0.25</v>
      </c>
      <c r="AB366" s="3"/>
      <c r="AD366">
        <f t="shared" ca="1" si="11"/>
        <v>6</v>
      </c>
      <c r="AF366" s="3"/>
      <c r="AG366" s="3"/>
      <c r="AH366" s="3"/>
    </row>
    <row r="367" spans="1:34">
      <c r="A367" s="198"/>
      <c r="B367" s="198"/>
      <c r="C367" s="198" t="s">
        <v>1819</v>
      </c>
      <c r="D367" s="195">
        <v>1355</v>
      </c>
      <c r="E367" s="195">
        <v>93</v>
      </c>
      <c r="F367" s="195">
        <v>93</v>
      </c>
      <c r="G367" s="239">
        <v>360</v>
      </c>
      <c r="H367" s="197" t="s">
        <v>79</v>
      </c>
      <c r="I367" s="242" t="s">
        <v>422</v>
      </c>
      <c r="J367" s="242" t="s">
        <v>8726</v>
      </c>
      <c r="K367" s="195" t="s">
        <v>71</v>
      </c>
      <c r="L367" s="20" t="str">
        <f ca="1">IF(OFFSET(환산공식!$ED$15,$F367,0)=1,"O","X")</f>
        <v>X</v>
      </c>
      <c r="M367" s="188">
        <f ca="1">IFERROR(OFFSET(환산공식!DJ$15,$F367,0),"")</f>
        <v>200</v>
      </c>
      <c r="N367" s="20" t="str">
        <f ca="1">IFERROR(CONCATENATE(ROUND(OFFSET(환산공식!DK$15,$F367,0),1),"%"),"")</f>
        <v>100%</v>
      </c>
      <c r="O367" s="20">
        <f ca="1">IFERROR(OFFSET(환산공식!DL$15,$F367,0),"")</f>
        <v>5</v>
      </c>
      <c r="P367" s="188" t="str">
        <f t="shared" ca="1" si="10"/>
        <v>3% 이하</v>
      </c>
      <c r="Q367" s="194">
        <f ca="1">IFERROR(ROUND(OFFSET(환산공식!$FG$15,$F367,0),3),"")</f>
        <v>0</v>
      </c>
      <c r="R367" s="194">
        <f ca="1">OFFSET('배치점수 계산기'!H$10,$D367,0)</f>
        <v>864.64499999999998</v>
      </c>
      <c r="S367" s="194">
        <f ca="1">OFFSET('배치점수 계산기'!I$10,$D367,0)</f>
        <v>860.08</v>
      </c>
      <c r="T367" s="194">
        <f ca="1">OFFSET('배치점수 계산기'!J$10,$D367,0)</f>
        <v>852.44</v>
      </c>
      <c r="U367" s="194">
        <f ca="1">OFFSET('배치점수 계산기'!K$10,$D367,0)</f>
        <v>846.92499999999995</v>
      </c>
      <c r="V367" s="194">
        <f ca="1">OFFSET('배치점수 계산기'!L$10,$D367,0)</f>
        <v>837.54</v>
      </c>
      <c r="W367" s="186" t="str">
        <f ca="1">OFFSET('배치점수 계산기'!M$10,$D367,0)</f>
        <v>백분위</v>
      </c>
      <c r="X367" s="184" t="str">
        <f ca="1">OFFSET('배치점수 계산기'!N$10,$D367,0)</f>
        <v>백분위</v>
      </c>
      <c r="Y367" s="188">
        <f ca="1">OFFSET(환산공식!FW$15,$F367,0)</f>
        <v>0.44</v>
      </c>
      <c r="Z367" s="20">
        <f ca="1">OFFSET(환산공식!FX$15,$F367,0)</f>
        <v>0.31</v>
      </c>
      <c r="AA367" s="179">
        <f ca="1">OFFSET(환산공식!FY$15,$F367,0)</f>
        <v>0.25</v>
      </c>
      <c r="AB367" s="3"/>
      <c r="AD367">
        <f t="shared" ca="1" si="11"/>
        <v>6</v>
      </c>
      <c r="AF367" s="3"/>
      <c r="AG367" s="3"/>
      <c r="AH367" s="3"/>
    </row>
    <row r="368" spans="1:34">
      <c r="A368" s="198"/>
      <c r="B368" s="198"/>
      <c r="C368" s="198" t="s">
        <v>1820</v>
      </c>
      <c r="D368" s="195">
        <v>1356</v>
      </c>
      <c r="E368" s="195">
        <v>97</v>
      </c>
      <c r="F368" s="195">
        <v>97</v>
      </c>
      <c r="G368" s="239">
        <v>361</v>
      </c>
      <c r="H368" s="197" t="s">
        <v>79</v>
      </c>
      <c r="I368" s="242" t="s">
        <v>423</v>
      </c>
      <c r="J368" s="242" t="s">
        <v>9411</v>
      </c>
      <c r="K368" s="195" t="s">
        <v>71</v>
      </c>
      <c r="L368" s="20" t="str">
        <f ca="1">IF(OFFSET(환산공식!$ED$15,$F368,0)=1,"O","X")</f>
        <v>X</v>
      </c>
      <c r="M368" s="188">
        <f ca="1">IFERROR(OFFSET(환산공식!DJ$15,$F368,0),"")</f>
        <v>200</v>
      </c>
      <c r="N368" s="20" t="str">
        <f ca="1">IFERROR(CONCATENATE(ROUND(OFFSET(환산공식!DK$15,$F368,0),1),"%"),"")</f>
        <v>100%</v>
      </c>
      <c r="O368" s="20">
        <f ca="1">IFERROR(OFFSET(환산공식!DL$15,$F368,0),"")</f>
        <v>10</v>
      </c>
      <c r="P368" s="188" t="str">
        <f t="shared" ca="1" si="10"/>
        <v>3% 이하</v>
      </c>
      <c r="Q368" s="194">
        <f ca="1">IFERROR(ROUND(OFFSET(환산공식!$FG$15,$F368,0),3),"")</f>
        <v>0</v>
      </c>
      <c r="R368" s="194">
        <f ca="1">OFFSET('배치점수 계산기'!H$10,$D368,0)</f>
        <v>694</v>
      </c>
      <c r="S368" s="194">
        <f ca="1">OFFSET('배치점수 계산기'!I$10,$D368,0)</f>
        <v>692.64300000000003</v>
      </c>
      <c r="T368" s="194">
        <f ca="1">OFFSET('배치점수 계산기'!J$10,$D368,0)</f>
        <v>690.9</v>
      </c>
      <c r="U368" s="194">
        <f ca="1">OFFSET('배치점수 계산기'!K$10,$D368,0)</f>
        <v>687.96</v>
      </c>
      <c r="V368" s="194">
        <f ca="1">OFFSET('배치점수 계산기'!L$10,$D368,0)</f>
        <v>685.00199999999995</v>
      </c>
      <c r="W368" s="186" t="str">
        <f ca="1">OFFSET('배치점수 계산기'!M$10,$D368,0)</f>
        <v>표점</v>
      </c>
      <c r="X368" s="184" t="str">
        <f ca="1">OFFSET('배치점수 계산기'!N$10,$D368,0)</f>
        <v>변표</v>
      </c>
      <c r="Y368" s="188">
        <f ca="1">OFFSET(환산공식!FW$15,$F368,0)</f>
        <v>0.38</v>
      </c>
      <c r="Z368" s="20">
        <f ca="1">OFFSET(환산공식!FX$15,$F368,0)</f>
        <v>0.31</v>
      </c>
      <c r="AA368" s="179">
        <f ca="1">OFFSET(환산공식!FY$15,$F368,0)</f>
        <v>0.31</v>
      </c>
      <c r="AB368" s="3"/>
      <c r="AD368">
        <f t="shared" ca="1" si="11"/>
        <v>6</v>
      </c>
      <c r="AF368" s="3"/>
      <c r="AG368" s="3"/>
      <c r="AH368" s="3"/>
    </row>
    <row r="369" spans="1:34">
      <c r="A369" s="198"/>
      <c r="B369" s="198"/>
      <c r="C369" s="198" t="s">
        <v>1821</v>
      </c>
      <c r="D369" s="195">
        <v>1357</v>
      </c>
      <c r="E369" s="195">
        <v>97</v>
      </c>
      <c r="F369" s="195">
        <v>97</v>
      </c>
      <c r="G369" s="239">
        <v>362</v>
      </c>
      <c r="H369" s="197" t="s">
        <v>79</v>
      </c>
      <c r="I369" s="242" t="s">
        <v>423</v>
      </c>
      <c r="J369" s="242" t="s">
        <v>11571</v>
      </c>
      <c r="K369" s="195" t="s">
        <v>71</v>
      </c>
      <c r="L369" s="20" t="str">
        <f ca="1">IF(OFFSET(환산공식!$ED$15,$F369,0)=1,"O","X")</f>
        <v>X</v>
      </c>
      <c r="M369" s="188">
        <f ca="1">IFERROR(OFFSET(환산공식!DJ$15,$F369,0),"")</f>
        <v>200</v>
      </c>
      <c r="N369" s="20" t="str">
        <f ca="1">IFERROR(CONCATENATE(ROUND(OFFSET(환산공식!DK$15,$F369,0),1),"%"),"")</f>
        <v>100%</v>
      </c>
      <c r="O369" s="20">
        <f ca="1">IFERROR(OFFSET(환산공식!DL$15,$F369,0),"")</f>
        <v>10</v>
      </c>
      <c r="P369" s="188" t="str">
        <f t="shared" ca="1" si="10"/>
        <v>3% 이하</v>
      </c>
      <c r="Q369" s="194">
        <f ca="1">IFERROR(ROUND(OFFSET(환산공식!$FG$15,$F369,0),3),"")</f>
        <v>0</v>
      </c>
      <c r="R369" s="194">
        <f ca="1">OFFSET('배치점수 계산기'!H$10,$D369,0)</f>
        <v>692.03</v>
      </c>
      <c r="S369" s="194">
        <f ca="1">OFFSET('배치점수 계산기'!I$10,$D369,0)</f>
        <v>690.75</v>
      </c>
      <c r="T369" s="194">
        <f ca="1">OFFSET('배치점수 계산기'!J$10,$D369,0)</f>
        <v>689.005</v>
      </c>
      <c r="U369" s="194">
        <f ca="1">OFFSET('배치점수 계산기'!K$10,$D369,0)</f>
        <v>686.02499999999998</v>
      </c>
      <c r="V369" s="194">
        <f ca="1">OFFSET('배치점수 계산기'!L$10,$D369,0)</f>
        <v>683.36699999999996</v>
      </c>
      <c r="W369" s="186" t="str">
        <f ca="1">OFFSET('배치점수 계산기'!M$10,$D369,0)</f>
        <v>표점</v>
      </c>
      <c r="X369" s="184" t="str">
        <f ca="1">OFFSET('배치점수 계산기'!N$10,$D369,0)</f>
        <v>변표</v>
      </c>
      <c r="Y369" s="188">
        <f ca="1">OFFSET(환산공식!FW$15,$F369,0)</f>
        <v>0.38</v>
      </c>
      <c r="Z369" s="20">
        <f ca="1">OFFSET(환산공식!FX$15,$F369,0)</f>
        <v>0.31</v>
      </c>
      <c r="AA369" s="179">
        <f ca="1">OFFSET(환산공식!FY$15,$F369,0)</f>
        <v>0.31</v>
      </c>
      <c r="AB369" s="3"/>
      <c r="AD369">
        <f t="shared" ca="1" si="11"/>
        <v>6</v>
      </c>
      <c r="AF369" s="3"/>
      <c r="AG369" s="3"/>
      <c r="AH369" s="3"/>
    </row>
    <row r="370" spans="1:34">
      <c r="A370" s="198"/>
      <c r="B370" s="198"/>
      <c r="C370" s="198" t="s">
        <v>1822</v>
      </c>
      <c r="D370" s="195">
        <v>1358</v>
      </c>
      <c r="E370" s="195">
        <v>98</v>
      </c>
      <c r="F370" s="195">
        <v>98</v>
      </c>
      <c r="G370" s="239">
        <v>363</v>
      </c>
      <c r="H370" s="197" t="s">
        <v>79</v>
      </c>
      <c r="I370" s="242" t="s">
        <v>423</v>
      </c>
      <c r="J370" s="242" t="s">
        <v>11582</v>
      </c>
      <c r="K370" s="195" t="s">
        <v>71</v>
      </c>
      <c r="L370" s="20" t="str">
        <f ca="1">IF(OFFSET(환산공식!$ED$15,$F370,0)=1,"O","X")</f>
        <v>X</v>
      </c>
      <c r="M370" s="188">
        <f ca="1">IFERROR(OFFSET(환산공식!DJ$15,$F370,0),"")</f>
        <v>200</v>
      </c>
      <c r="N370" s="20" t="str">
        <f ca="1">IFERROR(CONCATENATE(ROUND(OFFSET(환산공식!DK$15,$F370,0),1),"%"),"")</f>
        <v>100%</v>
      </c>
      <c r="O370" s="20">
        <f ca="1">IFERROR(OFFSET(환산공식!DL$15,$F370,0),"")</f>
        <v>10</v>
      </c>
      <c r="P370" s="188" t="str">
        <f t="shared" ca="1" si="10"/>
        <v>3% 이하</v>
      </c>
      <c r="Q370" s="194">
        <f ca="1">IFERROR(ROUND(OFFSET(환산공식!$FG$15,$F370,0),3),"")</f>
        <v>0</v>
      </c>
      <c r="R370" s="194">
        <f ca="1">OFFSET('배치점수 계산기'!H$10,$D370,0)</f>
        <v>690.76599999999996</v>
      </c>
      <c r="S370" s="194">
        <f ca="1">OFFSET('배치점수 계산기'!I$10,$D370,0)</f>
        <v>689.65800000000002</v>
      </c>
      <c r="T370" s="194">
        <f ca="1">OFFSET('배치점수 계산기'!J$10,$D370,0)</f>
        <v>687.98299999999995</v>
      </c>
      <c r="U370" s="194">
        <f ca="1">OFFSET('배치점수 계산기'!K$10,$D370,0)</f>
        <v>685.30100000000004</v>
      </c>
      <c r="V370" s="194">
        <f ca="1">OFFSET('배치점수 계산기'!L$10,$D370,0)</f>
        <v>682.48900000000003</v>
      </c>
      <c r="W370" s="186" t="str">
        <f ca="1">OFFSET('배치점수 계산기'!M$10,$D370,0)</f>
        <v>표점</v>
      </c>
      <c r="X370" s="184" t="str">
        <f ca="1">OFFSET('배치점수 계산기'!N$10,$D370,0)</f>
        <v>변표</v>
      </c>
      <c r="Y370" s="188">
        <f ca="1">OFFSET(환산공식!FW$15,$F370,0)</f>
        <v>0.38</v>
      </c>
      <c r="Z370" s="20">
        <f ca="1">OFFSET(환산공식!FX$15,$F370,0)</f>
        <v>0.38</v>
      </c>
      <c r="AA370" s="179">
        <f ca="1">OFFSET(환산공식!FY$15,$F370,0)</f>
        <v>0.25</v>
      </c>
      <c r="AB370" s="3"/>
      <c r="AD370">
        <f t="shared" ca="1" si="11"/>
        <v>6</v>
      </c>
      <c r="AF370" s="3"/>
      <c r="AG370" s="3"/>
      <c r="AH370" s="3"/>
    </row>
    <row r="371" spans="1:34">
      <c r="A371" s="198"/>
      <c r="B371" s="198"/>
      <c r="C371" s="198" t="s">
        <v>1823</v>
      </c>
      <c r="D371" s="195">
        <v>1359</v>
      </c>
      <c r="E371" s="195">
        <v>97</v>
      </c>
      <c r="F371" s="195">
        <v>97</v>
      </c>
      <c r="G371" s="239">
        <v>364</v>
      </c>
      <c r="H371" s="197" t="s">
        <v>79</v>
      </c>
      <c r="I371" s="242" t="s">
        <v>423</v>
      </c>
      <c r="J371" s="242" t="s">
        <v>12654</v>
      </c>
      <c r="K371" s="195" t="s">
        <v>71</v>
      </c>
      <c r="L371" s="20" t="str">
        <f ca="1">IF(OFFSET(환산공식!$ED$15,$F371,0)=1,"O","X")</f>
        <v>X</v>
      </c>
      <c r="M371" s="188">
        <f ca="1">IFERROR(OFFSET(환산공식!DJ$15,$F371,0),"")</f>
        <v>200</v>
      </c>
      <c r="N371" s="20" t="str">
        <f ca="1">IFERROR(CONCATENATE(ROUND(OFFSET(환산공식!DK$15,$F371,0),1),"%"),"")</f>
        <v>100%</v>
      </c>
      <c r="O371" s="20">
        <f ca="1">IFERROR(OFFSET(환산공식!DL$15,$F371,0),"")</f>
        <v>10</v>
      </c>
      <c r="P371" s="188" t="str">
        <f t="shared" ca="1" si="10"/>
        <v>3% 이하</v>
      </c>
      <c r="Q371" s="194">
        <f ca="1">IFERROR(ROUND(OFFSET(환산공식!$FG$15,$F371,0),3),"")</f>
        <v>0</v>
      </c>
      <c r="R371" s="194">
        <f ca="1">OFFSET('배치점수 계산기'!H$10,$D371,0)</f>
        <v>673.88499999999999</v>
      </c>
      <c r="S371" s="194">
        <f ca="1">OFFSET('배치점수 계산기'!I$10,$D371,0)</f>
        <v>672.46500000000003</v>
      </c>
      <c r="T371" s="194">
        <f ca="1">OFFSET('배치점수 계산기'!J$10,$D371,0)</f>
        <v>671.02300000000002</v>
      </c>
      <c r="U371" s="194">
        <f ca="1">OFFSET('배치점수 계산기'!K$10,$D371,0)</f>
        <v>668.53</v>
      </c>
      <c r="V371" s="194">
        <f ca="1">OFFSET('배치점수 계산기'!L$10,$D371,0)</f>
        <v>666.10199999999998</v>
      </c>
      <c r="W371" s="186" t="str">
        <f ca="1">OFFSET('배치점수 계산기'!M$10,$D371,0)</f>
        <v>표점</v>
      </c>
      <c r="X371" s="184" t="str">
        <f ca="1">OFFSET('배치점수 계산기'!N$10,$D371,0)</f>
        <v>변표</v>
      </c>
      <c r="Y371" s="188">
        <f ca="1">OFFSET(환산공식!FW$15,$F371,0)</f>
        <v>0.38</v>
      </c>
      <c r="Z371" s="20">
        <f ca="1">OFFSET(환산공식!FX$15,$F371,0)</f>
        <v>0.31</v>
      </c>
      <c r="AA371" s="179">
        <f ca="1">OFFSET(환산공식!FY$15,$F371,0)</f>
        <v>0.31</v>
      </c>
      <c r="AB371" s="3"/>
      <c r="AD371">
        <f t="shared" ca="1" si="11"/>
        <v>6</v>
      </c>
      <c r="AF371" s="3"/>
      <c r="AG371" s="3"/>
      <c r="AH371" s="3"/>
    </row>
    <row r="372" spans="1:34">
      <c r="A372" s="198"/>
      <c r="B372" s="198"/>
      <c r="C372" s="198" t="s">
        <v>1824</v>
      </c>
      <c r="D372" s="195">
        <v>1360</v>
      </c>
      <c r="E372" s="195">
        <v>97</v>
      </c>
      <c r="F372" s="195">
        <v>97</v>
      </c>
      <c r="G372" s="239">
        <v>365</v>
      </c>
      <c r="H372" s="197" t="s">
        <v>79</v>
      </c>
      <c r="I372" s="242" t="s">
        <v>423</v>
      </c>
      <c r="J372" s="242" t="s">
        <v>12890</v>
      </c>
      <c r="K372" s="195" t="s">
        <v>71</v>
      </c>
      <c r="L372" s="20" t="str">
        <f ca="1">IF(OFFSET(환산공식!$ED$15,$F372,0)=1,"O","X")</f>
        <v>X</v>
      </c>
      <c r="M372" s="188">
        <f ca="1">IFERROR(OFFSET(환산공식!DJ$15,$F372,0),"")</f>
        <v>200</v>
      </c>
      <c r="N372" s="20" t="str">
        <f ca="1">IFERROR(CONCATENATE(ROUND(OFFSET(환산공식!DK$15,$F372,0),1),"%"),"")</f>
        <v>100%</v>
      </c>
      <c r="O372" s="20">
        <f ca="1">IFERROR(OFFSET(환산공식!DL$15,$F372,0),"")</f>
        <v>10</v>
      </c>
      <c r="P372" s="188" t="str">
        <f t="shared" ca="1" si="10"/>
        <v>3% 이하</v>
      </c>
      <c r="Q372" s="194">
        <f ca="1">IFERROR(ROUND(OFFSET(환산공식!$FG$15,$F372,0),3),"")</f>
        <v>0</v>
      </c>
      <c r="R372" s="194">
        <f ca="1">OFFSET('배치점수 계산기'!H$10,$D372,0)</f>
        <v>668.65499999999997</v>
      </c>
      <c r="S372" s="194">
        <f ca="1">OFFSET('배치점수 계산기'!I$10,$D372,0)</f>
        <v>667.577</v>
      </c>
      <c r="T372" s="194">
        <f ca="1">OFFSET('배치점수 계산기'!J$10,$D372,0)</f>
        <v>665.92</v>
      </c>
      <c r="U372" s="194">
        <f ca="1">OFFSET('배치점수 계산기'!K$10,$D372,0)</f>
        <v>663.22500000000002</v>
      </c>
      <c r="V372" s="194">
        <f ca="1">OFFSET('배치점수 계산기'!L$10,$D372,0)</f>
        <v>660.10699999999997</v>
      </c>
      <c r="W372" s="186" t="str">
        <f ca="1">OFFSET('배치점수 계산기'!M$10,$D372,0)</f>
        <v>표점</v>
      </c>
      <c r="X372" s="184" t="str">
        <f ca="1">OFFSET('배치점수 계산기'!N$10,$D372,0)</f>
        <v>변표</v>
      </c>
      <c r="Y372" s="188">
        <f ca="1">OFFSET(환산공식!FW$15,$F372,0)</f>
        <v>0.38</v>
      </c>
      <c r="Z372" s="20">
        <f ca="1">OFFSET(환산공식!FX$15,$F372,0)</f>
        <v>0.31</v>
      </c>
      <c r="AA372" s="179">
        <f ca="1">OFFSET(환산공식!FY$15,$F372,0)</f>
        <v>0.31</v>
      </c>
      <c r="AB372" s="3"/>
      <c r="AD372">
        <f t="shared" ca="1" si="11"/>
        <v>6</v>
      </c>
      <c r="AF372" s="3"/>
      <c r="AG372" s="3"/>
      <c r="AH372" s="3"/>
    </row>
    <row r="373" spans="1:34">
      <c r="A373" s="198"/>
      <c r="B373" s="198"/>
      <c r="C373" s="198" t="s">
        <v>1825</v>
      </c>
      <c r="D373" s="195">
        <v>1361</v>
      </c>
      <c r="E373" s="195">
        <v>97</v>
      </c>
      <c r="F373" s="195">
        <v>97</v>
      </c>
      <c r="G373" s="239">
        <v>366</v>
      </c>
      <c r="H373" s="197" t="s">
        <v>79</v>
      </c>
      <c r="I373" s="242" t="s">
        <v>423</v>
      </c>
      <c r="J373" s="242" t="s">
        <v>13420</v>
      </c>
      <c r="K373" s="195" t="s">
        <v>71</v>
      </c>
      <c r="L373" s="20" t="str">
        <f ca="1">IF(OFFSET(환산공식!$ED$15,$F373,0)=1,"O","X")</f>
        <v>X</v>
      </c>
      <c r="M373" s="188">
        <f ca="1">IFERROR(OFFSET(환산공식!DJ$15,$F373,0),"")</f>
        <v>200</v>
      </c>
      <c r="N373" s="20" t="str">
        <f ca="1">IFERROR(CONCATENATE(ROUND(OFFSET(환산공식!DK$15,$F373,0),1),"%"),"")</f>
        <v>100%</v>
      </c>
      <c r="O373" s="20">
        <f ca="1">IFERROR(OFFSET(환산공식!DL$15,$F373,0),"")</f>
        <v>10</v>
      </c>
      <c r="P373" s="188" t="str">
        <f t="shared" ca="1" si="10"/>
        <v>3% 이하</v>
      </c>
      <c r="Q373" s="194">
        <f ca="1">IFERROR(ROUND(OFFSET(환산공식!$FG$15,$F373,0),3),"")</f>
        <v>0</v>
      </c>
      <c r="R373" s="194">
        <f ca="1">OFFSET('배치점수 계산기'!H$10,$D373,0)</f>
        <v>657.84199999999998</v>
      </c>
      <c r="S373" s="194">
        <f ca="1">OFFSET('배치점수 계산기'!I$10,$D373,0)</f>
        <v>656.50300000000004</v>
      </c>
      <c r="T373" s="194">
        <f ca="1">OFFSET('배치점수 계산기'!J$10,$D373,0)</f>
        <v>654.60199999999998</v>
      </c>
      <c r="U373" s="194">
        <f ca="1">OFFSET('배치점수 계산기'!K$10,$D373,0)</f>
        <v>651.58000000000004</v>
      </c>
      <c r="V373" s="194">
        <f ca="1">OFFSET('배치점수 계산기'!L$10,$D373,0)</f>
        <v>648.22699999999998</v>
      </c>
      <c r="W373" s="186" t="str">
        <f ca="1">OFFSET('배치점수 계산기'!M$10,$D373,0)</f>
        <v>표점</v>
      </c>
      <c r="X373" s="184" t="str">
        <f ca="1">OFFSET('배치점수 계산기'!N$10,$D373,0)</f>
        <v>변표</v>
      </c>
      <c r="Y373" s="188">
        <f ca="1">OFFSET(환산공식!FW$15,$F373,0)</f>
        <v>0.38</v>
      </c>
      <c r="Z373" s="20">
        <f ca="1">OFFSET(환산공식!FX$15,$F373,0)</f>
        <v>0.31</v>
      </c>
      <c r="AA373" s="179">
        <f ca="1">OFFSET(환산공식!FY$15,$F373,0)</f>
        <v>0.31</v>
      </c>
      <c r="AB373" s="3"/>
      <c r="AD373">
        <f t="shared" ca="1" si="11"/>
        <v>6</v>
      </c>
      <c r="AF373" s="3"/>
      <c r="AG373" s="3"/>
      <c r="AH373" s="3"/>
    </row>
    <row r="374" spans="1:34">
      <c r="A374" s="198"/>
      <c r="B374" s="198"/>
      <c r="C374" s="198" t="s">
        <v>1826</v>
      </c>
      <c r="D374" s="195">
        <v>1362</v>
      </c>
      <c r="E374" s="195">
        <v>132</v>
      </c>
      <c r="F374" s="195">
        <v>132</v>
      </c>
      <c r="G374" s="239">
        <v>367</v>
      </c>
      <c r="H374" s="197" t="s">
        <v>79</v>
      </c>
      <c r="I374" s="242" t="s">
        <v>446</v>
      </c>
      <c r="J374" s="242" t="s">
        <v>9103</v>
      </c>
      <c r="K374" s="195" t="s">
        <v>70</v>
      </c>
      <c r="L374" s="20" t="str">
        <f ca="1">IF(OFFSET(환산공식!$ED$15,$F374,0)=1,"O","X")</f>
        <v>X</v>
      </c>
      <c r="M374" s="188">
        <f ca="1">IFERROR(OFFSET(환산공식!DJ$15,$F374,0),"")</f>
        <v>100</v>
      </c>
      <c r="N374" s="20" t="str">
        <f ca="1">IFERROR(CONCATENATE(ROUND(OFFSET(환산공식!DK$15,$F374,0),1),"%"),"")</f>
        <v>100%</v>
      </c>
      <c r="O374" s="20">
        <f ca="1">IFERROR(OFFSET(환산공식!DL$15,$F374,0),"")</f>
        <v>0</v>
      </c>
      <c r="P374" s="188" t="str">
        <f t="shared" ca="1" si="10"/>
        <v>3% 이하</v>
      </c>
      <c r="Q374" s="194">
        <f ca="1">IFERROR(ROUND(OFFSET(환산공식!$FG$15,$F374,0),3),"")</f>
        <v>0</v>
      </c>
      <c r="R374" s="194">
        <f ca="1">OFFSET('배치점수 계산기'!H$10,$D374,0)</f>
        <v>829.47</v>
      </c>
      <c r="S374" s="194">
        <f ca="1">OFFSET('배치점수 계산기'!I$10,$D374,0)</f>
        <v>821.9</v>
      </c>
      <c r="T374" s="194">
        <f ca="1">OFFSET('배치점수 계산기'!J$10,$D374,0)</f>
        <v>812.83</v>
      </c>
      <c r="U374" s="194">
        <f ca="1">OFFSET('배치점수 계산기'!K$10,$D374,0)</f>
        <v>804.62</v>
      </c>
      <c r="V374" s="194">
        <f ca="1">OFFSET('배치점수 계산기'!L$10,$D374,0)</f>
        <v>794.83</v>
      </c>
      <c r="W374" s="186" t="str">
        <f ca="1">OFFSET('배치점수 계산기'!M$10,$D374,0)</f>
        <v>백분위</v>
      </c>
      <c r="X374" s="184" t="str">
        <f ca="1">OFFSET('배치점수 계산기'!N$10,$D374,0)</f>
        <v>백분위</v>
      </c>
      <c r="Y374" s="188">
        <f ca="1">OFFSET(환산공식!FW$15,$F374,0)</f>
        <v>0.28000000000000003</v>
      </c>
      <c r="Z374" s="20">
        <f ca="1">OFFSET(환산공식!FX$15,$F374,0)</f>
        <v>0.39</v>
      </c>
      <c r="AA374" s="179">
        <f ca="1">OFFSET(환산공식!FY$15,$F374,0)</f>
        <v>0.33</v>
      </c>
      <c r="AB374" s="3"/>
      <c r="AD374">
        <f t="shared" ca="1" si="11"/>
        <v>6</v>
      </c>
      <c r="AF374" s="3"/>
      <c r="AG374" s="3"/>
      <c r="AH374" s="3"/>
    </row>
    <row r="375" spans="1:34">
      <c r="A375" s="198"/>
      <c r="B375" s="198"/>
      <c r="C375" s="198" t="s">
        <v>1827</v>
      </c>
      <c r="D375" s="195">
        <v>1363</v>
      </c>
      <c r="E375" s="195">
        <v>129</v>
      </c>
      <c r="F375" s="195">
        <v>129</v>
      </c>
      <c r="G375" s="239">
        <v>368</v>
      </c>
      <c r="H375" s="197" t="s">
        <v>79</v>
      </c>
      <c r="I375" s="242" t="s">
        <v>446</v>
      </c>
      <c r="J375" s="242" t="s">
        <v>8938</v>
      </c>
      <c r="K375" s="195" t="s">
        <v>71</v>
      </c>
      <c r="L375" s="20" t="str">
        <f ca="1">IF(OFFSET(환산공식!$ED$15,$F375,0)=1,"O","X")</f>
        <v>X</v>
      </c>
      <c r="M375" s="188">
        <f ca="1">IFERROR(OFFSET(환산공식!DJ$15,$F375,0),"")</f>
        <v>100</v>
      </c>
      <c r="N375" s="20" t="str">
        <f ca="1">IFERROR(CONCATENATE(ROUND(OFFSET(환산공식!DK$15,$F375,0),1),"%"),"")</f>
        <v>100%</v>
      </c>
      <c r="O375" s="20">
        <f ca="1">IFERROR(OFFSET(환산공식!DL$15,$F375,0),"")</f>
        <v>0</v>
      </c>
      <c r="P375" s="188" t="str">
        <f t="shared" ca="1" si="10"/>
        <v>3% 이하</v>
      </c>
      <c r="Q375" s="194">
        <f ca="1">IFERROR(ROUND(OFFSET(환산공식!$FG$15,$F375,0),3),"")</f>
        <v>0</v>
      </c>
      <c r="R375" s="194">
        <f ca="1">OFFSET('배치점수 계산기'!H$10,$D375,0)</f>
        <v>830.82</v>
      </c>
      <c r="S375" s="194">
        <f ca="1">OFFSET('배치점수 계산기'!I$10,$D375,0)</f>
        <v>821.97500000000002</v>
      </c>
      <c r="T375" s="194">
        <f ca="1">OFFSET('배치점수 계산기'!J$10,$D375,0)</f>
        <v>814.38</v>
      </c>
      <c r="U375" s="194">
        <f ca="1">OFFSET('배치점수 계산기'!K$10,$D375,0)</f>
        <v>806.95</v>
      </c>
      <c r="V375" s="194">
        <f ca="1">OFFSET('배치점수 계산기'!L$10,$D375,0)</f>
        <v>798.40499999999997</v>
      </c>
      <c r="W375" s="186" t="str">
        <f ca="1">OFFSET('배치점수 계산기'!M$10,$D375,0)</f>
        <v>백분위</v>
      </c>
      <c r="X375" s="184" t="str">
        <f ca="1">OFFSET('배치점수 계산기'!N$10,$D375,0)</f>
        <v>백분위</v>
      </c>
      <c r="Y375" s="188">
        <f ca="1">OFFSET(환산공식!FW$15,$F375,0)</f>
        <v>0.39</v>
      </c>
      <c r="Z375" s="20">
        <f ca="1">OFFSET(환산공식!FX$15,$F375,0)</f>
        <v>0.33</v>
      </c>
      <c r="AA375" s="179">
        <f ca="1">OFFSET(환산공식!FY$15,$F375,0)</f>
        <v>0.28000000000000003</v>
      </c>
      <c r="AB375" s="3"/>
      <c r="AD375">
        <f t="shared" ca="1" si="11"/>
        <v>6</v>
      </c>
      <c r="AF375" s="3"/>
      <c r="AG375" s="3"/>
      <c r="AH375" s="3"/>
    </row>
    <row r="376" spans="1:34">
      <c r="A376" s="198"/>
      <c r="B376" s="198"/>
      <c r="C376" s="198" t="s">
        <v>1828</v>
      </c>
      <c r="D376" s="195">
        <v>1364</v>
      </c>
      <c r="E376" s="195">
        <v>250</v>
      </c>
      <c r="F376" s="195">
        <v>250</v>
      </c>
      <c r="G376" s="239">
        <v>369</v>
      </c>
      <c r="H376" s="197" t="s">
        <v>79</v>
      </c>
      <c r="I376" s="242" t="s">
        <v>479</v>
      </c>
      <c r="J376" s="242" t="s">
        <v>8835</v>
      </c>
      <c r="K376" s="195" t="s">
        <v>70</v>
      </c>
      <c r="L376" s="20" t="str">
        <f ca="1">IF(OFFSET(환산공식!$ED$15,$F376,0)=1,"O","X")</f>
        <v>X</v>
      </c>
      <c r="M376" s="188">
        <f ca="1">IFERROR(OFFSET(환산공식!DJ$15,$F376,0),"")</f>
        <v>100</v>
      </c>
      <c r="N376" s="20" t="str">
        <f ca="1">IFERROR(CONCATENATE(ROUND(OFFSET(환산공식!DK$15,$F376,0),1),"%"),"")</f>
        <v>100%</v>
      </c>
      <c r="O376" s="20">
        <f ca="1">IFERROR(OFFSET(환산공식!DL$15,$F376,0),"")</f>
        <v>2</v>
      </c>
      <c r="P376" s="188" t="str">
        <f t="shared" ca="1" si="10"/>
        <v>3% 이하</v>
      </c>
      <c r="Q376" s="194">
        <f ca="1">IFERROR(ROUND(OFFSET(환산공식!$FG$15,$F376,0),3),"")</f>
        <v>0</v>
      </c>
      <c r="R376" s="194">
        <f ca="1">OFFSET('배치점수 계산기'!H$10,$D376,0)</f>
        <v>439.67500000000001</v>
      </c>
      <c r="S376" s="194">
        <f ca="1">OFFSET('배치점수 계산기'!I$10,$D376,0)</f>
        <v>436.92500000000001</v>
      </c>
      <c r="T376" s="194">
        <f ca="1">OFFSET('배치점수 계산기'!J$10,$D376,0)</f>
        <v>432.11500000000001</v>
      </c>
      <c r="U376" s="194">
        <f ca="1">OFFSET('배치점수 계산기'!K$10,$D376,0)</f>
        <v>428.07499999999999</v>
      </c>
      <c r="V376" s="194">
        <f ca="1">OFFSET('배치점수 계산기'!L$10,$D376,0)</f>
        <v>425.44499999999999</v>
      </c>
      <c r="W376" s="186" t="str">
        <f ca="1">OFFSET('배치점수 계산기'!M$10,$D376,0)</f>
        <v>백분위</v>
      </c>
      <c r="X376" s="184" t="str">
        <f ca="1">OFFSET('배치점수 계산기'!N$10,$D376,0)</f>
        <v>백분위</v>
      </c>
      <c r="Y376" s="188">
        <f ca="1">OFFSET(환산공식!FW$15,$F376,0)</f>
        <v>0.25</v>
      </c>
      <c r="Z376" s="20">
        <f ca="1">OFFSET(환산공식!FX$15,$F376,0)</f>
        <v>0.38</v>
      </c>
      <c r="AA376" s="179">
        <f ca="1">OFFSET(환산공식!FY$15,$F376,0)</f>
        <v>0.38</v>
      </c>
      <c r="AB376" s="3"/>
      <c r="AD376">
        <f t="shared" ca="1" si="11"/>
        <v>6</v>
      </c>
      <c r="AF376" s="3"/>
      <c r="AG376" s="3"/>
      <c r="AH376" s="3"/>
    </row>
    <row r="377" spans="1:34">
      <c r="A377" s="198"/>
      <c r="B377" s="198"/>
      <c r="C377" s="198" t="s">
        <v>1829</v>
      </c>
      <c r="D377" s="195">
        <v>1365</v>
      </c>
      <c r="E377" s="195">
        <v>250</v>
      </c>
      <c r="F377" s="195">
        <v>250</v>
      </c>
      <c r="G377" s="239">
        <v>370</v>
      </c>
      <c r="H377" s="197" t="s">
        <v>79</v>
      </c>
      <c r="I377" s="242" t="s">
        <v>479</v>
      </c>
      <c r="J377" s="242" t="s">
        <v>11161</v>
      </c>
      <c r="K377" s="195" t="s">
        <v>70</v>
      </c>
      <c r="L377" s="20" t="str">
        <f ca="1">IF(OFFSET(환산공식!$ED$15,$F377,0)=1,"O","X")</f>
        <v>X</v>
      </c>
      <c r="M377" s="188">
        <f ca="1">IFERROR(OFFSET(환산공식!DJ$15,$F377,0),"")</f>
        <v>100</v>
      </c>
      <c r="N377" s="20" t="str">
        <f ca="1">IFERROR(CONCATENATE(ROUND(OFFSET(환산공식!DK$15,$F377,0),1),"%"),"")</f>
        <v>100%</v>
      </c>
      <c r="O377" s="20">
        <f ca="1">IFERROR(OFFSET(환산공식!DL$15,$F377,0),"")</f>
        <v>2</v>
      </c>
      <c r="P377" s="188" t="str">
        <f t="shared" ca="1" si="10"/>
        <v>3% 이하</v>
      </c>
      <c r="Q377" s="194">
        <f ca="1">IFERROR(ROUND(OFFSET(환산공식!$FG$15,$F377,0),3),"")</f>
        <v>0</v>
      </c>
      <c r="R377" s="194">
        <f ca="1">OFFSET('배치점수 계산기'!H$10,$D377,0)</f>
        <v>438.94</v>
      </c>
      <c r="S377" s="194">
        <f ca="1">OFFSET('배치점수 계산기'!I$10,$D377,0)</f>
        <v>435.57499999999999</v>
      </c>
      <c r="T377" s="194">
        <f ca="1">OFFSET('배치점수 계산기'!J$10,$D377,0)</f>
        <v>430.93</v>
      </c>
      <c r="U377" s="194">
        <f ca="1">OFFSET('배치점수 계산기'!K$10,$D377,0)</f>
        <v>426.755</v>
      </c>
      <c r="V377" s="194">
        <f ca="1">OFFSET('배치점수 계산기'!L$10,$D377,0)</f>
        <v>423.57</v>
      </c>
      <c r="W377" s="186" t="str">
        <f ca="1">OFFSET('배치점수 계산기'!M$10,$D377,0)</f>
        <v>백분위</v>
      </c>
      <c r="X377" s="184" t="str">
        <f ca="1">OFFSET('배치점수 계산기'!N$10,$D377,0)</f>
        <v>백분위</v>
      </c>
      <c r="Y377" s="188">
        <f ca="1">OFFSET(환산공식!FW$15,$F377,0)</f>
        <v>0.25</v>
      </c>
      <c r="Z377" s="20">
        <f ca="1">OFFSET(환산공식!FX$15,$F377,0)</f>
        <v>0.38</v>
      </c>
      <c r="AA377" s="179">
        <f ca="1">OFFSET(환산공식!FY$15,$F377,0)</f>
        <v>0.38</v>
      </c>
      <c r="AB377" s="3"/>
      <c r="AD377">
        <f t="shared" ca="1" si="11"/>
        <v>6</v>
      </c>
      <c r="AF377" s="3"/>
      <c r="AG377" s="3"/>
      <c r="AH377" s="3"/>
    </row>
    <row r="378" spans="1:34">
      <c r="A378" s="198"/>
      <c r="B378" s="198"/>
      <c r="C378" s="198" t="s">
        <v>1830</v>
      </c>
      <c r="D378" s="195">
        <v>1366</v>
      </c>
      <c r="E378" s="195">
        <v>250</v>
      </c>
      <c r="F378" s="195">
        <v>250</v>
      </c>
      <c r="G378" s="239">
        <v>371</v>
      </c>
      <c r="H378" s="197" t="s">
        <v>79</v>
      </c>
      <c r="I378" s="242" t="s">
        <v>479</v>
      </c>
      <c r="J378" s="242" t="s">
        <v>11277</v>
      </c>
      <c r="K378" s="195" t="s">
        <v>70</v>
      </c>
      <c r="L378" s="20" t="str">
        <f ca="1">IF(OFFSET(환산공식!$ED$15,$F378,0)=1,"O","X")</f>
        <v>X</v>
      </c>
      <c r="M378" s="188">
        <f ca="1">IFERROR(OFFSET(환산공식!DJ$15,$F378,0),"")</f>
        <v>100</v>
      </c>
      <c r="N378" s="20" t="str">
        <f ca="1">IFERROR(CONCATENATE(ROUND(OFFSET(환산공식!DK$15,$F378,0),1),"%"),"")</f>
        <v>100%</v>
      </c>
      <c r="O378" s="20">
        <f ca="1">IFERROR(OFFSET(환산공식!DL$15,$F378,0),"")</f>
        <v>2</v>
      </c>
      <c r="P378" s="188" t="str">
        <f t="shared" ca="1" si="10"/>
        <v>3% 이하</v>
      </c>
      <c r="Q378" s="194">
        <f ca="1">IFERROR(ROUND(OFFSET(환산공식!$FG$15,$F378,0),3),"")</f>
        <v>0</v>
      </c>
      <c r="R378" s="194">
        <f ca="1">OFFSET('배치점수 계산기'!H$10,$D378,0)</f>
        <v>435.84500000000003</v>
      </c>
      <c r="S378" s="194">
        <f ca="1">OFFSET('배치점수 계산기'!I$10,$D378,0)</f>
        <v>432.65</v>
      </c>
      <c r="T378" s="194">
        <f ca="1">OFFSET('배치점수 계산기'!J$10,$D378,0)</f>
        <v>428.36500000000001</v>
      </c>
      <c r="U378" s="194">
        <f ca="1">OFFSET('배치점수 계산기'!K$10,$D378,0)</f>
        <v>422.7</v>
      </c>
      <c r="V378" s="194">
        <f ca="1">OFFSET('배치점수 계산기'!L$10,$D378,0)</f>
        <v>419.30500000000001</v>
      </c>
      <c r="W378" s="186" t="str">
        <f ca="1">OFFSET('배치점수 계산기'!M$10,$D378,0)</f>
        <v>백분위</v>
      </c>
      <c r="X378" s="184" t="str">
        <f ca="1">OFFSET('배치점수 계산기'!N$10,$D378,0)</f>
        <v>백분위</v>
      </c>
      <c r="Y378" s="188">
        <f ca="1">OFFSET(환산공식!FW$15,$F378,0)</f>
        <v>0.25</v>
      </c>
      <c r="Z378" s="20">
        <f ca="1">OFFSET(환산공식!FX$15,$F378,0)</f>
        <v>0.38</v>
      </c>
      <c r="AA378" s="179">
        <f ca="1">OFFSET(환산공식!FY$15,$F378,0)</f>
        <v>0.38</v>
      </c>
      <c r="AB378" s="3"/>
      <c r="AD378">
        <f t="shared" ca="1" si="11"/>
        <v>6</v>
      </c>
      <c r="AF378" s="3"/>
      <c r="AG378" s="3"/>
      <c r="AH378" s="3"/>
    </row>
    <row r="379" spans="1:34">
      <c r="A379" s="198"/>
      <c r="B379" s="198"/>
      <c r="C379" s="198" t="s">
        <v>1831</v>
      </c>
      <c r="D379" s="195">
        <v>1367</v>
      </c>
      <c r="E379" s="195">
        <v>250</v>
      </c>
      <c r="F379" s="195">
        <v>250</v>
      </c>
      <c r="G379" s="239">
        <v>372</v>
      </c>
      <c r="H379" s="197" t="s">
        <v>79</v>
      </c>
      <c r="I379" s="242" t="s">
        <v>479</v>
      </c>
      <c r="J379" s="242" t="s">
        <v>11378</v>
      </c>
      <c r="K379" s="195" t="s">
        <v>70</v>
      </c>
      <c r="L379" s="20" t="str">
        <f ca="1">IF(OFFSET(환산공식!$ED$15,$F379,0)=1,"O","X")</f>
        <v>X</v>
      </c>
      <c r="M379" s="188">
        <f ca="1">IFERROR(OFFSET(환산공식!DJ$15,$F379,0),"")</f>
        <v>100</v>
      </c>
      <c r="N379" s="20" t="str">
        <f ca="1">IFERROR(CONCATENATE(ROUND(OFFSET(환산공식!DK$15,$F379,0),1),"%"),"")</f>
        <v>100%</v>
      </c>
      <c r="O379" s="20">
        <f ca="1">IFERROR(OFFSET(환산공식!DL$15,$F379,0),"")</f>
        <v>2</v>
      </c>
      <c r="P379" s="188" t="str">
        <f t="shared" ca="1" si="10"/>
        <v>3% 이하</v>
      </c>
      <c r="Q379" s="194">
        <f ca="1">IFERROR(ROUND(OFFSET(환산공식!$FG$15,$F379,0),3),"")</f>
        <v>0</v>
      </c>
      <c r="R379" s="194">
        <f ca="1">OFFSET('배치점수 계산기'!H$10,$D379,0)</f>
        <v>433.38</v>
      </c>
      <c r="S379" s="194">
        <f ca="1">OFFSET('배치점수 계산기'!I$10,$D379,0)</f>
        <v>430.54500000000002</v>
      </c>
      <c r="T379" s="194">
        <f ca="1">OFFSET('배치점수 계산기'!J$10,$D379,0)</f>
        <v>426.01499999999999</v>
      </c>
      <c r="U379" s="194">
        <f ca="1">OFFSET('배치점수 계산기'!K$10,$D379,0)</f>
        <v>420.89</v>
      </c>
      <c r="V379" s="194">
        <f ca="1">OFFSET('배치점수 계산기'!L$10,$D379,0)</f>
        <v>418.03</v>
      </c>
      <c r="W379" s="186" t="str">
        <f ca="1">OFFSET('배치점수 계산기'!M$10,$D379,0)</f>
        <v>백분위</v>
      </c>
      <c r="X379" s="184" t="str">
        <f ca="1">OFFSET('배치점수 계산기'!N$10,$D379,0)</f>
        <v>백분위</v>
      </c>
      <c r="Y379" s="188">
        <f ca="1">OFFSET(환산공식!FW$15,$F379,0)</f>
        <v>0.25</v>
      </c>
      <c r="Z379" s="20">
        <f ca="1">OFFSET(환산공식!FX$15,$F379,0)</f>
        <v>0.38</v>
      </c>
      <c r="AA379" s="179">
        <f ca="1">OFFSET(환산공식!FY$15,$F379,0)</f>
        <v>0.38</v>
      </c>
      <c r="AB379" s="3"/>
      <c r="AD379">
        <f t="shared" ca="1" si="11"/>
        <v>6</v>
      </c>
      <c r="AF379" s="3"/>
      <c r="AG379" s="3"/>
      <c r="AH379" s="3"/>
    </row>
    <row r="380" spans="1:34">
      <c r="A380" s="198"/>
      <c r="B380" s="198"/>
      <c r="C380" s="198" t="s">
        <v>1832</v>
      </c>
      <c r="D380" s="195">
        <v>1368</v>
      </c>
      <c r="E380" s="195">
        <v>250</v>
      </c>
      <c r="F380" s="195">
        <v>250</v>
      </c>
      <c r="G380" s="239">
        <v>373</v>
      </c>
      <c r="H380" s="197" t="s">
        <v>79</v>
      </c>
      <c r="I380" s="242" t="s">
        <v>479</v>
      </c>
      <c r="J380" s="242" t="s">
        <v>11398</v>
      </c>
      <c r="K380" s="195" t="s">
        <v>70</v>
      </c>
      <c r="L380" s="20" t="str">
        <f ca="1">IF(OFFSET(환산공식!$ED$15,$F380,0)=1,"O","X")</f>
        <v>X</v>
      </c>
      <c r="M380" s="188">
        <f ca="1">IFERROR(OFFSET(환산공식!DJ$15,$F380,0),"")</f>
        <v>100</v>
      </c>
      <c r="N380" s="20" t="str">
        <f ca="1">IFERROR(CONCATENATE(ROUND(OFFSET(환산공식!DK$15,$F380,0),1),"%"),"")</f>
        <v>100%</v>
      </c>
      <c r="O380" s="20">
        <f ca="1">IFERROR(OFFSET(환산공식!DL$15,$F380,0),"")</f>
        <v>2</v>
      </c>
      <c r="P380" s="188" t="str">
        <f t="shared" ca="1" si="10"/>
        <v>3% 이하</v>
      </c>
      <c r="Q380" s="194">
        <f ca="1">IFERROR(ROUND(OFFSET(환산공식!$FG$15,$F380,0),3),"")</f>
        <v>0</v>
      </c>
      <c r="R380" s="194">
        <f ca="1">OFFSET('배치점수 계산기'!H$10,$D380,0)</f>
        <v>433.11</v>
      </c>
      <c r="S380" s="194">
        <f ca="1">OFFSET('배치점수 계산기'!I$10,$D380,0)</f>
        <v>430.46499999999997</v>
      </c>
      <c r="T380" s="194">
        <f ca="1">OFFSET('배치점수 계산기'!J$10,$D380,0)</f>
        <v>426.01499999999999</v>
      </c>
      <c r="U380" s="194">
        <f ca="1">OFFSET('배치점수 계산기'!K$10,$D380,0)</f>
        <v>419.79</v>
      </c>
      <c r="V380" s="194">
        <f ca="1">OFFSET('배치점수 계산기'!L$10,$D380,0)</f>
        <v>416.89</v>
      </c>
      <c r="W380" s="186" t="str">
        <f ca="1">OFFSET('배치점수 계산기'!M$10,$D380,0)</f>
        <v>백분위</v>
      </c>
      <c r="X380" s="184" t="str">
        <f ca="1">OFFSET('배치점수 계산기'!N$10,$D380,0)</f>
        <v>백분위</v>
      </c>
      <c r="Y380" s="188">
        <f ca="1">OFFSET(환산공식!FW$15,$F380,0)</f>
        <v>0.25</v>
      </c>
      <c r="Z380" s="20">
        <f ca="1">OFFSET(환산공식!FX$15,$F380,0)</f>
        <v>0.38</v>
      </c>
      <c r="AA380" s="179">
        <f ca="1">OFFSET(환산공식!FY$15,$F380,0)</f>
        <v>0.38</v>
      </c>
      <c r="AB380" s="3"/>
      <c r="AD380">
        <f t="shared" ca="1" si="11"/>
        <v>6</v>
      </c>
      <c r="AF380" s="3"/>
      <c r="AG380" s="3"/>
      <c r="AH380" s="3"/>
    </row>
    <row r="381" spans="1:34">
      <c r="A381" s="198"/>
      <c r="B381" s="198"/>
      <c r="C381" s="198" t="s">
        <v>1833</v>
      </c>
      <c r="D381" s="195">
        <v>1369</v>
      </c>
      <c r="E381" s="195">
        <v>258</v>
      </c>
      <c r="F381" s="195">
        <v>258</v>
      </c>
      <c r="G381" s="239">
        <v>374</v>
      </c>
      <c r="H381" s="197" t="s">
        <v>79</v>
      </c>
      <c r="I381" s="242" t="s">
        <v>479</v>
      </c>
      <c r="J381" s="242" t="s">
        <v>11445</v>
      </c>
      <c r="K381" s="195" t="s">
        <v>70</v>
      </c>
      <c r="L381" s="20" t="str">
        <f ca="1">IF(OFFSET(환산공식!$ED$15,$F381,0)=1,"O","X")</f>
        <v>X</v>
      </c>
      <c r="M381" s="188">
        <f ca="1">IFERROR(OFFSET(환산공식!DJ$15,$F381,0),"")</f>
        <v>100</v>
      </c>
      <c r="N381" s="20" t="str">
        <f ca="1">IFERROR(CONCATENATE(ROUND(OFFSET(환산공식!DK$15,$F381,0),1),"%"),"")</f>
        <v>100%</v>
      </c>
      <c r="O381" s="20">
        <f ca="1">IFERROR(OFFSET(환산공식!DL$15,$F381,0),"")</f>
        <v>2</v>
      </c>
      <c r="P381" s="188" t="str">
        <f t="shared" ca="1" si="10"/>
        <v>3% 이하</v>
      </c>
      <c r="Q381" s="194">
        <f ca="1">IFERROR(ROUND(OFFSET(환산공식!$FG$15,$F381,0),3),"")</f>
        <v>0</v>
      </c>
      <c r="R381" s="194">
        <f ca="1">OFFSET('배치점수 계산기'!H$10,$D381,0)</f>
        <v>424.39499999999998</v>
      </c>
      <c r="S381" s="194">
        <f ca="1">OFFSET('배치점수 계산기'!I$10,$D381,0)</f>
        <v>421.72500000000002</v>
      </c>
      <c r="T381" s="194">
        <f ca="1">OFFSET('배치점수 계산기'!J$10,$D381,0)</f>
        <v>417.45</v>
      </c>
      <c r="U381" s="194">
        <f ca="1">OFFSET('배치점수 계산기'!K$10,$D381,0)</f>
        <v>413.09</v>
      </c>
      <c r="V381" s="194">
        <f ca="1">OFFSET('배치점수 계산기'!L$10,$D381,0)</f>
        <v>410.61</v>
      </c>
      <c r="W381" s="186" t="str">
        <f ca="1">OFFSET('배치점수 계산기'!M$10,$D381,0)</f>
        <v>백분위</v>
      </c>
      <c r="X381" s="184" t="str">
        <f ca="1">OFFSET('배치점수 계산기'!N$10,$D381,0)</f>
        <v>백분위</v>
      </c>
      <c r="Y381" s="188">
        <f ca="1">OFFSET(환산공식!FW$15,$F381,0)</f>
        <v>0.25</v>
      </c>
      <c r="Z381" s="20">
        <f ca="1">OFFSET(환산공식!FX$15,$F381,0)</f>
        <v>0.38</v>
      </c>
      <c r="AA381" s="179">
        <f ca="1">OFFSET(환산공식!FY$15,$F381,0)</f>
        <v>0.38</v>
      </c>
      <c r="AB381" s="3"/>
      <c r="AD381">
        <f t="shared" ca="1" si="11"/>
        <v>6</v>
      </c>
      <c r="AF381" s="3"/>
      <c r="AG381" s="3"/>
      <c r="AH381" s="3"/>
    </row>
    <row r="382" spans="1:34">
      <c r="A382" s="198"/>
      <c r="B382" s="198"/>
      <c r="C382" s="198" t="s">
        <v>1834</v>
      </c>
      <c r="D382" s="195">
        <v>1370</v>
      </c>
      <c r="E382" s="195">
        <v>250</v>
      </c>
      <c r="F382" s="195">
        <v>250</v>
      </c>
      <c r="G382" s="239">
        <v>375</v>
      </c>
      <c r="H382" s="197" t="s">
        <v>79</v>
      </c>
      <c r="I382" s="242" t="s">
        <v>479</v>
      </c>
      <c r="J382" s="242" t="s">
        <v>11501</v>
      </c>
      <c r="K382" s="195" t="s">
        <v>70</v>
      </c>
      <c r="L382" s="20" t="str">
        <f ca="1">IF(OFFSET(환산공식!$ED$15,$F382,0)=1,"O","X")</f>
        <v>X</v>
      </c>
      <c r="M382" s="188">
        <f ca="1">IFERROR(OFFSET(환산공식!DJ$15,$F382,0),"")</f>
        <v>100</v>
      </c>
      <c r="N382" s="20" t="str">
        <f ca="1">IFERROR(CONCATENATE(ROUND(OFFSET(환산공식!DK$15,$F382,0),1),"%"),"")</f>
        <v>100%</v>
      </c>
      <c r="O382" s="20">
        <f ca="1">IFERROR(OFFSET(환산공식!DL$15,$F382,0),"")</f>
        <v>2</v>
      </c>
      <c r="P382" s="188" t="str">
        <f t="shared" ca="1" si="10"/>
        <v>3% 이하</v>
      </c>
      <c r="Q382" s="194">
        <f ca="1">IFERROR(ROUND(OFFSET(환산공식!$FG$15,$F382,0),3),"")</f>
        <v>0</v>
      </c>
      <c r="R382" s="194">
        <f ca="1">OFFSET('배치점수 계산기'!H$10,$D382,0)</f>
        <v>430.95</v>
      </c>
      <c r="S382" s="194">
        <f ca="1">OFFSET('배치점수 계산기'!I$10,$D382,0)</f>
        <v>428.36500000000001</v>
      </c>
      <c r="T382" s="194">
        <f ca="1">OFFSET('배치점수 계산기'!J$10,$D382,0)</f>
        <v>423.54</v>
      </c>
      <c r="U382" s="194">
        <f ca="1">OFFSET('배치점수 계산기'!K$10,$D382,0)</f>
        <v>418.59500000000003</v>
      </c>
      <c r="V382" s="194">
        <f ca="1">OFFSET('배치점수 계산기'!L$10,$D382,0)</f>
        <v>415.71</v>
      </c>
      <c r="W382" s="186" t="str">
        <f ca="1">OFFSET('배치점수 계산기'!M$10,$D382,0)</f>
        <v>백분위</v>
      </c>
      <c r="X382" s="184" t="str">
        <f ca="1">OFFSET('배치점수 계산기'!N$10,$D382,0)</f>
        <v>백분위</v>
      </c>
      <c r="Y382" s="188">
        <f ca="1">OFFSET(환산공식!FW$15,$F382,0)</f>
        <v>0.25</v>
      </c>
      <c r="Z382" s="20">
        <f ca="1">OFFSET(환산공식!FX$15,$F382,0)</f>
        <v>0.38</v>
      </c>
      <c r="AA382" s="179">
        <f ca="1">OFFSET(환산공식!FY$15,$F382,0)</f>
        <v>0.38</v>
      </c>
      <c r="AB382" s="3"/>
      <c r="AD382">
        <f t="shared" ca="1" si="11"/>
        <v>6</v>
      </c>
      <c r="AF382" s="3"/>
      <c r="AG382" s="3"/>
      <c r="AH382" s="3"/>
    </row>
    <row r="383" spans="1:34">
      <c r="A383" s="198"/>
      <c r="B383" s="198"/>
      <c r="C383" s="198" t="s">
        <v>1835</v>
      </c>
      <c r="D383" s="195">
        <v>1371</v>
      </c>
      <c r="E383" s="195">
        <v>250</v>
      </c>
      <c r="F383" s="195">
        <v>250</v>
      </c>
      <c r="G383" s="239">
        <v>376</v>
      </c>
      <c r="H383" s="197" t="s">
        <v>79</v>
      </c>
      <c r="I383" s="242" t="s">
        <v>479</v>
      </c>
      <c r="J383" s="242" t="s">
        <v>11552</v>
      </c>
      <c r="K383" s="195" t="s">
        <v>70</v>
      </c>
      <c r="L383" s="20" t="str">
        <f ca="1">IF(OFFSET(환산공식!$ED$15,$F383,0)=1,"O","X")</f>
        <v>X</v>
      </c>
      <c r="M383" s="188">
        <f ca="1">IFERROR(OFFSET(환산공식!DJ$15,$F383,0),"")</f>
        <v>100</v>
      </c>
      <c r="N383" s="20" t="str">
        <f ca="1">IFERROR(CONCATENATE(ROUND(OFFSET(환산공식!DK$15,$F383,0),1),"%"),"")</f>
        <v>100%</v>
      </c>
      <c r="O383" s="20">
        <f ca="1">IFERROR(OFFSET(환산공식!DL$15,$F383,0),"")</f>
        <v>2</v>
      </c>
      <c r="P383" s="188" t="str">
        <f t="shared" ca="1" si="10"/>
        <v>3% 이하</v>
      </c>
      <c r="Q383" s="194">
        <f ca="1">IFERROR(ROUND(OFFSET(환산공식!$FG$15,$F383,0),3),"")</f>
        <v>0</v>
      </c>
      <c r="R383" s="194">
        <f ca="1">OFFSET('배치점수 계산기'!H$10,$D383,0)</f>
        <v>429.935</v>
      </c>
      <c r="S383" s="194">
        <f ca="1">OFFSET('배치점수 계산기'!I$10,$D383,0)</f>
        <v>427.43</v>
      </c>
      <c r="T383" s="194">
        <f ca="1">OFFSET('배치점수 계산기'!J$10,$D383,0)</f>
        <v>422.7</v>
      </c>
      <c r="U383" s="194">
        <f ca="1">OFFSET('배치점수 계산기'!K$10,$D383,0)</f>
        <v>417.69</v>
      </c>
      <c r="V383" s="194">
        <f ca="1">OFFSET('배치점수 계산기'!L$10,$D383,0)</f>
        <v>414.79</v>
      </c>
      <c r="W383" s="186" t="str">
        <f ca="1">OFFSET('배치점수 계산기'!M$10,$D383,0)</f>
        <v>백분위</v>
      </c>
      <c r="X383" s="184" t="str">
        <f ca="1">OFFSET('배치점수 계산기'!N$10,$D383,0)</f>
        <v>백분위</v>
      </c>
      <c r="Y383" s="188">
        <f ca="1">OFFSET(환산공식!FW$15,$F383,0)</f>
        <v>0.25</v>
      </c>
      <c r="Z383" s="20">
        <f ca="1">OFFSET(환산공식!FX$15,$F383,0)</f>
        <v>0.38</v>
      </c>
      <c r="AA383" s="179">
        <f ca="1">OFFSET(환산공식!FY$15,$F383,0)</f>
        <v>0.38</v>
      </c>
      <c r="AB383" s="3"/>
      <c r="AD383">
        <f t="shared" ca="1" si="11"/>
        <v>6</v>
      </c>
      <c r="AF383" s="3"/>
      <c r="AG383" s="3"/>
      <c r="AH383" s="3"/>
    </row>
    <row r="384" spans="1:34">
      <c r="A384" s="198"/>
      <c r="B384" s="198"/>
      <c r="C384" s="198" t="s">
        <v>1836</v>
      </c>
      <c r="D384" s="195">
        <v>1372</v>
      </c>
      <c r="E384" s="195">
        <v>250</v>
      </c>
      <c r="F384" s="195">
        <v>250</v>
      </c>
      <c r="G384" s="239">
        <v>377</v>
      </c>
      <c r="H384" s="197" t="s">
        <v>79</v>
      </c>
      <c r="I384" s="242" t="s">
        <v>479</v>
      </c>
      <c r="J384" s="242" t="s">
        <v>11684</v>
      </c>
      <c r="K384" s="195" t="s">
        <v>70</v>
      </c>
      <c r="L384" s="20" t="str">
        <f ca="1">IF(OFFSET(환산공식!$ED$15,$F384,0)=1,"O","X")</f>
        <v>X</v>
      </c>
      <c r="M384" s="188">
        <f ca="1">IFERROR(OFFSET(환산공식!DJ$15,$F384,0),"")</f>
        <v>100</v>
      </c>
      <c r="N384" s="20" t="str">
        <f ca="1">IFERROR(CONCATENATE(ROUND(OFFSET(환산공식!DK$15,$F384,0),1),"%"),"")</f>
        <v>100%</v>
      </c>
      <c r="O384" s="20">
        <f ca="1">IFERROR(OFFSET(환산공식!DL$15,$F384,0),"")</f>
        <v>2</v>
      </c>
      <c r="P384" s="188" t="str">
        <f t="shared" ca="1" si="10"/>
        <v>3% 이하</v>
      </c>
      <c r="Q384" s="194">
        <f ca="1">IFERROR(ROUND(OFFSET(환산공식!$FG$15,$F384,0),3),"")</f>
        <v>0</v>
      </c>
      <c r="R384" s="194">
        <f ca="1">OFFSET('배치점수 계산기'!H$10,$D384,0)</f>
        <v>426.29</v>
      </c>
      <c r="S384" s="194">
        <f ca="1">OFFSET('배치점수 계산기'!I$10,$D384,0)</f>
        <v>423.36</v>
      </c>
      <c r="T384" s="194">
        <f ca="1">OFFSET('배치점수 계산기'!J$10,$D384,0)</f>
        <v>417.71</v>
      </c>
      <c r="U384" s="194">
        <f ca="1">OFFSET('배치점수 계산기'!K$10,$D384,0)</f>
        <v>412</v>
      </c>
      <c r="V384" s="194">
        <f ca="1">OFFSET('배치점수 계산기'!L$10,$D384,0)</f>
        <v>409.25</v>
      </c>
      <c r="W384" s="186" t="str">
        <f ca="1">OFFSET('배치점수 계산기'!M$10,$D384,0)</f>
        <v>백분위</v>
      </c>
      <c r="X384" s="184" t="str">
        <f ca="1">OFFSET('배치점수 계산기'!N$10,$D384,0)</f>
        <v>백분위</v>
      </c>
      <c r="Y384" s="188">
        <f ca="1">OFFSET(환산공식!FW$15,$F384,0)</f>
        <v>0.25</v>
      </c>
      <c r="Z384" s="20">
        <f ca="1">OFFSET(환산공식!FX$15,$F384,0)</f>
        <v>0.38</v>
      </c>
      <c r="AA384" s="179">
        <f ca="1">OFFSET(환산공식!FY$15,$F384,0)</f>
        <v>0.38</v>
      </c>
      <c r="AB384" s="3"/>
      <c r="AD384">
        <f t="shared" ca="1" si="11"/>
        <v>6</v>
      </c>
      <c r="AF384" s="3"/>
      <c r="AG384" s="3"/>
      <c r="AH384" s="3"/>
    </row>
    <row r="385" spans="1:34">
      <c r="A385" s="198"/>
      <c r="B385" s="198"/>
      <c r="C385" s="198" t="s">
        <v>1837</v>
      </c>
      <c r="D385" s="195">
        <v>1373</v>
      </c>
      <c r="E385" s="195">
        <v>253</v>
      </c>
      <c r="F385" s="195">
        <v>253</v>
      </c>
      <c r="G385" s="239">
        <v>378</v>
      </c>
      <c r="H385" s="197" t="s">
        <v>79</v>
      </c>
      <c r="I385" s="242" t="s">
        <v>479</v>
      </c>
      <c r="J385" s="242" t="s">
        <v>8659</v>
      </c>
      <c r="K385" s="195" t="s">
        <v>71</v>
      </c>
      <c r="L385" s="20" t="str">
        <f ca="1">IF(OFFSET(환산공식!$ED$15,$F385,0)=1,"O","X")</f>
        <v>X</v>
      </c>
      <c r="M385" s="188">
        <f ca="1">IFERROR(OFFSET(환산공식!DJ$15,$F385,0),"")</f>
        <v>100</v>
      </c>
      <c r="N385" s="20" t="str">
        <f ca="1">IFERROR(CONCATENATE(ROUND(OFFSET(환산공식!DK$15,$F385,0),1),"%"),"")</f>
        <v>100%</v>
      </c>
      <c r="O385" s="20">
        <f ca="1">IFERROR(OFFSET(환산공식!DL$15,$F385,0),"")</f>
        <v>2</v>
      </c>
      <c r="P385" s="188" t="str">
        <f t="shared" ca="1" si="10"/>
        <v>3% 이하</v>
      </c>
      <c r="Q385" s="194">
        <f ca="1">IFERROR(ROUND(OFFSET(환산공식!$FG$15,$F385,0),3),"")</f>
        <v>0</v>
      </c>
      <c r="R385" s="194">
        <f ca="1">OFFSET('배치점수 계산기'!H$10,$D385,0)</f>
        <v>453.91</v>
      </c>
      <c r="S385" s="194">
        <f ca="1">OFFSET('배치점수 계산기'!I$10,$D385,0)</f>
        <v>449.96800000000002</v>
      </c>
      <c r="T385" s="194">
        <f ca="1">OFFSET('배치점수 계산기'!J$10,$D385,0)</f>
        <v>446.31299999999999</v>
      </c>
      <c r="U385" s="194">
        <f ca="1">OFFSET('배치점수 계산기'!K$10,$D385,0)</f>
        <v>442.37</v>
      </c>
      <c r="V385" s="194">
        <f ca="1">OFFSET('배치점수 계산기'!L$10,$D385,0)</f>
        <v>439.85</v>
      </c>
      <c r="W385" s="186" t="str">
        <f ca="1">OFFSET('배치점수 계산기'!M$10,$D385,0)</f>
        <v>백분위</v>
      </c>
      <c r="X385" s="184" t="str">
        <f ca="1">OFFSET('배치점수 계산기'!N$10,$D385,0)</f>
        <v>백분위</v>
      </c>
      <c r="Y385" s="188">
        <f ca="1">OFFSET(환산공식!FW$15,$F385,0)</f>
        <v>0.38</v>
      </c>
      <c r="Z385" s="20">
        <f ca="1">OFFSET(환산공식!FX$15,$F385,0)</f>
        <v>0.31</v>
      </c>
      <c r="AA385" s="179">
        <f ca="1">OFFSET(환산공식!FY$15,$F385,0)</f>
        <v>0.31</v>
      </c>
      <c r="AB385" s="3"/>
      <c r="AD385">
        <f t="shared" ca="1" si="11"/>
        <v>6</v>
      </c>
      <c r="AF385" s="3"/>
      <c r="AG385" s="3"/>
      <c r="AH385" s="3"/>
    </row>
    <row r="386" spans="1:34">
      <c r="A386" s="198"/>
      <c r="B386" s="198"/>
      <c r="C386" s="198" t="s">
        <v>1838</v>
      </c>
      <c r="D386" s="195">
        <v>1374</v>
      </c>
      <c r="E386" s="195">
        <v>253</v>
      </c>
      <c r="F386" s="195">
        <v>253</v>
      </c>
      <c r="G386" s="239">
        <v>379</v>
      </c>
      <c r="H386" s="197" t="s">
        <v>79</v>
      </c>
      <c r="I386" s="242" t="s">
        <v>479</v>
      </c>
      <c r="J386" s="242" t="s">
        <v>9141</v>
      </c>
      <c r="K386" s="195" t="s">
        <v>71</v>
      </c>
      <c r="L386" s="20" t="str">
        <f ca="1">IF(OFFSET(환산공식!$ED$15,$F386,0)=1,"O","X")</f>
        <v>X</v>
      </c>
      <c r="M386" s="188">
        <f ca="1">IFERROR(OFFSET(환산공식!DJ$15,$F386,0),"")</f>
        <v>100</v>
      </c>
      <c r="N386" s="20" t="str">
        <f ca="1">IFERROR(CONCATENATE(ROUND(OFFSET(환산공식!DK$15,$F386,0),1),"%"),"")</f>
        <v>100%</v>
      </c>
      <c r="O386" s="20">
        <f ca="1">IFERROR(OFFSET(환산공식!DL$15,$F386,0),"")</f>
        <v>2</v>
      </c>
      <c r="P386" s="188" t="str">
        <f t="shared" ca="1" si="10"/>
        <v>3% 이하</v>
      </c>
      <c r="Q386" s="194">
        <f ca="1">IFERROR(ROUND(OFFSET(환산공식!$FG$15,$F386,0),3),"")</f>
        <v>0</v>
      </c>
      <c r="R386" s="194">
        <f ca="1">OFFSET('배치점수 계산기'!H$10,$D386,0)</f>
        <v>434.25</v>
      </c>
      <c r="S386" s="194">
        <f ca="1">OFFSET('배치점수 계산기'!I$10,$D386,0)</f>
        <v>431.68</v>
      </c>
      <c r="T386" s="194">
        <f ca="1">OFFSET('배치점수 계산기'!J$10,$D386,0)</f>
        <v>429.37299999999999</v>
      </c>
      <c r="U386" s="194">
        <f ca="1">OFFSET('배치점수 계산기'!K$10,$D386,0)</f>
        <v>424.84300000000002</v>
      </c>
      <c r="V386" s="194">
        <f ca="1">OFFSET('배치점수 계산기'!L$10,$D386,0)</f>
        <v>422.995</v>
      </c>
      <c r="W386" s="186" t="str">
        <f ca="1">OFFSET('배치점수 계산기'!M$10,$D386,0)</f>
        <v>백분위</v>
      </c>
      <c r="X386" s="184" t="str">
        <f ca="1">OFFSET('배치점수 계산기'!N$10,$D386,0)</f>
        <v>백분위</v>
      </c>
      <c r="Y386" s="188">
        <f ca="1">OFFSET(환산공식!FW$15,$F386,0)</f>
        <v>0.38</v>
      </c>
      <c r="Z386" s="20">
        <f ca="1">OFFSET(환산공식!FX$15,$F386,0)</f>
        <v>0.31</v>
      </c>
      <c r="AA386" s="179">
        <f ca="1">OFFSET(환산공식!FY$15,$F386,0)</f>
        <v>0.31</v>
      </c>
      <c r="AB386" s="3"/>
      <c r="AD386">
        <f t="shared" ca="1" si="11"/>
        <v>6</v>
      </c>
      <c r="AF386" s="3"/>
      <c r="AG386" s="3"/>
      <c r="AH386" s="3"/>
    </row>
    <row r="387" spans="1:34">
      <c r="A387" s="198"/>
      <c r="B387" s="198"/>
      <c r="C387" s="198" t="s">
        <v>1839</v>
      </c>
      <c r="D387" s="195">
        <v>1375</v>
      </c>
      <c r="E387" s="195">
        <v>252</v>
      </c>
      <c r="F387" s="195">
        <v>252</v>
      </c>
      <c r="G387" s="239">
        <v>380</v>
      </c>
      <c r="H387" s="197" t="s">
        <v>79</v>
      </c>
      <c r="I387" s="242" t="s">
        <v>479</v>
      </c>
      <c r="J387" s="242" t="s">
        <v>8654</v>
      </c>
      <c r="K387" s="195" t="s">
        <v>71</v>
      </c>
      <c r="L387" s="20" t="str">
        <f ca="1">IF(OFFSET(환산공식!$ED$15,$F387,0)=1,"O","X")</f>
        <v>X</v>
      </c>
      <c r="M387" s="188">
        <f ca="1">IFERROR(OFFSET(환산공식!DJ$15,$F387,0),"")</f>
        <v>150</v>
      </c>
      <c r="N387" s="20" t="str">
        <f ca="1">IFERROR(CONCATENATE(ROUND(OFFSET(환산공식!DK$15,$F387,0),1),"%"),"")</f>
        <v>100%</v>
      </c>
      <c r="O387" s="20">
        <f ca="1">IFERROR(OFFSET(환산공식!DL$15,$F387,0),"")</f>
        <v>2</v>
      </c>
      <c r="P387" s="188" t="str">
        <f t="shared" ca="1" si="10"/>
        <v>3% 이하</v>
      </c>
      <c r="Q387" s="194">
        <f ca="1">IFERROR(ROUND(OFFSET(환산공식!$FG$15,$F387,0),3),"")</f>
        <v>0</v>
      </c>
      <c r="R387" s="194">
        <f ca="1">OFFSET('배치점수 계산기'!H$10,$D387,0)</f>
        <v>441.97500000000002</v>
      </c>
      <c r="S387" s="194">
        <f ca="1">OFFSET('배치점수 계산기'!I$10,$D387,0)</f>
        <v>439.47</v>
      </c>
      <c r="T387" s="194">
        <f ca="1">OFFSET('배치점수 계산기'!J$10,$D387,0)</f>
        <v>435.57499999999999</v>
      </c>
      <c r="U387" s="194">
        <f ca="1">OFFSET('배치점수 계산기'!K$10,$D387,0)</f>
        <v>432.745</v>
      </c>
      <c r="V387" s="194">
        <f ca="1">OFFSET('배치점수 계산기'!L$10,$D387,0)</f>
        <v>430.59</v>
      </c>
      <c r="W387" s="186" t="str">
        <f ca="1">OFFSET('배치점수 계산기'!M$10,$D387,0)</f>
        <v>백분위</v>
      </c>
      <c r="X387" s="184" t="str">
        <f ca="1">OFFSET('배치점수 계산기'!N$10,$D387,0)</f>
        <v>백분위</v>
      </c>
      <c r="Y387" s="188">
        <f ca="1">OFFSET(환산공식!FW$15,$F387,0)</f>
        <v>0.43</v>
      </c>
      <c r="Z387" s="20">
        <f ca="1">OFFSET(환산공식!FX$15,$F387,0)</f>
        <v>0.28999999999999998</v>
      </c>
      <c r="AA387" s="179">
        <f ca="1">OFFSET(환산공식!FY$15,$F387,0)</f>
        <v>0.28999999999999998</v>
      </c>
      <c r="AB387" s="3"/>
      <c r="AD387">
        <f t="shared" ca="1" si="11"/>
        <v>6</v>
      </c>
      <c r="AF387" s="3"/>
      <c r="AG387" s="3"/>
      <c r="AH387" s="3"/>
    </row>
    <row r="388" spans="1:34">
      <c r="A388" s="198"/>
      <c r="B388" s="198"/>
      <c r="C388" s="198" t="s">
        <v>1840</v>
      </c>
      <c r="D388" s="195">
        <v>1376</v>
      </c>
      <c r="E388" s="195">
        <v>253</v>
      </c>
      <c r="F388" s="195">
        <v>253</v>
      </c>
      <c r="G388" s="239">
        <v>381</v>
      </c>
      <c r="H388" s="197" t="s">
        <v>79</v>
      </c>
      <c r="I388" s="242" t="s">
        <v>479</v>
      </c>
      <c r="J388" s="242" t="s">
        <v>9921</v>
      </c>
      <c r="K388" s="195" t="s">
        <v>71</v>
      </c>
      <c r="L388" s="20" t="str">
        <f ca="1">IF(OFFSET(환산공식!$ED$15,$F388,0)=1,"O","X")</f>
        <v>X</v>
      </c>
      <c r="M388" s="188">
        <f ca="1">IFERROR(OFFSET(환산공식!DJ$15,$F388,0),"")</f>
        <v>100</v>
      </c>
      <c r="N388" s="20" t="str">
        <f ca="1">IFERROR(CONCATENATE(ROUND(OFFSET(환산공식!DK$15,$F388,0),1),"%"),"")</f>
        <v>100%</v>
      </c>
      <c r="O388" s="20">
        <f ca="1">IFERROR(OFFSET(환산공식!DL$15,$F388,0),"")</f>
        <v>2</v>
      </c>
      <c r="P388" s="188" t="str">
        <f t="shared" ca="1" si="10"/>
        <v>3% 이하</v>
      </c>
      <c r="Q388" s="194">
        <f ca="1">IFERROR(ROUND(OFFSET(환산공식!$FG$15,$F388,0),3),"")</f>
        <v>0</v>
      </c>
      <c r="R388" s="194">
        <f ca="1">OFFSET('배치점수 계산기'!H$10,$D388,0)</f>
        <v>431.108</v>
      </c>
      <c r="S388" s="194">
        <f ca="1">OFFSET('배치점수 계산기'!I$10,$D388,0)</f>
        <v>428.58499999999998</v>
      </c>
      <c r="T388" s="194">
        <f ca="1">OFFSET('배치점수 계산기'!J$10,$D388,0)</f>
        <v>426.16500000000002</v>
      </c>
      <c r="U388" s="194">
        <f ca="1">OFFSET('배치점수 계산기'!K$10,$D388,0)</f>
        <v>421.51</v>
      </c>
      <c r="V388" s="194">
        <f ca="1">OFFSET('배치점수 계산기'!L$10,$D388,0)</f>
        <v>418.93799999999999</v>
      </c>
      <c r="W388" s="186" t="str">
        <f ca="1">OFFSET('배치점수 계산기'!M$10,$D388,0)</f>
        <v>백분위</v>
      </c>
      <c r="X388" s="184" t="str">
        <f ca="1">OFFSET('배치점수 계산기'!N$10,$D388,0)</f>
        <v>백분위</v>
      </c>
      <c r="Y388" s="188">
        <f ca="1">OFFSET(환산공식!FW$15,$F388,0)</f>
        <v>0.38</v>
      </c>
      <c r="Z388" s="20">
        <f ca="1">OFFSET(환산공식!FX$15,$F388,0)</f>
        <v>0.31</v>
      </c>
      <c r="AA388" s="179">
        <f ca="1">OFFSET(환산공식!FY$15,$F388,0)</f>
        <v>0.31</v>
      </c>
      <c r="AB388" s="3"/>
      <c r="AD388">
        <f t="shared" ca="1" si="11"/>
        <v>6</v>
      </c>
      <c r="AF388" s="3"/>
      <c r="AG388" s="3"/>
      <c r="AH388" s="3"/>
    </row>
    <row r="389" spans="1:34">
      <c r="A389" s="198"/>
      <c r="B389" s="198"/>
      <c r="C389" s="198" t="s">
        <v>1841</v>
      </c>
      <c r="D389" s="195">
        <v>1377</v>
      </c>
      <c r="E389" s="195">
        <v>252</v>
      </c>
      <c r="F389" s="195">
        <v>252</v>
      </c>
      <c r="G389" s="239">
        <v>382</v>
      </c>
      <c r="H389" s="197" t="s">
        <v>79</v>
      </c>
      <c r="I389" s="242" t="s">
        <v>479</v>
      </c>
      <c r="J389" s="242" t="s">
        <v>8618</v>
      </c>
      <c r="K389" s="195" t="s">
        <v>71</v>
      </c>
      <c r="L389" s="20" t="str">
        <f ca="1">IF(OFFSET(환산공식!$ED$15,$F389,0)=1,"O","X")</f>
        <v>X</v>
      </c>
      <c r="M389" s="188">
        <f ca="1">IFERROR(OFFSET(환산공식!DJ$15,$F389,0),"")</f>
        <v>150</v>
      </c>
      <c r="N389" s="20" t="str">
        <f ca="1">IFERROR(CONCATENATE(ROUND(OFFSET(환산공식!DK$15,$F389,0),1),"%"),"")</f>
        <v>100%</v>
      </c>
      <c r="O389" s="20">
        <f ca="1">IFERROR(OFFSET(환산공식!DL$15,$F389,0),"")</f>
        <v>2</v>
      </c>
      <c r="P389" s="188" t="str">
        <f t="shared" ca="1" si="10"/>
        <v>3% 이하</v>
      </c>
      <c r="Q389" s="194">
        <f ca="1">IFERROR(ROUND(OFFSET(환산공식!$FG$15,$F389,0),3),"")</f>
        <v>0</v>
      </c>
      <c r="R389" s="194">
        <f ca="1">OFFSET('배치점수 계산기'!H$10,$D389,0)</f>
        <v>439.87</v>
      </c>
      <c r="S389" s="194">
        <f ca="1">OFFSET('배치점수 계산기'!I$10,$D389,0)</f>
        <v>437.53</v>
      </c>
      <c r="T389" s="194">
        <f ca="1">OFFSET('배치점수 계산기'!J$10,$D389,0)</f>
        <v>433.71</v>
      </c>
      <c r="U389" s="194">
        <f ca="1">OFFSET('배치점수 계산기'!K$10,$D389,0)</f>
        <v>429.66500000000002</v>
      </c>
      <c r="V389" s="194">
        <f ca="1">OFFSET('배치점수 계산기'!L$10,$D389,0)</f>
        <v>427.08499999999998</v>
      </c>
      <c r="W389" s="186" t="str">
        <f ca="1">OFFSET('배치점수 계산기'!M$10,$D389,0)</f>
        <v>백분위</v>
      </c>
      <c r="X389" s="184" t="str">
        <f ca="1">OFFSET('배치점수 계산기'!N$10,$D389,0)</f>
        <v>백분위</v>
      </c>
      <c r="Y389" s="188">
        <f ca="1">OFFSET(환산공식!FW$15,$F389,0)</f>
        <v>0.43</v>
      </c>
      <c r="Z389" s="20">
        <f ca="1">OFFSET(환산공식!FX$15,$F389,0)</f>
        <v>0.28999999999999998</v>
      </c>
      <c r="AA389" s="179">
        <f ca="1">OFFSET(환산공식!FY$15,$F389,0)</f>
        <v>0.28999999999999998</v>
      </c>
      <c r="AB389" s="3"/>
      <c r="AD389">
        <f t="shared" ca="1" si="11"/>
        <v>6</v>
      </c>
      <c r="AF389" s="3"/>
      <c r="AG389" s="3"/>
      <c r="AH389" s="3"/>
    </row>
    <row r="390" spans="1:34">
      <c r="A390" s="198"/>
      <c r="B390" s="198"/>
      <c r="C390" s="198" t="s">
        <v>1842</v>
      </c>
      <c r="D390" s="195">
        <v>1378</v>
      </c>
      <c r="E390" s="195">
        <v>252</v>
      </c>
      <c r="F390" s="195">
        <v>252</v>
      </c>
      <c r="G390" s="239">
        <v>383</v>
      </c>
      <c r="H390" s="197" t="s">
        <v>79</v>
      </c>
      <c r="I390" s="242" t="s">
        <v>479</v>
      </c>
      <c r="J390" s="242" t="s">
        <v>8863</v>
      </c>
      <c r="K390" s="195" t="s">
        <v>71</v>
      </c>
      <c r="L390" s="20" t="str">
        <f ca="1">IF(OFFSET(환산공식!$ED$15,$F390,0)=1,"O","X")</f>
        <v>X</v>
      </c>
      <c r="M390" s="188">
        <f ca="1">IFERROR(OFFSET(환산공식!DJ$15,$F390,0),"")</f>
        <v>150</v>
      </c>
      <c r="N390" s="20" t="str">
        <f ca="1">IFERROR(CONCATENATE(ROUND(OFFSET(환산공식!DK$15,$F390,0),1),"%"),"")</f>
        <v>100%</v>
      </c>
      <c r="O390" s="20">
        <f ca="1">IFERROR(OFFSET(환산공식!DL$15,$F390,0),"")</f>
        <v>2</v>
      </c>
      <c r="P390" s="188" t="str">
        <f t="shared" ca="1" si="10"/>
        <v>3% 이하</v>
      </c>
      <c r="Q390" s="194">
        <f ca="1">IFERROR(ROUND(OFFSET(환산공식!$FG$15,$F390,0),3),"")</f>
        <v>0</v>
      </c>
      <c r="R390" s="194">
        <f ca="1">OFFSET('배치점수 계산기'!H$10,$D390,0)</f>
        <v>439.47</v>
      </c>
      <c r="S390" s="194">
        <f ca="1">OFFSET('배치점수 계산기'!I$10,$D390,0)</f>
        <v>437.39</v>
      </c>
      <c r="T390" s="194">
        <f ca="1">OFFSET('배치점수 계산기'!J$10,$D390,0)</f>
        <v>433.41</v>
      </c>
      <c r="U390" s="194">
        <f ca="1">OFFSET('배치점수 계산기'!K$10,$D390,0)</f>
        <v>429.54</v>
      </c>
      <c r="V390" s="194">
        <f ca="1">OFFSET('배치점수 계산기'!L$10,$D390,0)</f>
        <v>427.08499999999998</v>
      </c>
      <c r="W390" s="186" t="str">
        <f ca="1">OFFSET('배치점수 계산기'!M$10,$D390,0)</f>
        <v>백분위</v>
      </c>
      <c r="X390" s="184" t="str">
        <f ca="1">OFFSET('배치점수 계산기'!N$10,$D390,0)</f>
        <v>백분위</v>
      </c>
      <c r="Y390" s="188">
        <f ca="1">OFFSET(환산공식!FW$15,$F390,0)</f>
        <v>0.43</v>
      </c>
      <c r="Z390" s="20">
        <f ca="1">OFFSET(환산공식!FX$15,$F390,0)</f>
        <v>0.28999999999999998</v>
      </c>
      <c r="AA390" s="179">
        <f ca="1">OFFSET(환산공식!FY$15,$F390,0)</f>
        <v>0.28999999999999998</v>
      </c>
      <c r="AB390" s="3"/>
      <c r="AD390">
        <f t="shared" ca="1" si="11"/>
        <v>6</v>
      </c>
      <c r="AF390" s="3"/>
      <c r="AG390" s="3"/>
      <c r="AH390" s="3"/>
    </row>
    <row r="391" spans="1:34">
      <c r="A391" s="198"/>
      <c r="B391" s="198"/>
      <c r="C391" s="198" t="s">
        <v>1843</v>
      </c>
      <c r="D391" s="195">
        <v>1379</v>
      </c>
      <c r="E391" s="195">
        <v>252</v>
      </c>
      <c r="F391" s="195">
        <v>252</v>
      </c>
      <c r="G391" s="239">
        <v>384</v>
      </c>
      <c r="H391" s="197" t="s">
        <v>79</v>
      </c>
      <c r="I391" s="242" t="s">
        <v>479</v>
      </c>
      <c r="J391" s="242" t="s">
        <v>16686</v>
      </c>
      <c r="K391" s="195" t="s">
        <v>71</v>
      </c>
      <c r="L391" s="20" t="str">
        <f ca="1">IF(OFFSET(환산공식!$ED$15,$F391,0)=1,"O","X")</f>
        <v>X</v>
      </c>
      <c r="M391" s="188">
        <f ca="1">IFERROR(OFFSET(환산공식!DJ$15,$F391,0),"")</f>
        <v>150</v>
      </c>
      <c r="N391" s="20" t="str">
        <f ca="1">IFERROR(CONCATENATE(ROUND(OFFSET(환산공식!DK$15,$F391,0),1),"%"),"")</f>
        <v>100%</v>
      </c>
      <c r="O391" s="20">
        <f ca="1">IFERROR(OFFSET(환산공식!DL$15,$F391,0),"")</f>
        <v>2</v>
      </c>
      <c r="P391" s="188" t="str">
        <f t="shared" ca="1" si="10"/>
        <v>3% 이하</v>
      </c>
      <c r="Q391" s="194">
        <f ca="1">IFERROR(ROUND(OFFSET(환산공식!$FG$15,$F391,0),3),"")</f>
        <v>0</v>
      </c>
      <c r="R391" s="194">
        <f ca="1">OFFSET('배치점수 계산기'!H$10,$D391,0)</f>
        <v>439.47</v>
      </c>
      <c r="S391" s="194">
        <f ca="1">OFFSET('배치점수 계산기'!I$10,$D391,0)</f>
        <v>437.39</v>
      </c>
      <c r="T391" s="194">
        <f ca="1">OFFSET('배치점수 계산기'!J$10,$D391,0)</f>
        <v>433.41</v>
      </c>
      <c r="U391" s="194">
        <f ca="1">OFFSET('배치점수 계산기'!K$10,$D391,0)</f>
        <v>429.54</v>
      </c>
      <c r="V391" s="194">
        <f ca="1">OFFSET('배치점수 계산기'!L$10,$D391,0)</f>
        <v>427.08499999999998</v>
      </c>
      <c r="W391" s="186" t="str">
        <f ca="1">OFFSET('배치점수 계산기'!M$10,$D391,0)</f>
        <v>백분위</v>
      </c>
      <c r="X391" s="184" t="str">
        <f ca="1">OFFSET('배치점수 계산기'!N$10,$D391,0)</f>
        <v>백분위</v>
      </c>
      <c r="Y391" s="188">
        <f ca="1">OFFSET(환산공식!FW$15,$F391,0)</f>
        <v>0.43</v>
      </c>
      <c r="Z391" s="20">
        <f ca="1">OFFSET(환산공식!FX$15,$F391,0)</f>
        <v>0.28999999999999998</v>
      </c>
      <c r="AA391" s="179">
        <f ca="1">OFFSET(환산공식!FY$15,$F391,0)</f>
        <v>0.28999999999999998</v>
      </c>
      <c r="AB391" s="3"/>
      <c r="AD391">
        <f t="shared" ca="1" si="11"/>
        <v>6</v>
      </c>
      <c r="AF391" s="3"/>
      <c r="AG391" s="3"/>
      <c r="AH391" s="3"/>
    </row>
    <row r="392" spans="1:34">
      <c r="A392" s="198"/>
      <c r="B392" s="198"/>
      <c r="C392" s="198" t="s">
        <v>1844</v>
      </c>
      <c r="D392" s="195">
        <v>1380</v>
      </c>
      <c r="E392" s="195">
        <v>253</v>
      </c>
      <c r="F392" s="195">
        <v>253</v>
      </c>
      <c r="G392" s="239">
        <v>385</v>
      </c>
      <c r="H392" s="197" t="s">
        <v>79</v>
      </c>
      <c r="I392" s="242" t="s">
        <v>479</v>
      </c>
      <c r="J392" s="242" t="s">
        <v>8214</v>
      </c>
      <c r="K392" s="195" t="s">
        <v>71</v>
      </c>
      <c r="L392" s="20" t="str">
        <f ca="1">IF(OFFSET(환산공식!$ED$15,$F392,0)=1,"O","X")</f>
        <v>X</v>
      </c>
      <c r="M392" s="188">
        <f ca="1">IFERROR(OFFSET(환산공식!DJ$15,$F392,0),"")</f>
        <v>100</v>
      </c>
      <c r="N392" s="20" t="str">
        <f ca="1">IFERROR(CONCATENATE(ROUND(OFFSET(환산공식!DK$15,$F392,0),1),"%"),"")</f>
        <v>100%</v>
      </c>
      <c r="O392" s="20">
        <f ca="1">IFERROR(OFFSET(환산공식!DL$15,$F392,0),"")</f>
        <v>2</v>
      </c>
      <c r="P392" s="188" t="str">
        <f t="shared" ca="1" si="10"/>
        <v>3% 이하</v>
      </c>
      <c r="Q392" s="194">
        <f ca="1">IFERROR(ROUND(OFFSET(환산공식!$FG$15,$F392,0),3),"")</f>
        <v>0</v>
      </c>
      <c r="R392" s="194">
        <f ca="1">OFFSET('배치점수 계산기'!H$10,$D392,0)</f>
        <v>432.23</v>
      </c>
      <c r="S392" s="194">
        <f ca="1">OFFSET('배치점수 계산기'!I$10,$D392,0)</f>
        <v>429.923</v>
      </c>
      <c r="T392" s="194">
        <f ca="1">OFFSET('배치점수 계산기'!J$10,$D392,0)</f>
        <v>425.39</v>
      </c>
      <c r="U392" s="194">
        <f ca="1">OFFSET('배치점수 계산기'!K$10,$D392,0)</f>
        <v>421.12299999999999</v>
      </c>
      <c r="V392" s="194">
        <f ca="1">OFFSET('배치점수 계산기'!L$10,$D392,0)</f>
        <v>418.40300000000002</v>
      </c>
      <c r="W392" s="186" t="str">
        <f ca="1">OFFSET('배치점수 계산기'!M$10,$D392,0)</f>
        <v>백분위</v>
      </c>
      <c r="X392" s="184" t="str">
        <f ca="1">OFFSET('배치점수 계산기'!N$10,$D392,0)</f>
        <v>백분위</v>
      </c>
      <c r="Y392" s="188">
        <f ca="1">OFFSET(환산공식!FW$15,$F392,0)</f>
        <v>0.38</v>
      </c>
      <c r="Z392" s="20">
        <f ca="1">OFFSET(환산공식!FX$15,$F392,0)</f>
        <v>0.31</v>
      </c>
      <c r="AA392" s="179">
        <f ca="1">OFFSET(환산공식!FY$15,$F392,0)</f>
        <v>0.31</v>
      </c>
      <c r="AB392" s="3"/>
      <c r="AD392">
        <f t="shared" ca="1" si="11"/>
        <v>6</v>
      </c>
      <c r="AF392" s="3"/>
      <c r="AG392" s="3"/>
      <c r="AH392" s="3"/>
    </row>
    <row r="393" spans="1:34">
      <c r="A393" s="198"/>
      <c r="B393" s="198"/>
      <c r="C393" s="198" t="s">
        <v>1845</v>
      </c>
      <c r="D393" s="195">
        <v>1381</v>
      </c>
      <c r="E393" s="195">
        <v>253</v>
      </c>
      <c r="F393" s="195">
        <v>253</v>
      </c>
      <c r="G393" s="239">
        <v>386</v>
      </c>
      <c r="H393" s="197" t="s">
        <v>79</v>
      </c>
      <c r="I393" s="242" t="s">
        <v>479</v>
      </c>
      <c r="J393" s="242" t="s">
        <v>16687</v>
      </c>
      <c r="K393" s="195" t="s">
        <v>71</v>
      </c>
      <c r="L393" s="20" t="str">
        <f ca="1">IF(OFFSET(환산공식!$ED$15,$F393,0)=1,"O","X")</f>
        <v>X</v>
      </c>
      <c r="M393" s="188">
        <f ca="1">IFERROR(OFFSET(환산공식!DJ$15,$F393,0),"")</f>
        <v>100</v>
      </c>
      <c r="N393" s="20" t="str">
        <f ca="1">IFERROR(CONCATENATE(ROUND(OFFSET(환산공식!DK$15,$F393,0),1),"%"),"")</f>
        <v>100%</v>
      </c>
      <c r="O393" s="20">
        <f ca="1">IFERROR(OFFSET(환산공식!DL$15,$F393,0),"")</f>
        <v>2</v>
      </c>
      <c r="P393" s="188" t="str">
        <f t="shared" ref="P393:P456" ca="1" si="12"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>3% 이하</v>
      </c>
      <c r="Q393" s="194">
        <f ca="1">IFERROR(ROUND(OFFSET(환산공식!$FG$15,$F393,0),3),"")</f>
        <v>0</v>
      </c>
      <c r="R393" s="194">
        <f ca="1">OFFSET('배치점수 계산기'!H$10,$D393,0)</f>
        <v>430.04500000000002</v>
      </c>
      <c r="S393" s="194">
        <f ca="1">OFFSET('배치점수 계산기'!I$10,$D393,0)</f>
        <v>427.47500000000002</v>
      </c>
      <c r="T393" s="194">
        <f ca="1">OFFSET('배치점수 계산기'!J$10,$D393,0)</f>
        <v>424.96800000000002</v>
      </c>
      <c r="U393" s="194">
        <f ca="1">OFFSET('배치점수 계산기'!K$10,$D393,0)</f>
        <v>420.21300000000002</v>
      </c>
      <c r="V393" s="194">
        <f ca="1">OFFSET('배치점수 계산기'!L$10,$D393,0)</f>
        <v>417.51499999999999</v>
      </c>
      <c r="W393" s="186" t="str">
        <f ca="1">OFFSET('배치점수 계산기'!M$10,$D393,0)</f>
        <v>백분위</v>
      </c>
      <c r="X393" s="184" t="str">
        <f ca="1">OFFSET('배치점수 계산기'!N$10,$D393,0)</f>
        <v>백분위</v>
      </c>
      <c r="Y393" s="188">
        <f ca="1">OFFSET(환산공식!FW$15,$F393,0)</f>
        <v>0.38</v>
      </c>
      <c r="Z393" s="20">
        <f ca="1">OFFSET(환산공식!FX$15,$F393,0)</f>
        <v>0.31</v>
      </c>
      <c r="AA393" s="179">
        <f ca="1">OFFSET(환산공식!FY$15,$F393,0)</f>
        <v>0.31</v>
      </c>
      <c r="AB393" s="3"/>
      <c r="AD393">
        <f t="shared" ref="AD393:AD456" ca="1" si="13">IF(L393="X",6,IF(Q393&gt;R393,1,IF(Q393&gt;S393,2,IF(Q393&gt;T393,3,IF(Q393&gt;U393,4,IF(Q393&gt;=V393,5,IF(Q393&lt;V393,6,"")))))))</f>
        <v>6</v>
      </c>
      <c r="AF393" s="3"/>
      <c r="AG393" s="3"/>
      <c r="AH393" s="3"/>
    </row>
    <row r="394" spans="1:34">
      <c r="A394" s="198"/>
      <c r="B394" s="198"/>
      <c r="C394" s="198" t="s">
        <v>1846</v>
      </c>
      <c r="D394" s="195">
        <v>1382</v>
      </c>
      <c r="E394" s="195">
        <v>252</v>
      </c>
      <c r="F394" s="195">
        <v>252</v>
      </c>
      <c r="G394" s="239">
        <v>387</v>
      </c>
      <c r="H394" s="197" t="s">
        <v>79</v>
      </c>
      <c r="I394" s="242" t="s">
        <v>479</v>
      </c>
      <c r="J394" s="242" t="s">
        <v>16688</v>
      </c>
      <c r="K394" s="195" t="s">
        <v>71</v>
      </c>
      <c r="L394" s="20" t="str">
        <f ca="1">IF(OFFSET(환산공식!$ED$15,$F394,0)=1,"O","X")</f>
        <v>X</v>
      </c>
      <c r="M394" s="188">
        <f ca="1">IFERROR(OFFSET(환산공식!DJ$15,$F394,0),"")</f>
        <v>150</v>
      </c>
      <c r="N394" s="20" t="str">
        <f ca="1">IFERROR(CONCATENATE(ROUND(OFFSET(환산공식!DK$15,$F394,0),1),"%"),"")</f>
        <v>100%</v>
      </c>
      <c r="O394" s="20">
        <f ca="1">IFERROR(OFFSET(환산공식!DL$15,$F394,0),"")</f>
        <v>2</v>
      </c>
      <c r="P394" s="188" t="str">
        <f t="shared" ca="1" si="12"/>
        <v>3% 이하</v>
      </c>
      <c r="Q394" s="194">
        <f ca="1">IFERROR(ROUND(OFFSET(환산공식!$FG$15,$F394,0),3),"")</f>
        <v>0</v>
      </c>
      <c r="R394" s="194">
        <f ca="1">OFFSET('배치점수 계산기'!H$10,$D394,0)</f>
        <v>438.97</v>
      </c>
      <c r="S394" s="194">
        <f ca="1">OFFSET('배치점수 계산기'!I$10,$D394,0)</f>
        <v>436.89</v>
      </c>
      <c r="T394" s="194">
        <f ca="1">OFFSET('배치점수 계산기'!J$10,$D394,0)</f>
        <v>432.87</v>
      </c>
      <c r="U394" s="194">
        <f ca="1">OFFSET('배치점수 계산기'!K$10,$D394,0)</f>
        <v>428.67500000000001</v>
      </c>
      <c r="V394" s="194">
        <f ca="1">OFFSET('배치점수 계산기'!L$10,$D394,0)</f>
        <v>426.23500000000001</v>
      </c>
      <c r="W394" s="186" t="str">
        <f ca="1">OFFSET('배치점수 계산기'!M$10,$D394,0)</f>
        <v>백분위</v>
      </c>
      <c r="X394" s="184" t="str">
        <f ca="1">OFFSET('배치점수 계산기'!N$10,$D394,0)</f>
        <v>백분위</v>
      </c>
      <c r="Y394" s="188">
        <f ca="1">OFFSET(환산공식!FW$15,$F394,0)</f>
        <v>0.43</v>
      </c>
      <c r="Z394" s="20">
        <f ca="1">OFFSET(환산공식!FX$15,$F394,0)</f>
        <v>0.28999999999999998</v>
      </c>
      <c r="AA394" s="179">
        <f ca="1">OFFSET(환산공식!FY$15,$F394,0)</f>
        <v>0.28999999999999998</v>
      </c>
      <c r="AB394" s="3"/>
      <c r="AD394">
        <f t="shared" ca="1" si="13"/>
        <v>6</v>
      </c>
      <c r="AF394" s="3"/>
      <c r="AG394" s="3"/>
      <c r="AH394" s="3"/>
    </row>
    <row r="395" spans="1:34">
      <c r="A395" s="198"/>
      <c r="B395" s="198"/>
      <c r="C395" s="198" t="s">
        <v>1847</v>
      </c>
      <c r="D395" s="195">
        <v>1383</v>
      </c>
      <c r="E395" s="195">
        <v>252</v>
      </c>
      <c r="F395" s="195">
        <v>252</v>
      </c>
      <c r="G395" s="239">
        <v>388</v>
      </c>
      <c r="H395" s="197" t="s">
        <v>79</v>
      </c>
      <c r="I395" s="242" t="s">
        <v>479</v>
      </c>
      <c r="J395" s="242" t="s">
        <v>16689</v>
      </c>
      <c r="K395" s="195" t="s">
        <v>71</v>
      </c>
      <c r="L395" s="20" t="str">
        <f ca="1">IF(OFFSET(환산공식!$ED$15,$F395,0)=1,"O","X")</f>
        <v>X</v>
      </c>
      <c r="M395" s="188">
        <f ca="1">IFERROR(OFFSET(환산공식!DJ$15,$F395,0),"")</f>
        <v>150</v>
      </c>
      <c r="N395" s="20" t="str">
        <f ca="1">IFERROR(CONCATENATE(ROUND(OFFSET(환산공식!DK$15,$F395,0),1),"%"),"")</f>
        <v>100%</v>
      </c>
      <c r="O395" s="20">
        <f ca="1">IFERROR(OFFSET(환산공식!DL$15,$F395,0),"")</f>
        <v>2</v>
      </c>
      <c r="P395" s="188" t="str">
        <f t="shared" ca="1" si="12"/>
        <v>3% 이하</v>
      </c>
      <c r="Q395" s="194">
        <f ca="1">IFERROR(ROUND(OFFSET(환산공식!$FG$15,$F395,0),3),"")</f>
        <v>0</v>
      </c>
      <c r="R395" s="194">
        <f ca="1">OFFSET('배치점수 계산기'!H$10,$D395,0)</f>
        <v>438.97</v>
      </c>
      <c r="S395" s="194">
        <f ca="1">OFFSET('배치점수 계산기'!I$10,$D395,0)</f>
        <v>436.89</v>
      </c>
      <c r="T395" s="194">
        <f ca="1">OFFSET('배치점수 계산기'!J$10,$D395,0)</f>
        <v>432.87</v>
      </c>
      <c r="U395" s="194">
        <f ca="1">OFFSET('배치점수 계산기'!K$10,$D395,0)</f>
        <v>428.67500000000001</v>
      </c>
      <c r="V395" s="194">
        <f ca="1">OFFSET('배치점수 계산기'!L$10,$D395,0)</f>
        <v>426.23500000000001</v>
      </c>
      <c r="W395" s="186" t="str">
        <f ca="1">OFFSET('배치점수 계산기'!M$10,$D395,0)</f>
        <v>백분위</v>
      </c>
      <c r="X395" s="184" t="str">
        <f ca="1">OFFSET('배치점수 계산기'!N$10,$D395,0)</f>
        <v>백분위</v>
      </c>
      <c r="Y395" s="188">
        <f ca="1">OFFSET(환산공식!FW$15,$F395,0)</f>
        <v>0.43</v>
      </c>
      <c r="Z395" s="20">
        <f ca="1">OFFSET(환산공식!FX$15,$F395,0)</f>
        <v>0.28999999999999998</v>
      </c>
      <c r="AA395" s="179">
        <f ca="1">OFFSET(환산공식!FY$15,$F395,0)</f>
        <v>0.28999999999999998</v>
      </c>
      <c r="AB395" s="3"/>
      <c r="AD395">
        <f t="shared" ca="1" si="13"/>
        <v>6</v>
      </c>
      <c r="AF395" s="3"/>
      <c r="AG395" s="3"/>
      <c r="AH395" s="3"/>
    </row>
    <row r="396" spans="1:34">
      <c r="A396" s="198"/>
      <c r="B396" s="198"/>
      <c r="C396" s="198" t="s">
        <v>1848</v>
      </c>
      <c r="D396" s="195">
        <v>1384</v>
      </c>
      <c r="E396" s="195">
        <v>252</v>
      </c>
      <c r="F396" s="195">
        <v>252</v>
      </c>
      <c r="G396" s="239">
        <v>389</v>
      </c>
      <c r="H396" s="197" t="s">
        <v>79</v>
      </c>
      <c r="I396" s="242" t="s">
        <v>479</v>
      </c>
      <c r="J396" s="242" t="s">
        <v>16690</v>
      </c>
      <c r="K396" s="195" t="s">
        <v>71</v>
      </c>
      <c r="L396" s="20" t="str">
        <f ca="1">IF(OFFSET(환산공식!$ED$15,$F396,0)=1,"O","X")</f>
        <v>X</v>
      </c>
      <c r="M396" s="188">
        <f ca="1">IFERROR(OFFSET(환산공식!DJ$15,$F396,0),"")</f>
        <v>150</v>
      </c>
      <c r="N396" s="20" t="str">
        <f ca="1">IFERROR(CONCATENATE(ROUND(OFFSET(환산공식!DK$15,$F396,0),1),"%"),"")</f>
        <v>100%</v>
      </c>
      <c r="O396" s="20">
        <f ca="1">IFERROR(OFFSET(환산공식!DL$15,$F396,0),"")</f>
        <v>2</v>
      </c>
      <c r="P396" s="188" t="str">
        <f t="shared" ca="1" si="12"/>
        <v>3% 이하</v>
      </c>
      <c r="Q396" s="194">
        <f ca="1">IFERROR(ROUND(OFFSET(환산공식!$FG$15,$F396,0),3),"")</f>
        <v>0</v>
      </c>
      <c r="R396" s="194">
        <f ca="1">OFFSET('배치점수 계산기'!H$10,$D396,0)</f>
        <v>437.60500000000002</v>
      </c>
      <c r="S396" s="194">
        <f ca="1">OFFSET('배치점수 계산기'!I$10,$D396,0)</f>
        <v>435.27499999999998</v>
      </c>
      <c r="T396" s="194">
        <f ca="1">OFFSET('배치점수 계산기'!J$10,$D396,0)</f>
        <v>432.745</v>
      </c>
      <c r="U396" s="194">
        <f ca="1">OFFSET('배치점수 계산기'!K$10,$D396,0)</f>
        <v>428.4</v>
      </c>
      <c r="V396" s="194">
        <f ca="1">OFFSET('배치점수 계산기'!L$10,$D396,0)</f>
        <v>426.28500000000003</v>
      </c>
      <c r="W396" s="186" t="str">
        <f ca="1">OFFSET('배치점수 계산기'!M$10,$D396,0)</f>
        <v>백분위</v>
      </c>
      <c r="X396" s="184" t="str">
        <f ca="1">OFFSET('배치점수 계산기'!N$10,$D396,0)</f>
        <v>백분위</v>
      </c>
      <c r="Y396" s="188">
        <f ca="1">OFFSET(환산공식!FW$15,$F396,0)</f>
        <v>0.43</v>
      </c>
      <c r="Z396" s="20">
        <f ca="1">OFFSET(환산공식!FX$15,$F396,0)</f>
        <v>0.28999999999999998</v>
      </c>
      <c r="AA396" s="179">
        <f ca="1">OFFSET(환산공식!FY$15,$F396,0)</f>
        <v>0.28999999999999998</v>
      </c>
      <c r="AB396" s="3"/>
      <c r="AD396">
        <f t="shared" ca="1" si="13"/>
        <v>6</v>
      </c>
      <c r="AF396" s="3"/>
      <c r="AG396" s="3"/>
      <c r="AH396" s="3"/>
    </row>
    <row r="397" spans="1:34">
      <c r="A397" s="198"/>
      <c r="B397" s="198"/>
      <c r="C397" s="198" t="s">
        <v>1849</v>
      </c>
      <c r="D397" s="195">
        <v>1385</v>
      </c>
      <c r="E397" s="195">
        <v>253</v>
      </c>
      <c r="F397" s="195">
        <v>253</v>
      </c>
      <c r="G397" s="239">
        <v>390</v>
      </c>
      <c r="H397" s="197" t="s">
        <v>79</v>
      </c>
      <c r="I397" s="242" t="s">
        <v>479</v>
      </c>
      <c r="J397" s="242" t="s">
        <v>8696</v>
      </c>
      <c r="K397" s="195" t="s">
        <v>71</v>
      </c>
      <c r="L397" s="20" t="str">
        <f ca="1">IF(OFFSET(환산공식!$ED$15,$F397,0)=1,"O","X")</f>
        <v>X</v>
      </c>
      <c r="M397" s="188">
        <f ca="1">IFERROR(OFFSET(환산공식!DJ$15,$F397,0),"")</f>
        <v>100</v>
      </c>
      <c r="N397" s="20" t="str">
        <f ca="1">IFERROR(CONCATENATE(ROUND(OFFSET(환산공식!DK$15,$F397,0),1),"%"),"")</f>
        <v>100%</v>
      </c>
      <c r="O397" s="20">
        <f ca="1">IFERROR(OFFSET(환산공식!DL$15,$F397,0),"")</f>
        <v>2</v>
      </c>
      <c r="P397" s="188" t="str">
        <f t="shared" ca="1" si="12"/>
        <v>3% 이하</v>
      </c>
      <c r="Q397" s="194">
        <f ca="1">IFERROR(ROUND(OFFSET(환산공식!$FG$15,$F397,0),3),"")</f>
        <v>0</v>
      </c>
      <c r="R397" s="194">
        <f ca="1">OFFSET('배치점수 계산기'!H$10,$D397,0)</f>
        <v>428.73500000000001</v>
      </c>
      <c r="S397" s="194">
        <f ca="1">OFFSET('배치점수 계산기'!I$10,$D397,0)</f>
        <v>426.24</v>
      </c>
      <c r="T397" s="194">
        <f ca="1">OFFSET('배치점수 계산기'!J$10,$D397,0)</f>
        <v>423.50799999999998</v>
      </c>
      <c r="U397" s="194">
        <f ca="1">OFFSET('배치점수 계산기'!K$10,$D397,0)</f>
        <v>418.875</v>
      </c>
      <c r="V397" s="194">
        <f ca="1">OFFSET('배치점수 계산기'!L$10,$D397,0)</f>
        <v>416.38</v>
      </c>
      <c r="W397" s="186" t="str">
        <f ca="1">OFFSET('배치점수 계산기'!M$10,$D397,0)</f>
        <v>백분위</v>
      </c>
      <c r="X397" s="184" t="str">
        <f ca="1">OFFSET('배치점수 계산기'!N$10,$D397,0)</f>
        <v>백분위</v>
      </c>
      <c r="Y397" s="188">
        <f ca="1">OFFSET(환산공식!FW$15,$F397,0)</f>
        <v>0.38</v>
      </c>
      <c r="Z397" s="20">
        <f ca="1">OFFSET(환산공식!FX$15,$F397,0)</f>
        <v>0.31</v>
      </c>
      <c r="AA397" s="179">
        <f ca="1">OFFSET(환산공식!FY$15,$F397,0)</f>
        <v>0.31</v>
      </c>
      <c r="AB397" s="3"/>
      <c r="AD397">
        <f t="shared" ca="1" si="13"/>
        <v>6</v>
      </c>
      <c r="AF397" s="3"/>
      <c r="AG397" s="3"/>
      <c r="AH397" s="3"/>
    </row>
    <row r="398" spans="1:34">
      <c r="A398" s="198"/>
      <c r="B398" s="198"/>
      <c r="C398" s="198" t="s">
        <v>1850</v>
      </c>
      <c r="D398" s="195">
        <v>1386</v>
      </c>
      <c r="E398" s="195">
        <v>252</v>
      </c>
      <c r="F398" s="195">
        <v>252</v>
      </c>
      <c r="G398" s="239">
        <v>391</v>
      </c>
      <c r="H398" s="197" t="s">
        <v>79</v>
      </c>
      <c r="I398" s="242" t="s">
        <v>479</v>
      </c>
      <c r="J398" s="242" t="s">
        <v>16691</v>
      </c>
      <c r="K398" s="195" t="s">
        <v>71</v>
      </c>
      <c r="L398" s="20" t="str">
        <f ca="1">IF(OFFSET(환산공식!$ED$15,$F398,0)=1,"O","X")</f>
        <v>X</v>
      </c>
      <c r="M398" s="188">
        <f ca="1">IFERROR(OFFSET(환산공식!DJ$15,$F398,0),"")</f>
        <v>150</v>
      </c>
      <c r="N398" s="20" t="str">
        <f ca="1">IFERROR(CONCATENATE(ROUND(OFFSET(환산공식!DK$15,$F398,0),1),"%"),"")</f>
        <v>100%</v>
      </c>
      <c r="O398" s="20">
        <f ca="1">IFERROR(OFFSET(환산공식!DL$15,$F398,0),"")</f>
        <v>2</v>
      </c>
      <c r="P398" s="188" t="str">
        <f t="shared" ca="1" si="12"/>
        <v>3% 이하</v>
      </c>
      <c r="Q398" s="194">
        <f ca="1">IFERROR(ROUND(OFFSET(환산공식!$FG$15,$F398,0),3),"")</f>
        <v>0</v>
      </c>
      <c r="R398" s="194">
        <f ca="1">OFFSET('배치점수 계산기'!H$10,$D398,0)</f>
        <v>436.16500000000002</v>
      </c>
      <c r="S398" s="194">
        <f ca="1">OFFSET('배치점수 계산기'!I$10,$D398,0)</f>
        <v>433.71</v>
      </c>
      <c r="T398" s="194">
        <f ca="1">OFFSET('배치점수 계산기'!J$10,$D398,0)</f>
        <v>431.35500000000002</v>
      </c>
      <c r="U398" s="194">
        <f ca="1">OFFSET('배치점수 계산기'!K$10,$D398,0)</f>
        <v>427.55</v>
      </c>
      <c r="V398" s="194">
        <f ca="1">OFFSET('배치점수 계산기'!L$10,$D398,0)</f>
        <v>425.81</v>
      </c>
      <c r="W398" s="186" t="str">
        <f ca="1">OFFSET('배치점수 계산기'!M$10,$D398,0)</f>
        <v>백분위</v>
      </c>
      <c r="X398" s="184" t="str">
        <f ca="1">OFFSET('배치점수 계산기'!N$10,$D398,0)</f>
        <v>백분위</v>
      </c>
      <c r="Y398" s="188">
        <f ca="1">OFFSET(환산공식!FW$15,$F398,0)</f>
        <v>0.43</v>
      </c>
      <c r="Z398" s="20">
        <f ca="1">OFFSET(환산공식!FX$15,$F398,0)</f>
        <v>0.28999999999999998</v>
      </c>
      <c r="AA398" s="179">
        <f ca="1">OFFSET(환산공식!FY$15,$F398,0)</f>
        <v>0.28999999999999998</v>
      </c>
      <c r="AB398" s="3"/>
      <c r="AD398">
        <f t="shared" ca="1" si="13"/>
        <v>6</v>
      </c>
      <c r="AF398" s="3"/>
      <c r="AG398" s="3"/>
      <c r="AH398" s="3"/>
    </row>
    <row r="399" spans="1:34">
      <c r="A399" s="198"/>
      <c r="B399" s="198"/>
      <c r="C399" s="198" t="s">
        <v>1851</v>
      </c>
      <c r="D399" s="195">
        <v>1387</v>
      </c>
      <c r="E399" s="195">
        <v>253</v>
      </c>
      <c r="F399" s="195">
        <v>253</v>
      </c>
      <c r="G399" s="239">
        <v>392</v>
      </c>
      <c r="H399" s="197" t="s">
        <v>79</v>
      </c>
      <c r="I399" s="242" t="s">
        <v>479</v>
      </c>
      <c r="J399" s="242" t="s">
        <v>499</v>
      </c>
      <c r="K399" s="195" t="s">
        <v>71</v>
      </c>
      <c r="L399" s="20" t="str">
        <f ca="1">IF(OFFSET(환산공식!$ED$15,$F399,0)=1,"O","X")</f>
        <v>X</v>
      </c>
      <c r="M399" s="188">
        <f ca="1">IFERROR(OFFSET(환산공식!DJ$15,$F399,0),"")</f>
        <v>100</v>
      </c>
      <c r="N399" s="20" t="str">
        <f ca="1">IFERROR(CONCATENATE(ROUND(OFFSET(환산공식!DK$15,$F399,0),1),"%"),"")</f>
        <v>100%</v>
      </c>
      <c r="O399" s="20">
        <f ca="1">IFERROR(OFFSET(환산공식!DL$15,$F399,0),"")</f>
        <v>2</v>
      </c>
      <c r="P399" s="188" t="str">
        <f t="shared" ca="1" si="12"/>
        <v>3% 이하</v>
      </c>
      <c r="Q399" s="194">
        <f ca="1">IFERROR(ROUND(OFFSET(환산공식!$FG$15,$F399,0),3),"")</f>
        <v>0</v>
      </c>
      <c r="R399" s="194">
        <f ca="1">OFFSET('배치점수 계산기'!H$10,$D399,0)</f>
        <v>427.47500000000002</v>
      </c>
      <c r="S399" s="194">
        <f ca="1">OFFSET('배치점수 계산기'!I$10,$D399,0)</f>
        <v>424.96800000000002</v>
      </c>
      <c r="T399" s="194">
        <f ca="1">OFFSET('배치점수 계산기'!J$10,$D399,0)</f>
        <v>422.44499999999999</v>
      </c>
      <c r="U399" s="194">
        <f ca="1">OFFSET('배치점수 계산기'!K$10,$D399,0)</f>
        <v>417.45299999999997</v>
      </c>
      <c r="V399" s="194">
        <f ca="1">OFFSET('배치점수 계산기'!L$10,$D399,0)</f>
        <v>415.19499999999999</v>
      </c>
      <c r="W399" s="186" t="str">
        <f ca="1">OFFSET('배치점수 계산기'!M$10,$D399,0)</f>
        <v>백분위</v>
      </c>
      <c r="X399" s="184" t="str">
        <f ca="1">OFFSET('배치점수 계산기'!N$10,$D399,0)</f>
        <v>백분위</v>
      </c>
      <c r="Y399" s="188">
        <f ca="1">OFFSET(환산공식!FW$15,$F399,0)</f>
        <v>0.38</v>
      </c>
      <c r="Z399" s="20">
        <f ca="1">OFFSET(환산공식!FX$15,$F399,0)</f>
        <v>0.31</v>
      </c>
      <c r="AA399" s="179">
        <f ca="1">OFFSET(환산공식!FY$15,$F399,0)</f>
        <v>0.31</v>
      </c>
      <c r="AB399" s="3"/>
      <c r="AD399">
        <f t="shared" ca="1" si="13"/>
        <v>6</v>
      </c>
      <c r="AF399" s="3"/>
      <c r="AG399" s="3"/>
      <c r="AH399" s="3"/>
    </row>
    <row r="400" spans="1:34">
      <c r="A400" s="198"/>
      <c r="B400" s="198"/>
      <c r="C400" s="198" t="s">
        <v>1852</v>
      </c>
      <c r="D400" s="195">
        <v>1388</v>
      </c>
      <c r="E400" s="195">
        <v>253</v>
      </c>
      <c r="F400" s="195">
        <v>253</v>
      </c>
      <c r="G400" s="239">
        <v>393</v>
      </c>
      <c r="H400" s="197" t="s">
        <v>79</v>
      </c>
      <c r="I400" s="242" t="s">
        <v>479</v>
      </c>
      <c r="J400" s="242" t="s">
        <v>8107</v>
      </c>
      <c r="K400" s="195" t="s">
        <v>71</v>
      </c>
      <c r="L400" s="20" t="str">
        <f ca="1">IF(OFFSET(환산공식!$ED$15,$F400,0)=1,"O","X")</f>
        <v>X</v>
      </c>
      <c r="M400" s="188">
        <f ca="1">IFERROR(OFFSET(환산공식!DJ$15,$F400,0),"")</f>
        <v>100</v>
      </c>
      <c r="N400" s="20" t="str">
        <f ca="1">IFERROR(CONCATENATE(ROUND(OFFSET(환산공식!DK$15,$F400,0),1),"%"),"")</f>
        <v>100%</v>
      </c>
      <c r="O400" s="20">
        <f ca="1">IFERROR(OFFSET(환산공식!DL$15,$F400,0),"")</f>
        <v>2</v>
      </c>
      <c r="P400" s="188" t="str">
        <f t="shared" ca="1" si="12"/>
        <v>3% 이하</v>
      </c>
      <c r="Q400" s="194">
        <f ca="1">IFERROR(ROUND(OFFSET(환산공식!$FG$15,$F400,0),3),"")</f>
        <v>0</v>
      </c>
      <c r="R400" s="194">
        <f ca="1">OFFSET('배치점수 계산기'!H$10,$D400,0)</f>
        <v>427.53800000000001</v>
      </c>
      <c r="S400" s="194">
        <f ca="1">OFFSET('배치점수 계산기'!I$10,$D400,0)</f>
        <v>425.11799999999999</v>
      </c>
      <c r="T400" s="194">
        <f ca="1">OFFSET('배치점수 계산기'!J$10,$D400,0)</f>
        <v>420.64800000000002</v>
      </c>
      <c r="U400" s="194">
        <f ca="1">OFFSET('배치점수 계산기'!K$10,$D400,0)</f>
        <v>415.90499999999997</v>
      </c>
      <c r="V400" s="194">
        <f ca="1">OFFSET('배치점수 계산기'!L$10,$D400,0)</f>
        <v>413.67</v>
      </c>
      <c r="W400" s="186" t="str">
        <f ca="1">OFFSET('배치점수 계산기'!M$10,$D400,0)</f>
        <v>백분위</v>
      </c>
      <c r="X400" s="184" t="str">
        <f ca="1">OFFSET('배치점수 계산기'!N$10,$D400,0)</f>
        <v>백분위</v>
      </c>
      <c r="Y400" s="188">
        <f ca="1">OFFSET(환산공식!FW$15,$F400,0)</f>
        <v>0.38</v>
      </c>
      <c r="Z400" s="20">
        <f ca="1">OFFSET(환산공식!FX$15,$F400,0)</f>
        <v>0.31</v>
      </c>
      <c r="AA400" s="179">
        <f ca="1">OFFSET(환산공식!FY$15,$F400,0)</f>
        <v>0.31</v>
      </c>
      <c r="AB400" s="3"/>
      <c r="AD400">
        <f t="shared" ca="1" si="13"/>
        <v>6</v>
      </c>
      <c r="AF400" s="3"/>
      <c r="AG400" s="3"/>
      <c r="AH400" s="3"/>
    </row>
    <row r="401" spans="1:34">
      <c r="A401" s="198"/>
      <c r="B401" s="198"/>
      <c r="C401" s="198" t="s">
        <v>1853</v>
      </c>
      <c r="D401" s="195">
        <v>1389</v>
      </c>
      <c r="E401" s="195">
        <v>253</v>
      </c>
      <c r="F401" s="195">
        <v>253</v>
      </c>
      <c r="G401" s="239">
        <v>394</v>
      </c>
      <c r="H401" s="197" t="s">
        <v>79</v>
      </c>
      <c r="I401" s="242" t="s">
        <v>479</v>
      </c>
      <c r="J401" s="242" t="s">
        <v>8534</v>
      </c>
      <c r="K401" s="195" t="s">
        <v>71</v>
      </c>
      <c r="L401" s="20" t="str">
        <f ca="1">IF(OFFSET(환산공식!$ED$15,$F401,0)=1,"O","X")</f>
        <v>X</v>
      </c>
      <c r="M401" s="188">
        <f ca="1">IFERROR(OFFSET(환산공식!DJ$15,$F401,0),"")</f>
        <v>100</v>
      </c>
      <c r="N401" s="20" t="str">
        <f ca="1">IFERROR(CONCATENATE(ROUND(OFFSET(환산공식!DK$15,$F401,0),1),"%"),"")</f>
        <v>100%</v>
      </c>
      <c r="O401" s="20">
        <f ca="1">IFERROR(OFFSET(환산공식!DL$15,$F401,0),"")</f>
        <v>2</v>
      </c>
      <c r="P401" s="188" t="str">
        <f t="shared" ca="1" si="12"/>
        <v>3% 이하</v>
      </c>
      <c r="Q401" s="194">
        <f ca="1">IFERROR(ROUND(OFFSET(환산공식!$FG$15,$F401,0),3),"")</f>
        <v>0</v>
      </c>
      <c r="R401" s="194">
        <f ca="1">OFFSET('배치점수 계산기'!H$10,$D401,0)</f>
        <v>427.32499999999999</v>
      </c>
      <c r="S401" s="194">
        <f ca="1">OFFSET('배치점수 계산기'!I$10,$D401,0)</f>
        <v>424.84300000000002</v>
      </c>
      <c r="T401" s="194">
        <f ca="1">OFFSET('배치점수 계산기'!J$10,$D401,0)</f>
        <v>420.15</v>
      </c>
      <c r="U401" s="194">
        <f ca="1">OFFSET('배치점수 계산기'!K$10,$D401,0)</f>
        <v>415.84300000000002</v>
      </c>
      <c r="V401" s="194">
        <f ca="1">OFFSET('배치점수 계산기'!L$10,$D401,0)</f>
        <v>413.548</v>
      </c>
      <c r="W401" s="186" t="str">
        <f ca="1">OFFSET('배치점수 계산기'!M$10,$D401,0)</f>
        <v>백분위</v>
      </c>
      <c r="X401" s="184" t="str">
        <f ca="1">OFFSET('배치점수 계산기'!N$10,$D401,0)</f>
        <v>백분위</v>
      </c>
      <c r="Y401" s="188">
        <f ca="1">OFFSET(환산공식!FW$15,$F401,0)</f>
        <v>0.38</v>
      </c>
      <c r="Z401" s="20">
        <f ca="1">OFFSET(환산공식!FX$15,$F401,0)</f>
        <v>0.31</v>
      </c>
      <c r="AA401" s="179">
        <f ca="1">OFFSET(환산공식!FY$15,$F401,0)</f>
        <v>0.31</v>
      </c>
      <c r="AB401" s="3"/>
      <c r="AD401">
        <f t="shared" ca="1" si="13"/>
        <v>6</v>
      </c>
      <c r="AF401" s="3"/>
      <c r="AG401" s="3"/>
      <c r="AH401" s="3"/>
    </row>
    <row r="402" spans="1:34">
      <c r="A402" s="198"/>
      <c r="B402" s="198"/>
      <c r="C402" s="198" t="s">
        <v>1854</v>
      </c>
      <c r="D402" s="195">
        <v>1390</v>
      </c>
      <c r="E402" s="195">
        <v>253</v>
      </c>
      <c r="F402" s="195">
        <v>253</v>
      </c>
      <c r="G402" s="239">
        <v>395</v>
      </c>
      <c r="H402" s="197" t="s">
        <v>79</v>
      </c>
      <c r="I402" s="242" t="s">
        <v>479</v>
      </c>
      <c r="J402" s="242" t="s">
        <v>16692</v>
      </c>
      <c r="K402" s="195" t="s">
        <v>71</v>
      </c>
      <c r="L402" s="20" t="str">
        <f ca="1">IF(OFFSET(환산공식!$ED$15,$F402,0)=1,"O","X")</f>
        <v>X</v>
      </c>
      <c r="M402" s="188">
        <f ca="1">IFERROR(OFFSET(환산공식!DJ$15,$F402,0),"")</f>
        <v>100</v>
      </c>
      <c r="N402" s="20" t="str">
        <f ca="1">IFERROR(CONCATENATE(ROUND(OFFSET(환산공식!DK$15,$F402,0),1),"%"),"")</f>
        <v>100%</v>
      </c>
      <c r="O402" s="20">
        <f ca="1">IFERROR(OFFSET(환산공식!DL$15,$F402,0),"")</f>
        <v>2</v>
      </c>
      <c r="P402" s="188" t="str">
        <f t="shared" ca="1" si="12"/>
        <v>3% 이하</v>
      </c>
      <c r="Q402" s="194">
        <f ca="1">IFERROR(ROUND(OFFSET(환산공식!$FG$15,$F402,0),3),"")</f>
        <v>0</v>
      </c>
      <c r="R402" s="194">
        <f ca="1">OFFSET('배치점수 계산기'!H$10,$D402,0)</f>
        <v>423.13299999999998</v>
      </c>
      <c r="S402" s="194">
        <f ca="1">OFFSET('배치점수 계산기'!I$10,$D402,0)</f>
        <v>420.21300000000002</v>
      </c>
      <c r="T402" s="194">
        <f ca="1">OFFSET('배치점수 계산기'!J$10,$D402,0)</f>
        <v>417.45299999999997</v>
      </c>
      <c r="U402" s="194">
        <f ca="1">OFFSET('배치점수 계산기'!K$10,$D402,0)</f>
        <v>413.39800000000002</v>
      </c>
      <c r="V402" s="194">
        <f ca="1">OFFSET('배치점수 계산기'!L$10,$D402,0)</f>
        <v>411.3</v>
      </c>
      <c r="W402" s="186" t="str">
        <f ca="1">OFFSET('배치점수 계산기'!M$10,$D402,0)</f>
        <v>백분위</v>
      </c>
      <c r="X402" s="184" t="str">
        <f ca="1">OFFSET('배치점수 계산기'!N$10,$D402,0)</f>
        <v>백분위</v>
      </c>
      <c r="Y402" s="188">
        <f ca="1">OFFSET(환산공식!FW$15,$F402,0)</f>
        <v>0.38</v>
      </c>
      <c r="Z402" s="20">
        <f ca="1">OFFSET(환산공식!FX$15,$F402,0)</f>
        <v>0.31</v>
      </c>
      <c r="AA402" s="179">
        <f ca="1">OFFSET(환산공식!FY$15,$F402,0)</f>
        <v>0.31</v>
      </c>
      <c r="AB402" s="3"/>
      <c r="AD402">
        <f t="shared" ca="1" si="13"/>
        <v>6</v>
      </c>
      <c r="AF402" s="3"/>
      <c r="AG402" s="3"/>
      <c r="AH402" s="3"/>
    </row>
    <row r="403" spans="1:34">
      <c r="A403" s="198"/>
      <c r="B403" s="198"/>
      <c r="C403" s="198" t="s">
        <v>1855</v>
      </c>
      <c r="D403" s="195">
        <v>1391</v>
      </c>
      <c r="E403" s="195">
        <v>110</v>
      </c>
      <c r="F403" s="195">
        <v>110</v>
      </c>
      <c r="G403" s="239">
        <v>396</v>
      </c>
      <c r="H403" s="197" t="s">
        <v>79</v>
      </c>
      <c r="I403" s="242" t="s">
        <v>239</v>
      </c>
      <c r="J403" s="242" t="s">
        <v>8633</v>
      </c>
      <c r="K403" s="195" t="s">
        <v>70</v>
      </c>
      <c r="L403" s="20" t="str">
        <f ca="1">IF(OFFSET(환산공식!$ED$15,$F403,0)=1,"O","X")</f>
        <v>X</v>
      </c>
      <c r="M403" s="188">
        <f ca="1">IFERROR(OFFSET(환산공식!DJ$15,$F403,0),"")</f>
        <v>0</v>
      </c>
      <c r="N403" s="20" t="str">
        <f ca="1">IFERROR(CONCATENATE(ROUND(OFFSET(환산공식!DK$15,$F403,0),1),"%"),"")</f>
        <v/>
      </c>
      <c r="O403" s="20">
        <f ca="1">IFERROR(OFFSET(환산공식!DL$15,$F403,0),"")</f>
        <v>0</v>
      </c>
      <c r="P403" s="188" t="str">
        <f t="shared" ca="1" si="12"/>
        <v>3% 이하</v>
      </c>
      <c r="Q403" s="194">
        <f ca="1">IFERROR(ROUND(OFFSET(환산공식!$FG$15,$F403,0),3),"")</f>
        <v>0</v>
      </c>
      <c r="R403" s="194">
        <f ca="1">OFFSET('배치점수 계산기'!H$10,$D403,0)</f>
        <v>630.67700000000002</v>
      </c>
      <c r="S403" s="194">
        <f ca="1">OFFSET('배치점수 계산기'!I$10,$D403,0)</f>
        <v>627.99800000000005</v>
      </c>
      <c r="T403" s="194">
        <f ca="1">OFFSET('배치점수 계산기'!J$10,$D403,0)</f>
        <v>625.05100000000004</v>
      </c>
      <c r="U403" s="194">
        <f ca="1">OFFSET('배치점수 계산기'!K$10,$D403,0)</f>
        <v>619.649</v>
      </c>
      <c r="V403" s="194">
        <f ca="1">OFFSET('배치점수 계산기'!L$10,$D403,0)</f>
        <v>614.07600000000002</v>
      </c>
      <c r="W403" s="186" t="str">
        <f ca="1">OFFSET('배치점수 계산기'!M$10,$D403,0)</f>
        <v>표점</v>
      </c>
      <c r="X403" s="184" t="str">
        <f ca="1">OFFSET('배치점수 계산기'!N$10,$D403,0)</f>
        <v>변표</v>
      </c>
      <c r="Y403" s="188">
        <f ca="1">OFFSET(환산공식!FW$15,$F403,0)</f>
        <v>0.3</v>
      </c>
      <c r="Z403" s="20">
        <f ca="1">OFFSET(환산공식!FX$15,$F403,0)</f>
        <v>0.4</v>
      </c>
      <c r="AA403" s="179">
        <f ca="1">OFFSET(환산공식!FY$15,$F403,0)</f>
        <v>0.3</v>
      </c>
      <c r="AB403" s="3"/>
      <c r="AD403">
        <f t="shared" ca="1" si="13"/>
        <v>6</v>
      </c>
      <c r="AF403" s="3"/>
      <c r="AG403" s="3"/>
      <c r="AH403" s="3"/>
    </row>
    <row r="404" spans="1:34">
      <c r="A404" s="198"/>
      <c r="B404" s="198"/>
      <c r="C404" s="198" t="s">
        <v>1856</v>
      </c>
      <c r="D404" s="195">
        <v>1392</v>
      </c>
      <c r="E404" s="195">
        <v>105</v>
      </c>
      <c r="F404" s="195">
        <v>105</v>
      </c>
      <c r="G404" s="239">
        <v>397</v>
      </c>
      <c r="H404" s="197" t="s">
        <v>79</v>
      </c>
      <c r="I404" s="242" t="s">
        <v>239</v>
      </c>
      <c r="J404" s="242" t="s">
        <v>10898</v>
      </c>
      <c r="K404" s="195" t="s">
        <v>70</v>
      </c>
      <c r="L404" s="20" t="str">
        <f ca="1">IF(OFFSET(환산공식!$ED$15,$F404,0)=1,"O","X")</f>
        <v>X</v>
      </c>
      <c r="M404" s="188">
        <f ca="1">IFERROR(OFFSET(환산공식!DJ$15,$F404,0),"")</f>
        <v>200</v>
      </c>
      <c r="N404" s="20" t="str">
        <f ca="1">IFERROR(CONCATENATE(ROUND(OFFSET(환산공식!DK$15,$F404,0),1),"%"),"")</f>
        <v>100%</v>
      </c>
      <c r="O404" s="20">
        <f ca="1">IFERROR(OFFSET(환산공식!DL$15,$F404,0),"")</f>
        <v>10</v>
      </c>
      <c r="P404" s="188" t="str">
        <f t="shared" ca="1" si="12"/>
        <v>3% 이하</v>
      </c>
      <c r="Q404" s="194">
        <f ca="1">IFERROR(ROUND(OFFSET(환산공식!$FG$15,$F404,0),3),"")</f>
        <v>0</v>
      </c>
      <c r="R404" s="194">
        <f ca="1">OFFSET('배치점수 계산기'!H$10,$D404,0)</f>
        <v>858.62</v>
      </c>
      <c r="S404" s="194">
        <f ca="1">OFFSET('배치점수 계산기'!I$10,$D404,0)</f>
        <v>855.42</v>
      </c>
      <c r="T404" s="194">
        <f ca="1">OFFSET('배치점수 계산기'!J$10,$D404,0)</f>
        <v>849.5</v>
      </c>
      <c r="U404" s="194">
        <f ca="1">OFFSET('배치점수 계산기'!K$10,$D404,0)</f>
        <v>839.5</v>
      </c>
      <c r="V404" s="194">
        <f ca="1">OFFSET('배치점수 계산기'!L$10,$D404,0)</f>
        <v>831.74</v>
      </c>
      <c r="W404" s="186" t="str">
        <f ca="1">OFFSET('배치점수 계산기'!M$10,$D404,0)</f>
        <v>백분위</v>
      </c>
      <c r="X404" s="184" t="str">
        <f ca="1">OFFSET('배치점수 계산기'!N$10,$D404,0)</f>
        <v>백분위</v>
      </c>
      <c r="Y404" s="188">
        <f ca="1">OFFSET(환산공식!FW$15,$F404,0)</f>
        <v>0.38</v>
      </c>
      <c r="Z404" s="20">
        <f ca="1">OFFSET(환산공식!FX$15,$F404,0)</f>
        <v>0.38</v>
      </c>
      <c r="AA404" s="179">
        <f ca="1">OFFSET(환산공식!FY$15,$F404,0)</f>
        <v>0.25</v>
      </c>
      <c r="AB404" s="3"/>
      <c r="AD404">
        <f t="shared" ca="1" si="13"/>
        <v>6</v>
      </c>
      <c r="AF404" s="3"/>
      <c r="AG404" s="3"/>
      <c r="AH404" s="3"/>
    </row>
    <row r="405" spans="1:34">
      <c r="A405" s="198"/>
      <c r="B405" s="198"/>
      <c r="C405" s="198" t="s">
        <v>1857</v>
      </c>
      <c r="D405" s="195">
        <v>1393</v>
      </c>
      <c r="E405" s="195">
        <v>105</v>
      </c>
      <c r="F405" s="195">
        <v>105</v>
      </c>
      <c r="G405" s="239">
        <v>398</v>
      </c>
      <c r="H405" s="197" t="s">
        <v>79</v>
      </c>
      <c r="I405" s="242" t="s">
        <v>239</v>
      </c>
      <c r="J405" s="242" t="s">
        <v>11347</v>
      </c>
      <c r="K405" s="195" t="s">
        <v>70</v>
      </c>
      <c r="L405" s="20" t="str">
        <f ca="1">IF(OFFSET(환산공식!$ED$15,$F405,0)=1,"O","X")</f>
        <v>X</v>
      </c>
      <c r="M405" s="188">
        <f ca="1">IFERROR(OFFSET(환산공식!DJ$15,$F405,0),"")</f>
        <v>200</v>
      </c>
      <c r="N405" s="20" t="str">
        <f ca="1">IFERROR(CONCATENATE(ROUND(OFFSET(환산공식!DK$15,$F405,0),1),"%"),"")</f>
        <v>100%</v>
      </c>
      <c r="O405" s="20">
        <f ca="1">IFERROR(OFFSET(환산공식!DL$15,$F405,0),"")</f>
        <v>10</v>
      </c>
      <c r="P405" s="188" t="str">
        <f t="shared" ca="1" si="12"/>
        <v>3% 이하</v>
      </c>
      <c r="Q405" s="194">
        <f ca="1">IFERROR(ROUND(OFFSET(환산공식!$FG$15,$F405,0),3),"")</f>
        <v>0</v>
      </c>
      <c r="R405" s="194">
        <f ca="1">OFFSET('배치점수 계산기'!H$10,$D405,0)</f>
        <v>856.24</v>
      </c>
      <c r="S405" s="194">
        <f ca="1">OFFSET('배치점수 계산기'!I$10,$D405,0)</f>
        <v>851.36</v>
      </c>
      <c r="T405" s="194">
        <f ca="1">OFFSET('배치점수 계산기'!J$10,$D405,0)</f>
        <v>846.2</v>
      </c>
      <c r="U405" s="194">
        <f ca="1">OFFSET('배치점수 계산기'!K$10,$D405,0)</f>
        <v>837.18</v>
      </c>
      <c r="V405" s="194">
        <f ca="1">OFFSET('배치점수 계산기'!L$10,$D405,0)</f>
        <v>827.08</v>
      </c>
      <c r="W405" s="186" t="str">
        <f ca="1">OFFSET('배치점수 계산기'!M$10,$D405,0)</f>
        <v>백분위</v>
      </c>
      <c r="X405" s="184" t="str">
        <f ca="1">OFFSET('배치점수 계산기'!N$10,$D405,0)</f>
        <v>백분위</v>
      </c>
      <c r="Y405" s="188">
        <f ca="1">OFFSET(환산공식!FW$15,$F405,0)</f>
        <v>0.38</v>
      </c>
      <c r="Z405" s="20">
        <f ca="1">OFFSET(환산공식!FX$15,$F405,0)</f>
        <v>0.38</v>
      </c>
      <c r="AA405" s="179">
        <f ca="1">OFFSET(환산공식!FY$15,$F405,0)</f>
        <v>0.25</v>
      </c>
      <c r="AB405" s="3"/>
      <c r="AD405">
        <f t="shared" ca="1" si="13"/>
        <v>6</v>
      </c>
      <c r="AF405" s="3"/>
      <c r="AG405" s="3"/>
      <c r="AH405" s="3"/>
    </row>
    <row r="406" spans="1:34">
      <c r="A406" s="198"/>
      <c r="B406" s="198"/>
      <c r="C406" s="198" t="s">
        <v>1858</v>
      </c>
      <c r="D406" s="195">
        <v>1394</v>
      </c>
      <c r="E406" s="195">
        <v>107</v>
      </c>
      <c r="F406" s="195">
        <v>107</v>
      </c>
      <c r="G406" s="239">
        <v>399</v>
      </c>
      <c r="H406" s="197" t="s">
        <v>79</v>
      </c>
      <c r="I406" s="242" t="s">
        <v>239</v>
      </c>
      <c r="J406" s="242" t="s">
        <v>9926</v>
      </c>
      <c r="K406" s="195" t="s">
        <v>71</v>
      </c>
      <c r="L406" s="20" t="str">
        <f ca="1">IF(OFFSET(환산공식!$ED$15,$F406,0)=1,"O","X")</f>
        <v>X</v>
      </c>
      <c r="M406" s="188">
        <f ca="1">IFERROR(OFFSET(환산공식!DJ$15,$F406,0),"")</f>
        <v>0</v>
      </c>
      <c r="N406" s="20" t="str">
        <f ca="1">IFERROR(CONCATENATE(ROUND(OFFSET(환산공식!DK$15,$F406,0),1),"%"),"")</f>
        <v/>
      </c>
      <c r="O406" s="20">
        <f ca="1">IFERROR(OFFSET(환산공식!DL$15,$F406,0),"")</f>
        <v>0</v>
      </c>
      <c r="P406" s="188" t="str">
        <f t="shared" ca="1" si="12"/>
        <v>3% 이하</v>
      </c>
      <c r="Q406" s="194">
        <f ca="1">IFERROR(ROUND(OFFSET(환산공식!$FG$15,$F406,0),3),"")</f>
        <v>0</v>
      </c>
      <c r="R406" s="194">
        <f ca="1">OFFSET('배치점수 계산기'!H$10,$D406,0)</f>
        <v>848.56</v>
      </c>
      <c r="S406" s="194">
        <f ca="1">OFFSET('배치점수 계산기'!I$10,$D406,0)</f>
        <v>842.78</v>
      </c>
      <c r="T406" s="194">
        <f ca="1">OFFSET('배치점수 계산기'!J$10,$D406,0)</f>
        <v>835.6</v>
      </c>
      <c r="U406" s="194">
        <f ca="1">OFFSET('배치점수 계산기'!K$10,$D406,0)</f>
        <v>820.38</v>
      </c>
      <c r="V406" s="194">
        <f ca="1">OFFSET('배치점수 계산기'!L$10,$D406,0)</f>
        <v>805.48</v>
      </c>
      <c r="W406" s="186" t="str">
        <f ca="1">OFFSET('배치점수 계산기'!M$10,$D406,0)</f>
        <v>백분위</v>
      </c>
      <c r="X406" s="184" t="str">
        <f ca="1">OFFSET('배치점수 계산기'!N$10,$D406,0)</f>
        <v>백분위</v>
      </c>
      <c r="Y406" s="188">
        <f ca="1">OFFSET(환산공식!FW$15,$F406,0)</f>
        <v>0.5</v>
      </c>
      <c r="Z406" s="20">
        <f ca="1">OFFSET(환산공식!FX$15,$F406,0)</f>
        <v>0</v>
      </c>
      <c r="AA406" s="179">
        <f ca="1">OFFSET(환산공식!FY$15,$F406,0)</f>
        <v>0.5</v>
      </c>
      <c r="AB406" s="3"/>
      <c r="AD406">
        <f t="shared" ca="1" si="13"/>
        <v>6</v>
      </c>
      <c r="AF406" s="3"/>
      <c r="AG406" s="3"/>
      <c r="AH406" s="3"/>
    </row>
    <row r="407" spans="1:34">
      <c r="A407" s="198"/>
      <c r="B407" s="198"/>
      <c r="C407" s="198" t="s">
        <v>1859</v>
      </c>
      <c r="D407" s="195">
        <v>1395</v>
      </c>
      <c r="E407" s="195">
        <v>101</v>
      </c>
      <c r="F407" s="195">
        <v>101</v>
      </c>
      <c r="G407" s="239">
        <v>400</v>
      </c>
      <c r="H407" s="197" t="s">
        <v>79</v>
      </c>
      <c r="I407" s="242" t="s">
        <v>424</v>
      </c>
      <c r="J407" s="242" t="s">
        <v>11006</v>
      </c>
      <c r="K407" s="195" t="s">
        <v>70</v>
      </c>
      <c r="L407" s="20" t="str">
        <f ca="1">IF(OFFSET(환산공식!$ED$15,$F407,0)=1,"O","X")</f>
        <v>X</v>
      </c>
      <c r="M407" s="188">
        <f ca="1">IFERROR(OFFSET(환산공식!DJ$15,$F407,0),"")</f>
        <v>200</v>
      </c>
      <c r="N407" s="20" t="str">
        <f ca="1">IFERROR(CONCATENATE(ROUND(OFFSET(환산공식!DK$15,$F407,0),1),"%"),"")</f>
        <v>100%</v>
      </c>
      <c r="O407" s="20">
        <f ca="1">IFERROR(OFFSET(환산공식!DL$15,$F407,0),"")</f>
        <v>3</v>
      </c>
      <c r="P407" s="188" t="str">
        <f t="shared" ca="1" si="12"/>
        <v>3% 이하</v>
      </c>
      <c r="Q407" s="194">
        <f ca="1">IFERROR(ROUND(OFFSET(환산공식!$FG$15,$F407,0),3),"")</f>
        <v>0</v>
      </c>
      <c r="R407" s="194">
        <f ca="1">OFFSET('배치점수 계산기'!H$10,$D407,0)</f>
        <v>887.84</v>
      </c>
      <c r="S407" s="194">
        <f ca="1">OFFSET('배치점수 계산기'!I$10,$D407,0)</f>
        <v>882.47</v>
      </c>
      <c r="T407" s="194">
        <f ca="1">OFFSET('배치점수 계산기'!J$10,$D407,0)</f>
        <v>877.35</v>
      </c>
      <c r="U407" s="194">
        <f ca="1">OFFSET('배치점수 계산기'!K$10,$D407,0)</f>
        <v>870.34</v>
      </c>
      <c r="V407" s="194">
        <f ca="1">OFFSET('배치점수 계산기'!L$10,$D407,0)</f>
        <v>861.71</v>
      </c>
      <c r="W407" s="186" t="str">
        <f ca="1">OFFSET('배치점수 계산기'!M$10,$D407,0)</f>
        <v>백분위</v>
      </c>
      <c r="X407" s="184" t="str">
        <f ca="1">OFFSET('배치점수 계산기'!N$10,$D407,0)</f>
        <v>백분위</v>
      </c>
      <c r="Y407" s="188">
        <f ca="1">OFFSET(환산공식!FW$15,$F407,0)</f>
        <v>0.31</v>
      </c>
      <c r="Z407" s="20">
        <f ca="1">OFFSET(환산공식!FX$15,$F407,0)</f>
        <v>0.44</v>
      </c>
      <c r="AA407" s="179">
        <f ca="1">OFFSET(환산공식!FY$15,$F407,0)</f>
        <v>0.25</v>
      </c>
      <c r="AB407" s="3"/>
      <c r="AD407">
        <f t="shared" ca="1" si="13"/>
        <v>6</v>
      </c>
      <c r="AF407" s="3"/>
      <c r="AG407" s="3"/>
      <c r="AH407" s="3"/>
    </row>
    <row r="408" spans="1:34">
      <c r="A408" s="198"/>
      <c r="B408" s="198"/>
      <c r="C408" s="198" t="s">
        <v>1860</v>
      </c>
      <c r="D408" s="195">
        <v>1396</v>
      </c>
      <c r="E408" s="195">
        <v>101</v>
      </c>
      <c r="F408" s="195">
        <v>101</v>
      </c>
      <c r="G408" s="239">
        <v>401</v>
      </c>
      <c r="H408" s="197" t="s">
        <v>79</v>
      </c>
      <c r="I408" s="242" t="s">
        <v>424</v>
      </c>
      <c r="J408" s="242" t="s">
        <v>11841</v>
      </c>
      <c r="K408" s="195" t="s">
        <v>70</v>
      </c>
      <c r="L408" s="20" t="str">
        <f ca="1">IF(OFFSET(환산공식!$ED$15,$F408,0)=1,"O","X")</f>
        <v>X</v>
      </c>
      <c r="M408" s="188">
        <f ca="1">IFERROR(OFFSET(환산공식!DJ$15,$F408,0),"")</f>
        <v>200</v>
      </c>
      <c r="N408" s="20" t="str">
        <f ca="1">IFERROR(CONCATENATE(ROUND(OFFSET(환산공식!DK$15,$F408,0),1),"%"),"")</f>
        <v>100%</v>
      </c>
      <c r="O408" s="20">
        <f ca="1">IFERROR(OFFSET(환산공식!DL$15,$F408,0),"")</f>
        <v>3</v>
      </c>
      <c r="P408" s="188" t="str">
        <f t="shared" ca="1" si="12"/>
        <v>3% 이하</v>
      </c>
      <c r="Q408" s="194">
        <f ca="1">IFERROR(ROUND(OFFSET(환산공식!$FG$15,$F408,0),3),"")</f>
        <v>0</v>
      </c>
      <c r="R408" s="194">
        <f ca="1">OFFSET('배치점수 계산기'!H$10,$D408,0)</f>
        <v>847.53</v>
      </c>
      <c r="S408" s="194">
        <f ca="1">OFFSET('배치점수 계산기'!I$10,$D408,0)</f>
        <v>842.26</v>
      </c>
      <c r="T408" s="194">
        <f ca="1">OFFSET('배치점수 계산기'!J$10,$D408,0)</f>
        <v>836.19</v>
      </c>
      <c r="U408" s="194">
        <f ca="1">OFFSET('배치점수 계산기'!K$10,$D408,0)</f>
        <v>827.87</v>
      </c>
      <c r="V408" s="194">
        <f ca="1">OFFSET('배치점수 계산기'!L$10,$D408,0)</f>
        <v>820.41</v>
      </c>
      <c r="W408" s="186" t="str">
        <f ca="1">OFFSET('배치점수 계산기'!M$10,$D408,0)</f>
        <v>백분위</v>
      </c>
      <c r="X408" s="184" t="str">
        <f ca="1">OFFSET('배치점수 계산기'!N$10,$D408,0)</f>
        <v>백분위</v>
      </c>
      <c r="Y408" s="188">
        <f ca="1">OFFSET(환산공식!FW$15,$F408,0)</f>
        <v>0.31</v>
      </c>
      <c r="Z408" s="20">
        <f ca="1">OFFSET(환산공식!FX$15,$F408,0)</f>
        <v>0.44</v>
      </c>
      <c r="AA408" s="179">
        <f ca="1">OFFSET(환산공식!FY$15,$F408,0)</f>
        <v>0.25</v>
      </c>
      <c r="AB408" s="3"/>
      <c r="AD408">
        <f t="shared" ca="1" si="13"/>
        <v>6</v>
      </c>
      <c r="AF408" s="3"/>
      <c r="AG408" s="3"/>
      <c r="AH408" s="3"/>
    </row>
    <row r="409" spans="1:34">
      <c r="A409" s="198"/>
      <c r="B409" s="198"/>
      <c r="C409" s="198" t="s">
        <v>1861</v>
      </c>
      <c r="D409" s="195">
        <v>1397</v>
      </c>
      <c r="E409" s="195">
        <v>100</v>
      </c>
      <c r="F409" s="195">
        <v>100</v>
      </c>
      <c r="G409" s="239">
        <v>402</v>
      </c>
      <c r="H409" s="197" t="s">
        <v>79</v>
      </c>
      <c r="I409" s="242" t="s">
        <v>424</v>
      </c>
      <c r="J409" s="242" t="s">
        <v>11210</v>
      </c>
      <c r="K409" s="195" t="s">
        <v>71</v>
      </c>
      <c r="L409" s="20" t="str">
        <f ca="1">IF(OFFSET(환산공식!$ED$15,$F409,0)=1,"O","X")</f>
        <v>X</v>
      </c>
      <c r="M409" s="188">
        <f ca="1">IFERROR(OFFSET(환산공식!DJ$15,$F409,0),"")</f>
        <v>200</v>
      </c>
      <c r="N409" s="20" t="str">
        <f ca="1">IFERROR(CONCATENATE(ROUND(OFFSET(환산공식!DK$15,$F409,0),1),"%"),"")</f>
        <v>100%</v>
      </c>
      <c r="O409" s="20">
        <f ca="1">IFERROR(OFFSET(환산공식!DL$15,$F409,0),"")</f>
        <v>3</v>
      </c>
      <c r="P409" s="188" t="str">
        <f t="shared" ca="1" si="12"/>
        <v>3% 이하</v>
      </c>
      <c r="Q409" s="194">
        <f ca="1">IFERROR(ROUND(OFFSET(환산공식!$FG$15,$F409,0),3),"")</f>
        <v>0</v>
      </c>
      <c r="R409" s="194">
        <f ca="1">OFFSET('배치점수 계산기'!H$10,$D409,0)</f>
        <v>866.23500000000001</v>
      </c>
      <c r="S409" s="194">
        <f ca="1">OFFSET('배치점수 계산기'!I$10,$D409,0)</f>
        <v>861.45</v>
      </c>
      <c r="T409" s="194">
        <f ca="1">OFFSET('배치점수 계산기'!J$10,$D409,0)</f>
        <v>856.76499999999999</v>
      </c>
      <c r="U409" s="194">
        <f ca="1">OFFSET('배치점수 계산기'!K$10,$D409,0)</f>
        <v>847.78</v>
      </c>
      <c r="V409" s="194">
        <f ca="1">OFFSET('배치점수 계산기'!L$10,$D409,0)</f>
        <v>838.21500000000003</v>
      </c>
      <c r="W409" s="186" t="str">
        <f ca="1">OFFSET('배치점수 계산기'!M$10,$D409,0)</f>
        <v>백분위</v>
      </c>
      <c r="X409" s="184" t="str">
        <f ca="1">OFFSET('배치점수 계산기'!N$10,$D409,0)</f>
        <v>백분위</v>
      </c>
      <c r="Y409" s="188">
        <f ca="1">OFFSET(환산공식!FW$15,$F409,0)</f>
        <v>0.44</v>
      </c>
      <c r="Z409" s="20">
        <f ca="1">OFFSET(환산공식!FX$15,$F409,0)</f>
        <v>0.31</v>
      </c>
      <c r="AA409" s="179">
        <f ca="1">OFFSET(환산공식!FY$15,$F409,0)</f>
        <v>0.25</v>
      </c>
      <c r="AB409" s="3"/>
      <c r="AD409">
        <f t="shared" ca="1" si="13"/>
        <v>6</v>
      </c>
      <c r="AF409" s="3"/>
      <c r="AG409" s="3"/>
      <c r="AH409" s="3"/>
    </row>
    <row r="410" spans="1:34">
      <c r="A410" s="198"/>
      <c r="B410" s="198"/>
      <c r="C410" s="198" t="s">
        <v>1862</v>
      </c>
      <c r="D410" s="195">
        <v>1398</v>
      </c>
      <c r="E410" s="195">
        <v>100</v>
      </c>
      <c r="F410" s="195">
        <v>100</v>
      </c>
      <c r="G410" s="239">
        <v>403</v>
      </c>
      <c r="H410" s="197" t="s">
        <v>79</v>
      </c>
      <c r="I410" s="242" t="s">
        <v>424</v>
      </c>
      <c r="J410" s="242" t="s">
        <v>416</v>
      </c>
      <c r="K410" s="195" t="s">
        <v>71</v>
      </c>
      <c r="L410" s="20" t="str">
        <f ca="1">IF(OFFSET(환산공식!$ED$15,$F410,0)=1,"O","X")</f>
        <v>X</v>
      </c>
      <c r="M410" s="188">
        <f ca="1">IFERROR(OFFSET(환산공식!DJ$15,$F410,0),"")</f>
        <v>200</v>
      </c>
      <c r="N410" s="20" t="str">
        <f ca="1">IFERROR(CONCATENATE(ROUND(OFFSET(환산공식!DK$15,$F410,0),1),"%"),"")</f>
        <v>100%</v>
      </c>
      <c r="O410" s="20">
        <f ca="1">IFERROR(OFFSET(환산공식!DL$15,$F410,0),"")</f>
        <v>3</v>
      </c>
      <c r="P410" s="188" t="str">
        <f t="shared" ca="1" si="12"/>
        <v>3% 이하</v>
      </c>
      <c r="Q410" s="194">
        <f ca="1">IFERROR(ROUND(OFFSET(환산공식!$FG$15,$F410,0),3),"")</f>
        <v>0</v>
      </c>
      <c r="R410" s="194">
        <f ca="1">OFFSET('배치점수 계산기'!H$10,$D410,0)</f>
        <v>860.47500000000002</v>
      </c>
      <c r="S410" s="194">
        <f ca="1">OFFSET('배치점수 계산기'!I$10,$D410,0)</f>
        <v>856.16499999999996</v>
      </c>
      <c r="T410" s="194">
        <f ca="1">OFFSET('배치점수 계산기'!J$10,$D410,0)</f>
        <v>851.20500000000004</v>
      </c>
      <c r="U410" s="194">
        <f ca="1">OFFSET('배치점수 계산기'!K$10,$D410,0)</f>
        <v>840.84500000000003</v>
      </c>
      <c r="V410" s="194">
        <f ca="1">OFFSET('배치점수 계산기'!L$10,$D410,0)</f>
        <v>833.05499999999995</v>
      </c>
      <c r="W410" s="186" t="str">
        <f ca="1">OFFSET('배치점수 계산기'!M$10,$D410,0)</f>
        <v>백분위</v>
      </c>
      <c r="X410" s="184" t="str">
        <f ca="1">OFFSET('배치점수 계산기'!N$10,$D410,0)</f>
        <v>백분위</v>
      </c>
      <c r="Y410" s="188">
        <f ca="1">OFFSET(환산공식!FW$15,$F410,0)</f>
        <v>0.44</v>
      </c>
      <c r="Z410" s="20">
        <f ca="1">OFFSET(환산공식!FX$15,$F410,0)</f>
        <v>0.31</v>
      </c>
      <c r="AA410" s="179">
        <f ca="1">OFFSET(환산공식!FY$15,$F410,0)</f>
        <v>0.25</v>
      </c>
      <c r="AB410" s="3"/>
      <c r="AD410">
        <f t="shared" ca="1" si="13"/>
        <v>6</v>
      </c>
      <c r="AF410" s="3"/>
      <c r="AG410" s="3"/>
      <c r="AH410" s="3"/>
    </row>
    <row r="411" spans="1:34">
      <c r="A411" s="198"/>
      <c r="B411" s="198"/>
      <c r="C411" s="198" t="s">
        <v>1863</v>
      </c>
      <c r="D411" s="195">
        <v>1399</v>
      </c>
      <c r="E411" s="195">
        <v>100</v>
      </c>
      <c r="F411" s="195">
        <v>100</v>
      </c>
      <c r="G411" s="239">
        <v>404</v>
      </c>
      <c r="H411" s="197" t="s">
        <v>79</v>
      </c>
      <c r="I411" s="242" t="s">
        <v>424</v>
      </c>
      <c r="J411" s="242" t="s">
        <v>11437</v>
      </c>
      <c r="K411" s="195" t="s">
        <v>71</v>
      </c>
      <c r="L411" s="20" t="str">
        <f ca="1">IF(OFFSET(환산공식!$ED$15,$F411,0)=1,"O","X")</f>
        <v>X</v>
      </c>
      <c r="M411" s="188">
        <f ca="1">IFERROR(OFFSET(환산공식!DJ$15,$F411,0),"")</f>
        <v>200</v>
      </c>
      <c r="N411" s="20" t="str">
        <f ca="1">IFERROR(CONCATENATE(ROUND(OFFSET(환산공식!DK$15,$F411,0),1),"%"),"")</f>
        <v>100%</v>
      </c>
      <c r="O411" s="20">
        <f ca="1">IFERROR(OFFSET(환산공식!DL$15,$F411,0),"")</f>
        <v>3</v>
      </c>
      <c r="P411" s="188" t="str">
        <f t="shared" ca="1" si="12"/>
        <v>3% 이하</v>
      </c>
      <c r="Q411" s="194">
        <f ca="1">IFERROR(ROUND(OFFSET(환산공식!$FG$15,$F411,0),3),"")</f>
        <v>0</v>
      </c>
      <c r="R411" s="194">
        <f ca="1">OFFSET('배치점수 계산기'!H$10,$D411,0)</f>
        <v>856.41499999999996</v>
      </c>
      <c r="S411" s="194">
        <f ca="1">OFFSET('배치점수 계산기'!I$10,$D411,0)</f>
        <v>852.61</v>
      </c>
      <c r="T411" s="194">
        <f ca="1">OFFSET('배치점수 계산기'!J$10,$D411,0)</f>
        <v>847.1</v>
      </c>
      <c r="U411" s="194">
        <f ca="1">OFFSET('배치점수 계산기'!K$10,$D411,0)</f>
        <v>838.21500000000003</v>
      </c>
      <c r="V411" s="194">
        <f ca="1">OFFSET('배치점수 계산기'!L$10,$D411,0)</f>
        <v>829.92499999999995</v>
      </c>
      <c r="W411" s="186" t="str">
        <f ca="1">OFFSET('배치점수 계산기'!M$10,$D411,0)</f>
        <v>백분위</v>
      </c>
      <c r="X411" s="184" t="str">
        <f ca="1">OFFSET('배치점수 계산기'!N$10,$D411,0)</f>
        <v>백분위</v>
      </c>
      <c r="Y411" s="188">
        <f ca="1">OFFSET(환산공식!FW$15,$F411,0)</f>
        <v>0.44</v>
      </c>
      <c r="Z411" s="20">
        <f ca="1">OFFSET(환산공식!FX$15,$F411,0)</f>
        <v>0.31</v>
      </c>
      <c r="AA411" s="179">
        <f ca="1">OFFSET(환산공식!FY$15,$F411,0)</f>
        <v>0.25</v>
      </c>
      <c r="AB411" s="3"/>
      <c r="AD411">
        <f t="shared" ca="1" si="13"/>
        <v>6</v>
      </c>
      <c r="AF411" s="3"/>
      <c r="AG411" s="3"/>
      <c r="AH411" s="3"/>
    </row>
    <row r="412" spans="1:34">
      <c r="A412" s="198"/>
      <c r="B412" s="198"/>
      <c r="C412" s="198" t="s">
        <v>1864</v>
      </c>
      <c r="D412" s="195">
        <v>1400</v>
      </c>
      <c r="E412" s="195">
        <v>103</v>
      </c>
      <c r="F412" s="195">
        <v>103</v>
      </c>
      <c r="G412" s="239">
        <v>405</v>
      </c>
      <c r="H412" s="197" t="s">
        <v>79</v>
      </c>
      <c r="I412" s="242" t="s">
        <v>425</v>
      </c>
      <c r="J412" s="242" t="s">
        <v>8283</v>
      </c>
      <c r="K412" s="195" t="s">
        <v>70</v>
      </c>
      <c r="L412" s="20" t="str">
        <f ca="1">IF(OFFSET(환산공식!$ED$15,$F412,0)=1,"O","X")</f>
        <v>X</v>
      </c>
      <c r="M412" s="188">
        <f ca="1">IFERROR(OFFSET(환산공식!DJ$15,$F412,0),"")</f>
        <v>200</v>
      </c>
      <c r="N412" s="20" t="str">
        <f ca="1">IFERROR(CONCATENATE(ROUND(OFFSET(환산공식!DK$15,$F412,0),1),"%"),"")</f>
        <v>100%</v>
      </c>
      <c r="O412" s="20">
        <f ca="1">IFERROR(OFFSET(환산공식!DL$15,$F412,0),"")</f>
        <v>10</v>
      </c>
      <c r="P412" s="188" t="str">
        <f t="shared" ca="1" si="12"/>
        <v>3% 이하</v>
      </c>
      <c r="Q412" s="194">
        <f ca="1">IFERROR(ROUND(OFFSET(환산공식!$FG$15,$F412,0),3),"")</f>
        <v>0</v>
      </c>
      <c r="R412" s="194">
        <f ca="1">OFFSET('배치점수 계산기'!H$10,$D412,0)</f>
        <v>926.48099999999999</v>
      </c>
      <c r="S412" s="194">
        <f ca="1">OFFSET('배치점수 계산기'!I$10,$D412,0)</f>
        <v>921.91099999999994</v>
      </c>
      <c r="T412" s="194">
        <f ca="1">OFFSET('배치점수 계산기'!J$10,$D412,0)</f>
        <v>916.89200000000005</v>
      </c>
      <c r="U412" s="194">
        <f ca="1">OFFSET('배치점수 계산기'!K$10,$D412,0)</f>
        <v>907.29100000000005</v>
      </c>
      <c r="V412" s="194">
        <f ca="1">OFFSET('배치점수 계산기'!L$10,$D412,0)</f>
        <v>899.55700000000002</v>
      </c>
      <c r="W412" s="186" t="str">
        <f ca="1">OFFSET('배치점수 계산기'!M$10,$D412,0)</f>
        <v>백분위</v>
      </c>
      <c r="X412" s="184" t="str">
        <f ca="1">OFFSET('배치점수 계산기'!N$10,$D412,0)</f>
        <v>백분위</v>
      </c>
      <c r="Y412" s="188">
        <f ca="1">OFFSET(환산공식!FW$15,$F412,0)</f>
        <v>0.31</v>
      </c>
      <c r="Z412" s="20">
        <f ca="1">OFFSET(환산공식!FX$15,$F412,0)</f>
        <v>0.44</v>
      </c>
      <c r="AA412" s="179">
        <f ca="1">OFFSET(환산공식!FY$15,$F412,0)</f>
        <v>0.25</v>
      </c>
      <c r="AB412" s="3"/>
      <c r="AD412">
        <f t="shared" ca="1" si="13"/>
        <v>6</v>
      </c>
      <c r="AF412" s="3"/>
      <c r="AG412" s="3"/>
      <c r="AH412" s="3"/>
    </row>
    <row r="413" spans="1:34">
      <c r="A413" s="198"/>
      <c r="B413" s="198"/>
      <c r="C413" s="198" t="s">
        <v>1865</v>
      </c>
      <c r="D413" s="195">
        <v>1401</v>
      </c>
      <c r="E413" s="195">
        <v>103</v>
      </c>
      <c r="F413" s="195">
        <v>103</v>
      </c>
      <c r="G413" s="239">
        <v>406</v>
      </c>
      <c r="H413" s="197" t="s">
        <v>79</v>
      </c>
      <c r="I413" s="242" t="s">
        <v>425</v>
      </c>
      <c r="J413" s="242" t="s">
        <v>10113</v>
      </c>
      <c r="K413" s="195" t="s">
        <v>70</v>
      </c>
      <c r="L413" s="20" t="str">
        <f ca="1">IF(OFFSET(환산공식!$ED$15,$F413,0)=1,"O","X")</f>
        <v>X</v>
      </c>
      <c r="M413" s="188">
        <f ca="1">IFERROR(OFFSET(환산공식!DJ$15,$F413,0),"")</f>
        <v>200</v>
      </c>
      <c r="N413" s="20" t="str">
        <f ca="1">IFERROR(CONCATENATE(ROUND(OFFSET(환산공식!DK$15,$F413,0),1),"%"),"")</f>
        <v>100%</v>
      </c>
      <c r="O413" s="20">
        <f ca="1">IFERROR(OFFSET(환산공식!DL$15,$F413,0),"")</f>
        <v>10</v>
      </c>
      <c r="P413" s="188" t="str">
        <f t="shared" ca="1" si="12"/>
        <v>3% 이하</v>
      </c>
      <c r="Q413" s="194">
        <f ca="1">IFERROR(ROUND(OFFSET(환산공식!$FG$15,$F413,0),3),"")</f>
        <v>0</v>
      </c>
      <c r="R413" s="194">
        <f ca="1">OFFSET('배치점수 계산기'!H$10,$D413,0)</f>
        <v>921.91099999999994</v>
      </c>
      <c r="S413" s="194">
        <f ca="1">OFFSET('배치점수 계산기'!I$10,$D413,0)</f>
        <v>917.327</v>
      </c>
      <c r="T413" s="194">
        <f ca="1">OFFSET('배치점수 계산기'!J$10,$D413,0)</f>
        <v>911.495</v>
      </c>
      <c r="U413" s="194">
        <f ca="1">OFFSET('배치점수 계산기'!K$10,$D413,0)</f>
        <v>903.78700000000003</v>
      </c>
      <c r="V413" s="194">
        <f ca="1">OFFSET('배치점수 계산기'!L$10,$D413,0)</f>
        <v>894.86300000000006</v>
      </c>
      <c r="W413" s="186" t="str">
        <f ca="1">OFFSET('배치점수 계산기'!M$10,$D413,0)</f>
        <v>백분위</v>
      </c>
      <c r="X413" s="184" t="str">
        <f ca="1">OFFSET('배치점수 계산기'!N$10,$D413,0)</f>
        <v>백분위</v>
      </c>
      <c r="Y413" s="188">
        <f ca="1">OFFSET(환산공식!FW$15,$F413,0)</f>
        <v>0.31</v>
      </c>
      <c r="Z413" s="20">
        <f ca="1">OFFSET(환산공식!FX$15,$F413,0)</f>
        <v>0.44</v>
      </c>
      <c r="AA413" s="179">
        <f ca="1">OFFSET(환산공식!FY$15,$F413,0)</f>
        <v>0.25</v>
      </c>
      <c r="AB413" s="3"/>
      <c r="AD413">
        <f t="shared" ca="1" si="13"/>
        <v>6</v>
      </c>
      <c r="AF413" s="3"/>
      <c r="AG413" s="3"/>
      <c r="AH413" s="3"/>
    </row>
    <row r="414" spans="1:34">
      <c r="A414" s="198"/>
      <c r="B414" s="198"/>
      <c r="C414" s="198" t="s">
        <v>1866</v>
      </c>
      <c r="D414" s="195">
        <v>1402</v>
      </c>
      <c r="E414" s="195">
        <v>103</v>
      </c>
      <c r="F414" s="195">
        <v>103</v>
      </c>
      <c r="G414" s="239">
        <v>407</v>
      </c>
      <c r="H414" s="197" t="s">
        <v>79</v>
      </c>
      <c r="I414" s="242" t="s">
        <v>425</v>
      </c>
      <c r="J414" s="242" t="s">
        <v>8614</v>
      </c>
      <c r="K414" s="195" t="s">
        <v>70</v>
      </c>
      <c r="L414" s="20" t="str">
        <f ca="1">IF(OFFSET(환산공식!$ED$15,$F414,0)=1,"O","X")</f>
        <v>X</v>
      </c>
      <c r="M414" s="188">
        <f ca="1">IFERROR(OFFSET(환산공식!DJ$15,$F414,0),"")</f>
        <v>200</v>
      </c>
      <c r="N414" s="20" t="str">
        <f ca="1">IFERROR(CONCATENATE(ROUND(OFFSET(환산공식!DK$15,$F414,0),1),"%"),"")</f>
        <v>100%</v>
      </c>
      <c r="O414" s="20">
        <f ca="1">IFERROR(OFFSET(환산공식!DL$15,$F414,0),"")</f>
        <v>10</v>
      </c>
      <c r="P414" s="188" t="str">
        <f t="shared" ca="1" si="12"/>
        <v>3% 이하</v>
      </c>
      <c r="Q414" s="194">
        <f ca="1">IFERROR(ROUND(OFFSET(환산공식!$FG$15,$F414,0),3),"")</f>
        <v>0</v>
      </c>
      <c r="R414" s="194">
        <f ca="1">OFFSET('배치점수 계산기'!H$10,$D414,0)</f>
        <v>921.66099999999994</v>
      </c>
      <c r="S414" s="194">
        <f ca="1">OFFSET('배치점수 계산기'!I$10,$D414,0)</f>
        <v>916.89200000000005</v>
      </c>
      <c r="T414" s="194">
        <f ca="1">OFFSET('배치점수 계산기'!J$10,$D414,0)</f>
        <v>910.33799999999997</v>
      </c>
      <c r="U414" s="194">
        <f ca="1">OFFSET('배치점수 계산기'!K$10,$D414,0)</f>
        <v>902.59400000000005</v>
      </c>
      <c r="V414" s="194">
        <f ca="1">OFFSET('배치점수 계산기'!L$10,$D414,0)</f>
        <v>894.351</v>
      </c>
      <c r="W414" s="186" t="str">
        <f ca="1">OFFSET('배치점수 계산기'!M$10,$D414,0)</f>
        <v>백분위</v>
      </c>
      <c r="X414" s="184" t="str">
        <f ca="1">OFFSET('배치점수 계산기'!N$10,$D414,0)</f>
        <v>백분위</v>
      </c>
      <c r="Y414" s="188">
        <f ca="1">OFFSET(환산공식!FW$15,$F414,0)</f>
        <v>0.31</v>
      </c>
      <c r="Z414" s="20">
        <f ca="1">OFFSET(환산공식!FX$15,$F414,0)</f>
        <v>0.44</v>
      </c>
      <c r="AA414" s="179">
        <f ca="1">OFFSET(환산공식!FY$15,$F414,0)</f>
        <v>0.25</v>
      </c>
      <c r="AB414" s="3"/>
      <c r="AD414">
        <f t="shared" ca="1" si="13"/>
        <v>6</v>
      </c>
      <c r="AF414" s="3"/>
      <c r="AG414" s="3"/>
      <c r="AH414" s="3"/>
    </row>
    <row r="415" spans="1:34">
      <c r="A415" s="198"/>
      <c r="B415" s="198"/>
      <c r="C415" s="198" t="s">
        <v>1867</v>
      </c>
      <c r="D415" s="195">
        <v>1403</v>
      </c>
      <c r="E415" s="195">
        <v>103</v>
      </c>
      <c r="F415" s="195">
        <v>103</v>
      </c>
      <c r="G415" s="239">
        <v>408</v>
      </c>
      <c r="H415" s="197" t="s">
        <v>79</v>
      </c>
      <c r="I415" s="242" t="s">
        <v>425</v>
      </c>
      <c r="J415" s="242" t="s">
        <v>10917</v>
      </c>
      <c r="K415" s="195" t="s">
        <v>70</v>
      </c>
      <c r="L415" s="20" t="str">
        <f ca="1">IF(OFFSET(환산공식!$ED$15,$F415,0)=1,"O","X")</f>
        <v>X</v>
      </c>
      <c r="M415" s="188">
        <f ca="1">IFERROR(OFFSET(환산공식!DJ$15,$F415,0),"")</f>
        <v>200</v>
      </c>
      <c r="N415" s="20" t="str">
        <f ca="1">IFERROR(CONCATENATE(ROUND(OFFSET(환산공식!DK$15,$F415,0),1),"%"),"")</f>
        <v>100%</v>
      </c>
      <c r="O415" s="20">
        <f ca="1">IFERROR(OFFSET(환산공식!DL$15,$F415,0),"")</f>
        <v>10</v>
      </c>
      <c r="P415" s="188" t="str">
        <f t="shared" ca="1" si="12"/>
        <v>3% 이하</v>
      </c>
      <c r="Q415" s="194">
        <f ca="1">IFERROR(ROUND(OFFSET(환산공식!$FG$15,$F415,0),3),"")</f>
        <v>0</v>
      </c>
      <c r="R415" s="194">
        <f ca="1">OFFSET('배치점수 계산기'!H$10,$D415,0)</f>
        <v>921.91099999999994</v>
      </c>
      <c r="S415" s="194">
        <f ca="1">OFFSET('배치점수 계산기'!I$10,$D415,0)</f>
        <v>916.89200000000005</v>
      </c>
      <c r="T415" s="194">
        <f ca="1">OFFSET('배치점수 계산기'!J$10,$D415,0)</f>
        <v>910.28800000000001</v>
      </c>
      <c r="U415" s="194">
        <f ca="1">OFFSET('배치점수 계산기'!K$10,$D415,0)</f>
        <v>901.96400000000006</v>
      </c>
      <c r="V415" s="194">
        <f ca="1">OFFSET('배치점수 계산기'!L$10,$D415,0)</f>
        <v>892.73400000000004</v>
      </c>
      <c r="W415" s="186" t="str">
        <f ca="1">OFFSET('배치점수 계산기'!M$10,$D415,0)</f>
        <v>백분위</v>
      </c>
      <c r="X415" s="184" t="str">
        <f ca="1">OFFSET('배치점수 계산기'!N$10,$D415,0)</f>
        <v>백분위</v>
      </c>
      <c r="Y415" s="188">
        <f ca="1">OFFSET(환산공식!FW$15,$F415,0)</f>
        <v>0.31</v>
      </c>
      <c r="Z415" s="20">
        <f ca="1">OFFSET(환산공식!FX$15,$F415,0)</f>
        <v>0.44</v>
      </c>
      <c r="AA415" s="179">
        <f ca="1">OFFSET(환산공식!FY$15,$F415,0)</f>
        <v>0.25</v>
      </c>
      <c r="AB415" s="3"/>
      <c r="AD415">
        <f t="shared" ca="1" si="13"/>
        <v>6</v>
      </c>
      <c r="AF415" s="3"/>
      <c r="AG415" s="3"/>
      <c r="AH415" s="3"/>
    </row>
    <row r="416" spans="1:34">
      <c r="A416" s="198"/>
      <c r="B416" s="198"/>
      <c r="C416" s="198" t="s">
        <v>1868</v>
      </c>
      <c r="D416" s="195">
        <v>1404</v>
      </c>
      <c r="E416" s="195">
        <v>103</v>
      </c>
      <c r="F416" s="195">
        <v>103</v>
      </c>
      <c r="G416" s="239">
        <v>409</v>
      </c>
      <c r="H416" s="197" t="s">
        <v>79</v>
      </c>
      <c r="I416" s="242" t="s">
        <v>425</v>
      </c>
      <c r="J416" s="242" t="s">
        <v>10959</v>
      </c>
      <c r="K416" s="195" t="s">
        <v>70</v>
      </c>
      <c r="L416" s="20" t="str">
        <f ca="1">IF(OFFSET(환산공식!$ED$15,$F416,0)=1,"O","X")</f>
        <v>X</v>
      </c>
      <c r="M416" s="188">
        <f ca="1">IFERROR(OFFSET(환산공식!DJ$15,$F416,0),"")</f>
        <v>200</v>
      </c>
      <c r="N416" s="20" t="str">
        <f ca="1">IFERROR(CONCATENATE(ROUND(OFFSET(환산공식!DK$15,$F416,0),1),"%"),"")</f>
        <v>100%</v>
      </c>
      <c r="O416" s="20">
        <f ca="1">IFERROR(OFFSET(환산공식!DL$15,$F416,0),"")</f>
        <v>10</v>
      </c>
      <c r="P416" s="188" t="str">
        <f t="shared" ca="1" si="12"/>
        <v>3% 이하</v>
      </c>
      <c r="Q416" s="194">
        <f ca="1">IFERROR(ROUND(OFFSET(환산공식!$FG$15,$F416,0),3),"")</f>
        <v>0</v>
      </c>
      <c r="R416" s="194">
        <f ca="1">OFFSET('배치점수 계산기'!H$10,$D416,0)</f>
        <v>919.50400000000002</v>
      </c>
      <c r="S416" s="194">
        <f ca="1">OFFSET('배치점수 계산기'!I$10,$D416,0)</f>
        <v>913.68499999999995</v>
      </c>
      <c r="T416" s="194">
        <f ca="1">OFFSET('배치점수 계산기'!J$10,$D416,0)</f>
        <v>907.61800000000005</v>
      </c>
      <c r="U416" s="194">
        <f ca="1">OFFSET('배치점수 계산기'!K$10,$D416,0)</f>
        <v>900.55</v>
      </c>
      <c r="V416" s="194">
        <f ca="1">OFFSET('배치점수 계산기'!L$10,$D416,0)</f>
        <v>890.97299999999996</v>
      </c>
      <c r="W416" s="186" t="str">
        <f ca="1">OFFSET('배치점수 계산기'!M$10,$D416,0)</f>
        <v>백분위</v>
      </c>
      <c r="X416" s="184" t="str">
        <f ca="1">OFFSET('배치점수 계산기'!N$10,$D416,0)</f>
        <v>백분위</v>
      </c>
      <c r="Y416" s="188">
        <f ca="1">OFFSET(환산공식!FW$15,$F416,0)</f>
        <v>0.31</v>
      </c>
      <c r="Z416" s="20">
        <f ca="1">OFFSET(환산공식!FX$15,$F416,0)</f>
        <v>0.44</v>
      </c>
      <c r="AA416" s="179">
        <f ca="1">OFFSET(환산공식!FY$15,$F416,0)</f>
        <v>0.25</v>
      </c>
      <c r="AB416" s="3"/>
      <c r="AD416">
        <f t="shared" ca="1" si="13"/>
        <v>6</v>
      </c>
      <c r="AF416" s="3"/>
      <c r="AG416" s="3"/>
      <c r="AH416" s="3"/>
    </row>
    <row r="417" spans="1:34">
      <c r="A417" s="198"/>
      <c r="B417" s="198"/>
      <c r="C417" s="198" t="s">
        <v>1869</v>
      </c>
      <c r="D417" s="195">
        <v>1405</v>
      </c>
      <c r="E417" s="195">
        <v>103</v>
      </c>
      <c r="F417" s="195">
        <v>103</v>
      </c>
      <c r="G417" s="239">
        <v>410</v>
      </c>
      <c r="H417" s="197" t="s">
        <v>79</v>
      </c>
      <c r="I417" s="242" t="s">
        <v>425</v>
      </c>
      <c r="J417" s="242" t="s">
        <v>10996</v>
      </c>
      <c r="K417" s="195" t="s">
        <v>70</v>
      </c>
      <c r="L417" s="20" t="str">
        <f ca="1">IF(OFFSET(환산공식!$ED$15,$F417,0)=1,"O","X")</f>
        <v>X</v>
      </c>
      <c r="M417" s="188">
        <f ca="1">IFERROR(OFFSET(환산공식!DJ$15,$F417,0),"")</f>
        <v>200</v>
      </c>
      <c r="N417" s="20" t="str">
        <f ca="1">IFERROR(CONCATENATE(ROUND(OFFSET(환산공식!DK$15,$F417,0),1),"%"),"")</f>
        <v>100%</v>
      </c>
      <c r="O417" s="20">
        <f ca="1">IFERROR(OFFSET(환산공식!DL$15,$F417,0),"")</f>
        <v>10</v>
      </c>
      <c r="P417" s="188" t="str">
        <f t="shared" ca="1" si="12"/>
        <v>3% 이하</v>
      </c>
      <c r="Q417" s="194">
        <f ca="1">IFERROR(ROUND(OFFSET(환산공식!$FG$15,$F417,0),3),"")</f>
        <v>0</v>
      </c>
      <c r="R417" s="194">
        <f ca="1">OFFSET('배치점수 계산기'!H$10,$D417,0)</f>
        <v>916.89200000000005</v>
      </c>
      <c r="S417" s="194">
        <f ca="1">OFFSET('배치점수 계산기'!I$10,$D417,0)</f>
        <v>911.495</v>
      </c>
      <c r="T417" s="194">
        <f ca="1">OFFSET('배치점수 계산기'!J$10,$D417,0)</f>
        <v>905.99400000000003</v>
      </c>
      <c r="U417" s="194">
        <f ca="1">OFFSET('배치점수 계산기'!K$10,$D417,0)</f>
        <v>898.27</v>
      </c>
      <c r="V417" s="194">
        <f ca="1">OFFSET('배치점수 계산기'!L$10,$D417,0)</f>
        <v>889.31600000000003</v>
      </c>
      <c r="W417" s="186" t="str">
        <f ca="1">OFFSET('배치점수 계산기'!M$10,$D417,0)</f>
        <v>백분위</v>
      </c>
      <c r="X417" s="184" t="str">
        <f ca="1">OFFSET('배치점수 계산기'!N$10,$D417,0)</f>
        <v>백분위</v>
      </c>
      <c r="Y417" s="188">
        <f ca="1">OFFSET(환산공식!FW$15,$F417,0)</f>
        <v>0.31</v>
      </c>
      <c r="Z417" s="20">
        <f ca="1">OFFSET(환산공식!FX$15,$F417,0)</f>
        <v>0.44</v>
      </c>
      <c r="AA417" s="179">
        <f ca="1">OFFSET(환산공식!FY$15,$F417,0)</f>
        <v>0.25</v>
      </c>
      <c r="AB417" s="3"/>
      <c r="AD417">
        <f t="shared" ca="1" si="13"/>
        <v>6</v>
      </c>
      <c r="AF417" s="3"/>
      <c r="AG417" s="3"/>
      <c r="AH417" s="3"/>
    </row>
    <row r="418" spans="1:34">
      <c r="A418" s="198"/>
      <c r="B418" s="198"/>
      <c r="C418" s="198" t="s">
        <v>1870</v>
      </c>
      <c r="D418" s="195">
        <v>1406</v>
      </c>
      <c r="E418" s="195">
        <v>103</v>
      </c>
      <c r="F418" s="195">
        <v>103</v>
      </c>
      <c r="G418" s="239">
        <v>411</v>
      </c>
      <c r="H418" s="197" t="s">
        <v>79</v>
      </c>
      <c r="I418" s="242" t="s">
        <v>425</v>
      </c>
      <c r="J418" s="242" t="s">
        <v>11052</v>
      </c>
      <c r="K418" s="195" t="s">
        <v>70</v>
      </c>
      <c r="L418" s="20" t="str">
        <f ca="1">IF(OFFSET(환산공식!$ED$15,$F418,0)=1,"O","X")</f>
        <v>X</v>
      </c>
      <c r="M418" s="188">
        <f ca="1">IFERROR(OFFSET(환산공식!DJ$15,$F418,0),"")</f>
        <v>200</v>
      </c>
      <c r="N418" s="20" t="str">
        <f ca="1">IFERROR(CONCATENATE(ROUND(OFFSET(환산공식!DK$15,$F418,0),1),"%"),"")</f>
        <v>100%</v>
      </c>
      <c r="O418" s="20">
        <f ca="1">IFERROR(OFFSET(환산공식!DL$15,$F418,0),"")</f>
        <v>10</v>
      </c>
      <c r="P418" s="188" t="str">
        <f t="shared" ca="1" si="12"/>
        <v>3% 이하</v>
      </c>
      <c r="Q418" s="194">
        <f ca="1">IFERROR(ROUND(OFFSET(환산공식!$FG$15,$F418,0),3),"")</f>
        <v>0</v>
      </c>
      <c r="R418" s="194">
        <f ca="1">OFFSET('배치점수 계산기'!H$10,$D418,0)</f>
        <v>914.13499999999999</v>
      </c>
      <c r="S418" s="194">
        <f ca="1">OFFSET('배치점수 계산기'!I$10,$D418,0)</f>
        <v>908.48800000000006</v>
      </c>
      <c r="T418" s="194">
        <f ca="1">OFFSET('배치점수 계산기'!J$10,$D418,0)</f>
        <v>903.78700000000003</v>
      </c>
      <c r="U418" s="194">
        <f ca="1">OFFSET('배치점수 계산기'!K$10,$D418,0)</f>
        <v>894.86300000000006</v>
      </c>
      <c r="V418" s="194">
        <f ca="1">OFFSET('배치점수 계산기'!L$10,$D418,0)</f>
        <v>884.56</v>
      </c>
      <c r="W418" s="186" t="str">
        <f ca="1">OFFSET('배치점수 계산기'!M$10,$D418,0)</f>
        <v>백분위</v>
      </c>
      <c r="X418" s="184" t="str">
        <f ca="1">OFFSET('배치점수 계산기'!N$10,$D418,0)</f>
        <v>백분위</v>
      </c>
      <c r="Y418" s="188">
        <f ca="1">OFFSET(환산공식!FW$15,$F418,0)</f>
        <v>0.31</v>
      </c>
      <c r="Z418" s="20">
        <f ca="1">OFFSET(환산공식!FX$15,$F418,0)</f>
        <v>0.44</v>
      </c>
      <c r="AA418" s="179">
        <f ca="1">OFFSET(환산공식!FY$15,$F418,0)</f>
        <v>0.25</v>
      </c>
      <c r="AB418" s="3"/>
      <c r="AD418">
        <f t="shared" ca="1" si="13"/>
        <v>6</v>
      </c>
      <c r="AF418" s="3"/>
      <c r="AG418" s="3"/>
      <c r="AH418" s="3"/>
    </row>
    <row r="419" spans="1:34">
      <c r="A419" s="198"/>
      <c r="B419" s="198"/>
      <c r="C419" s="198" t="s">
        <v>1871</v>
      </c>
      <c r="D419" s="195">
        <v>1407</v>
      </c>
      <c r="E419" s="195">
        <v>103</v>
      </c>
      <c r="F419" s="195">
        <v>103</v>
      </c>
      <c r="G419" s="239">
        <v>412</v>
      </c>
      <c r="H419" s="197" t="s">
        <v>79</v>
      </c>
      <c r="I419" s="242" t="s">
        <v>425</v>
      </c>
      <c r="J419" s="242" t="s">
        <v>11100</v>
      </c>
      <c r="K419" s="195" t="s">
        <v>70</v>
      </c>
      <c r="L419" s="20" t="str">
        <f ca="1">IF(OFFSET(환산공식!$ED$15,$F419,0)=1,"O","X")</f>
        <v>X</v>
      </c>
      <c r="M419" s="188">
        <f ca="1">IFERROR(OFFSET(환산공식!DJ$15,$F419,0),"")</f>
        <v>200</v>
      </c>
      <c r="N419" s="20" t="str">
        <f ca="1">IFERROR(CONCATENATE(ROUND(OFFSET(환산공식!DK$15,$F419,0),1),"%"),"")</f>
        <v>100%</v>
      </c>
      <c r="O419" s="20">
        <f ca="1">IFERROR(OFFSET(환산공식!DL$15,$F419,0),"")</f>
        <v>10</v>
      </c>
      <c r="P419" s="188" t="str">
        <f t="shared" ca="1" si="12"/>
        <v>3% 이하</v>
      </c>
      <c r="Q419" s="194">
        <f ca="1">IFERROR(ROUND(OFFSET(환산공식!$FG$15,$F419,0),3),"")</f>
        <v>0</v>
      </c>
      <c r="R419" s="194">
        <f ca="1">OFFSET('배치점수 계산기'!H$10,$D419,0)</f>
        <v>911.495</v>
      </c>
      <c r="S419" s="194">
        <f ca="1">OFFSET('배치점수 계산기'!I$10,$D419,0)</f>
        <v>907.16399999999999</v>
      </c>
      <c r="T419" s="194">
        <f ca="1">OFFSET('배치점수 계산기'!J$10,$D419,0)</f>
        <v>901.96400000000006</v>
      </c>
      <c r="U419" s="194">
        <f ca="1">OFFSET('배치점수 계산기'!K$10,$D419,0)</f>
        <v>893.26099999999997</v>
      </c>
      <c r="V419" s="194">
        <f ca="1">OFFSET('배치점수 계산기'!L$10,$D419,0)</f>
        <v>883.22900000000004</v>
      </c>
      <c r="W419" s="186" t="str">
        <f ca="1">OFFSET('배치점수 계산기'!M$10,$D419,0)</f>
        <v>백분위</v>
      </c>
      <c r="X419" s="184" t="str">
        <f ca="1">OFFSET('배치점수 계산기'!N$10,$D419,0)</f>
        <v>백분위</v>
      </c>
      <c r="Y419" s="188">
        <f ca="1">OFFSET(환산공식!FW$15,$F419,0)</f>
        <v>0.31</v>
      </c>
      <c r="Z419" s="20">
        <f ca="1">OFFSET(환산공식!FX$15,$F419,0)</f>
        <v>0.44</v>
      </c>
      <c r="AA419" s="179">
        <f ca="1">OFFSET(환산공식!FY$15,$F419,0)</f>
        <v>0.25</v>
      </c>
      <c r="AB419" s="3"/>
      <c r="AD419">
        <f t="shared" ca="1" si="13"/>
        <v>6</v>
      </c>
      <c r="AF419" s="3"/>
      <c r="AG419" s="3"/>
      <c r="AH419" s="3"/>
    </row>
    <row r="420" spans="1:34">
      <c r="A420" s="198"/>
      <c r="B420" s="198"/>
      <c r="C420" s="198" t="s">
        <v>1872</v>
      </c>
      <c r="D420" s="195">
        <v>1408</v>
      </c>
      <c r="E420" s="195">
        <v>103</v>
      </c>
      <c r="F420" s="195">
        <v>103</v>
      </c>
      <c r="G420" s="239">
        <v>413</v>
      </c>
      <c r="H420" s="197" t="s">
        <v>79</v>
      </c>
      <c r="I420" s="242" t="s">
        <v>425</v>
      </c>
      <c r="J420" s="242" t="s">
        <v>11167</v>
      </c>
      <c r="K420" s="195" t="s">
        <v>70</v>
      </c>
      <c r="L420" s="20" t="str">
        <f ca="1">IF(OFFSET(환산공식!$ED$15,$F420,0)=1,"O","X")</f>
        <v>X</v>
      </c>
      <c r="M420" s="188">
        <f ca="1">IFERROR(OFFSET(환산공식!DJ$15,$F420,0),"")</f>
        <v>200</v>
      </c>
      <c r="N420" s="20" t="str">
        <f ca="1">IFERROR(CONCATENATE(ROUND(OFFSET(환산공식!DK$15,$F420,0),1),"%"),"")</f>
        <v>100%</v>
      </c>
      <c r="O420" s="20">
        <f ca="1">IFERROR(OFFSET(환산공식!DL$15,$F420,0),"")</f>
        <v>10</v>
      </c>
      <c r="P420" s="188" t="str">
        <f t="shared" ca="1" si="12"/>
        <v>3% 이하</v>
      </c>
      <c r="Q420" s="194">
        <f ca="1">IFERROR(ROUND(OFFSET(환산공식!$FG$15,$F420,0),3),"")</f>
        <v>0</v>
      </c>
      <c r="R420" s="194">
        <f ca="1">OFFSET('배치점수 계산기'!H$10,$D420,0)</f>
        <v>907.61800000000005</v>
      </c>
      <c r="S420" s="194">
        <f ca="1">OFFSET('배치점수 계산기'!I$10,$D420,0)</f>
        <v>903.99400000000003</v>
      </c>
      <c r="T420" s="194">
        <f ca="1">OFFSET('배치점수 계산기'!J$10,$D420,0)</f>
        <v>899.55700000000002</v>
      </c>
      <c r="U420" s="194">
        <f ca="1">OFFSET('배치점수 계산기'!K$10,$D420,0)</f>
        <v>889.81600000000003</v>
      </c>
      <c r="V420" s="194">
        <f ca="1">OFFSET('배치점수 계산기'!L$10,$D420,0)</f>
        <v>879.72400000000005</v>
      </c>
      <c r="W420" s="186" t="str">
        <f ca="1">OFFSET('배치점수 계산기'!M$10,$D420,0)</f>
        <v>백분위</v>
      </c>
      <c r="X420" s="184" t="str">
        <f ca="1">OFFSET('배치점수 계산기'!N$10,$D420,0)</f>
        <v>백분위</v>
      </c>
      <c r="Y420" s="188">
        <f ca="1">OFFSET(환산공식!FW$15,$F420,0)</f>
        <v>0.31</v>
      </c>
      <c r="Z420" s="20">
        <f ca="1">OFFSET(환산공식!FX$15,$F420,0)</f>
        <v>0.44</v>
      </c>
      <c r="AA420" s="179">
        <f ca="1">OFFSET(환산공식!FY$15,$F420,0)</f>
        <v>0.25</v>
      </c>
      <c r="AB420" s="3"/>
      <c r="AD420">
        <f t="shared" ca="1" si="13"/>
        <v>6</v>
      </c>
      <c r="AF420" s="3"/>
      <c r="AG420" s="3"/>
      <c r="AH420" s="3"/>
    </row>
    <row r="421" spans="1:34">
      <c r="A421" s="198"/>
      <c r="B421" s="198"/>
      <c r="C421" s="198" t="s">
        <v>1873</v>
      </c>
      <c r="D421" s="195">
        <v>1409</v>
      </c>
      <c r="E421" s="195">
        <v>103</v>
      </c>
      <c r="F421" s="195">
        <v>103</v>
      </c>
      <c r="G421" s="239">
        <v>414</v>
      </c>
      <c r="H421" s="197" t="s">
        <v>79</v>
      </c>
      <c r="I421" s="242" t="s">
        <v>425</v>
      </c>
      <c r="J421" s="242" t="s">
        <v>11361</v>
      </c>
      <c r="K421" s="195" t="s">
        <v>70</v>
      </c>
      <c r="L421" s="20" t="str">
        <f ca="1">IF(OFFSET(환산공식!$ED$15,$F421,0)=1,"O","X")</f>
        <v>X</v>
      </c>
      <c r="M421" s="188">
        <f ca="1">IFERROR(OFFSET(환산공식!DJ$15,$F421,0),"")</f>
        <v>200</v>
      </c>
      <c r="N421" s="20" t="str">
        <f ca="1">IFERROR(CONCATENATE(ROUND(OFFSET(환산공식!DK$15,$F421,0),1),"%"),"")</f>
        <v>100%</v>
      </c>
      <c r="O421" s="20">
        <f ca="1">IFERROR(OFFSET(환산공식!DL$15,$F421,0),"")</f>
        <v>10</v>
      </c>
      <c r="P421" s="188" t="str">
        <f t="shared" ca="1" si="12"/>
        <v>3% 이하</v>
      </c>
      <c r="Q421" s="194">
        <f ca="1">IFERROR(ROUND(OFFSET(환산공식!$FG$15,$F421,0),3),"")</f>
        <v>0</v>
      </c>
      <c r="R421" s="194">
        <f ca="1">OFFSET('배치점수 계산기'!H$10,$D421,0)</f>
        <v>899.80700000000002</v>
      </c>
      <c r="S421" s="194">
        <f ca="1">OFFSET('배치점수 계산기'!I$10,$D421,0)</f>
        <v>894.86300000000006</v>
      </c>
      <c r="T421" s="194">
        <f ca="1">OFFSET('배치점수 계산기'!J$10,$D421,0)</f>
        <v>889.36599999999999</v>
      </c>
      <c r="U421" s="194">
        <f ca="1">OFFSET('배치점수 계산기'!K$10,$D421,0)</f>
        <v>879.59699999999998</v>
      </c>
      <c r="V421" s="194">
        <f ca="1">OFFSET('배치점수 계산기'!L$10,$D421,0)</f>
        <v>869.72199999999998</v>
      </c>
      <c r="W421" s="186" t="str">
        <f ca="1">OFFSET('배치점수 계산기'!M$10,$D421,0)</f>
        <v>백분위</v>
      </c>
      <c r="X421" s="184" t="str">
        <f ca="1">OFFSET('배치점수 계산기'!N$10,$D421,0)</f>
        <v>백분위</v>
      </c>
      <c r="Y421" s="188">
        <f ca="1">OFFSET(환산공식!FW$15,$F421,0)</f>
        <v>0.31</v>
      </c>
      <c r="Z421" s="20">
        <f ca="1">OFFSET(환산공식!FX$15,$F421,0)</f>
        <v>0.44</v>
      </c>
      <c r="AA421" s="179">
        <f ca="1">OFFSET(환산공식!FY$15,$F421,0)</f>
        <v>0.25</v>
      </c>
      <c r="AB421" s="3"/>
      <c r="AD421">
        <f t="shared" ca="1" si="13"/>
        <v>6</v>
      </c>
      <c r="AF421" s="3"/>
      <c r="AG421" s="3"/>
      <c r="AH421" s="3"/>
    </row>
    <row r="422" spans="1:34">
      <c r="A422" s="198"/>
      <c r="B422" s="198"/>
      <c r="C422" s="198" t="s">
        <v>1874</v>
      </c>
      <c r="D422" s="195">
        <v>1410</v>
      </c>
      <c r="E422" s="195">
        <v>103</v>
      </c>
      <c r="F422" s="195">
        <v>103</v>
      </c>
      <c r="G422" s="239">
        <v>415</v>
      </c>
      <c r="H422" s="197" t="s">
        <v>79</v>
      </c>
      <c r="I422" s="242" t="s">
        <v>425</v>
      </c>
      <c r="J422" s="242" t="s">
        <v>11479</v>
      </c>
      <c r="K422" s="195" t="s">
        <v>70</v>
      </c>
      <c r="L422" s="20" t="str">
        <f ca="1">IF(OFFSET(환산공식!$ED$15,$F422,0)=1,"O","X")</f>
        <v>X</v>
      </c>
      <c r="M422" s="188">
        <f ca="1">IFERROR(OFFSET(환산공식!DJ$15,$F422,0),"")</f>
        <v>200</v>
      </c>
      <c r="N422" s="20" t="str">
        <f ca="1">IFERROR(CONCATENATE(ROUND(OFFSET(환산공식!DK$15,$F422,0),1),"%"),"")</f>
        <v>100%</v>
      </c>
      <c r="O422" s="20">
        <f ca="1">IFERROR(OFFSET(환산공식!DL$15,$F422,0),"")</f>
        <v>10</v>
      </c>
      <c r="P422" s="188" t="str">
        <f t="shared" ca="1" si="12"/>
        <v>3% 이하</v>
      </c>
      <c r="Q422" s="194">
        <f ca="1">IFERROR(ROUND(OFFSET(환산공식!$FG$15,$F422,0),3),"")</f>
        <v>0</v>
      </c>
      <c r="R422" s="194">
        <f ca="1">OFFSET('배치점수 계산기'!H$10,$D422,0)</f>
        <v>894.86300000000006</v>
      </c>
      <c r="S422" s="194">
        <f ca="1">OFFSET('배치점수 계산기'!I$10,$D422,0)</f>
        <v>889.81600000000003</v>
      </c>
      <c r="T422" s="194">
        <f ca="1">OFFSET('배치점수 계산기'!J$10,$D422,0)</f>
        <v>883.47900000000004</v>
      </c>
      <c r="U422" s="194">
        <f ca="1">OFFSET('배치점수 계산기'!K$10,$D422,0)</f>
        <v>874.178</v>
      </c>
      <c r="V422" s="194">
        <f ca="1">OFFSET('배치점수 계산기'!L$10,$D422,0)</f>
        <v>865.14599999999996</v>
      </c>
      <c r="W422" s="186" t="str">
        <f ca="1">OFFSET('배치점수 계산기'!M$10,$D422,0)</f>
        <v>백분위</v>
      </c>
      <c r="X422" s="184" t="str">
        <f ca="1">OFFSET('배치점수 계산기'!N$10,$D422,0)</f>
        <v>백분위</v>
      </c>
      <c r="Y422" s="188">
        <f ca="1">OFFSET(환산공식!FW$15,$F422,0)</f>
        <v>0.31</v>
      </c>
      <c r="Z422" s="20">
        <f ca="1">OFFSET(환산공식!FX$15,$F422,0)</f>
        <v>0.44</v>
      </c>
      <c r="AA422" s="179">
        <f ca="1">OFFSET(환산공식!FY$15,$F422,0)</f>
        <v>0.25</v>
      </c>
      <c r="AB422" s="3"/>
      <c r="AD422">
        <f t="shared" ca="1" si="13"/>
        <v>6</v>
      </c>
      <c r="AF422" s="3"/>
      <c r="AG422" s="3"/>
      <c r="AH422" s="3"/>
    </row>
    <row r="423" spans="1:34">
      <c r="A423" s="198"/>
      <c r="B423" s="198"/>
      <c r="C423" s="198" t="s">
        <v>1875</v>
      </c>
      <c r="D423" s="195">
        <v>1411</v>
      </c>
      <c r="E423" s="195">
        <v>103</v>
      </c>
      <c r="F423" s="195">
        <v>103</v>
      </c>
      <c r="G423" s="239">
        <v>416</v>
      </c>
      <c r="H423" s="197" t="s">
        <v>79</v>
      </c>
      <c r="I423" s="242" t="s">
        <v>425</v>
      </c>
      <c r="J423" s="242" t="s">
        <v>11485</v>
      </c>
      <c r="K423" s="195" t="s">
        <v>70</v>
      </c>
      <c r="L423" s="20" t="str">
        <f ca="1">IF(OFFSET(환산공식!$ED$15,$F423,0)=1,"O","X")</f>
        <v>X</v>
      </c>
      <c r="M423" s="188">
        <f ca="1">IFERROR(OFFSET(환산공식!DJ$15,$F423,0),"")</f>
        <v>200</v>
      </c>
      <c r="N423" s="20" t="str">
        <f ca="1">IFERROR(CONCATENATE(ROUND(OFFSET(환산공식!DK$15,$F423,0),1),"%"),"")</f>
        <v>100%</v>
      </c>
      <c r="O423" s="20">
        <f ca="1">IFERROR(OFFSET(환산공식!DL$15,$F423,0),"")</f>
        <v>10</v>
      </c>
      <c r="P423" s="188" t="str">
        <f t="shared" ca="1" si="12"/>
        <v>3% 이하</v>
      </c>
      <c r="Q423" s="194">
        <f ca="1">IFERROR(ROUND(OFFSET(환산공식!$FG$15,$F423,0),3),"")</f>
        <v>0</v>
      </c>
      <c r="R423" s="194">
        <f ca="1">OFFSET('배치점수 계산기'!H$10,$D423,0)</f>
        <v>895.84299999999996</v>
      </c>
      <c r="S423" s="194">
        <f ca="1">OFFSET('배치점수 계산기'!I$10,$D423,0)</f>
        <v>890.89599999999996</v>
      </c>
      <c r="T423" s="194">
        <f ca="1">OFFSET('배치점수 계산기'!J$10,$D423,0)</f>
        <v>881.27099999999996</v>
      </c>
      <c r="U423" s="194">
        <f ca="1">OFFSET('배치점수 계산기'!K$10,$D423,0)</f>
        <v>874.05100000000004</v>
      </c>
      <c r="V423" s="194">
        <f ca="1">OFFSET('배치점수 계산기'!L$10,$D423,0)</f>
        <v>860.32299999999998</v>
      </c>
      <c r="W423" s="186" t="str">
        <f ca="1">OFFSET('배치점수 계산기'!M$10,$D423,0)</f>
        <v>백분위</v>
      </c>
      <c r="X423" s="184" t="str">
        <f ca="1">OFFSET('배치점수 계산기'!N$10,$D423,0)</f>
        <v>백분위</v>
      </c>
      <c r="Y423" s="188">
        <f ca="1">OFFSET(환산공식!FW$15,$F423,0)</f>
        <v>0.31</v>
      </c>
      <c r="Z423" s="20">
        <f ca="1">OFFSET(환산공식!FX$15,$F423,0)</f>
        <v>0.44</v>
      </c>
      <c r="AA423" s="179">
        <f ca="1">OFFSET(환산공식!FY$15,$F423,0)</f>
        <v>0.25</v>
      </c>
      <c r="AB423" s="3"/>
      <c r="AD423">
        <f t="shared" ca="1" si="13"/>
        <v>6</v>
      </c>
      <c r="AF423" s="3"/>
      <c r="AG423" s="3"/>
      <c r="AH423" s="3"/>
    </row>
    <row r="424" spans="1:34">
      <c r="A424" s="198"/>
      <c r="B424" s="198"/>
      <c r="C424" s="198" t="s">
        <v>1876</v>
      </c>
      <c r="D424" s="195">
        <v>1412</v>
      </c>
      <c r="E424" s="195">
        <v>103</v>
      </c>
      <c r="F424" s="195">
        <v>103</v>
      </c>
      <c r="G424" s="239">
        <v>417</v>
      </c>
      <c r="H424" s="197" t="s">
        <v>79</v>
      </c>
      <c r="I424" s="242" t="s">
        <v>425</v>
      </c>
      <c r="J424" s="242" t="s">
        <v>11669</v>
      </c>
      <c r="K424" s="195" t="s">
        <v>70</v>
      </c>
      <c r="L424" s="20" t="str">
        <f ca="1">IF(OFFSET(환산공식!$ED$15,$F424,0)=1,"O","X")</f>
        <v>X</v>
      </c>
      <c r="M424" s="188">
        <f ca="1">IFERROR(OFFSET(환산공식!DJ$15,$F424,0),"")</f>
        <v>200</v>
      </c>
      <c r="N424" s="20" t="str">
        <f ca="1">IFERROR(CONCATENATE(ROUND(OFFSET(환산공식!DK$15,$F424,0),1),"%"),"")</f>
        <v>100%</v>
      </c>
      <c r="O424" s="20">
        <f ca="1">IFERROR(OFFSET(환산공식!DL$15,$F424,0),"")</f>
        <v>10</v>
      </c>
      <c r="P424" s="188" t="str">
        <f t="shared" ca="1" si="12"/>
        <v>3% 이하</v>
      </c>
      <c r="Q424" s="194">
        <f ca="1">IFERROR(ROUND(OFFSET(환산공식!$FG$15,$F424,0),3),"")</f>
        <v>0</v>
      </c>
      <c r="R424" s="194">
        <f ca="1">OFFSET('배치점수 계산기'!H$10,$D424,0)</f>
        <v>883.15200000000004</v>
      </c>
      <c r="S424" s="194">
        <f ca="1">OFFSET('배치점수 계산기'!I$10,$D424,0)</f>
        <v>878.22400000000005</v>
      </c>
      <c r="T424" s="194">
        <f ca="1">OFFSET('배치점수 계산기'!J$10,$D424,0)</f>
        <v>872.27</v>
      </c>
      <c r="U424" s="194">
        <f ca="1">OFFSET('배치점수 계산기'!K$10,$D424,0)</f>
        <v>863.44600000000003</v>
      </c>
      <c r="V424" s="194">
        <f ca="1">OFFSET('배치점수 계산기'!L$10,$D424,0)</f>
        <v>854.53599999999994</v>
      </c>
      <c r="W424" s="186" t="str">
        <f ca="1">OFFSET('배치점수 계산기'!M$10,$D424,0)</f>
        <v>백분위</v>
      </c>
      <c r="X424" s="184" t="str">
        <f ca="1">OFFSET('배치점수 계산기'!N$10,$D424,0)</f>
        <v>백분위</v>
      </c>
      <c r="Y424" s="188">
        <f ca="1">OFFSET(환산공식!FW$15,$F424,0)</f>
        <v>0.31</v>
      </c>
      <c r="Z424" s="20">
        <f ca="1">OFFSET(환산공식!FX$15,$F424,0)</f>
        <v>0.44</v>
      </c>
      <c r="AA424" s="179">
        <f ca="1">OFFSET(환산공식!FY$15,$F424,0)</f>
        <v>0.25</v>
      </c>
      <c r="AB424" s="3"/>
      <c r="AD424">
        <f t="shared" ca="1" si="13"/>
        <v>6</v>
      </c>
      <c r="AF424" s="3"/>
      <c r="AG424" s="3"/>
      <c r="AH424" s="3"/>
    </row>
    <row r="425" spans="1:34">
      <c r="A425" s="198"/>
      <c r="B425" s="198"/>
      <c r="C425" s="198" t="s">
        <v>1877</v>
      </c>
      <c r="D425" s="195">
        <v>1413</v>
      </c>
      <c r="E425" s="195">
        <v>103</v>
      </c>
      <c r="F425" s="195">
        <v>103</v>
      </c>
      <c r="G425" s="239">
        <v>418</v>
      </c>
      <c r="H425" s="197" t="s">
        <v>79</v>
      </c>
      <c r="I425" s="242" t="s">
        <v>425</v>
      </c>
      <c r="J425" s="242" t="s">
        <v>11911</v>
      </c>
      <c r="K425" s="195" t="s">
        <v>70</v>
      </c>
      <c r="L425" s="20" t="str">
        <f ca="1">IF(OFFSET(환산공식!$ED$15,$F425,0)=1,"O","X")</f>
        <v>X</v>
      </c>
      <c r="M425" s="188">
        <f ca="1">IFERROR(OFFSET(환산공식!DJ$15,$F425,0),"")</f>
        <v>200</v>
      </c>
      <c r="N425" s="20" t="str">
        <f ca="1">IFERROR(CONCATENATE(ROUND(OFFSET(환산공식!DK$15,$F425,0),1),"%"),"")</f>
        <v>100%</v>
      </c>
      <c r="O425" s="20">
        <f ca="1">IFERROR(OFFSET(환산공식!DL$15,$F425,0),"")</f>
        <v>10</v>
      </c>
      <c r="P425" s="188" t="str">
        <f t="shared" ca="1" si="12"/>
        <v>3% 이하</v>
      </c>
      <c r="Q425" s="194">
        <f ca="1">IFERROR(ROUND(OFFSET(환산공식!$FG$15,$F425,0),3),"")</f>
        <v>0</v>
      </c>
      <c r="R425" s="194">
        <f ca="1">OFFSET('배치점수 계산기'!H$10,$D425,0)</f>
        <v>872.72</v>
      </c>
      <c r="S425" s="194">
        <f ca="1">OFFSET('배치점수 계산기'!I$10,$D425,0)</f>
        <v>866.51</v>
      </c>
      <c r="T425" s="194">
        <f ca="1">OFFSET('배치점수 계산기'!J$10,$D425,0)</f>
        <v>856.39300000000003</v>
      </c>
      <c r="U425" s="194">
        <f ca="1">OFFSET('배치점수 계산기'!K$10,$D425,0)</f>
        <v>844.19899999999996</v>
      </c>
      <c r="V425" s="194">
        <f ca="1">OFFSET('배치점수 계산기'!L$10,$D425,0)</f>
        <v>826.61599999999999</v>
      </c>
      <c r="W425" s="186" t="str">
        <f ca="1">OFFSET('배치점수 계산기'!M$10,$D425,0)</f>
        <v>백분위</v>
      </c>
      <c r="X425" s="184" t="str">
        <f ca="1">OFFSET('배치점수 계산기'!N$10,$D425,0)</f>
        <v>백분위</v>
      </c>
      <c r="Y425" s="188">
        <f ca="1">OFFSET(환산공식!FW$15,$F425,0)</f>
        <v>0.31</v>
      </c>
      <c r="Z425" s="20">
        <f ca="1">OFFSET(환산공식!FX$15,$F425,0)</f>
        <v>0.44</v>
      </c>
      <c r="AA425" s="179">
        <f ca="1">OFFSET(환산공식!FY$15,$F425,0)</f>
        <v>0.25</v>
      </c>
      <c r="AB425" s="3"/>
      <c r="AD425">
        <f t="shared" ca="1" si="13"/>
        <v>6</v>
      </c>
      <c r="AF425" s="3"/>
      <c r="AG425" s="3"/>
      <c r="AH425" s="3"/>
    </row>
    <row r="426" spans="1:34">
      <c r="A426" s="198"/>
      <c r="B426" s="198"/>
      <c r="C426" s="198" t="s">
        <v>1878</v>
      </c>
      <c r="D426" s="195">
        <v>1414</v>
      </c>
      <c r="E426" s="195">
        <v>104</v>
      </c>
      <c r="F426" s="195">
        <v>104</v>
      </c>
      <c r="G426" s="239">
        <v>419</v>
      </c>
      <c r="H426" s="197" t="s">
        <v>79</v>
      </c>
      <c r="I426" s="242" t="s">
        <v>425</v>
      </c>
      <c r="J426" s="242" t="s">
        <v>489</v>
      </c>
      <c r="K426" s="195" t="s">
        <v>71</v>
      </c>
      <c r="L426" s="20" t="str">
        <f ca="1">IF(OFFSET(환산공식!$ED$15,$F426,0)=1,"O","X")</f>
        <v>X</v>
      </c>
      <c r="M426" s="188">
        <f ca="1">IFERROR(OFFSET(환산공식!DJ$15,$F426,0),"")</f>
        <v>200</v>
      </c>
      <c r="N426" s="20" t="str">
        <f ca="1">IFERROR(CONCATENATE(ROUND(OFFSET(환산공식!DK$15,$F426,0),1),"%"),"")</f>
        <v>100%</v>
      </c>
      <c r="O426" s="20">
        <f ca="1">IFERROR(OFFSET(환산공식!DL$15,$F426,0),"")</f>
        <v>10</v>
      </c>
      <c r="P426" s="188" t="str">
        <f t="shared" ca="1" si="12"/>
        <v>3% 이하</v>
      </c>
      <c r="Q426" s="194">
        <f ca="1">IFERROR(ROUND(OFFSET(환산공식!$FG$15,$F426,0),3),"")</f>
        <v>0</v>
      </c>
      <c r="R426" s="194">
        <f ca="1">OFFSET('배치점수 계산기'!H$10,$D426,0)</f>
        <v>874.98500000000001</v>
      </c>
      <c r="S426" s="194">
        <f ca="1">OFFSET('배치점수 계산기'!I$10,$D426,0)</f>
        <v>870.45500000000004</v>
      </c>
      <c r="T426" s="194">
        <f ca="1">OFFSET('배치점수 계산기'!J$10,$D426,0)</f>
        <v>865.77</v>
      </c>
      <c r="U426" s="194">
        <f ca="1">OFFSET('배치점수 계산기'!K$10,$D426,0)</f>
        <v>856.60500000000002</v>
      </c>
      <c r="V426" s="194">
        <f ca="1">OFFSET('배치점수 계산기'!L$10,$D426,0)</f>
        <v>847.01499999999999</v>
      </c>
      <c r="W426" s="186" t="str">
        <f ca="1">OFFSET('배치점수 계산기'!M$10,$D426,0)</f>
        <v>백분위</v>
      </c>
      <c r="X426" s="184" t="str">
        <f ca="1">OFFSET('배치점수 계산기'!N$10,$D426,0)</f>
        <v>백분위</v>
      </c>
      <c r="Y426" s="188">
        <f ca="1">OFFSET(환산공식!FW$15,$F426,0)</f>
        <v>0.44</v>
      </c>
      <c r="Z426" s="20">
        <f ca="1">OFFSET(환산공식!FX$15,$F426,0)</f>
        <v>0.31</v>
      </c>
      <c r="AA426" s="179">
        <f ca="1">OFFSET(환산공식!FY$15,$F426,0)</f>
        <v>0.25</v>
      </c>
      <c r="AB426" s="3"/>
      <c r="AD426">
        <f t="shared" ca="1" si="13"/>
        <v>6</v>
      </c>
      <c r="AF426" s="3"/>
      <c r="AG426" s="3"/>
      <c r="AH426" s="3"/>
    </row>
    <row r="427" spans="1:34">
      <c r="A427" s="198"/>
      <c r="B427" s="198"/>
      <c r="C427" s="198" t="s">
        <v>1879</v>
      </c>
      <c r="D427" s="195">
        <v>1415</v>
      </c>
      <c r="E427" s="195">
        <v>104</v>
      </c>
      <c r="F427" s="195">
        <v>104</v>
      </c>
      <c r="G427" s="239">
        <v>420</v>
      </c>
      <c r="H427" s="197" t="s">
        <v>79</v>
      </c>
      <c r="I427" s="242" t="s">
        <v>425</v>
      </c>
      <c r="J427" s="242" t="s">
        <v>8919</v>
      </c>
      <c r="K427" s="195" t="s">
        <v>71</v>
      </c>
      <c r="L427" s="20" t="str">
        <f ca="1">IF(OFFSET(환산공식!$ED$15,$F427,0)=1,"O","X")</f>
        <v>X</v>
      </c>
      <c r="M427" s="188">
        <f ca="1">IFERROR(OFFSET(환산공식!DJ$15,$F427,0),"")</f>
        <v>200</v>
      </c>
      <c r="N427" s="20" t="str">
        <f ca="1">IFERROR(CONCATENATE(ROUND(OFFSET(환산공식!DK$15,$F427,0),1),"%"),"")</f>
        <v>100%</v>
      </c>
      <c r="O427" s="20">
        <f ca="1">IFERROR(OFFSET(환산공식!DL$15,$F427,0),"")</f>
        <v>10</v>
      </c>
      <c r="P427" s="188" t="str">
        <f t="shared" ca="1" si="12"/>
        <v>3% 이하</v>
      </c>
      <c r="Q427" s="194">
        <f ca="1">IFERROR(ROUND(OFFSET(환산공식!$FG$15,$F427,0),3),"")</f>
        <v>0</v>
      </c>
      <c r="R427" s="194">
        <f ca="1">OFFSET('배치점수 계산기'!H$10,$D427,0)</f>
        <v>871.95500000000004</v>
      </c>
      <c r="S427" s="194">
        <f ca="1">OFFSET('배치점수 계산기'!I$10,$D427,0)</f>
        <v>867.47500000000002</v>
      </c>
      <c r="T427" s="194">
        <f ca="1">OFFSET('배치점수 계산기'!J$10,$D427,0)</f>
        <v>862.86500000000001</v>
      </c>
      <c r="U427" s="194">
        <f ca="1">OFFSET('배치점수 계산기'!K$10,$D427,0)</f>
        <v>853.32500000000005</v>
      </c>
      <c r="V427" s="194">
        <f ca="1">OFFSET('배치점수 계산기'!L$10,$D427,0)</f>
        <v>844.06</v>
      </c>
      <c r="W427" s="186" t="str">
        <f ca="1">OFFSET('배치점수 계산기'!M$10,$D427,0)</f>
        <v>백분위</v>
      </c>
      <c r="X427" s="184" t="str">
        <f ca="1">OFFSET('배치점수 계산기'!N$10,$D427,0)</f>
        <v>백분위</v>
      </c>
      <c r="Y427" s="188">
        <f ca="1">OFFSET(환산공식!FW$15,$F427,0)</f>
        <v>0.44</v>
      </c>
      <c r="Z427" s="20">
        <f ca="1">OFFSET(환산공식!FX$15,$F427,0)</f>
        <v>0.31</v>
      </c>
      <c r="AA427" s="179">
        <f ca="1">OFFSET(환산공식!FY$15,$F427,0)</f>
        <v>0.25</v>
      </c>
      <c r="AB427" s="3"/>
      <c r="AD427">
        <f t="shared" ca="1" si="13"/>
        <v>6</v>
      </c>
      <c r="AF427" s="3"/>
      <c r="AG427" s="3"/>
      <c r="AH427" s="3"/>
    </row>
    <row r="428" spans="1:34">
      <c r="A428" s="198"/>
      <c r="B428" s="198"/>
      <c r="C428" s="198" t="s">
        <v>1880</v>
      </c>
      <c r="D428" s="195">
        <v>1416</v>
      </c>
      <c r="E428" s="195">
        <v>104</v>
      </c>
      <c r="F428" s="195">
        <v>104</v>
      </c>
      <c r="G428" s="239">
        <v>421</v>
      </c>
      <c r="H428" s="197" t="s">
        <v>79</v>
      </c>
      <c r="I428" s="242" t="s">
        <v>425</v>
      </c>
      <c r="J428" s="242" t="s">
        <v>8293</v>
      </c>
      <c r="K428" s="195" t="s">
        <v>71</v>
      </c>
      <c r="L428" s="20" t="str">
        <f ca="1">IF(OFFSET(환산공식!$ED$15,$F428,0)=1,"O","X")</f>
        <v>X</v>
      </c>
      <c r="M428" s="188">
        <f ca="1">IFERROR(OFFSET(환산공식!DJ$15,$F428,0),"")</f>
        <v>200</v>
      </c>
      <c r="N428" s="20" t="str">
        <f ca="1">IFERROR(CONCATENATE(ROUND(OFFSET(환산공식!DK$15,$F428,0),1),"%"),"")</f>
        <v>100%</v>
      </c>
      <c r="O428" s="20">
        <f ca="1">IFERROR(OFFSET(환산공식!DL$15,$F428,0),"")</f>
        <v>10</v>
      </c>
      <c r="P428" s="188" t="str">
        <f t="shared" ca="1" si="12"/>
        <v>3% 이하</v>
      </c>
      <c r="Q428" s="194">
        <f ca="1">IFERROR(ROUND(OFFSET(환산공식!$FG$15,$F428,0),3),"")</f>
        <v>0</v>
      </c>
      <c r="R428" s="194">
        <f ca="1">OFFSET('배치점수 계산기'!H$10,$D428,0)</f>
        <v>871.95500000000004</v>
      </c>
      <c r="S428" s="194">
        <f ca="1">OFFSET('배치점수 계산기'!I$10,$D428,0)</f>
        <v>867.47500000000002</v>
      </c>
      <c r="T428" s="194">
        <f ca="1">OFFSET('배치점수 계산기'!J$10,$D428,0)</f>
        <v>862.86500000000001</v>
      </c>
      <c r="U428" s="194">
        <f ca="1">OFFSET('배치점수 계산기'!K$10,$D428,0)</f>
        <v>853.32500000000005</v>
      </c>
      <c r="V428" s="194">
        <f ca="1">OFFSET('배치점수 계산기'!L$10,$D428,0)</f>
        <v>844.06</v>
      </c>
      <c r="W428" s="186" t="str">
        <f ca="1">OFFSET('배치점수 계산기'!M$10,$D428,0)</f>
        <v>백분위</v>
      </c>
      <c r="X428" s="184" t="str">
        <f ca="1">OFFSET('배치점수 계산기'!N$10,$D428,0)</f>
        <v>백분위</v>
      </c>
      <c r="Y428" s="188">
        <f ca="1">OFFSET(환산공식!FW$15,$F428,0)</f>
        <v>0.44</v>
      </c>
      <c r="Z428" s="20">
        <f ca="1">OFFSET(환산공식!FX$15,$F428,0)</f>
        <v>0.31</v>
      </c>
      <c r="AA428" s="179">
        <f ca="1">OFFSET(환산공식!FY$15,$F428,0)</f>
        <v>0.25</v>
      </c>
      <c r="AB428" s="3"/>
      <c r="AD428">
        <f t="shared" ca="1" si="13"/>
        <v>6</v>
      </c>
      <c r="AF428" s="3"/>
      <c r="AG428" s="3"/>
      <c r="AH428" s="3"/>
    </row>
    <row r="429" spans="1:34">
      <c r="A429" s="198"/>
      <c r="B429" s="198"/>
      <c r="C429" s="198" t="s">
        <v>1881</v>
      </c>
      <c r="D429" s="195">
        <v>1417</v>
      </c>
      <c r="E429" s="195">
        <v>104</v>
      </c>
      <c r="F429" s="195">
        <v>104</v>
      </c>
      <c r="G429" s="239">
        <v>422</v>
      </c>
      <c r="H429" s="197" t="s">
        <v>79</v>
      </c>
      <c r="I429" s="242" t="s">
        <v>425</v>
      </c>
      <c r="J429" s="242" t="s">
        <v>11249</v>
      </c>
      <c r="K429" s="195" t="s">
        <v>71</v>
      </c>
      <c r="L429" s="20" t="str">
        <f ca="1">IF(OFFSET(환산공식!$ED$15,$F429,0)=1,"O","X")</f>
        <v>X</v>
      </c>
      <c r="M429" s="188">
        <f ca="1">IFERROR(OFFSET(환산공식!DJ$15,$F429,0),"")</f>
        <v>200</v>
      </c>
      <c r="N429" s="20" t="str">
        <f ca="1">IFERROR(CONCATENATE(ROUND(OFFSET(환산공식!DK$15,$F429,0),1),"%"),"")</f>
        <v>100%</v>
      </c>
      <c r="O429" s="20">
        <f ca="1">IFERROR(OFFSET(환산공식!DL$15,$F429,0),"")</f>
        <v>10</v>
      </c>
      <c r="P429" s="188" t="str">
        <f t="shared" ca="1" si="12"/>
        <v>3% 이하</v>
      </c>
      <c r="Q429" s="194">
        <f ca="1">IFERROR(ROUND(OFFSET(환산공식!$FG$15,$F429,0),3),"")</f>
        <v>0</v>
      </c>
      <c r="R429" s="194">
        <f ca="1">OFFSET('배치점수 계산기'!H$10,$D429,0)</f>
        <v>871.95500000000004</v>
      </c>
      <c r="S429" s="194">
        <f ca="1">OFFSET('배치점수 계산기'!I$10,$D429,0)</f>
        <v>867.39499999999998</v>
      </c>
      <c r="T429" s="194">
        <f ca="1">OFFSET('배치점수 계산기'!J$10,$D429,0)</f>
        <v>861.91499999999996</v>
      </c>
      <c r="U429" s="194">
        <f ca="1">OFFSET('배치점수 계산기'!K$10,$D429,0)</f>
        <v>853.32500000000005</v>
      </c>
      <c r="V429" s="194">
        <f ca="1">OFFSET('배치점수 계산기'!L$10,$D429,0)</f>
        <v>843.71</v>
      </c>
      <c r="W429" s="186" t="str">
        <f ca="1">OFFSET('배치점수 계산기'!M$10,$D429,0)</f>
        <v>백분위</v>
      </c>
      <c r="X429" s="184" t="str">
        <f ca="1">OFFSET('배치점수 계산기'!N$10,$D429,0)</f>
        <v>백분위</v>
      </c>
      <c r="Y429" s="188">
        <f ca="1">OFFSET(환산공식!FW$15,$F429,0)</f>
        <v>0.44</v>
      </c>
      <c r="Z429" s="20">
        <f ca="1">OFFSET(환산공식!FX$15,$F429,0)</f>
        <v>0.31</v>
      </c>
      <c r="AA429" s="179">
        <f ca="1">OFFSET(환산공식!FY$15,$F429,0)</f>
        <v>0.25</v>
      </c>
      <c r="AB429" s="3"/>
      <c r="AD429">
        <f t="shared" ca="1" si="13"/>
        <v>6</v>
      </c>
      <c r="AF429" s="3"/>
      <c r="AG429" s="3"/>
      <c r="AH429" s="3"/>
    </row>
    <row r="430" spans="1:34">
      <c r="A430" s="198"/>
      <c r="B430" s="198"/>
      <c r="C430" s="198" t="s">
        <v>1882</v>
      </c>
      <c r="D430" s="195">
        <v>1418</v>
      </c>
      <c r="E430" s="195">
        <v>104</v>
      </c>
      <c r="F430" s="195">
        <v>104</v>
      </c>
      <c r="G430" s="239">
        <v>423</v>
      </c>
      <c r="H430" s="197" t="s">
        <v>79</v>
      </c>
      <c r="I430" s="242" t="s">
        <v>425</v>
      </c>
      <c r="J430" s="242" t="s">
        <v>8772</v>
      </c>
      <c r="K430" s="195" t="s">
        <v>71</v>
      </c>
      <c r="L430" s="20" t="str">
        <f ca="1">IF(OFFSET(환산공식!$ED$15,$F430,0)=1,"O","X")</f>
        <v>X</v>
      </c>
      <c r="M430" s="188">
        <f ca="1">IFERROR(OFFSET(환산공식!DJ$15,$F430,0),"")</f>
        <v>200</v>
      </c>
      <c r="N430" s="20" t="str">
        <f ca="1">IFERROR(CONCATENATE(ROUND(OFFSET(환산공식!DK$15,$F430,0),1),"%"),"")</f>
        <v>100%</v>
      </c>
      <c r="O430" s="20">
        <f ca="1">IFERROR(OFFSET(환산공식!DL$15,$F430,0),"")</f>
        <v>10</v>
      </c>
      <c r="P430" s="188" t="str">
        <f t="shared" ca="1" si="12"/>
        <v>3% 이하</v>
      </c>
      <c r="Q430" s="194">
        <f ca="1">IFERROR(ROUND(OFFSET(환산공식!$FG$15,$F430,0),3),"")</f>
        <v>0</v>
      </c>
      <c r="R430" s="194">
        <f ca="1">OFFSET('배치점수 계산기'!H$10,$D430,0)</f>
        <v>870.45500000000004</v>
      </c>
      <c r="S430" s="194">
        <f ca="1">OFFSET('배치점수 계산기'!I$10,$D430,0)</f>
        <v>865.94500000000005</v>
      </c>
      <c r="T430" s="194">
        <f ca="1">OFFSET('배치점수 계산기'!J$10,$D430,0)</f>
        <v>860.86</v>
      </c>
      <c r="U430" s="194">
        <f ca="1">OFFSET('배치점수 계산기'!K$10,$D430,0)</f>
        <v>851.52499999999998</v>
      </c>
      <c r="V430" s="194">
        <f ca="1">OFFSET('배치점수 계산기'!L$10,$D430,0)</f>
        <v>842.73500000000001</v>
      </c>
      <c r="W430" s="186" t="str">
        <f ca="1">OFFSET('배치점수 계산기'!M$10,$D430,0)</f>
        <v>백분위</v>
      </c>
      <c r="X430" s="184" t="str">
        <f ca="1">OFFSET('배치점수 계산기'!N$10,$D430,0)</f>
        <v>백분위</v>
      </c>
      <c r="Y430" s="188">
        <f ca="1">OFFSET(환산공식!FW$15,$F430,0)</f>
        <v>0.44</v>
      </c>
      <c r="Z430" s="20">
        <f ca="1">OFFSET(환산공식!FX$15,$F430,0)</f>
        <v>0.31</v>
      </c>
      <c r="AA430" s="179">
        <f ca="1">OFFSET(환산공식!FY$15,$F430,0)</f>
        <v>0.25</v>
      </c>
      <c r="AB430" s="3"/>
      <c r="AD430">
        <f t="shared" ca="1" si="13"/>
        <v>6</v>
      </c>
      <c r="AF430" s="3"/>
      <c r="AG430" s="3"/>
      <c r="AH430" s="3"/>
    </row>
    <row r="431" spans="1:34">
      <c r="A431" s="198"/>
      <c r="B431" s="198"/>
      <c r="C431" s="198" t="s">
        <v>1883</v>
      </c>
      <c r="D431" s="195">
        <v>1419</v>
      </c>
      <c r="E431" s="195">
        <v>104</v>
      </c>
      <c r="F431" s="195">
        <v>104</v>
      </c>
      <c r="G431" s="239">
        <v>424</v>
      </c>
      <c r="H431" s="197" t="s">
        <v>79</v>
      </c>
      <c r="I431" s="242" t="s">
        <v>425</v>
      </c>
      <c r="J431" s="242" t="s">
        <v>11268</v>
      </c>
      <c r="K431" s="195" t="s">
        <v>71</v>
      </c>
      <c r="L431" s="20" t="str">
        <f ca="1">IF(OFFSET(환산공식!$ED$15,$F431,0)=1,"O","X")</f>
        <v>X</v>
      </c>
      <c r="M431" s="188">
        <f ca="1">IFERROR(OFFSET(환산공식!DJ$15,$F431,0),"")</f>
        <v>200</v>
      </c>
      <c r="N431" s="20" t="str">
        <f ca="1">IFERROR(CONCATENATE(ROUND(OFFSET(환산공식!DK$15,$F431,0),1),"%"),"")</f>
        <v>100%</v>
      </c>
      <c r="O431" s="20">
        <f ca="1">IFERROR(OFFSET(환산공식!DL$15,$F431,0),"")</f>
        <v>10</v>
      </c>
      <c r="P431" s="188" t="str">
        <f t="shared" ca="1" si="12"/>
        <v>3% 이하</v>
      </c>
      <c r="Q431" s="194">
        <f ca="1">IFERROR(ROUND(OFFSET(환산공식!$FG$15,$F431,0),3),"")</f>
        <v>0</v>
      </c>
      <c r="R431" s="194">
        <f ca="1">OFFSET('배치점수 계산기'!H$10,$D431,0)</f>
        <v>870.45500000000004</v>
      </c>
      <c r="S431" s="194">
        <f ca="1">OFFSET('배치점수 계산기'!I$10,$D431,0)</f>
        <v>865.94500000000005</v>
      </c>
      <c r="T431" s="194">
        <f ca="1">OFFSET('배치점수 계산기'!J$10,$D431,0)</f>
        <v>860.86</v>
      </c>
      <c r="U431" s="194">
        <f ca="1">OFFSET('배치점수 계산기'!K$10,$D431,0)</f>
        <v>851.52499999999998</v>
      </c>
      <c r="V431" s="194">
        <f ca="1">OFFSET('배치점수 계산기'!L$10,$D431,0)</f>
        <v>842.73500000000001</v>
      </c>
      <c r="W431" s="186" t="str">
        <f ca="1">OFFSET('배치점수 계산기'!M$10,$D431,0)</f>
        <v>백분위</v>
      </c>
      <c r="X431" s="184" t="str">
        <f ca="1">OFFSET('배치점수 계산기'!N$10,$D431,0)</f>
        <v>백분위</v>
      </c>
      <c r="Y431" s="188">
        <f ca="1">OFFSET(환산공식!FW$15,$F431,0)</f>
        <v>0.44</v>
      </c>
      <c r="Z431" s="20">
        <f ca="1">OFFSET(환산공식!FX$15,$F431,0)</f>
        <v>0.31</v>
      </c>
      <c r="AA431" s="179">
        <f ca="1">OFFSET(환산공식!FY$15,$F431,0)</f>
        <v>0.25</v>
      </c>
      <c r="AB431" s="3"/>
      <c r="AD431">
        <f t="shared" ca="1" si="13"/>
        <v>6</v>
      </c>
      <c r="AF431" s="3"/>
      <c r="AG431" s="3"/>
      <c r="AH431" s="3"/>
    </row>
    <row r="432" spans="1:34">
      <c r="A432" s="198"/>
      <c r="B432" s="198"/>
      <c r="C432" s="198" t="s">
        <v>1884</v>
      </c>
      <c r="D432" s="195">
        <v>1420</v>
      </c>
      <c r="E432" s="195">
        <v>104</v>
      </c>
      <c r="F432" s="195">
        <v>104</v>
      </c>
      <c r="G432" s="239">
        <v>425</v>
      </c>
      <c r="H432" s="197" t="s">
        <v>79</v>
      </c>
      <c r="I432" s="242" t="s">
        <v>425</v>
      </c>
      <c r="J432" s="242" t="s">
        <v>11263</v>
      </c>
      <c r="K432" s="195" t="s">
        <v>71</v>
      </c>
      <c r="L432" s="20" t="str">
        <f ca="1">IF(OFFSET(환산공식!$ED$15,$F432,0)=1,"O","X")</f>
        <v>X</v>
      </c>
      <c r="M432" s="188">
        <f ca="1">IFERROR(OFFSET(환산공식!DJ$15,$F432,0),"")</f>
        <v>200</v>
      </c>
      <c r="N432" s="20" t="str">
        <f ca="1">IFERROR(CONCATENATE(ROUND(OFFSET(환산공식!DK$15,$F432,0),1),"%"),"")</f>
        <v>100%</v>
      </c>
      <c r="O432" s="20">
        <f ca="1">IFERROR(OFFSET(환산공식!DL$15,$F432,0),"")</f>
        <v>10</v>
      </c>
      <c r="P432" s="188" t="str">
        <f t="shared" ca="1" si="12"/>
        <v>3% 이하</v>
      </c>
      <c r="Q432" s="194">
        <f ca="1">IFERROR(ROUND(OFFSET(환산공식!$FG$15,$F432,0),3),"")</f>
        <v>0</v>
      </c>
      <c r="R432" s="194">
        <f ca="1">OFFSET('배치점수 계산기'!H$10,$D432,0)</f>
        <v>871.95500000000004</v>
      </c>
      <c r="S432" s="194">
        <f ca="1">OFFSET('배치점수 계산기'!I$10,$D432,0)</f>
        <v>866.67</v>
      </c>
      <c r="T432" s="194">
        <f ca="1">OFFSET('배치점수 계산기'!J$10,$D432,0)</f>
        <v>860.86</v>
      </c>
      <c r="U432" s="194">
        <f ca="1">OFFSET('배치점수 계산기'!K$10,$D432,0)</f>
        <v>851.52499999999998</v>
      </c>
      <c r="V432" s="194">
        <f ca="1">OFFSET('배치점수 계산기'!L$10,$D432,0)</f>
        <v>842.06</v>
      </c>
      <c r="W432" s="186" t="str">
        <f ca="1">OFFSET('배치점수 계산기'!M$10,$D432,0)</f>
        <v>백분위</v>
      </c>
      <c r="X432" s="184" t="str">
        <f ca="1">OFFSET('배치점수 계산기'!N$10,$D432,0)</f>
        <v>백분위</v>
      </c>
      <c r="Y432" s="188">
        <f ca="1">OFFSET(환산공식!FW$15,$F432,0)</f>
        <v>0.44</v>
      </c>
      <c r="Z432" s="20">
        <f ca="1">OFFSET(환산공식!FX$15,$F432,0)</f>
        <v>0.31</v>
      </c>
      <c r="AA432" s="179">
        <f ca="1">OFFSET(환산공식!FY$15,$F432,0)</f>
        <v>0.25</v>
      </c>
      <c r="AB432" s="3"/>
      <c r="AD432">
        <f t="shared" ca="1" si="13"/>
        <v>6</v>
      </c>
      <c r="AF432" s="3"/>
      <c r="AG432" s="3"/>
      <c r="AH432" s="3"/>
    </row>
    <row r="433" spans="1:34">
      <c r="A433" s="198"/>
      <c r="B433" s="198"/>
      <c r="C433" s="198" t="s">
        <v>1885</v>
      </c>
      <c r="D433" s="195">
        <v>1421</v>
      </c>
      <c r="E433" s="195">
        <v>104</v>
      </c>
      <c r="F433" s="195">
        <v>104</v>
      </c>
      <c r="G433" s="239">
        <v>426</v>
      </c>
      <c r="H433" s="197" t="s">
        <v>79</v>
      </c>
      <c r="I433" s="242" t="s">
        <v>425</v>
      </c>
      <c r="J433" s="242" t="s">
        <v>8190</v>
      </c>
      <c r="K433" s="195" t="s">
        <v>71</v>
      </c>
      <c r="L433" s="20" t="str">
        <f ca="1">IF(OFFSET(환산공식!$ED$15,$F433,0)=1,"O","X")</f>
        <v>X</v>
      </c>
      <c r="M433" s="188">
        <f ca="1">IFERROR(OFFSET(환산공식!DJ$15,$F433,0),"")</f>
        <v>200</v>
      </c>
      <c r="N433" s="20" t="str">
        <f ca="1">IFERROR(CONCATENATE(ROUND(OFFSET(환산공식!DK$15,$F433,0),1),"%"),"")</f>
        <v>100%</v>
      </c>
      <c r="O433" s="20">
        <f ca="1">IFERROR(OFFSET(환산공식!DL$15,$F433,0),"")</f>
        <v>10</v>
      </c>
      <c r="P433" s="188" t="str">
        <f t="shared" ca="1" si="12"/>
        <v>3% 이하</v>
      </c>
      <c r="Q433" s="194">
        <f ca="1">IFERROR(ROUND(OFFSET(환산공식!$FG$15,$F433,0),3),"")</f>
        <v>0</v>
      </c>
      <c r="R433" s="194">
        <f ca="1">OFFSET('배치점수 계산기'!H$10,$D433,0)</f>
        <v>870.25</v>
      </c>
      <c r="S433" s="194">
        <f ca="1">OFFSET('배치점수 계산기'!I$10,$D433,0)</f>
        <v>865.77</v>
      </c>
      <c r="T433" s="194">
        <f ca="1">OFFSET('배치점수 계산기'!J$10,$D433,0)</f>
        <v>860.51</v>
      </c>
      <c r="U433" s="194">
        <f ca="1">OFFSET('배치점수 계산기'!K$10,$D433,0)</f>
        <v>850.875</v>
      </c>
      <c r="V433" s="194">
        <f ca="1">OFFSET('배치점수 계산기'!L$10,$D433,0)</f>
        <v>842.06</v>
      </c>
      <c r="W433" s="186" t="str">
        <f ca="1">OFFSET('배치점수 계산기'!M$10,$D433,0)</f>
        <v>백분위</v>
      </c>
      <c r="X433" s="184" t="str">
        <f ca="1">OFFSET('배치점수 계산기'!N$10,$D433,0)</f>
        <v>백분위</v>
      </c>
      <c r="Y433" s="188">
        <f ca="1">OFFSET(환산공식!FW$15,$F433,0)</f>
        <v>0.44</v>
      </c>
      <c r="Z433" s="20">
        <f ca="1">OFFSET(환산공식!FX$15,$F433,0)</f>
        <v>0.31</v>
      </c>
      <c r="AA433" s="179">
        <f ca="1">OFFSET(환산공식!FY$15,$F433,0)</f>
        <v>0.25</v>
      </c>
      <c r="AB433" s="3"/>
      <c r="AD433">
        <f t="shared" ca="1" si="13"/>
        <v>6</v>
      </c>
      <c r="AF433" s="3"/>
      <c r="AG433" s="3"/>
      <c r="AH433" s="3"/>
    </row>
    <row r="434" spans="1:34">
      <c r="A434" s="198"/>
      <c r="B434" s="198"/>
      <c r="C434" s="198" t="s">
        <v>1886</v>
      </c>
      <c r="D434" s="195">
        <v>1422</v>
      </c>
      <c r="E434" s="195">
        <v>104</v>
      </c>
      <c r="F434" s="195">
        <v>104</v>
      </c>
      <c r="G434" s="239">
        <v>427</v>
      </c>
      <c r="H434" s="197" t="s">
        <v>79</v>
      </c>
      <c r="I434" s="242" t="s">
        <v>425</v>
      </c>
      <c r="J434" s="242" t="s">
        <v>10466</v>
      </c>
      <c r="K434" s="195" t="s">
        <v>71</v>
      </c>
      <c r="L434" s="20" t="str">
        <f ca="1">IF(OFFSET(환산공식!$ED$15,$F434,0)=1,"O","X")</f>
        <v>X</v>
      </c>
      <c r="M434" s="188">
        <f ca="1">IFERROR(OFFSET(환산공식!DJ$15,$F434,0),"")</f>
        <v>200</v>
      </c>
      <c r="N434" s="20" t="str">
        <f ca="1">IFERROR(CONCATENATE(ROUND(OFFSET(환산공식!DK$15,$F434,0),1),"%"),"")</f>
        <v>100%</v>
      </c>
      <c r="O434" s="20">
        <f ca="1">IFERROR(OFFSET(환산공식!DL$15,$F434,0),"")</f>
        <v>10</v>
      </c>
      <c r="P434" s="188" t="str">
        <f t="shared" ca="1" si="12"/>
        <v>3% 이하</v>
      </c>
      <c r="Q434" s="194">
        <f ca="1">IFERROR(ROUND(OFFSET(환산공식!$FG$15,$F434,0),3),"")</f>
        <v>0</v>
      </c>
      <c r="R434" s="194">
        <f ca="1">OFFSET('배치점수 계산기'!H$10,$D434,0)</f>
        <v>869.17499999999995</v>
      </c>
      <c r="S434" s="194">
        <f ca="1">OFFSET('배치점수 계산기'!I$10,$D434,0)</f>
        <v>864.69500000000005</v>
      </c>
      <c r="T434" s="194">
        <f ca="1">OFFSET('배치점수 계산기'!J$10,$D434,0)</f>
        <v>859.61</v>
      </c>
      <c r="U434" s="194">
        <f ca="1">OFFSET('배치점수 계산기'!K$10,$D434,0)</f>
        <v>849.89499999999998</v>
      </c>
      <c r="V434" s="194">
        <f ca="1">OFFSET('배치점수 계산기'!L$10,$D434,0)</f>
        <v>840.98500000000001</v>
      </c>
      <c r="W434" s="186" t="str">
        <f ca="1">OFFSET('배치점수 계산기'!M$10,$D434,0)</f>
        <v>백분위</v>
      </c>
      <c r="X434" s="184" t="str">
        <f ca="1">OFFSET('배치점수 계산기'!N$10,$D434,0)</f>
        <v>백분위</v>
      </c>
      <c r="Y434" s="188">
        <f ca="1">OFFSET(환산공식!FW$15,$F434,0)</f>
        <v>0.44</v>
      </c>
      <c r="Z434" s="20">
        <f ca="1">OFFSET(환산공식!FX$15,$F434,0)</f>
        <v>0.31</v>
      </c>
      <c r="AA434" s="179">
        <f ca="1">OFFSET(환산공식!FY$15,$F434,0)</f>
        <v>0.25</v>
      </c>
      <c r="AB434" s="3"/>
      <c r="AD434">
        <f t="shared" ca="1" si="13"/>
        <v>6</v>
      </c>
      <c r="AF434" s="3"/>
      <c r="AG434" s="3"/>
      <c r="AH434" s="3"/>
    </row>
    <row r="435" spans="1:34">
      <c r="A435" s="198"/>
      <c r="B435" s="198"/>
      <c r="C435" s="198" t="s">
        <v>1887</v>
      </c>
      <c r="D435" s="195">
        <v>1423</v>
      </c>
      <c r="E435" s="195">
        <v>104</v>
      </c>
      <c r="F435" s="195">
        <v>104</v>
      </c>
      <c r="G435" s="239">
        <v>428</v>
      </c>
      <c r="H435" s="197" t="s">
        <v>79</v>
      </c>
      <c r="I435" s="242" t="s">
        <v>425</v>
      </c>
      <c r="J435" s="242" t="s">
        <v>8216</v>
      </c>
      <c r="K435" s="195" t="s">
        <v>71</v>
      </c>
      <c r="L435" s="20" t="str">
        <f ca="1">IF(OFFSET(환산공식!$ED$15,$F435,0)=1,"O","X")</f>
        <v>X</v>
      </c>
      <c r="M435" s="188">
        <f ca="1">IFERROR(OFFSET(환산공식!DJ$15,$F435,0),"")</f>
        <v>200</v>
      </c>
      <c r="N435" s="20" t="str">
        <f ca="1">IFERROR(CONCATENATE(ROUND(OFFSET(환산공식!DK$15,$F435,0),1),"%"),"")</f>
        <v>100%</v>
      </c>
      <c r="O435" s="20">
        <f ca="1">IFERROR(OFFSET(환산공식!DL$15,$F435,0),"")</f>
        <v>10</v>
      </c>
      <c r="P435" s="188" t="str">
        <f t="shared" ca="1" si="12"/>
        <v>3% 이하</v>
      </c>
      <c r="Q435" s="194">
        <f ca="1">IFERROR(ROUND(OFFSET(환산공식!$FG$15,$F435,0),3),"")</f>
        <v>0</v>
      </c>
      <c r="R435" s="194">
        <f ca="1">OFFSET('배치점수 계산기'!H$10,$D435,0)</f>
        <v>867.6</v>
      </c>
      <c r="S435" s="194">
        <f ca="1">OFFSET('배치점수 계산기'!I$10,$D435,0)</f>
        <v>863.41499999999996</v>
      </c>
      <c r="T435" s="194">
        <f ca="1">OFFSET('배치점수 계산기'!J$10,$D435,0)</f>
        <v>858.41</v>
      </c>
      <c r="U435" s="194">
        <f ca="1">OFFSET('배치점수 계산기'!K$10,$D435,0)</f>
        <v>848.52</v>
      </c>
      <c r="V435" s="194">
        <f ca="1">OFFSET('배치점수 계산기'!L$10,$D435,0)</f>
        <v>840.43</v>
      </c>
      <c r="W435" s="186" t="str">
        <f ca="1">OFFSET('배치점수 계산기'!M$10,$D435,0)</f>
        <v>백분위</v>
      </c>
      <c r="X435" s="184" t="str">
        <f ca="1">OFFSET('배치점수 계산기'!N$10,$D435,0)</f>
        <v>백분위</v>
      </c>
      <c r="Y435" s="188">
        <f ca="1">OFFSET(환산공식!FW$15,$F435,0)</f>
        <v>0.44</v>
      </c>
      <c r="Z435" s="20">
        <f ca="1">OFFSET(환산공식!FX$15,$F435,0)</f>
        <v>0.31</v>
      </c>
      <c r="AA435" s="179">
        <f ca="1">OFFSET(환산공식!FY$15,$F435,0)</f>
        <v>0.25</v>
      </c>
      <c r="AB435" s="3"/>
      <c r="AD435">
        <f t="shared" ca="1" si="13"/>
        <v>6</v>
      </c>
      <c r="AF435" s="3"/>
      <c r="AG435" s="3"/>
      <c r="AH435" s="3"/>
    </row>
    <row r="436" spans="1:34">
      <c r="A436" s="198"/>
      <c r="B436" s="198"/>
      <c r="C436" s="198" t="s">
        <v>1888</v>
      </c>
      <c r="D436" s="195">
        <v>1424</v>
      </c>
      <c r="E436" s="195">
        <v>104</v>
      </c>
      <c r="F436" s="195">
        <v>104</v>
      </c>
      <c r="G436" s="239">
        <v>429</v>
      </c>
      <c r="H436" s="197" t="s">
        <v>79</v>
      </c>
      <c r="I436" s="242" t="s">
        <v>425</v>
      </c>
      <c r="J436" s="242" t="s">
        <v>11339</v>
      </c>
      <c r="K436" s="195" t="s">
        <v>71</v>
      </c>
      <c r="L436" s="20" t="str">
        <f ca="1">IF(OFFSET(환산공식!$ED$15,$F436,0)=1,"O","X")</f>
        <v>X</v>
      </c>
      <c r="M436" s="188">
        <f ca="1">IFERROR(OFFSET(환산공식!DJ$15,$F436,0),"")</f>
        <v>200</v>
      </c>
      <c r="N436" s="20" t="str">
        <f ca="1">IFERROR(CONCATENATE(ROUND(OFFSET(환산공식!DK$15,$F436,0),1),"%"),"")</f>
        <v>100%</v>
      </c>
      <c r="O436" s="20">
        <f ca="1">IFERROR(OFFSET(환산공식!DL$15,$F436,0),"")</f>
        <v>10</v>
      </c>
      <c r="P436" s="188" t="str">
        <f t="shared" ca="1" si="12"/>
        <v>3% 이하</v>
      </c>
      <c r="Q436" s="194">
        <f ca="1">IFERROR(ROUND(OFFSET(환산공식!$FG$15,$F436,0),3),"")</f>
        <v>0</v>
      </c>
      <c r="R436" s="194">
        <f ca="1">OFFSET('배치점수 계산기'!H$10,$D436,0)</f>
        <v>867.6</v>
      </c>
      <c r="S436" s="194">
        <f ca="1">OFFSET('배치점수 계산기'!I$10,$D436,0)</f>
        <v>863.41499999999996</v>
      </c>
      <c r="T436" s="194">
        <f ca="1">OFFSET('배치점수 계산기'!J$10,$D436,0)</f>
        <v>858.41</v>
      </c>
      <c r="U436" s="194">
        <f ca="1">OFFSET('배치점수 계산기'!K$10,$D436,0)</f>
        <v>848.52</v>
      </c>
      <c r="V436" s="194">
        <f ca="1">OFFSET('배치점수 계산기'!L$10,$D436,0)</f>
        <v>840.43</v>
      </c>
      <c r="W436" s="186" t="str">
        <f ca="1">OFFSET('배치점수 계산기'!M$10,$D436,0)</f>
        <v>백분위</v>
      </c>
      <c r="X436" s="184" t="str">
        <f ca="1">OFFSET('배치점수 계산기'!N$10,$D436,0)</f>
        <v>백분위</v>
      </c>
      <c r="Y436" s="188">
        <f ca="1">OFFSET(환산공식!FW$15,$F436,0)</f>
        <v>0.44</v>
      </c>
      <c r="Z436" s="20">
        <f ca="1">OFFSET(환산공식!FX$15,$F436,0)</f>
        <v>0.31</v>
      </c>
      <c r="AA436" s="179">
        <f ca="1">OFFSET(환산공식!FY$15,$F436,0)</f>
        <v>0.25</v>
      </c>
      <c r="AB436" s="3"/>
      <c r="AD436">
        <f t="shared" ca="1" si="13"/>
        <v>6</v>
      </c>
      <c r="AF436" s="3"/>
      <c r="AG436" s="3"/>
      <c r="AH436" s="3"/>
    </row>
    <row r="437" spans="1:34">
      <c r="A437" s="198"/>
      <c r="B437" s="198"/>
      <c r="C437" s="198" t="s">
        <v>1889</v>
      </c>
      <c r="D437" s="195">
        <v>1425</v>
      </c>
      <c r="E437" s="195">
        <v>104</v>
      </c>
      <c r="F437" s="195">
        <v>104</v>
      </c>
      <c r="G437" s="239">
        <v>430</v>
      </c>
      <c r="H437" s="197" t="s">
        <v>79</v>
      </c>
      <c r="I437" s="242" t="s">
        <v>425</v>
      </c>
      <c r="J437" s="242" t="s">
        <v>11382</v>
      </c>
      <c r="K437" s="195" t="s">
        <v>71</v>
      </c>
      <c r="L437" s="20" t="str">
        <f ca="1">IF(OFFSET(환산공식!$ED$15,$F437,0)=1,"O","X")</f>
        <v>X</v>
      </c>
      <c r="M437" s="188">
        <f ca="1">IFERROR(OFFSET(환산공식!DJ$15,$F437,0),"")</f>
        <v>200</v>
      </c>
      <c r="N437" s="20" t="str">
        <f ca="1">IFERROR(CONCATENATE(ROUND(OFFSET(환산공식!DK$15,$F437,0),1),"%"),"")</f>
        <v>100%</v>
      </c>
      <c r="O437" s="20">
        <f ca="1">IFERROR(OFFSET(환산공식!DL$15,$F437,0),"")</f>
        <v>10</v>
      </c>
      <c r="P437" s="188" t="str">
        <f t="shared" ca="1" si="12"/>
        <v>3% 이하</v>
      </c>
      <c r="Q437" s="194">
        <f ca="1">IFERROR(ROUND(OFFSET(환산공식!$FG$15,$F437,0),3),"")</f>
        <v>0</v>
      </c>
      <c r="R437" s="194">
        <f ca="1">OFFSET('배치점수 계산기'!H$10,$D437,0)</f>
        <v>865.94500000000005</v>
      </c>
      <c r="S437" s="194">
        <f ca="1">OFFSET('배치점수 계산기'!I$10,$D437,0)</f>
        <v>861.79</v>
      </c>
      <c r="T437" s="194">
        <f ca="1">OFFSET('배치점수 계산기'!J$10,$D437,0)</f>
        <v>856.10500000000002</v>
      </c>
      <c r="U437" s="194">
        <f ca="1">OFFSET('배치점수 계산기'!K$10,$D437,0)</f>
        <v>846.49</v>
      </c>
      <c r="V437" s="194">
        <f ca="1">OFFSET('배치점수 계산기'!L$10,$D437,0)</f>
        <v>838.55499999999995</v>
      </c>
      <c r="W437" s="186" t="str">
        <f ca="1">OFFSET('배치점수 계산기'!M$10,$D437,0)</f>
        <v>백분위</v>
      </c>
      <c r="X437" s="184" t="str">
        <f ca="1">OFFSET('배치점수 계산기'!N$10,$D437,0)</f>
        <v>백분위</v>
      </c>
      <c r="Y437" s="188">
        <f ca="1">OFFSET(환산공식!FW$15,$F437,0)</f>
        <v>0.44</v>
      </c>
      <c r="Z437" s="20">
        <f ca="1">OFFSET(환산공식!FX$15,$F437,0)</f>
        <v>0.31</v>
      </c>
      <c r="AA437" s="179">
        <f ca="1">OFFSET(환산공식!FY$15,$F437,0)</f>
        <v>0.25</v>
      </c>
      <c r="AB437" s="3"/>
      <c r="AD437">
        <f t="shared" ca="1" si="13"/>
        <v>6</v>
      </c>
      <c r="AF437" s="3"/>
      <c r="AG437" s="3"/>
      <c r="AH437" s="3"/>
    </row>
    <row r="438" spans="1:34">
      <c r="A438" s="198"/>
      <c r="B438" s="198"/>
      <c r="C438" s="198" t="s">
        <v>1890</v>
      </c>
      <c r="D438" s="195">
        <v>1426</v>
      </c>
      <c r="E438" s="195">
        <v>104</v>
      </c>
      <c r="F438" s="195">
        <v>104</v>
      </c>
      <c r="G438" s="239">
        <v>431</v>
      </c>
      <c r="H438" s="197" t="s">
        <v>79</v>
      </c>
      <c r="I438" s="242" t="s">
        <v>425</v>
      </c>
      <c r="J438" s="242" t="s">
        <v>11420</v>
      </c>
      <c r="K438" s="195" t="s">
        <v>71</v>
      </c>
      <c r="L438" s="20" t="str">
        <f ca="1">IF(OFFSET(환산공식!$ED$15,$F438,0)=1,"O","X")</f>
        <v>X</v>
      </c>
      <c r="M438" s="188">
        <f ca="1">IFERROR(OFFSET(환산공식!DJ$15,$F438,0),"")</f>
        <v>200</v>
      </c>
      <c r="N438" s="20" t="str">
        <f ca="1">IFERROR(CONCATENATE(ROUND(OFFSET(환산공식!DK$15,$F438,0),1),"%"),"")</f>
        <v>100%</v>
      </c>
      <c r="O438" s="20">
        <f ca="1">IFERROR(OFFSET(환산공식!DL$15,$F438,0),"")</f>
        <v>10</v>
      </c>
      <c r="P438" s="188" t="str">
        <f t="shared" ca="1" si="12"/>
        <v>3% 이하</v>
      </c>
      <c r="Q438" s="194">
        <f ca="1">IFERROR(ROUND(OFFSET(환산공식!$FG$15,$F438,0),3),"")</f>
        <v>0</v>
      </c>
      <c r="R438" s="194">
        <f ca="1">OFFSET('배치점수 계산기'!H$10,$D438,0)</f>
        <v>864.69500000000005</v>
      </c>
      <c r="S438" s="194">
        <f ca="1">OFFSET('배치점수 계산기'!I$10,$D438,0)</f>
        <v>860.51</v>
      </c>
      <c r="T438" s="194">
        <f ca="1">OFFSET('배치점수 계산기'!J$10,$D438,0)</f>
        <v>854.78</v>
      </c>
      <c r="U438" s="194">
        <f ca="1">OFFSET('배치점수 계산기'!K$10,$D438,0)</f>
        <v>845.34</v>
      </c>
      <c r="V438" s="194">
        <f ca="1">OFFSET('배치점수 계산기'!L$10,$D438,0)</f>
        <v>837.05</v>
      </c>
      <c r="W438" s="186" t="str">
        <f ca="1">OFFSET('배치점수 계산기'!M$10,$D438,0)</f>
        <v>백분위</v>
      </c>
      <c r="X438" s="184" t="str">
        <f ca="1">OFFSET('배치점수 계산기'!N$10,$D438,0)</f>
        <v>백분위</v>
      </c>
      <c r="Y438" s="188">
        <f ca="1">OFFSET(환산공식!FW$15,$F438,0)</f>
        <v>0.44</v>
      </c>
      <c r="Z438" s="20">
        <f ca="1">OFFSET(환산공식!FX$15,$F438,0)</f>
        <v>0.31</v>
      </c>
      <c r="AA438" s="179">
        <f ca="1">OFFSET(환산공식!FY$15,$F438,0)</f>
        <v>0.25</v>
      </c>
      <c r="AB438" s="3"/>
      <c r="AD438">
        <f t="shared" ca="1" si="13"/>
        <v>6</v>
      </c>
      <c r="AF438" s="3"/>
      <c r="AG438" s="3"/>
      <c r="AH438" s="3"/>
    </row>
    <row r="439" spans="1:34">
      <c r="A439" s="198"/>
      <c r="B439" s="198"/>
      <c r="C439" s="198" t="s">
        <v>1891</v>
      </c>
      <c r="D439" s="195">
        <v>1427</v>
      </c>
      <c r="E439" s="195">
        <v>104</v>
      </c>
      <c r="F439" s="195">
        <v>104</v>
      </c>
      <c r="G439" s="239">
        <v>432</v>
      </c>
      <c r="H439" s="197" t="s">
        <v>79</v>
      </c>
      <c r="I439" s="242" t="s">
        <v>425</v>
      </c>
      <c r="J439" s="242" t="s">
        <v>11463</v>
      </c>
      <c r="K439" s="195" t="s">
        <v>71</v>
      </c>
      <c r="L439" s="20" t="str">
        <f ca="1">IF(OFFSET(환산공식!$ED$15,$F439,0)=1,"O","X")</f>
        <v>X</v>
      </c>
      <c r="M439" s="188">
        <f ca="1">IFERROR(OFFSET(환산공식!DJ$15,$F439,0),"")</f>
        <v>200</v>
      </c>
      <c r="N439" s="20" t="str">
        <f ca="1">IFERROR(CONCATENATE(ROUND(OFFSET(환산공식!DK$15,$F439,0),1),"%"),"")</f>
        <v>100%</v>
      </c>
      <c r="O439" s="20">
        <f ca="1">IFERROR(OFFSET(환산공식!DL$15,$F439,0),"")</f>
        <v>10</v>
      </c>
      <c r="P439" s="188" t="str">
        <f t="shared" ca="1" si="12"/>
        <v>3% 이하</v>
      </c>
      <c r="Q439" s="194">
        <f ca="1">IFERROR(ROUND(OFFSET(환산공식!$FG$15,$F439,0),3),"")</f>
        <v>0</v>
      </c>
      <c r="R439" s="194">
        <f ca="1">OFFSET('배치점수 계산기'!H$10,$D439,0)</f>
        <v>863.41499999999996</v>
      </c>
      <c r="S439" s="194">
        <f ca="1">OFFSET('배치점수 계산기'!I$10,$D439,0)</f>
        <v>858.76</v>
      </c>
      <c r="T439" s="194">
        <f ca="1">OFFSET('배치점수 계산기'!J$10,$D439,0)</f>
        <v>853.32500000000005</v>
      </c>
      <c r="U439" s="194">
        <f ca="1">OFFSET('배치점수 계산기'!K$10,$D439,0)</f>
        <v>844.06</v>
      </c>
      <c r="V439" s="194">
        <f ca="1">OFFSET('배치점수 계산기'!L$10,$D439,0)</f>
        <v>836.375</v>
      </c>
      <c r="W439" s="186" t="str">
        <f ca="1">OFFSET('배치점수 계산기'!M$10,$D439,0)</f>
        <v>백분위</v>
      </c>
      <c r="X439" s="184" t="str">
        <f ca="1">OFFSET('배치점수 계산기'!N$10,$D439,0)</f>
        <v>백분위</v>
      </c>
      <c r="Y439" s="188">
        <f ca="1">OFFSET(환산공식!FW$15,$F439,0)</f>
        <v>0.44</v>
      </c>
      <c r="Z439" s="20">
        <f ca="1">OFFSET(환산공식!FX$15,$F439,0)</f>
        <v>0.31</v>
      </c>
      <c r="AA439" s="179">
        <f ca="1">OFFSET(환산공식!FY$15,$F439,0)</f>
        <v>0.25</v>
      </c>
      <c r="AB439" s="3"/>
      <c r="AD439">
        <f t="shared" ca="1" si="13"/>
        <v>6</v>
      </c>
      <c r="AF439" s="3"/>
      <c r="AG439" s="3"/>
      <c r="AH439" s="3"/>
    </row>
    <row r="440" spans="1:34">
      <c r="A440" s="198"/>
      <c r="B440" s="198"/>
      <c r="C440" s="198" t="s">
        <v>1892</v>
      </c>
      <c r="D440" s="195">
        <v>1428</v>
      </c>
      <c r="E440" s="195">
        <v>104</v>
      </c>
      <c r="F440" s="195">
        <v>104</v>
      </c>
      <c r="G440" s="239">
        <v>433</v>
      </c>
      <c r="H440" s="197" t="s">
        <v>79</v>
      </c>
      <c r="I440" s="242" t="s">
        <v>425</v>
      </c>
      <c r="J440" s="242" t="s">
        <v>11515</v>
      </c>
      <c r="K440" s="195" t="s">
        <v>71</v>
      </c>
      <c r="L440" s="20" t="str">
        <f ca="1">IF(OFFSET(환산공식!$ED$15,$F440,0)=1,"O","X")</f>
        <v>X</v>
      </c>
      <c r="M440" s="188">
        <f ca="1">IFERROR(OFFSET(환산공식!DJ$15,$F440,0),"")</f>
        <v>200</v>
      </c>
      <c r="N440" s="20" t="str">
        <f ca="1">IFERROR(CONCATENATE(ROUND(OFFSET(환산공식!DK$15,$F440,0),1),"%"),"")</f>
        <v>100%</v>
      </c>
      <c r="O440" s="20">
        <f ca="1">IFERROR(OFFSET(환산공식!DL$15,$F440,0),"")</f>
        <v>10</v>
      </c>
      <c r="P440" s="188" t="str">
        <f t="shared" ca="1" si="12"/>
        <v>3% 이하</v>
      </c>
      <c r="Q440" s="194">
        <f ca="1">IFERROR(ROUND(OFFSET(환산공식!$FG$15,$F440,0),3),"")</f>
        <v>0</v>
      </c>
      <c r="R440" s="194">
        <f ca="1">OFFSET('배치점수 계산기'!H$10,$D440,0)</f>
        <v>861.44</v>
      </c>
      <c r="S440" s="194">
        <f ca="1">OFFSET('배치점수 계산기'!I$10,$D440,0)</f>
        <v>856.10500000000002</v>
      </c>
      <c r="T440" s="194">
        <f ca="1">OFFSET('배치점수 계산기'!J$10,$D440,0)</f>
        <v>849.77</v>
      </c>
      <c r="U440" s="194">
        <f ca="1">OFFSET('배치점수 계산기'!K$10,$D440,0)</f>
        <v>840.98500000000001</v>
      </c>
      <c r="V440" s="194">
        <f ca="1">OFFSET('배치점수 계산기'!L$10,$D440,0)</f>
        <v>832.62</v>
      </c>
      <c r="W440" s="186" t="str">
        <f ca="1">OFFSET('배치점수 계산기'!M$10,$D440,0)</f>
        <v>백분위</v>
      </c>
      <c r="X440" s="184" t="str">
        <f ca="1">OFFSET('배치점수 계산기'!N$10,$D440,0)</f>
        <v>백분위</v>
      </c>
      <c r="Y440" s="188">
        <f ca="1">OFFSET(환산공식!FW$15,$F440,0)</f>
        <v>0.44</v>
      </c>
      <c r="Z440" s="20">
        <f ca="1">OFFSET(환산공식!FX$15,$F440,0)</f>
        <v>0.31</v>
      </c>
      <c r="AA440" s="179">
        <f ca="1">OFFSET(환산공식!FY$15,$F440,0)</f>
        <v>0.25</v>
      </c>
      <c r="AB440" s="3"/>
      <c r="AD440">
        <f t="shared" ca="1" si="13"/>
        <v>6</v>
      </c>
      <c r="AF440" s="3"/>
      <c r="AG440" s="3"/>
      <c r="AH440" s="3"/>
    </row>
    <row r="441" spans="1:34">
      <c r="A441" s="198"/>
      <c r="B441" s="198"/>
      <c r="C441" s="198" t="s">
        <v>1893</v>
      </c>
      <c r="D441" s="195">
        <v>1429</v>
      </c>
      <c r="E441" s="195">
        <v>244</v>
      </c>
      <c r="F441" s="195">
        <v>244</v>
      </c>
      <c r="G441" s="239">
        <v>434</v>
      </c>
      <c r="H441" s="197" t="s">
        <v>79</v>
      </c>
      <c r="I441" s="242" t="s">
        <v>195</v>
      </c>
      <c r="J441" s="242" t="s">
        <v>16693</v>
      </c>
      <c r="K441" s="195" t="s">
        <v>70</v>
      </c>
      <c r="L441" s="20" t="str">
        <f ca="1">IF(OFFSET(환산공식!$ED$15,$F441,0)=1,"O","X")</f>
        <v>X</v>
      </c>
      <c r="M441" s="188">
        <f ca="1">IFERROR(OFFSET(환산공식!DJ$15,$F441,0),"")</f>
        <v>19.600000000000001</v>
      </c>
      <c r="N441" s="20" t="str">
        <f ca="1">IFERROR(CONCATENATE(ROUND(OFFSET(환산공식!DK$15,$F441,0),1),"%"),"")</f>
        <v/>
      </c>
      <c r="O441" s="20">
        <f ca="1">IFERROR(OFFSET(환산공식!DL$15,$F441,0),"")</f>
        <v>0</v>
      </c>
      <c r="P441" s="188" t="str">
        <f t="shared" ca="1" si="12"/>
        <v>90% 이상</v>
      </c>
      <c r="Q441" s="194" t="str">
        <f ca="1">IFERROR(ROUND(OFFSET(환산공식!$FG$15,$F441,0),3),"")</f>
        <v/>
      </c>
      <c r="R441" s="194">
        <f ca="1">OFFSET('배치점수 계산기'!H$10,$D441,0)</f>
        <v>90.820999999999998</v>
      </c>
      <c r="S441" s="194">
        <f ca="1">OFFSET('배치점수 계산기'!I$10,$D441,0)</f>
        <v>90.581000000000003</v>
      </c>
      <c r="T441" s="194">
        <f ca="1">OFFSET('배치점수 계산기'!J$10,$D441,0)</f>
        <v>90.162000000000006</v>
      </c>
      <c r="U441" s="194">
        <f ca="1">OFFSET('배치점수 계산기'!K$10,$D441,0)</f>
        <v>89.513000000000005</v>
      </c>
      <c r="V441" s="194">
        <f ca="1">OFFSET('배치점수 계산기'!L$10,$D441,0)</f>
        <v>88.873999999999995</v>
      </c>
      <c r="W441" s="186" t="str">
        <f ca="1">OFFSET('배치점수 계산기'!M$10,$D441,0)</f>
        <v>백분위</v>
      </c>
      <c r="X441" s="184" t="str">
        <f ca="1">OFFSET('배치점수 계산기'!N$10,$D441,0)</f>
        <v>백분위</v>
      </c>
      <c r="Y441" s="188" t="e">
        <f ca="1">OFFSET(환산공식!FW$15,$F441,0)</f>
        <v>#VALUE!</v>
      </c>
      <c r="Z441" s="20" t="e">
        <f ca="1">OFFSET(환산공식!FX$15,$F441,0)</f>
        <v>#VALUE!</v>
      </c>
      <c r="AA441" s="179" t="e">
        <f ca="1">OFFSET(환산공식!FY$15,$F441,0)</f>
        <v>#VALUE!</v>
      </c>
      <c r="AB441" s="3"/>
      <c r="AD441">
        <f t="shared" ca="1" si="13"/>
        <v>6</v>
      </c>
      <c r="AF441" s="3"/>
      <c r="AG441" s="3"/>
      <c r="AH441" s="3"/>
    </row>
    <row r="442" spans="1:34">
      <c r="A442" s="198"/>
      <c r="B442" s="198"/>
      <c r="C442" s="198" t="s">
        <v>1894</v>
      </c>
      <c r="D442" s="195">
        <v>1430</v>
      </c>
      <c r="E442" s="195">
        <v>244</v>
      </c>
      <c r="F442" s="195">
        <v>244</v>
      </c>
      <c r="G442" s="239">
        <v>435</v>
      </c>
      <c r="H442" s="197" t="s">
        <v>79</v>
      </c>
      <c r="I442" s="242" t="s">
        <v>195</v>
      </c>
      <c r="J442" s="242" t="s">
        <v>16694</v>
      </c>
      <c r="K442" s="195" t="s">
        <v>70</v>
      </c>
      <c r="L442" s="20" t="str">
        <f ca="1">IF(OFFSET(환산공식!$ED$15,$F442,0)=1,"O","X")</f>
        <v>X</v>
      </c>
      <c r="M442" s="188">
        <f ca="1">IFERROR(OFFSET(환산공식!DJ$15,$F442,0),"")</f>
        <v>19.600000000000001</v>
      </c>
      <c r="N442" s="20" t="str">
        <f ca="1">IFERROR(CONCATENATE(ROUND(OFFSET(환산공식!DK$15,$F442,0),1),"%"),"")</f>
        <v/>
      </c>
      <c r="O442" s="20">
        <f ca="1">IFERROR(OFFSET(환산공식!DL$15,$F442,0),"")</f>
        <v>0</v>
      </c>
      <c r="P442" s="188" t="str">
        <f t="shared" ca="1" si="12"/>
        <v>90% 이상</v>
      </c>
      <c r="Q442" s="194" t="str">
        <f ca="1">IFERROR(ROUND(OFFSET(환산공식!$FG$15,$F442,0),3),"")</f>
        <v/>
      </c>
      <c r="R442" s="194">
        <f ca="1">OFFSET('배치점수 계산기'!H$10,$D442,0)</f>
        <v>87.332999999999998</v>
      </c>
      <c r="S442" s="194">
        <f ca="1">OFFSET('배치점수 계산기'!I$10,$D442,0)</f>
        <v>86.983999999999995</v>
      </c>
      <c r="T442" s="194">
        <f ca="1">OFFSET('배치점수 계산기'!J$10,$D442,0)</f>
        <v>86.183000000000007</v>
      </c>
      <c r="U442" s="194">
        <f ca="1">OFFSET('배치점수 계산기'!K$10,$D442,0)</f>
        <v>85.614999999999995</v>
      </c>
      <c r="V442" s="194">
        <f ca="1">OFFSET('배치점수 계산기'!L$10,$D442,0)</f>
        <v>84.578999999999994</v>
      </c>
      <c r="W442" s="186" t="str">
        <f ca="1">OFFSET('배치점수 계산기'!M$10,$D442,0)</f>
        <v>백분위</v>
      </c>
      <c r="X442" s="184" t="str">
        <f ca="1">OFFSET('배치점수 계산기'!N$10,$D442,0)</f>
        <v>백분위</v>
      </c>
      <c r="Y442" s="188" t="e">
        <f ca="1">OFFSET(환산공식!FW$15,$F442,0)</f>
        <v>#VALUE!</v>
      </c>
      <c r="Z442" s="20" t="e">
        <f ca="1">OFFSET(환산공식!FX$15,$F442,0)</f>
        <v>#VALUE!</v>
      </c>
      <c r="AA442" s="179" t="e">
        <f ca="1">OFFSET(환산공식!FY$15,$F442,0)</f>
        <v>#VALUE!</v>
      </c>
      <c r="AB442" s="3"/>
      <c r="AD442">
        <f t="shared" ca="1" si="13"/>
        <v>6</v>
      </c>
      <c r="AF442" s="3"/>
      <c r="AG442" s="3"/>
      <c r="AH442" s="3"/>
    </row>
    <row r="443" spans="1:34">
      <c r="A443" s="198"/>
      <c r="B443" s="198"/>
      <c r="C443" s="198" t="s">
        <v>1895</v>
      </c>
      <c r="D443" s="195">
        <v>1431</v>
      </c>
      <c r="E443" s="195">
        <v>244</v>
      </c>
      <c r="F443" s="195">
        <v>244</v>
      </c>
      <c r="G443" s="239">
        <v>436</v>
      </c>
      <c r="H443" s="197" t="s">
        <v>79</v>
      </c>
      <c r="I443" s="242" t="s">
        <v>195</v>
      </c>
      <c r="J443" s="242" t="s">
        <v>16695</v>
      </c>
      <c r="K443" s="195" t="s">
        <v>70</v>
      </c>
      <c r="L443" s="20" t="str">
        <f ca="1">IF(OFFSET(환산공식!$ED$15,$F443,0)=1,"O","X")</f>
        <v>X</v>
      </c>
      <c r="M443" s="188">
        <f ca="1">IFERROR(OFFSET(환산공식!DJ$15,$F443,0),"")</f>
        <v>19.600000000000001</v>
      </c>
      <c r="N443" s="20" t="str">
        <f ca="1">IFERROR(CONCATENATE(ROUND(OFFSET(환산공식!DK$15,$F443,0),1),"%"),"")</f>
        <v/>
      </c>
      <c r="O443" s="20">
        <f ca="1">IFERROR(OFFSET(환산공식!DL$15,$F443,0),"")</f>
        <v>0</v>
      </c>
      <c r="P443" s="188" t="str">
        <f t="shared" ca="1" si="12"/>
        <v>90% 이상</v>
      </c>
      <c r="Q443" s="194" t="str">
        <f ca="1">IFERROR(ROUND(OFFSET(환산공식!$FG$15,$F443,0),3),"")</f>
        <v/>
      </c>
      <c r="R443" s="194">
        <f ca="1">OFFSET('배치점수 계산기'!H$10,$D443,0)</f>
        <v>86.983999999999995</v>
      </c>
      <c r="S443" s="194">
        <f ca="1">OFFSET('배치점수 계산기'!I$10,$D443,0)</f>
        <v>86.477999999999994</v>
      </c>
      <c r="T443" s="194">
        <f ca="1">OFFSET('배치점수 계산기'!J$10,$D443,0)</f>
        <v>85.814999999999998</v>
      </c>
      <c r="U443" s="194">
        <f ca="1">OFFSET('배치점수 계산기'!K$10,$D443,0)</f>
        <v>85.343000000000004</v>
      </c>
      <c r="V443" s="194">
        <f ca="1">OFFSET('배치점수 계산기'!L$10,$D443,0)</f>
        <v>84.344999999999999</v>
      </c>
      <c r="W443" s="186" t="str">
        <f ca="1">OFFSET('배치점수 계산기'!M$10,$D443,0)</f>
        <v>백분위</v>
      </c>
      <c r="X443" s="184" t="str">
        <f ca="1">OFFSET('배치점수 계산기'!N$10,$D443,0)</f>
        <v>백분위</v>
      </c>
      <c r="Y443" s="188" t="e">
        <f ca="1">OFFSET(환산공식!FW$15,$F443,0)</f>
        <v>#VALUE!</v>
      </c>
      <c r="Z443" s="20" t="e">
        <f ca="1">OFFSET(환산공식!FX$15,$F443,0)</f>
        <v>#VALUE!</v>
      </c>
      <c r="AA443" s="179" t="e">
        <f ca="1">OFFSET(환산공식!FY$15,$F443,0)</f>
        <v>#VALUE!</v>
      </c>
      <c r="AB443" s="3"/>
      <c r="AD443">
        <f t="shared" ca="1" si="13"/>
        <v>6</v>
      </c>
      <c r="AF443" s="3"/>
      <c r="AG443" s="3"/>
      <c r="AH443" s="3"/>
    </row>
    <row r="444" spans="1:34">
      <c r="A444" s="198"/>
      <c r="B444" s="198"/>
      <c r="C444" s="198" t="s">
        <v>1896</v>
      </c>
      <c r="D444" s="195">
        <v>1432</v>
      </c>
      <c r="E444" s="195">
        <v>244</v>
      </c>
      <c r="F444" s="195">
        <v>244</v>
      </c>
      <c r="G444" s="239">
        <v>437</v>
      </c>
      <c r="H444" s="197" t="s">
        <v>79</v>
      </c>
      <c r="I444" s="242" t="s">
        <v>195</v>
      </c>
      <c r="J444" s="242" t="s">
        <v>16696</v>
      </c>
      <c r="K444" s="195" t="s">
        <v>70</v>
      </c>
      <c r="L444" s="20" t="str">
        <f ca="1">IF(OFFSET(환산공식!$ED$15,$F444,0)=1,"O","X")</f>
        <v>X</v>
      </c>
      <c r="M444" s="188">
        <f ca="1">IFERROR(OFFSET(환산공식!DJ$15,$F444,0),"")</f>
        <v>19.600000000000001</v>
      </c>
      <c r="N444" s="20" t="str">
        <f ca="1">IFERROR(CONCATENATE(ROUND(OFFSET(환산공식!DK$15,$F444,0),1),"%"),"")</f>
        <v/>
      </c>
      <c r="O444" s="20">
        <f ca="1">IFERROR(OFFSET(환산공식!DL$15,$F444,0),"")</f>
        <v>0</v>
      </c>
      <c r="P444" s="188" t="str">
        <f t="shared" ca="1" si="12"/>
        <v>90% 이상</v>
      </c>
      <c r="Q444" s="194" t="str">
        <f ca="1">IFERROR(ROUND(OFFSET(환산공식!$FG$15,$F444,0),3),"")</f>
        <v/>
      </c>
      <c r="R444" s="194">
        <f ca="1">OFFSET('배치점수 계산기'!H$10,$D444,0)</f>
        <v>86.224000000000004</v>
      </c>
      <c r="S444" s="194">
        <f ca="1">OFFSET('배치점수 계산기'!I$10,$D444,0)</f>
        <v>85.814999999999998</v>
      </c>
      <c r="T444" s="194">
        <f ca="1">OFFSET('배치점수 계산기'!J$10,$D444,0)</f>
        <v>85.290999999999997</v>
      </c>
      <c r="U444" s="194">
        <f ca="1">OFFSET('배치점수 계산기'!K$10,$D444,0)</f>
        <v>84.578999999999994</v>
      </c>
      <c r="V444" s="194">
        <f ca="1">OFFSET('배치점수 계산기'!L$10,$D444,0)</f>
        <v>84.12</v>
      </c>
      <c r="W444" s="186" t="str">
        <f ca="1">OFFSET('배치점수 계산기'!M$10,$D444,0)</f>
        <v>백분위</v>
      </c>
      <c r="X444" s="184" t="str">
        <f ca="1">OFFSET('배치점수 계산기'!N$10,$D444,0)</f>
        <v>백분위</v>
      </c>
      <c r="Y444" s="188" t="e">
        <f ca="1">OFFSET(환산공식!FW$15,$F444,0)</f>
        <v>#VALUE!</v>
      </c>
      <c r="Z444" s="20" t="e">
        <f ca="1">OFFSET(환산공식!FX$15,$F444,0)</f>
        <v>#VALUE!</v>
      </c>
      <c r="AA444" s="179" t="e">
        <f ca="1">OFFSET(환산공식!FY$15,$F444,0)</f>
        <v>#VALUE!</v>
      </c>
      <c r="AB444" s="3"/>
      <c r="AD444">
        <f t="shared" ca="1" si="13"/>
        <v>6</v>
      </c>
      <c r="AF444" s="3"/>
      <c r="AG444" s="3"/>
      <c r="AH444" s="3"/>
    </row>
    <row r="445" spans="1:34">
      <c r="A445" s="198"/>
      <c r="B445" s="198"/>
      <c r="C445" s="198" t="s">
        <v>1897</v>
      </c>
      <c r="D445" s="195">
        <v>1433</v>
      </c>
      <c r="E445" s="195">
        <v>244</v>
      </c>
      <c r="F445" s="195">
        <v>244</v>
      </c>
      <c r="G445" s="239">
        <v>438</v>
      </c>
      <c r="H445" s="197" t="s">
        <v>79</v>
      </c>
      <c r="I445" s="242" t="s">
        <v>195</v>
      </c>
      <c r="J445" s="242" t="s">
        <v>16697</v>
      </c>
      <c r="K445" s="195" t="s">
        <v>70</v>
      </c>
      <c r="L445" s="20" t="str">
        <f ca="1">IF(OFFSET(환산공식!$ED$15,$F445,0)=1,"O","X")</f>
        <v>X</v>
      </c>
      <c r="M445" s="188">
        <f ca="1">IFERROR(OFFSET(환산공식!DJ$15,$F445,0),"")</f>
        <v>19.600000000000001</v>
      </c>
      <c r="N445" s="20" t="str">
        <f ca="1">IFERROR(CONCATENATE(ROUND(OFFSET(환산공식!DK$15,$F445,0),1),"%"),"")</f>
        <v/>
      </c>
      <c r="O445" s="20">
        <f ca="1">IFERROR(OFFSET(환산공식!DL$15,$F445,0),"")</f>
        <v>0</v>
      </c>
      <c r="P445" s="188" t="str">
        <f t="shared" ca="1" si="12"/>
        <v>90% 이상</v>
      </c>
      <c r="Q445" s="194" t="str">
        <f ca="1">IFERROR(ROUND(OFFSET(환산공식!$FG$15,$F445,0),3),"")</f>
        <v/>
      </c>
      <c r="R445" s="194">
        <f ca="1">OFFSET('배치점수 계산기'!H$10,$D445,0)</f>
        <v>85.841999999999999</v>
      </c>
      <c r="S445" s="194">
        <f ca="1">OFFSET('배치점수 계산기'!I$10,$D445,0)</f>
        <v>85.522999999999996</v>
      </c>
      <c r="T445" s="194">
        <f ca="1">OFFSET('배치점수 계산기'!J$10,$D445,0)</f>
        <v>84.884</v>
      </c>
      <c r="U445" s="194">
        <f ca="1">OFFSET('배치점수 계산기'!K$10,$D445,0)</f>
        <v>84.245000000000005</v>
      </c>
      <c r="V445" s="194">
        <f ca="1">OFFSET('배치점수 계산기'!L$10,$D445,0)</f>
        <v>83.194000000000003</v>
      </c>
      <c r="W445" s="186" t="str">
        <f ca="1">OFFSET('배치점수 계산기'!M$10,$D445,0)</f>
        <v>백분위</v>
      </c>
      <c r="X445" s="184" t="str">
        <f ca="1">OFFSET('배치점수 계산기'!N$10,$D445,0)</f>
        <v>백분위</v>
      </c>
      <c r="Y445" s="188" t="e">
        <f ca="1">OFFSET(환산공식!FW$15,$F445,0)</f>
        <v>#VALUE!</v>
      </c>
      <c r="Z445" s="20" t="e">
        <f ca="1">OFFSET(환산공식!FX$15,$F445,0)</f>
        <v>#VALUE!</v>
      </c>
      <c r="AA445" s="179" t="e">
        <f ca="1">OFFSET(환산공식!FY$15,$F445,0)</f>
        <v>#VALUE!</v>
      </c>
      <c r="AB445" s="3"/>
      <c r="AD445">
        <f t="shared" ca="1" si="13"/>
        <v>6</v>
      </c>
      <c r="AF445" s="3"/>
      <c r="AG445" s="3"/>
      <c r="AH445" s="3"/>
    </row>
    <row r="446" spans="1:34">
      <c r="A446" s="198"/>
      <c r="B446" s="198"/>
      <c r="C446" s="198" t="s">
        <v>1898</v>
      </c>
      <c r="D446" s="195">
        <v>1434</v>
      </c>
      <c r="E446" s="195">
        <v>244</v>
      </c>
      <c r="F446" s="195">
        <v>244</v>
      </c>
      <c r="G446" s="239">
        <v>439</v>
      </c>
      <c r="H446" s="197" t="s">
        <v>79</v>
      </c>
      <c r="I446" s="242" t="s">
        <v>195</v>
      </c>
      <c r="J446" s="242" t="s">
        <v>16698</v>
      </c>
      <c r="K446" s="195" t="s">
        <v>70</v>
      </c>
      <c r="L446" s="20" t="str">
        <f ca="1">IF(OFFSET(환산공식!$ED$15,$F446,0)=1,"O","X")</f>
        <v>X</v>
      </c>
      <c r="M446" s="188">
        <f ca="1">IFERROR(OFFSET(환산공식!DJ$15,$F446,0),"")</f>
        <v>19.600000000000001</v>
      </c>
      <c r="N446" s="20" t="str">
        <f ca="1">IFERROR(CONCATENATE(ROUND(OFFSET(환산공식!DK$15,$F446,0),1),"%"),"")</f>
        <v/>
      </c>
      <c r="O446" s="20">
        <f ca="1">IFERROR(OFFSET(환산공식!DL$15,$F446,0),"")</f>
        <v>0</v>
      </c>
      <c r="P446" s="188" t="str">
        <f t="shared" ca="1" si="12"/>
        <v>90% 이상</v>
      </c>
      <c r="Q446" s="194" t="str">
        <f ca="1">IFERROR(ROUND(OFFSET(환산공식!$FG$15,$F446,0),3),"")</f>
        <v/>
      </c>
      <c r="R446" s="194">
        <f ca="1">OFFSET('배치점수 계산기'!H$10,$D446,0)</f>
        <v>85.66</v>
      </c>
      <c r="S446" s="194">
        <f ca="1">OFFSET('배치점수 계산기'!I$10,$D446,0)</f>
        <v>85.338999999999999</v>
      </c>
      <c r="T446" s="194">
        <f ca="1">OFFSET('배치점수 계산기'!J$10,$D446,0)</f>
        <v>84.682000000000002</v>
      </c>
      <c r="U446" s="194">
        <f ca="1">OFFSET('배치점수 계산기'!K$10,$D446,0)</f>
        <v>83.954999999999998</v>
      </c>
      <c r="V446" s="194">
        <f ca="1">OFFSET('배치점수 계산기'!L$10,$D446,0)</f>
        <v>82.79</v>
      </c>
      <c r="W446" s="186" t="str">
        <f ca="1">OFFSET('배치점수 계산기'!M$10,$D446,0)</f>
        <v>백분위</v>
      </c>
      <c r="X446" s="184" t="str">
        <f ca="1">OFFSET('배치점수 계산기'!N$10,$D446,0)</f>
        <v>백분위</v>
      </c>
      <c r="Y446" s="188" t="e">
        <f ca="1">OFFSET(환산공식!FW$15,$F446,0)</f>
        <v>#VALUE!</v>
      </c>
      <c r="Z446" s="20" t="e">
        <f ca="1">OFFSET(환산공식!FX$15,$F446,0)</f>
        <v>#VALUE!</v>
      </c>
      <c r="AA446" s="179" t="e">
        <f ca="1">OFFSET(환산공식!FY$15,$F446,0)</f>
        <v>#VALUE!</v>
      </c>
      <c r="AB446" s="3"/>
      <c r="AD446">
        <f t="shared" ca="1" si="13"/>
        <v>6</v>
      </c>
      <c r="AF446" s="3"/>
      <c r="AG446" s="3"/>
      <c r="AH446" s="3"/>
    </row>
    <row r="447" spans="1:34">
      <c r="A447" s="198"/>
      <c r="B447" s="198"/>
      <c r="C447" s="198" t="s">
        <v>1899</v>
      </c>
      <c r="D447" s="195">
        <v>1435</v>
      </c>
      <c r="E447" s="195">
        <v>244</v>
      </c>
      <c r="F447" s="195">
        <v>244</v>
      </c>
      <c r="G447" s="239">
        <v>440</v>
      </c>
      <c r="H447" s="197" t="s">
        <v>79</v>
      </c>
      <c r="I447" s="242" t="s">
        <v>195</v>
      </c>
      <c r="J447" s="242" t="s">
        <v>16699</v>
      </c>
      <c r="K447" s="195" t="s">
        <v>70</v>
      </c>
      <c r="L447" s="20" t="str">
        <f ca="1">IF(OFFSET(환산공식!$ED$15,$F447,0)=1,"O","X")</f>
        <v>X</v>
      </c>
      <c r="M447" s="188">
        <f ca="1">IFERROR(OFFSET(환산공식!DJ$15,$F447,0),"")</f>
        <v>19.600000000000001</v>
      </c>
      <c r="N447" s="20" t="str">
        <f ca="1">IFERROR(CONCATENATE(ROUND(OFFSET(환산공식!DK$15,$F447,0),1),"%"),"")</f>
        <v/>
      </c>
      <c r="O447" s="20">
        <f ca="1">IFERROR(OFFSET(환산공식!DL$15,$F447,0),"")</f>
        <v>0</v>
      </c>
      <c r="P447" s="188" t="str">
        <f t="shared" ca="1" si="12"/>
        <v>90% 이상</v>
      </c>
      <c r="Q447" s="194" t="str">
        <f ca="1">IFERROR(ROUND(OFFSET(환산공식!$FG$15,$F447,0),3),"")</f>
        <v/>
      </c>
      <c r="R447" s="194">
        <f ca="1">OFFSET('배치점수 계산기'!H$10,$D447,0)</f>
        <v>85.317999999999998</v>
      </c>
      <c r="S447" s="194">
        <f ca="1">OFFSET('배치점수 계산기'!I$10,$D447,0)</f>
        <v>84.823999999999998</v>
      </c>
      <c r="T447" s="194">
        <f ca="1">OFFSET('배치점수 계산기'!J$10,$D447,0)</f>
        <v>84.182000000000002</v>
      </c>
      <c r="U447" s="194">
        <f ca="1">OFFSET('배치점수 계산기'!K$10,$D447,0)</f>
        <v>83.504000000000005</v>
      </c>
      <c r="V447" s="194">
        <f ca="1">OFFSET('배치점수 계산기'!L$10,$D447,0)</f>
        <v>83.025999999999996</v>
      </c>
      <c r="W447" s="186" t="str">
        <f ca="1">OFFSET('배치점수 계산기'!M$10,$D447,0)</f>
        <v>백분위</v>
      </c>
      <c r="X447" s="184" t="str">
        <f ca="1">OFFSET('배치점수 계산기'!N$10,$D447,0)</f>
        <v>백분위</v>
      </c>
      <c r="Y447" s="188" t="e">
        <f ca="1">OFFSET(환산공식!FW$15,$F447,0)</f>
        <v>#VALUE!</v>
      </c>
      <c r="Z447" s="20" t="e">
        <f ca="1">OFFSET(환산공식!FX$15,$F447,0)</f>
        <v>#VALUE!</v>
      </c>
      <c r="AA447" s="179" t="e">
        <f ca="1">OFFSET(환산공식!FY$15,$F447,0)</f>
        <v>#VALUE!</v>
      </c>
      <c r="AB447" s="3"/>
      <c r="AD447">
        <f t="shared" ca="1" si="13"/>
        <v>6</v>
      </c>
      <c r="AF447" s="3"/>
      <c r="AG447" s="3"/>
      <c r="AH447" s="3"/>
    </row>
    <row r="448" spans="1:34">
      <c r="A448" s="198"/>
      <c r="B448" s="198"/>
      <c r="C448" s="198" t="s">
        <v>1900</v>
      </c>
      <c r="D448" s="195">
        <v>1436</v>
      </c>
      <c r="E448" s="195">
        <v>245</v>
      </c>
      <c r="F448" s="195">
        <v>245</v>
      </c>
      <c r="G448" s="239">
        <v>441</v>
      </c>
      <c r="H448" s="197" t="s">
        <v>79</v>
      </c>
      <c r="I448" s="242" t="s">
        <v>195</v>
      </c>
      <c r="J448" s="242" t="s">
        <v>16700</v>
      </c>
      <c r="K448" s="195" t="s">
        <v>71</v>
      </c>
      <c r="L448" s="20" t="str">
        <f ca="1">IF(OFFSET(환산공식!$ED$15,$F448,0)=1,"O","X")</f>
        <v>X</v>
      </c>
      <c r="M448" s="188">
        <f ca="1">IFERROR(OFFSET(환산공식!DJ$15,$F448,0),"")</f>
        <v>19.600000000000001</v>
      </c>
      <c r="N448" s="20" t="str">
        <f ca="1">IFERROR(CONCATENATE(ROUND(OFFSET(환산공식!DK$15,$F448,0),1),"%"),"")</f>
        <v/>
      </c>
      <c r="O448" s="20">
        <f ca="1">IFERROR(OFFSET(환산공식!DL$15,$F448,0),"")</f>
        <v>0</v>
      </c>
      <c r="P448" s="188" t="str">
        <f t="shared" ca="1" si="12"/>
        <v>90% 이상</v>
      </c>
      <c r="Q448" s="194" t="str">
        <f ca="1">IFERROR(ROUND(OFFSET(환산공식!$FG$15,$F448,0),3),"")</f>
        <v/>
      </c>
      <c r="R448" s="194">
        <f ca="1">OFFSET('배치점수 계산기'!H$10,$D448,0)</f>
        <v>87.744</v>
      </c>
      <c r="S448" s="194">
        <f ca="1">OFFSET('배치점수 계산기'!I$10,$D448,0)</f>
        <v>87.149000000000001</v>
      </c>
      <c r="T448" s="194">
        <f ca="1">OFFSET('배치점수 계산기'!J$10,$D448,0)</f>
        <v>86.412999999999997</v>
      </c>
      <c r="U448" s="194">
        <f ca="1">OFFSET('배치점수 계산기'!K$10,$D448,0)</f>
        <v>85.765000000000001</v>
      </c>
      <c r="V448" s="194">
        <f ca="1">OFFSET('배치점수 계산기'!L$10,$D448,0)</f>
        <v>85.331999999999994</v>
      </c>
      <c r="W448" s="186" t="str">
        <f ca="1">OFFSET('배치점수 계산기'!M$10,$D448,0)</f>
        <v>백분위</v>
      </c>
      <c r="X448" s="184" t="str">
        <f ca="1">OFFSET('배치점수 계산기'!N$10,$D448,0)</f>
        <v>백분위</v>
      </c>
      <c r="Y448" s="188" t="e">
        <f ca="1">OFFSET(환산공식!FW$15,$F448,0)</f>
        <v>#VALUE!</v>
      </c>
      <c r="Z448" s="20" t="e">
        <f ca="1">OFFSET(환산공식!FX$15,$F448,0)</f>
        <v>#VALUE!</v>
      </c>
      <c r="AA448" s="179" t="e">
        <f ca="1">OFFSET(환산공식!FY$15,$F448,0)</f>
        <v>#VALUE!</v>
      </c>
      <c r="AB448" s="3"/>
      <c r="AD448">
        <f t="shared" ca="1" si="13"/>
        <v>6</v>
      </c>
      <c r="AF448" s="3"/>
      <c r="AG448" s="3"/>
      <c r="AH448" s="3"/>
    </row>
    <row r="449" spans="1:34">
      <c r="A449" s="198"/>
      <c r="B449" s="198"/>
      <c r="C449" s="198" t="s">
        <v>1901</v>
      </c>
      <c r="D449" s="195">
        <v>1437</v>
      </c>
      <c r="E449" s="195">
        <v>245</v>
      </c>
      <c r="F449" s="195">
        <v>245</v>
      </c>
      <c r="G449" s="239">
        <v>442</v>
      </c>
      <c r="H449" s="197" t="s">
        <v>79</v>
      </c>
      <c r="I449" s="242" t="s">
        <v>195</v>
      </c>
      <c r="J449" s="242" t="s">
        <v>16701</v>
      </c>
      <c r="K449" s="195" t="s">
        <v>71</v>
      </c>
      <c r="L449" s="20" t="str">
        <f ca="1">IF(OFFSET(환산공식!$ED$15,$F449,0)=1,"O","X")</f>
        <v>X</v>
      </c>
      <c r="M449" s="188">
        <f ca="1">IFERROR(OFFSET(환산공식!DJ$15,$F449,0),"")</f>
        <v>19.600000000000001</v>
      </c>
      <c r="N449" s="20" t="str">
        <f ca="1">IFERROR(CONCATENATE(ROUND(OFFSET(환산공식!DK$15,$F449,0),1),"%"),"")</f>
        <v/>
      </c>
      <c r="O449" s="20">
        <f ca="1">IFERROR(OFFSET(환산공식!DL$15,$F449,0),"")</f>
        <v>0</v>
      </c>
      <c r="P449" s="188" t="str">
        <f t="shared" ca="1" si="12"/>
        <v>90% 이상</v>
      </c>
      <c r="Q449" s="194" t="str">
        <f ca="1">IFERROR(ROUND(OFFSET(환산공식!$FG$15,$F449,0),3),"")</f>
        <v/>
      </c>
      <c r="R449" s="194">
        <f ca="1">OFFSET('배치점수 계산기'!H$10,$D449,0)</f>
        <v>86.38</v>
      </c>
      <c r="S449" s="194">
        <f ca="1">OFFSET('배치점수 계산기'!I$10,$D449,0)</f>
        <v>85.947999999999993</v>
      </c>
      <c r="T449" s="194">
        <f ca="1">OFFSET('배치점수 계산기'!J$10,$D449,0)</f>
        <v>85.399000000000001</v>
      </c>
      <c r="U449" s="194">
        <f ca="1">OFFSET('배치점수 계산기'!K$10,$D449,0)</f>
        <v>84.616</v>
      </c>
      <c r="V449" s="194">
        <f ca="1">OFFSET('배치점수 계산기'!L$10,$D449,0)</f>
        <v>84.191999999999993</v>
      </c>
      <c r="W449" s="186" t="str">
        <f ca="1">OFFSET('배치점수 계산기'!M$10,$D449,0)</f>
        <v>백분위</v>
      </c>
      <c r="X449" s="184" t="str">
        <f ca="1">OFFSET('배치점수 계산기'!N$10,$D449,0)</f>
        <v>백분위</v>
      </c>
      <c r="Y449" s="188" t="e">
        <f ca="1">OFFSET(환산공식!FW$15,$F449,0)</f>
        <v>#VALUE!</v>
      </c>
      <c r="Z449" s="20" t="e">
        <f ca="1">OFFSET(환산공식!FX$15,$F449,0)</f>
        <v>#VALUE!</v>
      </c>
      <c r="AA449" s="179" t="e">
        <f ca="1">OFFSET(환산공식!FY$15,$F449,0)</f>
        <v>#VALUE!</v>
      </c>
      <c r="AB449" s="3"/>
      <c r="AD449">
        <f t="shared" ca="1" si="13"/>
        <v>6</v>
      </c>
      <c r="AF449" s="3"/>
      <c r="AG449" s="3"/>
      <c r="AH449" s="3"/>
    </row>
    <row r="450" spans="1:34">
      <c r="A450" s="198"/>
      <c r="B450" s="198"/>
      <c r="C450" s="198" t="s">
        <v>1902</v>
      </c>
      <c r="D450" s="195">
        <v>1438</v>
      </c>
      <c r="E450" s="195">
        <v>245</v>
      </c>
      <c r="F450" s="195">
        <v>245</v>
      </c>
      <c r="G450" s="239">
        <v>443</v>
      </c>
      <c r="H450" s="197" t="s">
        <v>79</v>
      </c>
      <c r="I450" s="242" t="s">
        <v>195</v>
      </c>
      <c r="J450" s="242" t="s">
        <v>16702</v>
      </c>
      <c r="K450" s="195" t="s">
        <v>71</v>
      </c>
      <c r="L450" s="20" t="str">
        <f ca="1">IF(OFFSET(환산공식!$ED$15,$F450,0)=1,"O","X")</f>
        <v>X</v>
      </c>
      <c r="M450" s="188">
        <f ca="1">IFERROR(OFFSET(환산공식!DJ$15,$F450,0),"")</f>
        <v>19.600000000000001</v>
      </c>
      <c r="N450" s="20" t="str">
        <f ca="1">IFERROR(CONCATENATE(ROUND(OFFSET(환산공식!DK$15,$F450,0),1),"%"),"")</f>
        <v/>
      </c>
      <c r="O450" s="20">
        <f ca="1">IFERROR(OFFSET(환산공식!DL$15,$F450,0),"")</f>
        <v>0</v>
      </c>
      <c r="P450" s="188" t="str">
        <f t="shared" ca="1" si="12"/>
        <v>90% 이상</v>
      </c>
      <c r="Q450" s="194" t="str">
        <f ca="1">IFERROR(ROUND(OFFSET(환산공식!$FG$15,$F450,0),3),"")</f>
        <v/>
      </c>
      <c r="R450" s="194">
        <f ca="1">OFFSET('배치점수 계산기'!H$10,$D450,0)</f>
        <v>86.004000000000005</v>
      </c>
      <c r="S450" s="194">
        <f ca="1">OFFSET('배치점수 계산기'!I$10,$D450,0)</f>
        <v>85.686999999999998</v>
      </c>
      <c r="T450" s="194">
        <f ca="1">OFFSET('배치점수 계산기'!J$10,$D450,0)</f>
        <v>84.866</v>
      </c>
      <c r="U450" s="194">
        <f ca="1">OFFSET('배치점수 계산기'!K$10,$D450,0)</f>
        <v>84.076999999999998</v>
      </c>
      <c r="V450" s="194">
        <f ca="1">OFFSET('배치점수 계산기'!L$10,$D450,0)</f>
        <v>83.655000000000001</v>
      </c>
      <c r="W450" s="186" t="str">
        <f ca="1">OFFSET('배치점수 계산기'!M$10,$D450,0)</f>
        <v>백분위</v>
      </c>
      <c r="X450" s="184" t="str">
        <f ca="1">OFFSET('배치점수 계산기'!N$10,$D450,0)</f>
        <v>백분위</v>
      </c>
      <c r="Y450" s="188" t="e">
        <f ca="1">OFFSET(환산공식!FW$15,$F450,0)</f>
        <v>#VALUE!</v>
      </c>
      <c r="Z450" s="20" t="e">
        <f ca="1">OFFSET(환산공식!FX$15,$F450,0)</f>
        <v>#VALUE!</v>
      </c>
      <c r="AA450" s="179" t="e">
        <f ca="1">OFFSET(환산공식!FY$15,$F450,0)</f>
        <v>#VALUE!</v>
      </c>
      <c r="AB450" s="3"/>
      <c r="AD450">
        <f t="shared" ca="1" si="13"/>
        <v>6</v>
      </c>
      <c r="AF450" s="3"/>
      <c r="AG450" s="3"/>
      <c r="AH450" s="3"/>
    </row>
    <row r="451" spans="1:34">
      <c r="A451" s="198"/>
      <c r="B451" s="198"/>
      <c r="C451" s="198" t="s">
        <v>1903</v>
      </c>
      <c r="D451" s="195">
        <v>1439</v>
      </c>
      <c r="E451" s="195">
        <v>245</v>
      </c>
      <c r="F451" s="195">
        <v>245</v>
      </c>
      <c r="G451" s="239">
        <v>444</v>
      </c>
      <c r="H451" s="197" t="s">
        <v>79</v>
      </c>
      <c r="I451" s="242" t="s">
        <v>195</v>
      </c>
      <c r="J451" s="242" t="s">
        <v>16703</v>
      </c>
      <c r="K451" s="195" t="s">
        <v>71</v>
      </c>
      <c r="L451" s="20" t="str">
        <f ca="1">IF(OFFSET(환산공식!$ED$15,$F451,0)=1,"O","X")</f>
        <v>X</v>
      </c>
      <c r="M451" s="188">
        <f ca="1">IFERROR(OFFSET(환산공식!DJ$15,$F451,0),"")</f>
        <v>19.600000000000001</v>
      </c>
      <c r="N451" s="20" t="str">
        <f ca="1">IFERROR(CONCATENATE(ROUND(OFFSET(환산공식!DK$15,$F451,0),1),"%"),"")</f>
        <v/>
      </c>
      <c r="O451" s="20">
        <f ca="1">IFERROR(OFFSET(환산공식!DL$15,$F451,0),"")</f>
        <v>0</v>
      </c>
      <c r="P451" s="188" t="str">
        <f t="shared" ca="1" si="12"/>
        <v>90% 이상</v>
      </c>
      <c r="Q451" s="194" t="str">
        <f ca="1">IFERROR(ROUND(OFFSET(환산공식!$FG$15,$F451,0),3),"")</f>
        <v/>
      </c>
      <c r="R451" s="194">
        <f ca="1">OFFSET('배치점수 계산기'!H$10,$D451,0)</f>
        <v>85.183000000000007</v>
      </c>
      <c r="S451" s="194">
        <f ca="1">OFFSET('배치점수 계산기'!I$10,$D451,0)</f>
        <v>84.616</v>
      </c>
      <c r="T451" s="194">
        <f ca="1">OFFSET('배치점수 계산기'!J$10,$D451,0)</f>
        <v>83.858999999999995</v>
      </c>
      <c r="U451" s="194">
        <f ca="1">OFFSET('배치점수 계산기'!K$10,$D451,0)</f>
        <v>83.256</v>
      </c>
      <c r="V451" s="194">
        <f ca="1">OFFSET('배치점수 계산기'!L$10,$D451,0)</f>
        <v>82.863</v>
      </c>
      <c r="W451" s="186" t="str">
        <f ca="1">OFFSET('배치점수 계산기'!M$10,$D451,0)</f>
        <v>백분위</v>
      </c>
      <c r="X451" s="184" t="str">
        <f ca="1">OFFSET('배치점수 계산기'!N$10,$D451,0)</f>
        <v>백분위</v>
      </c>
      <c r="Y451" s="188" t="e">
        <f ca="1">OFFSET(환산공식!FW$15,$F451,0)</f>
        <v>#VALUE!</v>
      </c>
      <c r="Z451" s="20" t="e">
        <f ca="1">OFFSET(환산공식!FX$15,$F451,0)</f>
        <v>#VALUE!</v>
      </c>
      <c r="AA451" s="179" t="e">
        <f ca="1">OFFSET(환산공식!FY$15,$F451,0)</f>
        <v>#VALUE!</v>
      </c>
      <c r="AB451" s="3"/>
      <c r="AD451">
        <f t="shared" ca="1" si="13"/>
        <v>6</v>
      </c>
      <c r="AF451" s="3"/>
      <c r="AG451" s="3"/>
      <c r="AH451" s="3"/>
    </row>
    <row r="452" spans="1:34">
      <c r="A452" s="198"/>
      <c r="B452" s="198"/>
      <c r="C452" s="198" t="s">
        <v>1904</v>
      </c>
      <c r="D452" s="195">
        <v>1440</v>
      </c>
      <c r="E452" s="195">
        <v>246</v>
      </c>
      <c r="F452" s="195">
        <v>246</v>
      </c>
      <c r="G452" s="239">
        <v>445</v>
      </c>
      <c r="H452" s="197" t="s">
        <v>79</v>
      </c>
      <c r="I452" s="242" t="s">
        <v>485</v>
      </c>
      <c r="J452" s="242" t="s">
        <v>16704</v>
      </c>
      <c r="K452" s="195" t="s">
        <v>70</v>
      </c>
      <c r="L452" s="20" t="str">
        <f ca="1">IF(OFFSET(환산공식!$ED$15,$F452,0)=1,"O","X")</f>
        <v>X</v>
      </c>
      <c r="M452" s="188">
        <f ca="1">IFERROR(OFFSET(환산공식!DJ$15,$F452,0),"")</f>
        <v>20</v>
      </c>
      <c r="N452" s="20" t="str">
        <f ca="1">IFERROR(CONCATENATE(ROUND(OFFSET(환산공식!DK$15,$F452,0),1),"%"),"")</f>
        <v>100%</v>
      </c>
      <c r="O452" s="20">
        <f ca="1">IFERROR(OFFSET(환산공식!DL$15,$F452,0),"")</f>
        <v>0</v>
      </c>
      <c r="P452" s="188" t="str">
        <f t="shared" ca="1" si="12"/>
        <v>3% 이하</v>
      </c>
      <c r="Q452" s="194">
        <f ca="1">IFERROR(ROUND(OFFSET(환산공식!$FG$15,$F452,0),3),"")</f>
        <v>0</v>
      </c>
      <c r="R452" s="194">
        <f ca="1">OFFSET('배치점수 계산기'!H$10,$D452,0)</f>
        <v>82.933000000000007</v>
      </c>
      <c r="S452" s="194">
        <f ca="1">OFFSET('배치점수 계산기'!I$10,$D452,0)</f>
        <v>82.355999999999995</v>
      </c>
      <c r="T452" s="194">
        <f ca="1">OFFSET('배치점수 계산기'!J$10,$D452,0)</f>
        <v>81.447000000000003</v>
      </c>
      <c r="U452" s="194">
        <f ca="1">OFFSET('배치점수 계산기'!K$10,$D452,0)</f>
        <v>80.623999999999995</v>
      </c>
      <c r="V452" s="194">
        <f ca="1">OFFSET('배치점수 계산기'!L$10,$D452,0)</f>
        <v>79.706000000000003</v>
      </c>
      <c r="W452" s="186" t="str">
        <f ca="1">OFFSET('배치점수 계산기'!M$10,$D452,0)</f>
        <v>백분위</v>
      </c>
      <c r="X452" s="184" t="str">
        <f ca="1">OFFSET('배치점수 계산기'!N$10,$D452,0)</f>
        <v>백분위</v>
      </c>
      <c r="Y452" s="188">
        <f ca="1">OFFSET(환산공식!FW$15,$F452,0)</f>
        <v>0.38</v>
      </c>
      <c r="Z452" s="20">
        <f ca="1">OFFSET(환산공식!FX$15,$F452,0)</f>
        <v>0.44</v>
      </c>
      <c r="AA452" s="179">
        <f ca="1">OFFSET(환산공식!FY$15,$F452,0)</f>
        <v>0.19</v>
      </c>
      <c r="AB452" s="3"/>
      <c r="AD452">
        <f t="shared" ca="1" si="13"/>
        <v>6</v>
      </c>
      <c r="AF452" s="3"/>
      <c r="AG452" s="3"/>
      <c r="AH452" s="3"/>
    </row>
    <row r="453" spans="1:34">
      <c r="A453" s="198"/>
      <c r="B453" s="198"/>
      <c r="C453" s="198" t="s">
        <v>1905</v>
      </c>
      <c r="D453" s="195">
        <v>1441</v>
      </c>
      <c r="E453" s="195">
        <v>248</v>
      </c>
      <c r="F453" s="195">
        <v>248</v>
      </c>
      <c r="G453" s="239">
        <v>446</v>
      </c>
      <c r="H453" s="197" t="s">
        <v>79</v>
      </c>
      <c r="I453" s="242" t="s">
        <v>485</v>
      </c>
      <c r="J453" s="242" t="s">
        <v>11631</v>
      </c>
      <c r="K453" s="195" t="s">
        <v>71</v>
      </c>
      <c r="L453" s="20" t="str">
        <f ca="1">IF(OFFSET(환산공식!$ED$15,$F453,0)=1,"O","X")</f>
        <v>X</v>
      </c>
      <c r="M453" s="188">
        <f ca="1">IFERROR(OFFSET(환산공식!DJ$15,$F453,0),"")</f>
        <v>20</v>
      </c>
      <c r="N453" s="20" t="str">
        <f ca="1">IFERROR(CONCATENATE(ROUND(OFFSET(환산공식!DK$15,$F453,0),1),"%"),"")</f>
        <v>100%</v>
      </c>
      <c r="O453" s="20">
        <f ca="1">IFERROR(OFFSET(환산공식!DL$15,$F453,0),"")</f>
        <v>0</v>
      </c>
      <c r="P453" s="188" t="str">
        <f t="shared" ca="1" si="12"/>
        <v>3% 이하</v>
      </c>
      <c r="Q453" s="194">
        <f ca="1">IFERROR(ROUND(OFFSET(환산공식!$FG$15,$F453,0),3),"")</f>
        <v>0</v>
      </c>
      <c r="R453" s="194">
        <f ca="1">OFFSET('배치점수 계산기'!H$10,$D453,0)</f>
        <v>84.016999999999996</v>
      </c>
      <c r="S453" s="194">
        <f ca="1">OFFSET('배치점수 계산기'!I$10,$D453,0)</f>
        <v>83.456000000000003</v>
      </c>
      <c r="T453" s="194">
        <f ca="1">OFFSET('배치점수 계산기'!J$10,$D453,0)</f>
        <v>82.655000000000001</v>
      </c>
      <c r="U453" s="194">
        <f ca="1">OFFSET('배치점수 계산기'!K$10,$D453,0)</f>
        <v>81.935000000000002</v>
      </c>
      <c r="V453" s="194">
        <f ca="1">OFFSET('배치점수 계산기'!L$10,$D453,0)</f>
        <v>80.814999999999998</v>
      </c>
      <c r="W453" s="186" t="str">
        <f ca="1">OFFSET('배치점수 계산기'!M$10,$D453,0)</f>
        <v>백분위</v>
      </c>
      <c r="X453" s="184" t="str">
        <f ca="1">OFFSET('배치점수 계산기'!N$10,$D453,0)</f>
        <v>백분위</v>
      </c>
      <c r="Y453" s="188">
        <f ca="1">OFFSET(환산공식!FW$15,$F453,0)</f>
        <v>0.44</v>
      </c>
      <c r="Z453" s="20">
        <f ca="1">OFFSET(환산공식!FX$15,$F453,0)</f>
        <v>0.38</v>
      </c>
      <c r="AA453" s="179">
        <f ca="1">OFFSET(환산공식!FY$15,$F453,0)</f>
        <v>0.19</v>
      </c>
      <c r="AB453" s="3"/>
      <c r="AD453">
        <f t="shared" ca="1" si="13"/>
        <v>6</v>
      </c>
      <c r="AF453" s="3"/>
      <c r="AG453" s="3"/>
      <c r="AH453" s="3"/>
    </row>
    <row r="454" spans="1:34">
      <c r="A454" s="198"/>
      <c r="B454" s="198"/>
      <c r="C454" s="198" t="s">
        <v>1906</v>
      </c>
      <c r="D454" s="195">
        <v>1442</v>
      </c>
      <c r="E454" s="195">
        <v>247</v>
      </c>
      <c r="F454" s="195">
        <v>247</v>
      </c>
      <c r="G454" s="239">
        <v>447</v>
      </c>
      <c r="H454" s="197" t="s">
        <v>79</v>
      </c>
      <c r="I454" s="242" t="s">
        <v>485</v>
      </c>
      <c r="J454" s="242" t="s">
        <v>16705</v>
      </c>
      <c r="K454" s="195" t="s">
        <v>71</v>
      </c>
      <c r="L454" s="20" t="str">
        <f ca="1">IF(OFFSET(환산공식!$ED$15,$F454,0)=1,"O","X")</f>
        <v>X</v>
      </c>
      <c r="M454" s="188">
        <f ca="1">IFERROR(OFFSET(환산공식!DJ$15,$F454,0),"")</f>
        <v>20</v>
      </c>
      <c r="N454" s="20" t="str">
        <f ca="1">IFERROR(CONCATENATE(ROUND(OFFSET(환산공식!DK$15,$F454,0),1),"%"),"")</f>
        <v>100%</v>
      </c>
      <c r="O454" s="20">
        <f ca="1">IFERROR(OFFSET(환산공식!DL$15,$F454,0),"")</f>
        <v>0</v>
      </c>
      <c r="P454" s="188" t="str">
        <f t="shared" ca="1" si="12"/>
        <v>3% 이하</v>
      </c>
      <c r="Q454" s="194">
        <f ca="1">IFERROR(ROUND(OFFSET(환산공식!$FG$15,$F454,0),3),"")</f>
        <v>0</v>
      </c>
      <c r="R454" s="194">
        <f ca="1">OFFSET('배치점수 계산기'!H$10,$D454,0)</f>
        <v>82.676000000000002</v>
      </c>
      <c r="S454" s="194">
        <f ca="1">OFFSET('배치점수 계산기'!I$10,$D454,0)</f>
        <v>82.209000000000003</v>
      </c>
      <c r="T454" s="194">
        <f ca="1">OFFSET('배치점수 계산기'!J$10,$D454,0)</f>
        <v>81.451999999999998</v>
      </c>
      <c r="U454" s="194">
        <f ca="1">OFFSET('배치점수 계산기'!K$10,$D454,0)</f>
        <v>80.680000000000007</v>
      </c>
      <c r="V454" s="194">
        <f ca="1">OFFSET('배치점수 계산기'!L$10,$D454,0)</f>
        <v>79.706999999999994</v>
      </c>
      <c r="W454" s="186" t="str">
        <f ca="1">OFFSET('배치점수 계산기'!M$10,$D454,0)</f>
        <v>백분위</v>
      </c>
      <c r="X454" s="184" t="str">
        <f ca="1">OFFSET('배치점수 계산기'!N$10,$D454,0)</f>
        <v>백분위</v>
      </c>
      <c r="Y454" s="188">
        <f ca="1">OFFSET(환산공식!FW$15,$F454,0)</f>
        <v>0.44</v>
      </c>
      <c r="Z454" s="20">
        <f ca="1">OFFSET(환산공식!FX$15,$F454,0)</f>
        <v>0.38</v>
      </c>
      <c r="AA454" s="179">
        <f ca="1">OFFSET(환산공식!FY$15,$F454,0)</f>
        <v>0.19</v>
      </c>
      <c r="AB454" s="3"/>
      <c r="AD454">
        <f t="shared" ca="1" si="13"/>
        <v>6</v>
      </c>
      <c r="AF454" s="3"/>
      <c r="AG454" s="3"/>
      <c r="AH454" s="3"/>
    </row>
    <row r="455" spans="1:34">
      <c r="A455" s="198"/>
      <c r="B455" s="198"/>
      <c r="C455" s="198" t="s">
        <v>1907</v>
      </c>
      <c r="D455" s="195">
        <v>1443</v>
      </c>
      <c r="E455" s="195">
        <v>247</v>
      </c>
      <c r="F455" s="195">
        <v>247</v>
      </c>
      <c r="G455" s="239">
        <v>448</v>
      </c>
      <c r="H455" s="197" t="s">
        <v>79</v>
      </c>
      <c r="I455" s="242" t="s">
        <v>485</v>
      </c>
      <c r="J455" s="242" t="s">
        <v>8902</v>
      </c>
      <c r="K455" s="195" t="s">
        <v>71</v>
      </c>
      <c r="L455" s="20" t="str">
        <f ca="1">IF(OFFSET(환산공식!$ED$15,$F455,0)=1,"O","X")</f>
        <v>X</v>
      </c>
      <c r="M455" s="188">
        <f ca="1">IFERROR(OFFSET(환산공식!DJ$15,$F455,0),"")</f>
        <v>20</v>
      </c>
      <c r="N455" s="20" t="str">
        <f ca="1">IFERROR(CONCATENATE(ROUND(OFFSET(환산공식!DK$15,$F455,0),1),"%"),"")</f>
        <v>100%</v>
      </c>
      <c r="O455" s="20">
        <f ca="1">IFERROR(OFFSET(환산공식!DL$15,$F455,0),"")</f>
        <v>0</v>
      </c>
      <c r="P455" s="188" t="str">
        <f t="shared" ca="1" si="12"/>
        <v>3% 이하</v>
      </c>
      <c r="Q455" s="194">
        <f ca="1">IFERROR(ROUND(OFFSET(환산공식!$FG$15,$F455,0),3),"")</f>
        <v>0</v>
      </c>
      <c r="R455" s="194">
        <f ca="1">OFFSET('배치점수 계산기'!H$10,$D455,0)</f>
        <v>82.191000000000003</v>
      </c>
      <c r="S455" s="194">
        <f ca="1">OFFSET('배치점수 계산기'!I$10,$D455,0)</f>
        <v>81.692999999999998</v>
      </c>
      <c r="T455" s="194">
        <f ca="1">OFFSET('배치점수 계산기'!J$10,$D455,0)</f>
        <v>80.841999999999999</v>
      </c>
      <c r="U455" s="194">
        <f ca="1">OFFSET('배치점수 계산기'!K$10,$D455,0)</f>
        <v>80.123000000000005</v>
      </c>
      <c r="V455" s="194">
        <f ca="1">OFFSET('배치점수 계산기'!L$10,$D455,0)</f>
        <v>79.191999999999993</v>
      </c>
      <c r="W455" s="186" t="str">
        <f ca="1">OFFSET('배치점수 계산기'!M$10,$D455,0)</f>
        <v>백분위</v>
      </c>
      <c r="X455" s="184" t="str">
        <f ca="1">OFFSET('배치점수 계산기'!N$10,$D455,0)</f>
        <v>백분위</v>
      </c>
      <c r="Y455" s="188">
        <f ca="1">OFFSET(환산공식!FW$15,$F455,0)</f>
        <v>0.44</v>
      </c>
      <c r="Z455" s="20">
        <f ca="1">OFFSET(환산공식!FX$15,$F455,0)</f>
        <v>0.38</v>
      </c>
      <c r="AA455" s="179">
        <f ca="1">OFFSET(환산공식!FY$15,$F455,0)</f>
        <v>0.19</v>
      </c>
      <c r="AB455" s="3"/>
      <c r="AD455">
        <f t="shared" ca="1" si="13"/>
        <v>6</v>
      </c>
      <c r="AF455" s="3"/>
      <c r="AG455" s="3"/>
      <c r="AH455" s="3"/>
    </row>
    <row r="456" spans="1:34">
      <c r="A456" s="198"/>
      <c r="B456" s="198"/>
      <c r="C456" s="198" t="s">
        <v>1908</v>
      </c>
      <c r="D456" s="195">
        <v>1444</v>
      </c>
      <c r="E456" s="195">
        <v>248</v>
      </c>
      <c r="F456" s="195">
        <v>248</v>
      </c>
      <c r="G456" s="239">
        <v>449</v>
      </c>
      <c r="H456" s="197" t="s">
        <v>79</v>
      </c>
      <c r="I456" s="242" t="s">
        <v>485</v>
      </c>
      <c r="J456" s="242" t="s">
        <v>9799</v>
      </c>
      <c r="K456" s="195" t="s">
        <v>71</v>
      </c>
      <c r="L456" s="20" t="str">
        <f ca="1">IF(OFFSET(환산공식!$ED$15,$F456,0)=1,"O","X")</f>
        <v>X</v>
      </c>
      <c r="M456" s="188">
        <f ca="1">IFERROR(OFFSET(환산공식!DJ$15,$F456,0),"")</f>
        <v>20</v>
      </c>
      <c r="N456" s="20" t="str">
        <f ca="1">IFERROR(CONCATENATE(ROUND(OFFSET(환산공식!DK$15,$F456,0),1),"%"),"")</f>
        <v>100%</v>
      </c>
      <c r="O456" s="20">
        <f ca="1">IFERROR(OFFSET(환산공식!DL$15,$F456,0),"")</f>
        <v>0</v>
      </c>
      <c r="P456" s="188" t="str">
        <f t="shared" ca="1" si="12"/>
        <v>3% 이하</v>
      </c>
      <c r="Q456" s="194">
        <f ca="1">IFERROR(ROUND(OFFSET(환산공식!$FG$15,$F456,0),3),"")</f>
        <v>0</v>
      </c>
      <c r="R456" s="194">
        <f ca="1">OFFSET('배치점수 계산기'!H$10,$D456,0)</f>
        <v>81.054000000000002</v>
      </c>
      <c r="S456" s="194">
        <f ca="1">OFFSET('배치점수 계산기'!I$10,$D456,0)</f>
        <v>80.623999999999995</v>
      </c>
      <c r="T456" s="194">
        <f ca="1">OFFSET('배치점수 계산기'!J$10,$D456,0)</f>
        <v>79.983999999999995</v>
      </c>
      <c r="U456" s="194">
        <f ca="1">OFFSET('배치점수 계산기'!K$10,$D456,0)</f>
        <v>79.265000000000001</v>
      </c>
      <c r="V456" s="194">
        <f ca="1">OFFSET('배치점수 계산기'!L$10,$D456,0)</f>
        <v>78.191999999999993</v>
      </c>
      <c r="W456" s="186" t="str">
        <f ca="1">OFFSET('배치점수 계산기'!M$10,$D456,0)</f>
        <v>백분위</v>
      </c>
      <c r="X456" s="184" t="str">
        <f ca="1">OFFSET('배치점수 계산기'!N$10,$D456,0)</f>
        <v>백분위</v>
      </c>
      <c r="Y456" s="188">
        <f ca="1">OFFSET(환산공식!FW$15,$F456,0)</f>
        <v>0.44</v>
      </c>
      <c r="Z456" s="20">
        <f ca="1">OFFSET(환산공식!FX$15,$F456,0)</f>
        <v>0.38</v>
      </c>
      <c r="AA456" s="179">
        <f ca="1">OFFSET(환산공식!FY$15,$F456,0)</f>
        <v>0.19</v>
      </c>
      <c r="AB456" s="3"/>
      <c r="AD456">
        <f t="shared" ca="1" si="13"/>
        <v>6</v>
      </c>
      <c r="AF456" s="3"/>
      <c r="AG456" s="3"/>
      <c r="AH456" s="3"/>
    </row>
    <row r="457" spans="1:34">
      <c r="A457" s="198"/>
      <c r="B457" s="198"/>
      <c r="C457" s="198" t="s">
        <v>1909</v>
      </c>
      <c r="D457" s="195">
        <v>1445</v>
      </c>
      <c r="E457" s="195">
        <v>133</v>
      </c>
      <c r="F457" s="195">
        <v>133</v>
      </c>
      <c r="G457" s="239">
        <v>450</v>
      </c>
      <c r="H457" s="197" t="s">
        <v>79</v>
      </c>
      <c r="I457" s="242" t="s">
        <v>494</v>
      </c>
      <c r="J457" s="242" t="s">
        <v>11636</v>
      </c>
      <c r="K457" s="195" t="s">
        <v>70</v>
      </c>
      <c r="L457" s="20" t="str">
        <f ca="1">IF(OFFSET(환산공식!$ED$15,$F457,0)=1,"O","X")</f>
        <v>X</v>
      </c>
      <c r="M457" s="188">
        <f ca="1">IFERROR(OFFSET(환산공식!DJ$15,$F457,0),"")</f>
        <v>200</v>
      </c>
      <c r="N457" s="20" t="str">
        <f ca="1">IFERROR(CONCATENATE(ROUND(OFFSET(환산공식!DK$15,$F457,0),1),"%"),"")</f>
        <v>100%</v>
      </c>
      <c r="O457" s="20">
        <f ca="1">IFERROR(OFFSET(환산공식!DL$15,$F457,0),"")</f>
        <v>0</v>
      </c>
      <c r="P457" s="188" t="str">
        <f t="shared" ref="P457:P520" ca="1" si="14"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>3% 이하</v>
      </c>
      <c r="Q457" s="194">
        <f ca="1">IFERROR(ROUND(OFFSET(환산공식!$FG$15,$F457,0),3),"")</f>
        <v>0</v>
      </c>
      <c r="R457" s="194">
        <f ca="1">OFFSET('배치점수 계산기'!H$10,$D457,0)</f>
        <v>871.404</v>
      </c>
      <c r="S457" s="194">
        <f ca="1">OFFSET('배치점수 계산기'!I$10,$D457,0)</f>
        <v>868.92899999999997</v>
      </c>
      <c r="T457" s="194">
        <f ca="1">OFFSET('배치점수 계산기'!J$10,$D457,0)</f>
        <v>864.29300000000001</v>
      </c>
      <c r="U457" s="194">
        <f ca="1">OFFSET('배치점수 계산기'!K$10,$D457,0)</f>
        <v>860.09799999999996</v>
      </c>
      <c r="V457" s="194">
        <f ca="1">OFFSET('배치점수 계산기'!L$10,$D457,0)</f>
        <v>857.26</v>
      </c>
      <c r="W457" s="186" t="str">
        <f ca="1">OFFSET('배치점수 계산기'!M$10,$D457,0)</f>
        <v>표점/만점</v>
      </c>
      <c r="X457" s="184" t="str">
        <f ca="1">OFFSET('배치점수 계산기'!N$10,$D457,0)</f>
        <v>변표/만점</v>
      </c>
      <c r="Y457" s="188">
        <f ca="1">OFFSET(환산공식!FW$15,$F457,0)</f>
        <v>0.25</v>
      </c>
      <c r="Z457" s="20">
        <f ca="1">OFFSET(환산공식!FX$15,$F457,0)</f>
        <v>0.44</v>
      </c>
      <c r="AA457" s="179">
        <f ca="1">OFFSET(환산공식!FY$15,$F457,0)</f>
        <v>0.31</v>
      </c>
      <c r="AB457" s="3"/>
      <c r="AD457">
        <f t="shared" ref="AD457:AD520" ca="1" si="15">IF(L457="X",6,IF(Q457&gt;R457,1,IF(Q457&gt;S457,2,IF(Q457&gt;T457,3,IF(Q457&gt;U457,4,IF(Q457&gt;=V457,5,IF(Q457&lt;V457,6,"")))))))</f>
        <v>6</v>
      </c>
      <c r="AF457" s="3"/>
      <c r="AG457" s="3"/>
      <c r="AH457" s="3"/>
    </row>
    <row r="458" spans="1:34">
      <c r="A458" s="198"/>
      <c r="B458" s="198"/>
      <c r="C458" s="198" t="s">
        <v>1910</v>
      </c>
      <c r="D458" s="195">
        <v>1446</v>
      </c>
      <c r="E458" s="195">
        <v>134</v>
      </c>
      <c r="F458" s="195">
        <v>134</v>
      </c>
      <c r="G458" s="239">
        <v>451</v>
      </c>
      <c r="H458" s="197" t="s">
        <v>79</v>
      </c>
      <c r="I458" s="242" t="s">
        <v>494</v>
      </c>
      <c r="J458" s="242" t="s">
        <v>13560</v>
      </c>
      <c r="K458" s="195" t="s">
        <v>70</v>
      </c>
      <c r="L458" s="20" t="str">
        <f ca="1">IF(OFFSET(환산공식!$ED$15,$F458,0)=1,"O","X")</f>
        <v>X</v>
      </c>
      <c r="M458" s="188">
        <f ca="1">IFERROR(OFFSET(환산공식!DJ$15,$F458,0),"")</f>
        <v>200</v>
      </c>
      <c r="N458" s="20" t="str">
        <f ca="1">IFERROR(CONCATENATE(ROUND(OFFSET(환산공식!DK$15,$F458,0),1),"%"),"")</f>
        <v>100%</v>
      </c>
      <c r="O458" s="20">
        <f ca="1">IFERROR(OFFSET(환산공식!DL$15,$F458,0),"")</f>
        <v>0</v>
      </c>
      <c r="P458" s="188" t="str">
        <f t="shared" ca="1" si="14"/>
        <v>3% 이하</v>
      </c>
      <c r="Q458" s="194">
        <f ca="1">IFERROR(ROUND(OFFSET(환산공식!$FG$15,$F458,0),3),"")</f>
        <v>0</v>
      </c>
      <c r="R458" s="194">
        <f ca="1">OFFSET('배치점수 계산기'!H$10,$D458,0)</f>
        <v>812.524</v>
      </c>
      <c r="S458" s="194">
        <f ca="1">OFFSET('배치점수 계산기'!I$10,$D458,0)</f>
        <v>809.928</v>
      </c>
      <c r="T458" s="194">
        <f ca="1">OFFSET('배치점수 계산기'!J$10,$D458,0)</f>
        <v>805.90800000000002</v>
      </c>
      <c r="U458" s="194">
        <f ca="1">OFFSET('배치점수 계산기'!K$10,$D458,0)</f>
        <v>801.73699999999997</v>
      </c>
      <c r="V458" s="194">
        <f ca="1">OFFSET('배치점수 계산기'!L$10,$D458,0)</f>
        <v>799.221</v>
      </c>
      <c r="W458" s="186" t="str">
        <f ca="1">OFFSET('배치점수 계산기'!M$10,$D458,0)</f>
        <v>표점/만점</v>
      </c>
      <c r="X458" s="184" t="str">
        <f ca="1">OFFSET('배치점수 계산기'!N$10,$D458,0)</f>
        <v>변표/만점</v>
      </c>
      <c r="Y458" s="188">
        <f ca="1">OFFSET(환산공식!FW$15,$F458,0)</f>
        <v>0.25</v>
      </c>
      <c r="Z458" s="20">
        <f ca="1">OFFSET(환산공식!FX$15,$F458,0)</f>
        <v>0.44</v>
      </c>
      <c r="AA458" s="179">
        <f ca="1">OFFSET(환산공식!FY$15,$F458,0)</f>
        <v>0.31</v>
      </c>
      <c r="AB458" s="3"/>
      <c r="AD458">
        <f t="shared" ca="1" si="15"/>
        <v>6</v>
      </c>
      <c r="AF458" s="3"/>
      <c r="AG458" s="3"/>
      <c r="AH458" s="3"/>
    </row>
    <row r="459" spans="1:34">
      <c r="A459" s="198"/>
      <c r="B459" s="198"/>
      <c r="C459" s="198" t="s">
        <v>1911</v>
      </c>
      <c r="D459" s="195">
        <v>1447</v>
      </c>
      <c r="E459" s="195">
        <v>134</v>
      </c>
      <c r="F459" s="195">
        <v>134</v>
      </c>
      <c r="G459" s="239">
        <v>452</v>
      </c>
      <c r="H459" s="197" t="s">
        <v>79</v>
      </c>
      <c r="I459" s="242" t="s">
        <v>494</v>
      </c>
      <c r="J459" s="242" t="s">
        <v>13580</v>
      </c>
      <c r="K459" s="195" t="s">
        <v>70</v>
      </c>
      <c r="L459" s="20" t="str">
        <f ca="1">IF(OFFSET(환산공식!$ED$15,$F459,0)=1,"O","X")</f>
        <v>X</v>
      </c>
      <c r="M459" s="188">
        <f ca="1">IFERROR(OFFSET(환산공식!DJ$15,$F459,0),"")</f>
        <v>200</v>
      </c>
      <c r="N459" s="20" t="str">
        <f ca="1">IFERROR(CONCATENATE(ROUND(OFFSET(환산공식!DK$15,$F459,0),1),"%"),"")</f>
        <v>100%</v>
      </c>
      <c r="O459" s="20">
        <f ca="1">IFERROR(OFFSET(환산공식!DL$15,$F459,0),"")</f>
        <v>0</v>
      </c>
      <c r="P459" s="188" t="str">
        <f t="shared" ca="1" si="14"/>
        <v>3% 이하</v>
      </c>
      <c r="Q459" s="194">
        <f ca="1">IFERROR(ROUND(OFFSET(환산공식!$FG$15,$F459,0),3),"")</f>
        <v>0</v>
      </c>
      <c r="R459" s="194">
        <f ca="1">OFFSET('배치점수 계산기'!H$10,$D459,0)</f>
        <v>811.23199999999997</v>
      </c>
      <c r="S459" s="194">
        <f ca="1">OFFSET('배치점수 계산기'!I$10,$D459,0)</f>
        <v>809.03</v>
      </c>
      <c r="T459" s="194">
        <f ca="1">OFFSET('배치점수 계산기'!J$10,$D459,0)</f>
        <v>805.60799999999995</v>
      </c>
      <c r="U459" s="194">
        <f ca="1">OFFSET('배치점수 계산기'!K$10,$D459,0)</f>
        <v>802.03099999999995</v>
      </c>
      <c r="V459" s="194">
        <f ca="1">OFFSET('배치점수 계산기'!L$10,$D459,0)</f>
        <v>799.69799999999998</v>
      </c>
      <c r="W459" s="186" t="str">
        <f ca="1">OFFSET('배치점수 계산기'!M$10,$D459,0)</f>
        <v>표점/만점</v>
      </c>
      <c r="X459" s="184" t="str">
        <f ca="1">OFFSET('배치점수 계산기'!N$10,$D459,0)</f>
        <v>변표/만점</v>
      </c>
      <c r="Y459" s="188">
        <f ca="1">OFFSET(환산공식!FW$15,$F459,0)</f>
        <v>0.25</v>
      </c>
      <c r="Z459" s="20">
        <f ca="1">OFFSET(환산공식!FX$15,$F459,0)</f>
        <v>0.44</v>
      </c>
      <c r="AA459" s="179">
        <f ca="1">OFFSET(환산공식!FY$15,$F459,0)</f>
        <v>0.31</v>
      </c>
      <c r="AB459" s="3"/>
      <c r="AD459">
        <f t="shared" ca="1" si="15"/>
        <v>6</v>
      </c>
      <c r="AF459" s="3"/>
      <c r="AG459" s="3"/>
      <c r="AH459" s="3"/>
    </row>
    <row r="460" spans="1:34">
      <c r="A460" s="198"/>
      <c r="B460" s="198"/>
      <c r="C460" s="198" t="s">
        <v>1912</v>
      </c>
      <c r="D460" s="195">
        <v>1448</v>
      </c>
      <c r="E460" s="195">
        <v>134</v>
      </c>
      <c r="F460" s="195">
        <v>134</v>
      </c>
      <c r="G460" s="239">
        <v>453</v>
      </c>
      <c r="H460" s="197" t="s">
        <v>79</v>
      </c>
      <c r="I460" s="242" t="s">
        <v>494</v>
      </c>
      <c r="J460" s="242" t="s">
        <v>13585</v>
      </c>
      <c r="K460" s="195" t="s">
        <v>70</v>
      </c>
      <c r="L460" s="20" t="str">
        <f ca="1">IF(OFFSET(환산공식!$ED$15,$F460,0)=1,"O","X")</f>
        <v>X</v>
      </c>
      <c r="M460" s="188">
        <f ca="1">IFERROR(OFFSET(환산공식!DJ$15,$F460,0),"")</f>
        <v>200</v>
      </c>
      <c r="N460" s="20" t="str">
        <f ca="1">IFERROR(CONCATENATE(ROUND(OFFSET(환산공식!DK$15,$F460,0),1),"%"),"")</f>
        <v>100%</v>
      </c>
      <c r="O460" s="20">
        <f ca="1">IFERROR(OFFSET(환산공식!DL$15,$F460,0),"")</f>
        <v>0</v>
      </c>
      <c r="P460" s="188" t="str">
        <f t="shared" ca="1" si="14"/>
        <v>3% 이하</v>
      </c>
      <c r="Q460" s="194">
        <f ca="1">IFERROR(ROUND(OFFSET(환산공식!$FG$15,$F460,0),3),"")</f>
        <v>0</v>
      </c>
      <c r="R460" s="194">
        <f ca="1">OFFSET('배치점수 계산기'!H$10,$D460,0)</f>
        <v>811.23199999999997</v>
      </c>
      <c r="S460" s="194">
        <f ca="1">OFFSET('배치점수 계산기'!I$10,$D460,0)</f>
        <v>809.03</v>
      </c>
      <c r="T460" s="194">
        <f ca="1">OFFSET('배치점수 계산기'!J$10,$D460,0)</f>
        <v>804.6</v>
      </c>
      <c r="U460" s="194">
        <f ca="1">OFFSET('배치점수 계산기'!K$10,$D460,0)</f>
        <v>801.05499999999995</v>
      </c>
      <c r="V460" s="194">
        <f ca="1">OFFSET('배치점수 계산기'!L$10,$D460,0)</f>
        <v>797.93899999999996</v>
      </c>
      <c r="W460" s="186" t="str">
        <f ca="1">OFFSET('배치점수 계산기'!M$10,$D460,0)</f>
        <v>표점/만점</v>
      </c>
      <c r="X460" s="184" t="str">
        <f ca="1">OFFSET('배치점수 계산기'!N$10,$D460,0)</f>
        <v>변표/만점</v>
      </c>
      <c r="Y460" s="188">
        <f ca="1">OFFSET(환산공식!FW$15,$F460,0)</f>
        <v>0.25</v>
      </c>
      <c r="Z460" s="20">
        <f ca="1">OFFSET(환산공식!FX$15,$F460,0)</f>
        <v>0.44</v>
      </c>
      <c r="AA460" s="179">
        <f ca="1">OFFSET(환산공식!FY$15,$F460,0)</f>
        <v>0.31</v>
      </c>
      <c r="AB460" s="3"/>
      <c r="AD460">
        <f t="shared" ca="1" si="15"/>
        <v>6</v>
      </c>
      <c r="AF460" s="3"/>
      <c r="AG460" s="3"/>
      <c r="AH460" s="3"/>
    </row>
    <row r="461" spans="1:34">
      <c r="A461" s="198"/>
      <c r="B461" s="198"/>
      <c r="C461" s="198" t="s">
        <v>1913</v>
      </c>
      <c r="D461" s="195">
        <v>1449</v>
      </c>
      <c r="E461" s="195">
        <v>134</v>
      </c>
      <c r="F461" s="195">
        <v>134</v>
      </c>
      <c r="G461" s="239">
        <v>454</v>
      </c>
      <c r="H461" s="197" t="s">
        <v>79</v>
      </c>
      <c r="I461" s="242" t="s">
        <v>494</v>
      </c>
      <c r="J461" s="242" t="s">
        <v>13687</v>
      </c>
      <c r="K461" s="195" t="s">
        <v>70</v>
      </c>
      <c r="L461" s="20" t="str">
        <f ca="1">IF(OFFSET(환산공식!$ED$15,$F461,0)=1,"O","X")</f>
        <v>X</v>
      </c>
      <c r="M461" s="188">
        <f ca="1">IFERROR(OFFSET(환산공식!DJ$15,$F461,0),"")</f>
        <v>200</v>
      </c>
      <c r="N461" s="20" t="str">
        <f ca="1">IFERROR(CONCATENATE(ROUND(OFFSET(환산공식!DK$15,$F461,0),1),"%"),"")</f>
        <v>100%</v>
      </c>
      <c r="O461" s="20">
        <f ca="1">IFERROR(OFFSET(환산공식!DL$15,$F461,0),"")</f>
        <v>0</v>
      </c>
      <c r="P461" s="188" t="str">
        <f t="shared" ca="1" si="14"/>
        <v>3% 이하</v>
      </c>
      <c r="Q461" s="194">
        <f ca="1">IFERROR(ROUND(OFFSET(환산공식!$FG$15,$F461,0),3),"")</f>
        <v>0</v>
      </c>
      <c r="R461" s="194">
        <f ca="1">OFFSET('배치점수 계산기'!H$10,$D461,0)</f>
        <v>804.96199999999999</v>
      </c>
      <c r="S461" s="194">
        <f ca="1">OFFSET('배치점수 계산기'!I$10,$D461,0)</f>
        <v>803.07299999999998</v>
      </c>
      <c r="T461" s="194">
        <f ca="1">OFFSET('배치점수 계산기'!J$10,$D461,0)</f>
        <v>799.44600000000003</v>
      </c>
      <c r="U461" s="194">
        <f ca="1">OFFSET('배치점수 계산기'!K$10,$D461,0)</f>
        <v>794.80100000000004</v>
      </c>
      <c r="V461" s="194">
        <f ca="1">OFFSET('배치점수 계산기'!L$10,$D461,0)</f>
        <v>792.15099999999995</v>
      </c>
      <c r="W461" s="186" t="str">
        <f ca="1">OFFSET('배치점수 계산기'!M$10,$D461,0)</f>
        <v>표점/만점</v>
      </c>
      <c r="X461" s="184" t="str">
        <f ca="1">OFFSET('배치점수 계산기'!N$10,$D461,0)</f>
        <v>변표/만점</v>
      </c>
      <c r="Y461" s="188">
        <f ca="1">OFFSET(환산공식!FW$15,$F461,0)</f>
        <v>0.25</v>
      </c>
      <c r="Z461" s="20">
        <f ca="1">OFFSET(환산공식!FX$15,$F461,0)</f>
        <v>0.44</v>
      </c>
      <c r="AA461" s="179">
        <f ca="1">OFFSET(환산공식!FY$15,$F461,0)</f>
        <v>0.31</v>
      </c>
      <c r="AB461" s="3"/>
      <c r="AD461">
        <f t="shared" ca="1" si="15"/>
        <v>6</v>
      </c>
      <c r="AF461" s="3"/>
      <c r="AG461" s="3"/>
      <c r="AH461" s="3"/>
    </row>
    <row r="462" spans="1:34">
      <c r="A462" s="198"/>
      <c r="B462" s="198"/>
      <c r="C462" s="198" t="s">
        <v>1914</v>
      </c>
      <c r="D462" s="195">
        <v>1450</v>
      </c>
      <c r="E462" s="195">
        <v>133</v>
      </c>
      <c r="F462" s="195">
        <v>133</v>
      </c>
      <c r="G462" s="239">
        <v>455</v>
      </c>
      <c r="H462" s="197" t="s">
        <v>79</v>
      </c>
      <c r="I462" s="242" t="s">
        <v>494</v>
      </c>
      <c r="J462" s="242" t="s">
        <v>13734</v>
      </c>
      <c r="K462" s="195" t="s">
        <v>70</v>
      </c>
      <c r="L462" s="20" t="str">
        <f ca="1">IF(OFFSET(환산공식!$ED$15,$F462,0)=1,"O","X")</f>
        <v>X</v>
      </c>
      <c r="M462" s="188">
        <f ca="1">IFERROR(OFFSET(환산공식!DJ$15,$F462,0),"")</f>
        <v>200</v>
      </c>
      <c r="N462" s="20" t="str">
        <f ca="1">IFERROR(CONCATENATE(ROUND(OFFSET(환산공식!DK$15,$F462,0),1),"%"),"")</f>
        <v>100%</v>
      </c>
      <c r="O462" s="20">
        <f ca="1">IFERROR(OFFSET(환산공식!DL$15,$F462,0),"")</f>
        <v>0</v>
      </c>
      <c r="P462" s="188" t="str">
        <f t="shared" ca="1" si="14"/>
        <v>3% 이하</v>
      </c>
      <c r="Q462" s="194">
        <f ca="1">IFERROR(ROUND(OFFSET(환산공식!$FG$15,$F462,0),3),"")</f>
        <v>0</v>
      </c>
      <c r="R462" s="194">
        <f ca="1">OFFSET('배치점수 계산기'!H$10,$D462,0)</f>
        <v>808.59799999999996</v>
      </c>
      <c r="S462" s="194">
        <f ca="1">OFFSET('배치점수 계산기'!I$10,$D462,0)</f>
        <v>806.55899999999997</v>
      </c>
      <c r="T462" s="194">
        <f ca="1">OFFSET('배치점수 계산기'!J$10,$D462,0)</f>
        <v>802.87400000000002</v>
      </c>
      <c r="U462" s="194">
        <f ca="1">OFFSET('배치점수 계산기'!K$10,$D462,0)</f>
        <v>798.92200000000003</v>
      </c>
      <c r="V462" s="194">
        <f ca="1">OFFSET('배치점수 계산기'!L$10,$D462,0)</f>
        <v>796.21400000000006</v>
      </c>
      <c r="W462" s="186" t="str">
        <f ca="1">OFFSET('배치점수 계산기'!M$10,$D462,0)</f>
        <v>표점/만점</v>
      </c>
      <c r="X462" s="184" t="str">
        <f ca="1">OFFSET('배치점수 계산기'!N$10,$D462,0)</f>
        <v>변표/만점</v>
      </c>
      <c r="Y462" s="188">
        <f ca="1">OFFSET(환산공식!FW$15,$F462,0)</f>
        <v>0.25</v>
      </c>
      <c r="Z462" s="20">
        <f ca="1">OFFSET(환산공식!FX$15,$F462,0)</f>
        <v>0.44</v>
      </c>
      <c r="AA462" s="179">
        <f ca="1">OFFSET(환산공식!FY$15,$F462,0)</f>
        <v>0.31</v>
      </c>
      <c r="AB462" s="3"/>
      <c r="AD462">
        <f t="shared" ca="1" si="15"/>
        <v>6</v>
      </c>
      <c r="AF462" s="3"/>
      <c r="AG462" s="3"/>
      <c r="AH462" s="3"/>
    </row>
    <row r="463" spans="1:34">
      <c r="A463" s="198"/>
      <c r="B463" s="198"/>
      <c r="C463" s="198" t="s">
        <v>1915</v>
      </c>
      <c r="D463" s="195">
        <v>1451</v>
      </c>
      <c r="E463" s="195">
        <v>137</v>
      </c>
      <c r="F463" s="195">
        <v>137</v>
      </c>
      <c r="G463" s="239">
        <v>456</v>
      </c>
      <c r="H463" s="197" t="s">
        <v>79</v>
      </c>
      <c r="I463" s="242" t="s">
        <v>494</v>
      </c>
      <c r="J463" s="242" t="s">
        <v>16706</v>
      </c>
      <c r="K463" s="195" t="s">
        <v>71</v>
      </c>
      <c r="L463" s="20" t="str">
        <f ca="1">IF(OFFSET(환산공식!$ED$15,$F463,0)=1,"O","X")</f>
        <v>X</v>
      </c>
      <c r="M463" s="188">
        <f ca="1">IFERROR(OFFSET(환산공식!DJ$15,$F463,0),"")</f>
        <v>200</v>
      </c>
      <c r="N463" s="20" t="str">
        <f ca="1">IFERROR(CONCATENATE(ROUND(OFFSET(환산공식!DK$15,$F463,0),1),"%"),"")</f>
        <v>100%</v>
      </c>
      <c r="O463" s="20">
        <f ca="1">IFERROR(OFFSET(환산공식!DL$15,$F463,0),"")</f>
        <v>0</v>
      </c>
      <c r="P463" s="188" t="str">
        <f t="shared" ca="1" si="14"/>
        <v>3% 이하</v>
      </c>
      <c r="Q463" s="194">
        <f ca="1">IFERROR(ROUND(OFFSET(환산공식!$FG$15,$F463,0),3),"")</f>
        <v>0</v>
      </c>
      <c r="R463" s="194">
        <f ca="1">OFFSET('배치점수 계산기'!H$10,$D463,0)</f>
        <v>827.29100000000005</v>
      </c>
      <c r="S463" s="194">
        <f ca="1">OFFSET('배치점수 계산기'!I$10,$D463,0)</f>
        <v>825.41200000000003</v>
      </c>
      <c r="T463" s="194">
        <f ca="1">OFFSET('배치점수 계산기'!J$10,$D463,0)</f>
        <v>821.79700000000003</v>
      </c>
      <c r="U463" s="194">
        <f ca="1">OFFSET('배치점수 계산기'!K$10,$D463,0)</f>
        <v>818.46699999999998</v>
      </c>
      <c r="V463" s="194">
        <f ca="1">OFFSET('배치점수 계산기'!L$10,$D463,0)</f>
        <v>816.34199999999998</v>
      </c>
      <c r="W463" s="186" t="str">
        <f ca="1">OFFSET('배치점수 계산기'!M$10,$D463,0)</f>
        <v>표점/만점</v>
      </c>
      <c r="X463" s="184" t="str">
        <f ca="1">OFFSET('배치점수 계산기'!N$10,$D463,0)</f>
        <v>변표/만점</v>
      </c>
      <c r="Y463" s="188">
        <f ca="1">OFFSET(환산공식!FW$15,$F463,0)</f>
        <v>0.44</v>
      </c>
      <c r="Z463" s="20">
        <f ca="1">OFFSET(환산공식!FX$15,$F463,0)</f>
        <v>0.25</v>
      </c>
      <c r="AA463" s="179">
        <f ca="1">OFFSET(환산공식!FY$15,$F463,0)</f>
        <v>0.31</v>
      </c>
      <c r="AB463" s="3"/>
      <c r="AD463">
        <f t="shared" ca="1" si="15"/>
        <v>6</v>
      </c>
      <c r="AF463" s="3"/>
      <c r="AG463" s="3"/>
      <c r="AH463" s="3"/>
    </row>
    <row r="464" spans="1:34">
      <c r="A464" s="198"/>
      <c r="B464" s="198"/>
      <c r="C464" s="198" t="s">
        <v>1916</v>
      </c>
      <c r="D464" s="195">
        <v>1452</v>
      </c>
      <c r="E464" s="195">
        <v>138</v>
      </c>
      <c r="F464" s="195">
        <v>138</v>
      </c>
      <c r="G464" s="239">
        <v>457</v>
      </c>
      <c r="H464" s="197" t="s">
        <v>79</v>
      </c>
      <c r="I464" s="242" t="s">
        <v>494</v>
      </c>
      <c r="J464" s="242" t="s">
        <v>16707</v>
      </c>
      <c r="K464" s="195" t="s">
        <v>71</v>
      </c>
      <c r="L464" s="20" t="str">
        <f ca="1">IF(OFFSET(환산공식!$ED$15,$F464,0)=1,"O","X")</f>
        <v>X</v>
      </c>
      <c r="M464" s="188">
        <f ca="1">IFERROR(OFFSET(환산공식!DJ$15,$F464,0),"")</f>
        <v>200</v>
      </c>
      <c r="N464" s="20" t="str">
        <f ca="1">IFERROR(CONCATENATE(ROUND(OFFSET(환산공식!DK$15,$F464,0),1),"%"),"")</f>
        <v>100%</v>
      </c>
      <c r="O464" s="20">
        <f ca="1">IFERROR(OFFSET(환산공식!DL$15,$F464,0),"")</f>
        <v>0</v>
      </c>
      <c r="P464" s="188" t="str">
        <f t="shared" ca="1" si="14"/>
        <v>3% 이하</v>
      </c>
      <c r="Q464" s="194">
        <f ca="1">IFERROR(ROUND(OFFSET(환산공식!$FG$15,$F464,0),3),"")</f>
        <v>0</v>
      </c>
      <c r="R464" s="194">
        <f ca="1">OFFSET('배치점수 계산기'!H$10,$D464,0)</f>
        <v>828.32500000000005</v>
      </c>
      <c r="S464" s="194">
        <f ca="1">OFFSET('배치점수 계산기'!I$10,$D464,0)</f>
        <v>825.69100000000003</v>
      </c>
      <c r="T464" s="194">
        <f ca="1">OFFSET('배치점수 계산기'!J$10,$D464,0)</f>
        <v>820.78499999999997</v>
      </c>
      <c r="U464" s="194">
        <f ca="1">OFFSET('배치점수 계산기'!K$10,$D464,0)</f>
        <v>816.62599999999998</v>
      </c>
      <c r="V464" s="194">
        <f ca="1">OFFSET('배치점수 계산기'!L$10,$D464,0)</f>
        <v>813.65700000000004</v>
      </c>
      <c r="W464" s="186" t="str">
        <f ca="1">OFFSET('배치점수 계산기'!M$10,$D464,0)</f>
        <v>표점/만점</v>
      </c>
      <c r="X464" s="184" t="str">
        <f ca="1">OFFSET('배치점수 계산기'!N$10,$D464,0)</f>
        <v>변표/만점</v>
      </c>
      <c r="Y464" s="188">
        <f ca="1">OFFSET(환산공식!FW$15,$F464,0)</f>
        <v>0.38</v>
      </c>
      <c r="Z464" s="20">
        <f ca="1">OFFSET(환산공식!FX$15,$F464,0)</f>
        <v>0.37</v>
      </c>
      <c r="AA464" s="179">
        <f ca="1">OFFSET(환산공식!FY$15,$F464,0)</f>
        <v>0.25</v>
      </c>
      <c r="AB464" s="3"/>
      <c r="AD464">
        <f t="shared" ca="1" si="15"/>
        <v>6</v>
      </c>
      <c r="AF464" s="3"/>
      <c r="AG464" s="3"/>
      <c r="AH464" s="3"/>
    </row>
    <row r="465" spans="1:34">
      <c r="A465" s="198"/>
      <c r="B465" s="198"/>
      <c r="C465" s="198" t="s">
        <v>1917</v>
      </c>
      <c r="D465" s="195">
        <v>1453</v>
      </c>
      <c r="E465" s="195">
        <v>137</v>
      </c>
      <c r="F465" s="195">
        <v>137</v>
      </c>
      <c r="G465" s="239">
        <v>458</v>
      </c>
      <c r="H465" s="197" t="s">
        <v>79</v>
      </c>
      <c r="I465" s="242" t="s">
        <v>494</v>
      </c>
      <c r="J465" s="242" t="s">
        <v>13322</v>
      </c>
      <c r="K465" s="195" t="s">
        <v>71</v>
      </c>
      <c r="L465" s="20" t="str">
        <f ca="1">IF(OFFSET(환산공식!$ED$15,$F465,0)=1,"O","X")</f>
        <v>X</v>
      </c>
      <c r="M465" s="188">
        <f ca="1">IFERROR(OFFSET(환산공식!DJ$15,$F465,0),"")</f>
        <v>200</v>
      </c>
      <c r="N465" s="20" t="str">
        <f ca="1">IFERROR(CONCATENATE(ROUND(OFFSET(환산공식!DK$15,$F465,0),1),"%"),"")</f>
        <v>100%</v>
      </c>
      <c r="O465" s="20">
        <f ca="1">IFERROR(OFFSET(환산공식!DL$15,$F465,0),"")</f>
        <v>0</v>
      </c>
      <c r="P465" s="188" t="str">
        <f t="shared" ca="1" si="14"/>
        <v>3% 이하</v>
      </c>
      <c r="Q465" s="194">
        <f ca="1">IFERROR(ROUND(OFFSET(환산공식!$FG$15,$F465,0),3),"")</f>
        <v>0</v>
      </c>
      <c r="R465" s="194">
        <f ca="1">OFFSET('배치점수 계산기'!H$10,$D465,0)</f>
        <v>822.21100000000001</v>
      </c>
      <c r="S465" s="194">
        <f ca="1">OFFSET('배치점수 계산기'!I$10,$D465,0)</f>
        <v>819.28800000000001</v>
      </c>
      <c r="T465" s="194">
        <f ca="1">OFFSET('배치점수 계산기'!J$10,$D465,0)</f>
        <v>815.38300000000004</v>
      </c>
      <c r="U465" s="194">
        <f ca="1">OFFSET('배치점수 계산기'!K$10,$D465,0)</f>
        <v>811.54899999999998</v>
      </c>
      <c r="V465" s="194">
        <f ca="1">OFFSET('배치점수 계산기'!L$10,$D465,0)</f>
        <v>809.10400000000004</v>
      </c>
      <c r="W465" s="186" t="str">
        <f ca="1">OFFSET('배치점수 계산기'!M$10,$D465,0)</f>
        <v>표점/만점</v>
      </c>
      <c r="X465" s="184" t="str">
        <f ca="1">OFFSET('배치점수 계산기'!N$10,$D465,0)</f>
        <v>변표/만점</v>
      </c>
      <c r="Y465" s="188">
        <f ca="1">OFFSET(환산공식!FW$15,$F465,0)</f>
        <v>0.44</v>
      </c>
      <c r="Z465" s="20">
        <f ca="1">OFFSET(환산공식!FX$15,$F465,0)</f>
        <v>0.25</v>
      </c>
      <c r="AA465" s="179">
        <f ca="1">OFFSET(환산공식!FY$15,$F465,0)</f>
        <v>0.31</v>
      </c>
      <c r="AB465" s="3"/>
      <c r="AD465">
        <f t="shared" ca="1" si="15"/>
        <v>6</v>
      </c>
      <c r="AF465" s="3"/>
      <c r="AG465" s="3"/>
      <c r="AH465" s="3"/>
    </row>
    <row r="466" spans="1:34">
      <c r="A466" s="198"/>
      <c r="B466" s="198"/>
      <c r="C466" s="198" t="s">
        <v>1918</v>
      </c>
      <c r="D466" s="195">
        <v>1454</v>
      </c>
      <c r="E466" s="195">
        <v>262</v>
      </c>
      <c r="F466" s="195">
        <v>262</v>
      </c>
      <c r="G466" s="239">
        <v>459</v>
      </c>
      <c r="H466" s="197" t="s">
        <v>79</v>
      </c>
      <c r="I466" s="242" t="s">
        <v>496</v>
      </c>
      <c r="J466" s="242" t="s">
        <v>12753</v>
      </c>
      <c r="K466" s="195" t="s">
        <v>71</v>
      </c>
      <c r="L466" s="20" t="str">
        <f ca="1">IF(OFFSET(환산공식!$ED$15,$F466,0)=1,"O","X")</f>
        <v>X</v>
      </c>
      <c r="M466" s="188">
        <f ca="1">IFERROR(OFFSET(환산공식!DJ$15,$F466,0),"")</f>
        <v>142.9</v>
      </c>
      <c r="N466" s="20" t="str">
        <f ca="1">IFERROR(CONCATENATE(ROUND(OFFSET(환산공식!DK$15,$F466,0),1),"%"),"")</f>
        <v>100%</v>
      </c>
      <c r="O466" s="20">
        <f ca="1">IFERROR(OFFSET(환산공식!DL$15,$F466,0),"")</f>
        <v>10</v>
      </c>
      <c r="P466" s="188" t="str">
        <f t="shared" ca="1" si="14"/>
        <v>3% 이하</v>
      </c>
      <c r="Q466" s="194">
        <f ca="1">IFERROR(ROUND(OFFSET(환산공식!$FG$15,$F466,0),3),"")</f>
        <v>0</v>
      </c>
      <c r="R466" s="194">
        <f ca="1">OFFSET('배치점수 계산기'!H$10,$D466,0)</f>
        <v>633.76</v>
      </c>
      <c r="S466" s="194">
        <f ca="1">OFFSET('배치점수 계산기'!I$10,$D466,0)</f>
        <v>631.80100000000004</v>
      </c>
      <c r="T466" s="194">
        <f ca="1">OFFSET('배치점수 계산기'!J$10,$D466,0)</f>
        <v>629.01099999999997</v>
      </c>
      <c r="U466" s="194">
        <f ca="1">OFFSET('배치점수 계산기'!K$10,$D466,0)</f>
        <v>625.55700000000002</v>
      </c>
      <c r="V466" s="194">
        <f ca="1">OFFSET('배치점수 계산기'!L$10,$D466,0)</f>
        <v>623.154</v>
      </c>
      <c r="W466" s="186" t="str">
        <f ca="1">OFFSET('배치점수 계산기'!M$10,$D466,0)</f>
        <v>표점</v>
      </c>
      <c r="X466" s="184" t="str">
        <f ca="1">OFFSET('배치점수 계산기'!N$10,$D466,0)</f>
        <v>변표</v>
      </c>
      <c r="Y466" s="188">
        <f ca="1">OFFSET(환산공식!FW$15,$F466,0)</f>
        <v>0.25</v>
      </c>
      <c r="Z466" s="20">
        <f ca="1">OFFSET(환산공식!FX$15,$F466,0)</f>
        <v>0.25</v>
      </c>
      <c r="AA466" s="179">
        <f ca="1">OFFSET(환산공식!FY$15,$F466,0)</f>
        <v>0.5</v>
      </c>
      <c r="AB466" s="3"/>
      <c r="AD466">
        <f t="shared" ca="1" si="15"/>
        <v>6</v>
      </c>
      <c r="AF466" s="3"/>
      <c r="AG466" s="3"/>
      <c r="AH466" s="3"/>
    </row>
    <row r="467" spans="1:34">
      <c r="A467" s="198"/>
      <c r="B467" s="198"/>
      <c r="C467" s="198" t="s">
        <v>1919</v>
      </c>
      <c r="D467" s="195">
        <v>1455</v>
      </c>
      <c r="E467" s="195">
        <v>186</v>
      </c>
      <c r="F467" s="195">
        <v>186</v>
      </c>
      <c r="G467" s="239">
        <v>460</v>
      </c>
      <c r="H467" s="197" t="s">
        <v>79</v>
      </c>
      <c r="I467" s="242" t="s">
        <v>197</v>
      </c>
      <c r="J467" s="242" t="s">
        <v>8633</v>
      </c>
      <c r="K467" s="195" t="s">
        <v>70</v>
      </c>
      <c r="L467" s="20" t="str">
        <f ca="1">IF(OFFSET(환산공식!$ED$15,$F467,0)=1,"O","X")</f>
        <v>X</v>
      </c>
      <c r="M467" s="188">
        <f ca="1">IFERROR(OFFSET(환산공식!DJ$15,$F467,0),"")</f>
        <v>100</v>
      </c>
      <c r="N467" s="20" t="str">
        <f ca="1">IFERROR(CONCATENATE(ROUND(OFFSET(환산공식!DK$15,$F467,0),1),"%"),"")</f>
        <v>100%</v>
      </c>
      <c r="O467" s="20">
        <f ca="1">IFERROR(OFFSET(환산공식!DL$15,$F467,0),"")</f>
        <v>1.5</v>
      </c>
      <c r="P467" s="188" t="str">
        <f t="shared" ca="1" si="14"/>
        <v>3% 이하</v>
      </c>
      <c r="Q467" s="194">
        <f ca="1">IFERROR(ROUND(OFFSET(환산공식!$FG$15,$F467,0),3),"")</f>
        <v>0</v>
      </c>
      <c r="R467" s="194">
        <f ca="1">OFFSET('배치점수 계산기'!H$10,$D467,0)</f>
        <v>426.31900000000002</v>
      </c>
      <c r="S467" s="194">
        <f ca="1">OFFSET('배치점수 계산기'!I$10,$D467,0)</f>
        <v>422.81</v>
      </c>
      <c r="T467" s="194">
        <f ca="1">OFFSET('배치점수 계산기'!J$10,$D467,0)</f>
        <v>416.44900000000001</v>
      </c>
      <c r="U467" s="194">
        <f ca="1">OFFSET('배치점수 계산기'!K$10,$D467,0)</f>
        <v>409.39800000000002</v>
      </c>
      <c r="V467" s="194">
        <f ca="1">OFFSET('배치점수 계산기'!L$10,$D467,0)</f>
        <v>401.03</v>
      </c>
      <c r="W467" s="186" t="str">
        <f ca="1">OFFSET('배치점수 계산기'!M$10,$D467,0)</f>
        <v>백분위</v>
      </c>
      <c r="X467" s="184" t="str">
        <f ca="1">OFFSET('배치점수 계산기'!N$10,$D467,0)</f>
        <v>백분위</v>
      </c>
      <c r="Y467" s="188">
        <f ca="1">OFFSET(환산공식!FW$15,$F467,0)</f>
        <v>0.25</v>
      </c>
      <c r="Z467" s="20">
        <f ca="1">OFFSET(환산공식!FX$15,$F467,0)</f>
        <v>0.38</v>
      </c>
      <c r="AA467" s="179">
        <f ca="1">OFFSET(환산공식!FY$15,$F467,0)</f>
        <v>0.38</v>
      </c>
      <c r="AB467" s="3"/>
      <c r="AD467">
        <f t="shared" ca="1" si="15"/>
        <v>6</v>
      </c>
      <c r="AF467" s="3"/>
      <c r="AG467" s="3"/>
      <c r="AH467" s="3"/>
    </row>
    <row r="468" spans="1:34">
      <c r="A468" s="198"/>
      <c r="B468" s="198"/>
      <c r="C468" s="198" t="s">
        <v>1920</v>
      </c>
      <c r="D468" s="195">
        <v>1456</v>
      </c>
      <c r="E468" s="195">
        <v>187</v>
      </c>
      <c r="F468" s="195">
        <v>187</v>
      </c>
      <c r="G468" s="239">
        <v>461</v>
      </c>
      <c r="H468" s="197" t="s">
        <v>79</v>
      </c>
      <c r="I468" s="242" t="s">
        <v>197</v>
      </c>
      <c r="J468" s="242" t="s">
        <v>8856</v>
      </c>
      <c r="K468" s="195" t="s">
        <v>70</v>
      </c>
      <c r="L468" s="20" t="str">
        <f ca="1">IF(OFFSET(환산공식!$ED$15,$F468,0)=1,"O","X")</f>
        <v>X</v>
      </c>
      <c r="M468" s="188">
        <f ca="1">IFERROR(OFFSET(환산공식!DJ$15,$F468,0),"")</f>
        <v>100</v>
      </c>
      <c r="N468" s="20" t="str">
        <f ca="1">IFERROR(CONCATENATE(ROUND(OFFSET(환산공식!DK$15,$F468,0),1),"%"),"")</f>
        <v>100%</v>
      </c>
      <c r="O468" s="20">
        <f ca="1">IFERROR(OFFSET(환산공식!DL$15,$F468,0),"")</f>
        <v>1.5</v>
      </c>
      <c r="P468" s="188" t="str">
        <f t="shared" ca="1" si="14"/>
        <v>3% 이하</v>
      </c>
      <c r="Q468" s="194">
        <f ca="1">IFERROR(ROUND(OFFSET(환산공식!$FG$15,$F468,0),3),"")</f>
        <v>0</v>
      </c>
      <c r="R468" s="194">
        <f ca="1">OFFSET('배치점수 계산기'!H$10,$D468,0)</f>
        <v>409.78399999999999</v>
      </c>
      <c r="S468" s="194">
        <f ca="1">OFFSET('배치점수 계산기'!I$10,$D468,0)</f>
        <v>406.81099999999998</v>
      </c>
      <c r="T468" s="194">
        <f ca="1">OFFSET('배치점수 계산기'!J$10,$D468,0)</f>
        <v>400.34399999999999</v>
      </c>
      <c r="U468" s="194">
        <f ca="1">OFFSET('배치점수 계산기'!K$10,$D468,0)</f>
        <v>393.745</v>
      </c>
      <c r="V468" s="194">
        <f ca="1">OFFSET('배치점수 계산기'!L$10,$D468,0)</f>
        <v>386.44600000000003</v>
      </c>
      <c r="W468" s="186" t="str">
        <f ca="1">OFFSET('배치점수 계산기'!M$10,$D468,0)</f>
        <v>백분위</v>
      </c>
      <c r="X468" s="184" t="str">
        <f ca="1">OFFSET('배치점수 계산기'!N$10,$D468,0)</f>
        <v>백분위</v>
      </c>
      <c r="Y468" s="188">
        <f ca="1">OFFSET(환산공식!FW$15,$F468,0)</f>
        <v>0.25</v>
      </c>
      <c r="Z468" s="20">
        <f ca="1">OFFSET(환산공식!FX$15,$F468,0)</f>
        <v>0.38</v>
      </c>
      <c r="AA468" s="179">
        <f ca="1">OFFSET(환산공식!FY$15,$F468,0)</f>
        <v>0.38</v>
      </c>
      <c r="AB468" s="3"/>
      <c r="AD468">
        <f t="shared" ca="1" si="15"/>
        <v>6</v>
      </c>
      <c r="AF468" s="3"/>
      <c r="AG468" s="3"/>
      <c r="AH468" s="3"/>
    </row>
    <row r="469" spans="1:34">
      <c r="A469" s="198"/>
      <c r="B469" s="198"/>
      <c r="C469" s="198" t="s">
        <v>1921</v>
      </c>
      <c r="D469" s="195">
        <v>1457</v>
      </c>
      <c r="E469" s="195">
        <v>187</v>
      </c>
      <c r="F469" s="195">
        <v>187</v>
      </c>
      <c r="G469" s="239">
        <v>462</v>
      </c>
      <c r="H469" s="197" t="s">
        <v>79</v>
      </c>
      <c r="I469" s="242" t="s">
        <v>197</v>
      </c>
      <c r="J469" s="242" t="s">
        <v>11127</v>
      </c>
      <c r="K469" s="195" t="s">
        <v>70</v>
      </c>
      <c r="L469" s="20" t="str">
        <f ca="1">IF(OFFSET(환산공식!$ED$15,$F469,0)=1,"O","X")</f>
        <v>X</v>
      </c>
      <c r="M469" s="188">
        <f ca="1">IFERROR(OFFSET(환산공식!DJ$15,$F469,0),"")</f>
        <v>100</v>
      </c>
      <c r="N469" s="20" t="str">
        <f ca="1">IFERROR(CONCATENATE(ROUND(OFFSET(환산공식!DK$15,$F469,0),1),"%"),"")</f>
        <v>100%</v>
      </c>
      <c r="O469" s="20">
        <f ca="1">IFERROR(OFFSET(환산공식!DL$15,$F469,0),"")</f>
        <v>1.5</v>
      </c>
      <c r="P469" s="188" t="str">
        <f t="shared" ca="1" si="14"/>
        <v>3% 이하</v>
      </c>
      <c r="Q469" s="194">
        <f ca="1">IFERROR(ROUND(OFFSET(환산공식!$FG$15,$F469,0),3),"")</f>
        <v>0</v>
      </c>
      <c r="R469" s="194">
        <f ca="1">OFFSET('배치점수 계산기'!H$10,$D469,0)</f>
        <v>400.88400000000001</v>
      </c>
      <c r="S469" s="194">
        <f ca="1">OFFSET('배치점수 계산기'!I$10,$D469,0)</f>
        <v>397.714</v>
      </c>
      <c r="T469" s="194">
        <f ca="1">OFFSET('배치점수 계산기'!J$10,$D469,0)</f>
        <v>391.74200000000002</v>
      </c>
      <c r="U469" s="194">
        <f ca="1">OFFSET('배치점수 계산기'!K$10,$D469,0)</f>
        <v>385.90499999999997</v>
      </c>
      <c r="V469" s="194">
        <f ca="1">OFFSET('배치점수 계산기'!L$10,$D469,0)</f>
        <v>377.87200000000001</v>
      </c>
      <c r="W469" s="186" t="str">
        <f ca="1">OFFSET('배치점수 계산기'!M$10,$D469,0)</f>
        <v>백분위</v>
      </c>
      <c r="X469" s="184" t="str">
        <f ca="1">OFFSET('배치점수 계산기'!N$10,$D469,0)</f>
        <v>백분위</v>
      </c>
      <c r="Y469" s="188">
        <f ca="1">OFFSET(환산공식!FW$15,$F469,0)</f>
        <v>0.25</v>
      </c>
      <c r="Z469" s="20">
        <f ca="1">OFFSET(환산공식!FX$15,$F469,0)</f>
        <v>0.38</v>
      </c>
      <c r="AA469" s="179">
        <f ca="1">OFFSET(환산공식!FY$15,$F469,0)</f>
        <v>0.38</v>
      </c>
      <c r="AB469" s="3"/>
      <c r="AD469">
        <f t="shared" ca="1" si="15"/>
        <v>6</v>
      </c>
      <c r="AF469" s="3"/>
      <c r="AG469" s="3"/>
      <c r="AH469" s="3"/>
    </row>
    <row r="470" spans="1:34">
      <c r="A470" s="198"/>
      <c r="B470" s="198"/>
      <c r="C470" s="198" t="s">
        <v>1922</v>
      </c>
      <c r="D470" s="195">
        <v>1458</v>
      </c>
      <c r="E470" s="195">
        <v>186</v>
      </c>
      <c r="F470" s="195">
        <v>186</v>
      </c>
      <c r="G470" s="239">
        <v>463</v>
      </c>
      <c r="H470" s="197" t="s">
        <v>79</v>
      </c>
      <c r="I470" s="242" t="s">
        <v>197</v>
      </c>
      <c r="J470" s="242" t="s">
        <v>12598</v>
      </c>
      <c r="K470" s="195" t="s">
        <v>70</v>
      </c>
      <c r="L470" s="20" t="str">
        <f ca="1">IF(OFFSET(환산공식!$ED$15,$F470,0)=1,"O","X")</f>
        <v>X</v>
      </c>
      <c r="M470" s="188">
        <f ca="1">IFERROR(OFFSET(환산공식!DJ$15,$F470,0),"")</f>
        <v>100</v>
      </c>
      <c r="N470" s="20" t="str">
        <f ca="1">IFERROR(CONCATENATE(ROUND(OFFSET(환산공식!DK$15,$F470,0),1),"%"),"")</f>
        <v>100%</v>
      </c>
      <c r="O470" s="20">
        <f ca="1">IFERROR(OFFSET(환산공식!DL$15,$F470,0),"")</f>
        <v>1.5</v>
      </c>
      <c r="P470" s="188" t="str">
        <f t="shared" ca="1" si="14"/>
        <v>3% 이하</v>
      </c>
      <c r="Q470" s="194">
        <f ca="1">IFERROR(ROUND(OFFSET(환산공식!$FG$15,$F470,0),3),"")</f>
        <v>0</v>
      </c>
      <c r="R470" s="194">
        <f ca="1">OFFSET('배치점수 계산기'!H$10,$D470,0)</f>
        <v>407.94600000000003</v>
      </c>
      <c r="S470" s="194">
        <f ca="1">OFFSET('배치점수 계산기'!I$10,$D470,0)</f>
        <v>404.82900000000001</v>
      </c>
      <c r="T470" s="194">
        <f ca="1">OFFSET('배치점수 계산기'!J$10,$D470,0)</f>
        <v>398.60199999999998</v>
      </c>
      <c r="U470" s="194">
        <f ca="1">OFFSET('배치점수 계산기'!K$10,$D470,0)</f>
        <v>392.50799999999998</v>
      </c>
      <c r="V470" s="194">
        <f ca="1">OFFSET('배치점수 계산기'!L$10,$D470,0)</f>
        <v>383.91199999999998</v>
      </c>
      <c r="W470" s="186" t="str">
        <f ca="1">OFFSET('배치점수 계산기'!M$10,$D470,0)</f>
        <v>백분위</v>
      </c>
      <c r="X470" s="184" t="str">
        <f ca="1">OFFSET('배치점수 계산기'!N$10,$D470,0)</f>
        <v>백분위</v>
      </c>
      <c r="Y470" s="188">
        <f ca="1">OFFSET(환산공식!FW$15,$F470,0)</f>
        <v>0.25</v>
      </c>
      <c r="Z470" s="20">
        <f ca="1">OFFSET(환산공식!FX$15,$F470,0)</f>
        <v>0.38</v>
      </c>
      <c r="AA470" s="179">
        <f ca="1">OFFSET(환산공식!FY$15,$F470,0)</f>
        <v>0.38</v>
      </c>
      <c r="AB470" s="3"/>
      <c r="AD470">
        <f t="shared" ca="1" si="15"/>
        <v>6</v>
      </c>
      <c r="AF470" s="3"/>
      <c r="AG470" s="3"/>
      <c r="AH470" s="3"/>
    </row>
    <row r="471" spans="1:34">
      <c r="A471" s="198"/>
      <c r="B471" s="198"/>
      <c r="C471" s="198" t="s">
        <v>1923</v>
      </c>
      <c r="D471" s="195">
        <v>1459</v>
      </c>
      <c r="E471" s="195">
        <v>187</v>
      </c>
      <c r="F471" s="195">
        <v>187</v>
      </c>
      <c r="G471" s="239">
        <v>464</v>
      </c>
      <c r="H471" s="197" t="s">
        <v>79</v>
      </c>
      <c r="I471" s="242" t="s">
        <v>197</v>
      </c>
      <c r="J471" s="242" t="s">
        <v>12662</v>
      </c>
      <c r="K471" s="195" t="s">
        <v>70</v>
      </c>
      <c r="L471" s="20" t="str">
        <f ca="1">IF(OFFSET(환산공식!$ED$15,$F471,0)=1,"O","X")</f>
        <v>X</v>
      </c>
      <c r="M471" s="188">
        <f ca="1">IFERROR(OFFSET(환산공식!DJ$15,$F471,0),"")</f>
        <v>100</v>
      </c>
      <c r="N471" s="20" t="str">
        <f ca="1">IFERROR(CONCATENATE(ROUND(OFFSET(환산공식!DK$15,$F471,0),1),"%"),"")</f>
        <v>100%</v>
      </c>
      <c r="O471" s="20">
        <f ca="1">IFERROR(OFFSET(환산공식!DL$15,$F471,0),"")</f>
        <v>1.5</v>
      </c>
      <c r="P471" s="188" t="str">
        <f t="shared" ca="1" si="14"/>
        <v>3% 이하</v>
      </c>
      <c r="Q471" s="194">
        <f ca="1">IFERROR(ROUND(OFFSET(환산공식!$FG$15,$F471,0),3),"")</f>
        <v>0</v>
      </c>
      <c r="R471" s="194">
        <f ca="1">OFFSET('배치점수 계산기'!H$10,$D471,0)</f>
        <v>396.084</v>
      </c>
      <c r="S471" s="194">
        <f ca="1">OFFSET('배치점수 계산기'!I$10,$D471,0)</f>
        <v>393.53199999999998</v>
      </c>
      <c r="T471" s="194">
        <f ca="1">OFFSET('배치점수 계산기'!J$10,$D471,0)</f>
        <v>387.69099999999997</v>
      </c>
      <c r="U471" s="194">
        <f ca="1">OFFSET('배치점수 계산기'!K$10,$D471,0)</f>
        <v>381.12400000000002</v>
      </c>
      <c r="V471" s="194">
        <f ca="1">OFFSET('배치점수 계산기'!L$10,$D471,0)</f>
        <v>373.05</v>
      </c>
      <c r="W471" s="186" t="str">
        <f ca="1">OFFSET('배치점수 계산기'!M$10,$D471,0)</f>
        <v>백분위</v>
      </c>
      <c r="X471" s="184" t="str">
        <f ca="1">OFFSET('배치점수 계산기'!N$10,$D471,0)</f>
        <v>백분위</v>
      </c>
      <c r="Y471" s="188">
        <f ca="1">OFFSET(환산공식!FW$15,$F471,0)</f>
        <v>0.25</v>
      </c>
      <c r="Z471" s="20">
        <f ca="1">OFFSET(환산공식!FX$15,$F471,0)</f>
        <v>0.38</v>
      </c>
      <c r="AA471" s="179">
        <f ca="1">OFFSET(환산공식!FY$15,$F471,0)</f>
        <v>0.38</v>
      </c>
      <c r="AB471" s="3"/>
      <c r="AD471">
        <f t="shared" ca="1" si="15"/>
        <v>6</v>
      </c>
      <c r="AF471" s="3"/>
      <c r="AG471" s="3"/>
      <c r="AH471" s="3"/>
    </row>
    <row r="472" spans="1:34">
      <c r="A472" s="198"/>
      <c r="B472" s="198"/>
      <c r="C472" s="198" t="s">
        <v>1924</v>
      </c>
      <c r="D472" s="195">
        <v>1460</v>
      </c>
      <c r="E472" s="195">
        <v>187</v>
      </c>
      <c r="F472" s="195">
        <v>187</v>
      </c>
      <c r="G472" s="239">
        <v>465</v>
      </c>
      <c r="H472" s="197" t="s">
        <v>79</v>
      </c>
      <c r="I472" s="242" t="s">
        <v>197</v>
      </c>
      <c r="J472" s="242" t="s">
        <v>12684</v>
      </c>
      <c r="K472" s="195" t="s">
        <v>70</v>
      </c>
      <c r="L472" s="20" t="str">
        <f ca="1">IF(OFFSET(환산공식!$ED$15,$F472,0)=1,"O","X")</f>
        <v>X</v>
      </c>
      <c r="M472" s="188">
        <f ca="1">IFERROR(OFFSET(환산공식!DJ$15,$F472,0),"")</f>
        <v>100</v>
      </c>
      <c r="N472" s="20" t="str">
        <f ca="1">IFERROR(CONCATENATE(ROUND(OFFSET(환산공식!DK$15,$F472,0),1),"%"),"")</f>
        <v>100%</v>
      </c>
      <c r="O472" s="20">
        <f ca="1">IFERROR(OFFSET(환산공식!DL$15,$F472,0),"")</f>
        <v>1.5</v>
      </c>
      <c r="P472" s="188" t="str">
        <f t="shared" ca="1" si="14"/>
        <v>3% 이하</v>
      </c>
      <c r="Q472" s="194">
        <f ca="1">IFERROR(ROUND(OFFSET(환산공식!$FG$15,$F472,0),3),"")</f>
        <v>0</v>
      </c>
      <c r="R472" s="194">
        <f ca="1">OFFSET('배치점수 계산기'!H$10,$D472,0)</f>
        <v>395.613</v>
      </c>
      <c r="S472" s="194">
        <f ca="1">OFFSET('배치점수 계산기'!I$10,$D472,0)</f>
        <v>392.73200000000003</v>
      </c>
      <c r="T472" s="194">
        <f ca="1">OFFSET('배치점수 계산기'!J$10,$D472,0)</f>
        <v>387.04899999999998</v>
      </c>
      <c r="U472" s="194">
        <f ca="1">OFFSET('배치점수 계산기'!K$10,$D472,0)</f>
        <v>381.07100000000003</v>
      </c>
      <c r="V472" s="194">
        <f ca="1">OFFSET('배치점수 계산기'!L$10,$D472,0)</f>
        <v>372.81700000000001</v>
      </c>
      <c r="W472" s="186" t="str">
        <f ca="1">OFFSET('배치점수 계산기'!M$10,$D472,0)</f>
        <v>백분위</v>
      </c>
      <c r="X472" s="184" t="str">
        <f ca="1">OFFSET('배치점수 계산기'!N$10,$D472,0)</f>
        <v>백분위</v>
      </c>
      <c r="Y472" s="188">
        <f ca="1">OFFSET(환산공식!FW$15,$F472,0)</f>
        <v>0.25</v>
      </c>
      <c r="Z472" s="20">
        <f ca="1">OFFSET(환산공식!FX$15,$F472,0)</f>
        <v>0.38</v>
      </c>
      <c r="AA472" s="179">
        <f ca="1">OFFSET(환산공식!FY$15,$F472,0)</f>
        <v>0.38</v>
      </c>
      <c r="AB472" s="3"/>
      <c r="AD472">
        <f t="shared" ca="1" si="15"/>
        <v>6</v>
      </c>
      <c r="AF472" s="3"/>
      <c r="AG472" s="3"/>
      <c r="AH472" s="3"/>
    </row>
    <row r="473" spans="1:34">
      <c r="A473" s="198"/>
      <c r="B473" s="198"/>
      <c r="C473" s="198" t="s">
        <v>1925</v>
      </c>
      <c r="D473" s="195">
        <v>1461</v>
      </c>
      <c r="E473" s="195">
        <v>186</v>
      </c>
      <c r="F473" s="195">
        <v>186</v>
      </c>
      <c r="G473" s="239">
        <v>466</v>
      </c>
      <c r="H473" s="197" t="s">
        <v>79</v>
      </c>
      <c r="I473" s="242" t="s">
        <v>197</v>
      </c>
      <c r="J473" s="242" t="s">
        <v>12195</v>
      </c>
      <c r="K473" s="195" t="s">
        <v>70</v>
      </c>
      <c r="L473" s="20" t="str">
        <f ca="1">IF(OFFSET(환산공식!$ED$15,$F473,0)=1,"O","X")</f>
        <v>X</v>
      </c>
      <c r="M473" s="188">
        <f ca="1">IFERROR(OFFSET(환산공식!DJ$15,$F473,0),"")</f>
        <v>100</v>
      </c>
      <c r="N473" s="20" t="str">
        <f ca="1">IFERROR(CONCATENATE(ROUND(OFFSET(환산공식!DK$15,$F473,0),1),"%"),"")</f>
        <v>100%</v>
      </c>
      <c r="O473" s="20">
        <f ca="1">IFERROR(OFFSET(환산공식!DL$15,$F473,0),"")</f>
        <v>1.5</v>
      </c>
      <c r="P473" s="188" t="str">
        <f t="shared" ca="1" si="14"/>
        <v>3% 이하</v>
      </c>
      <c r="Q473" s="194">
        <f ca="1">IFERROR(ROUND(OFFSET(환산공식!$FG$15,$F473,0),3),"")</f>
        <v>0</v>
      </c>
      <c r="R473" s="194">
        <f ca="1">OFFSET('배치점수 계산기'!H$10,$D473,0)</f>
        <v>403.89600000000002</v>
      </c>
      <c r="S473" s="194">
        <f ca="1">OFFSET('배치점수 계산기'!I$10,$D473,0)</f>
        <v>401.03</v>
      </c>
      <c r="T473" s="194">
        <f ca="1">OFFSET('배치점수 계산기'!J$10,$D473,0)</f>
        <v>395.15100000000001</v>
      </c>
      <c r="U473" s="194">
        <f ca="1">OFFSET('배치점수 계산기'!K$10,$D473,0)</f>
        <v>388.22500000000002</v>
      </c>
      <c r="V473" s="194">
        <f ca="1">OFFSET('배치점수 계산기'!L$10,$D473,0)</f>
        <v>380.22399999999999</v>
      </c>
      <c r="W473" s="186" t="str">
        <f ca="1">OFFSET('배치점수 계산기'!M$10,$D473,0)</f>
        <v>백분위</v>
      </c>
      <c r="X473" s="184" t="str">
        <f ca="1">OFFSET('배치점수 계산기'!N$10,$D473,0)</f>
        <v>백분위</v>
      </c>
      <c r="Y473" s="188">
        <f ca="1">OFFSET(환산공식!FW$15,$F473,0)</f>
        <v>0.25</v>
      </c>
      <c r="Z473" s="20">
        <f ca="1">OFFSET(환산공식!FX$15,$F473,0)</f>
        <v>0.38</v>
      </c>
      <c r="AA473" s="179">
        <f ca="1">OFFSET(환산공식!FY$15,$F473,0)</f>
        <v>0.38</v>
      </c>
      <c r="AB473" s="3"/>
      <c r="AD473">
        <f t="shared" ca="1" si="15"/>
        <v>6</v>
      </c>
      <c r="AF473" s="3"/>
      <c r="AG473" s="3"/>
      <c r="AH473" s="3"/>
    </row>
    <row r="474" spans="1:34">
      <c r="A474" s="198"/>
      <c r="B474" s="198"/>
      <c r="C474" s="198" t="s">
        <v>1926</v>
      </c>
      <c r="D474" s="195">
        <v>1462</v>
      </c>
      <c r="E474" s="195">
        <v>187</v>
      </c>
      <c r="F474" s="195">
        <v>187</v>
      </c>
      <c r="G474" s="239">
        <v>467</v>
      </c>
      <c r="H474" s="197" t="s">
        <v>79</v>
      </c>
      <c r="I474" s="242" t="s">
        <v>197</v>
      </c>
      <c r="J474" s="242" t="s">
        <v>8283</v>
      </c>
      <c r="K474" s="195" t="s">
        <v>70</v>
      </c>
      <c r="L474" s="20" t="str">
        <f ca="1">IF(OFFSET(환산공식!$ED$15,$F474,0)=1,"O","X")</f>
        <v>X</v>
      </c>
      <c r="M474" s="188">
        <f ca="1">IFERROR(OFFSET(환산공식!DJ$15,$F474,0),"")</f>
        <v>100</v>
      </c>
      <c r="N474" s="20" t="str">
        <f ca="1">IFERROR(CONCATENATE(ROUND(OFFSET(환산공식!DK$15,$F474,0),1),"%"),"")</f>
        <v>100%</v>
      </c>
      <c r="O474" s="20">
        <f ca="1">IFERROR(OFFSET(환산공식!DL$15,$F474,0),"")</f>
        <v>1.5</v>
      </c>
      <c r="P474" s="188" t="str">
        <f t="shared" ca="1" si="14"/>
        <v>3% 이하</v>
      </c>
      <c r="Q474" s="194">
        <f ca="1">IFERROR(ROUND(OFFSET(환산공식!$FG$15,$F474,0),3),"")</f>
        <v>0</v>
      </c>
      <c r="R474" s="194">
        <f ca="1">OFFSET('배치점수 계산기'!H$10,$D474,0)</f>
        <v>393.53199999999998</v>
      </c>
      <c r="S474" s="194">
        <f ca="1">OFFSET('배치점수 계산기'!I$10,$D474,0)</f>
        <v>390.399</v>
      </c>
      <c r="T474" s="194">
        <f ca="1">OFFSET('배치점수 계산기'!J$10,$D474,0)</f>
        <v>385.07100000000003</v>
      </c>
      <c r="U474" s="194">
        <f ca="1">OFFSET('배치점수 계산기'!K$10,$D474,0)</f>
        <v>378.42700000000002</v>
      </c>
      <c r="V474" s="194">
        <f ca="1">OFFSET('배치점수 계산기'!L$10,$D474,0)</f>
        <v>370.87099999999998</v>
      </c>
      <c r="W474" s="186" t="str">
        <f ca="1">OFFSET('배치점수 계산기'!M$10,$D474,0)</f>
        <v>백분위</v>
      </c>
      <c r="X474" s="184" t="str">
        <f ca="1">OFFSET('배치점수 계산기'!N$10,$D474,0)</f>
        <v>백분위</v>
      </c>
      <c r="Y474" s="188">
        <f ca="1">OFFSET(환산공식!FW$15,$F474,0)</f>
        <v>0.25</v>
      </c>
      <c r="Z474" s="20">
        <f ca="1">OFFSET(환산공식!FX$15,$F474,0)</f>
        <v>0.38</v>
      </c>
      <c r="AA474" s="179">
        <f ca="1">OFFSET(환산공식!FY$15,$F474,0)</f>
        <v>0.38</v>
      </c>
      <c r="AB474" s="3"/>
      <c r="AD474">
        <f t="shared" ca="1" si="15"/>
        <v>6</v>
      </c>
      <c r="AF474" s="3"/>
      <c r="AG474" s="3"/>
      <c r="AH474" s="3"/>
    </row>
    <row r="475" spans="1:34">
      <c r="A475" s="198"/>
      <c r="B475" s="198"/>
      <c r="C475" s="198" t="s">
        <v>1927</v>
      </c>
      <c r="D475" s="195">
        <v>1463</v>
      </c>
      <c r="E475" s="195">
        <v>186</v>
      </c>
      <c r="F475" s="195">
        <v>186</v>
      </c>
      <c r="G475" s="239">
        <v>468</v>
      </c>
      <c r="H475" s="197" t="s">
        <v>79</v>
      </c>
      <c r="I475" s="242" t="s">
        <v>197</v>
      </c>
      <c r="J475" s="242" t="s">
        <v>9544</v>
      </c>
      <c r="K475" s="195" t="s">
        <v>70</v>
      </c>
      <c r="L475" s="20" t="str">
        <f ca="1">IF(OFFSET(환산공식!$ED$15,$F475,0)=1,"O","X")</f>
        <v>X</v>
      </c>
      <c r="M475" s="188">
        <f ca="1">IFERROR(OFFSET(환산공식!DJ$15,$F475,0),"")</f>
        <v>100</v>
      </c>
      <c r="N475" s="20" t="str">
        <f ca="1">IFERROR(CONCATENATE(ROUND(OFFSET(환산공식!DK$15,$F475,0),1),"%"),"")</f>
        <v>100%</v>
      </c>
      <c r="O475" s="20">
        <f ca="1">IFERROR(OFFSET(환산공식!DL$15,$F475,0),"")</f>
        <v>1.5</v>
      </c>
      <c r="P475" s="188" t="str">
        <f t="shared" ca="1" si="14"/>
        <v>3% 이하</v>
      </c>
      <c r="Q475" s="194">
        <f ca="1">IFERROR(ROUND(OFFSET(환산공식!$FG$15,$F475,0),3),"")</f>
        <v>0</v>
      </c>
      <c r="R475" s="194">
        <f ca="1">OFFSET('배치점수 계산기'!H$10,$D475,0)</f>
        <v>402.43</v>
      </c>
      <c r="S475" s="194">
        <f ca="1">OFFSET('배치점수 계산기'!I$10,$D475,0)</f>
        <v>399.70699999999999</v>
      </c>
      <c r="T475" s="194">
        <f ca="1">OFFSET('배치점수 계산기'!J$10,$D475,0)</f>
        <v>393.89400000000001</v>
      </c>
      <c r="U475" s="194">
        <f ca="1">OFFSET('배치점수 계산기'!K$10,$D475,0)</f>
        <v>386.87200000000001</v>
      </c>
      <c r="V475" s="194">
        <f ca="1">OFFSET('배치점수 계산기'!L$10,$D475,0)</f>
        <v>379.42899999999997</v>
      </c>
      <c r="W475" s="186" t="str">
        <f ca="1">OFFSET('배치점수 계산기'!M$10,$D475,0)</f>
        <v>백분위</v>
      </c>
      <c r="X475" s="184" t="str">
        <f ca="1">OFFSET('배치점수 계산기'!N$10,$D475,0)</f>
        <v>백분위</v>
      </c>
      <c r="Y475" s="188">
        <f ca="1">OFFSET(환산공식!FW$15,$F475,0)</f>
        <v>0.25</v>
      </c>
      <c r="Z475" s="20">
        <f ca="1">OFFSET(환산공식!FX$15,$F475,0)</f>
        <v>0.38</v>
      </c>
      <c r="AA475" s="179">
        <f ca="1">OFFSET(환산공식!FY$15,$F475,0)</f>
        <v>0.38</v>
      </c>
      <c r="AB475" s="3"/>
      <c r="AD475">
        <f t="shared" ca="1" si="15"/>
        <v>6</v>
      </c>
      <c r="AF475" s="3"/>
      <c r="AG475" s="3"/>
      <c r="AH475" s="3"/>
    </row>
    <row r="476" spans="1:34">
      <c r="A476" s="198"/>
      <c r="B476" s="198"/>
      <c r="C476" s="198" t="s">
        <v>1928</v>
      </c>
      <c r="D476" s="195">
        <v>1464</v>
      </c>
      <c r="E476" s="195">
        <v>187</v>
      </c>
      <c r="F476" s="195">
        <v>187</v>
      </c>
      <c r="G476" s="239">
        <v>469</v>
      </c>
      <c r="H476" s="197" t="s">
        <v>79</v>
      </c>
      <c r="I476" s="242" t="s">
        <v>197</v>
      </c>
      <c r="J476" s="242" t="s">
        <v>8835</v>
      </c>
      <c r="K476" s="195" t="s">
        <v>70</v>
      </c>
      <c r="L476" s="20" t="str">
        <f ca="1">IF(OFFSET(환산공식!$ED$15,$F476,0)=1,"O","X")</f>
        <v>X</v>
      </c>
      <c r="M476" s="188">
        <f ca="1">IFERROR(OFFSET(환산공식!DJ$15,$F476,0),"")</f>
        <v>100</v>
      </c>
      <c r="N476" s="20" t="str">
        <f ca="1">IFERROR(CONCATENATE(ROUND(OFFSET(환산공식!DK$15,$F476,0),1),"%"),"")</f>
        <v>100%</v>
      </c>
      <c r="O476" s="20">
        <f ca="1">IFERROR(OFFSET(환산공식!DL$15,$F476,0),"")</f>
        <v>1.5</v>
      </c>
      <c r="P476" s="188" t="str">
        <f t="shared" ca="1" si="14"/>
        <v>3% 이하</v>
      </c>
      <c r="Q476" s="194">
        <f ca="1">IFERROR(ROUND(OFFSET(환산공식!$FG$15,$F476,0),3),"")</f>
        <v>0</v>
      </c>
      <c r="R476" s="194">
        <f ca="1">OFFSET('배치점수 계산기'!H$10,$D476,0)</f>
        <v>391.66199999999998</v>
      </c>
      <c r="S476" s="194">
        <f ca="1">OFFSET('배치점수 계산기'!I$10,$D476,0)</f>
        <v>388.68400000000003</v>
      </c>
      <c r="T476" s="194">
        <f ca="1">OFFSET('배치점수 계산기'!J$10,$D476,0)</f>
        <v>383.49299999999999</v>
      </c>
      <c r="U476" s="194">
        <f ca="1">OFFSET('배치점수 계산기'!K$10,$D476,0)</f>
        <v>376.642</v>
      </c>
      <c r="V476" s="194">
        <f ca="1">OFFSET('배치점수 계산기'!L$10,$D476,0)</f>
        <v>369.47800000000001</v>
      </c>
      <c r="W476" s="186" t="str">
        <f ca="1">OFFSET('배치점수 계산기'!M$10,$D476,0)</f>
        <v>백분위</v>
      </c>
      <c r="X476" s="184" t="str">
        <f ca="1">OFFSET('배치점수 계산기'!N$10,$D476,0)</f>
        <v>백분위</v>
      </c>
      <c r="Y476" s="188">
        <f ca="1">OFFSET(환산공식!FW$15,$F476,0)</f>
        <v>0.25</v>
      </c>
      <c r="Z476" s="20">
        <f ca="1">OFFSET(환산공식!FX$15,$F476,0)</f>
        <v>0.38</v>
      </c>
      <c r="AA476" s="179">
        <f ca="1">OFFSET(환산공식!FY$15,$F476,0)</f>
        <v>0.38</v>
      </c>
      <c r="AB476" s="3"/>
      <c r="AD476">
        <f t="shared" ca="1" si="15"/>
        <v>6</v>
      </c>
      <c r="AF476" s="3"/>
      <c r="AG476" s="3"/>
      <c r="AH476" s="3"/>
    </row>
    <row r="477" spans="1:34">
      <c r="A477" s="198"/>
      <c r="B477" s="198"/>
      <c r="C477" s="198" t="s">
        <v>1929</v>
      </c>
      <c r="D477" s="195">
        <v>1465</v>
      </c>
      <c r="E477" s="195">
        <v>187</v>
      </c>
      <c r="F477" s="195">
        <v>187</v>
      </c>
      <c r="G477" s="239">
        <v>470</v>
      </c>
      <c r="H477" s="197" t="s">
        <v>79</v>
      </c>
      <c r="I477" s="242" t="s">
        <v>197</v>
      </c>
      <c r="J477" s="242" t="s">
        <v>7359</v>
      </c>
      <c r="K477" s="195" t="s">
        <v>70</v>
      </c>
      <c r="L477" s="20" t="str">
        <f ca="1">IF(OFFSET(환산공식!$ED$15,$F477,0)=1,"O","X")</f>
        <v>X</v>
      </c>
      <c r="M477" s="188">
        <f ca="1">IFERROR(OFFSET(환산공식!DJ$15,$F477,0),"")</f>
        <v>100</v>
      </c>
      <c r="N477" s="20" t="str">
        <f ca="1">IFERROR(CONCATENATE(ROUND(OFFSET(환산공식!DK$15,$F477,0),1),"%"),"")</f>
        <v>100%</v>
      </c>
      <c r="O477" s="20">
        <f ca="1">IFERROR(OFFSET(환산공식!DL$15,$F477,0),"")</f>
        <v>1.5</v>
      </c>
      <c r="P477" s="188" t="str">
        <f t="shared" ca="1" si="14"/>
        <v>3% 이하</v>
      </c>
      <c r="Q477" s="194">
        <f ca="1">IFERROR(ROUND(OFFSET(환산공식!$FG$15,$F477,0),3),"")</f>
        <v>0</v>
      </c>
      <c r="R477" s="194">
        <f ca="1">OFFSET('배치점수 계산기'!H$10,$D477,0)</f>
        <v>389.339</v>
      </c>
      <c r="S477" s="194">
        <f ca="1">OFFSET('배치점수 계산기'!I$10,$D477,0)</f>
        <v>386.93599999999998</v>
      </c>
      <c r="T477" s="194">
        <f ca="1">OFFSET('배치점수 계산기'!J$10,$D477,0)</f>
        <v>381.09100000000001</v>
      </c>
      <c r="U477" s="194">
        <f ca="1">OFFSET('배치점수 계산기'!K$10,$D477,0)</f>
        <v>374.14499999999998</v>
      </c>
      <c r="V477" s="194">
        <f ca="1">OFFSET('배치점수 계산기'!L$10,$D477,0)</f>
        <v>367.78</v>
      </c>
      <c r="W477" s="186" t="str">
        <f ca="1">OFFSET('배치점수 계산기'!M$10,$D477,0)</f>
        <v>백분위</v>
      </c>
      <c r="X477" s="184" t="str">
        <f ca="1">OFFSET('배치점수 계산기'!N$10,$D477,0)</f>
        <v>백분위</v>
      </c>
      <c r="Y477" s="188">
        <f ca="1">OFFSET(환산공식!FW$15,$F477,0)</f>
        <v>0.25</v>
      </c>
      <c r="Z477" s="20">
        <f ca="1">OFFSET(환산공식!FX$15,$F477,0)</f>
        <v>0.38</v>
      </c>
      <c r="AA477" s="179">
        <f ca="1">OFFSET(환산공식!FY$15,$F477,0)</f>
        <v>0.38</v>
      </c>
      <c r="AB477" s="3"/>
      <c r="AD477">
        <f t="shared" ca="1" si="15"/>
        <v>6</v>
      </c>
      <c r="AF477" s="3"/>
      <c r="AG477" s="3"/>
      <c r="AH477" s="3"/>
    </row>
    <row r="478" spans="1:34">
      <c r="A478" s="198"/>
      <c r="B478" s="198"/>
      <c r="C478" s="198" t="s">
        <v>1930</v>
      </c>
      <c r="D478" s="195">
        <v>1466</v>
      </c>
      <c r="E478" s="195">
        <v>187</v>
      </c>
      <c r="F478" s="195">
        <v>187</v>
      </c>
      <c r="G478" s="239">
        <v>471</v>
      </c>
      <c r="H478" s="197" t="s">
        <v>79</v>
      </c>
      <c r="I478" s="242" t="s">
        <v>197</v>
      </c>
      <c r="J478" s="242" t="s">
        <v>12865</v>
      </c>
      <c r="K478" s="195" t="s">
        <v>70</v>
      </c>
      <c r="L478" s="20" t="str">
        <f ca="1">IF(OFFSET(환산공식!$ED$15,$F478,0)=1,"O","X")</f>
        <v>X</v>
      </c>
      <c r="M478" s="188">
        <f ca="1">IFERROR(OFFSET(환산공식!DJ$15,$F478,0),"")</f>
        <v>100</v>
      </c>
      <c r="N478" s="20" t="str">
        <f ca="1">IFERROR(CONCATENATE(ROUND(OFFSET(환산공식!DK$15,$F478,0),1),"%"),"")</f>
        <v>100%</v>
      </c>
      <c r="O478" s="20">
        <f ca="1">IFERROR(OFFSET(환산공식!DL$15,$F478,0),"")</f>
        <v>1.5</v>
      </c>
      <c r="P478" s="188" t="str">
        <f t="shared" ca="1" si="14"/>
        <v>3% 이하</v>
      </c>
      <c r="Q478" s="194">
        <f ca="1">IFERROR(ROUND(OFFSET(환산공식!$FG$15,$F478,0),3),"")</f>
        <v>0</v>
      </c>
      <c r="R478" s="194">
        <f ca="1">OFFSET('배치점수 계산기'!H$10,$D478,0)</f>
        <v>388.63099999999997</v>
      </c>
      <c r="S478" s="194">
        <f ca="1">OFFSET('배치점수 계산기'!I$10,$D478,0)</f>
        <v>385.90499999999997</v>
      </c>
      <c r="T478" s="194">
        <f ca="1">OFFSET('배치점수 계산기'!J$10,$D478,0)</f>
        <v>379.79899999999998</v>
      </c>
      <c r="U478" s="194">
        <f ca="1">OFFSET('배치점수 계산기'!K$10,$D478,0)</f>
        <v>373.27499999999998</v>
      </c>
      <c r="V478" s="194">
        <f ca="1">OFFSET('배치점수 계산기'!L$10,$D478,0)</f>
        <v>367.065</v>
      </c>
      <c r="W478" s="186" t="str">
        <f ca="1">OFFSET('배치점수 계산기'!M$10,$D478,0)</f>
        <v>백분위</v>
      </c>
      <c r="X478" s="184" t="str">
        <f ca="1">OFFSET('배치점수 계산기'!N$10,$D478,0)</f>
        <v>백분위</v>
      </c>
      <c r="Y478" s="188">
        <f ca="1">OFFSET(환산공식!FW$15,$F478,0)</f>
        <v>0.25</v>
      </c>
      <c r="Z478" s="20">
        <f ca="1">OFFSET(환산공식!FX$15,$F478,0)</f>
        <v>0.38</v>
      </c>
      <c r="AA478" s="179">
        <f ca="1">OFFSET(환산공식!FY$15,$F478,0)</f>
        <v>0.38</v>
      </c>
      <c r="AB478" s="3"/>
      <c r="AD478">
        <f t="shared" ca="1" si="15"/>
        <v>6</v>
      </c>
      <c r="AF478" s="3"/>
      <c r="AG478" s="3"/>
      <c r="AH478" s="3"/>
    </row>
    <row r="479" spans="1:34">
      <c r="A479" s="198"/>
      <c r="B479" s="198"/>
      <c r="C479" s="198" t="s">
        <v>1931</v>
      </c>
      <c r="D479" s="195">
        <v>1467</v>
      </c>
      <c r="E479" s="195">
        <v>186</v>
      </c>
      <c r="F479" s="195">
        <v>186</v>
      </c>
      <c r="G479" s="239">
        <v>472</v>
      </c>
      <c r="H479" s="197" t="s">
        <v>79</v>
      </c>
      <c r="I479" s="242" t="s">
        <v>197</v>
      </c>
      <c r="J479" s="242" t="s">
        <v>8742</v>
      </c>
      <c r="K479" s="195" t="s">
        <v>70</v>
      </c>
      <c r="L479" s="20" t="str">
        <f ca="1">IF(OFFSET(환산공식!$ED$15,$F479,0)=1,"O","X")</f>
        <v>X</v>
      </c>
      <c r="M479" s="188">
        <f ca="1">IFERROR(OFFSET(환산공식!DJ$15,$F479,0),"")</f>
        <v>100</v>
      </c>
      <c r="N479" s="20" t="str">
        <f ca="1">IFERROR(CONCATENATE(ROUND(OFFSET(환산공식!DK$15,$F479,0),1),"%"),"")</f>
        <v>100%</v>
      </c>
      <c r="O479" s="20">
        <f ca="1">IFERROR(OFFSET(환산공식!DL$15,$F479,0),"")</f>
        <v>1.5</v>
      </c>
      <c r="P479" s="188" t="str">
        <f t="shared" ca="1" si="14"/>
        <v>3% 이하</v>
      </c>
      <c r="Q479" s="194">
        <f ca="1">IFERROR(ROUND(OFFSET(환산공식!$FG$15,$F479,0),3),"")</f>
        <v>0</v>
      </c>
      <c r="R479" s="194">
        <f ca="1">OFFSET('배치점수 계산기'!H$10,$D479,0)</f>
        <v>397.16699999999997</v>
      </c>
      <c r="S479" s="194">
        <f ca="1">OFFSET('배치점수 계산기'!I$10,$D479,0)</f>
        <v>394.56900000000002</v>
      </c>
      <c r="T479" s="194">
        <f ca="1">OFFSET('배치점수 계산기'!J$10,$D479,0)</f>
        <v>388.14499999999998</v>
      </c>
      <c r="U479" s="194">
        <f ca="1">OFFSET('배치점수 계산기'!K$10,$D479,0)</f>
        <v>381.637</v>
      </c>
      <c r="V479" s="194">
        <f ca="1">OFFSET('배치점수 계산기'!L$10,$D479,0)</f>
        <v>374.84500000000003</v>
      </c>
      <c r="W479" s="186" t="str">
        <f ca="1">OFFSET('배치점수 계산기'!M$10,$D479,0)</f>
        <v>백분위</v>
      </c>
      <c r="X479" s="184" t="str">
        <f ca="1">OFFSET('배치점수 계산기'!N$10,$D479,0)</f>
        <v>백분위</v>
      </c>
      <c r="Y479" s="188">
        <f ca="1">OFFSET(환산공식!FW$15,$F479,0)</f>
        <v>0.25</v>
      </c>
      <c r="Z479" s="20">
        <f ca="1">OFFSET(환산공식!FX$15,$F479,0)</f>
        <v>0.38</v>
      </c>
      <c r="AA479" s="179">
        <f ca="1">OFFSET(환산공식!FY$15,$F479,0)</f>
        <v>0.38</v>
      </c>
      <c r="AB479" s="3"/>
      <c r="AD479">
        <f t="shared" ca="1" si="15"/>
        <v>6</v>
      </c>
      <c r="AF479" s="3"/>
      <c r="AG479" s="3"/>
      <c r="AH479" s="3"/>
    </row>
    <row r="480" spans="1:34">
      <c r="A480" s="198"/>
      <c r="B480" s="198"/>
      <c r="C480" s="198" t="s">
        <v>1932</v>
      </c>
      <c r="D480" s="195">
        <v>1468</v>
      </c>
      <c r="E480" s="195">
        <v>187</v>
      </c>
      <c r="F480" s="195">
        <v>187</v>
      </c>
      <c r="G480" s="239">
        <v>473</v>
      </c>
      <c r="H480" s="197" t="s">
        <v>79</v>
      </c>
      <c r="I480" s="242" t="s">
        <v>197</v>
      </c>
      <c r="J480" s="242" t="s">
        <v>12986</v>
      </c>
      <c r="K480" s="195" t="s">
        <v>70</v>
      </c>
      <c r="L480" s="20" t="str">
        <f ca="1">IF(OFFSET(환산공식!$ED$15,$F480,0)=1,"O","X")</f>
        <v>X</v>
      </c>
      <c r="M480" s="188">
        <f ca="1">IFERROR(OFFSET(환산공식!DJ$15,$F480,0),"")</f>
        <v>100</v>
      </c>
      <c r="N480" s="20" t="str">
        <f ca="1">IFERROR(CONCATENATE(ROUND(OFFSET(환산공식!DK$15,$F480,0),1),"%"),"")</f>
        <v>100%</v>
      </c>
      <c r="O480" s="20">
        <f ca="1">IFERROR(OFFSET(환산공식!DL$15,$F480,0),"")</f>
        <v>1.5</v>
      </c>
      <c r="P480" s="188" t="str">
        <f t="shared" ca="1" si="14"/>
        <v>3% 이하</v>
      </c>
      <c r="Q480" s="194">
        <f ca="1">IFERROR(ROUND(OFFSET(환산공식!$FG$15,$F480,0),3),"")</f>
        <v>0</v>
      </c>
      <c r="R480" s="194">
        <f ca="1">OFFSET('배치점수 계산기'!H$10,$D480,0)</f>
        <v>385.90499999999997</v>
      </c>
      <c r="S480" s="194">
        <f ca="1">OFFSET('배치점수 계산기'!I$10,$D480,0)</f>
        <v>382.88400000000001</v>
      </c>
      <c r="T480" s="194">
        <f ca="1">OFFSET('배치점수 계산기'!J$10,$D480,0)</f>
        <v>376.67500000000001</v>
      </c>
      <c r="U480" s="194">
        <f ca="1">OFFSET('배치점수 계산기'!K$10,$D480,0)</f>
        <v>370.87099999999998</v>
      </c>
      <c r="V480" s="194">
        <f ca="1">OFFSET('배치점수 계산기'!L$10,$D480,0)</f>
        <v>364.41399999999999</v>
      </c>
      <c r="W480" s="186" t="str">
        <f ca="1">OFFSET('배치점수 계산기'!M$10,$D480,0)</f>
        <v>백분위</v>
      </c>
      <c r="X480" s="184" t="str">
        <f ca="1">OFFSET('배치점수 계산기'!N$10,$D480,0)</f>
        <v>백분위</v>
      </c>
      <c r="Y480" s="188">
        <f ca="1">OFFSET(환산공식!FW$15,$F480,0)</f>
        <v>0.25</v>
      </c>
      <c r="Z480" s="20">
        <f ca="1">OFFSET(환산공식!FX$15,$F480,0)</f>
        <v>0.38</v>
      </c>
      <c r="AA480" s="179">
        <f ca="1">OFFSET(환산공식!FY$15,$F480,0)</f>
        <v>0.38</v>
      </c>
      <c r="AB480" s="3"/>
      <c r="AD480">
        <f t="shared" ca="1" si="15"/>
        <v>6</v>
      </c>
      <c r="AF480" s="3"/>
      <c r="AG480" s="3"/>
      <c r="AH480" s="3"/>
    </row>
    <row r="481" spans="1:34">
      <c r="A481" s="198"/>
      <c r="B481" s="198"/>
      <c r="C481" s="198" t="s">
        <v>1933</v>
      </c>
      <c r="D481" s="195">
        <v>1469</v>
      </c>
      <c r="E481" s="195">
        <v>186</v>
      </c>
      <c r="F481" s="195">
        <v>186</v>
      </c>
      <c r="G481" s="239">
        <v>474</v>
      </c>
      <c r="H481" s="197" t="s">
        <v>79</v>
      </c>
      <c r="I481" s="242" t="s">
        <v>197</v>
      </c>
      <c r="J481" s="242" t="s">
        <v>13024</v>
      </c>
      <c r="K481" s="195" t="s">
        <v>70</v>
      </c>
      <c r="L481" s="20" t="str">
        <f ca="1">IF(OFFSET(환산공식!$ED$15,$F481,0)=1,"O","X")</f>
        <v>X</v>
      </c>
      <c r="M481" s="188">
        <f ca="1">IFERROR(OFFSET(환산공식!DJ$15,$F481,0),"")</f>
        <v>100</v>
      </c>
      <c r="N481" s="20" t="str">
        <f ca="1">IFERROR(CONCATENATE(ROUND(OFFSET(환산공식!DK$15,$F481,0),1),"%"),"")</f>
        <v>100%</v>
      </c>
      <c r="O481" s="20">
        <f ca="1">IFERROR(OFFSET(환산공식!DL$15,$F481,0),"")</f>
        <v>1.5</v>
      </c>
      <c r="P481" s="188" t="str">
        <f t="shared" ca="1" si="14"/>
        <v>3% 이하</v>
      </c>
      <c r="Q481" s="194">
        <f ca="1">IFERROR(ROUND(OFFSET(환산공식!$FG$15,$F481,0),3),"")</f>
        <v>0</v>
      </c>
      <c r="R481" s="194">
        <f ca="1">OFFSET('배치점수 계산기'!H$10,$D481,0)</f>
        <v>394.32100000000003</v>
      </c>
      <c r="S481" s="194">
        <f ca="1">OFFSET('배치점수 계산기'!I$10,$D481,0)</f>
        <v>391.59899999999999</v>
      </c>
      <c r="T481" s="194">
        <f ca="1">OFFSET('배치점수 계산기'!J$10,$D481,0)</f>
        <v>385.08</v>
      </c>
      <c r="U481" s="194">
        <f ca="1">OFFSET('배치점수 계산기'!K$10,$D481,0)</f>
        <v>379.161</v>
      </c>
      <c r="V481" s="194">
        <f ca="1">OFFSET('배치점수 계산기'!L$10,$D481,0)</f>
        <v>372.65899999999999</v>
      </c>
      <c r="W481" s="186" t="str">
        <f ca="1">OFFSET('배치점수 계산기'!M$10,$D481,0)</f>
        <v>백분위</v>
      </c>
      <c r="X481" s="184" t="str">
        <f ca="1">OFFSET('배치점수 계산기'!N$10,$D481,0)</f>
        <v>백분위</v>
      </c>
      <c r="Y481" s="188">
        <f ca="1">OFFSET(환산공식!FW$15,$F481,0)</f>
        <v>0.25</v>
      </c>
      <c r="Z481" s="20">
        <f ca="1">OFFSET(환산공식!FX$15,$F481,0)</f>
        <v>0.38</v>
      </c>
      <c r="AA481" s="179">
        <f ca="1">OFFSET(환산공식!FY$15,$F481,0)</f>
        <v>0.38</v>
      </c>
      <c r="AB481" s="3"/>
      <c r="AD481">
        <f t="shared" ca="1" si="15"/>
        <v>6</v>
      </c>
      <c r="AF481" s="3"/>
      <c r="AG481" s="3"/>
      <c r="AH481" s="3"/>
    </row>
    <row r="482" spans="1:34">
      <c r="A482" s="198"/>
      <c r="B482" s="198"/>
      <c r="C482" s="198" t="s">
        <v>1934</v>
      </c>
      <c r="D482" s="195">
        <v>1470</v>
      </c>
      <c r="E482" s="195">
        <v>187</v>
      </c>
      <c r="F482" s="195">
        <v>187</v>
      </c>
      <c r="G482" s="239">
        <v>475</v>
      </c>
      <c r="H482" s="197" t="s">
        <v>79</v>
      </c>
      <c r="I482" s="242" t="s">
        <v>197</v>
      </c>
      <c r="J482" s="242" t="s">
        <v>551</v>
      </c>
      <c r="K482" s="195" t="s">
        <v>70</v>
      </c>
      <c r="L482" s="20" t="str">
        <f ca="1">IF(OFFSET(환산공식!$ED$15,$F482,0)=1,"O","X")</f>
        <v>X</v>
      </c>
      <c r="M482" s="188">
        <f ca="1">IFERROR(OFFSET(환산공식!DJ$15,$F482,0),"")</f>
        <v>100</v>
      </c>
      <c r="N482" s="20" t="str">
        <f ca="1">IFERROR(CONCATENATE(ROUND(OFFSET(환산공식!DK$15,$F482,0),1),"%"),"")</f>
        <v>100%</v>
      </c>
      <c r="O482" s="20">
        <f ca="1">IFERROR(OFFSET(환산공식!DL$15,$F482,0),"")</f>
        <v>1.5</v>
      </c>
      <c r="P482" s="188" t="str">
        <f t="shared" ca="1" si="14"/>
        <v>3% 이하</v>
      </c>
      <c r="Q482" s="194">
        <f ca="1">IFERROR(ROUND(OFFSET(환산공식!$FG$15,$F482,0),3),"")</f>
        <v>0</v>
      </c>
      <c r="R482" s="194">
        <f ca="1">OFFSET('배치점수 계산기'!H$10,$D482,0)</f>
        <v>385.07100000000003</v>
      </c>
      <c r="S482" s="194">
        <f ca="1">OFFSET('배치점수 계산기'!I$10,$D482,0)</f>
        <v>382.12599999999998</v>
      </c>
      <c r="T482" s="194">
        <f ca="1">OFFSET('배치점수 계산기'!J$10,$D482,0)</f>
        <v>376.279</v>
      </c>
      <c r="U482" s="194">
        <f ca="1">OFFSET('배치점수 계산기'!K$10,$D482,0)</f>
        <v>370.53300000000002</v>
      </c>
      <c r="V482" s="194">
        <f ca="1">OFFSET('배치점수 계산기'!L$10,$D482,0)</f>
        <v>364.29399999999998</v>
      </c>
      <c r="W482" s="186" t="str">
        <f ca="1">OFFSET('배치점수 계산기'!M$10,$D482,0)</f>
        <v>백분위</v>
      </c>
      <c r="X482" s="184" t="str">
        <f ca="1">OFFSET('배치점수 계산기'!N$10,$D482,0)</f>
        <v>백분위</v>
      </c>
      <c r="Y482" s="188">
        <f ca="1">OFFSET(환산공식!FW$15,$F482,0)</f>
        <v>0.25</v>
      </c>
      <c r="Z482" s="20">
        <f ca="1">OFFSET(환산공식!FX$15,$F482,0)</f>
        <v>0.38</v>
      </c>
      <c r="AA482" s="179">
        <f ca="1">OFFSET(환산공식!FY$15,$F482,0)</f>
        <v>0.38</v>
      </c>
      <c r="AB482" s="3"/>
      <c r="AD482">
        <f t="shared" ca="1" si="15"/>
        <v>6</v>
      </c>
      <c r="AF482" s="3"/>
      <c r="AG482" s="3"/>
      <c r="AH482" s="3"/>
    </row>
    <row r="483" spans="1:34">
      <c r="A483" s="198"/>
      <c r="B483" s="198"/>
      <c r="C483" s="198" t="s">
        <v>1935</v>
      </c>
      <c r="D483" s="195">
        <v>1471</v>
      </c>
      <c r="E483" s="195">
        <v>186</v>
      </c>
      <c r="F483" s="195">
        <v>186</v>
      </c>
      <c r="G483" s="239">
        <v>476</v>
      </c>
      <c r="H483" s="197" t="s">
        <v>79</v>
      </c>
      <c r="I483" s="242" t="s">
        <v>197</v>
      </c>
      <c r="J483" s="242" t="s">
        <v>16708</v>
      </c>
      <c r="K483" s="195" t="s">
        <v>70</v>
      </c>
      <c r="L483" s="20" t="str">
        <f ca="1">IF(OFFSET(환산공식!$ED$15,$F483,0)=1,"O","X")</f>
        <v>X</v>
      </c>
      <c r="M483" s="188">
        <f ca="1">IFERROR(OFFSET(환산공식!DJ$15,$F483,0),"")</f>
        <v>100</v>
      </c>
      <c r="N483" s="20" t="str">
        <f ca="1">IFERROR(CONCATENATE(ROUND(OFFSET(환산공식!DK$15,$F483,0),1),"%"),"")</f>
        <v>100%</v>
      </c>
      <c r="O483" s="20">
        <f ca="1">IFERROR(OFFSET(환산공식!DL$15,$F483,0),"")</f>
        <v>1.5</v>
      </c>
      <c r="P483" s="188" t="str">
        <f t="shared" ca="1" si="14"/>
        <v>3% 이하</v>
      </c>
      <c r="Q483" s="194">
        <f ca="1">IFERROR(ROUND(OFFSET(환산공식!$FG$15,$F483,0),3),"")</f>
        <v>0</v>
      </c>
      <c r="R483" s="194">
        <f ca="1">OFFSET('배치점수 계산기'!H$10,$D483,0)</f>
        <v>393.89400000000001</v>
      </c>
      <c r="S483" s="194">
        <f ca="1">OFFSET('배치점수 계산기'!I$10,$D483,0)</f>
        <v>390.495</v>
      </c>
      <c r="T483" s="194">
        <f ca="1">OFFSET('배치점수 계산기'!J$10,$D483,0)</f>
        <v>384.86200000000002</v>
      </c>
      <c r="U483" s="194">
        <f ca="1">OFFSET('배치점수 계산기'!K$10,$D483,0)</f>
        <v>378.64100000000002</v>
      </c>
      <c r="V483" s="194">
        <f ca="1">OFFSET('배치점수 계산기'!L$10,$D483,0)</f>
        <v>371.839</v>
      </c>
      <c r="W483" s="186" t="str">
        <f ca="1">OFFSET('배치점수 계산기'!M$10,$D483,0)</f>
        <v>백분위</v>
      </c>
      <c r="X483" s="184" t="str">
        <f ca="1">OFFSET('배치점수 계산기'!N$10,$D483,0)</f>
        <v>백분위</v>
      </c>
      <c r="Y483" s="188">
        <f ca="1">OFFSET(환산공식!FW$15,$F483,0)</f>
        <v>0.25</v>
      </c>
      <c r="Z483" s="20">
        <f ca="1">OFFSET(환산공식!FX$15,$F483,0)</f>
        <v>0.38</v>
      </c>
      <c r="AA483" s="179">
        <f ca="1">OFFSET(환산공식!FY$15,$F483,0)</f>
        <v>0.38</v>
      </c>
      <c r="AB483" s="3"/>
      <c r="AD483">
        <f t="shared" ca="1" si="15"/>
        <v>6</v>
      </c>
      <c r="AF483" s="3"/>
      <c r="AG483" s="3"/>
      <c r="AH483" s="3"/>
    </row>
    <row r="484" spans="1:34">
      <c r="A484" s="198"/>
      <c r="B484" s="198"/>
      <c r="C484" s="198" t="s">
        <v>1936</v>
      </c>
      <c r="D484" s="195">
        <v>1472</v>
      </c>
      <c r="E484" s="195">
        <v>186</v>
      </c>
      <c r="F484" s="195">
        <v>186</v>
      </c>
      <c r="G484" s="239">
        <v>477</v>
      </c>
      <c r="H484" s="197" t="s">
        <v>79</v>
      </c>
      <c r="I484" s="242" t="s">
        <v>197</v>
      </c>
      <c r="J484" s="242" t="s">
        <v>16709</v>
      </c>
      <c r="K484" s="195" t="s">
        <v>70</v>
      </c>
      <c r="L484" s="20" t="str">
        <f ca="1">IF(OFFSET(환산공식!$ED$15,$F484,0)=1,"O","X")</f>
        <v>X</v>
      </c>
      <c r="M484" s="188">
        <f ca="1">IFERROR(OFFSET(환산공식!DJ$15,$F484,0),"")</f>
        <v>100</v>
      </c>
      <c r="N484" s="20" t="str">
        <f ca="1">IFERROR(CONCATENATE(ROUND(OFFSET(환산공식!DK$15,$F484,0),1),"%"),"")</f>
        <v>100%</v>
      </c>
      <c r="O484" s="20">
        <f ca="1">IFERROR(OFFSET(환산공식!DL$15,$F484,0),"")</f>
        <v>1.5</v>
      </c>
      <c r="P484" s="188" t="str">
        <f t="shared" ca="1" si="14"/>
        <v>3% 이하</v>
      </c>
      <c r="Q484" s="194">
        <f ca="1">IFERROR(ROUND(OFFSET(환산공식!$FG$15,$F484,0),3),"")</f>
        <v>0</v>
      </c>
      <c r="R484" s="194">
        <f ca="1">OFFSET('배치점수 계산기'!H$10,$D484,0)</f>
        <v>392.32799999999997</v>
      </c>
      <c r="S484" s="194">
        <f ca="1">OFFSET('배치점수 계산기'!I$10,$D484,0)</f>
        <v>388.86700000000002</v>
      </c>
      <c r="T484" s="194">
        <f ca="1">OFFSET('배치점수 계산기'!J$10,$D484,0)</f>
        <v>382.49299999999999</v>
      </c>
      <c r="U484" s="194">
        <f ca="1">OFFSET('배치점수 계산기'!K$10,$D484,0)</f>
        <v>376.87799999999999</v>
      </c>
      <c r="V484" s="194">
        <f ca="1">OFFSET('배치점수 계산기'!L$10,$D484,0)</f>
        <v>370.56799999999998</v>
      </c>
      <c r="W484" s="186" t="str">
        <f ca="1">OFFSET('배치점수 계산기'!M$10,$D484,0)</f>
        <v>백분위</v>
      </c>
      <c r="X484" s="184" t="str">
        <f ca="1">OFFSET('배치점수 계산기'!N$10,$D484,0)</f>
        <v>백분위</v>
      </c>
      <c r="Y484" s="188">
        <f ca="1">OFFSET(환산공식!FW$15,$F484,0)</f>
        <v>0.25</v>
      </c>
      <c r="Z484" s="20">
        <f ca="1">OFFSET(환산공식!FX$15,$F484,0)</f>
        <v>0.38</v>
      </c>
      <c r="AA484" s="179">
        <f ca="1">OFFSET(환산공식!FY$15,$F484,0)</f>
        <v>0.38</v>
      </c>
      <c r="AB484" s="3"/>
      <c r="AD484">
        <f t="shared" ca="1" si="15"/>
        <v>6</v>
      </c>
      <c r="AF484" s="3"/>
      <c r="AG484" s="3"/>
      <c r="AH484" s="3"/>
    </row>
    <row r="485" spans="1:34">
      <c r="A485" s="198"/>
      <c r="B485" s="198"/>
      <c r="C485" s="198" t="s">
        <v>1937</v>
      </c>
      <c r="D485" s="195">
        <v>1473</v>
      </c>
      <c r="E485" s="195">
        <v>186</v>
      </c>
      <c r="F485" s="195">
        <v>186</v>
      </c>
      <c r="G485" s="239">
        <v>478</v>
      </c>
      <c r="H485" s="197" t="s">
        <v>79</v>
      </c>
      <c r="I485" s="242" t="s">
        <v>197</v>
      </c>
      <c r="J485" s="242" t="s">
        <v>13133</v>
      </c>
      <c r="K485" s="195" t="s">
        <v>70</v>
      </c>
      <c r="L485" s="20" t="str">
        <f ca="1">IF(OFFSET(환산공식!$ED$15,$F485,0)=1,"O","X")</f>
        <v>X</v>
      </c>
      <c r="M485" s="188">
        <f ca="1">IFERROR(OFFSET(환산공식!DJ$15,$F485,0),"")</f>
        <v>100</v>
      </c>
      <c r="N485" s="20" t="str">
        <f ca="1">IFERROR(CONCATENATE(ROUND(OFFSET(환산공식!DK$15,$F485,0),1),"%"),"")</f>
        <v>100%</v>
      </c>
      <c r="O485" s="20">
        <f ca="1">IFERROR(OFFSET(환산공식!DL$15,$F485,0),"")</f>
        <v>1.5</v>
      </c>
      <c r="P485" s="188" t="str">
        <f t="shared" ca="1" si="14"/>
        <v>3% 이하</v>
      </c>
      <c r="Q485" s="194">
        <f ca="1">IFERROR(ROUND(OFFSET(환산공식!$FG$15,$F485,0),3),"")</f>
        <v>0</v>
      </c>
      <c r="R485" s="194">
        <f ca="1">OFFSET('배치점수 계산기'!H$10,$D485,0)</f>
        <v>391.65199999999999</v>
      </c>
      <c r="S485" s="194">
        <f ca="1">OFFSET('배치점수 계산기'!I$10,$D485,0)</f>
        <v>388.39</v>
      </c>
      <c r="T485" s="194">
        <f ca="1">OFFSET('배치점수 계산기'!J$10,$D485,0)</f>
        <v>382.23500000000001</v>
      </c>
      <c r="U485" s="194">
        <f ca="1">OFFSET('배치점수 계산기'!K$10,$D485,0)</f>
        <v>376.82499999999999</v>
      </c>
      <c r="V485" s="194">
        <f ca="1">OFFSET('배치점수 계산기'!L$10,$D485,0)</f>
        <v>370.548</v>
      </c>
      <c r="W485" s="186" t="str">
        <f ca="1">OFFSET('배치점수 계산기'!M$10,$D485,0)</f>
        <v>백분위</v>
      </c>
      <c r="X485" s="184" t="str">
        <f ca="1">OFFSET('배치점수 계산기'!N$10,$D485,0)</f>
        <v>백분위</v>
      </c>
      <c r="Y485" s="188">
        <f ca="1">OFFSET(환산공식!FW$15,$F485,0)</f>
        <v>0.25</v>
      </c>
      <c r="Z485" s="20">
        <f ca="1">OFFSET(환산공식!FX$15,$F485,0)</f>
        <v>0.38</v>
      </c>
      <c r="AA485" s="179">
        <f ca="1">OFFSET(환산공식!FY$15,$F485,0)</f>
        <v>0.38</v>
      </c>
      <c r="AB485" s="3"/>
      <c r="AD485">
        <f t="shared" ca="1" si="15"/>
        <v>6</v>
      </c>
      <c r="AF485" s="3"/>
      <c r="AG485" s="3"/>
      <c r="AH485" s="3"/>
    </row>
    <row r="486" spans="1:34">
      <c r="A486" s="198"/>
      <c r="B486" s="198"/>
      <c r="C486" s="198" t="s">
        <v>1938</v>
      </c>
      <c r="D486" s="195">
        <v>1474</v>
      </c>
      <c r="E486" s="195">
        <v>186</v>
      </c>
      <c r="F486" s="195">
        <v>186</v>
      </c>
      <c r="G486" s="239">
        <v>479</v>
      </c>
      <c r="H486" s="197" t="s">
        <v>79</v>
      </c>
      <c r="I486" s="242" t="s">
        <v>197</v>
      </c>
      <c r="J486" s="242" t="s">
        <v>16710</v>
      </c>
      <c r="K486" s="195" t="s">
        <v>70</v>
      </c>
      <c r="L486" s="20" t="str">
        <f ca="1">IF(OFFSET(환산공식!$ED$15,$F486,0)=1,"O","X")</f>
        <v>X</v>
      </c>
      <c r="M486" s="188">
        <f ca="1">IFERROR(OFFSET(환산공식!DJ$15,$F486,0),"")</f>
        <v>100</v>
      </c>
      <c r="N486" s="20" t="str">
        <f ca="1">IFERROR(CONCATENATE(ROUND(OFFSET(환산공식!DK$15,$F486,0),1),"%"),"")</f>
        <v>100%</v>
      </c>
      <c r="O486" s="20">
        <f ca="1">IFERROR(OFFSET(환산공식!DL$15,$F486,0),"")</f>
        <v>1.5</v>
      </c>
      <c r="P486" s="188" t="str">
        <f t="shared" ca="1" si="14"/>
        <v>3% 이하</v>
      </c>
      <c r="Q486" s="194">
        <f ca="1">IFERROR(ROUND(OFFSET(환산공식!$FG$15,$F486,0),3),"")</f>
        <v>0</v>
      </c>
      <c r="R486" s="194">
        <f ca="1">OFFSET('배치점수 계산기'!H$10,$D486,0)</f>
        <v>391.65199999999999</v>
      </c>
      <c r="S486" s="194">
        <f ca="1">OFFSET('배치점수 계산기'!I$10,$D486,0)</f>
        <v>388.39</v>
      </c>
      <c r="T486" s="194">
        <f ca="1">OFFSET('배치점수 계산기'!J$10,$D486,0)</f>
        <v>382.23500000000001</v>
      </c>
      <c r="U486" s="194">
        <f ca="1">OFFSET('배치점수 계산기'!K$10,$D486,0)</f>
        <v>376.82499999999999</v>
      </c>
      <c r="V486" s="194">
        <f ca="1">OFFSET('배치점수 계산기'!L$10,$D486,0)</f>
        <v>370.548</v>
      </c>
      <c r="W486" s="186" t="str">
        <f ca="1">OFFSET('배치점수 계산기'!M$10,$D486,0)</f>
        <v>백분위</v>
      </c>
      <c r="X486" s="184" t="str">
        <f ca="1">OFFSET('배치점수 계산기'!N$10,$D486,0)</f>
        <v>백분위</v>
      </c>
      <c r="Y486" s="188">
        <f ca="1">OFFSET(환산공식!FW$15,$F486,0)</f>
        <v>0.25</v>
      </c>
      <c r="Z486" s="20">
        <f ca="1">OFFSET(환산공식!FX$15,$F486,0)</f>
        <v>0.38</v>
      </c>
      <c r="AA486" s="179">
        <f ca="1">OFFSET(환산공식!FY$15,$F486,0)</f>
        <v>0.38</v>
      </c>
      <c r="AB486" s="3"/>
      <c r="AD486">
        <f t="shared" ca="1" si="15"/>
        <v>6</v>
      </c>
      <c r="AF486" s="3"/>
      <c r="AG486" s="3"/>
      <c r="AH486" s="3"/>
    </row>
    <row r="487" spans="1:34">
      <c r="A487" s="198"/>
      <c r="B487" s="198"/>
      <c r="C487" s="198" t="s">
        <v>1939</v>
      </c>
      <c r="D487" s="195">
        <v>1475</v>
      </c>
      <c r="E487" s="195">
        <v>186</v>
      </c>
      <c r="F487" s="195">
        <v>186</v>
      </c>
      <c r="G487" s="239">
        <v>480</v>
      </c>
      <c r="H487" s="197" t="s">
        <v>79</v>
      </c>
      <c r="I487" s="242" t="s">
        <v>197</v>
      </c>
      <c r="J487" s="242" t="s">
        <v>16711</v>
      </c>
      <c r="K487" s="195" t="s">
        <v>70</v>
      </c>
      <c r="L487" s="20" t="str">
        <f ca="1">IF(OFFSET(환산공식!$ED$15,$F487,0)=1,"O","X")</f>
        <v>X</v>
      </c>
      <c r="M487" s="188">
        <f ca="1">IFERROR(OFFSET(환산공식!DJ$15,$F487,0),"")</f>
        <v>100</v>
      </c>
      <c r="N487" s="20" t="str">
        <f ca="1">IFERROR(CONCATENATE(ROUND(OFFSET(환산공식!DK$15,$F487,0),1),"%"),"")</f>
        <v>100%</v>
      </c>
      <c r="O487" s="20">
        <f ca="1">IFERROR(OFFSET(환산공식!DL$15,$F487,0),"")</f>
        <v>1.5</v>
      </c>
      <c r="P487" s="188" t="str">
        <f t="shared" ca="1" si="14"/>
        <v>3% 이하</v>
      </c>
      <c r="Q487" s="194">
        <f ca="1">IFERROR(ROUND(OFFSET(환산공식!$FG$15,$F487,0),3),"")</f>
        <v>0</v>
      </c>
      <c r="R487" s="194">
        <f ca="1">OFFSET('배치점수 계산기'!H$10,$D487,0)</f>
        <v>390.00400000000002</v>
      </c>
      <c r="S487" s="194">
        <f ca="1">OFFSET('배치점수 계산기'!I$10,$D487,0)</f>
        <v>386.69200000000001</v>
      </c>
      <c r="T487" s="194">
        <f ca="1">OFFSET('배치점수 계산기'!J$10,$D487,0)</f>
        <v>380.66199999999998</v>
      </c>
      <c r="U487" s="194">
        <f ca="1">OFFSET('배치점수 계산기'!K$10,$D487,0)</f>
        <v>375.47300000000001</v>
      </c>
      <c r="V487" s="194">
        <f ca="1">OFFSET('배치점수 계산기'!L$10,$D487,0)</f>
        <v>369.05099999999999</v>
      </c>
      <c r="W487" s="186" t="str">
        <f ca="1">OFFSET('배치점수 계산기'!M$10,$D487,0)</f>
        <v>백분위</v>
      </c>
      <c r="X487" s="184" t="str">
        <f ca="1">OFFSET('배치점수 계산기'!N$10,$D487,0)</f>
        <v>백분위</v>
      </c>
      <c r="Y487" s="188">
        <f ca="1">OFFSET(환산공식!FW$15,$F487,0)</f>
        <v>0.25</v>
      </c>
      <c r="Z487" s="20">
        <f ca="1">OFFSET(환산공식!FX$15,$F487,0)</f>
        <v>0.38</v>
      </c>
      <c r="AA487" s="179">
        <f ca="1">OFFSET(환산공식!FY$15,$F487,0)</f>
        <v>0.38</v>
      </c>
      <c r="AB487" s="3"/>
      <c r="AD487">
        <f t="shared" ca="1" si="15"/>
        <v>6</v>
      </c>
      <c r="AF487" s="3"/>
      <c r="AG487" s="3"/>
      <c r="AH487" s="3"/>
    </row>
    <row r="488" spans="1:34">
      <c r="A488" s="198"/>
      <c r="B488" s="198"/>
      <c r="C488" s="198" t="s">
        <v>1940</v>
      </c>
      <c r="D488" s="195">
        <v>1476</v>
      </c>
      <c r="E488" s="195">
        <v>187</v>
      </c>
      <c r="F488" s="195">
        <v>187</v>
      </c>
      <c r="G488" s="239">
        <v>481</v>
      </c>
      <c r="H488" s="197" t="s">
        <v>79</v>
      </c>
      <c r="I488" s="242" t="s">
        <v>197</v>
      </c>
      <c r="J488" s="242" t="s">
        <v>13216</v>
      </c>
      <c r="K488" s="195" t="s">
        <v>70</v>
      </c>
      <c r="L488" s="20" t="str">
        <f ca="1">IF(OFFSET(환산공식!$ED$15,$F488,0)=1,"O","X")</f>
        <v>X</v>
      </c>
      <c r="M488" s="188">
        <f ca="1">IFERROR(OFFSET(환산공식!DJ$15,$F488,0),"")</f>
        <v>100</v>
      </c>
      <c r="N488" s="20" t="str">
        <f ca="1">IFERROR(CONCATENATE(ROUND(OFFSET(환산공식!DK$15,$F488,0),1),"%"),"")</f>
        <v>100%</v>
      </c>
      <c r="O488" s="20">
        <f ca="1">IFERROR(OFFSET(환산공식!DL$15,$F488,0),"")</f>
        <v>1.5</v>
      </c>
      <c r="P488" s="188" t="str">
        <f t="shared" ca="1" si="14"/>
        <v>3% 이하</v>
      </c>
      <c r="Q488" s="194">
        <f ca="1">IFERROR(ROUND(OFFSET(환산공식!$FG$15,$F488,0),3),"")</f>
        <v>0</v>
      </c>
      <c r="R488" s="194">
        <f ca="1">OFFSET('배치점수 계산기'!H$10,$D488,0)</f>
        <v>379.089</v>
      </c>
      <c r="S488" s="194">
        <f ca="1">OFFSET('배치점수 계산기'!I$10,$D488,0)</f>
        <v>376.279</v>
      </c>
      <c r="T488" s="194">
        <f ca="1">OFFSET('배치점수 계산기'!J$10,$D488,0)</f>
        <v>370.87099999999998</v>
      </c>
      <c r="U488" s="194">
        <f ca="1">OFFSET('배치점수 계산기'!K$10,$D488,0)</f>
        <v>365.58199999999999</v>
      </c>
      <c r="V488" s="194">
        <f ca="1">OFFSET('배치점수 계산기'!L$10,$D488,0)</f>
        <v>359.291</v>
      </c>
      <c r="W488" s="186" t="str">
        <f ca="1">OFFSET('배치점수 계산기'!M$10,$D488,0)</f>
        <v>백분위</v>
      </c>
      <c r="X488" s="184" t="str">
        <f ca="1">OFFSET('배치점수 계산기'!N$10,$D488,0)</f>
        <v>백분위</v>
      </c>
      <c r="Y488" s="188">
        <f ca="1">OFFSET(환산공식!FW$15,$F488,0)</f>
        <v>0.25</v>
      </c>
      <c r="Z488" s="20">
        <f ca="1">OFFSET(환산공식!FX$15,$F488,0)</f>
        <v>0.38</v>
      </c>
      <c r="AA488" s="179">
        <f ca="1">OFFSET(환산공식!FY$15,$F488,0)</f>
        <v>0.38</v>
      </c>
      <c r="AB488" s="3"/>
      <c r="AD488">
        <f t="shared" ca="1" si="15"/>
        <v>6</v>
      </c>
      <c r="AF488" s="3"/>
      <c r="AG488" s="3"/>
      <c r="AH488" s="3"/>
    </row>
    <row r="489" spans="1:34">
      <c r="A489" s="198"/>
      <c r="B489" s="198"/>
      <c r="C489" s="198" t="s">
        <v>1941</v>
      </c>
      <c r="D489" s="195">
        <v>1477</v>
      </c>
      <c r="E489" s="195">
        <v>186</v>
      </c>
      <c r="F489" s="195">
        <v>186</v>
      </c>
      <c r="G489" s="239">
        <v>482</v>
      </c>
      <c r="H489" s="197" t="s">
        <v>79</v>
      </c>
      <c r="I489" s="242" t="s">
        <v>197</v>
      </c>
      <c r="J489" s="242" t="s">
        <v>13387</v>
      </c>
      <c r="K489" s="195" t="s">
        <v>70</v>
      </c>
      <c r="L489" s="20" t="str">
        <f ca="1">IF(OFFSET(환산공식!$ED$15,$F489,0)=1,"O","X")</f>
        <v>X</v>
      </c>
      <c r="M489" s="188">
        <f ca="1">IFERROR(OFFSET(환산공식!DJ$15,$F489,0),"")</f>
        <v>100</v>
      </c>
      <c r="N489" s="20" t="str">
        <f ca="1">IFERROR(CONCATENATE(ROUND(OFFSET(환산공식!DK$15,$F489,0),1),"%"),"")</f>
        <v>100%</v>
      </c>
      <c r="O489" s="20">
        <f ca="1">IFERROR(OFFSET(환산공식!DL$15,$F489,0),"")</f>
        <v>1.5</v>
      </c>
      <c r="P489" s="188" t="str">
        <f t="shared" ca="1" si="14"/>
        <v>3% 이하</v>
      </c>
      <c r="Q489" s="194">
        <f ca="1">IFERROR(ROUND(OFFSET(환산공식!$FG$15,$F489,0),3),"")</f>
        <v>0</v>
      </c>
      <c r="R489" s="194">
        <f ca="1">OFFSET('배치점수 계산기'!H$10,$D489,0)</f>
        <v>379.642</v>
      </c>
      <c r="S489" s="194">
        <f ca="1">OFFSET('배치점수 계산기'!I$10,$D489,0)</f>
        <v>377.38400000000001</v>
      </c>
      <c r="T489" s="194">
        <f ca="1">OFFSET('배치점수 계산기'!J$10,$D489,0)</f>
        <v>372.65899999999999</v>
      </c>
      <c r="U489" s="194">
        <f ca="1">OFFSET('배치점수 계산기'!K$10,$D489,0)</f>
        <v>367.33600000000001</v>
      </c>
      <c r="V489" s="194">
        <f ca="1">OFFSET('배치점수 계산기'!L$10,$D489,0)</f>
        <v>360.19200000000001</v>
      </c>
      <c r="W489" s="186" t="str">
        <f ca="1">OFFSET('배치점수 계산기'!M$10,$D489,0)</f>
        <v>백분위</v>
      </c>
      <c r="X489" s="184" t="str">
        <f ca="1">OFFSET('배치점수 계산기'!N$10,$D489,0)</f>
        <v>백분위</v>
      </c>
      <c r="Y489" s="188">
        <f ca="1">OFFSET(환산공식!FW$15,$F489,0)</f>
        <v>0.25</v>
      </c>
      <c r="Z489" s="20">
        <f ca="1">OFFSET(환산공식!FX$15,$F489,0)</f>
        <v>0.38</v>
      </c>
      <c r="AA489" s="179">
        <f ca="1">OFFSET(환산공식!FY$15,$F489,0)</f>
        <v>0.38</v>
      </c>
      <c r="AB489" s="3"/>
      <c r="AD489">
        <f t="shared" ca="1" si="15"/>
        <v>6</v>
      </c>
      <c r="AF489" s="3"/>
      <c r="AG489" s="3"/>
      <c r="AH489" s="3"/>
    </row>
    <row r="490" spans="1:34">
      <c r="A490" s="198"/>
      <c r="B490" s="198"/>
      <c r="C490" s="198" t="s">
        <v>1942</v>
      </c>
      <c r="D490" s="195">
        <v>1478</v>
      </c>
      <c r="E490" s="195">
        <v>187</v>
      </c>
      <c r="F490" s="195">
        <v>187</v>
      </c>
      <c r="G490" s="239">
        <v>483</v>
      </c>
      <c r="H490" s="197" t="s">
        <v>79</v>
      </c>
      <c r="I490" s="242" t="s">
        <v>197</v>
      </c>
      <c r="J490" s="242" t="s">
        <v>8538</v>
      </c>
      <c r="K490" s="195" t="s">
        <v>70</v>
      </c>
      <c r="L490" s="20" t="str">
        <f ca="1">IF(OFFSET(환산공식!$ED$15,$F490,0)=1,"O","X")</f>
        <v>X</v>
      </c>
      <c r="M490" s="188">
        <f ca="1">IFERROR(OFFSET(환산공식!DJ$15,$F490,0),"")</f>
        <v>100</v>
      </c>
      <c r="N490" s="20" t="str">
        <f ca="1">IFERROR(CONCATENATE(ROUND(OFFSET(환산공식!DK$15,$F490,0),1),"%"),"")</f>
        <v>100%</v>
      </c>
      <c r="O490" s="20">
        <f ca="1">IFERROR(OFFSET(환산공식!DL$15,$F490,0),"")</f>
        <v>1.5</v>
      </c>
      <c r="P490" s="188" t="str">
        <f t="shared" ca="1" si="14"/>
        <v>3% 이하</v>
      </c>
      <c r="Q490" s="194">
        <f ca="1">IFERROR(ROUND(OFFSET(환산공식!$FG$15,$F490,0),3),"")</f>
        <v>0</v>
      </c>
      <c r="R490" s="194">
        <f ca="1">OFFSET('배치점수 계산기'!H$10,$D490,0)</f>
        <v>368.43299999999999</v>
      </c>
      <c r="S490" s="194">
        <f ca="1">OFFSET('배치점수 계산기'!I$10,$D490,0)</f>
        <v>366.48200000000003</v>
      </c>
      <c r="T490" s="194">
        <f ca="1">OFFSET('배치점수 계산기'!J$10,$D490,0)</f>
        <v>361.89600000000002</v>
      </c>
      <c r="U490" s="194">
        <f ca="1">OFFSET('배치점수 계산기'!K$10,$D490,0)</f>
        <v>356.34</v>
      </c>
      <c r="V490" s="194">
        <f ca="1">OFFSET('배치점수 계산기'!L$10,$D490,0)</f>
        <v>350.387</v>
      </c>
      <c r="W490" s="186" t="str">
        <f ca="1">OFFSET('배치점수 계산기'!M$10,$D490,0)</f>
        <v>백분위</v>
      </c>
      <c r="X490" s="184" t="str">
        <f ca="1">OFFSET('배치점수 계산기'!N$10,$D490,0)</f>
        <v>백분위</v>
      </c>
      <c r="Y490" s="188">
        <f ca="1">OFFSET(환산공식!FW$15,$F490,0)</f>
        <v>0.25</v>
      </c>
      <c r="Z490" s="20">
        <f ca="1">OFFSET(환산공식!FX$15,$F490,0)</f>
        <v>0.38</v>
      </c>
      <c r="AA490" s="179">
        <f ca="1">OFFSET(환산공식!FY$15,$F490,0)</f>
        <v>0.38</v>
      </c>
      <c r="AB490" s="3"/>
      <c r="AD490">
        <f t="shared" ca="1" si="15"/>
        <v>6</v>
      </c>
      <c r="AF490" s="3"/>
      <c r="AG490" s="3"/>
      <c r="AH490" s="3"/>
    </row>
    <row r="491" spans="1:34">
      <c r="A491" s="198"/>
      <c r="B491" s="198"/>
      <c r="C491" s="198" t="s">
        <v>1943</v>
      </c>
      <c r="D491" s="195">
        <v>1479</v>
      </c>
      <c r="E491" s="195">
        <v>185</v>
      </c>
      <c r="F491" s="195">
        <v>185</v>
      </c>
      <c r="G491" s="239">
        <v>484</v>
      </c>
      <c r="H491" s="197" t="s">
        <v>79</v>
      </c>
      <c r="I491" s="242" t="s">
        <v>197</v>
      </c>
      <c r="J491" s="242" t="s">
        <v>8337</v>
      </c>
      <c r="K491" s="195" t="s">
        <v>71</v>
      </c>
      <c r="L491" s="20" t="str">
        <f ca="1">IF(OFFSET(환산공식!$ED$15,$F491,0)=1,"O","X")</f>
        <v>X</v>
      </c>
      <c r="M491" s="188">
        <f ca="1">IFERROR(OFFSET(환산공식!DJ$15,$F491,0),"")</f>
        <v>150</v>
      </c>
      <c r="N491" s="20" t="str">
        <f ca="1">IFERROR(CONCATENATE(ROUND(OFFSET(환산공식!DK$15,$F491,0),1),"%"),"")</f>
        <v>100%</v>
      </c>
      <c r="O491" s="20">
        <f ca="1">IFERROR(OFFSET(환산공식!DL$15,$F491,0),"")</f>
        <v>1.5</v>
      </c>
      <c r="P491" s="188" t="str">
        <f t="shared" ca="1" si="14"/>
        <v>3% 이하</v>
      </c>
      <c r="Q491" s="194">
        <f ca="1">IFERROR(ROUND(OFFSET(환산공식!$FG$15,$F491,0),3),"")</f>
        <v>0</v>
      </c>
      <c r="R491" s="194">
        <f ca="1">OFFSET('배치점수 계산기'!H$10,$D491,0)</f>
        <v>420.01400000000001</v>
      </c>
      <c r="S491" s="194">
        <f ca="1">OFFSET('배치점수 계산기'!I$10,$D491,0)</f>
        <v>417.07499999999999</v>
      </c>
      <c r="T491" s="194">
        <f ca="1">OFFSET('배치점수 계산기'!J$10,$D491,0)</f>
        <v>412.524</v>
      </c>
      <c r="U491" s="194">
        <f ca="1">OFFSET('배치점수 계산기'!K$10,$D491,0)</f>
        <v>407.02600000000001</v>
      </c>
      <c r="V491" s="194">
        <f ca="1">OFFSET('배치점수 계산기'!L$10,$D491,0)</f>
        <v>400.33</v>
      </c>
      <c r="W491" s="186" t="str">
        <f ca="1">OFFSET('배치점수 계산기'!M$10,$D491,0)</f>
        <v>백분위</v>
      </c>
      <c r="X491" s="184" t="str">
        <f ca="1">OFFSET('배치점수 계산기'!N$10,$D491,0)</f>
        <v>백분위</v>
      </c>
      <c r="Y491" s="188">
        <f ca="1">OFFSET(환산공식!FW$15,$F491,0)</f>
        <v>0.43</v>
      </c>
      <c r="Z491" s="20">
        <f ca="1">OFFSET(환산공식!FX$15,$F491,0)</f>
        <v>0.28999999999999998</v>
      </c>
      <c r="AA491" s="179">
        <f ca="1">OFFSET(환산공식!FY$15,$F491,0)</f>
        <v>0.28999999999999998</v>
      </c>
      <c r="AB491" s="3"/>
      <c r="AD491">
        <f t="shared" ca="1" si="15"/>
        <v>6</v>
      </c>
      <c r="AF491" s="3"/>
      <c r="AG491" s="3"/>
      <c r="AH491" s="3"/>
    </row>
    <row r="492" spans="1:34">
      <c r="A492" s="198"/>
      <c r="B492" s="198"/>
      <c r="C492" s="198" t="s">
        <v>1944</v>
      </c>
      <c r="D492" s="195">
        <v>1480</v>
      </c>
      <c r="E492" s="195">
        <v>185</v>
      </c>
      <c r="F492" s="195">
        <v>185</v>
      </c>
      <c r="G492" s="239">
        <v>485</v>
      </c>
      <c r="H492" s="197" t="s">
        <v>79</v>
      </c>
      <c r="I492" s="242" t="s">
        <v>197</v>
      </c>
      <c r="J492" s="242" t="s">
        <v>11323</v>
      </c>
      <c r="K492" s="195" t="s">
        <v>71</v>
      </c>
      <c r="L492" s="20" t="str">
        <f ca="1">IF(OFFSET(환산공식!$ED$15,$F492,0)=1,"O","X")</f>
        <v>X</v>
      </c>
      <c r="M492" s="188">
        <f ca="1">IFERROR(OFFSET(환산공식!DJ$15,$F492,0),"")</f>
        <v>150</v>
      </c>
      <c r="N492" s="20" t="str">
        <f ca="1">IFERROR(CONCATENATE(ROUND(OFFSET(환산공식!DK$15,$F492,0),1),"%"),"")</f>
        <v>100%</v>
      </c>
      <c r="O492" s="20">
        <f ca="1">IFERROR(OFFSET(환산공식!DL$15,$F492,0),"")</f>
        <v>1.5</v>
      </c>
      <c r="P492" s="188" t="str">
        <f t="shared" ca="1" si="14"/>
        <v>3% 이하</v>
      </c>
      <c r="Q492" s="194">
        <f ca="1">IFERROR(ROUND(OFFSET(환산공식!$FG$15,$F492,0),3),"")</f>
        <v>0</v>
      </c>
      <c r="R492" s="194">
        <f ca="1">OFFSET('배치점수 계산기'!H$10,$D492,0)</f>
        <v>414.77300000000002</v>
      </c>
      <c r="S492" s="194">
        <f ca="1">OFFSET('배치점수 계산기'!I$10,$D492,0)</f>
        <v>412.524</v>
      </c>
      <c r="T492" s="194">
        <f ca="1">OFFSET('배치점수 계산기'!J$10,$D492,0)</f>
        <v>407.15100000000001</v>
      </c>
      <c r="U492" s="194">
        <f ca="1">OFFSET('배치점수 계산기'!K$10,$D492,0)</f>
        <v>402.01400000000001</v>
      </c>
      <c r="V492" s="194">
        <f ca="1">OFFSET('배치점수 계산기'!L$10,$D492,0)</f>
        <v>395.06099999999998</v>
      </c>
      <c r="W492" s="186" t="str">
        <f ca="1">OFFSET('배치점수 계산기'!M$10,$D492,0)</f>
        <v>백분위</v>
      </c>
      <c r="X492" s="184" t="str">
        <f ca="1">OFFSET('배치점수 계산기'!N$10,$D492,0)</f>
        <v>백분위</v>
      </c>
      <c r="Y492" s="188">
        <f ca="1">OFFSET(환산공식!FW$15,$F492,0)</f>
        <v>0.43</v>
      </c>
      <c r="Z492" s="20">
        <f ca="1">OFFSET(환산공식!FX$15,$F492,0)</f>
        <v>0.28999999999999998</v>
      </c>
      <c r="AA492" s="179">
        <f ca="1">OFFSET(환산공식!FY$15,$F492,0)</f>
        <v>0.28999999999999998</v>
      </c>
      <c r="AB492" s="3"/>
      <c r="AD492">
        <f t="shared" ca="1" si="15"/>
        <v>6</v>
      </c>
      <c r="AF492" s="3"/>
      <c r="AG492" s="3"/>
      <c r="AH492" s="3"/>
    </row>
    <row r="493" spans="1:34">
      <c r="A493" s="198"/>
      <c r="B493" s="198"/>
      <c r="C493" s="198" t="s">
        <v>1945</v>
      </c>
      <c r="D493" s="195">
        <v>1481</v>
      </c>
      <c r="E493" s="195">
        <v>185</v>
      </c>
      <c r="F493" s="195">
        <v>185</v>
      </c>
      <c r="G493" s="239">
        <v>486</v>
      </c>
      <c r="H493" s="197" t="s">
        <v>79</v>
      </c>
      <c r="I493" s="242" t="s">
        <v>197</v>
      </c>
      <c r="J493" s="242" t="s">
        <v>8190</v>
      </c>
      <c r="K493" s="195" t="s">
        <v>71</v>
      </c>
      <c r="L493" s="20" t="str">
        <f ca="1">IF(OFFSET(환산공식!$ED$15,$F493,0)=1,"O","X")</f>
        <v>X</v>
      </c>
      <c r="M493" s="188">
        <f ca="1">IFERROR(OFFSET(환산공식!DJ$15,$F493,0),"")</f>
        <v>150</v>
      </c>
      <c r="N493" s="20" t="str">
        <f ca="1">IFERROR(CONCATENATE(ROUND(OFFSET(환산공식!DK$15,$F493,0),1),"%"),"")</f>
        <v>100%</v>
      </c>
      <c r="O493" s="20">
        <f ca="1">IFERROR(OFFSET(환산공식!DL$15,$F493,0),"")</f>
        <v>1.5</v>
      </c>
      <c r="P493" s="188" t="str">
        <f t="shared" ca="1" si="14"/>
        <v>3% 이하</v>
      </c>
      <c r="Q493" s="194">
        <f ca="1">IFERROR(ROUND(OFFSET(환산공식!$FG$15,$F493,0),3),"")</f>
        <v>0</v>
      </c>
      <c r="R493" s="194">
        <f ca="1">OFFSET('배치점수 계산기'!H$10,$D493,0)</f>
        <v>412.06299999999999</v>
      </c>
      <c r="S493" s="194">
        <f ca="1">OFFSET('배치점수 계산기'!I$10,$D493,0)</f>
        <v>409.5</v>
      </c>
      <c r="T493" s="194">
        <f ca="1">OFFSET('배치점수 계산기'!J$10,$D493,0)</f>
        <v>404.69499999999999</v>
      </c>
      <c r="U493" s="194">
        <f ca="1">OFFSET('배치점수 계산기'!K$10,$D493,0)</f>
        <v>399.30500000000001</v>
      </c>
      <c r="V493" s="194">
        <f ca="1">OFFSET('배치점수 계산기'!L$10,$D493,0)</f>
        <v>392.63400000000001</v>
      </c>
      <c r="W493" s="186" t="str">
        <f ca="1">OFFSET('배치점수 계산기'!M$10,$D493,0)</f>
        <v>백분위</v>
      </c>
      <c r="X493" s="184" t="str">
        <f ca="1">OFFSET('배치점수 계산기'!N$10,$D493,0)</f>
        <v>백분위</v>
      </c>
      <c r="Y493" s="188">
        <f ca="1">OFFSET(환산공식!FW$15,$F493,0)</f>
        <v>0.43</v>
      </c>
      <c r="Z493" s="20">
        <f ca="1">OFFSET(환산공식!FX$15,$F493,0)</f>
        <v>0.28999999999999998</v>
      </c>
      <c r="AA493" s="179">
        <f ca="1">OFFSET(환산공식!FY$15,$F493,0)</f>
        <v>0.28999999999999998</v>
      </c>
      <c r="AB493" s="3"/>
      <c r="AD493">
        <f t="shared" ca="1" si="15"/>
        <v>6</v>
      </c>
      <c r="AF493" s="3"/>
      <c r="AG493" s="3"/>
      <c r="AH493" s="3"/>
    </row>
    <row r="494" spans="1:34">
      <c r="A494" s="198"/>
      <c r="B494" s="198"/>
      <c r="C494" s="198" t="s">
        <v>1946</v>
      </c>
      <c r="D494" s="195">
        <v>1482</v>
      </c>
      <c r="E494" s="195">
        <v>185</v>
      </c>
      <c r="F494" s="195">
        <v>185</v>
      </c>
      <c r="G494" s="239">
        <v>487</v>
      </c>
      <c r="H494" s="197" t="s">
        <v>79</v>
      </c>
      <c r="I494" s="242" t="s">
        <v>197</v>
      </c>
      <c r="J494" s="242" t="s">
        <v>12454</v>
      </c>
      <c r="K494" s="195" t="s">
        <v>71</v>
      </c>
      <c r="L494" s="20" t="str">
        <f ca="1">IF(OFFSET(환산공식!$ED$15,$F494,0)=1,"O","X")</f>
        <v>X</v>
      </c>
      <c r="M494" s="188">
        <f ca="1">IFERROR(OFFSET(환산공식!DJ$15,$F494,0),"")</f>
        <v>150</v>
      </c>
      <c r="N494" s="20" t="str">
        <f ca="1">IFERROR(CONCATENATE(ROUND(OFFSET(환산공식!DK$15,$F494,0),1),"%"),"")</f>
        <v>100%</v>
      </c>
      <c r="O494" s="20">
        <f ca="1">IFERROR(OFFSET(환산공식!DL$15,$F494,0),"")</f>
        <v>1.5</v>
      </c>
      <c r="P494" s="188" t="str">
        <f t="shared" ca="1" si="14"/>
        <v>3% 이하</v>
      </c>
      <c r="Q494" s="194">
        <f ca="1">IFERROR(ROUND(OFFSET(환산공식!$FG$15,$F494,0),3),"")</f>
        <v>0</v>
      </c>
      <c r="R494" s="194">
        <f ca="1">OFFSET('배치점수 계산기'!H$10,$D494,0)</f>
        <v>411.63799999999998</v>
      </c>
      <c r="S494" s="194">
        <f ca="1">OFFSET('배치점수 계산기'!I$10,$D494,0)</f>
        <v>408.92399999999998</v>
      </c>
      <c r="T494" s="194">
        <f ca="1">OFFSET('배치점수 계산기'!J$10,$D494,0)</f>
        <v>403.959</v>
      </c>
      <c r="U494" s="194">
        <f ca="1">OFFSET('배치점수 계산기'!K$10,$D494,0)</f>
        <v>398.45</v>
      </c>
      <c r="V494" s="194">
        <f ca="1">OFFSET('배치점수 계산기'!L$10,$D494,0)</f>
        <v>391.97300000000001</v>
      </c>
      <c r="W494" s="186" t="str">
        <f ca="1">OFFSET('배치점수 계산기'!M$10,$D494,0)</f>
        <v>백분위</v>
      </c>
      <c r="X494" s="184" t="str">
        <f ca="1">OFFSET('배치점수 계산기'!N$10,$D494,0)</f>
        <v>백분위</v>
      </c>
      <c r="Y494" s="188">
        <f ca="1">OFFSET(환산공식!FW$15,$F494,0)</f>
        <v>0.43</v>
      </c>
      <c r="Z494" s="20">
        <f ca="1">OFFSET(환산공식!FX$15,$F494,0)</f>
        <v>0.28999999999999998</v>
      </c>
      <c r="AA494" s="179">
        <f ca="1">OFFSET(환산공식!FY$15,$F494,0)</f>
        <v>0.28999999999999998</v>
      </c>
      <c r="AB494" s="3"/>
      <c r="AD494">
        <f t="shared" ca="1" si="15"/>
        <v>6</v>
      </c>
      <c r="AF494" s="3"/>
      <c r="AG494" s="3"/>
      <c r="AH494" s="3"/>
    </row>
    <row r="495" spans="1:34">
      <c r="A495" s="198"/>
      <c r="B495" s="198"/>
      <c r="C495" s="198" t="s">
        <v>1947</v>
      </c>
      <c r="D495" s="195">
        <v>1483</v>
      </c>
      <c r="E495" s="195">
        <v>185</v>
      </c>
      <c r="F495" s="195">
        <v>185</v>
      </c>
      <c r="G495" s="239">
        <v>488</v>
      </c>
      <c r="H495" s="197" t="s">
        <v>79</v>
      </c>
      <c r="I495" s="242" t="s">
        <v>197</v>
      </c>
      <c r="J495" s="242" t="s">
        <v>8232</v>
      </c>
      <c r="K495" s="195" t="s">
        <v>71</v>
      </c>
      <c r="L495" s="20" t="str">
        <f ca="1">IF(OFFSET(환산공식!$ED$15,$F495,0)=1,"O","X")</f>
        <v>X</v>
      </c>
      <c r="M495" s="188">
        <f ca="1">IFERROR(OFFSET(환산공식!DJ$15,$F495,0),"")</f>
        <v>150</v>
      </c>
      <c r="N495" s="20" t="str">
        <f ca="1">IFERROR(CONCATENATE(ROUND(OFFSET(환산공식!DK$15,$F495,0),1),"%"),"")</f>
        <v>100%</v>
      </c>
      <c r="O495" s="20">
        <f ca="1">IFERROR(OFFSET(환산공식!DL$15,$F495,0),"")</f>
        <v>1.5</v>
      </c>
      <c r="P495" s="188" t="str">
        <f t="shared" ca="1" si="14"/>
        <v>3% 이하</v>
      </c>
      <c r="Q495" s="194">
        <f ca="1">IFERROR(ROUND(OFFSET(환산공식!$FG$15,$F495,0),3),"")</f>
        <v>0</v>
      </c>
      <c r="R495" s="194">
        <f ca="1">OFFSET('배치점수 계산기'!H$10,$D495,0)</f>
        <v>410.51100000000002</v>
      </c>
      <c r="S495" s="194">
        <f ca="1">OFFSET('배치점수 계산기'!I$10,$D495,0)</f>
        <v>408.22399999999999</v>
      </c>
      <c r="T495" s="194">
        <f ca="1">OFFSET('배치점수 계산기'!J$10,$D495,0)</f>
        <v>403.24400000000003</v>
      </c>
      <c r="U495" s="194">
        <f ca="1">OFFSET('배치점수 계산기'!K$10,$D495,0)</f>
        <v>397.66399999999999</v>
      </c>
      <c r="V495" s="194">
        <f ca="1">OFFSET('배치점수 계산기'!L$10,$D495,0)</f>
        <v>391.38299999999998</v>
      </c>
      <c r="W495" s="186" t="str">
        <f ca="1">OFFSET('배치점수 계산기'!M$10,$D495,0)</f>
        <v>백분위</v>
      </c>
      <c r="X495" s="184" t="str">
        <f ca="1">OFFSET('배치점수 계산기'!N$10,$D495,0)</f>
        <v>백분위</v>
      </c>
      <c r="Y495" s="188">
        <f ca="1">OFFSET(환산공식!FW$15,$F495,0)</f>
        <v>0.43</v>
      </c>
      <c r="Z495" s="20">
        <f ca="1">OFFSET(환산공식!FX$15,$F495,0)</f>
        <v>0.28999999999999998</v>
      </c>
      <c r="AA495" s="179">
        <f ca="1">OFFSET(환산공식!FY$15,$F495,0)</f>
        <v>0.28999999999999998</v>
      </c>
      <c r="AB495" s="3"/>
      <c r="AD495">
        <f t="shared" ca="1" si="15"/>
        <v>6</v>
      </c>
      <c r="AF495" s="3"/>
      <c r="AG495" s="3"/>
      <c r="AH495" s="3"/>
    </row>
    <row r="496" spans="1:34">
      <c r="A496" s="198"/>
      <c r="B496" s="198"/>
      <c r="C496" s="198" t="s">
        <v>1948</v>
      </c>
      <c r="D496" s="195">
        <v>1484</v>
      </c>
      <c r="E496" s="195">
        <v>185</v>
      </c>
      <c r="F496" s="195">
        <v>185</v>
      </c>
      <c r="G496" s="239">
        <v>489</v>
      </c>
      <c r="H496" s="197" t="s">
        <v>79</v>
      </c>
      <c r="I496" s="242" t="s">
        <v>197</v>
      </c>
      <c r="J496" s="242" t="s">
        <v>8772</v>
      </c>
      <c r="K496" s="195" t="s">
        <v>71</v>
      </c>
      <c r="L496" s="20" t="str">
        <f ca="1">IF(OFFSET(환산공식!$ED$15,$F496,0)=1,"O","X")</f>
        <v>X</v>
      </c>
      <c r="M496" s="188">
        <f ca="1">IFERROR(OFFSET(환산공식!DJ$15,$F496,0),"")</f>
        <v>150</v>
      </c>
      <c r="N496" s="20" t="str">
        <f ca="1">IFERROR(CONCATENATE(ROUND(OFFSET(환산공식!DK$15,$F496,0),1),"%"),"")</f>
        <v>100%</v>
      </c>
      <c r="O496" s="20">
        <f ca="1">IFERROR(OFFSET(환산공식!DL$15,$F496,0),"")</f>
        <v>1.5</v>
      </c>
      <c r="P496" s="188" t="str">
        <f t="shared" ca="1" si="14"/>
        <v>3% 이하</v>
      </c>
      <c r="Q496" s="194">
        <f ca="1">IFERROR(ROUND(OFFSET(환산공식!$FG$15,$F496,0),3),"")</f>
        <v>0</v>
      </c>
      <c r="R496" s="194">
        <f ca="1">OFFSET('배치점수 계산기'!H$10,$D496,0)</f>
        <v>406.82600000000002</v>
      </c>
      <c r="S496" s="194">
        <f ca="1">OFFSET('배치점수 계산기'!I$10,$D496,0)</f>
        <v>404.10899999999998</v>
      </c>
      <c r="T496" s="194">
        <f ca="1">OFFSET('배치점수 계산기'!J$10,$D496,0)</f>
        <v>399.30500000000001</v>
      </c>
      <c r="U496" s="194">
        <f ca="1">OFFSET('배치점수 계산기'!K$10,$D496,0)</f>
        <v>393.71</v>
      </c>
      <c r="V496" s="194">
        <f ca="1">OFFSET('배치점수 계산기'!L$10,$D496,0)</f>
        <v>387.786</v>
      </c>
      <c r="W496" s="186" t="str">
        <f ca="1">OFFSET('배치점수 계산기'!M$10,$D496,0)</f>
        <v>백분위</v>
      </c>
      <c r="X496" s="184" t="str">
        <f ca="1">OFFSET('배치점수 계산기'!N$10,$D496,0)</f>
        <v>백분위</v>
      </c>
      <c r="Y496" s="188">
        <f ca="1">OFFSET(환산공식!FW$15,$F496,0)</f>
        <v>0.43</v>
      </c>
      <c r="Z496" s="20">
        <f ca="1">OFFSET(환산공식!FX$15,$F496,0)</f>
        <v>0.28999999999999998</v>
      </c>
      <c r="AA496" s="179">
        <f ca="1">OFFSET(환산공식!FY$15,$F496,0)</f>
        <v>0.28999999999999998</v>
      </c>
      <c r="AB496" s="3"/>
      <c r="AD496">
        <f t="shared" ca="1" si="15"/>
        <v>6</v>
      </c>
      <c r="AF496" s="3"/>
      <c r="AG496" s="3"/>
      <c r="AH496" s="3"/>
    </row>
    <row r="497" spans="1:34">
      <c r="A497" s="198"/>
      <c r="B497" s="198"/>
      <c r="C497" s="198" t="s">
        <v>1949</v>
      </c>
      <c r="D497" s="195">
        <v>1485</v>
      </c>
      <c r="E497" s="195">
        <v>185</v>
      </c>
      <c r="F497" s="195">
        <v>185</v>
      </c>
      <c r="G497" s="239">
        <v>490</v>
      </c>
      <c r="H497" s="197" t="s">
        <v>79</v>
      </c>
      <c r="I497" s="242" t="s">
        <v>197</v>
      </c>
      <c r="J497" s="242" t="s">
        <v>542</v>
      </c>
      <c r="K497" s="195" t="s">
        <v>71</v>
      </c>
      <c r="L497" s="20" t="str">
        <f ca="1">IF(OFFSET(환산공식!$ED$15,$F497,0)=1,"O","X")</f>
        <v>X</v>
      </c>
      <c r="M497" s="188">
        <f ca="1">IFERROR(OFFSET(환산공식!DJ$15,$F497,0),"")</f>
        <v>150</v>
      </c>
      <c r="N497" s="20" t="str">
        <f ca="1">IFERROR(CONCATENATE(ROUND(OFFSET(환산공식!DK$15,$F497,0),1),"%"),"")</f>
        <v>100%</v>
      </c>
      <c r="O497" s="20">
        <f ca="1">IFERROR(OFFSET(환산공식!DL$15,$F497,0),"")</f>
        <v>1.5</v>
      </c>
      <c r="P497" s="188" t="str">
        <f t="shared" ca="1" si="14"/>
        <v>3% 이하</v>
      </c>
      <c r="Q497" s="194">
        <f ca="1">IFERROR(ROUND(OFFSET(환산공식!$FG$15,$F497,0),3),"")</f>
        <v>0</v>
      </c>
      <c r="R497" s="194">
        <f ca="1">OFFSET('배치점수 계산기'!H$10,$D497,0)</f>
        <v>401.81400000000002</v>
      </c>
      <c r="S497" s="194">
        <f ca="1">OFFSET('배치점수 계산기'!I$10,$D497,0)</f>
        <v>399.30500000000001</v>
      </c>
      <c r="T497" s="194">
        <f ca="1">OFFSET('배치점수 계산기'!J$10,$D497,0)</f>
        <v>394.24599999999998</v>
      </c>
      <c r="U497" s="194">
        <f ca="1">OFFSET('배치점수 계산기'!K$10,$D497,0)</f>
        <v>389.39499999999998</v>
      </c>
      <c r="V497" s="194">
        <f ca="1">OFFSET('배치점수 계산기'!L$10,$D497,0)</f>
        <v>383.02100000000002</v>
      </c>
      <c r="W497" s="186" t="str">
        <f ca="1">OFFSET('배치점수 계산기'!M$10,$D497,0)</f>
        <v>백분위</v>
      </c>
      <c r="X497" s="184" t="str">
        <f ca="1">OFFSET('배치점수 계산기'!N$10,$D497,0)</f>
        <v>백분위</v>
      </c>
      <c r="Y497" s="188">
        <f ca="1">OFFSET(환산공식!FW$15,$F497,0)</f>
        <v>0.43</v>
      </c>
      <c r="Z497" s="20">
        <f ca="1">OFFSET(환산공식!FX$15,$F497,0)</f>
        <v>0.28999999999999998</v>
      </c>
      <c r="AA497" s="179">
        <f ca="1">OFFSET(환산공식!FY$15,$F497,0)</f>
        <v>0.28999999999999998</v>
      </c>
      <c r="AB497" s="3"/>
      <c r="AD497">
        <f t="shared" ca="1" si="15"/>
        <v>6</v>
      </c>
      <c r="AF497" s="3"/>
      <c r="AG497" s="3"/>
      <c r="AH497" s="3"/>
    </row>
    <row r="498" spans="1:34">
      <c r="A498" s="198"/>
      <c r="B498" s="198"/>
      <c r="C498" s="198" t="s">
        <v>1950</v>
      </c>
      <c r="D498" s="195">
        <v>1486</v>
      </c>
      <c r="E498" s="195">
        <v>185</v>
      </c>
      <c r="F498" s="195">
        <v>185</v>
      </c>
      <c r="G498" s="239">
        <v>491</v>
      </c>
      <c r="H498" s="197" t="s">
        <v>79</v>
      </c>
      <c r="I498" s="242" t="s">
        <v>197</v>
      </c>
      <c r="J498" s="242" t="s">
        <v>8902</v>
      </c>
      <c r="K498" s="195" t="s">
        <v>71</v>
      </c>
      <c r="L498" s="20" t="str">
        <f ca="1">IF(OFFSET(환산공식!$ED$15,$F498,0)=1,"O","X")</f>
        <v>X</v>
      </c>
      <c r="M498" s="188">
        <f ca="1">IFERROR(OFFSET(환산공식!DJ$15,$F498,0),"")</f>
        <v>150</v>
      </c>
      <c r="N498" s="20" t="str">
        <f ca="1">IFERROR(CONCATENATE(ROUND(OFFSET(환산공식!DK$15,$F498,0),1),"%"),"")</f>
        <v>100%</v>
      </c>
      <c r="O498" s="20">
        <f ca="1">IFERROR(OFFSET(환산공식!DL$15,$F498,0),"")</f>
        <v>1.5</v>
      </c>
      <c r="P498" s="188" t="str">
        <f t="shared" ca="1" si="14"/>
        <v>3% 이하</v>
      </c>
      <c r="Q498" s="194">
        <f ca="1">IFERROR(ROUND(OFFSET(환산공식!$FG$15,$F498,0),3),"")</f>
        <v>0</v>
      </c>
      <c r="R498" s="194">
        <f ca="1">OFFSET('배치점수 계산기'!H$10,$D498,0)</f>
        <v>394.54599999999999</v>
      </c>
      <c r="S498" s="194">
        <f ca="1">OFFSET('배치점수 계산기'!I$10,$D498,0)</f>
        <v>392.43400000000003</v>
      </c>
      <c r="T498" s="194">
        <f ca="1">OFFSET('배치점수 계산기'!J$10,$D498,0)</f>
        <v>387.99400000000003</v>
      </c>
      <c r="U498" s="194">
        <f ca="1">OFFSET('배치점수 계산기'!K$10,$D498,0)</f>
        <v>382.94600000000003</v>
      </c>
      <c r="V498" s="194">
        <f ca="1">OFFSET('배치점수 계산기'!L$10,$D498,0)</f>
        <v>377.601</v>
      </c>
      <c r="W498" s="186" t="str">
        <f ca="1">OFFSET('배치점수 계산기'!M$10,$D498,0)</f>
        <v>백분위</v>
      </c>
      <c r="X498" s="184" t="str">
        <f ca="1">OFFSET('배치점수 계산기'!N$10,$D498,0)</f>
        <v>백분위</v>
      </c>
      <c r="Y498" s="188">
        <f ca="1">OFFSET(환산공식!FW$15,$F498,0)</f>
        <v>0.43</v>
      </c>
      <c r="Z498" s="20">
        <f ca="1">OFFSET(환산공식!FX$15,$F498,0)</f>
        <v>0.28999999999999998</v>
      </c>
      <c r="AA498" s="179">
        <f ca="1">OFFSET(환산공식!FY$15,$F498,0)</f>
        <v>0.28999999999999998</v>
      </c>
      <c r="AB498" s="3"/>
      <c r="AD498">
        <f t="shared" ca="1" si="15"/>
        <v>6</v>
      </c>
      <c r="AF498" s="3"/>
      <c r="AG498" s="3"/>
      <c r="AH498" s="3"/>
    </row>
    <row r="499" spans="1:34">
      <c r="A499" s="198"/>
      <c r="B499" s="198"/>
      <c r="C499" s="198" t="s">
        <v>1951</v>
      </c>
      <c r="D499" s="195">
        <v>1487</v>
      </c>
      <c r="E499" s="195">
        <v>185</v>
      </c>
      <c r="F499" s="195">
        <v>185</v>
      </c>
      <c r="G499" s="239">
        <v>492</v>
      </c>
      <c r="H499" s="197" t="s">
        <v>79</v>
      </c>
      <c r="I499" s="242" t="s">
        <v>197</v>
      </c>
      <c r="J499" s="242" t="s">
        <v>8974</v>
      </c>
      <c r="K499" s="195" t="s">
        <v>71</v>
      </c>
      <c r="L499" s="20" t="str">
        <f ca="1">IF(OFFSET(환산공식!$ED$15,$F499,0)=1,"O","X")</f>
        <v>X</v>
      </c>
      <c r="M499" s="188">
        <f ca="1">IFERROR(OFFSET(환산공식!DJ$15,$F499,0),"")</f>
        <v>150</v>
      </c>
      <c r="N499" s="20" t="str">
        <f ca="1">IFERROR(CONCATENATE(ROUND(OFFSET(환산공식!DK$15,$F499,0),1),"%"),"")</f>
        <v>100%</v>
      </c>
      <c r="O499" s="20">
        <f ca="1">IFERROR(OFFSET(환산공식!DL$15,$F499,0),"")</f>
        <v>1.5</v>
      </c>
      <c r="P499" s="188" t="str">
        <f t="shared" ca="1" si="14"/>
        <v>3% 이하</v>
      </c>
      <c r="Q499" s="194">
        <f ca="1">IFERROR(ROUND(OFFSET(환산공식!$FG$15,$F499,0),3),"")</f>
        <v>0</v>
      </c>
      <c r="R499" s="194">
        <f ca="1">OFFSET('배치점수 계산기'!H$10,$D499,0)</f>
        <v>394.24599999999998</v>
      </c>
      <c r="S499" s="194">
        <f ca="1">OFFSET('배치점수 계산기'!I$10,$D499,0)</f>
        <v>391.89800000000002</v>
      </c>
      <c r="T499" s="194">
        <f ca="1">OFFSET('배치점수 계산기'!J$10,$D499,0)</f>
        <v>387.46100000000001</v>
      </c>
      <c r="U499" s="194">
        <f ca="1">OFFSET('배치점수 계산기'!K$10,$D499,0)</f>
        <v>382.65600000000001</v>
      </c>
      <c r="V499" s="194">
        <f ca="1">OFFSET('배치점수 계산기'!L$10,$D499,0)</f>
        <v>377.33600000000001</v>
      </c>
      <c r="W499" s="186" t="str">
        <f ca="1">OFFSET('배치점수 계산기'!M$10,$D499,0)</f>
        <v>백분위</v>
      </c>
      <c r="X499" s="184" t="str">
        <f ca="1">OFFSET('배치점수 계산기'!N$10,$D499,0)</f>
        <v>백분위</v>
      </c>
      <c r="Y499" s="188">
        <f ca="1">OFFSET(환산공식!FW$15,$F499,0)</f>
        <v>0.43</v>
      </c>
      <c r="Z499" s="20">
        <f ca="1">OFFSET(환산공식!FX$15,$F499,0)</f>
        <v>0.28999999999999998</v>
      </c>
      <c r="AA499" s="179">
        <f ca="1">OFFSET(환산공식!FY$15,$F499,0)</f>
        <v>0.28999999999999998</v>
      </c>
      <c r="AB499" s="3"/>
      <c r="AD499">
        <f t="shared" ca="1" si="15"/>
        <v>6</v>
      </c>
      <c r="AF499" s="3"/>
      <c r="AG499" s="3"/>
      <c r="AH499" s="3"/>
    </row>
    <row r="500" spans="1:34">
      <c r="A500" s="198"/>
      <c r="B500" s="198"/>
      <c r="C500" s="198" t="s">
        <v>1952</v>
      </c>
      <c r="D500" s="195">
        <v>1488</v>
      </c>
      <c r="E500" s="195">
        <v>185</v>
      </c>
      <c r="F500" s="195">
        <v>185</v>
      </c>
      <c r="G500" s="239">
        <v>493</v>
      </c>
      <c r="H500" s="197" t="s">
        <v>79</v>
      </c>
      <c r="I500" s="242" t="s">
        <v>197</v>
      </c>
      <c r="J500" s="242" t="s">
        <v>16712</v>
      </c>
      <c r="K500" s="195" t="s">
        <v>71</v>
      </c>
      <c r="L500" s="20" t="str">
        <f ca="1">IF(OFFSET(환산공식!$ED$15,$F500,0)=1,"O","X")</f>
        <v>X</v>
      </c>
      <c r="M500" s="188">
        <f ca="1">IFERROR(OFFSET(환산공식!DJ$15,$F500,0),"")</f>
        <v>150</v>
      </c>
      <c r="N500" s="20" t="str">
        <f ca="1">IFERROR(CONCATENATE(ROUND(OFFSET(환산공식!DK$15,$F500,0),1),"%"),"")</f>
        <v>100%</v>
      </c>
      <c r="O500" s="20">
        <f ca="1">IFERROR(OFFSET(환산공식!DL$15,$F500,0),"")</f>
        <v>1.5</v>
      </c>
      <c r="P500" s="188" t="str">
        <f t="shared" ca="1" si="14"/>
        <v>3% 이하</v>
      </c>
      <c r="Q500" s="194">
        <f ca="1">IFERROR(ROUND(OFFSET(환산공식!$FG$15,$F500,0),3),"")</f>
        <v>0</v>
      </c>
      <c r="R500" s="194">
        <f ca="1">OFFSET('배치점수 계산기'!H$10,$D500,0)</f>
        <v>393.86</v>
      </c>
      <c r="S500" s="194">
        <f ca="1">OFFSET('배치점수 계산기'!I$10,$D500,0)</f>
        <v>391.74799999999999</v>
      </c>
      <c r="T500" s="194">
        <f ca="1">OFFSET('배치점수 계산기'!J$10,$D500,0)</f>
        <v>387.29599999999999</v>
      </c>
      <c r="U500" s="194">
        <f ca="1">OFFSET('배치점수 계산기'!K$10,$D500,0)</f>
        <v>382.50599999999997</v>
      </c>
      <c r="V500" s="194">
        <f ca="1">OFFSET('배치점수 계산기'!L$10,$D500,0)</f>
        <v>377.01100000000002</v>
      </c>
      <c r="W500" s="186" t="str">
        <f ca="1">OFFSET('배치점수 계산기'!M$10,$D500,0)</f>
        <v>백분위</v>
      </c>
      <c r="X500" s="184" t="str">
        <f ca="1">OFFSET('배치점수 계산기'!N$10,$D500,0)</f>
        <v>백분위</v>
      </c>
      <c r="Y500" s="188">
        <f ca="1">OFFSET(환산공식!FW$15,$F500,0)</f>
        <v>0.43</v>
      </c>
      <c r="Z500" s="20">
        <f ca="1">OFFSET(환산공식!FX$15,$F500,0)</f>
        <v>0.28999999999999998</v>
      </c>
      <c r="AA500" s="179">
        <f ca="1">OFFSET(환산공식!FY$15,$F500,0)</f>
        <v>0.28999999999999998</v>
      </c>
      <c r="AB500" s="3"/>
      <c r="AD500">
        <f t="shared" ca="1" si="15"/>
        <v>6</v>
      </c>
      <c r="AF500" s="3"/>
      <c r="AG500" s="3"/>
      <c r="AH500" s="3"/>
    </row>
    <row r="501" spans="1:34">
      <c r="A501" s="198"/>
      <c r="B501" s="198"/>
      <c r="C501" s="198" t="s">
        <v>1953</v>
      </c>
      <c r="D501" s="195">
        <v>1489</v>
      </c>
      <c r="E501" s="195">
        <v>185</v>
      </c>
      <c r="F501" s="195">
        <v>185</v>
      </c>
      <c r="G501" s="239">
        <v>494</v>
      </c>
      <c r="H501" s="197" t="s">
        <v>79</v>
      </c>
      <c r="I501" s="242" t="s">
        <v>197</v>
      </c>
      <c r="J501" s="242" t="s">
        <v>8216</v>
      </c>
      <c r="K501" s="195" t="s">
        <v>71</v>
      </c>
      <c r="L501" s="20" t="str">
        <f ca="1">IF(OFFSET(환산공식!$ED$15,$F501,0)=1,"O","X")</f>
        <v>X</v>
      </c>
      <c r="M501" s="188">
        <f ca="1">IFERROR(OFFSET(환산공식!DJ$15,$F501,0),"")</f>
        <v>150</v>
      </c>
      <c r="N501" s="20" t="str">
        <f ca="1">IFERROR(CONCATENATE(ROUND(OFFSET(환산공식!DK$15,$F501,0),1),"%"),"")</f>
        <v>100%</v>
      </c>
      <c r="O501" s="20">
        <f ca="1">IFERROR(OFFSET(환산공식!DL$15,$F501,0),"")</f>
        <v>1.5</v>
      </c>
      <c r="P501" s="188" t="str">
        <f t="shared" ca="1" si="14"/>
        <v>3% 이하</v>
      </c>
      <c r="Q501" s="194">
        <f ca="1">IFERROR(ROUND(OFFSET(환산공식!$FG$15,$F501,0),3),"")</f>
        <v>0</v>
      </c>
      <c r="R501" s="194">
        <f ca="1">OFFSET('배치점수 계산기'!H$10,$D501,0)</f>
        <v>391.58300000000003</v>
      </c>
      <c r="S501" s="194">
        <f ca="1">OFFSET('배치점수 계산기'!I$10,$D501,0)</f>
        <v>389.62</v>
      </c>
      <c r="T501" s="194">
        <f ca="1">OFFSET('배치점수 계산기'!J$10,$D501,0)</f>
        <v>384.93400000000003</v>
      </c>
      <c r="U501" s="194">
        <f ca="1">OFFSET('배치점수 계산기'!K$10,$D501,0)</f>
        <v>380.673</v>
      </c>
      <c r="V501" s="194">
        <f ca="1">OFFSET('배치점수 계산기'!L$10,$D501,0)</f>
        <v>375.053</v>
      </c>
      <c r="W501" s="186" t="str">
        <f ca="1">OFFSET('배치점수 계산기'!M$10,$D501,0)</f>
        <v>백분위</v>
      </c>
      <c r="X501" s="184" t="str">
        <f ca="1">OFFSET('배치점수 계산기'!N$10,$D501,0)</f>
        <v>백분위</v>
      </c>
      <c r="Y501" s="188">
        <f ca="1">OFFSET(환산공식!FW$15,$F501,0)</f>
        <v>0.43</v>
      </c>
      <c r="Z501" s="20">
        <f ca="1">OFFSET(환산공식!FX$15,$F501,0)</f>
        <v>0.28999999999999998</v>
      </c>
      <c r="AA501" s="179">
        <f ca="1">OFFSET(환산공식!FY$15,$F501,0)</f>
        <v>0.28999999999999998</v>
      </c>
      <c r="AB501" s="3"/>
      <c r="AD501">
        <f t="shared" ca="1" si="15"/>
        <v>6</v>
      </c>
      <c r="AF501" s="3"/>
      <c r="AG501" s="3"/>
      <c r="AH501" s="3"/>
    </row>
    <row r="502" spans="1:34">
      <c r="A502" s="198"/>
      <c r="B502" s="198"/>
      <c r="C502" s="198" t="s">
        <v>1954</v>
      </c>
      <c r="D502" s="195">
        <v>1490</v>
      </c>
      <c r="E502" s="195">
        <v>292</v>
      </c>
      <c r="F502" s="195">
        <v>292</v>
      </c>
      <c r="G502" s="239">
        <v>495</v>
      </c>
      <c r="H502" s="197" t="s">
        <v>79</v>
      </c>
      <c r="I502" s="242" t="s">
        <v>497</v>
      </c>
      <c r="J502" s="242" t="s">
        <v>10125</v>
      </c>
      <c r="K502" s="195" t="s">
        <v>71</v>
      </c>
      <c r="L502" s="20" t="str">
        <f ca="1">IF(OFFSET(환산공식!$ED$15,$F502,0)=1,"O","X")</f>
        <v>X</v>
      </c>
      <c r="M502" s="188">
        <f ca="1">IFERROR(OFFSET(환산공식!DJ$15,$F502,0),"")</f>
        <v>100</v>
      </c>
      <c r="N502" s="20" t="str">
        <f ca="1">IFERROR(CONCATENATE(ROUND(OFFSET(환산공식!DK$15,$F502,0),1),"%"),"")</f>
        <v>100%</v>
      </c>
      <c r="O502" s="20">
        <f ca="1">IFERROR(OFFSET(환산공식!DL$15,$F502,0),"")</f>
        <v>1.5</v>
      </c>
      <c r="P502" s="188" t="str">
        <f t="shared" ca="1" si="14"/>
        <v>3% 이하</v>
      </c>
      <c r="Q502" s="194">
        <f ca="1">IFERROR(ROUND(OFFSET(환산공식!$FG$15,$F502,0),3),"")</f>
        <v>0</v>
      </c>
      <c r="R502" s="194">
        <f ca="1">OFFSET('배치점수 계산기'!H$10,$D502,0)</f>
        <v>265.74</v>
      </c>
      <c r="S502" s="194">
        <f ca="1">OFFSET('배치점수 계산기'!I$10,$D502,0)</f>
        <v>264.32</v>
      </c>
      <c r="T502" s="194">
        <f ca="1">OFFSET('배치점수 계산기'!J$10,$D502,0)</f>
        <v>262.04000000000002</v>
      </c>
      <c r="U502" s="194">
        <f ca="1">OFFSET('배치점수 계산기'!K$10,$D502,0)</f>
        <v>259.35000000000002</v>
      </c>
      <c r="V502" s="194">
        <f ca="1">OFFSET('배치점수 계산기'!L$10,$D502,0)</f>
        <v>255.56</v>
      </c>
      <c r="W502" s="186" t="str">
        <f ca="1">OFFSET('배치점수 계산기'!M$10,$D502,0)</f>
        <v>백분위</v>
      </c>
      <c r="X502" s="184" t="str">
        <f ca="1">OFFSET('배치점수 계산기'!N$10,$D502,0)</f>
        <v>백분위</v>
      </c>
      <c r="Y502" s="188">
        <f ca="1">OFFSET(환산공식!FW$15,$F502,0)</f>
        <v>0.33</v>
      </c>
      <c r="Z502" s="20">
        <f ca="1">OFFSET(환산공식!FX$15,$F502,0)</f>
        <v>0.33</v>
      </c>
      <c r="AA502" s="179">
        <f ca="1">OFFSET(환산공식!FY$15,$F502,0)</f>
        <v>0.33</v>
      </c>
      <c r="AB502" s="3"/>
      <c r="AD502">
        <f t="shared" ca="1" si="15"/>
        <v>6</v>
      </c>
      <c r="AF502" s="3"/>
      <c r="AG502" s="3"/>
      <c r="AH502" s="3"/>
    </row>
    <row r="503" spans="1:34">
      <c r="A503" s="198"/>
      <c r="B503" s="198"/>
      <c r="C503" s="198" t="s">
        <v>1955</v>
      </c>
      <c r="D503" s="195">
        <v>1491</v>
      </c>
      <c r="E503" s="195">
        <v>292</v>
      </c>
      <c r="F503" s="195">
        <v>292</v>
      </c>
      <c r="G503" s="239">
        <v>496</v>
      </c>
      <c r="H503" s="197" t="s">
        <v>79</v>
      </c>
      <c r="I503" s="242" t="s">
        <v>497</v>
      </c>
      <c r="J503" s="242" t="s">
        <v>10246</v>
      </c>
      <c r="K503" s="195" t="s">
        <v>71</v>
      </c>
      <c r="L503" s="20" t="str">
        <f ca="1">IF(OFFSET(환산공식!$ED$15,$F503,0)=1,"O","X")</f>
        <v>X</v>
      </c>
      <c r="M503" s="188">
        <f ca="1">IFERROR(OFFSET(환산공식!DJ$15,$F503,0),"")</f>
        <v>100</v>
      </c>
      <c r="N503" s="20" t="str">
        <f ca="1">IFERROR(CONCATENATE(ROUND(OFFSET(환산공식!DK$15,$F503,0),1),"%"),"")</f>
        <v>100%</v>
      </c>
      <c r="O503" s="20">
        <f ca="1">IFERROR(OFFSET(환산공식!DL$15,$F503,0),"")</f>
        <v>1.5</v>
      </c>
      <c r="P503" s="188" t="str">
        <f t="shared" ca="1" si="14"/>
        <v>3% 이하</v>
      </c>
      <c r="Q503" s="194">
        <f ca="1">IFERROR(ROUND(OFFSET(환산공식!$FG$15,$F503,0),3),"")</f>
        <v>0</v>
      </c>
      <c r="R503" s="194">
        <f ca="1">OFFSET('배치점수 계산기'!H$10,$D503,0)</f>
        <v>264.32</v>
      </c>
      <c r="S503" s="194">
        <f ca="1">OFFSET('배치점수 계산기'!I$10,$D503,0)</f>
        <v>262.95</v>
      </c>
      <c r="T503" s="194">
        <f ca="1">OFFSET('배치점수 계산기'!J$10,$D503,0)</f>
        <v>260.06</v>
      </c>
      <c r="U503" s="194">
        <f ca="1">OFFSET('배치점수 계산기'!K$10,$D503,0)</f>
        <v>256.52</v>
      </c>
      <c r="V503" s="194">
        <f ca="1">OFFSET('배치점수 계산기'!L$10,$D503,0)</f>
        <v>253.08</v>
      </c>
      <c r="W503" s="186" t="str">
        <f ca="1">OFFSET('배치점수 계산기'!M$10,$D503,0)</f>
        <v>백분위</v>
      </c>
      <c r="X503" s="184" t="str">
        <f ca="1">OFFSET('배치점수 계산기'!N$10,$D503,0)</f>
        <v>백분위</v>
      </c>
      <c r="Y503" s="188">
        <f ca="1">OFFSET(환산공식!FW$15,$F503,0)</f>
        <v>0.33</v>
      </c>
      <c r="Z503" s="20">
        <f ca="1">OFFSET(환산공식!FX$15,$F503,0)</f>
        <v>0.33</v>
      </c>
      <c r="AA503" s="179">
        <f ca="1">OFFSET(환산공식!FY$15,$F503,0)</f>
        <v>0.33</v>
      </c>
      <c r="AB503" s="3"/>
      <c r="AD503">
        <f t="shared" ca="1" si="15"/>
        <v>6</v>
      </c>
      <c r="AF503" s="3"/>
      <c r="AG503" s="3"/>
      <c r="AH503" s="3"/>
    </row>
    <row r="504" spans="1:34">
      <c r="A504" s="198"/>
      <c r="B504" s="198"/>
      <c r="C504" s="198" t="s">
        <v>1956</v>
      </c>
      <c r="D504" s="195">
        <v>1492</v>
      </c>
      <c r="E504" s="195">
        <v>292</v>
      </c>
      <c r="F504" s="195">
        <v>292</v>
      </c>
      <c r="G504" s="239">
        <v>497</v>
      </c>
      <c r="H504" s="197" t="s">
        <v>79</v>
      </c>
      <c r="I504" s="242" t="s">
        <v>497</v>
      </c>
      <c r="J504" s="242" t="s">
        <v>8633</v>
      </c>
      <c r="K504" s="195" t="s">
        <v>71</v>
      </c>
      <c r="L504" s="20" t="str">
        <f ca="1">IF(OFFSET(환산공식!$ED$15,$F504,0)=1,"O","X")</f>
        <v>X</v>
      </c>
      <c r="M504" s="188">
        <f ca="1">IFERROR(OFFSET(환산공식!DJ$15,$F504,0),"")</f>
        <v>100</v>
      </c>
      <c r="N504" s="20" t="str">
        <f ca="1">IFERROR(CONCATENATE(ROUND(OFFSET(환산공식!DK$15,$F504,0),1),"%"),"")</f>
        <v>100%</v>
      </c>
      <c r="O504" s="20">
        <f ca="1">IFERROR(OFFSET(환산공식!DL$15,$F504,0),"")</f>
        <v>1.5</v>
      </c>
      <c r="P504" s="188" t="str">
        <f t="shared" ca="1" si="14"/>
        <v>3% 이하</v>
      </c>
      <c r="Q504" s="194">
        <f ca="1">IFERROR(ROUND(OFFSET(환산공식!$FG$15,$F504,0),3),"")</f>
        <v>0</v>
      </c>
      <c r="R504" s="194">
        <f ca="1">OFFSET('배치점수 계산기'!H$10,$D504,0)</f>
        <v>260.62</v>
      </c>
      <c r="S504" s="194">
        <f ca="1">OFFSET('배치점수 계산기'!I$10,$D504,0)</f>
        <v>259.05</v>
      </c>
      <c r="T504" s="194">
        <f ca="1">OFFSET('배치점수 계산기'!J$10,$D504,0)</f>
        <v>257.18</v>
      </c>
      <c r="U504" s="194">
        <f ca="1">OFFSET('배치점수 계산기'!K$10,$D504,0)</f>
        <v>254.9</v>
      </c>
      <c r="V504" s="194">
        <f ca="1">OFFSET('배치점수 계산기'!L$10,$D504,0)</f>
        <v>253.08</v>
      </c>
      <c r="W504" s="186" t="str">
        <f ca="1">OFFSET('배치점수 계산기'!M$10,$D504,0)</f>
        <v>백분위</v>
      </c>
      <c r="X504" s="184" t="str">
        <f ca="1">OFFSET('배치점수 계산기'!N$10,$D504,0)</f>
        <v>백분위</v>
      </c>
      <c r="Y504" s="188">
        <f ca="1">OFFSET(환산공식!FW$15,$F504,0)</f>
        <v>0.33</v>
      </c>
      <c r="Z504" s="20">
        <f ca="1">OFFSET(환산공식!FX$15,$F504,0)</f>
        <v>0.33</v>
      </c>
      <c r="AA504" s="179">
        <f ca="1">OFFSET(환산공식!FY$15,$F504,0)</f>
        <v>0.33</v>
      </c>
      <c r="AB504" s="3"/>
      <c r="AD504">
        <f t="shared" ca="1" si="15"/>
        <v>6</v>
      </c>
      <c r="AF504" s="3"/>
      <c r="AG504" s="3"/>
      <c r="AH504" s="3"/>
    </row>
    <row r="505" spans="1:34">
      <c r="A505" s="198"/>
      <c r="B505" s="198"/>
      <c r="C505" s="198" t="s">
        <v>1957</v>
      </c>
      <c r="D505" s="195">
        <v>1493</v>
      </c>
      <c r="E505" s="195">
        <v>292</v>
      </c>
      <c r="F505" s="195">
        <v>292</v>
      </c>
      <c r="G505" s="239">
        <v>498</v>
      </c>
      <c r="H505" s="197" t="s">
        <v>79</v>
      </c>
      <c r="I505" s="242" t="s">
        <v>497</v>
      </c>
      <c r="J505" s="242" t="s">
        <v>11337</v>
      </c>
      <c r="K505" s="195" t="s">
        <v>71</v>
      </c>
      <c r="L505" s="20" t="str">
        <f ca="1">IF(OFFSET(환산공식!$ED$15,$F505,0)=1,"O","X")</f>
        <v>X</v>
      </c>
      <c r="M505" s="188">
        <f ca="1">IFERROR(OFFSET(환산공식!DJ$15,$F505,0),"")</f>
        <v>100</v>
      </c>
      <c r="N505" s="20" t="str">
        <f ca="1">IFERROR(CONCATENATE(ROUND(OFFSET(환산공식!DK$15,$F505,0),1),"%"),"")</f>
        <v>100%</v>
      </c>
      <c r="O505" s="20">
        <f ca="1">IFERROR(OFFSET(환산공식!DL$15,$F505,0),"")</f>
        <v>1.5</v>
      </c>
      <c r="P505" s="188" t="str">
        <f t="shared" ca="1" si="14"/>
        <v>3% 이하</v>
      </c>
      <c r="Q505" s="194">
        <f ca="1">IFERROR(ROUND(OFFSET(환산공식!$FG$15,$F505,0),3),"")</f>
        <v>0</v>
      </c>
      <c r="R505" s="194">
        <f ca="1">OFFSET('배치점수 계산기'!H$10,$D505,0)</f>
        <v>247.46</v>
      </c>
      <c r="S505" s="194">
        <f ca="1">OFFSET('배치점수 계산기'!I$10,$D505,0)</f>
        <v>242.96</v>
      </c>
      <c r="T505" s="194">
        <f ca="1">OFFSET('배치점수 계산기'!J$10,$D505,0)</f>
        <v>239.72</v>
      </c>
      <c r="U505" s="194">
        <f ca="1">OFFSET('배치점수 계산기'!K$10,$D505,0)</f>
        <v>233.34</v>
      </c>
      <c r="V505" s="194">
        <f ca="1">OFFSET('배치점수 계산기'!L$10,$D505,0)</f>
        <v>226.56</v>
      </c>
      <c r="W505" s="186" t="str">
        <f ca="1">OFFSET('배치점수 계산기'!M$10,$D505,0)</f>
        <v>백분위</v>
      </c>
      <c r="X505" s="184" t="str">
        <f ca="1">OFFSET('배치점수 계산기'!N$10,$D505,0)</f>
        <v>백분위</v>
      </c>
      <c r="Y505" s="188">
        <f ca="1">OFFSET(환산공식!FW$15,$F505,0)</f>
        <v>0.33</v>
      </c>
      <c r="Z505" s="20">
        <f ca="1">OFFSET(환산공식!FX$15,$F505,0)</f>
        <v>0.33</v>
      </c>
      <c r="AA505" s="179">
        <f ca="1">OFFSET(환산공식!FY$15,$F505,0)</f>
        <v>0.33</v>
      </c>
      <c r="AB505" s="3"/>
      <c r="AD505">
        <f t="shared" ca="1" si="15"/>
        <v>6</v>
      </c>
      <c r="AF505" s="3"/>
      <c r="AG505" s="3"/>
      <c r="AH505" s="3"/>
    </row>
    <row r="506" spans="1:34">
      <c r="A506" s="198"/>
      <c r="B506" s="198"/>
      <c r="C506" s="198" t="s">
        <v>1958</v>
      </c>
      <c r="D506" s="195">
        <v>1494</v>
      </c>
      <c r="E506" s="195">
        <v>292</v>
      </c>
      <c r="F506" s="195">
        <v>292</v>
      </c>
      <c r="G506" s="239">
        <v>499</v>
      </c>
      <c r="H506" s="197" t="s">
        <v>79</v>
      </c>
      <c r="I506" s="242" t="s">
        <v>497</v>
      </c>
      <c r="J506" s="242" t="s">
        <v>12421</v>
      </c>
      <c r="K506" s="195" t="s">
        <v>71</v>
      </c>
      <c r="L506" s="20" t="str">
        <f ca="1">IF(OFFSET(환산공식!$ED$15,$F506,0)=1,"O","X")</f>
        <v>X</v>
      </c>
      <c r="M506" s="188">
        <f ca="1">IFERROR(OFFSET(환산공식!DJ$15,$F506,0),"")</f>
        <v>100</v>
      </c>
      <c r="N506" s="20" t="str">
        <f ca="1">IFERROR(CONCATENATE(ROUND(OFFSET(환산공식!DK$15,$F506,0),1),"%"),"")</f>
        <v>100%</v>
      </c>
      <c r="O506" s="20">
        <f ca="1">IFERROR(OFFSET(환산공식!DL$15,$F506,0),"")</f>
        <v>1.5</v>
      </c>
      <c r="P506" s="188" t="str">
        <f t="shared" ca="1" si="14"/>
        <v>3% 이하</v>
      </c>
      <c r="Q506" s="194">
        <f ca="1">IFERROR(ROUND(OFFSET(환산공식!$FG$15,$F506,0),3),"")</f>
        <v>0</v>
      </c>
      <c r="R506" s="194">
        <f ca="1">OFFSET('배치점수 계산기'!H$10,$D506,0)</f>
        <v>233.34</v>
      </c>
      <c r="S506" s="194">
        <f ca="1">OFFSET('배치점수 계산기'!I$10,$D506,0)</f>
        <v>231.27</v>
      </c>
      <c r="T506" s="194">
        <f ca="1">OFFSET('배치점수 계산기'!J$10,$D506,0)</f>
        <v>227.62</v>
      </c>
      <c r="U506" s="194">
        <f ca="1">OFFSET('배치점수 계산기'!K$10,$D506,0)</f>
        <v>224.08</v>
      </c>
      <c r="V506" s="194">
        <f ca="1">OFFSET('배치점수 계산기'!L$10,$D506,0)</f>
        <v>220.74</v>
      </c>
      <c r="W506" s="186" t="str">
        <f ca="1">OFFSET('배치점수 계산기'!M$10,$D506,0)</f>
        <v>백분위</v>
      </c>
      <c r="X506" s="184" t="str">
        <f ca="1">OFFSET('배치점수 계산기'!N$10,$D506,0)</f>
        <v>백분위</v>
      </c>
      <c r="Y506" s="188">
        <f ca="1">OFFSET(환산공식!FW$15,$F506,0)</f>
        <v>0.33</v>
      </c>
      <c r="Z506" s="20">
        <f ca="1">OFFSET(환산공식!FX$15,$F506,0)</f>
        <v>0.33</v>
      </c>
      <c r="AA506" s="179">
        <f ca="1">OFFSET(환산공식!FY$15,$F506,0)</f>
        <v>0.33</v>
      </c>
      <c r="AB506" s="3"/>
      <c r="AD506">
        <f t="shared" ca="1" si="15"/>
        <v>6</v>
      </c>
      <c r="AF506" s="3"/>
      <c r="AG506" s="3"/>
      <c r="AH506" s="3"/>
    </row>
    <row r="507" spans="1:34">
      <c r="A507" s="198"/>
      <c r="B507" s="198"/>
      <c r="C507" s="198" t="s">
        <v>1959</v>
      </c>
      <c r="D507" s="195">
        <v>1495</v>
      </c>
      <c r="E507" s="195">
        <v>293</v>
      </c>
      <c r="F507" s="195">
        <v>293</v>
      </c>
      <c r="G507" s="239">
        <v>500</v>
      </c>
      <c r="H507" s="197" t="s">
        <v>79</v>
      </c>
      <c r="I507" s="242" t="s">
        <v>497</v>
      </c>
      <c r="J507" s="242" t="s">
        <v>16713</v>
      </c>
      <c r="K507" s="195" t="s">
        <v>71</v>
      </c>
      <c r="L507" s="20" t="str">
        <f ca="1">IF(OFFSET(환산공식!$ED$15,$F507,0)=1,"O","X")</f>
        <v>X</v>
      </c>
      <c r="M507" s="188">
        <f ca="1">IFERROR(OFFSET(환산공식!DJ$15,$F507,0),"")</f>
        <v>100</v>
      </c>
      <c r="N507" s="20" t="str">
        <f ca="1">IFERROR(CONCATENATE(ROUND(OFFSET(환산공식!DK$15,$F507,0),1),"%"),"")</f>
        <v>100%</v>
      </c>
      <c r="O507" s="20">
        <f ca="1">IFERROR(OFFSET(환산공식!DL$15,$F507,0),"")</f>
        <v>1.5</v>
      </c>
      <c r="P507" s="188" t="str">
        <f t="shared" ca="1" si="14"/>
        <v>3% 이하</v>
      </c>
      <c r="Q507" s="194">
        <f ca="1">IFERROR(ROUND(OFFSET(환산공식!$FG$15,$F507,0),3),"")</f>
        <v>0</v>
      </c>
      <c r="R507" s="194">
        <f ca="1">OFFSET('배치점수 계산기'!H$10,$D507,0)</f>
        <v>230.25</v>
      </c>
      <c r="S507" s="194">
        <f ca="1">OFFSET('배치점수 계산기'!I$10,$D507,0)</f>
        <v>227.87</v>
      </c>
      <c r="T507" s="194">
        <f ca="1">OFFSET('배치점수 계산기'!J$10,$D507,0)</f>
        <v>224.23</v>
      </c>
      <c r="U507" s="194">
        <f ca="1">OFFSET('배치점수 계산기'!K$10,$D507,0)</f>
        <v>220.79</v>
      </c>
      <c r="V507" s="194">
        <f ca="1">OFFSET('배치점수 계산기'!L$10,$D507,0)</f>
        <v>219.32</v>
      </c>
      <c r="W507" s="186" t="str">
        <f ca="1">OFFSET('배치점수 계산기'!M$10,$D507,0)</f>
        <v>백분위</v>
      </c>
      <c r="X507" s="184" t="str">
        <f ca="1">OFFSET('배치점수 계산기'!N$10,$D507,0)</f>
        <v>백분위</v>
      </c>
      <c r="Y507" s="188">
        <f ca="1">OFFSET(환산공식!FW$15,$F507,0)</f>
        <v>0.33</v>
      </c>
      <c r="Z507" s="20">
        <f ca="1">OFFSET(환산공식!FX$15,$F507,0)</f>
        <v>0.33</v>
      </c>
      <c r="AA507" s="179">
        <f ca="1">OFFSET(환산공식!FY$15,$F507,0)</f>
        <v>0.33</v>
      </c>
      <c r="AB507" s="3"/>
      <c r="AD507">
        <f t="shared" ca="1" si="15"/>
        <v>6</v>
      </c>
      <c r="AF507" s="3"/>
      <c r="AG507" s="3"/>
      <c r="AH507" s="3"/>
    </row>
    <row r="508" spans="1:34">
      <c r="A508" s="198"/>
      <c r="B508" s="198"/>
      <c r="C508" s="198" t="s">
        <v>1960</v>
      </c>
      <c r="D508" s="195">
        <v>1496</v>
      </c>
      <c r="E508" s="195">
        <v>292</v>
      </c>
      <c r="F508" s="195">
        <v>292</v>
      </c>
      <c r="G508" s="239">
        <v>501</v>
      </c>
      <c r="H508" s="197" t="s">
        <v>79</v>
      </c>
      <c r="I508" s="242" t="s">
        <v>497</v>
      </c>
      <c r="J508" s="242" t="s">
        <v>11776</v>
      </c>
      <c r="K508" s="195" t="s">
        <v>71</v>
      </c>
      <c r="L508" s="20" t="str">
        <f ca="1">IF(OFFSET(환산공식!$ED$15,$F508,0)=1,"O","X")</f>
        <v>X</v>
      </c>
      <c r="M508" s="188">
        <f ca="1">IFERROR(OFFSET(환산공식!DJ$15,$F508,0),"")</f>
        <v>100</v>
      </c>
      <c r="N508" s="20" t="str">
        <f ca="1">IFERROR(CONCATENATE(ROUND(OFFSET(환산공식!DK$15,$F508,0),1),"%"),"")</f>
        <v>100%</v>
      </c>
      <c r="O508" s="20">
        <f ca="1">IFERROR(OFFSET(환산공식!DL$15,$F508,0),"")</f>
        <v>1.5</v>
      </c>
      <c r="P508" s="188" t="str">
        <f t="shared" ca="1" si="14"/>
        <v>3% 이하</v>
      </c>
      <c r="Q508" s="194">
        <f ca="1">IFERROR(ROUND(OFFSET(환산공식!$FG$15,$F508,0),3),"")</f>
        <v>0</v>
      </c>
      <c r="R508" s="194">
        <f ca="1">OFFSET('배치점수 계산기'!H$10,$D508,0)</f>
        <v>229.9</v>
      </c>
      <c r="S508" s="194">
        <f ca="1">OFFSET('배치점수 계산기'!I$10,$D508,0)</f>
        <v>225.9</v>
      </c>
      <c r="T508" s="194">
        <f ca="1">OFFSET('배치점수 계산기'!J$10,$D508,0)</f>
        <v>223.52</v>
      </c>
      <c r="U508" s="194">
        <f ca="1">OFFSET('배치점수 계산기'!K$10,$D508,0)</f>
        <v>218.46</v>
      </c>
      <c r="V508" s="194">
        <f ca="1">OFFSET('배치점수 계산기'!L$10,$D508,0)</f>
        <v>211.64</v>
      </c>
      <c r="W508" s="186" t="str">
        <f ca="1">OFFSET('배치점수 계산기'!M$10,$D508,0)</f>
        <v>백분위</v>
      </c>
      <c r="X508" s="184" t="str">
        <f ca="1">OFFSET('배치점수 계산기'!N$10,$D508,0)</f>
        <v>백분위</v>
      </c>
      <c r="Y508" s="188">
        <f ca="1">OFFSET(환산공식!FW$15,$F508,0)</f>
        <v>0.33</v>
      </c>
      <c r="Z508" s="20">
        <f ca="1">OFFSET(환산공식!FX$15,$F508,0)</f>
        <v>0.33</v>
      </c>
      <c r="AA508" s="179">
        <f ca="1">OFFSET(환산공식!FY$15,$F508,0)</f>
        <v>0.33</v>
      </c>
      <c r="AB508" s="3"/>
      <c r="AD508">
        <f t="shared" ca="1" si="15"/>
        <v>6</v>
      </c>
      <c r="AF508" s="3"/>
      <c r="AG508" s="3"/>
      <c r="AH508" s="3"/>
    </row>
    <row r="509" spans="1:34">
      <c r="A509" s="198"/>
      <c r="B509" s="198"/>
      <c r="C509" s="198" t="s">
        <v>1961</v>
      </c>
      <c r="D509" s="195">
        <v>1497</v>
      </c>
      <c r="E509" s="195">
        <v>292</v>
      </c>
      <c r="F509" s="195">
        <v>292</v>
      </c>
      <c r="G509" s="239">
        <v>502</v>
      </c>
      <c r="H509" s="197" t="s">
        <v>79</v>
      </c>
      <c r="I509" s="242" t="s">
        <v>497</v>
      </c>
      <c r="J509" s="242" t="s">
        <v>16714</v>
      </c>
      <c r="K509" s="195" t="s">
        <v>71</v>
      </c>
      <c r="L509" s="20" t="str">
        <f ca="1">IF(OFFSET(환산공식!$ED$15,$F509,0)=1,"O","X")</f>
        <v>X</v>
      </c>
      <c r="M509" s="188">
        <f ca="1">IFERROR(OFFSET(환산공식!DJ$15,$F509,0),"")</f>
        <v>100</v>
      </c>
      <c r="N509" s="20" t="str">
        <f ca="1">IFERROR(CONCATENATE(ROUND(OFFSET(환산공식!DK$15,$F509,0),1),"%"),"")</f>
        <v>100%</v>
      </c>
      <c r="O509" s="20">
        <f ca="1">IFERROR(OFFSET(환산공식!DL$15,$F509,0),"")</f>
        <v>1.5</v>
      </c>
      <c r="P509" s="188" t="str">
        <f t="shared" ca="1" si="14"/>
        <v>3% 이하</v>
      </c>
      <c r="Q509" s="194">
        <f ca="1">IFERROR(ROUND(OFFSET(환산공식!$FG$15,$F509,0),3),"")</f>
        <v>0</v>
      </c>
      <c r="R509" s="194">
        <f ca="1">OFFSET('배치점수 계산기'!H$10,$D509,0)</f>
        <v>229.9</v>
      </c>
      <c r="S509" s="194">
        <f ca="1">OFFSET('배치점수 계산기'!I$10,$D509,0)</f>
        <v>225.9</v>
      </c>
      <c r="T509" s="194">
        <f ca="1">OFFSET('배치점수 계산기'!J$10,$D509,0)</f>
        <v>223.52</v>
      </c>
      <c r="U509" s="194">
        <f ca="1">OFFSET('배치점수 계산기'!K$10,$D509,0)</f>
        <v>218.46</v>
      </c>
      <c r="V509" s="194">
        <f ca="1">OFFSET('배치점수 계산기'!L$10,$D509,0)</f>
        <v>211.64</v>
      </c>
      <c r="W509" s="186" t="str">
        <f ca="1">OFFSET('배치점수 계산기'!M$10,$D509,0)</f>
        <v>백분위</v>
      </c>
      <c r="X509" s="184" t="str">
        <f ca="1">OFFSET('배치점수 계산기'!N$10,$D509,0)</f>
        <v>백분위</v>
      </c>
      <c r="Y509" s="188">
        <f ca="1">OFFSET(환산공식!FW$15,$F509,0)</f>
        <v>0.33</v>
      </c>
      <c r="Z509" s="20">
        <f ca="1">OFFSET(환산공식!FX$15,$F509,0)</f>
        <v>0.33</v>
      </c>
      <c r="AA509" s="179">
        <f ca="1">OFFSET(환산공식!FY$15,$F509,0)</f>
        <v>0.33</v>
      </c>
      <c r="AB509" s="3"/>
      <c r="AD509">
        <f t="shared" ca="1" si="15"/>
        <v>6</v>
      </c>
      <c r="AF509" s="3"/>
      <c r="AG509" s="3"/>
      <c r="AH509" s="3"/>
    </row>
    <row r="510" spans="1:34">
      <c r="A510" s="198"/>
      <c r="B510" s="198"/>
      <c r="C510" s="198" t="s">
        <v>1962</v>
      </c>
      <c r="D510" s="195">
        <v>1498</v>
      </c>
      <c r="E510" s="195">
        <v>292</v>
      </c>
      <c r="F510" s="195">
        <v>292</v>
      </c>
      <c r="G510" s="239">
        <v>503</v>
      </c>
      <c r="H510" s="197" t="s">
        <v>79</v>
      </c>
      <c r="I510" s="242" t="s">
        <v>497</v>
      </c>
      <c r="J510" s="242" t="s">
        <v>8757</v>
      </c>
      <c r="K510" s="195" t="s">
        <v>71</v>
      </c>
      <c r="L510" s="20" t="str">
        <f ca="1">IF(OFFSET(환산공식!$ED$15,$F510,0)=1,"O","X")</f>
        <v>X</v>
      </c>
      <c r="M510" s="188">
        <f ca="1">IFERROR(OFFSET(환산공식!DJ$15,$F510,0),"")</f>
        <v>100</v>
      </c>
      <c r="N510" s="20" t="str">
        <f ca="1">IFERROR(CONCATENATE(ROUND(OFFSET(환산공식!DK$15,$F510,0),1),"%"),"")</f>
        <v>100%</v>
      </c>
      <c r="O510" s="20">
        <f ca="1">IFERROR(OFFSET(환산공식!DL$15,$F510,0),"")</f>
        <v>1.5</v>
      </c>
      <c r="P510" s="188" t="str">
        <f t="shared" ca="1" si="14"/>
        <v>3% 이하</v>
      </c>
      <c r="Q510" s="194">
        <f ca="1">IFERROR(ROUND(OFFSET(환산공식!$FG$15,$F510,0),3),"")</f>
        <v>0</v>
      </c>
      <c r="R510" s="194">
        <f ca="1">OFFSET('배치점수 계산기'!H$10,$D510,0)</f>
        <v>229.9</v>
      </c>
      <c r="S510" s="194">
        <f ca="1">OFFSET('배치점수 계산기'!I$10,$D510,0)</f>
        <v>225.9</v>
      </c>
      <c r="T510" s="194">
        <f ca="1">OFFSET('배치점수 계산기'!J$10,$D510,0)</f>
        <v>223.52</v>
      </c>
      <c r="U510" s="194">
        <f ca="1">OFFSET('배치점수 계산기'!K$10,$D510,0)</f>
        <v>218.46</v>
      </c>
      <c r="V510" s="194">
        <f ca="1">OFFSET('배치점수 계산기'!L$10,$D510,0)</f>
        <v>211.64</v>
      </c>
      <c r="W510" s="186" t="str">
        <f ca="1">OFFSET('배치점수 계산기'!M$10,$D510,0)</f>
        <v>백분위</v>
      </c>
      <c r="X510" s="184" t="str">
        <f ca="1">OFFSET('배치점수 계산기'!N$10,$D510,0)</f>
        <v>백분위</v>
      </c>
      <c r="Y510" s="188">
        <f ca="1">OFFSET(환산공식!FW$15,$F510,0)</f>
        <v>0.33</v>
      </c>
      <c r="Z510" s="20">
        <f ca="1">OFFSET(환산공식!FX$15,$F510,0)</f>
        <v>0.33</v>
      </c>
      <c r="AA510" s="179">
        <f ca="1">OFFSET(환산공식!FY$15,$F510,0)</f>
        <v>0.33</v>
      </c>
      <c r="AB510" s="3"/>
      <c r="AD510">
        <f t="shared" ca="1" si="15"/>
        <v>6</v>
      </c>
      <c r="AF510" s="3"/>
      <c r="AG510" s="3"/>
      <c r="AH510" s="3"/>
    </row>
    <row r="511" spans="1:34">
      <c r="A511" s="198"/>
      <c r="B511" s="198"/>
      <c r="C511" s="198" t="s">
        <v>1963</v>
      </c>
      <c r="D511" s="195">
        <v>1499</v>
      </c>
      <c r="E511" s="195">
        <v>292</v>
      </c>
      <c r="F511" s="195">
        <v>292</v>
      </c>
      <c r="G511" s="239">
        <v>504</v>
      </c>
      <c r="H511" s="197" t="s">
        <v>79</v>
      </c>
      <c r="I511" s="242" t="s">
        <v>497</v>
      </c>
      <c r="J511" s="242" t="s">
        <v>10734</v>
      </c>
      <c r="K511" s="195" t="s">
        <v>71</v>
      </c>
      <c r="L511" s="20" t="str">
        <f ca="1">IF(OFFSET(환산공식!$ED$15,$F511,0)=1,"O","X")</f>
        <v>X</v>
      </c>
      <c r="M511" s="188">
        <f ca="1">IFERROR(OFFSET(환산공식!DJ$15,$F511,0),"")</f>
        <v>100</v>
      </c>
      <c r="N511" s="20" t="str">
        <f ca="1">IFERROR(CONCATENATE(ROUND(OFFSET(환산공식!DK$15,$F511,0),1),"%"),"")</f>
        <v>100%</v>
      </c>
      <c r="O511" s="20">
        <f ca="1">IFERROR(OFFSET(환산공식!DL$15,$F511,0),"")</f>
        <v>1.5</v>
      </c>
      <c r="P511" s="188" t="str">
        <f t="shared" ca="1" si="14"/>
        <v>3% 이하</v>
      </c>
      <c r="Q511" s="194">
        <f ca="1">IFERROR(ROUND(OFFSET(환산공식!$FG$15,$F511,0),3),"")</f>
        <v>0</v>
      </c>
      <c r="R511" s="194">
        <f ca="1">OFFSET('배치점수 계산기'!H$10,$D511,0)</f>
        <v>222.97</v>
      </c>
      <c r="S511" s="194">
        <f ca="1">OFFSET('배치점수 계산기'!I$10,$D511,0)</f>
        <v>219.78</v>
      </c>
      <c r="T511" s="194">
        <f ca="1">OFFSET('배치점수 계산기'!J$10,$D511,0)</f>
        <v>217.35</v>
      </c>
      <c r="U511" s="194">
        <f ca="1">OFFSET('배치점수 계산기'!K$10,$D511,0)</f>
        <v>211.64</v>
      </c>
      <c r="V511" s="194">
        <f ca="1">OFFSET('배치점수 계산기'!L$10,$D511,0)</f>
        <v>205.42</v>
      </c>
      <c r="W511" s="186" t="str">
        <f ca="1">OFFSET('배치점수 계산기'!M$10,$D511,0)</f>
        <v>백분위</v>
      </c>
      <c r="X511" s="184" t="str">
        <f ca="1">OFFSET('배치점수 계산기'!N$10,$D511,0)</f>
        <v>백분위</v>
      </c>
      <c r="Y511" s="188">
        <f ca="1">OFFSET(환산공식!FW$15,$F511,0)</f>
        <v>0.33</v>
      </c>
      <c r="Z511" s="20">
        <f ca="1">OFFSET(환산공식!FX$15,$F511,0)</f>
        <v>0.33</v>
      </c>
      <c r="AA511" s="179">
        <f ca="1">OFFSET(환산공식!FY$15,$F511,0)</f>
        <v>0.33</v>
      </c>
      <c r="AB511" s="3"/>
      <c r="AD511">
        <f t="shared" ca="1" si="15"/>
        <v>6</v>
      </c>
      <c r="AF511" s="3"/>
      <c r="AG511" s="3"/>
      <c r="AH511" s="3"/>
    </row>
    <row r="512" spans="1:34">
      <c r="A512" s="198"/>
      <c r="B512" s="198"/>
      <c r="C512" s="198" t="s">
        <v>1964</v>
      </c>
      <c r="D512" s="195">
        <v>1503</v>
      </c>
      <c r="E512" s="195">
        <v>195</v>
      </c>
      <c r="F512" s="195">
        <v>195</v>
      </c>
      <c r="G512" s="239">
        <v>505</v>
      </c>
      <c r="H512" s="197" t="s">
        <v>79</v>
      </c>
      <c r="I512" s="242" t="s">
        <v>215</v>
      </c>
      <c r="J512" s="242" t="s">
        <v>8283</v>
      </c>
      <c r="K512" s="195" t="s">
        <v>70</v>
      </c>
      <c r="L512" s="20" t="str">
        <f ca="1">IF(OFFSET(환산공식!$ED$15,$F512,0)=1,"O","X")</f>
        <v>X</v>
      </c>
      <c r="M512" s="188">
        <f ca="1">IFERROR(OFFSET(환산공식!DJ$15,$F512,0),"")</f>
        <v>125</v>
      </c>
      <c r="N512" s="20" t="str">
        <f ca="1">IFERROR(CONCATENATE(ROUND(OFFSET(환산공식!DK$15,$F512,0),1),"%"),"")</f>
        <v>100%</v>
      </c>
      <c r="O512" s="20">
        <f ca="1">IFERROR(OFFSET(환산공식!DL$15,$F512,0),"")</f>
        <v>10</v>
      </c>
      <c r="P512" s="188" t="str">
        <f t="shared" ca="1" si="14"/>
        <v>3% 이하</v>
      </c>
      <c r="Q512" s="194">
        <f ca="1">IFERROR(ROUND(OFFSET(환산공식!$FG$15,$F512,0),3),"")</f>
        <v>0</v>
      </c>
      <c r="R512" s="194">
        <f ca="1">OFFSET('배치점수 계산기'!H$10,$D512,0)</f>
        <v>683.94899999999996</v>
      </c>
      <c r="S512" s="194">
        <f ca="1">OFFSET('배치점수 계산기'!I$10,$D512,0)</f>
        <v>681.04300000000001</v>
      </c>
      <c r="T512" s="194">
        <f ca="1">OFFSET('배치점수 계산기'!J$10,$D512,0)</f>
        <v>676.39700000000005</v>
      </c>
      <c r="U512" s="194">
        <f ca="1">OFFSET('배치점수 계산기'!K$10,$D512,0)</f>
        <v>671.94100000000003</v>
      </c>
      <c r="V512" s="194">
        <f ca="1">OFFSET('배치점수 계산기'!L$10,$D512,0)</f>
        <v>666.56299999999999</v>
      </c>
      <c r="W512" s="186" t="str">
        <f ca="1">OFFSET('배치점수 계산기'!M$10,$D512,0)</f>
        <v>표점</v>
      </c>
      <c r="X512" s="184" t="str">
        <f ca="1">OFFSET('배치점수 계산기'!N$10,$D512,0)</f>
        <v>변표</v>
      </c>
      <c r="Y512" s="188">
        <f ca="1">OFFSET(환산공식!FW$15,$F512,0)</f>
        <v>0.28999999999999998</v>
      </c>
      <c r="Z512" s="20">
        <f ca="1">OFFSET(환산공식!FX$15,$F512,0)</f>
        <v>0.43</v>
      </c>
      <c r="AA512" s="179">
        <f ca="1">OFFSET(환산공식!FY$15,$F512,0)</f>
        <v>0.28999999999999998</v>
      </c>
      <c r="AB512" s="3"/>
      <c r="AD512">
        <f t="shared" ca="1" si="15"/>
        <v>6</v>
      </c>
      <c r="AF512" s="3"/>
      <c r="AG512" s="3"/>
      <c r="AH512" s="3"/>
    </row>
    <row r="513" spans="1:34">
      <c r="A513" s="198"/>
      <c r="B513" s="198"/>
      <c r="C513" s="198" t="s">
        <v>1965</v>
      </c>
      <c r="D513" s="195">
        <v>1504</v>
      </c>
      <c r="E513" s="195">
        <v>195</v>
      </c>
      <c r="F513" s="195">
        <v>195</v>
      </c>
      <c r="G513" s="239">
        <v>506</v>
      </c>
      <c r="H513" s="197" t="s">
        <v>79</v>
      </c>
      <c r="I513" s="242" t="s">
        <v>215</v>
      </c>
      <c r="J513" s="242" t="s">
        <v>10595</v>
      </c>
      <c r="K513" s="195" t="s">
        <v>70</v>
      </c>
      <c r="L513" s="20" t="str">
        <f ca="1">IF(OFFSET(환산공식!$ED$15,$F513,0)=1,"O","X")</f>
        <v>X</v>
      </c>
      <c r="M513" s="188">
        <f ca="1">IFERROR(OFFSET(환산공식!DJ$15,$F513,0),"")</f>
        <v>125</v>
      </c>
      <c r="N513" s="20" t="str">
        <f ca="1">IFERROR(CONCATENATE(ROUND(OFFSET(환산공식!DK$15,$F513,0),1),"%"),"")</f>
        <v>100%</v>
      </c>
      <c r="O513" s="20">
        <f ca="1">IFERROR(OFFSET(환산공식!DL$15,$F513,0),"")</f>
        <v>10</v>
      </c>
      <c r="P513" s="188" t="str">
        <f t="shared" ca="1" si="14"/>
        <v>3% 이하</v>
      </c>
      <c r="Q513" s="194">
        <f ca="1">IFERROR(ROUND(OFFSET(환산공식!$FG$15,$F513,0),3),"")</f>
        <v>0</v>
      </c>
      <c r="R513" s="194">
        <f ca="1">OFFSET('배치점수 계산기'!H$10,$D513,0)</f>
        <v>675.77099999999996</v>
      </c>
      <c r="S513" s="194">
        <f ca="1">OFFSET('배치점수 계산기'!I$10,$D513,0)</f>
        <v>673.654</v>
      </c>
      <c r="T513" s="194">
        <f ca="1">OFFSET('배치점수 계산기'!J$10,$D513,0)</f>
        <v>669.89700000000005</v>
      </c>
      <c r="U513" s="194">
        <f ca="1">OFFSET('배치점수 계산기'!K$10,$D513,0)</f>
        <v>667.50699999999995</v>
      </c>
      <c r="V513" s="194">
        <f ca="1">OFFSET('배치점수 계산기'!L$10,$D513,0)</f>
        <v>663.10699999999997</v>
      </c>
      <c r="W513" s="186" t="str">
        <f ca="1">OFFSET('배치점수 계산기'!M$10,$D513,0)</f>
        <v>표점</v>
      </c>
      <c r="X513" s="184" t="str">
        <f ca="1">OFFSET('배치점수 계산기'!N$10,$D513,0)</f>
        <v>변표</v>
      </c>
      <c r="Y513" s="188">
        <f ca="1">OFFSET(환산공식!FW$15,$F513,0)</f>
        <v>0.28999999999999998</v>
      </c>
      <c r="Z513" s="20">
        <f ca="1">OFFSET(환산공식!FX$15,$F513,0)</f>
        <v>0.43</v>
      </c>
      <c r="AA513" s="179">
        <f ca="1">OFFSET(환산공식!FY$15,$F513,0)</f>
        <v>0.28999999999999998</v>
      </c>
      <c r="AB513" s="3"/>
      <c r="AD513">
        <f t="shared" ca="1" si="15"/>
        <v>6</v>
      </c>
      <c r="AF513" s="3"/>
      <c r="AG513" s="3"/>
      <c r="AH513" s="3"/>
    </row>
    <row r="514" spans="1:34">
      <c r="A514" s="198"/>
      <c r="B514" s="198"/>
      <c r="C514" s="198" t="s">
        <v>1966</v>
      </c>
      <c r="D514" s="195">
        <v>1505</v>
      </c>
      <c r="E514" s="195">
        <v>195</v>
      </c>
      <c r="F514" s="195">
        <v>195</v>
      </c>
      <c r="G514" s="239">
        <v>507</v>
      </c>
      <c r="H514" s="197" t="s">
        <v>79</v>
      </c>
      <c r="I514" s="242" t="s">
        <v>215</v>
      </c>
      <c r="J514" s="242" t="s">
        <v>16718</v>
      </c>
      <c r="K514" s="195" t="s">
        <v>70</v>
      </c>
      <c r="L514" s="20" t="str">
        <f ca="1">IF(OFFSET(환산공식!$ED$15,$F514,0)=1,"O","X")</f>
        <v>X</v>
      </c>
      <c r="M514" s="188">
        <f ca="1">IFERROR(OFFSET(환산공식!DJ$15,$F514,0),"")</f>
        <v>125</v>
      </c>
      <c r="N514" s="20" t="str">
        <f ca="1">IFERROR(CONCATENATE(ROUND(OFFSET(환산공식!DK$15,$F514,0),1),"%"),"")</f>
        <v>100%</v>
      </c>
      <c r="O514" s="20">
        <f ca="1">IFERROR(OFFSET(환산공식!DL$15,$F514,0),"")</f>
        <v>10</v>
      </c>
      <c r="P514" s="188" t="str">
        <f t="shared" ca="1" si="14"/>
        <v>3% 이하</v>
      </c>
      <c r="Q514" s="194">
        <f ca="1">IFERROR(ROUND(OFFSET(환산공식!$FG$15,$F514,0),3),"")</f>
        <v>0</v>
      </c>
      <c r="R514" s="194">
        <f ca="1">OFFSET('배치점수 계산기'!H$10,$D514,0)</f>
        <v>674.23400000000004</v>
      </c>
      <c r="S514" s="194">
        <f ca="1">OFFSET('배치점수 계산기'!I$10,$D514,0)</f>
        <v>671.279</v>
      </c>
      <c r="T514" s="194">
        <f ca="1">OFFSET('배치점수 계산기'!J$10,$D514,0)</f>
        <v>667.17100000000005</v>
      </c>
      <c r="U514" s="194">
        <f ca="1">OFFSET('배치점수 계산기'!K$10,$D514,0)</f>
        <v>663.68200000000002</v>
      </c>
      <c r="V514" s="194">
        <f ca="1">OFFSET('배치점수 계산기'!L$10,$D514,0)</f>
        <v>659.55100000000004</v>
      </c>
      <c r="W514" s="186" t="str">
        <f ca="1">OFFSET('배치점수 계산기'!M$10,$D514,0)</f>
        <v>표점</v>
      </c>
      <c r="X514" s="184" t="str">
        <f ca="1">OFFSET('배치점수 계산기'!N$10,$D514,0)</f>
        <v>변표</v>
      </c>
      <c r="Y514" s="188">
        <f ca="1">OFFSET(환산공식!FW$15,$F514,0)</f>
        <v>0.28999999999999998</v>
      </c>
      <c r="Z514" s="20">
        <f ca="1">OFFSET(환산공식!FX$15,$F514,0)</f>
        <v>0.43</v>
      </c>
      <c r="AA514" s="179">
        <f ca="1">OFFSET(환산공식!FY$15,$F514,0)</f>
        <v>0.28999999999999998</v>
      </c>
      <c r="AB514" s="3"/>
      <c r="AD514">
        <f t="shared" ca="1" si="15"/>
        <v>6</v>
      </c>
      <c r="AF514" s="3"/>
      <c r="AG514" s="3"/>
      <c r="AH514" s="3"/>
    </row>
    <row r="515" spans="1:34">
      <c r="A515" s="198"/>
      <c r="B515" s="198"/>
      <c r="C515" s="198" t="s">
        <v>1967</v>
      </c>
      <c r="D515" s="195">
        <v>1506</v>
      </c>
      <c r="E515" s="195">
        <v>195</v>
      </c>
      <c r="F515" s="195">
        <v>195</v>
      </c>
      <c r="G515" s="239">
        <v>508</v>
      </c>
      <c r="H515" s="197" t="s">
        <v>79</v>
      </c>
      <c r="I515" s="242" t="s">
        <v>215</v>
      </c>
      <c r="J515" s="242" t="s">
        <v>8168</v>
      </c>
      <c r="K515" s="195" t="s">
        <v>70</v>
      </c>
      <c r="L515" s="20" t="str">
        <f ca="1">IF(OFFSET(환산공식!$ED$15,$F515,0)=1,"O","X")</f>
        <v>X</v>
      </c>
      <c r="M515" s="188">
        <f ca="1">IFERROR(OFFSET(환산공식!DJ$15,$F515,0),"")</f>
        <v>125</v>
      </c>
      <c r="N515" s="20" t="str">
        <f ca="1">IFERROR(CONCATENATE(ROUND(OFFSET(환산공식!DK$15,$F515,0),1),"%"),"")</f>
        <v>100%</v>
      </c>
      <c r="O515" s="20">
        <f ca="1">IFERROR(OFFSET(환산공식!DL$15,$F515,0),"")</f>
        <v>10</v>
      </c>
      <c r="P515" s="188" t="str">
        <f t="shared" ca="1" si="14"/>
        <v>3% 이하</v>
      </c>
      <c r="Q515" s="194">
        <f ca="1">IFERROR(ROUND(OFFSET(환산공식!$FG$15,$F515,0),3),"")</f>
        <v>0</v>
      </c>
      <c r="R515" s="194">
        <f ca="1">OFFSET('배치점수 계산기'!H$10,$D515,0)</f>
        <v>673.17200000000003</v>
      </c>
      <c r="S515" s="194">
        <f ca="1">OFFSET('배치점수 계산기'!I$10,$D515,0)</f>
        <v>669.89700000000005</v>
      </c>
      <c r="T515" s="194">
        <f ca="1">OFFSET('배치점수 계산기'!J$10,$D515,0)</f>
        <v>666.56299999999999</v>
      </c>
      <c r="U515" s="194">
        <f ca="1">OFFSET('배치점수 계산기'!K$10,$D515,0)</f>
        <v>662.79399999999998</v>
      </c>
      <c r="V515" s="194">
        <f ca="1">OFFSET('배치점수 계산기'!L$10,$D515,0)</f>
        <v>658.37599999999998</v>
      </c>
      <c r="W515" s="186" t="str">
        <f ca="1">OFFSET('배치점수 계산기'!M$10,$D515,0)</f>
        <v>표점</v>
      </c>
      <c r="X515" s="184" t="str">
        <f ca="1">OFFSET('배치점수 계산기'!N$10,$D515,0)</f>
        <v>변표</v>
      </c>
      <c r="Y515" s="188">
        <f ca="1">OFFSET(환산공식!FW$15,$F515,0)</f>
        <v>0.28999999999999998</v>
      </c>
      <c r="Z515" s="20">
        <f ca="1">OFFSET(환산공식!FX$15,$F515,0)</f>
        <v>0.43</v>
      </c>
      <c r="AA515" s="179">
        <f ca="1">OFFSET(환산공식!FY$15,$F515,0)</f>
        <v>0.28999999999999998</v>
      </c>
      <c r="AB515" s="3"/>
      <c r="AD515">
        <f t="shared" ca="1" si="15"/>
        <v>6</v>
      </c>
      <c r="AF515" s="3"/>
      <c r="AG515" s="3"/>
      <c r="AH515" s="3"/>
    </row>
    <row r="516" spans="1:34">
      <c r="A516" s="198"/>
      <c r="B516" s="198"/>
      <c r="C516" s="198" t="s">
        <v>1968</v>
      </c>
      <c r="D516" s="195">
        <v>1507</v>
      </c>
      <c r="E516" s="195">
        <v>195</v>
      </c>
      <c r="F516" s="195">
        <v>195</v>
      </c>
      <c r="G516" s="239">
        <v>509</v>
      </c>
      <c r="H516" s="197" t="s">
        <v>79</v>
      </c>
      <c r="I516" s="242" t="s">
        <v>215</v>
      </c>
      <c r="J516" s="242" t="s">
        <v>9074</v>
      </c>
      <c r="K516" s="195" t="s">
        <v>70</v>
      </c>
      <c r="L516" s="20" t="str">
        <f ca="1">IF(OFFSET(환산공식!$ED$15,$F516,0)=1,"O","X")</f>
        <v>X</v>
      </c>
      <c r="M516" s="188">
        <f ca="1">IFERROR(OFFSET(환산공식!DJ$15,$F516,0),"")</f>
        <v>125</v>
      </c>
      <c r="N516" s="20" t="str">
        <f ca="1">IFERROR(CONCATENATE(ROUND(OFFSET(환산공식!DK$15,$F516,0),1),"%"),"")</f>
        <v>100%</v>
      </c>
      <c r="O516" s="20">
        <f ca="1">IFERROR(OFFSET(환산공식!DL$15,$F516,0),"")</f>
        <v>10</v>
      </c>
      <c r="P516" s="188" t="str">
        <f t="shared" ca="1" si="14"/>
        <v>3% 이하</v>
      </c>
      <c r="Q516" s="194">
        <f ca="1">IFERROR(ROUND(OFFSET(환산공식!$FG$15,$F516,0),3),"")</f>
        <v>0</v>
      </c>
      <c r="R516" s="194">
        <f ca="1">OFFSET('배치점수 계산기'!H$10,$D516,0)</f>
        <v>668.82399999999996</v>
      </c>
      <c r="S516" s="194">
        <f ca="1">OFFSET('배치점수 계산기'!I$10,$D516,0)</f>
        <v>666.79399999999998</v>
      </c>
      <c r="T516" s="194">
        <f ca="1">OFFSET('배치점수 계산기'!J$10,$D516,0)</f>
        <v>662.91899999999998</v>
      </c>
      <c r="U516" s="194">
        <f ca="1">OFFSET('배치점수 계산기'!K$10,$D516,0)</f>
        <v>659.67600000000004</v>
      </c>
      <c r="V516" s="194">
        <f ca="1">OFFSET('배치점수 계산기'!L$10,$D516,0)</f>
        <v>654.76499999999999</v>
      </c>
      <c r="W516" s="186" t="str">
        <f ca="1">OFFSET('배치점수 계산기'!M$10,$D516,0)</f>
        <v>표점</v>
      </c>
      <c r="X516" s="184" t="str">
        <f ca="1">OFFSET('배치점수 계산기'!N$10,$D516,0)</f>
        <v>변표</v>
      </c>
      <c r="Y516" s="188">
        <f ca="1">OFFSET(환산공식!FW$15,$F516,0)</f>
        <v>0.28999999999999998</v>
      </c>
      <c r="Z516" s="20">
        <f ca="1">OFFSET(환산공식!FX$15,$F516,0)</f>
        <v>0.43</v>
      </c>
      <c r="AA516" s="179">
        <f ca="1">OFFSET(환산공식!FY$15,$F516,0)</f>
        <v>0.28999999999999998</v>
      </c>
      <c r="AB516" s="3"/>
      <c r="AD516">
        <f t="shared" ca="1" si="15"/>
        <v>6</v>
      </c>
      <c r="AF516" s="3"/>
      <c r="AG516" s="3"/>
      <c r="AH516" s="3"/>
    </row>
    <row r="517" spans="1:34">
      <c r="A517" s="198"/>
      <c r="B517" s="198"/>
      <c r="C517" s="198" t="s">
        <v>1969</v>
      </c>
      <c r="D517" s="195">
        <v>1508</v>
      </c>
      <c r="E517" s="195">
        <v>195</v>
      </c>
      <c r="F517" s="195">
        <v>195</v>
      </c>
      <c r="G517" s="239">
        <v>510</v>
      </c>
      <c r="H517" s="197" t="s">
        <v>79</v>
      </c>
      <c r="I517" s="242" t="s">
        <v>215</v>
      </c>
      <c r="J517" s="242" t="s">
        <v>11386</v>
      </c>
      <c r="K517" s="195" t="s">
        <v>70</v>
      </c>
      <c r="L517" s="20" t="str">
        <f ca="1">IF(OFFSET(환산공식!$ED$15,$F517,0)=1,"O","X")</f>
        <v>X</v>
      </c>
      <c r="M517" s="188">
        <f ca="1">IFERROR(OFFSET(환산공식!DJ$15,$F517,0),"")</f>
        <v>125</v>
      </c>
      <c r="N517" s="20" t="str">
        <f ca="1">IFERROR(CONCATENATE(ROUND(OFFSET(환산공식!DK$15,$F517,0),1),"%"),"")</f>
        <v>100%</v>
      </c>
      <c r="O517" s="20">
        <f ca="1">IFERROR(OFFSET(환산공식!DL$15,$F517,0),"")</f>
        <v>10</v>
      </c>
      <c r="P517" s="188" t="str">
        <f t="shared" ca="1" si="14"/>
        <v>3% 이하</v>
      </c>
      <c r="Q517" s="194">
        <f ca="1">IFERROR(ROUND(OFFSET(환산공식!$FG$15,$F517,0),3),"")</f>
        <v>0</v>
      </c>
      <c r="R517" s="194">
        <f ca="1">OFFSET('배치점수 계산기'!H$10,$D517,0)</f>
        <v>662.91899999999998</v>
      </c>
      <c r="S517" s="194">
        <f ca="1">OFFSET('배치점수 계산기'!I$10,$D517,0)</f>
        <v>661.67399999999998</v>
      </c>
      <c r="T517" s="194">
        <f ca="1">OFFSET('배치점수 계산기'!J$10,$D517,0)</f>
        <v>659.67600000000004</v>
      </c>
      <c r="U517" s="194">
        <f ca="1">OFFSET('배치점수 계산기'!K$10,$D517,0)</f>
        <v>657.63599999999997</v>
      </c>
      <c r="V517" s="194">
        <f ca="1">OFFSET('배치점수 계산기'!L$10,$D517,0)</f>
        <v>654.12900000000002</v>
      </c>
      <c r="W517" s="186" t="str">
        <f ca="1">OFFSET('배치점수 계산기'!M$10,$D517,0)</f>
        <v>표점</v>
      </c>
      <c r="X517" s="184" t="str">
        <f ca="1">OFFSET('배치점수 계산기'!N$10,$D517,0)</f>
        <v>변표</v>
      </c>
      <c r="Y517" s="188">
        <f ca="1">OFFSET(환산공식!FW$15,$F517,0)</f>
        <v>0.28999999999999998</v>
      </c>
      <c r="Z517" s="20">
        <f ca="1">OFFSET(환산공식!FX$15,$F517,0)</f>
        <v>0.43</v>
      </c>
      <c r="AA517" s="179">
        <f ca="1">OFFSET(환산공식!FY$15,$F517,0)</f>
        <v>0.28999999999999998</v>
      </c>
      <c r="AB517" s="3"/>
      <c r="AD517">
        <f t="shared" ca="1" si="15"/>
        <v>6</v>
      </c>
      <c r="AF517" s="3"/>
      <c r="AG517" s="3"/>
      <c r="AH517" s="3"/>
    </row>
    <row r="518" spans="1:34">
      <c r="A518" s="198"/>
      <c r="B518" s="198"/>
      <c r="C518" s="198" t="s">
        <v>1970</v>
      </c>
      <c r="D518" s="195">
        <v>1509</v>
      </c>
      <c r="E518" s="195">
        <v>195</v>
      </c>
      <c r="F518" s="195">
        <v>195</v>
      </c>
      <c r="G518" s="239">
        <v>511</v>
      </c>
      <c r="H518" s="197" t="s">
        <v>79</v>
      </c>
      <c r="I518" s="242" t="s">
        <v>215</v>
      </c>
      <c r="J518" s="242" t="s">
        <v>11457</v>
      </c>
      <c r="K518" s="195" t="s">
        <v>70</v>
      </c>
      <c r="L518" s="20" t="str">
        <f ca="1">IF(OFFSET(환산공식!$ED$15,$F518,0)=1,"O","X")</f>
        <v>X</v>
      </c>
      <c r="M518" s="188">
        <f ca="1">IFERROR(OFFSET(환산공식!DJ$15,$F518,0),"")</f>
        <v>125</v>
      </c>
      <c r="N518" s="20" t="str">
        <f ca="1">IFERROR(CONCATENATE(ROUND(OFFSET(환산공식!DK$15,$F518,0),1),"%"),"")</f>
        <v>100%</v>
      </c>
      <c r="O518" s="20">
        <f ca="1">IFERROR(OFFSET(환산공식!DL$15,$F518,0),"")</f>
        <v>10</v>
      </c>
      <c r="P518" s="188" t="str">
        <f t="shared" ca="1" si="14"/>
        <v>3% 이하</v>
      </c>
      <c r="Q518" s="194">
        <f ca="1">IFERROR(ROUND(OFFSET(환산공식!$FG$15,$F518,0),3),"")</f>
        <v>0</v>
      </c>
      <c r="R518" s="194">
        <f ca="1">OFFSET('배치점수 계산기'!H$10,$D518,0)</f>
        <v>663.02499999999998</v>
      </c>
      <c r="S518" s="194">
        <f ca="1">OFFSET('배치점수 계산기'!I$10,$D518,0)</f>
        <v>661.44399999999996</v>
      </c>
      <c r="T518" s="194">
        <f ca="1">OFFSET('배치점수 계산기'!J$10,$D518,0)</f>
        <v>658.56399999999996</v>
      </c>
      <c r="U518" s="194">
        <f ca="1">OFFSET('배치점수 계산기'!K$10,$D518,0)</f>
        <v>655.34900000000005</v>
      </c>
      <c r="V518" s="194">
        <f ca="1">OFFSET('배치점수 계산기'!L$10,$D518,0)</f>
        <v>650.57799999999997</v>
      </c>
      <c r="W518" s="186" t="str">
        <f ca="1">OFFSET('배치점수 계산기'!M$10,$D518,0)</f>
        <v>표점</v>
      </c>
      <c r="X518" s="184" t="str">
        <f ca="1">OFFSET('배치점수 계산기'!N$10,$D518,0)</f>
        <v>변표</v>
      </c>
      <c r="Y518" s="188">
        <f ca="1">OFFSET(환산공식!FW$15,$F518,0)</f>
        <v>0.28999999999999998</v>
      </c>
      <c r="Z518" s="20">
        <f ca="1">OFFSET(환산공식!FX$15,$F518,0)</f>
        <v>0.43</v>
      </c>
      <c r="AA518" s="179">
        <f ca="1">OFFSET(환산공식!FY$15,$F518,0)</f>
        <v>0.28999999999999998</v>
      </c>
      <c r="AB518" s="3"/>
      <c r="AD518">
        <f t="shared" ca="1" si="15"/>
        <v>6</v>
      </c>
      <c r="AF518" s="3"/>
      <c r="AG518" s="3"/>
      <c r="AH518" s="3"/>
    </row>
    <row r="519" spans="1:34">
      <c r="A519" s="198"/>
      <c r="B519" s="198"/>
      <c r="C519" s="198" t="s">
        <v>1971</v>
      </c>
      <c r="D519" s="195">
        <v>1510</v>
      </c>
      <c r="E519" s="195">
        <v>195</v>
      </c>
      <c r="F519" s="195">
        <v>195</v>
      </c>
      <c r="G519" s="239">
        <v>512</v>
      </c>
      <c r="H519" s="197" t="s">
        <v>79</v>
      </c>
      <c r="I519" s="242" t="s">
        <v>215</v>
      </c>
      <c r="J519" s="242" t="s">
        <v>555</v>
      </c>
      <c r="K519" s="195" t="s">
        <v>70</v>
      </c>
      <c r="L519" s="20" t="str">
        <f ca="1">IF(OFFSET(환산공식!$ED$15,$F519,0)=1,"O","X")</f>
        <v>X</v>
      </c>
      <c r="M519" s="188">
        <f ca="1">IFERROR(OFFSET(환산공식!DJ$15,$F519,0),"")</f>
        <v>125</v>
      </c>
      <c r="N519" s="20" t="str">
        <f ca="1">IFERROR(CONCATENATE(ROUND(OFFSET(환산공식!DK$15,$F519,0),1),"%"),"")</f>
        <v>100%</v>
      </c>
      <c r="O519" s="20">
        <f ca="1">IFERROR(OFFSET(환산공식!DL$15,$F519,0),"")</f>
        <v>10</v>
      </c>
      <c r="P519" s="188" t="str">
        <f t="shared" ca="1" si="14"/>
        <v>3% 이하</v>
      </c>
      <c r="Q519" s="194">
        <f ca="1">IFERROR(ROUND(OFFSET(환산공식!$FG$15,$F519,0),3),"")</f>
        <v>0</v>
      </c>
      <c r="R519" s="194">
        <f ca="1">OFFSET('배치점수 계산기'!H$10,$D519,0)</f>
        <v>663.78700000000003</v>
      </c>
      <c r="S519" s="194">
        <f ca="1">OFFSET('배치점수 계산기'!I$10,$D519,0)</f>
        <v>661.67399999999998</v>
      </c>
      <c r="T519" s="194">
        <f ca="1">OFFSET('배치점수 계산기'!J$10,$D519,0)</f>
        <v>658.56399999999996</v>
      </c>
      <c r="U519" s="194">
        <f ca="1">OFFSET('배치점수 계산기'!K$10,$D519,0)</f>
        <v>654.97699999999998</v>
      </c>
      <c r="V519" s="194">
        <f ca="1">OFFSET('배치점수 계산기'!L$10,$D519,0)</f>
        <v>649.45600000000002</v>
      </c>
      <c r="W519" s="186" t="str">
        <f ca="1">OFFSET('배치점수 계산기'!M$10,$D519,0)</f>
        <v>표점</v>
      </c>
      <c r="X519" s="184" t="str">
        <f ca="1">OFFSET('배치점수 계산기'!N$10,$D519,0)</f>
        <v>변표</v>
      </c>
      <c r="Y519" s="188">
        <f ca="1">OFFSET(환산공식!FW$15,$F519,0)</f>
        <v>0.28999999999999998</v>
      </c>
      <c r="Z519" s="20">
        <f ca="1">OFFSET(환산공식!FX$15,$F519,0)</f>
        <v>0.43</v>
      </c>
      <c r="AA519" s="179">
        <f ca="1">OFFSET(환산공식!FY$15,$F519,0)</f>
        <v>0.28999999999999998</v>
      </c>
      <c r="AB519" s="3"/>
      <c r="AD519">
        <f t="shared" ca="1" si="15"/>
        <v>6</v>
      </c>
      <c r="AF519" s="3"/>
      <c r="AG519" s="3"/>
      <c r="AH519" s="3"/>
    </row>
    <row r="520" spans="1:34">
      <c r="A520" s="198"/>
      <c r="B520" s="198"/>
      <c r="C520" s="198" t="s">
        <v>1972</v>
      </c>
      <c r="D520" s="195">
        <v>1511</v>
      </c>
      <c r="E520" s="195">
        <v>195</v>
      </c>
      <c r="F520" s="195">
        <v>195</v>
      </c>
      <c r="G520" s="239">
        <v>513</v>
      </c>
      <c r="H520" s="197" t="s">
        <v>79</v>
      </c>
      <c r="I520" s="242" t="s">
        <v>215</v>
      </c>
      <c r="J520" s="242" t="s">
        <v>8305</v>
      </c>
      <c r="K520" s="195" t="s">
        <v>70</v>
      </c>
      <c r="L520" s="20" t="str">
        <f ca="1">IF(OFFSET(환산공식!$ED$15,$F520,0)=1,"O","X")</f>
        <v>X</v>
      </c>
      <c r="M520" s="188">
        <f ca="1">IFERROR(OFFSET(환산공식!DJ$15,$F520,0),"")</f>
        <v>125</v>
      </c>
      <c r="N520" s="20" t="str">
        <f ca="1">IFERROR(CONCATENATE(ROUND(OFFSET(환산공식!DK$15,$F520,0),1),"%"),"")</f>
        <v>100%</v>
      </c>
      <c r="O520" s="20">
        <f ca="1">IFERROR(OFFSET(환산공식!DL$15,$F520,0),"")</f>
        <v>10</v>
      </c>
      <c r="P520" s="188" t="str">
        <f t="shared" ca="1" si="14"/>
        <v>3% 이하</v>
      </c>
      <c r="Q520" s="194">
        <f ca="1">IFERROR(ROUND(OFFSET(환산공식!$FG$15,$F520,0),3),"")</f>
        <v>0</v>
      </c>
      <c r="R520" s="194">
        <f ca="1">OFFSET('배치점수 계산기'!H$10,$D520,0)</f>
        <v>663.02499999999998</v>
      </c>
      <c r="S520" s="194">
        <f ca="1">OFFSET('배치점수 계산기'!I$10,$D520,0)</f>
        <v>661.44399999999996</v>
      </c>
      <c r="T520" s="194">
        <f ca="1">OFFSET('배치점수 계산기'!J$10,$D520,0)</f>
        <v>658.56399999999996</v>
      </c>
      <c r="U520" s="194">
        <f ca="1">OFFSET('배치점수 계산기'!K$10,$D520,0)</f>
        <v>652.28099999999995</v>
      </c>
      <c r="V520" s="194">
        <f ca="1">OFFSET('배치점수 계산기'!L$10,$D520,0)</f>
        <v>645.73</v>
      </c>
      <c r="W520" s="186" t="str">
        <f ca="1">OFFSET('배치점수 계산기'!M$10,$D520,0)</f>
        <v>표점</v>
      </c>
      <c r="X520" s="184" t="str">
        <f ca="1">OFFSET('배치점수 계산기'!N$10,$D520,0)</f>
        <v>변표</v>
      </c>
      <c r="Y520" s="188">
        <f ca="1">OFFSET(환산공식!FW$15,$F520,0)</f>
        <v>0.28999999999999998</v>
      </c>
      <c r="Z520" s="20">
        <f ca="1">OFFSET(환산공식!FX$15,$F520,0)</f>
        <v>0.43</v>
      </c>
      <c r="AA520" s="179">
        <f ca="1">OFFSET(환산공식!FY$15,$F520,0)</f>
        <v>0.28999999999999998</v>
      </c>
      <c r="AB520" s="3"/>
      <c r="AD520">
        <f t="shared" ca="1" si="15"/>
        <v>6</v>
      </c>
      <c r="AF520" s="3"/>
      <c r="AG520" s="3"/>
      <c r="AH520" s="3"/>
    </row>
    <row r="521" spans="1:34">
      <c r="A521" s="198"/>
      <c r="B521" s="198"/>
      <c r="C521" s="198" t="s">
        <v>1973</v>
      </c>
      <c r="D521" s="195">
        <v>1512</v>
      </c>
      <c r="E521" s="195">
        <v>195</v>
      </c>
      <c r="F521" s="195">
        <v>195</v>
      </c>
      <c r="G521" s="239">
        <v>514</v>
      </c>
      <c r="H521" s="197" t="s">
        <v>79</v>
      </c>
      <c r="I521" s="242" t="s">
        <v>215</v>
      </c>
      <c r="J521" s="242" t="s">
        <v>11546</v>
      </c>
      <c r="K521" s="195" t="s">
        <v>70</v>
      </c>
      <c r="L521" s="20" t="str">
        <f ca="1">IF(OFFSET(환산공식!$ED$15,$F521,0)=1,"O","X")</f>
        <v>X</v>
      </c>
      <c r="M521" s="188">
        <f ca="1">IFERROR(OFFSET(환산공식!DJ$15,$F521,0),"")</f>
        <v>125</v>
      </c>
      <c r="N521" s="20" t="str">
        <f ca="1">IFERROR(CONCATENATE(ROUND(OFFSET(환산공식!DK$15,$F521,0),1),"%"),"")</f>
        <v>100%</v>
      </c>
      <c r="O521" s="20">
        <f ca="1">IFERROR(OFFSET(환산공식!DL$15,$F521,0),"")</f>
        <v>10</v>
      </c>
      <c r="P521" s="188" t="str">
        <f t="shared" ref="P521:P584" ca="1" si="16"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>3% 이하</v>
      </c>
      <c r="Q521" s="194">
        <f ca="1">IFERROR(ROUND(OFFSET(환산공식!$FG$15,$F521,0),3),"")</f>
        <v>0</v>
      </c>
      <c r="R521" s="194">
        <f ca="1">OFFSET('배치점수 계산기'!H$10,$D521,0)</f>
        <v>661.33799999999997</v>
      </c>
      <c r="S521" s="194">
        <f ca="1">OFFSET('배치점수 계산기'!I$10,$D521,0)</f>
        <v>660.2</v>
      </c>
      <c r="T521" s="194">
        <f ca="1">OFFSET('배치점수 계산기'!J$10,$D521,0)</f>
        <v>658.25099999999998</v>
      </c>
      <c r="U521" s="194">
        <f ca="1">OFFSET('배치점수 계산기'!K$10,$D521,0)</f>
        <v>656.32799999999997</v>
      </c>
      <c r="V521" s="194">
        <f ca="1">OFFSET('배치점수 계산기'!L$10,$D521,0)</f>
        <v>653.46299999999997</v>
      </c>
      <c r="W521" s="186" t="str">
        <f ca="1">OFFSET('배치점수 계산기'!M$10,$D521,0)</f>
        <v>표점</v>
      </c>
      <c r="X521" s="184" t="str">
        <f ca="1">OFFSET('배치점수 계산기'!N$10,$D521,0)</f>
        <v>변표</v>
      </c>
      <c r="Y521" s="188">
        <f ca="1">OFFSET(환산공식!FW$15,$F521,0)</f>
        <v>0.28999999999999998</v>
      </c>
      <c r="Z521" s="20">
        <f ca="1">OFFSET(환산공식!FX$15,$F521,0)</f>
        <v>0.43</v>
      </c>
      <c r="AA521" s="179">
        <f ca="1">OFFSET(환산공식!FY$15,$F521,0)</f>
        <v>0.28999999999999998</v>
      </c>
      <c r="AB521" s="3"/>
      <c r="AD521">
        <f t="shared" ref="AD521:AD584" ca="1" si="17">IF(L521="X",6,IF(Q521&gt;R521,1,IF(Q521&gt;S521,2,IF(Q521&gt;T521,3,IF(Q521&gt;U521,4,IF(Q521&gt;=V521,5,IF(Q521&lt;V521,6,"")))))))</f>
        <v>6</v>
      </c>
      <c r="AF521" s="3"/>
      <c r="AG521" s="3"/>
      <c r="AH521" s="3"/>
    </row>
    <row r="522" spans="1:34">
      <c r="A522" s="198"/>
      <c r="B522" s="198"/>
      <c r="C522" s="198" t="s">
        <v>1974</v>
      </c>
      <c r="D522" s="195">
        <v>1513</v>
      </c>
      <c r="E522" s="195">
        <v>195</v>
      </c>
      <c r="F522" s="195">
        <v>195</v>
      </c>
      <c r="G522" s="239">
        <v>515</v>
      </c>
      <c r="H522" s="197" t="s">
        <v>79</v>
      </c>
      <c r="I522" s="242" t="s">
        <v>215</v>
      </c>
      <c r="J522" s="242" t="s">
        <v>9252</v>
      </c>
      <c r="K522" s="195" t="s">
        <v>70</v>
      </c>
      <c r="L522" s="20" t="str">
        <f ca="1">IF(OFFSET(환산공식!$ED$15,$F522,0)=1,"O","X")</f>
        <v>X</v>
      </c>
      <c r="M522" s="188">
        <f ca="1">IFERROR(OFFSET(환산공식!DJ$15,$F522,0),"")</f>
        <v>125</v>
      </c>
      <c r="N522" s="20" t="str">
        <f ca="1">IFERROR(CONCATENATE(ROUND(OFFSET(환산공식!DK$15,$F522,0),1),"%"),"")</f>
        <v>100%</v>
      </c>
      <c r="O522" s="20">
        <f ca="1">IFERROR(OFFSET(환산공식!DL$15,$F522,0),"")</f>
        <v>10</v>
      </c>
      <c r="P522" s="188" t="str">
        <f t="shared" ca="1" si="16"/>
        <v>3% 이하</v>
      </c>
      <c r="Q522" s="194">
        <f ca="1">IFERROR(ROUND(OFFSET(환산공식!$FG$15,$F522,0),3),"")</f>
        <v>0</v>
      </c>
      <c r="R522" s="194">
        <f ca="1">OFFSET('배치점수 계산기'!H$10,$D522,0)</f>
        <v>663.322</v>
      </c>
      <c r="S522" s="194">
        <f ca="1">OFFSET('배치점수 계산기'!I$10,$D522,0)</f>
        <v>661.44399999999996</v>
      </c>
      <c r="T522" s="194">
        <f ca="1">OFFSET('배치점수 계산기'!J$10,$D522,0)</f>
        <v>658.25099999999998</v>
      </c>
      <c r="U522" s="194">
        <f ca="1">OFFSET('배치점수 계산기'!K$10,$D522,0)</f>
        <v>654.43399999999997</v>
      </c>
      <c r="V522" s="194">
        <f ca="1">OFFSET('배치점수 계산기'!L$10,$D522,0)</f>
        <v>649.09900000000005</v>
      </c>
      <c r="W522" s="186" t="str">
        <f ca="1">OFFSET('배치점수 계산기'!M$10,$D522,0)</f>
        <v>표점</v>
      </c>
      <c r="X522" s="184" t="str">
        <f ca="1">OFFSET('배치점수 계산기'!N$10,$D522,0)</f>
        <v>변표</v>
      </c>
      <c r="Y522" s="188">
        <f ca="1">OFFSET(환산공식!FW$15,$F522,0)</f>
        <v>0.28999999999999998</v>
      </c>
      <c r="Z522" s="20">
        <f ca="1">OFFSET(환산공식!FX$15,$F522,0)</f>
        <v>0.43</v>
      </c>
      <c r="AA522" s="179">
        <f ca="1">OFFSET(환산공식!FY$15,$F522,0)</f>
        <v>0.28999999999999998</v>
      </c>
      <c r="AB522" s="3"/>
      <c r="AD522">
        <f t="shared" ca="1" si="17"/>
        <v>6</v>
      </c>
      <c r="AF522" s="3"/>
      <c r="AG522" s="3"/>
      <c r="AH522" s="3"/>
    </row>
    <row r="523" spans="1:34">
      <c r="A523" s="198"/>
      <c r="B523" s="198"/>
      <c r="C523" s="198" t="s">
        <v>1975</v>
      </c>
      <c r="D523" s="195">
        <v>1514</v>
      </c>
      <c r="E523" s="195">
        <v>195</v>
      </c>
      <c r="F523" s="195">
        <v>195</v>
      </c>
      <c r="G523" s="239">
        <v>516</v>
      </c>
      <c r="H523" s="197" t="s">
        <v>79</v>
      </c>
      <c r="I523" s="242" t="s">
        <v>215</v>
      </c>
      <c r="J523" s="242" t="s">
        <v>550</v>
      </c>
      <c r="K523" s="195" t="s">
        <v>70</v>
      </c>
      <c r="L523" s="20" t="str">
        <f ca="1">IF(OFFSET(환산공식!$ED$15,$F523,0)=1,"O","X")</f>
        <v>X</v>
      </c>
      <c r="M523" s="188">
        <f ca="1">IFERROR(OFFSET(환산공식!DJ$15,$F523,0),"")</f>
        <v>125</v>
      </c>
      <c r="N523" s="20" t="str">
        <f ca="1">IFERROR(CONCATENATE(ROUND(OFFSET(환산공식!DK$15,$F523,0),1),"%"),"")</f>
        <v>100%</v>
      </c>
      <c r="O523" s="20">
        <f ca="1">IFERROR(OFFSET(환산공식!DL$15,$F523,0),"")</f>
        <v>10</v>
      </c>
      <c r="P523" s="188" t="str">
        <f t="shared" ca="1" si="16"/>
        <v>3% 이하</v>
      </c>
      <c r="Q523" s="194">
        <f ca="1">IFERROR(ROUND(OFFSET(환산공식!$FG$15,$F523,0),3),"")</f>
        <v>0</v>
      </c>
      <c r="R523" s="194">
        <f ca="1">OFFSET('배치점수 계산기'!H$10,$D523,0)</f>
        <v>662.15</v>
      </c>
      <c r="S523" s="194">
        <f ca="1">OFFSET('배치점수 계산기'!I$10,$D523,0)</f>
        <v>659.96900000000005</v>
      </c>
      <c r="T523" s="194">
        <f ca="1">OFFSET('배치점수 계산기'!J$10,$D523,0)</f>
        <v>656.12099999999998</v>
      </c>
      <c r="U523" s="194">
        <f ca="1">OFFSET('배치점수 계산기'!K$10,$D523,0)</f>
        <v>651.79999999999995</v>
      </c>
      <c r="V523" s="194">
        <f ca="1">OFFSET('배치점수 계산기'!L$10,$D523,0)</f>
        <v>645.73</v>
      </c>
      <c r="W523" s="186" t="str">
        <f ca="1">OFFSET('배치점수 계산기'!M$10,$D523,0)</f>
        <v>표점</v>
      </c>
      <c r="X523" s="184" t="str">
        <f ca="1">OFFSET('배치점수 계산기'!N$10,$D523,0)</f>
        <v>변표</v>
      </c>
      <c r="Y523" s="188">
        <f ca="1">OFFSET(환산공식!FW$15,$F523,0)</f>
        <v>0.28999999999999998</v>
      </c>
      <c r="Z523" s="20">
        <f ca="1">OFFSET(환산공식!FX$15,$F523,0)</f>
        <v>0.43</v>
      </c>
      <c r="AA523" s="179">
        <f ca="1">OFFSET(환산공식!FY$15,$F523,0)</f>
        <v>0.28999999999999998</v>
      </c>
      <c r="AB523" s="3"/>
      <c r="AD523">
        <f t="shared" ca="1" si="17"/>
        <v>6</v>
      </c>
      <c r="AF523" s="3"/>
      <c r="AG523" s="3"/>
      <c r="AH523" s="3"/>
    </row>
    <row r="524" spans="1:34">
      <c r="A524" s="198"/>
      <c r="B524" s="198"/>
      <c r="C524" s="198" t="s">
        <v>1976</v>
      </c>
      <c r="D524" s="195">
        <v>1515</v>
      </c>
      <c r="E524" s="195">
        <v>195</v>
      </c>
      <c r="F524" s="195">
        <v>195</v>
      </c>
      <c r="G524" s="239">
        <v>517</v>
      </c>
      <c r="H524" s="197" t="s">
        <v>79</v>
      </c>
      <c r="I524" s="242" t="s">
        <v>215</v>
      </c>
      <c r="J524" s="242" t="s">
        <v>11757</v>
      </c>
      <c r="K524" s="195" t="s">
        <v>70</v>
      </c>
      <c r="L524" s="20" t="str">
        <f ca="1">IF(OFFSET(환산공식!$ED$15,$F524,0)=1,"O","X")</f>
        <v>X</v>
      </c>
      <c r="M524" s="188">
        <f ca="1">IFERROR(OFFSET(환산공식!DJ$15,$F524,0),"")</f>
        <v>125</v>
      </c>
      <c r="N524" s="20" t="str">
        <f ca="1">IFERROR(CONCATENATE(ROUND(OFFSET(환산공식!DK$15,$F524,0),1),"%"),"")</f>
        <v>100%</v>
      </c>
      <c r="O524" s="20">
        <f ca="1">IFERROR(OFFSET(환산공식!DL$15,$F524,0),"")</f>
        <v>10</v>
      </c>
      <c r="P524" s="188" t="str">
        <f t="shared" ca="1" si="16"/>
        <v>3% 이하</v>
      </c>
      <c r="Q524" s="194">
        <f ca="1">IFERROR(ROUND(OFFSET(환산공식!$FG$15,$F524,0),3),"")</f>
        <v>0</v>
      </c>
      <c r="R524" s="194">
        <f ca="1">OFFSET('배치점수 계산기'!H$10,$D524,0)</f>
        <v>657.28</v>
      </c>
      <c r="S524" s="194">
        <f ca="1">OFFSET('배치점수 계산기'!I$10,$D524,0)</f>
        <v>656.12099999999998</v>
      </c>
      <c r="T524" s="194">
        <f ca="1">OFFSET('배치점수 계산기'!J$10,$D524,0)</f>
        <v>654.12900000000002</v>
      </c>
      <c r="U524" s="194">
        <f ca="1">OFFSET('배치점수 계산기'!K$10,$D524,0)</f>
        <v>652.447</v>
      </c>
      <c r="V524" s="194">
        <f ca="1">OFFSET('배치점수 계산기'!L$10,$D524,0)</f>
        <v>649.91200000000003</v>
      </c>
      <c r="W524" s="186" t="str">
        <f ca="1">OFFSET('배치점수 계산기'!M$10,$D524,0)</f>
        <v>표점</v>
      </c>
      <c r="X524" s="184" t="str">
        <f ca="1">OFFSET('배치점수 계산기'!N$10,$D524,0)</f>
        <v>변표</v>
      </c>
      <c r="Y524" s="188">
        <f ca="1">OFFSET(환산공식!FW$15,$F524,0)</f>
        <v>0.28999999999999998</v>
      </c>
      <c r="Z524" s="20">
        <f ca="1">OFFSET(환산공식!FX$15,$F524,0)</f>
        <v>0.43</v>
      </c>
      <c r="AA524" s="179">
        <f ca="1">OFFSET(환산공식!FY$15,$F524,0)</f>
        <v>0.28999999999999998</v>
      </c>
      <c r="AB524" s="3"/>
      <c r="AD524">
        <f t="shared" ca="1" si="17"/>
        <v>6</v>
      </c>
      <c r="AF524" s="3"/>
      <c r="AG524" s="3"/>
      <c r="AH524" s="3"/>
    </row>
    <row r="525" spans="1:34">
      <c r="A525" s="198"/>
      <c r="B525" s="198"/>
      <c r="C525" s="198" t="s">
        <v>1977</v>
      </c>
      <c r="D525" s="195">
        <v>1516</v>
      </c>
      <c r="E525" s="195">
        <v>195</v>
      </c>
      <c r="F525" s="195">
        <v>195</v>
      </c>
      <c r="G525" s="239">
        <v>518</v>
      </c>
      <c r="H525" s="197" t="s">
        <v>79</v>
      </c>
      <c r="I525" s="242" t="s">
        <v>215</v>
      </c>
      <c r="J525" s="242" t="s">
        <v>11693</v>
      </c>
      <c r="K525" s="195" t="s">
        <v>70</v>
      </c>
      <c r="L525" s="20" t="str">
        <f ca="1">IF(OFFSET(환산공식!$ED$15,$F525,0)=1,"O","X")</f>
        <v>X</v>
      </c>
      <c r="M525" s="188">
        <f ca="1">IFERROR(OFFSET(환산공식!DJ$15,$F525,0),"")</f>
        <v>125</v>
      </c>
      <c r="N525" s="20" t="str">
        <f ca="1">IFERROR(CONCATENATE(ROUND(OFFSET(환산공식!DK$15,$F525,0),1),"%"),"")</f>
        <v>100%</v>
      </c>
      <c r="O525" s="20">
        <f ca="1">IFERROR(OFFSET(환산공식!DL$15,$F525,0),"")</f>
        <v>10</v>
      </c>
      <c r="P525" s="188" t="str">
        <f t="shared" ca="1" si="16"/>
        <v>3% 이하</v>
      </c>
      <c r="Q525" s="194">
        <f ca="1">IFERROR(ROUND(OFFSET(환산공식!$FG$15,$F525,0),3),"")</f>
        <v>0</v>
      </c>
      <c r="R525" s="194">
        <f ca="1">OFFSET('배치점수 계산기'!H$10,$D525,0)</f>
        <v>659.96900000000005</v>
      </c>
      <c r="S525" s="194">
        <f ca="1">OFFSET('배치점수 계산기'!I$10,$D525,0)</f>
        <v>657.86</v>
      </c>
      <c r="T525" s="194">
        <f ca="1">OFFSET('배치점수 계산기'!J$10,$D525,0)</f>
        <v>654.00400000000002</v>
      </c>
      <c r="U525" s="194">
        <f ca="1">OFFSET('배치점수 계산기'!K$10,$D525,0)</f>
        <v>649.76800000000003</v>
      </c>
      <c r="V525" s="194">
        <f ca="1">OFFSET('배치점수 계산기'!L$10,$D525,0)</f>
        <v>643.80600000000004</v>
      </c>
      <c r="W525" s="186" t="str">
        <f ca="1">OFFSET('배치점수 계산기'!M$10,$D525,0)</f>
        <v>표점</v>
      </c>
      <c r="X525" s="184" t="str">
        <f ca="1">OFFSET('배치점수 계산기'!N$10,$D525,0)</f>
        <v>변표</v>
      </c>
      <c r="Y525" s="188">
        <f ca="1">OFFSET(환산공식!FW$15,$F525,0)</f>
        <v>0.28999999999999998</v>
      </c>
      <c r="Z525" s="20">
        <f ca="1">OFFSET(환산공식!FX$15,$F525,0)</f>
        <v>0.43</v>
      </c>
      <c r="AA525" s="179">
        <f ca="1">OFFSET(환산공식!FY$15,$F525,0)</f>
        <v>0.28999999999999998</v>
      </c>
      <c r="AB525" s="3"/>
      <c r="AD525">
        <f t="shared" ca="1" si="17"/>
        <v>6</v>
      </c>
      <c r="AF525" s="3"/>
      <c r="AG525" s="3"/>
      <c r="AH525" s="3"/>
    </row>
    <row r="526" spans="1:34">
      <c r="A526" s="198"/>
      <c r="B526" s="198"/>
      <c r="C526" s="198" t="s">
        <v>1978</v>
      </c>
      <c r="D526" s="195">
        <v>1517</v>
      </c>
      <c r="E526" s="195">
        <v>195</v>
      </c>
      <c r="F526" s="195">
        <v>195</v>
      </c>
      <c r="G526" s="239">
        <v>519</v>
      </c>
      <c r="H526" s="197" t="s">
        <v>79</v>
      </c>
      <c r="I526" s="242" t="s">
        <v>215</v>
      </c>
      <c r="J526" s="242" t="s">
        <v>11706</v>
      </c>
      <c r="K526" s="195" t="s">
        <v>70</v>
      </c>
      <c r="L526" s="20" t="str">
        <f ca="1">IF(OFFSET(환산공식!$ED$15,$F526,0)=1,"O","X")</f>
        <v>X</v>
      </c>
      <c r="M526" s="188">
        <f ca="1">IFERROR(OFFSET(환산공식!DJ$15,$F526,0),"")</f>
        <v>125</v>
      </c>
      <c r="N526" s="20" t="str">
        <f ca="1">IFERROR(CONCATENATE(ROUND(OFFSET(환산공식!DK$15,$F526,0),1),"%"),"")</f>
        <v>100%</v>
      </c>
      <c r="O526" s="20">
        <f ca="1">IFERROR(OFFSET(환산공식!DL$15,$F526,0),"")</f>
        <v>10</v>
      </c>
      <c r="P526" s="188" t="str">
        <f t="shared" ca="1" si="16"/>
        <v>3% 이하</v>
      </c>
      <c r="Q526" s="194">
        <f ca="1">IFERROR(ROUND(OFFSET(환산공식!$FG$15,$F526,0),3),"")</f>
        <v>0</v>
      </c>
      <c r="R526" s="194">
        <f ca="1">OFFSET('배치점수 계산기'!H$10,$D526,0)</f>
        <v>659.67600000000004</v>
      </c>
      <c r="S526" s="194">
        <f ca="1">OFFSET('배치점수 계산기'!I$10,$D526,0)</f>
        <v>657.51099999999997</v>
      </c>
      <c r="T526" s="194">
        <f ca="1">OFFSET('배치점수 계산기'!J$10,$D526,0)</f>
        <v>653.81700000000001</v>
      </c>
      <c r="U526" s="194">
        <f ca="1">OFFSET('배치점수 계산기'!K$10,$D526,0)</f>
        <v>649.45600000000002</v>
      </c>
      <c r="V526" s="194">
        <f ca="1">OFFSET('배치점수 계산기'!L$10,$D526,0)</f>
        <v>643.49400000000003</v>
      </c>
      <c r="W526" s="186" t="str">
        <f ca="1">OFFSET('배치점수 계산기'!M$10,$D526,0)</f>
        <v>표점</v>
      </c>
      <c r="X526" s="184" t="str">
        <f ca="1">OFFSET('배치점수 계산기'!N$10,$D526,0)</f>
        <v>변표</v>
      </c>
      <c r="Y526" s="188">
        <f ca="1">OFFSET(환산공식!FW$15,$F526,0)</f>
        <v>0.28999999999999998</v>
      </c>
      <c r="Z526" s="20">
        <f ca="1">OFFSET(환산공식!FX$15,$F526,0)</f>
        <v>0.43</v>
      </c>
      <c r="AA526" s="179">
        <f ca="1">OFFSET(환산공식!FY$15,$F526,0)</f>
        <v>0.28999999999999998</v>
      </c>
      <c r="AB526" s="3"/>
      <c r="AD526">
        <f t="shared" ca="1" si="17"/>
        <v>6</v>
      </c>
      <c r="AF526" s="3"/>
      <c r="AG526" s="3"/>
      <c r="AH526" s="3"/>
    </row>
    <row r="527" spans="1:34">
      <c r="A527" s="198"/>
      <c r="B527" s="198"/>
      <c r="C527" s="198" t="s">
        <v>1979</v>
      </c>
      <c r="D527" s="195">
        <v>1518</v>
      </c>
      <c r="E527" s="195">
        <v>195</v>
      </c>
      <c r="F527" s="195">
        <v>195</v>
      </c>
      <c r="G527" s="239">
        <v>520</v>
      </c>
      <c r="H527" s="197" t="s">
        <v>79</v>
      </c>
      <c r="I527" s="242" t="s">
        <v>215</v>
      </c>
      <c r="J527" s="242" t="s">
        <v>9611</v>
      </c>
      <c r="K527" s="195" t="s">
        <v>70</v>
      </c>
      <c r="L527" s="20" t="str">
        <f ca="1">IF(OFFSET(환산공식!$ED$15,$F527,0)=1,"O","X")</f>
        <v>X</v>
      </c>
      <c r="M527" s="188">
        <f ca="1">IFERROR(OFFSET(환산공식!DJ$15,$F527,0),"")</f>
        <v>125</v>
      </c>
      <c r="N527" s="20" t="str">
        <f ca="1">IFERROR(CONCATENATE(ROUND(OFFSET(환산공식!DK$15,$F527,0),1),"%"),"")</f>
        <v>100%</v>
      </c>
      <c r="O527" s="20">
        <f ca="1">IFERROR(OFFSET(환산공식!DL$15,$F527,0),"")</f>
        <v>10</v>
      </c>
      <c r="P527" s="188" t="str">
        <f t="shared" ca="1" si="16"/>
        <v>3% 이하</v>
      </c>
      <c r="Q527" s="194">
        <f ca="1">IFERROR(ROUND(OFFSET(환산공식!$FG$15,$F527,0),3),"")</f>
        <v>0</v>
      </c>
      <c r="R527" s="194">
        <f ca="1">OFFSET('배치점수 계산기'!H$10,$D527,0)</f>
        <v>657.40499999999997</v>
      </c>
      <c r="S527" s="194">
        <f ca="1">OFFSET('배치점수 계산기'!I$10,$D527,0)</f>
        <v>655.78399999999999</v>
      </c>
      <c r="T527" s="194">
        <f ca="1">OFFSET('배치점수 계산기'!J$10,$D527,0)</f>
        <v>653.02599999999995</v>
      </c>
      <c r="U527" s="194">
        <f ca="1">OFFSET('배치점수 계산기'!K$10,$D527,0)</f>
        <v>650.57799999999997</v>
      </c>
      <c r="V527" s="194">
        <f ca="1">OFFSET('배치점수 계산기'!L$10,$D527,0)</f>
        <v>646.47199999999998</v>
      </c>
      <c r="W527" s="186" t="str">
        <f ca="1">OFFSET('배치점수 계산기'!M$10,$D527,0)</f>
        <v>표점</v>
      </c>
      <c r="X527" s="184" t="str">
        <f ca="1">OFFSET('배치점수 계산기'!N$10,$D527,0)</f>
        <v>변표</v>
      </c>
      <c r="Y527" s="188">
        <f ca="1">OFFSET(환산공식!FW$15,$F527,0)</f>
        <v>0.28999999999999998</v>
      </c>
      <c r="Z527" s="20">
        <f ca="1">OFFSET(환산공식!FX$15,$F527,0)</f>
        <v>0.43</v>
      </c>
      <c r="AA527" s="179">
        <f ca="1">OFFSET(환산공식!FY$15,$F527,0)</f>
        <v>0.28999999999999998</v>
      </c>
      <c r="AB527" s="3"/>
      <c r="AD527">
        <f t="shared" ca="1" si="17"/>
        <v>6</v>
      </c>
      <c r="AF527" s="3"/>
      <c r="AG527" s="3"/>
      <c r="AH527" s="3"/>
    </row>
    <row r="528" spans="1:34">
      <c r="A528" s="198"/>
      <c r="B528" s="198"/>
      <c r="C528" s="198" t="s">
        <v>1980</v>
      </c>
      <c r="D528" s="195">
        <v>1519</v>
      </c>
      <c r="E528" s="195">
        <v>195</v>
      </c>
      <c r="F528" s="195">
        <v>195</v>
      </c>
      <c r="G528" s="239">
        <v>521</v>
      </c>
      <c r="H528" s="197" t="s">
        <v>79</v>
      </c>
      <c r="I528" s="242" t="s">
        <v>215</v>
      </c>
      <c r="J528" s="242" t="s">
        <v>11747</v>
      </c>
      <c r="K528" s="195" t="s">
        <v>70</v>
      </c>
      <c r="L528" s="20" t="str">
        <f ca="1">IF(OFFSET(환산공식!$ED$15,$F528,0)=1,"O","X")</f>
        <v>X</v>
      </c>
      <c r="M528" s="188">
        <f ca="1">IFERROR(OFFSET(환산공식!DJ$15,$F528,0),"")</f>
        <v>125</v>
      </c>
      <c r="N528" s="20" t="str">
        <f ca="1">IFERROR(CONCATENATE(ROUND(OFFSET(환산공식!DK$15,$F528,0),1),"%"),"")</f>
        <v>100%</v>
      </c>
      <c r="O528" s="20">
        <f ca="1">IFERROR(OFFSET(환산공식!DL$15,$F528,0),"")</f>
        <v>10</v>
      </c>
      <c r="P528" s="188" t="str">
        <f t="shared" ca="1" si="16"/>
        <v>3% 이하</v>
      </c>
      <c r="Q528" s="194">
        <f ca="1">IFERROR(ROUND(OFFSET(환산공식!$FG$15,$F528,0),3),"")</f>
        <v>0</v>
      </c>
      <c r="R528" s="194">
        <f ca="1">OFFSET('배치점수 계산기'!H$10,$D528,0)</f>
        <v>658.86099999999999</v>
      </c>
      <c r="S528" s="194">
        <f ca="1">OFFSET('배치점수 계산기'!I$10,$D528,0)</f>
        <v>656.62199999999996</v>
      </c>
      <c r="T528" s="194">
        <f ca="1">OFFSET('배치점수 계산기'!J$10,$D528,0)</f>
        <v>652.91999999999996</v>
      </c>
      <c r="U528" s="194">
        <f ca="1">OFFSET('배치점수 계산기'!K$10,$D528,0)</f>
        <v>648.55499999999995</v>
      </c>
      <c r="V528" s="194">
        <f ca="1">OFFSET('배치점수 계산기'!L$10,$D528,0)</f>
        <v>642.65200000000004</v>
      </c>
      <c r="W528" s="186" t="str">
        <f ca="1">OFFSET('배치점수 계산기'!M$10,$D528,0)</f>
        <v>표점</v>
      </c>
      <c r="X528" s="184" t="str">
        <f ca="1">OFFSET('배치점수 계산기'!N$10,$D528,0)</f>
        <v>변표</v>
      </c>
      <c r="Y528" s="188">
        <f ca="1">OFFSET(환산공식!FW$15,$F528,0)</f>
        <v>0.28999999999999998</v>
      </c>
      <c r="Z528" s="20">
        <f ca="1">OFFSET(환산공식!FX$15,$F528,0)</f>
        <v>0.43</v>
      </c>
      <c r="AA528" s="179">
        <f ca="1">OFFSET(환산공식!FY$15,$F528,0)</f>
        <v>0.28999999999999998</v>
      </c>
      <c r="AB528" s="3"/>
      <c r="AD528">
        <f t="shared" ca="1" si="17"/>
        <v>6</v>
      </c>
      <c r="AF528" s="3"/>
      <c r="AG528" s="3"/>
      <c r="AH528" s="3"/>
    </row>
    <row r="529" spans="1:34">
      <c r="A529" s="198"/>
      <c r="B529" s="198"/>
      <c r="C529" s="198" t="s">
        <v>1981</v>
      </c>
      <c r="D529" s="195">
        <v>1520</v>
      </c>
      <c r="E529" s="195">
        <v>195</v>
      </c>
      <c r="F529" s="195">
        <v>195</v>
      </c>
      <c r="G529" s="239">
        <v>522</v>
      </c>
      <c r="H529" s="197" t="s">
        <v>79</v>
      </c>
      <c r="I529" s="242" t="s">
        <v>215</v>
      </c>
      <c r="J529" s="242" t="s">
        <v>11793</v>
      </c>
      <c r="K529" s="195" t="s">
        <v>70</v>
      </c>
      <c r="L529" s="20" t="str">
        <f ca="1">IF(OFFSET(환산공식!$ED$15,$F529,0)=1,"O","X")</f>
        <v>X</v>
      </c>
      <c r="M529" s="188">
        <f ca="1">IFERROR(OFFSET(환산공식!DJ$15,$F529,0),"")</f>
        <v>125</v>
      </c>
      <c r="N529" s="20" t="str">
        <f ca="1">IFERROR(CONCATENATE(ROUND(OFFSET(환산공식!DK$15,$F529,0),1),"%"),"")</f>
        <v>100%</v>
      </c>
      <c r="O529" s="20">
        <f ca="1">IFERROR(OFFSET(환산공식!DL$15,$F529,0),"")</f>
        <v>10</v>
      </c>
      <c r="P529" s="188" t="str">
        <f t="shared" ca="1" si="16"/>
        <v>3% 이하</v>
      </c>
      <c r="Q529" s="194">
        <f ca="1">IFERROR(ROUND(OFFSET(환산공식!$FG$15,$F529,0),3),"")</f>
        <v>0</v>
      </c>
      <c r="R529" s="194">
        <f ca="1">OFFSET('배치점수 계산기'!H$10,$D529,0)</f>
        <v>658.37599999999998</v>
      </c>
      <c r="S529" s="194">
        <f ca="1">OFFSET('배치점수 계산기'!I$10,$D529,0)</f>
        <v>656.12099999999998</v>
      </c>
      <c r="T529" s="194">
        <f ca="1">OFFSET('배치점수 계산기'!J$10,$D529,0)</f>
        <v>652.447</v>
      </c>
      <c r="U529" s="194">
        <f ca="1">OFFSET('배치점수 계산기'!K$10,$D529,0)</f>
        <v>648.14400000000001</v>
      </c>
      <c r="V529" s="194">
        <f ca="1">OFFSET('배치점수 계산기'!L$10,$D529,0)</f>
        <v>641.78899999999999</v>
      </c>
      <c r="W529" s="186" t="str">
        <f ca="1">OFFSET('배치점수 계산기'!M$10,$D529,0)</f>
        <v>표점</v>
      </c>
      <c r="X529" s="184" t="str">
        <f ca="1">OFFSET('배치점수 계산기'!N$10,$D529,0)</f>
        <v>변표</v>
      </c>
      <c r="Y529" s="188">
        <f ca="1">OFFSET(환산공식!FW$15,$F529,0)</f>
        <v>0.28999999999999998</v>
      </c>
      <c r="Z529" s="20">
        <f ca="1">OFFSET(환산공식!FX$15,$F529,0)</f>
        <v>0.43</v>
      </c>
      <c r="AA529" s="179">
        <f ca="1">OFFSET(환산공식!FY$15,$F529,0)</f>
        <v>0.28999999999999998</v>
      </c>
      <c r="AB529" s="3"/>
      <c r="AD529">
        <f t="shared" ca="1" si="17"/>
        <v>6</v>
      </c>
      <c r="AF529" s="3"/>
      <c r="AG529" s="3"/>
      <c r="AH529" s="3"/>
    </row>
    <row r="530" spans="1:34">
      <c r="A530" s="198"/>
      <c r="B530" s="198"/>
      <c r="C530" s="198" t="s">
        <v>1982</v>
      </c>
      <c r="D530" s="195">
        <v>1521</v>
      </c>
      <c r="E530" s="195">
        <v>195</v>
      </c>
      <c r="F530" s="195">
        <v>195</v>
      </c>
      <c r="G530" s="239">
        <v>523</v>
      </c>
      <c r="H530" s="197" t="s">
        <v>79</v>
      </c>
      <c r="I530" s="242" t="s">
        <v>215</v>
      </c>
      <c r="J530" s="242" t="s">
        <v>12003</v>
      </c>
      <c r="K530" s="195" t="s">
        <v>70</v>
      </c>
      <c r="L530" s="20" t="str">
        <f ca="1">IF(OFFSET(환산공식!$ED$15,$F530,0)=1,"O","X")</f>
        <v>X</v>
      </c>
      <c r="M530" s="188">
        <f ca="1">IFERROR(OFFSET(환산공식!DJ$15,$F530,0),"")</f>
        <v>125</v>
      </c>
      <c r="N530" s="20" t="str">
        <f ca="1">IFERROR(CONCATENATE(ROUND(OFFSET(환산공식!DK$15,$F530,0),1),"%"),"")</f>
        <v>100%</v>
      </c>
      <c r="O530" s="20">
        <f ca="1">IFERROR(OFFSET(환산공식!DL$15,$F530,0),"")</f>
        <v>10</v>
      </c>
      <c r="P530" s="188" t="str">
        <f t="shared" ca="1" si="16"/>
        <v>3% 이하</v>
      </c>
      <c r="Q530" s="194">
        <f ca="1">IFERROR(ROUND(OFFSET(환산공식!$FG$15,$F530,0),3),"")</f>
        <v>0</v>
      </c>
      <c r="R530" s="194">
        <f ca="1">OFFSET('배치점수 계산기'!H$10,$D530,0)</f>
        <v>655.24300000000005</v>
      </c>
      <c r="S530" s="194">
        <f ca="1">OFFSET('배치점수 계산기'!I$10,$D530,0)</f>
        <v>653.46299999999997</v>
      </c>
      <c r="T530" s="194">
        <f ca="1">OFFSET('배치점수 계산기'!J$10,$D530,0)</f>
        <v>650.26499999999999</v>
      </c>
      <c r="U530" s="194">
        <f ca="1">OFFSET('배치점수 계산기'!K$10,$D530,0)</f>
        <v>647.10699999999997</v>
      </c>
      <c r="V530" s="194">
        <f ca="1">OFFSET('배치점수 계산기'!L$10,$D530,0)</f>
        <v>641.68299999999999</v>
      </c>
      <c r="W530" s="186" t="str">
        <f ca="1">OFFSET('배치점수 계산기'!M$10,$D530,0)</f>
        <v>표점</v>
      </c>
      <c r="X530" s="184" t="str">
        <f ca="1">OFFSET('배치점수 계산기'!N$10,$D530,0)</f>
        <v>변표</v>
      </c>
      <c r="Y530" s="188">
        <f ca="1">OFFSET(환산공식!FW$15,$F530,0)</f>
        <v>0.28999999999999998</v>
      </c>
      <c r="Z530" s="20">
        <f ca="1">OFFSET(환산공식!FX$15,$F530,0)</f>
        <v>0.43</v>
      </c>
      <c r="AA530" s="179">
        <f ca="1">OFFSET(환산공식!FY$15,$F530,0)</f>
        <v>0.28999999999999998</v>
      </c>
      <c r="AB530" s="3"/>
      <c r="AD530">
        <f t="shared" ca="1" si="17"/>
        <v>6</v>
      </c>
      <c r="AF530" s="3"/>
      <c r="AG530" s="3"/>
      <c r="AH530" s="3"/>
    </row>
    <row r="531" spans="1:34">
      <c r="A531" s="198"/>
      <c r="B531" s="198"/>
      <c r="C531" s="198" t="s">
        <v>1983</v>
      </c>
      <c r="D531" s="195">
        <v>1522</v>
      </c>
      <c r="E531" s="195">
        <v>195</v>
      </c>
      <c r="F531" s="195">
        <v>195</v>
      </c>
      <c r="G531" s="239">
        <v>524</v>
      </c>
      <c r="H531" s="197" t="s">
        <v>79</v>
      </c>
      <c r="I531" s="242" t="s">
        <v>215</v>
      </c>
      <c r="J531" s="242" t="s">
        <v>12017</v>
      </c>
      <c r="K531" s="195" t="s">
        <v>70</v>
      </c>
      <c r="L531" s="20" t="str">
        <f ca="1">IF(OFFSET(환산공식!$ED$15,$F531,0)=1,"O","X")</f>
        <v>X</v>
      </c>
      <c r="M531" s="188">
        <f ca="1">IFERROR(OFFSET(환산공식!DJ$15,$F531,0),"")</f>
        <v>125</v>
      </c>
      <c r="N531" s="20" t="str">
        <f ca="1">IFERROR(CONCATENATE(ROUND(OFFSET(환산공식!DK$15,$F531,0),1),"%"),"")</f>
        <v>100%</v>
      </c>
      <c r="O531" s="20">
        <f ca="1">IFERROR(OFFSET(환산공식!DL$15,$F531,0),"")</f>
        <v>10</v>
      </c>
      <c r="P531" s="188" t="str">
        <f t="shared" ca="1" si="16"/>
        <v>3% 이하</v>
      </c>
      <c r="Q531" s="194">
        <f ca="1">IFERROR(ROUND(OFFSET(환산공식!$FG$15,$F531,0),3),"")</f>
        <v>0</v>
      </c>
      <c r="R531" s="194">
        <f ca="1">OFFSET('배치점수 계산기'!H$10,$D531,0)</f>
        <v>654.97699999999998</v>
      </c>
      <c r="S531" s="194">
        <f ca="1">OFFSET('배치점수 계산기'!I$10,$D531,0)</f>
        <v>652.91999999999996</v>
      </c>
      <c r="T531" s="194">
        <f ca="1">OFFSET('배치점수 계산기'!J$10,$D531,0)</f>
        <v>649.91200000000003</v>
      </c>
      <c r="U531" s="194">
        <f ca="1">OFFSET('배치점수 계산기'!K$10,$D531,0)</f>
        <v>646.28499999999997</v>
      </c>
      <c r="V531" s="194">
        <f ca="1">OFFSET('배치점수 계산기'!L$10,$D531,0)</f>
        <v>641.06299999999999</v>
      </c>
      <c r="W531" s="186" t="str">
        <f ca="1">OFFSET('배치점수 계산기'!M$10,$D531,0)</f>
        <v>표점</v>
      </c>
      <c r="X531" s="184" t="str">
        <f ca="1">OFFSET('배치점수 계산기'!N$10,$D531,0)</f>
        <v>변표</v>
      </c>
      <c r="Y531" s="188">
        <f ca="1">OFFSET(환산공식!FW$15,$F531,0)</f>
        <v>0.28999999999999998</v>
      </c>
      <c r="Z531" s="20">
        <f ca="1">OFFSET(환산공식!FX$15,$F531,0)</f>
        <v>0.43</v>
      </c>
      <c r="AA531" s="179">
        <f ca="1">OFFSET(환산공식!FY$15,$F531,0)</f>
        <v>0.28999999999999998</v>
      </c>
      <c r="AB531" s="3"/>
      <c r="AD531">
        <f t="shared" ca="1" si="17"/>
        <v>6</v>
      </c>
      <c r="AF531" s="3"/>
      <c r="AG531" s="3"/>
      <c r="AH531" s="3"/>
    </row>
    <row r="532" spans="1:34">
      <c r="A532" s="198"/>
      <c r="B532" s="198"/>
      <c r="C532" s="198" t="s">
        <v>1984</v>
      </c>
      <c r="D532" s="195">
        <v>1523</v>
      </c>
      <c r="E532" s="195">
        <v>195</v>
      </c>
      <c r="F532" s="195">
        <v>195</v>
      </c>
      <c r="G532" s="239">
        <v>525</v>
      </c>
      <c r="H532" s="197" t="s">
        <v>79</v>
      </c>
      <c r="I532" s="242" t="s">
        <v>215</v>
      </c>
      <c r="J532" s="242" t="s">
        <v>10547</v>
      </c>
      <c r="K532" s="195" t="s">
        <v>70</v>
      </c>
      <c r="L532" s="20" t="str">
        <f ca="1">IF(OFFSET(환산공식!$ED$15,$F532,0)=1,"O","X")</f>
        <v>X</v>
      </c>
      <c r="M532" s="188">
        <f ca="1">IFERROR(OFFSET(환산공식!DJ$15,$F532,0),"")</f>
        <v>125</v>
      </c>
      <c r="N532" s="20" t="str">
        <f ca="1">IFERROR(CONCATENATE(ROUND(OFFSET(환산공식!DK$15,$F532,0),1),"%"),"")</f>
        <v>100%</v>
      </c>
      <c r="O532" s="20">
        <f ca="1">IFERROR(OFFSET(환산공식!DL$15,$F532,0),"")</f>
        <v>10</v>
      </c>
      <c r="P532" s="188" t="str">
        <f t="shared" ca="1" si="16"/>
        <v>3% 이하</v>
      </c>
      <c r="Q532" s="194">
        <f ca="1">IFERROR(ROUND(OFFSET(환산공식!$FG$15,$F532,0),3),"")</f>
        <v>0</v>
      </c>
      <c r="R532" s="194">
        <f ca="1">OFFSET('배치점수 계산기'!H$10,$D532,0)</f>
        <v>652.15599999999995</v>
      </c>
      <c r="S532" s="194">
        <f ca="1">OFFSET('배치점수 계산기'!I$10,$D532,0)</f>
        <v>650.346</v>
      </c>
      <c r="T532" s="194">
        <f ca="1">OFFSET('배치점수 계산기'!J$10,$D532,0)</f>
        <v>647.10699999999997</v>
      </c>
      <c r="U532" s="194">
        <f ca="1">OFFSET('배치점수 계산기'!K$10,$D532,0)</f>
        <v>643.19600000000003</v>
      </c>
      <c r="V532" s="194">
        <f ca="1">OFFSET('배치점수 계산기'!L$10,$D532,0)</f>
        <v>638.29700000000003</v>
      </c>
      <c r="W532" s="186" t="str">
        <f ca="1">OFFSET('배치점수 계산기'!M$10,$D532,0)</f>
        <v>표점</v>
      </c>
      <c r="X532" s="184" t="str">
        <f ca="1">OFFSET('배치점수 계산기'!N$10,$D532,0)</f>
        <v>변표</v>
      </c>
      <c r="Y532" s="188">
        <f ca="1">OFFSET(환산공식!FW$15,$F532,0)</f>
        <v>0.28999999999999998</v>
      </c>
      <c r="Z532" s="20">
        <f ca="1">OFFSET(환산공식!FX$15,$F532,0)</f>
        <v>0.43</v>
      </c>
      <c r="AA532" s="179">
        <f ca="1">OFFSET(환산공식!FY$15,$F532,0)</f>
        <v>0.28999999999999998</v>
      </c>
      <c r="AB532" s="3"/>
      <c r="AD532">
        <f t="shared" ca="1" si="17"/>
        <v>6</v>
      </c>
      <c r="AF532" s="3"/>
      <c r="AG532" s="3"/>
      <c r="AH532" s="3"/>
    </row>
    <row r="533" spans="1:34">
      <c r="A533" s="198"/>
      <c r="B533" s="198"/>
      <c r="C533" s="198" t="s">
        <v>1985</v>
      </c>
      <c r="D533" s="195">
        <v>1524</v>
      </c>
      <c r="E533" s="195">
        <v>195</v>
      </c>
      <c r="F533" s="195">
        <v>195</v>
      </c>
      <c r="G533" s="239">
        <v>526</v>
      </c>
      <c r="H533" s="197" t="s">
        <v>79</v>
      </c>
      <c r="I533" s="242" t="s">
        <v>215</v>
      </c>
      <c r="J533" s="242" t="s">
        <v>12219</v>
      </c>
      <c r="K533" s="195" t="s">
        <v>70</v>
      </c>
      <c r="L533" s="20" t="str">
        <f ca="1">IF(OFFSET(환산공식!$ED$15,$F533,0)=1,"O","X")</f>
        <v>X</v>
      </c>
      <c r="M533" s="188">
        <f ca="1">IFERROR(OFFSET(환산공식!DJ$15,$F533,0),"")</f>
        <v>125</v>
      </c>
      <c r="N533" s="20" t="str">
        <f ca="1">IFERROR(CONCATENATE(ROUND(OFFSET(환산공식!DK$15,$F533,0),1),"%"),"")</f>
        <v>100%</v>
      </c>
      <c r="O533" s="20">
        <f ca="1">IFERROR(OFFSET(환산공식!DL$15,$F533,0),"")</f>
        <v>10</v>
      </c>
      <c r="P533" s="188" t="str">
        <f t="shared" ca="1" si="16"/>
        <v>3% 이하</v>
      </c>
      <c r="Q533" s="194">
        <f ca="1">IFERROR(ROUND(OFFSET(환산공식!$FG$15,$F533,0),3),"")</f>
        <v>0</v>
      </c>
      <c r="R533" s="194">
        <f ca="1">OFFSET('배치점수 계산기'!H$10,$D533,0)</f>
        <v>651.79999999999995</v>
      </c>
      <c r="S533" s="194">
        <f ca="1">OFFSET('배치점수 계산기'!I$10,$D533,0)</f>
        <v>650.12400000000002</v>
      </c>
      <c r="T533" s="194">
        <f ca="1">OFFSET('배치점수 계산기'!J$10,$D533,0)</f>
        <v>647.10699999999997</v>
      </c>
      <c r="U533" s="194">
        <f ca="1">OFFSET('배치점수 계산기'!K$10,$D533,0)</f>
        <v>644.03800000000001</v>
      </c>
      <c r="V533" s="194">
        <f ca="1">OFFSET('배치점수 계산기'!L$10,$D533,0)</f>
        <v>639.90300000000002</v>
      </c>
      <c r="W533" s="186" t="str">
        <f ca="1">OFFSET('배치점수 계산기'!M$10,$D533,0)</f>
        <v>표점</v>
      </c>
      <c r="X533" s="184" t="str">
        <f ca="1">OFFSET('배치점수 계산기'!N$10,$D533,0)</f>
        <v>변표</v>
      </c>
      <c r="Y533" s="188">
        <f ca="1">OFFSET(환산공식!FW$15,$F533,0)</f>
        <v>0.28999999999999998</v>
      </c>
      <c r="Z533" s="20">
        <f ca="1">OFFSET(환산공식!FX$15,$F533,0)</f>
        <v>0.43</v>
      </c>
      <c r="AA533" s="179">
        <f ca="1">OFFSET(환산공식!FY$15,$F533,0)</f>
        <v>0.28999999999999998</v>
      </c>
      <c r="AB533" s="3"/>
      <c r="AD533">
        <f t="shared" ca="1" si="17"/>
        <v>6</v>
      </c>
      <c r="AF533" s="3"/>
      <c r="AG533" s="3"/>
      <c r="AH533" s="3"/>
    </row>
    <row r="534" spans="1:34">
      <c r="A534" s="198"/>
      <c r="B534" s="198"/>
      <c r="C534" s="198" t="s">
        <v>1986</v>
      </c>
      <c r="D534" s="195">
        <v>1525</v>
      </c>
      <c r="E534" s="195">
        <v>195</v>
      </c>
      <c r="F534" s="195">
        <v>195</v>
      </c>
      <c r="G534" s="239">
        <v>527</v>
      </c>
      <c r="H534" s="197" t="s">
        <v>79</v>
      </c>
      <c r="I534" s="242" t="s">
        <v>215</v>
      </c>
      <c r="J534" s="242" t="s">
        <v>11304</v>
      </c>
      <c r="K534" s="195" t="s">
        <v>70</v>
      </c>
      <c r="L534" s="20" t="str">
        <f ca="1">IF(OFFSET(환산공식!$ED$15,$F534,0)=1,"O","X")</f>
        <v>X</v>
      </c>
      <c r="M534" s="188">
        <f ca="1">IFERROR(OFFSET(환산공식!DJ$15,$F534,0),"")</f>
        <v>125</v>
      </c>
      <c r="N534" s="20" t="str">
        <f ca="1">IFERROR(CONCATENATE(ROUND(OFFSET(환산공식!DK$15,$F534,0),1),"%"),"")</f>
        <v>100%</v>
      </c>
      <c r="O534" s="20">
        <f ca="1">IFERROR(OFFSET(환산공식!DL$15,$F534,0),"")</f>
        <v>10</v>
      </c>
      <c r="P534" s="188" t="str">
        <f t="shared" ca="1" si="16"/>
        <v>3% 이하</v>
      </c>
      <c r="Q534" s="194">
        <f ca="1">IFERROR(ROUND(OFFSET(환산공식!$FG$15,$F534,0),3),"")</f>
        <v>0</v>
      </c>
      <c r="R534" s="194">
        <f ca="1">OFFSET('배치점수 계산기'!H$10,$D534,0)</f>
        <v>651.79999999999995</v>
      </c>
      <c r="S534" s="194">
        <f ca="1">OFFSET('배치점수 계산기'!I$10,$D534,0)</f>
        <v>650.12400000000002</v>
      </c>
      <c r="T534" s="194">
        <f ca="1">OFFSET('배치점수 계산기'!J$10,$D534,0)</f>
        <v>647.00099999999998</v>
      </c>
      <c r="U534" s="194">
        <f ca="1">OFFSET('배치점수 계산기'!K$10,$D534,0)</f>
        <v>642.96400000000006</v>
      </c>
      <c r="V534" s="194">
        <f ca="1">OFFSET('배치점수 계산기'!L$10,$D534,0)</f>
        <v>637.98400000000004</v>
      </c>
      <c r="W534" s="186" t="str">
        <f ca="1">OFFSET('배치점수 계산기'!M$10,$D534,0)</f>
        <v>표점</v>
      </c>
      <c r="X534" s="184" t="str">
        <f ca="1">OFFSET('배치점수 계산기'!N$10,$D534,0)</f>
        <v>변표</v>
      </c>
      <c r="Y534" s="188">
        <f ca="1">OFFSET(환산공식!FW$15,$F534,0)</f>
        <v>0.28999999999999998</v>
      </c>
      <c r="Z534" s="20">
        <f ca="1">OFFSET(환산공식!FX$15,$F534,0)</f>
        <v>0.43</v>
      </c>
      <c r="AA534" s="179">
        <f ca="1">OFFSET(환산공식!FY$15,$F534,0)</f>
        <v>0.28999999999999998</v>
      </c>
      <c r="AB534" s="3"/>
      <c r="AD534">
        <f t="shared" ca="1" si="17"/>
        <v>6</v>
      </c>
      <c r="AF534" s="3"/>
      <c r="AG534" s="3"/>
      <c r="AH534" s="3"/>
    </row>
    <row r="535" spans="1:34">
      <c r="A535" s="198"/>
      <c r="B535" s="198"/>
      <c r="C535" s="198" t="s">
        <v>1987</v>
      </c>
      <c r="D535" s="195">
        <v>1526</v>
      </c>
      <c r="E535" s="195">
        <v>195</v>
      </c>
      <c r="F535" s="195">
        <v>195</v>
      </c>
      <c r="G535" s="239">
        <v>528</v>
      </c>
      <c r="H535" s="197" t="s">
        <v>79</v>
      </c>
      <c r="I535" s="242" t="s">
        <v>215</v>
      </c>
      <c r="J535" s="242" t="s">
        <v>8197</v>
      </c>
      <c r="K535" s="195" t="s">
        <v>70</v>
      </c>
      <c r="L535" s="20" t="str">
        <f ca="1">IF(OFFSET(환산공식!$ED$15,$F535,0)=1,"O","X")</f>
        <v>X</v>
      </c>
      <c r="M535" s="188">
        <f ca="1">IFERROR(OFFSET(환산공식!DJ$15,$F535,0),"")</f>
        <v>125</v>
      </c>
      <c r="N535" s="20" t="str">
        <f ca="1">IFERROR(CONCATENATE(ROUND(OFFSET(환산공식!DK$15,$F535,0),1),"%"),"")</f>
        <v>100%</v>
      </c>
      <c r="O535" s="20">
        <f ca="1">IFERROR(OFFSET(환산공식!DL$15,$F535,0),"")</f>
        <v>10</v>
      </c>
      <c r="P535" s="188" t="str">
        <f t="shared" ca="1" si="16"/>
        <v>3% 이하</v>
      </c>
      <c r="Q535" s="194">
        <f ca="1">IFERROR(ROUND(OFFSET(환산공식!$FG$15,$F535,0),3),"")</f>
        <v>0</v>
      </c>
      <c r="R535" s="194">
        <f ca="1">OFFSET('배치점수 계산기'!H$10,$D535,0)</f>
        <v>650.346</v>
      </c>
      <c r="S535" s="194">
        <f ca="1">OFFSET('배치점수 계산기'!I$10,$D535,0)</f>
        <v>648.26900000000001</v>
      </c>
      <c r="T535" s="194">
        <f ca="1">OFFSET('배치점수 계산기'!J$10,$D535,0)</f>
        <v>644.39800000000002</v>
      </c>
      <c r="U535" s="194">
        <f ca="1">OFFSET('배치점수 계산기'!K$10,$D535,0)</f>
        <v>640.09100000000001</v>
      </c>
      <c r="V535" s="194">
        <f ca="1">OFFSET('배치점수 계산기'!L$10,$D535,0)</f>
        <v>635.13499999999999</v>
      </c>
      <c r="W535" s="186" t="str">
        <f ca="1">OFFSET('배치점수 계산기'!M$10,$D535,0)</f>
        <v>표점</v>
      </c>
      <c r="X535" s="184" t="str">
        <f ca="1">OFFSET('배치점수 계산기'!N$10,$D535,0)</f>
        <v>변표</v>
      </c>
      <c r="Y535" s="188">
        <f ca="1">OFFSET(환산공식!FW$15,$F535,0)</f>
        <v>0.28999999999999998</v>
      </c>
      <c r="Z535" s="20">
        <f ca="1">OFFSET(환산공식!FX$15,$F535,0)</f>
        <v>0.43</v>
      </c>
      <c r="AA535" s="179">
        <f ca="1">OFFSET(환산공식!FY$15,$F535,0)</f>
        <v>0.28999999999999998</v>
      </c>
      <c r="AB535" s="3"/>
      <c r="AD535">
        <f t="shared" ca="1" si="17"/>
        <v>6</v>
      </c>
      <c r="AF535" s="3"/>
      <c r="AG535" s="3"/>
      <c r="AH535" s="3"/>
    </row>
    <row r="536" spans="1:34">
      <c r="A536" s="198"/>
      <c r="B536" s="198"/>
      <c r="C536" s="198" t="s">
        <v>1988</v>
      </c>
      <c r="D536" s="195">
        <v>1527</v>
      </c>
      <c r="E536" s="195">
        <v>195</v>
      </c>
      <c r="F536" s="195">
        <v>195</v>
      </c>
      <c r="G536" s="239">
        <v>529</v>
      </c>
      <c r="H536" s="197" t="s">
        <v>79</v>
      </c>
      <c r="I536" s="242" t="s">
        <v>215</v>
      </c>
      <c r="J536" s="242" t="s">
        <v>12748</v>
      </c>
      <c r="K536" s="195" t="s">
        <v>70</v>
      </c>
      <c r="L536" s="20" t="str">
        <f ca="1">IF(OFFSET(환산공식!$ED$15,$F536,0)=1,"O","X")</f>
        <v>X</v>
      </c>
      <c r="M536" s="188">
        <f ca="1">IFERROR(OFFSET(환산공식!DJ$15,$F536,0),"")</f>
        <v>125</v>
      </c>
      <c r="N536" s="20" t="str">
        <f ca="1">IFERROR(CONCATENATE(ROUND(OFFSET(환산공식!DK$15,$F536,0),1),"%"),"")</f>
        <v>100%</v>
      </c>
      <c r="O536" s="20">
        <f ca="1">IFERROR(OFFSET(환산공식!DL$15,$F536,0),"")</f>
        <v>10</v>
      </c>
      <c r="P536" s="188" t="str">
        <f t="shared" ca="1" si="16"/>
        <v>3% 이하</v>
      </c>
      <c r="Q536" s="194">
        <f ca="1">IFERROR(ROUND(OFFSET(환산공식!$FG$15,$F536,0),3),"")</f>
        <v>0</v>
      </c>
      <c r="R536" s="194">
        <f ca="1">OFFSET('배치점수 계산기'!H$10,$D536,0)</f>
        <v>641.06299999999999</v>
      </c>
      <c r="S536" s="194">
        <f ca="1">OFFSET('배치점수 계산기'!I$10,$D536,0)</f>
        <v>639.12</v>
      </c>
      <c r="T536" s="194">
        <f ca="1">OFFSET('배치점수 계산기'!J$10,$D536,0)</f>
        <v>635.89400000000001</v>
      </c>
      <c r="U536" s="194">
        <f ca="1">OFFSET('배치점수 계산기'!K$10,$D536,0)</f>
        <v>632.26099999999997</v>
      </c>
      <c r="V536" s="194">
        <f ca="1">OFFSET('배치점수 계산기'!L$10,$D536,0)</f>
        <v>626.69899999999996</v>
      </c>
      <c r="W536" s="186" t="str">
        <f ca="1">OFFSET('배치점수 계산기'!M$10,$D536,0)</f>
        <v>표점</v>
      </c>
      <c r="X536" s="184" t="str">
        <f ca="1">OFFSET('배치점수 계산기'!N$10,$D536,0)</f>
        <v>변표</v>
      </c>
      <c r="Y536" s="188">
        <f ca="1">OFFSET(환산공식!FW$15,$F536,0)</f>
        <v>0.28999999999999998</v>
      </c>
      <c r="Z536" s="20">
        <f ca="1">OFFSET(환산공식!FX$15,$F536,0)</f>
        <v>0.43</v>
      </c>
      <c r="AA536" s="179">
        <f ca="1">OFFSET(환산공식!FY$15,$F536,0)</f>
        <v>0.28999999999999998</v>
      </c>
      <c r="AB536" s="3"/>
      <c r="AD536">
        <f t="shared" ca="1" si="17"/>
        <v>6</v>
      </c>
      <c r="AF536" s="3"/>
      <c r="AG536" s="3"/>
      <c r="AH536" s="3"/>
    </row>
    <row r="537" spans="1:34">
      <c r="A537" s="198"/>
      <c r="B537" s="198"/>
      <c r="C537" s="198" t="s">
        <v>1989</v>
      </c>
      <c r="D537" s="195">
        <v>1528</v>
      </c>
      <c r="E537" s="195">
        <v>195</v>
      </c>
      <c r="F537" s="195">
        <v>195</v>
      </c>
      <c r="G537" s="239">
        <v>530</v>
      </c>
      <c r="H537" s="197" t="s">
        <v>79</v>
      </c>
      <c r="I537" s="242" t="s">
        <v>215</v>
      </c>
      <c r="J537" s="242" t="s">
        <v>8307</v>
      </c>
      <c r="K537" s="195" t="s">
        <v>70</v>
      </c>
      <c r="L537" s="20" t="str">
        <f ca="1">IF(OFFSET(환산공식!$ED$15,$F537,0)=1,"O","X")</f>
        <v>X</v>
      </c>
      <c r="M537" s="188">
        <f ca="1">IFERROR(OFFSET(환산공식!DJ$15,$F537,0),"")</f>
        <v>125</v>
      </c>
      <c r="N537" s="20" t="str">
        <f ca="1">IFERROR(CONCATENATE(ROUND(OFFSET(환산공식!DK$15,$F537,0),1),"%"),"")</f>
        <v>100%</v>
      </c>
      <c r="O537" s="20">
        <f ca="1">IFERROR(OFFSET(환산공식!DL$15,$F537,0),"")</f>
        <v>10</v>
      </c>
      <c r="P537" s="188" t="str">
        <f t="shared" ca="1" si="16"/>
        <v>3% 이하</v>
      </c>
      <c r="Q537" s="194">
        <f ca="1">IFERROR(ROUND(OFFSET(환산공식!$FG$15,$F537,0),3),"")</f>
        <v>0</v>
      </c>
      <c r="R537" s="194">
        <f ca="1">OFFSET('배치점수 계산기'!H$10,$D537,0)</f>
        <v>632.62800000000004</v>
      </c>
      <c r="S537" s="194">
        <f ca="1">OFFSET('배치점수 계산기'!I$10,$D537,0)</f>
        <v>630.77599999999995</v>
      </c>
      <c r="T537" s="194">
        <f ca="1">OFFSET('배치점수 계산기'!J$10,$D537,0)</f>
        <v>627.30399999999997</v>
      </c>
      <c r="U537" s="194">
        <f ca="1">OFFSET('배치점수 계산기'!K$10,$D537,0)</f>
        <v>623.48599999999999</v>
      </c>
      <c r="V537" s="194">
        <f ca="1">OFFSET('배치점수 계산기'!L$10,$D537,0)</f>
        <v>618.91899999999998</v>
      </c>
      <c r="W537" s="186" t="str">
        <f ca="1">OFFSET('배치점수 계산기'!M$10,$D537,0)</f>
        <v>표점</v>
      </c>
      <c r="X537" s="184" t="str">
        <f ca="1">OFFSET('배치점수 계산기'!N$10,$D537,0)</f>
        <v>변표</v>
      </c>
      <c r="Y537" s="188">
        <f ca="1">OFFSET(환산공식!FW$15,$F537,0)</f>
        <v>0.28999999999999998</v>
      </c>
      <c r="Z537" s="20">
        <f ca="1">OFFSET(환산공식!FX$15,$F537,0)</f>
        <v>0.43</v>
      </c>
      <c r="AA537" s="179">
        <f ca="1">OFFSET(환산공식!FY$15,$F537,0)</f>
        <v>0.28999999999999998</v>
      </c>
      <c r="AB537" s="3"/>
      <c r="AD537">
        <f t="shared" ca="1" si="17"/>
        <v>6</v>
      </c>
      <c r="AF537" s="3"/>
      <c r="AG537" s="3"/>
      <c r="AH537" s="3"/>
    </row>
    <row r="538" spans="1:34">
      <c r="A538" s="198"/>
      <c r="B538" s="198"/>
      <c r="C538" s="198" t="s">
        <v>1990</v>
      </c>
      <c r="D538" s="195">
        <v>1529</v>
      </c>
      <c r="E538" s="195">
        <v>195</v>
      </c>
      <c r="F538" s="195">
        <v>195</v>
      </c>
      <c r="G538" s="239">
        <v>531</v>
      </c>
      <c r="H538" s="197" t="s">
        <v>79</v>
      </c>
      <c r="I538" s="242" t="s">
        <v>215</v>
      </c>
      <c r="J538" s="242" t="s">
        <v>7910</v>
      </c>
      <c r="K538" s="195" t="s">
        <v>70</v>
      </c>
      <c r="L538" s="20" t="str">
        <f ca="1">IF(OFFSET(환산공식!$ED$15,$F538,0)=1,"O","X")</f>
        <v>X</v>
      </c>
      <c r="M538" s="188">
        <f ca="1">IFERROR(OFFSET(환산공식!DJ$15,$F538,0),"")</f>
        <v>125</v>
      </c>
      <c r="N538" s="20" t="str">
        <f ca="1">IFERROR(CONCATENATE(ROUND(OFFSET(환산공식!DK$15,$F538,0),1),"%"),"")</f>
        <v>100%</v>
      </c>
      <c r="O538" s="20">
        <f ca="1">IFERROR(OFFSET(환산공식!DL$15,$F538,0),"")</f>
        <v>10</v>
      </c>
      <c r="P538" s="188" t="str">
        <f t="shared" ca="1" si="16"/>
        <v>3% 이하</v>
      </c>
      <c r="Q538" s="194">
        <f ca="1">IFERROR(ROUND(OFFSET(환산공식!$FG$15,$F538,0),3),"")</f>
        <v>0</v>
      </c>
      <c r="R538" s="194">
        <f ca="1">OFFSET('배치점수 계산기'!H$10,$D538,0)</f>
        <v>613.23</v>
      </c>
      <c r="S538" s="194">
        <f ca="1">OFFSET('배치점수 계산기'!I$10,$D538,0)</f>
        <v>611.995</v>
      </c>
      <c r="T538" s="194">
        <f ca="1">OFFSET('배치점수 계산기'!J$10,$D538,0)</f>
        <v>609.83600000000001</v>
      </c>
      <c r="U538" s="194">
        <f ca="1">OFFSET('배치점수 계산기'!K$10,$D538,0)</f>
        <v>607.51300000000003</v>
      </c>
      <c r="V538" s="194">
        <f ca="1">OFFSET('배치점수 계산기'!L$10,$D538,0)</f>
        <v>604.03200000000004</v>
      </c>
      <c r="W538" s="186" t="str">
        <f ca="1">OFFSET('배치점수 계산기'!M$10,$D538,0)</f>
        <v>표점</v>
      </c>
      <c r="X538" s="184" t="str">
        <f ca="1">OFFSET('배치점수 계산기'!N$10,$D538,0)</f>
        <v>변표</v>
      </c>
      <c r="Y538" s="188">
        <f ca="1">OFFSET(환산공식!FW$15,$F538,0)</f>
        <v>0.28999999999999998</v>
      </c>
      <c r="Z538" s="20">
        <f ca="1">OFFSET(환산공식!FX$15,$F538,0)</f>
        <v>0.43</v>
      </c>
      <c r="AA538" s="179">
        <f ca="1">OFFSET(환산공식!FY$15,$F538,0)</f>
        <v>0.28999999999999998</v>
      </c>
      <c r="AB538" s="3"/>
      <c r="AD538">
        <f t="shared" ca="1" si="17"/>
        <v>6</v>
      </c>
      <c r="AF538" s="3"/>
      <c r="AG538" s="3"/>
      <c r="AH538" s="3"/>
    </row>
    <row r="539" spans="1:34">
      <c r="A539" s="198"/>
      <c r="B539" s="198"/>
      <c r="C539" s="198" t="s">
        <v>1991</v>
      </c>
      <c r="D539" s="195">
        <v>1530</v>
      </c>
      <c r="E539" s="195">
        <v>194</v>
      </c>
      <c r="F539" s="195">
        <v>194</v>
      </c>
      <c r="G539" s="239">
        <v>532</v>
      </c>
      <c r="H539" s="197" t="s">
        <v>79</v>
      </c>
      <c r="I539" s="242" t="s">
        <v>215</v>
      </c>
      <c r="J539" s="242" t="s">
        <v>9569</v>
      </c>
      <c r="K539" s="195" t="s">
        <v>71</v>
      </c>
      <c r="L539" s="20" t="str">
        <f ca="1">IF(OFFSET(환산공식!$ED$15,$F539,0)=1,"O","X")</f>
        <v>X</v>
      </c>
      <c r="M539" s="188">
        <f ca="1">IFERROR(OFFSET(환산공식!DJ$15,$F539,0),"")</f>
        <v>125</v>
      </c>
      <c r="N539" s="20" t="str">
        <f ca="1">IFERROR(CONCATENATE(ROUND(OFFSET(환산공식!DK$15,$F539,0),1),"%"),"")</f>
        <v>100%</v>
      </c>
      <c r="O539" s="20">
        <f ca="1">IFERROR(OFFSET(환산공식!DL$15,$F539,0),"")</f>
        <v>10</v>
      </c>
      <c r="P539" s="188" t="str">
        <f t="shared" ca="1" si="16"/>
        <v>3% 이하</v>
      </c>
      <c r="Q539" s="194">
        <f ca="1">IFERROR(ROUND(OFFSET(환산공식!$FG$15,$F539,0),3),"")</f>
        <v>0</v>
      </c>
      <c r="R539" s="194">
        <f ca="1">OFFSET('배치점수 계산기'!H$10,$D539,0)</f>
        <v>678.05399999999997</v>
      </c>
      <c r="S539" s="194">
        <f ca="1">OFFSET('배치점수 계산기'!I$10,$D539,0)</f>
        <v>675.98900000000003</v>
      </c>
      <c r="T539" s="194">
        <f ca="1">OFFSET('배치점수 계산기'!J$10,$D539,0)</f>
        <v>672.69100000000003</v>
      </c>
      <c r="U539" s="194">
        <f ca="1">OFFSET('배치점수 계산기'!K$10,$D539,0)</f>
        <v>669.75</v>
      </c>
      <c r="V539" s="194">
        <f ca="1">OFFSET('배치점수 계산기'!L$10,$D539,0)</f>
        <v>666.09500000000003</v>
      </c>
      <c r="W539" s="186" t="str">
        <f ca="1">OFFSET('배치점수 계산기'!M$10,$D539,0)</f>
        <v>표점</v>
      </c>
      <c r="X539" s="184" t="str">
        <f ca="1">OFFSET('배치점수 계산기'!N$10,$D539,0)</f>
        <v>변표</v>
      </c>
      <c r="Y539" s="188">
        <f ca="1">OFFSET(환산공식!FW$15,$F539,0)</f>
        <v>0.36</v>
      </c>
      <c r="Z539" s="20">
        <f ca="1">OFFSET(환산공식!FX$15,$F539,0)</f>
        <v>0.36</v>
      </c>
      <c r="AA539" s="179">
        <f ca="1">OFFSET(환산공식!FY$15,$F539,0)</f>
        <v>0.28999999999999998</v>
      </c>
      <c r="AB539" s="3"/>
      <c r="AD539">
        <f t="shared" ca="1" si="17"/>
        <v>6</v>
      </c>
      <c r="AF539" s="3"/>
      <c r="AG539" s="3"/>
      <c r="AH539" s="3"/>
    </row>
    <row r="540" spans="1:34">
      <c r="A540" s="198"/>
      <c r="B540" s="198"/>
      <c r="C540" s="198" t="s">
        <v>1992</v>
      </c>
      <c r="D540" s="195">
        <v>1531</v>
      </c>
      <c r="E540" s="195">
        <v>193</v>
      </c>
      <c r="F540" s="195">
        <v>193</v>
      </c>
      <c r="G540" s="239">
        <v>533</v>
      </c>
      <c r="H540" s="197" t="s">
        <v>79</v>
      </c>
      <c r="I540" s="242" t="s">
        <v>215</v>
      </c>
      <c r="J540" s="242" t="s">
        <v>8190</v>
      </c>
      <c r="K540" s="195" t="s">
        <v>71</v>
      </c>
      <c r="L540" s="20" t="str">
        <f ca="1">IF(OFFSET(환산공식!$ED$15,$F540,0)=1,"O","X")</f>
        <v>X</v>
      </c>
      <c r="M540" s="188">
        <f ca="1">IFERROR(OFFSET(환산공식!DJ$15,$F540,0),"")</f>
        <v>125</v>
      </c>
      <c r="N540" s="20" t="str">
        <f ca="1">IFERROR(CONCATENATE(ROUND(OFFSET(환산공식!DK$15,$F540,0),1),"%"),"")</f>
        <v>100%</v>
      </c>
      <c r="O540" s="20">
        <f ca="1">IFERROR(OFFSET(환산공식!DL$15,$F540,0),"")</f>
        <v>10</v>
      </c>
      <c r="P540" s="188" t="str">
        <f t="shared" ca="1" si="16"/>
        <v>3% 이하</v>
      </c>
      <c r="Q540" s="194">
        <f ca="1">IFERROR(ROUND(OFFSET(환산공식!$FG$15,$F540,0),3),"")</f>
        <v>0</v>
      </c>
      <c r="R540" s="194">
        <f ca="1">OFFSET('배치점수 계산기'!H$10,$D540,0)</f>
        <v>677.39499999999998</v>
      </c>
      <c r="S540" s="194">
        <f ca="1">OFFSET('배치점수 계산기'!I$10,$D540,0)</f>
        <v>675.18799999999999</v>
      </c>
      <c r="T540" s="194">
        <f ca="1">OFFSET('배치점수 계산기'!J$10,$D540,0)</f>
        <v>671.03300000000002</v>
      </c>
      <c r="U540" s="194">
        <f ca="1">OFFSET('배치점수 계산기'!K$10,$D540,0)</f>
        <v>666.072</v>
      </c>
      <c r="V540" s="194">
        <f ca="1">OFFSET('배치점수 계산기'!L$10,$D540,0)</f>
        <v>660.99800000000005</v>
      </c>
      <c r="W540" s="186" t="str">
        <f ca="1">OFFSET('배치점수 계산기'!M$10,$D540,0)</f>
        <v>표점</v>
      </c>
      <c r="X540" s="184" t="str">
        <f ca="1">OFFSET('배치점수 계산기'!N$10,$D540,0)</f>
        <v>변표</v>
      </c>
      <c r="Y540" s="188">
        <f ca="1">OFFSET(환산공식!FW$15,$F540,0)</f>
        <v>0.43</v>
      </c>
      <c r="Z540" s="20">
        <f ca="1">OFFSET(환산공식!FX$15,$F540,0)</f>
        <v>0.28999999999999998</v>
      </c>
      <c r="AA540" s="179">
        <f ca="1">OFFSET(환산공식!FY$15,$F540,0)</f>
        <v>0.28999999999999998</v>
      </c>
      <c r="AB540" s="3"/>
      <c r="AD540">
        <f t="shared" ca="1" si="17"/>
        <v>6</v>
      </c>
      <c r="AF540" s="3"/>
      <c r="AG540" s="3"/>
      <c r="AH540" s="3"/>
    </row>
    <row r="541" spans="1:34">
      <c r="A541" s="198"/>
      <c r="B541" s="198"/>
      <c r="C541" s="198" t="s">
        <v>1993</v>
      </c>
      <c r="D541" s="195">
        <v>1532</v>
      </c>
      <c r="E541" s="195">
        <v>193</v>
      </c>
      <c r="F541" s="195">
        <v>193</v>
      </c>
      <c r="G541" s="239">
        <v>534</v>
      </c>
      <c r="H541" s="197" t="s">
        <v>79</v>
      </c>
      <c r="I541" s="242" t="s">
        <v>215</v>
      </c>
      <c r="J541" s="242" t="s">
        <v>10466</v>
      </c>
      <c r="K541" s="195" t="s">
        <v>71</v>
      </c>
      <c r="L541" s="20" t="str">
        <f ca="1">IF(OFFSET(환산공식!$ED$15,$F541,0)=1,"O","X")</f>
        <v>X</v>
      </c>
      <c r="M541" s="188">
        <f ca="1">IFERROR(OFFSET(환산공식!DJ$15,$F541,0),"")</f>
        <v>125</v>
      </c>
      <c r="N541" s="20" t="str">
        <f ca="1">IFERROR(CONCATENATE(ROUND(OFFSET(환산공식!DK$15,$F541,0),1),"%"),"")</f>
        <v>100%</v>
      </c>
      <c r="O541" s="20">
        <f ca="1">IFERROR(OFFSET(환산공식!DL$15,$F541,0),"")</f>
        <v>10</v>
      </c>
      <c r="P541" s="188" t="str">
        <f t="shared" ca="1" si="16"/>
        <v>3% 이하</v>
      </c>
      <c r="Q541" s="194">
        <f ca="1">IFERROR(ROUND(OFFSET(환산공식!$FG$15,$F541,0),3),"")</f>
        <v>0</v>
      </c>
      <c r="R541" s="194">
        <f ca="1">OFFSET('배치점수 계산기'!H$10,$D541,0)</f>
        <v>672.62800000000004</v>
      </c>
      <c r="S541" s="194">
        <f ca="1">OFFSET('배치점수 계산기'!I$10,$D541,0)</f>
        <v>670.84500000000003</v>
      </c>
      <c r="T541" s="194">
        <f ca="1">OFFSET('배치점수 계산기'!J$10,$D541,0)</f>
        <v>667.40800000000002</v>
      </c>
      <c r="U541" s="194">
        <f ca="1">OFFSET('배치점수 계산기'!K$10,$D541,0)</f>
        <v>663.19899999999996</v>
      </c>
      <c r="V541" s="194">
        <f ca="1">OFFSET('배치점수 계산기'!L$10,$D541,0)</f>
        <v>658.21299999999997</v>
      </c>
      <c r="W541" s="186" t="str">
        <f ca="1">OFFSET('배치점수 계산기'!M$10,$D541,0)</f>
        <v>표점</v>
      </c>
      <c r="X541" s="184" t="str">
        <f ca="1">OFFSET('배치점수 계산기'!N$10,$D541,0)</f>
        <v>변표</v>
      </c>
      <c r="Y541" s="188">
        <f ca="1">OFFSET(환산공식!FW$15,$F541,0)</f>
        <v>0.43</v>
      </c>
      <c r="Z541" s="20">
        <f ca="1">OFFSET(환산공식!FX$15,$F541,0)</f>
        <v>0.28999999999999998</v>
      </c>
      <c r="AA541" s="179">
        <f ca="1">OFFSET(환산공식!FY$15,$F541,0)</f>
        <v>0.28999999999999998</v>
      </c>
      <c r="AB541" s="3"/>
      <c r="AD541">
        <f t="shared" ca="1" si="17"/>
        <v>6</v>
      </c>
      <c r="AF541" s="3"/>
      <c r="AG541" s="3"/>
      <c r="AH541" s="3"/>
    </row>
    <row r="542" spans="1:34">
      <c r="A542" s="198"/>
      <c r="B542" s="198"/>
      <c r="C542" s="198" t="s">
        <v>1994</v>
      </c>
      <c r="D542" s="195">
        <v>1533</v>
      </c>
      <c r="E542" s="195">
        <v>193</v>
      </c>
      <c r="F542" s="195">
        <v>193</v>
      </c>
      <c r="G542" s="239">
        <v>535</v>
      </c>
      <c r="H542" s="197" t="s">
        <v>79</v>
      </c>
      <c r="I542" s="242" t="s">
        <v>215</v>
      </c>
      <c r="J542" s="242" t="s">
        <v>10902</v>
      </c>
      <c r="K542" s="195" t="s">
        <v>71</v>
      </c>
      <c r="L542" s="20" t="str">
        <f ca="1">IF(OFFSET(환산공식!$ED$15,$F542,0)=1,"O","X")</f>
        <v>X</v>
      </c>
      <c r="M542" s="188">
        <f ca="1">IFERROR(OFFSET(환산공식!DJ$15,$F542,0),"")</f>
        <v>125</v>
      </c>
      <c r="N542" s="20" t="str">
        <f ca="1">IFERROR(CONCATENATE(ROUND(OFFSET(환산공식!DK$15,$F542,0),1),"%"),"")</f>
        <v>100%</v>
      </c>
      <c r="O542" s="20">
        <f ca="1">IFERROR(OFFSET(환산공식!DL$15,$F542,0),"")</f>
        <v>10</v>
      </c>
      <c r="P542" s="188" t="str">
        <f t="shared" ca="1" si="16"/>
        <v>3% 이하</v>
      </c>
      <c r="Q542" s="194">
        <f ca="1">IFERROR(ROUND(OFFSET(환산공식!$FG$15,$F542,0),3),"")</f>
        <v>0</v>
      </c>
      <c r="R542" s="194">
        <f ca="1">OFFSET('배치점수 계산기'!H$10,$D542,0)</f>
        <v>672.50300000000004</v>
      </c>
      <c r="S542" s="194">
        <f ca="1">OFFSET('배치점수 계산기'!I$10,$D542,0)</f>
        <v>670.72</v>
      </c>
      <c r="T542" s="194">
        <f ca="1">OFFSET('배치점수 계산기'!J$10,$D542,0)</f>
        <v>667.40800000000002</v>
      </c>
      <c r="U542" s="194">
        <f ca="1">OFFSET('배치점수 계산기'!K$10,$D542,0)</f>
        <v>663.51099999999997</v>
      </c>
      <c r="V542" s="194">
        <f ca="1">OFFSET('배치점수 계산기'!L$10,$D542,0)</f>
        <v>658.71299999999997</v>
      </c>
      <c r="W542" s="186" t="str">
        <f ca="1">OFFSET('배치점수 계산기'!M$10,$D542,0)</f>
        <v>표점</v>
      </c>
      <c r="X542" s="184" t="str">
        <f ca="1">OFFSET('배치점수 계산기'!N$10,$D542,0)</f>
        <v>변표</v>
      </c>
      <c r="Y542" s="188">
        <f ca="1">OFFSET(환산공식!FW$15,$F542,0)</f>
        <v>0.43</v>
      </c>
      <c r="Z542" s="20">
        <f ca="1">OFFSET(환산공식!FX$15,$F542,0)</f>
        <v>0.28999999999999998</v>
      </c>
      <c r="AA542" s="179">
        <f ca="1">OFFSET(환산공식!FY$15,$F542,0)</f>
        <v>0.28999999999999998</v>
      </c>
      <c r="AB542" s="3"/>
      <c r="AD542">
        <f t="shared" ca="1" si="17"/>
        <v>6</v>
      </c>
      <c r="AF542" s="3"/>
      <c r="AG542" s="3"/>
      <c r="AH542" s="3"/>
    </row>
    <row r="543" spans="1:34">
      <c r="A543" s="198"/>
      <c r="B543" s="198"/>
      <c r="C543" s="198" t="s">
        <v>1995</v>
      </c>
      <c r="D543" s="195">
        <v>1534</v>
      </c>
      <c r="E543" s="195">
        <v>193</v>
      </c>
      <c r="F543" s="195">
        <v>193</v>
      </c>
      <c r="G543" s="239">
        <v>536</v>
      </c>
      <c r="H543" s="197" t="s">
        <v>79</v>
      </c>
      <c r="I543" s="242" t="s">
        <v>215</v>
      </c>
      <c r="J543" s="242" t="s">
        <v>9141</v>
      </c>
      <c r="K543" s="195" t="s">
        <v>71</v>
      </c>
      <c r="L543" s="20" t="str">
        <f ca="1">IF(OFFSET(환산공식!$ED$15,$F543,0)=1,"O","X")</f>
        <v>X</v>
      </c>
      <c r="M543" s="188">
        <f ca="1">IFERROR(OFFSET(환산공식!DJ$15,$F543,0),"")</f>
        <v>125</v>
      </c>
      <c r="N543" s="20" t="str">
        <f ca="1">IFERROR(CONCATENATE(ROUND(OFFSET(환산공식!DK$15,$F543,0),1),"%"),"")</f>
        <v>100%</v>
      </c>
      <c r="O543" s="20">
        <f ca="1">IFERROR(OFFSET(환산공식!DL$15,$F543,0),"")</f>
        <v>10</v>
      </c>
      <c r="P543" s="188" t="str">
        <f t="shared" ca="1" si="16"/>
        <v>3% 이하</v>
      </c>
      <c r="Q543" s="194">
        <f ca="1">IFERROR(ROUND(OFFSET(환산공식!$FG$15,$F543,0),3),"")</f>
        <v>0</v>
      </c>
      <c r="R543" s="194">
        <f ca="1">OFFSET('배치점수 계산기'!H$10,$D543,0)</f>
        <v>674.00400000000002</v>
      </c>
      <c r="S543" s="194">
        <f ca="1">OFFSET('배치점수 계산기'!I$10,$D543,0)</f>
        <v>671.03300000000002</v>
      </c>
      <c r="T543" s="194">
        <f ca="1">OFFSET('배치점수 계산기'!J$10,$D543,0)</f>
        <v>666.36500000000001</v>
      </c>
      <c r="U543" s="194">
        <f ca="1">OFFSET('배치점수 계산기'!K$10,$D543,0)</f>
        <v>662.726</v>
      </c>
      <c r="V543" s="194">
        <f ca="1">OFFSET('배치점수 계산기'!L$10,$D543,0)</f>
        <v>657.32600000000002</v>
      </c>
      <c r="W543" s="186" t="str">
        <f ca="1">OFFSET('배치점수 계산기'!M$10,$D543,0)</f>
        <v>표점</v>
      </c>
      <c r="X543" s="184" t="str">
        <f ca="1">OFFSET('배치점수 계산기'!N$10,$D543,0)</f>
        <v>변표</v>
      </c>
      <c r="Y543" s="188">
        <f ca="1">OFFSET(환산공식!FW$15,$F543,0)</f>
        <v>0.43</v>
      </c>
      <c r="Z543" s="20">
        <f ca="1">OFFSET(환산공식!FX$15,$F543,0)</f>
        <v>0.28999999999999998</v>
      </c>
      <c r="AA543" s="179">
        <f ca="1">OFFSET(환산공식!FY$15,$F543,0)</f>
        <v>0.28999999999999998</v>
      </c>
      <c r="AB543" s="3"/>
      <c r="AD543">
        <f t="shared" ca="1" si="17"/>
        <v>6</v>
      </c>
      <c r="AF543" s="3"/>
      <c r="AG543" s="3"/>
      <c r="AH543" s="3"/>
    </row>
    <row r="544" spans="1:34">
      <c r="A544" s="198"/>
      <c r="B544" s="198"/>
      <c r="C544" s="198" t="s">
        <v>1996</v>
      </c>
      <c r="D544" s="195">
        <v>1535</v>
      </c>
      <c r="E544" s="195">
        <v>193</v>
      </c>
      <c r="F544" s="195">
        <v>193</v>
      </c>
      <c r="G544" s="239">
        <v>537</v>
      </c>
      <c r="H544" s="197" t="s">
        <v>79</v>
      </c>
      <c r="I544" s="242" t="s">
        <v>215</v>
      </c>
      <c r="J544" s="242" t="s">
        <v>10920</v>
      </c>
      <c r="K544" s="195" t="s">
        <v>71</v>
      </c>
      <c r="L544" s="20" t="str">
        <f ca="1">IF(OFFSET(환산공식!$ED$15,$F544,0)=1,"O","X")</f>
        <v>X</v>
      </c>
      <c r="M544" s="188">
        <f ca="1">IFERROR(OFFSET(환산공식!DJ$15,$F544,0),"")</f>
        <v>125</v>
      </c>
      <c r="N544" s="20" t="str">
        <f ca="1">IFERROR(CONCATENATE(ROUND(OFFSET(환산공식!DK$15,$F544,0),1),"%"),"")</f>
        <v>100%</v>
      </c>
      <c r="O544" s="20">
        <f ca="1">IFERROR(OFFSET(환산공식!DL$15,$F544,0),"")</f>
        <v>10</v>
      </c>
      <c r="P544" s="188" t="str">
        <f t="shared" ca="1" si="16"/>
        <v>3% 이하</v>
      </c>
      <c r="Q544" s="194">
        <f ca="1">IFERROR(ROUND(OFFSET(환산공식!$FG$15,$F544,0),3),"")</f>
        <v>0</v>
      </c>
      <c r="R544" s="194">
        <f ca="1">OFFSET('배치점수 계산기'!H$10,$D544,0)</f>
        <v>671.625</v>
      </c>
      <c r="S544" s="194">
        <f ca="1">OFFSET('배치점수 계산기'!I$10,$D544,0)</f>
        <v>669.93</v>
      </c>
      <c r="T544" s="194">
        <f ca="1">OFFSET('배치점수 계산기'!J$10,$D544,0)</f>
        <v>665.90300000000002</v>
      </c>
      <c r="U544" s="194">
        <f ca="1">OFFSET('배치점수 계산기'!K$10,$D544,0)</f>
        <v>662.43299999999999</v>
      </c>
      <c r="V544" s="194">
        <f ca="1">OFFSET('배치점수 계산기'!L$10,$D544,0)</f>
        <v>657.32600000000002</v>
      </c>
      <c r="W544" s="186" t="str">
        <f ca="1">OFFSET('배치점수 계산기'!M$10,$D544,0)</f>
        <v>표점</v>
      </c>
      <c r="X544" s="184" t="str">
        <f ca="1">OFFSET('배치점수 계산기'!N$10,$D544,0)</f>
        <v>변표</v>
      </c>
      <c r="Y544" s="188">
        <f ca="1">OFFSET(환산공식!FW$15,$F544,0)</f>
        <v>0.43</v>
      </c>
      <c r="Z544" s="20">
        <f ca="1">OFFSET(환산공식!FX$15,$F544,0)</f>
        <v>0.28999999999999998</v>
      </c>
      <c r="AA544" s="179">
        <f ca="1">OFFSET(환산공식!FY$15,$F544,0)</f>
        <v>0.28999999999999998</v>
      </c>
      <c r="AB544" s="3"/>
      <c r="AD544">
        <f t="shared" ca="1" si="17"/>
        <v>6</v>
      </c>
      <c r="AF544" s="3"/>
      <c r="AG544" s="3"/>
      <c r="AH544" s="3"/>
    </row>
    <row r="545" spans="1:34">
      <c r="A545" s="198"/>
      <c r="B545" s="198"/>
      <c r="C545" s="198" t="s">
        <v>1997</v>
      </c>
      <c r="D545" s="195">
        <v>1536</v>
      </c>
      <c r="E545" s="195">
        <v>193</v>
      </c>
      <c r="F545" s="195">
        <v>193</v>
      </c>
      <c r="G545" s="239">
        <v>538</v>
      </c>
      <c r="H545" s="197" t="s">
        <v>79</v>
      </c>
      <c r="I545" s="242" t="s">
        <v>215</v>
      </c>
      <c r="J545" s="242" t="s">
        <v>8534</v>
      </c>
      <c r="K545" s="195" t="s">
        <v>71</v>
      </c>
      <c r="L545" s="20" t="str">
        <f ca="1">IF(OFFSET(환산공식!$ED$15,$F545,0)=1,"O","X")</f>
        <v>X</v>
      </c>
      <c r="M545" s="188">
        <f ca="1">IFERROR(OFFSET(환산공식!DJ$15,$F545,0),"")</f>
        <v>125</v>
      </c>
      <c r="N545" s="20" t="str">
        <f ca="1">IFERROR(CONCATENATE(ROUND(OFFSET(환산공식!DK$15,$F545,0),1),"%"),"")</f>
        <v>100%</v>
      </c>
      <c r="O545" s="20">
        <f ca="1">IFERROR(OFFSET(환산공식!DL$15,$F545,0),"")</f>
        <v>10</v>
      </c>
      <c r="P545" s="188" t="str">
        <f t="shared" ca="1" si="16"/>
        <v>3% 이하</v>
      </c>
      <c r="Q545" s="194">
        <f ca="1">IFERROR(ROUND(OFFSET(환산공식!$FG$15,$F545,0),3),"")</f>
        <v>0</v>
      </c>
      <c r="R545" s="194">
        <f ca="1">OFFSET('배치점수 계산기'!H$10,$D545,0)</f>
        <v>671.96</v>
      </c>
      <c r="S545" s="194">
        <f ca="1">OFFSET('배치점수 계산기'!I$10,$D545,0)</f>
        <v>669.64300000000003</v>
      </c>
      <c r="T545" s="194">
        <f ca="1">OFFSET('배치점수 계산기'!J$10,$D545,0)</f>
        <v>665.10500000000002</v>
      </c>
      <c r="U545" s="194">
        <f ca="1">OFFSET('배치점수 계산기'!K$10,$D545,0)</f>
        <v>661.22900000000004</v>
      </c>
      <c r="V545" s="194">
        <f ca="1">OFFSET('배치점수 계산기'!L$10,$D545,0)</f>
        <v>655.98</v>
      </c>
      <c r="W545" s="186" t="str">
        <f ca="1">OFFSET('배치점수 계산기'!M$10,$D545,0)</f>
        <v>표점</v>
      </c>
      <c r="X545" s="184" t="str">
        <f ca="1">OFFSET('배치점수 계산기'!N$10,$D545,0)</f>
        <v>변표</v>
      </c>
      <c r="Y545" s="188">
        <f ca="1">OFFSET(환산공식!FW$15,$F545,0)</f>
        <v>0.43</v>
      </c>
      <c r="Z545" s="20">
        <f ca="1">OFFSET(환산공식!FX$15,$F545,0)</f>
        <v>0.28999999999999998</v>
      </c>
      <c r="AA545" s="179">
        <f ca="1">OFFSET(환산공식!FY$15,$F545,0)</f>
        <v>0.28999999999999998</v>
      </c>
      <c r="AB545" s="3"/>
      <c r="AD545">
        <f t="shared" ca="1" si="17"/>
        <v>6</v>
      </c>
      <c r="AF545" s="3"/>
      <c r="AG545" s="3"/>
      <c r="AH545" s="3"/>
    </row>
    <row r="546" spans="1:34">
      <c r="A546" s="198"/>
      <c r="B546" s="198"/>
      <c r="C546" s="198" t="s">
        <v>1998</v>
      </c>
      <c r="D546" s="195">
        <v>1537</v>
      </c>
      <c r="E546" s="195">
        <v>193</v>
      </c>
      <c r="F546" s="195">
        <v>193</v>
      </c>
      <c r="G546" s="239">
        <v>539</v>
      </c>
      <c r="H546" s="197" t="s">
        <v>79</v>
      </c>
      <c r="I546" s="242" t="s">
        <v>215</v>
      </c>
      <c r="J546" s="242" t="s">
        <v>8772</v>
      </c>
      <c r="K546" s="195" t="s">
        <v>71</v>
      </c>
      <c r="L546" s="20" t="str">
        <f ca="1">IF(OFFSET(환산공식!$ED$15,$F546,0)=1,"O","X")</f>
        <v>X</v>
      </c>
      <c r="M546" s="188">
        <f ca="1">IFERROR(OFFSET(환산공식!DJ$15,$F546,0),"")</f>
        <v>125</v>
      </c>
      <c r="N546" s="20" t="str">
        <f ca="1">IFERROR(CONCATENATE(ROUND(OFFSET(환산공식!DK$15,$F546,0),1),"%"),"")</f>
        <v>100%</v>
      </c>
      <c r="O546" s="20">
        <f ca="1">IFERROR(OFFSET(환산공식!DL$15,$F546,0),"")</f>
        <v>10</v>
      </c>
      <c r="P546" s="188" t="str">
        <f t="shared" ca="1" si="16"/>
        <v>3% 이하</v>
      </c>
      <c r="Q546" s="194">
        <f ca="1">IFERROR(ROUND(OFFSET(환산공식!$FG$15,$F546,0),3),"")</f>
        <v>0</v>
      </c>
      <c r="R546" s="194">
        <f ca="1">OFFSET('배치점수 계산기'!H$10,$D546,0)</f>
        <v>666.36500000000001</v>
      </c>
      <c r="S546" s="194">
        <f ca="1">OFFSET('배치점수 계산기'!I$10,$D546,0)</f>
        <v>664.41600000000005</v>
      </c>
      <c r="T546" s="194">
        <f ca="1">OFFSET('배치점수 계산기'!J$10,$D546,0)</f>
        <v>660.81100000000004</v>
      </c>
      <c r="U546" s="194">
        <f ca="1">OFFSET('배치점수 계산기'!K$10,$D546,0)</f>
        <v>656.99400000000003</v>
      </c>
      <c r="V546" s="194">
        <f ca="1">OFFSET('배치점수 계산기'!L$10,$D546,0)</f>
        <v>651.52200000000005</v>
      </c>
      <c r="W546" s="186" t="str">
        <f ca="1">OFFSET('배치점수 계산기'!M$10,$D546,0)</f>
        <v>표점</v>
      </c>
      <c r="X546" s="184" t="str">
        <f ca="1">OFFSET('배치점수 계산기'!N$10,$D546,0)</f>
        <v>변표</v>
      </c>
      <c r="Y546" s="188">
        <f ca="1">OFFSET(환산공식!FW$15,$F546,0)</f>
        <v>0.43</v>
      </c>
      <c r="Z546" s="20">
        <f ca="1">OFFSET(환산공식!FX$15,$F546,0)</f>
        <v>0.28999999999999998</v>
      </c>
      <c r="AA546" s="179">
        <f ca="1">OFFSET(환산공식!FY$15,$F546,0)</f>
        <v>0.28999999999999998</v>
      </c>
      <c r="AB546" s="3"/>
      <c r="AD546">
        <f t="shared" ca="1" si="17"/>
        <v>6</v>
      </c>
      <c r="AF546" s="3"/>
      <c r="AG546" s="3"/>
      <c r="AH546" s="3"/>
    </row>
    <row r="547" spans="1:34">
      <c r="A547" s="198"/>
      <c r="B547" s="198"/>
      <c r="C547" s="198" t="s">
        <v>1999</v>
      </c>
      <c r="D547" s="195">
        <v>1538</v>
      </c>
      <c r="E547" s="195">
        <v>193</v>
      </c>
      <c r="F547" s="195">
        <v>193</v>
      </c>
      <c r="G547" s="239">
        <v>540</v>
      </c>
      <c r="H547" s="197" t="s">
        <v>79</v>
      </c>
      <c r="I547" s="242" t="s">
        <v>215</v>
      </c>
      <c r="J547" s="242" t="s">
        <v>8232</v>
      </c>
      <c r="K547" s="195" t="s">
        <v>71</v>
      </c>
      <c r="L547" s="20" t="str">
        <f ca="1">IF(OFFSET(환산공식!$ED$15,$F547,0)=1,"O","X")</f>
        <v>X</v>
      </c>
      <c r="M547" s="188">
        <f ca="1">IFERROR(OFFSET(환산공식!DJ$15,$F547,0),"")</f>
        <v>125</v>
      </c>
      <c r="N547" s="20" t="str">
        <f ca="1">IFERROR(CONCATENATE(ROUND(OFFSET(환산공식!DK$15,$F547,0),1),"%"),"")</f>
        <v>100%</v>
      </c>
      <c r="O547" s="20">
        <f ca="1">IFERROR(OFFSET(환산공식!DL$15,$F547,0),"")</f>
        <v>10</v>
      </c>
      <c r="P547" s="188" t="str">
        <f t="shared" ca="1" si="16"/>
        <v>3% 이하</v>
      </c>
      <c r="Q547" s="194">
        <f ca="1">IFERROR(ROUND(OFFSET(환산공식!$FG$15,$F547,0),3),"")</f>
        <v>0</v>
      </c>
      <c r="R547" s="194">
        <f ca="1">OFFSET('배치점수 계산기'!H$10,$D547,0)</f>
        <v>664.01700000000005</v>
      </c>
      <c r="S547" s="194">
        <f ca="1">OFFSET('배치점수 계산기'!I$10,$D547,0)</f>
        <v>662.53800000000001</v>
      </c>
      <c r="T547" s="194">
        <f ca="1">OFFSET('배치점수 계산기'!J$10,$D547,0)</f>
        <v>659.72400000000005</v>
      </c>
      <c r="U547" s="194">
        <f ca="1">OFFSET('배치점수 계산기'!K$10,$D547,0)</f>
        <v>653.90800000000002</v>
      </c>
      <c r="V547" s="194">
        <f ca="1">OFFSET('배치점수 계산기'!L$10,$D547,0)</f>
        <v>647.20299999999997</v>
      </c>
      <c r="W547" s="186" t="str">
        <f ca="1">OFFSET('배치점수 계산기'!M$10,$D547,0)</f>
        <v>표점</v>
      </c>
      <c r="X547" s="184" t="str">
        <f ca="1">OFFSET('배치점수 계산기'!N$10,$D547,0)</f>
        <v>변표</v>
      </c>
      <c r="Y547" s="188">
        <f ca="1">OFFSET(환산공식!FW$15,$F547,0)</f>
        <v>0.43</v>
      </c>
      <c r="Z547" s="20">
        <f ca="1">OFFSET(환산공식!FX$15,$F547,0)</f>
        <v>0.28999999999999998</v>
      </c>
      <c r="AA547" s="179">
        <f ca="1">OFFSET(환산공식!FY$15,$F547,0)</f>
        <v>0.28999999999999998</v>
      </c>
      <c r="AB547" s="3"/>
      <c r="AD547">
        <f t="shared" ca="1" si="17"/>
        <v>6</v>
      </c>
      <c r="AF547" s="3"/>
      <c r="AG547" s="3"/>
      <c r="AH547" s="3"/>
    </row>
    <row r="548" spans="1:34">
      <c r="A548" s="198"/>
      <c r="B548" s="198"/>
      <c r="C548" s="198" t="s">
        <v>2000</v>
      </c>
      <c r="D548" s="195">
        <v>1539</v>
      </c>
      <c r="E548" s="195">
        <v>193</v>
      </c>
      <c r="F548" s="195">
        <v>193</v>
      </c>
      <c r="G548" s="239">
        <v>541</v>
      </c>
      <c r="H548" s="197" t="s">
        <v>79</v>
      </c>
      <c r="I548" s="242" t="s">
        <v>215</v>
      </c>
      <c r="J548" s="242" t="s">
        <v>542</v>
      </c>
      <c r="K548" s="195" t="s">
        <v>71</v>
      </c>
      <c r="L548" s="20" t="str">
        <f ca="1">IF(OFFSET(환산공식!$ED$15,$F548,0)=1,"O","X")</f>
        <v>X</v>
      </c>
      <c r="M548" s="188">
        <f ca="1">IFERROR(OFFSET(환산공식!DJ$15,$F548,0),"")</f>
        <v>125</v>
      </c>
      <c r="N548" s="20" t="str">
        <f ca="1">IFERROR(CONCATENATE(ROUND(OFFSET(환산공식!DK$15,$F548,0),1),"%"),"")</f>
        <v>100%</v>
      </c>
      <c r="O548" s="20">
        <f ca="1">IFERROR(OFFSET(환산공식!DL$15,$F548,0),"")</f>
        <v>10</v>
      </c>
      <c r="P548" s="188" t="str">
        <f t="shared" ca="1" si="16"/>
        <v>3% 이하</v>
      </c>
      <c r="Q548" s="194">
        <f ca="1">IFERROR(ROUND(OFFSET(환산공식!$FG$15,$F548,0),3),"")</f>
        <v>0</v>
      </c>
      <c r="R548" s="194">
        <f ca="1">OFFSET('배치점수 계산기'!H$10,$D548,0)</f>
        <v>664.01700000000005</v>
      </c>
      <c r="S548" s="194">
        <f ca="1">OFFSET('배치점수 계산기'!I$10,$D548,0)</f>
        <v>662.53800000000001</v>
      </c>
      <c r="T548" s="194">
        <f ca="1">OFFSET('배치점수 계산기'!J$10,$D548,0)</f>
        <v>659.72400000000005</v>
      </c>
      <c r="U548" s="194">
        <f ca="1">OFFSET('배치점수 계산기'!K$10,$D548,0)</f>
        <v>653.90800000000002</v>
      </c>
      <c r="V548" s="194">
        <f ca="1">OFFSET('배치점수 계산기'!L$10,$D548,0)</f>
        <v>647.20299999999997</v>
      </c>
      <c r="W548" s="186" t="str">
        <f ca="1">OFFSET('배치점수 계산기'!M$10,$D548,0)</f>
        <v>표점</v>
      </c>
      <c r="X548" s="184" t="str">
        <f ca="1">OFFSET('배치점수 계산기'!N$10,$D548,0)</f>
        <v>변표</v>
      </c>
      <c r="Y548" s="188">
        <f ca="1">OFFSET(환산공식!FW$15,$F548,0)</f>
        <v>0.43</v>
      </c>
      <c r="Z548" s="20">
        <f ca="1">OFFSET(환산공식!FX$15,$F548,0)</f>
        <v>0.28999999999999998</v>
      </c>
      <c r="AA548" s="179">
        <f ca="1">OFFSET(환산공식!FY$15,$F548,0)</f>
        <v>0.28999999999999998</v>
      </c>
      <c r="AB548" s="3"/>
      <c r="AD548">
        <f t="shared" ca="1" si="17"/>
        <v>6</v>
      </c>
      <c r="AF548" s="3"/>
      <c r="AG548" s="3"/>
      <c r="AH548" s="3"/>
    </row>
    <row r="549" spans="1:34">
      <c r="A549" s="198"/>
      <c r="B549" s="198"/>
      <c r="C549" s="198" t="s">
        <v>2001</v>
      </c>
      <c r="D549" s="195">
        <v>1540</v>
      </c>
      <c r="E549" s="195">
        <v>193</v>
      </c>
      <c r="F549" s="195">
        <v>193</v>
      </c>
      <c r="G549" s="239">
        <v>542</v>
      </c>
      <c r="H549" s="197" t="s">
        <v>79</v>
      </c>
      <c r="I549" s="242" t="s">
        <v>215</v>
      </c>
      <c r="J549" s="242" t="s">
        <v>8953</v>
      </c>
      <c r="K549" s="195" t="s">
        <v>71</v>
      </c>
      <c r="L549" s="20" t="str">
        <f ca="1">IF(OFFSET(환산공식!$ED$15,$F549,0)=1,"O","X")</f>
        <v>X</v>
      </c>
      <c r="M549" s="188">
        <f ca="1">IFERROR(OFFSET(환산공식!DJ$15,$F549,0),"")</f>
        <v>125</v>
      </c>
      <c r="N549" s="20" t="str">
        <f ca="1">IFERROR(CONCATENATE(ROUND(OFFSET(환산공식!DK$15,$F549,0),1),"%"),"")</f>
        <v>100%</v>
      </c>
      <c r="O549" s="20">
        <f ca="1">IFERROR(OFFSET(환산공식!DL$15,$F549,0),"")</f>
        <v>10</v>
      </c>
      <c r="P549" s="188" t="str">
        <f t="shared" ca="1" si="16"/>
        <v>3% 이하</v>
      </c>
      <c r="Q549" s="194">
        <f ca="1">IFERROR(ROUND(OFFSET(환산공식!$FG$15,$F549,0),3),"")</f>
        <v>0</v>
      </c>
      <c r="R549" s="194">
        <f ca="1">OFFSET('배치점수 계산기'!H$10,$D549,0)</f>
        <v>665.10500000000002</v>
      </c>
      <c r="S549" s="194">
        <f ca="1">OFFSET('배치점수 계산기'!I$10,$D549,0)</f>
        <v>663.09299999999996</v>
      </c>
      <c r="T549" s="194">
        <f ca="1">OFFSET('배치점수 계산기'!J$10,$D549,0)</f>
        <v>659.41200000000003</v>
      </c>
      <c r="U549" s="194">
        <f ca="1">OFFSET('배치점수 계산기'!K$10,$D549,0)</f>
        <v>655.53</v>
      </c>
      <c r="V549" s="194">
        <f ca="1">OFFSET('배치점수 계산기'!L$10,$D549,0)</f>
        <v>650.33000000000004</v>
      </c>
      <c r="W549" s="186" t="str">
        <f ca="1">OFFSET('배치점수 계산기'!M$10,$D549,0)</f>
        <v>표점</v>
      </c>
      <c r="X549" s="184" t="str">
        <f ca="1">OFFSET('배치점수 계산기'!N$10,$D549,0)</f>
        <v>변표</v>
      </c>
      <c r="Y549" s="188">
        <f ca="1">OFFSET(환산공식!FW$15,$F549,0)</f>
        <v>0.43</v>
      </c>
      <c r="Z549" s="20">
        <f ca="1">OFFSET(환산공식!FX$15,$F549,0)</f>
        <v>0.28999999999999998</v>
      </c>
      <c r="AA549" s="179">
        <f ca="1">OFFSET(환산공식!FY$15,$F549,0)</f>
        <v>0.28999999999999998</v>
      </c>
      <c r="AB549" s="3"/>
      <c r="AD549">
        <f t="shared" ca="1" si="17"/>
        <v>6</v>
      </c>
      <c r="AF549" s="3"/>
      <c r="AG549" s="3"/>
      <c r="AH549" s="3"/>
    </row>
    <row r="550" spans="1:34">
      <c r="A550" s="198"/>
      <c r="B550" s="198"/>
      <c r="C550" s="198" t="s">
        <v>2002</v>
      </c>
      <c r="D550" s="195">
        <v>1541</v>
      </c>
      <c r="E550" s="195">
        <v>193</v>
      </c>
      <c r="F550" s="195">
        <v>193</v>
      </c>
      <c r="G550" s="239">
        <v>543</v>
      </c>
      <c r="H550" s="197" t="s">
        <v>79</v>
      </c>
      <c r="I550" s="242" t="s">
        <v>215</v>
      </c>
      <c r="J550" s="242" t="s">
        <v>9709</v>
      </c>
      <c r="K550" s="195" t="s">
        <v>71</v>
      </c>
      <c r="L550" s="20" t="str">
        <f ca="1">IF(OFFSET(환산공식!$ED$15,$F550,0)=1,"O","X")</f>
        <v>X</v>
      </c>
      <c r="M550" s="188">
        <f ca="1">IFERROR(OFFSET(환산공식!DJ$15,$F550,0),"")</f>
        <v>125</v>
      </c>
      <c r="N550" s="20" t="str">
        <f ca="1">IFERROR(CONCATENATE(ROUND(OFFSET(환산공식!DK$15,$F550,0),1),"%"),"")</f>
        <v>100%</v>
      </c>
      <c r="O550" s="20">
        <f ca="1">IFERROR(OFFSET(환산공식!DL$15,$F550,0),"")</f>
        <v>10</v>
      </c>
      <c r="P550" s="188" t="str">
        <f t="shared" ca="1" si="16"/>
        <v>3% 이하</v>
      </c>
      <c r="Q550" s="194">
        <f ca="1">IFERROR(ROUND(OFFSET(환산공식!$FG$15,$F550,0),3),"")</f>
        <v>0</v>
      </c>
      <c r="R550" s="194">
        <f ca="1">OFFSET('배치점수 계산기'!H$10,$D550,0)</f>
        <v>664.41600000000005</v>
      </c>
      <c r="S550" s="194">
        <f ca="1">OFFSET('배치점수 계산기'!I$10,$D550,0)</f>
        <v>662.202</v>
      </c>
      <c r="T550" s="194">
        <f ca="1">OFFSET('배치점수 계산기'!J$10,$D550,0)</f>
        <v>658.71299999999997</v>
      </c>
      <c r="U550" s="194">
        <f ca="1">OFFSET('배치점수 계산기'!K$10,$D550,0)</f>
        <v>654.98800000000006</v>
      </c>
      <c r="V550" s="194">
        <f ca="1">OFFSET('배치점수 계산기'!L$10,$D550,0)</f>
        <v>649.75199999999995</v>
      </c>
      <c r="W550" s="186" t="str">
        <f ca="1">OFFSET('배치점수 계산기'!M$10,$D550,0)</f>
        <v>표점</v>
      </c>
      <c r="X550" s="184" t="str">
        <f ca="1">OFFSET('배치점수 계산기'!N$10,$D550,0)</f>
        <v>변표</v>
      </c>
      <c r="Y550" s="188">
        <f ca="1">OFFSET(환산공식!FW$15,$F550,0)</f>
        <v>0.43</v>
      </c>
      <c r="Z550" s="20">
        <f ca="1">OFFSET(환산공식!FX$15,$F550,0)</f>
        <v>0.28999999999999998</v>
      </c>
      <c r="AA550" s="179">
        <f ca="1">OFFSET(환산공식!FY$15,$F550,0)</f>
        <v>0.28999999999999998</v>
      </c>
      <c r="AB550" s="3"/>
      <c r="AD550">
        <f t="shared" ca="1" si="17"/>
        <v>6</v>
      </c>
      <c r="AF550" s="3"/>
      <c r="AG550" s="3"/>
      <c r="AH550" s="3"/>
    </row>
    <row r="551" spans="1:34">
      <c r="A551" s="198"/>
      <c r="B551" s="198"/>
      <c r="C551" s="198" t="s">
        <v>2003</v>
      </c>
      <c r="D551" s="195">
        <v>1542</v>
      </c>
      <c r="E551" s="195">
        <v>193</v>
      </c>
      <c r="F551" s="195">
        <v>193</v>
      </c>
      <c r="G551" s="239">
        <v>544</v>
      </c>
      <c r="H551" s="197" t="s">
        <v>79</v>
      </c>
      <c r="I551" s="242" t="s">
        <v>215</v>
      </c>
      <c r="J551" s="242" t="s">
        <v>8654</v>
      </c>
      <c r="K551" s="195" t="s">
        <v>71</v>
      </c>
      <c r="L551" s="20" t="str">
        <f ca="1">IF(OFFSET(환산공식!$ED$15,$F551,0)=1,"O","X")</f>
        <v>X</v>
      </c>
      <c r="M551" s="188">
        <f ca="1">IFERROR(OFFSET(환산공식!DJ$15,$F551,0),"")</f>
        <v>125</v>
      </c>
      <c r="N551" s="20" t="str">
        <f ca="1">IFERROR(CONCATENATE(ROUND(OFFSET(환산공식!DK$15,$F551,0),1),"%"),"")</f>
        <v>100%</v>
      </c>
      <c r="O551" s="20">
        <f ca="1">IFERROR(OFFSET(환산공식!DL$15,$F551,0),"")</f>
        <v>10</v>
      </c>
      <c r="P551" s="188" t="str">
        <f t="shared" ca="1" si="16"/>
        <v>3% 이하</v>
      </c>
      <c r="Q551" s="194">
        <f ca="1">IFERROR(ROUND(OFFSET(환산공식!$FG$15,$F551,0),3),"")</f>
        <v>0</v>
      </c>
      <c r="R551" s="194">
        <f ca="1">OFFSET('배치점수 계산기'!H$10,$D551,0)</f>
        <v>664.31</v>
      </c>
      <c r="S551" s="194">
        <f ca="1">OFFSET('배치점수 계산기'!I$10,$D551,0)</f>
        <v>661.995</v>
      </c>
      <c r="T551" s="194">
        <f ca="1">OFFSET('배치점수 계산기'!J$10,$D551,0)</f>
        <v>658.50599999999997</v>
      </c>
      <c r="U551" s="194">
        <f ca="1">OFFSET('배치점수 계산기'!K$10,$D551,0)</f>
        <v>654.68299999999999</v>
      </c>
      <c r="V551" s="194">
        <f ca="1">OFFSET('배치점수 계산기'!L$10,$D551,0)</f>
        <v>649.98299999999995</v>
      </c>
      <c r="W551" s="186" t="str">
        <f ca="1">OFFSET('배치점수 계산기'!M$10,$D551,0)</f>
        <v>표점</v>
      </c>
      <c r="X551" s="184" t="str">
        <f ca="1">OFFSET('배치점수 계산기'!N$10,$D551,0)</f>
        <v>변표</v>
      </c>
      <c r="Y551" s="188">
        <f ca="1">OFFSET(환산공식!FW$15,$F551,0)</f>
        <v>0.43</v>
      </c>
      <c r="Z551" s="20">
        <f ca="1">OFFSET(환산공식!FX$15,$F551,0)</f>
        <v>0.28999999999999998</v>
      </c>
      <c r="AA551" s="179">
        <f ca="1">OFFSET(환산공식!FY$15,$F551,0)</f>
        <v>0.28999999999999998</v>
      </c>
      <c r="AB551" s="3"/>
      <c r="AD551">
        <f t="shared" ca="1" si="17"/>
        <v>6</v>
      </c>
      <c r="AF551" s="3"/>
      <c r="AG551" s="3"/>
      <c r="AH551" s="3"/>
    </row>
    <row r="552" spans="1:34">
      <c r="A552" s="198"/>
      <c r="B552" s="198"/>
      <c r="C552" s="198" t="s">
        <v>2004</v>
      </c>
      <c r="D552" s="195">
        <v>1543</v>
      </c>
      <c r="E552" s="195">
        <v>193</v>
      </c>
      <c r="F552" s="195">
        <v>193</v>
      </c>
      <c r="G552" s="239">
        <v>545</v>
      </c>
      <c r="H552" s="197" t="s">
        <v>79</v>
      </c>
      <c r="I552" s="242" t="s">
        <v>215</v>
      </c>
      <c r="J552" s="242" t="s">
        <v>8804</v>
      </c>
      <c r="K552" s="195" t="s">
        <v>71</v>
      </c>
      <c r="L552" s="20" t="str">
        <f ca="1">IF(OFFSET(환산공식!$ED$15,$F552,0)=1,"O","X")</f>
        <v>X</v>
      </c>
      <c r="M552" s="188">
        <f ca="1">IFERROR(OFFSET(환산공식!DJ$15,$F552,0),"")</f>
        <v>125</v>
      </c>
      <c r="N552" s="20" t="str">
        <f ca="1">IFERROR(CONCATENATE(ROUND(OFFSET(환산공식!DK$15,$F552,0),1),"%"),"")</f>
        <v>100%</v>
      </c>
      <c r="O552" s="20">
        <f ca="1">IFERROR(OFFSET(환산공식!DL$15,$F552,0),"")</f>
        <v>10</v>
      </c>
      <c r="P552" s="188" t="str">
        <f t="shared" ca="1" si="16"/>
        <v>3% 이하</v>
      </c>
      <c r="Q552" s="194">
        <f ca="1">IFERROR(ROUND(OFFSET(환산공식!$FG$15,$F552,0),3),"")</f>
        <v>0</v>
      </c>
      <c r="R552" s="194">
        <f ca="1">OFFSET('배치점수 계산기'!H$10,$D552,0)</f>
        <v>662.202</v>
      </c>
      <c r="S552" s="194">
        <f ca="1">OFFSET('배치점수 계산기'!I$10,$D552,0)</f>
        <v>660.13</v>
      </c>
      <c r="T552" s="194">
        <f ca="1">OFFSET('배치점수 계산기'!J$10,$D552,0)</f>
        <v>656.71</v>
      </c>
      <c r="U552" s="194">
        <f ca="1">OFFSET('배치점수 계산기'!K$10,$D552,0)</f>
        <v>652.84100000000001</v>
      </c>
      <c r="V552" s="194">
        <f ca="1">OFFSET('배치점수 계산기'!L$10,$D552,0)</f>
        <v>647.77499999999998</v>
      </c>
      <c r="W552" s="186" t="str">
        <f ca="1">OFFSET('배치점수 계산기'!M$10,$D552,0)</f>
        <v>표점</v>
      </c>
      <c r="X552" s="184" t="str">
        <f ca="1">OFFSET('배치점수 계산기'!N$10,$D552,0)</f>
        <v>변표</v>
      </c>
      <c r="Y552" s="188">
        <f ca="1">OFFSET(환산공식!FW$15,$F552,0)</f>
        <v>0.43</v>
      </c>
      <c r="Z552" s="20">
        <f ca="1">OFFSET(환산공식!FX$15,$F552,0)</f>
        <v>0.28999999999999998</v>
      </c>
      <c r="AA552" s="179">
        <f ca="1">OFFSET(환산공식!FY$15,$F552,0)</f>
        <v>0.28999999999999998</v>
      </c>
      <c r="AB552" s="3"/>
      <c r="AD552">
        <f t="shared" ca="1" si="17"/>
        <v>6</v>
      </c>
      <c r="AF552" s="3"/>
      <c r="AG552" s="3"/>
      <c r="AH552" s="3"/>
    </row>
    <row r="553" spans="1:34">
      <c r="A553" s="198"/>
      <c r="B553" s="198"/>
      <c r="C553" s="198" t="s">
        <v>2005</v>
      </c>
      <c r="D553" s="195">
        <v>1544</v>
      </c>
      <c r="E553" s="195">
        <v>193</v>
      </c>
      <c r="F553" s="195">
        <v>193</v>
      </c>
      <c r="G553" s="239">
        <v>546</v>
      </c>
      <c r="H553" s="197" t="s">
        <v>79</v>
      </c>
      <c r="I553" s="242" t="s">
        <v>215</v>
      </c>
      <c r="J553" s="242" t="s">
        <v>11665</v>
      </c>
      <c r="K553" s="195" t="s">
        <v>71</v>
      </c>
      <c r="L553" s="20" t="str">
        <f ca="1">IF(OFFSET(환산공식!$ED$15,$F553,0)=1,"O","X")</f>
        <v>X</v>
      </c>
      <c r="M553" s="188">
        <f ca="1">IFERROR(OFFSET(환산공식!DJ$15,$F553,0),"")</f>
        <v>125</v>
      </c>
      <c r="N553" s="20" t="str">
        <f ca="1">IFERROR(CONCATENATE(ROUND(OFFSET(환산공식!DK$15,$F553,0),1),"%"),"")</f>
        <v>100%</v>
      </c>
      <c r="O553" s="20">
        <f ca="1">IFERROR(OFFSET(환산공식!DL$15,$F553,0),"")</f>
        <v>10</v>
      </c>
      <c r="P553" s="188" t="str">
        <f t="shared" ca="1" si="16"/>
        <v>3% 이하</v>
      </c>
      <c r="Q553" s="194">
        <f ca="1">IFERROR(ROUND(OFFSET(환산공식!$FG$15,$F553,0),3),"")</f>
        <v>0</v>
      </c>
      <c r="R553" s="194">
        <f ca="1">OFFSET('배치점수 계산기'!H$10,$D553,0)</f>
        <v>660.44299999999998</v>
      </c>
      <c r="S553" s="194">
        <f ca="1">OFFSET('배치점수 계산기'!I$10,$D553,0)</f>
        <v>658.21299999999997</v>
      </c>
      <c r="T553" s="194">
        <f ca="1">OFFSET('배치점수 계산기'!J$10,$D553,0)</f>
        <v>654.68299999999999</v>
      </c>
      <c r="U553" s="194">
        <f ca="1">OFFSET('배치점수 계산기'!K$10,$D553,0)</f>
        <v>651.33500000000004</v>
      </c>
      <c r="V553" s="194">
        <f ca="1">OFFSET('배치점수 계산기'!L$10,$D553,0)</f>
        <v>646.16200000000003</v>
      </c>
      <c r="W553" s="186" t="str">
        <f ca="1">OFFSET('배치점수 계산기'!M$10,$D553,0)</f>
        <v>표점</v>
      </c>
      <c r="X553" s="184" t="str">
        <f ca="1">OFFSET('배치점수 계산기'!N$10,$D553,0)</f>
        <v>변표</v>
      </c>
      <c r="Y553" s="188">
        <f ca="1">OFFSET(환산공식!FW$15,$F553,0)</f>
        <v>0.43</v>
      </c>
      <c r="Z553" s="20">
        <f ca="1">OFFSET(환산공식!FX$15,$F553,0)</f>
        <v>0.28999999999999998</v>
      </c>
      <c r="AA553" s="179">
        <f ca="1">OFFSET(환산공식!FY$15,$F553,0)</f>
        <v>0.28999999999999998</v>
      </c>
      <c r="AB553" s="3"/>
      <c r="AD553">
        <f t="shared" ca="1" si="17"/>
        <v>6</v>
      </c>
      <c r="AF553" s="3"/>
      <c r="AG553" s="3"/>
      <c r="AH553" s="3"/>
    </row>
    <row r="554" spans="1:34">
      <c r="A554" s="198"/>
      <c r="B554" s="198"/>
      <c r="C554" s="198" t="s">
        <v>2006</v>
      </c>
      <c r="D554" s="195">
        <v>1545</v>
      </c>
      <c r="E554" s="195">
        <v>193</v>
      </c>
      <c r="F554" s="195">
        <v>193</v>
      </c>
      <c r="G554" s="239">
        <v>547</v>
      </c>
      <c r="H554" s="197" t="s">
        <v>79</v>
      </c>
      <c r="I554" s="242" t="s">
        <v>215</v>
      </c>
      <c r="J554" s="242" t="s">
        <v>560</v>
      </c>
      <c r="K554" s="195" t="s">
        <v>71</v>
      </c>
      <c r="L554" s="20" t="str">
        <f ca="1">IF(OFFSET(환산공식!$ED$15,$F554,0)=1,"O","X")</f>
        <v>X</v>
      </c>
      <c r="M554" s="188">
        <f ca="1">IFERROR(OFFSET(환산공식!DJ$15,$F554,0),"")</f>
        <v>125</v>
      </c>
      <c r="N554" s="20" t="str">
        <f ca="1">IFERROR(CONCATENATE(ROUND(OFFSET(환산공식!DK$15,$F554,0),1),"%"),"")</f>
        <v>100%</v>
      </c>
      <c r="O554" s="20">
        <f ca="1">IFERROR(OFFSET(환산공식!DL$15,$F554,0),"")</f>
        <v>10</v>
      </c>
      <c r="P554" s="188" t="str">
        <f t="shared" ca="1" si="16"/>
        <v>3% 이하</v>
      </c>
      <c r="Q554" s="194">
        <f ca="1">IFERROR(ROUND(OFFSET(환산공식!$FG$15,$F554,0),3),"")</f>
        <v>0</v>
      </c>
      <c r="R554" s="194">
        <f ca="1">OFFSET('배치점수 계산기'!H$10,$D554,0)</f>
        <v>658.08799999999997</v>
      </c>
      <c r="S554" s="194">
        <f ca="1">OFFSET('배치점수 계산기'!I$10,$D554,0)</f>
        <v>655.98</v>
      </c>
      <c r="T554" s="194">
        <f ca="1">OFFSET('배치점수 계산기'!J$10,$D554,0)</f>
        <v>652.61</v>
      </c>
      <c r="U554" s="194">
        <f ca="1">OFFSET('배치점수 계산기'!K$10,$D554,0)</f>
        <v>649.27499999999998</v>
      </c>
      <c r="V554" s="194">
        <f ca="1">OFFSET('배치점수 계산기'!L$10,$D554,0)</f>
        <v>644.62400000000002</v>
      </c>
      <c r="W554" s="186" t="str">
        <f ca="1">OFFSET('배치점수 계산기'!M$10,$D554,0)</f>
        <v>표점</v>
      </c>
      <c r="X554" s="184" t="str">
        <f ca="1">OFFSET('배치점수 계산기'!N$10,$D554,0)</f>
        <v>변표</v>
      </c>
      <c r="Y554" s="188">
        <f ca="1">OFFSET(환산공식!FW$15,$F554,0)</f>
        <v>0.43</v>
      </c>
      <c r="Z554" s="20">
        <f ca="1">OFFSET(환산공식!FX$15,$F554,0)</f>
        <v>0.28999999999999998</v>
      </c>
      <c r="AA554" s="179">
        <f ca="1">OFFSET(환산공식!FY$15,$F554,0)</f>
        <v>0.28999999999999998</v>
      </c>
      <c r="AB554" s="3"/>
      <c r="AD554">
        <f t="shared" ca="1" si="17"/>
        <v>6</v>
      </c>
      <c r="AF554" s="3"/>
      <c r="AG554" s="3"/>
      <c r="AH554" s="3"/>
    </row>
    <row r="555" spans="1:34">
      <c r="A555" s="198"/>
      <c r="B555" s="198"/>
      <c r="C555" s="198" t="s">
        <v>2007</v>
      </c>
      <c r="D555" s="195">
        <v>1546</v>
      </c>
      <c r="E555" s="195">
        <v>193</v>
      </c>
      <c r="F555" s="195">
        <v>193</v>
      </c>
      <c r="G555" s="239">
        <v>548</v>
      </c>
      <c r="H555" s="197" t="s">
        <v>79</v>
      </c>
      <c r="I555" s="242" t="s">
        <v>215</v>
      </c>
      <c r="J555" s="242" t="s">
        <v>562</v>
      </c>
      <c r="K555" s="195" t="s">
        <v>71</v>
      </c>
      <c r="L555" s="20" t="str">
        <f ca="1">IF(OFFSET(환산공식!$ED$15,$F555,0)=1,"O","X")</f>
        <v>X</v>
      </c>
      <c r="M555" s="188">
        <f ca="1">IFERROR(OFFSET(환산공식!DJ$15,$F555,0),"")</f>
        <v>125</v>
      </c>
      <c r="N555" s="20" t="str">
        <f ca="1">IFERROR(CONCATENATE(ROUND(OFFSET(환산공식!DK$15,$F555,0),1),"%"),"")</f>
        <v>100%</v>
      </c>
      <c r="O555" s="20">
        <f ca="1">IFERROR(OFFSET(환산공식!DL$15,$F555,0),"")</f>
        <v>10</v>
      </c>
      <c r="P555" s="188" t="str">
        <f t="shared" ca="1" si="16"/>
        <v>3% 이하</v>
      </c>
      <c r="Q555" s="194">
        <f ca="1">IFERROR(ROUND(OFFSET(환산공식!$FG$15,$F555,0),3),"")</f>
        <v>0</v>
      </c>
      <c r="R555" s="194">
        <f ca="1">OFFSET('배치점수 계산기'!H$10,$D555,0)</f>
        <v>656.99400000000003</v>
      </c>
      <c r="S555" s="194">
        <f ca="1">OFFSET('배치점수 계산기'!I$10,$D555,0)</f>
        <v>655.00699999999995</v>
      </c>
      <c r="T555" s="194">
        <f ca="1">OFFSET('배치점수 계산기'!J$10,$D555,0)</f>
        <v>651.73299999999995</v>
      </c>
      <c r="U555" s="194">
        <f ca="1">OFFSET('배치점수 계산기'!K$10,$D555,0)</f>
        <v>648.298</v>
      </c>
      <c r="V555" s="194">
        <f ca="1">OFFSET('배치점수 계산기'!L$10,$D555,0)</f>
        <v>643.69500000000005</v>
      </c>
      <c r="W555" s="186" t="str">
        <f ca="1">OFFSET('배치점수 계산기'!M$10,$D555,0)</f>
        <v>표점</v>
      </c>
      <c r="X555" s="184" t="str">
        <f ca="1">OFFSET('배치점수 계산기'!N$10,$D555,0)</f>
        <v>변표</v>
      </c>
      <c r="Y555" s="188">
        <f ca="1">OFFSET(환산공식!FW$15,$F555,0)</f>
        <v>0.43</v>
      </c>
      <c r="Z555" s="20">
        <f ca="1">OFFSET(환산공식!FX$15,$F555,0)</f>
        <v>0.28999999999999998</v>
      </c>
      <c r="AA555" s="179">
        <f ca="1">OFFSET(환산공식!FY$15,$F555,0)</f>
        <v>0.28999999999999998</v>
      </c>
      <c r="AB555" s="3"/>
      <c r="AD555">
        <f t="shared" ca="1" si="17"/>
        <v>6</v>
      </c>
      <c r="AF555" s="3"/>
      <c r="AG555" s="3"/>
      <c r="AH555" s="3"/>
    </row>
    <row r="556" spans="1:34">
      <c r="A556" s="198"/>
      <c r="B556" s="198"/>
      <c r="C556" s="198" t="s">
        <v>2008</v>
      </c>
      <c r="D556" s="195">
        <v>1547</v>
      </c>
      <c r="E556" s="195">
        <v>197</v>
      </c>
      <c r="F556" s="195">
        <v>197</v>
      </c>
      <c r="G556" s="239">
        <v>549</v>
      </c>
      <c r="H556" s="197" t="s">
        <v>79</v>
      </c>
      <c r="I556" s="242" t="s">
        <v>215</v>
      </c>
      <c r="J556" s="242" t="s">
        <v>13348</v>
      </c>
      <c r="K556" s="195" t="s">
        <v>71</v>
      </c>
      <c r="L556" s="20" t="str">
        <f ca="1">IF(OFFSET(환산공식!$ED$15,$F556,0)=1,"O","X")</f>
        <v>X</v>
      </c>
      <c r="M556" s="188">
        <f ca="1">IFERROR(OFFSET(환산공식!DJ$15,$F556,0),"")</f>
        <v>250</v>
      </c>
      <c r="N556" s="20" t="str">
        <f ca="1">IFERROR(CONCATENATE(ROUND(OFFSET(환산공식!DK$15,$F556,0),1),"%"),"")</f>
        <v>100%</v>
      </c>
      <c r="O556" s="20">
        <f ca="1">IFERROR(OFFSET(환산공식!DL$15,$F556,0),"")</f>
        <v>10</v>
      </c>
      <c r="P556" s="188" t="str">
        <f t="shared" ca="1" si="16"/>
        <v>3% 이하</v>
      </c>
      <c r="Q556" s="194">
        <f ca="1">IFERROR(ROUND(OFFSET(환산공식!$FG$15,$F556,0),3),"")</f>
        <v>0</v>
      </c>
      <c r="R556" s="194">
        <f ca="1">OFFSET('배치점수 계산기'!H$10,$D556,0)</f>
        <v>668.51300000000003</v>
      </c>
      <c r="S556" s="194">
        <f ca="1">OFFSET('배치점수 계산기'!I$10,$D556,0)</f>
        <v>666.17399999999998</v>
      </c>
      <c r="T556" s="194">
        <f ca="1">OFFSET('배치점수 계산기'!J$10,$D556,0)</f>
        <v>661.70799999999997</v>
      </c>
      <c r="U556" s="194">
        <f ca="1">OFFSET('배치점수 계산기'!K$10,$D556,0)</f>
        <v>657.62800000000004</v>
      </c>
      <c r="V556" s="194">
        <f ca="1">OFFSET('배치점수 계산기'!L$10,$D556,0)</f>
        <v>652.99300000000005</v>
      </c>
      <c r="W556" s="186" t="str">
        <f ca="1">OFFSET('배치점수 계산기'!M$10,$D556,0)</f>
        <v>표점</v>
      </c>
      <c r="X556" s="184" t="str">
        <f ca="1">OFFSET('배치점수 계산기'!N$10,$D556,0)</f>
        <v>변표</v>
      </c>
      <c r="Y556" s="188">
        <f ca="1">OFFSET(환산공식!FW$15,$F556,0)</f>
        <v>0</v>
      </c>
      <c r="Z556" s="20">
        <f ca="1">OFFSET(환산공식!FX$15,$F556,0)</f>
        <v>0.67</v>
      </c>
      <c r="AA556" s="179">
        <f ca="1">OFFSET(환산공식!FY$15,$F556,0)</f>
        <v>0.33</v>
      </c>
      <c r="AB556" s="3"/>
      <c r="AD556">
        <f t="shared" ca="1" si="17"/>
        <v>6</v>
      </c>
      <c r="AF556" s="3"/>
      <c r="AG556" s="3"/>
      <c r="AH556" s="3"/>
    </row>
    <row r="557" spans="1:34">
      <c r="A557" s="198"/>
      <c r="B557" s="198"/>
      <c r="C557" s="198" t="s">
        <v>2009</v>
      </c>
      <c r="D557" s="195">
        <v>1548</v>
      </c>
      <c r="E557" s="195">
        <v>197</v>
      </c>
      <c r="F557" s="195">
        <v>197</v>
      </c>
      <c r="G557" s="239">
        <v>550</v>
      </c>
      <c r="H557" s="197" t="s">
        <v>79</v>
      </c>
      <c r="I557" s="242" t="s">
        <v>215</v>
      </c>
      <c r="J557" s="242" t="s">
        <v>12105</v>
      </c>
      <c r="K557" s="195" t="s">
        <v>71</v>
      </c>
      <c r="L557" s="20" t="str">
        <f ca="1">IF(OFFSET(환산공식!$ED$15,$F557,0)=1,"O","X")</f>
        <v>X</v>
      </c>
      <c r="M557" s="188">
        <f ca="1">IFERROR(OFFSET(환산공식!DJ$15,$F557,0),"")</f>
        <v>250</v>
      </c>
      <c r="N557" s="20" t="str">
        <f ca="1">IFERROR(CONCATENATE(ROUND(OFFSET(환산공식!DK$15,$F557,0),1),"%"),"")</f>
        <v>100%</v>
      </c>
      <c r="O557" s="20">
        <f ca="1">IFERROR(OFFSET(환산공식!DL$15,$F557,0),"")</f>
        <v>10</v>
      </c>
      <c r="P557" s="188" t="str">
        <f t="shared" ca="1" si="16"/>
        <v>3% 이하</v>
      </c>
      <c r="Q557" s="194">
        <f ca="1">IFERROR(ROUND(OFFSET(환산공식!$FG$15,$F557,0),3),"")</f>
        <v>0</v>
      </c>
      <c r="R557" s="194">
        <f ca="1">OFFSET('배치점수 계산기'!H$10,$D557,0)</f>
        <v>663.51300000000003</v>
      </c>
      <c r="S557" s="194">
        <f ca="1">OFFSET('배치점수 계산기'!I$10,$D557,0)</f>
        <v>662.04200000000003</v>
      </c>
      <c r="T557" s="194">
        <f ca="1">OFFSET('배치점수 계산기'!J$10,$D557,0)</f>
        <v>660</v>
      </c>
      <c r="U557" s="194">
        <f ca="1">OFFSET('배치점수 계산기'!K$10,$D557,0)</f>
        <v>657.71299999999997</v>
      </c>
      <c r="V557" s="194">
        <f ca="1">OFFSET('배치점수 계산기'!L$10,$D557,0)</f>
        <v>655.15800000000002</v>
      </c>
      <c r="W557" s="186" t="str">
        <f ca="1">OFFSET('배치점수 계산기'!M$10,$D557,0)</f>
        <v>표점</v>
      </c>
      <c r="X557" s="184" t="str">
        <f ca="1">OFFSET('배치점수 계산기'!N$10,$D557,0)</f>
        <v>변표</v>
      </c>
      <c r="Y557" s="188">
        <f ca="1">OFFSET(환산공식!FW$15,$F557,0)</f>
        <v>0</v>
      </c>
      <c r="Z557" s="20">
        <f ca="1">OFFSET(환산공식!FX$15,$F557,0)</f>
        <v>0.67</v>
      </c>
      <c r="AA557" s="179">
        <f ca="1">OFFSET(환산공식!FY$15,$F557,0)</f>
        <v>0.33</v>
      </c>
      <c r="AB557" s="3"/>
      <c r="AD557">
        <f t="shared" ca="1" si="17"/>
        <v>6</v>
      </c>
      <c r="AF557" s="3"/>
      <c r="AG557" s="3"/>
      <c r="AH557" s="3"/>
    </row>
    <row r="558" spans="1:34">
      <c r="A558" s="198"/>
      <c r="B558" s="198"/>
      <c r="C558" s="198" t="s">
        <v>2010</v>
      </c>
      <c r="D558" s="195">
        <v>1549</v>
      </c>
      <c r="E558" s="195">
        <v>197</v>
      </c>
      <c r="F558" s="195">
        <v>197</v>
      </c>
      <c r="G558" s="239">
        <v>551</v>
      </c>
      <c r="H558" s="197" t="s">
        <v>79</v>
      </c>
      <c r="I558" s="242" t="s">
        <v>215</v>
      </c>
      <c r="J558" s="242" t="s">
        <v>13569</v>
      </c>
      <c r="K558" s="195" t="s">
        <v>71</v>
      </c>
      <c r="L558" s="20" t="str">
        <f ca="1">IF(OFFSET(환산공식!$ED$15,$F558,0)=1,"O","X")</f>
        <v>X</v>
      </c>
      <c r="M558" s="188">
        <f ca="1">IFERROR(OFFSET(환산공식!DJ$15,$F558,0),"")</f>
        <v>250</v>
      </c>
      <c r="N558" s="20" t="str">
        <f ca="1">IFERROR(CONCATENATE(ROUND(OFFSET(환산공식!DK$15,$F558,0),1),"%"),"")</f>
        <v>100%</v>
      </c>
      <c r="O558" s="20">
        <f ca="1">IFERROR(OFFSET(환산공식!DL$15,$F558,0),"")</f>
        <v>10</v>
      </c>
      <c r="P558" s="188" t="str">
        <f t="shared" ca="1" si="16"/>
        <v>3% 이하</v>
      </c>
      <c r="Q558" s="194">
        <f ca="1">IFERROR(ROUND(OFFSET(환산공식!$FG$15,$F558,0),3),"")</f>
        <v>0</v>
      </c>
      <c r="R558" s="194">
        <f ca="1">OFFSET('배치점수 계산기'!H$10,$D558,0)</f>
        <v>660.596</v>
      </c>
      <c r="S558" s="194">
        <f ca="1">OFFSET('배치점수 계산기'!I$10,$D558,0)</f>
        <v>659.48800000000006</v>
      </c>
      <c r="T558" s="194">
        <f ca="1">OFFSET('배치점수 계산기'!J$10,$D558,0)</f>
        <v>657.27700000000004</v>
      </c>
      <c r="U558" s="194">
        <f ca="1">OFFSET('배치점수 계산기'!K$10,$D558,0)</f>
        <v>655.49300000000005</v>
      </c>
      <c r="V558" s="194">
        <f ca="1">OFFSET('배치점수 계산기'!L$10,$D558,0)</f>
        <v>651.95799999999997</v>
      </c>
      <c r="W558" s="186" t="str">
        <f ca="1">OFFSET('배치점수 계산기'!M$10,$D558,0)</f>
        <v>표점</v>
      </c>
      <c r="X558" s="184" t="str">
        <f ca="1">OFFSET('배치점수 계산기'!N$10,$D558,0)</f>
        <v>변표</v>
      </c>
      <c r="Y558" s="188">
        <f ca="1">OFFSET(환산공식!FW$15,$F558,0)</f>
        <v>0</v>
      </c>
      <c r="Z558" s="20">
        <f ca="1">OFFSET(환산공식!FX$15,$F558,0)</f>
        <v>0.67</v>
      </c>
      <c r="AA558" s="179">
        <f ca="1">OFFSET(환산공식!FY$15,$F558,0)</f>
        <v>0.33</v>
      </c>
      <c r="AB558" s="3"/>
      <c r="AD558">
        <f t="shared" ca="1" si="17"/>
        <v>6</v>
      </c>
      <c r="AF558" s="3"/>
      <c r="AG558" s="3"/>
      <c r="AH558" s="3"/>
    </row>
    <row r="559" spans="1:34">
      <c r="A559" s="198"/>
      <c r="B559" s="198"/>
      <c r="C559" s="198" t="s">
        <v>2011</v>
      </c>
      <c r="D559" s="195">
        <v>1550</v>
      </c>
      <c r="E559" s="195">
        <v>197</v>
      </c>
      <c r="F559" s="195">
        <v>197</v>
      </c>
      <c r="G559" s="239">
        <v>552</v>
      </c>
      <c r="H559" s="197" t="s">
        <v>79</v>
      </c>
      <c r="I559" s="242" t="s">
        <v>215</v>
      </c>
      <c r="J559" s="242" t="s">
        <v>13595</v>
      </c>
      <c r="K559" s="195" t="s">
        <v>71</v>
      </c>
      <c r="L559" s="20" t="str">
        <f ca="1">IF(OFFSET(환산공식!$ED$15,$F559,0)=1,"O","X")</f>
        <v>X</v>
      </c>
      <c r="M559" s="188">
        <f ca="1">IFERROR(OFFSET(환산공식!DJ$15,$F559,0),"")</f>
        <v>250</v>
      </c>
      <c r="N559" s="20" t="str">
        <f ca="1">IFERROR(CONCATENATE(ROUND(OFFSET(환산공식!DK$15,$F559,0),1),"%"),"")</f>
        <v>100%</v>
      </c>
      <c r="O559" s="20">
        <f ca="1">IFERROR(OFFSET(환산공식!DL$15,$F559,0),"")</f>
        <v>10</v>
      </c>
      <c r="P559" s="188" t="str">
        <f t="shared" ca="1" si="16"/>
        <v>3% 이하</v>
      </c>
      <c r="Q559" s="194">
        <f ca="1">IFERROR(ROUND(OFFSET(환산공식!$FG$15,$F559,0),3),"")</f>
        <v>0</v>
      </c>
      <c r="R559" s="194">
        <f ca="1">OFFSET('배치점수 계산기'!H$10,$D559,0)</f>
        <v>660.68</v>
      </c>
      <c r="S559" s="194">
        <f ca="1">OFFSET('배치점수 계산기'!I$10,$D559,0)</f>
        <v>658.80899999999997</v>
      </c>
      <c r="T559" s="194">
        <f ca="1">OFFSET('배치점수 계산기'!J$10,$D559,0)</f>
        <v>655.49300000000005</v>
      </c>
      <c r="U559" s="194">
        <f ca="1">OFFSET('배치점수 계산기'!K$10,$D559,0)</f>
        <v>651.25199999999995</v>
      </c>
      <c r="V559" s="194">
        <f ca="1">OFFSET('배치점수 계산기'!L$10,$D559,0)</f>
        <v>645.41200000000003</v>
      </c>
      <c r="W559" s="186" t="str">
        <f ca="1">OFFSET('배치점수 계산기'!M$10,$D559,0)</f>
        <v>표점</v>
      </c>
      <c r="X559" s="184" t="str">
        <f ca="1">OFFSET('배치점수 계산기'!N$10,$D559,0)</f>
        <v>변표</v>
      </c>
      <c r="Y559" s="188">
        <f ca="1">OFFSET(환산공식!FW$15,$F559,0)</f>
        <v>0</v>
      </c>
      <c r="Z559" s="20">
        <f ca="1">OFFSET(환산공식!FX$15,$F559,0)</f>
        <v>0.67</v>
      </c>
      <c r="AA559" s="179">
        <f ca="1">OFFSET(환산공식!FY$15,$F559,0)</f>
        <v>0.33</v>
      </c>
      <c r="AB559" s="3"/>
      <c r="AD559">
        <f t="shared" ca="1" si="17"/>
        <v>6</v>
      </c>
      <c r="AF559" s="3"/>
      <c r="AG559" s="3"/>
      <c r="AH559" s="3"/>
    </row>
    <row r="560" spans="1:34">
      <c r="A560" s="198"/>
      <c r="B560" s="198"/>
      <c r="C560" s="198" t="s">
        <v>2012</v>
      </c>
      <c r="D560" s="195">
        <v>1551</v>
      </c>
      <c r="E560" s="195">
        <v>197</v>
      </c>
      <c r="F560" s="195">
        <v>197</v>
      </c>
      <c r="G560" s="239">
        <v>553</v>
      </c>
      <c r="H560" s="197" t="s">
        <v>79</v>
      </c>
      <c r="I560" s="242" t="s">
        <v>215</v>
      </c>
      <c r="J560" s="242" t="s">
        <v>13615</v>
      </c>
      <c r="K560" s="195" t="s">
        <v>71</v>
      </c>
      <c r="L560" s="20" t="str">
        <f ca="1">IF(OFFSET(환산공식!$ED$15,$F560,0)=1,"O","X")</f>
        <v>X</v>
      </c>
      <c r="M560" s="188">
        <f ca="1">IFERROR(OFFSET(환산공식!DJ$15,$F560,0),"")</f>
        <v>250</v>
      </c>
      <c r="N560" s="20" t="str">
        <f ca="1">IFERROR(CONCATENATE(ROUND(OFFSET(환산공식!DK$15,$F560,0),1),"%"),"")</f>
        <v>100%</v>
      </c>
      <c r="O560" s="20">
        <f ca="1">IFERROR(OFFSET(환산공식!DL$15,$F560,0),"")</f>
        <v>10</v>
      </c>
      <c r="P560" s="188" t="str">
        <f t="shared" ca="1" si="16"/>
        <v>3% 이하</v>
      </c>
      <c r="Q560" s="194">
        <f ca="1">IFERROR(ROUND(OFFSET(환산공식!$FG$15,$F560,0),3),"")</f>
        <v>0</v>
      </c>
      <c r="R560" s="194">
        <f ca="1">OFFSET('배치점수 계산기'!H$10,$D560,0)</f>
        <v>660.596</v>
      </c>
      <c r="S560" s="194">
        <f ca="1">OFFSET('배치점수 계산기'!I$10,$D560,0)</f>
        <v>658.47500000000002</v>
      </c>
      <c r="T560" s="194">
        <f ca="1">OFFSET('배치점수 계산기'!J$10,$D560,0)</f>
        <v>655.24300000000005</v>
      </c>
      <c r="U560" s="194">
        <f ca="1">OFFSET('배치점수 계산기'!K$10,$D560,0)</f>
        <v>650.55700000000002</v>
      </c>
      <c r="V560" s="194">
        <f ca="1">OFFSET('배치점수 계산기'!L$10,$D560,0)</f>
        <v>645.24300000000005</v>
      </c>
      <c r="W560" s="186" t="str">
        <f ca="1">OFFSET('배치점수 계산기'!M$10,$D560,0)</f>
        <v>표점</v>
      </c>
      <c r="X560" s="184" t="str">
        <f ca="1">OFFSET('배치점수 계산기'!N$10,$D560,0)</f>
        <v>변표</v>
      </c>
      <c r="Y560" s="188">
        <f ca="1">OFFSET(환산공식!FW$15,$F560,0)</f>
        <v>0</v>
      </c>
      <c r="Z560" s="20">
        <f ca="1">OFFSET(환산공식!FX$15,$F560,0)</f>
        <v>0.67</v>
      </c>
      <c r="AA560" s="179">
        <f ca="1">OFFSET(환산공식!FY$15,$F560,0)</f>
        <v>0.33</v>
      </c>
      <c r="AB560" s="3"/>
      <c r="AD560">
        <f t="shared" ca="1" si="17"/>
        <v>6</v>
      </c>
      <c r="AF560" s="3"/>
      <c r="AG560" s="3"/>
      <c r="AH560" s="3"/>
    </row>
    <row r="561" spans="1:34">
      <c r="A561" s="198"/>
      <c r="B561" s="198"/>
      <c r="C561" s="198" t="s">
        <v>2013</v>
      </c>
      <c r="D561" s="195">
        <v>1552</v>
      </c>
      <c r="E561" s="195">
        <v>197</v>
      </c>
      <c r="F561" s="195">
        <v>197</v>
      </c>
      <c r="G561" s="239">
        <v>554</v>
      </c>
      <c r="H561" s="197" t="s">
        <v>79</v>
      </c>
      <c r="I561" s="242" t="s">
        <v>215</v>
      </c>
      <c r="J561" s="242" t="s">
        <v>13730</v>
      </c>
      <c r="K561" s="195" t="s">
        <v>71</v>
      </c>
      <c r="L561" s="20" t="str">
        <f ca="1">IF(OFFSET(환산공식!$ED$15,$F561,0)=1,"O","X")</f>
        <v>X</v>
      </c>
      <c r="M561" s="188">
        <f ca="1">IFERROR(OFFSET(환산공식!DJ$15,$F561,0),"")</f>
        <v>250</v>
      </c>
      <c r="N561" s="20" t="str">
        <f ca="1">IFERROR(CONCATENATE(ROUND(OFFSET(환산공식!DK$15,$F561,0),1),"%"),"")</f>
        <v>100%</v>
      </c>
      <c r="O561" s="20">
        <f ca="1">IFERROR(OFFSET(환산공식!DL$15,$F561,0),"")</f>
        <v>10</v>
      </c>
      <c r="P561" s="188" t="str">
        <f t="shared" ca="1" si="16"/>
        <v>3% 이하</v>
      </c>
      <c r="Q561" s="194">
        <f ca="1">IFERROR(ROUND(OFFSET(환산공식!$FG$15,$F561,0),3),"")</f>
        <v>0</v>
      </c>
      <c r="R561" s="194">
        <f ca="1">OFFSET('배치점수 계산기'!H$10,$D561,0)</f>
        <v>655.15800000000002</v>
      </c>
      <c r="S561" s="194">
        <f ca="1">OFFSET('배치점수 계산기'!I$10,$D561,0)</f>
        <v>653.94299999999998</v>
      </c>
      <c r="T561" s="194">
        <f ca="1">OFFSET('배치점수 계산기'!J$10,$D561,0)</f>
        <v>651.62300000000005</v>
      </c>
      <c r="U561" s="194">
        <f ca="1">OFFSET('배치점수 계산기'!K$10,$D561,0)</f>
        <v>648.94299999999998</v>
      </c>
      <c r="V561" s="194">
        <f ca="1">OFFSET('배치점수 계산기'!L$10,$D561,0)</f>
        <v>645.79700000000003</v>
      </c>
      <c r="W561" s="186" t="str">
        <f ca="1">OFFSET('배치점수 계산기'!M$10,$D561,0)</f>
        <v>표점</v>
      </c>
      <c r="X561" s="184" t="str">
        <f ca="1">OFFSET('배치점수 계산기'!N$10,$D561,0)</f>
        <v>변표</v>
      </c>
      <c r="Y561" s="188">
        <f ca="1">OFFSET(환산공식!FW$15,$F561,0)</f>
        <v>0</v>
      </c>
      <c r="Z561" s="20">
        <f ca="1">OFFSET(환산공식!FX$15,$F561,0)</f>
        <v>0.67</v>
      </c>
      <c r="AA561" s="179">
        <f ca="1">OFFSET(환산공식!FY$15,$F561,0)</f>
        <v>0.33</v>
      </c>
      <c r="AB561" s="3"/>
      <c r="AD561">
        <f t="shared" ca="1" si="17"/>
        <v>6</v>
      </c>
      <c r="AF561" s="3"/>
      <c r="AG561" s="3"/>
      <c r="AH561" s="3"/>
    </row>
    <row r="562" spans="1:34">
      <c r="A562" s="198"/>
      <c r="B562" s="198"/>
      <c r="C562" s="198" t="s">
        <v>2014</v>
      </c>
      <c r="D562" s="195">
        <v>1553</v>
      </c>
      <c r="E562" s="195">
        <v>197</v>
      </c>
      <c r="F562" s="195">
        <v>197</v>
      </c>
      <c r="G562" s="239">
        <v>555</v>
      </c>
      <c r="H562" s="197" t="s">
        <v>79</v>
      </c>
      <c r="I562" s="242" t="s">
        <v>215</v>
      </c>
      <c r="J562" s="242" t="s">
        <v>7352</v>
      </c>
      <c r="K562" s="195" t="s">
        <v>71</v>
      </c>
      <c r="L562" s="20" t="str">
        <f ca="1">IF(OFFSET(환산공식!$ED$15,$F562,0)=1,"O","X")</f>
        <v>X</v>
      </c>
      <c r="M562" s="188">
        <f ca="1">IFERROR(OFFSET(환산공식!DJ$15,$F562,0),"")</f>
        <v>250</v>
      </c>
      <c r="N562" s="20" t="str">
        <f ca="1">IFERROR(CONCATENATE(ROUND(OFFSET(환산공식!DK$15,$F562,0),1),"%"),"")</f>
        <v>100%</v>
      </c>
      <c r="O562" s="20">
        <f ca="1">IFERROR(OFFSET(환산공식!DL$15,$F562,0),"")</f>
        <v>10</v>
      </c>
      <c r="P562" s="188" t="str">
        <f t="shared" ca="1" si="16"/>
        <v>3% 이하</v>
      </c>
      <c r="Q562" s="194">
        <f ca="1">IFERROR(ROUND(OFFSET(환산공식!$FG$15,$F562,0),3),"")</f>
        <v>0</v>
      </c>
      <c r="R562" s="194">
        <f ca="1">OFFSET('배치점수 계산기'!H$10,$D562,0)</f>
        <v>657.02700000000004</v>
      </c>
      <c r="S562" s="194">
        <f ca="1">OFFSET('배치점수 계산기'!I$10,$D562,0)</f>
        <v>655.24300000000005</v>
      </c>
      <c r="T562" s="194">
        <f ca="1">OFFSET('배치점수 계산기'!J$10,$D562,0)</f>
        <v>650.66800000000001</v>
      </c>
      <c r="U562" s="194">
        <f ca="1">OFFSET('배치점수 계산기'!K$10,$D562,0)</f>
        <v>646.29700000000003</v>
      </c>
      <c r="V562" s="194">
        <f ca="1">OFFSET('배치점수 계산기'!L$10,$D562,0)</f>
        <v>641.97</v>
      </c>
      <c r="W562" s="186" t="str">
        <f ca="1">OFFSET('배치점수 계산기'!M$10,$D562,0)</f>
        <v>표점</v>
      </c>
      <c r="X562" s="184" t="str">
        <f ca="1">OFFSET('배치점수 계산기'!N$10,$D562,0)</f>
        <v>변표</v>
      </c>
      <c r="Y562" s="188">
        <f ca="1">OFFSET(환산공식!FW$15,$F562,0)</f>
        <v>0</v>
      </c>
      <c r="Z562" s="20">
        <f ca="1">OFFSET(환산공식!FX$15,$F562,0)</f>
        <v>0.67</v>
      </c>
      <c r="AA562" s="179">
        <f ca="1">OFFSET(환산공식!FY$15,$F562,0)</f>
        <v>0.33</v>
      </c>
      <c r="AB562" s="3"/>
      <c r="AD562">
        <f t="shared" ca="1" si="17"/>
        <v>6</v>
      </c>
      <c r="AF562" s="3"/>
      <c r="AG562" s="3"/>
      <c r="AH562" s="3"/>
    </row>
    <row r="563" spans="1:34">
      <c r="A563" s="198"/>
      <c r="B563" s="198"/>
      <c r="C563" s="198" t="s">
        <v>2015</v>
      </c>
      <c r="D563" s="195">
        <v>1554</v>
      </c>
      <c r="E563" s="195">
        <v>197</v>
      </c>
      <c r="F563" s="195">
        <v>197</v>
      </c>
      <c r="G563" s="239">
        <v>556</v>
      </c>
      <c r="H563" s="197" t="s">
        <v>79</v>
      </c>
      <c r="I563" s="242" t="s">
        <v>215</v>
      </c>
      <c r="J563" s="242" t="s">
        <v>13775</v>
      </c>
      <c r="K563" s="195" t="s">
        <v>71</v>
      </c>
      <c r="L563" s="20" t="str">
        <f ca="1">IF(OFFSET(환산공식!$ED$15,$F563,0)=1,"O","X")</f>
        <v>X</v>
      </c>
      <c r="M563" s="188">
        <f ca="1">IFERROR(OFFSET(환산공식!DJ$15,$F563,0),"")</f>
        <v>250</v>
      </c>
      <c r="N563" s="20" t="str">
        <f ca="1">IFERROR(CONCATENATE(ROUND(OFFSET(환산공식!DK$15,$F563,0),1),"%"),"")</f>
        <v>100%</v>
      </c>
      <c r="O563" s="20">
        <f ca="1">IFERROR(OFFSET(환산공식!DL$15,$F563,0),"")</f>
        <v>10</v>
      </c>
      <c r="P563" s="188" t="str">
        <f t="shared" ca="1" si="16"/>
        <v>3% 이하</v>
      </c>
      <c r="Q563" s="194">
        <f ca="1">IFERROR(ROUND(OFFSET(환산공식!$FG$15,$F563,0),3),"")</f>
        <v>0</v>
      </c>
      <c r="R563" s="194">
        <f ca="1">OFFSET('배치점수 계산기'!H$10,$D563,0)</f>
        <v>654.02800000000002</v>
      </c>
      <c r="S563" s="194">
        <f ca="1">OFFSET('배치점수 계산기'!I$10,$D563,0)</f>
        <v>651.87300000000005</v>
      </c>
      <c r="T563" s="194">
        <f ca="1">OFFSET('배치점수 계산기'!J$10,$D563,0)</f>
        <v>647.43499999999995</v>
      </c>
      <c r="U563" s="194">
        <f ca="1">OFFSET('배치점수 계산기'!K$10,$D563,0)</f>
        <v>643.69000000000005</v>
      </c>
      <c r="V563" s="194">
        <f ca="1">OFFSET('배치점수 계산기'!L$10,$D563,0)</f>
        <v>639.37300000000005</v>
      </c>
      <c r="W563" s="186" t="str">
        <f ca="1">OFFSET('배치점수 계산기'!M$10,$D563,0)</f>
        <v>표점</v>
      </c>
      <c r="X563" s="184" t="str">
        <f ca="1">OFFSET('배치점수 계산기'!N$10,$D563,0)</f>
        <v>변표</v>
      </c>
      <c r="Y563" s="188">
        <f ca="1">OFFSET(환산공식!FW$15,$F563,0)</f>
        <v>0</v>
      </c>
      <c r="Z563" s="20">
        <f ca="1">OFFSET(환산공식!FX$15,$F563,0)</f>
        <v>0.67</v>
      </c>
      <c r="AA563" s="179">
        <f ca="1">OFFSET(환산공식!FY$15,$F563,0)</f>
        <v>0.33</v>
      </c>
      <c r="AB563" s="3"/>
      <c r="AD563">
        <f t="shared" ca="1" si="17"/>
        <v>6</v>
      </c>
      <c r="AF563" s="3"/>
      <c r="AG563" s="3"/>
      <c r="AH563" s="3"/>
    </row>
    <row r="564" spans="1:34">
      <c r="A564" s="198"/>
      <c r="B564" s="198"/>
      <c r="C564" s="198" t="s">
        <v>2016</v>
      </c>
      <c r="D564" s="195">
        <v>1555</v>
      </c>
      <c r="E564" s="195">
        <v>197</v>
      </c>
      <c r="F564" s="195">
        <v>197</v>
      </c>
      <c r="G564" s="239">
        <v>557</v>
      </c>
      <c r="H564" s="197" t="s">
        <v>79</v>
      </c>
      <c r="I564" s="242" t="s">
        <v>215</v>
      </c>
      <c r="J564" s="242" t="s">
        <v>12830</v>
      </c>
      <c r="K564" s="195" t="s">
        <v>71</v>
      </c>
      <c r="L564" s="20" t="str">
        <f ca="1">IF(OFFSET(환산공식!$ED$15,$F564,0)=1,"O","X")</f>
        <v>X</v>
      </c>
      <c r="M564" s="188">
        <f ca="1">IFERROR(OFFSET(환산공식!DJ$15,$F564,0),"")</f>
        <v>250</v>
      </c>
      <c r="N564" s="20" t="str">
        <f ca="1">IFERROR(CONCATENATE(ROUND(OFFSET(환산공식!DK$15,$F564,0),1),"%"),"")</f>
        <v>100%</v>
      </c>
      <c r="O564" s="20">
        <f ca="1">IFERROR(OFFSET(환산공식!DL$15,$F564,0),"")</f>
        <v>10</v>
      </c>
      <c r="P564" s="188" t="str">
        <f t="shared" ca="1" si="16"/>
        <v>3% 이하</v>
      </c>
      <c r="Q564" s="194">
        <f ca="1">IFERROR(ROUND(OFFSET(환산공식!$FG$15,$F564,0),3),"")</f>
        <v>0</v>
      </c>
      <c r="R564" s="194">
        <f ca="1">OFFSET('배치점수 계산기'!H$10,$D564,0)</f>
        <v>650.66800000000001</v>
      </c>
      <c r="S564" s="194">
        <f ca="1">OFFSET('배치점수 계산기'!I$10,$D564,0)</f>
        <v>648.404</v>
      </c>
      <c r="T564" s="194">
        <f ca="1">OFFSET('배치점수 계산기'!J$10,$D564,0)</f>
        <v>644.78300000000002</v>
      </c>
      <c r="U564" s="194">
        <f ca="1">OFFSET('배치점수 계산기'!K$10,$D564,0)</f>
        <v>641.36800000000005</v>
      </c>
      <c r="V564" s="194">
        <f ca="1">OFFSET('배치점수 계산기'!L$10,$D564,0)</f>
        <v>636.54300000000001</v>
      </c>
      <c r="W564" s="186" t="str">
        <f ca="1">OFFSET('배치점수 계산기'!M$10,$D564,0)</f>
        <v>표점</v>
      </c>
      <c r="X564" s="184" t="str">
        <f ca="1">OFFSET('배치점수 계산기'!N$10,$D564,0)</f>
        <v>변표</v>
      </c>
      <c r="Y564" s="188">
        <f ca="1">OFFSET(환산공식!FW$15,$F564,0)</f>
        <v>0</v>
      </c>
      <c r="Z564" s="20">
        <f ca="1">OFFSET(환산공식!FX$15,$F564,0)</f>
        <v>0.67</v>
      </c>
      <c r="AA564" s="179">
        <f ca="1">OFFSET(환산공식!FY$15,$F564,0)</f>
        <v>0.33</v>
      </c>
      <c r="AB564" s="3"/>
      <c r="AD564">
        <f t="shared" ca="1" si="17"/>
        <v>6</v>
      </c>
      <c r="AF564" s="3"/>
      <c r="AG564" s="3"/>
      <c r="AH564" s="3"/>
    </row>
    <row r="565" spans="1:34">
      <c r="A565" s="198"/>
      <c r="B565" s="198"/>
      <c r="C565" s="198" t="s">
        <v>2017</v>
      </c>
      <c r="D565" s="195">
        <v>1556</v>
      </c>
      <c r="E565" s="195">
        <v>190</v>
      </c>
      <c r="F565" s="195">
        <v>190</v>
      </c>
      <c r="G565" s="239">
        <v>558</v>
      </c>
      <c r="H565" s="197" t="s">
        <v>79</v>
      </c>
      <c r="I565" s="242" t="s">
        <v>8000</v>
      </c>
      <c r="J565" s="242" t="s">
        <v>12027</v>
      </c>
      <c r="K565" s="195" t="s">
        <v>70</v>
      </c>
      <c r="L565" s="20" t="str">
        <f ca="1">IF(OFFSET(환산공식!$ED$15,$F565,0)=1,"O","X")</f>
        <v>X</v>
      </c>
      <c r="M565" s="188">
        <f ca="1">IFERROR(OFFSET(환산공식!DJ$15,$F565,0),"")</f>
        <v>200</v>
      </c>
      <c r="N565" s="20" t="str">
        <f ca="1">IFERROR(CONCATENATE(ROUND(OFFSET(환산공식!DK$15,$F565,0),1),"%"),"")</f>
        <v>100%</v>
      </c>
      <c r="O565" s="20">
        <f ca="1">IFERROR(OFFSET(환산공식!DL$15,$F565,0),"")</f>
        <v>0</v>
      </c>
      <c r="P565" s="188" t="str">
        <f t="shared" ca="1" si="16"/>
        <v>3% 이하</v>
      </c>
      <c r="Q565" s="194">
        <f ca="1">IFERROR(ROUND(OFFSET(환산공식!$FG$15,$F565,0),3),"")</f>
        <v>0</v>
      </c>
      <c r="R565" s="194">
        <f ca="1">OFFSET('배치점수 계산기'!H$10,$D565,0)</f>
        <v>858.69399999999996</v>
      </c>
      <c r="S565" s="194">
        <f ca="1">OFFSET('배치점수 계산기'!I$10,$D565,0)</f>
        <v>856.00599999999997</v>
      </c>
      <c r="T565" s="194">
        <f ca="1">OFFSET('배치점수 계산기'!J$10,$D565,0)</f>
        <v>850.524</v>
      </c>
      <c r="U565" s="194">
        <f ca="1">OFFSET('배치점수 계산기'!K$10,$D565,0)</f>
        <v>845.25400000000002</v>
      </c>
      <c r="V565" s="194">
        <f ca="1">OFFSET('배치점수 계산기'!L$10,$D565,0)</f>
        <v>839.56799999999998</v>
      </c>
      <c r="W565" s="186" t="str">
        <f ca="1">OFFSET('배치점수 계산기'!M$10,$D565,0)</f>
        <v>표점/만점</v>
      </c>
      <c r="X565" s="184" t="str">
        <f ca="1">OFFSET('배치점수 계산기'!N$10,$D565,0)</f>
        <v>표점/만점</v>
      </c>
      <c r="Y565" s="188">
        <f ca="1">OFFSET(환산공식!FW$15,$F565,0)</f>
        <v>0.31</v>
      </c>
      <c r="Z565" s="20">
        <f ca="1">OFFSET(환산공식!FX$15,$F565,0)</f>
        <v>0.37</v>
      </c>
      <c r="AA565" s="179">
        <f ca="1">OFFSET(환산공식!FY$15,$F565,0)</f>
        <v>0.31</v>
      </c>
      <c r="AB565" s="3"/>
      <c r="AD565">
        <f t="shared" ca="1" si="17"/>
        <v>6</v>
      </c>
      <c r="AF565" s="3"/>
      <c r="AG565" s="3"/>
      <c r="AH565" s="3"/>
    </row>
    <row r="566" spans="1:34">
      <c r="A566" s="198"/>
      <c r="B566" s="198"/>
      <c r="C566" s="198" t="s">
        <v>2018</v>
      </c>
      <c r="D566" s="195">
        <v>1557</v>
      </c>
      <c r="E566" s="195">
        <v>190</v>
      </c>
      <c r="F566" s="195">
        <v>190</v>
      </c>
      <c r="G566" s="239">
        <v>559</v>
      </c>
      <c r="H566" s="197" t="s">
        <v>79</v>
      </c>
      <c r="I566" s="242" t="s">
        <v>8000</v>
      </c>
      <c r="J566" s="242" t="s">
        <v>554</v>
      </c>
      <c r="K566" s="195" t="s">
        <v>70</v>
      </c>
      <c r="L566" s="20" t="str">
        <f ca="1">IF(OFFSET(환산공식!$ED$15,$F566,0)=1,"O","X")</f>
        <v>X</v>
      </c>
      <c r="M566" s="188">
        <f ca="1">IFERROR(OFFSET(환산공식!DJ$15,$F566,0),"")</f>
        <v>200</v>
      </c>
      <c r="N566" s="20" t="str">
        <f ca="1">IFERROR(CONCATENATE(ROUND(OFFSET(환산공식!DK$15,$F566,0),1),"%"),"")</f>
        <v>100%</v>
      </c>
      <c r="O566" s="20">
        <f ca="1">IFERROR(OFFSET(환산공식!DL$15,$F566,0),"")</f>
        <v>0</v>
      </c>
      <c r="P566" s="188" t="str">
        <f t="shared" ca="1" si="16"/>
        <v>3% 이하</v>
      </c>
      <c r="Q566" s="194">
        <f ca="1">IFERROR(ROUND(OFFSET(환산공식!$FG$15,$F566,0),3),"")</f>
        <v>0</v>
      </c>
      <c r="R566" s="194">
        <f ca="1">OFFSET('배치점수 계산기'!H$10,$D566,0)</f>
        <v>841.51900000000001</v>
      </c>
      <c r="S566" s="194">
        <f ca="1">OFFSET('배치점수 계산기'!I$10,$D566,0)</f>
        <v>839.36400000000003</v>
      </c>
      <c r="T566" s="194">
        <f ca="1">OFFSET('배치점수 계산기'!J$10,$D566,0)</f>
        <v>834.74800000000005</v>
      </c>
      <c r="U566" s="194">
        <f ca="1">OFFSET('배치점수 계산기'!K$10,$D566,0)</f>
        <v>829.65200000000004</v>
      </c>
      <c r="V566" s="194">
        <f ca="1">OFFSET('배치점수 계산기'!L$10,$D566,0)</f>
        <v>823.32</v>
      </c>
      <c r="W566" s="186" t="str">
        <f ca="1">OFFSET('배치점수 계산기'!M$10,$D566,0)</f>
        <v>표점/만점</v>
      </c>
      <c r="X566" s="184" t="str">
        <f ca="1">OFFSET('배치점수 계산기'!N$10,$D566,0)</f>
        <v>표점/만점</v>
      </c>
      <c r="Y566" s="188">
        <f ca="1">OFFSET(환산공식!FW$15,$F566,0)</f>
        <v>0.31</v>
      </c>
      <c r="Z566" s="20">
        <f ca="1">OFFSET(환산공식!FX$15,$F566,0)</f>
        <v>0.37</v>
      </c>
      <c r="AA566" s="179">
        <f ca="1">OFFSET(환산공식!FY$15,$F566,0)</f>
        <v>0.31</v>
      </c>
      <c r="AB566" s="3"/>
      <c r="AD566">
        <f t="shared" ca="1" si="17"/>
        <v>6</v>
      </c>
      <c r="AF566" s="3"/>
      <c r="AG566" s="3"/>
      <c r="AH566" s="3"/>
    </row>
    <row r="567" spans="1:34">
      <c r="A567" s="198"/>
      <c r="B567" s="198"/>
      <c r="C567" s="198" t="s">
        <v>2019</v>
      </c>
      <c r="D567" s="195">
        <v>1558</v>
      </c>
      <c r="E567" s="195">
        <v>190</v>
      </c>
      <c r="F567" s="195">
        <v>190</v>
      </c>
      <c r="G567" s="239">
        <v>560</v>
      </c>
      <c r="H567" s="197" t="s">
        <v>79</v>
      </c>
      <c r="I567" s="242" t="s">
        <v>8000</v>
      </c>
      <c r="J567" s="242" t="s">
        <v>9611</v>
      </c>
      <c r="K567" s="195" t="s">
        <v>70</v>
      </c>
      <c r="L567" s="20" t="str">
        <f ca="1">IF(OFFSET(환산공식!$ED$15,$F567,0)=1,"O","X")</f>
        <v>X</v>
      </c>
      <c r="M567" s="188">
        <f ca="1">IFERROR(OFFSET(환산공식!DJ$15,$F567,0),"")</f>
        <v>200</v>
      </c>
      <c r="N567" s="20" t="str">
        <f ca="1">IFERROR(CONCATENATE(ROUND(OFFSET(환산공식!DK$15,$F567,0),1),"%"),"")</f>
        <v>100%</v>
      </c>
      <c r="O567" s="20">
        <f ca="1">IFERROR(OFFSET(환산공식!DL$15,$F567,0),"")</f>
        <v>0</v>
      </c>
      <c r="P567" s="188" t="str">
        <f t="shared" ca="1" si="16"/>
        <v>3% 이하</v>
      </c>
      <c r="Q567" s="194">
        <f ca="1">IFERROR(ROUND(OFFSET(환산공식!$FG$15,$F567,0),3),"")</f>
        <v>0</v>
      </c>
      <c r="R567" s="194">
        <f ca="1">OFFSET('배치점수 계산기'!H$10,$D567,0)</f>
        <v>832.76900000000001</v>
      </c>
      <c r="S567" s="194">
        <f ca="1">OFFSET('배치점수 계산기'!I$10,$D567,0)</f>
        <v>830.46</v>
      </c>
      <c r="T567" s="194">
        <f ca="1">OFFSET('배치점수 계산기'!J$10,$D567,0)</f>
        <v>825.822</v>
      </c>
      <c r="U567" s="194">
        <f ca="1">OFFSET('배치점수 계산기'!K$10,$D567,0)</f>
        <v>820.76599999999996</v>
      </c>
      <c r="V567" s="194">
        <f ca="1">OFFSET('배치점수 계산기'!L$10,$D567,0)</f>
        <v>814.97699999999998</v>
      </c>
      <c r="W567" s="186" t="str">
        <f ca="1">OFFSET('배치점수 계산기'!M$10,$D567,0)</f>
        <v>표점/만점</v>
      </c>
      <c r="X567" s="184" t="str">
        <f ca="1">OFFSET('배치점수 계산기'!N$10,$D567,0)</f>
        <v>표점/만점</v>
      </c>
      <c r="Y567" s="188">
        <f ca="1">OFFSET(환산공식!FW$15,$F567,0)</f>
        <v>0.31</v>
      </c>
      <c r="Z567" s="20">
        <f ca="1">OFFSET(환산공식!FX$15,$F567,0)</f>
        <v>0.37</v>
      </c>
      <c r="AA567" s="179">
        <f ca="1">OFFSET(환산공식!FY$15,$F567,0)</f>
        <v>0.31</v>
      </c>
      <c r="AB567" s="3"/>
      <c r="AD567">
        <f t="shared" ca="1" si="17"/>
        <v>6</v>
      </c>
      <c r="AF567" s="3"/>
      <c r="AG567" s="3"/>
      <c r="AH567" s="3"/>
    </row>
    <row r="568" spans="1:34">
      <c r="A568" s="198"/>
      <c r="B568" s="198"/>
      <c r="C568" s="198" t="s">
        <v>2020</v>
      </c>
      <c r="D568" s="195">
        <v>1559</v>
      </c>
      <c r="E568" s="195">
        <v>190</v>
      </c>
      <c r="F568" s="195">
        <v>190</v>
      </c>
      <c r="G568" s="239">
        <v>561</v>
      </c>
      <c r="H568" s="197" t="s">
        <v>79</v>
      </c>
      <c r="I568" s="242" t="s">
        <v>8000</v>
      </c>
      <c r="J568" s="242" t="s">
        <v>8558</v>
      </c>
      <c r="K568" s="195" t="s">
        <v>70</v>
      </c>
      <c r="L568" s="20" t="str">
        <f ca="1">IF(OFFSET(환산공식!$ED$15,$F568,0)=1,"O","X")</f>
        <v>X</v>
      </c>
      <c r="M568" s="188">
        <f ca="1">IFERROR(OFFSET(환산공식!DJ$15,$F568,0),"")</f>
        <v>200</v>
      </c>
      <c r="N568" s="20" t="str">
        <f ca="1">IFERROR(CONCATENATE(ROUND(OFFSET(환산공식!DK$15,$F568,0),1),"%"),"")</f>
        <v>100%</v>
      </c>
      <c r="O568" s="20">
        <f ca="1">IFERROR(OFFSET(환산공식!DL$15,$F568,0),"")</f>
        <v>0</v>
      </c>
      <c r="P568" s="188" t="str">
        <f t="shared" ca="1" si="16"/>
        <v>3% 이하</v>
      </c>
      <c r="Q568" s="194">
        <f ca="1">IFERROR(ROUND(OFFSET(환산공식!$FG$15,$F568,0),3),"")</f>
        <v>0</v>
      </c>
      <c r="R568" s="194">
        <f ca="1">OFFSET('배치점수 계산기'!H$10,$D568,0)</f>
        <v>832.36500000000001</v>
      </c>
      <c r="S568" s="194">
        <f ca="1">OFFSET('배치점수 계산기'!I$10,$D568,0)</f>
        <v>830.19399999999996</v>
      </c>
      <c r="T568" s="194">
        <f ca="1">OFFSET('배치점수 계산기'!J$10,$D568,0)</f>
        <v>825.37699999999995</v>
      </c>
      <c r="U568" s="194">
        <f ca="1">OFFSET('배치점수 계산기'!K$10,$D568,0)</f>
        <v>820.40700000000004</v>
      </c>
      <c r="V568" s="194">
        <f ca="1">OFFSET('배치점수 계산기'!L$10,$D568,0)</f>
        <v>814.6</v>
      </c>
      <c r="W568" s="186" t="str">
        <f ca="1">OFFSET('배치점수 계산기'!M$10,$D568,0)</f>
        <v>표점/만점</v>
      </c>
      <c r="X568" s="184" t="str">
        <f ca="1">OFFSET('배치점수 계산기'!N$10,$D568,0)</f>
        <v>표점/만점</v>
      </c>
      <c r="Y568" s="188">
        <f ca="1">OFFSET(환산공식!FW$15,$F568,0)</f>
        <v>0.31</v>
      </c>
      <c r="Z568" s="20">
        <f ca="1">OFFSET(환산공식!FX$15,$F568,0)</f>
        <v>0.37</v>
      </c>
      <c r="AA568" s="179">
        <f ca="1">OFFSET(환산공식!FY$15,$F568,0)</f>
        <v>0.31</v>
      </c>
      <c r="AB568" s="3"/>
      <c r="AD568">
        <f t="shared" ca="1" si="17"/>
        <v>6</v>
      </c>
      <c r="AF568" s="3"/>
      <c r="AG568" s="3"/>
      <c r="AH568" s="3"/>
    </row>
    <row r="569" spans="1:34">
      <c r="A569" s="198"/>
      <c r="B569" s="198"/>
      <c r="C569" s="198" t="s">
        <v>2021</v>
      </c>
      <c r="D569" s="195">
        <v>1560</v>
      </c>
      <c r="E569" s="195">
        <v>190</v>
      </c>
      <c r="F569" s="195">
        <v>190</v>
      </c>
      <c r="G569" s="239">
        <v>562</v>
      </c>
      <c r="H569" s="197" t="s">
        <v>79</v>
      </c>
      <c r="I569" s="242" t="s">
        <v>8000</v>
      </c>
      <c r="J569" s="242" t="s">
        <v>8168</v>
      </c>
      <c r="K569" s="195" t="s">
        <v>70</v>
      </c>
      <c r="L569" s="20" t="str">
        <f ca="1">IF(OFFSET(환산공식!$ED$15,$F569,0)=1,"O","X")</f>
        <v>X</v>
      </c>
      <c r="M569" s="188">
        <f ca="1">IFERROR(OFFSET(환산공식!DJ$15,$F569,0),"")</f>
        <v>200</v>
      </c>
      <c r="N569" s="20" t="str">
        <f ca="1">IFERROR(CONCATENATE(ROUND(OFFSET(환산공식!DK$15,$F569,0),1),"%"),"")</f>
        <v>100%</v>
      </c>
      <c r="O569" s="20">
        <f ca="1">IFERROR(OFFSET(환산공식!DL$15,$F569,0),"")</f>
        <v>0</v>
      </c>
      <c r="P569" s="188" t="str">
        <f t="shared" ca="1" si="16"/>
        <v>3% 이하</v>
      </c>
      <c r="Q569" s="194">
        <f ca="1">IFERROR(ROUND(OFFSET(환산공식!$FG$15,$F569,0),3),"")</f>
        <v>0</v>
      </c>
      <c r="R569" s="194">
        <f ca="1">OFFSET('배치점수 계산기'!H$10,$D569,0)</f>
        <v>829.48199999999997</v>
      </c>
      <c r="S569" s="194">
        <f ca="1">OFFSET('배치점수 계산기'!I$10,$D569,0)</f>
        <v>827.12300000000005</v>
      </c>
      <c r="T569" s="194">
        <f ca="1">OFFSET('배치점수 계산기'!J$10,$D569,0)</f>
        <v>822.31200000000001</v>
      </c>
      <c r="U569" s="194">
        <f ca="1">OFFSET('배치점수 계산기'!K$10,$D569,0)</f>
        <v>817.68299999999999</v>
      </c>
      <c r="V569" s="194">
        <f ca="1">OFFSET('배치점수 계산기'!L$10,$D569,0)</f>
        <v>812.07100000000003</v>
      </c>
      <c r="W569" s="186" t="str">
        <f ca="1">OFFSET('배치점수 계산기'!M$10,$D569,0)</f>
        <v>표점/만점</v>
      </c>
      <c r="X569" s="184" t="str">
        <f ca="1">OFFSET('배치점수 계산기'!N$10,$D569,0)</f>
        <v>표점/만점</v>
      </c>
      <c r="Y569" s="188">
        <f ca="1">OFFSET(환산공식!FW$15,$F569,0)</f>
        <v>0.31</v>
      </c>
      <c r="Z569" s="20">
        <f ca="1">OFFSET(환산공식!FX$15,$F569,0)</f>
        <v>0.37</v>
      </c>
      <c r="AA569" s="179">
        <f ca="1">OFFSET(환산공식!FY$15,$F569,0)</f>
        <v>0.31</v>
      </c>
      <c r="AB569" s="3"/>
      <c r="AD569">
        <f t="shared" ca="1" si="17"/>
        <v>6</v>
      </c>
      <c r="AF569" s="3"/>
      <c r="AG569" s="3"/>
      <c r="AH569" s="3"/>
    </row>
    <row r="570" spans="1:34">
      <c r="A570" s="198"/>
      <c r="B570" s="198"/>
      <c r="C570" s="198" t="s">
        <v>2022</v>
      </c>
      <c r="D570" s="195">
        <v>1561</v>
      </c>
      <c r="E570" s="195">
        <v>190</v>
      </c>
      <c r="F570" s="195">
        <v>190</v>
      </c>
      <c r="G570" s="239">
        <v>563</v>
      </c>
      <c r="H570" s="197" t="s">
        <v>79</v>
      </c>
      <c r="I570" s="242" t="s">
        <v>8000</v>
      </c>
      <c r="J570" s="242" t="s">
        <v>8148</v>
      </c>
      <c r="K570" s="195" t="s">
        <v>70</v>
      </c>
      <c r="L570" s="20" t="str">
        <f ca="1">IF(OFFSET(환산공식!$ED$15,$F570,0)=1,"O","X")</f>
        <v>X</v>
      </c>
      <c r="M570" s="188">
        <f ca="1">IFERROR(OFFSET(환산공식!DJ$15,$F570,0),"")</f>
        <v>200</v>
      </c>
      <c r="N570" s="20" t="str">
        <f ca="1">IFERROR(CONCATENATE(ROUND(OFFSET(환산공식!DK$15,$F570,0),1),"%"),"")</f>
        <v>100%</v>
      </c>
      <c r="O570" s="20">
        <f ca="1">IFERROR(OFFSET(환산공식!DL$15,$F570,0),"")</f>
        <v>0</v>
      </c>
      <c r="P570" s="188" t="str">
        <f t="shared" ca="1" si="16"/>
        <v>3% 이하</v>
      </c>
      <c r="Q570" s="194">
        <f ca="1">IFERROR(ROUND(OFFSET(환산공식!$FG$15,$F570,0),3),"")</f>
        <v>0</v>
      </c>
      <c r="R570" s="194">
        <f ca="1">OFFSET('배치점수 계산기'!H$10,$D570,0)</f>
        <v>826.19600000000003</v>
      </c>
      <c r="S570" s="194">
        <f ca="1">OFFSET('배치점수 계산기'!I$10,$D570,0)</f>
        <v>823.85199999999998</v>
      </c>
      <c r="T570" s="194">
        <f ca="1">OFFSET('배치점수 계산기'!J$10,$D570,0)</f>
        <v>819.19600000000003</v>
      </c>
      <c r="U570" s="194">
        <f ca="1">OFFSET('배치점수 계산기'!K$10,$D570,0)</f>
        <v>814.78899999999999</v>
      </c>
      <c r="V570" s="194">
        <f ca="1">OFFSET('배치점수 계산기'!L$10,$D570,0)</f>
        <v>809.50199999999995</v>
      </c>
      <c r="W570" s="186" t="str">
        <f ca="1">OFFSET('배치점수 계산기'!M$10,$D570,0)</f>
        <v>표점/만점</v>
      </c>
      <c r="X570" s="184" t="str">
        <f ca="1">OFFSET('배치점수 계산기'!N$10,$D570,0)</f>
        <v>표점/만점</v>
      </c>
      <c r="Y570" s="188">
        <f ca="1">OFFSET(환산공식!FW$15,$F570,0)</f>
        <v>0.31</v>
      </c>
      <c r="Z570" s="20">
        <f ca="1">OFFSET(환산공식!FX$15,$F570,0)</f>
        <v>0.37</v>
      </c>
      <c r="AA570" s="179">
        <f ca="1">OFFSET(환산공식!FY$15,$F570,0)</f>
        <v>0.31</v>
      </c>
      <c r="AB570" s="3"/>
      <c r="AD570">
        <f t="shared" ca="1" si="17"/>
        <v>6</v>
      </c>
      <c r="AF570" s="3"/>
      <c r="AG570" s="3"/>
      <c r="AH570" s="3"/>
    </row>
    <row r="571" spans="1:34">
      <c r="A571" s="198"/>
      <c r="B571" s="198"/>
      <c r="C571" s="198" t="s">
        <v>2023</v>
      </c>
      <c r="D571" s="195">
        <v>1562</v>
      </c>
      <c r="E571" s="195">
        <v>190</v>
      </c>
      <c r="F571" s="195">
        <v>190</v>
      </c>
      <c r="G571" s="239">
        <v>564</v>
      </c>
      <c r="H571" s="197" t="s">
        <v>79</v>
      </c>
      <c r="I571" s="242" t="s">
        <v>8000</v>
      </c>
      <c r="J571" s="242" t="s">
        <v>8418</v>
      </c>
      <c r="K571" s="195" t="s">
        <v>70</v>
      </c>
      <c r="L571" s="20" t="str">
        <f ca="1">IF(OFFSET(환산공식!$ED$15,$F571,0)=1,"O","X")</f>
        <v>X</v>
      </c>
      <c r="M571" s="188">
        <f ca="1">IFERROR(OFFSET(환산공식!DJ$15,$F571,0),"")</f>
        <v>200</v>
      </c>
      <c r="N571" s="20" t="str">
        <f ca="1">IFERROR(CONCATENATE(ROUND(OFFSET(환산공식!DK$15,$F571,0),1),"%"),"")</f>
        <v>100%</v>
      </c>
      <c r="O571" s="20">
        <f ca="1">IFERROR(OFFSET(환산공식!DL$15,$F571,0),"")</f>
        <v>0</v>
      </c>
      <c r="P571" s="188" t="str">
        <f t="shared" ca="1" si="16"/>
        <v>3% 이하</v>
      </c>
      <c r="Q571" s="194">
        <f ca="1">IFERROR(ROUND(OFFSET(환산공식!$FG$15,$F571,0),3),"")</f>
        <v>0</v>
      </c>
      <c r="R571" s="194">
        <f ca="1">OFFSET('배치점수 계산기'!H$10,$D571,0)</f>
        <v>825.822</v>
      </c>
      <c r="S571" s="194">
        <f ca="1">OFFSET('배치점수 계산기'!I$10,$D571,0)</f>
        <v>823.47799999999995</v>
      </c>
      <c r="T571" s="194">
        <f ca="1">OFFSET('배치점수 계산기'!J$10,$D571,0)</f>
        <v>818.84900000000005</v>
      </c>
      <c r="U571" s="194">
        <f ca="1">OFFSET('배치점수 계산기'!K$10,$D571,0)</f>
        <v>814.39599999999996</v>
      </c>
      <c r="V571" s="194">
        <f ca="1">OFFSET('배치점수 계산기'!L$10,$D571,0)</f>
        <v>809.13699999999994</v>
      </c>
      <c r="W571" s="186" t="str">
        <f ca="1">OFFSET('배치점수 계산기'!M$10,$D571,0)</f>
        <v>표점/만점</v>
      </c>
      <c r="X571" s="184" t="str">
        <f ca="1">OFFSET('배치점수 계산기'!N$10,$D571,0)</f>
        <v>표점/만점</v>
      </c>
      <c r="Y571" s="188">
        <f ca="1">OFFSET(환산공식!FW$15,$F571,0)</f>
        <v>0.31</v>
      </c>
      <c r="Z571" s="20">
        <f ca="1">OFFSET(환산공식!FX$15,$F571,0)</f>
        <v>0.37</v>
      </c>
      <c r="AA571" s="179">
        <f ca="1">OFFSET(환산공식!FY$15,$F571,0)</f>
        <v>0.31</v>
      </c>
      <c r="AB571" s="3"/>
      <c r="AD571">
        <f t="shared" ca="1" si="17"/>
        <v>6</v>
      </c>
      <c r="AF571" s="3"/>
      <c r="AG571" s="3"/>
      <c r="AH571" s="3"/>
    </row>
    <row r="572" spans="1:34">
      <c r="A572" s="198"/>
      <c r="B572" s="198"/>
      <c r="C572" s="198" t="s">
        <v>2024</v>
      </c>
      <c r="D572" s="195">
        <v>1563</v>
      </c>
      <c r="E572" s="195">
        <v>190</v>
      </c>
      <c r="F572" s="195">
        <v>190</v>
      </c>
      <c r="G572" s="239">
        <v>565</v>
      </c>
      <c r="H572" s="197" t="s">
        <v>79</v>
      </c>
      <c r="I572" s="242" t="s">
        <v>8000</v>
      </c>
      <c r="J572" s="242" t="s">
        <v>9339</v>
      </c>
      <c r="K572" s="195" t="s">
        <v>70</v>
      </c>
      <c r="L572" s="20" t="str">
        <f ca="1">IF(OFFSET(환산공식!$ED$15,$F572,0)=1,"O","X")</f>
        <v>X</v>
      </c>
      <c r="M572" s="188">
        <f ca="1">IFERROR(OFFSET(환산공식!DJ$15,$F572,0),"")</f>
        <v>200</v>
      </c>
      <c r="N572" s="20" t="str">
        <f ca="1">IFERROR(CONCATENATE(ROUND(OFFSET(환산공식!DK$15,$F572,0),1),"%"),"")</f>
        <v>100%</v>
      </c>
      <c r="O572" s="20">
        <f ca="1">IFERROR(OFFSET(환산공식!DL$15,$F572,0),"")</f>
        <v>0</v>
      </c>
      <c r="P572" s="188" t="str">
        <f t="shared" ca="1" si="16"/>
        <v>3% 이하</v>
      </c>
      <c r="Q572" s="194">
        <f ca="1">IFERROR(ROUND(OFFSET(환산공식!$FG$15,$F572,0),3),"")</f>
        <v>0</v>
      </c>
      <c r="R572" s="194">
        <f ca="1">OFFSET('배치점수 계산기'!H$10,$D572,0)</f>
        <v>824.04100000000005</v>
      </c>
      <c r="S572" s="194">
        <f ca="1">OFFSET('배치점수 계산기'!I$10,$D572,0)</f>
        <v>821.57299999999998</v>
      </c>
      <c r="T572" s="194">
        <f ca="1">OFFSET('배치점수 계산기'!J$10,$D572,0)</f>
        <v>817.33600000000001</v>
      </c>
      <c r="U572" s="194">
        <f ca="1">OFFSET('배치점수 계산기'!K$10,$D572,0)</f>
        <v>812.87199999999996</v>
      </c>
      <c r="V572" s="194">
        <f ca="1">OFFSET('배치점수 계산기'!L$10,$D572,0)</f>
        <v>807.57299999999998</v>
      </c>
      <c r="W572" s="186" t="str">
        <f ca="1">OFFSET('배치점수 계산기'!M$10,$D572,0)</f>
        <v>표점/만점</v>
      </c>
      <c r="X572" s="184" t="str">
        <f ca="1">OFFSET('배치점수 계산기'!N$10,$D572,0)</f>
        <v>표점/만점</v>
      </c>
      <c r="Y572" s="188">
        <f ca="1">OFFSET(환산공식!FW$15,$F572,0)</f>
        <v>0.31</v>
      </c>
      <c r="Z572" s="20">
        <f ca="1">OFFSET(환산공식!FX$15,$F572,0)</f>
        <v>0.37</v>
      </c>
      <c r="AA572" s="179">
        <f ca="1">OFFSET(환산공식!FY$15,$F572,0)</f>
        <v>0.31</v>
      </c>
      <c r="AB572" s="3"/>
      <c r="AD572">
        <f t="shared" ca="1" si="17"/>
        <v>6</v>
      </c>
      <c r="AF572" s="3"/>
      <c r="AG572" s="3"/>
      <c r="AH572" s="3"/>
    </row>
    <row r="573" spans="1:34">
      <c r="A573" s="198"/>
      <c r="B573" s="198"/>
      <c r="C573" s="198" t="s">
        <v>2025</v>
      </c>
      <c r="D573" s="195">
        <v>1564</v>
      </c>
      <c r="E573" s="195">
        <v>190</v>
      </c>
      <c r="F573" s="195">
        <v>190</v>
      </c>
      <c r="G573" s="239">
        <v>566</v>
      </c>
      <c r="H573" s="197" t="s">
        <v>79</v>
      </c>
      <c r="I573" s="242" t="s">
        <v>8000</v>
      </c>
      <c r="J573" s="242" t="s">
        <v>8877</v>
      </c>
      <c r="K573" s="195" t="s">
        <v>70</v>
      </c>
      <c r="L573" s="20" t="str">
        <f ca="1">IF(OFFSET(환산공식!$ED$15,$F573,0)=1,"O","X")</f>
        <v>X</v>
      </c>
      <c r="M573" s="188">
        <f ca="1">IFERROR(OFFSET(환산공식!DJ$15,$F573,0),"")</f>
        <v>200</v>
      </c>
      <c r="N573" s="20" t="str">
        <f ca="1">IFERROR(CONCATENATE(ROUND(OFFSET(환산공식!DK$15,$F573,0),1),"%"),"")</f>
        <v>100%</v>
      </c>
      <c r="O573" s="20">
        <f ca="1">IFERROR(OFFSET(환산공식!DL$15,$F573,0),"")</f>
        <v>0</v>
      </c>
      <c r="P573" s="188" t="str">
        <f t="shared" ca="1" si="16"/>
        <v>3% 이하</v>
      </c>
      <c r="Q573" s="194">
        <f ca="1">IFERROR(ROUND(OFFSET(환산공식!$FG$15,$F573,0),3),"")</f>
        <v>0</v>
      </c>
      <c r="R573" s="194">
        <f ca="1">OFFSET('배치점수 계산기'!H$10,$D573,0)</f>
        <v>821.57299999999998</v>
      </c>
      <c r="S573" s="194">
        <f ca="1">OFFSET('배치점수 계산기'!I$10,$D573,0)</f>
        <v>819.58799999999997</v>
      </c>
      <c r="T573" s="194">
        <f ca="1">OFFSET('배치점수 계산기'!J$10,$D573,0)</f>
        <v>815.5</v>
      </c>
      <c r="U573" s="194">
        <f ca="1">OFFSET('배치점수 계산기'!K$10,$D573,0)</f>
        <v>811.08100000000002</v>
      </c>
      <c r="V573" s="194">
        <f ca="1">OFFSET('배치점수 계산기'!L$10,$D573,0)</f>
        <v>805.84500000000003</v>
      </c>
      <c r="W573" s="186" t="str">
        <f ca="1">OFFSET('배치점수 계산기'!M$10,$D573,0)</f>
        <v>표점/만점</v>
      </c>
      <c r="X573" s="184" t="str">
        <f ca="1">OFFSET('배치점수 계산기'!N$10,$D573,0)</f>
        <v>표점/만점</v>
      </c>
      <c r="Y573" s="188">
        <f ca="1">OFFSET(환산공식!FW$15,$F573,0)</f>
        <v>0.31</v>
      </c>
      <c r="Z573" s="20">
        <f ca="1">OFFSET(환산공식!FX$15,$F573,0)</f>
        <v>0.37</v>
      </c>
      <c r="AA573" s="179">
        <f ca="1">OFFSET(환산공식!FY$15,$F573,0)</f>
        <v>0.31</v>
      </c>
      <c r="AB573" s="3"/>
      <c r="AD573">
        <f t="shared" ca="1" si="17"/>
        <v>6</v>
      </c>
      <c r="AF573" s="3"/>
      <c r="AG573" s="3"/>
      <c r="AH573" s="3"/>
    </row>
    <row r="574" spans="1:34">
      <c r="A574" s="198"/>
      <c r="B574" s="198"/>
      <c r="C574" s="198" t="s">
        <v>2026</v>
      </c>
      <c r="D574" s="195">
        <v>1565</v>
      </c>
      <c r="E574" s="195">
        <v>190</v>
      </c>
      <c r="F574" s="195">
        <v>190</v>
      </c>
      <c r="G574" s="239">
        <v>567</v>
      </c>
      <c r="H574" s="197" t="s">
        <v>79</v>
      </c>
      <c r="I574" s="242" t="s">
        <v>8000</v>
      </c>
      <c r="J574" s="242" t="s">
        <v>8197</v>
      </c>
      <c r="K574" s="195" t="s">
        <v>70</v>
      </c>
      <c r="L574" s="20" t="str">
        <f ca="1">IF(OFFSET(환산공식!$ED$15,$F574,0)=1,"O","X")</f>
        <v>X</v>
      </c>
      <c r="M574" s="188">
        <f ca="1">IFERROR(OFFSET(환산공식!DJ$15,$F574,0),"")</f>
        <v>200</v>
      </c>
      <c r="N574" s="20" t="str">
        <f ca="1">IFERROR(CONCATENATE(ROUND(OFFSET(환산공식!DK$15,$F574,0),1),"%"),"")</f>
        <v>100%</v>
      </c>
      <c r="O574" s="20">
        <f ca="1">IFERROR(OFFSET(환산공식!DL$15,$F574,0),"")</f>
        <v>0</v>
      </c>
      <c r="P574" s="188" t="str">
        <f t="shared" ca="1" si="16"/>
        <v>3% 이하</v>
      </c>
      <c r="Q574" s="194">
        <f ca="1">IFERROR(ROUND(OFFSET(환산공식!$FG$15,$F574,0),3),"")</f>
        <v>0</v>
      </c>
      <c r="R574" s="194">
        <f ca="1">OFFSET('배치점수 계산기'!H$10,$D574,0)</f>
        <v>821.57299999999998</v>
      </c>
      <c r="S574" s="194">
        <f ca="1">OFFSET('배치점수 계산기'!I$10,$D574,0)</f>
        <v>819.58799999999997</v>
      </c>
      <c r="T574" s="194">
        <f ca="1">OFFSET('배치점수 계산기'!J$10,$D574,0)</f>
        <v>815.5</v>
      </c>
      <c r="U574" s="194">
        <f ca="1">OFFSET('배치점수 계산기'!K$10,$D574,0)</f>
        <v>811.08100000000002</v>
      </c>
      <c r="V574" s="194">
        <f ca="1">OFFSET('배치점수 계산기'!L$10,$D574,0)</f>
        <v>805.84500000000003</v>
      </c>
      <c r="W574" s="186" t="str">
        <f ca="1">OFFSET('배치점수 계산기'!M$10,$D574,0)</f>
        <v>표점/만점</v>
      </c>
      <c r="X574" s="184" t="str">
        <f ca="1">OFFSET('배치점수 계산기'!N$10,$D574,0)</f>
        <v>표점/만점</v>
      </c>
      <c r="Y574" s="188">
        <f ca="1">OFFSET(환산공식!FW$15,$F574,0)</f>
        <v>0.31</v>
      </c>
      <c r="Z574" s="20">
        <f ca="1">OFFSET(환산공식!FX$15,$F574,0)</f>
        <v>0.37</v>
      </c>
      <c r="AA574" s="179">
        <f ca="1">OFFSET(환산공식!FY$15,$F574,0)</f>
        <v>0.31</v>
      </c>
      <c r="AB574" s="3"/>
      <c r="AD574">
        <f t="shared" ca="1" si="17"/>
        <v>6</v>
      </c>
      <c r="AF574" s="3"/>
      <c r="AG574" s="3"/>
      <c r="AH574" s="3"/>
    </row>
    <row r="575" spans="1:34">
      <c r="A575" s="198"/>
      <c r="B575" s="198"/>
      <c r="C575" s="198" t="s">
        <v>2027</v>
      </c>
      <c r="D575" s="195">
        <v>1566</v>
      </c>
      <c r="E575" s="195">
        <v>190</v>
      </c>
      <c r="F575" s="195">
        <v>190</v>
      </c>
      <c r="G575" s="239">
        <v>568</v>
      </c>
      <c r="H575" s="197" t="s">
        <v>79</v>
      </c>
      <c r="I575" s="242" t="s">
        <v>8000</v>
      </c>
      <c r="J575" s="242" t="s">
        <v>549</v>
      </c>
      <c r="K575" s="195" t="s">
        <v>70</v>
      </c>
      <c r="L575" s="20" t="str">
        <f ca="1">IF(OFFSET(환산공식!$ED$15,$F575,0)=1,"O","X")</f>
        <v>X</v>
      </c>
      <c r="M575" s="188">
        <f ca="1">IFERROR(OFFSET(환산공식!DJ$15,$F575,0),"")</f>
        <v>200</v>
      </c>
      <c r="N575" s="20" t="str">
        <f ca="1">IFERROR(CONCATENATE(ROUND(OFFSET(환산공식!DK$15,$F575,0),1),"%"),"")</f>
        <v>100%</v>
      </c>
      <c r="O575" s="20">
        <f ca="1">IFERROR(OFFSET(환산공식!DL$15,$F575,0),"")</f>
        <v>0</v>
      </c>
      <c r="P575" s="188" t="str">
        <f t="shared" ca="1" si="16"/>
        <v>3% 이하</v>
      </c>
      <c r="Q575" s="194">
        <f ca="1">IFERROR(ROUND(OFFSET(환산공식!$FG$15,$F575,0),3),"")</f>
        <v>0</v>
      </c>
      <c r="R575" s="194">
        <f ca="1">OFFSET('배치점수 계산기'!H$10,$D575,0)</f>
        <v>820.01499999999999</v>
      </c>
      <c r="S575" s="194">
        <f ca="1">OFFSET('배치점수 계산기'!I$10,$D575,0)</f>
        <v>817.68299999999999</v>
      </c>
      <c r="T575" s="194">
        <f ca="1">OFFSET('배치점수 계산기'!J$10,$D575,0)</f>
        <v>813.61099999999999</v>
      </c>
      <c r="U575" s="194">
        <f ca="1">OFFSET('배치점수 계산기'!K$10,$D575,0)</f>
        <v>809.50199999999995</v>
      </c>
      <c r="V575" s="194">
        <f ca="1">OFFSET('배치점수 계산기'!L$10,$D575,0)</f>
        <v>804.20699999999999</v>
      </c>
      <c r="W575" s="186" t="str">
        <f ca="1">OFFSET('배치점수 계산기'!M$10,$D575,0)</f>
        <v>표점/만점</v>
      </c>
      <c r="X575" s="184" t="str">
        <f ca="1">OFFSET('배치점수 계산기'!N$10,$D575,0)</f>
        <v>표점/만점</v>
      </c>
      <c r="Y575" s="188">
        <f ca="1">OFFSET(환산공식!FW$15,$F575,0)</f>
        <v>0.31</v>
      </c>
      <c r="Z575" s="20">
        <f ca="1">OFFSET(환산공식!FX$15,$F575,0)</f>
        <v>0.37</v>
      </c>
      <c r="AA575" s="179">
        <f ca="1">OFFSET(환산공식!FY$15,$F575,0)</f>
        <v>0.31</v>
      </c>
      <c r="AB575" s="3"/>
      <c r="AD575">
        <f t="shared" ca="1" si="17"/>
        <v>6</v>
      </c>
      <c r="AF575" s="3"/>
      <c r="AG575" s="3"/>
      <c r="AH575" s="3"/>
    </row>
    <row r="576" spans="1:34">
      <c r="A576" s="198"/>
      <c r="B576" s="198"/>
      <c r="C576" s="198" t="s">
        <v>2028</v>
      </c>
      <c r="D576" s="195">
        <v>1567</v>
      </c>
      <c r="E576" s="195">
        <v>190</v>
      </c>
      <c r="F576" s="195">
        <v>190</v>
      </c>
      <c r="G576" s="239">
        <v>569</v>
      </c>
      <c r="H576" s="197" t="s">
        <v>79</v>
      </c>
      <c r="I576" s="242" t="s">
        <v>8000</v>
      </c>
      <c r="J576" s="242" t="s">
        <v>8007</v>
      </c>
      <c r="K576" s="195" t="s">
        <v>70</v>
      </c>
      <c r="L576" s="20" t="str">
        <f ca="1">IF(OFFSET(환산공식!$ED$15,$F576,0)=1,"O","X")</f>
        <v>X</v>
      </c>
      <c r="M576" s="188">
        <f ca="1">IFERROR(OFFSET(환산공식!DJ$15,$F576,0),"")</f>
        <v>200</v>
      </c>
      <c r="N576" s="20" t="str">
        <f ca="1">IFERROR(CONCATENATE(ROUND(OFFSET(환산공식!DK$15,$F576,0),1),"%"),"")</f>
        <v>100%</v>
      </c>
      <c r="O576" s="20">
        <f ca="1">IFERROR(OFFSET(환산공식!DL$15,$F576,0),"")</f>
        <v>0</v>
      </c>
      <c r="P576" s="188" t="str">
        <f t="shared" ca="1" si="16"/>
        <v>3% 이하</v>
      </c>
      <c r="Q576" s="194">
        <f ca="1">IFERROR(ROUND(OFFSET(환산공식!$FG$15,$F576,0),3),"")</f>
        <v>0</v>
      </c>
      <c r="R576" s="194">
        <f ca="1">OFFSET('배치점수 계산기'!H$10,$D576,0)</f>
        <v>818.67899999999997</v>
      </c>
      <c r="S576" s="194">
        <f ca="1">OFFSET('배치점수 계산기'!I$10,$D576,0)</f>
        <v>816.51700000000005</v>
      </c>
      <c r="T576" s="194">
        <f ca="1">OFFSET('배치점수 계산기'!J$10,$D576,0)</f>
        <v>812.59400000000005</v>
      </c>
      <c r="U576" s="194">
        <f ca="1">OFFSET('배치점수 계산기'!K$10,$D576,0)</f>
        <v>808.32500000000005</v>
      </c>
      <c r="V576" s="194">
        <f ca="1">OFFSET('배치점수 계산기'!L$10,$D576,0)</f>
        <v>803.27</v>
      </c>
      <c r="W576" s="186" t="str">
        <f ca="1">OFFSET('배치점수 계산기'!M$10,$D576,0)</f>
        <v>표점/만점</v>
      </c>
      <c r="X576" s="184" t="str">
        <f ca="1">OFFSET('배치점수 계산기'!N$10,$D576,0)</f>
        <v>표점/만점</v>
      </c>
      <c r="Y576" s="188">
        <f ca="1">OFFSET(환산공식!FW$15,$F576,0)</f>
        <v>0.31</v>
      </c>
      <c r="Z576" s="20">
        <f ca="1">OFFSET(환산공식!FX$15,$F576,0)</f>
        <v>0.37</v>
      </c>
      <c r="AA576" s="179">
        <f ca="1">OFFSET(환산공식!FY$15,$F576,0)</f>
        <v>0.31</v>
      </c>
      <c r="AB576" s="3"/>
      <c r="AD576">
        <f t="shared" ca="1" si="17"/>
        <v>6</v>
      </c>
      <c r="AF576" s="3"/>
      <c r="AG576" s="3"/>
      <c r="AH576" s="3"/>
    </row>
    <row r="577" spans="1:34">
      <c r="A577" s="198"/>
      <c r="B577" s="198"/>
      <c r="C577" s="198" t="s">
        <v>2029</v>
      </c>
      <c r="D577" s="195">
        <v>1568</v>
      </c>
      <c r="E577" s="195">
        <v>190</v>
      </c>
      <c r="F577" s="195">
        <v>190</v>
      </c>
      <c r="G577" s="239">
        <v>570</v>
      </c>
      <c r="H577" s="197" t="s">
        <v>79</v>
      </c>
      <c r="I577" s="242" t="s">
        <v>8000</v>
      </c>
      <c r="J577" s="242" t="s">
        <v>11747</v>
      </c>
      <c r="K577" s="195" t="s">
        <v>70</v>
      </c>
      <c r="L577" s="20" t="str">
        <f ca="1">IF(OFFSET(환산공식!$ED$15,$F577,0)=1,"O","X")</f>
        <v>X</v>
      </c>
      <c r="M577" s="188">
        <f ca="1">IFERROR(OFFSET(환산공식!DJ$15,$F577,0),"")</f>
        <v>200</v>
      </c>
      <c r="N577" s="20" t="str">
        <f ca="1">IFERROR(CONCATENATE(ROUND(OFFSET(환산공식!DK$15,$F577,0),1),"%"),"")</f>
        <v>100%</v>
      </c>
      <c r="O577" s="20">
        <f ca="1">IFERROR(OFFSET(환산공식!DL$15,$F577,0),"")</f>
        <v>0</v>
      </c>
      <c r="P577" s="188" t="str">
        <f t="shared" ca="1" si="16"/>
        <v>3% 이하</v>
      </c>
      <c r="Q577" s="194">
        <f ca="1">IFERROR(ROUND(OFFSET(환산공식!$FG$15,$F577,0),3),"")</f>
        <v>0</v>
      </c>
      <c r="R577" s="194">
        <f ca="1">OFFSET('배치점수 계산기'!H$10,$D577,0)</f>
        <v>817.68299999999999</v>
      </c>
      <c r="S577" s="194">
        <f ca="1">OFFSET('배치점수 계산기'!I$10,$D577,0)</f>
        <v>815.77800000000002</v>
      </c>
      <c r="T577" s="194">
        <f ca="1">OFFSET('배치점수 계산기'!J$10,$D577,0)</f>
        <v>811.71199999999999</v>
      </c>
      <c r="U577" s="194">
        <f ca="1">OFFSET('배치점수 계산기'!K$10,$D577,0)</f>
        <v>807.57299999999998</v>
      </c>
      <c r="V577" s="194">
        <f ca="1">OFFSET('배치점수 계산기'!L$10,$D577,0)</f>
        <v>802.49699999999996</v>
      </c>
      <c r="W577" s="186" t="str">
        <f ca="1">OFFSET('배치점수 계산기'!M$10,$D577,0)</f>
        <v>표점/만점</v>
      </c>
      <c r="X577" s="184" t="str">
        <f ca="1">OFFSET('배치점수 계산기'!N$10,$D577,0)</f>
        <v>표점/만점</v>
      </c>
      <c r="Y577" s="188">
        <f ca="1">OFFSET(환산공식!FW$15,$F577,0)</f>
        <v>0.31</v>
      </c>
      <c r="Z577" s="20">
        <f ca="1">OFFSET(환산공식!FX$15,$F577,0)</f>
        <v>0.37</v>
      </c>
      <c r="AA577" s="179">
        <f ca="1">OFFSET(환산공식!FY$15,$F577,0)</f>
        <v>0.31</v>
      </c>
      <c r="AB577" s="3"/>
      <c r="AD577">
        <f t="shared" ca="1" si="17"/>
        <v>6</v>
      </c>
      <c r="AF577" s="3"/>
      <c r="AG577" s="3"/>
      <c r="AH577" s="3"/>
    </row>
    <row r="578" spans="1:34">
      <c r="A578" s="198"/>
      <c r="B578" s="198"/>
      <c r="C578" s="198" t="s">
        <v>2030</v>
      </c>
      <c r="D578" s="195">
        <v>1569</v>
      </c>
      <c r="E578" s="195">
        <v>190</v>
      </c>
      <c r="F578" s="195">
        <v>190</v>
      </c>
      <c r="G578" s="239">
        <v>571</v>
      </c>
      <c r="H578" s="197" t="s">
        <v>79</v>
      </c>
      <c r="I578" s="242" t="s">
        <v>8000</v>
      </c>
      <c r="J578" s="242" t="s">
        <v>7366</v>
      </c>
      <c r="K578" s="195" t="s">
        <v>70</v>
      </c>
      <c r="L578" s="20" t="str">
        <f ca="1">IF(OFFSET(환산공식!$ED$15,$F578,0)=1,"O","X")</f>
        <v>X</v>
      </c>
      <c r="M578" s="188">
        <f ca="1">IFERROR(OFFSET(환산공식!DJ$15,$F578,0),"")</f>
        <v>200</v>
      </c>
      <c r="N578" s="20" t="str">
        <f ca="1">IFERROR(CONCATENATE(ROUND(OFFSET(환산공식!DK$15,$F578,0),1),"%"),"")</f>
        <v>100%</v>
      </c>
      <c r="O578" s="20">
        <f ca="1">IFERROR(OFFSET(환산공식!DL$15,$F578,0),"")</f>
        <v>0</v>
      </c>
      <c r="P578" s="188" t="str">
        <f t="shared" ca="1" si="16"/>
        <v>3% 이하</v>
      </c>
      <c r="Q578" s="194">
        <f ca="1">IFERROR(ROUND(OFFSET(환산공식!$FG$15,$F578,0),3),"")</f>
        <v>0</v>
      </c>
      <c r="R578" s="194">
        <f ca="1">OFFSET('배치점수 계산기'!H$10,$D578,0)</f>
        <v>817.30899999999997</v>
      </c>
      <c r="S578" s="194">
        <f ca="1">OFFSET('배치점수 계산기'!I$10,$D578,0)</f>
        <v>815.31200000000001</v>
      </c>
      <c r="T578" s="194">
        <f ca="1">OFFSET('배치점수 계산기'!J$10,$D578,0)</f>
        <v>811.08100000000002</v>
      </c>
      <c r="U578" s="194">
        <f ca="1">OFFSET('배치점수 계산기'!K$10,$D578,0)</f>
        <v>806.94299999999998</v>
      </c>
      <c r="V578" s="194">
        <f ca="1">OFFSET('배치점수 계산기'!L$10,$D578,0)</f>
        <v>802.09199999999998</v>
      </c>
      <c r="W578" s="186" t="str">
        <f ca="1">OFFSET('배치점수 계산기'!M$10,$D578,0)</f>
        <v>표점/만점</v>
      </c>
      <c r="X578" s="184" t="str">
        <f ca="1">OFFSET('배치점수 계산기'!N$10,$D578,0)</f>
        <v>표점/만점</v>
      </c>
      <c r="Y578" s="188">
        <f ca="1">OFFSET(환산공식!FW$15,$F578,0)</f>
        <v>0.31</v>
      </c>
      <c r="Z578" s="20">
        <f ca="1">OFFSET(환산공식!FX$15,$F578,0)</f>
        <v>0.37</v>
      </c>
      <c r="AA578" s="179">
        <f ca="1">OFFSET(환산공식!FY$15,$F578,0)</f>
        <v>0.31</v>
      </c>
      <c r="AB578" s="3"/>
      <c r="AD578">
        <f t="shared" ca="1" si="17"/>
        <v>6</v>
      </c>
      <c r="AF578" s="3"/>
      <c r="AG578" s="3"/>
      <c r="AH578" s="3"/>
    </row>
    <row r="579" spans="1:34">
      <c r="A579" s="198"/>
      <c r="B579" s="198"/>
      <c r="C579" s="198" t="s">
        <v>2031</v>
      </c>
      <c r="D579" s="195">
        <v>1570</v>
      </c>
      <c r="E579" s="195">
        <v>190</v>
      </c>
      <c r="F579" s="195">
        <v>190</v>
      </c>
      <c r="G579" s="239">
        <v>572</v>
      </c>
      <c r="H579" s="197" t="s">
        <v>79</v>
      </c>
      <c r="I579" s="242" t="s">
        <v>8000</v>
      </c>
      <c r="J579" s="242" t="s">
        <v>13903</v>
      </c>
      <c r="K579" s="195" t="s">
        <v>70</v>
      </c>
      <c r="L579" s="20" t="str">
        <f ca="1">IF(OFFSET(환산공식!$ED$15,$F579,0)=1,"O","X")</f>
        <v>X</v>
      </c>
      <c r="M579" s="188">
        <f ca="1">IFERROR(OFFSET(환산공식!DJ$15,$F579,0),"")</f>
        <v>200</v>
      </c>
      <c r="N579" s="20" t="str">
        <f ca="1">IFERROR(CONCATENATE(ROUND(OFFSET(환산공식!DK$15,$F579,0),1),"%"),"")</f>
        <v>100%</v>
      </c>
      <c r="O579" s="20">
        <f ca="1">IFERROR(OFFSET(환산공식!DL$15,$F579,0),"")</f>
        <v>0</v>
      </c>
      <c r="P579" s="188" t="str">
        <f t="shared" ca="1" si="16"/>
        <v>3% 이하</v>
      </c>
      <c r="Q579" s="194">
        <f ca="1">IFERROR(ROUND(OFFSET(환산공식!$FG$15,$F579,0),3),"")</f>
        <v>0</v>
      </c>
      <c r="R579" s="194">
        <f ca="1">OFFSET('배치점수 계산기'!H$10,$D579,0)</f>
        <v>814.78899999999999</v>
      </c>
      <c r="S579" s="194">
        <f ca="1">OFFSET('배치점수 계산기'!I$10,$D579,0)</f>
        <v>812.87199999999996</v>
      </c>
      <c r="T579" s="194">
        <f ca="1">OFFSET('배치점수 계산기'!J$10,$D579,0)</f>
        <v>808.92100000000005</v>
      </c>
      <c r="U579" s="194">
        <f ca="1">OFFSET('배치점수 계산기'!K$10,$D579,0)</f>
        <v>804.64</v>
      </c>
      <c r="V579" s="194">
        <f ca="1">OFFSET('배치점수 계산기'!L$10,$D579,0)</f>
        <v>800.08600000000001</v>
      </c>
      <c r="W579" s="186" t="str">
        <f ca="1">OFFSET('배치점수 계산기'!M$10,$D579,0)</f>
        <v>표점/만점</v>
      </c>
      <c r="X579" s="184" t="str">
        <f ca="1">OFFSET('배치점수 계산기'!N$10,$D579,0)</f>
        <v>표점/만점</v>
      </c>
      <c r="Y579" s="188">
        <f ca="1">OFFSET(환산공식!FW$15,$F579,0)</f>
        <v>0.31</v>
      </c>
      <c r="Z579" s="20">
        <f ca="1">OFFSET(환산공식!FX$15,$F579,0)</f>
        <v>0.37</v>
      </c>
      <c r="AA579" s="179">
        <f ca="1">OFFSET(환산공식!FY$15,$F579,0)</f>
        <v>0.31</v>
      </c>
      <c r="AB579" s="3"/>
      <c r="AD579">
        <f t="shared" ca="1" si="17"/>
        <v>6</v>
      </c>
      <c r="AF579" s="3"/>
      <c r="AG579" s="3"/>
      <c r="AH579" s="3"/>
    </row>
    <row r="580" spans="1:34">
      <c r="A580" s="198"/>
      <c r="B580" s="198"/>
      <c r="C580" s="198" t="s">
        <v>2032</v>
      </c>
      <c r="D580" s="195">
        <v>1571</v>
      </c>
      <c r="E580" s="195">
        <v>190</v>
      </c>
      <c r="F580" s="195">
        <v>190</v>
      </c>
      <c r="G580" s="239">
        <v>573</v>
      </c>
      <c r="H580" s="197" t="s">
        <v>79</v>
      </c>
      <c r="I580" s="242" t="s">
        <v>8000</v>
      </c>
      <c r="J580" s="242" t="s">
        <v>16715</v>
      </c>
      <c r="K580" s="195" t="s">
        <v>70</v>
      </c>
      <c r="L580" s="20" t="str">
        <f ca="1">IF(OFFSET(환산공식!$ED$15,$F580,0)=1,"O","X")</f>
        <v>X</v>
      </c>
      <c r="M580" s="188">
        <f ca="1">IFERROR(OFFSET(환산공식!DJ$15,$F580,0),"")</f>
        <v>200</v>
      </c>
      <c r="N580" s="20" t="str">
        <f ca="1">IFERROR(CONCATENATE(ROUND(OFFSET(환산공식!DK$15,$F580,0),1),"%"),"")</f>
        <v>100%</v>
      </c>
      <c r="O580" s="20">
        <f ca="1">IFERROR(OFFSET(환산공식!DL$15,$F580,0),"")</f>
        <v>0</v>
      </c>
      <c r="P580" s="188" t="str">
        <f t="shared" ca="1" si="16"/>
        <v>3% 이하</v>
      </c>
      <c r="Q580" s="194">
        <f ca="1">IFERROR(ROUND(OFFSET(환산공식!$FG$15,$F580,0),3),"")</f>
        <v>0</v>
      </c>
      <c r="R580" s="194">
        <f ca="1">OFFSET('배치점수 계산기'!H$10,$D580,0)</f>
        <v>812.25900000000001</v>
      </c>
      <c r="S580" s="194">
        <f ca="1">OFFSET('배치점수 계산기'!I$10,$D580,0)</f>
        <v>810.303</v>
      </c>
      <c r="T580" s="194">
        <f ca="1">OFFSET('배치점수 계산기'!J$10,$D580,0)</f>
        <v>806.41899999999998</v>
      </c>
      <c r="U580" s="194">
        <f ca="1">OFFSET('배치점수 계산기'!K$10,$D580,0)</f>
        <v>802.49699999999996</v>
      </c>
      <c r="V580" s="194">
        <f ca="1">OFFSET('배치점수 계산기'!L$10,$D580,0)</f>
        <v>797.95299999999997</v>
      </c>
      <c r="W580" s="186" t="str">
        <f ca="1">OFFSET('배치점수 계산기'!M$10,$D580,0)</f>
        <v>표점/만점</v>
      </c>
      <c r="X580" s="184" t="str">
        <f ca="1">OFFSET('배치점수 계산기'!N$10,$D580,0)</f>
        <v>표점/만점</v>
      </c>
      <c r="Y580" s="188">
        <f ca="1">OFFSET(환산공식!FW$15,$F580,0)</f>
        <v>0.31</v>
      </c>
      <c r="Z580" s="20">
        <f ca="1">OFFSET(환산공식!FX$15,$F580,0)</f>
        <v>0.37</v>
      </c>
      <c r="AA580" s="179">
        <f ca="1">OFFSET(환산공식!FY$15,$F580,0)</f>
        <v>0.31</v>
      </c>
      <c r="AB580" s="3"/>
      <c r="AD580">
        <f t="shared" ca="1" si="17"/>
        <v>6</v>
      </c>
      <c r="AF580" s="3"/>
      <c r="AG580" s="3"/>
      <c r="AH580" s="3"/>
    </row>
    <row r="581" spans="1:34">
      <c r="A581" s="198"/>
      <c r="B581" s="198"/>
      <c r="C581" s="198" t="s">
        <v>2033</v>
      </c>
      <c r="D581" s="195">
        <v>1572</v>
      </c>
      <c r="E581" s="195">
        <v>190</v>
      </c>
      <c r="F581" s="195">
        <v>190</v>
      </c>
      <c r="G581" s="239">
        <v>574</v>
      </c>
      <c r="H581" s="197" t="s">
        <v>79</v>
      </c>
      <c r="I581" s="242" t="s">
        <v>8000</v>
      </c>
      <c r="J581" s="242" t="s">
        <v>13772</v>
      </c>
      <c r="K581" s="195" t="s">
        <v>70</v>
      </c>
      <c r="L581" s="20" t="str">
        <f ca="1">IF(OFFSET(환산공식!$ED$15,$F581,0)=1,"O","X")</f>
        <v>X</v>
      </c>
      <c r="M581" s="188">
        <f ca="1">IFERROR(OFFSET(환산공식!DJ$15,$F581,0),"")</f>
        <v>200</v>
      </c>
      <c r="N581" s="20" t="str">
        <f ca="1">IFERROR(CONCATENATE(ROUND(OFFSET(환산공식!DK$15,$F581,0),1),"%"),"")</f>
        <v>100%</v>
      </c>
      <c r="O581" s="20">
        <f ca="1">IFERROR(OFFSET(환산공식!DL$15,$F581,0),"")</f>
        <v>0</v>
      </c>
      <c r="P581" s="188" t="str">
        <f t="shared" ca="1" si="16"/>
        <v>3% 이하</v>
      </c>
      <c r="Q581" s="194">
        <f ca="1">IFERROR(ROUND(OFFSET(환산공식!$FG$15,$F581,0),3),"")</f>
        <v>0</v>
      </c>
      <c r="R581" s="194">
        <f ca="1">OFFSET('배치점수 계산기'!H$10,$D581,0)</f>
        <v>812.25900000000001</v>
      </c>
      <c r="S581" s="194">
        <f ca="1">OFFSET('배치점수 계산기'!I$10,$D581,0)</f>
        <v>810.303</v>
      </c>
      <c r="T581" s="194">
        <f ca="1">OFFSET('배치점수 계산기'!J$10,$D581,0)</f>
        <v>806.41899999999998</v>
      </c>
      <c r="U581" s="194">
        <f ca="1">OFFSET('배치점수 계산기'!K$10,$D581,0)</f>
        <v>802.49699999999996</v>
      </c>
      <c r="V581" s="194">
        <f ca="1">OFFSET('배치점수 계산기'!L$10,$D581,0)</f>
        <v>797.95299999999997</v>
      </c>
      <c r="W581" s="186" t="str">
        <f ca="1">OFFSET('배치점수 계산기'!M$10,$D581,0)</f>
        <v>표점/만점</v>
      </c>
      <c r="X581" s="184" t="str">
        <f ca="1">OFFSET('배치점수 계산기'!N$10,$D581,0)</f>
        <v>표점/만점</v>
      </c>
      <c r="Y581" s="188">
        <f ca="1">OFFSET(환산공식!FW$15,$F581,0)</f>
        <v>0.31</v>
      </c>
      <c r="Z581" s="20">
        <f ca="1">OFFSET(환산공식!FX$15,$F581,0)</f>
        <v>0.37</v>
      </c>
      <c r="AA581" s="179">
        <f ca="1">OFFSET(환산공식!FY$15,$F581,0)</f>
        <v>0.31</v>
      </c>
      <c r="AB581" s="3"/>
      <c r="AD581">
        <f t="shared" ca="1" si="17"/>
        <v>6</v>
      </c>
      <c r="AF581" s="3"/>
      <c r="AG581" s="3"/>
      <c r="AH581" s="3"/>
    </row>
    <row r="582" spans="1:34">
      <c r="A582" s="198"/>
      <c r="B582" s="198"/>
      <c r="C582" s="198" t="s">
        <v>2034</v>
      </c>
      <c r="D582" s="195">
        <v>1573</v>
      </c>
      <c r="E582" s="195">
        <v>190</v>
      </c>
      <c r="F582" s="195">
        <v>190</v>
      </c>
      <c r="G582" s="239">
        <v>575</v>
      </c>
      <c r="H582" s="197" t="s">
        <v>79</v>
      </c>
      <c r="I582" s="242" t="s">
        <v>8000</v>
      </c>
      <c r="J582" s="242" t="s">
        <v>13669</v>
      </c>
      <c r="K582" s="195" t="s">
        <v>70</v>
      </c>
      <c r="L582" s="20" t="str">
        <f ca="1">IF(OFFSET(환산공식!$ED$15,$F582,0)=1,"O","X")</f>
        <v>X</v>
      </c>
      <c r="M582" s="188">
        <f ca="1">IFERROR(OFFSET(환산공식!DJ$15,$F582,0),"")</f>
        <v>200</v>
      </c>
      <c r="N582" s="20" t="str">
        <f ca="1">IFERROR(CONCATENATE(ROUND(OFFSET(환산공식!DK$15,$F582,0),1),"%"),"")</f>
        <v>100%</v>
      </c>
      <c r="O582" s="20">
        <f ca="1">IFERROR(OFFSET(환산공식!DL$15,$F582,0),"")</f>
        <v>0</v>
      </c>
      <c r="P582" s="188" t="str">
        <f t="shared" ca="1" si="16"/>
        <v>3% 이하</v>
      </c>
      <c r="Q582" s="194">
        <f ca="1">IFERROR(ROUND(OFFSET(환산공식!$FG$15,$F582,0),3),"")</f>
        <v>0</v>
      </c>
      <c r="R582" s="194">
        <f ca="1">OFFSET('배치점수 계산기'!H$10,$D582,0)</f>
        <v>810.50699999999995</v>
      </c>
      <c r="S582" s="194">
        <f ca="1">OFFSET('배치점수 계산기'!I$10,$D582,0)</f>
        <v>808.75099999999998</v>
      </c>
      <c r="T582" s="194">
        <f ca="1">OFFSET('배치점수 계산기'!J$10,$D582,0)</f>
        <v>804.82799999999997</v>
      </c>
      <c r="U582" s="194">
        <f ca="1">OFFSET('배치점수 계산기'!K$10,$D582,0)</f>
        <v>801.29200000000003</v>
      </c>
      <c r="V582" s="194">
        <f ca="1">OFFSET('배치점수 계산기'!L$10,$D582,0)</f>
        <v>796.58399999999995</v>
      </c>
      <c r="W582" s="186" t="str">
        <f ca="1">OFFSET('배치점수 계산기'!M$10,$D582,0)</f>
        <v>표점/만점</v>
      </c>
      <c r="X582" s="184" t="str">
        <f ca="1">OFFSET('배치점수 계산기'!N$10,$D582,0)</f>
        <v>표점/만점</v>
      </c>
      <c r="Y582" s="188">
        <f ca="1">OFFSET(환산공식!FW$15,$F582,0)</f>
        <v>0.31</v>
      </c>
      <c r="Z582" s="20">
        <f ca="1">OFFSET(환산공식!FX$15,$F582,0)</f>
        <v>0.37</v>
      </c>
      <c r="AA582" s="179">
        <f ca="1">OFFSET(환산공식!FY$15,$F582,0)</f>
        <v>0.31</v>
      </c>
      <c r="AB582" s="3"/>
      <c r="AD582">
        <f t="shared" ca="1" si="17"/>
        <v>6</v>
      </c>
      <c r="AF582" s="3"/>
      <c r="AG582" s="3"/>
      <c r="AH582" s="3"/>
    </row>
    <row r="583" spans="1:34">
      <c r="A583" s="198"/>
      <c r="B583" s="198"/>
      <c r="C583" s="198" t="s">
        <v>2035</v>
      </c>
      <c r="D583" s="195">
        <v>1574</v>
      </c>
      <c r="E583" s="195">
        <v>190</v>
      </c>
      <c r="F583" s="195">
        <v>190</v>
      </c>
      <c r="G583" s="239">
        <v>576</v>
      </c>
      <c r="H583" s="197" t="s">
        <v>79</v>
      </c>
      <c r="I583" s="242" t="s">
        <v>8000</v>
      </c>
      <c r="J583" s="242" t="s">
        <v>8415</v>
      </c>
      <c r="K583" s="195" t="s">
        <v>70</v>
      </c>
      <c r="L583" s="20" t="str">
        <f ca="1">IF(OFFSET(환산공식!$ED$15,$F583,0)=1,"O","X")</f>
        <v>X</v>
      </c>
      <c r="M583" s="188">
        <f ca="1">IFERROR(OFFSET(환산공식!DJ$15,$F583,0),"")</f>
        <v>200</v>
      </c>
      <c r="N583" s="20" t="str">
        <f ca="1">IFERROR(CONCATENATE(ROUND(OFFSET(환산공식!DK$15,$F583,0),1),"%"),"")</f>
        <v>100%</v>
      </c>
      <c r="O583" s="20">
        <f ca="1">IFERROR(OFFSET(환산공식!DL$15,$F583,0),"")</f>
        <v>0</v>
      </c>
      <c r="P583" s="188" t="str">
        <f t="shared" ca="1" si="16"/>
        <v>3% 이하</v>
      </c>
      <c r="Q583" s="194">
        <f ca="1">IFERROR(ROUND(OFFSET(환산공식!$FG$15,$F583,0),3),"")</f>
        <v>0</v>
      </c>
      <c r="R583" s="194">
        <f ca="1">OFFSET('배치점수 계산기'!H$10,$D583,0)</f>
        <v>810.303</v>
      </c>
      <c r="S583" s="194">
        <f ca="1">OFFSET('배치점수 계산기'!I$10,$D583,0)</f>
        <v>808.32500000000005</v>
      </c>
      <c r="T583" s="194">
        <f ca="1">OFFSET('배치점수 계산기'!J$10,$D583,0)</f>
        <v>804.64</v>
      </c>
      <c r="U583" s="194">
        <f ca="1">OFFSET('배치점수 계산기'!K$10,$D583,0)</f>
        <v>800.90599999999995</v>
      </c>
      <c r="V583" s="194">
        <f ca="1">OFFSET('배치점수 계산기'!L$10,$D583,0)</f>
        <v>796.24900000000002</v>
      </c>
      <c r="W583" s="186" t="str">
        <f ca="1">OFFSET('배치점수 계산기'!M$10,$D583,0)</f>
        <v>표점/만점</v>
      </c>
      <c r="X583" s="184" t="str">
        <f ca="1">OFFSET('배치점수 계산기'!N$10,$D583,0)</f>
        <v>표점/만점</v>
      </c>
      <c r="Y583" s="188">
        <f ca="1">OFFSET(환산공식!FW$15,$F583,0)</f>
        <v>0.31</v>
      </c>
      <c r="Z583" s="20">
        <f ca="1">OFFSET(환산공식!FX$15,$F583,0)</f>
        <v>0.37</v>
      </c>
      <c r="AA583" s="179">
        <f ca="1">OFFSET(환산공식!FY$15,$F583,0)</f>
        <v>0.31</v>
      </c>
      <c r="AB583" s="3"/>
      <c r="AD583">
        <f t="shared" ca="1" si="17"/>
        <v>6</v>
      </c>
      <c r="AF583" s="3"/>
      <c r="AG583" s="3"/>
      <c r="AH583" s="3"/>
    </row>
    <row r="584" spans="1:34">
      <c r="A584" s="198"/>
      <c r="B584" s="198"/>
      <c r="C584" s="198" t="s">
        <v>2036</v>
      </c>
      <c r="D584" s="195">
        <v>1575</v>
      </c>
      <c r="E584" s="195">
        <v>190</v>
      </c>
      <c r="F584" s="195">
        <v>190</v>
      </c>
      <c r="G584" s="239">
        <v>577</v>
      </c>
      <c r="H584" s="197" t="s">
        <v>79</v>
      </c>
      <c r="I584" s="242" t="s">
        <v>8000</v>
      </c>
      <c r="J584" s="242" t="s">
        <v>13923</v>
      </c>
      <c r="K584" s="195" t="s">
        <v>70</v>
      </c>
      <c r="L584" s="20" t="str">
        <f ca="1">IF(OFFSET(환산공식!$ED$15,$F584,0)=1,"O","X")</f>
        <v>X</v>
      </c>
      <c r="M584" s="188">
        <f ca="1">IFERROR(OFFSET(환산공식!DJ$15,$F584,0),"")</f>
        <v>200</v>
      </c>
      <c r="N584" s="20" t="str">
        <f ca="1">IFERROR(CONCATENATE(ROUND(OFFSET(환산공식!DK$15,$F584,0),1),"%"),"")</f>
        <v>100%</v>
      </c>
      <c r="O584" s="20">
        <f ca="1">IFERROR(OFFSET(환산공식!DL$15,$F584,0),"")</f>
        <v>0</v>
      </c>
      <c r="P584" s="188" t="str">
        <f t="shared" ca="1" si="16"/>
        <v>3% 이하</v>
      </c>
      <c r="Q584" s="194">
        <f ca="1">IFERROR(ROUND(OFFSET(환산공식!$FG$15,$F584,0),3),"")</f>
        <v>0</v>
      </c>
      <c r="R584" s="194">
        <f ca="1">OFFSET('배치점수 계산기'!H$10,$D584,0)</f>
        <v>806.20399999999995</v>
      </c>
      <c r="S584" s="194">
        <f ca="1">OFFSET('배치점수 계산기'!I$10,$D584,0)</f>
        <v>804.47500000000002</v>
      </c>
      <c r="T584" s="194">
        <f ca="1">OFFSET('배치점수 계산기'!J$10,$D584,0)</f>
        <v>800.90599999999995</v>
      </c>
      <c r="U584" s="194">
        <f ca="1">OFFSET('배치점수 계산기'!K$10,$D584,0)</f>
        <v>797.18600000000004</v>
      </c>
      <c r="V584" s="194">
        <f ca="1">OFFSET('배치점수 계산기'!L$10,$D584,0)</f>
        <v>792.23500000000001</v>
      </c>
      <c r="W584" s="186" t="str">
        <f ca="1">OFFSET('배치점수 계산기'!M$10,$D584,0)</f>
        <v>표점/만점</v>
      </c>
      <c r="X584" s="184" t="str">
        <f ca="1">OFFSET('배치점수 계산기'!N$10,$D584,0)</f>
        <v>표점/만점</v>
      </c>
      <c r="Y584" s="188">
        <f ca="1">OFFSET(환산공식!FW$15,$F584,0)</f>
        <v>0.31</v>
      </c>
      <c r="Z584" s="20">
        <f ca="1">OFFSET(환산공식!FX$15,$F584,0)</f>
        <v>0.37</v>
      </c>
      <c r="AA584" s="179">
        <f ca="1">OFFSET(환산공식!FY$15,$F584,0)</f>
        <v>0.31</v>
      </c>
      <c r="AB584" s="3"/>
      <c r="AD584">
        <f t="shared" ca="1" si="17"/>
        <v>6</v>
      </c>
      <c r="AF584" s="3"/>
      <c r="AG584" s="3"/>
      <c r="AH584" s="3"/>
    </row>
    <row r="585" spans="1:34">
      <c r="A585" s="198"/>
      <c r="B585" s="198"/>
      <c r="C585" s="198" t="s">
        <v>2037</v>
      </c>
      <c r="D585" s="195">
        <v>1576</v>
      </c>
      <c r="E585" s="195">
        <v>190</v>
      </c>
      <c r="F585" s="195">
        <v>190</v>
      </c>
      <c r="G585" s="239">
        <v>578</v>
      </c>
      <c r="H585" s="197" t="s">
        <v>79</v>
      </c>
      <c r="I585" s="242" t="s">
        <v>8000</v>
      </c>
      <c r="J585" s="242" t="s">
        <v>8640</v>
      </c>
      <c r="K585" s="195" t="s">
        <v>70</v>
      </c>
      <c r="L585" s="20" t="str">
        <f ca="1">IF(OFFSET(환산공식!$ED$15,$F585,0)=1,"O","X")</f>
        <v>X</v>
      </c>
      <c r="M585" s="188">
        <f ca="1">IFERROR(OFFSET(환산공식!DJ$15,$F585,0),"")</f>
        <v>200</v>
      </c>
      <c r="N585" s="20" t="str">
        <f ca="1">IFERROR(CONCATENATE(ROUND(OFFSET(환산공식!DK$15,$F585,0),1),"%"),"")</f>
        <v>100%</v>
      </c>
      <c r="O585" s="20">
        <f ca="1">IFERROR(OFFSET(환산공식!DL$15,$F585,0),"")</f>
        <v>0</v>
      </c>
      <c r="P585" s="188" t="str">
        <f t="shared" ref="P585:P648" ca="1" si="18"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>3% 이하</v>
      </c>
      <c r="Q585" s="194">
        <f ca="1">IFERROR(ROUND(OFFSET(환산공식!$FG$15,$F585,0),3),"")</f>
        <v>0</v>
      </c>
      <c r="R585" s="194">
        <f ca="1">OFFSET('배치점수 계산기'!H$10,$D585,0)</f>
        <v>805.67499999999995</v>
      </c>
      <c r="S585" s="194">
        <f ca="1">OFFSET('배치점수 계산기'!I$10,$D585,0)</f>
        <v>803.82100000000003</v>
      </c>
      <c r="T585" s="194">
        <f ca="1">OFFSET('배치점수 계산기'!J$10,$D585,0)</f>
        <v>800.553</v>
      </c>
      <c r="U585" s="194">
        <f ca="1">OFFSET('배치점수 계산기'!K$10,$D585,0)</f>
        <v>796.8</v>
      </c>
      <c r="V585" s="194">
        <f ca="1">OFFSET('배치점수 계산기'!L$10,$D585,0)</f>
        <v>791.66</v>
      </c>
      <c r="W585" s="186" t="str">
        <f ca="1">OFFSET('배치점수 계산기'!M$10,$D585,0)</f>
        <v>표점/만점</v>
      </c>
      <c r="X585" s="184" t="str">
        <f ca="1">OFFSET('배치점수 계산기'!N$10,$D585,0)</f>
        <v>표점/만점</v>
      </c>
      <c r="Y585" s="188">
        <f ca="1">OFFSET(환산공식!FW$15,$F585,0)</f>
        <v>0.31</v>
      </c>
      <c r="Z585" s="20">
        <f ca="1">OFFSET(환산공식!FX$15,$F585,0)</f>
        <v>0.37</v>
      </c>
      <c r="AA585" s="179">
        <f ca="1">OFFSET(환산공식!FY$15,$F585,0)</f>
        <v>0.31</v>
      </c>
      <c r="AB585" s="3"/>
      <c r="AD585">
        <f t="shared" ref="AD585:AD648" ca="1" si="19">IF(L585="X",6,IF(Q585&gt;R585,1,IF(Q585&gt;S585,2,IF(Q585&gt;T585,3,IF(Q585&gt;U585,4,IF(Q585&gt;=V585,5,IF(Q585&lt;V585,6,"")))))))</f>
        <v>6</v>
      </c>
      <c r="AF585" s="3"/>
      <c r="AG585" s="3"/>
      <c r="AH585" s="3"/>
    </row>
    <row r="586" spans="1:34">
      <c r="A586" s="198"/>
      <c r="B586" s="198"/>
      <c r="C586" s="198" t="s">
        <v>2038</v>
      </c>
      <c r="D586" s="195">
        <v>1577</v>
      </c>
      <c r="E586" s="195">
        <v>190</v>
      </c>
      <c r="F586" s="195">
        <v>190</v>
      </c>
      <c r="G586" s="239">
        <v>579</v>
      </c>
      <c r="H586" s="197" t="s">
        <v>79</v>
      </c>
      <c r="I586" s="242" t="s">
        <v>8000</v>
      </c>
      <c r="J586" s="242" t="s">
        <v>8033</v>
      </c>
      <c r="K586" s="195" t="s">
        <v>70</v>
      </c>
      <c r="L586" s="20" t="str">
        <f ca="1">IF(OFFSET(환산공식!$ED$15,$F586,0)=1,"O","X")</f>
        <v>X</v>
      </c>
      <c r="M586" s="188">
        <f ca="1">IFERROR(OFFSET(환산공식!DJ$15,$F586,0),"")</f>
        <v>200</v>
      </c>
      <c r="N586" s="20" t="str">
        <f ca="1">IFERROR(CONCATENATE(ROUND(OFFSET(환산공식!DK$15,$F586,0),1),"%"),"")</f>
        <v>100%</v>
      </c>
      <c r="O586" s="20">
        <f ca="1">IFERROR(OFFSET(환산공식!DL$15,$F586,0),"")</f>
        <v>0</v>
      </c>
      <c r="P586" s="188" t="str">
        <f t="shared" ca="1" si="18"/>
        <v>3% 이하</v>
      </c>
      <c r="Q586" s="194">
        <f ca="1">IFERROR(ROUND(OFFSET(환산공식!$FG$15,$F586,0),3),"")</f>
        <v>0</v>
      </c>
      <c r="R586" s="194">
        <f ca="1">OFFSET('배치점수 계산기'!H$10,$D586,0)</f>
        <v>804.82799999999997</v>
      </c>
      <c r="S586" s="194">
        <f ca="1">OFFSET('배치점수 계산기'!I$10,$D586,0)</f>
        <v>803.1</v>
      </c>
      <c r="T586" s="194">
        <f ca="1">OFFSET('배치점수 계산기'!J$10,$D586,0)</f>
        <v>799.70100000000002</v>
      </c>
      <c r="U586" s="194">
        <f ca="1">OFFSET('배치점수 계산기'!K$10,$D586,0)</f>
        <v>795.79200000000003</v>
      </c>
      <c r="V586" s="194">
        <f ca="1">OFFSET('배치점수 계산기'!L$10,$D586,0)</f>
        <v>790.10199999999998</v>
      </c>
      <c r="W586" s="186" t="str">
        <f ca="1">OFFSET('배치점수 계산기'!M$10,$D586,0)</f>
        <v>표점/만점</v>
      </c>
      <c r="X586" s="184" t="str">
        <f ca="1">OFFSET('배치점수 계산기'!N$10,$D586,0)</f>
        <v>표점/만점</v>
      </c>
      <c r="Y586" s="188">
        <f ca="1">OFFSET(환산공식!FW$15,$F586,0)</f>
        <v>0.31</v>
      </c>
      <c r="Z586" s="20">
        <f ca="1">OFFSET(환산공식!FX$15,$F586,0)</f>
        <v>0.37</v>
      </c>
      <c r="AA586" s="179">
        <f ca="1">OFFSET(환산공식!FY$15,$F586,0)</f>
        <v>0.31</v>
      </c>
      <c r="AB586" s="3"/>
      <c r="AD586">
        <f t="shared" ca="1" si="19"/>
        <v>6</v>
      </c>
      <c r="AF586" s="3"/>
      <c r="AG586" s="3"/>
      <c r="AH586" s="3"/>
    </row>
    <row r="587" spans="1:34">
      <c r="A587" s="198"/>
      <c r="B587" s="198"/>
      <c r="C587" s="198" t="s">
        <v>2039</v>
      </c>
      <c r="D587" s="195">
        <v>1578</v>
      </c>
      <c r="E587" s="195">
        <v>190</v>
      </c>
      <c r="F587" s="195">
        <v>190</v>
      </c>
      <c r="G587" s="239">
        <v>580</v>
      </c>
      <c r="H587" s="197" t="s">
        <v>79</v>
      </c>
      <c r="I587" s="242" t="s">
        <v>8000</v>
      </c>
      <c r="J587" s="242" t="s">
        <v>13966</v>
      </c>
      <c r="K587" s="195" t="s">
        <v>70</v>
      </c>
      <c r="L587" s="20" t="str">
        <f ca="1">IF(OFFSET(환산공식!$ED$15,$F587,0)=1,"O","X")</f>
        <v>X</v>
      </c>
      <c r="M587" s="188">
        <f ca="1">IFERROR(OFFSET(환산공식!DJ$15,$F587,0),"")</f>
        <v>200</v>
      </c>
      <c r="N587" s="20" t="str">
        <f ca="1">IFERROR(CONCATENATE(ROUND(OFFSET(환산공식!DK$15,$F587,0),1),"%"),"")</f>
        <v>100%</v>
      </c>
      <c r="O587" s="20">
        <f ca="1">IFERROR(OFFSET(환산공식!DL$15,$F587,0),"")</f>
        <v>0</v>
      </c>
      <c r="P587" s="188" t="str">
        <f t="shared" ca="1" si="18"/>
        <v>3% 이하</v>
      </c>
      <c r="Q587" s="194">
        <f ca="1">IFERROR(ROUND(OFFSET(환산공식!$FG$15,$F587,0),3),"")</f>
        <v>0</v>
      </c>
      <c r="R587" s="194">
        <f ca="1">OFFSET('배치점수 계산기'!H$10,$D587,0)</f>
        <v>804.47500000000002</v>
      </c>
      <c r="S587" s="194">
        <f ca="1">OFFSET('배치점수 계산기'!I$10,$D587,0)</f>
        <v>802.83100000000002</v>
      </c>
      <c r="T587" s="194">
        <f ca="1">OFFSET('배치점수 계산기'!J$10,$D587,0)</f>
        <v>799.34699999999998</v>
      </c>
      <c r="U587" s="194">
        <f ca="1">OFFSET('배치점수 계산기'!K$10,$D587,0)</f>
        <v>795.40599999999995</v>
      </c>
      <c r="V587" s="194">
        <f ca="1">OFFSET('배치점수 계산기'!L$10,$D587,0)</f>
        <v>789.28300000000002</v>
      </c>
      <c r="W587" s="186" t="str">
        <f ca="1">OFFSET('배치점수 계산기'!M$10,$D587,0)</f>
        <v>표점/만점</v>
      </c>
      <c r="X587" s="184" t="str">
        <f ca="1">OFFSET('배치점수 계산기'!N$10,$D587,0)</f>
        <v>표점/만점</v>
      </c>
      <c r="Y587" s="188">
        <f ca="1">OFFSET(환산공식!FW$15,$F587,0)</f>
        <v>0.31</v>
      </c>
      <c r="Z587" s="20">
        <f ca="1">OFFSET(환산공식!FX$15,$F587,0)</f>
        <v>0.37</v>
      </c>
      <c r="AA587" s="179">
        <f ca="1">OFFSET(환산공식!FY$15,$F587,0)</f>
        <v>0.31</v>
      </c>
      <c r="AB587" s="3"/>
      <c r="AD587">
        <f t="shared" ca="1" si="19"/>
        <v>6</v>
      </c>
      <c r="AF587" s="3"/>
      <c r="AG587" s="3"/>
      <c r="AH587" s="3"/>
    </row>
    <row r="588" spans="1:34">
      <c r="A588" s="198"/>
      <c r="B588" s="198"/>
      <c r="C588" s="198" t="s">
        <v>2040</v>
      </c>
      <c r="D588" s="195">
        <v>1579</v>
      </c>
      <c r="E588" s="195">
        <v>190</v>
      </c>
      <c r="F588" s="195">
        <v>190</v>
      </c>
      <c r="G588" s="239">
        <v>581</v>
      </c>
      <c r="H588" s="197" t="s">
        <v>79</v>
      </c>
      <c r="I588" s="242" t="s">
        <v>8000</v>
      </c>
      <c r="J588" s="242" t="s">
        <v>8307</v>
      </c>
      <c r="K588" s="195" t="s">
        <v>70</v>
      </c>
      <c r="L588" s="20" t="str">
        <f ca="1">IF(OFFSET(환산공식!$ED$15,$F588,0)=1,"O","X")</f>
        <v>X</v>
      </c>
      <c r="M588" s="188">
        <f ca="1">IFERROR(OFFSET(환산공식!DJ$15,$F588,0),"")</f>
        <v>200</v>
      </c>
      <c r="N588" s="20" t="str">
        <f ca="1">IFERROR(CONCATENATE(ROUND(OFFSET(환산공식!DK$15,$F588,0),1),"%"),"")</f>
        <v>100%</v>
      </c>
      <c r="O588" s="20">
        <f ca="1">IFERROR(OFFSET(환산공식!DL$15,$F588,0),"")</f>
        <v>0</v>
      </c>
      <c r="P588" s="188" t="str">
        <f t="shared" ca="1" si="18"/>
        <v>3% 이하</v>
      </c>
      <c r="Q588" s="194">
        <f ca="1">IFERROR(ROUND(OFFSET(환산공식!$FG$15,$F588,0),3),"")</f>
        <v>0</v>
      </c>
      <c r="R588" s="194">
        <f ca="1">OFFSET('배치점수 계산기'!H$10,$D588,0)</f>
        <v>803.83900000000006</v>
      </c>
      <c r="S588" s="194">
        <f ca="1">OFFSET('배치점수 계산기'!I$10,$D588,0)</f>
        <v>802.09199999999998</v>
      </c>
      <c r="T588" s="194">
        <f ca="1">OFFSET('배치점수 계산기'!J$10,$D588,0)</f>
        <v>798.71699999999998</v>
      </c>
      <c r="U588" s="194">
        <f ca="1">OFFSET('배치점수 계산기'!K$10,$D588,0)</f>
        <v>794.64</v>
      </c>
      <c r="V588" s="194">
        <f ca="1">OFFSET('배치점수 계산기'!L$10,$D588,0)</f>
        <v>789.20799999999997</v>
      </c>
      <c r="W588" s="186" t="str">
        <f ca="1">OFFSET('배치점수 계산기'!M$10,$D588,0)</f>
        <v>표점/만점</v>
      </c>
      <c r="X588" s="184" t="str">
        <f ca="1">OFFSET('배치점수 계산기'!N$10,$D588,0)</f>
        <v>표점/만점</v>
      </c>
      <c r="Y588" s="188">
        <f ca="1">OFFSET(환산공식!FW$15,$F588,0)</f>
        <v>0.31</v>
      </c>
      <c r="Z588" s="20">
        <f ca="1">OFFSET(환산공식!FX$15,$F588,0)</f>
        <v>0.37</v>
      </c>
      <c r="AA588" s="179">
        <f ca="1">OFFSET(환산공식!FY$15,$F588,0)</f>
        <v>0.31</v>
      </c>
      <c r="AB588" s="3"/>
      <c r="AD588">
        <f t="shared" ca="1" si="19"/>
        <v>6</v>
      </c>
      <c r="AF588" s="3"/>
      <c r="AG588" s="3"/>
      <c r="AH588" s="3"/>
    </row>
    <row r="589" spans="1:34">
      <c r="A589" s="198"/>
      <c r="B589" s="198"/>
      <c r="C589" s="198" t="s">
        <v>2041</v>
      </c>
      <c r="D589" s="195">
        <v>1580</v>
      </c>
      <c r="E589" s="195">
        <v>190</v>
      </c>
      <c r="F589" s="195">
        <v>190</v>
      </c>
      <c r="G589" s="239">
        <v>582</v>
      </c>
      <c r="H589" s="197" t="s">
        <v>79</v>
      </c>
      <c r="I589" s="242" t="s">
        <v>8000</v>
      </c>
      <c r="J589" s="242" t="s">
        <v>555</v>
      </c>
      <c r="K589" s="195" t="s">
        <v>70</v>
      </c>
      <c r="L589" s="20" t="str">
        <f ca="1">IF(OFFSET(환산공식!$ED$15,$F589,0)=1,"O","X")</f>
        <v>X</v>
      </c>
      <c r="M589" s="188">
        <f ca="1">IFERROR(OFFSET(환산공식!DJ$15,$F589,0),"")</f>
        <v>200</v>
      </c>
      <c r="N589" s="20" t="str">
        <f ca="1">IFERROR(CONCATENATE(ROUND(OFFSET(환산공식!DK$15,$F589,0),1),"%"),"")</f>
        <v>100%</v>
      </c>
      <c r="O589" s="20">
        <f ca="1">IFERROR(OFFSET(환산공식!DL$15,$F589,0),"")</f>
        <v>0</v>
      </c>
      <c r="P589" s="188" t="str">
        <f t="shared" ca="1" si="18"/>
        <v>3% 이하</v>
      </c>
      <c r="Q589" s="194">
        <f ca="1">IFERROR(ROUND(OFFSET(환산공식!$FG$15,$F589,0),3),"")</f>
        <v>0</v>
      </c>
      <c r="R589" s="194">
        <f ca="1">OFFSET('배치점수 계산기'!H$10,$D589,0)</f>
        <v>803.83900000000006</v>
      </c>
      <c r="S589" s="194">
        <f ca="1">OFFSET('배치점수 계산기'!I$10,$D589,0)</f>
        <v>802.09199999999998</v>
      </c>
      <c r="T589" s="194">
        <f ca="1">OFFSET('배치점수 계산기'!J$10,$D589,0)</f>
        <v>798.71699999999998</v>
      </c>
      <c r="U589" s="194">
        <f ca="1">OFFSET('배치점수 계산기'!K$10,$D589,0)</f>
        <v>794.64</v>
      </c>
      <c r="V589" s="194">
        <f ca="1">OFFSET('배치점수 계산기'!L$10,$D589,0)</f>
        <v>789.20799999999997</v>
      </c>
      <c r="W589" s="186" t="str">
        <f ca="1">OFFSET('배치점수 계산기'!M$10,$D589,0)</f>
        <v>표점/만점</v>
      </c>
      <c r="X589" s="184" t="str">
        <f ca="1">OFFSET('배치점수 계산기'!N$10,$D589,0)</f>
        <v>표점/만점</v>
      </c>
      <c r="Y589" s="188">
        <f ca="1">OFFSET(환산공식!FW$15,$F589,0)</f>
        <v>0.31</v>
      </c>
      <c r="Z589" s="20">
        <f ca="1">OFFSET(환산공식!FX$15,$F589,0)</f>
        <v>0.37</v>
      </c>
      <c r="AA589" s="179">
        <f ca="1">OFFSET(환산공식!FY$15,$F589,0)</f>
        <v>0.31</v>
      </c>
      <c r="AB589" s="3"/>
      <c r="AD589">
        <f t="shared" ca="1" si="19"/>
        <v>6</v>
      </c>
      <c r="AF589" s="3"/>
      <c r="AG589" s="3"/>
      <c r="AH589" s="3"/>
    </row>
    <row r="590" spans="1:34">
      <c r="A590" s="198"/>
      <c r="B590" s="198"/>
      <c r="C590" s="198" t="s">
        <v>2042</v>
      </c>
      <c r="D590" s="195">
        <v>1581</v>
      </c>
      <c r="E590" s="195">
        <v>190</v>
      </c>
      <c r="F590" s="195">
        <v>190</v>
      </c>
      <c r="G590" s="239">
        <v>583</v>
      </c>
      <c r="H590" s="197" t="s">
        <v>79</v>
      </c>
      <c r="I590" s="242" t="s">
        <v>8000</v>
      </c>
      <c r="J590" s="242" t="s">
        <v>14065</v>
      </c>
      <c r="K590" s="195" t="s">
        <v>70</v>
      </c>
      <c r="L590" s="20" t="str">
        <f ca="1">IF(OFFSET(환산공식!$ED$15,$F590,0)=1,"O","X")</f>
        <v>X</v>
      </c>
      <c r="M590" s="188">
        <f ca="1">IFERROR(OFFSET(환산공식!DJ$15,$F590,0),"")</f>
        <v>200</v>
      </c>
      <c r="N590" s="20" t="str">
        <f ca="1">IFERROR(CONCATENATE(ROUND(OFFSET(환산공식!DK$15,$F590,0),1),"%"),"")</f>
        <v>100%</v>
      </c>
      <c r="O590" s="20">
        <f ca="1">IFERROR(OFFSET(환산공식!DL$15,$F590,0),"")</f>
        <v>0</v>
      </c>
      <c r="P590" s="188" t="str">
        <f t="shared" ca="1" si="18"/>
        <v>3% 이하</v>
      </c>
      <c r="Q590" s="194">
        <f ca="1">IFERROR(ROUND(OFFSET(환산공식!$FG$15,$F590,0),3),"")</f>
        <v>0</v>
      </c>
      <c r="R590" s="194">
        <f ca="1">OFFSET('배치점수 계산기'!H$10,$D590,0)</f>
        <v>802.09199999999998</v>
      </c>
      <c r="S590" s="194">
        <f ca="1">OFFSET('배치점수 계산기'!I$10,$D590,0)</f>
        <v>800.553</v>
      </c>
      <c r="T590" s="194">
        <f ca="1">OFFSET('배치점수 계산기'!J$10,$D590,0)</f>
        <v>797.20399999999995</v>
      </c>
      <c r="U590" s="194">
        <f ca="1">OFFSET('배치점수 계산기'!K$10,$D590,0)</f>
        <v>792.69500000000005</v>
      </c>
      <c r="V590" s="194">
        <f ca="1">OFFSET('배치점수 계산기'!L$10,$D590,0)</f>
        <v>786.24699999999996</v>
      </c>
      <c r="W590" s="186" t="str">
        <f ca="1">OFFSET('배치점수 계산기'!M$10,$D590,0)</f>
        <v>표점/만점</v>
      </c>
      <c r="X590" s="184" t="str">
        <f ca="1">OFFSET('배치점수 계산기'!N$10,$D590,0)</f>
        <v>표점/만점</v>
      </c>
      <c r="Y590" s="188">
        <f ca="1">OFFSET(환산공식!FW$15,$F590,0)</f>
        <v>0.31</v>
      </c>
      <c r="Z590" s="20">
        <f ca="1">OFFSET(환산공식!FX$15,$F590,0)</f>
        <v>0.37</v>
      </c>
      <c r="AA590" s="179">
        <f ca="1">OFFSET(환산공식!FY$15,$F590,0)</f>
        <v>0.31</v>
      </c>
      <c r="AB590" s="3"/>
      <c r="AD590">
        <f t="shared" ca="1" si="19"/>
        <v>6</v>
      </c>
      <c r="AF590" s="3"/>
      <c r="AG590" s="3"/>
      <c r="AH590" s="3"/>
    </row>
    <row r="591" spans="1:34">
      <c r="A591" s="198"/>
      <c r="B591" s="198"/>
      <c r="C591" s="198" t="s">
        <v>2043</v>
      </c>
      <c r="D591" s="195">
        <v>1582</v>
      </c>
      <c r="E591" s="195">
        <v>190</v>
      </c>
      <c r="F591" s="195">
        <v>190</v>
      </c>
      <c r="G591" s="239">
        <v>584</v>
      </c>
      <c r="H591" s="197" t="s">
        <v>79</v>
      </c>
      <c r="I591" s="242" t="s">
        <v>8000</v>
      </c>
      <c r="J591" s="242" t="s">
        <v>13942</v>
      </c>
      <c r="K591" s="195" t="s">
        <v>70</v>
      </c>
      <c r="L591" s="20" t="str">
        <f ca="1">IF(OFFSET(환산공식!$ED$15,$F591,0)=1,"O","X")</f>
        <v>X</v>
      </c>
      <c r="M591" s="188">
        <f ca="1">IFERROR(OFFSET(환산공식!DJ$15,$F591,0),"")</f>
        <v>200</v>
      </c>
      <c r="N591" s="20" t="str">
        <f ca="1">IFERROR(CONCATENATE(ROUND(OFFSET(환산공식!DK$15,$F591,0),1),"%"),"")</f>
        <v>100%</v>
      </c>
      <c r="O591" s="20">
        <f ca="1">IFERROR(OFFSET(환산공식!DL$15,$F591,0),"")</f>
        <v>0</v>
      </c>
      <c r="P591" s="188" t="str">
        <f t="shared" ca="1" si="18"/>
        <v>3% 이하</v>
      </c>
      <c r="Q591" s="194">
        <f ca="1">IFERROR(ROUND(OFFSET(환산공식!$FG$15,$F591,0),3),"")</f>
        <v>0</v>
      </c>
      <c r="R591" s="194">
        <f ca="1">OFFSET('배치점수 계산기'!H$10,$D591,0)</f>
        <v>801.29200000000003</v>
      </c>
      <c r="S591" s="194">
        <f ca="1">OFFSET('배치점수 계산기'!I$10,$D591,0)</f>
        <v>799.70100000000002</v>
      </c>
      <c r="T591" s="194">
        <f ca="1">OFFSET('배치점수 계산기'!J$10,$D591,0)</f>
        <v>796.24900000000002</v>
      </c>
      <c r="U591" s="194">
        <f ca="1">OFFSET('배치점수 계산기'!K$10,$D591,0)</f>
        <v>792.04600000000005</v>
      </c>
      <c r="V591" s="194">
        <f ca="1">OFFSET('배치점수 계산기'!L$10,$D591,0)</f>
        <v>784.97199999999998</v>
      </c>
      <c r="W591" s="186" t="str">
        <f ca="1">OFFSET('배치점수 계산기'!M$10,$D591,0)</f>
        <v>표점/만점</v>
      </c>
      <c r="X591" s="184" t="str">
        <f ca="1">OFFSET('배치점수 계산기'!N$10,$D591,0)</f>
        <v>표점/만점</v>
      </c>
      <c r="Y591" s="188">
        <f ca="1">OFFSET(환산공식!FW$15,$F591,0)</f>
        <v>0.31</v>
      </c>
      <c r="Z591" s="20">
        <f ca="1">OFFSET(환산공식!FX$15,$F591,0)</f>
        <v>0.37</v>
      </c>
      <c r="AA591" s="179">
        <f ca="1">OFFSET(환산공식!FY$15,$F591,0)</f>
        <v>0.31</v>
      </c>
      <c r="AB591" s="3"/>
      <c r="AD591">
        <f t="shared" ca="1" si="19"/>
        <v>6</v>
      </c>
      <c r="AF591" s="3"/>
      <c r="AG591" s="3"/>
      <c r="AH591" s="3"/>
    </row>
    <row r="592" spans="1:34">
      <c r="A592" s="198"/>
      <c r="B592" s="198"/>
      <c r="C592" s="198" t="s">
        <v>2044</v>
      </c>
      <c r="D592" s="195">
        <v>1583</v>
      </c>
      <c r="E592" s="195">
        <v>190</v>
      </c>
      <c r="F592" s="195">
        <v>190</v>
      </c>
      <c r="G592" s="239">
        <v>585</v>
      </c>
      <c r="H592" s="197" t="s">
        <v>79</v>
      </c>
      <c r="I592" s="242" t="s">
        <v>8000</v>
      </c>
      <c r="J592" s="242" t="s">
        <v>7825</v>
      </c>
      <c r="K592" s="195" t="s">
        <v>70</v>
      </c>
      <c r="L592" s="20" t="str">
        <f ca="1">IF(OFFSET(환산공식!$ED$15,$F592,0)=1,"O","X")</f>
        <v>X</v>
      </c>
      <c r="M592" s="188">
        <f ca="1">IFERROR(OFFSET(환산공식!DJ$15,$F592,0),"")</f>
        <v>200</v>
      </c>
      <c r="N592" s="20" t="str">
        <f ca="1">IFERROR(CONCATENATE(ROUND(OFFSET(환산공식!DK$15,$F592,0),1),"%"),"")</f>
        <v>100%</v>
      </c>
      <c r="O592" s="20">
        <f ca="1">IFERROR(OFFSET(환산공식!DL$15,$F592,0),"")</f>
        <v>0</v>
      </c>
      <c r="P592" s="188" t="str">
        <f t="shared" ca="1" si="18"/>
        <v>3% 이하</v>
      </c>
      <c r="Q592" s="194">
        <f ca="1">IFERROR(ROUND(OFFSET(환산공식!$FG$15,$F592,0),3),"")</f>
        <v>0</v>
      </c>
      <c r="R592" s="194">
        <f ca="1">OFFSET('배치점수 계산기'!H$10,$D592,0)</f>
        <v>800.11400000000003</v>
      </c>
      <c r="S592" s="194">
        <f ca="1">OFFSET('배치점수 계산기'!I$10,$D592,0)</f>
        <v>798.52800000000002</v>
      </c>
      <c r="T592" s="194">
        <f ca="1">OFFSET('배치점수 계산기'!J$10,$D592,0)</f>
        <v>794.82799999999997</v>
      </c>
      <c r="U592" s="194">
        <f ca="1">OFFSET('배치점수 계산기'!K$10,$D592,0)</f>
        <v>790.10199999999998</v>
      </c>
      <c r="V592" s="194">
        <f ca="1">OFFSET('배치점수 계산기'!L$10,$D592,0)</f>
        <v>783.76700000000005</v>
      </c>
      <c r="W592" s="186" t="str">
        <f ca="1">OFFSET('배치점수 계산기'!M$10,$D592,0)</f>
        <v>표점/만점</v>
      </c>
      <c r="X592" s="184" t="str">
        <f ca="1">OFFSET('배치점수 계산기'!N$10,$D592,0)</f>
        <v>표점/만점</v>
      </c>
      <c r="Y592" s="188">
        <f ca="1">OFFSET(환산공식!FW$15,$F592,0)</f>
        <v>0.31</v>
      </c>
      <c r="Z592" s="20">
        <f ca="1">OFFSET(환산공식!FX$15,$F592,0)</f>
        <v>0.37</v>
      </c>
      <c r="AA592" s="179">
        <f ca="1">OFFSET(환산공식!FY$15,$F592,0)</f>
        <v>0.31</v>
      </c>
      <c r="AB592" s="3"/>
      <c r="AD592">
        <f t="shared" ca="1" si="19"/>
        <v>6</v>
      </c>
      <c r="AF592" s="3"/>
      <c r="AG592" s="3"/>
      <c r="AH592" s="3"/>
    </row>
    <row r="593" spans="1:34">
      <c r="A593" s="198"/>
      <c r="B593" s="198"/>
      <c r="C593" s="198" t="s">
        <v>2045</v>
      </c>
      <c r="D593" s="195">
        <v>1584</v>
      </c>
      <c r="E593" s="195">
        <v>190</v>
      </c>
      <c r="F593" s="195">
        <v>190</v>
      </c>
      <c r="G593" s="239">
        <v>586</v>
      </c>
      <c r="H593" s="197" t="s">
        <v>79</v>
      </c>
      <c r="I593" s="242" t="s">
        <v>8000</v>
      </c>
      <c r="J593" s="242" t="s">
        <v>10633</v>
      </c>
      <c r="K593" s="195" t="s">
        <v>70</v>
      </c>
      <c r="L593" s="20" t="str">
        <f ca="1">IF(OFFSET(환산공식!$ED$15,$F593,0)=1,"O","X")</f>
        <v>X</v>
      </c>
      <c r="M593" s="188">
        <f ca="1">IFERROR(OFFSET(환산공식!DJ$15,$F593,0),"")</f>
        <v>200</v>
      </c>
      <c r="N593" s="20" t="str">
        <f ca="1">IFERROR(CONCATENATE(ROUND(OFFSET(환산공식!DK$15,$F593,0),1),"%"),"")</f>
        <v>100%</v>
      </c>
      <c r="O593" s="20">
        <f ca="1">IFERROR(OFFSET(환산공식!DL$15,$F593,0),"")</f>
        <v>0</v>
      </c>
      <c r="P593" s="188" t="str">
        <f t="shared" ca="1" si="18"/>
        <v>3% 이하</v>
      </c>
      <c r="Q593" s="194">
        <f ca="1">IFERROR(ROUND(OFFSET(환산공식!$FG$15,$F593,0),3),"")</f>
        <v>0</v>
      </c>
      <c r="R593" s="194">
        <f ca="1">OFFSET('배치점수 계산기'!H$10,$D593,0)</f>
        <v>800.11400000000003</v>
      </c>
      <c r="S593" s="194">
        <f ca="1">OFFSET('배치점수 계산기'!I$10,$D593,0)</f>
        <v>798.52800000000002</v>
      </c>
      <c r="T593" s="194">
        <f ca="1">OFFSET('배치점수 계산기'!J$10,$D593,0)</f>
        <v>794.82799999999997</v>
      </c>
      <c r="U593" s="194">
        <f ca="1">OFFSET('배치점수 계산기'!K$10,$D593,0)</f>
        <v>790.10199999999998</v>
      </c>
      <c r="V593" s="194">
        <f ca="1">OFFSET('배치점수 계산기'!L$10,$D593,0)</f>
        <v>783.76700000000005</v>
      </c>
      <c r="W593" s="186" t="str">
        <f ca="1">OFFSET('배치점수 계산기'!M$10,$D593,0)</f>
        <v>표점/만점</v>
      </c>
      <c r="X593" s="184" t="str">
        <f ca="1">OFFSET('배치점수 계산기'!N$10,$D593,0)</f>
        <v>표점/만점</v>
      </c>
      <c r="Y593" s="188">
        <f ca="1">OFFSET(환산공식!FW$15,$F593,0)</f>
        <v>0.31</v>
      </c>
      <c r="Z593" s="20">
        <f ca="1">OFFSET(환산공식!FX$15,$F593,0)</f>
        <v>0.37</v>
      </c>
      <c r="AA593" s="179">
        <f ca="1">OFFSET(환산공식!FY$15,$F593,0)</f>
        <v>0.31</v>
      </c>
      <c r="AB593" s="3"/>
      <c r="AD593">
        <f t="shared" ca="1" si="19"/>
        <v>6</v>
      </c>
      <c r="AF593" s="3"/>
      <c r="AG593" s="3"/>
      <c r="AH593" s="3"/>
    </row>
    <row r="594" spans="1:34">
      <c r="A594" s="198"/>
      <c r="B594" s="198"/>
      <c r="C594" s="198" t="s">
        <v>2046</v>
      </c>
      <c r="D594" s="195">
        <v>1585</v>
      </c>
      <c r="E594" s="195">
        <v>190</v>
      </c>
      <c r="F594" s="195">
        <v>190</v>
      </c>
      <c r="G594" s="239">
        <v>587</v>
      </c>
      <c r="H594" s="197" t="s">
        <v>79</v>
      </c>
      <c r="I594" s="242" t="s">
        <v>8000</v>
      </c>
      <c r="J594" s="242" t="s">
        <v>13976</v>
      </c>
      <c r="K594" s="195" t="s">
        <v>70</v>
      </c>
      <c r="L594" s="20" t="str">
        <f ca="1">IF(OFFSET(환산공식!$ED$15,$F594,0)=1,"O","X")</f>
        <v>X</v>
      </c>
      <c r="M594" s="188">
        <f ca="1">IFERROR(OFFSET(환산공식!DJ$15,$F594,0),"")</f>
        <v>200</v>
      </c>
      <c r="N594" s="20" t="str">
        <f ca="1">IFERROR(CONCATENATE(ROUND(OFFSET(환산공식!DK$15,$F594,0),1),"%"),"")</f>
        <v>100%</v>
      </c>
      <c r="O594" s="20">
        <f ca="1">IFERROR(OFFSET(환산공식!DL$15,$F594,0),"")</f>
        <v>0</v>
      </c>
      <c r="P594" s="188" t="str">
        <f t="shared" ca="1" si="18"/>
        <v>3% 이하</v>
      </c>
      <c r="Q594" s="194">
        <f ca="1">IFERROR(ROUND(OFFSET(환산공식!$FG$15,$F594,0),3),"")</f>
        <v>0</v>
      </c>
      <c r="R594" s="194">
        <f ca="1">OFFSET('배치점수 계산기'!H$10,$D594,0)</f>
        <v>799.70100000000002</v>
      </c>
      <c r="S594" s="194">
        <f ca="1">OFFSET('배치점수 계산기'!I$10,$D594,0)</f>
        <v>797.95299999999997</v>
      </c>
      <c r="T594" s="194">
        <f ca="1">OFFSET('배치점수 계산기'!J$10,$D594,0)</f>
        <v>794.22500000000002</v>
      </c>
      <c r="U594" s="194">
        <f ca="1">OFFSET('배치점수 계산기'!K$10,$D594,0)</f>
        <v>790.02700000000004</v>
      </c>
      <c r="V594" s="194">
        <f ca="1">OFFSET('배치점수 계산기'!L$10,$D594,0)</f>
        <v>783.07899999999995</v>
      </c>
      <c r="W594" s="186" t="str">
        <f ca="1">OFFSET('배치점수 계산기'!M$10,$D594,0)</f>
        <v>표점/만점</v>
      </c>
      <c r="X594" s="184" t="str">
        <f ca="1">OFFSET('배치점수 계산기'!N$10,$D594,0)</f>
        <v>표점/만점</v>
      </c>
      <c r="Y594" s="188">
        <f ca="1">OFFSET(환산공식!FW$15,$F594,0)</f>
        <v>0.31</v>
      </c>
      <c r="Z594" s="20">
        <f ca="1">OFFSET(환산공식!FX$15,$F594,0)</f>
        <v>0.37</v>
      </c>
      <c r="AA594" s="179">
        <f ca="1">OFFSET(환산공식!FY$15,$F594,0)</f>
        <v>0.31</v>
      </c>
      <c r="AB594" s="3"/>
      <c r="AD594">
        <f t="shared" ca="1" si="19"/>
        <v>6</v>
      </c>
      <c r="AF594" s="3"/>
      <c r="AG594" s="3"/>
      <c r="AH594" s="3"/>
    </row>
    <row r="595" spans="1:34">
      <c r="A595" s="198"/>
      <c r="B595" s="198"/>
      <c r="C595" s="198" t="s">
        <v>2047</v>
      </c>
      <c r="D595" s="195">
        <v>1586</v>
      </c>
      <c r="E595" s="195">
        <v>190</v>
      </c>
      <c r="F595" s="195">
        <v>190</v>
      </c>
      <c r="G595" s="239">
        <v>588</v>
      </c>
      <c r="H595" s="197" t="s">
        <v>79</v>
      </c>
      <c r="I595" s="242" t="s">
        <v>8000</v>
      </c>
      <c r="J595" s="242" t="s">
        <v>11782</v>
      </c>
      <c r="K595" s="195" t="s">
        <v>70</v>
      </c>
      <c r="L595" s="20" t="str">
        <f ca="1">IF(OFFSET(환산공식!$ED$15,$F595,0)=1,"O","X")</f>
        <v>X</v>
      </c>
      <c r="M595" s="188">
        <f ca="1">IFERROR(OFFSET(환산공식!DJ$15,$F595,0),"")</f>
        <v>200</v>
      </c>
      <c r="N595" s="20" t="str">
        <f ca="1">IFERROR(CONCATENATE(ROUND(OFFSET(환산공식!DK$15,$F595,0),1),"%"),"")</f>
        <v>100%</v>
      </c>
      <c r="O595" s="20">
        <f ca="1">IFERROR(OFFSET(환산공식!DL$15,$F595,0),"")</f>
        <v>0</v>
      </c>
      <c r="P595" s="188" t="str">
        <f t="shared" ca="1" si="18"/>
        <v>3% 이하</v>
      </c>
      <c r="Q595" s="194">
        <f ca="1">IFERROR(ROUND(OFFSET(환산공식!$FG$15,$F595,0),3),"")</f>
        <v>0</v>
      </c>
      <c r="R595" s="194">
        <f ca="1">OFFSET('배치점수 계산기'!H$10,$D595,0)</f>
        <v>798.52800000000002</v>
      </c>
      <c r="S595" s="194">
        <f ca="1">OFFSET('배치점수 계산기'!I$10,$D595,0)</f>
        <v>796.8</v>
      </c>
      <c r="T595" s="194">
        <f ca="1">OFFSET('배치점수 계산기'!J$10,$D595,0)</f>
        <v>792.91099999999994</v>
      </c>
      <c r="U595" s="194">
        <f ca="1">OFFSET('배치점수 계산기'!K$10,$D595,0)</f>
        <v>787.89400000000001</v>
      </c>
      <c r="V595" s="194">
        <f ca="1">OFFSET('배치점수 계산기'!L$10,$D595,0)</f>
        <v>782.005</v>
      </c>
      <c r="W595" s="186" t="str">
        <f ca="1">OFFSET('배치점수 계산기'!M$10,$D595,0)</f>
        <v>표점/만점</v>
      </c>
      <c r="X595" s="184" t="str">
        <f ca="1">OFFSET('배치점수 계산기'!N$10,$D595,0)</f>
        <v>표점/만점</v>
      </c>
      <c r="Y595" s="188">
        <f ca="1">OFFSET(환산공식!FW$15,$F595,0)</f>
        <v>0.31</v>
      </c>
      <c r="Z595" s="20">
        <f ca="1">OFFSET(환산공식!FX$15,$F595,0)</f>
        <v>0.37</v>
      </c>
      <c r="AA595" s="179">
        <f ca="1">OFFSET(환산공식!FY$15,$F595,0)</f>
        <v>0.31</v>
      </c>
      <c r="AB595" s="3"/>
      <c r="AD595">
        <f t="shared" ca="1" si="19"/>
        <v>6</v>
      </c>
      <c r="AF595" s="3"/>
      <c r="AG595" s="3"/>
      <c r="AH595" s="3"/>
    </row>
    <row r="596" spans="1:34">
      <c r="A596" s="198"/>
      <c r="B596" s="198"/>
      <c r="C596" s="198" t="s">
        <v>2048</v>
      </c>
      <c r="D596" s="195">
        <v>1587</v>
      </c>
      <c r="E596" s="195">
        <v>190</v>
      </c>
      <c r="F596" s="195">
        <v>190</v>
      </c>
      <c r="G596" s="239">
        <v>589</v>
      </c>
      <c r="H596" s="197" t="s">
        <v>79</v>
      </c>
      <c r="I596" s="242" t="s">
        <v>8000</v>
      </c>
      <c r="J596" s="242" t="s">
        <v>8502</v>
      </c>
      <c r="K596" s="195" t="s">
        <v>70</v>
      </c>
      <c r="L596" s="20" t="str">
        <f ca="1">IF(OFFSET(환산공식!$ED$15,$F596,0)=1,"O","X")</f>
        <v>X</v>
      </c>
      <c r="M596" s="188">
        <f ca="1">IFERROR(OFFSET(환산공식!DJ$15,$F596,0),"")</f>
        <v>200</v>
      </c>
      <c r="N596" s="20" t="str">
        <f ca="1">IFERROR(CONCATENATE(ROUND(OFFSET(환산공식!DK$15,$F596,0),1),"%"),"")</f>
        <v>100%</v>
      </c>
      <c r="O596" s="20">
        <f ca="1">IFERROR(OFFSET(환산공식!DL$15,$F596,0),"")</f>
        <v>0</v>
      </c>
      <c r="P596" s="188" t="str">
        <f t="shared" ca="1" si="18"/>
        <v>3% 이하</v>
      </c>
      <c r="Q596" s="194">
        <f ca="1">IFERROR(ROUND(OFFSET(환산공식!$FG$15,$F596,0),3),"")</f>
        <v>0</v>
      </c>
      <c r="R596" s="194">
        <f ca="1">OFFSET('배치점수 계산기'!H$10,$D596,0)</f>
        <v>798.16899999999998</v>
      </c>
      <c r="S596" s="194">
        <f ca="1">OFFSET('배치점수 계산기'!I$10,$D596,0)</f>
        <v>796.41899999999998</v>
      </c>
      <c r="T596" s="194">
        <f ca="1">OFFSET('배치점수 계산기'!J$10,$D596,0)</f>
        <v>792.61500000000001</v>
      </c>
      <c r="U596" s="194">
        <f ca="1">OFFSET('배치점수 계산기'!K$10,$D596,0)</f>
        <v>787.26300000000003</v>
      </c>
      <c r="V596" s="194">
        <f ca="1">OFFSET('배치점수 계산기'!L$10,$D596,0)</f>
        <v>781.56700000000001</v>
      </c>
      <c r="W596" s="186" t="str">
        <f ca="1">OFFSET('배치점수 계산기'!M$10,$D596,0)</f>
        <v>표점/만점</v>
      </c>
      <c r="X596" s="184" t="str">
        <f ca="1">OFFSET('배치점수 계산기'!N$10,$D596,0)</f>
        <v>표점/만점</v>
      </c>
      <c r="Y596" s="188">
        <f ca="1">OFFSET(환산공식!FW$15,$F596,0)</f>
        <v>0.31</v>
      </c>
      <c r="Z596" s="20">
        <f ca="1">OFFSET(환산공식!FX$15,$F596,0)</f>
        <v>0.37</v>
      </c>
      <c r="AA596" s="179">
        <f ca="1">OFFSET(환산공식!FY$15,$F596,0)</f>
        <v>0.31</v>
      </c>
      <c r="AB596" s="3"/>
      <c r="AD596">
        <f t="shared" ca="1" si="19"/>
        <v>6</v>
      </c>
      <c r="AF596" s="3"/>
      <c r="AG596" s="3"/>
      <c r="AH596" s="3"/>
    </row>
    <row r="597" spans="1:34">
      <c r="A597" s="198"/>
      <c r="B597" s="198"/>
      <c r="C597" s="198" t="s">
        <v>2049</v>
      </c>
      <c r="D597" s="195">
        <v>1588</v>
      </c>
      <c r="E597" s="195">
        <v>190</v>
      </c>
      <c r="F597" s="195">
        <v>190</v>
      </c>
      <c r="G597" s="239">
        <v>590</v>
      </c>
      <c r="H597" s="197" t="s">
        <v>79</v>
      </c>
      <c r="I597" s="242" t="s">
        <v>8000</v>
      </c>
      <c r="J597" s="242" t="s">
        <v>486</v>
      </c>
      <c r="K597" s="195" t="s">
        <v>70</v>
      </c>
      <c r="L597" s="20" t="str">
        <f ca="1">IF(OFFSET(환산공식!$ED$15,$F597,0)=1,"O","X")</f>
        <v>X</v>
      </c>
      <c r="M597" s="188">
        <f ca="1">IFERROR(OFFSET(환산공식!DJ$15,$F597,0),"")</f>
        <v>200</v>
      </c>
      <c r="N597" s="20" t="str">
        <f ca="1">IFERROR(CONCATENATE(ROUND(OFFSET(환산공식!DK$15,$F597,0),1),"%"),"")</f>
        <v>100%</v>
      </c>
      <c r="O597" s="20">
        <f ca="1">IFERROR(OFFSET(환산공식!DL$15,$F597,0),"")</f>
        <v>0</v>
      </c>
      <c r="P597" s="188" t="str">
        <f t="shared" ca="1" si="18"/>
        <v>3% 이하</v>
      </c>
      <c r="Q597" s="194">
        <f ca="1">IFERROR(ROUND(OFFSET(환산공식!$FG$15,$F597,0),3),"")</f>
        <v>0</v>
      </c>
      <c r="R597" s="194">
        <f ca="1">OFFSET('배치점수 계산기'!H$10,$D597,0)</f>
        <v>798.16899999999998</v>
      </c>
      <c r="S597" s="194">
        <f ca="1">OFFSET('배치점수 계산기'!I$10,$D597,0)</f>
        <v>796.41899999999998</v>
      </c>
      <c r="T597" s="194">
        <f ca="1">OFFSET('배치점수 계산기'!J$10,$D597,0)</f>
        <v>792.399</v>
      </c>
      <c r="U597" s="194">
        <f ca="1">OFFSET('배치점수 계산기'!K$10,$D597,0)</f>
        <v>787.07500000000005</v>
      </c>
      <c r="V597" s="194">
        <f ca="1">OFFSET('배치점수 계산기'!L$10,$D597,0)</f>
        <v>781.56700000000001</v>
      </c>
      <c r="W597" s="186" t="str">
        <f ca="1">OFFSET('배치점수 계산기'!M$10,$D597,0)</f>
        <v>표점/만점</v>
      </c>
      <c r="X597" s="184" t="str">
        <f ca="1">OFFSET('배치점수 계산기'!N$10,$D597,0)</f>
        <v>표점/만점</v>
      </c>
      <c r="Y597" s="188">
        <f ca="1">OFFSET(환산공식!FW$15,$F597,0)</f>
        <v>0.31</v>
      </c>
      <c r="Z597" s="20">
        <f ca="1">OFFSET(환산공식!FX$15,$F597,0)</f>
        <v>0.37</v>
      </c>
      <c r="AA597" s="179">
        <f ca="1">OFFSET(환산공식!FY$15,$F597,0)</f>
        <v>0.31</v>
      </c>
      <c r="AB597" s="3"/>
      <c r="AD597">
        <f t="shared" ca="1" si="19"/>
        <v>6</v>
      </c>
      <c r="AF597" s="3"/>
      <c r="AG597" s="3"/>
      <c r="AH597" s="3"/>
    </row>
    <row r="598" spans="1:34">
      <c r="A598" s="198"/>
      <c r="B598" s="198"/>
      <c r="C598" s="198" t="s">
        <v>2050</v>
      </c>
      <c r="D598" s="195">
        <v>1589</v>
      </c>
      <c r="E598" s="195">
        <v>190</v>
      </c>
      <c r="F598" s="195">
        <v>190</v>
      </c>
      <c r="G598" s="239">
        <v>591</v>
      </c>
      <c r="H598" s="197" t="s">
        <v>79</v>
      </c>
      <c r="I598" s="242" t="s">
        <v>8000</v>
      </c>
      <c r="J598" s="242" t="s">
        <v>10547</v>
      </c>
      <c r="K598" s="195" t="s">
        <v>70</v>
      </c>
      <c r="L598" s="20" t="str">
        <f ca="1">IF(OFFSET(환산공식!$ED$15,$F598,0)=1,"O","X")</f>
        <v>X</v>
      </c>
      <c r="M598" s="188">
        <f ca="1">IFERROR(OFFSET(환산공식!DJ$15,$F598,0),"")</f>
        <v>200</v>
      </c>
      <c r="N598" s="20" t="str">
        <f ca="1">IFERROR(CONCATENATE(ROUND(OFFSET(환산공식!DK$15,$F598,0),1),"%"),"")</f>
        <v>100%</v>
      </c>
      <c r="O598" s="20">
        <f ca="1">IFERROR(OFFSET(환산공식!DL$15,$F598,0),"")</f>
        <v>0</v>
      </c>
      <c r="P598" s="188" t="str">
        <f t="shared" ca="1" si="18"/>
        <v>3% 이하</v>
      </c>
      <c r="Q598" s="194">
        <f ca="1">IFERROR(ROUND(OFFSET(환산공식!$FG$15,$F598,0),3),"")</f>
        <v>0</v>
      </c>
      <c r="R598" s="194">
        <f ca="1">OFFSET('배치점수 계산기'!H$10,$D598,0)</f>
        <v>796.24900000000002</v>
      </c>
      <c r="S598" s="194">
        <f ca="1">OFFSET('배치점수 계산기'!I$10,$D598,0)</f>
        <v>794.20600000000002</v>
      </c>
      <c r="T598" s="194">
        <f ca="1">OFFSET('배치점수 계산기'!J$10,$D598,0)</f>
        <v>789.72199999999998</v>
      </c>
      <c r="U598" s="194">
        <f ca="1">OFFSET('배치점수 계산기'!K$10,$D598,0)</f>
        <v>784.5</v>
      </c>
      <c r="V598" s="194">
        <f ca="1">OFFSET('배치점수 계산기'!L$10,$D598,0)</f>
        <v>779.79300000000001</v>
      </c>
      <c r="W598" s="186" t="str">
        <f ca="1">OFFSET('배치점수 계산기'!M$10,$D598,0)</f>
        <v>표점/만점</v>
      </c>
      <c r="X598" s="184" t="str">
        <f ca="1">OFFSET('배치점수 계산기'!N$10,$D598,0)</f>
        <v>표점/만점</v>
      </c>
      <c r="Y598" s="188">
        <f ca="1">OFFSET(환산공식!FW$15,$F598,0)</f>
        <v>0.31</v>
      </c>
      <c r="Z598" s="20">
        <f ca="1">OFFSET(환산공식!FX$15,$F598,0)</f>
        <v>0.37</v>
      </c>
      <c r="AA598" s="179">
        <f ca="1">OFFSET(환산공식!FY$15,$F598,0)</f>
        <v>0.31</v>
      </c>
      <c r="AB598" s="3"/>
      <c r="AD598">
        <f t="shared" ca="1" si="19"/>
        <v>6</v>
      </c>
      <c r="AF598" s="3"/>
      <c r="AG598" s="3"/>
      <c r="AH598" s="3"/>
    </row>
    <row r="599" spans="1:34">
      <c r="A599" s="198"/>
      <c r="B599" s="198"/>
      <c r="C599" s="198" t="s">
        <v>2051</v>
      </c>
      <c r="D599" s="195">
        <v>1590</v>
      </c>
      <c r="E599" s="195">
        <v>190</v>
      </c>
      <c r="F599" s="195">
        <v>190</v>
      </c>
      <c r="G599" s="239">
        <v>592</v>
      </c>
      <c r="H599" s="197" t="s">
        <v>79</v>
      </c>
      <c r="I599" s="242" t="s">
        <v>8000</v>
      </c>
      <c r="J599" s="242" t="s">
        <v>13463</v>
      </c>
      <c r="K599" s="195" t="s">
        <v>70</v>
      </c>
      <c r="L599" s="20" t="str">
        <f ca="1">IF(OFFSET(환산공식!$ED$15,$F599,0)=1,"O","X")</f>
        <v>X</v>
      </c>
      <c r="M599" s="188">
        <f ca="1">IFERROR(OFFSET(환산공식!DJ$15,$F599,0),"")</f>
        <v>200</v>
      </c>
      <c r="N599" s="20" t="str">
        <f ca="1">IFERROR(CONCATENATE(ROUND(OFFSET(환산공식!DK$15,$F599,0),1),"%"),"")</f>
        <v>100%</v>
      </c>
      <c r="O599" s="20">
        <f ca="1">IFERROR(OFFSET(환산공식!DL$15,$F599,0),"")</f>
        <v>0</v>
      </c>
      <c r="P599" s="188" t="str">
        <f t="shared" ca="1" si="18"/>
        <v>3% 이하</v>
      </c>
      <c r="Q599" s="194">
        <f ca="1">IFERROR(ROUND(OFFSET(환산공식!$FG$15,$F599,0),3),"")</f>
        <v>0</v>
      </c>
      <c r="R599" s="194">
        <f ca="1">OFFSET('배치점수 계산기'!H$10,$D599,0)</f>
        <v>796.24900000000002</v>
      </c>
      <c r="S599" s="194">
        <f ca="1">OFFSET('배치점수 계산기'!I$10,$D599,0)</f>
        <v>794.22500000000002</v>
      </c>
      <c r="T599" s="194">
        <f ca="1">OFFSET('배치점수 계산기'!J$10,$D599,0)</f>
        <v>789.55100000000004</v>
      </c>
      <c r="U599" s="194">
        <f ca="1">OFFSET('배치점수 계산기'!K$10,$D599,0)</f>
        <v>784.33</v>
      </c>
      <c r="V599" s="194">
        <f ca="1">OFFSET('배치점수 계산기'!L$10,$D599,0)</f>
        <v>779.62199999999996</v>
      </c>
      <c r="W599" s="186" t="str">
        <f ca="1">OFFSET('배치점수 계산기'!M$10,$D599,0)</f>
        <v>표점/만점</v>
      </c>
      <c r="X599" s="184" t="str">
        <f ca="1">OFFSET('배치점수 계산기'!N$10,$D599,0)</f>
        <v>표점/만점</v>
      </c>
      <c r="Y599" s="188">
        <f ca="1">OFFSET(환산공식!FW$15,$F599,0)</f>
        <v>0.31</v>
      </c>
      <c r="Z599" s="20">
        <f ca="1">OFFSET(환산공식!FX$15,$F599,0)</f>
        <v>0.37</v>
      </c>
      <c r="AA599" s="179">
        <f ca="1">OFFSET(환산공식!FY$15,$F599,0)</f>
        <v>0.31</v>
      </c>
      <c r="AB599" s="3"/>
      <c r="AD599">
        <f t="shared" ca="1" si="19"/>
        <v>6</v>
      </c>
      <c r="AF599" s="3"/>
      <c r="AG599" s="3"/>
      <c r="AH599" s="3"/>
    </row>
    <row r="600" spans="1:34">
      <c r="A600" s="198"/>
      <c r="B600" s="198"/>
      <c r="C600" s="198" t="s">
        <v>2052</v>
      </c>
      <c r="D600" s="195">
        <v>1591</v>
      </c>
      <c r="E600" s="195">
        <v>190</v>
      </c>
      <c r="F600" s="195">
        <v>190</v>
      </c>
      <c r="G600" s="239">
        <v>593</v>
      </c>
      <c r="H600" s="197" t="s">
        <v>79</v>
      </c>
      <c r="I600" s="242" t="s">
        <v>8000</v>
      </c>
      <c r="J600" s="242" t="s">
        <v>14003</v>
      </c>
      <c r="K600" s="195" t="s">
        <v>70</v>
      </c>
      <c r="L600" s="20" t="str">
        <f ca="1">IF(OFFSET(환산공식!$ED$15,$F600,0)=1,"O","X")</f>
        <v>X</v>
      </c>
      <c r="M600" s="188">
        <f ca="1">IFERROR(OFFSET(환산공식!DJ$15,$F600,0),"")</f>
        <v>200</v>
      </c>
      <c r="N600" s="20" t="str">
        <f ca="1">IFERROR(CONCATENATE(ROUND(OFFSET(환산공식!DK$15,$F600,0),1),"%"),"")</f>
        <v>100%</v>
      </c>
      <c r="O600" s="20">
        <f ca="1">IFERROR(OFFSET(환산공식!DL$15,$F600,0),"")</f>
        <v>0</v>
      </c>
      <c r="P600" s="188" t="str">
        <f t="shared" ca="1" si="18"/>
        <v>3% 이하</v>
      </c>
      <c r="Q600" s="194">
        <f ca="1">IFERROR(ROUND(OFFSET(환산공식!$FG$15,$F600,0),3),"")</f>
        <v>0</v>
      </c>
      <c r="R600" s="194">
        <f ca="1">OFFSET('배치점수 계산기'!H$10,$D600,0)</f>
        <v>796.06100000000004</v>
      </c>
      <c r="S600" s="194">
        <f ca="1">OFFSET('배치점수 계산기'!I$10,$D600,0)</f>
        <v>794.00900000000001</v>
      </c>
      <c r="T600" s="194">
        <f ca="1">OFFSET('배치점수 계산기'!J$10,$D600,0)</f>
        <v>789.28300000000002</v>
      </c>
      <c r="U600" s="194">
        <f ca="1">OFFSET('배치점수 계산기'!K$10,$D600,0)</f>
        <v>784.303</v>
      </c>
      <c r="V600" s="194">
        <f ca="1">OFFSET('배치점수 계산기'!L$10,$D600,0)</f>
        <v>779.62199999999996</v>
      </c>
      <c r="W600" s="186" t="str">
        <f ca="1">OFFSET('배치점수 계산기'!M$10,$D600,0)</f>
        <v>표점/만점</v>
      </c>
      <c r="X600" s="184" t="str">
        <f ca="1">OFFSET('배치점수 계산기'!N$10,$D600,0)</f>
        <v>표점/만점</v>
      </c>
      <c r="Y600" s="188">
        <f ca="1">OFFSET(환산공식!FW$15,$F600,0)</f>
        <v>0.31</v>
      </c>
      <c r="Z600" s="20">
        <f ca="1">OFFSET(환산공식!FX$15,$F600,0)</f>
        <v>0.37</v>
      </c>
      <c r="AA600" s="179">
        <f ca="1">OFFSET(환산공식!FY$15,$F600,0)</f>
        <v>0.31</v>
      </c>
      <c r="AB600" s="3"/>
      <c r="AD600">
        <f t="shared" ca="1" si="19"/>
        <v>6</v>
      </c>
      <c r="AF600" s="3"/>
      <c r="AG600" s="3"/>
      <c r="AH600" s="3"/>
    </row>
    <row r="601" spans="1:34">
      <c r="A601" s="198"/>
      <c r="B601" s="198"/>
      <c r="C601" s="198" t="s">
        <v>2053</v>
      </c>
      <c r="D601" s="195">
        <v>1592</v>
      </c>
      <c r="E601" s="195">
        <v>190</v>
      </c>
      <c r="F601" s="195">
        <v>190</v>
      </c>
      <c r="G601" s="239">
        <v>594</v>
      </c>
      <c r="H601" s="197" t="s">
        <v>79</v>
      </c>
      <c r="I601" s="242" t="s">
        <v>8000</v>
      </c>
      <c r="J601" s="242" t="s">
        <v>16716</v>
      </c>
      <c r="K601" s="195" t="s">
        <v>70</v>
      </c>
      <c r="L601" s="20" t="str">
        <f ca="1">IF(OFFSET(환산공식!$ED$15,$F601,0)=1,"O","X")</f>
        <v>X</v>
      </c>
      <c r="M601" s="188">
        <f ca="1">IFERROR(OFFSET(환산공식!DJ$15,$F601,0),"")</f>
        <v>200</v>
      </c>
      <c r="N601" s="20" t="str">
        <f ca="1">IFERROR(CONCATENATE(ROUND(OFFSET(환산공식!DK$15,$F601,0),1),"%"),"")</f>
        <v>100%</v>
      </c>
      <c r="O601" s="20">
        <f ca="1">IFERROR(OFFSET(환산공식!DL$15,$F601,0),"")</f>
        <v>0</v>
      </c>
      <c r="P601" s="188" t="str">
        <f t="shared" ca="1" si="18"/>
        <v>3% 이하</v>
      </c>
      <c r="Q601" s="194">
        <f ca="1">IFERROR(ROUND(OFFSET(환산공식!$FG$15,$F601,0),3),"")</f>
        <v>0</v>
      </c>
      <c r="R601" s="194">
        <f ca="1">OFFSET('배치점수 계산기'!H$10,$D601,0)</f>
        <v>795.40599999999995</v>
      </c>
      <c r="S601" s="194">
        <f ca="1">OFFSET('배치점수 계산기'!I$10,$D601,0)</f>
        <v>793.47400000000005</v>
      </c>
      <c r="T601" s="194">
        <f ca="1">OFFSET('배치점수 계산기'!J$10,$D601,0)</f>
        <v>789.28800000000001</v>
      </c>
      <c r="U601" s="194">
        <f ca="1">OFFSET('배치점수 계산기'!K$10,$D601,0)</f>
        <v>783.76700000000005</v>
      </c>
      <c r="V601" s="194">
        <f ca="1">OFFSET('배치점수 계산기'!L$10,$D601,0)</f>
        <v>779.05399999999997</v>
      </c>
      <c r="W601" s="186" t="str">
        <f ca="1">OFFSET('배치점수 계산기'!M$10,$D601,0)</f>
        <v>표점/만점</v>
      </c>
      <c r="X601" s="184" t="str">
        <f ca="1">OFFSET('배치점수 계산기'!N$10,$D601,0)</f>
        <v>표점/만점</v>
      </c>
      <c r="Y601" s="188">
        <f ca="1">OFFSET(환산공식!FW$15,$F601,0)</f>
        <v>0.31</v>
      </c>
      <c r="Z601" s="20">
        <f ca="1">OFFSET(환산공식!FX$15,$F601,0)</f>
        <v>0.37</v>
      </c>
      <c r="AA601" s="179">
        <f ca="1">OFFSET(환산공식!FY$15,$F601,0)</f>
        <v>0.31</v>
      </c>
      <c r="AB601" s="3"/>
      <c r="AD601">
        <f t="shared" ca="1" si="19"/>
        <v>6</v>
      </c>
      <c r="AF601" s="3"/>
      <c r="AG601" s="3"/>
      <c r="AH601" s="3"/>
    </row>
    <row r="602" spans="1:34">
      <c r="A602" s="198"/>
      <c r="B602" s="198"/>
      <c r="C602" s="198" t="s">
        <v>2054</v>
      </c>
      <c r="D602" s="195">
        <v>1593</v>
      </c>
      <c r="E602" s="195">
        <v>190</v>
      </c>
      <c r="F602" s="195">
        <v>190</v>
      </c>
      <c r="G602" s="239">
        <v>595</v>
      </c>
      <c r="H602" s="197" t="s">
        <v>79</v>
      </c>
      <c r="I602" s="242" t="s">
        <v>8000</v>
      </c>
      <c r="J602" s="242" t="s">
        <v>553</v>
      </c>
      <c r="K602" s="195" t="s">
        <v>70</v>
      </c>
      <c r="L602" s="20" t="str">
        <f ca="1">IF(OFFSET(환산공식!$ED$15,$F602,0)=1,"O","X")</f>
        <v>X</v>
      </c>
      <c r="M602" s="188">
        <f ca="1">IFERROR(OFFSET(환산공식!DJ$15,$F602,0),"")</f>
        <v>200</v>
      </c>
      <c r="N602" s="20" t="str">
        <f ca="1">IFERROR(CONCATENATE(ROUND(OFFSET(환산공식!DK$15,$F602,0),1),"%"),"")</f>
        <v>100%</v>
      </c>
      <c r="O602" s="20">
        <f ca="1">IFERROR(OFFSET(환산공식!DL$15,$F602,0),"")</f>
        <v>0</v>
      </c>
      <c r="P602" s="188" t="str">
        <f t="shared" ca="1" si="18"/>
        <v>3% 이하</v>
      </c>
      <c r="Q602" s="194">
        <f ca="1">IFERROR(ROUND(OFFSET(환산공식!$FG$15,$F602,0),3),"")</f>
        <v>0</v>
      </c>
      <c r="R602" s="194">
        <f ca="1">OFFSET('배치점수 계산기'!H$10,$D602,0)</f>
        <v>793.63199999999995</v>
      </c>
      <c r="S602" s="194">
        <f ca="1">OFFSET('배치점수 계산기'!I$10,$D602,0)</f>
        <v>791.87599999999998</v>
      </c>
      <c r="T602" s="194">
        <f ca="1">OFFSET('배치점수 계산기'!J$10,$D602,0)</f>
        <v>786.91700000000003</v>
      </c>
      <c r="U602" s="194">
        <f ca="1">OFFSET('배치점수 계산기'!K$10,$D602,0)</f>
        <v>782.197</v>
      </c>
      <c r="V602" s="194">
        <f ca="1">OFFSET('배치점수 계산기'!L$10,$D602,0)</f>
        <v>777.98599999999999</v>
      </c>
      <c r="W602" s="186" t="str">
        <f ca="1">OFFSET('배치점수 계산기'!M$10,$D602,0)</f>
        <v>표점/만점</v>
      </c>
      <c r="X602" s="184" t="str">
        <f ca="1">OFFSET('배치점수 계산기'!N$10,$D602,0)</f>
        <v>표점/만점</v>
      </c>
      <c r="Y602" s="188">
        <f ca="1">OFFSET(환산공식!FW$15,$F602,0)</f>
        <v>0.31</v>
      </c>
      <c r="Z602" s="20">
        <f ca="1">OFFSET(환산공식!FX$15,$F602,0)</f>
        <v>0.37</v>
      </c>
      <c r="AA602" s="179">
        <f ca="1">OFFSET(환산공식!FY$15,$F602,0)</f>
        <v>0.31</v>
      </c>
      <c r="AB602" s="3"/>
      <c r="AD602">
        <f t="shared" ca="1" si="19"/>
        <v>6</v>
      </c>
      <c r="AF602" s="3"/>
      <c r="AG602" s="3"/>
      <c r="AH602" s="3"/>
    </row>
    <row r="603" spans="1:34">
      <c r="A603" s="198"/>
      <c r="B603" s="198"/>
      <c r="C603" s="198" t="s">
        <v>2055</v>
      </c>
      <c r="D603" s="195">
        <v>1594</v>
      </c>
      <c r="E603" s="195">
        <v>190</v>
      </c>
      <c r="F603" s="195">
        <v>190</v>
      </c>
      <c r="G603" s="239">
        <v>596</v>
      </c>
      <c r="H603" s="197" t="s">
        <v>79</v>
      </c>
      <c r="I603" s="242" t="s">
        <v>8000</v>
      </c>
      <c r="J603" s="242" t="s">
        <v>13681</v>
      </c>
      <c r="K603" s="195" t="s">
        <v>70</v>
      </c>
      <c r="L603" s="20" t="str">
        <f ca="1">IF(OFFSET(환산공식!$ED$15,$F603,0)=1,"O","X")</f>
        <v>X</v>
      </c>
      <c r="M603" s="188">
        <f ca="1">IFERROR(OFFSET(환산공식!DJ$15,$F603,0),"")</f>
        <v>200</v>
      </c>
      <c r="N603" s="20" t="str">
        <f ca="1">IFERROR(CONCATENATE(ROUND(OFFSET(환산공식!DK$15,$F603,0),1),"%"),"")</f>
        <v>100%</v>
      </c>
      <c r="O603" s="20">
        <f ca="1">IFERROR(OFFSET(환산공식!DL$15,$F603,0),"")</f>
        <v>0</v>
      </c>
      <c r="P603" s="188" t="str">
        <f t="shared" ca="1" si="18"/>
        <v>3% 이하</v>
      </c>
      <c r="Q603" s="194">
        <f ca="1">IFERROR(ROUND(OFFSET(환산공식!$FG$15,$F603,0),3),"")</f>
        <v>0</v>
      </c>
      <c r="R603" s="194">
        <f ca="1">OFFSET('배치점수 계산기'!H$10,$D603,0)</f>
        <v>792.69500000000005</v>
      </c>
      <c r="S603" s="194">
        <f ca="1">OFFSET('배치점수 계산기'!I$10,$D603,0)</f>
        <v>790.48800000000006</v>
      </c>
      <c r="T603" s="194">
        <f ca="1">OFFSET('배치점수 계산기'!J$10,$D603,0)</f>
        <v>785.31899999999996</v>
      </c>
      <c r="U603" s="194">
        <f ca="1">OFFSET('배치점수 계산기'!K$10,$D603,0)</f>
        <v>781.37800000000004</v>
      </c>
      <c r="V603" s="194">
        <f ca="1">OFFSET('배치점수 계산기'!L$10,$D603,0)</f>
        <v>777.46299999999997</v>
      </c>
      <c r="W603" s="186" t="str">
        <f ca="1">OFFSET('배치점수 계산기'!M$10,$D603,0)</f>
        <v>표점/만점</v>
      </c>
      <c r="X603" s="184" t="str">
        <f ca="1">OFFSET('배치점수 계산기'!N$10,$D603,0)</f>
        <v>표점/만점</v>
      </c>
      <c r="Y603" s="188">
        <f ca="1">OFFSET(환산공식!FW$15,$F603,0)</f>
        <v>0.31</v>
      </c>
      <c r="Z603" s="20">
        <f ca="1">OFFSET(환산공식!FX$15,$F603,0)</f>
        <v>0.37</v>
      </c>
      <c r="AA603" s="179">
        <f ca="1">OFFSET(환산공식!FY$15,$F603,0)</f>
        <v>0.31</v>
      </c>
      <c r="AB603" s="3"/>
      <c r="AD603">
        <f t="shared" ca="1" si="19"/>
        <v>6</v>
      </c>
      <c r="AF603" s="3"/>
      <c r="AG603" s="3"/>
      <c r="AH603" s="3"/>
    </row>
    <row r="604" spans="1:34">
      <c r="A604" s="198"/>
      <c r="B604" s="198"/>
      <c r="C604" s="198" t="s">
        <v>2056</v>
      </c>
      <c r="D604" s="195">
        <v>1595</v>
      </c>
      <c r="E604" s="195">
        <v>190</v>
      </c>
      <c r="F604" s="195">
        <v>190</v>
      </c>
      <c r="G604" s="239">
        <v>597</v>
      </c>
      <c r="H604" s="197" t="s">
        <v>79</v>
      </c>
      <c r="I604" s="242" t="s">
        <v>8000</v>
      </c>
      <c r="J604" s="242" t="s">
        <v>13855</v>
      </c>
      <c r="K604" s="195" t="s">
        <v>70</v>
      </c>
      <c r="L604" s="20" t="str">
        <f ca="1">IF(OFFSET(환산공식!$ED$15,$F604,0)=1,"O","X")</f>
        <v>X</v>
      </c>
      <c r="M604" s="188">
        <f ca="1">IFERROR(OFFSET(환산공식!DJ$15,$F604,0),"")</f>
        <v>200</v>
      </c>
      <c r="N604" s="20" t="str">
        <f ca="1">IFERROR(CONCATENATE(ROUND(OFFSET(환산공식!DK$15,$F604,0),1),"%"),"")</f>
        <v>100%</v>
      </c>
      <c r="O604" s="20">
        <f ca="1">IFERROR(OFFSET(환산공식!DL$15,$F604,0),"")</f>
        <v>0</v>
      </c>
      <c r="P604" s="188" t="str">
        <f t="shared" ca="1" si="18"/>
        <v>3% 이하</v>
      </c>
      <c r="Q604" s="194">
        <f ca="1">IFERROR(ROUND(OFFSET(환산공식!$FG$15,$F604,0),3),"")</f>
        <v>0</v>
      </c>
      <c r="R604" s="194">
        <f ca="1">OFFSET('배치점수 계산기'!H$10,$D604,0)</f>
        <v>792.61500000000001</v>
      </c>
      <c r="S604" s="194">
        <f ca="1">OFFSET('배치점수 계산기'!I$10,$D604,0)</f>
        <v>790.10199999999998</v>
      </c>
      <c r="T604" s="194">
        <f ca="1">OFFSET('배치점수 계산기'!J$10,$D604,0)</f>
        <v>785.13099999999997</v>
      </c>
      <c r="U604" s="194">
        <f ca="1">OFFSET('배치점수 계산기'!K$10,$D604,0)</f>
        <v>781.351</v>
      </c>
      <c r="V604" s="194">
        <f ca="1">OFFSET('배치점수 계산기'!L$10,$D604,0)</f>
        <v>777.24699999999996</v>
      </c>
      <c r="W604" s="186" t="str">
        <f ca="1">OFFSET('배치점수 계산기'!M$10,$D604,0)</f>
        <v>표점/만점</v>
      </c>
      <c r="X604" s="184" t="str">
        <f ca="1">OFFSET('배치점수 계산기'!N$10,$D604,0)</f>
        <v>표점/만점</v>
      </c>
      <c r="Y604" s="188">
        <f ca="1">OFFSET(환산공식!FW$15,$F604,0)</f>
        <v>0.31</v>
      </c>
      <c r="Z604" s="20">
        <f ca="1">OFFSET(환산공식!FX$15,$F604,0)</f>
        <v>0.37</v>
      </c>
      <c r="AA604" s="179">
        <f ca="1">OFFSET(환산공식!FY$15,$F604,0)</f>
        <v>0.31</v>
      </c>
      <c r="AB604" s="3"/>
      <c r="AD604">
        <f t="shared" ca="1" si="19"/>
        <v>6</v>
      </c>
      <c r="AF604" s="3"/>
      <c r="AG604" s="3"/>
      <c r="AH604" s="3"/>
    </row>
    <row r="605" spans="1:34">
      <c r="A605" s="198"/>
      <c r="B605" s="198"/>
      <c r="C605" s="198" t="s">
        <v>2057</v>
      </c>
      <c r="D605" s="195">
        <v>1596</v>
      </c>
      <c r="E605" s="195">
        <v>190</v>
      </c>
      <c r="F605" s="195">
        <v>190</v>
      </c>
      <c r="G605" s="239">
        <v>598</v>
      </c>
      <c r="H605" s="197" t="s">
        <v>79</v>
      </c>
      <c r="I605" s="242" t="s">
        <v>8000</v>
      </c>
      <c r="J605" s="242" t="s">
        <v>14051</v>
      </c>
      <c r="K605" s="195" t="s">
        <v>70</v>
      </c>
      <c r="L605" s="20" t="str">
        <f ca="1">IF(OFFSET(환산공식!$ED$15,$F605,0)=1,"O","X")</f>
        <v>X</v>
      </c>
      <c r="M605" s="188">
        <f ca="1">IFERROR(OFFSET(환산공식!DJ$15,$F605,0),"")</f>
        <v>200</v>
      </c>
      <c r="N605" s="20" t="str">
        <f ca="1">IFERROR(CONCATENATE(ROUND(OFFSET(환산공식!DK$15,$F605,0),1),"%"),"")</f>
        <v>100%</v>
      </c>
      <c r="O605" s="20">
        <f ca="1">IFERROR(OFFSET(환산공식!DL$15,$F605,0),"")</f>
        <v>0</v>
      </c>
      <c r="P605" s="188" t="str">
        <f t="shared" ca="1" si="18"/>
        <v>3% 이하</v>
      </c>
      <c r="Q605" s="194">
        <f ca="1">IFERROR(ROUND(OFFSET(환산공식!$FG$15,$F605,0),3),"")</f>
        <v>0</v>
      </c>
      <c r="R605" s="194">
        <f ca="1">OFFSET('배치점수 계산기'!H$10,$D605,0)</f>
        <v>792.61500000000001</v>
      </c>
      <c r="S605" s="194">
        <f ca="1">OFFSET('배치점수 계산기'!I$10,$D605,0)</f>
        <v>790.10199999999998</v>
      </c>
      <c r="T605" s="194">
        <f ca="1">OFFSET('배치점수 계산기'!J$10,$D605,0)</f>
        <v>784.95399999999995</v>
      </c>
      <c r="U605" s="194">
        <f ca="1">OFFSET('배치점수 계산기'!K$10,$D605,0)</f>
        <v>781.17399999999998</v>
      </c>
      <c r="V605" s="194">
        <f ca="1">OFFSET('배치점수 계산기'!L$10,$D605,0)</f>
        <v>776.95100000000002</v>
      </c>
      <c r="W605" s="186" t="str">
        <f ca="1">OFFSET('배치점수 계산기'!M$10,$D605,0)</f>
        <v>표점/만점</v>
      </c>
      <c r="X605" s="184" t="str">
        <f ca="1">OFFSET('배치점수 계산기'!N$10,$D605,0)</f>
        <v>표점/만점</v>
      </c>
      <c r="Y605" s="188">
        <f ca="1">OFFSET(환산공식!FW$15,$F605,0)</f>
        <v>0.31</v>
      </c>
      <c r="Z605" s="20">
        <f ca="1">OFFSET(환산공식!FX$15,$F605,0)</f>
        <v>0.37</v>
      </c>
      <c r="AA605" s="179">
        <f ca="1">OFFSET(환산공식!FY$15,$F605,0)</f>
        <v>0.31</v>
      </c>
      <c r="AB605" s="3"/>
      <c r="AD605">
        <f t="shared" ca="1" si="19"/>
        <v>6</v>
      </c>
      <c r="AF605" s="3"/>
      <c r="AG605" s="3"/>
      <c r="AH605" s="3"/>
    </row>
    <row r="606" spans="1:34">
      <c r="A606" s="198"/>
      <c r="B606" s="198"/>
      <c r="C606" s="198" t="s">
        <v>2058</v>
      </c>
      <c r="D606" s="195">
        <v>1597</v>
      </c>
      <c r="E606" s="195">
        <v>190</v>
      </c>
      <c r="F606" s="195">
        <v>190</v>
      </c>
      <c r="G606" s="239">
        <v>599</v>
      </c>
      <c r="H606" s="197" t="s">
        <v>79</v>
      </c>
      <c r="I606" s="242" t="s">
        <v>8000</v>
      </c>
      <c r="J606" s="242" t="s">
        <v>13918</v>
      </c>
      <c r="K606" s="195" t="s">
        <v>70</v>
      </c>
      <c r="L606" s="20" t="str">
        <f ca="1">IF(OFFSET(환산공식!$ED$15,$F606,0)=1,"O","X")</f>
        <v>X</v>
      </c>
      <c r="M606" s="188">
        <f ca="1">IFERROR(OFFSET(환산공식!DJ$15,$F606,0),"")</f>
        <v>200</v>
      </c>
      <c r="N606" s="20" t="str">
        <f ca="1">IFERROR(CONCATENATE(ROUND(OFFSET(환산공식!DK$15,$F606,0),1),"%"),"")</f>
        <v>100%</v>
      </c>
      <c r="O606" s="20">
        <f ca="1">IFERROR(OFFSET(환산공식!DL$15,$F606,0),"")</f>
        <v>0</v>
      </c>
      <c r="P606" s="188" t="str">
        <f t="shared" ca="1" si="18"/>
        <v>3% 이하</v>
      </c>
      <c r="Q606" s="194">
        <f ca="1">IFERROR(ROUND(OFFSET(환산공식!$FG$15,$F606,0),3),"")</f>
        <v>0</v>
      </c>
      <c r="R606" s="194">
        <f ca="1">OFFSET('배치점수 계산기'!H$10,$D606,0)</f>
        <v>789.55100000000004</v>
      </c>
      <c r="S606" s="194">
        <f ca="1">OFFSET('배치점수 계산기'!I$10,$D606,0)</f>
        <v>787.47900000000004</v>
      </c>
      <c r="T606" s="194">
        <f ca="1">OFFSET('배치점수 계산기'!J$10,$D606,0)</f>
        <v>782.89099999999996</v>
      </c>
      <c r="U606" s="194">
        <f ca="1">OFFSET('배치점수 계산기'!K$10,$D606,0)</f>
        <v>779.21799999999996</v>
      </c>
      <c r="V606" s="194">
        <f ca="1">OFFSET('배치점수 계산기'!L$10,$D606,0)</f>
        <v>774.18899999999996</v>
      </c>
      <c r="W606" s="186" t="str">
        <f ca="1">OFFSET('배치점수 계산기'!M$10,$D606,0)</f>
        <v>표점/만점</v>
      </c>
      <c r="X606" s="184" t="str">
        <f ca="1">OFFSET('배치점수 계산기'!N$10,$D606,0)</f>
        <v>표점/만점</v>
      </c>
      <c r="Y606" s="188">
        <f ca="1">OFFSET(환산공식!FW$15,$F606,0)</f>
        <v>0.31</v>
      </c>
      <c r="Z606" s="20">
        <f ca="1">OFFSET(환산공식!FX$15,$F606,0)</f>
        <v>0.37</v>
      </c>
      <c r="AA606" s="179">
        <f ca="1">OFFSET(환산공식!FY$15,$F606,0)</f>
        <v>0.31</v>
      </c>
      <c r="AB606" s="3"/>
      <c r="AD606">
        <f t="shared" ca="1" si="19"/>
        <v>6</v>
      </c>
      <c r="AF606" s="3"/>
      <c r="AG606" s="3"/>
      <c r="AH606" s="3"/>
    </row>
    <row r="607" spans="1:34">
      <c r="A607" s="198"/>
      <c r="B607" s="198"/>
      <c r="C607" s="198" t="s">
        <v>2059</v>
      </c>
      <c r="D607" s="195">
        <v>1598</v>
      </c>
      <c r="E607" s="195">
        <v>190</v>
      </c>
      <c r="F607" s="195">
        <v>190</v>
      </c>
      <c r="G607" s="239">
        <v>600</v>
      </c>
      <c r="H607" s="197" t="s">
        <v>79</v>
      </c>
      <c r="I607" s="242" t="s">
        <v>8000</v>
      </c>
      <c r="J607" s="242" t="s">
        <v>12468</v>
      </c>
      <c r="K607" s="195" t="s">
        <v>70</v>
      </c>
      <c r="L607" s="20" t="str">
        <f ca="1">IF(OFFSET(환산공식!$ED$15,$F607,0)=1,"O","X")</f>
        <v>X</v>
      </c>
      <c r="M607" s="188">
        <f ca="1">IFERROR(OFFSET(환산공식!DJ$15,$F607,0),"")</f>
        <v>200</v>
      </c>
      <c r="N607" s="20" t="str">
        <f ca="1">IFERROR(CONCATENATE(ROUND(OFFSET(환산공식!DK$15,$F607,0),1),"%"),"")</f>
        <v>100%</v>
      </c>
      <c r="O607" s="20">
        <f ca="1">IFERROR(OFFSET(환산공식!DL$15,$F607,0),"")</f>
        <v>0</v>
      </c>
      <c r="P607" s="188" t="str">
        <f t="shared" ca="1" si="18"/>
        <v>3% 이하</v>
      </c>
      <c r="Q607" s="194">
        <f ca="1">IFERROR(ROUND(OFFSET(환산공식!$FG$15,$F607,0),3),"")</f>
        <v>0</v>
      </c>
      <c r="R607" s="194">
        <f ca="1">OFFSET('배치점수 계산기'!H$10,$D607,0)</f>
        <v>788.84900000000005</v>
      </c>
      <c r="S607" s="194">
        <f ca="1">OFFSET('배치점수 계산기'!I$10,$D607,0)</f>
        <v>786.05799999999999</v>
      </c>
      <c r="T607" s="194">
        <f ca="1">OFFSET('배치점수 계산기'!J$10,$D607,0)</f>
        <v>782.17</v>
      </c>
      <c r="U607" s="194">
        <f ca="1">OFFSET('배치점수 계산기'!K$10,$D607,0)</f>
        <v>778.58699999999999</v>
      </c>
      <c r="V607" s="194">
        <f ca="1">OFFSET('배치점수 계산기'!L$10,$D607,0)</f>
        <v>773.32399999999996</v>
      </c>
      <c r="W607" s="186" t="str">
        <f ca="1">OFFSET('배치점수 계산기'!M$10,$D607,0)</f>
        <v>표점/만점</v>
      </c>
      <c r="X607" s="184" t="str">
        <f ca="1">OFFSET('배치점수 계산기'!N$10,$D607,0)</f>
        <v>표점/만점</v>
      </c>
      <c r="Y607" s="188">
        <f ca="1">OFFSET(환산공식!FW$15,$F607,0)</f>
        <v>0.31</v>
      </c>
      <c r="Z607" s="20">
        <f ca="1">OFFSET(환산공식!FX$15,$F607,0)</f>
        <v>0.37</v>
      </c>
      <c r="AA607" s="179">
        <f ca="1">OFFSET(환산공식!FY$15,$F607,0)</f>
        <v>0.31</v>
      </c>
      <c r="AB607" s="3"/>
      <c r="AD607">
        <f t="shared" ca="1" si="19"/>
        <v>6</v>
      </c>
      <c r="AF607" s="3"/>
      <c r="AG607" s="3"/>
      <c r="AH607" s="3"/>
    </row>
    <row r="608" spans="1:34">
      <c r="A608" s="198"/>
      <c r="B608" s="198"/>
      <c r="C608" s="198" t="s">
        <v>2060</v>
      </c>
      <c r="D608" s="195">
        <v>1599</v>
      </c>
      <c r="E608" s="195">
        <v>190</v>
      </c>
      <c r="F608" s="195">
        <v>190</v>
      </c>
      <c r="G608" s="239">
        <v>601</v>
      </c>
      <c r="H608" s="197" t="s">
        <v>79</v>
      </c>
      <c r="I608" s="242" t="s">
        <v>8000</v>
      </c>
      <c r="J608" s="242" t="s">
        <v>13001</v>
      </c>
      <c r="K608" s="195" t="s">
        <v>70</v>
      </c>
      <c r="L608" s="20" t="str">
        <f ca="1">IF(OFFSET(환산공식!$ED$15,$F608,0)=1,"O","X")</f>
        <v>X</v>
      </c>
      <c r="M608" s="188">
        <f ca="1">IFERROR(OFFSET(환산공식!DJ$15,$F608,0),"")</f>
        <v>200</v>
      </c>
      <c r="N608" s="20" t="str">
        <f ca="1">IFERROR(CONCATENATE(ROUND(OFFSET(환산공식!DK$15,$F608,0),1),"%"),"")</f>
        <v>100%</v>
      </c>
      <c r="O608" s="20">
        <f ca="1">IFERROR(OFFSET(환산공식!DL$15,$F608,0),"")</f>
        <v>0</v>
      </c>
      <c r="P608" s="188" t="str">
        <f t="shared" ca="1" si="18"/>
        <v>3% 이하</v>
      </c>
      <c r="Q608" s="194">
        <f ca="1">IFERROR(ROUND(OFFSET(환산공식!$FG$15,$F608,0),3),"")</f>
        <v>0</v>
      </c>
      <c r="R608" s="194">
        <f ca="1">OFFSET('배치점수 계산기'!H$10,$D608,0)</f>
        <v>787.26300000000003</v>
      </c>
      <c r="S608" s="194">
        <f ca="1">OFFSET('배치점수 계산기'!I$10,$D608,0)</f>
        <v>784.75699999999995</v>
      </c>
      <c r="T608" s="194">
        <f ca="1">OFFSET('배치점수 계산기'!J$10,$D608,0)</f>
        <v>781.17399999999998</v>
      </c>
      <c r="U608" s="194">
        <f ca="1">OFFSET('배치점수 계산기'!K$10,$D608,0)</f>
        <v>777.82100000000003</v>
      </c>
      <c r="V608" s="194">
        <f ca="1">OFFSET('배치점수 계산기'!L$10,$D608,0)</f>
        <v>772.029</v>
      </c>
      <c r="W608" s="186" t="str">
        <f ca="1">OFFSET('배치점수 계산기'!M$10,$D608,0)</f>
        <v>표점/만점</v>
      </c>
      <c r="X608" s="184" t="str">
        <f ca="1">OFFSET('배치점수 계산기'!N$10,$D608,0)</f>
        <v>표점/만점</v>
      </c>
      <c r="Y608" s="188">
        <f ca="1">OFFSET(환산공식!FW$15,$F608,0)</f>
        <v>0.31</v>
      </c>
      <c r="Z608" s="20">
        <f ca="1">OFFSET(환산공식!FX$15,$F608,0)</f>
        <v>0.37</v>
      </c>
      <c r="AA608" s="179">
        <f ca="1">OFFSET(환산공식!FY$15,$F608,0)</f>
        <v>0.31</v>
      </c>
      <c r="AB608" s="3"/>
      <c r="AD608">
        <f t="shared" ca="1" si="19"/>
        <v>6</v>
      </c>
      <c r="AF608" s="3"/>
      <c r="AG608" s="3"/>
      <c r="AH608" s="3"/>
    </row>
    <row r="609" spans="1:34">
      <c r="A609" s="198"/>
      <c r="B609" s="198"/>
      <c r="C609" s="198" t="s">
        <v>2061</v>
      </c>
      <c r="D609" s="195">
        <v>1605</v>
      </c>
      <c r="E609" s="195">
        <v>189</v>
      </c>
      <c r="F609" s="195">
        <v>189</v>
      </c>
      <c r="G609" s="239">
        <v>602</v>
      </c>
      <c r="H609" s="197" t="s">
        <v>79</v>
      </c>
      <c r="I609" s="242" t="s">
        <v>8000</v>
      </c>
      <c r="J609" s="242" t="s">
        <v>489</v>
      </c>
      <c r="K609" s="195" t="s">
        <v>71</v>
      </c>
      <c r="L609" s="20" t="str">
        <f ca="1">IF(OFFSET(환산공식!$ED$15,$F609,0)=1,"O","X")</f>
        <v>X</v>
      </c>
      <c r="M609" s="188">
        <f ca="1">IFERROR(OFFSET(환산공식!DJ$15,$F609,0),"")</f>
        <v>200</v>
      </c>
      <c r="N609" s="20" t="str">
        <f ca="1">IFERROR(CONCATENATE(ROUND(OFFSET(환산공식!DK$15,$F609,0),1),"%"),"")</f>
        <v>100%</v>
      </c>
      <c r="O609" s="20">
        <f ca="1">IFERROR(OFFSET(환산공식!DL$15,$F609,0),"")</f>
        <v>0</v>
      </c>
      <c r="P609" s="188" t="str">
        <f t="shared" ca="1" si="18"/>
        <v>3% 이하</v>
      </c>
      <c r="Q609" s="194">
        <f ca="1">IFERROR(ROUND(OFFSET(환산공식!$FG$15,$F609,0),3),"")</f>
        <v>0</v>
      </c>
      <c r="R609" s="194">
        <f ca="1">OFFSET('배치점수 계산기'!H$10,$D609,0)</f>
        <v>835.5</v>
      </c>
      <c r="S609" s="194">
        <f ca="1">OFFSET('배치점수 계산기'!I$10,$D609,0)</f>
        <v>833.09500000000003</v>
      </c>
      <c r="T609" s="194">
        <f ca="1">OFFSET('배치점수 계산기'!J$10,$D609,0)</f>
        <v>828.36</v>
      </c>
      <c r="U609" s="194">
        <f ca="1">OFFSET('배치점수 계산기'!K$10,$D609,0)</f>
        <v>823.62699999999995</v>
      </c>
      <c r="V609" s="194">
        <f ca="1">OFFSET('배치점수 계산기'!L$10,$D609,0)</f>
        <v>818.04899999999998</v>
      </c>
      <c r="W609" s="186" t="str">
        <f ca="1">OFFSET('배치점수 계산기'!M$10,$D609,0)</f>
        <v>표점/만점</v>
      </c>
      <c r="X609" s="184" t="str">
        <f ca="1">OFFSET('배치점수 계산기'!N$10,$D609,0)</f>
        <v>표점/만점</v>
      </c>
      <c r="Y609" s="188">
        <f ca="1">OFFSET(환산공식!FW$15,$F609,0)</f>
        <v>0.38</v>
      </c>
      <c r="Z609" s="20">
        <f ca="1">OFFSET(환산공식!FX$15,$F609,0)</f>
        <v>0.31</v>
      </c>
      <c r="AA609" s="179">
        <f ca="1">OFFSET(환산공식!FY$15,$F609,0)</f>
        <v>0.31</v>
      </c>
      <c r="AB609" s="3"/>
      <c r="AD609">
        <f t="shared" ca="1" si="19"/>
        <v>6</v>
      </c>
      <c r="AF609" s="3"/>
      <c r="AG609" s="3"/>
      <c r="AH609" s="3"/>
    </row>
    <row r="610" spans="1:34">
      <c r="A610" s="198"/>
      <c r="B610" s="198"/>
      <c r="C610" s="198" t="s">
        <v>2062</v>
      </c>
      <c r="D610" s="195">
        <v>1606</v>
      </c>
      <c r="E610" s="195">
        <v>189</v>
      </c>
      <c r="F610" s="195">
        <v>189</v>
      </c>
      <c r="G610" s="239">
        <v>603</v>
      </c>
      <c r="H610" s="197" t="s">
        <v>79</v>
      </c>
      <c r="I610" s="242" t="s">
        <v>8000</v>
      </c>
      <c r="J610" s="242" t="s">
        <v>13372</v>
      </c>
      <c r="K610" s="195" t="s">
        <v>71</v>
      </c>
      <c r="L610" s="20" t="str">
        <f ca="1">IF(OFFSET(환산공식!$ED$15,$F610,0)=1,"O","X")</f>
        <v>X</v>
      </c>
      <c r="M610" s="188">
        <f ca="1">IFERROR(OFFSET(환산공식!DJ$15,$F610,0),"")</f>
        <v>200</v>
      </c>
      <c r="N610" s="20" t="str">
        <f ca="1">IFERROR(CONCATENATE(ROUND(OFFSET(환산공식!DK$15,$F610,0),1),"%"),"")</f>
        <v>100%</v>
      </c>
      <c r="O610" s="20">
        <f ca="1">IFERROR(OFFSET(환산공식!DL$15,$F610,0),"")</f>
        <v>0</v>
      </c>
      <c r="P610" s="188" t="str">
        <f t="shared" ca="1" si="18"/>
        <v>3% 이하</v>
      </c>
      <c r="Q610" s="194">
        <f ca="1">IFERROR(ROUND(OFFSET(환산공식!$FG$15,$F610,0),3),"")</f>
        <v>0</v>
      </c>
      <c r="R610" s="194">
        <f ca="1">OFFSET('배치점수 계산기'!H$10,$D610,0)</f>
        <v>823.99800000000005</v>
      </c>
      <c r="S610" s="194">
        <f ca="1">OFFSET('배치점수 계산기'!I$10,$D610,0)</f>
        <v>821.89099999999996</v>
      </c>
      <c r="T610" s="194">
        <f ca="1">OFFSET('배치점수 계산기'!J$10,$D610,0)</f>
        <v>817.68200000000002</v>
      </c>
      <c r="U610" s="194">
        <f ca="1">OFFSET('배치점수 계산기'!K$10,$D610,0)</f>
        <v>813.15300000000002</v>
      </c>
      <c r="V610" s="194">
        <f ca="1">OFFSET('배치점수 계산기'!L$10,$D610,0)</f>
        <v>807.07600000000002</v>
      </c>
      <c r="W610" s="186" t="str">
        <f ca="1">OFFSET('배치점수 계산기'!M$10,$D610,0)</f>
        <v>표점/만점</v>
      </c>
      <c r="X610" s="184" t="str">
        <f ca="1">OFFSET('배치점수 계산기'!N$10,$D610,0)</f>
        <v>표점/만점</v>
      </c>
      <c r="Y610" s="188">
        <f ca="1">OFFSET(환산공식!FW$15,$F610,0)</f>
        <v>0.38</v>
      </c>
      <c r="Z610" s="20">
        <f ca="1">OFFSET(환산공식!FX$15,$F610,0)</f>
        <v>0.31</v>
      </c>
      <c r="AA610" s="179">
        <f ca="1">OFFSET(환산공식!FY$15,$F610,0)</f>
        <v>0.31</v>
      </c>
      <c r="AB610" s="3"/>
      <c r="AD610">
        <f t="shared" ca="1" si="19"/>
        <v>6</v>
      </c>
      <c r="AF610" s="3"/>
      <c r="AG610" s="3"/>
      <c r="AH610" s="3"/>
    </row>
    <row r="611" spans="1:34">
      <c r="A611" s="198"/>
      <c r="B611" s="198"/>
      <c r="C611" s="198" t="s">
        <v>2063</v>
      </c>
      <c r="D611" s="195">
        <v>1607</v>
      </c>
      <c r="E611" s="195">
        <v>189</v>
      </c>
      <c r="F611" s="195">
        <v>189</v>
      </c>
      <c r="G611" s="239">
        <v>604</v>
      </c>
      <c r="H611" s="197" t="s">
        <v>79</v>
      </c>
      <c r="I611" s="242" t="s">
        <v>8000</v>
      </c>
      <c r="J611" s="242" t="s">
        <v>9774</v>
      </c>
      <c r="K611" s="195" t="s">
        <v>71</v>
      </c>
      <c r="L611" s="20" t="str">
        <f ca="1">IF(OFFSET(환산공식!$ED$15,$F611,0)=1,"O","X")</f>
        <v>X</v>
      </c>
      <c r="M611" s="188">
        <f ca="1">IFERROR(OFFSET(환산공식!DJ$15,$F611,0),"")</f>
        <v>200</v>
      </c>
      <c r="N611" s="20" t="str">
        <f ca="1">IFERROR(CONCATENATE(ROUND(OFFSET(환산공식!DK$15,$F611,0),1),"%"),"")</f>
        <v>100%</v>
      </c>
      <c r="O611" s="20">
        <f ca="1">IFERROR(OFFSET(환산공식!DL$15,$F611,0),"")</f>
        <v>0</v>
      </c>
      <c r="P611" s="188" t="str">
        <f t="shared" ca="1" si="18"/>
        <v>3% 이하</v>
      </c>
      <c r="Q611" s="194">
        <f ca="1">IFERROR(ROUND(OFFSET(환산공식!$FG$15,$F611,0),3),"")</f>
        <v>0</v>
      </c>
      <c r="R611" s="194">
        <f ca="1">OFFSET('배치점수 계산기'!H$10,$D611,0)</f>
        <v>817.255</v>
      </c>
      <c r="S611" s="194">
        <f ca="1">OFFSET('배치점수 계산기'!I$10,$D611,0)</f>
        <v>815.11</v>
      </c>
      <c r="T611" s="194">
        <f ca="1">OFFSET('배치점수 계산기'!J$10,$D611,0)</f>
        <v>810.61</v>
      </c>
      <c r="U611" s="194">
        <f ca="1">OFFSET('배치점수 계산기'!K$10,$D611,0)</f>
        <v>806.06100000000004</v>
      </c>
      <c r="V611" s="194">
        <f ca="1">OFFSET('배치점수 계산기'!L$10,$D611,0)</f>
        <v>800.93799999999999</v>
      </c>
      <c r="W611" s="186" t="str">
        <f ca="1">OFFSET('배치점수 계산기'!M$10,$D611,0)</f>
        <v>표점/만점</v>
      </c>
      <c r="X611" s="184" t="str">
        <f ca="1">OFFSET('배치점수 계산기'!N$10,$D611,0)</f>
        <v>표점/만점</v>
      </c>
      <c r="Y611" s="188">
        <f ca="1">OFFSET(환산공식!FW$15,$F611,0)</f>
        <v>0.38</v>
      </c>
      <c r="Z611" s="20">
        <f ca="1">OFFSET(환산공식!FX$15,$F611,0)</f>
        <v>0.31</v>
      </c>
      <c r="AA611" s="179">
        <f ca="1">OFFSET(환산공식!FY$15,$F611,0)</f>
        <v>0.31</v>
      </c>
      <c r="AB611" s="3"/>
      <c r="AD611">
        <f t="shared" ca="1" si="19"/>
        <v>6</v>
      </c>
      <c r="AF611" s="3"/>
      <c r="AG611" s="3"/>
      <c r="AH611" s="3"/>
    </row>
    <row r="612" spans="1:34">
      <c r="A612" s="198"/>
      <c r="B612" s="198"/>
      <c r="C612" s="198" t="s">
        <v>2064</v>
      </c>
      <c r="D612" s="195">
        <v>1608</v>
      </c>
      <c r="E612" s="195">
        <v>189</v>
      </c>
      <c r="F612" s="195">
        <v>189</v>
      </c>
      <c r="G612" s="239">
        <v>605</v>
      </c>
      <c r="H612" s="197" t="s">
        <v>79</v>
      </c>
      <c r="I612" s="242" t="s">
        <v>8000</v>
      </c>
      <c r="J612" s="242" t="s">
        <v>9633</v>
      </c>
      <c r="K612" s="195" t="s">
        <v>71</v>
      </c>
      <c r="L612" s="20" t="str">
        <f ca="1">IF(OFFSET(환산공식!$ED$15,$F612,0)=1,"O","X")</f>
        <v>X</v>
      </c>
      <c r="M612" s="188">
        <f ca="1">IFERROR(OFFSET(환산공식!DJ$15,$F612,0),"")</f>
        <v>200</v>
      </c>
      <c r="N612" s="20" t="str">
        <f ca="1">IFERROR(CONCATENATE(ROUND(OFFSET(환산공식!DK$15,$F612,0),1),"%"),"")</f>
        <v>100%</v>
      </c>
      <c r="O612" s="20">
        <f ca="1">IFERROR(OFFSET(환산공식!DL$15,$F612,0),"")</f>
        <v>0</v>
      </c>
      <c r="P612" s="188" t="str">
        <f t="shared" ca="1" si="18"/>
        <v>3% 이하</v>
      </c>
      <c r="Q612" s="194">
        <f ca="1">IFERROR(ROUND(OFFSET(환산공식!$FG$15,$F612,0),3),"")</f>
        <v>0</v>
      </c>
      <c r="R612" s="194">
        <f ca="1">OFFSET('배치점수 계산기'!H$10,$D612,0)</f>
        <v>812.97299999999996</v>
      </c>
      <c r="S612" s="194">
        <f ca="1">OFFSET('배치점수 계산기'!I$10,$D612,0)</f>
        <v>810.61</v>
      </c>
      <c r="T612" s="194">
        <f ca="1">OFFSET('배치점수 계산기'!J$10,$D612,0)</f>
        <v>806.40800000000002</v>
      </c>
      <c r="U612" s="194">
        <f ca="1">OFFSET('배치점수 계산기'!K$10,$D612,0)</f>
        <v>802.14400000000001</v>
      </c>
      <c r="V612" s="194">
        <f ca="1">OFFSET('배치점수 계산기'!L$10,$D612,0)</f>
        <v>797.34799999999996</v>
      </c>
      <c r="W612" s="186" t="str">
        <f ca="1">OFFSET('배치점수 계산기'!M$10,$D612,0)</f>
        <v>표점/만점</v>
      </c>
      <c r="X612" s="184" t="str">
        <f ca="1">OFFSET('배치점수 계산기'!N$10,$D612,0)</f>
        <v>표점/만점</v>
      </c>
      <c r="Y612" s="188">
        <f ca="1">OFFSET(환산공식!FW$15,$F612,0)</f>
        <v>0.38</v>
      </c>
      <c r="Z612" s="20">
        <f ca="1">OFFSET(환산공식!FX$15,$F612,0)</f>
        <v>0.31</v>
      </c>
      <c r="AA612" s="179">
        <f ca="1">OFFSET(환산공식!FY$15,$F612,0)</f>
        <v>0.31</v>
      </c>
      <c r="AB612" s="3"/>
      <c r="AD612">
        <f t="shared" ca="1" si="19"/>
        <v>6</v>
      </c>
      <c r="AF612" s="3"/>
      <c r="AG612" s="3"/>
      <c r="AH612" s="3"/>
    </row>
    <row r="613" spans="1:34">
      <c r="A613" s="198"/>
      <c r="B613" s="198"/>
      <c r="C613" s="198" t="s">
        <v>2065</v>
      </c>
      <c r="D613" s="195">
        <v>1609</v>
      </c>
      <c r="E613" s="195">
        <v>189</v>
      </c>
      <c r="F613" s="195">
        <v>189</v>
      </c>
      <c r="G613" s="239">
        <v>606</v>
      </c>
      <c r="H613" s="197" t="s">
        <v>79</v>
      </c>
      <c r="I613" s="242" t="s">
        <v>8000</v>
      </c>
      <c r="J613" s="242" t="s">
        <v>560</v>
      </c>
      <c r="K613" s="195" t="s">
        <v>71</v>
      </c>
      <c r="L613" s="20" t="str">
        <f ca="1">IF(OFFSET(환산공식!$ED$15,$F613,0)=1,"O","X")</f>
        <v>X</v>
      </c>
      <c r="M613" s="188">
        <f ca="1">IFERROR(OFFSET(환산공식!DJ$15,$F613,0),"")</f>
        <v>200</v>
      </c>
      <c r="N613" s="20" t="str">
        <f ca="1">IFERROR(CONCATENATE(ROUND(OFFSET(환산공식!DK$15,$F613,0),1),"%"),"")</f>
        <v>100%</v>
      </c>
      <c r="O613" s="20">
        <f ca="1">IFERROR(OFFSET(환산공식!DL$15,$F613,0),"")</f>
        <v>0</v>
      </c>
      <c r="P613" s="188" t="str">
        <f t="shared" ca="1" si="18"/>
        <v>3% 이하</v>
      </c>
      <c r="Q613" s="194">
        <f ca="1">IFERROR(ROUND(OFFSET(환산공식!$FG$15,$F613,0),3),"")</f>
        <v>0</v>
      </c>
      <c r="R613" s="194">
        <f ca="1">OFFSET('배치점수 계산기'!H$10,$D613,0)</f>
        <v>811.96799999999996</v>
      </c>
      <c r="S613" s="194">
        <f ca="1">OFFSET('배치점수 계산기'!I$10,$D613,0)</f>
        <v>809.86199999999997</v>
      </c>
      <c r="T613" s="194">
        <f ca="1">OFFSET('배치점수 계산기'!J$10,$D613,0)</f>
        <v>805.67</v>
      </c>
      <c r="U613" s="194">
        <f ca="1">OFFSET('배치점수 계산기'!K$10,$D613,0)</f>
        <v>801.51300000000003</v>
      </c>
      <c r="V613" s="194">
        <f ca="1">OFFSET('배치점수 계산기'!L$10,$D613,0)</f>
        <v>796.76</v>
      </c>
      <c r="W613" s="186" t="str">
        <f ca="1">OFFSET('배치점수 계산기'!M$10,$D613,0)</f>
        <v>표점/만점</v>
      </c>
      <c r="X613" s="184" t="str">
        <f ca="1">OFFSET('배치점수 계산기'!N$10,$D613,0)</f>
        <v>표점/만점</v>
      </c>
      <c r="Y613" s="188">
        <f ca="1">OFFSET(환산공식!FW$15,$F613,0)</f>
        <v>0.38</v>
      </c>
      <c r="Z613" s="20">
        <f ca="1">OFFSET(환산공식!FX$15,$F613,0)</f>
        <v>0.31</v>
      </c>
      <c r="AA613" s="179">
        <f ca="1">OFFSET(환산공식!FY$15,$F613,0)</f>
        <v>0.31</v>
      </c>
      <c r="AB613" s="3"/>
      <c r="AD613">
        <f t="shared" ca="1" si="19"/>
        <v>6</v>
      </c>
      <c r="AF613" s="3"/>
      <c r="AG613" s="3"/>
      <c r="AH613" s="3"/>
    </row>
    <row r="614" spans="1:34">
      <c r="A614" s="198"/>
      <c r="B614" s="198"/>
      <c r="C614" s="198" t="s">
        <v>2066</v>
      </c>
      <c r="D614" s="195">
        <v>1610</v>
      </c>
      <c r="E614" s="195">
        <v>189</v>
      </c>
      <c r="F614" s="195">
        <v>189</v>
      </c>
      <c r="G614" s="239">
        <v>607</v>
      </c>
      <c r="H614" s="197" t="s">
        <v>79</v>
      </c>
      <c r="I614" s="242" t="s">
        <v>8000</v>
      </c>
      <c r="J614" s="242" t="s">
        <v>13664</v>
      </c>
      <c r="K614" s="195" t="s">
        <v>71</v>
      </c>
      <c r="L614" s="20" t="str">
        <f ca="1">IF(OFFSET(환산공식!$ED$15,$F614,0)=1,"O","X")</f>
        <v>X</v>
      </c>
      <c r="M614" s="188">
        <f ca="1">IFERROR(OFFSET(환산공식!DJ$15,$F614,0),"")</f>
        <v>200</v>
      </c>
      <c r="N614" s="20" t="str">
        <f ca="1">IFERROR(CONCATENATE(ROUND(OFFSET(환산공식!DK$15,$F614,0),1),"%"),"")</f>
        <v>100%</v>
      </c>
      <c r="O614" s="20">
        <f ca="1">IFERROR(OFFSET(환산공식!DL$15,$F614,0),"")</f>
        <v>0</v>
      </c>
      <c r="P614" s="188" t="str">
        <f t="shared" ca="1" si="18"/>
        <v>3% 이하</v>
      </c>
      <c r="Q614" s="194">
        <f ca="1">IFERROR(ROUND(OFFSET(환산공식!$FG$15,$F614,0),3),"")</f>
        <v>0</v>
      </c>
      <c r="R614" s="194">
        <f ca="1">OFFSET('배치점수 계산기'!H$10,$D614,0)</f>
        <v>810.03899999999999</v>
      </c>
      <c r="S614" s="194">
        <f ca="1">OFFSET('배치점수 계산기'!I$10,$D614,0)</f>
        <v>808.08199999999999</v>
      </c>
      <c r="T614" s="194">
        <f ca="1">OFFSET('배치점수 계산기'!J$10,$D614,0)</f>
        <v>804.12099999999998</v>
      </c>
      <c r="U614" s="194">
        <f ca="1">OFFSET('배치점수 계산기'!K$10,$D614,0)</f>
        <v>800.10699999999997</v>
      </c>
      <c r="V614" s="194">
        <f ca="1">OFFSET('배치점수 계산기'!L$10,$D614,0)</f>
        <v>794.81399999999996</v>
      </c>
      <c r="W614" s="186" t="str">
        <f ca="1">OFFSET('배치점수 계산기'!M$10,$D614,0)</f>
        <v>표점/만점</v>
      </c>
      <c r="X614" s="184" t="str">
        <f ca="1">OFFSET('배치점수 계산기'!N$10,$D614,0)</f>
        <v>표점/만점</v>
      </c>
      <c r="Y614" s="188">
        <f ca="1">OFFSET(환산공식!FW$15,$F614,0)</f>
        <v>0.38</v>
      </c>
      <c r="Z614" s="20">
        <f ca="1">OFFSET(환산공식!FX$15,$F614,0)</f>
        <v>0.31</v>
      </c>
      <c r="AA614" s="179">
        <f ca="1">OFFSET(환산공식!FY$15,$F614,0)</f>
        <v>0.31</v>
      </c>
      <c r="AB614" s="3"/>
      <c r="AD614">
        <f t="shared" ca="1" si="19"/>
        <v>6</v>
      </c>
      <c r="AF614" s="3"/>
      <c r="AG614" s="3"/>
      <c r="AH614" s="3"/>
    </row>
    <row r="615" spans="1:34">
      <c r="A615" s="198"/>
      <c r="B615" s="198"/>
      <c r="C615" s="198" t="s">
        <v>2067</v>
      </c>
      <c r="D615" s="195">
        <v>1611</v>
      </c>
      <c r="E615" s="195">
        <v>189</v>
      </c>
      <c r="F615" s="195">
        <v>189</v>
      </c>
      <c r="G615" s="239">
        <v>608</v>
      </c>
      <c r="H615" s="197" t="s">
        <v>79</v>
      </c>
      <c r="I615" s="242" t="s">
        <v>8000</v>
      </c>
      <c r="J615" s="242" t="s">
        <v>13712</v>
      </c>
      <c r="K615" s="195" t="s">
        <v>71</v>
      </c>
      <c r="L615" s="20" t="str">
        <f ca="1">IF(OFFSET(환산공식!$ED$15,$F615,0)=1,"O","X")</f>
        <v>X</v>
      </c>
      <c r="M615" s="188">
        <f ca="1">IFERROR(OFFSET(환산공식!DJ$15,$F615,0),"")</f>
        <v>200</v>
      </c>
      <c r="N615" s="20" t="str">
        <f ca="1">IFERROR(CONCATENATE(ROUND(OFFSET(환산공식!DK$15,$F615,0),1),"%"),"")</f>
        <v>100%</v>
      </c>
      <c r="O615" s="20">
        <f ca="1">IFERROR(OFFSET(환산공식!DL$15,$F615,0),"")</f>
        <v>0</v>
      </c>
      <c r="P615" s="188" t="str">
        <f t="shared" ca="1" si="18"/>
        <v>3% 이하</v>
      </c>
      <c r="Q615" s="194">
        <f ca="1">IFERROR(ROUND(OFFSET(환산공식!$FG$15,$F615,0),3),"")</f>
        <v>0</v>
      </c>
      <c r="R615" s="194">
        <f ca="1">OFFSET('배치점수 계산기'!H$10,$D615,0)</f>
        <v>808.46600000000001</v>
      </c>
      <c r="S615" s="194">
        <f ca="1">OFFSET('배치점수 계산기'!I$10,$D615,0)</f>
        <v>806.40800000000002</v>
      </c>
      <c r="T615" s="194">
        <f ca="1">OFFSET('배치점수 계산기'!J$10,$D615,0)</f>
        <v>802.51800000000003</v>
      </c>
      <c r="U615" s="194">
        <f ca="1">OFFSET('배치점수 계산기'!K$10,$D615,0)</f>
        <v>798.73699999999997</v>
      </c>
      <c r="V615" s="194">
        <f ca="1">OFFSET('배치점수 계산기'!L$10,$D615,0)</f>
        <v>793.08500000000004</v>
      </c>
      <c r="W615" s="186" t="str">
        <f ca="1">OFFSET('배치점수 계산기'!M$10,$D615,0)</f>
        <v>표점/만점</v>
      </c>
      <c r="X615" s="184" t="str">
        <f ca="1">OFFSET('배치점수 계산기'!N$10,$D615,0)</f>
        <v>표점/만점</v>
      </c>
      <c r="Y615" s="188">
        <f ca="1">OFFSET(환산공식!FW$15,$F615,0)</f>
        <v>0.38</v>
      </c>
      <c r="Z615" s="20">
        <f ca="1">OFFSET(환산공식!FX$15,$F615,0)</f>
        <v>0.31</v>
      </c>
      <c r="AA615" s="179">
        <f ca="1">OFFSET(환산공식!FY$15,$F615,0)</f>
        <v>0.31</v>
      </c>
      <c r="AB615" s="3"/>
      <c r="AD615">
        <f t="shared" ca="1" si="19"/>
        <v>6</v>
      </c>
      <c r="AF615" s="3"/>
      <c r="AG615" s="3"/>
      <c r="AH615" s="3"/>
    </row>
    <row r="616" spans="1:34">
      <c r="A616" s="198"/>
      <c r="B616" s="198"/>
      <c r="C616" s="198" t="s">
        <v>2068</v>
      </c>
      <c r="D616" s="195">
        <v>1612</v>
      </c>
      <c r="E616" s="195">
        <v>189</v>
      </c>
      <c r="F616" s="195">
        <v>189</v>
      </c>
      <c r="G616" s="239">
        <v>609</v>
      </c>
      <c r="H616" s="197" t="s">
        <v>79</v>
      </c>
      <c r="I616" s="242" t="s">
        <v>8000</v>
      </c>
      <c r="J616" s="242" t="s">
        <v>8883</v>
      </c>
      <c r="K616" s="195" t="s">
        <v>71</v>
      </c>
      <c r="L616" s="20" t="str">
        <f ca="1">IF(OFFSET(환산공식!$ED$15,$F616,0)=1,"O","X")</f>
        <v>X</v>
      </c>
      <c r="M616" s="188">
        <f ca="1">IFERROR(OFFSET(환산공식!DJ$15,$F616,0),"")</f>
        <v>200</v>
      </c>
      <c r="N616" s="20" t="str">
        <f ca="1">IFERROR(CONCATENATE(ROUND(OFFSET(환산공식!DK$15,$F616,0),1),"%"),"")</f>
        <v>100%</v>
      </c>
      <c r="O616" s="20">
        <f ca="1">IFERROR(OFFSET(환산공식!DL$15,$F616,0),"")</f>
        <v>0</v>
      </c>
      <c r="P616" s="188" t="str">
        <f t="shared" ca="1" si="18"/>
        <v>3% 이하</v>
      </c>
      <c r="Q616" s="194">
        <f ca="1">IFERROR(ROUND(OFFSET(환산공식!$FG$15,$F616,0),3),"")</f>
        <v>0</v>
      </c>
      <c r="R616" s="194">
        <f ca="1">OFFSET('배치점수 계산기'!H$10,$D616,0)</f>
        <v>805.67</v>
      </c>
      <c r="S616" s="194">
        <f ca="1">OFFSET('배치점수 계산기'!I$10,$D616,0)</f>
        <v>803.73699999999997</v>
      </c>
      <c r="T616" s="194">
        <f ca="1">OFFSET('배치점수 계산기'!J$10,$D616,0)</f>
        <v>799.94</v>
      </c>
      <c r="U616" s="194">
        <f ca="1">OFFSET('배치점수 계산기'!K$10,$D616,0)</f>
        <v>796.00900000000001</v>
      </c>
      <c r="V616" s="194">
        <f ca="1">OFFSET('배치점수 계산기'!L$10,$D616,0)</f>
        <v>789.67100000000005</v>
      </c>
      <c r="W616" s="186" t="str">
        <f ca="1">OFFSET('배치점수 계산기'!M$10,$D616,0)</f>
        <v>표점/만점</v>
      </c>
      <c r="X616" s="184" t="str">
        <f ca="1">OFFSET('배치점수 계산기'!N$10,$D616,0)</f>
        <v>표점/만점</v>
      </c>
      <c r="Y616" s="188">
        <f ca="1">OFFSET(환산공식!FW$15,$F616,0)</f>
        <v>0.38</v>
      </c>
      <c r="Z616" s="20">
        <f ca="1">OFFSET(환산공식!FX$15,$F616,0)</f>
        <v>0.31</v>
      </c>
      <c r="AA616" s="179">
        <f ca="1">OFFSET(환산공식!FY$15,$F616,0)</f>
        <v>0.31</v>
      </c>
      <c r="AB616" s="3"/>
      <c r="AD616">
        <f t="shared" ca="1" si="19"/>
        <v>6</v>
      </c>
      <c r="AF616" s="3"/>
      <c r="AG616" s="3"/>
      <c r="AH616" s="3"/>
    </row>
    <row r="617" spans="1:34">
      <c r="A617" s="198"/>
      <c r="B617" s="198"/>
      <c r="C617" s="198" t="s">
        <v>2069</v>
      </c>
      <c r="D617" s="195">
        <v>1613</v>
      </c>
      <c r="E617" s="195">
        <v>189</v>
      </c>
      <c r="F617" s="195">
        <v>189</v>
      </c>
      <c r="G617" s="239">
        <v>610</v>
      </c>
      <c r="H617" s="197" t="s">
        <v>79</v>
      </c>
      <c r="I617" s="242" t="s">
        <v>8000</v>
      </c>
      <c r="J617" s="242" t="s">
        <v>8863</v>
      </c>
      <c r="K617" s="195" t="s">
        <v>71</v>
      </c>
      <c r="L617" s="20" t="str">
        <f ca="1">IF(OFFSET(환산공식!$ED$15,$F617,0)=1,"O","X")</f>
        <v>X</v>
      </c>
      <c r="M617" s="188">
        <f ca="1">IFERROR(OFFSET(환산공식!DJ$15,$F617,0),"")</f>
        <v>200</v>
      </c>
      <c r="N617" s="20" t="str">
        <f ca="1">IFERROR(CONCATENATE(ROUND(OFFSET(환산공식!DK$15,$F617,0),1),"%"),"")</f>
        <v>100%</v>
      </c>
      <c r="O617" s="20">
        <f ca="1">IFERROR(OFFSET(환산공식!DL$15,$F617,0),"")</f>
        <v>0</v>
      </c>
      <c r="P617" s="188" t="str">
        <f t="shared" ca="1" si="18"/>
        <v>3% 이하</v>
      </c>
      <c r="Q617" s="194">
        <f ca="1">IFERROR(ROUND(OFFSET(환산공식!$FG$15,$F617,0),3),"")</f>
        <v>0</v>
      </c>
      <c r="R617" s="194">
        <f ca="1">OFFSET('배치점수 계산기'!H$10,$D617,0)</f>
        <v>799.55600000000004</v>
      </c>
      <c r="S617" s="194">
        <f ca="1">OFFSET('배치점수 계산기'!I$10,$D617,0)</f>
        <v>797.77499999999998</v>
      </c>
      <c r="T617" s="194">
        <f ca="1">OFFSET('배치점수 계산기'!J$10,$D617,0)</f>
        <v>793.46199999999999</v>
      </c>
      <c r="U617" s="194">
        <f ca="1">OFFSET('배치점수 계산기'!K$10,$D617,0)</f>
        <v>788.09500000000003</v>
      </c>
      <c r="V617" s="194">
        <f ca="1">OFFSET('배치점수 계산기'!L$10,$D617,0)</f>
        <v>782.351</v>
      </c>
      <c r="W617" s="186" t="str">
        <f ca="1">OFFSET('배치점수 계산기'!M$10,$D617,0)</f>
        <v>표점/만점</v>
      </c>
      <c r="X617" s="184" t="str">
        <f ca="1">OFFSET('배치점수 계산기'!N$10,$D617,0)</f>
        <v>표점/만점</v>
      </c>
      <c r="Y617" s="188">
        <f ca="1">OFFSET(환산공식!FW$15,$F617,0)</f>
        <v>0.38</v>
      </c>
      <c r="Z617" s="20">
        <f ca="1">OFFSET(환산공식!FX$15,$F617,0)</f>
        <v>0.31</v>
      </c>
      <c r="AA617" s="179">
        <f ca="1">OFFSET(환산공식!FY$15,$F617,0)</f>
        <v>0.31</v>
      </c>
      <c r="AB617" s="3"/>
      <c r="AD617">
        <f t="shared" ca="1" si="19"/>
        <v>6</v>
      </c>
      <c r="AF617" s="3"/>
      <c r="AG617" s="3"/>
      <c r="AH617" s="3"/>
    </row>
    <row r="618" spans="1:34">
      <c r="A618" s="198"/>
      <c r="B618" s="198"/>
      <c r="C618" s="198" t="s">
        <v>2070</v>
      </c>
      <c r="D618" s="195">
        <v>1614</v>
      </c>
      <c r="E618" s="195">
        <v>189</v>
      </c>
      <c r="F618" s="195">
        <v>189</v>
      </c>
      <c r="G618" s="239">
        <v>611</v>
      </c>
      <c r="H618" s="197" t="s">
        <v>79</v>
      </c>
      <c r="I618" s="242" t="s">
        <v>8000</v>
      </c>
      <c r="J618" s="242" t="s">
        <v>13838</v>
      </c>
      <c r="K618" s="195" t="s">
        <v>71</v>
      </c>
      <c r="L618" s="20" t="str">
        <f ca="1">IF(OFFSET(환산공식!$ED$15,$F618,0)=1,"O","X")</f>
        <v>X</v>
      </c>
      <c r="M618" s="188">
        <f ca="1">IFERROR(OFFSET(환산공식!DJ$15,$F618,0),"")</f>
        <v>200</v>
      </c>
      <c r="N618" s="20" t="str">
        <f ca="1">IFERROR(CONCATENATE(ROUND(OFFSET(환산공식!DK$15,$F618,0),1),"%"),"")</f>
        <v>100%</v>
      </c>
      <c r="O618" s="20">
        <f ca="1">IFERROR(OFFSET(환산공식!DL$15,$F618,0),"")</f>
        <v>0</v>
      </c>
      <c r="P618" s="188" t="str">
        <f t="shared" ca="1" si="18"/>
        <v>3% 이하</v>
      </c>
      <c r="Q618" s="194">
        <f ca="1">IFERROR(ROUND(OFFSET(환산공식!$FG$15,$F618,0),3),"")</f>
        <v>0</v>
      </c>
      <c r="R618" s="194">
        <f ca="1">OFFSET('배치점수 계산기'!H$10,$D618,0)</f>
        <v>799.36800000000005</v>
      </c>
      <c r="S618" s="194">
        <f ca="1">OFFSET('배치점수 계산기'!I$10,$D618,0)</f>
        <v>797.59500000000003</v>
      </c>
      <c r="T618" s="194">
        <f ca="1">OFFSET('배치점수 계산기'!J$10,$D618,0)</f>
        <v>793.27300000000002</v>
      </c>
      <c r="U618" s="194">
        <f ca="1">OFFSET('배치점수 계산기'!K$10,$D618,0)</f>
        <v>787.90700000000004</v>
      </c>
      <c r="V618" s="194">
        <f ca="1">OFFSET('배치점수 계산기'!L$10,$D618,0)</f>
        <v>782.16399999999999</v>
      </c>
      <c r="W618" s="186" t="str">
        <f ca="1">OFFSET('배치점수 계산기'!M$10,$D618,0)</f>
        <v>표점/만점</v>
      </c>
      <c r="X618" s="184" t="str">
        <f ca="1">OFFSET('배치점수 계산기'!N$10,$D618,0)</f>
        <v>표점/만점</v>
      </c>
      <c r="Y618" s="188">
        <f ca="1">OFFSET(환산공식!FW$15,$F618,0)</f>
        <v>0.38</v>
      </c>
      <c r="Z618" s="20">
        <f ca="1">OFFSET(환산공식!FX$15,$F618,0)</f>
        <v>0.31</v>
      </c>
      <c r="AA618" s="179">
        <f ca="1">OFFSET(환산공식!FY$15,$F618,0)</f>
        <v>0.31</v>
      </c>
      <c r="AB618" s="3"/>
      <c r="AD618">
        <f t="shared" ca="1" si="19"/>
        <v>6</v>
      </c>
      <c r="AF618" s="3"/>
      <c r="AG618" s="3"/>
      <c r="AH618" s="3"/>
    </row>
    <row r="619" spans="1:34">
      <c r="A619" s="198"/>
      <c r="B619" s="198"/>
      <c r="C619" s="198" t="s">
        <v>2071</v>
      </c>
      <c r="D619" s="195">
        <v>1615</v>
      </c>
      <c r="E619" s="195">
        <v>189</v>
      </c>
      <c r="F619" s="195">
        <v>189</v>
      </c>
      <c r="G619" s="239">
        <v>612</v>
      </c>
      <c r="H619" s="197" t="s">
        <v>79</v>
      </c>
      <c r="I619" s="242" t="s">
        <v>8000</v>
      </c>
      <c r="J619" s="242" t="s">
        <v>561</v>
      </c>
      <c r="K619" s="195" t="s">
        <v>71</v>
      </c>
      <c r="L619" s="20" t="str">
        <f ca="1">IF(OFFSET(환산공식!$ED$15,$F619,0)=1,"O","X")</f>
        <v>X</v>
      </c>
      <c r="M619" s="188">
        <f ca="1">IFERROR(OFFSET(환산공식!DJ$15,$F619,0),"")</f>
        <v>200</v>
      </c>
      <c r="N619" s="20" t="str">
        <f ca="1">IFERROR(CONCATENATE(ROUND(OFFSET(환산공식!DK$15,$F619,0),1),"%"),"")</f>
        <v>100%</v>
      </c>
      <c r="O619" s="20">
        <f ca="1">IFERROR(OFFSET(환산공식!DL$15,$F619,0),"")</f>
        <v>0</v>
      </c>
      <c r="P619" s="188" t="str">
        <f t="shared" ca="1" si="18"/>
        <v>3% 이하</v>
      </c>
      <c r="Q619" s="194">
        <f ca="1">IFERROR(ROUND(OFFSET(환산공식!$FG$15,$F619,0),3),"")</f>
        <v>0</v>
      </c>
      <c r="R619" s="194">
        <f ca="1">OFFSET('배치점수 계산기'!H$10,$D619,0)</f>
        <v>797.14400000000001</v>
      </c>
      <c r="S619" s="194">
        <f ca="1">OFFSET('배치점수 계산기'!I$10,$D619,0)</f>
        <v>794.99400000000003</v>
      </c>
      <c r="T619" s="194">
        <f ca="1">OFFSET('배치점수 계산기'!J$10,$D619,0)</f>
        <v>790.68600000000004</v>
      </c>
      <c r="U619" s="194">
        <f ca="1">OFFSET('배치점수 계산기'!K$10,$D619,0)</f>
        <v>784.755</v>
      </c>
      <c r="V619" s="194">
        <f ca="1">OFFSET('배치점수 계산기'!L$10,$D619,0)</f>
        <v>778.93100000000004</v>
      </c>
      <c r="W619" s="186" t="str">
        <f ca="1">OFFSET('배치점수 계산기'!M$10,$D619,0)</f>
        <v>표점/만점</v>
      </c>
      <c r="X619" s="184" t="str">
        <f ca="1">OFFSET('배치점수 계산기'!N$10,$D619,0)</f>
        <v>표점/만점</v>
      </c>
      <c r="Y619" s="188">
        <f ca="1">OFFSET(환산공식!FW$15,$F619,0)</f>
        <v>0.38</v>
      </c>
      <c r="Z619" s="20">
        <f ca="1">OFFSET(환산공식!FX$15,$F619,0)</f>
        <v>0.31</v>
      </c>
      <c r="AA619" s="179">
        <f ca="1">OFFSET(환산공식!FY$15,$F619,0)</f>
        <v>0.31</v>
      </c>
      <c r="AB619" s="3"/>
      <c r="AD619">
        <f t="shared" ca="1" si="19"/>
        <v>6</v>
      </c>
      <c r="AF619" s="3"/>
      <c r="AG619" s="3"/>
      <c r="AH619" s="3"/>
    </row>
    <row r="620" spans="1:34">
      <c r="A620" s="198"/>
      <c r="B620" s="198"/>
      <c r="C620" s="198" t="s">
        <v>2072</v>
      </c>
      <c r="D620" s="195">
        <v>1616</v>
      </c>
      <c r="E620" s="195">
        <v>189</v>
      </c>
      <c r="F620" s="195">
        <v>189</v>
      </c>
      <c r="G620" s="239">
        <v>613</v>
      </c>
      <c r="H620" s="197" t="s">
        <v>79</v>
      </c>
      <c r="I620" s="242" t="s">
        <v>8000</v>
      </c>
      <c r="J620" s="242" t="s">
        <v>13971</v>
      </c>
      <c r="K620" s="195" t="s">
        <v>71</v>
      </c>
      <c r="L620" s="20" t="str">
        <f ca="1">IF(OFFSET(환산공식!$ED$15,$F620,0)=1,"O","X")</f>
        <v>X</v>
      </c>
      <c r="M620" s="188">
        <f ca="1">IFERROR(OFFSET(환산공식!DJ$15,$F620,0),"")</f>
        <v>200</v>
      </c>
      <c r="N620" s="20" t="str">
        <f ca="1">IFERROR(CONCATENATE(ROUND(OFFSET(환산공식!DK$15,$F620,0),1),"%"),"")</f>
        <v>100%</v>
      </c>
      <c r="O620" s="20">
        <f ca="1">IFERROR(OFFSET(환산공식!DL$15,$F620,0),"")</f>
        <v>0</v>
      </c>
      <c r="P620" s="188" t="str">
        <f t="shared" ca="1" si="18"/>
        <v>3% 이하</v>
      </c>
      <c r="Q620" s="194">
        <f ca="1">IFERROR(ROUND(OFFSET(환산공식!$FG$15,$F620,0),3),"")</f>
        <v>0</v>
      </c>
      <c r="R620" s="194">
        <f ca="1">OFFSET('배치점수 계산기'!H$10,$D620,0)</f>
        <v>790.03499999999997</v>
      </c>
      <c r="S620" s="194">
        <f ca="1">OFFSET('배치점수 계산기'!I$10,$D620,0)</f>
        <v>787.08</v>
      </c>
      <c r="T620" s="194">
        <f ca="1">OFFSET('배치점수 계산기'!J$10,$D620,0)</f>
        <v>783.00599999999997</v>
      </c>
      <c r="U620" s="194">
        <f ca="1">OFFSET('배치점수 계산기'!K$10,$D620,0)</f>
        <v>778.09299999999996</v>
      </c>
      <c r="V620" s="194">
        <f ca="1">OFFSET('배치점수 계산기'!L$10,$D620,0)</f>
        <v>773.20399999999995</v>
      </c>
      <c r="W620" s="186" t="str">
        <f ca="1">OFFSET('배치점수 계산기'!M$10,$D620,0)</f>
        <v>표점/만점</v>
      </c>
      <c r="X620" s="184" t="str">
        <f ca="1">OFFSET('배치점수 계산기'!N$10,$D620,0)</f>
        <v>표점/만점</v>
      </c>
      <c r="Y620" s="188">
        <f ca="1">OFFSET(환산공식!FW$15,$F620,0)</f>
        <v>0.38</v>
      </c>
      <c r="Z620" s="20">
        <f ca="1">OFFSET(환산공식!FX$15,$F620,0)</f>
        <v>0.31</v>
      </c>
      <c r="AA620" s="179">
        <f ca="1">OFFSET(환산공식!FY$15,$F620,0)</f>
        <v>0.31</v>
      </c>
      <c r="AB620" s="3"/>
      <c r="AD620">
        <f t="shared" ca="1" si="19"/>
        <v>6</v>
      </c>
      <c r="AF620" s="3"/>
      <c r="AG620" s="3"/>
      <c r="AH620" s="3"/>
    </row>
    <row r="621" spans="1:34">
      <c r="A621" s="198"/>
      <c r="B621" s="198"/>
      <c r="C621" s="198" t="s">
        <v>2073</v>
      </c>
      <c r="D621" s="195">
        <v>1617</v>
      </c>
      <c r="E621" s="195">
        <v>189</v>
      </c>
      <c r="F621" s="195">
        <v>189</v>
      </c>
      <c r="G621" s="239">
        <v>614</v>
      </c>
      <c r="H621" s="197" t="s">
        <v>79</v>
      </c>
      <c r="I621" s="242" t="s">
        <v>8000</v>
      </c>
      <c r="J621" s="242" t="s">
        <v>8618</v>
      </c>
      <c r="K621" s="195" t="s">
        <v>71</v>
      </c>
      <c r="L621" s="20" t="str">
        <f ca="1">IF(OFFSET(환산공식!$ED$15,$F621,0)=1,"O","X")</f>
        <v>X</v>
      </c>
      <c r="M621" s="188">
        <f ca="1">IFERROR(OFFSET(환산공식!DJ$15,$F621,0),"")</f>
        <v>200</v>
      </c>
      <c r="N621" s="20" t="str">
        <f ca="1">IFERROR(CONCATENATE(ROUND(OFFSET(환산공식!DK$15,$F621,0),1),"%"),"")</f>
        <v>100%</v>
      </c>
      <c r="O621" s="20">
        <f ca="1">IFERROR(OFFSET(환산공식!DL$15,$F621,0),"")</f>
        <v>0</v>
      </c>
      <c r="P621" s="188" t="str">
        <f t="shared" ca="1" si="18"/>
        <v>3% 이하</v>
      </c>
      <c r="Q621" s="194">
        <f ca="1">IFERROR(ROUND(OFFSET(환산공식!$FG$15,$F621,0),3),"")</f>
        <v>0</v>
      </c>
      <c r="R621" s="194">
        <f ca="1">OFFSET('배치점수 계산기'!H$10,$D621,0)</f>
        <v>788.09500000000003</v>
      </c>
      <c r="S621" s="194">
        <f ca="1">OFFSET('배치점수 계산기'!I$10,$D621,0)</f>
        <v>785.49400000000003</v>
      </c>
      <c r="T621" s="194">
        <f ca="1">OFFSET('배치점수 계산기'!J$10,$D621,0)</f>
        <v>781.6</v>
      </c>
      <c r="U621" s="194">
        <f ca="1">OFFSET('배치점수 계산기'!K$10,$D621,0)</f>
        <v>777.36199999999997</v>
      </c>
      <c r="V621" s="194">
        <f ca="1">OFFSET('배치점수 계산기'!L$10,$D621,0)</f>
        <v>771.45500000000004</v>
      </c>
      <c r="W621" s="186" t="str">
        <f ca="1">OFFSET('배치점수 계산기'!M$10,$D621,0)</f>
        <v>표점/만점</v>
      </c>
      <c r="X621" s="184" t="str">
        <f ca="1">OFFSET('배치점수 계산기'!N$10,$D621,0)</f>
        <v>표점/만점</v>
      </c>
      <c r="Y621" s="188">
        <f ca="1">OFFSET(환산공식!FW$15,$F621,0)</f>
        <v>0.38</v>
      </c>
      <c r="Z621" s="20">
        <f ca="1">OFFSET(환산공식!FX$15,$F621,0)</f>
        <v>0.31</v>
      </c>
      <c r="AA621" s="179">
        <f ca="1">OFFSET(환산공식!FY$15,$F621,0)</f>
        <v>0.31</v>
      </c>
      <c r="AB621" s="3"/>
      <c r="AD621">
        <f t="shared" ca="1" si="19"/>
        <v>6</v>
      </c>
      <c r="AF621" s="3"/>
      <c r="AG621" s="3"/>
      <c r="AH621" s="3"/>
    </row>
    <row r="622" spans="1:34">
      <c r="A622" s="198"/>
      <c r="B622" s="198"/>
      <c r="C622" s="198" t="s">
        <v>2074</v>
      </c>
      <c r="D622" s="195">
        <v>1618</v>
      </c>
      <c r="E622" s="195">
        <v>189</v>
      </c>
      <c r="F622" s="195">
        <v>189</v>
      </c>
      <c r="G622" s="239">
        <v>615</v>
      </c>
      <c r="H622" s="197" t="s">
        <v>79</v>
      </c>
      <c r="I622" s="242" t="s">
        <v>8000</v>
      </c>
      <c r="J622" s="242" t="s">
        <v>8753</v>
      </c>
      <c r="K622" s="195" t="s">
        <v>71</v>
      </c>
      <c r="L622" s="20" t="str">
        <f ca="1">IF(OFFSET(환산공식!$ED$15,$F622,0)=1,"O","X")</f>
        <v>X</v>
      </c>
      <c r="M622" s="188">
        <f ca="1">IFERROR(OFFSET(환산공식!DJ$15,$F622,0),"")</f>
        <v>200</v>
      </c>
      <c r="N622" s="20" t="str">
        <f ca="1">IFERROR(CONCATENATE(ROUND(OFFSET(환산공식!DK$15,$F622,0),1),"%"),"")</f>
        <v>100%</v>
      </c>
      <c r="O622" s="20">
        <f ca="1">IFERROR(OFFSET(환산공식!DL$15,$F622,0),"")</f>
        <v>0</v>
      </c>
      <c r="P622" s="188" t="str">
        <f t="shared" ca="1" si="18"/>
        <v>3% 이하</v>
      </c>
      <c r="Q622" s="194">
        <f ca="1">IFERROR(ROUND(OFFSET(환산공식!$FG$15,$F622,0),3),"")</f>
        <v>0</v>
      </c>
      <c r="R622" s="194">
        <f ca="1">OFFSET('배치점수 계산기'!H$10,$D622,0)</f>
        <v>787.90700000000004</v>
      </c>
      <c r="S622" s="194">
        <f ca="1">OFFSET('배치점수 계산기'!I$10,$D622,0)</f>
        <v>785.30600000000004</v>
      </c>
      <c r="T622" s="194">
        <f ca="1">OFFSET('배치점수 계산기'!J$10,$D622,0)</f>
        <v>781.6</v>
      </c>
      <c r="U622" s="194">
        <f ca="1">OFFSET('배치점수 계산기'!K$10,$D622,0)</f>
        <v>777.36199999999997</v>
      </c>
      <c r="V622" s="194">
        <f ca="1">OFFSET('배치점수 계산기'!L$10,$D622,0)</f>
        <v>771.27599999999995</v>
      </c>
      <c r="W622" s="186" t="str">
        <f ca="1">OFFSET('배치점수 계산기'!M$10,$D622,0)</f>
        <v>표점/만점</v>
      </c>
      <c r="X622" s="184" t="str">
        <f ca="1">OFFSET('배치점수 계산기'!N$10,$D622,0)</f>
        <v>표점/만점</v>
      </c>
      <c r="Y622" s="188">
        <f ca="1">OFFSET(환산공식!FW$15,$F622,0)</f>
        <v>0.38</v>
      </c>
      <c r="Z622" s="20">
        <f ca="1">OFFSET(환산공식!FX$15,$F622,0)</f>
        <v>0.31</v>
      </c>
      <c r="AA622" s="179">
        <f ca="1">OFFSET(환산공식!FY$15,$F622,0)</f>
        <v>0.31</v>
      </c>
      <c r="AB622" s="3"/>
      <c r="AD622">
        <f t="shared" ca="1" si="19"/>
        <v>6</v>
      </c>
      <c r="AF622" s="3"/>
      <c r="AG622" s="3"/>
      <c r="AH622" s="3"/>
    </row>
    <row r="623" spans="1:34">
      <c r="A623" s="198"/>
      <c r="B623" s="198"/>
      <c r="C623" s="198" t="s">
        <v>2075</v>
      </c>
      <c r="D623" s="195">
        <v>1621</v>
      </c>
      <c r="E623" s="195">
        <v>287</v>
      </c>
      <c r="F623" s="195">
        <v>287</v>
      </c>
      <c r="G623" s="239">
        <v>616</v>
      </c>
      <c r="H623" s="197" t="s">
        <v>79</v>
      </c>
      <c r="I623" s="242" t="s">
        <v>209</v>
      </c>
      <c r="J623" s="242" t="s">
        <v>10085</v>
      </c>
      <c r="K623" s="195" t="s">
        <v>70</v>
      </c>
      <c r="L623" s="20" t="str">
        <f ca="1">IF(OFFSET(환산공식!$ED$15,$F623,0)=1,"O","X")</f>
        <v>X</v>
      </c>
      <c r="M623" s="188">
        <f ca="1">IFERROR(OFFSET(환산공식!DJ$15,$F623,0),"")</f>
        <v>200</v>
      </c>
      <c r="N623" s="20" t="str">
        <f ca="1">IFERROR(CONCATENATE(ROUND(OFFSET(환산공식!DK$15,$F623,0),1),"%"),"")</f>
        <v>100%</v>
      </c>
      <c r="O623" s="20">
        <f ca="1">IFERROR(OFFSET(환산공식!DL$15,$F623,0),"")</f>
        <v>10</v>
      </c>
      <c r="P623" s="188" t="str">
        <f t="shared" ca="1" si="18"/>
        <v>3% 이하</v>
      </c>
      <c r="Q623" s="194">
        <f ca="1">IFERROR(ROUND(OFFSET(환산공식!$FG$15,$F623,0),3),"")</f>
        <v>0</v>
      </c>
      <c r="R623" s="194">
        <f ca="1">OFFSET('배치점수 계산기'!H$10,$D623,0)</f>
        <v>708.55</v>
      </c>
      <c r="S623" s="194">
        <f ca="1">OFFSET('배치점수 계산기'!I$10,$D623,0)</f>
        <v>706.447</v>
      </c>
      <c r="T623" s="194">
        <f ca="1">OFFSET('배치점수 계산기'!J$10,$D623,0)</f>
        <v>702.54</v>
      </c>
      <c r="U623" s="194">
        <f ca="1">OFFSET('배치점수 계산기'!K$10,$D623,0)</f>
        <v>698.54</v>
      </c>
      <c r="V623" s="194">
        <f ca="1">OFFSET('배치점수 계산기'!L$10,$D623,0)</f>
        <v>692.71400000000006</v>
      </c>
      <c r="W623" s="186" t="str">
        <f ca="1">OFFSET('배치점수 계산기'!M$10,$D623,0)</f>
        <v>표점</v>
      </c>
      <c r="X623" s="184" t="str">
        <f ca="1">OFFSET('배치점수 계산기'!N$10,$D623,0)</f>
        <v>표점</v>
      </c>
      <c r="Y623" s="188">
        <f ca="1">OFFSET(환산공식!FW$15,$F623,0)</f>
        <v>0.25</v>
      </c>
      <c r="Z623" s="20">
        <f ca="1">OFFSET(환산공식!FX$15,$F623,0)</f>
        <v>0.38</v>
      </c>
      <c r="AA623" s="179">
        <f ca="1">OFFSET(환산공식!FY$15,$F623,0)</f>
        <v>0.38</v>
      </c>
      <c r="AB623" s="3"/>
      <c r="AD623">
        <f t="shared" ca="1" si="19"/>
        <v>6</v>
      </c>
      <c r="AF623" s="3"/>
      <c r="AG623" s="3"/>
      <c r="AH623" s="3"/>
    </row>
    <row r="624" spans="1:34">
      <c r="A624" s="198"/>
      <c r="B624" s="198"/>
      <c r="C624" s="198" t="s">
        <v>2076</v>
      </c>
      <c r="D624" s="195">
        <v>1622</v>
      </c>
      <c r="E624" s="195">
        <v>287</v>
      </c>
      <c r="F624" s="195">
        <v>287</v>
      </c>
      <c r="G624" s="239">
        <v>617</v>
      </c>
      <c r="H624" s="197" t="s">
        <v>79</v>
      </c>
      <c r="I624" s="242" t="s">
        <v>209</v>
      </c>
      <c r="J624" s="242" t="s">
        <v>8168</v>
      </c>
      <c r="K624" s="195" t="s">
        <v>70</v>
      </c>
      <c r="L624" s="20" t="str">
        <f ca="1">IF(OFFSET(환산공식!$ED$15,$F624,0)=1,"O","X")</f>
        <v>X</v>
      </c>
      <c r="M624" s="188">
        <f ca="1">IFERROR(OFFSET(환산공식!DJ$15,$F624,0),"")</f>
        <v>200</v>
      </c>
      <c r="N624" s="20" t="str">
        <f ca="1">IFERROR(CONCATENATE(ROUND(OFFSET(환산공식!DK$15,$F624,0),1),"%"),"")</f>
        <v>100%</v>
      </c>
      <c r="O624" s="20">
        <f ca="1">IFERROR(OFFSET(환산공식!DL$15,$F624,0),"")</f>
        <v>10</v>
      </c>
      <c r="P624" s="188" t="str">
        <f t="shared" ca="1" si="18"/>
        <v>3% 이하</v>
      </c>
      <c r="Q624" s="194">
        <f ca="1">IFERROR(ROUND(OFFSET(환산공식!$FG$15,$F624,0),3),"")</f>
        <v>0</v>
      </c>
      <c r="R624" s="194">
        <f ca="1">OFFSET('배치점수 계산기'!H$10,$D624,0)</f>
        <v>701.94600000000003</v>
      </c>
      <c r="S624" s="194">
        <f ca="1">OFFSET('배치점수 계산기'!I$10,$D624,0)</f>
        <v>699.61599999999999</v>
      </c>
      <c r="T624" s="194">
        <f ca="1">OFFSET('배치점수 계산기'!J$10,$D624,0)</f>
        <v>695.34400000000005</v>
      </c>
      <c r="U624" s="194">
        <f ca="1">OFFSET('배치점수 계산기'!K$10,$D624,0)</f>
        <v>692.22</v>
      </c>
      <c r="V624" s="194">
        <f ca="1">OFFSET('배치점수 계산기'!L$10,$D624,0)</f>
        <v>687.97</v>
      </c>
      <c r="W624" s="186" t="str">
        <f ca="1">OFFSET('배치점수 계산기'!M$10,$D624,0)</f>
        <v>표점</v>
      </c>
      <c r="X624" s="184" t="str">
        <f ca="1">OFFSET('배치점수 계산기'!N$10,$D624,0)</f>
        <v>표점</v>
      </c>
      <c r="Y624" s="188">
        <f ca="1">OFFSET(환산공식!FW$15,$F624,0)</f>
        <v>0.25</v>
      </c>
      <c r="Z624" s="20">
        <f ca="1">OFFSET(환산공식!FX$15,$F624,0)</f>
        <v>0.38</v>
      </c>
      <c r="AA624" s="179">
        <f ca="1">OFFSET(환산공식!FY$15,$F624,0)</f>
        <v>0.38</v>
      </c>
      <c r="AB624" s="3"/>
      <c r="AD624">
        <f t="shared" ca="1" si="19"/>
        <v>6</v>
      </c>
      <c r="AF624" s="3"/>
      <c r="AG624" s="3"/>
      <c r="AH624" s="3"/>
    </row>
    <row r="625" spans="1:34">
      <c r="A625" s="198"/>
      <c r="B625" s="198"/>
      <c r="C625" s="198" t="s">
        <v>2077</v>
      </c>
      <c r="D625" s="195">
        <v>1623</v>
      </c>
      <c r="E625" s="195">
        <v>287</v>
      </c>
      <c r="F625" s="195">
        <v>287</v>
      </c>
      <c r="G625" s="239">
        <v>618</v>
      </c>
      <c r="H625" s="197" t="s">
        <v>79</v>
      </c>
      <c r="I625" s="242" t="s">
        <v>209</v>
      </c>
      <c r="J625" s="242" t="s">
        <v>8538</v>
      </c>
      <c r="K625" s="195" t="s">
        <v>70</v>
      </c>
      <c r="L625" s="20" t="str">
        <f ca="1">IF(OFFSET(환산공식!$ED$15,$F625,0)=1,"O","X")</f>
        <v>X</v>
      </c>
      <c r="M625" s="188">
        <f ca="1">IFERROR(OFFSET(환산공식!DJ$15,$F625,0),"")</f>
        <v>200</v>
      </c>
      <c r="N625" s="20" t="str">
        <f ca="1">IFERROR(CONCATENATE(ROUND(OFFSET(환산공식!DK$15,$F625,0),1),"%"),"")</f>
        <v>100%</v>
      </c>
      <c r="O625" s="20">
        <f ca="1">IFERROR(OFFSET(환산공식!DL$15,$F625,0),"")</f>
        <v>10</v>
      </c>
      <c r="P625" s="188" t="str">
        <f t="shared" ca="1" si="18"/>
        <v>3% 이하</v>
      </c>
      <c r="Q625" s="194">
        <f ca="1">IFERROR(ROUND(OFFSET(환산공식!$FG$15,$F625,0),3),"")</f>
        <v>0</v>
      </c>
      <c r="R625" s="194">
        <f ca="1">OFFSET('배치점수 계산기'!H$10,$D625,0)</f>
        <v>701.94600000000003</v>
      </c>
      <c r="S625" s="194">
        <f ca="1">OFFSET('배치점수 계산기'!I$10,$D625,0)</f>
        <v>699.61599999999999</v>
      </c>
      <c r="T625" s="194">
        <f ca="1">OFFSET('배치점수 계산기'!J$10,$D625,0)</f>
        <v>695.34400000000005</v>
      </c>
      <c r="U625" s="194">
        <f ca="1">OFFSET('배치점수 계산기'!K$10,$D625,0)</f>
        <v>692.22</v>
      </c>
      <c r="V625" s="194">
        <f ca="1">OFFSET('배치점수 계산기'!L$10,$D625,0)</f>
        <v>687.97</v>
      </c>
      <c r="W625" s="186" t="str">
        <f ca="1">OFFSET('배치점수 계산기'!M$10,$D625,0)</f>
        <v>표점</v>
      </c>
      <c r="X625" s="184" t="str">
        <f ca="1">OFFSET('배치점수 계산기'!N$10,$D625,0)</f>
        <v>표점</v>
      </c>
      <c r="Y625" s="188">
        <f ca="1">OFFSET(환산공식!FW$15,$F625,0)</f>
        <v>0.25</v>
      </c>
      <c r="Z625" s="20">
        <f ca="1">OFFSET(환산공식!FX$15,$F625,0)</f>
        <v>0.38</v>
      </c>
      <c r="AA625" s="179">
        <f ca="1">OFFSET(환산공식!FY$15,$F625,0)</f>
        <v>0.38</v>
      </c>
      <c r="AB625" s="3"/>
      <c r="AD625">
        <f t="shared" ca="1" si="19"/>
        <v>6</v>
      </c>
      <c r="AF625" s="3"/>
      <c r="AG625" s="3"/>
      <c r="AH625" s="3"/>
    </row>
    <row r="626" spans="1:34">
      <c r="A626" s="198"/>
      <c r="B626" s="198"/>
      <c r="C626" s="198" t="s">
        <v>2078</v>
      </c>
      <c r="D626" s="195">
        <v>1624</v>
      </c>
      <c r="E626" s="195">
        <v>287</v>
      </c>
      <c r="F626" s="195">
        <v>287</v>
      </c>
      <c r="G626" s="239">
        <v>619</v>
      </c>
      <c r="H626" s="197" t="s">
        <v>79</v>
      </c>
      <c r="I626" s="242" t="s">
        <v>209</v>
      </c>
      <c r="J626" s="242" t="s">
        <v>8056</v>
      </c>
      <c r="K626" s="195" t="s">
        <v>70</v>
      </c>
      <c r="L626" s="20" t="str">
        <f ca="1">IF(OFFSET(환산공식!$ED$15,$F626,0)=1,"O","X")</f>
        <v>X</v>
      </c>
      <c r="M626" s="188">
        <f ca="1">IFERROR(OFFSET(환산공식!DJ$15,$F626,0),"")</f>
        <v>200</v>
      </c>
      <c r="N626" s="20" t="str">
        <f ca="1">IFERROR(CONCATENATE(ROUND(OFFSET(환산공식!DK$15,$F626,0),1),"%"),"")</f>
        <v>100%</v>
      </c>
      <c r="O626" s="20">
        <f ca="1">IFERROR(OFFSET(환산공식!DL$15,$F626,0),"")</f>
        <v>10</v>
      </c>
      <c r="P626" s="188" t="str">
        <f t="shared" ca="1" si="18"/>
        <v>3% 이하</v>
      </c>
      <c r="Q626" s="194">
        <f ca="1">IFERROR(ROUND(OFFSET(환산공식!$FG$15,$F626,0),3),"")</f>
        <v>0</v>
      </c>
      <c r="R626" s="194">
        <f ca="1">OFFSET('배치점수 계산기'!H$10,$D626,0)</f>
        <v>697.23</v>
      </c>
      <c r="S626" s="194">
        <f ca="1">OFFSET('배치점수 계산기'!I$10,$D626,0)</f>
        <v>694.5</v>
      </c>
      <c r="T626" s="194">
        <f ca="1">OFFSET('배치점수 계산기'!J$10,$D626,0)</f>
        <v>691.87</v>
      </c>
      <c r="U626" s="194">
        <f ca="1">OFFSET('배치점수 계산기'!K$10,$D626,0)</f>
        <v>688.88</v>
      </c>
      <c r="V626" s="194">
        <f ca="1">OFFSET('배치점수 계산기'!L$10,$D626,0)</f>
        <v>685.10599999999999</v>
      </c>
      <c r="W626" s="186" t="str">
        <f ca="1">OFFSET('배치점수 계산기'!M$10,$D626,0)</f>
        <v>표점</v>
      </c>
      <c r="X626" s="184" t="str">
        <f ca="1">OFFSET('배치점수 계산기'!N$10,$D626,0)</f>
        <v>표점</v>
      </c>
      <c r="Y626" s="188">
        <f ca="1">OFFSET(환산공식!FW$15,$F626,0)</f>
        <v>0.25</v>
      </c>
      <c r="Z626" s="20">
        <f ca="1">OFFSET(환산공식!FX$15,$F626,0)</f>
        <v>0.38</v>
      </c>
      <c r="AA626" s="179">
        <f ca="1">OFFSET(환산공식!FY$15,$F626,0)</f>
        <v>0.38</v>
      </c>
      <c r="AB626" s="3"/>
      <c r="AD626">
        <f t="shared" ca="1" si="19"/>
        <v>6</v>
      </c>
      <c r="AF626" s="3"/>
      <c r="AG626" s="3"/>
      <c r="AH626" s="3"/>
    </row>
    <row r="627" spans="1:34">
      <c r="A627" s="198"/>
      <c r="B627" s="198"/>
      <c r="C627" s="198" t="s">
        <v>2079</v>
      </c>
      <c r="D627" s="195">
        <v>1625</v>
      </c>
      <c r="E627" s="195">
        <v>287</v>
      </c>
      <c r="F627" s="195">
        <v>287</v>
      </c>
      <c r="G627" s="239">
        <v>620</v>
      </c>
      <c r="H627" s="197" t="s">
        <v>79</v>
      </c>
      <c r="I627" s="242" t="s">
        <v>209</v>
      </c>
      <c r="J627" s="242" t="s">
        <v>10769</v>
      </c>
      <c r="K627" s="195" t="s">
        <v>70</v>
      </c>
      <c r="L627" s="20" t="str">
        <f ca="1">IF(OFFSET(환산공식!$ED$15,$F627,0)=1,"O","X")</f>
        <v>X</v>
      </c>
      <c r="M627" s="188">
        <f ca="1">IFERROR(OFFSET(환산공식!DJ$15,$F627,0),"")</f>
        <v>200</v>
      </c>
      <c r="N627" s="20" t="str">
        <f ca="1">IFERROR(CONCATENATE(ROUND(OFFSET(환산공식!DK$15,$F627,0),1),"%"),"")</f>
        <v>100%</v>
      </c>
      <c r="O627" s="20">
        <f ca="1">IFERROR(OFFSET(환산공식!DL$15,$F627,0),"")</f>
        <v>10</v>
      </c>
      <c r="P627" s="188" t="str">
        <f t="shared" ca="1" si="18"/>
        <v>3% 이하</v>
      </c>
      <c r="Q627" s="194">
        <f ca="1">IFERROR(ROUND(OFFSET(환산공식!$FG$15,$F627,0),3),"")</f>
        <v>0</v>
      </c>
      <c r="R627" s="194">
        <f ca="1">OFFSET('배치점수 계산기'!H$10,$D627,0)</f>
        <v>693.64</v>
      </c>
      <c r="S627" s="194">
        <f ca="1">OFFSET('배치점수 계산기'!I$10,$D627,0)</f>
        <v>692.10400000000004</v>
      </c>
      <c r="T627" s="194">
        <f ca="1">OFFSET('배치점수 계산기'!J$10,$D627,0)</f>
        <v>689.28</v>
      </c>
      <c r="U627" s="194">
        <f ca="1">OFFSET('배치점수 계산기'!K$10,$D627,0)</f>
        <v>686.91</v>
      </c>
      <c r="V627" s="194">
        <f ca="1">OFFSET('배치점수 계산기'!L$10,$D627,0)</f>
        <v>683.08600000000001</v>
      </c>
      <c r="W627" s="186" t="str">
        <f ca="1">OFFSET('배치점수 계산기'!M$10,$D627,0)</f>
        <v>표점</v>
      </c>
      <c r="X627" s="184" t="str">
        <f ca="1">OFFSET('배치점수 계산기'!N$10,$D627,0)</f>
        <v>표점</v>
      </c>
      <c r="Y627" s="188">
        <f ca="1">OFFSET(환산공식!FW$15,$F627,0)</f>
        <v>0.25</v>
      </c>
      <c r="Z627" s="20">
        <f ca="1">OFFSET(환산공식!FX$15,$F627,0)</f>
        <v>0.38</v>
      </c>
      <c r="AA627" s="179">
        <f ca="1">OFFSET(환산공식!FY$15,$F627,0)</f>
        <v>0.38</v>
      </c>
      <c r="AB627" s="3"/>
      <c r="AD627">
        <f t="shared" ca="1" si="19"/>
        <v>6</v>
      </c>
      <c r="AF627" s="3"/>
      <c r="AG627" s="3"/>
      <c r="AH627" s="3"/>
    </row>
    <row r="628" spans="1:34">
      <c r="A628" s="198"/>
      <c r="B628" s="198"/>
      <c r="C628" s="198" t="s">
        <v>2080</v>
      </c>
      <c r="D628" s="195">
        <v>1626</v>
      </c>
      <c r="E628" s="195">
        <v>287</v>
      </c>
      <c r="F628" s="195">
        <v>287</v>
      </c>
      <c r="G628" s="239">
        <v>621</v>
      </c>
      <c r="H628" s="197" t="s">
        <v>79</v>
      </c>
      <c r="I628" s="242" t="s">
        <v>209</v>
      </c>
      <c r="J628" s="242" t="s">
        <v>8080</v>
      </c>
      <c r="K628" s="195" t="s">
        <v>70</v>
      </c>
      <c r="L628" s="20" t="str">
        <f ca="1">IF(OFFSET(환산공식!$ED$15,$F628,0)=1,"O","X")</f>
        <v>X</v>
      </c>
      <c r="M628" s="188">
        <f ca="1">IFERROR(OFFSET(환산공식!DJ$15,$F628,0),"")</f>
        <v>200</v>
      </c>
      <c r="N628" s="20" t="str">
        <f ca="1">IFERROR(CONCATENATE(ROUND(OFFSET(환산공식!DK$15,$F628,0),1),"%"),"")</f>
        <v>100%</v>
      </c>
      <c r="O628" s="20">
        <f ca="1">IFERROR(OFFSET(환산공식!DL$15,$F628,0),"")</f>
        <v>10</v>
      </c>
      <c r="P628" s="188" t="str">
        <f t="shared" ca="1" si="18"/>
        <v>3% 이하</v>
      </c>
      <c r="Q628" s="194">
        <f ca="1">IFERROR(ROUND(OFFSET(환산공식!$FG$15,$F628,0),3),"")</f>
        <v>0</v>
      </c>
      <c r="R628" s="194">
        <f ca="1">OFFSET('배치점수 계산기'!H$10,$D628,0)</f>
        <v>686.91</v>
      </c>
      <c r="S628" s="194">
        <f ca="1">OFFSET('배치점수 계산기'!I$10,$D628,0)</f>
        <v>685.49</v>
      </c>
      <c r="T628" s="194">
        <f ca="1">OFFSET('배치점수 계산기'!J$10,$D628,0)</f>
        <v>683.08600000000001</v>
      </c>
      <c r="U628" s="194">
        <f ca="1">OFFSET('배치점수 계산기'!K$10,$D628,0)</f>
        <v>680.50599999999997</v>
      </c>
      <c r="V628" s="194">
        <f ca="1">OFFSET('배치점수 계산기'!L$10,$D628,0)</f>
        <v>676.66600000000005</v>
      </c>
      <c r="W628" s="186" t="str">
        <f ca="1">OFFSET('배치점수 계산기'!M$10,$D628,0)</f>
        <v>표점</v>
      </c>
      <c r="X628" s="184" t="str">
        <f ca="1">OFFSET('배치점수 계산기'!N$10,$D628,0)</f>
        <v>표점</v>
      </c>
      <c r="Y628" s="188">
        <f ca="1">OFFSET(환산공식!FW$15,$F628,0)</f>
        <v>0.25</v>
      </c>
      <c r="Z628" s="20">
        <f ca="1">OFFSET(환산공식!FX$15,$F628,0)</f>
        <v>0.38</v>
      </c>
      <c r="AA628" s="179">
        <f ca="1">OFFSET(환산공식!FY$15,$F628,0)</f>
        <v>0.38</v>
      </c>
      <c r="AB628" s="3"/>
      <c r="AD628">
        <f t="shared" ca="1" si="19"/>
        <v>6</v>
      </c>
      <c r="AF628" s="3"/>
      <c r="AG628" s="3"/>
      <c r="AH628" s="3"/>
    </row>
    <row r="629" spans="1:34">
      <c r="A629" s="198"/>
      <c r="B629" s="198"/>
      <c r="C629" s="198" t="s">
        <v>2081</v>
      </c>
      <c r="D629" s="195">
        <v>1627</v>
      </c>
      <c r="E629" s="195">
        <v>287</v>
      </c>
      <c r="F629" s="195">
        <v>287</v>
      </c>
      <c r="G629" s="239">
        <v>622</v>
      </c>
      <c r="H629" s="197" t="s">
        <v>79</v>
      </c>
      <c r="I629" s="242" t="s">
        <v>209</v>
      </c>
      <c r="J629" s="242" t="s">
        <v>559</v>
      </c>
      <c r="K629" s="195" t="s">
        <v>70</v>
      </c>
      <c r="L629" s="20" t="str">
        <f ca="1">IF(OFFSET(환산공식!$ED$15,$F629,0)=1,"O","X")</f>
        <v>X</v>
      </c>
      <c r="M629" s="188">
        <f ca="1">IFERROR(OFFSET(환산공식!DJ$15,$F629,0),"")</f>
        <v>200</v>
      </c>
      <c r="N629" s="20" t="str">
        <f ca="1">IFERROR(CONCATENATE(ROUND(OFFSET(환산공식!DK$15,$F629,0),1),"%"),"")</f>
        <v>100%</v>
      </c>
      <c r="O629" s="20">
        <f ca="1">IFERROR(OFFSET(환산공식!DL$15,$F629,0),"")</f>
        <v>10</v>
      </c>
      <c r="P629" s="188" t="str">
        <f t="shared" ca="1" si="18"/>
        <v>3% 이하</v>
      </c>
      <c r="Q629" s="194">
        <f ca="1">IFERROR(ROUND(OFFSET(환산공식!$FG$15,$F629,0),3),"")</f>
        <v>0</v>
      </c>
      <c r="R629" s="194">
        <f ca="1">OFFSET('배치점수 계산기'!H$10,$D629,0)</f>
        <v>685.49</v>
      </c>
      <c r="S629" s="194">
        <f ca="1">OFFSET('배치점수 계산기'!I$10,$D629,0)</f>
        <v>683.87</v>
      </c>
      <c r="T629" s="194">
        <f ca="1">OFFSET('배치점수 계산기'!J$10,$D629,0)</f>
        <v>681.08399999999995</v>
      </c>
      <c r="U629" s="194">
        <f ca="1">OFFSET('배치점수 계산기'!K$10,$D629,0)</f>
        <v>678.62</v>
      </c>
      <c r="V629" s="194">
        <f ca="1">OFFSET('배치점수 계산기'!L$10,$D629,0)</f>
        <v>674.89</v>
      </c>
      <c r="W629" s="186" t="str">
        <f ca="1">OFFSET('배치점수 계산기'!M$10,$D629,0)</f>
        <v>표점</v>
      </c>
      <c r="X629" s="184" t="str">
        <f ca="1">OFFSET('배치점수 계산기'!N$10,$D629,0)</f>
        <v>표점</v>
      </c>
      <c r="Y629" s="188">
        <f ca="1">OFFSET(환산공식!FW$15,$F629,0)</f>
        <v>0.25</v>
      </c>
      <c r="Z629" s="20">
        <f ca="1">OFFSET(환산공식!FX$15,$F629,0)</f>
        <v>0.38</v>
      </c>
      <c r="AA629" s="179">
        <f ca="1">OFFSET(환산공식!FY$15,$F629,0)</f>
        <v>0.38</v>
      </c>
      <c r="AB629" s="3"/>
      <c r="AD629">
        <f t="shared" ca="1" si="19"/>
        <v>6</v>
      </c>
      <c r="AF629" s="3"/>
      <c r="AG629" s="3"/>
      <c r="AH629" s="3"/>
    </row>
    <row r="630" spans="1:34">
      <c r="A630" s="198"/>
      <c r="B630" s="198"/>
      <c r="C630" s="198" t="s">
        <v>2082</v>
      </c>
      <c r="D630" s="195">
        <v>1628</v>
      </c>
      <c r="E630" s="195">
        <v>286</v>
      </c>
      <c r="F630" s="195">
        <v>286</v>
      </c>
      <c r="G630" s="239">
        <v>623</v>
      </c>
      <c r="H630" s="197" t="s">
        <v>79</v>
      </c>
      <c r="I630" s="242" t="s">
        <v>209</v>
      </c>
      <c r="J630" s="242" t="s">
        <v>555</v>
      </c>
      <c r="K630" s="195" t="s">
        <v>70</v>
      </c>
      <c r="L630" s="20" t="str">
        <f ca="1">IF(OFFSET(환산공식!$ED$15,$F630,0)=1,"O","X")</f>
        <v>X</v>
      </c>
      <c r="M630" s="188">
        <f ca="1">IFERROR(OFFSET(환산공식!DJ$15,$F630,0),"")</f>
        <v>200</v>
      </c>
      <c r="N630" s="20" t="str">
        <f ca="1">IFERROR(CONCATENATE(ROUND(OFFSET(환산공식!DK$15,$F630,0),1),"%"),"")</f>
        <v>100%</v>
      </c>
      <c r="O630" s="20">
        <f ca="1">IFERROR(OFFSET(환산공식!DL$15,$F630,0),"")</f>
        <v>10</v>
      </c>
      <c r="P630" s="188" t="str">
        <f t="shared" ca="1" si="18"/>
        <v>3% 이하</v>
      </c>
      <c r="Q630" s="194">
        <f ca="1">IFERROR(ROUND(OFFSET(환산공식!$FG$15,$F630,0),3),"")</f>
        <v>0</v>
      </c>
      <c r="R630" s="194">
        <f ca="1">OFFSET('배치점수 계산기'!H$10,$D630,0)</f>
        <v>684.53</v>
      </c>
      <c r="S630" s="194">
        <f ca="1">OFFSET('배치점수 계산기'!I$10,$D630,0)</f>
        <v>683.08600000000001</v>
      </c>
      <c r="T630" s="194">
        <f ca="1">OFFSET('배치점수 계산기'!J$10,$D630,0)</f>
        <v>680.37400000000002</v>
      </c>
      <c r="U630" s="194">
        <f ca="1">OFFSET('배치점수 계산기'!K$10,$D630,0)</f>
        <v>677.82</v>
      </c>
      <c r="V630" s="194">
        <f ca="1">OFFSET('배치점수 계산기'!L$10,$D630,0)</f>
        <v>673.98</v>
      </c>
      <c r="W630" s="186" t="str">
        <f ca="1">OFFSET('배치점수 계산기'!M$10,$D630,0)</f>
        <v>표점</v>
      </c>
      <c r="X630" s="184" t="str">
        <f ca="1">OFFSET('배치점수 계산기'!N$10,$D630,0)</f>
        <v>표점</v>
      </c>
      <c r="Y630" s="188">
        <f ca="1">OFFSET(환산공식!FW$15,$F630,0)</f>
        <v>0.25</v>
      </c>
      <c r="Z630" s="20">
        <f ca="1">OFFSET(환산공식!FX$15,$F630,0)</f>
        <v>0.38</v>
      </c>
      <c r="AA630" s="179">
        <f ca="1">OFFSET(환산공식!FY$15,$F630,0)</f>
        <v>0.38</v>
      </c>
      <c r="AB630" s="3"/>
      <c r="AD630">
        <f t="shared" ca="1" si="19"/>
        <v>6</v>
      </c>
      <c r="AF630" s="3"/>
      <c r="AG630" s="3"/>
      <c r="AH630" s="3"/>
    </row>
    <row r="631" spans="1:34">
      <c r="A631" s="198"/>
      <c r="B631" s="198"/>
      <c r="C631" s="198" t="s">
        <v>2083</v>
      </c>
      <c r="D631" s="195">
        <v>1629</v>
      </c>
      <c r="E631" s="195">
        <v>286</v>
      </c>
      <c r="F631" s="195">
        <v>286</v>
      </c>
      <c r="G631" s="239">
        <v>624</v>
      </c>
      <c r="H631" s="197" t="s">
        <v>79</v>
      </c>
      <c r="I631" s="242" t="s">
        <v>209</v>
      </c>
      <c r="J631" s="242" t="s">
        <v>551</v>
      </c>
      <c r="K631" s="195" t="s">
        <v>70</v>
      </c>
      <c r="L631" s="20" t="str">
        <f ca="1">IF(OFFSET(환산공식!$ED$15,$F631,0)=1,"O","X")</f>
        <v>X</v>
      </c>
      <c r="M631" s="188">
        <f ca="1">IFERROR(OFFSET(환산공식!DJ$15,$F631,0),"")</f>
        <v>200</v>
      </c>
      <c r="N631" s="20" t="str">
        <f ca="1">IFERROR(CONCATENATE(ROUND(OFFSET(환산공식!DK$15,$F631,0),1),"%"),"")</f>
        <v>100%</v>
      </c>
      <c r="O631" s="20">
        <f ca="1">IFERROR(OFFSET(환산공식!DL$15,$F631,0),"")</f>
        <v>10</v>
      </c>
      <c r="P631" s="188" t="str">
        <f t="shared" ca="1" si="18"/>
        <v>3% 이하</v>
      </c>
      <c r="Q631" s="194">
        <f ca="1">IFERROR(ROUND(OFFSET(환산공식!$FG$15,$F631,0),3),"")</f>
        <v>0</v>
      </c>
      <c r="R631" s="194">
        <f ca="1">OFFSET('배치점수 계산기'!H$10,$D631,0)</f>
        <v>684.76400000000001</v>
      </c>
      <c r="S631" s="194">
        <f ca="1">OFFSET('배치점수 계산기'!I$10,$D631,0)</f>
        <v>683.08600000000001</v>
      </c>
      <c r="T631" s="194">
        <f ca="1">OFFSET('배치점수 계산기'!J$10,$D631,0)</f>
        <v>680.37400000000002</v>
      </c>
      <c r="U631" s="194">
        <f ca="1">OFFSET('배치점수 계산기'!K$10,$D631,0)</f>
        <v>677.82</v>
      </c>
      <c r="V631" s="194">
        <f ca="1">OFFSET('배치점수 계산기'!L$10,$D631,0)</f>
        <v>673.98</v>
      </c>
      <c r="W631" s="186" t="str">
        <f ca="1">OFFSET('배치점수 계산기'!M$10,$D631,0)</f>
        <v>표점</v>
      </c>
      <c r="X631" s="184" t="str">
        <f ca="1">OFFSET('배치점수 계산기'!N$10,$D631,0)</f>
        <v>표점</v>
      </c>
      <c r="Y631" s="188">
        <f ca="1">OFFSET(환산공식!FW$15,$F631,0)</f>
        <v>0.25</v>
      </c>
      <c r="Z631" s="20">
        <f ca="1">OFFSET(환산공식!FX$15,$F631,0)</f>
        <v>0.38</v>
      </c>
      <c r="AA631" s="179">
        <f ca="1">OFFSET(환산공식!FY$15,$F631,0)</f>
        <v>0.38</v>
      </c>
      <c r="AB631" s="3"/>
      <c r="AD631">
        <f t="shared" ca="1" si="19"/>
        <v>6</v>
      </c>
      <c r="AF631" s="3"/>
      <c r="AG631" s="3"/>
      <c r="AH631" s="3"/>
    </row>
    <row r="632" spans="1:34">
      <c r="A632" s="198"/>
      <c r="B632" s="198"/>
      <c r="C632" s="198" t="s">
        <v>2084</v>
      </c>
      <c r="D632" s="195">
        <v>1630</v>
      </c>
      <c r="E632" s="195">
        <v>287</v>
      </c>
      <c r="F632" s="195">
        <v>287</v>
      </c>
      <c r="G632" s="239">
        <v>625</v>
      </c>
      <c r="H632" s="197" t="s">
        <v>79</v>
      </c>
      <c r="I632" s="242" t="s">
        <v>209</v>
      </c>
      <c r="J632" s="242" t="s">
        <v>11813</v>
      </c>
      <c r="K632" s="195" t="s">
        <v>70</v>
      </c>
      <c r="L632" s="20" t="str">
        <f ca="1">IF(OFFSET(환산공식!$ED$15,$F632,0)=1,"O","X")</f>
        <v>X</v>
      </c>
      <c r="M632" s="188">
        <f ca="1">IFERROR(OFFSET(환산공식!DJ$15,$F632,0),"")</f>
        <v>200</v>
      </c>
      <c r="N632" s="20" t="str">
        <f ca="1">IFERROR(CONCATENATE(ROUND(OFFSET(환산공식!DK$15,$F632,0),1),"%"),"")</f>
        <v>100%</v>
      </c>
      <c r="O632" s="20">
        <f ca="1">IFERROR(OFFSET(환산공식!DL$15,$F632,0),"")</f>
        <v>10</v>
      </c>
      <c r="P632" s="188" t="str">
        <f t="shared" ca="1" si="18"/>
        <v>3% 이하</v>
      </c>
      <c r="Q632" s="194">
        <f ca="1">IFERROR(ROUND(OFFSET(환산공식!$FG$15,$F632,0),3),"")</f>
        <v>0</v>
      </c>
      <c r="R632" s="194">
        <f ca="1">OFFSET('배치점수 계산기'!H$10,$D632,0)</f>
        <v>684.41399999999999</v>
      </c>
      <c r="S632" s="194">
        <f ca="1">OFFSET('배치점수 계산기'!I$10,$D632,0)</f>
        <v>682.57600000000002</v>
      </c>
      <c r="T632" s="194">
        <f ca="1">OFFSET('배치점수 계산기'!J$10,$D632,0)</f>
        <v>679.82399999999996</v>
      </c>
      <c r="U632" s="194">
        <f ca="1">OFFSET('배치점수 계산기'!K$10,$D632,0)</f>
        <v>677.41</v>
      </c>
      <c r="V632" s="194">
        <f ca="1">OFFSET('배치점수 계산기'!L$10,$D632,0)</f>
        <v>673.58</v>
      </c>
      <c r="W632" s="186" t="str">
        <f ca="1">OFFSET('배치점수 계산기'!M$10,$D632,0)</f>
        <v>표점</v>
      </c>
      <c r="X632" s="184" t="str">
        <f ca="1">OFFSET('배치점수 계산기'!N$10,$D632,0)</f>
        <v>표점</v>
      </c>
      <c r="Y632" s="188">
        <f ca="1">OFFSET(환산공식!FW$15,$F632,0)</f>
        <v>0.25</v>
      </c>
      <c r="Z632" s="20">
        <f ca="1">OFFSET(환산공식!FX$15,$F632,0)</f>
        <v>0.38</v>
      </c>
      <c r="AA632" s="179">
        <f ca="1">OFFSET(환산공식!FY$15,$F632,0)</f>
        <v>0.38</v>
      </c>
      <c r="AB632" s="3"/>
      <c r="AD632">
        <f t="shared" ca="1" si="19"/>
        <v>6</v>
      </c>
      <c r="AF632" s="3"/>
      <c r="AG632" s="3"/>
      <c r="AH632" s="3"/>
    </row>
    <row r="633" spans="1:34">
      <c r="A633" s="198"/>
      <c r="B633" s="198"/>
      <c r="C633" s="198" t="s">
        <v>2085</v>
      </c>
      <c r="D633" s="195">
        <v>1631</v>
      </c>
      <c r="E633" s="195">
        <v>287</v>
      </c>
      <c r="F633" s="195">
        <v>287</v>
      </c>
      <c r="G633" s="239">
        <v>626</v>
      </c>
      <c r="H633" s="197" t="s">
        <v>79</v>
      </c>
      <c r="I633" s="242" t="s">
        <v>209</v>
      </c>
      <c r="J633" s="242" t="s">
        <v>11884</v>
      </c>
      <c r="K633" s="195" t="s">
        <v>70</v>
      </c>
      <c r="L633" s="20" t="str">
        <f ca="1">IF(OFFSET(환산공식!$ED$15,$F633,0)=1,"O","X")</f>
        <v>X</v>
      </c>
      <c r="M633" s="188">
        <f ca="1">IFERROR(OFFSET(환산공식!DJ$15,$F633,0),"")</f>
        <v>200</v>
      </c>
      <c r="N633" s="20" t="str">
        <f ca="1">IFERROR(CONCATENATE(ROUND(OFFSET(환산공식!DK$15,$F633,0),1),"%"),"")</f>
        <v>100%</v>
      </c>
      <c r="O633" s="20">
        <f ca="1">IFERROR(OFFSET(환산공식!DL$15,$F633,0),"")</f>
        <v>10</v>
      </c>
      <c r="P633" s="188" t="str">
        <f t="shared" ca="1" si="18"/>
        <v>3% 이하</v>
      </c>
      <c r="Q633" s="194">
        <f ca="1">IFERROR(ROUND(OFFSET(환산공식!$FG$15,$F633,0),3),"")</f>
        <v>0</v>
      </c>
      <c r="R633" s="194">
        <f ca="1">OFFSET('배치점수 계산기'!H$10,$D633,0)</f>
        <v>683.08600000000001</v>
      </c>
      <c r="S633" s="194">
        <f ca="1">OFFSET('배치점수 계산기'!I$10,$D633,0)</f>
        <v>681.48400000000004</v>
      </c>
      <c r="T633" s="194">
        <f ca="1">OFFSET('배치점수 계산기'!J$10,$D633,0)</f>
        <v>678.62</v>
      </c>
      <c r="U633" s="194">
        <f ca="1">OFFSET('배치점수 계산기'!K$10,$D633,0)</f>
        <v>676.3</v>
      </c>
      <c r="V633" s="194">
        <f ca="1">OFFSET('배치점수 계산기'!L$10,$D633,0)</f>
        <v>672.50300000000004</v>
      </c>
      <c r="W633" s="186" t="str">
        <f ca="1">OFFSET('배치점수 계산기'!M$10,$D633,0)</f>
        <v>표점</v>
      </c>
      <c r="X633" s="184" t="str">
        <f ca="1">OFFSET('배치점수 계산기'!N$10,$D633,0)</f>
        <v>표점</v>
      </c>
      <c r="Y633" s="188">
        <f ca="1">OFFSET(환산공식!FW$15,$F633,0)</f>
        <v>0.25</v>
      </c>
      <c r="Z633" s="20">
        <f ca="1">OFFSET(환산공식!FX$15,$F633,0)</f>
        <v>0.38</v>
      </c>
      <c r="AA633" s="179">
        <f ca="1">OFFSET(환산공식!FY$15,$F633,0)</f>
        <v>0.38</v>
      </c>
      <c r="AB633" s="3"/>
      <c r="AD633">
        <f t="shared" ca="1" si="19"/>
        <v>6</v>
      </c>
      <c r="AF633" s="3"/>
      <c r="AG633" s="3"/>
      <c r="AH633" s="3"/>
    </row>
    <row r="634" spans="1:34">
      <c r="A634" s="198"/>
      <c r="B634" s="198"/>
      <c r="C634" s="198" t="s">
        <v>2086</v>
      </c>
      <c r="D634" s="195">
        <v>1632</v>
      </c>
      <c r="E634" s="195">
        <v>287</v>
      </c>
      <c r="F634" s="195">
        <v>287</v>
      </c>
      <c r="G634" s="239">
        <v>627</v>
      </c>
      <c r="H634" s="197" t="s">
        <v>79</v>
      </c>
      <c r="I634" s="242" t="s">
        <v>209</v>
      </c>
      <c r="J634" s="242" t="s">
        <v>12010</v>
      </c>
      <c r="K634" s="195" t="s">
        <v>70</v>
      </c>
      <c r="L634" s="20" t="str">
        <f ca="1">IF(OFFSET(환산공식!$ED$15,$F634,0)=1,"O","X")</f>
        <v>X</v>
      </c>
      <c r="M634" s="188">
        <f ca="1">IFERROR(OFFSET(환산공식!DJ$15,$F634,0),"")</f>
        <v>200</v>
      </c>
      <c r="N634" s="20" t="str">
        <f ca="1">IFERROR(CONCATENATE(ROUND(OFFSET(환산공식!DK$15,$F634,0),1),"%"),"")</f>
        <v>100%</v>
      </c>
      <c r="O634" s="20">
        <f ca="1">IFERROR(OFFSET(환산공식!DL$15,$F634,0),"")</f>
        <v>10</v>
      </c>
      <c r="P634" s="188" t="str">
        <f t="shared" ca="1" si="18"/>
        <v>3% 이하</v>
      </c>
      <c r="Q634" s="194">
        <f ca="1">IFERROR(ROUND(OFFSET(환산공식!$FG$15,$F634,0),3),"")</f>
        <v>0</v>
      </c>
      <c r="R634" s="194">
        <f ca="1">OFFSET('배치점수 계산기'!H$10,$D634,0)</f>
        <v>681.08399999999995</v>
      </c>
      <c r="S634" s="194">
        <f ca="1">OFFSET('배치점수 계산기'!I$10,$D634,0)</f>
        <v>679.53</v>
      </c>
      <c r="T634" s="194">
        <f ca="1">OFFSET('배치점수 계산기'!J$10,$D634,0)</f>
        <v>677.24400000000003</v>
      </c>
      <c r="U634" s="194">
        <f ca="1">OFFSET('배치점수 계산기'!K$10,$D634,0)</f>
        <v>674.89</v>
      </c>
      <c r="V634" s="194">
        <f ca="1">OFFSET('배치점수 계산기'!L$10,$D634,0)</f>
        <v>671.2</v>
      </c>
      <c r="W634" s="186" t="str">
        <f ca="1">OFFSET('배치점수 계산기'!M$10,$D634,0)</f>
        <v>표점</v>
      </c>
      <c r="X634" s="184" t="str">
        <f ca="1">OFFSET('배치점수 계산기'!N$10,$D634,0)</f>
        <v>표점</v>
      </c>
      <c r="Y634" s="188">
        <f ca="1">OFFSET(환산공식!FW$15,$F634,0)</f>
        <v>0.25</v>
      </c>
      <c r="Z634" s="20">
        <f ca="1">OFFSET(환산공식!FX$15,$F634,0)</f>
        <v>0.38</v>
      </c>
      <c r="AA634" s="179">
        <f ca="1">OFFSET(환산공식!FY$15,$F634,0)</f>
        <v>0.38</v>
      </c>
      <c r="AB634" s="3"/>
      <c r="AD634">
        <f t="shared" ca="1" si="19"/>
        <v>6</v>
      </c>
      <c r="AF634" s="3"/>
      <c r="AG634" s="3"/>
      <c r="AH634" s="3"/>
    </row>
    <row r="635" spans="1:34">
      <c r="A635" s="198"/>
      <c r="B635" s="198"/>
      <c r="C635" s="198" t="s">
        <v>2087</v>
      </c>
      <c r="D635" s="195">
        <v>1633</v>
      </c>
      <c r="E635" s="195">
        <v>288</v>
      </c>
      <c r="F635" s="195">
        <v>288</v>
      </c>
      <c r="G635" s="239">
        <v>628</v>
      </c>
      <c r="H635" s="197" t="s">
        <v>79</v>
      </c>
      <c r="I635" s="242" t="s">
        <v>209</v>
      </c>
      <c r="J635" s="242" t="s">
        <v>12056</v>
      </c>
      <c r="K635" s="195" t="s">
        <v>70</v>
      </c>
      <c r="L635" s="20" t="str">
        <f ca="1">IF(OFFSET(환산공식!$ED$15,$F635,0)=1,"O","X")</f>
        <v>X</v>
      </c>
      <c r="M635" s="188">
        <f ca="1">IFERROR(OFFSET(환산공식!DJ$15,$F635,0),"")</f>
        <v>200</v>
      </c>
      <c r="N635" s="20" t="str">
        <f ca="1">IFERROR(CONCATENATE(ROUND(OFFSET(환산공식!DK$15,$F635,0),1),"%"),"")</f>
        <v>100%</v>
      </c>
      <c r="O635" s="20">
        <f ca="1">IFERROR(OFFSET(환산공식!DL$15,$F635,0),"")</f>
        <v>10</v>
      </c>
      <c r="P635" s="188" t="str">
        <f t="shared" ca="1" si="18"/>
        <v>3% 이하</v>
      </c>
      <c r="Q635" s="194">
        <f ca="1">IFERROR(ROUND(OFFSET(환산공식!$FG$15,$F635,0),3),"")</f>
        <v>0</v>
      </c>
      <c r="R635" s="194">
        <f ca="1">OFFSET('배치점수 계산기'!H$10,$D635,0)</f>
        <v>689.42499999999995</v>
      </c>
      <c r="S635" s="194">
        <f ca="1">OFFSET('배치점수 계산기'!I$10,$D635,0)</f>
        <v>687.62</v>
      </c>
      <c r="T635" s="194">
        <f ca="1">OFFSET('배치점수 계산기'!J$10,$D635,0)</f>
        <v>684.98</v>
      </c>
      <c r="U635" s="194">
        <f ca="1">OFFSET('배치점수 계산기'!K$10,$D635,0)</f>
        <v>682.40700000000004</v>
      </c>
      <c r="V635" s="194">
        <f ca="1">OFFSET('배치점수 계산기'!L$10,$D635,0)</f>
        <v>679.11</v>
      </c>
      <c r="W635" s="186" t="str">
        <f ca="1">OFFSET('배치점수 계산기'!M$10,$D635,0)</f>
        <v>표점</v>
      </c>
      <c r="X635" s="184" t="str">
        <f ca="1">OFFSET('배치점수 계산기'!N$10,$D635,0)</f>
        <v>표점</v>
      </c>
      <c r="Y635" s="188">
        <f ca="1">OFFSET(환산공식!FW$15,$F635,0)</f>
        <v>0.25</v>
      </c>
      <c r="Z635" s="20">
        <f ca="1">OFFSET(환산공식!FX$15,$F635,0)</f>
        <v>0.38</v>
      </c>
      <c r="AA635" s="179">
        <f ca="1">OFFSET(환산공식!FY$15,$F635,0)</f>
        <v>0.38</v>
      </c>
      <c r="AB635" s="3"/>
      <c r="AD635">
        <f t="shared" ca="1" si="19"/>
        <v>6</v>
      </c>
      <c r="AF635" s="3"/>
      <c r="AG635" s="3"/>
      <c r="AH635" s="3"/>
    </row>
    <row r="636" spans="1:34">
      <c r="A636" s="198"/>
      <c r="B636" s="198"/>
      <c r="C636" s="198" t="s">
        <v>2088</v>
      </c>
      <c r="D636" s="195">
        <v>1634</v>
      </c>
      <c r="E636" s="195">
        <v>287</v>
      </c>
      <c r="F636" s="195">
        <v>287</v>
      </c>
      <c r="G636" s="239">
        <v>629</v>
      </c>
      <c r="H636" s="197" t="s">
        <v>79</v>
      </c>
      <c r="I636" s="242" t="s">
        <v>209</v>
      </c>
      <c r="J636" s="242" t="s">
        <v>8669</v>
      </c>
      <c r="K636" s="195" t="s">
        <v>70</v>
      </c>
      <c r="L636" s="20" t="str">
        <f ca="1">IF(OFFSET(환산공식!$ED$15,$F636,0)=1,"O","X")</f>
        <v>X</v>
      </c>
      <c r="M636" s="188">
        <f ca="1">IFERROR(OFFSET(환산공식!DJ$15,$F636,0),"")</f>
        <v>200</v>
      </c>
      <c r="N636" s="20" t="str">
        <f ca="1">IFERROR(CONCATENATE(ROUND(OFFSET(환산공식!DK$15,$F636,0),1),"%"),"")</f>
        <v>100%</v>
      </c>
      <c r="O636" s="20">
        <f ca="1">IFERROR(OFFSET(환산공식!DL$15,$F636,0),"")</f>
        <v>10</v>
      </c>
      <c r="P636" s="188" t="str">
        <f t="shared" ca="1" si="18"/>
        <v>3% 이하</v>
      </c>
      <c r="Q636" s="194">
        <f ca="1">IFERROR(ROUND(OFFSET(환산공식!$FG$15,$F636,0),3),"")</f>
        <v>0</v>
      </c>
      <c r="R636" s="194">
        <f ca="1">OFFSET('배치점수 계산기'!H$10,$D636,0)</f>
        <v>657.83399999999995</v>
      </c>
      <c r="S636" s="194">
        <f ca="1">OFFSET('배치점수 계산기'!I$10,$D636,0)</f>
        <v>656.25</v>
      </c>
      <c r="T636" s="194">
        <f ca="1">OFFSET('배치점수 계산기'!J$10,$D636,0)</f>
        <v>653.91600000000005</v>
      </c>
      <c r="U636" s="194">
        <f ca="1">OFFSET('배치점수 계산기'!K$10,$D636,0)</f>
        <v>651.70000000000005</v>
      </c>
      <c r="V636" s="194">
        <f ca="1">OFFSET('배치점수 계산기'!L$10,$D636,0)</f>
        <v>648.6</v>
      </c>
      <c r="W636" s="186" t="str">
        <f ca="1">OFFSET('배치점수 계산기'!M$10,$D636,0)</f>
        <v>표점</v>
      </c>
      <c r="X636" s="184" t="str">
        <f ca="1">OFFSET('배치점수 계산기'!N$10,$D636,0)</f>
        <v>표점</v>
      </c>
      <c r="Y636" s="188">
        <f ca="1">OFFSET(환산공식!FW$15,$F636,0)</f>
        <v>0.25</v>
      </c>
      <c r="Z636" s="20">
        <f ca="1">OFFSET(환산공식!FX$15,$F636,0)</f>
        <v>0.38</v>
      </c>
      <c r="AA636" s="179">
        <f ca="1">OFFSET(환산공식!FY$15,$F636,0)</f>
        <v>0.38</v>
      </c>
      <c r="AB636" s="3"/>
      <c r="AD636">
        <f t="shared" ca="1" si="19"/>
        <v>6</v>
      </c>
      <c r="AF636" s="3"/>
      <c r="AG636" s="3"/>
      <c r="AH636" s="3"/>
    </row>
    <row r="637" spans="1:34">
      <c r="A637" s="198"/>
      <c r="B637" s="198"/>
      <c r="C637" s="198" t="s">
        <v>2089</v>
      </c>
      <c r="D637" s="195">
        <v>1635</v>
      </c>
      <c r="E637" s="195">
        <v>287</v>
      </c>
      <c r="F637" s="195">
        <v>287</v>
      </c>
      <c r="G637" s="239">
        <v>630</v>
      </c>
      <c r="H637" s="197" t="s">
        <v>79</v>
      </c>
      <c r="I637" s="242" t="s">
        <v>209</v>
      </c>
      <c r="J637" s="242" t="s">
        <v>13494</v>
      </c>
      <c r="K637" s="195" t="s">
        <v>70</v>
      </c>
      <c r="L637" s="20" t="str">
        <f ca="1">IF(OFFSET(환산공식!$ED$15,$F637,0)=1,"O","X")</f>
        <v>X</v>
      </c>
      <c r="M637" s="188">
        <f ca="1">IFERROR(OFFSET(환산공식!DJ$15,$F637,0),"")</f>
        <v>200</v>
      </c>
      <c r="N637" s="20" t="str">
        <f ca="1">IFERROR(CONCATENATE(ROUND(OFFSET(환산공식!DK$15,$F637,0),1),"%"),"")</f>
        <v>100%</v>
      </c>
      <c r="O637" s="20">
        <f ca="1">IFERROR(OFFSET(환산공식!DL$15,$F637,0),"")</f>
        <v>10</v>
      </c>
      <c r="P637" s="188" t="str">
        <f t="shared" ca="1" si="18"/>
        <v>3% 이하</v>
      </c>
      <c r="Q637" s="194">
        <f ca="1">IFERROR(ROUND(OFFSET(환산공식!$FG$15,$F637,0),3),"")</f>
        <v>0</v>
      </c>
      <c r="R637" s="194">
        <f ca="1">OFFSET('배치점수 계산기'!H$10,$D637,0)</f>
        <v>653.5</v>
      </c>
      <c r="S637" s="194">
        <f ca="1">OFFSET('배치점수 계산기'!I$10,$D637,0)</f>
        <v>651.85</v>
      </c>
      <c r="T637" s="194">
        <f ca="1">OFFSET('배치점수 계산기'!J$10,$D637,0)</f>
        <v>649.46600000000001</v>
      </c>
      <c r="U637" s="194">
        <f ca="1">OFFSET('배치점수 계산기'!K$10,$D637,0)</f>
        <v>647.70000000000005</v>
      </c>
      <c r="V637" s="194">
        <f ca="1">OFFSET('배치점수 계산기'!L$10,$D637,0)</f>
        <v>644.79999999999995</v>
      </c>
      <c r="W637" s="186" t="str">
        <f ca="1">OFFSET('배치점수 계산기'!M$10,$D637,0)</f>
        <v>표점</v>
      </c>
      <c r="X637" s="184" t="str">
        <f ca="1">OFFSET('배치점수 계산기'!N$10,$D637,0)</f>
        <v>표점</v>
      </c>
      <c r="Y637" s="188">
        <f ca="1">OFFSET(환산공식!FW$15,$F637,0)</f>
        <v>0.25</v>
      </c>
      <c r="Z637" s="20">
        <f ca="1">OFFSET(환산공식!FX$15,$F637,0)</f>
        <v>0.38</v>
      </c>
      <c r="AA637" s="179">
        <f ca="1">OFFSET(환산공식!FY$15,$F637,0)</f>
        <v>0.38</v>
      </c>
      <c r="AB637" s="3"/>
      <c r="AD637">
        <f t="shared" ca="1" si="19"/>
        <v>6</v>
      </c>
      <c r="AF637" s="3"/>
      <c r="AG637" s="3"/>
      <c r="AH637" s="3"/>
    </row>
    <row r="638" spans="1:34">
      <c r="A638" s="198"/>
      <c r="B638" s="198"/>
      <c r="C638" s="198" t="s">
        <v>2090</v>
      </c>
      <c r="D638" s="195">
        <v>1638</v>
      </c>
      <c r="E638" s="195">
        <v>284</v>
      </c>
      <c r="F638" s="195">
        <v>284</v>
      </c>
      <c r="G638" s="239">
        <v>631</v>
      </c>
      <c r="H638" s="197" t="s">
        <v>79</v>
      </c>
      <c r="I638" s="242" t="s">
        <v>209</v>
      </c>
      <c r="J638" s="242" t="s">
        <v>491</v>
      </c>
      <c r="K638" s="195" t="s">
        <v>71</v>
      </c>
      <c r="L638" s="20" t="str">
        <f ca="1">IF(OFFSET(환산공식!$ED$15,$F638,0)=1,"O","X")</f>
        <v>X</v>
      </c>
      <c r="M638" s="188">
        <f ca="1">IFERROR(OFFSET(환산공식!DJ$15,$F638,0),"")</f>
        <v>200</v>
      </c>
      <c r="N638" s="20" t="str">
        <f ca="1">IFERROR(CONCATENATE(ROUND(OFFSET(환산공식!DK$15,$F638,0),1),"%"),"")</f>
        <v>100%</v>
      </c>
      <c r="O638" s="20">
        <f ca="1">IFERROR(OFFSET(환산공식!DL$15,$F638,0),"")</f>
        <v>10</v>
      </c>
      <c r="P638" s="188" t="str">
        <f t="shared" ca="1" si="18"/>
        <v>3% 이하</v>
      </c>
      <c r="Q638" s="194">
        <f ca="1">IFERROR(ROUND(OFFSET(환산공식!$FG$15,$F638,0),3),"")</f>
        <v>0</v>
      </c>
      <c r="R638" s="194">
        <f ca="1">OFFSET('배치점수 계산기'!H$10,$D638,0)</f>
        <v>706.88900000000001</v>
      </c>
      <c r="S638" s="194">
        <f ca="1">OFFSET('배치점수 계산기'!I$10,$D638,0)</f>
        <v>704.54100000000005</v>
      </c>
      <c r="T638" s="194">
        <f ca="1">OFFSET('배치점수 계산기'!J$10,$D638,0)</f>
        <v>700.53499999999997</v>
      </c>
      <c r="U638" s="194">
        <f ca="1">OFFSET('배치점수 계산기'!K$10,$D638,0)</f>
        <v>697.47</v>
      </c>
      <c r="V638" s="194">
        <f ca="1">OFFSET('배치점수 계산기'!L$10,$D638,0)</f>
        <v>692.82899999999995</v>
      </c>
      <c r="W638" s="186" t="str">
        <f ca="1">OFFSET('배치점수 계산기'!M$10,$D638,0)</f>
        <v>표점</v>
      </c>
      <c r="X638" s="184" t="str">
        <f ca="1">OFFSET('배치점수 계산기'!N$10,$D638,0)</f>
        <v>표점</v>
      </c>
      <c r="Y638" s="188">
        <f ca="1">OFFSET(환산공식!FW$15,$F638,0)</f>
        <v>0.38</v>
      </c>
      <c r="Z638" s="20">
        <f ca="1">OFFSET(환산공식!FX$15,$F638,0)</f>
        <v>0.31</v>
      </c>
      <c r="AA638" s="179">
        <f ca="1">OFFSET(환산공식!FY$15,$F638,0)</f>
        <v>0.31</v>
      </c>
      <c r="AB638" s="3"/>
      <c r="AD638">
        <f t="shared" ca="1" si="19"/>
        <v>6</v>
      </c>
      <c r="AF638" s="3"/>
      <c r="AG638" s="3"/>
      <c r="AH638" s="3"/>
    </row>
    <row r="639" spans="1:34">
      <c r="A639" s="198"/>
      <c r="B639" s="198"/>
      <c r="C639" s="198" t="s">
        <v>2091</v>
      </c>
      <c r="D639" s="195">
        <v>1639</v>
      </c>
      <c r="E639" s="195">
        <v>284</v>
      </c>
      <c r="F639" s="195">
        <v>284</v>
      </c>
      <c r="G639" s="239">
        <v>632</v>
      </c>
      <c r="H639" s="197" t="s">
        <v>79</v>
      </c>
      <c r="I639" s="242" t="s">
        <v>209</v>
      </c>
      <c r="J639" s="242" t="s">
        <v>10747</v>
      </c>
      <c r="K639" s="195" t="s">
        <v>71</v>
      </c>
      <c r="L639" s="20" t="str">
        <f ca="1">IF(OFFSET(환산공식!$ED$15,$F639,0)=1,"O","X")</f>
        <v>X</v>
      </c>
      <c r="M639" s="188">
        <f ca="1">IFERROR(OFFSET(환산공식!DJ$15,$F639,0),"")</f>
        <v>200</v>
      </c>
      <c r="N639" s="20" t="str">
        <f ca="1">IFERROR(CONCATENATE(ROUND(OFFSET(환산공식!DK$15,$F639,0),1),"%"),"")</f>
        <v>100%</v>
      </c>
      <c r="O639" s="20">
        <f ca="1">IFERROR(OFFSET(환산공식!DL$15,$F639,0),"")</f>
        <v>10</v>
      </c>
      <c r="P639" s="188" t="str">
        <f t="shared" ca="1" si="18"/>
        <v>3% 이하</v>
      </c>
      <c r="Q639" s="194">
        <f ca="1">IFERROR(ROUND(OFFSET(환산공식!$FG$15,$F639,0),3),"")</f>
        <v>0</v>
      </c>
      <c r="R639" s="194">
        <f ca="1">OFFSET('배치점수 계산기'!H$10,$D639,0)</f>
        <v>703.86599999999999</v>
      </c>
      <c r="S639" s="194">
        <f ca="1">OFFSET('배치점수 계산기'!I$10,$D639,0)</f>
        <v>701.529</v>
      </c>
      <c r="T639" s="194">
        <f ca="1">OFFSET('배치점수 계산기'!J$10,$D639,0)</f>
        <v>698.33900000000006</v>
      </c>
      <c r="U639" s="194">
        <f ca="1">OFFSET('배치점수 계산기'!K$10,$D639,0)</f>
        <v>695.24900000000002</v>
      </c>
      <c r="V639" s="194">
        <f ca="1">OFFSET('배치점수 계산기'!L$10,$D639,0)</f>
        <v>690.8</v>
      </c>
      <c r="W639" s="186" t="str">
        <f ca="1">OFFSET('배치점수 계산기'!M$10,$D639,0)</f>
        <v>표점</v>
      </c>
      <c r="X639" s="184" t="str">
        <f ca="1">OFFSET('배치점수 계산기'!N$10,$D639,0)</f>
        <v>표점</v>
      </c>
      <c r="Y639" s="188">
        <f ca="1">OFFSET(환산공식!FW$15,$F639,0)</f>
        <v>0.38</v>
      </c>
      <c r="Z639" s="20">
        <f ca="1">OFFSET(환산공식!FX$15,$F639,0)</f>
        <v>0.31</v>
      </c>
      <c r="AA639" s="179">
        <f ca="1">OFFSET(환산공식!FY$15,$F639,0)</f>
        <v>0.31</v>
      </c>
      <c r="AB639" s="3"/>
      <c r="AD639">
        <f t="shared" ca="1" si="19"/>
        <v>6</v>
      </c>
      <c r="AF639" s="3"/>
      <c r="AG639" s="3"/>
      <c r="AH639" s="3"/>
    </row>
    <row r="640" spans="1:34">
      <c r="A640" s="198"/>
      <c r="B640" s="198"/>
      <c r="C640" s="198" t="s">
        <v>2092</v>
      </c>
      <c r="D640" s="195">
        <v>1640</v>
      </c>
      <c r="E640" s="195">
        <v>284</v>
      </c>
      <c r="F640" s="195">
        <v>284</v>
      </c>
      <c r="G640" s="239">
        <v>633</v>
      </c>
      <c r="H640" s="197" t="s">
        <v>79</v>
      </c>
      <c r="I640" s="242" t="s">
        <v>209</v>
      </c>
      <c r="J640" s="242" t="s">
        <v>8534</v>
      </c>
      <c r="K640" s="195" t="s">
        <v>71</v>
      </c>
      <c r="L640" s="20" t="str">
        <f ca="1">IF(OFFSET(환산공식!$ED$15,$F640,0)=1,"O","X")</f>
        <v>X</v>
      </c>
      <c r="M640" s="188">
        <f ca="1">IFERROR(OFFSET(환산공식!DJ$15,$F640,0),"")</f>
        <v>200</v>
      </c>
      <c r="N640" s="20" t="str">
        <f ca="1">IFERROR(CONCATENATE(ROUND(OFFSET(환산공식!DK$15,$F640,0),1),"%"),"")</f>
        <v>100%</v>
      </c>
      <c r="O640" s="20">
        <f ca="1">IFERROR(OFFSET(환산공식!DL$15,$F640,0),"")</f>
        <v>10</v>
      </c>
      <c r="P640" s="188" t="str">
        <f t="shared" ca="1" si="18"/>
        <v>3% 이하</v>
      </c>
      <c r="Q640" s="194">
        <f ca="1">IFERROR(ROUND(OFFSET(환산공식!$FG$15,$F640,0),3),"")</f>
        <v>0</v>
      </c>
      <c r="R640" s="194">
        <f ca="1">OFFSET('배치점수 계산기'!H$10,$D640,0)</f>
        <v>702.53</v>
      </c>
      <c r="S640" s="194">
        <f ca="1">OFFSET('배치점수 계산기'!I$10,$D640,0)</f>
        <v>700.40099999999995</v>
      </c>
      <c r="T640" s="194">
        <f ca="1">OFFSET('배치점수 계산기'!J$10,$D640,0)</f>
        <v>697.47</v>
      </c>
      <c r="U640" s="194">
        <f ca="1">OFFSET('배치점수 계산기'!K$10,$D640,0)</f>
        <v>694.38</v>
      </c>
      <c r="V640" s="194">
        <f ca="1">OFFSET('배치점수 계산기'!L$10,$D640,0)</f>
        <v>690.09</v>
      </c>
      <c r="W640" s="186" t="str">
        <f ca="1">OFFSET('배치점수 계산기'!M$10,$D640,0)</f>
        <v>표점</v>
      </c>
      <c r="X640" s="184" t="str">
        <f ca="1">OFFSET('배치점수 계산기'!N$10,$D640,0)</f>
        <v>표점</v>
      </c>
      <c r="Y640" s="188">
        <f ca="1">OFFSET(환산공식!FW$15,$F640,0)</f>
        <v>0.38</v>
      </c>
      <c r="Z640" s="20">
        <f ca="1">OFFSET(환산공식!FX$15,$F640,0)</f>
        <v>0.31</v>
      </c>
      <c r="AA640" s="179">
        <f ca="1">OFFSET(환산공식!FY$15,$F640,0)</f>
        <v>0.31</v>
      </c>
      <c r="AB640" s="3"/>
      <c r="AD640">
        <f t="shared" ca="1" si="19"/>
        <v>6</v>
      </c>
      <c r="AF640" s="3"/>
      <c r="AG640" s="3"/>
      <c r="AH640" s="3"/>
    </row>
    <row r="641" spans="1:34">
      <c r="A641" s="198"/>
      <c r="B641" s="198"/>
      <c r="C641" s="198" t="s">
        <v>2093</v>
      </c>
      <c r="D641" s="195">
        <v>1641</v>
      </c>
      <c r="E641" s="195">
        <v>284</v>
      </c>
      <c r="F641" s="195">
        <v>284</v>
      </c>
      <c r="G641" s="239">
        <v>634</v>
      </c>
      <c r="H641" s="197" t="s">
        <v>79</v>
      </c>
      <c r="I641" s="242" t="s">
        <v>209</v>
      </c>
      <c r="J641" s="242" t="s">
        <v>8726</v>
      </c>
      <c r="K641" s="195" t="s">
        <v>71</v>
      </c>
      <c r="L641" s="20" t="str">
        <f ca="1">IF(OFFSET(환산공식!$ED$15,$F641,0)=1,"O","X")</f>
        <v>X</v>
      </c>
      <c r="M641" s="188">
        <f ca="1">IFERROR(OFFSET(환산공식!DJ$15,$F641,0),"")</f>
        <v>200</v>
      </c>
      <c r="N641" s="20" t="str">
        <f ca="1">IFERROR(CONCATENATE(ROUND(OFFSET(환산공식!DK$15,$F641,0),1),"%"),"")</f>
        <v>100%</v>
      </c>
      <c r="O641" s="20">
        <f ca="1">IFERROR(OFFSET(환산공식!DL$15,$F641,0),"")</f>
        <v>10</v>
      </c>
      <c r="P641" s="188" t="str">
        <f t="shared" ca="1" si="18"/>
        <v>3% 이하</v>
      </c>
      <c r="Q641" s="194">
        <f ca="1">IFERROR(ROUND(OFFSET(환산공식!$FG$15,$F641,0),3),"")</f>
        <v>0</v>
      </c>
      <c r="R641" s="194">
        <f ca="1">OFFSET('배치점수 계산기'!H$10,$D641,0)</f>
        <v>701.12</v>
      </c>
      <c r="S641" s="194">
        <f ca="1">OFFSET('배치점수 계산기'!I$10,$D641,0)</f>
        <v>699.21500000000003</v>
      </c>
      <c r="T641" s="194">
        <f ca="1">OFFSET('배치점수 계산기'!J$10,$D641,0)</f>
        <v>695.94100000000003</v>
      </c>
      <c r="U641" s="194">
        <f ca="1">OFFSET('배치점수 계산기'!K$10,$D641,0)</f>
        <v>693.37</v>
      </c>
      <c r="V641" s="194">
        <f ca="1">OFFSET('배치점수 계산기'!L$10,$D641,0)</f>
        <v>689.08</v>
      </c>
      <c r="W641" s="186" t="str">
        <f ca="1">OFFSET('배치점수 계산기'!M$10,$D641,0)</f>
        <v>표점</v>
      </c>
      <c r="X641" s="184" t="str">
        <f ca="1">OFFSET('배치점수 계산기'!N$10,$D641,0)</f>
        <v>표점</v>
      </c>
      <c r="Y641" s="188">
        <f ca="1">OFFSET(환산공식!FW$15,$F641,0)</f>
        <v>0.38</v>
      </c>
      <c r="Z641" s="20">
        <f ca="1">OFFSET(환산공식!FX$15,$F641,0)</f>
        <v>0.31</v>
      </c>
      <c r="AA641" s="179">
        <f ca="1">OFFSET(환산공식!FY$15,$F641,0)</f>
        <v>0.31</v>
      </c>
      <c r="AB641" s="3"/>
      <c r="AD641">
        <f t="shared" ca="1" si="19"/>
        <v>6</v>
      </c>
      <c r="AF641" s="3"/>
      <c r="AG641" s="3"/>
      <c r="AH641" s="3"/>
    </row>
    <row r="642" spans="1:34">
      <c r="A642" s="198"/>
      <c r="B642" s="198"/>
      <c r="C642" s="198" t="s">
        <v>2094</v>
      </c>
      <c r="D642" s="195">
        <v>1642</v>
      </c>
      <c r="E642" s="195">
        <v>284</v>
      </c>
      <c r="F642" s="195">
        <v>284</v>
      </c>
      <c r="G642" s="239">
        <v>635</v>
      </c>
      <c r="H642" s="197" t="s">
        <v>79</v>
      </c>
      <c r="I642" s="242" t="s">
        <v>209</v>
      </c>
      <c r="J642" s="242" t="s">
        <v>8883</v>
      </c>
      <c r="K642" s="195" t="s">
        <v>71</v>
      </c>
      <c r="L642" s="20" t="str">
        <f ca="1">IF(OFFSET(환산공식!$ED$15,$F642,0)=1,"O","X")</f>
        <v>X</v>
      </c>
      <c r="M642" s="188">
        <f ca="1">IFERROR(OFFSET(환산공식!DJ$15,$F642,0),"")</f>
        <v>200</v>
      </c>
      <c r="N642" s="20" t="str">
        <f ca="1">IFERROR(CONCATENATE(ROUND(OFFSET(환산공식!DK$15,$F642,0),1),"%"),"")</f>
        <v>100%</v>
      </c>
      <c r="O642" s="20">
        <f ca="1">IFERROR(OFFSET(환산공식!DL$15,$F642,0),"")</f>
        <v>10</v>
      </c>
      <c r="P642" s="188" t="str">
        <f t="shared" ca="1" si="18"/>
        <v>3% 이하</v>
      </c>
      <c r="Q642" s="194">
        <f ca="1">IFERROR(ROUND(OFFSET(환산공식!$FG$15,$F642,0),3),"")</f>
        <v>0</v>
      </c>
      <c r="R642" s="194">
        <f ca="1">OFFSET('배치점수 계산기'!H$10,$D642,0)</f>
        <v>698.33900000000006</v>
      </c>
      <c r="S642" s="194">
        <f ca="1">OFFSET('배치점수 계산기'!I$10,$D642,0)</f>
        <v>696.22500000000002</v>
      </c>
      <c r="T642" s="194">
        <f ca="1">OFFSET('배치점수 계산기'!J$10,$D642,0)</f>
        <v>693.654</v>
      </c>
      <c r="U642" s="194">
        <f ca="1">OFFSET('배치점수 계산기'!K$10,$D642,0)</f>
        <v>690.8</v>
      </c>
      <c r="V642" s="194">
        <f ca="1">OFFSET('배치점수 계산기'!L$10,$D642,0)</f>
        <v>686.78499999999997</v>
      </c>
      <c r="W642" s="186" t="str">
        <f ca="1">OFFSET('배치점수 계산기'!M$10,$D642,0)</f>
        <v>표점</v>
      </c>
      <c r="X642" s="184" t="str">
        <f ca="1">OFFSET('배치점수 계산기'!N$10,$D642,0)</f>
        <v>표점</v>
      </c>
      <c r="Y642" s="188">
        <f ca="1">OFFSET(환산공식!FW$15,$F642,0)</f>
        <v>0.38</v>
      </c>
      <c r="Z642" s="20">
        <f ca="1">OFFSET(환산공식!FX$15,$F642,0)</f>
        <v>0.31</v>
      </c>
      <c r="AA642" s="179">
        <f ca="1">OFFSET(환산공식!FY$15,$F642,0)</f>
        <v>0.31</v>
      </c>
      <c r="AB642" s="3"/>
      <c r="AD642">
        <f t="shared" ca="1" si="19"/>
        <v>6</v>
      </c>
      <c r="AF642" s="3"/>
      <c r="AG642" s="3"/>
      <c r="AH642" s="3"/>
    </row>
    <row r="643" spans="1:34">
      <c r="A643" s="198"/>
      <c r="B643" s="198"/>
      <c r="C643" s="198" t="s">
        <v>2095</v>
      </c>
      <c r="D643" s="195">
        <v>1643</v>
      </c>
      <c r="E643" s="195">
        <v>284</v>
      </c>
      <c r="F643" s="195">
        <v>284</v>
      </c>
      <c r="G643" s="239">
        <v>636</v>
      </c>
      <c r="H643" s="197" t="s">
        <v>79</v>
      </c>
      <c r="I643" s="242" t="s">
        <v>209</v>
      </c>
      <c r="J643" s="242" t="s">
        <v>11026</v>
      </c>
      <c r="K643" s="195" t="s">
        <v>71</v>
      </c>
      <c r="L643" s="20" t="str">
        <f ca="1">IF(OFFSET(환산공식!$ED$15,$F643,0)=1,"O","X")</f>
        <v>X</v>
      </c>
      <c r="M643" s="188">
        <f ca="1">IFERROR(OFFSET(환산공식!DJ$15,$F643,0),"")</f>
        <v>200</v>
      </c>
      <c r="N643" s="20" t="str">
        <f ca="1">IFERROR(CONCATENATE(ROUND(OFFSET(환산공식!DK$15,$F643,0),1),"%"),"")</f>
        <v>100%</v>
      </c>
      <c r="O643" s="20">
        <f ca="1">IFERROR(OFFSET(환산공식!DL$15,$F643,0),"")</f>
        <v>10</v>
      </c>
      <c r="P643" s="188" t="str">
        <f t="shared" ca="1" si="18"/>
        <v>3% 이하</v>
      </c>
      <c r="Q643" s="194">
        <f ca="1">IFERROR(ROUND(OFFSET(환산공식!$FG$15,$F643,0),3),"")</f>
        <v>0</v>
      </c>
      <c r="R643" s="194">
        <f ca="1">OFFSET('배치점수 계산기'!H$10,$D643,0)</f>
        <v>698.33900000000006</v>
      </c>
      <c r="S643" s="194">
        <f ca="1">OFFSET('배치점수 계산기'!I$10,$D643,0)</f>
        <v>696.22500000000002</v>
      </c>
      <c r="T643" s="194">
        <f ca="1">OFFSET('배치점수 계산기'!J$10,$D643,0)</f>
        <v>693.654</v>
      </c>
      <c r="U643" s="194">
        <f ca="1">OFFSET('배치점수 계산기'!K$10,$D643,0)</f>
        <v>690.8</v>
      </c>
      <c r="V643" s="194">
        <f ca="1">OFFSET('배치점수 계산기'!L$10,$D643,0)</f>
        <v>686.78499999999997</v>
      </c>
      <c r="W643" s="186" t="str">
        <f ca="1">OFFSET('배치점수 계산기'!M$10,$D643,0)</f>
        <v>표점</v>
      </c>
      <c r="X643" s="184" t="str">
        <f ca="1">OFFSET('배치점수 계산기'!N$10,$D643,0)</f>
        <v>표점</v>
      </c>
      <c r="Y643" s="188">
        <f ca="1">OFFSET(환산공식!FW$15,$F643,0)</f>
        <v>0.38</v>
      </c>
      <c r="Z643" s="20">
        <f ca="1">OFFSET(환산공식!FX$15,$F643,0)</f>
        <v>0.31</v>
      </c>
      <c r="AA643" s="179">
        <f ca="1">OFFSET(환산공식!FY$15,$F643,0)</f>
        <v>0.31</v>
      </c>
      <c r="AB643" s="3"/>
      <c r="AD643">
        <f t="shared" ca="1" si="19"/>
        <v>6</v>
      </c>
      <c r="AF643" s="3"/>
      <c r="AG643" s="3"/>
      <c r="AH643" s="3"/>
    </row>
    <row r="644" spans="1:34">
      <c r="A644" s="198"/>
      <c r="B644" s="198"/>
      <c r="C644" s="198" t="s">
        <v>2096</v>
      </c>
      <c r="D644" s="195">
        <v>1644</v>
      </c>
      <c r="E644" s="195">
        <v>284</v>
      </c>
      <c r="F644" s="195">
        <v>284</v>
      </c>
      <c r="G644" s="239">
        <v>637</v>
      </c>
      <c r="H644" s="197" t="s">
        <v>79</v>
      </c>
      <c r="I644" s="242" t="s">
        <v>209</v>
      </c>
      <c r="J644" s="242" t="s">
        <v>8217</v>
      </c>
      <c r="K644" s="195" t="s">
        <v>71</v>
      </c>
      <c r="L644" s="20" t="str">
        <f ca="1">IF(OFFSET(환산공식!$ED$15,$F644,0)=1,"O","X")</f>
        <v>X</v>
      </c>
      <c r="M644" s="188">
        <f ca="1">IFERROR(OFFSET(환산공식!DJ$15,$F644,0),"")</f>
        <v>200</v>
      </c>
      <c r="N644" s="20" t="str">
        <f ca="1">IFERROR(CONCATENATE(ROUND(OFFSET(환산공식!DK$15,$F644,0),1),"%"),"")</f>
        <v>100%</v>
      </c>
      <c r="O644" s="20">
        <f ca="1">IFERROR(OFFSET(환산공식!DL$15,$F644,0),"")</f>
        <v>10</v>
      </c>
      <c r="P644" s="188" t="str">
        <f t="shared" ca="1" si="18"/>
        <v>3% 이하</v>
      </c>
      <c r="Q644" s="194">
        <f ca="1">IFERROR(ROUND(OFFSET(환산공식!$FG$15,$F644,0),3),"")</f>
        <v>0</v>
      </c>
      <c r="R644" s="194">
        <f ca="1">OFFSET('배치점수 계산기'!H$10,$D644,0)</f>
        <v>695.94100000000003</v>
      </c>
      <c r="S644" s="194">
        <f ca="1">OFFSET('배치점수 계산기'!I$10,$D644,0)</f>
        <v>694.51400000000001</v>
      </c>
      <c r="T644" s="194">
        <f ca="1">OFFSET('배치점수 계산기'!J$10,$D644,0)</f>
        <v>691.68499999999995</v>
      </c>
      <c r="U644" s="194">
        <f ca="1">OFFSET('배치점수 계산기'!K$10,$D644,0)</f>
        <v>689.08</v>
      </c>
      <c r="V644" s="194">
        <f ca="1">OFFSET('배치점수 계산기'!L$10,$D644,0)</f>
        <v>685.04</v>
      </c>
      <c r="W644" s="186" t="str">
        <f ca="1">OFFSET('배치점수 계산기'!M$10,$D644,0)</f>
        <v>표점</v>
      </c>
      <c r="X644" s="184" t="str">
        <f ca="1">OFFSET('배치점수 계산기'!N$10,$D644,0)</f>
        <v>표점</v>
      </c>
      <c r="Y644" s="188">
        <f ca="1">OFFSET(환산공식!FW$15,$F644,0)</f>
        <v>0.38</v>
      </c>
      <c r="Z644" s="20">
        <f ca="1">OFFSET(환산공식!FX$15,$F644,0)</f>
        <v>0.31</v>
      </c>
      <c r="AA644" s="179">
        <f ca="1">OFFSET(환산공식!FY$15,$F644,0)</f>
        <v>0.31</v>
      </c>
      <c r="AB644" s="3"/>
      <c r="AD644">
        <f t="shared" ca="1" si="19"/>
        <v>6</v>
      </c>
      <c r="AF644" s="3"/>
      <c r="AG644" s="3"/>
      <c r="AH644" s="3"/>
    </row>
    <row r="645" spans="1:34">
      <c r="A645" s="198"/>
      <c r="B645" s="198"/>
      <c r="C645" s="198" t="s">
        <v>2097</v>
      </c>
      <c r="D645" s="195">
        <v>1645</v>
      </c>
      <c r="E645" s="195">
        <v>284</v>
      </c>
      <c r="F645" s="195">
        <v>284</v>
      </c>
      <c r="G645" s="239">
        <v>638</v>
      </c>
      <c r="H645" s="197" t="s">
        <v>79</v>
      </c>
      <c r="I645" s="242" t="s">
        <v>209</v>
      </c>
      <c r="J645" s="242" t="s">
        <v>8654</v>
      </c>
      <c r="K645" s="195" t="s">
        <v>71</v>
      </c>
      <c r="L645" s="20" t="str">
        <f ca="1">IF(OFFSET(환산공식!$ED$15,$F645,0)=1,"O","X")</f>
        <v>X</v>
      </c>
      <c r="M645" s="188">
        <f ca="1">IFERROR(OFFSET(환산공식!DJ$15,$F645,0),"")</f>
        <v>200</v>
      </c>
      <c r="N645" s="20" t="str">
        <f ca="1">IFERROR(CONCATENATE(ROUND(OFFSET(환산공식!DK$15,$F645,0),1),"%"),"")</f>
        <v>100%</v>
      </c>
      <c r="O645" s="20">
        <f ca="1">IFERROR(OFFSET(환산공식!DL$15,$F645,0),"")</f>
        <v>10</v>
      </c>
      <c r="P645" s="188" t="str">
        <f t="shared" ca="1" si="18"/>
        <v>3% 이하</v>
      </c>
      <c r="Q645" s="194">
        <f ca="1">IFERROR(ROUND(OFFSET(환산공식!$FG$15,$F645,0),3),"")</f>
        <v>0</v>
      </c>
      <c r="R645" s="194">
        <f ca="1">OFFSET('배치점수 계산기'!H$10,$D645,0)</f>
        <v>695.94100000000003</v>
      </c>
      <c r="S645" s="194">
        <f ca="1">OFFSET('배치점수 계산기'!I$10,$D645,0)</f>
        <v>694.51400000000001</v>
      </c>
      <c r="T645" s="194">
        <f ca="1">OFFSET('배치점수 계산기'!J$10,$D645,0)</f>
        <v>691.68499999999995</v>
      </c>
      <c r="U645" s="194">
        <f ca="1">OFFSET('배치점수 계산기'!K$10,$D645,0)</f>
        <v>689.08</v>
      </c>
      <c r="V645" s="194">
        <f ca="1">OFFSET('배치점수 계산기'!L$10,$D645,0)</f>
        <v>685.04</v>
      </c>
      <c r="W645" s="186" t="str">
        <f ca="1">OFFSET('배치점수 계산기'!M$10,$D645,0)</f>
        <v>표점</v>
      </c>
      <c r="X645" s="184" t="str">
        <f ca="1">OFFSET('배치점수 계산기'!N$10,$D645,0)</f>
        <v>표점</v>
      </c>
      <c r="Y645" s="188">
        <f ca="1">OFFSET(환산공식!FW$15,$F645,0)</f>
        <v>0.38</v>
      </c>
      <c r="Z645" s="20">
        <f ca="1">OFFSET(환산공식!FX$15,$F645,0)</f>
        <v>0.31</v>
      </c>
      <c r="AA645" s="179">
        <f ca="1">OFFSET(환산공식!FY$15,$F645,0)</f>
        <v>0.31</v>
      </c>
      <c r="AB645" s="3"/>
      <c r="AD645">
        <f t="shared" ca="1" si="19"/>
        <v>6</v>
      </c>
      <c r="AF645" s="3"/>
      <c r="AG645" s="3"/>
      <c r="AH645" s="3"/>
    </row>
    <row r="646" spans="1:34">
      <c r="A646" s="198"/>
      <c r="B646" s="198"/>
      <c r="C646" s="198" t="s">
        <v>2098</v>
      </c>
      <c r="D646" s="195">
        <v>1646</v>
      </c>
      <c r="E646" s="195">
        <v>284</v>
      </c>
      <c r="F646" s="195">
        <v>284</v>
      </c>
      <c r="G646" s="239">
        <v>639</v>
      </c>
      <c r="H646" s="197" t="s">
        <v>79</v>
      </c>
      <c r="I646" s="242" t="s">
        <v>209</v>
      </c>
      <c r="J646" s="242" t="s">
        <v>8618</v>
      </c>
      <c r="K646" s="195" t="s">
        <v>71</v>
      </c>
      <c r="L646" s="20" t="str">
        <f ca="1">IF(OFFSET(환산공식!$ED$15,$F646,0)=1,"O","X")</f>
        <v>X</v>
      </c>
      <c r="M646" s="188">
        <f ca="1">IFERROR(OFFSET(환산공식!DJ$15,$F646,0),"")</f>
        <v>200</v>
      </c>
      <c r="N646" s="20" t="str">
        <f ca="1">IFERROR(CONCATENATE(ROUND(OFFSET(환산공식!DK$15,$F646,0),1),"%"),"")</f>
        <v>100%</v>
      </c>
      <c r="O646" s="20">
        <f ca="1">IFERROR(OFFSET(환산공식!DL$15,$F646,0),"")</f>
        <v>10</v>
      </c>
      <c r="P646" s="188" t="str">
        <f t="shared" ca="1" si="18"/>
        <v>3% 이하</v>
      </c>
      <c r="Q646" s="194">
        <f ca="1">IFERROR(ROUND(OFFSET(환산공식!$FG$15,$F646,0),3),"")</f>
        <v>0</v>
      </c>
      <c r="R646" s="194">
        <f ca="1">OFFSET('배치점수 계산기'!H$10,$D646,0)</f>
        <v>695.11500000000001</v>
      </c>
      <c r="S646" s="194">
        <f ca="1">OFFSET('배치점수 계산기'!I$10,$D646,0)</f>
        <v>693.37</v>
      </c>
      <c r="T646" s="194">
        <f ca="1">OFFSET('배치점수 계산기'!J$10,$D646,0)</f>
        <v>690.80899999999997</v>
      </c>
      <c r="U646" s="194">
        <f ca="1">OFFSET('배치점수 계산기'!K$10,$D646,0)</f>
        <v>688.19500000000005</v>
      </c>
      <c r="V646" s="194">
        <f ca="1">OFFSET('배치점수 계산기'!L$10,$D646,0)</f>
        <v>684.18899999999996</v>
      </c>
      <c r="W646" s="186" t="str">
        <f ca="1">OFFSET('배치점수 계산기'!M$10,$D646,0)</f>
        <v>표점</v>
      </c>
      <c r="X646" s="184" t="str">
        <f ca="1">OFFSET('배치점수 계산기'!N$10,$D646,0)</f>
        <v>표점</v>
      </c>
      <c r="Y646" s="188">
        <f ca="1">OFFSET(환산공식!FW$15,$F646,0)</f>
        <v>0.38</v>
      </c>
      <c r="Z646" s="20">
        <f ca="1">OFFSET(환산공식!FX$15,$F646,0)</f>
        <v>0.31</v>
      </c>
      <c r="AA646" s="179">
        <f ca="1">OFFSET(환산공식!FY$15,$F646,0)</f>
        <v>0.31</v>
      </c>
      <c r="AB646" s="3"/>
      <c r="AD646">
        <f t="shared" ca="1" si="19"/>
        <v>6</v>
      </c>
      <c r="AF646" s="3"/>
      <c r="AG646" s="3"/>
      <c r="AH646" s="3"/>
    </row>
    <row r="647" spans="1:34">
      <c r="A647" s="198"/>
      <c r="B647" s="198"/>
      <c r="C647" s="198" t="s">
        <v>2099</v>
      </c>
      <c r="D647" s="195">
        <v>1647</v>
      </c>
      <c r="E647" s="195">
        <v>284</v>
      </c>
      <c r="F647" s="195">
        <v>284</v>
      </c>
      <c r="G647" s="239">
        <v>640</v>
      </c>
      <c r="H647" s="197" t="s">
        <v>79</v>
      </c>
      <c r="I647" s="242" t="s">
        <v>209</v>
      </c>
      <c r="J647" s="242" t="s">
        <v>9285</v>
      </c>
      <c r="K647" s="195" t="s">
        <v>71</v>
      </c>
      <c r="L647" s="20" t="str">
        <f ca="1">IF(OFFSET(환산공식!$ED$15,$F647,0)=1,"O","X")</f>
        <v>X</v>
      </c>
      <c r="M647" s="188">
        <f ca="1">IFERROR(OFFSET(환산공식!DJ$15,$F647,0),"")</f>
        <v>200</v>
      </c>
      <c r="N647" s="20" t="str">
        <f ca="1">IFERROR(CONCATENATE(ROUND(OFFSET(환산공식!DK$15,$F647,0),1),"%"),"")</f>
        <v>100%</v>
      </c>
      <c r="O647" s="20">
        <f ca="1">IFERROR(OFFSET(환산공식!DL$15,$F647,0),"")</f>
        <v>10</v>
      </c>
      <c r="P647" s="188" t="str">
        <f t="shared" ca="1" si="18"/>
        <v>3% 이하</v>
      </c>
      <c r="Q647" s="194">
        <f ca="1">IFERROR(ROUND(OFFSET(환산공식!$FG$15,$F647,0),3),"")</f>
        <v>0</v>
      </c>
      <c r="R647" s="194">
        <f ca="1">OFFSET('배치점수 계산기'!H$10,$D647,0)</f>
        <v>692.97900000000004</v>
      </c>
      <c r="S647" s="194">
        <f ca="1">OFFSET('배치점수 계산기'!I$10,$D647,0)</f>
        <v>691.34100000000001</v>
      </c>
      <c r="T647" s="194">
        <f ca="1">OFFSET('배치점수 계산기'!J$10,$D647,0)</f>
        <v>688.68</v>
      </c>
      <c r="U647" s="194">
        <f ca="1">OFFSET('배치점수 계산기'!K$10,$D647,0)</f>
        <v>686.33399999999995</v>
      </c>
      <c r="V647" s="194">
        <f ca="1">OFFSET('배치점수 계산기'!L$10,$D647,0)</f>
        <v>682.35400000000004</v>
      </c>
      <c r="W647" s="186" t="str">
        <f ca="1">OFFSET('배치점수 계산기'!M$10,$D647,0)</f>
        <v>표점</v>
      </c>
      <c r="X647" s="184" t="str">
        <f ca="1">OFFSET('배치점수 계산기'!N$10,$D647,0)</f>
        <v>표점</v>
      </c>
      <c r="Y647" s="188">
        <f ca="1">OFFSET(환산공식!FW$15,$F647,0)</f>
        <v>0.38</v>
      </c>
      <c r="Z647" s="20">
        <f ca="1">OFFSET(환산공식!FX$15,$F647,0)</f>
        <v>0.31</v>
      </c>
      <c r="AA647" s="179">
        <f ca="1">OFFSET(환산공식!FY$15,$F647,0)</f>
        <v>0.31</v>
      </c>
      <c r="AB647" s="3"/>
      <c r="AD647">
        <f t="shared" ca="1" si="19"/>
        <v>6</v>
      </c>
      <c r="AF647" s="3"/>
      <c r="AG647" s="3"/>
      <c r="AH647" s="3"/>
    </row>
    <row r="648" spans="1:34">
      <c r="A648" s="198"/>
      <c r="B648" s="198"/>
      <c r="C648" s="198" t="s">
        <v>2100</v>
      </c>
      <c r="D648" s="195">
        <v>1648</v>
      </c>
      <c r="E648" s="195">
        <v>284</v>
      </c>
      <c r="F648" s="195">
        <v>284</v>
      </c>
      <c r="G648" s="239">
        <v>641</v>
      </c>
      <c r="H648" s="197" t="s">
        <v>79</v>
      </c>
      <c r="I648" s="242" t="s">
        <v>209</v>
      </c>
      <c r="J648" s="242" t="s">
        <v>8863</v>
      </c>
      <c r="K648" s="195" t="s">
        <v>71</v>
      </c>
      <c r="L648" s="20" t="str">
        <f ca="1">IF(OFFSET(환산공식!$ED$15,$F648,0)=1,"O","X")</f>
        <v>X</v>
      </c>
      <c r="M648" s="188">
        <f ca="1">IFERROR(OFFSET(환산공식!DJ$15,$F648,0),"")</f>
        <v>200</v>
      </c>
      <c r="N648" s="20" t="str">
        <f ca="1">IFERROR(CONCATENATE(ROUND(OFFSET(환산공식!DK$15,$F648,0),1),"%"),"")</f>
        <v>100%</v>
      </c>
      <c r="O648" s="20">
        <f ca="1">IFERROR(OFFSET(환산공식!DL$15,$F648,0),"")</f>
        <v>10</v>
      </c>
      <c r="P648" s="188" t="str">
        <f t="shared" ca="1" si="18"/>
        <v>3% 이하</v>
      </c>
      <c r="Q648" s="194">
        <f ca="1">IFERROR(ROUND(OFFSET(환산공식!$FG$15,$F648,0),3),"")</f>
        <v>0</v>
      </c>
      <c r="R648" s="194">
        <f ca="1">OFFSET('배치점수 계산기'!H$10,$D648,0)</f>
        <v>692.69500000000005</v>
      </c>
      <c r="S648" s="194">
        <f ca="1">OFFSET('배치점수 계산기'!I$10,$D648,0)</f>
        <v>691.08399999999995</v>
      </c>
      <c r="T648" s="194">
        <f ca="1">OFFSET('배치점수 계산기'!J$10,$D648,0)</f>
        <v>688.39599999999996</v>
      </c>
      <c r="U648" s="194">
        <f ca="1">OFFSET('배치점수 계산기'!K$10,$D648,0)</f>
        <v>686.05</v>
      </c>
      <c r="V648" s="194">
        <f ca="1">OFFSET('배치점수 계산기'!L$10,$D648,0)</f>
        <v>682.16</v>
      </c>
      <c r="W648" s="186" t="str">
        <f ca="1">OFFSET('배치점수 계산기'!M$10,$D648,0)</f>
        <v>표점</v>
      </c>
      <c r="X648" s="184" t="str">
        <f ca="1">OFFSET('배치점수 계산기'!N$10,$D648,0)</f>
        <v>표점</v>
      </c>
      <c r="Y648" s="188">
        <f ca="1">OFFSET(환산공식!FW$15,$F648,0)</f>
        <v>0.38</v>
      </c>
      <c r="Z648" s="20">
        <f ca="1">OFFSET(환산공식!FX$15,$F648,0)</f>
        <v>0.31</v>
      </c>
      <c r="AA648" s="179">
        <f ca="1">OFFSET(환산공식!FY$15,$F648,0)</f>
        <v>0.31</v>
      </c>
      <c r="AB648" s="3"/>
      <c r="AD648">
        <f t="shared" ca="1" si="19"/>
        <v>6</v>
      </c>
      <c r="AF648" s="3"/>
      <c r="AG648" s="3"/>
      <c r="AH648" s="3"/>
    </row>
    <row r="649" spans="1:34">
      <c r="A649" s="198"/>
      <c r="B649" s="198"/>
      <c r="C649" s="198" t="s">
        <v>2101</v>
      </c>
      <c r="D649" s="195">
        <v>1649</v>
      </c>
      <c r="E649" s="195">
        <v>284</v>
      </c>
      <c r="F649" s="195">
        <v>284</v>
      </c>
      <c r="G649" s="239">
        <v>642</v>
      </c>
      <c r="H649" s="197" t="s">
        <v>79</v>
      </c>
      <c r="I649" s="242" t="s">
        <v>209</v>
      </c>
      <c r="J649" s="242" t="s">
        <v>11465</v>
      </c>
      <c r="K649" s="195" t="s">
        <v>71</v>
      </c>
      <c r="L649" s="20" t="str">
        <f ca="1">IF(OFFSET(환산공식!$ED$15,$F649,0)=1,"O","X")</f>
        <v>X</v>
      </c>
      <c r="M649" s="188">
        <f ca="1">IFERROR(OFFSET(환산공식!DJ$15,$F649,0),"")</f>
        <v>200</v>
      </c>
      <c r="N649" s="20" t="str">
        <f ca="1">IFERROR(CONCATENATE(ROUND(OFFSET(환산공식!DK$15,$F649,0),1),"%"),"")</f>
        <v>100%</v>
      </c>
      <c r="O649" s="20">
        <f ca="1">IFERROR(OFFSET(환산공식!DL$15,$F649,0),"")</f>
        <v>10</v>
      </c>
      <c r="P649" s="188" t="str">
        <f t="shared" ref="P649:P712" ca="1" si="20"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>3% 이하</v>
      </c>
      <c r="Q649" s="194">
        <f ca="1">IFERROR(ROUND(OFFSET(환산공식!$FG$15,$F649,0),3),"")</f>
        <v>0</v>
      </c>
      <c r="R649" s="194">
        <f ca="1">OFFSET('배치점수 계산기'!H$10,$D649,0)</f>
        <v>692.36</v>
      </c>
      <c r="S649" s="194">
        <f ca="1">OFFSET('배치점수 계산기'!I$10,$D649,0)</f>
        <v>690.80899999999997</v>
      </c>
      <c r="T649" s="194">
        <f ca="1">OFFSET('배치점수 계산기'!J$10,$D649,0)</f>
        <v>688.19500000000005</v>
      </c>
      <c r="U649" s="194">
        <f ca="1">OFFSET('배치점수 계산기'!K$10,$D649,0)</f>
        <v>685.65899999999999</v>
      </c>
      <c r="V649" s="194">
        <f ca="1">OFFSET('배치점수 계산기'!L$10,$D649,0)</f>
        <v>681.88499999999999</v>
      </c>
      <c r="W649" s="186" t="str">
        <f ca="1">OFFSET('배치점수 계산기'!M$10,$D649,0)</f>
        <v>표점</v>
      </c>
      <c r="X649" s="184" t="str">
        <f ca="1">OFFSET('배치점수 계산기'!N$10,$D649,0)</f>
        <v>표점</v>
      </c>
      <c r="Y649" s="188">
        <f ca="1">OFFSET(환산공식!FW$15,$F649,0)</f>
        <v>0.38</v>
      </c>
      <c r="Z649" s="20">
        <f ca="1">OFFSET(환산공식!FX$15,$F649,0)</f>
        <v>0.31</v>
      </c>
      <c r="AA649" s="179">
        <f ca="1">OFFSET(환산공식!FY$15,$F649,0)</f>
        <v>0.31</v>
      </c>
      <c r="AB649" s="3"/>
      <c r="AD649">
        <f t="shared" ref="AD649:AD712" ca="1" si="21">IF(L649="X",6,IF(Q649&gt;R649,1,IF(Q649&gt;S649,2,IF(Q649&gt;T649,3,IF(Q649&gt;U649,4,IF(Q649&gt;=V649,5,IF(Q649&lt;V649,6,"")))))))</f>
        <v>6</v>
      </c>
      <c r="AF649" s="3"/>
      <c r="AG649" s="3"/>
      <c r="AH649" s="3"/>
    </row>
    <row r="650" spans="1:34">
      <c r="A650" s="198"/>
      <c r="B650" s="198"/>
      <c r="C650" s="198" t="s">
        <v>2102</v>
      </c>
      <c r="D650" s="195">
        <v>1650</v>
      </c>
      <c r="E650" s="195">
        <v>284</v>
      </c>
      <c r="F650" s="195">
        <v>284</v>
      </c>
      <c r="G650" s="239">
        <v>643</v>
      </c>
      <c r="H650" s="197" t="s">
        <v>79</v>
      </c>
      <c r="I650" s="242" t="s">
        <v>209</v>
      </c>
      <c r="J650" s="242" t="s">
        <v>562</v>
      </c>
      <c r="K650" s="195" t="s">
        <v>71</v>
      </c>
      <c r="L650" s="20" t="str">
        <f ca="1">IF(OFFSET(환산공식!$ED$15,$F650,0)=1,"O","X")</f>
        <v>X</v>
      </c>
      <c r="M650" s="188">
        <f ca="1">IFERROR(OFFSET(환산공식!DJ$15,$F650,0),"")</f>
        <v>200</v>
      </c>
      <c r="N650" s="20" t="str">
        <f ca="1">IFERROR(CONCATENATE(ROUND(OFFSET(환산공식!DK$15,$F650,0),1),"%"),"")</f>
        <v>100%</v>
      </c>
      <c r="O650" s="20">
        <f ca="1">IFERROR(OFFSET(환산공식!DL$15,$F650,0),"")</f>
        <v>10</v>
      </c>
      <c r="P650" s="188" t="str">
        <f t="shared" ca="1" si="20"/>
        <v>3% 이하</v>
      </c>
      <c r="Q650" s="194">
        <f ca="1">IFERROR(ROUND(OFFSET(환산공식!$FG$15,$F650,0),3),"")</f>
        <v>0</v>
      </c>
      <c r="R650" s="194">
        <f ca="1">OFFSET('배치점수 계산기'!H$10,$D650,0)</f>
        <v>691.08399999999995</v>
      </c>
      <c r="S650" s="194">
        <f ca="1">OFFSET('배치점수 계산기'!I$10,$D650,0)</f>
        <v>689.48900000000003</v>
      </c>
      <c r="T650" s="194">
        <f ca="1">OFFSET('배치점수 계산기'!J$10,$D650,0)</f>
        <v>686.91899999999998</v>
      </c>
      <c r="U650" s="194">
        <f ca="1">OFFSET('배치점수 계산기'!K$10,$D650,0)</f>
        <v>684.38099999999997</v>
      </c>
      <c r="V650" s="194">
        <f ca="1">OFFSET('배치점수 계산기'!L$10,$D650,0)</f>
        <v>680.625</v>
      </c>
      <c r="W650" s="186" t="str">
        <f ca="1">OFFSET('배치점수 계산기'!M$10,$D650,0)</f>
        <v>표점</v>
      </c>
      <c r="X650" s="184" t="str">
        <f ca="1">OFFSET('배치점수 계산기'!N$10,$D650,0)</f>
        <v>표점</v>
      </c>
      <c r="Y650" s="188">
        <f ca="1">OFFSET(환산공식!FW$15,$F650,0)</f>
        <v>0.38</v>
      </c>
      <c r="Z650" s="20">
        <f ca="1">OFFSET(환산공식!FX$15,$F650,0)</f>
        <v>0.31</v>
      </c>
      <c r="AA650" s="179">
        <f ca="1">OFFSET(환산공식!FY$15,$F650,0)</f>
        <v>0.31</v>
      </c>
      <c r="AB650" s="3"/>
      <c r="AD650">
        <f t="shared" ca="1" si="21"/>
        <v>6</v>
      </c>
      <c r="AF650" s="3"/>
      <c r="AG650" s="3"/>
      <c r="AH650" s="3"/>
    </row>
    <row r="651" spans="1:34">
      <c r="A651" s="198"/>
      <c r="B651" s="198"/>
      <c r="C651" s="198" t="s">
        <v>2103</v>
      </c>
      <c r="D651" s="195">
        <v>1651</v>
      </c>
      <c r="E651" s="195">
        <v>284</v>
      </c>
      <c r="F651" s="195">
        <v>284</v>
      </c>
      <c r="G651" s="239">
        <v>644</v>
      </c>
      <c r="H651" s="197" t="s">
        <v>79</v>
      </c>
      <c r="I651" s="242" t="s">
        <v>209</v>
      </c>
      <c r="J651" s="242" t="s">
        <v>8214</v>
      </c>
      <c r="K651" s="195" t="s">
        <v>71</v>
      </c>
      <c r="L651" s="20" t="str">
        <f ca="1">IF(OFFSET(환산공식!$ED$15,$F651,0)=1,"O","X")</f>
        <v>X</v>
      </c>
      <c r="M651" s="188">
        <f ca="1">IFERROR(OFFSET(환산공식!DJ$15,$F651,0),"")</f>
        <v>200</v>
      </c>
      <c r="N651" s="20" t="str">
        <f ca="1">IFERROR(CONCATENATE(ROUND(OFFSET(환산공식!DK$15,$F651,0),1),"%"),"")</f>
        <v>100%</v>
      </c>
      <c r="O651" s="20">
        <f ca="1">IFERROR(OFFSET(환산공식!DL$15,$F651,0),"")</f>
        <v>10</v>
      </c>
      <c r="P651" s="188" t="str">
        <f t="shared" ca="1" si="20"/>
        <v>3% 이하</v>
      </c>
      <c r="Q651" s="194">
        <f ca="1">IFERROR(ROUND(OFFSET(환산공식!$FG$15,$F651,0),3),"")</f>
        <v>0</v>
      </c>
      <c r="R651" s="194">
        <f ca="1">OFFSET('배치점수 계산기'!H$10,$D651,0)</f>
        <v>688.68</v>
      </c>
      <c r="S651" s="194">
        <f ca="1">OFFSET('배치점수 계산기'!I$10,$D651,0)</f>
        <v>687.06</v>
      </c>
      <c r="T651" s="194">
        <f ca="1">OFFSET('배치점수 계산기'!J$10,$D651,0)</f>
        <v>684.64</v>
      </c>
      <c r="U651" s="194">
        <f ca="1">OFFSET('배치점수 계산기'!K$10,$D651,0)</f>
        <v>682.22</v>
      </c>
      <c r="V651" s="194">
        <f ca="1">OFFSET('배치점수 계산기'!L$10,$D651,0)</f>
        <v>678.60500000000002</v>
      </c>
      <c r="W651" s="186" t="str">
        <f ca="1">OFFSET('배치점수 계산기'!M$10,$D651,0)</f>
        <v>표점</v>
      </c>
      <c r="X651" s="184" t="str">
        <f ca="1">OFFSET('배치점수 계산기'!N$10,$D651,0)</f>
        <v>표점</v>
      </c>
      <c r="Y651" s="188">
        <f ca="1">OFFSET(환산공식!FW$15,$F651,0)</f>
        <v>0.38</v>
      </c>
      <c r="Z651" s="20">
        <f ca="1">OFFSET(환산공식!FX$15,$F651,0)</f>
        <v>0.31</v>
      </c>
      <c r="AA651" s="179">
        <f ca="1">OFFSET(환산공식!FY$15,$F651,0)</f>
        <v>0.31</v>
      </c>
      <c r="AB651" s="3"/>
      <c r="AD651">
        <f t="shared" ca="1" si="21"/>
        <v>6</v>
      </c>
      <c r="AF651" s="3"/>
      <c r="AG651" s="3"/>
      <c r="AH651" s="3"/>
    </row>
    <row r="652" spans="1:34">
      <c r="A652" s="198"/>
      <c r="B652" s="198"/>
      <c r="C652" s="198" t="s">
        <v>2104</v>
      </c>
      <c r="D652" s="195">
        <v>1652</v>
      </c>
      <c r="E652" s="195">
        <v>284</v>
      </c>
      <c r="F652" s="195">
        <v>284</v>
      </c>
      <c r="G652" s="239">
        <v>645</v>
      </c>
      <c r="H652" s="197" t="s">
        <v>79</v>
      </c>
      <c r="I652" s="242" t="s">
        <v>209</v>
      </c>
      <c r="J652" s="242" t="s">
        <v>8877</v>
      </c>
      <c r="K652" s="195" t="s">
        <v>71</v>
      </c>
      <c r="L652" s="20" t="str">
        <f ca="1">IF(OFFSET(환산공식!$ED$15,$F652,0)=1,"O","X")</f>
        <v>X</v>
      </c>
      <c r="M652" s="188">
        <f ca="1">IFERROR(OFFSET(환산공식!DJ$15,$F652,0),"")</f>
        <v>200</v>
      </c>
      <c r="N652" s="20" t="str">
        <f ca="1">IFERROR(CONCATENATE(ROUND(OFFSET(환산공식!DK$15,$F652,0),1),"%"),"")</f>
        <v>100%</v>
      </c>
      <c r="O652" s="20">
        <f ca="1">IFERROR(OFFSET(환산공식!DL$15,$F652,0),"")</f>
        <v>10</v>
      </c>
      <c r="P652" s="188" t="str">
        <f t="shared" ca="1" si="20"/>
        <v>3% 이하</v>
      </c>
      <c r="Q652" s="194">
        <f ca="1">IFERROR(ROUND(OFFSET(환산공식!$FG$15,$F652,0),3),"")</f>
        <v>0</v>
      </c>
      <c r="R652" s="194">
        <f ca="1">OFFSET('배치점수 계산기'!H$10,$D652,0)</f>
        <v>677.35400000000004</v>
      </c>
      <c r="S652" s="194">
        <f ca="1">OFFSET('배치점수 계산기'!I$10,$D652,0)</f>
        <v>676.00800000000004</v>
      </c>
      <c r="T652" s="194">
        <f ca="1">OFFSET('배치점수 계산기'!J$10,$D652,0)</f>
        <v>673.87199999999996</v>
      </c>
      <c r="U652" s="194">
        <f ca="1">OFFSET('배치점수 계산기'!K$10,$D652,0)</f>
        <v>671.60199999999998</v>
      </c>
      <c r="V652" s="194">
        <f ca="1">OFFSET('배치점수 계산기'!L$10,$D652,0)</f>
        <v>668.39200000000005</v>
      </c>
      <c r="W652" s="186" t="str">
        <f ca="1">OFFSET('배치점수 계산기'!M$10,$D652,0)</f>
        <v>표점</v>
      </c>
      <c r="X652" s="184" t="str">
        <f ca="1">OFFSET('배치점수 계산기'!N$10,$D652,0)</f>
        <v>표점</v>
      </c>
      <c r="Y652" s="188">
        <f ca="1">OFFSET(환산공식!FW$15,$F652,0)</f>
        <v>0.38</v>
      </c>
      <c r="Z652" s="20">
        <f ca="1">OFFSET(환산공식!FX$15,$F652,0)</f>
        <v>0.31</v>
      </c>
      <c r="AA652" s="179">
        <f ca="1">OFFSET(환산공식!FY$15,$F652,0)</f>
        <v>0.31</v>
      </c>
      <c r="AB652" s="3"/>
      <c r="AD652">
        <f t="shared" ca="1" si="21"/>
        <v>6</v>
      </c>
      <c r="AF652" s="3"/>
      <c r="AG652" s="3"/>
      <c r="AH652" s="3"/>
    </row>
    <row r="653" spans="1:34">
      <c r="A653" s="198"/>
      <c r="B653" s="198"/>
      <c r="C653" s="198" t="s">
        <v>2105</v>
      </c>
      <c r="D653" s="195">
        <v>1653</v>
      </c>
      <c r="E653" s="195">
        <v>204</v>
      </c>
      <c r="F653" s="195">
        <v>204</v>
      </c>
      <c r="G653" s="239">
        <v>646</v>
      </c>
      <c r="H653" s="197" t="s">
        <v>79</v>
      </c>
      <c r="I653" s="242" t="s">
        <v>212</v>
      </c>
      <c r="J653" s="242" t="s">
        <v>8011</v>
      </c>
      <c r="K653" s="195" t="s">
        <v>70</v>
      </c>
      <c r="L653" s="20" t="str">
        <f ca="1">IF(OFFSET(환산공식!$ED$15,$F653,0)=1,"O","X")</f>
        <v>X</v>
      </c>
      <c r="M653" s="188">
        <f ca="1">IFERROR(OFFSET(환산공식!DJ$15,$F653,0),"")</f>
        <v>200</v>
      </c>
      <c r="N653" s="20" t="str">
        <f ca="1">IFERROR(CONCATENATE(ROUND(OFFSET(환산공식!DK$15,$F653,0),1),"%"),"")</f>
        <v>100%</v>
      </c>
      <c r="O653" s="20">
        <f ca="1">IFERROR(OFFSET(환산공식!DL$15,$F653,0),"")</f>
        <v>10</v>
      </c>
      <c r="P653" s="188" t="str">
        <f t="shared" ca="1" si="20"/>
        <v>3% 이하</v>
      </c>
      <c r="Q653" s="194">
        <f ca="1">IFERROR(ROUND(OFFSET(환산공식!$FG$15,$F653,0),3),"")</f>
        <v>0</v>
      </c>
      <c r="R653" s="194">
        <f ca="1">OFFSET('배치점수 계산기'!H$10,$D653,0)</f>
        <v>875.65200000000004</v>
      </c>
      <c r="S653" s="194">
        <f ca="1">OFFSET('배치점수 계산기'!I$10,$D653,0)</f>
        <v>873.30899999999997</v>
      </c>
      <c r="T653" s="194">
        <f ca="1">OFFSET('배치점수 계산기'!J$10,$D653,0)</f>
        <v>869.048</v>
      </c>
      <c r="U653" s="194">
        <f ca="1">OFFSET('배치점수 계산기'!K$10,$D653,0)</f>
        <v>863.6</v>
      </c>
      <c r="V653" s="194">
        <f ca="1">OFFSET('배치점수 계산기'!L$10,$D653,0)</f>
        <v>856.48099999999999</v>
      </c>
      <c r="W653" s="186" t="str">
        <f ca="1">OFFSET('배치점수 계산기'!M$10,$D653,0)</f>
        <v>표점/만점</v>
      </c>
      <c r="X653" s="184" t="str">
        <f ca="1">OFFSET('배치점수 계산기'!N$10,$D653,0)</f>
        <v>표점/만점</v>
      </c>
      <c r="Y653" s="188">
        <f ca="1">OFFSET(환산공식!FW$15,$F653,0)</f>
        <v>0.3</v>
      </c>
      <c r="Z653" s="20">
        <f ca="1">OFFSET(환산공식!FX$15,$F653,0)</f>
        <v>0.4</v>
      </c>
      <c r="AA653" s="179">
        <f ca="1">OFFSET(환산공식!FY$15,$F653,0)</f>
        <v>0.3</v>
      </c>
      <c r="AB653" s="3"/>
      <c r="AD653">
        <f t="shared" ca="1" si="21"/>
        <v>6</v>
      </c>
      <c r="AF653" s="3"/>
      <c r="AG653" s="3"/>
      <c r="AH653" s="3"/>
    </row>
    <row r="654" spans="1:34">
      <c r="A654" s="198"/>
      <c r="B654" s="198"/>
      <c r="C654" s="198" t="s">
        <v>2106</v>
      </c>
      <c r="D654" s="195">
        <v>1654</v>
      </c>
      <c r="E654" s="195">
        <v>206</v>
      </c>
      <c r="F654" s="195">
        <v>206</v>
      </c>
      <c r="G654" s="239">
        <v>647</v>
      </c>
      <c r="H654" s="197" t="s">
        <v>79</v>
      </c>
      <c r="I654" s="242" t="s">
        <v>212</v>
      </c>
      <c r="J654" s="242" t="s">
        <v>435</v>
      </c>
      <c r="K654" s="195" t="s">
        <v>70</v>
      </c>
      <c r="L654" s="20" t="str">
        <f ca="1">IF(OFFSET(환산공식!$ED$15,$F654,0)=1,"O","X")</f>
        <v>X</v>
      </c>
      <c r="M654" s="188">
        <f ca="1">IFERROR(OFFSET(환산공식!DJ$15,$F654,0),"")</f>
        <v>200</v>
      </c>
      <c r="N654" s="20" t="str">
        <f ca="1">IFERROR(CONCATENATE(ROUND(OFFSET(환산공식!DK$15,$F654,0),1),"%"),"")</f>
        <v>100%</v>
      </c>
      <c r="O654" s="20">
        <f ca="1">IFERROR(OFFSET(환산공식!DL$15,$F654,0),"")</f>
        <v>10</v>
      </c>
      <c r="P654" s="188" t="str">
        <f t="shared" ca="1" si="20"/>
        <v>3% 이하</v>
      </c>
      <c r="Q654" s="194">
        <f ca="1">IFERROR(ROUND(OFFSET(환산공식!$FG$15,$F654,0),3),"")</f>
        <v>0</v>
      </c>
      <c r="R654" s="194">
        <f ca="1">OFFSET('배치점수 계산기'!H$10,$D654,0)</f>
        <v>865.42899999999997</v>
      </c>
      <c r="S654" s="194">
        <f ca="1">OFFSET('배치점수 계산기'!I$10,$D654,0)</f>
        <v>863.09799999999996</v>
      </c>
      <c r="T654" s="194">
        <f ca="1">OFFSET('배치점수 계산기'!J$10,$D654,0)</f>
        <v>858.84799999999996</v>
      </c>
      <c r="U654" s="194">
        <f ca="1">OFFSET('배치점수 계산기'!K$10,$D654,0)</f>
        <v>853.327</v>
      </c>
      <c r="V654" s="194">
        <f ca="1">OFFSET('배치점수 계산기'!L$10,$D654,0)</f>
        <v>847.19500000000005</v>
      </c>
      <c r="W654" s="186" t="str">
        <f ca="1">OFFSET('배치점수 계산기'!M$10,$D654,0)</f>
        <v>표점/만점</v>
      </c>
      <c r="X654" s="184" t="str">
        <f ca="1">OFFSET('배치점수 계산기'!N$10,$D654,0)</f>
        <v>표점/만점</v>
      </c>
      <c r="Y654" s="188">
        <f ca="1">OFFSET(환산공식!FW$15,$F654,0)</f>
        <v>0.3</v>
      </c>
      <c r="Z654" s="20">
        <f ca="1">OFFSET(환산공식!FX$15,$F654,0)</f>
        <v>0.4</v>
      </c>
      <c r="AA654" s="179">
        <f ca="1">OFFSET(환산공식!FY$15,$F654,0)</f>
        <v>0.3</v>
      </c>
      <c r="AB654" s="3"/>
      <c r="AD654">
        <f t="shared" ca="1" si="21"/>
        <v>6</v>
      </c>
      <c r="AF654" s="3"/>
      <c r="AG654" s="3"/>
      <c r="AH654" s="3"/>
    </row>
    <row r="655" spans="1:34">
      <c r="A655" s="198"/>
      <c r="B655" s="198"/>
      <c r="C655" s="198" t="s">
        <v>2107</v>
      </c>
      <c r="D655" s="195">
        <v>1655</v>
      </c>
      <c r="E655" s="195">
        <v>206</v>
      </c>
      <c r="F655" s="195">
        <v>206</v>
      </c>
      <c r="G655" s="239">
        <v>648</v>
      </c>
      <c r="H655" s="197" t="s">
        <v>79</v>
      </c>
      <c r="I655" s="242" t="s">
        <v>212</v>
      </c>
      <c r="J655" s="242" t="s">
        <v>12439</v>
      </c>
      <c r="K655" s="195" t="s">
        <v>70</v>
      </c>
      <c r="L655" s="20" t="str">
        <f ca="1">IF(OFFSET(환산공식!$ED$15,$F655,0)=1,"O","X")</f>
        <v>X</v>
      </c>
      <c r="M655" s="188">
        <f ca="1">IFERROR(OFFSET(환산공식!DJ$15,$F655,0),"")</f>
        <v>200</v>
      </c>
      <c r="N655" s="20" t="str">
        <f ca="1">IFERROR(CONCATENATE(ROUND(OFFSET(환산공식!DK$15,$F655,0),1),"%"),"")</f>
        <v>100%</v>
      </c>
      <c r="O655" s="20">
        <f ca="1">IFERROR(OFFSET(환산공식!DL$15,$F655,0),"")</f>
        <v>10</v>
      </c>
      <c r="P655" s="188" t="str">
        <f t="shared" ca="1" si="20"/>
        <v>3% 이하</v>
      </c>
      <c r="Q655" s="194">
        <f ca="1">IFERROR(ROUND(OFFSET(환산공식!$FG$15,$F655,0),3),"")</f>
        <v>0</v>
      </c>
      <c r="R655" s="194">
        <f ca="1">OFFSET('배치점수 계산기'!H$10,$D655,0)</f>
        <v>857.20899999999995</v>
      </c>
      <c r="S655" s="194">
        <f ca="1">OFFSET('배치점수 계산기'!I$10,$D655,0)</f>
        <v>854.64</v>
      </c>
      <c r="T655" s="194">
        <f ca="1">OFFSET('배치점수 계산기'!J$10,$D655,0)</f>
        <v>850.56500000000005</v>
      </c>
      <c r="U655" s="194">
        <f ca="1">OFFSET('배치점수 계산기'!K$10,$D655,0)</f>
        <v>845.93</v>
      </c>
      <c r="V655" s="194">
        <f ca="1">OFFSET('배치점수 계산기'!L$10,$D655,0)</f>
        <v>840.64499999999998</v>
      </c>
      <c r="W655" s="186" t="str">
        <f ca="1">OFFSET('배치점수 계산기'!M$10,$D655,0)</f>
        <v>표점/만점</v>
      </c>
      <c r="X655" s="184" t="str">
        <f ca="1">OFFSET('배치점수 계산기'!N$10,$D655,0)</f>
        <v>표점/만점</v>
      </c>
      <c r="Y655" s="188">
        <f ca="1">OFFSET(환산공식!FW$15,$F655,0)</f>
        <v>0.3</v>
      </c>
      <c r="Z655" s="20">
        <f ca="1">OFFSET(환산공식!FX$15,$F655,0)</f>
        <v>0.4</v>
      </c>
      <c r="AA655" s="179">
        <f ca="1">OFFSET(환산공식!FY$15,$F655,0)</f>
        <v>0.3</v>
      </c>
      <c r="AB655" s="3"/>
      <c r="AD655">
        <f t="shared" ca="1" si="21"/>
        <v>6</v>
      </c>
      <c r="AF655" s="3"/>
      <c r="AG655" s="3"/>
      <c r="AH655" s="3"/>
    </row>
    <row r="656" spans="1:34">
      <c r="A656" s="198"/>
      <c r="B656" s="198"/>
      <c r="C656" s="198" t="s">
        <v>2108</v>
      </c>
      <c r="D656" s="195">
        <v>1656</v>
      </c>
      <c r="E656" s="195">
        <v>206</v>
      </c>
      <c r="F656" s="195">
        <v>206</v>
      </c>
      <c r="G656" s="239">
        <v>649</v>
      </c>
      <c r="H656" s="197" t="s">
        <v>79</v>
      </c>
      <c r="I656" s="242" t="s">
        <v>212</v>
      </c>
      <c r="J656" s="242" t="s">
        <v>9339</v>
      </c>
      <c r="K656" s="195" t="s">
        <v>70</v>
      </c>
      <c r="L656" s="20" t="str">
        <f ca="1">IF(OFFSET(환산공식!$ED$15,$F656,0)=1,"O","X")</f>
        <v>X</v>
      </c>
      <c r="M656" s="188">
        <f ca="1">IFERROR(OFFSET(환산공식!DJ$15,$F656,0),"")</f>
        <v>200</v>
      </c>
      <c r="N656" s="20" t="str">
        <f ca="1">IFERROR(CONCATENATE(ROUND(OFFSET(환산공식!DK$15,$F656,0),1),"%"),"")</f>
        <v>100%</v>
      </c>
      <c r="O656" s="20">
        <f ca="1">IFERROR(OFFSET(환산공식!DL$15,$F656,0),"")</f>
        <v>10</v>
      </c>
      <c r="P656" s="188" t="str">
        <f t="shared" ca="1" si="20"/>
        <v>3% 이하</v>
      </c>
      <c r="Q656" s="194">
        <f ca="1">IFERROR(ROUND(OFFSET(환산공식!$FG$15,$F656,0),3),"")</f>
        <v>0</v>
      </c>
      <c r="R656" s="194">
        <f ca="1">OFFSET('배치점수 계산기'!H$10,$D656,0)</f>
        <v>854.41</v>
      </c>
      <c r="S656" s="194">
        <f ca="1">OFFSET('배치점수 계산기'!I$10,$D656,0)</f>
        <v>852.01300000000003</v>
      </c>
      <c r="T656" s="194">
        <f ca="1">OFFSET('배치점수 계산기'!J$10,$D656,0)</f>
        <v>848.31</v>
      </c>
      <c r="U656" s="194">
        <f ca="1">OFFSET('배치점수 계산기'!K$10,$D656,0)</f>
        <v>843.93799999999999</v>
      </c>
      <c r="V656" s="194">
        <f ca="1">OFFSET('배치점수 계산기'!L$10,$D656,0)</f>
        <v>838.67899999999997</v>
      </c>
      <c r="W656" s="186" t="str">
        <f ca="1">OFFSET('배치점수 계산기'!M$10,$D656,0)</f>
        <v>표점/만점</v>
      </c>
      <c r="X656" s="184" t="str">
        <f ca="1">OFFSET('배치점수 계산기'!N$10,$D656,0)</f>
        <v>표점/만점</v>
      </c>
      <c r="Y656" s="188">
        <f ca="1">OFFSET(환산공식!FW$15,$F656,0)</f>
        <v>0.3</v>
      </c>
      <c r="Z656" s="20">
        <f ca="1">OFFSET(환산공식!FX$15,$F656,0)</f>
        <v>0.4</v>
      </c>
      <c r="AA656" s="179">
        <f ca="1">OFFSET(환산공식!FY$15,$F656,0)</f>
        <v>0.3</v>
      </c>
      <c r="AB656" s="3"/>
      <c r="AD656">
        <f t="shared" ca="1" si="21"/>
        <v>6</v>
      </c>
      <c r="AF656" s="3"/>
      <c r="AG656" s="3"/>
      <c r="AH656" s="3"/>
    </row>
    <row r="657" spans="1:34">
      <c r="A657" s="198"/>
      <c r="B657" s="198"/>
      <c r="C657" s="198" t="s">
        <v>2109</v>
      </c>
      <c r="D657" s="195">
        <v>1657</v>
      </c>
      <c r="E657" s="195">
        <v>205</v>
      </c>
      <c r="F657" s="195">
        <v>205</v>
      </c>
      <c r="G657" s="239">
        <v>650</v>
      </c>
      <c r="H657" s="197" t="s">
        <v>79</v>
      </c>
      <c r="I657" s="242" t="s">
        <v>212</v>
      </c>
      <c r="J657" s="242" t="s">
        <v>551</v>
      </c>
      <c r="K657" s="195" t="s">
        <v>70</v>
      </c>
      <c r="L657" s="20" t="str">
        <f ca="1">IF(OFFSET(환산공식!$ED$15,$F657,0)=1,"O","X")</f>
        <v>X</v>
      </c>
      <c r="M657" s="188">
        <f ca="1">IFERROR(OFFSET(환산공식!DJ$15,$F657,0),"")</f>
        <v>200</v>
      </c>
      <c r="N657" s="20" t="str">
        <f ca="1">IFERROR(CONCATENATE(ROUND(OFFSET(환산공식!DK$15,$F657,0),1),"%"),"")</f>
        <v>100%</v>
      </c>
      <c r="O657" s="20">
        <f ca="1">IFERROR(OFFSET(환산공식!DL$15,$F657,0),"")</f>
        <v>10</v>
      </c>
      <c r="P657" s="188" t="str">
        <f t="shared" ca="1" si="20"/>
        <v>3% 이하</v>
      </c>
      <c r="Q657" s="194">
        <f ca="1">IFERROR(ROUND(OFFSET(환산공식!$FG$15,$F657,0),3),"")</f>
        <v>0</v>
      </c>
      <c r="R657" s="194">
        <f ca="1">OFFSET('배치점수 계산기'!H$10,$D657,0)</f>
        <v>851.505</v>
      </c>
      <c r="S657" s="194">
        <f ca="1">OFFSET('배치점수 계산기'!I$10,$D657,0)</f>
        <v>849.428</v>
      </c>
      <c r="T657" s="194">
        <f ca="1">OFFSET('배치점수 계산기'!J$10,$D657,0)</f>
        <v>845.59699999999998</v>
      </c>
      <c r="U657" s="194">
        <f ca="1">OFFSET('배치점수 계산기'!K$10,$D657,0)</f>
        <v>841.38800000000003</v>
      </c>
      <c r="V657" s="194">
        <f ca="1">OFFSET('배치점수 계산기'!L$10,$D657,0)</f>
        <v>835.89300000000003</v>
      </c>
      <c r="W657" s="186" t="str">
        <f ca="1">OFFSET('배치점수 계산기'!M$10,$D657,0)</f>
        <v>표점/만점</v>
      </c>
      <c r="X657" s="184" t="str">
        <f ca="1">OFFSET('배치점수 계산기'!N$10,$D657,0)</f>
        <v>표점/만점</v>
      </c>
      <c r="Y657" s="188">
        <f ca="1">OFFSET(환산공식!FW$15,$F657,0)</f>
        <v>0.3</v>
      </c>
      <c r="Z657" s="20">
        <f ca="1">OFFSET(환산공식!FX$15,$F657,0)</f>
        <v>0.4</v>
      </c>
      <c r="AA657" s="179">
        <f ca="1">OFFSET(환산공식!FY$15,$F657,0)</f>
        <v>0.3</v>
      </c>
      <c r="AB657" s="3"/>
      <c r="AD657">
        <f t="shared" ca="1" si="21"/>
        <v>6</v>
      </c>
      <c r="AF657" s="3"/>
      <c r="AG657" s="3"/>
      <c r="AH657" s="3"/>
    </row>
    <row r="658" spans="1:34">
      <c r="A658" s="198"/>
      <c r="B658" s="198"/>
      <c r="C658" s="198" t="s">
        <v>2110</v>
      </c>
      <c r="D658" s="195">
        <v>1658</v>
      </c>
      <c r="E658" s="195">
        <v>204</v>
      </c>
      <c r="F658" s="195">
        <v>204</v>
      </c>
      <c r="G658" s="239">
        <v>651</v>
      </c>
      <c r="H658" s="197" t="s">
        <v>79</v>
      </c>
      <c r="I658" s="242" t="s">
        <v>212</v>
      </c>
      <c r="J658" s="242" t="s">
        <v>9622</v>
      </c>
      <c r="K658" s="195" t="s">
        <v>70</v>
      </c>
      <c r="L658" s="20" t="str">
        <f ca="1">IF(OFFSET(환산공식!$ED$15,$F658,0)=1,"O","X")</f>
        <v>X</v>
      </c>
      <c r="M658" s="188">
        <f ca="1">IFERROR(OFFSET(환산공식!DJ$15,$F658,0),"")</f>
        <v>200</v>
      </c>
      <c r="N658" s="20" t="str">
        <f ca="1">IFERROR(CONCATENATE(ROUND(OFFSET(환산공식!DK$15,$F658,0),1),"%"),"")</f>
        <v>100%</v>
      </c>
      <c r="O658" s="20">
        <f ca="1">IFERROR(OFFSET(환산공식!DL$15,$F658,0),"")</f>
        <v>10</v>
      </c>
      <c r="P658" s="188" t="str">
        <f t="shared" ca="1" si="20"/>
        <v>3% 이하</v>
      </c>
      <c r="Q658" s="194">
        <f ca="1">IFERROR(ROUND(OFFSET(환산공식!$FG$15,$F658,0),3),"")</f>
        <v>0</v>
      </c>
      <c r="R658" s="194">
        <f ca="1">OFFSET('배치점수 계산기'!H$10,$D658,0)</f>
        <v>846.69200000000001</v>
      </c>
      <c r="S658" s="194">
        <f ca="1">OFFSET('배치점수 계산기'!I$10,$D658,0)</f>
        <v>844.50099999999998</v>
      </c>
      <c r="T658" s="194">
        <f ca="1">OFFSET('배치점수 계산기'!J$10,$D658,0)</f>
        <v>840.81399999999996</v>
      </c>
      <c r="U658" s="194">
        <f ca="1">OFFSET('배치점수 계산기'!K$10,$D658,0)</f>
        <v>836.43600000000004</v>
      </c>
      <c r="V658" s="194">
        <f ca="1">OFFSET('배치점수 계산기'!L$10,$D658,0)</f>
        <v>830.72799999999995</v>
      </c>
      <c r="W658" s="186" t="str">
        <f ca="1">OFFSET('배치점수 계산기'!M$10,$D658,0)</f>
        <v>표점/만점</v>
      </c>
      <c r="X658" s="184" t="str">
        <f ca="1">OFFSET('배치점수 계산기'!N$10,$D658,0)</f>
        <v>표점/만점</v>
      </c>
      <c r="Y658" s="188">
        <f ca="1">OFFSET(환산공식!FW$15,$F658,0)</f>
        <v>0.3</v>
      </c>
      <c r="Z658" s="20">
        <f ca="1">OFFSET(환산공식!FX$15,$F658,0)</f>
        <v>0.4</v>
      </c>
      <c r="AA658" s="179">
        <f ca="1">OFFSET(환산공식!FY$15,$F658,0)</f>
        <v>0.3</v>
      </c>
      <c r="AB658" s="3"/>
      <c r="AD658">
        <f t="shared" ca="1" si="21"/>
        <v>6</v>
      </c>
      <c r="AF658" s="3"/>
      <c r="AG658" s="3"/>
      <c r="AH658" s="3"/>
    </row>
    <row r="659" spans="1:34">
      <c r="A659" s="198"/>
      <c r="B659" s="198"/>
      <c r="C659" s="198" t="s">
        <v>2111</v>
      </c>
      <c r="D659" s="195">
        <v>1659</v>
      </c>
      <c r="E659" s="195">
        <v>206</v>
      </c>
      <c r="F659" s="195">
        <v>206</v>
      </c>
      <c r="G659" s="239">
        <v>652</v>
      </c>
      <c r="H659" s="197" t="s">
        <v>79</v>
      </c>
      <c r="I659" s="242" t="s">
        <v>212</v>
      </c>
      <c r="J659" s="242" t="s">
        <v>10236</v>
      </c>
      <c r="K659" s="195" t="s">
        <v>70</v>
      </c>
      <c r="L659" s="20" t="str">
        <f ca="1">IF(OFFSET(환산공식!$ED$15,$F659,0)=1,"O","X")</f>
        <v>X</v>
      </c>
      <c r="M659" s="188">
        <f ca="1">IFERROR(OFFSET(환산공식!DJ$15,$F659,0),"")</f>
        <v>200</v>
      </c>
      <c r="N659" s="20" t="str">
        <f ca="1">IFERROR(CONCATENATE(ROUND(OFFSET(환산공식!DK$15,$F659,0),1),"%"),"")</f>
        <v>100%</v>
      </c>
      <c r="O659" s="20">
        <f ca="1">IFERROR(OFFSET(환산공식!DL$15,$F659,0),"")</f>
        <v>10</v>
      </c>
      <c r="P659" s="188" t="str">
        <f t="shared" ca="1" si="20"/>
        <v>3% 이하</v>
      </c>
      <c r="Q659" s="194">
        <f ca="1">IFERROR(ROUND(OFFSET(환산공식!$FG$15,$F659,0),3),"")</f>
        <v>0</v>
      </c>
      <c r="R659" s="194">
        <f ca="1">OFFSET('배치점수 계산기'!H$10,$D659,0)</f>
        <v>844.64499999999998</v>
      </c>
      <c r="S659" s="194">
        <f ca="1">OFFSET('배치점수 계산기'!I$10,$D659,0)</f>
        <v>842.84199999999998</v>
      </c>
      <c r="T659" s="194">
        <f ca="1">OFFSET('배치점수 계산기'!J$10,$D659,0)</f>
        <v>839.38599999999997</v>
      </c>
      <c r="U659" s="194">
        <f ca="1">OFFSET('배치점수 계산기'!K$10,$D659,0)</f>
        <v>834.96699999999998</v>
      </c>
      <c r="V659" s="194">
        <f ca="1">OFFSET('배치점수 계산기'!L$10,$D659,0)</f>
        <v>829.25199999999995</v>
      </c>
      <c r="W659" s="186" t="str">
        <f ca="1">OFFSET('배치점수 계산기'!M$10,$D659,0)</f>
        <v>표점/만점</v>
      </c>
      <c r="X659" s="184" t="str">
        <f ca="1">OFFSET('배치점수 계산기'!N$10,$D659,0)</f>
        <v>표점/만점</v>
      </c>
      <c r="Y659" s="188">
        <f ca="1">OFFSET(환산공식!FW$15,$F659,0)</f>
        <v>0.3</v>
      </c>
      <c r="Z659" s="20">
        <f ca="1">OFFSET(환산공식!FX$15,$F659,0)</f>
        <v>0.4</v>
      </c>
      <c r="AA659" s="179">
        <f ca="1">OFFSET(환산공식!FY$15,$F659,0)</f>
        <v>0.3</v>
      </c>
      <c r="AB659" s="3"/>
      <c r="AD659">
        <f t="shared" ca="1" si="21"/>
        <v>6</v>
      </c>
      <c r="AF659" s="3"/>
      <c r="AG659" s="3"/>
      <c r="AH659" s="3"/>
    </row>
    <row r="660" spans="1:34">
      <c r="A660" s="198"/>
      <c r="B660" s="198"/>
      <c r="C660" s="198" t="s">
        <v>2112</v>
      </c>
      <c r="D660" s="195">
        <v>1660</v>
      </c>
      <c r="E660" s="195">
        <v>204</v>
      </c>
      <c r="F660" s="195">
        <v>204</v>
      </c>
      <c r="G660" s="239">
        <v>653</v>
      </c>
      <c r="H660" s="197" t="s">
        <v>79</v>
      </c>
      <c r="I660" s="242" t="s">
        <v>212</v>
      </c>
      <c r="J660" s="242" t="s">
        <v>9252</v>
      </c>
      <c r="K660" s="195" t="s">
        <v>70</v>
      </c>
      <c r="L660" s="20" t="str">
        <f ca="1">IF(OFFSET(환산공식!$ED$15,$F660,0)=1,"O","X")</f>
        <v>X</v>
      </c>
      <c r="M660" s="188">
        <f ca="1">IFERROR(OFFSET(환산공식!DJ$15,$F660,0),"")</f>
        <v>200</v>
      </c>
      <c r="N660" s="20" t="str">
        <f ca="1">IFERROR(CONCATENATE(ROUND(OFFSET(환산공식!DK$15,$F660,0),1),"%"),"")</f>
        <v>100%</v>
      </c>
      <c r="O660" s="20">
        <f ca="1">IFERROR(OFFSET(환산공식!DL$15,$F660,0),"")</f>
        <v>10</v>
      </c>
      <c r="P660" s="188" t="str">
        <f t="shared" ca="1" si="20"/>
        <v>3% 이하</v>
      </c>
      <c r="Q660" s="194">
        <f ca="1">IFERROR(ROUND(OFFSET(환산공식!$FG$15,$F660,0),3),"")</f>
        <v>0</v>
      </c>
      <c r="R660" s="194">
        <f ca="1">OFFSET('배치점수 계산기'!H$10,$D660,0)</f>
        <v>843.93799999999999</v>
      </c>
      <c r="S660" s="194">
        <f ca="1">OFFSET('배치점수 계산기'!I$10,$D660,0)</f>
        <v>841.91</v>
      </c>
      <c r="T660" s="194">
        <f ca="1">OFFSET('배치점수 계산기'!J$10,$D660,0)</f>
        <v>838.49</v>
      </c>
      <c r="U660" s="194">
        <f ca="1">OFFSET('배치점수 계산기'!K$10,$D660,0)</f>
        <v>834.07100000000003</v>
      </c>
      <c r="V660" s="194">
        <f ca="1">OFFSET('배치점수 계산기'!L$10,$D660,0)</f>
        <v>828.15599999999995</v>
      </c>
      <c r="W660" s="186" t="str">
        <f ca="1">OFFSET('배치점수 계산기'!M$10,$D660,0)</f>
        <v>표점/만점</v>
      </c>
      <c r="X660" s="184" t="str">
        <f ca="1">OFFSET('배치점수 계산기'!N$10,$D660,0)</f>
        <v>표점/만점</v>
      </c>
      <c r="Y660" s="188">
        <f ca="1">OFFSET(환산공식!FW$15,$F660,0)</f>
        <v>0.3</v>
      </c>
      <c r="Z660" s="20">
        <f ca="1">OFFSET(환산공식!FX$15,$F660,0)</f>
        <v>0.4</v>
      </c>
      <c r="AA660" s="179">
        <f ca="1">OFFSET(환산공식!FY$15,$F660,0)</f>
        <v>0.3</v>
      </c>
      <c r="AB660" s="3"/>
      <c r="AD660">
        <f t="shared" ca="1" si="21"/>
        <v>6</v>
      </c>
      <c r="AF660" s="3"/>
      <c r="AG660" s="3"/>
      <c r="AH660" s="3"/>
    </row>
    <row r="661" spans="1:34">
      <c r="A661" s="198"/>
      <c r="B661" s="198"/>
      <c r="C661" s="198" t="s">
        <v>2113</v>
      </c>
      <c r="D661" s="195">
        <v>1661</v>
      </c>
      <c r="E661" s="195">
        <v>205</v>
      </c>
      <c r="F661" s="195">
        <v>205</v>
      </c>
      <c r="G661" s="239">
        <v>654</v>
      </c>
      <c r="H661" s="197" t="s">
        <v>79</v>
      </c>
      <c r="I661" s="242" t="s">
        <v>212</v>
      </c>
      <c r="J661" s="242" t="s">
        <v>550</v>
      </c>
      <c r="K661" s="195" t="s">
        <v>70</v>
      </c>
      <c r="L661" s="20" t="str">
        <f ca="1">IF(OFFSET(환산공식!$ED$15,$F661,0)=1,"O","X")</f>
        <v>X</v>
      </c>
      <c r="M661" s="188">
        <f ca="1">IFERROR(OFFSET(환산공식!DJ$15,$F661,0),"")</f>
        <v>200</v>
      </c>
      <c r="N661" s="20" t="str">
        <f ca="1">IFERROR(CONCATENATE(ROUND(OFFSET(환산공식!DK$15,$F661,0),1),"%"),"")</f>
        <v>100%</v>
      </c>
      <c r="O661" s="20">
        <f ca="1">IFERROR(OFFSET(환산공식!DL$15,$F661,0),"")</f>
        <v>10</v>
      </c>
      <c r="P661" s="188" t="str">
        <f t="shared" ca="1" si="20"/>
        <v>3% 이하</v>
      </c>
      <c r="Q661" s="194">
        <f ca="1">IFERROR(ROUND(OFFSET(환산공식!$FG$15,$F661,0),3),"")</f>
        <v>0</v>
      </c>
      <c r="R661" s="194">
        <f ca="1">OFFSET('배치점수 계산기'!H$10,$D661,0)</f>
        <v>843.93799999999999</v>
      </c>
      <c r="S661" s="194">
        <f ca="1">OFFSET('배치점수 계산기'!I$10,$D661,0)</f>
        <v>842.09900000000005</v>
      </c>
      <c r="T661" s="194">
        <f ca="1">OFFSET('배치점수 계산기'!J$10,$D661,0)</f>
        <v>838.49</v>
      </c>
      <c r="U661" s="194">
        <f ca="1">OFFSET('배치점수 계산기'!K$10,$D661,0)</f>
        <v>833.88199999999995</v>
      </c>
      <c r="V661" s="194">
        <f ca="1">OFFSET('배치점수 계산기'!L$10,$D661,0)</f>
        <v>827.99300000000005</v>
      </c>
      <c r="W661" s="186" t="str">
        <f ca="1">OFFSET('배치점수 계산기'!M$10,$D661,0)</f>
        <v>표점/만점</v>
      </c>
      <c r="X661" s="184" t="str">
        <f ca="1">OFFSET('배치점수 계산기'!N$10,$D661,0)</f>
        <v>표점/만점</v>
      </c>
      <c r="Y661" s="188">
        <f ca="1">OFFSET(환산공식!FW$15,$F661,0)</f>
        <v>0.3</v>
      </c>
      <c r="Z661" s="20">
        <f ca="1">OFFSET(환산공식!FX$15,$F661,0)</f>
        <v>0.4</v>
      </c>
      <c r="AA661" s="179">
        <f ca="1">OFFSET(환산공식!FY$15,$F661,0)</f>
        <v>0.3</v>
      </c>
      <c r="AB661" s="3"/>
      <c r="AD661">
        <f t="shared" ca="1" si="21"/>
        <v>6</v>
      </c>
      <c r="AF661" s="3"/>
      <c r="AG661" s="3"/>
      <c r="AH661" s="3"/>
    </row>
    <row r="662" spans="1:34">
      <c r="A662" s="198"/>
      <c r="B662" s="198"/>
      <c r="C662" s="198" t="s">
        <v>2114</v>
      </c>
      <c r="D662" s="195">
        <v>1662</v>
      </c>
      <c r="E662" s="195">
        <v>204</v>
      </c>
      <c r="F662" s="195">
        <v>204</v>
      </c>
      <c r="G662" s="239">
        <v>655</v>
      </c>
      <c r="H662" s="197" t="s">
        <v>79</v>
      </c>
      <c r="I662" s="242" t="s">
        <v>212</v>
      </c>
      <c r="J662" s="242" t="s">
        <v>12950</v>
      </c>
      <c r="K662" s="195" t="s">
        <v>70</v>
      </c>
      <c r="L662" s="20" t="str">
        <f ca="1">IF(OFFSET(환산공식!$ED$15,$F662,0)=1,"O","X")</f>
        <v>X</v>
      </c>
      <c r="M662" s="188">
        <f ca="1">IFERROR(OFFSET(환산공식!DJ$15,$F662,0),"")</f>
        <v>200</v>
      </c>
      <c r="N662" s="20" t="str">
        <f ca="1">IFERROR(CONCATENATE(ROUND(OFFSET(환산공식!DK$15,$F662,0),1),"%"),"")</f>
        <v>100%</v>
      </c>
      <c r="O662" s="20">
        <f ca="1">IFERROR(OFFSET(환산공식!DL$15,$F662,0),"")</f>
        <v>10</v>
      </c>
      <c r="P662" s="188" t="str">
        <f t="shared" ca="1" si="20"/>
        <v>3% 이하</v>
      </c>
      <c r="Q662" s="194">
        <f ca="1">IFERROR(ROUND(OFFSET(환산공식!$FG$15,$F662,0),3),"")</f>
        <v>0</v>
      </c>
      <c r="R662" s="194">
        <f ca="1">OFFSET('배치점수 계산기'!H$10,$D662,0)</f>
        <v>843.60500000000002</v>
      </c>
      <c r="S662" s="194">
        <f ca="1">OFFSET('배치점수 계산기'!I$10,$D662,0)</f>
        <v>841.74699999999996</v>
      </c>
      <c r="T662" s="194">
        <f ca="1">OFFSET('배치점수 계산기'!J$10,$D662,0)</f>
        <v>837.721</v>
      </c>
      <c r="U662" s="194">
        <f ca="1">OFFSET('배치점수 계산기'!K$10,$D662,0)</f>
        <v>833.30799999999999</v>
      </c>
      <c r="V662" s="194">
        <f ca="1">OFFSET('배치점수 계산기'!L$10,$D662,0)</f>
        <v>827.45399999999995</v>
      </c>
      <c r="W662" s="186" t="str">
        <f ca="1">OFFSET('배치점수 계산기'!M$10,$D662,0)</f>
        <v>표점/만점</v>
      </c>
      <c r="X662" s="184" t="str">
        <f ca="1">OFFSET('배치점수 계산기'!N$10,$D662,0)</f>
        <v>표점/만점</v>
      </c>
      <c r="Y662" s="188">
        <f ca="1">OFFSET(환산공식!FW$15,$F662,0)</f>
        <v>0.3</v>
      </c>
      <c r="Z662" s="20">
        <f ca="1">OFFSET(환산공식!FX$15,$F662,0)</f>
        <v>0.4</v>
      </c>
      <c r="AA662" s="179">
        <f ca="1">OFFSET(환산공식!FY$15,$F662,0)</f>
        <v>0.3</v>
      </c>
      <c r="AB662" s="3"/>
      <c r="AD662">
        <f t="shared" ca="1" si="21"/>
        <v>6</v>
      </c>
      <c r="AF662" s="3"/>
      <c r="AG662" s="3"/>
      <c r="AH662" s="3"/>
    </row>
    <row r="663" spans="1:34">
      <c r="A663" s="198"/>
      <c r="B663" s="198"/>
      <c r="C663" s="198" t="s">
        <v>2115</v>
      </c>
      <c r="D663" s="195">
        <v>1663</v>
      </c>
      <c r="E663" s="195">
        <v>206</v>
      </c>
      <c r="F663" s="195">
        <v>206</v>
      </c>
      <c r="G663" s="239">
        <v>656</v>
      </c>
      <c r="H663" s="197" t="s">
        <v>79</v>
      </c>
      <c r="I663" s="242" t="s">
        <v>212</v>
      </c>
      <c r="J663" s="242" t="s">
        <v>12965</v>
      </c>
      <c r="K663" s="195" t="s">
        <v>70</v>
      </c>
      <c r="L663" s="20" t="str">
        <f ca="1">IF(OFFSET(환산공식!$ED$15,$F663,0)=1,"O","X")</f>
        <v>X</v>
      </c>
      <c r="M663" s="188">
        <f ca="1">IFERROR(OFFSET(환산공식!DJ$15,$F663,0),"")</f>
        <v>200</v>
      </c>
      <c r="N663" s="20" t="str">
        <f ca="1">IFERROR(CONCATENATE(ROUND(OFFSET(환산공식!DK$15,$F663,0),1),"%"),"")</f>
        <v>100%</v>
      </c>
      <c r="O663" s="20">
        <f ca="1">IFERROR(OFFSET(환산공식!DL$15,$F663,0),"")</f>
        <v>10</v>
      </c>
      <c r="P663" s="188" t="str">
        <f t="shared" ca="1" si="20"/>
        <v>3% 이하</v>
      </c>
      <c r="Q663" s="194">
        <f ca="1">IFERROR(ROUND(OFFSET(환산공식!$FG$15,$F663,0),3),"")</f>
        <v>0</v>
      </c>
      <c r="R663" s="194">
        <f ca="1">OFFSET('배치점수 계산기'!H$10,$D663,0)</f>
        <v>843.17499999999995</v>
      </c>
      <c r="S663" s="194">
        <f ca="1">OFFSET('배치점수 계산기'!I$10,$D663,0)</f>
        <v>841.34699999999998</v>
      </c>
      <c r="T663" s="194">
        <f ca="1">OFFSET('배치점수 계산기'!J$10,$D663,0)</f>
        <v>837.721</v>
      </c>
      <c r="U663" s="194">
        <f ca="1">OFFSET('배치점수 계산기'!K$10,$D663,0)</f>
        <v>833.30799999999999</v>
      </c>
      <c r="V663" s="194">
        <f ca="1">OFFSET('배치점수 계산기'!L$10,$D663,0)</f>
        <v>827.45399999999995</v>
      </c>
      <c r="W663" s="186" t="str">
        <f ca="1">OFFSET('배치점수 계산기'!M$10,$D663,0)</f>
        <v>표점/만점</v>
      </c>
      <c r="X663" s="184" t="str">
        <f ca="1">OFFSET('배치점수 계산기'!N$10,$D663,0)</f>
        <v>표점/만점</v>
      </c>
      <c r="Y663" s="188">
        <f ca="1">OFFSET(환산공식!FW$15,$F663,0)</f>
        <v>0.3</v>
      </c>
      <c r="Z663" s="20">
        <f ca="1">OFFSET(환산공식!FX$15,$F663,0)</f>
        <v>0.4</v>
      </c>
      <c r="AA663" s="179">
        <f ca="1">OFFSET(환산공식!FY$15,$F663,0)</f>
        <v>0.3</v>
      </c>
      <c r="AB663" s="3"/>
      <c r="AD663">
        <f t="shared" ca="1" si="21"/>
        <v>6</v>
      </c>
      <c r="AF663" s="3"/>
      <c r="AG663" s="3"/>
      <c r="AH663" s="3"/>
    </row>
    <row r="664" spans="1:34">
      <c r="A664" s="198"/>
      <c r="B664" s="198"/>
      <c r="C664" s="198" t="s">
        <v>2116</v>
      </c>
      <c r="D664" s="195">
        <v>1664</v>
      </c>
      <c r="E664" s="195">
        <v>204</v>
      </c>
      <c r="F664" s="195">
        <v>204</v>
      </c>
      <c r="G664" s="239">
        <v>657</v>
      </c>
      <c r="H664" s="197" t="s">
        <v>79</v>
      </c>
      <c r="I664" s="242" t="s">
        <v>212</v>
      </c>
      <c r="J664" s="242" t="s">
        <v>12969</v>
      </c>
      <c r="K664" s="195" t="s">
        <v>70</v>
      </c>
      <c r="L664" s="20" t="str">
        <f ca="1">IF(OFFSET(환산공식!$ED$15,$F664,0)=1,"O","X")</f>
        <v>X</v>
      </c>
      <c r="M664" s="188">
        <f ca="1">IFERROR(OFFSET(환산공식!DJ$15,$F664,0),"")</f>
        <v>200</v>
      </c>
      <c r="N664" s="20" t="str">
        <f ca="1">IFERROR(CONCATENATE(ROUND(OFFSET(환산공식!DK$15,$F664,0),1),"%"),"")</f>
        <v>100%</v>
      </c>
      <c r="O664" s="20">
        <f ca="1">IFERROR(OFFSET(환산공식!DL$15,$F664,0),"")</f>
        <v>10</v>
      </c>
      <c r="P664" s="188" t="str">
        <f t="shared" ca="1" si="20"/>
        <v>3% 이하</v>
      </c>
      <c r="Q664" s="194">
        <f ca="1">IFERROR(ROUND(OFFSET(환산공식!$FG$15,$F664,0),3),"")</f>
        <v>0</v>
      </c>
      <c r="R664" s="194">
        <f ca="1">OFFSET('배치점수 계산기'!H$10,$D664,0)</f>
        <v>843.21699999999998</v>
      </c>
      <c r="S664" s="194">
        <f ca="1">OFFSET('배치점수 계산기'!I$10,$D664,0)</f>
        <v>841.38800000000003</v>
      </c>
      <c r="T664" s="194">
        <f ca="1">OFFSET('배치점수 계산기'!J$10,$D664,0)</f>
        <v>837.55799999999999</v>
      </c>
      <c r="U664" s="194">
        <f ca="1">OFFSET('배치점수 계산기'!K$10,$D664,0)</f>
        <v>833.13800000000003</v>
      </c>
      <c r="V664" s="194">
        <f ca="1">OFFSET('배치점수 계산기'!L$10,$D664,0)</f>
        <v>827.10199999999998</v>
      </c>
      <c r="W664" s="186" t="str">
        <f ca="1">OFFSET('배치점수 계산기'!M$10,$D664,0)</f>
        <v>표점/만점</v>
      </c>
      <c r="X664" s="184" t="str">
        <f ca="1">OFFSET('배치점수 계산기'!N$10,$D664,0)</f>
        <v>표점/만점</v>
      </c>
      <c r="Y664" s="188">
        <f ca="1">OFFSET(환산공식!FW$15,$F664,0)</f>
        <v>0.3</v>
      </c>
      <c r="Z664" s="20">
        <f ca="1">OFFSET(환산공식!FX$15,$F664,0)</f>
        <v>0.4</v>
      </c>
      <c r="AA664" s="179">
        <f ca="1">OFFSET(환산공식!FY$15,$F664,0)</f>
        <v>0.3</v>
      </c>
      <c r="AB664" s="3"/>
      <c r="AD664">
        <f t="shared" ca="1" si="21"/>
        <v>6</v>
      </c>
      <c r="AF664" s="3"/>
      <c r="AG664" s="3"/>
      <c r="AH664" s="3"/>
    </row>
    <row r="665" spans="1:34">
      <c r="A665" s="198"/>
      <c r="B665" s="198"/>
      <c r="C665" s="198" t="s">
        <v>2117</v>
      </c>
      <c r="D665" s="195">
        <v>1665</v>
      </c>
      <c r="E665" s="195">
        <v>204</v>
      </c>
      <c r="F665" s="195">
        <v>204</v>
      </c>
      <c r="G665" s="239">
        <v>658</v>
      </c>
      <c r="H665" s="197" t="s">
        <v>79</v>
      </c>
      <c r="I665" s="242" t="s">
        <v>212</v>
      </c>
      <c r="J665" s="242" t="s">
        <v>13012</v>
      </c>
      <c r="K665" s="195" t="s">
        <v>70</v>
      </c>
      <c r="L665" s="20" t="str">
        <f ca="1">IF(OFFSET(환산공식!$ED$15,$F665,0)=1,"O","X")</f>
        <v>X</v>
      </c>
      <c r="M665" s="188">
        <f ca="1">IFERROR(OFFSET(환산공식!DJ$15,$F665,0),"")</f>
        <v>200</v>
      </c>
      <c r="N665" s="20" t="str">
        <f ca="1">IFERROR(CONCATENATE(ROUND(OFFSET(환산공식!DK$15,$F665,0),1),"%"),"")</f>
        <v>100%</v>
      </c>
      <c r="O665" s="20">
        <f ca="1">IFERROR(OFFSET(환산공식!DL$15,$F665,0),"")</f>
        <v>10</v>
      </c>
      <c r="P665" s="188" t="str">
        <f t="shared" ca="1" si="20"/>
        <v>3% 이하</v>
      </c>
      <c r="Q665" s="194">
        <f ca="1">IFERROR(ROUND(OFFSET(환산공식!$FG$15,$F665,0),3),"")</f>
        <v>0</v>
      </c>
      <c r="R665" s="194">
        <f ca="1">OFFSET('배치점수 계산기'!H$10,$D665,0)</f>
        <v>842.48400000000004</v>
      </c>
      <c r="S665" s="194">
        <f ca="1">OFFSET('배치점수 계산기'!I$10,$D665,0)</f>
        <v>840.64499999999998</v>
      </c>
      <c r="T665" s="194">
        <f ca="1">OFFSET('배치점수 계산기'!J$10,$D665,0)</f>
        <v>836.82500000000005</v>
      </c>
      <c r="U665" s="194">
        <f ca="1">OFFSET('배치점수 계산기'!K$10,$D665,0)</f>
        <v>832.22299999999996</v>
      </c>
      <c r="V665" s="194">
        <f ca="1">OFFSET('배치점수 계산기'!L$10,$D665,0)</f>
        <v>826.15800000000002</v>
      </c>
      <c r="W665" s="186" t="str">
        <f ca="1">OFFSET('배치점수 계산기'!M$10,$D665,0)</f>
        <v>표점/만점</v>
      </c>
      <c r="X665" s="184" t="str">
        <f ca="1">OFFSET('배치점수 계산기'!N$10,$D665,0)</f>
        <v>표점/만점</v>
      </c>
      <c r="Y665" s="188">
        <f ca="1">OFFSET(환산공식!FW$15,$F665,0)</f>
        <v>0.3</v>
      </c>
      <c r="Z665" s="20">
        <f ca="1">OFFSET(환산공식!FX$15,$F665,0)</f>
        <v>0.4</v>
      </c>
      <c r="AA665" s="179">
        <f ca="1">OFFSET(환산공식!FY$15,$F665,0)</f>
        <v>0.3</v>
      </c>
      <c r="AB665" s="3"/>
      <c r="AD665">
        <f t="shared" ca="1" si="21"/>
        <v>6</v>
      </c>
      <c r="AF665" s="3"/>
      <c r="AG665" s="3"/>
      <c r="AH665" s="3"/>
    </row>
    <row r="666" spans="1:34">
      <c r="A666" s="198"/>
      <c r="B666" s="198"/>
      <c r="C666" s="198" t="s">
        <v>2118</v>
      </c>
      <c r="D666" s="195">
        <v>1666</v>
      </c>
      <c r="E666" s="195">
        <v>206</v>
      </c>
      <c r="F666" s="195">
        <v>206</v>
      </c>
      <c r="G666" s="239">
        <v>659</v>
      </c>
      <c r="H666" s="197" t="s">
        <v>79</v>
      </c>
      <c r="I666" s="242" t="s">
        <v>212</v>
      </c>
      <c r="J666" s="242" t="s">
        <v>8316</v>
      </c>
      <c r="K666" s="195" t="s">
        <v>70</v>
      </c>
      <c r="L666" s="20" t="str">
        <f ca="1">IF(OFFSET(환산공식!$ED$15,$F666,0)=1,"O","X")</f>
        <v>X</v>
      </c>
      <c r="M666" s="188">
        <f ca="1">IFERROR(OFFSET(환산공식!DJ$15,$F666,0),"")</f>
        <v>200</v>
      </c>
      <c r="N666" s="20" t="str">
        <f ca="1">IFERROR(CONCATENATE(ROUND(OFFSET(환산공식!DK$15,$F666,0),1),"%"),"")</f>
        <v>100%</v>
      </c>
      <c r="O666" s="20">
        <f ca="1">IFERROR(OFFSET(환산공식!DL$15,$F666,0),"")</f>
        <v>10</v>
      </c>
      <c r="P666" s="188" t="str">
        <f t="shared" ca="1" si="20"/>
        <v>3% 이하</v>
      </c>
      <c r="Q666" s="194">
        <f ca="1">IFERROR(ROUND(OFFSET(환산공식!$FG$15,$F666,0),3),"")</f>
        <v>0</v>
      </c>
      <c r="R666" s="194">
        <f ca="1">OFFSET('배치점수 계산기'!H$10,$D666,0)</f>
        <v>841.577</v>
      </c>
      <c r="S666" s="194">
        <f ca="1">OFFSET('배치점수 계산기'!I$10,$D666,0)</f>
        <v>839.91899999999998</v>
      </c>
      <c r="T666" s="194">
        <f ca="1">OFFSET('배치점수 계산기'!J$10,$D666,0)</f>
        <v>835.87300000000005</v>
      </c>
      <c r="U666" s="194">
        <f ca="1">OFFSET('배치점수 계산기'!K$10,$D666,0)</f>
        <v>831.46</v>
      </c>
      <c r="V666" s="194">
        <f ca="1">OFFSET('배치점수 계산기'!L$10,$D666,0)</f>
        <v>825.62599999999998</v>
      </c>
      <c r="W666" s="186" t="str">
        <f ca="1">OFFSET('배치점수 계산기'!M$10,$D666,0)</f>
        <v>표점/만점</v>
      </c>
      <c r="X666" s="184" t="str">
        <f ca="1">OFFSET('배치점수 계산기'!N$10,$D666,0)</f>
        <v>표점/만점</v>
      </c>
      <c r="Y666" s="188">
        <f ca="1">OFFSET(환산공식!FW$15,$F666,0)</f>
        <v>0.3</v>
      </c>
      <c r="Z666" s="20">
        <f ca="1">OFFSET(환산공식!FX$15,$F666,0)</f>
        <v>0.4</v>
      </c>
      <c r="AA666" s="179">
        <f ca="1">OFFSET(환산공식!FY$15,$F666,0)</f>
        <v>0.3</v>
      </c>
      <c r="AB666" s="3"/>
      <c r="AD666">
        <f t="shared" ca="1" si="21"/>
        <v>6</v>
      </c>
      <c r="AF666" s="3"/>
      <c r="AG666" s="3"/>
      <c r="AH666" s="3"/>
    </row>
    <row r="667" spans="1:34">
      <c r="A667" s="198"/>
      <c r="B667" s="198"/>
      <c r="C667" s="198" t="s">
        <v>2119</v>
      </c>
      <c r="D667" s="195">
        <v>1667</v>
      </c>
      <c r="E667" s="195">
        <v>204</v>
      </c>
      <c r="F667" s="195">
        <v>204</v>
      </c>
      <c r="G667" s="239">
        <v>660</v>
      </c>
      <c r="H667" s="197" t="s">
        <v>79</v>
      </c>
      <c r="I667" s="242" t="s">
        <v>212</v>
      </c>
      <c r="J667" s="242" t="s">
        <v>13054</v>
      </c>
      <c r="K667" s="195" t="s">
        <v>70</v>
      </c>
      <c r="L667" s="20" t="str">
        <f ca="1">IF(OFFSET(환산공식!$ED$15,$F667,0)=1,"O","X")</f>
        <v>X</v>
      </c>
      <c r="M667" s="188">
        <f ca="1">IFERROR(OFFSET(환산공식!DJ$15,$F667,0),"")</f>
        <v>200</v>
      </c>
      <c r="N667" s="20" t="str">
        <f ca="1">IFERROR(CONCATENATE(ROUND(OFFSET(환산공식!DK$15,$F667,0),1),"%"),"")</f>
        <v>100%</v>
      </c>
      <c r="O667" s="20">
        <f ca="1">IFERROR(OFFSET(환산공식!DL$15,$F667,0),"")</f>
        <v>10</v>
      </c>
      <c r="P667" s="188" t="str">
        <f t="shared" ca="1" si="20"/>
        <v>3% 이하</v>
      </c>
      <c r="Q667" s="194">
        <f ca="1">IFERROR(ROUND(OFFSET(환산공식!$FG$15,$F667,0),3),"")</f>
        <v>0</v>
      </c>
      <c r="R667" s="194">
        <f ca="1">OFFSET('배치점수 계산기'!H$10,$D667,0)</f>
        <v>841.74699999999996</v>
      </c>
      <c r="S667" s="194">
        <f ca="1">OFFSET('배치점수 계산기'!I$10,$D667,0)</f>
        <v>839.91899999999998</v>
      </c>
      <c r="T667" s="194">
        <f ca="1">OFFSET('배치점수 계산기'!J$10,$D667,0)</f>
        <v>835.89300000000003</v>
      </c>
      <c r="U667" s="194">
        <f ca="1">OFFSET('배치점수 계산기'!K$10,$D667,0)</f>
        <v>831.48</v>
      </c>
      <c r="V667" s="194">
        <f ca="1">OFFSET('배치점수 계산기'!L$10,$D667,0)</f>
        <v>825.43700000000001</v>
      </c>
      <c r="W667" s="186" t="str">
        <f ca="1">OFFSET('배치점수 계산기'!M$10,$D667,0)</f>
        <v>표점/만점</v>
      </c>
      <c r="X667" s="184" t="str">
        <f ca="1">OFFSET('배치점수 계산기'!N$10,$D667,0)</f>
        <v>표점/만점</v>
      </c>
      <c r="Y667" s="188">
        <f ca="1">OFFSET(환산공식!FW$15,$F667,0)</f>
        <v>0.3</v>
      </c>
      <c r="Z667" s="20">
        <f ca="1">OFFSET(환산공식!FX$15,$F667,0)</f>
        <v>0.4</v>
      </c>
      <c r="AA667" s="179">
        <f ca="1">OFFSET(환산공식!FY$15,$F667,0)</f>
        <v>0.3</v>
      </c>
      <c r="AB667" s="3"/>
      <c r="AD667">
        <f t="shared" ca="1" si="21"/>
        <v>6</v>
      </c>
      <c r="AF667" s="3"/>
      <c r="AG667" s="3"/>
      <c r="AH667" s="3"/>
    </row>
    <row r="668" spans="1:34">
      <c r="A668" s="198"/>
      <c r="B668" s="198"/>
      <c r="C668" s="198" t="s">
        <v>2120</v>
      </c>
      <c r="D668" s="195">
        <v>1668</v>
      </c>
      <c r="E668" s="195">
        <v>204</v>
      </c>
      <c r="F668" s="195">
        <v>204</v>
      </c>
      <c r="G668" s="239">
        <v>661</v>
      </c>
      <c r="H668" s="197" t="s">
        <v>79</v>
      </c>
      <c r="I668" s="242" t="s">
        <v>212</v>
      </c>
      <c r="J668" s="242" t="s">
        <v>8155</v>
      </c>
      <c r="K668" s="195" t="s">
        <v>70</v>
      </c>
      <c r="L668" s="20" t="str">
        <f ca="1">IF(OFFSET(환산공식!$ED$15,$F668,0)=1,"O","X")</f>
        <v>X</v>
      </c>
      <c r="M668" s="188">
        <f ca="1">IFERROR(OFFSET(환산공식!DJ$15,$F668,0),"")</f>
        <v>200</v>
      </c>
      <c r="N668" s="20" t="str">
        <f ca="1">IFERROR(CONCATENATE(ROUND(OFFSET(환산공식!DK$15,$F668,0),1),"%"),"")</f>
        <v>100%</v>
      </c>
      <c r="O668" s="20">
        <f ca="1">IFERROR(OFFSET(환산공식!DL$15,$F668,0),"")</f>
        <v>10</v>
      </c>
      <c r="P668" s="188" t="str">
        <f t="shared" ca="1" si="20"/>
        <v>3% 이하</v>
      </c>
      <c r="Q668" s="194">
        <f ca="1">IFERROR(ROUND(OFFSET(환산공식!$FG$15,$F668,0),3),"")</f>
        <v>0</v>
      </c>
      <c r="R668" s="194">
        <f ca="1">OFFSET('배치점수 계산기'!H$10,$D668,0)</f>
        <v>841.74699999999996</v>
      </c>
      <c r="S668" s="194">
        <f ca="1">OFFSET('배치점수 계산기'!I$10,$D668,0)</f>
        <v>839.91899999999998</v>
      </c>
      <c r="T668" s="194">
        <f ca="1">OFFSET('배치점수 계산기'!J$10,$D668,0)</f>
        <v>835.89300000000003</v>
      </c>
      <c r="U668" s="194">
        <f ca="1">OFFSET('배치점수 계산기'!K$10,$D668,0)</f>
        <v>831.48</v>
      </c>
      <c r="V668" s="194">
        <f ca="1">OFFSET('배치점수 계산기'!L$10,$D668,0)</f>
        <v>825.43700000000001</v>
      </c>
      <c r="W668" s="186" t="str">
        <f ca="1">OFFSET('배치점수 계산기'!M$10,$D668,0)</f>
        <v>표점/만점</v>
      </c>
      <c r="X668" s="184" t="str">
        <f ca="1">OFFSET('배치점수 계산기'!N$10,$D668,0)</f>
        <v>표점/만점</v>
      </c>
      <c r="Y668" s="188">
        <f ca="1">OFFSET(환산공식!FW$15,$F668,0)</f>
        <v>0.3</v>
      </c>
      <c r="Z668" s="20">
        <f ca="1">OFFSET(환산공식!FX$15,$F668,0)</f>
        <v>0.4</v>
      </c>
      <c r="AA668" s="179">
        <f ca="1">OFFSET(환산공식!FY$15,$F668,0)</f>
        <v>0.3</v>
      </c>
      <c r="AB668" s="3"/>
      <c r="AD668">
        <f t="shared" ca="1" si="21"/>
        <v>6</v>
      </c>
      <c r="AF668" s="3"/>
      <c r="AG668" s="3"/>
      <c r="AH668" s="3"/>
    </row>
    <row r="669" spans="1:34">
      <c r="A669" s="198"/>
      <c r="B669" s="198"/>
      <c r="C669" s="198" t="s">
        <v>2121</v>
      </c>
      <c r="D669" s="195">
        <v>1669</v>
      </c>
      <c r="E669" s="195">
        <v>204</v>
      </c>
      <c r="F669" s="195">
        <v>204</v>
      </c>
      <c r="G669" s="239">
        <v>662</v>
      </c>
      <c r="H669" s="197" t="s">
        <v>79</v>
      </c>
      <c r="I669" s="242" t="s">
        <v>212</v>
      </c>
      <c r="J669" s="242" t="s">
        <v>13064</v>
      </c>
      <c r="K669" s="195" t="s">
        <v>70</v>
      </c>
      <c r="L669" s="20" t="str">
        <f ca="1">IF(OFFSET(환산공식!$ED$15,$F669,0)=1,"O","X")</f>
        <v>X</v>
      </c>
      <c r="M669" s="188">
        <f ca="1">IFERROR(OFFSET(환산공식!DJ$15,$F669,0),"")</f>
        <v>200</v>
      </c>
      <c r="N669" s="20" t="str">
        <f ca="1">IFERROR(CONCATENATE(ROUND(OFFSET(환산공식!DK$15,$F669,0),1),"%"),"")</f>
        <v>100%</v>
      </c>
      <c r="O669" s="20">
        <f ca="1">IFERROR(OFFSET(환산공식!DL$15,$F669,0),"")</f>
        <v>10</v>
      </c>
      <c r="P669" s="188" t="str">
        <f t="shared" ca="1" si="20"/>
        <v>3% 이하</v>
      </c>
      <c r="Q669" s="194">
        <f ca="1">IFERROR(ROUND(OFFSET(환산공식!$FG$15,$F669,0),3),"")</f>
        <v>0</v>
      </c>
      <c r="R669" s="194">
        <f ca="1">OFFSET('배치점수 계산기'!H$10,$D669,0)</f>
        <v>841.577</v>
      </c>
      <c r="S669" s="194">
        <f ca="1">OFFSET('배치점수 계산기'!I$10,$D669,0)</f>
        <v>839.91899999999998</v>
      </c>
      <c r="T669" s="194">
        <f ca="1">OFFSET('배치점수 계산기'!J$10,$D669,0)</f>
        <v>835.72900000000004</v>
      </c>
      <c r="U669" s="194">
        <f ca="1">OFFSET('배치점수 계산기'!K$10,$D669,0)</f>
        <v>831.29100000000005</v>
      </c>
      <c r="V669" s="194">
        <f ca="1">OFFSET('배치점수 계산기'!L$10,$D669,0)</f>
        <v>825.43700000000001</v>
      </c>
      <c r="W669" s="186" t="str">
        <f ca="1">OFFSET('배치점수 계산기'!M$10,$D669,0)</f>
        <v>표점/만점</v>
      </c>
      <c r="X669" s="184" t="str">
        <f ca="1">OFFSET('배치점수 계산기'!N$10,$D669,0)</f>
        <v>표점/만점</v>
      </c>
      <c r="Y669" s="188">
        <f ca="1">OFFSET(환산공식!FW$15,$F669,0)</f>
        <v>0.3</v>
      </c>
      <c r="Z669" s="20">
        <f ca="1">OFFSET(환산공식!FX$15,$F669,0)</f>
        <v>0.4</v>
      </c>
      <c r="AA669" s="179">
        <f ca="1">OFFSET(환산공식!FY$15,$F669,0)</f>
        <v>0.3</v>
      </c>
      <c r="AB669" s="3"/>
      <c r="AD669">
        <f t="shared" ca="1" si="21"/>
        <v>6</v>
      </c>
      <c r="AF669" s="3"/>
      <c r="AG669" s="3"/>
      <c r="AH669" s="3"/>
    </row>
    <row r="670" spans="1:34">
      <c r="A670" s="198"/>
      <c r="B670" s="198"/>
      <c r="C670" s="198" t="s">
        <v>2122</v>
      </c>
      <c r="D670" s="195">
        <v>1670</v>
      </c>
      <c r="E670" s="195">
        <v>204</v>
      </c>
      <c r="F670" s="195">
        <v>204</v>
      </c>
      <c r="G670" s="239">
        <v>663</v>
      </c>
      <c r="H670" s="197" t="s">
        <v>79</v>
      </c>
      <c r="I670" s="242" t="s">
        <v>212</v>
      </c>
      <c r="J670" s="242" t="s">
        <v>13096</v>
      </c>
      <c r="K670" s="195" t="s">
        <v>70</v>
      </c>
      <c r="L670" s="20" t="str">
        <f ca="1">IF(OFFSET(환산공식!$ED$15,$F670,0)=1,"O","X")</f>
        <v>X</v>
      </c>
      <c r="M670" s="188">
        <f ca="1">IFERROR(OFFSET(환산공식!DJ$15,$F670,0),"")</f>
        <v>200</v>
      </c>
      <c r="N670" s="20" t="str">
        <f ca="1">IFERROR(CONCATENATE(ROUND(OFFSET(환산공식!DK$15,$F670,0),1),"%"),"")</f>
        <v>100%</v>
      </c>
      <c r="O670" s="20">
        <f ca="1">IFERROR(OFFSET(환산공식!DL$15,$F670,0),"")</f>
        <v>10</v>
      </c>
      <c r="P670" s="188" t="str">
        <f t="shared" ca="1" si="20"/>
        <v>3% 이하</v>
      </c>
      <c r="Q670" s="194">
        <f ca="1">IFERROR(ROUND(OFFSET(환산공식!$FG$15,$F670,0),3),"")</f>
        <v>0</v>
      </c>
      <c r="R670" s="194">
        <f ca="1">OFFSET('배치점수 계산기'!H$10,$D670,0)</f>
        <v>841.34699999999998</v>
      </c>
      <c r="S670" s="194">
        <f ca="1">OFFSET('배치점수 계산기'!I$10,$D670,0)</f>
        <v>839.38599999999997</v>
      </c>
      <c r="T670" s="194">
        <f ca="1">OFFSET('배치점수 계산기'!J$10,$D670,0)</f>
        <v>835.33600000000001</v>
      </c>
      <c r="U670" s="194">
        <f ca="1">OFFSET('배치점수 계산기'!K$10,$D670,0)</f>
        <v>831.08</v>
      </c>
      <c r="V670" s="194">
        <f ca="1">OFFSET('배치점수 계산기'!L$10,$D670,0)</f>
        <v>825.06299999999999</v>
      </c>
      <c r="W670" s="186" t="str">
        <f ca="1">OFFSET('배치점수 계산기'!M$10,$D670,0)</f>
        <v>표점/만점</v>
      </c>
      <c r="X670" s="184" t="str">
        <f ca="1">OFFSET('배치점수 계산기'!N$10,$D670,0)</f>
        <v>표점/만점</v>
      </c>
      <c r="Y670" s="188">
        <f ca="1">OFFSET(환산공식!FW$15,$F670,0)</f>
        <v>0.3</v>
      </c>
      <c r="Z670" s="20">
        <f ca="1">OFFSET(환산공식!FX$15,$F670,0)</f>
        <v>0.4</v>
      </c>
      <c r="AA670" s="179">
        <f ca="1">OFFSET(환산공식!FY$15,$F670,0)</f>
        <v>0.3</v>
      </c>
      <c r="AB670" s="3"/>
      <c r="AD670">
        <f t="shared" ca="1" si="21"/>
        <v>6</v>
      </c>
      <c r="AF670" s="3"/>
      <c r="AG670" s="3"/>
      <c r="AH670" s="3"/>
    </row>
    <row r="671" spans="1:34">
      <c r="A671" s="198"/>
      <c r="B671" s="198"/>
      <c r="C671" s="198" t="s">
        <v>2123</v>
      </c>
      <c r="D671" s="195">
        <v>1671</v>
      </c>
      <c r="E671" s="195">
        <v>206</v>
      </c>
      <c r="F671" s="195">
        <v>206</v>
      </c>
      <c r="G671" s="239">
        <v>664</v>
      </c>
      <c r="H671" s="197" t="s">
        <v>79</v>
      </c>
      <c r="I671" s="242" t="s">
        <v>212</v>
      </c>
      <c r="J671" s="242" t="s">
        <v>8224</v>
      </c>
      <c r="K671" s="195" t="s">
        <v>70</v>
      </c>
      <c r="L671" s="20" t="str">
        <f ca="1">IF(OFFSET(환산공식!$ED$15,$F671,0)=1,"O","X")</f>
        <v>X</v>
      </c>
      <c r="M671" s="188">
        <f ca="1">IFERROR(OFFSET(환산공식!DJ$15,$F671,0),"")</f>
        <v>200</v>
      </c>
      <c r="N671" s="20" t="str">
        <f ca="1">IFERROR(CONCATENATE(ROUND(OFFSET(환산공식!DK$15,$F671,0),1),"%"),"")</f>
        <v>100%</v>
      </c>
      <c r="O671" s="20">
        <f ca="1">IFERROR(OFFSET(환산공식!DL$15,$F671,0),"")</f>
        <v>10</v>
      </c>
      <c r="P671" s="188" t="str">
        <f t="shared" ca="1" si="20"/>
        <v>3% 이하</v>
      </c>
      <c r="Q671" s="194">
        <f ca="1">IFERROR(ROUND(OFFSET(환산공식!$FG$15,$F671,0),3),"")</f>
        <v>0</v>
      </c>
      <c r="R671" s="194">
        <f ca="1">OFFSET('배치점수 계산기'!H$10,$D671,0)</f>
        <v>831.08</v>
      </c>
      <c r="S671" s="194">
        <f ca="1">OFFSET('배치점수 계산기'!I$10,$D671,0)</f>
        <v>828.88900000000001</v>
      </c>
      <c r="T671" s="194">
        <f ca="1">OFFSET('배치점수 계산기'!J$10,$D671,0)</f>
        <v>825.06299999999999</v>
      </c>
      <c r="U671" s="194">
        <f ca="1">OFFSET('배치점수 계산기'!K$10,$D671,0)</f>
        <v>820.53499999999997</v>
      </c>
      <c r="V671" s="194">
        <f ca="1">OFFSET('배치점수 계산기'!L$10,$D671,0)</f>
        <v>815.21400000000006</v>
      </c>
      <c r="W671" s="186" t="str">
        <f ca="1">OFFSET('배치점수 계산기'!M$10,$D671,0)</f>
        <v>표점/만점</v>
      </c>
      <c r="X671" s="184" t="str">
        <f ca="1">OFFSET('배치점수 계산기'!N$10,$D671,0)</f>
        <v>표점/만점</v>
      </c>
      <c r="Y671" s="188">
        <f ca="1">OFFSET(환산공식!FW$15,$F671,0)</f>
        <v>0.3</v>
      </c>
      <c r="Z671" s="20">
        <f ca="1">OFFSET(환산공식!FX$15,$F671,0)</f>
        <v>0.4</v>
      </c>
      <c r="AA671" s="179">
        <f ca="1">OFFSET(환산공식!FY$15,$F671,0)</f>
        <v>0.3</v>
      </c>
      <c r="AB671" s="3"/>
      <c r="AD671">
        <f t="shared" ca="1" si="21"/>
        <v>6</v>
      </c>
      <c r="AF671" s="3"/>
      <c r="AG671" s="3"/>
      <c r="AH671" s="3"/>
    </row>
    <row r="672" spans="1:34">
      <c r="A672" s="198"/>
      <c r="B672" s="198"/>
      <c r="C672" s="198" t="s">
        <v>2124</v>
      </c>
      <c r="D672" s="195">
        <v>1672</v>
      </c>
      <c r="E672" s="195">
        <v>203</v>
      </c>
      <c r="F672" s="195">
        <v>203</v>
      </c>
      <c r="G672" s="239">
        <v>665</v>
      </c>
      <c r="H672" s="197" t="s">
        <v>79</v>
      </c>
      <c r="I672" s="242" t="s">
        <v>212</v>
      </c>
      <c r="J672" s="242" t="s">
        <v>8232</v>
      </c>
      <c r="K672" s="195" t="s">
        <v>71</v>
      </c>
      <c r="L672" s="20" t="str">
        <f ca="1">IF(OFFSET(환산공식!$ED$15,$F672,0)=1,"O","X")</f>
        <v>X</v>
      </c>
      <c r="M672" s="188">
        <f ca="1">IFERROR(OFFSET(환산공식!DJ$15,$F672,0),"")</f>
        <v>200</v>
      </c>
      <c r="N672" s="20" t="str">
        <f ca="1">IFERROR(CONCATENATE(ROUND(OFFSET(환산공식!DK$15,$F672,0),1),"%"),"")</f>
        <v>100%</v>
      </c>
      <c r="O672" s="20">
        <f ca="1">IFERROR(OFFSET(환산공식!DL$15,$F672,0),"")</f>
        <v>10</v>
      </c>
      <c r="P672" s="188" t="str">
        <f t="shared" ca="1" si="20"/>
        <v>3% 이하</v>
      </c>
      <c r="Q672" s="194">
        <f ca="1">IFERROR(ROUND(OFFSET(환산공식!$FG$15,$F672,0),3),"")</f>
        <v>0</v>
      </c>
      <c r="R672" s="194">
        <f ca="1">OFFSET('배치점수 계산기'!H$10,$D672,0)</f>
        <v>870.43799999999999</v>
      </c>
      <c r="S672" s="194">
        <f ca="1">OFFSET('배치점수 계산기'!I$10,$D672,0)</f>
        <v>867.553</v>
      </c>
      <c r="T672" s="194">
        <f ca="1">OFFSET('배치점수 계산기'!J$10,$D672,0)</f>
        <v>862.56700000000001</v>
      </c>
      <c r="U672" s="194">
        <f ca="1">OFFSET('배치점수 계산기'!K$10,$D672,0)</f>
        <v>857.22699999999998</v>
      </c>
      <c r="V672" s="194">
        <f ca="1">OFFSET('배치점수 계산기'!L$10,$D672,0)</f>
        <v>850.58299999999997</v>
      </c>
      <c r="W672" s="186" t="str">
        <f ca="1">OFFSET('배치점수 계산기'!M$10,$D672,0)</f>
        <v>표점/만점</v>
      </c>
      <c r="X672" s="184" t="str">
        <f ca="1">OFFSET('배치점수 계산기'!N$10,$D672,0)</f>
        <v>표점/만점</v>
      </c>
      <c r="Y672" s="188">
        <f ca="1">OFFSET(환산공식!FW$15,$F672,0)</f>
        <v>0.4</v>
      </c>
      <c r="Z672" s="20">
        <f ca="1">OFFSET(환산공식!FX$15,$F672,0)</f>
        <v>0.3</v>
      </c>
      <c r="AA672" s="179">
        <f ca="1">OFFSET(환산공식!FY$15,$F672,0)</f>
        <v>0.28999999999999998</v>
      </c>
      <c r="AB672" s="3"/>
      <c r="AD672">
        <f t="shared" ca="1" si="21"/>
        <v>6</v>
      </c>
      <c r="AF672" s="3"/>
      <c r="AG672" s="3"/>
      <c r="AH672" s="3"/>
    </row>
    <row r="673" spans="1:34">
      <c r="A673" s="198"/>
      <c r="B673" s="198"/>
      <c r="C673" s="198" t="s">
        <v>2125</v>
      </c>
      <c r="D673" s="195">
        <v>1673</v>
      </c>
      <c r="E673" s="195">
        <v>203</v>
      </c>
      <c r="F673" s="195">
        <v>203</v>
      </c>
      <c r="G673" s="239">
        <v>666</v>
      </c>
      <c r="H673" s="197" t="s">
        <v>79</v>
      </c>
      <c r="I673" s="242" t="s">
        <v>212</v>
      </c>
      <c r="J673" s="242" t="s">
        <v>491</v>
      </c>
      <c r="K673" s="195" t="s">
        <v>71</v>
      </c>
      <c r="L673" s="20" t="str">
        <f ca="1">IF(OFFSET(환산공식!$ED$15,$F673,0)=1,"O","X")</f>
        <v>X</v>
      </c>
      <c r="M673" s="188">
        <f ca="1">IFERROR(OFFSET(환산공식!DJ$15,$F673,0),"")</f>
        <v>200</v>
      </c>
      <c r="N673" s="20" t="str">
        <f ca="1">IFERROR(CONCATENATE(ROUND(OFFSET(환산공식!DK$15,$F673,0),1),"%"),"")</f>
        <v>100%</v>
      </c>
      <c r="O673" s="20">
        <f ca="1">IFERROR(OFFSET(환산공식!DL$15,$F673,0),"")</f>
        <v>10</v>
      </c>
      <c r="P673" s="188" t="str">
        <f t="shared" ca="1" si="20"/>
        <v>3% 이하</v>
      </c>
      <c r="Q673" s="194">
        <f ca="1">IFERROR(ROUND(OFFSET(환산공식!$FG$15,$F673,0),3),"")</f>
        <v>0</v>
      </c>
      <c r="R673" s="194">
        <f ca="1">OFFSET('배치점수 계산기'!H$10,$D673,0)</f>
        <v>864.28899999999999</v>
      </c>
      <c r="S673" s="194">
        <f ca="1">OFFSET('배치점수 계산기'!I$10,$D673,0)</f>
        <v>861.97500000000002</v>
      </c>
      <c r="T673" s="194">
        <f ca="1">OFFSET('배치점수 계산기'!J$10,$D673,0)</f>
        <v>856.84</v>
      </c>
      <c r="U673" s="194">
        <f ca="1">OFFSET('배치점수 계산기'!K$10,$D673,0)</f>
        <v>851.93399999999997</v>
      </c>
      <c r="V673" s="194">
        <f ca="1">OFFSET('배치점수 계산기'!L$10,$D673,0)</f>
        <v>845.44</v>
      </c>
      <c r="W673" s="186" t="str">
        <f ca="1">OFFSET('배치점수 계산기'!M$10,$D673,0)</f>
        <v>표점/만점</v>
      </c>
      <c r="X673" s="184" t="str">
        <f ca="1">OFFSET('배치점수 계산기'!N$10,$D673,0)</f>
        <v>표점/만점</v>
      </c>
      <c r="Y673" s="188">
        <f ca="1">OFFSET(환산공식!FW$15,$F673,0)</f>
        <v>0.4</v>
      </c>
      <c r="Z673" s="20">
        <f ca="1">OFFSET(환산공식!FX$15,$F673,0)</f>
        <v>0.3</v>
      </c>
      <c r="AA673" s="179">
        <f ca="1">OFFSET(환산공식!FY$15,$F673,0)</f>
        <v>0.28999999999999998</v>
      </c>
      <c r="AB673" s="3"/>
      <c r="AD673">
        <f t="shared" ca="1" si="21"/>
        <v>6</v>
      </c>
      <c r="AF673" s="3"/>
      <c r="AG673" s="3"/>
      <c r="AH673" s="3"/>
    </row>
    <row r="674" spans="1:34">
      <c r="A674" s="198"/>
      <c r="B674" s="198"/>
      <c r="C674" s="198" t="s">
        <v>2126</v>
      </c>
      <c r="D674" s="195">
        <v>1674</v>
      </c>
      <c r="E674" s="195">
        <v>203</v>
      </c>
      <c r="F674" s="195">
        <v>203</v>
      </c>
      <c r="G674" s="239">
        <v>667</v>
      </c>
      <c r="H674" s="197" t="s">
        <v>79</v>
      </c>
      <c r="I674" s="242" t="s">
        <v>212</v>
      </c>
      <c r="J674" s="242" t="s">
        <v>8953</v>
      </c>
      <c r="K674" s="195" t="s">
        <v>71</v>
      </c>
      <c r="L674" s="20" t="str">
        <f ca="1">IF(OFFSET(환산공식!$ED$15,$F674,0)=1,"O","X")</f>
        <v>X</v>
      </c>
      <c r="M674" s="188">
        <f ca="1">IFERROR(OFFSET(환산공식!DJ$15,$F674,0),"")</f>
        <v>200</v>
      </c>
      <c r="N674" s="20" t="str">
        <f ca="1">IFERROR(CONCATENATE(ROUND(OFFSET(환산공식!DK$15,$F674,0),1),"%"),"")</f>
        <v>100%</v>
      </c>
      <c r="O674" s="20">
        <f ca="1">IFERROR(OFFSET(환산공식!DL$15,$F674,0),"")</f>
        <v>10</v>
      </c>
      <c r="P674" s="188" t="str">
        <f t="shared" ca="1" si="20"/>
        <v>3% 이하</v>
      </c>
      <c r="Q674" s="194">
        <f ca="1">IFERROR(ROUND(OFFSET(환산공식!$FG$15,$F674,0),3),"")</f>
        <v>0</v>
      </c>
      <c r="R674" s="194">
        <f ca="1">OFFSET('배치점수 계산기'!H$10,$D674,0)</f>
        <v>860.08399999999995</v>
      </c>
      <c r="S674" s="194">
        <f ca="1">OFFSET('배치점수 계산기'!I$10,$D674,0)</f>
        <v>857.62800000000004</v>
      </c>
      <c r="T674" s="194">
        <f ca="1">OFFSET('배치점수 계산기'!J$10,$D674,0)</f>
        <v>853.08199999999999</v>
      </c>
      <c r="U674" s="194">
        <f ca="1">OFFSET('배치점수 계산기'!K$10,$D674,0)</f>
        <v>848.31399999999996</v>
      </c>
      <c r="V674" s="194">
        <f ca="1">OFFSET('배치점수 계산기'!L$10,$D674,0)</f>
        <v>842.02300000000002</v>
      </c>
      <c r="W674" s="186" t="str">
        <f ca="1">OFFSET('배치점수 계산기'!M$10,$D674,0)</f>
        <v>표점/만점</v>
      </c>
      <c r="X674" s="184" t="str">
        <f ca="1">OFFSET('배치점수 계산기'!N$10,$D674,0)</f>
        <v>표점/만점</v>
      </c>
      <c r="Y674" s="188">
        <f ca="1">OFFSET(환산공식!FW$15,$F674,0)</f>
        <v>0.4</v>
      </c>
      <c r="Z674" s="20">
        <f ca="1">OFFSET(환산공식!FX$15,$F674,0)</f>
        <v>0.3</v>
      </c>
      <c r="AA674" s="179">
        <f ca="1">OFFSET(환산공식!FY$15,$F674,0)</f>
        <v>0.28999999999999998</v>
      </c>
      <c r="AB674" s="3"/>
      <c r="AD674">
        <f t="shared" ca="1" si="21"/>
        <v>6</v>
      </c>
      <c r="AF674" s="3"/>
      <c r="AG674" s="3"/>
      <c r="AH674" s="3"/>
    </row>
    <row r="675" spans="1:34">
      <c r="A675" s="198"/>
      <c r="B675" s="198"/>
      <c r="C675" s="198" t="s">
        <v>2127</v>
      </c>
      <c r="D675" s="195">
        <v>1675</v>
      </c>
      <c r="E675" s="195">
        <v>203</v>
      </c>
      <c r="F675" s="195">
        <v>203</v>
      </c>
      <c r="G675" s="239">
        <v>668</v>
      </c>
      <c r="H675" s="197" t="s">
        <v>79</v>
      </c>
      <c r="I675" s="242" t="s">
        <v>212</v>
      </c>
      <c r="J675" s="242" t="s">
        <v>8337</v>
      </c>
      <c r="K675" s="195" t="s">
        <v>71</v>
      </c>
      <c r="L675" s="20" t="str">
        <f ca="1">IF(OFFSET(환산공식!$ED$15,$F675,0)=1,"O","X")</f>
        <v>X</v>
      </c>
      <c r="M675" s="188">
        <f ca="1">IFERROR(OFFSET(환산공식!DJ$15,$F675,0),"")</f>
        <v>200</v>
      </c>
      <c r="N675" s="20" t="str">
        <f ca="1">IFERROR(CONCATENATE(ROUND(OFFSET(환산공식!DK$15,$F675,0),1),"%"),"")</f>
        <v>100%</v>
      </c>
      <c r="O675" s="20">
        <f ca="1">IFERROR(OFFSET(환산공식!DL$15,$F675,0),"")</f>
        <v>10</v>
      </c>
      <c r="P675" s="188" t="str">
        <f t="shared" ca="1" si="20"/>
        <v>3% 이하</v>
      </c>
      <c r="Q675" s="194">
        <f ca="1">IFERROR(ROUND(OFFSET(환산공식!$FG$15,$F675,0),3),"")</f>
        <v>0</v>
      </c>
      <c r="R675" s="194">
        <f ca="1">OFFSET('배치점수 계산기'!H$10,$D675,0)</f>
        <v>858.54499999999996</v>
      </c>
      <c r="S675" s="194">
        <f ca="1">OFFSET('배치점수 계산기'!I$10,$D675,0)</f>
        <v>856.29600000000005</v>
      </c>
      <c r="T675" s="194">
        <f ca="1">OFFSET('배치점수 계산기'!J$10,$D675,0)</f>
        <v>851.73099999999999</v>
      </c>
      <c r="U675" s="194">
        <f ca="1">OFFSET('배치점수 계산기'!K$10,$D675,0)</f>
        <v>846.76099999999997</v>
      </c>
      <c r="V675" s="194">
        <f ca="1">OFFSET('배치점수 계산기'!L$10,$D675,0)</f>
        <v>840.68799999999999</v>
      </c>
      <c r="W675" s="186" t="str">
        <f ca="1">OFFSET('배치점수 계산기'!M$10,$D675,0)</f>
        <v>표점/만점</v>
      </c>
      <c r="X675" s="184" t="str">
        <f ca="1">OFFSET('배치점수 계산기'!N$10,$D675,0)</f>
        <v>표점/만점</v>
      </c>
      <c r="Y675" s="188">
        <f ca="1">OFFSET(환산공식!FW$15,$F675,0)</f>
        <v>0.4</v>
      </c>
      <c r="Z675" s="20">
        <f ca="1">OFFSET(환산공식!FX$15,$F675,0)</f>
        <v>0.3</v>
      </c>
      <c r="AA675" s="179">
        <f ca="1">OFFSET(환산공식!FY$15,$F675,0)</f>
        <v>0.28999999999999998</v>
      </c>
      <c r="AB675" s="3"/>
      <c r="AD675">
        <f t="shared" ca="1" si="21"/>
        <v>6</v>
      </c>
      <c r="AF675" s="3"/>
      <c r="AG675" s="3"/>
      <c r="AH675" s="3"/>
    </row>
    <row r="676" spans="1:34">
      <c r="A676" s="198"/>
      <c r="B676" s="198"/>
      <c r="C676" s="198" t="s">
        <v>2128</v>
      </c>
      <c r="D676" s="195">
        <v>1676</v>
      </c>
      <c r="E676" s="195">
        <v>203</v>
      </c>
      <c r="F676" s="195">
        <v>203</v>
      </c>
      <c r="G676" s="239">
        <v>669</v>
      </c>
      <c r="H676" s="197" t="s">
        <v>79</v>
      </c>
      <c r="I676" s="242" t="s">
        <v>212</v>
      </c>
      <c r="J676" s="242" t="s">
        <v>8534</v>
      </c>
      <c r="K676" s="195" t="s">
        <v>71</v>
      </c>
      <c r="L676" s="20" t="str">
        <f ca="1">IF(OFFSET(환산공식!$ED$15,$F676,0)=1,"O","X")</f>
        <v>X</v>
      </c>
      <c r="M676" s="188">
        <f ca="1">IFERROR(OFFSET(환산공식!DJ$15,$F676,0),"")</f>
        <v>200</v>
      </c>
      <c r="N676" s="20" t="str">
        <f ca="1">IFERROR(CONCATENATE(ROUND(OFFSET(환산공식!DK$15,$F676,0),1),"%"),"")</f>
        <v>100%</v>
      </c>
      <c r="O676" s="20">
        <f ca="1">IFERROR(OFFSET(환산공식!DL$15,$F676,0),"")</f>
        <v>10</v>
      </c>
      <c r="P676" s="188" t="str">
        <f t="shared" ca="1" si="20"/>
        <v>3% 이하</v>
      </c>
      <c r="Q676" s="194">
        <f ca="1">IFERROR(ROUND(OFFSET(환산공식!$FG$15,$F676,0),3),"")</f>
        <v>0</v>
      </c>
      <c r="R676" s="194">
        <f ca="1">OFFSET('배치점수 계산기'!H$10,$D676,0)</f>
        <v>857.41</v>
      </c>
      <c r="S676" s="194">
        <f ca="1">OFFSET('배치점수 계산기'!I$10,$D676,0)</f>
        <v>855.14800000000002</v>
      </c>
      <c r="T676" s="194">
        <f ca="1">OFFSET('배치점수 계산기'!J$10,$D676,0)</f>
        <v>850.58299999999997</v>
      </c>
      <c r="U676" s="194">
        <f ca="1">OFFSET('배치점수 계산기'!K$10,$D676,0)</f>
        <v>845.61300000000006</v>
      </c>
      <c r="V676" s="194">
        <f ca="1">OFFSET('배치점수 계산기'!L$10,$D676,0)</f>
        <v>839.72699999999998</v>
      </c>
      <c r="W676" s="186" t="str">
        <f ca="1">OFFSET('배치점수 계산기'!M$10,$D676,0)</f>
        <v>표점/만점</v>
      </c>
      <c r="X676" s="184" t="str">
        <f ca="1">OFFSET('배치점수 계산기'!N$10,$D676,0)</f>
        <v>표점/만점</v>
      </c>
      <c r="Y676" s="188">
        <f ca="1">OFFSET(환산공식!FW$15,$F676,0)</f>
        <v>0.4</v>
      </c>
      <c r="Z676" s="20">
        <f ca="1">OFFSET(환산공식!FX$15,$F676,0)</f>
        <v>0.3</v>
      </c>
      <c r="AA676" s="179">
        <f ca="1">OFFSET(환산공식!FY$15,$F676,0)</f>
        <v>0.28999999999999998</v>
      </c>
      <c r="AB676" s="3"/>
      <c r="AD676">
        <f t="shared" ca="1" si="21"/>
        <v>6</v>
      </c>
      <c r="AF676" s="3"/>
      <c r="AG676" s="3"/>
      <c r="AH676" s="3"/>
    </row>
    <row r="677" spans="1:34">
      <c r="A677" s="198"/>
      <c r="B677" s="198"/>
      <c r="C677" s="198" t="s">
        <v>2129</v>
      </c>
      <c r="D677" s="195">
        <v>1677</v>
      </c>
      <c r="E677" s="195">
        <v>203</v>
      </c>
      <c r="F677" s="195">
        <v>203</v>
      </c>
      <c r="G677" s="239">
        <v>670</v>
      </c>
      <c r="H677" s="197" t="s">
        <v>79</v>
      </c>
      <c r="I677" s="242" t="s">
        <v>212</v>
      </c>
      <c r="J677" s="242" t="s">
        <v>8107</v>
      </c>
      <c r="K677" s="195" t="s">
        <v>71</v>
      </c>
      <c r="L677" s="20" t="str">
        <f ca="1">IF(OFFSET(환산공식!$ED$15,$F677,0)=1,"O","X")</f>
        <v>X</v>
      </c>
      <c r="M677" s="188">
        <f ca="1">IFERROR(OFFSET(환산공식!DJ$15,$F677,0),"")</f>
        <v>200</v>
      </c>
      <c r="N677" s="20" t="str">
        <f ca="1">IFERROR(CONCATENATE(ROUND(OFFSET(환산공식!DK$15,$F677,0),1),"%"),"")</f>
        <v>100%</v>
      </c>
      <c r="O677" s="20">
        <f ca="1">IFERROR(OFFSET(환산공식!DL$15,$F677,0),"")</f>
        <v>10</v>
      </c>
      <c r="P677" s="188" t="str">
        <f t="shared" ca="1" si="20"/>
        <v>3% 이하</v>
      </c>
      <c r="Q677" s="194">
        <f ca="1">IFERROR(ROUND(OFFSET(환산공식!$FG$15,$F677,0),3),"")</f>
        <v>0</v>
      </c>
      <c r="R677" s="194">
        <f ca="1">OFFSET('배치점수 계산기'!H$10,$D677,0)</f>
        <v>856.65200000000004</v>
      </c>
      <c r="S677" s="194">
        <f ca="1">OFFSET('배치점수 계산기'!I$10,$D677,0)</f>
        <v>854.57100000000003</v>
      </c>
      <c r="T677" s="194">
        <f ca="1">OFFSET('배치점수 계산기'!J$10,$D677,0)</f>
        <v>849.99099999999999</v>
      </c>
      <c r="U677" s="194">
        <f ca="1">OFFSET('배치점수 계산기'!K$10,$D677,0)</f>
        <v>845.25300000000004</v>
      </c>
      <c r="V677" s="194">
        <f ca="1">OFFSET('배치점수 계산기'!L$10,$D677,0)</f>
        <v>839.33699999999999</v>
      </c>
      <c r="W677" s="186" t="str">
        <f ca="1">OFFSET('배치점수 계산기'!M$10,$D677,0)</f>
        <v>표점/만점</v>
      </c>
      <c r="X677" s="184" t="str">
        <f ca="1">OFFSET('배치점수 계산기'!N$10,$D677,0)</f>
        <v>표점/만점</v>
      </c>
      <c r="Y677" s="188">
        <f ca="1">OFFSET(환산공식!FW$15,$F677,0)</f>
        <v>0.4</v>
      </c>
      <c r="Z677" s="20">
        <f ca="1">OFFSET(환산공식!FX$15,$F677,0)</f>
        <v>0.3</v>
      </c>
      <c r="AA677" s="179">
        <f ca="1">OFFSET(환산공식!FY$15,$F677,0)</f>
        <v>0.28999999999999998</v>
      </c>
      <c r="AB677" s="3"/>
      <c r="AD677">
        <f t="shared" ca="1" si="21"/>
        <v>6</v>
      </c>
      <c r="AF677" s="3"/>
      <c r="AG677" s="3"/>
      <c r="AH677" s="3"/>
    </row>
    <row r="678" spans="1:34">
      <c r="A678" s="198"/>
      <c r="B678" s="198"/>
      <c r="C678" s="198" t="s">
        <v>2130</v>
      </c>
      <c r="D678" s="195">
        <v>1678</v>
      </c>
      <c r="E678" s="195">
        <v>203</v>
      </c>
      <c r="F678" s="195">
        <v>203</v>
      </c>
      <c r="G678" s="239">
        <v>671</v>
      </c>
      <c r="H678" s="197" t="s">
        <v>79</v>
      </c>
      <c r="I678" s="242" t="s">
        <v>212</v>
      </c>
      <c r="J678" s="242" t="s">
        <v>8214</v>
      </c>
      <c r="K678" s="195" t="s">
        <v>71</v>
      </c>
      <c r="L678" s="20" t="str">
        <f ca="1">IF(OFFSET(환산공식!$ED$15,$F678,0)=1,"O","X")</f>
        <v>X</v>
      </c>
      <c r="M678" s="188">
        <f ca="1">IFERROR(OFFSET(환산공식!DJ$15,$F678,0),"")</f>
        <v>200</v>
      </c>
      <c r="N678" s="20" t="str">
        <f ca="1">IFERROR(CONCATENATE(ROUND(OFFSET(환산공식!DK$15,$F678,0),1),"%"),"")</f>
        <v>100%</v>
      </c>
      <c r="O678" s="20">
        <f ca="1">IFERROR(OFFSET(환산공식!DL$15,$F678,0),"")</f>
        <v>10</v>
      </c>
      <c r="P678" s="188" t="str">
        <f t="shared" ca="1" si="20"/>
        <v>3% 이하</v>
      </c>
      <c r="Q678" s="194">
        <f ca="1">IFERROR(ROUND(OFFSET(환산공식!$FG$15,$F678,0),3),"")</f>
        <v>0</v>
      </c>
      <c r="R678" s="194">
        <f ca="1">OFFSET('배치점수 계산기'!H$10,$D678,0)</f>
        <v>856.29600000000005</v>
      </c>
      <c r="S678" s="194">
        <f ca="1">OFFSET('배치점수 계산기'!I$10,$D678,0)</f>
        <v>854</v>
      </c>
      <c r="T678" s="194">
        <f ca="1">OFFSET('배치점수 계산기'!J$10,$D678,0)</f>
        <v>849.44799999999998</v>
      </c>
      <c r="U678" s="194">
        <f ca="1">OFFSET('배치점수 계산기'!K$10,$D678,0)</f>
        <v>844.46500000000003</v>
      </c>
      <c r="V678" s="194">
        <f ca="1">OFFSET('배치점수 계산기'!L$10,$D678,0)</f>
        <v>838.57899999999995</v>
      </c>
      <c r="W678" s="186" t="str">
        <f ca="1">OFFSET('배치점수 계산기'!M$10,$D678,0)</f>
        <v>표점/만점</v>
      </c>
      <c r="X678" s="184" t="str">
        <f ca="1">OFFSET('배치점수 계산기'!N$10,$D678,0)</f>
        <v>표점/만점</v>
      </c>
      <c r="Y678" s="188">
        <f ca="1">OFFSET(환산공식!FW$15,$F678,0)</f>
        <v>0.4</v>
      </c>
      <c r="Z678" s="20">
        <f ca="1">OFFSET(환산공식!FX$15,$F678,0)</f>
        <v>0.3</v>
      </c>
      <c r="AA678" s="179">
        <f ca="1">OFFSET(환산공식!FY$15,$F678,0)</f>
        <v>0.28999999999999998</v>
      </c>
      <c r="AB678" s="3"/>
      <c r="AD678">
        <f t="shared" ca="1" si="21"/>
        <v>6</v>
      </c>
      <c r="AF678" s="3"/>
      <c r="AG678" s="3"/>
      <c r="AH678" s="3"/>
    </row>
    <row r="679" spans="1:34">
      <c r="A679" s="198"/>
      <c r="B679" s="198"/>
      <c r="C679" s="198" t="s">
        <v>2131</v>
      </c>
      <c r="D679" s="195">
        <v>1679</v>
      </c>
      <c r="E679" s="195">
        <v>203</v>
      </c>
      <c r="F679" s="195">
        <v>203</v>
      </c>
      <c r="G679" s="239">
        <v>672</v>
      </c>
      <c r="H679" s="197" t="s">
        <v>79</v>
      </c>
      <c r="I679" s="242" t="s">
        <v>212</v>
      </c>
      <c r="J679" s="242" t="s">
        <v>8216</v>
      </c>
      <c r="K679" s="195" t="s">
        <v>71</v>
      </c>
      <c r="L679" s="20" t="str">
        <f ca="1">IF(OFFSET(환산공식!$ED$15,$F679,0)=1,"O","X")</f>
        <v>X</v>
      </c>
      <c r="M679" s="188">
        <f ca="1">IFERROR(OFFSET(환산공식!DJ$15,$F679,0),"")</f>
        <v>200</v>
      </c>
      <c r="N679" s="20" t="str">
        <f ca="1">IFERROR(CONCATENATE(ROUND(OFFSET(환산공식!DK$15,$F679,0),1),"%"),"")</f>
        <v>100%</v>
      </c>
      <c r="O679" s="20">
        <f ca="1">IFERROR(OFFSET(환산공식!DL$15,$F679,0),"")</f>
        <v>10</v>
      </c>
      <c r="P679" s="188" t="str">
        <f t="shared" ca="1" si="20"/>
        <v>3% 이하</v>
      </c>
      <c r="Q679" s="194">
        <f ca="1">IFERROR(ROUND(OFFSET(환산공식!$FG$15,$F679,0),3),"")</f>
        <v>0</v>
      </c>
      <c r="R679" s="194">
        <f ca="1">OFFSET('배치점수 계산기'!H$10,$D679,0)</f>
        <v>855.89099999999996</v>
      </c>
      <c r="S679" s="194">
        <f ca="1">OFFSET('배치점수 계산기'!I$10,$D679,0)</f>
        <v>853.61</v>
      </c>
      <c r="T679" s="194">
        <f ca="1">OFFSET('배치점수 계산기'!J$10,$D679,0)</f>
        <v>849.03</v>
      </c>
      <c r="U679" s="194">
        <f ca="1">OFFSET('배치점수 계산기'!K$10,$D679,0)</f>
        <v>844.10500000000002</v>
      </c>
      <c r="V679" s="194">
        <f ca="1">OFFSET('배치점수 계산기'!L$10,$D679,0)</f>
        <v>838.39200000000005</v>
      </c>
      <c r="W679" s="186" t="str">
        <f ca="1">OFFSET('배치점수 계산기'!M$10,$D679,0)</f>
        <v>표점/만점</v>
      </c>
      <c r="X679" s="184" t="str">
        <f ca="1">OFFSET('배치점수 계산기'!N$10,$D679,0)</f>
        <v>표점/만점</v>
      </c>
      <c r="Y679" s="188">
        <f ca="1">OFFSET(환산공식!FW$15,$F679,0)</f>
        <v>0.4</v>
      </c>
      <c r="Z679" s="20">
        <f ca="1">OFFSET(환산공식!FX$15,$F679,0)</f>
        <v>0.3</v>
      </c>
      <c r="AA679" s="179">
        <f ca="1">OFFSET(환산공식!FY$15,$F679,0)</f>
        <v>0.28999999999999998</v>
      </c>
      <c r="AB679" s="3"/>
      <c r="AD679">
        <f t="shared" ca="1" si="21"/>
        <v>6</v>
      </c>
      <c r="AF679" s="3"/>
      <c r="AG679" s="3"/>
      <c r="AH679" s="3"/>
    </row>
    <row r="680" spans="1:34">
      <c r="A680" s="198"/>
      <c r="B680" s="198"/>
      <c r="C680" s="198" t="s">
        <v>2132</v>
      </c>
      <c r="D680" s="195">
        <v>1680</v>
      </c>
      <c r="E680" s="195">
        <v>203</v>
      </c>
      <c r="F680" s="195">
        <v>203</v>
      </c>
      <c r="G680" s="239">
        <v>673</v>
      </c>
      <c r="H680" s="197" t="s">
        <v>79</v>
      </c>
      <c r="I680" s="242" t="s">
        <v>212</v>
      </c>
      <c r="J680" s="242" t="s">
        <v>8618</v>
      </c>
      <c r="K680" s="195" t="s">
        <v>71</v>
      </c>
      <c r="L680" s="20" t="str">
        <f ca="1">IF(OFFSET(환산공식!$ED$15,$F680,0)=1,"O","X")</f>
        <v>X</v>
      </c>
      <c r="M680" s="188">
        <f ca="1">IFERROR(OFFSET(환산공식!DJ$15,$F680,0),"")</f>
        <v>200</v>
      </c>
      <c r="N680" s="20" t="str">
        <f ca="1">IFERROR(CONCATENATE(ROUND(OFFSET(환산공식!DK$15,$F680,0),1),"%"),"")</f>
        <v>100%</v>
      </c>
      <c r="O680" s="20">
        <f ca="1">IFERROR(OFFSET(환산공식!DL$15,$F680,0),"")</f>
        <v>10</v>
      </c>
      <c r="P680" s="188" t="str">
        <f t="shared" ca="1" si="20"/>
        <v>3% 이하</v>
      </c>
      <c r="Q680" s="194">
        <f ca="1">IFERROR(ROUND(OFFSET(환산공식!$FG$15,$F680,0),3),"")</f>
        <v>0</v>
      </c>
      <c r="R680" s="194">
        <f ca="1">OFFSET('배치점수 계산기'!H$10,$D680,0)</f>
        <v>850.78599999999994</v>
      </c>
      <c r="S680" s="194">
        <f ca="1">OFFSET('배치점수 계산기'!I$10,$D680,0)</f>
        <v>848.67</v>
      </c>
      <c r="T680" s="194">
        <f ca="1">OFFSET('배치점수 계산기'!J$10,$D680,0)</f>
        <v>844.10500000000002</v>
      </c>
      <c r="U680" s="194">
        <f ca="1">OFFSET('배치점수 계산기'!K$10,$D680,0)</f>
        <v>839.72699999999998</v>
      </c>
      <c r="V680" s="194">
        <f ca="1">OFFSET('배치점수 계산기'!L$10,$D680,0)</f>
        <v>833.827</v>
      </c>
      <c r="W680" s="186" t="str">
        <f ca="1">OFFSET('배치점수 계산기'!M$10,$D680,0)</f>
        <v>표점/만점</v>
      </c>
      <c r="X680" s="184" t="str">
        <f ca="1">OFFSET('배치점수 계산기'!N$10,$D680,0)</f>
        <v>표점/만점</v>
      </c>
      <c r="Y680" s="188">
        <f ca="1">OFFSET(환산공식!FW$15,$F680,0)</f>
        <v>0.4</v>
      </c>
      <c r="Z680" s="20">
        <f ca="1">OFFSET(환산공식!FX$15,$F680,0)</f>
        <v>0.3</v>
      </c>
      <c r="AA680" s="179">
        <f ca="1">OFFSET(환산공식!FY$15,$F680,0)</f>
        <v>0.28999999999999998</v>
      </c>
      <c r="AB680" s="3"/>
      <c r="AD680">
        <f t="shared" ca="1" si="21"/>
        <v>6</v>
      </c>
      <c r="AF680" s="3"/>
      <c r="AG680" s="3"/>
      <c r="AH680" s="3"/>
    </row>
    <row r="681" spans="1:34">
      <c r="A681" s="198"/>
      <c r="B681" s="198"/>
      <c r="C681" s="198" t="s">
        <v>2133</v>
      </c>
      <c r="D681" s="195">
        <v>1681</v>
      </c>
      <c r="E681" s="195">
        <v>203</v>
      </c>
      <c r="F681" s="195">
        <v>203</v>
      </c>
      <c r="G681" s="239">
        <v>674</v>
      </c>
      <c r="H681" s="197" t="s">
        <v>79</v>
      </c>
      <c r="I681" s="242" t="s">
        <v>212</v>
      </c>
      <c r="J681" s="242" t="s">
        <v>8804</v>
      </c>
      <c r="K681" s="195" t="s">
        <v>71</v>
      </c>
      <c r="L681" s="20" t="str">
        <f ca="1">IF(OFFSET(환산공식!$ED$15,$F681,0)=1,"O","X")</f>
        <v>X</v>
      </c>
      <c r="M681" s="188">
        <f ca="1">IFERROR(OFFSET(환산공식!DJ$15,$F681,0),"")</f>
        <v>200</v>
      </c>
      <c r="N681" s="20" t="str">
        <f ca="1">IFERROR(CONCATENATE(ROUND(OFFSET(환산공식!DK$15,$F681,0),1),"%"),"")</f>
        <v>100%</v>
      </c>
      <c r="O681" s="20">
        <f ca="1">IFERROR(OFFSET(환산공식!DL$15,$F681,0),"")</f>
        <v>10</v>
      </c>
      <c r="P681" s="188" t="str">
        <f t="shared" ca="1" si="20"/>
        <v>3% 이하</v>
      </c>
      <c r="Q681" s="194">
        <f ca="1">IFERROR(ROUND(OFFSET(환산공식!$FG$15,$F681,0),3),"")</f>
        <v>0</v>
      </c>
      <c r="R681" s="194">
        <f ca="1">OFFSET('배치점수 계산기'!H$10,$D681,0)</f>
        <v>847.70899999999995</v>
      </c>
      <c r="S681" s="194">
        <f ca="1">OFFSET('배치점수 계산기'!I$10,$D681,0)</f>
        <v>845.44</v>
      </c>
      <c r="T681" s="194">
        <f ca="1">OFFSET('배치점수 계산기'!J$10,$D681,0)</f>
        <v>841.45299999999997</v>
      </c>
      <c r="U681" s="194">
        <f ca="1">OFFSET('배치점수 계산기'!K$10,$D681,0)</f>
        <v>836.63599999999997</v>
      </c>
      <c r="V681" s="194">
        <f ca="1">OFFSET('배치점수 계산기'!L$10,$D681,0)</f>
        <v>830.93700000000001</v>
      </c>
      <c r="W681" s="186" t="str">
        <f ca="1">OFFSET('배치점수 계산기'!M$10,$D681,0)</f>
        <v>표점/만점</v>
      </c>
      <c r="X681" s="184" t="str">
        <f ca="1">OFFSET('배치점수 계산기'!N$10,$D681,0)</f>
        <v>표점/만점</v>
      </c>
      <c r="Y681" s="188">
        <f ca="1">OFFSET(환산공식!FW$15,$F681,0)</f>
        <v>0.4</v>
      </c>
      <c r="Z681" s="20">
        <f ca="1">OFFSET(환산공식!FX$15,$F681,0)</f>
        <v>0.3</v>
      </c>
      <c r="AA681" s="179">
        <f ca="1">OFFSET(환산공식!FY$15,$F681,0)</f>
        <v>0.28999999999999998</v>
      </c>
      <c r="AB681" s="3"/>
      <c r="AD681">
        <f t="shared" ca="1" si="21"/>
        <v>6</v>
      </c>
      <c r="AF681" s="3"/>
      <c r="AG681" s="3"/>
      <c r="AH681" s="3"/>
    </row>
    <row r="682" spans="1:34">
      <c r="A682" s="198"/>
      <c r="B682" s="198"/>
      <c r="C682" s="198" t="s">
        <v>2134</v>
      </c>
      <c r="D682" s="195">
        <v>1682</v>
      </c>
      <c r="E682" s="195">
        <v>203</v>
      </c>
      <c r="F682" s="195">
        <v>203</v>
      </c>
      <c r="G682" s="239">
        <v>675</v>
      </c>
      <c r="H682" s="197" t="s">
        <v>79</v>
      </c>
      <c r="I682" s="242" t="s">
        <v>212</v>
      </c>
      <c r="J682" s="242" t="s">
        <v>501</v>
      </c>
      <c r="K682" s="195" t="s">
        <v>71</v>
      </c>
      <c r="L682" s="20" t="str">
        <f ca="1">IF(OFFSET(환산공식!$ED$15,$F682,0)=1,"O","X")</f>
        <v>X</v>
      </c>
      <c r="M682" s="188">
        <f ca="1">IFERROR(OFFSET(환산공식!DJ$15,$F682,0),"")</f>
        <v>200</v>
      </c>
      <c r="N682" s="20" t="str">
        <f ca="1">IFERROR(CONCATENATE(ROUND(OFFSET(환산공식!DK$15,$F682,0),1),"%"),"")</f>
        <v>100%</v>
      </c>
      <c r="O682" s="20">
        <f ca="1">IFERROR(OFFSET(환산공식!DL$15,$F682,0),"")</f>
        <v>10</v>
      </c>
      <c r="P682" s="188" t="str">
        <f t="shared" ca="1" si="20"/>
        <v>3% 이하</v>
      </c>
      <c r="Q682" s="194">
        <f ca="1">IFERROR(ROUND(OFFSET(환산공식!$FG$15,$F682,0),3),"")</f>
        <v>0</v>
      </c>
      <c r="R682" s="194">
        <f ca="1">OFFSET('배치점수 계산기'!H$10,$D682,0)</f>
        <v>844.88300000000004</v>
      </c>
      <c r="S682" s="194">
        <f ca="1">OFFSET('배치점수 계산기'!I$10,$D682,0)</f>
        <v>842.601</v>
      </c>
      <c r="T682" s="194">
        <f ca="1">OFFSET('배치점수 계산기'!J$10,$D682,0)</f>
        <v>838.57899999999995</v>
      </c>
      <c r="U682" s="194">
        <f ca="1">OFFSET('배치점수 계산기'!K$10,$D682,0)</f>
        <v>834.20100000000002</v>
      </c>
      <c r="V682" s="194">
        <f ca="1">OFFSET('배치점수 계산기'!L$10,$D682,0)</f>
        <v>828.10799999999995</v>
      </c>
      <c r="W682" s="186" t="str">
        <f ca="1">OFFSET('배치점수 계산기'!M$10,$D682,0)</f>
        <v>표점/만점</v>
      </c>
      <c r="X682" s="184" t="str">
        <f ca="1">OFFSET('배치점수 계산기'!N$10,$D682,0)</f>
        <v>표점/만점</v>
      </c>
      <c r="Y682" s="188">
        <f ca="1">OFFSET(환산공식!FW$15,$F682,0)</f>
        <v>0.4</v>
      </c>
      <c r="Z682" s="20">
        <f ca="1">OFFSET(환산공식!FX$15,$F682,0)</f>
        <v>0.3</v>
      </c>
      <c r="AA682" s="179">
        <f ca="1">OFFSET(환산공식!FY$15,$F682,0)</f>
        <v>0.28999999999999998</v>
      </c>
      <c r="AB682" s="3"/>
      <c r="AD682">
        <f t="shared" ca="1" si="21"/>
        <v>6</v>
      </c>
      <c r="AF682" s="3"/>
      <c r="AG682" s="3"/>
      <c r="AH682" s="3"/>
    </row>
    <row r="683" spans="1:34">
      <c r="A683" s="198"/>
      <c r="B683" s="198"/>
      <c r="C683" s="198" t="s">
        <v>2135</v>
      </c>
      <c r="D683" s="195">
        <v>1683</v>
      </c>
      <c r="E683" s="195">
        <v>203</v>
      </c>
      <c r="F683" s="195">
        <v>203</v>
      </c>
      <c r="G683" s="239">
        <v>676</v>
      </c>
      <c r="H683" s="197" t="s">
        <v>79</v>
      </c>
      <c r="I683" s="242" t="s">
        <v>212</v>
      </c>
      <c r="J683" s="242" t="s">
        <v>561</v>
      </c>
      <c r="K683" s="195" t="s">
        <v>71</v>
      </c>
      <c r="L683" s="20" t="str">
        <f ca="1">IF(OFFSET(환산공식!$ED$15,$F683,0)=1,"O","X")</f>
        <v>X</v>
      </c>
      <c r="M683" s="188">
        <f ca="1">IFERROR(OFFSET(환산공식!DJ$15,$F683,0),"")</f>
        <v>200</v>
      </c>
      <c r="N683" s="20" t="str">
        <f ca="1">IFERROR(CONCATENATE(ROUND(OFFSET(환산공식!DK$15,$F683,0),1),"%"),"")</f>
        <v>100%</v>
      </c>
      <c r="O683" s="20">
        <f ca="1">IFERROR(OFFSET(환산공식!DL$15,$F683,0),"")</f>
        <v>10</v>
      </c>
      <c r="P683" s="188" t="str">
        <f t="shared" ca="1" si="20"/>
        <v>3% 이하</v>
      </c>
      <c r="Q683" s="194">
        <f ca="1">IFERROR(ROUND(OFFSET(환산공식!$FG$15,$F683,0),3),"")</f>
        <v>0</v>
      </c>
      <c r="R683" s="194">
        <f ca="1">OFFSET('배치점수 계산기'!H$10,$D683,0)</f>
        <v>843.34400000000005</v>
      </c>
      <c r="S683" s="194">
        <f ca="1">OFFSET('배치점수 계산기'!I$10,$D683,0)</f>
        <v>841.45299999999997</v>
      </c>
      <c r="T683" s="194">
        <f ca="1">OFFSET('배치점수 계산기'!J$10,$D683,0)</f>
        <v>837.25800000000004</v>
      </c>
      <c r="U683" s="194">
        <f ca="1">OFFSET('배치점수 계산기'!K$10,$D683,0)</f>
        <v>832.86599999999999</v>
      </c>
      <c r="V683" s="194">
        <f ca="1">OFFSET('배치점수 계산기'!L$10,$D683,0)</f>
        <v>826.95699999999999</v>
      </c>
      <c r="W683" s="186" t="str">
        <f ca="1">OFFSET('배치점수 계산기'!M$10,$D683,0)</f>
        <v>표점/만점</v>
      </c>
      <c r="X683" s="184" t="str">
        <f ca="1">OFFSET('배치점수 계산기'!N$10,$D683,0)</f>
        <v>표점/만점</v>
      </c>
      <c r="Y683" s="188">
        <f ca="1">OFFSET(환산공식!FW$15,$F683,0)</f>
        <v>0.4</v>
      </c>
      <c r="Z683" s="20">
        <f ca="1">OFFSET(환산공식!FX$15,$F683,0)</f>
        <v>0.3</v>
      </c>
      <c r="AA683" s="179">
        <f ca="1">OFFSET(환산공식!FY$15,$F683,0)</f>
        <v>0.28999999999999998</v>
      </c>
      <c r="AB683" s="3"/>
      <c r="AD683">
        <f t="shared" ca="1" si="21"/>
        <v>6</v>
      </c>
      <c r="AF683" s="3"/>
      <c r="AG683" s="3"/>
      <c r="AH683" s="3"/>
    </row>
    <row r="684" spans="1:34">
      <c r="A684" s="198"/>
      <c r="B684" s="198"/>
      <c r="C684" s="198" t="s">
        <v>2136</v>
      </c>
      <c r="D684" s="195">
        <v>1684</v>
      </c>
      <c r="E684" s="195">
        <v>203</v>
      </c>
      <c r="F684" s="195">
        <v>203</v>
      </c>
      <c r="G684" s="239">
        <v>677</v>
      </c>
      <c r="H684" s="197" t="s">
        <v>79</v>
      </c>
      <c r="I684" s="242" t="s">
        <v>212</v>
      </c>
      <c r="J684" s="242" t="s">
        <v>8863</v>
      </c>
      <c r="K684" s="195" t="s">
        <v>71</v>
      </c>
      <c r="L684" s="20" t="str">
        <f ca="1">IF(OFFSET(환산공식!$ED$15,$F684,0)=1,"O","X")</f>
        <v>X</v>
      </c>
      <c r="M684" s="188">
        <f ca="1">IFERROR(OFFSET(환산공식!DJ$15,$F684,0),"")</f>
        <v>200</v>
      </c>
      <c r="N684" s="20" t="str">
        <f ca="1">IFERROR(CONCATENATE(ROUND(OFFSET(환산공식!DK$15,$F684,0),1),"%"),"")</f>
        <v>100%</v>
      </c>
      <c r="O684" s="20">
        <f ca="1">IFERROR(OFFSET(환산공식!DL$15,$F684,0),"")</f>
        <v>10</v>
      </c>
      <c r="P684" s="188" t="str">
        <f t="shared" ca="1" si="20"/>
        <v>3% 이하</v>
      </c>
      <c r="Q684" s="194">
        <f ca="1">IFERROR(ROUND(OFFSET(환산공식!$FG$15,$F684,0),3),"")</f>
        <v>0</v>
      </c>
      <c r="R684" s="194">
        <f ca="1">OFFSET('배치점수 계산기'!H$10,$D684,0)</f>
        <v>839.72699999999998</v>
      </c>
      <c r="S684" s="194">
        <f ca="1">OFFSET('배치점수 계산기'!I$10,$D684,0)</f>
        <v>837.63099999999997</v>
      </c>
      <c r="T684" s="194">
        <f ca="1">OFFSET('배치점수 계산기'!J$10,$D684,0)</f>
        <v>833.62400000000002</v>
      </c>
      <c r="U684" s="194">
        <f ca="1">OFFSET('배치점수 계산기'!K$10,$D684,0)</f>
        <v>829.07299999999998</v>
      </c>
      <c r="V684" s="194">
        <f ca="1">OFFSET('배치점수 계산기'!L$10,$D684,0)</f>
        <v>823.23199999999997</v>
      </c>
      <c r="W684" s="186" t="str">
        <f ca="1">OFFSET('배치점수 계산기'!M$10,$D684,0)</f>
        <v>표점/만점</v>
      </c>
      <c r="X684" s="184" t="str">
        <f ca="1">OFFSET('배치점수 계산기'!N$10,$D684,0)</f>
        <v>표점/만점</v>
      </c>
      <c r="Y684" s="188">
        <f ca="1">OFFSET(환산공식!FW$15,$F684,0)</f>
        <v>0.4</v>
      </c>
      <c r="Z684" s="20">
        <f ca="1">OFFSET(환산공식!FX$15,$F684,0)</f>
        <v>0.3</v>
      </c>
      <c r="AA684" s="179">
        <f ca="1">OFFSET(환산공식!FY$15,$F684,0)</f>
        <v>0.28999999999999998</v>
      </c>
      <c r="AB684" s="3"/>
      <c r="AD684">
        <f t="shared" ca="1" si="21"/>
        <v>6</v>
      </c>
      <c r="AF684" s="3"/>
      <c r="AG684" s="3"/>
      <c r="AH684" s="3"/>
    </row>
    <row r="685" spans="1:34">
      <c r="A685" s="198"/>
      <c r="B685" s="198"/>
      <c r="C685" s="198" t="s">
        <v>2137</v>
      </c>
      <c r="D685" s="195">
        <v>1685</v>
      </c>
      <c r="E685" s="195">
        <v>203</v>
      </c>
      <c r="F685" s="195">
        <v>203</v>
      </c>
      <c r="G685" s="239">
        <v>678</v>
      </c>
      <c r="H685" s="197" t="s">
        <v>79</v>
      </c>
      <c r="I685" s="242" t="s">
        <v>212</v>
      </c>
      <c r="J685" s="242" t="s">
        <v>7354</v>
      </c>
      <c r="K685" s="195" t="s">
        <v>71</v>
      </c>
      <c r="L685" s="20" t="str">
        <f ca="1">IF(OFFSET(환산공식!$ED$15,$F685,0)=1,"O","X")</f>
        <v>X</v>
      </c>
      <c r="M685" s="188">
        <f ca="1">IFERROR(OFFSET(환산공식!DJ$15,$F685,0),"")</f>
        <v>200</v>
      </c>
      <c r="N685" s="20" t="str">
        <f ca="1">IFERROR(CONCATENATE(ROUND(OFFSET(환산공식!DK$15,$F685,0),1),"%"),"")</f>
        <v>100%</v>
      </c>
      <c r="O685" s="20">
        <f ca="1">IFERROR(OFFSET(환산공식!DL$15,$F685,0),"")</f>
        <v>10</v>
      </c>
      <c r="P685" s="188" t="str">
        <f t="shared" ca="1" si="20"/>
        <v>3% 이하</v>
      </c>
      <c r="Q685" s="194">
        <f ca="1">IFERROR(ROUND(OFFSET(환산공식!$FG$15,$F685,0),3),"")</f>
        <v>0</v>
      </c>
      <c r="R685" s="194">
        <f ca="1">OFFSET('배치점수 계산기'!H$10,$D685,0)</f>
        <v>797.43499999999995</v>
      </c>
      <c r="S685" s="194">
        <f ca="1">OFFSET('배치점수 계산기'!I$10,$D685,0)</f>
        <v>795.74300000000005</v>
      </c>
      <c r="T685" s="194">
        <f ca="1">OFFSET('배치점수 계산기'!J$10,$D685,0)</f>
        <v>792.72699999999998</v>
      </c>
      <c r="U685" s="194">
        <f ca="1">OFFSET('배치점수 계산기'!K$10,$D685,0)</f>
        <v>788.94899999999996</v>
      </c>
      <c r="V685" s="194">
        <f ca="1">OFFSET('배치점수 계산기'!L$10,$D685,0)</f>
        <v>784.78300000000002</v>
      </c>
      <c r="W685" s="186" t="str">
        <f ca="1">OFFSET('배치점수 계산기'!M$10,$D685,0)</f>
        <v>표점/만점</v>
      </c>
      <c r="X685" s="184" t="str">
        <f ca="1">OFFSET('배치점수 계산기'!N$10,$D685,0)</f>
        <v>표점/만점</v>
      </c>
      <c r="Y685" s="188">
        <f ca="1">OFFSET(환산공식!FW$15,$F685,0)</f>
        <v>0.4</v>
      </c>
      <c r="Z685" s="20">
        <f ca="1">OFFSET(환산공식!FX$15,$F685,0)</f>
        <v>0.3</v>
      </c>
      <c r="AA685" s="179">
        <f ca="1">OFFSET(환산공식!FY$15,$F685,0)</f>
        <v>0.28999999999999998</v>
      </c>
      <c r="AB685" s="3"/>
      <c r="AD685">
        <f t="shared" ca="1" si="21"/>
        <v>6</v>
      </c>
      <c r="AF685" s="3"/>
      <c r="AG685" s="3"/>
      <c r="AH685" s="3"/>
    </row>
    <row r="686" spans="1:34">
      <c r="A686" s="198"/>
      <c r="B686" s="198"/>
      <c r="C686" s="198" t="s">
        <v>2138</v>
      </c>
      <c r="D686" s="195">
        <v>1686</v>
      </c>
      <c r="E686" s="195">
        <v>208</v>
      </c>
      <c r="F686" s="195">
        <v>208</v>
      </c>
      <c r="G686" s="239">
        <v>679</v>
      </c>
      <c r="H686" s="197" t="s">
        <v>79</v>
      </c>
      <c r="I686" s="242" t="s">
        <v>211</v>
      </c>
      <c r="J686" s="242" t="s">
        <v>8633</v>
      </c>
      <c r="K686" s="195" t="s">
        <v>70</v>
      </c>
      <c r="L686" s="20" t="str">
        <f ca="1">IF(OFFSET(환산공식!$ED$15,$F686,0)=1,"O","X")</f>
        <v>X</v>
      </c>
      <c r="M686" s="188">
        <f ca="1">IFERROR(OFFSET(환산공식!DJ$15,$F686,0),"")</f>
        <v>30</v>
      </c>
      <c r="N686" s="20" t="str">
        <f ca="1">IFERROR(CONCATENATE(ROUND(OFFSET(환산공식!DK$15,$F686,0),1),"%"),"")</f>
        <v>100%</v>
      </c>
      <c r="O686" s="20">
        <f ca="1">IFERROR(OFFSET(환산공식!DL$15,$F686,0),"")</f>
        <v>5</v>
      </c>
      <c r="P686" s="188" t="str">
        <f t="shared" ca="1" si="20"/>
        <v>3% 이하</v>
      </c>
      <c r="Q686" s="194">
        <f ca="1">IFERROR(ROUND(OFFSET(환산공식!$FG$15,$F686,0),3),"")</f>
        <v>0</v>
      </c>
      <c r="R686" s="194">
        <f ca="1">OFFSET('배치점수 계산기'!H$10,$D686,0)</f>
        <v>335.55099999999999</v>
      </c>
      <c r="S686" s="194">
        <f ca="1">OFFSET('배치점수 계산기'!I$10,$D686,0)</f>
        <v>334.37700000000001</v>
      </c>
      <c r="T686" s="194">
        <f ca="1">OFFSET('배치점수 계산기'!J$10,$D686,0)</f>
        <v>332.202</v>
      </c>
      <c r="U686" s="194">
        <f ca="1">OFFSET('배치점수 계산기'!K$10,$D686,0)</f>
        <v>329.21</v>
      </c>
      <c r="V686" s="194">
        <f ca="1">OFFSET('배치점수 계산기'!L$10,$D686,0)</f>
        <v>325.79399999999998</v>
      </c>
      <c r="W686" s="186" t="str">
        <f ca="1">OFFSET('배치점수 계산기'!M$10,$D686,0)</f>
        <v>표점</v>
      </c>
      <c r="X686" s="184" t="str">
        <f ca="1">OFFSET('배치점수 계산기'!N$10,$D686,0)</f>
        <v>변표</v>
      </c>
      <c r="Y686" s="188">
        <f ca="1">OFFSET(환산공식!FW$15,$F686,0)</f>
        <v>0.3</v>
      </c>
      <c r="Z686" s="20">
        <f ca="1">OFFSET(환산공식!FX$15,$F686,0)</f>
        <v>0.4</v>
      </c>
      <c r="AA686" s="179">
        <f ca="1">OFFSET(환산공식!FY$15,$F686,0)</f>
        <v>0.3</v>
      </c>
      <c r="AB686" s="3"/>
      <c r="AD686">
        <f t="shared" ca="1" si="21"/>
        <v>6</v>
      </c>
      <c r="AF686" s="3"/>
      <c r="AG686" s="3"/>
      <c r="AH686" s="3"/>
    </row>
    <row r="687" spans="1:34">
      <c r="A687" s="198"/>
      <c r="B687" s="198"/>
      <c r="C687" s="198" t="s">
        <v>2139</v>
      </c>
      <c r="D687" s="195">
        <v>1687</v>
      </c>
      <c r="E687" s="195">
        <v>208</v>
      </c>
      <c r="F687" s="195">
        <v>208</v>
      </c>
      <c r="G687" s="239">
        <v>680</v>
      </c>
      <c r="H687" s="197" t="s">
        <v>79</v>
      </c>
      <c r="I687" s="242" t="s">
        <v>211</v>
      </c>
      <c r="J687" s="242" t="s">
        <v>7357</v>
      </c>
      <c r="K687" s="195" t="s">
        <v>70</v>
      </c>
      <c r="L687" s="20" t="str">
        <f ca="1">IF(OFFSET(환산공식!$ED$15,$F687,0)=1,"O","X")</f>
        <v>X</v>
      </c>
      <c r="M687" s="188">
        <f ca="1">IFERROR(OFFSET(환산공식!DJ$15,$F687,0),"")</f>
        <v>30</v>
      </c>
      <c r="N687" s="20" t="str">
        <f ca="1">IFERROR(CONCATENATE(ROUND(OFFSET(환산공식!DK$15,$F687,0),1),"%"),"")</f>
        <v>100%</v>
      </c>
      <c r="O687" s="20">
        <f ca="1">IFERROR(OFFSET(환산공식!DL$15,$F687,0),"")</f>
        <v>5</v>
      </c>
      <c r="P687" s="188" t="str">
        <f t="shared" ca="1" si="20"/>
        <v>3% 이하</v>
      </c>
      <c r="Q687" s="194">
        <f ca="1">IFERROR(ROUND(OFFSET(환산공식!$FG$15,$F687,0),3),"")</f>
        <v>0</v>
      </c>
      <c r="R687" s="194">
        <f ca="1">OFFSET('배치점수 계산기'!H$10,$D687,0)</f>
        <v>316.27800000000002</v>
      </c>
      <c r="S687" s="194">
        <f ca="1">OFFSET('배치점수 계산기'!I$10,$D687,0)</f>
        <v>315.33800000000002</v>
      </c>
      <c r="T687" s="194">
        <f ca="1">OFFSET('배치점수 계산기'!J$10,$D687,0)</f>
        <v>313.63</v>
      </c>
      <c r="U687" s="194">
        <f ca="1">OFFSET('배치점수 계산기'!K$10,$D687,0)</f>
        <v>311.08600000000001</v>
      </c>
      <c r="V687" s="194">
        <f ca="1">OFFSET('배치점수 계산기'!L$10,$D687,0)</f>
        <v>307.76</v>
      </c>
      <c r="W687" s="186" t="str">
        <f ca="1">OFFSET('배치점수 계산기'!M$10,$D687,0)</f>
        <v>표점</v>
      </c>
      <c r="X687" s="184" t="str">
        <f ca="1">OFFSET('배치점수 계산기'!N$10,$D687,0)</f>
        <v>변표</v>
      </c>
      <c r="Y687" s="188">
        <f ca="1">OFFSET(환산공식!FW$15,$F687,0)</f>
        <v>0.3</v>
      </c>
      <c r="Z687" s="20">
        <f ca="1">OFFSET(환산공식!FX$15,$F687,0)</f>
        <v>0.4</v>
      </c>
      <c r="AA687" s="179">
        <f ca="1">OFFSET(환산공식!FY$15,$F687,0)</f>
        <v>0.3</v>
      </c>
      <c r="AB687" s="3"/>
      <c r="AD687">
        <f t="shared" ca="1" si="21"/>
        <v>6</v>
      </c>
      <c r="AF687" s="3"/>
      <c r="AG687" s="3"/>
      <c r="AH687" s="3"/>
    </row>
    <row r="688" spans="1:34">
      <c r="A688" s="198"/>
      <c r="B688" s="198"/>
      <c r="C688" s="198" t="s">
        <v>2140</v>
      </c>
      <c r="D688" s="195">
        <v>1688</v>
      </c>
      <c r="E688" s="195">
        <v>208</v>
      </c>
      <c r="F688" s="195">
        <v>208</v>
      </c>
      <c r="G688" s="239">
        <v>681</v>
      </c>
      <c r="H688" s="197" t="s">
        <v>79</v>
      </c>
      <c r="I688" s="242" t="s">
        <v>211</v>
      </c>
      <c r="J688" s="242" t="s">
        <v>7358</v>
      </c>
      <c r="K688" s="195" t="s">
        <v>70</v>
      </c>
      <c r="L688" s="20" t="str">
        <f ca="1">IF(OFFSET(환산공식!$ED$15,$F688,0)=1,"O","X")</f>
        <v>X</v>
      </c>
      <c r="M688" s="188">
        <f ca="1">IFERROR(OFFSET(환산공식!DJ$15,$F688,0),"")</f>
        <v>30</v>
      </c>
      <c r="N688" s="20" t="str">
        <f ca="1">IFERROR(CONCATENATE(ROUND(OFFSET(환산공식!DK$15,$F688,0),1),"%"),"")</f>
        <v>100%</v>
      </c>
      <c r="O688" s="20">
        <f ca="1">IFERROR(OFFSET(환산공식!DL$15,$F688,0),"")</f>
        <v>5</v>
      </c>
      <c r="P688" s="188" t="str">
        <f t="shared" ca="1" si="20"/>
        <v>3% 이하</v>
      </c>
      <c r="Q688" s="194">
        <f ca="1">IFERROR(ROUND(OFFSET(환산공식!$FG$15,$F688,0),3),"")</f>
        <v>0</v>
      </c>
      <c r="R688" s="194">
        <f ca="1">OFFSET('배치점수 계산기'!H$10,$D688,0)</f>
        <v>315.76299999999998</v>
      </c>
      <c r="S688" s="194">
        <f ca="1">OFFSET('배치점수 계산기'!I$10,$D688,0)</f>
        <v>314.601</v>
      </c>
      <c r="T688" s="194">
        <f ca="1">OFFSET('배치점수 계산기'!J$10,$D688,0)</f>
        <v>312.92599999999999</v>
      </c>
      <c r="U688" s="194">
        <f ca="1">OFFSET('배치점수 계산기'!K$10,$D688,0)</f>
        <v>310.43299999999999</v>
      </c>
      <c r="V688" s="194">
        <f ca="1">OFFSET('배치점수 계산기'!L$10,$D688,0)</f>
        <v>306.53500000000003</v>
      </c>
      <c r="W688" s="186" t="str">
        <f ca="1">OFFSET('배치점수 계산기'!M$10,$D688,0)</f>
        <v>표점</v>
      </c>
      <c r="X688" s="184" t="str">
        <f ca="1">OFFSET('배치점수 계산기'!N$10,$D688,0)</f>
        <v>변표</v>
      </c>
      <c r="Y688" s="188">
        <f ca="1">OFFSET(환산공식!FW$15,$F688,0)</f>
        <v>0.3</v>
      </c>
      <c r="Z688" s="20">
        <f ca="1">OFFSET(환산공식!FX$15,$F688,0)</f>
        <v>0.4</v>
      </c>
      <c r="AA688" s="179">
        <f ca="1">OFFSET(환산공식!FY$15,$F688,0)</f>
        <v>0.3</v>
      </c>
      <c r="AB688" s="3"/>
      <c r="AD688">
        <f t="shared" ca="1" si="21"/>
        <v>6</v>
      </c>
      <c r="AF688" s="3"/>
      <c r="AG688" s="3"/>
      <c r="AH688" s="3"/>
    </row>
    <row r="689" spans="1:34">
      <c r="A689" s="198"/>
      <c r="B689" s="198"/>
      <c r="C689" s="198" t="s">
        <v>2141</v>
      </c>
      <c r="D689" s="195">
        <v>1689</v>
      </c>
      <c r="E689" s="195">
        <v>208</v>
      </c>
      <c r="F689" s="195">
        <v>208</v>
      </c>
      <c r="G689" s="239">
        <v>682</v>
      </c>
      <c r="H689" s="197" t="s">
        <v>79</v>
      </c>
      <c r="I689" s="242" t="s">
        <v>211</v>
      </c>
      <c r="J689" s="242" t="s">
        <v>7363</v>
      </c>
      <c r="K689" s="195" t="s">
        <v>70</v>
      </c>
      <c r="L689" s="20" t="str">
        <f ca="1">IF(OFFSET(환산공식!$ED$15,$F689,0)=1,"O","X")</f>
        <v>X</v>
      </c>
      <c r="M689" s="188">
        <f ca="1">IFERROR(OFFSET(환산공식!DJ$15,$F689,0),"")</f>
        <v>30</v>
      </c>
      <c r="N689" s="20" t="str">
        <f ca="1">IFERROR(CONCATENATE(ROUND(OFFSET(환산공식!DK$15,$F689,0),1),"%"),"")</f>
        <v>100%</v>
      </c>
      <c r="O689" s="20">
        <f ca="1">IFERROR(OFFSET(환산공식!DL$15,$F689,0),"")</f>
        <v>5</v>
      </c>
      <c r="P689" s="188" t="str">
        <f t="shared" ca="1" si="20"/>
        <v>3% 이하</v>
      </c>
      <c r="Q689" s="194">
        <f ca="1">IFERROR(ROUND(OFFSET(환산공식!$FG$15,$F689,0),3),"")</f>
        <v>0</v>
      </c>
      <c r="R689" s="194">
        <f ca="1">OFFSET('배치점수 계산기'!H$10,$D689,0)</f>
        <v>302.411</v>
      </c>
      <c r="S689" s="194">
        <f ca="1">OFFSET('배치점수 계산기'!I$10,$D689,0)</f>
        <v>301.49200000000002</v>
      </c>
      <c r="T689" s="194">
        <f ca="1">OFFSET('배치점수 계산기'!J$10,$D689,0)</f>
        <v>300.01299999999998</v>
      </c>
      <c r="U689" s="194">
        <f ca="1">OFFSET('배치점수 계산기'!K$10,$D689,0)</f>
        <v>297.12700000000001</v>
      </c>
      <c r="V689" s="194">
        <f ca="1">OFFSET('배치점수 계산기'!L$10,$D689,0)</f>
        <v>294.19600000000003</v>
      </c>
      <c r="W689" s="186" t="str">
        <f ca="1">OFFSET('배치점수 계산기'!M$10,$D689,0)</f>
        <v>표점</v>
      </c>
      <c r="X689" s="184" t="str">
        <f ca="1">OFFSET('배치점수 계산기'!N$10,$D689,0)</f>
        <v>변표</v>
      </c>
      <c r="Y689" s="188">
        <f ca="1">OFFSET(환산공식!FW$15,$F689,0)</f>
        <v>0.3</v>
      </c>
      <c r="Z689" s="20">
        <f ca="1">OFFSET(환산공식!FX$15,$F689,0)</f>
        <v>0.4</v>
      </c>
      <c r="AA689" s="179">
        <f ca="1">OFFSET(환산공식!FY$15,$F689,0)</f>
        <v>0.3</v>
      </c>
      <c r="AB689" s="3"/>
      <c r="AD689">
        <f t="shared" ca="1" si="21"/>
        <v>6</v>
      </c>
      <c r="AF689" s="3"/>
      <c r="AG689" s="3"/>
      <c r="AH689" s="3"/>
    </row>
    <row r="690" spans="1:34">
      <c r="A690" s="198"/>
      <c r="B690" s="198"/>
      <c r="C690" s="198" t="s">
        <v>2142</v>
      </c>
      <c r="D690" s="195">
        <v>1690</v>
      </c>
      <c r="E690" s="195">
        <v>207</v>
      </c>
      <c r="F690" s="195">
        <v>207</v>
      </c>
      <c r="G690" s="239">
        <v>683</v>
      </c>
      <c r="H690" s="197" t="s">
        <v>79</v>
      </c>
      <c r="I690" s="242" t="s">
        <v>211</v>
      </c>
      <c r="J690" s="242" t="s">
        <v>12650</v>
      </c>
      <c r="K690" s="195" t="s">
        <v>71</v>
      </c>
      <c r="L690" s="20" t="str">
        <f ca="1">IF(OFFSET(환산공식!$ED$15,$F690,0)=1,"O","X")</f>
        <v>X</v>
      </c>
      <c r="M690" s="188">
        <f ca="1">IFERROR(OFFSET(환산공식!DJ$15,$F690,0),"")</f>
        <v>30</v>
      </c>
      <c r="N690" s="20" t="str">
        <f ca="1">IFERROR(CONCATENATE(ROUND(OFFSET(환산공식!DK$15,$F690,0),1),"%"),"")</f>
        <v>100%</v>
      </c>
      <c r="O690" s="20">
        <f ca="1">IFERROR(OFFSET(환산공식!DL$15,$F690,0),"")</f>
        <v>5</v>
      </c>
      <c r="P690" s="188" t="str">
        <f t="shared" ca="1" si="20"/>
        <v>3% 이하</v>
      </c>
      <c r="Q690" s="194">
        <f ca="1">IFERROR(ROUND(OFFSET(환산공식!$FG$15,$F690,0),3),"")</f>
        <v>0</v>
      </c>
      <c r="R690" s="194">
        <f ca="1">OFFSET('배치점수 계산기'!H$10,$D690,0)</f>
        <v>320.45600000000002</v>
      </c>
      <c r="S690" s="194">
        <f ca="1">OFFSET('배치점수 계산기'!I$10,$D690,0)</f>
        <v>319.34800000000001</v>
      </c>
      <c r="T690" s="194">
        <f ca="1">OFFSET('배치점수 계산기'!J$10,$D690,0)</f>
        <v>317.40699999999998</v>
      </c>
      <c r="U690" s="194">
        <f ca="1">OFFSET('배치점수 계산기'!K$10,$D690,0)</f>
        <v>314.38099999999997</v>
      </c>
      <c r="V690" s="194">
        <f ca="1">OFFSET('배치점수 계산기'!L$10,$D690,0)</f>
        <v>310.267</v>
      </c>
      <c r="W690" s="186" t="str">
        <f ca="1">OFFSET('배치점수 계산기'!M$10,$D690,0)</f>
        <v>표점</v>
      </c>
      <c r="X690" s="184" t="str">
        <f ca="1">OFFSET('배치점수 계산기'!N$10,$D690,0)</f>
        <v>변표</v>
      </c>
      <c r="Y690" s="188">
        <f ca="1">OFFSET(환산공식!FW$15,$F690,0)</f>
        <v>0.4</v>
      </c>
      <c r="Z690" s="20">
        <f ca="1">OFFSET(환산공식!FX$15,$F690,0)</f>
        <v>0.3</v>
      </c>
      <c r="AA690" s="179">
        <f ca="1">OFFSET(환산공식!FY$15,$F690,0)</f>
        <v>0.3</v>
      </c>
      <c r="AB690" s="3"/>
      <c r="AD690">
        <f t="shared" ca="1" si="21"/>
        <v>6</v>
      </c>
      <c r="AF690" s="3"/>
      <c r="AG690" s="3"/>
      <c r="AH690" s="3"/>
    </row>
    <row r="691" spans="1:34">
      <c r="A691" s="198"/>
      <c r="B691" s="198"/>
      <c r="C691" s="198" t="s">
        <v>2143</v>
      </c>
      <c r="D691" s="195">
        <v>1691</v>
      </c>
      <c r="E691" s="195">
        <v>207</v>
      </c>
      <c r="F691" s="195">
        <v>207</v>
      </c>
      <c r="G691" s="239">
        <v>684</v>
      </c>
      <c r="H691" s="197" t="s">
        <v>79</v>
      </c>
      <c r="I691" s="242" t="s">
        <v>211</v>
      </c>
      <c r="J691" s="242" t="s">
        <v>483</v>
      </c>
      <c r="K691" s="195" t="s">
        <v>71</v>
      </c>
      <c r="L691" s="20" t="str">
        <f ca="1">IF(OFFSET(환산공식!$ED$15,$F691,0)=1,"O","X")</f>
        <v>X</v>
      </c>
      <c r="M691" s="188">
        <f ca="1">IFERROR(OFFSET(환산공식!DJ$15,$F691,0),"")</f>
        <v>30</v>
      </c>
      <c r="N691" s="20" t="str">
        <f ca="1">IFERROR(CONCATENATE(ROUND(OFFSET(환산공식!DK$15,$F691,0),1),"%"),"")</f>
        <v>100%</v>
      </c>
      <c r="O691" s="20">
        <f ca="1">IFERROR(OFFSET(환산공식!DL$15,$F691,0),"")</f>
        <v>5</v>
      </c>
      <c r="P691" s="188" t="str">
        <f t="shared" ca="1" si="20"/>
        <v>3% 이하</v>
      </c>
      <c r="Q691" s="194">
        <f ca="1">IFERROR(ROUND(OFFSET(환산공식!$FG$15,$F691,0),3),"")</f>
        <v>0</v>
      </c>
      <c r="R691" s="194">
        <f ca="1">OFFSET('배치점수 계산기'!H$10,$D691,0)</f>
        <v>316.85899999999998</v>
      </c>
      <c r="S691" s="194">
        <f ca="1">OFFSET('배치점수 계산기'!I$10,$D691,0)</f>
        <v>315.85199999999998</v>
      </c>
      <c r="T691" s="194">
        <f ca="1">OFFSET('배치점수 계산기'!J$10,$D691,0)</f>
        <v>314.14299999999997</v>
      </c>
      <c r="U691" s="194">
        <f ca="1">OFFSET('배치점수 계산기'!K$10,$D691,0)</f>
        <v>311.565</v>
      </c>
      <c r="V691" s="194">
        <f ca="1">OFFSET('배치점수 계산기'!L$10,$D691,0)</f>
        <v>308.29700000000003</v>
      </c>
      <c r="W691" s="186" t="str">
        <f ca="1">OFFSET('배치점수 계산기'!M$10,$D691,0)</f>
        <v>표점</v>
      </c>
      <c r="X691" s="184" t="str">
        <f ca="1">OFFSET('배치점수 계산기'!N$10,$D691,0)</f>
        <v>변표</v>
      </c>
      <c r="Y691" s="188">
        <f ca="1">OFFSET(환산공식!FW$15,$F691,0)</f>
        <v>0.4</v>
      </c>
      <c r="Z691" s="20">
        <f ca="1">OFFSET(환산공식!FX$15,$F691,0)</f>
        <v>0.3</v>
      </c>
      <c r="AA691" s="179">
        <f ca="1">OFFSET(환산공식!FY$15,$F691,0)</f>
        <v>0.3</v>
      </c>
      <c r="AB691" s="3"/>
      <c r="AD691">
        <f t="shared" ca="1" si="21"/>
        <v>6</v>
      </c>
      <c r="AF691" s="3"/>
      <c r="AG691" s="3"/>
      <c r="AH691" s="3"/>
    </row>
    <row r="692" spans="1:34">
      <c r="A692" s="198"/>
      <c r="B692" s="198"/>
      <c r="C692" s="198" t="s">
        <v>2144</v>
      </c>
      <c r="D692" s="195">
        <v>1692</v>
      </c>
      <c r="E692" s="195">
        <v>207</v>
      </c>
      <c r="F692" s="195">
        <v>207</v>
      </c>
      <c r="G692" s="239">
        <v>685</v>
      </c>
      <c r="H692" s="197" t="s">
        <v>79</v>
      </c>
      <c r="I692" s="242" t="s">
        <v>211</v>
      </c>
      <c r="J692" s="242" t="s">
        <v>13201</v>
      </c>
      <c r="K692" s="195" t="s">
        <v>71</v>
      </c>
      <c r="L692" s="20" t="str">
        <f ca="1">IF(OFFSET(환산공식!$ED$15,$F692,0)=1,"O","X")</f>
        <v>X</v>
      </c>
      <c r="M692" s="188">
        <f ca="1">IFERROR(OFFSET(환산공식!DJ$15,$F692,0),"")</f>
        <v>30</v>
      </c>
      <c r="N692" s="20" t="str">
        <f ca="1">IFERROR(CONCATENATE(ROUND(OFFSET(환산공식!DK$15,$F692,0),1),"%"),"")</f>
        <v>100%</v>
      </c>
      <c r="O692" s="20">
        <f ca="1">IFERROR(OFFSET(환산공식!DL$15,$F692,0),"")</f>
        <v>5</v>
      </c>
      <c r="P692" s="188" t="str">
        <f t="shared" ca="1" si="20"/>
        <v>3% 이하</v>
      </c>
      <c r="Q692" s="194">
        <f ca="1">IFERROR(ROUND(OFFSET(환산공식!$FG$15,$F692,0),3),"")</f>
        <v>0</v>
      </c>
      <c r="R692" s="194">
        <f ca="1">OFFSET('배치점수 계산기'!H$10,$D692,0)</f>
        <v>313.26900000000001</v>
      </c>
      <c r="S692" s="194">
        <f ca="1">OFFSET('배치점수 계산기'!I$10,$D692,0)</f>
        <v>312.26100000000002</v>
      </c>
      <c r="T692" s="194">
        <f ca="1">OFFSET('배치점수 계산기'!J$10,$D692,0)</f>
        <v>311.00400000000002</v>
      </c>
      <c r="U692" s="194">
        <f ca="1">OFFSET('배치점수 계산기'!K$10,$D692,0)</f>
        <v>309.83300000000003</v>
      </c>
      <c r="V692" s="194">
        <f ca="1">OFFSET('배치점수 계산기'!L$10,$D692,0)</f>
        <v>308.35599999999999</v>
      </c>
      <c r="W692" s="186" t="str">
        <f ca="1">OFFSET('배치점수 계산기'!M$10,$D692,0)</f>
        <v>표점</v>
      </c>
      <c r="X692" s="184" t="str">
        <f ca="1">OFFSET('배치점수 계산기'!N$10,$D692,0)</f>
        <v>변표</v>
      </c>
      <c r="Y692" s="188">
        <f ca="1">OFFSET(환산공식!FW$15,$F692,0)</f>
        <v>0.4</v>
      </c>
      <c r="Z692" s="20">
        <f ca="1">OFFSET(환산공식!FX$15,$F692,0)</f>
        <v>0.3</v>
      </c>
      <c r="AA692" s="179">
        <f ca="1">OFFSET(환산공식!FY$15,$F692,0)</f>
        <v>0.3</v>
      </c>
      <c r="AB692" s="3"/>
      <c r="AD692">
        <f t="shared" ca="1" si="21"/>
        <v>6</v>
      </c>
      <c r="AF692" s="3"/>
      <c r="AG692" s="3"/>
      <c r="AH692" s="3"/>
    </row>
    <row r="693" spans="1:34">
      <c r="A693" s="198"/>
      <c r="B693" s="198"/>
      <c r="C693" s="198" t="s">
        <v>2145</v>
      </c>
      <c r="D693" s="195">
        <v>1693</v>
      </c>
      <c r="E693" s="195">
        <v>214</v>
      </c>
      <c r="F693" s="195">
        <v>214</v>
      </c>
      <c r="G693" s="239">
        <v>686</v>
      </c>
      <c r="H693" s="197" t="s">
        <v>79</v>
      </c>
      <c r="I693" s="242" t="s">
        <v>213</v>
      </c>
      <c r="J693" s="242" t="s">
        <v>13112</v>
      </c>
      <c r="K693" s="195" t="s">
        <v>70</v>
      </c>
      <c r="L693" s="20" t="str">
        <f ca="1">IF(OFFSET(환산공식!$ED$15,$F693,0)=1,"O","X")</f>
        <v>X</v>
      </c>
      <c r="M693" s="188">
        <f ca="1">IFERROR(OFFSET(환산공식!DJ$15,$F693,0),"")</f>
        <v>200</v>
      </c>
      <c r="N693" s="20" t="str">
        <f ca="1">IFERROR(CONCATENATE(ROUND(OFFSET(환산공식!DK$15,$F693,0),1),"%"),"")</f>
        <v>100%</v>
      </c>
      <c r="O693" s="20">
        <f ca="1">IFERROR(OFFSET(환산공식!DL$15,$F693,0),"")</f>
        <v>10</v>
      </c>
      <c r="P693" s="188" t="str">
        <f t="shared" ca="1" si="20"/>
        <v>3% 이하</v>
      </c>
      <c r="Q693" s="194">
        <f ca="1">IFERROR(ROUND(OFFSET(환산공식!$FG$15,$F693,0),3),"")</f>
        <v>0</v>
      </c>
      <c r="R693" s="194">
        <f ca="1">OFFSET('배치점수 계산기'!H$10,$D693,0)</f>
        <v>791.02099999999996</v>
      </c>
      <c r="S693" s="194">
        <f ca="1">OFFSET('배치점수 계산기'!I$10,$D693,0)</f>
        <v>786.08600000000001</v>
      </c>
      <c r="T693" s="194">
        <f ca="1">OFFSET('배치점수 계산기'!J$10,$D693,0)</f>
        <v>775.20399999999995</v>
      </c>
      <c r="U693" s="194">
        <f ca="1">OFFSET('배치점수 계산기'!K$10,$D693,0)</f>
        <v>761.44899999999996</v>
      </c>
      <c r="V693" s="194">
        <f ca="1">OFFSET('배치점수 계산기'!L$10,$D693,0)</f>
        <v>748.04399999999998</v>
      </c>
      <c r="W693" s="186" t="str">
        <f ca="1">OFFSET('배치점수 계산기'!M$10,$D693,0)</f>
        <v>백분위</v>
      </c>
      <c r="X693" s="184" t="str">
        <f ca="1">OFFSET('배치점수 계산기'!N$10,$D693,0)</f>
        <v>백분위</v>
      </c>
      <c r="Y693" s="188">
        <f ca="1">OFFSET(환산공식!FW$15,$F693,0)</f>
        <v>0.25</v>
      </c>
      <c r="Z693" s="20">
        <f ca="1">OFFSET(환산공식!FX$15,$F693,0)</f>
        <v>0.38</v>
      </c>
      <c r="AA693" s="179">
        <f ca="1">OFFSET(환산공식!FY$15,$F693,0)</f>
        <v>0.38</v>
      </c>
      <c r="AB693" s="3"/>
      <c r="AD693">
        <f t="shared" ca="1" si="21"/>
        <v>6</v>
      </c>
      <c r="AF693" s="3"/>
      <c r="AG693" s="3"/>
      <c r="AH693" s="3"/>
    </row>
    <row r="694" spans="1:34">
      <c r="A694" s="198"/>
      <c r="B694" s="198"/>
      <c r="C694" s="198" t="s">
        <v>2146</v>
      </c>
      <c r="D694" s="195">
        <v>1694</v>
      </c>
      <c r="E694" s="195">
        <v>215</v>
      </c>
      <c r="F694" s="195">
        <v>215</v>
      </c>
      <c r="G694" s="239">
        <v>687</v>
      </c>
      <c r="H694" s="197" t="s">
        <v>79</v>
      </c>
      <c r="I694" s="242" t="s">
        <v>213</v>
      </c>
      <c r="J694" s="242" t="s">
        <v>13009</v>
      </c>
      <c r="K694" s="195" t="s">
        <v>70</v>
      </c>
      <c r="L694" s="20" t="str">
        <f ca="1">IF(OFFSET(환산공식!$ED$15,$F694,0)=1,"O","X")</f>
        <v>X</v>
      </c>
      <c r="M694" s="188">
        <f ca="1">IFERROR(OFFSET(환산공식!DJ$15,$F694,0),"")</f>
        <v>200</v>
      </c>
      <c r="N694" s="20" t="str">
        <f ca="1">IFERROR(CONCATENATE(ROUND(OFFSET(환산공식!DK$15,$F694,0),1),"%"),"")</f>
        <v>100%</v>
      </c>
      <c r="O694" s="20">
        <f ca="1">IFERROR(OFFSET(환산공식!DL$15,$F694,0),"")</f>
        <v>10</v>
      </c>
      <c r="P694" s="188" t="str">
        <f t="shared" ca="1" si="20"/>
        <v>3% 이하</v>
      </c>
      <c r="Q694" s="194">
        <f ca="1">IFERROR(ROUND(OFFSET(환산공식!$FG$15,$F694,0),3),"")</f>
        <v>0</v>
      </c>
      <c r="R694" s="194">
        <f ca="1">OFFSET('배치점수 계산기'!H$10,$D694,0)</f>
        <v>760.36800000000005</v>
      </c>
      <c r="S694" s="194">
        <f ca="1">OFFSET('배치점수 계산기'!I$10,$D694,0)</f>
        <v>753.78399999999999</v>
      </c>
      <c r="T694" s="194">
        <f ca="1">OFFSET('배치점수 계산기'!J$10,$D694,0)</f>
        <v>743.86</v>
      </c>
      <c r="U694" s="194">
        <f ca="1">OFFSET('배치점수 계산기'!K$10,$D694,0)</f>
        <v>724.14599999999996</v>
      </c>
      <c r="V694" s="194">
        <f ca="1">OFFSET('배치점수 계산기'!L$10,$D694,0)</f>
        <v>701.61400000000003</v>
      </c>
      <c r="W694" s="186" t="str">
        <f ca="1">OFFSET('배치점수 계산기'!M$10,$D694,0)</f>
        <v>백분위</v>
      </c>
      <c r="X694" s="184" t="str">
        <f ca="1">OFFSET('배치점수 계산기'!N$10,$D694,0)</f>
        <v>백분위</v>
      </c>
      <c r="Y694" s="188">
        <f ca="1">OFFSET(환산공식!FW$15,$F694,0)</f>
        <v>0.25</v>
      </c>
      <c r="Z694" s="20">
        <f ca="1">OFFSET(환산공식!FX$15,$F694,0)</f>
        <v>0.38</v>
      </c>
      <c r="AA694" s="179">
        <f ca="1">OFFSET(환산공식!FY$15,$F694,0)</f>
        <v>0.38</v>
      </c>
      <c r="AB694" s="3"/>
      <c r="AD694">
        <f t="shared" ca="1" si="21"/>
        <v>6</v>
      </c>
      <c r="AF694" s="3"/>
      <c r="AG694" s="3"/>
      <c r="AH694" s="3"/>
    </row>
    <row r="695" spans="1:34">
      <c r="A695" s="198"/>
      <c r="B695" s="198"/>
      <c r="C695" s="198" t="s">
        <v>2147</v>
      </c>
      <c r="D695" s="195">
        <v>1695</v>
      </c>
      <c r="E695" s="195">
        <v>214</v>
      </c>
      <c r="F695" s="195">
        <v>214</v>
      </c>
      <c r="G695" s="239">
        <v>688</v>
      </c>
      <c r="H695" s="197" t="s">
        <v>79</v>
      </c>
      <c r="I695" s="242" t="s">
        <v>213</v>
      </c>
      <c r="J695" s="242" t="s">
        <v>8410</v>
      </c>
      <c r="K695" s="195" t="s">
        <v>70</v>
      </c>
      <c r="L695" s="20" t="str">
        <f ca="1">IF(OFFSET(환산공식!$ED$15,$F695,0)=1,"O","X")</f>
        <v>X</v>
      </c>
      <c r="M695" s="188">
        <f ca="1">IFERROR(OFFSET(환산공식!DJ$15,$F695,0),"")</f>
        <v>200</v>
      </c>
      <c r="N695" s="20" t="str">
        <f ca="1">IFERROR(CONCATENATE(ROUND(OFFSET(환산공식!DK$15,$F695,0),1),"%"),"")</f>
        <v>100%</v>
      </c>
      <c r="O695" s="20">
        <f ca="1">IFERROR(OFFSET(환산공식!DL$15,$F695,0),"")</f>
        <v>10</v>
      </c>
      <c r="P695" s="188" t="str">
        <f t="shared" ca="1" si="20"/>
        <v>3% 이하</v>
      </c>
      <c r="Q695" s="194">
        <f ca="1">IFERROR(ROUND(OFFSET(환산공식!$FG$15,$F695,0),3),"")</f>
        <v>0</v>
      </c>
      <c r="R695" s="194">
        <f ca="1">OFFSET('배치점수 계산기'!H$10,$D695,0)</f>
        <v>741.34500000000003</v>
      </c>
      <c r="S695" s="194">
        <f ca="1">OFFSET('배치점수 계산기'!I$10,$D695,0)</f>
        <v>737.61</v>
      </c>
      <c r="T695" s="194">
        <f ca="1">OFFSET('배치점수 계산기'!J$10,$D695,0)</f>
        <v>729.16099999999994</v>
      </c>
      <c r="U695" s="194">
        <f ca="1">OFFSET('배치점수 계산기'!K$10,$D695,0)</f>
        <v>717.70899999999995</v>
      </c>
      <c r="V695" s="194">
        <f ca="1">OFFSET('배치점수 계산기'!L$10,$D695,0)</f>
        <v>704.524</v>
      </c>
      <c r="W695" s="186" t="str">
        <f ca="1">OFFSET('배치점수 계산기'!M$10,$D695,0)</f>
        <v>백분위</v>
      </c>
      <c r="X695" s="184" t="str">
        <f ca="1">OFFSET('배치점수 계산기'!N$10,$D695,0)</f>
        <v>백분위</v>
      </c>
      <c r="Y695" s="188">
        <f ca="1">OFFSET(환산공식!FW$15,$F695,0)</f>
        <v>0.25</v>
      </c>
      <c r="Z695" s="20">
        <f ca="1">OFFSET(환산공식!FX$15,$F695,0)</f>
        <v>0.38</v>
      </c>
      <c r="AA695" s="179">
        <f ca="1">OFFSET(환산공식!FY$15,$F695,0)</f>
        <v>0.38</v>
      </c>
      <c r="AB695" s="3"/>
      <c r="AD695">
        <f t="shared" ca="1" si="21"/>
        <v>6</v>
      </c>
      <c r="AF695" s="3"/>
      <c r="AG695" s="3"/>
      <c r="AH695" s="3"/>
    </row>
    <row r="696" spans="1:34">
      <c r="A696" s="198"/>
      <c r="B696" s="198"/>
      <c r="C696" s="198" t="s">
        <v>2148</v>
      </c>
      <c r="D696" s="195">
        <v>1696</v>
      </c>
      <c r="E696" s="195">
        <v>214</v>
      </c>
      <c r="F696" s="195">
        <v>214</v>
      </c>
      <c r="G696" s="239">
        <v>689</v>
      </c>
      <c r="H696" s="197" t="s">
        <v>79</v>
      </c>
      <c r="I696" s="242" t="s">
        <v>213</v>
      </c>
      <c r="J696" s="242" t="s">
        <v>566</v>
      </c>
      <c r="K696" s="195" t="s">
        <v>70</v>
      </c>
      <c r="L696" s="20" t="str">
        <f ca="1">IF(OFFSET(환산공식!$ED$15,$F696,0)=1,"O","X")</f>
        <v>X</v>
      </c>
      <c r="M696" s="188">
        <f ca="1">IFERROR(OFFSET(환산공식!DJ$15,$F696,0),"")</f>
        <v>200</v>
      </c>
      <c r="N696" s="20" t="str">
        <f ca="1">IFERROR(CONCATENATE(ROUND(OFFSET(환산공식!DK$15,$F696,0),1),"%"),"")</f>
        <v>100%</v>
      </c>
      <c r="O696" s="20">
        <f ca="1">IFERROR(OFFSET(환산공식!DL$15,$F696,0),"")</f>
        <v>10</v>
      </c>
      <c r="P696" s="188" t="str">
        <f t="shared" ca="1" si="20"/>
        <v>3% 이하</v>
      </c>
      <c r="Q696" s="194">
        <f ca="1">IFERROR(ROUND(OFFSET(환산공식!$FG$15,$F696,0),3),"")</f>
        <v>0</v>
      </c>
      <c r="R696" s="194">
        <f ca="1">OFFSET('배치점수 계산기'!H$10,$D696,0)</f>
        <v>719.27499999999998</v>
      </c>
      <c r="S696" s="194">
        <f ca="1">OFFSET('배치점수 계산기'!I$10,$D696,0)</f>
        <v>703.28200000000004</v>
      </c>
      <c r="T696" s="194">
        <f ca="1">OFFSET('배치점수 계산기'!J$10,$D696,0)</f>
        <v>681.80700000000002</v>
      </c>
      <c r="U696" s="194">
        <f ca="1">OFFSET('배치점수 계산기'!K$10,$D696,0)</f>
        <v>660.01</v>
      </c>
      <c r="V696" s="194">
        <f ca="1">OFFSET('배치점수 계산기'!L$10,$D696,0)</f>
        <v>634.053</v>
      </c>
      <c r="W696" s="186" t="str">
        <f ca="1">OFFSET('배치점수 계산기'!M$10,$D696,0)</f>
        <v>백분위</v>
      </c>
      <c r="X696" s="184" t="str">
        <f ca="1">OFFSET('배치점수 계산기'!N$10,$D696,0)</f>
        <v>백분위</v>
      </c>
      <c r="Y696" s="188">
        <f ca="1">OFFSET(환산공식!FW$15,$F696,0)</f>
        <v>0.25</v>
      </c>
      <c r="Z696" s="20">
        <f ca="1">OFFSET(환산공식!FX$15,$F696,0)</f>
        <v>0.38</v>
      </c>
      <c r="AA696" s="179">
        <f ca="1">OFFSET(환산공식!FY$15,$F696,0)</f>
        <v>0.38</v>
      </c>
      <c r="AB696" s="3"/>
      <c r="AD696">
        <f t="shared" ca="1" si="21"/>
        <v>6</v>
      </c>
      <c r="AF696" s="3"/>
      <c r="AG696" s="3"/>
      <c r="AH696" s="3"/>
    </row>
    <row r="697" spans="1:34">
      <c r="A697" s="198"/>
      <c r="B697" s="198"/>
      <c r="C697" s="198" t="s">
        <v>2149</v>
      </c>
      <c r="D697" s="195">
        <v>1697</v>
      </c>
      <c r="E697" s="195">
        <v>213</v>
      </c>
      <c r="F697" s="195">
        <v>213</v>
      </c>
      <c r="G697" s="239">
        <v>690</v>
      </c>
      <c r="H697" s="197" t="s">
        <v>79</v>
      </c>
      <c r="I697" s="242" t="s">
        <v>213</v>
      </c>
      <c r="J697" s="242" t="s">
        <v>13935</v>
      </c>
      <c r="K697" s="195" t="s">
        <v>70</v>
      </c>
      <c r="L697" s="20" t="str">
        <f ca="1">IF(OFFSET(환산공식!$ED$15,$F697,0)=1,"O","X")</f>
        <v>X</v>
      </c>
      <c r="M697" s="188">
        <f ca="1">IFERROR(OFFSET(환산공식!DJ$15,$F697,0),"")</f>
        <v>200</v>
      </c>
      <c r="N697" s="20" t="str">
        <f ca="1">IFERROR(CONCATENATE(ROUND(OFFSET(환산공식!DK$15,$F697,0),1),"%"),"")</f>
        <v>100%</v>
      </c>
      <c r="O697" s="20">
        <f ca="1">IFERROR(OFFSET(환산공식!DL$15,$F697,0),"")</f>
        <v>10</v>
      </c>
      <c r="P697" s="188" t="str">
        <f t="shared" ca="1" si="20"/>
        <v>3% 이하</v>
      </c>
      <c r="Q697" s="194">
        <f ca="1">IFERROR(ROUND(OFFSET(환산공식!$FG$15,$F697,0),3),"")</f>
        <v>0</v>
      </c>
      <c r="R697" s="194">
        <f ca="1">OFFSET('배치점수 계산기'!H$10,$D697,0)</f>
        <v>686.81399999999996</v>
      </c>
      <c r="S697" s="194">
        <f ca="1">OFFSET('배치점수 계산기'!I$10,$D697,0)</f>
        <v>680.47400000000005</v>
      </c>
      <c r="T697" s="194">
        <f ca="1">OFFSET('배치점수 계산기'!J$10,$D697,0)</f>
        <v>670.47199999999998</v>
      </c>
      <c r="U697" s="194">
        <f ca="1">OFFSET('배치점수 계산기'!K$10,$D697,0)</f>
        <v>659.726</v>
      </c>
      <c r="V697" s="194">
        <f ca="1">OFFSET('배치점수 계산기'!L$10,$D697,0)</f>
        <v>650.28</v>
      </c>
      <c r="W697" s="186" t="str">
        <f ca="1">OFFSET('배치점수 계산기'!M$10,$D697,0)</f>
        <v>백분위</v>
      </c>
      <c r="X697" s="184" t="str">
        <f ca="1">OFFSET('배치점수 계산기'!N$10,$D697,0)</f>
        <v>백분위</v>
      </c>
      <c r="Y697" s="188">
        <f ca="1">OFFSET(환산공식!FW$15,$F697,0)</f>
        <v>0.25</v>
      </c>
      <c r="Z697" s="20">
        <f ca="1">OFFSET(환산공식!FX$15,$F697,0)</f>
        <v>0.38</v>
      </c>
      <c r="AA697" s="179">
        <f ca="1">OFFSET(환산공식!FY$15,$F697,0)</f>
        <v>0.38</v>
      </c>
      <c r="AB697" s="3"/>
      <c r="AD697">
        <f t="shared" ca="1" si="21"/>
        <v>6</v>
      </c>
      <c r="AF697" s="3"/>
      <c r="AG697" s="3"/>
      <c r="AH697" s="3"/>
    </row>
    <row r="698" spans="1:34">
      <c r="A698" s="198"/>
      <c r="B698" s="198"/>
      <c r="C698" s="198" t="s">
        <v>2150</v>
      </c>
      <c r="D698" s="195">
        <v>1698</v>
      </c>
      <c r="E698" s="195">
        <v>213</v>
      </c>
      <c r="F698" s="195">
        <v>213</v>
      </c>
      <c r="G698" s="239">
        <v>691</v>
      </c>
      <c r="H698" s="197" t="s">
        <v>79</v>
      </c>
      <c r="I698" s="242" t="s">
        <v>213</v>
      </c>
      <c r="J698" s="242" t="s">
        <v>13908</v>
      </c>
      <c r="K698" s="195" t="s">
        <v>70</v>
      </c>
      <c r="L698" s="20" t="str">
        <f ca="1">IF(OFFSET(환산공식!$ED$15,$F698,0)=1,"O","X")</f>
        <v>X</v>
      </c>
      <c r="M698" s="188">
        <f ca="1">IFERROR(OFFSET(환산공식!DJ$15,$F698,0),"")</f>
        <v>200</v>
      </c>
      <c r="N698" s="20" t="str">
        <f ca="1">IFERROR(CONCATENATE(ROUND(OFFSET(환산공식!DK$15,$F698,0),1),"%"),"")</f>
        <v>100%</v>
      </c>
      <c r="O698" s="20">
        <f ca="1">IFERROR(OFFSET(환산공식!DL$15,$F698,0),"")</f>
        <v>10</v>
      </c>
      <c r="P698" s="188" t="str">
        <f t="shared" ca="1" si="20"/>
        <v>3% 이하</v>
      </c>
      <c r="Q698" s="194">
        <f ca="1">IFERROR(ROUND(OFFSET(환산공식!$FG$15,$F698,0),3),"")</f>
        <v>0</v>
      </c>
      <c r="R698" s="194">
        <f ca="1">OFFSET('배치점수 계산기'!H$10,$D698,0)</f>
        <v>702.32600000000002</v>
      </c>
      <c r="S698" s="194">
        <f ca="1">OFFSET('배치점수 계산기'!I$10,$D698,0)</f>
        <v>686.81399999999996</v>
      </c>
      <c r="T698" s="194">
        <f ca="1">OFFSET('배치점수 계산기'!J$10,$D698,0)</f>
        <v>664.61699999999996</v>
      </c>
      <c r="U698" s="194">
        <f ca="1">OFFSET('배치점수 계산기'!K$10,$D698,0)</f>
        <v>645.27300000000002</v>
      </c>
      <c r="V698" s="194">
        <f ca="1">OFFSET('배치점수 계산기'!L$10,$D698,0)</f>
        <v>616.06200000000001</v>
      </c>
      <c r="W698" s="186" t="str">
        <f ca="1">OFFSET('배치점수 계산기'!M$10,$D698,0)</f>
        <v>백분위</v>
      </c>
      <c r="X698" s="184" t="str">
        <f ca="1">OFFSET('배치점수 계산기'!N$10,$D698,0)</f>
        <v>백분위</v>
      </c>
      <c r="Y698" s="188">
        <f ca="1">OFFSET(환산공식!FW$15,$F698,0)</f>
        <v>0.25</v>
      </c>
      <c r="Z698" s="20">
        <f ca="1">OFFSET(환산공식!FX$15,$F698,0)</f>
        <v>0.38</v>
      </c>
      <c r="AA698" s="179">
        <f ca="1">OFFSET(환산공식!FY$15,$F698,0)</f>
        <v>0.38</v>
      </c>
      <c r="AB698" s="3"/>
      <c r="AD698">
        <f t="shared" ca="1" si="21"/>
        <v>6</v>
      </c>
      <c r="AF698" s="3"/>
      <c r="AG698" s="3"/>
      <c r="AH698" s="3"/>
    </row>
    <row r="699" spans="1:34">
      <c r="A699" s="198"/>
      <c r="B699" s="198"/>
      <c r="C699" s="198" t="s">
        <v>2151</v>
      </c>
      <c r="D699" s="195">
        <v>1699</v>
      </c>
      <c r="E699" s="195">
        <v>213</v>
      </c>
      <c r="F699" s="195">
        <v>213</v>
      </c>
      <c r="G699" s="239">
        <v>692</v>
      </c>
      <c r="H699" s="197" t="s">
        <v>79</v>
      </c>
      <c r="I699" s="242" t="s">
        <v>213</v>
      </c>
      <c r="J699" s="242" t="s">
        <v>10898</v>
      </c>
      <c r="K699" s="195" t="s">
        <v>70</v>
      </c>
      <c r="L699" s="20" t="str">
        <f ca="1">IF(OFFSET(환산공식!$ED$15,$F699,0)=1,"O","X")</f>
        <v>X</v>
      </c>
      <c r="M699" s="188">
        <f ca="1">IFERROR(OFFSET(환산공식!DJ$15,$F699,0),"")</f>
        <v>200</v>
      </c>
      <c r="N699" s="20" t="str">
        <f ca="1">IFERROR(CONCATENATE(ROUND(OFFSET(환산공식!DK$15,$F699,0),1),"%"),"")</f>
        <v>100%</v>
      </c>
      <c r="O699" s="20">
        <f ca="1">IFERROR(OFFSET(환산공식!DL$15,$F699,0),"")</f>
        <v>10</v>
      </c>
      <c r="P699" s="188" t="str">
        <f t="shared" ca="1" si="20"/>
        <v>3% 이하</v>
      </c>
      <c r="Q699" s="194">
        <f ca="1">IFERROR(ROUND(OFFSET(환산공식!$FG$15,$F699,0),3),"")</f>
        <v>0</v>
      </c>
      <c r="R699" s="194">
        <f ca="1">OFFSET('배치점수 계산기'!H$10,$D699,0)</f>
        <v>686.81399999999996</v>
      </c>
      <c r="S699" s="194">
        <f ca="1">OFFSET('배치점수 계산기'!I$10,$D699,0)</f>
        <v>677.77800000000002</v>
      </c>
      <c r="T699" s="194">
        <f ca="1">OFFSET('배치점수 계산기'!J$10,$D699,0)</f>
        <v>660.41800000000001</v>
      </c>
      <c r="U699" s="194">
        <f ca="1">OFFSET('배치점수 계산기'!K$10,$D699,0)</f>
        <v>647.59400000000005</v>
      </c>
      <c r="V699" s="194">
        <f ca="1">OFFSET('배치점수 계산기'!L$10,$D699,0)</f>
        <v>631.30999999999995</v>
      </c>
      <c r="W699" s="186" t="str">
        <f ca="1">OFFSET('배치점수 계산기'!M$10,$D699,0)</f>
        <v>백분위</v>
      </c>
      <c r="X699" s="184" t="str">
        <f ca="1">OFFSET('배치점수 계산기'!N$10,$D699,0)</f>
        <v>백분위</v>
      </c>
      <c r="Y699" s="188">
        <f ca="1">OFFSET(환산공식!FW$15,$F699,0)</f>
        <v>0.25</v>
      </c>
      <c r="Z699" s="20">
        <f ca="1">OFFSET(환산공식!FX$15,$F699,0)</f>
        <v>0.38</v>
      </c>
      <c r="AA699" s="179">
        <f ca="1">OFFSET(환산공식!FY$15,$F699,0)</f>
        <v>0.38</v>
      </c>
      <c r="AB699" s="3"/>
      <c r="AD699">
        <f t="shared" ca="1" si="21"/>
        <v>6</v>
      </c>
      <c r="AF699" s="3"/>
      <c r="AG699" s="3"/>
      <c r="AH699" s="3"/>
    </row>
    <row r="700" spans="1:34">
      <c r="A700" s="198"/>
      <c r="B700" s="198"/>
      <c r="C700" s="198" t="s">
        <v>2152</v>
      </c>
      <c r="D700" s="195">
        <v>1700</v>
      </c>
      <c r="E700" s="195">
        <v>213</v>
      </c>
      <c r="F700" s="195">
        <v>213</v>
      </c>
      <c r="G700" s="239">
        <v>693</v>
      </c>
      <c r="H700" s="197" t="s">
        <v>79</v>
      </c>
      <c r="I700" s="242" t="s">
        <v>213</v>
      </c>
      <c r="J700" s="242" t="s">
        <v>13982</v>
      </c>
      <c r="K700" s="195" t="s">
        <v>70</v>
      </c>
      <c r="L700" s="20" t="str">
        <f ca="1">IF(OFFSET(환산공식!$ED$15,$F700,0)=1,"O","X")</f>
        <v>X</v>
      </c>
      <c r="M700" s="188">
        <f ca="1">IFERROR(OFFSET(환산공식!DJ$15,$F700,0),"")</f>
        <v>200</v>
      </c>
      <c r="N700" s="20" t="str">
        <f ca="1">IFERROR(CONCATENATE(ROUND(OFFSET(환산공식!DK$15,$F700,0),1),"%"),"")</f>
        <v>100%</v>
      </c>
      <c r="O700" s="20">
        <f ca="1">IFERROR(OFFSET(환산공식!DL$15,$F700,0),"")</f>
        <v>10</v>
      </c>
      <c r="P700" s="188" t="str">
        <f t="shared" ca="1" si="20"/>
        <v>3% 이하</v>
      </c>
      <c r="Q700" s="194">
        <f ca="1">IFERROR(ROUND(OFFSET(환산공식!$FG$15,$F700,0),3),"")</f>
        <v>0</v>
      </c>
      <c r="R700" s="194">
        <f ca="1">OFFSET('배치점수 계산기'!H$10,$D700,0)</f>
        <v>690.58199999999999</v>
      </c>
      <c r="S700" s="194">
        <f ca="1">OFFSET('배치점수 계산기'!I$10,$D700,0)</f>
        <v>670.47199999999998</v>
      </c>
      <c r="T700" s="194">
        <f ca="1">OFFSET('배치점수 계산기'!J$10,$D700,0)</f>
        <v>652.67600000000004</v>
      </c>
      <c r="U700" s="194">
        <f ca="1">OFFSET('배치점수 계산기'!K$10,$D700,0)</f>
        <v>630.65</v>
      </c>
      <c r="V700" s="194">
        <f ca="1">OFFSET('배치점수 계산기'!L$10,$D700,0)</f>
        <v>599.98</v>
      </c>
      <c r="W700" s="186" t="str">
        <f ca="1">OFFSET('배치점수 계산기'!M$10,$D700,0)</f>
        <v>백분위</v>
      </c>
      <c r="X700" s="184" t="str">
        <f ca="1">OFFSET('배치점수 계산기'!N$10,$D700,0)</f>
        <v>백분위</v>
      </c>
      <c r="Y700" s="188">
        <f ca="1">OFFSET(환산공식!FW$15,$F700,0)</f>
        <v>0.25</v>
      </c>
      <c r="Z700" s="20">
        <f ca="1">OFFSET(환산공식!FX$15,$F700,0)</f>
        <v>0.38</v>
      </c>
      <c r="AA700" s="179">
        <f ca="1">OFFSET(환산공식!FY$15,$F700,0)</f>
        <v>0.38</v>
      </c>
      <c r="AB700" s="3"/>
      <c r="AD700">
        <f t="shared" ca="1" si="21"/>
        <v>6</v>
      </c>
      <c r="AF700" s="3"/>
      <c r="AG700" s="3"/>
      <c r="AH700" s="3"/>
    </row>
    <row r="701" spans="1:34">
      <c r="A701" s="198"/>
      <c r="B701" s="198"/>
      <c r="C701" s="198" t="s">
        <v>2153</v>
      </c>
      <c r="D701" s="195">
        <v>1709</v>
      </c>
      <c r="E701" s="195">
        <v>212</v>
      </c>
      <c r="F701" s="195">
        <v>212</v>
      </c>
      <c r="G701" s="239">
        <v>694</v>
      </c>
      <c r="H701" s="197" t="s">
        <v>79</v>
      </c>
      <c r="I701" s="242" t="s">
        <v>213</v>
      </c>
      <c r="J701" s="242" t="s">
        <v>8337</v>
      </c>
      <c r="K701" s="195" t="s">
        <v>71</v>
      </c>
      <c r="L701" s="20" t="str">
        <f ca="1">IF(OFFSET(환산공식!$ED$15,$F701,0)=1,"O","X")</f>
        <v>X</v>
      </c>
      <c r="M701" s="188">
        <f ca="1">IFERROR(OFFSET(환산공식!DJ$15,$F701,0),"")</f>
        <v>200</v>
      </c>
      <c r="N701" s="20" t="str">
        <f ca="1">IFERROR(CONCATENATE(ROUND(OFFSET(환산공식!DK$15,$F701,0),1),"%"),"")</f>
        <v>100%</v>
      </c>
      <c r="O701" s="20">
        <f ca="1">IFERROR(OFFSET(환산공식!DL$15,$F701,0),"")</f>
        <v>10</v>
      </c>
      <c r="P701" s="188" t="str">
        <f t="shared" ca="1" si="20"/>
        <v>3% 이하</v>
      </c>
      <c r="Q701" s="194">
        <f ca="1">IFERROR(ROUND(OFFSET(환산공식!$FG$15,$F701,0),3),"")</f>
        <v>0</v>
      </c>
      <c r="R701" s="194">
        <f ca="1">OFFSET('배치점수 계산기'!H$10,$D701,0)</f>
        <v>807.8</v>
      </c>
      <c r="S701" s="194">
        <f ca="1">OFFSET('배치점수 계산기'!I$10,$D701,0)</f>
        <v>798.2</v>
      </c>
      <c r="T701" s="194">
        <f ca="1">OFFSET('배치점수 계산기'!J$10,$D701,0)</f>
        <v>788.25</v>
      </c>
      <c r="U701" s="194">
        <f ca="1">OFFSET('배치점수 계산기'!K$10,$D701,0)</f>
        <v>768.1</v>
      </c>
      <c r="V701" s="194">
        <f ca="1">OFFSET('배치점수 계산기'!L$10,$D701,0)</f>
        <v>738.5</v>
      </c>
      <c r="W701" s="186" t="str">
        <f ca="1">OFFSET('배치점수 계산기'!M$10,$D701,0)</f>
        <v>백분위</v>
      </c>
      <c r="X701" s="184" t="str">
        <f ca="1">OFFSET('배치점수 계산기'!N$10,$D701,0)</f>
        <v>백분위</v>
      </c>
      <c r="Y701" s="188">
        <f ca="1">OFFSET(환산공식!FW$15,$F701,0)</f>
        <v>0.38</v>
      </c>
      <c r="Z701" s="20">
        <f ca="1">OFFSET(환산공식!FX$15,$F701,0)</f>
        <v>0.25</v>
      </c>
      <c r="AA701" s="179">
        <f ca="1">OFFSET(환산공식!FY$15,$F701,0)</f>
        <v>0.38</v>
      </c>
      <c r="AB701" s="3"/>
      <c r="AD701">
        <f t="shared" ca="1" si="21"/>
        <v>6</v>
      </c>
      <c r="AF701" s="3"/>
      <c r="AG701" s="3"/>
      <c r="AH701" s="3"/>
    </row>
    <row r="702" spans="1:34">
      <c r="A702" s="198"/>
      <c r="B702" s="198"/>
      <c r="C702" s="198" t="s">
        <v>2154</v>
      </c>
      <c r="D702" s="195">
        <v>1710</v>
      </c>
      <c r="E702" s="195">
        <v>212</v>
      </c>
      <c r="F702" s="195">
        <v>212</v>
      </c>
      <c r="G702" s="239">
        <v>695</v>
      </c>
      <c r="H702" s="197" t="s">
        <v>79</v>
      </c>
      <c r="I702" s="242" t="s">
        <v>213</v>
      </c>
      <c r="J702" s="242" t="s">
        <v>8726</v>
      </c>
      <c r="K702" s="195" t="s">
        <v>71</v>
      </c>
      <c r="L702" s="20" t="str">
        <f ca="1">IF(OFFSET(환산공식!$ED$15,$F702,0)=1,"O","X")</f>
        <v>X</v>
      </c>
      <c r="M702" s="188">
        <f ca="1">IFERROR(OFFSET(환산공식!DJ$15,$F702,0),"")</f>
        <v>200</v>
      </c>
      <c r="N702" s="20" t="str">
        <f ca="1">IFERROR(CONCATENATE(ROUND(OFFSET(환산공식!DK$15,$F702,0),1),"%"),"")</f>
        <v>100%</v>
      </c>
      <c r="O702" s="20">
        <f ca="1">IFERROR(OFFSET(환산공식!DL$15,$F702,0),"")</f>
        <v>10</v>
      </c>
      <c r="P702" s="188" t="str">
        <f t="shared" ca="1" si="20"/>
        <v>3% 이하</v>
      </c>
      <c r="Q702" s="194">
        <f ca="1">IFERROR(ROUND(OFFSET(환산공식!$FG$15,$F702,0),3),"")</f>
        <v>0</v>
      </c>
      <c r="R702" s="194">
        <f ca="1">OFFSET('배치점수 계산기'!H$10,$D702,0)</f>
        <v>737</v>
      </c>
      <c r="S702" s="194">
        <f ca="1">OFFSET('배치점수 계산기'!I$10,$D702,0)</f>
        <v>732.6</v>
      </c>
      <c r="T702" s="194">
        <f ca="1">OFFSET('배치점수 계산기'!J$10,$D702,0)</f>
        <v>725.5</v>
      </c>
      <c r="U702" s="194">
        <f ca="1">OFFSET('배치점수 계산기'!K$10,$D702,0)</f>
        <v>712.9</v>
      </c>
      <c r="V702" s="194">
        <f ca="1">OFFSET('배치점수 계산기'!L$10,$D702,0)</f>
        <v>700</v>
      </c>
      <c r="W702" s="186" t="str">
        <f ca="1">OFFSET('배치점수 계산기'!M$10,$D702,0)</f>
        <v>백분위</v>
      </c>
      <c r="X702" s="184" t="str">
        <f ca="1">OFFSET('배치점수 계산기'!N$10,$D702,0)</f>
        <v>백분위</v>
      </c>
      <c r="Y702" s="188">
        <f ca="1">OFFSET(환산공식!FW$15,$F702,0)</f>
        <v>0.38</v>
      </c>
      <c r="Z702" s="20">
        <f ca="1">OFFSET(환산공식!FX$15,$F702,0)</f>
        <v>0.25</v>
      </c>
      <c r="AA702" s="179">
        <f ca="1">OFFSET(환산공식!FY$15,$F702,0)</f>
        <v>0.38</v>
      </c>
      <c r="AB702" s="3"/>
      <c r="AD702">
        <f t="shared" ca="1" si="21"/>
        <v>6</v>
      </c>
      <c r="AF702" s="3"/>
      <c r="AG702" s="3"/>
      <c r="AH702" s="3"/>
    </row>
    <row r="703" spans="1:34">
      <c r="A703" s="198"/>
      <c r="B703" s="198"/>
      <c r="C703" s="198" t="s">
        <v>2155</v>
      </c>
      <c r="D703" s="195">
        <v>1711</v>
      </c>
      <c r="E703" s="195">
        <v>212</v>
      </c>
      <c r="F703" s="195">
        <v>212</v>
      </c>
      <c r="G703" s="239">
        <v>696</v>
      </c>
      <c r="H703" s="197" t="s">
        <v>79</v>
      </c>
      <c r="I703" s="242" t="s">
        <v>213</v>
      </c>
      <c r="J703" s="242" t="s">
        <v>8654</v>
      </c>
      <c r="K703" s="195" t="s">
        <v>71</v>
      </c>
      <c r="L703" s="20" t="str">
        <f ca="1">IF(OFFSET(환산공식!$ED$15,$F703,0)=1,"O","X")</f>
        <v>X</v>
      </c>
      <c r="M703" s="188">
        <f ca="1">IFERROR(OFFSET(환산공식!DJ$15,$F703,0),"")</f>
        <v>200</v>
      </c>
      <c r="N703" s="20" t="str">
        <f ca="1">IFERROR(CONCATENATE(ROUND(OFFSET(환산공식!DK$15,$F703,0),1),"%"),"")</f>
        <v>100%</v>
      </c>
      <c r="O703" s="20">
        <f ca="1">IFERROR(OFFSET(환산공식!DL$15,$F703,0),"")</f>
        <v>10</v>
      </c>
      <c r="P703" s="188" t="str">
        <f t="shared" ca="1" si="20"/>
        <v>3% 이하</v>
      </c>
      <c r="Q703" s="194">
        <f ca="1">IFERROR(ROUND(OFFSET(환산공식!$FG$15,$F703,0),3),"")</f>
        <v>0</v>
      </c>
      <c r="R703" s="194">
        <f ca="1">OFFSET('배치점수 계산기'!H$10,$D703,0)</f>
        <v>724.15</v>
      </c>
      <c r="S703" s="194">
        <f ca="1">OFFSET('배치점수 계산기'!I$10,$D703,0)</f>
        <v>720.15</v>
      </c>
      <c r="T703" s="194">
        <f ca="1">OFFSET('배치점수 계산기'!J$10,$D703,0)</f>
        <v>712.9</v>
      </c>
      <c r="U703" s="194">
        <f ca="1">OFFSET('배치점수 계산기'!K$10,$D703,0)</f>
        <v>700</v>
      </c>
      <c r="V703" s="194">
        <f ca="1">OFFSET('배치점수 계산기'!L$10,$D703,0)</f>
        <v>688.85</v>
      </c>
      <c r="W703" s="186" t="str">
        <f ca="1">OFFSET('배치점수 계산기'!M$10,$D703,0)</f>
        <v>백분위</v>
      </c>
      <c r="X703" s="184" t="str">
        <f ca="1">OFFSET('배치점수 계산기'!N$10,$D703,0)</f>
        <v>백분위</v>
      </c>
      <c r="Y703" s="188">
        <f ca="1">OFFSET(환산공식!FW$15,$F703,0)</f>
        <v>0.38</v>
      </c>
      <c r="Z703" s="20">
        <f ca="1">OFFSET(환산공식!FX$15,$F703,0)</f>
        <v>0.25</v>
      </c>
      <c r="AA703" s="179">
        <f ca="1">OFFSET(환산공식!FY$15,$F703,0)</f>
        <v>0.38</v>
      </c>
      <c r="AB703" s="3"/>
      <c r="AD703">
        <f t="shared" ca="1" si="21"/>
        <v>6</v>
      </c>
      <c r="AF703" s="3"/>
      <c r="AG703" s="3"/>
      <c r="AH703" s="3"/>
    </row>
    <row r="704" spans="1:34">
      <c r="A704" s="198"/>
      <c r="B704" s="198"/>
      <c r="C704" s="198" t="s">
        <v>2156</v>
      </c>
      <c r="D704" s="195">
        <v>1712</v>
      </c>
      <c r="E704" s="195">
        <v>212</v>
      </c>
      <c r="F704" s="195">
        <v>212</v>
      </c>
      <c r="G704" s="239">
        <v>697</v>
      </c>
      <c r="H704" s="197" t="s">
        <v>79</v>
      </c>
      <c r="I704" s="242" t="s">
        <v>213</v>
      </c>
      <c r="J704" s="242" t="s">
        <v>8659</v>
      </c>
      <c r="K704" s="195" t="s">
        <v>71</v>
      </c>
      <c r="L704" s="20" t="str">
        <f ca="1">IF(OFFSET(환산공식!$ED$15,$F704,0)=1,"O","X")</f>
        <v>X</v>
      </c>
      <c r="M704" s="188">
        <f ca="1">IFERROR(OFFSET(환산공식!DJ$15,$F704,0),"")</f>
        <v>200</v>
      </c>
      <c r="N704" s="20" t="str">
        <f ca="1">IFERROR(CONCATENATE(ROUND(OFFSET(환산공식!DK$15,$F704,0),1),"%"),"")</f>
        <v>100%</v>
      </c>
      <c r="O704" s="20">
        <f ca="1">IFERROR(OFFSET(환산공식!DL$15,$F704,0),"")</f>
        <v>10</v>
      </c>
      <c r="P704" s="188" t="str">
        <f t="shared" ca="1" si="20"/>
        <v>3% 이하</v>
      </c>
      <c r="Q704" s="194">
        <f ca="1">IFERROR(ROUND(OFFSET(환산공식!$FG$15,$F704,0),3),"")</f>
        <v>0</v>
      </c>
      <c r="R704" s="194">
        <f ca="1">OFFSET('배치점수 계산기'!H$10,$D704,0)</f>
        <v>709.1</v>
      </c>
      <c r="S704" s="194">
        <f ca="1">OFFSET('배치점수 계산기'!I$10,$D704,0)</f>
        <v>705.4</v>
      </c>
      <c r="T704" s="194">
        <f ca="1">OFFSET('배치점수 계산기'!J$10,$D704,0)</f>
        <v>697.45</v>
      </c>
      <c r="U704" s="194">
        <f ca="1">OFFSET('배치점수 계산기'!K$10,$D704,0)</f>
        <v>686.5</v>
      </c>
      <c r="V704" s="194">
        <f ca="1">OFFSET('배치점수 계산기'!L$10,$D704,0)</f>
        <v>676.95</v>
      </c>
      <c r="W704" s="186" t="str">
        <f ca="1">OFFSET('배치점수 계산기'!M$10,$D704,0)</f>
        <v>백분위</v>
      </c>
      <c r="X704" s="184" t="str">
        <f ca="1">OFFSET('배치점수 계산기'!N$10,$D704,0)</f>
        <v>백분위</v>
      </c>
      <c r="Y704" s="188">
        <f ca="1">OFFSET(환산공식!FW$15,$F704,0)</f>
        <v>0.38</v>
      </c>
      <c r="Z704" s="20">
        <f ca="1">OFFSET(환산공식!FX$15,$F704,0)</f>
        <v>0.25</v>
      </c>
      <c r="AA704" s="179">
        <f ca="1">OFFSET(환산공식!FY$15,$F704,0)</f>
        <v>0.38</v>
      </c>
      <c r="AB704" s="3"/>
      <c r="AD704">
        <f t="shared" ca="1" si="21"/>
        <v>6</v>
      </c>
      <c r="AF704" s="3"/>
      <c r="AG704" s="3"/>
      <c r="AH704" s="3"/>
    </row>
    <row r="705" spans="1:34">
      <c r="A705" s="198"/>
      <c r="B705" s="198"/>
      <c r="C705" s="198" t="s">
        <v>2157</v>
      </c>
      <c r="D705" s="195">
        <v>1713</v>
      </c>
      <c r="E705" s="195">
        <v>212</v>
      </c>
      <c r="F705" s="195">
        <v>212</v>
      </c>
      <c r="G705" s="239">
        <v>698</v>
      </c>
      <c r="H705" s="197" t="s">
        <v>79</v>
      </c>
      <c r="I705" s="242" t="s">
        <v>213</v>
      </c>
      <c r="J705" s="242" t="s">
        <v>9774</v>
      </c>
      <c r="K705" s="195" t="s">
        <v>71</v>
      </c>
      <c r="L705" s="20" t="str">
        <f ca="1">IF(OFFSET(환산공식!$ED$15,$F705,0)=1,"O","X")</f>
        <v>X</v>
      </c>
      <c r="M705" s="188">
        <f ca="1">IFERROR(OFFSET(환산공식!DJ$15,$F705,0),"")</f>
        <v>200</v>
      </c>
      <c r="N705" s="20" t="str">
        <f ca="1">IFERROR(CONCATENATE(ROUND(OFFSET(환산공식!DK$15,$F705,0),1),"%"),"")</f>
        <v>100%</v>
      </c>
      <c r="O705" s="20">
        <f ca="1">IFERROR(OFFSET(환산공식!DL$15,$F705,0),"")</f>
        <v>10</v>
      </c>
      <c r="P705" s="188" t="str">
        <f t="shared" ca="1" si="20"/>
        <v>3% 이하</v>
      </c>
      <c r="Q705" s="194">
        <f ca="1">IFERROR(ROUND(OFFSET(환산공식!$FG$15,$F705,0),3),"")</f>
        <v>0</v>
      </c>
      <c r="R705" s="194">
        <f ca="1">OFFSET('배치점수 계산기'!H$10,$D705,0)</f>
        <v>710</v>
      </c>
      <c r="S705" s="194">
        <f ca="1">OFFSET('배치점수 계산기'!I$10,$D705,0)</f>
        <v>702.7</v>
      </c>
      <c r="T705" s="194">
        <f ca="1">OFFSET('배치점수 계산기'!J$10,$D705,0)</f>
        <v>689.75</v>
      </c>
      <c r="U705" s="194">
        <f ca="1">OFFSET('배치점수 계산기'!K$10,$D705,0)</f>
        <v>680.55</v>
      </c>
      <c r="V705" s="194">
        <f ca="1">OFFSET('배치점수 계산기'!L$10,$D705,0)</f>
        <v>671.95</v>
      </c>
      <c r="W705" s="186" t="str">
        <f ca="1">OFFSET('배치점수 계산기'!M$10,$D705,0)</f>
        <v>백분위</v>
      </c>
      <c r="X705" s="184" t="str">
        <f ca="1">OFFSET('배치점수 계산기'!N$10,$D705,0)</f>
        <v>백분위</v>
      </c>
      <c r="Y705" s="188">
        <f ca="1">OFFSET(환산공식!FW$15,$F705,0)</f>
        <v>0.38</v>
      </c>
      <c r="Z705" s="20">
        <f ca="1">OFFSET(환산공식!FX$15,$F705,0)</f>
        <v>0.25</v>
      </c>
      <c r="AA705" s="179">
        <f ca="1">OFFSET(환산공식!FY$15,$F705,0)</f>
        <v>0.38</v>
      </c>
      <c r="AB705" s="3"/>
      <c r="AD705">
        <f t="shared" ca="1" si="21"/>
        <v>6</v>
      </c>
      <c r="AF705" s="3"/>
      <c r="AG705" s="3"/>
      <c r="AH705" s="3"/>
    </row>
    <row r="706" spans="1:34">
      <c r="A706" s="198"/>
      <c r="B706" s="198"/>
      <c r="C706" s="198" t="s">
        <v>2158</v>
      </c>
      <c r="D706" s="195">
        <v>1714</v>
      </c>
      <c r="E706" s="195">
        <v>212</v>
      </c>
      <c r="F706" s="195">
        <v>212</v>
      </c>
      <c r="G706" s="239">
        <v>699</v>
      </c>
      <c r="H706" s="197" t="s">
        <v>79</v>
      </c>
      <c r="I706" s="242" t="s">
        <v>213</v>
      </c>
      <c r="J706" s="242" t="s">
        <v>8863</v>
      </c>
      <c r="K706" s="195" t="s">
        <v>71</v>
      </c>
      <c r="L706" s="20" t="str">
        <f ca="1">IF(OFFSET(환산공식!$ED$15,$F706,0)=1,"O","X")</f>
        <v>X</v>
      </c>
      <c r="M706" s="188">
        <f ca="1">IFERROR(OFFSET(환산공식!DJ$15,$F706,0),"")</f>
        <v>200</v>
      </c>
      <c r="N706" s="20" t="str">
        <f ca="1">IFERROR(CONCATENATE(ROUND(OFFSET(환산공식!DK$15,$F706,0),1),"%"),"")</f>
        <v>100%</v>
      </c>
      <c r="O706" s="20">
        <f ca="1">IFERROR(OFFSET(환산공식!DL$15,$F706,0),"")</f>
        <v>10</v>
      </c>
      <c r="P706" s="188" t="str">
        <f t="shared" ca="1" si="20"/>
        <v>3% 이하</v>
      </c>
      <c r="Q706" s="194">
        <f ca="1">IFERROR(ROUND(OFFSET(환산공식!$FG$15,$F706,0),3),"")</f>
        <v>0</v>
      </c>
      <c r="R706" s="194">
        <f ca="1">OFFSET('배치점수 계산기'!H$10,$D706,0)</f>
        <v>705.4</v>
      </c>
      <c r="S706" s="194">
        <f ca="1">OFFSET('배치점수 계산기'!I$10,$D706,0)</f>
        <v>698.2</v>
      </c>
      <c r="T706" s="194">
        <f ca="1">OFFSET('배치점수 계산기'!J$10,$D706,0)</f>
        <v>687.6</v>
      </c>
      <c r="U706" s="194">
        <f ca="1">OFFSET('배치점수 계산기'!K$10,$D706,0)</f>
        <v>677.6</v>
      </c>
      <c r="V706" s="194">
        <f ca="1">OFFSET('배치점수 계산기'!L$10,$D706,0)</f>
        <v>668.2</v>
      </c>
      <c r="W706" s="186" t="str">
        <f ca="1">OFFSET('배치점수 계산기'!M$10,$D706,0)</f>
        <v>백분위</v>
      </c>
      <c r="X706" s="184" t="str">
        <f ca="1">OFFSET('배치점수 계산기'!N$10,$D706,0)</f>
        <v>백분위</v>
      </c>
      <c r="Y706" s="188">
        <f ca="1">OFFSET(환산공식!FW$15,$F706,0)</f>
        <v>0.38</v>
      </c>
      <c r="Z706" s="20">
        <f ca="1">OFFSET(환산공식!FX$15,$F706,0)</f>
        <v>0.25</v>
      </c>
      <c r="AA706" s="179">
        <f ca="1">OFFSET(환산공식!FY$15,$F706,0)</f>
        <v>0.38</v>
      </c>
      <c r="AB706" s="3"/>
      <c r="AD706">
        <f t="shared" ca="1" si="21"/>
        <v>6</v>
      </c>
      <c r="AF706" s="3"/>
      <c r="AG706" s="3"/>
      <c r="AH706" s="3"/>
    </row>
    <row r="707" spans="1:34">
      <c r="A707" s="198"/>
      <c r="B707" s="198"/>
      <c r="C707" s="198" t="s">
        <v>2159</v>
      </c>
      <c r="D707" s="195">
        <v>1715</v>
      </c>
      <c r="E707" s="195">
        <v>212</v>
      </c>
      <c r="F707" s="195">
        <v>212</v>
      </c>
      <c r="G707" s="239">
        <v>700</v>
      </c>
      <c r="H707" s="197" t="s">
        <v>79</v>
      </c>
      <c r="I707" s="242" t="s">
        <v>213</v>
      </c>
      <c r="J707" s="242" t="s">
        <v>11380</v>
      </c>
      <c r="K707" s="195" t="s">
        <v>71</v>
      </c>
      <c r="L707" s="20" t="str">
        <f ca="1">IF(OFFSET(환산공식!$ED$15,$F707,0)=1,"O","X")</f>
        <v>X</v>
      </c>
      <c r="M707" s="188">
        <f ca="1">IFERROR(OFFSET(환산공식!DJ$15,$F707,0),"")</f>
        <v>200</v>
      </c>
      <c r="N707" s="20" t="str">
        <f ca="1">IFERROR(CONCATENATE(ROUND(OFFSET(환산공식!DK$15,$F707,0),1),"%"),"")</f>
        <v>100%</v>
      </c>
      <c r="O707" s="20">
        <f ca="1">IFERROR(OFFSET(환산공식!DL$15,$F707,0),"")</f>
        <v>10</v>
      </c>
      <c r="P707" s="188" t="str">
        <f t="shared" ca="1" si="20"/>
        <v>3% 이하</v>
      </c>
      <c r="Q707" s="194">
        <f ca="1">IFERROR(ROUND(OFFSET(환산공식!$FG$15,$F707,0),3),"")</f>
        <v>0</v>
      </c>
      <c r="R707" s="194">
        <f ca="1">OFFSET('배치점수 계산기'!H$10,$D707,0)</f>
        <v>699.3</v>
      </c>
      <c r="S707" s="194">
        <f ca="1">OFFSET('배치점수 계산기'!I$10,$D707,0)</f>
        <v>692.45</v>
      </c>
      <c r="T707" s="194">
        <f ca="1">OFFSET('배치점수 계산기'!J$10,$D707,0)</f>
        <v>681.7</v>
      </c>
      <c r="U707" s="194">
        <f ca="1">OFFSET('배치점수 계산기'!K$10,$D707,0)</f>
        <v>669.55</v>
      </c>
      <c r="V707" s="194">
        <f ca="1">OFFSET('배치점수 계산기'!L$10,$D707,0)</f>
        <v>657.7</v>
      </c>
      <c r="W707" s="186" t="str">
        <f ca="1">OFFSET('배치점수 계산기'!M$10,$D707,0)</f>
        <v>백분위</v>
      </c>
      <c r="X707" s="184" t="str">
        <f ca="1">OFFSET('배치점수 계산기'!N$10,$D707,0)</f>
        <v>백분위</v>
      </c>
      <c r="Y707" s="188">
        <f ca="1">OFFSET(환산공식!FW$15,$F707,0)</f>
        <v>0.38</v>
      </c>
      <c r="Z707" s="20">
        <f ca="1">OFFSET(환산공식!FX$15,$F707,0)</f>
        <v>0.25</v>
      </c>
      <c r="AA707" s="179">
        <f ca="1">OFFSET(환산공식!FY$15,$F707,0)</f>
        <v>0.38</v>
      </c>
      <c r="AB707" s="3"/>
      <c r="AD707">
        <f t="shared" ca="1" si="21"/>
        <v>6</v>
      </c>
      <c r="AF707" s="3"/>
      <c r="AG707" s="3"/>
      <c r="AH707" s="3"/>
    </row>
    <row r="708" spans="1:34">
      <c r="A708" s="198"/>
      <c r="B708" s="198"/>
      <c r="C708" s="198" t="s">
        <v>2160</v>
      </c>
      <c r="D708" s="195">
        <v>1716</v>
      </c>
      <c r="E708" s="195">
        <v>212</v>
      </c>
      <c r="F708" s="195">
        <v>212</v>
      </c>
      <c r="G708" s="239">
        <v>701</v>
      </c>
      <c r="H708" s="197" t="s">
        <v>79</v>
      </c>
      <c r="I708" s="242" t="s">
        <v>213</v>
      </c>
      <c r="J708" s="242" t="s">
        <v>8753</v>
      </c>
      <c r="K708" s="195" t="s">
        <v>71</v>
      </c>
      <c r="L708" s="20" t="str">
        <f ca="1">IF(OFFSET(환산공식!$ED$15,$F708,0)=1,"O","X")</f>
        <v>X</v>
      </c>
      <c r="M708" s="188">
        <f ca="1">IFERROR(OFFSET(환산공식!DJ$15,$F708,0),"")</f>
        <v>200</v>
      </c>
      <c r="N708" s="20" t="str">
        <f ca="1">IFERROR(CONCATENATE(ROUND(OFFSET(환산공식!DK$15,$F708,0),1),"%"),"")</f>
        <v>100%</v>
      </c>
      <c r="O708" s="20">
        <f ca="1">IFERROR(OFFSET(환산공식!DL$15,$F708,0),"")</f>
        <v>10</v>
      </c>
      <c r="P708" s="188" t="str">
        <f t="shared" ca="1" si="20"/>
        <v>3% 이하</v>
      </c>
      <c r="Q708" s="194">
        <f ca="1">IFERROR(ROUND(OFFSET(환산공식!$FG$15,$F708,0),3),"")</f>
        <v>0</v>
      </c>
      <c r="R708" s="194">
        <f ca="1">OFFSET('배치점수 계산기'!H$10,$D708,0)</f>
        <v>682.65</v>
      </c>
      <c r="S708" s="194">
        <f ca="1">OFFSET('배치점수 계산기'!I$10,$D708,0)</f>
        <v>676.95</v>
      </c>
      <c r="T708" s="194">
        <f ca="1">OFFSET('배치점수 계산기'!J$10,$D708,0)</f>
        <v>662.8</v>
      </c>
      <c r="U708" s="194">
        <f ca="1">OFFSET('배치점수 계산기'!K$10,$D708,0)</f>
        <v>651.04999999999995</v>
      </c>
      <c r="V708" s="194">
        <f ca="1">OFFSET('배치점수 계산기'!L$10,$D708,0)</f>
        <v>643.04999999999995</v>
      </c>
      <c r="W708" s="186" t="str">
        <f ca="1">OFFSET('배치점수 계산기'!M$10,$D708,0)</f>
        <v>백분위</v>
      </c>
      <c r="X708" s="184" t="str">
        <f ca="1">OFFSET('배치점수 계산기'!N$10,$D708,0)</f>
        <v>백분위</v>
      </c>
      <c r="Y708" s="188">
        <f ca="1">OFFSET(환산공식!FW$15,$F708,0)</f>
        <v>0.38</v>
      </c>
      <c r="Z708" s="20">
        <f ca="1">OFFSET(환산공식!FX$15,$F708,0)</f>
        <v>0.25</v>
      </c>
      <c r="AA708" s="179">
        <f ca="1">OFFSET(환산공식!FY$15,$F708,0)</f>
        <v>0.38</v>
      </c>
      <c r="AB708" s="3"/>
      <c r="AD708">
        <f t="shared" ca="1" si="21"/>
        <v>6</v>
      </c>
      <c r="AF708" s="3"/>
      <c r="AG708" s="3"/>
      <c r="AH708" s="3"/>
    </row>
    <row r="709" spans="1:34">
      <c r="A709" s="198"/>
      <c r="B709" s="198"/>
      <c r="C709" s="198" t="s">
        <v>2161</v>
      </c>
      <c r="D709" s="195">
        <v>1717</v>
      </c>
      <c r="E709" s="195">
        <v>212</v>
      </c>
      <c r="F709" s="195">
        <v>212</v>
      </c>
      <c r="G709" s="239">
        <v>702</v>
      </c>
      <c r="H709" s="197" t="s">
        <v>79</v>
      </c>
      <c r="I709" s="242" t="s">
        <v>213</v>
      </c>
      <c r="J709" s="242" t="s">
        <v>8883</v>
      </c>
      <c r="K709" s="195" t="s">
        <v>71</v>
      </c>
      <c r="L709" s="20" t="str">
        <f ca="1">IF(OFFSET(환산공식!$ED$15,$F709,0)=1,"O","X")</f>
        <v>X</v>
      </c>
      <c r="M709" s="188">
        <f ca="1">IFERROR(OFFSET(환산공식!DJ$15,$F709,0),"")</f>
        <v>200</v>
      </c>
      <c r="N709" s="20" t="str">
        <f ca="1">IFERROR(CONCATENATE(ROUND(OFFSET(환산공식!DK$15,$F709,0),1),"%"),"")</f>
        <v>100%</v>
      </c>
      <c r="O709" s="20">
        <f ca="1">IFERROR(OFFSET(환산공식!DL$15,$F709,0),"")</f>
        <v>10</v>
      </c>
      <c r="P709" s="188" t="str">
        <f t="shared" ca="1" si="20"/>
        <v>3% 이하</v>
      </c>
      <c r="Q709" s="194">
        <f ca="1">IFERROR(ROUND(OFFSET(환산공식!$FG$15,$F709,0),3),"")</f>
        <v>0</v>
      </c>
      <c r="R709" s="194">
        <f ca="1">OFFSET('배치점수 계산기'!H$10,$D709,0)</f>
        <v>673.8</v>
      </c>
      <c r="S709" s="194">
        <f ca="1">OFFSET('배치점수 계산기'!I$10,$D709,0)</f>
        <v>666.95</v>
      </c>
      <c r="T709" s="194">
        <f ca="1">OFFSET('배치점수 계산기'!J$10,$D709,0)</f>
        <v>653.20000000000005</v>
      </c>
      <c r="U709" s="194">
        <f ca="1">OFFSET('배치점수 계산기'!K$10,$D709,0)</f>
        <v>643.25</v>
      </c>
      <c r="V709" s="194">
        <f ca="1">OFFSET('배치점수 계산기'!L$10,$D709,0)</f>
        <v>635.4</v>
      </c>
      <c r="W709" s="186" t="str">
        <f ca="1">OFFSET('배치점수 계산기'!M$10,$D709,0)</f>
        <v>백분위</v>
      </c>
      <c r="X709" s="184" t="str">
        <f ca="1">OFFSET('배치점수 계산기'!N$10,$D709,0)</f>
        <v>백분위</v>
      </c>
      <c r="Y709" s="188">
        <f ca="1">OFFSET(환산공식!FW$15,$F709,0)</f>
        <v>0.38</v>
      </c>
      <c r="Z709" s="20">
        <f ca="1">OFFSET(환산공식!FX$15,$F709,0)</f>
        <v>0.25</v>
      </c>
      <c r="AA709" s="179">
        <f ca="1">OFFSET(환산공식!FY$15,$F709,0)</f>
        <v>0.38</v>
      </c>
      <c r="AB709" s="3"/>
      <c r="AD709">
        <f t="shared" ca="1" si="21"/>
        <v>6</v>
      </c>
      <c r="AF709" s="3"/>
      <c r="AG709" s="3"/>
      <c r="AH709" s="3"/>
    </row>
    <row r="710" spans="1:34">
      <c r="A710" s="198"/>
      <c r="B710" s="198"/>
      <c r="C710" s="198" t="s">
        <v>2162</v>
      </c>
      <c r="D710" s="195">
        <v>1719</v>
      </c>
      <c r="E710" s="195">
        <v>223</v>
      </c>
      <c r="F710" s="195">
        <v>223</v>
      </c>
      <c r="G710" s="239">
        <v>703</v>
      </c>
      <c r="H710" s="197" t="s">
        <v>79</v>
      </c>
      <c r="I710" s="242" t="s">
        <v>216</v>
      </c>
      <c r="J710" s="242" t="s">
        <v>8633</v>
      </c>
      <c r="K710" s="195" t="s">
        <v>70</v>
      </c>
      <c r="L710" s="20" t="str">
        <f ca="1">IF(OFFSET(환산공식!$ED$15,$F710,0)=1,"O","X")</f>
        <v>X</v>
      </c>
      <c r="M710" s="188">
        <f ca="1">IFERROR(OFFSET(환산공식!DJ$15,$F710,0),"")</f>
        <v>0</v>
      </c>
      <c r="N710" s="20" t="str">
        <f ca="1">IFERROR(CONCATENATE(ROUND(OFFSET(환산공식!DK$15,$F710,0),1),"%"),"")</f>
        <v/>
      </c>
      <c r="O710" s="20">
        <f ca="1">IFERROR(OFFSET(환산공식!DL$15,$F710,0),"")</f>
        <v>0</v>
      </c>
      <c r="P710" s="188" t="str">
        <f t="shared" ca="1" si="20"/>
        <v>3% 이하</v>
      </c>
      <c r="Q710" s="194">
        <f ca="1">IFERROR(ROUND(OFFSET(환산공식!$FG$15,$F710,0),3),"")</f>
        <v>0</v>
      </c>
      <c r="R710" s="194">
        <f ca="1">OFFSET('배치점수 계산기'!H$10,$D710,0)</f>
        <v>183.54499999999999</v>
      </c>
      <c r="S710" s="194">
        <f ca="1">OFFSET('배치점수 계산기'!I$10,$D710,0)</f>
        <v>182.83099999999999</v>
      </c>
      <c r="T710" s="194">
        <f ca="1">OFFSET('배치점수 계산기'!J$10,$D710,0)</f>
        <v>181.52500000000001</v>
      </c>
      <c r="U710" s="194">
        <f ca="1">OFFSET('배치점수 계산기'!K$10,$D710,0)</f>
        <v>179.727</v>
      </c>
      <c r="V710" s="194">
        <f ca="1">OFFSET('배치점수 계산기'!L$10,$D710,0)</f>
        <v>177.429</v>
      </c>
      <c r="W710" s="186" t="str">
        <f ca="1">OFFSET('배치점수 계산기'!M$10,$D710,0)</f>
        <v>표점</v>
      </c>
      <c r="X710" s="184" t="str">
        <f ca="1">OFFSET('배치점수 계산기'!N$10,$D710,0)</f>
        <v>표점</v>
      </c>
      <c r="Y710" s="188">
        <f ca="1">OFFSET(환산공식!FW$15,$F710,0)</f>
        <v>0.25</v>
      </c>
      <c r="Z710" s="20">
        <f ca="1">OFFSET(환산공식!FX$15,$F710,0)</f>
        <v>0.45</v>
      </c>
      <c r="AA710" s="179">
        <f ca="1">OFFSET(환산공식!FY$15,$F710,0)</f>
        <v>0.3</v>
      </c>
      <c r="AB710" s="3"/>
      <c r="AD710">
        <f t="shared" ca="1" si="21"/>
        <v>6</v>
      </c>
      <c r="AF710" s="3"/>
      <c r="AG710" s="3"/>
      <c r="AH710" s="3"/>
    </row>
    <row r="711" spans="1:34">
      <c r="A711" s="198"/>
      <c r="B711" s="198"/>
      <c r="C711" s="198" t="s">
        <v>2163</v>
      </c>
      <c r="D711" s="195">
        <v>1720</v>
      </c>
      <c r="E711" s="195">
        <v>223</v>
      </c>
      <c r="F711" s="195">
        <v>223</v>
      </c>
      <c r="G711" s="239">
        <v>704</v>
      </c>
      <c r="H711" s="197" t="s">
        <v>79</v>
      </c>
      <c r="I711" s="242" t="s">
        <v>216</v>
      </c>
      <c r="J711" s="242" t="s">
        <v>11074</v>
      </c>
      <c r="K711" s="195" t="s">
        <v>70</v>
      </c>
      <c r="L711" s="20" t="str">
        <f ca="1">IF(OFFSET(환산공식!$ED$15,$F711,0)=1,"O","X")</f>
        <v>X</v>
      </c>
      <c r="M711" s="188">
        <f ca="1">IFERROR(OFFSET(환산공식!DJ$15,$F711,0),"")</f>
        <v>0</v>
      </c>
      <c r="N711" s="20" t="str">
        <f ca="1">IFERROR(CONCATENATE(ROUND(OFFSET(환산공식!DK$15,$F711,0),1),"%"),"")</f>
        <v/>
      </c>
      <c r="O711" s="20">
        <f ca="1">IFERROR(OFFSET(환산공식!DL$15,$F711,0),"")</f>
        <v>0</v>
      </c>
      <c r="P711" s="188" t="str">
        <f t="shared" ca="1" si="20"/>
        <v>3% 이하</v>
      </c>
      <c r="Q711" s="194">
        <f ca="1">IFERROR(ROUND(OFFSET(환산공식!$FG$15,$F711,0),3),"")</f>
        <v>0</v>
      </c>
      <c r="R711" s="194">
        <f ca="1">OFFSET('배치점수 계산기'!H$10,$D711,0)</f>
        <v>183.70500000000001</v>
      </c>
      <c r="S711" s="194">
        <f ca="1">OFFSET('배치점수 계산기'!I$10,$D711,0)</f>
        <v>182.798</v>
      </c>
      <c r="T711" s="194">
        <f ca="1">OFFSET('배치점수 계산기'!J$10,$D711,0)</f>
        <v>181.42400000000001</v>
      </c>
      <c r="U711" s="194">
        <f ca="1">OFFSET('배치점수 계산기'!K$10,$D711,0)</f>
        <v>179.578</v>
      </c>
      <c r="V711" s="194">
        <f ca="1">OFFSET('배치점수 계산기'!L$10,$D711,0)</f>
        <v>177.37700000000001</v>
      </c>
      <c r="W711" s="186" t="str">
        <f ca="1">OFFSET('배치점수 계산기'!M$10,$D711,0)</f>
        <v>표점</v>
      </c>
      <c r="X711" s="184" t="str">
        <f ca="1">OFFSET('배치점수 계산기'!N$10,$D711,0)</f>
        <v>표점</v>
      </c>
      <c r="Y711" s="188">
        <f ca="1">OFFSET(환산공식!FW$15,$F711,0)</f>
        <v>0.25</v>
      </c>
      <c r="Z711" s="20">
        <f ca="1">OFFSET(환산공식!FX$15,$F711,0)</f>
        <v>0.45</v>
      </c>
      <c r="AA711" s="179">
        <f ca="1">OFFSET(환산공식!FY$15,$F711,0)</f>
        <v>0.3</v>
      </c>
      <c r="AB711" s="3"/>
      <c r="AD711">
        <f t="shared" ca="1" si="21"/>
        <v>6</v>
      </c>
      <c r="AF711" s="3"/>
      <c r="AG711" s="3"/>
      <c r="AH711" s="3"/>
    </row>
    <row r="712" spans="1:34">
      <c r="A712" s="198"/>
      <c r="B712" s="198"/>
      <c r="C712" s="198" t="s">
        <v>2164</v>
      </c>
      <c r="D712" s="195">
        <v>1721</v>
      </c>
      <c r="E712" s="195">
        <v>223</v>
      </c>
      <c r="F712" s="195">
        <v>223</v>
      </c>
      <c r="G712" s="239">
        <v>705</v>
      </c>
      <c r="H712" s="197" t="s">
        <v>79</v>
      </c>
      <c r="I712" s="242" t="s">
        <v>216</v>
      </c>
      <c r="J712" s="242" t="s">
        <v>11529</v>
      </c>
      <c r="K712" s="195" t="s">
        <v>70</v>
      </c>
      <c r="L712" s="20" t="str">
        <f ca="1">IF(OFFSET(환산공식!$ED$15,$F712,0)=1,"O","X")</f>
        <v>X</v>
      </c>
      <c r="M712" s="188">
        <f ca="1">IFERROR(OFFSET(환산공식!DJ$15,$F712,0),"")</f>
        <v>0</v>
      </c>
      <c r="N712" s="20" t="str">
        <f ca="1">IFERROR(CONCATENATE(ROUND(OFFSET(환산공식!DK$15,$F712,0),1),"%"),"")</f>
        <v/>
      </c>
      <c r="O712" s="20">
        <f ca="1">IFERROR(OFFSET(환산공식!DL$15,$F712,0),"")</f>
        <v>0</v>
      </c>
      <c r="P712" s="188" t="str">
        <f t="shared" ca="1" si="20"/>
        <v>3% 이하</v>
      </c>
      <c r="Q712" s="194">
        <f ca="1">IFERROR(ROUND(OFFSET(환산공식!$FG$15,$F712,0),3),"")</f>
        <v>0</v>
      </c>
      <c r="R712" s="194">
        <f ca="1">OFFSET('배치점수 계산기'!H$10,$D712,0)</f>
        <v>183.22200000000001</v>
      </c>
      <c r="S712" s="194">
        <f ca="1">OFFSET('배치점수 계산기'!I$10,$D712,0)</f>
        <v>182.554</v>
      </c>
      <c r="T712" s="194">
        <f ca="1">OFFSET('배치점수 계산기'!J$10,$D712,0)</f>
        <v>181.172</v>
      </c>
      <c r="U712" s="194">
        <f ca="1">OFFSET('배치점수 계산기'!K$10,$D712,0)</f>
        <v>179.38800000000001</v>
      </c>
      <c r="V712" s="194">
        <f ca="1">OFFSET('배치점수 계산기'!L$10,$D712,0)</f>
        <v>177.18700000000001</v>
      </c>
      <c r="W712" s="186" t="str">
        <f ca="1">OFFSET('배치점수 계산기'!M$10,$D712,0)</f>
        <v>표점</v>
      </c>
      <c r="X712" s="184" t="str">
        <f ca="1">OFFSET('배치점수 계산기'!N$10,$D712,0)</f>
        <v>표점</v>
      </c>
      <c r="Y712" s="188">
        <f ca="1">OFFSET(환산공식!FW$15,$F712,0)</f>
        <v>0.25</v>
      </c>
      <c r="Z712" s="20">
        <f ca="1">OFFSET(환산공식!FX$15,$F712,0)</f>
        <v>0.45</v>
      </c>
      <c r="AA712" s="179">
        <f ca="1">OFFSET(환산공식!FY$15,$F712,0)</f>
        <v>0.3</v>
      </c>
      <c r="AB712" s="3"/>
      <c r="AD712">
        <f t="shared" ca="1" si="21"/>
        <v>6</v>
      </c>
      <c r="AF712" s="3"/>
      <c r="AG712" s="3"/>
      <c r="AH712" s="3"/>
    </row>
    <row r="713" spans="1:34">
      <c r="A713" s="198"/>
      <c r="B713" s="198"/>
      <c r="C713" s="198" t="s">
        <v>2165</v>
      </c>
      <c r="D713" s="195">
        <v>1722</v>
      </c>
      <c r="E713" s="195">
        <v>223</v>
      </c>
      <c r="F713" s="195">
        <v>223</v>
      </c>
      <c r="G713" s="239">
        <v>706</v>
      </c>
      <c r="H713" s="197" t="s">
        <v>79</v>
      </c>
      <c r="I713" s="242" t="s">
        <v>216</v>
      </c>
      <c r="J713" s="242" t="s">
        <v>550</v>
      </c>
      <c r="K713" s="195" t="s">
        <v>70</v>
      </c>
      <c r="L713" s="20" t="str">
        <f ca="1">IF(OFFSET(환산공식!$ED$15,$F713,0)=1,"O","X")</f>
        <v>X</v>
      </c>
      <c r="M713" s="188">
        <f ca="1">IFERROR(OFFSET(환산공식!DJ$15,$F713,0),"")</f>
        <v>0</v>
      </c>
      <c r="N713" s="20" t="str">
        <f ca="1">IFERROR(CONCATENATE(ROUND(OFFSET(환산공식!DK$15,$F713,0),1),"%"),"")</f>
        <v/>
      </c>
      <c r="O713" s="20">
        <f ca="1">IFERROR(OFFSET(환산공식!DL$15,$F713,0),"")</f>
        <v>0</v>
      </c>
      <c r="P713" s="188" t="str">
        <f t="shared" ref="P713:P776" ca="1" si="22"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>3% 이하</v>
      </c>
      <c r="Q713" s="194">
        <f ca="1">IFERROR(ROUND(OFFSET(환산공식!$FG$15,$F713,0),3),"")</f>
        <v>0</v>
      </c>
      <c r="R713" s="194">
        <f ca="1">OFFSET('배치점수 계산기'!H$10,$D713,0)</f>
        <v>179.07300000000001</v>
      </c>
      <c r="S713" s="194">
        <f ca="1">OFFSET('배치점수 계산기'!I$10,$D713,0)</f>
        <v>178.46199999999999</v>
      </c>
      <c r="T713" s="194">
        <f ca="1">OFFSET('배치점수 계산기'!J$10,$D713,0)</f>
        <v>177.06800000000001</v>
      </c>
      <c r="U713" s="194">
        <f ca="1">OFFSET('배치점수 계산기'!K$10,$D713,0)</f>
        <v>175.53700000000001</v>
      </c>
      <c r="V713" s="194">
        <f ca="1">OFFSET('배치점수 계산기'!L$10,$D713,0)</f>
        <v>173.78800000000001</v>
      </c>
      <c r="W713" s="186" t="str">
        <f ca="1">OFFSET('배치점수 계산기'!M$10,$D713,0)</f>
        <v>표점</v>
      </c>
      <c r="X713" s="184" t="str">
        <f ca="1">OFFSET('배치점수 계산기'!N$10,$D713,0)</f>
        <v>표점</v>
      </c>
      <c r="Y713" s="188">
        <f ca="1">OFFSET(환산공식!FW$15,$F713,0)</f>
        <v>0.25</v>
      </c>
      <c r="Z713" s="20">
        <f ca="1">OFFSET(환산공식!FX$15,$F713,0)</f>
        <v>0.45</v>
      </c>
      <c r="AA713" s="179">
        <f ca="1">OFFSET(환산공식!FY$15,$F713,0)</f>
        <v>0.3</v>
      </c>
      <c r="AB713" s="3"/>
      <c r="AD713">
        <f t="shared" ref="AD713:AD776" ca="1" si="23">IF(L713="X",6,IF(Q713&gt;R713,1,IF(Q713&gt;S713,2,IF(Q713&gt;T713,3,IF(Q713&gt;U713,4,IF(Q713&gt;=V713,5,IF(Q713&lt;V713,6,"")))))))</f>
        <v>6</v>
      </c>
      <c r="AF713" s="3"/>
      <c r="AG713" s="3"/>
      <c r="AH713" s="3"/>
    </row>
    <row r="714" spans="1:34">
      <c r="A714" s="198"/>
      <c r="B714" s="198"/>
      <c r="C714" s="198" t="s">
        <v>2166</v>
      </c>
      <c r="D714" s="195">
        <v>1723</v>
      </c>
      <c r="E714" s="195">
        <v>291</v>
      </c>
      <c r="F714" s="195">
        <v>291</v>
      </c>
      <c r="G714" s="239">
        <v>707</v>
      </c>
      <c r="H714" s="197" t="s">
        <v>79</v>
      </c>
      <c r="I714" s="242" t="s">
        <v>216</v>
      </c>
      <c r="J714" s="242" t="s">
        <v>551</v>
      </c>
      <c r="K714" s="195" t="s">
        <v>70</v>
      </c>
      <c r="L714" s="20" t="str">
        <f ca="1">IF(OFFSET(환산공식!$ED$15,$F714,0)=1,"O","X")</f>
        <v>X</v>
      </c>
      <c r="M714" s="188">
        <f ca="1">IFERROR(OFFSET(환산공식!DJ$15,$F714,0),"")</f>
        <v>0</v>
      </c>
      <c r="N714" s="20" t="str">
        <f ca="1">IFERROR(CONCATENATE(ROUND(OFFSET(환산공식!DK$15,$F714,0),1),"%"),"")</f>
        <v/>
      </c>
      <c r="O714" s="20">
        <f ca="1">IFERROR(OFFSET(환산공식!DL$15,$F714,0),"")</f>
        <v>0</v>
      </c>
      <c r="P714" s="188" t="str">
        <f t="shared" ca="1" si="22"/>
        <v>3% 이하</v>
      </c>
      <c r="Q714" s="194">
        <f ca="1">IFERROR(ROUND(OFFSET(환산공식!$FG$15,$F714,0),3),"")</f>
        <v>0</v>
      </c>
      <c r="R714" s="194">
        <f ca="1">OFFSET('배치점수 계산기'!H$10,$D714,0)</f>
        <v>178.161</v>
      </c>
      <c r="S714" s="194">
        <f ca="1">OFFSET('배치점수 계산기'!I$10,$D714,0)</f>
        <v>177.429</v>
      </c>
      <c r="T714" s="194">
        <f ca="1">OFFSET('배치점수 계산기'!J$10,$D714,0)</f>
        <v>176.148</v>
      </c>
      <c r="U714" s="194">
        <f ca="1">OFFSET('배치점수 계산기'!K$10,$D714,0)</f>
        <v>174.81200000000001</v>
      </c>
      <c r="V714" s="194">
        <f ca="1">OFFSET('배치점수 계산기'!L$10,$D714,0)</f>
        <v>173.01900000000001</v>
      </c>
      <c r="W714" s="186" t="str">
        <f ca="1">OFFSET('배치점수 계산기'!M$10,$D714,0)</f>
        <v>표점</v>
      </c>
      <c r="X714" s="184" t="str">
        <f ca="1">OFFSET('배치점수 계산기'!N$10,$D714,0)</f>
        <v>표점</v>
      </c>
      <c r="Y714" s="188">
        <f ca="1">OFFSET(환산공식!FW$15,$F714,0)</f>
        <v>0.25</v>
      </c>
      <c r="Z714" s="20">
        <f ca="1">OFFSET(환산공식!FX$15,$F714,0)</f>
        <v>0.45</v>
      </c>
      <c r="AA714" s="179">
        <f ca="1">OFFSET(환산공식!FY$15,$F714,0)</f>
        <v>0.3</v>
      </c>
      <c r="AB714" s="3"/>
      <c r="AD714">
        <f t="shared" ca="1" si="23"/>
        <v>6</v>
      </c>
      <c r="AF714" s="3"/>
      <c r="AG714" s="3"/>
      <c r="AH714" s="3"/>
    </row>
    <row r="715" spans="1:34">
      <c r="A715" s="198"/>
      <c r="B715" s="198"/>
      <c r="C715" s="198" t="s">
        <v>2167</v>
      </c>
      <c r="D715" s="195">
        <v>1724</v>
      </c>
      <c r="E715" s="195">
        <v>223</v>
      </c>
      <c r="F715" s="195">
        <v>223</v>
      </c>
      <c r="G715" s="239">
        <v>708</v>
      </c>
      <c r="H715" s="197" t="s">
        <v>79</v>
      </c>
      <c r="I715" s="242" t="s">
        <v>216</v>
      </c>
      <c r="J715" s="242" t="s">
        <v>12474</v>
      </c>
      <c r="K715" s="195" t="s">
        <v>70</v>
      </c>
      <c r="L715" s="20" t="str">
        <f ca="1">IF(OFFSET(환산공식!$ED$15,$F715,0)=1,"O","X")</f>
        <v>X</v>
      </c>
      <c r="M715" s="188">
        <f ca="1">IFERROR(OFFSET(환산공식!DJ$15,$F715,0),"")</f>
        <v>0</v>
      </c>
      <c r="N715" s="20" t="str">
        <f ca="1">IFERROR(CONCATENATE(ROUND(OFFSET(환산공식!DK$15,$F715,0),1),"%"),"")</f>
        <v/>
      </c>
      <c r="O715" s="20">
        <f ca="1">IFERROR(OFFSET(환산공식!DL$15,$F715,0),"")</f>
        <v>0</v>
      </c>
      <c r="P715" s="188" t="str">
        <f t="shared" ca="1" si="22"/>
        <v>3% 이하</v>
      </c>
      <c r="Q715" s="194">
        <f ca="1">IFERROR(ROUND(OFFSET(환산공식!$FG$15,$F715,0),3),"")</f>
        <v>0</v>
      </c>
      <c r="R715" s="194">
        <f ca="1">OFFSET('배치점수 계산기'!H$10,$D715,0)</f>
        <v>178.05699999999999</v>
      </c>
      <c r="S715" s="194">
        <f ca="1">OFFSET('배치점수 계산기'!I$10,$D715,0)</f>
        <v>177.37700000000001</v>
      </c>
      <c r="T715" s="194">
        <f ca="1">OFFSET('배치점수 계산기'!J$10,$D715,0)</f>
        <v>176.11</v>
      </c>
      <c r="U715" s="194">
        <f ca="1">OFFSET('배치점수 계산기'!K$10,$D715,0)</f>
        <v>174.7</v>
      </c>
      <c r="V715" s="194">
        <f ca="1">OFFSET('배치점수 계산기'!L$10,$D715,0)</f>
        <v>172.983</v>
      </c>
      <c r="W715" s="186" t="str">
        <f ca="1">OFFSET('배치점수 계산기'!M$10,$D715,0)</f>
        <v>표점</v>
      </c>
      <c r="X715" s="184" t="str">
        <f ca="1">OFFSET('배치점수 계산기'!N$10,$D715,0)</f>
        <v>표점</v>
      </c>
      <c r="Y715" s="188">
        <f ca="1">OFFSET(환산공식!FW$15,$F715,0)</f>
        <v>0.25</v>
      </c>
      <c r="Z715" s="20">
        <f ca="1">OFFSET(환산공식!FX$15,$F715,0)</f>
        <v>0.45</v>
      </c>
      <c r="AA715" s="179">
        <f ca="1">OFFSET(환산공식!FY$15,$F715,0)</f>
        <v>0.3</v>
      </c>
      <c r="AB715" s="3"/>
      <c r="AD715">
        <f t="shared" ca="1" si="23"/>
        <v>6</v>
      </c>
      <c r="AF715" s="3"/>
      <c r="AG715" s="3"/>
      <c r="AH715" s="3"/>
    </row>
    <row r="716" spans="1:34">
      <c r="A716" s="198"/>
      <c r="B716" s="198"/>
      <c r="C716" s="198" t="s">
        <v>2168</v>
      </c>
      <c r="D716" s="195">
        <v>1725</v>
      </c>
      <c r="E716" s="195">
        <v>223</v>
      </c>
      <c r="F716" s="195">
        <v>223</v>
      </c>
      <c r="G716" s="239">
        <v>709</v>
      </c>
      <c r="H716" s="197" t="s">
        <v>79</v>
      </c>
      <c r="I716" s="242" t="s">
        <v>216</v>
      </c>
      <c r="J716" s="242" t="s">
        <v>11813</v>
      </c>
      <c r="K716" s="195" t="s">
        <v>70</v>
      </c>
      <c r="L716" s="20" t="str">
        <f ca="1">IF(OFFSET(환산공식!$ED$15,$F716,0)=1,"O","X")</f>
        <v>X</v>
      </c>
      <c r="M716" s="188">
        <f ca="1">IFERROR(OFFSET(환산공식!DJ$15,$F716,0),"")</f>
        <v>0</v>
      </c>
      <c r="N716" s="20" t="str">
        <f ca="1">IFERROR(CONCATENATE(ROUND(OFFSET(환산공식!DK$15,$F716,0),1),"%"),"")</f>
        <v/>
      </c>
      <c r="O716" s="20">
        <f ca="1">IFERROR(OFFSET(환산공식!DL$15,$F716,0),"")</f>
        <v>0</v>
      </c>
      <c r="P716" s="188" t="str">
        <f t="shared" ca="1" si="22"/>
        <v>3% 이하</v>
      </c>
      <c r="Q716" s="194">
        <f ca="1">IFERROR(ROUND(OFFSET(환산공식!$FG$15,$F716,0),3),"")</f>
        <v>0</v>
      </c>
      <c r="R716" s="194">
        <f ca="1">OFFSET('배치점수 계산기'!H$10,$D716,0)</f>
        <v>176.81800000000001</v>
      </c>
      <c r="S716" s="194">
        <f ca="1">OFFSET('배치점수 계산기'!I$10,$D716,0)</f>
        <v>176.16200000000001</v>
      </c>
      <c r="T716" s="194">
        <f ca="1">OFFSET('배치점수 계산기'!J$10,$D716,0)</f>
        <v>175.03700000000001</v>
      </c>
      <c r="U716" s="194">
        <f ca="1">OFFSET('배치점수 계산기'!K$10,$D716,0)</f>
        <v>173.739</v>
      </c>
      <c r="V716" s="194">
        <f ca="1">OFFSET('배치점수 계산기'!L$10,$D716,0)</f>
        <v>171.86099999999999</v>
      </c>
      <c r="W716" s="186" t="str">
        <f ca="1">OFFSET('배치점수 계산기'!M$10,$D716,0)</f>
        <v>표점</v>
      </c>
      <c r="X716" s="184" t="str">
        <f ca="1">OFFSET('배치점수 계산기'!N$10,$D716,0)</f>
        <v>표점</v>
      </c>
      <c r="Y716" s="188">
        <f ca="1">OFFSET(환산공식!FW$15,$F716,0)</f>
        <v>0.25</v>
      </c>
      <c r="Z716" s="20">
        <f ca="1">OFFSET(환산공식!FX$15,$F716,0)</f>
        <v>0.45</v>
      </c>
      <c r="AA716" s="179">
        <f ca="1">OFFSET(환산공식!FY$15,$F716,0)</f>
        <v>0.3</v>
      </c>
      <c r="AB716" s="3"/>
      <c r="AD716">
        <f t="shared" ca="1" si="23"/>
        <v>6</v>
      </c>
      <c r="AF716" s="3"/>
      <c r="AG716" s="3"/>
      <c r="AH716" s="3"/>
    </row>
    <row r="717" spans="1:34">
      <c r="A717" s="198"/>
      <c r="B717" s="198"/>
      <c r="C717" s="198" t="s">
        <v>2169</v>
      </c>
      <c r="D717" s="195">
        <v>1726</v>
      </c>
      <c r="E717" s="195">
        <v>223</v>
      </c>
      <c r="F717" s="195">
        <v>223</v>
      </c>
      <c r="G717" s="239">
        <v>710</v>
      </c>
      <c r="H717" s="197" t="s">
        <v>79</v>
      </c>
      <c r="I717" s="242" t="s">
        <v>216</v>
      </c>
      <c r="J717" s="242" t="s">
        <v>12781</v>
      </c>
      <c r="K717" s="195" t="s">
        <v>70</v>
      </c>
      <c r="L717" s="20" t="str">
        <f ca="1">IF(OFFSET(환산공식!$ED$15,$F717,0)=1,"O","X")</f>
        <v>X</v>
      </c>
      <c r="M717" s="188">
        <f ca="1">IFERROR(OFFSET(환산공식!DJ$15,$F717,0),"")</f>
        <v>0</v>
      </c>
      <c r="N717" s="20" t="str">
        <f ca="1">IFERROR(CONCATENATE(ROUND(OFFSET(환산공식!DK$15,$F717,0),1),"%"),"")</f>
        <v/>
      </c>
      <c r="O717" s="20">
        <f ca="1">IFERROR(OFFSET(환산공식!DL$15,$F717,0),"")</f>
        <v>0</v>
      </c>
      <c r="P717" s="188" t="str">
        <f t="shared" ca="1" si="22"/>
        <v>3% 이하</v>
      </c>
      <c r="Q717" s="194">
        <f ca="1">IFERROR(ROUND(OFFSET(환산공식!$FG$15,$F717,0),3),"")</f>
        <v>0</v>
      </c>
      <c r="R717" s="194">
        <f ca="1">OFFSET('배치점수 계산기'!H$10,$D717,0)</f>
        <v>175.68899999999999</v>
      </c>
      <c r="S717" s="194">
        <f ca="1">OFFSET('배치점수 계산기'!I$10,$D717,0)</f>
        <v>175.19800000000001</v>
      </c>
      <c r="T717" s="194">
        <f ca="1">OFFSET('배치점수 계산기'!J$10,$D717,0)</f>
        <v>174.19499999999999</v>
      </c>
      <c r="U717" s="194">
        <f ca="1">OFFSET('배치점수 계산기'!K$10,$D717,0)</f>
        <v>172.66800000000001</v>
      </c>
      <c r="V717" s="194">
        <f ca="1">OFFSET('배치점수 계산기'!L$10,$D717,0)</f>
        <v>170.899</v>
      </c>
      <c r="W717" s="186" t="str">
        <f ca="1">OFFSET('배치점수 계산기'!M$10,$D717,0)</f>
        <v>표점</v>
      </c>
      <c r="X717" s="184" t="str">
        <f ca="1">OFFSET('배치점수 계산기'!N$10,$D717,0)</f>
        <v>표점</v>
      </c>
      <c r="Y717" s="188">
        <f ca="1">OFFSET(환산공식!FW$15,$F717,0)</f>
        <v>0.25</v>
      </c>
      <c r="Z717" s="20">
        <f ca="1">OFFSET(환산공식!FX$15,$F717,0)</f>
        <v>0.45</v>
      </c>
      <c r="AA717" s="179">
        <f ca="1">OFFSET(환산공식!FY$15,$F717,0)</f>
        <v>0.3</v>
      </c>
      <c r="AB717" s="3"/>
      <c r="AD717">
        <f t="shared" ca="1" si="23"/>
        <v>6</v>
      </c>
      <c r="AF717" s="3"/>
      <c r="AG717" s="3"/>
      <c r="AH717" s="3"/>
    </row>
    <row r="718" spans="1:34">
      <c r="A718" s="198"/>
      <c r="B718" s="198"/>
      <c r="C718" s="198" t="s">
        <v>2170</v>
      </c>
      <c r="D718" s="195">
        <v>1727</v>
      </c>
      <c r="E718" s="195">
        <v>291</v>
      </c>
      <c r="F718" s="195">
        <v>291</v>
      </c>
      <c r="G718" s="239">
        <v>711</v>
      </c>
      <c r="H718" s="197" t="s">
        <v>79</v>
      </c>
      <c r="I718" s="242" t="s">
        <v>216</v>
      </c>
      <c r="J718" s="242" t="s">
        <v>554</v>
      </c>
      <c r="K718" s="195" t="s">
        <v>70</v>
      </c>
      <c r="L718" s="20" t="str">
        <f ca="1">IF(OFFSET(환산공식!$ED$15,$F718,0)=1,"O","X")</f>
        <v>X</v>
      </c>
      <c r="M718" s="188">
        <f ca="1">IFERROR(OFFSET(환산공식!DJ$15,$F718,0),"")</f>
        <v>0</v>
      </c>
      <c r="N718" s="20" t="str">
        <f ca="1">IFERROR(CONCATENATE(ROUND(OFFSET(환산공식!DK$15,$F718,0),1),"%"),"")</f>
        <v/>
      </c>
      <c r="O718" s="20">
        <f ca="1">IFERROR(OFFSET(환산공식!DL$15,$F718,0),"")</f>
        <v>0</v>
      </c>
      <c r="P718" s="188" t="str">
        <f t="shared" ca="1" si="22"/>
        <v>3% 이하</v>
      </c>
      <c r="Q718" s="194">
        <f ca="1">IFERROR(ROUND(OFFSET(환산공식!$FG$15,$F718,0),3),"")</f>
        <v>0</v>
      </c>
      <c r="R718" s="194">
        <f ca="1">OFFSET('배치점수 계산기'!H$10,$D718,0)</f>
        <v>175.727</v>
      </c>
      <c r="S718" s="194">
        <f ca="1">OFFSET('배치점수 계산기'!I$10,$D718,0)</f>
        <v>175.251</v>
      </c>
      <c r="T718" s="194">
        <f ca="1">OFFSET('배치점수 계산기'!J$10,$D718,0)</f>
        <v>174.19499999999999</v>
      </c>
      <c r="U718" s="194">
        <f ca="1">OFFSET('배치점수 계산기'!K$10,$D718,0)</f>
        <v>172.733</v>
      </c>
      <c r="V718" s="194">
        <f ca="1">OFFSET('배치점수 계산기'!L$10,$D718,0)</f>
        <v>170.899</v>
      </c>
      <c r="W718" s="186" t="str">
        <f ca="1">OFFSET('배치점수 계산기'!M$10,$D718,0)</f>
        <v>표점</v>
      </c>
      <c r="X718" s="184" t="str">
        <f ca="1">OFFSET('배치점수 계산기'!N$10,$D718,0)</f>
        <v>표점</v>
      </c>
      <c r="Y718" s="188">
        <f ca="1">OFFSET(환산공식!FW$15,$F718,0)</f>
        <v>0.25</v>
      </c>
      <c r="Z718" s="20">
        <f ca="1">OFFSET(환산공식!FX$15,$F718,0)</f>
        <v>0.45</v>
      </c>
      <c r="AA718" s="179">
        <f ca="1">OFFSET(환산공식!FY$15,$F718,0)</f>
        <v>0.3</v>
      </c>
      <c r="AB718" s="3"/>
      <c r="AD718">
        <f t="shared" ca="1" si="23"/>
        <v>6</v>
      </c>
      <c r="AF718" s="3"/>
      <c r="AG718" s="3"/>
      <c r="AH718" s="3"/>
    </row>
    <row r="719" spans="1:34">
      <c r="A719" s="198"/>
      <c r="B719" s="198"/>
      <c r="C719" s="198" t="s">
        <v>2171</v>
      </c>
      <c r="D719" s="195">
        <v>1728</v>
      </c>
      <c r="E719" s="195">
        <v>223</v>
      </c>
      <c r="F719" s="195">
        <v>223</v>
      </c>
      <c r="G719" s="239">
        <v>712</v>
      </c>
      <c r="H719" s="197" t="s">
        <v>79</v>
      </c>
      <c r="I719" s="242" t="s">
        <v>216</v>
      </c>
      <c r="J719" s="242" t="s">
        <v>13107</v>
      </c>
      <c r="K719" s="195" t="s">
        <v>70</v>
      </c>
      <c r="L719" s="20" t="str">
        <f ca="1">IF(OFFSET(환산공식!$ED$15,$F719,0)=1,"O","X")</f>
        <v>X</v>
      </c>
      <c r="M719" s="188">
        <f ca="1">IFERROR(OFFSET(환산공식!DJ$15,$F719,0),"")</f>
        <v>0</v>
      </c>
      <c r="N719" s="20" t="str">
        <f ca="1">IFERROR(CONCATENATE(ROUND(OFFSET(환산공식!DK$15,$F719,0),1),"%"),"")</f>
        <v/>
      </c>
      <c r="O719" s="20">
        <f ca="1">IFERROR(OFFSET(환산공식!DL$15,$F719,0),"")</f>
        <v>0</v>
      </c>
      <c r="P719" s="188" t="str">
        <f t="shared" ca="1" si="22"/>
        <v>3% 이하</v>
      </c>
      <c r="Q719" s="194">
        <f ca="1">IFERROR(ROUND(OFFSET(환산공식!$FG$15,$F719,0),3),"")</f>
        <v>0</v>
      </c>
      <c r="R719" s="194">
        <f ca="1">OFFSET('배치점수 계산기'!H$10,$D719,0)</f>
        <v>173.893</v>
      </c>
      <c r="S719" s="194">
        <f ca="1">OFFSET('배치점수 계산기'!I$10,$D719,0)</f>
        <v>173.40199999999999</v>
      </c>
      <c r="T719" s="194">
        <f ca="1">OFFSET('배치점수 계산기'!J$10,$D719,0)</f>
        <v>172.21199999999999</v>
      </c>
      <c r="U719" s="194">
        <f ca="1">OFFSET('배치점수 계산기'!K$10,$D719,0)</f>
        <v>170.73599999999999</v>
      </c>
      <c r="V719" s="194">
        <f ca="1">OFFSET('배치점수 계산기'!L$10,$D719,0)</f>
        <v>168.80500000000001</v>
      </c>
      <c r="W719" s="186" t="str">
        <f ca="1">OFFSET('배치점수 계산기'!M$10,$D719,0)</f>
        <v>표점</v>
      </c>
      <c r="X719" s="184" t="str">
        <f ca="1">OFFSET('배치점수 계산기'!N$10,$D719,0)</f>
        <v>표점</v>
      </c>
      <c r="Y719" s="188">
        <f ca="1">OFFSET(환산공식!FW$15,$F719,0)</f>
        <v>0.25</v>
      </c>
      <c r="Z719" s="20">
        <f ca="1">OFFSET(환산공식!FX$15,$F719,0)</f>
        <v>0.45</v>
      </c>
      <c r="AA719" s="179">
        <f ca="1">OFFSET(환산공식!FY$15,$F719,0)</f>
        <v>0.3</v>
      </c>
      <c r="AB719" s="3"/>
      <c r="AD719">
        <f t="shared" ca="1" si="23"/>
        <v>6</v>
      </c>
      <c r="AF719" s="3"/>
      <c r="AG719" s="3"/>
      <c r="AH719" s="3"/>
    </row>
    <row r="720" spans="1:34">
      <c r="A720" s="198"/>
      <c r="B720" s="198"/>
      <c r="C720" s="198" t="s">
        <v>2172</v>
      </c>
      <c r="D720" s="195">
        <v>1729</v>
      </c>
      <c r="E720" s="195">
        <v>223</v>
      </c>
      <c r="F720" s="195">
        <v>223</v>
      </c>
      <c r="G720" s="239">
        <v>713</v>
      </c>
      <c r="H720" s="197" t="s">
        <v>79</v>
      </c>
      <c r="I720" s="242" t="s">
        <v>216</v>
      </c>
      <c r="J720" s="242" t="s">
        <v>7252</v>
      </c>
      <c r="K720" s="195" t="s">
        <v>70</v>
      </c>
      <c r="L720" s="20" t="str">
        <f ca="1">IF(OFFSET(환산공식!$ED$15,$F720,0)=1,"O","X")</f>
        <v>X</v>
      </c>
      <c r="M720" s="188">
        <f ca="1">IFERROR(OFFSET(환산공식!DJ$15,$F720,0),"")</f>
        <v>0</v>
      </c>
      <c r="N720" s="20" t="str">
        <f ca="1">IFERROR(CONCATENATE(ROUND(OFFSET(환산공식!DK$15,$F720,0),1),"%"),"")</f>
        <v/>
      </c>
      <c r="O720" s="20">
        <f ca="1">IFERROR(OFFSET(환산공식!DL$15,$F720,0),"")</f>
        <v>0</v>
      </c>
      <c r="P720" s="188" t="str">
        <f t="shared" ca="1" si="22"/>
        <v>3% 이하</v>
      </c>
      <c r="Q720" s="194">
        <f ca="1">IFERROR(ROUND(OFFSET(환산공식!$FG$15,$F720,0),3),"")</f>
        <v>0</v>
      </c>
      <c r="R720" s="194">
        <f ca="1">OFFSET('배치점수 계산기'!H$10,$D720,0)</f>
        <v>173.893</v>
      </c>
      <c r="S720" s="194">
        <f ca="1">OFFSET('배치점수 계산기'!I$10,$D720,0)</f>
        <v>173.35</v>
      </c>
      <c r="T720" s="194">
        <f ca="1">OFFSET('배치점수 계산기'!J$10,$D720,0)</f>
        <v>172.125</v>
      </c>
      <c r="U720" s="194">
        <f ca="1">OFFSET('배치점수 계산기'!K$10,$D720,0)</f>
        <v>170.685</v>
      </c>
      <c r="V720" s="194">
        <f ca="1">OFFSET('배치점수 계산기'!L$10,$D720,0)</f>
        <v>168.80500000000001</v>
      </c>
      <c r="W720" s="186" t="str">
        <f ca="1">OFFSET('배치점수 계산기'!M$10,$D720,0)</f>
        <v>표점</v>
      </c>
      <c r="X720" s="184" t="str">
        <f ca="1">OFFSET('배치점수 계산기'!N$10,$D720,0)</f>
        <v>표점</v>
      </c>
      <c r="Y720" s="188">
        <f ca="1">OFFSET(환산공식!FW$15,$F720,0)</f>
        <v>0.25</v>
      </c>
      <c r="Z720" s="20">
        <f ca="1">OFFSET(환산공식!FX$15,$F720,0)</f>
        <v>0.45</v>
      </c>
      <c r="AA720" s="179">
        <f ca="1">OFFSET(환산공식!FY$15,$F720,0)</f>
        <v>0.3</v>
      </c>
      <c r="AB720" s="3"/>
      <c r="AD720">
        <f t="shared" ca="1" si="23"/>
        <v>6</v>
      </c>
      <c r="AF720" s="3"/>
      <c r="AG720" s="3"/>
      <c r="AH720" s="3"/>
    </row>
    <row r="721" spans="1:34">
      <c r="A721" s="198"/>
      <c r="B721" s="198"/>
      <c r="C721" s="198" t="s">
        <v>2173</v>
      </c>
      <c r="D721" s="195">
        <v>1730</v>
      </c>
      <c r="E721" s="195">
        <v>223</v>
      </c>
      <c r="F721" s="195">
        <v>223</v>
      </c>
      <c r="G721" s="239">
        <v>714</v>
      </c>
      <c r="H721" s="197" t="s">
        <v>79</v>
      </c>
      <c r="I721" s="242" t="s">
        <v>216</v>
      </c>
      <c r="J721" s="242" t="s">
        <v>13326</v>
      </c>
      <c r="K721" s="195" t="s">
        <v>70</v>
      </c>
      <c r="L721" s="20" t="str">
        <f ca="1">IF(OFFSET(환산공식!$ED$15,$F721,0)=1,"O","X")</f>
        <v>X</v>
      </c>
      <c r="M721" s="188">
        <f ca="1">IFERROR(OFFSET(환산공식!DJ$15,$F721,0),"")</f>
        <v>0</v>
      </c>
      <c r="N721" s="20" t="str">
        <f ca="1">IFERROR(CONCATENATE(ROUND(OFFSET(환산공식!DK$15,$F721,0),1),"%"),"")</f>
        <v/>
      </c>
      <c r="O721" s="20">
        <f ca="1">IFERROR(OFFSET(환산공식!DL$15,$F721,0),"")</f>
        <v>0</v>
      </c>
      <c r="P721" s="188" t="str">
        <f t="shared" ca="1" si="22"/>
        <v>3% 이하</v>
      </c>
      <c r="Q721" s="194">
        <f ca="1">IFERROR(ROUND(OFFSET(환산공식!$FG$15,$F721,0),3),"")</f>
        <v>0</v>
      </c>
      <c r="R721" s="194">
        <f ca="1">OFFSET('배치점수 계산기'!H$10,$D721,0)</f>
        <v>172.21199999999999</v>
      </c>
      <c r="S721" s="194">
        <f ca="1">OFFSET('배치점수 계산기'!I$10,$D721,0)</f>
        <v>171.66900000000001</v>
      </c>
      <c r="T721" s="194">
        <f ca="1">OFFSET('배치점수 계산기'!J$10,$D721,0)</f>
        <v>170.548</v>
      </c>
      <c r="U721" s="194">
        <f ca="1">OFFSET('배치점수 계산기'!K$10,$D721,0)</f>
        <v>169.06899999999999</v>
      </c>
      <c r="V721" s="194">
        <f ca="1">OFFSET('배치점수 계산기'!L$10,$D721,0)</f>
        <v>167.19399999999999</v>
      </c>
      <c r="W721" s="186" t="str">
        <f ca="1">OFFSET('배치점수 계산기'!M$10,$D721,0)</f>
        <v>표점</v>
      </c>
      <c r="X721" s="184" t="str">
        <f ca="1">OFFSET('배치점수 계산기'!N$10,$D721,0)</f>
        <v>표점</v>
      </c>
      <c r="Y721" s="188">
        <f ca="1">OFFSET(환산공식!FW$15,$F721,0)</f>
        <v>0.25</v>
      </c>
      <c r="Z721" s="20">
        <f ca="1">OFFSET(환산공식!FX$15,$F721,0)</f>
        <v>0.45</v>
      </c>
      <c r="AA721" s="179">
        <f ca="1">OFFSET(환산공식!FY$15,$F721,0)</f>
        <v>0.3</v>
      </c>
      <c r="AB721" s="3"/>
      <c r="AD721">
        <f t="shared" ca="1" si="23"/>
        <v>6</v>
      </c>
      <c r="AF721" s="3"/>
      <c r="AG721" s="3"/>
      <c r="AH721" s="3"/>
    </row>
    <row r="722" spans="1:34">
      <c r="A722" s="198"/>
      <c r="B722" s="198"/>
      <c r="C722" s="198" t="s">
        <v>2174</v>
      </c>
      <c r="D722" s="195">
        <v>1731</v>
      </c>
      <c r="E722" s="195">
        <v>223</v>
      </c>
      <c r="F722" s="195">
        <v>223</v>
      </c>
      <c r="G722" s="239">
        <v>715</v>
      </c>
      <c r="H722" s="197" t="s">
        <v>79</v>
      </c>
      <c r="I722" s="242" t="s">
        <v>216</v>
      </c>
      <c r="J722" s="242" t="s">
        <v>555</v>
      </c>
      <c r="K722" s="195" t="s">
        <v>70</v>
      </c>
      <c r="L722" s="20" t="str">
        <f ca="1">IF(OFFSET(환산공식!$ED$15,$F722,0)=1,"O","X")</f>
        <v>X</v>
      </c>
      <c r="M722" s="188">
        <f ca="1">IFERROR(OFFSET(환산공식!DJ$15,$F722,0),"")</f>
        <v>0</v>
      </c>
      <c r="N722" s="20" t="str">
        <f ca="1">IFERROR(CONCATENATE(ROUND(OFFSET(환산공식!DK$15,$F722,0),1),"%"),"")</f>
        <v/>
      </c>
      <c r="O722" s="20">
        <f ca="1">IFERROR(OFFSET(환산공식!DL$15,$F722,0),"")</f>
        <v>0</v>
      </c>
      <c r="P722" s="188" t="str">
        <f t="shared" ca="1" si="22"/>
        <v>3% 이하</v>
      </c>
      <c r="Q722" s="194">
        <f ca="1">IFERROR(ROUND(OFFSET(환산공식!$FG$15,$F722,0),3),"")</f>
        <v>0</v>
      </c>
      <c r="R722" s="194">
        <f ca="1">OFFSET('배치점수 계산기'!H$10,$D722,0)</f>
        <v>171.80699999999999</v>
      </c>
      <c r="S722" s="194">
        <f ca="1">OFFSET('배치점수 계산기'!I$10,$D722,0)</f>
        <v>171.25</v>
      </c>
      <c r="T722" s="194">
        <f ca="1">OFFSET('배치점수 계산기'!J$10,$D722,0)</f>
        <v>170.078</v>
      </c>
      <c r="U722" s="194">
        <f ca="1">OFFSET('배치점수 계산기'!K$10,$D722,0)</f>
        <v>168.57900000000001</v>
      </c>
      <c r="V722" s="194">
        <f ca="1">OFFSET('배치점수 계산기'!L$10,$D722,0)</f>
        <v>166.791</v>
      </c>
      <c r="W722" s="186" t="str">
        <f ca="1">OFFSET('배치점수 계산기'!M$10,$D722,0)</f>
        <v>표점</v>
      </c>
      <c r="X722" s="184" t="str">
        <f ca="1">OFFSET('배치점수 계산기'!N$10,$D722,0)</f>
        <v>표점</v>
      </c>
      <c r="Y722" s="188">
        <f ca="1">OFFSET(환산공식!FW$15,$F722,0)</f>
        <v>0.25</v>
      </c>
      <c r="Z722" s="20">
        <f ca="1">OFFSET(환산공식!FX$15,$F722,0)</f>
        <v>0.45</v>
      </c>
      <c r="AA722" s="179">
        <f ca="1">OFFSET(환산공식!FY$15,$F722,0)</f>
        <v>0.3</v>
      </c>
      <c r="AB722" s="3"/>
      <c r="AD722">
        <f t="shared" ca="1" si="23"/>
        <v>6</v>
      </c>
      <c r="AF722" s="3"/>
      <c r="AG722" s="3"/>
      <c r="AH722" s="3"/>
    </row>
    <row r="723" spans="1:34">
      <c r="A723" s="198"/>
      <c r="B723" s="198"/>
      <c r="C723" s="198" t="s">
        <v>2175</v>
      </c>
      <c r="D723" s="195">
        <v>1732</v>
      </c>
      <c r="E723" s="195">
        <v>221</v>
      </c>
      <c r="F723" s="195">
        <v>221</v>
      </c>
      <c r="G723" s="239">
        <v>716</v>
      </c>
      <c r="H723" s="197" t="s">
        <v>79</v>
      </c>
      <c r="I723" s="242" t="s">
        <v>216</v>
      </c>
      <c r="J723" s="242" t="s">
        <v>489</v>
      </c>
      <c r="K723" s="195" t="s">
        <v>71</v>
      </c>
      <c r="L723" s="20" t="str">
        <f ca="1">IF(OFFSET(환산공식!$ED$15,$F723,0)=1,"O","X")</f>
        <v>X</v>
      </c>
      <c r="M723" s="188">
        <f ca="1">IFERROR(OFFSET(환산공식!DJ$15,$F723,0),"")</f>
        <v>0</v>
      </c>
      <c r="N723" s="20" t="str">
        <f ca="1">IFERROR(CONCATENATE(ROUND(OFFSET(환산공식!DK$15,$F723,0),1),"%"),"")</f>
        <v/>
      </c>
      <c r="O723" s="20">
        <f ca="1">IFERROR(OFFSET(환산공식!DL$15,$F723,0),"")</f>
        <v>0</v>
      </c>
      <c r="P723" s="188" t="str">
        <f t="shared" ca="1" si="22"/>
        <v>3% 이하</v>
      </c>
      <c r="Q723" s="194">
        <f ca="1">IFERROR(ROUND(OFFSET(환산공식!$FG$15,$F723,0),3),"")</f>
        <v>0</v>
      </c>
      <c r="R723" s="194">
        <f ca="1">OFFSET('배치점수 계산기'!H$10,$D723,0)</f>
        <v>181.26499999999999</v>
      </c>
      <c r="S723" s="194">
        <f ca="1">OFFSET('배치점수 계산기'!I$10,$D723,0)</f>
        <v>180.13200000000001</v>
      </c>
      <c r="T723" s="194">
        <f ca="1">OFFSET('배치점수 계산기'!J$10,$D723,0)</f>
        <v>178.52500000000001</v>
      </c>
      <c r="U723" s="194">
        <f ca="1">OFFSET('배치점수 계산기'!K$10,$D723,0)</f>
        <v>176.54</v>
      </c>
      <c r="V723" s="194">
        <f ca="1">OFFSET('배치점수 계산기'!L$10,$D723,0)</f>
        <v>174.21</v>
      </c>
      <c r="W723" s="186" t="str">
        <f ca="1">OFFSET('배치점수 계산기'!M$10,$D723,0)</f>
        <v>표점</v>
      </c>
      <c r="X723" s="184" t="str">
        <f ca="1">OFFSET('배치점수 계산기'!N$10,$D723,0)</f>
        <v>표점</v>
      </c>
      <c r="Y723" s="188">
        <f ca="1">OFFSET(환산공식!FW$15,$F723,0)</f>
        <v>0.45</v>
      </c>
      <c r="Z723" s="20">
        <f ca="1">OFFSET(환산공식!FX$15,$F723,0)</f>
        <v>0.25</v>
      </c>
      <c r="AA723" s="179">
        <f ca="1">OFFSET(환산공식!FY$15,$F723,0)</f>
        <v>0.3</v>
      </c>
      <c r="AB723" s="3"/>
      <c r="AD723">
        <f t="shared" ca="1" si="23"/>
        <v>6</v>
      </c>
      <c r="AF723" s="3"/>
      <c r="AG723" s="3"/>
      <c r="AH723" s="3"/>
    </row>
    <row r="724" spans="1:34">
      <c r="A724" s="198"/>
      <c r="B724" s="198"/>
      <c r="C724" s="198" t="s">
        <v>2176</v>
      </c>
      <c r="D724" s="195">
        <v>1733</v>
      </c>
      <c r="E724" s="195">
        <v>221</v>
      </c>
      <c r="F724" s="195">
        <v>221</v>
      </c>
      <c r="G724" s="239">
        <v>717</v>
      </c>
      <c r="H724" s="197" t="s">
        <v>79</v>
      </c>
      <c r="I724" s="242" t="s">
        <v>216</v>
      </c>
      <c r="J724" s="242" t="s">
        <v>8659</v>
      </c>
      <c r="K724" s="195" t="s">
        <v>71</v>
      </c>
      <c r="L724" s="20" t="str">
        <f ca="1">IF(OFFSET(환산공식!$ED$15,$F724,0)=1,"O","X")</f>
        <v>X</v>
      </c>
      <c r="M724" s="188">
        <f ca="1">IFERROR(OFFSET(환산공식!DJ$15,$F724,0),"")</f>
        <v>0</v>
      </c>
      <c r="N724" s="20" t="str">
        <f ca="1">IFERROR(CONCATENATE(ROUND(OFFSET(환산공식!DK$15,$F724,0),1),"%"),"")</f>
        <v/>
      </c>
      <c r="O724" s="20">
        <f ca="1">IFERROR(OFFSET(환산공식!DL$15,$F724,0),"")</f>
        <v>0</v>
      </c>
      <c r="P724" s="188" t="str">
        <f t="shared" ca="1" si="22"/>
        <v>3% 이하</v>
      </c>
      <c r="Q724" s="194">
        <f ca="1">IFERROR(ROUND(OFFSET(환산공식!$FG$15,$F724,0),3),"")</f>
        <v>0</v>
      </c>
      <c r="R724" s="194">
        <f ca="1">OFFSET('배치점수 계산기'!H$10,$D724,0)</f>
        <v>180.018</v>
      </c>
      <c r="S724" s="194">
        <f ca="1">OFFSET('배치점수 계산기'!I$10,$D724,0)</f>
        <v>179.22</v>
      </c>
      <c r="T724" s="194">
        <f ca="1">OFFSET('배치점수 계산기'!J$10,$D724,0)</f>
        <v>177.67</v>
      </c>
      <c r="U724" s="194">
        <f ca="1">OFFSET('배치점수 계산기'!K$10,$D724,0)</f>
        <v>175.75</v>
      </c>
      <c r="V724" s="194">
        <f ca="1">OFFSET('배치점수 계산기'!L$10,$D724,0)</f>
        <v>173.45699999999999</v>
      </c>
      <c r="W724" s="186" t="str">
        <f ca="1">OFFSET('배치점수 계산기'!M$10,$D724,0)</f>
        <v>표점</v>
      </c>
      <c r="X724" s="184" t="str">
        <f ca="1">OFFSET('배치점수 계산기'!N$10,$D724,0)</f>
        <v>표점</v>
      </c>
      <c r="Y724" s="188">
        <f ca="1">OFFSET(환산공식!FW$15,$F724,0)</f>
        <v>0.45</v>
      </c>
      <c r="Z724" s="20">
        <f ca="1">OFFSET(환산공식!FX$15,$F724,0)</f>
        <v>0.25</v>
      </c>
      <c r="AA724" s="179">
        <f ca="1">OFFSET(환산공식!FY$15,$F724,0)</f>
        <v>0.3</v>
      </c>
      <c r="AB724" s="3"/>
      <c r="AD724">
        <f t="shared" ca="1" si="23"/>
        <v>6</v>
      </c>
      <c r="AF724" s="3"/>
      <c r="AG724" s="3"/>
      <c r="AH724" s="3"/>
    </row>
    <row r="725" spans="1:34">
      <c r="A725" s="198"/>
      <c r="B725" s="198"/>
      <c r="C725" s="198" t="s">
        <v>2177</v>
      </c>
      <c r="D725" s="195">
        <v>1734</v>
      </c>
      <c r="E725" s="195">
        <v>221</v>
      </c>
      <c r="F725" s="195">
        <v>221</v>
      </c>
      <c r="G725" s="239">
        <v>718</v>
      </c>
      <c r="H725" s="197" t="s">
        <v>79</v>
      </c>
      <c r="I725" s="242" t="s">
        <v>216</v>
      </c>
      <c r="J725" s="242" t="s">
        <v>9396</v>
      </c>
      <c r="K725" s="195" t="s">
        <v>71</v>
      </c>
      <c r="L725" s="20" t="str">
        <f ca="1">IF(OFFSET(환산공식!$ED$15,$F725,0)=1,"O","X")</f>
        <v>X</v>
      </c>
      <c r="M725" s="188">
        <f ca="1">IFERROR(OFFSET(환산공식!DJ$15,$F725,0),"")</f>
        <v>0</v>
      </c>
      <c r="N725" s="20" t="str">
        <f ca="1">IFERROR(CONCATENATE(ROUND(OFFSET(환산공식!DK$15,$F725,0),1),"%"),"")</f>
        <v/>
      </c>
      <c r="O725" s="20">
        <f ca="1">IFERROR(OFFSET(환산공식!DL$15,$F725,0),"")</f>
        <v>0</v>
      </c>
      <c r="P725" s="188" t="str">
        <f t="shared" ca="1" si="22"/>
        <v>3% 이하</v>
      </c>
      <c r="Q725" s="194">
        <f ca="1">IFERROR(ROUND(OFFSET(환산공식!$FG$15,$F725,0),3),"")</f>
        <v>0</v>
      </c>
      <c r="R725" s="194">
        <f ca="1">OFFSET('배치점수 계산기'!H$10,$D725,0)</f>
        <v>178.06</v>
      </c>
      <c r="S725" s="194">
        <f ca="1">OFFSET('배치점수 계산기'!I$10,$D725,0)</f>
        <v>177.24299999999999</v>
      </c>
      <c r="T725" s="194">
        <f ca="1">OFFSET('배치점수 계산기'!J$10,$D725,0)</f>
        <v>175.8</v>
      </c>
      <c r="U725" s="194">
        <f ca="1">OFFSET('배치점수 계산기'!K$10,$D725,0)</f>
        <v>174.005</v>
      </c>
      <c r="V725" s="194">
        <f ca="1">OFFSET('배치점수 계산기'!L$10,$D725,0)</f>
        <v>171.86699999999999</v>
      </c>
      <c r="W725" s="186" t="str">
        <f ca="1">OFFSET('배치점수 계산기'!M$10,$D725,0)</f>
        <v>표점</v>
      </c>
      <c r="X725" s="184" t="str">
        <f ca="1">OFFSET('배치점수 계산기'!N$10,$D725,0)</f>
        <v>표점</v>
      </c>
      <c r="Y725" s="188">
        <f ca="1">OFFSET(환산공식!FW$15,$F725,0)</f>
        <v>0.45</v>
      </c>
      <c r="Z725" s="20">
        <f ca="1">OFFSET(환산공식!FX$15,$F725,0)</f>
        <v>0.25</v>
      </c>
      <c r="AA725" s="179">
        <f ca="1">OFFSET(환산공식!FY$15,$F725,0)</f>
        <v>0.3</v>
      </c>
      <c r="AB725" s="3"/>
      <c r="AD725">
        <f t="shared" ca="1" si="23"/>
        <v>6</v>
      </c>
      <c r="AF725" s="3"/>
      <c r="AG725" s="3"/>
      <c r="AH725" s="3"/>
    </row>
    <row r="726" spans="1:34">
      <c r="A726" s="198"/>
      <c r="B726" s="198"/>
      <c r="C726" s="198" t="s">
        <v>2178</v>
      </c>
      <c r="D726" s="195">
        <v>1735</v>
      </c>
      <c r="E726" s="195">
        <v>221</v>
      </c>
      <c r="F726" s="195">
        <v>221</v>
      </c>
      <c r="G726" s="239">
        <v>719</v>
      </c>
      <c r="H726" s="197" t="s">
        <v>79</v>
      </c>
      <c r="I726" s="242" t="s">
        <v>216</v>
      </c>
      <c r="J726" s="242" t="s">
        <v>8618</v>
      </c>
      <c r="K726" s="195" t="s">
        <v>71</v>
      </c>
      <c r="L726" s="20" t="str">
        <f ca="1">IF(OFFSET(환산공식!$ED$15,$F726,0)=1,"O","X")</f>
        <v>X</v>
      </c>
      <c r="M726" s="188">
        <f ca="1">IFERROR(OFFSET(환산공식!DJ$15,$F726,0),"")</f>
        <v>0</v>
      </c>
      <c r="N726" s="20" t="str">
        <f ca="1">IFERROR(CONCATENATE(ROUND(OFFSET(환산공식!DK$15,$F726,0),1),"%"),"")</f>
        <v/>
      </c>
      <c r="O726" s="20">
        <f ca="1">IFERROR(OFFSET(환산공식!DL$15,$F726,0),"")</f>
        <v>0</v>
      </c>
      <c r="P726" s="188" t="str">
        <f t="shared" ca="1" si="22"/>
        <v>3% 이하</v>
      </c>
      <c r="Q726" s="194">
        <f ca="1">IFERROR(ROUND(OFFSET(환산공식!$FG$15,$F726,0),3),"")</f>
        <v>0</v>
      </c>
      <c r="R726" s="194">
        <f ca="1">OFFSET('배치점수 계산기'!H$10,$D726,0)</f>
        <v>177.15299999999999</v>
      </c>
      <c r="S726" s="194">
        <f ca="1">OFFSET('배치점수 계산기'!I$10,$D726,0)</f>
        <v>176.453</v>
      </c>
      <c r="T726" s="194">
        <f ca="1">OFFSET('배치점수 계산기'!J$10,$D726,0)</f>
        <v>174.983</v>
      </c>
      <c r="U726" s="194">
        <f ca="1">OFFSET('배치점수 계산기'!K$10,$D726,0)</f>
        <v>173.185</v>
      </c>
      <c r="V726" s="194">
        <f ca="1">OFFSET('배치점수 계산기'!L$10,$D726,0)</f>
        <v>171.19800000000001</v>
      </c>
      <c r="W726" s="186" t="str">
        <f ca="1">OFFSET('배치점수 계산기'!M$10,$D726,0)</f>
        <v>표점</v>
      </c>
      <c r="X726" s="184" t="str">
        <f ca="1">OFFSET('배치점수 계산기'!N$10,$D726,0)</f>
        <v>표점</v>
      </c>
      <c r="Y726" s="188">
        <f ca="1">OFFSET(환산공식!FW$15,$F726,0)</f>
        <v>0.45</v>
      </c>
      <c r="Z726" s="20">
        <f ca="1">OFFSET(환산공식!FX$15,$F726,0)</f>
        <v>0.25</v>
      </c>
      <c r="AA726" s="179">
        <f ca="1">OFFSET(환산공식!FY$15,$F726,0)</f>
        <v>0.3</v>
      </c>
      <c r="AB726" s="3"/>
      <c r="AD726">
        <f t="shared" ca="1" si="23"/>
        <v>6</v>
      </c>
      <c r="AF726" s="3"/>
      <c r="AG726" s="3"/>
      <c r="AH726" s="3"/>
    </row>
    <row r="727" spans="1:34">
      <c r="A727" s="198"/>
      <c r="B727" s="198"/>
      <c r="C727" s="198" t="s">
        <v>2179</v>
      </c>
      <c r="D727" s="195">
        <v>1736</v>
      </c>
      <c r="E727" s="195">
        <v>221</v>
      </c>
      <c r="F727" s="195">
        <v>221</v>
      </c>
      <c r="G727" s="239">
        <v>720</v>
      </c>
      <c r="H727" s="197" t="s">
        <v>79</v>
      </c>
      <c r="I727" s="242" t="s">
        <v>216</v>
      </c>
      <c r="J727" s="242" t="s">
        <v>8863</v>
      </c>
      <c r="K727" s="195" t="s">
        <v>71</v>
      </c>
      <c r="L727" s="20" t="str">
        <f ca="1">IF(OFFSET(환산공식!$ED$15,$F727,0)=1,"O","X")</f>
        <v>X</v>
      </c>
      <c r="M727" s="188">
        <f ca="1">IFERROR(OFFSET(환산공식!DJ$15,$F727,0),"")</f>
        <v>0</v>
      </c>
      <c r="N727" s="20" t="str">
        <f ca="1">IFERROR(CONCATENATE(ROUND(OFFSET(환산공식!DK$15,$F727,0),1),"%"),"")</f>
        <v/>
      </c>
      <c r="O727" s="20">
        <f ca="1">IFERROR(OFFSET(환산공식!DL$15,$F727,0),"")</f>
        <v>0</v>
      </c>
      <c r="P727" s="188" t="str">
        <f t="shared" ca="1" si="22"/>
        <v>3% 이하</v>
      </c>
      <c r="Q727" s="194">
        <f ca="1">IFERROR(ROUND(OFFSET(환산공식!$FG$15,$F727,0),3),"")</f>
        <v>0</v>
      </c>
      <c r="R727" s="194">
        <f ca="1">OFFSET('배치점수 계산기'!H$10,$D727,0)</f>
        <v>177.15299999999999</v>
      </c>
      <c r="S727" s="194">
        <f ca="1">OFFSET('배치점수 계산기'!I$10,$D727,0)</f>
        <v>176.40299999999999</v>
      </c>
      <c r="T727" s="194">
        <f ca="1">OFFSET('배치점수 계산기'!J$10,$D727,0)</f>
        <v>174.93299999999999</v>
      </c>
      <c r="U727" s="194">
        <f ca="1">OFFSET('배치점수 계산기'!K$10,$D727,0)</f>
        <v>173.185</v>
      </c>
      <c r="V727" s="194">
        <f ca="1">OFFSET('배치점수 계산기'!L$10,$D727,0)</f>
        <v>171.09</v>
      </c>
      <c r="W727" s="186" t="str">
        <f ca="1">OFFSET('배치점수 계산기'!M$10,$D727,0)</f>
        <v>표점</v>
      </c>
      <c r="X727" s="184" t="str">
        <f ca="1">OFFSET('배치점수 계산기'!N$10,$D727,0)</f>
        <v>표점</v>
      </c>
      <c r="Y727" s="188">
        <f ca="1">OFFSET(환산공식!FW$15,$F727,0)</f>
        <v>0.45</v>
      </c>
      <c r="Z727" s="20">
        <f ca="1">OFFSET(환산공식!FX$15,$F727,0)</f>
        <v>0.25</v>
      </c>
      <c r="AA727" s="179">
        <f ca="1">OFFSET(환산공식!FY$15,$F727,0)</f>
        <v>0.3</v>
      </c>
      <c r="AB727" s="3"/>
      <c r="AD727">
        <f t="shared" ca="1" si="23"/>
        <v>6</v>
      </c>
      <c r="AF727" s="3"/>
      <c r="AG727" s="3"/>
      <c r="AH727" s="3"/>
    </row>
    <row r="728" spans="1:34">
      <c r="A728" s="198"/>
      <c r="B728" s="198"/>
      <c r="C728" s="198" t="s">
        <v>2180</v>
      </c>
      <c r="D728" s="195">
        <v>1737</v>
      </c>
      <c r="E728" s="195">
        <v>221</v>
      </c>
      <c r="F728" s="195">
        <v>221</v>
      </c>
      <c r="G728" s="239">
        <v>721</v>
      </c>
      <c r="H728" s="197" t="s">
        <v>79</v>
      </c>
      <c r="I728" s="242" t="s">
        <v>216</v>
      </c>
      <c r="J728" s="242" t="s">
        <v>7365</v>
      </c>
      <c r="K728" s="195" t="s">
        <v>71</v>
      </c>
      <c r="L728" s="20" t="str">
        <f ca="1">IF(OFFSET(환산공식!$ED$15,$F728,0)=1,"O","X")</f>
        <v>X</v>
      </c>
      <c r="M728" s="188">
        <f ca="1">IFERROR(OFFSET(환산공식!DJ$15,$F728,0),"")</f>
        <v>0</v>
      </c>
      <c r="N728" s="20" t="str">
        <f ca="1">IFERROR(CONCATENATE(ROUND(OFFSET(환산공식!DK$15,$F728,0),1),"%"),"")</f>
        <v/>
      </c>
      <c r="O728" s="20">
        <f ca="1">IFERROR(OFFSET(환산공식!DL$15,$F728,0),"")</f>
        <v>0</v>
      </c>
      <c r="P728" s="188" t="str">
        <f t="shared" ca="1" si="22"/>
        <v>3% 이하</v>
      </c>
      <c r="Q728" s="194">
        <f ca="1">IFERROR(ROUND(OFFSET(환산공식!$FG$15,$F728,0),3),"")</f>
        <v>0</v>
      </c>
      <c r="R728" s="194">
        <f ca="1">OFFSET('배치점수 계산기'!H$10,$D728,0)</f>
        <v>176.453</v>
      </c>
      <c r="S728" s="194">
        <f ca="1">OFFSET('배치점수 계산기'!I$10,$D728,0)</f>
        <v>175.8</v>
      </c>
      <c r="T728" s="194">
        <f ca="1">OFFSET('배치점수 계산기'!J$10,$D728,0)</f>
        <v>174.483</v>
      </c>
      <c r="U728" s="194">
        <f ca="1">OFFSET('배치점수 계산기'!K$10,$D728,0)</f>
        <v>172.94300000000001</v>
      </c>
      <c r="V728" s="194">
        <f ca="1">OFFSET('배치점수 계산기'!L$10,$D728,0)</f>
        <v>171.09</v>
      </c>
      <c r="W728" s="186" t="str">
        <f ca="1">OFFSET('배치점수 계산기'!M$10,$D728,0)</f>
        <v>표점</v>
      </c>
      <c r="X728" s="184" t="str">
        <f ca="1">OFFSET('배치점수 계산기'!N$10,$D728,0)</f>
        <v>표점</v>
      </c>
      <c r="Y728" s="188">
        <f ca="1">OFFSET(환산공식!FW$15,$F728,0)</f>
        <v>0.45</v>
      </c>
      <c r="Z728" s="20">
        <f ca="1">OFFSET(환산공식!FX$15,$F728,0)</f>
        <v>0.25</v>
      </c>
      <c r="AA728" s="179">
        <f ca="1">OFFSET(환산공식!FY$15,$F728,0)</f>
        <v>0.3</v>
      </c>
      <c r="AB728" s="3"/>
      <c r="AD728">
        <f t="shared" ca="1" si="23"/>
        <v>6</v>
      </c>
      <c r="AF728" s="3"/>
      <c r="AG728" s="3"/>
      <c r="AH728" s="3"/>
    </row>
    <row r="729" spans="1:34">
      <c r="A729" s="198"/>
      <c r="B729" s="198"/>
      <c r="C729" s="198" t="s">
        <v>2181</v>
      </c>
      <c r="D729" s="195">
        <v>1738</v>
      </c>
      <c r="E729" s="195">
        <v>221</v>
      </c>
      <c r="F729" s="195">
        <v>221</v>
      </c>
      <c r="G729" s="239">
        <v>722</v>
      </c>
      <c r="H729" s="197" t="s">
        <v>79</v>
      </c>
      <c r="I729" s="242" t="s">
        <v>216</v>
      </c>
      <c r="J729" s="242" t="s">
        <v>8883</v>
      </c>
      <c r="K729" s="195" t="s">
        <v>71</v>
      </c>
      <c r="L729" s="20" t="str">
        <f ca="1">IF(OFFSET(환산공식!$ED$15,$F729,0)=1,"O","X")</f>
        <v>X</v>
      </c>
      <c r="M729" s="188">
        <f ca="1">IFERROR(OFFSET(환산공식!DJ$15,$F729,0),"")</f>
        <v>0</v>
      </c>
      <c r="N729" s="20" t="str">
        <f ca="1">IFERROR(CONCATENATE(ROUND(OFFSET(환산공식!DK$15,$F729,0),1),"%"),"")</f>
        <v/>
      </c>
      <c r="O729" s="20">
        <f ca="1">IFERROR(OFFSET(환산공식!DL$15,$F729,0),"")</f>
        <v>0</v>
      </c>
      <c r="P729" s="188" t="str">
        <f t="shared" ca="1" si="22"/>
        <v>3% 이하</v>
      </c>
      <c r="Q729" s="194">
        <f ca="1">IFERROR(ROUND(OFFSET(환산공식!$FG$15,$F729,0),3),"")</f>
        <v>0</v>
      </c>
      <c r="R729" s="194">
        <f ca="1">OFFSET('배치점수 계산기'!H$10,$D729,0)</f>
        <v>176.54</v>
      </c>
      <c r="S729" s="194">
        <f ca="1">OFFSET('배치점수 계산기'!I$10,$D729,0)</f>
        <v>175.8</v>
      </c>
      <c r="T729" s="194">
        <f ca="1">OFFSET('배치점수 계산기'!J$10,$D729,0)</f>
        <v>174.483</v>
      </c>
      <c r="U729" s="194">
        <f ca="1">OFFSET('배치점수 계산기'!K$10,$D729,0)</f>
        <v>172.73500000000001</v>
      </c>
      <c r="V729" s="194">
        <f ca="1">OFFSET('배치점수 계산기'!L$10,$D729,0)</f>
        <v>170.613</v>
      </c>
      <c r="W729" s="186" t="str">
        <f ca="1">OFFSET('배치점수 계산기'!M$10,$D729,0)</f>
        <v>표점</v>
      </c>
      <c r="X729" s="184" t="str">
        <f ca="1">OFFSET('배치점수 계산기'!N$10,$D729,0)</f>
        <v>표점</v>
      </c>
      <c r="Y729" s="188">
        <f ca="1">OFFSET(환산공식!FW$15,$F729,0)</f>
        <v>0.45</v>
      </c>
      <c r="Z729" s="20">
        <f ca="1">OFFSET(환산공식!FX$15,$F729,0)</f>
        <v>0.25</v>
      </c>
      <c r="AA729" s="179">
        <f ca="1">OFFSET(환산공식!FY$15,$F729,0)</f>
        <v>0.3</v>
      </c>
      <c r="AB729" s="3"/>
      <c r="AD729">
        <f t="shared" ca="1" si="23"/>
        <v>6</v>
      </c>
      <c r="AF729" s="3"/>
      <c r="AG729" s="3"/>
      <c r="AH729" s="3"/>
    </row>
    <row r="730" spans="1:34">
      <c r="A730" s="198"/>
      <c r="B730" s="198"/>
      <c r="C730" s="198" t="s">
        <v>2182</v>
      </c>
      <c r="D730" s="195">
        <v>1739</v>
      </c>
      <c r="E730" s="195">
        <v>221</v>
      </c>
      <c r="F730" s="195">
        <v>221</v>
      </c>
      <c r="G730" s="239">
        <v>723</v>
      </c>
      <c r="H730" s="197" t="s">
        <v>79</v>
      </c>
      <c r="I730" s="242" t="s">
        <v>216</v>
      </c>
      <c r="J730" s="242" t="s">
        <v>8654</v>
      </c>
      <c r="K730" s="195" t="s">
        <v>71</v>
      </c>
      <c r="L730" s="20" t="str">
        <f ca="1">IF(OFFSET(환산공식!$ED$15,$F730,0)=1,"O","X")</f>
        <v>X</v>
      </c>
      <c r="M730" s="188">
        <f ca="1">IFERROR(OFFSET(환산공식!DJ$15,$F730,0),"")</f>
        <v>0</v>
      </c>
      <c r="N730" s="20" t="str">
        <f ca="1">IFERROR(CONCATENATE(ROUND(OFFSET(환산공식!DK$15,$F730,0),1),"%"),"")</f>
        <v/>
      </c>
      <c r="O730" s="20">
        <f ca="1">IFERROR(OFFSET(환산공식!DL$15,$F730,0),"")</f>
        <v>0</v>
      </c>
      <c r="P730" s="188" t="str">
        <f t="shared" ca="1" si="22"/>
        <v>3% 이하</v>
      </c>
      <c r="Q730" s="194">
        <f ca="1">IFERROR(ROUND(OFFSET(환산공식!$FG$15,$F730,0),3),"")</f>
        <v>0</v>
      </c>
      <c r="R730" s="194">
        <f ca="1">OFFSET('배치점수 계산기'!H$10,$D730,0)</f>
        <v>176.19</v>
      </c>
      <c r="S730" s="194">
        <f ca="1">OFFSET('배치점수 계산기'!I$10,$D730,0)</f>
        <v>175.36</v>
      </c>
      <c r="T730" s="194">
        <f ca="1">OFFSET('배치점수 계산기'!J$10,$D730,0)</f>
        <v>174.05500000000001</v>
      </c>
      <c r="U730" s="194">
        <f ca="1">OFFSET('배치점수 계산기'!K$10,$D730,0)</f>
        <v>172.358</v>
      </c>
      <c r="V730" s="194">
        <f ca="1">OFFSET('배치점수 계산기'!L$10,$D730,0)</f>
        <v>170.24</v>
      </c>
      <c r="W730" s="186" t="str">
        <f ca="1">OFFSET('배치점수 계산기'!M$10,$D730,0)</f>
        <v>표점</v>
      </c>
      <c r="X730" s="184" t="str">
        <f ca="1">OFFSET('배치점수 계산기'!N$10,$D730,0)</f>
        <v>표점</v>
      </c>
      <c r="Y730" s="188">
        <f ca="1">OFFSET(환산공식!FW$15,$F730,0)</f>
        <v>0.45</v>
      </c>
      <c r="Z730" s="20">
        <f ca="1">OFFSET(환산공식!FX$15,$F730,0)</f>
        <v>0.25</v>
      </c>
      <c r="AA730" s="179">
        <f ca="1">OFFSET(환산공식!FY$15,$F730,0)</f>
        <v>0.3</v>
      </c>
      <c r="AB730" s="3"/>
      <c r="AD730">
        <f t="shared" ca="1" si="23"/>
        <v>6</v>
      </c>
      <c r="AF730" s="3"/>
      <c r="AG730" s="3"/>
      <c r="AH730" s="3"/>
    </row>
    <row r="731" spans="1:34">
      <c r="A731" s="198"/>
      <c r="B731" s="198"/>
      <c r="C731" s="198" t="s">
        <v>2183</v>
      </c>
      <c r="D731" s="195">
        <v>1740</v>
      </c>
      <c r="E731" s="195">
        <v>221</v>
      </c>
      <c r="F731" s="195">
        <v>221</v>
      </c>
      <c r="G731" s="239">
        <v>724</v>
      </c>
      <c r="H731" s="197" t="s">
        <v>79</v>
      </c>
      <c r="I731" s="242" t="s">
        <v>216</v>
      </c>
      <c r="J731" s="242" t="s">
        <v>8820</v>
      </c>
      <c r="K731" s="195" t="s">
        <v>71</v>
      </c>
      <c r="L731" s="20" t="str">
        <f ca="1">IF(OFFSET(환산공식!$ED$15,$F731,0)=1,"O","X")</f>
        <v>X</v>
      </c>
      <c r="M731" s="188">
        <f ca="1">IFERROR(OFFSET(환산공식!DJ$15,$F731,0),"")</f>
        <v>0</v>
      </c>
      <c r="N731" s="20" t="str">
        <f ca="1">IFERROR(CONCATENATE(ROUND(OFFSET(환산공식!DK$15,$F731,0),1),"%"),"")</f>
        <v/>
      </c>
      <c r="O731" s="20">
        <f ca="1">IFERROR(OFFSET(환산공식!DL$15,$F731,0),"")</f>
        <v>0</v>
      </c>
      <c r="P731" s="188" t="str">
        <f t="shared" ca="1" si="22"/>
        <v>3% 이하</v>
      </c>
      <c r="Q731" s="194">
        <f ca="1">IFERROR(ROUND(OFFSET(환산공식!$FG$15,$F731,0),3),"")</f>
        <v>0</v>
      </c>
      <c r="R731" s="194">
        <f ca="1">OFFSET('배치점수 계산기'!H$10,$D731,0)</f>
        <v>175.36</v>
      </c>
      <c r="S731" s="194">
        <f ca="1">OFFSET('배치점수 계산기'!I$10,$D731,0)</f>
        <v>174.738</v>
      </c>
      <c r="T731" s="194">
        <f ca="1">OFFSET('배치점수 계산기'!J$10,$D731,0)</f>
        <v>173.303</v>
      </c>
      <c r="U731" s="194">
        <f ca="1">OFFSET('배치점수 계산기'!K$10,$D731,0)</f>
        <v>171.72300000000001</v>
      </c>
      <c r="V731" s="194">
        <f ca="1">OFFSET('배치점수 계산기'!L$10,$D731,0)</f>
        <v>169.73500000000001</v>
      </c>
      <c r="W731" s="186" t="str">
        <f ca="1">OFFSET('배치점수 계산기'!M$10,$D731,0)</f>
        <v>표점</v>
      </c>
      <c r="X731" s="184" t="str">
        <f ca="1">OFFSET('배치점수 계산기'!N$10,$D731,0)</f>
        <v>표점</v>
      </c>
      <c r="Y731" s="188">
        <f ca="1">OFFSET(환산공식!FW$15,$F731,0)</f>
        <v>0.45</v>
      </c>
      <c r="Z731" s="20">
        <f ca="1">OFFSET(환산공식!FX$15,$F731,0)</f>
        <v>0.25</v>
      </c>
      <c r="AA731" s="179">
        <f ca="1">OFFSET(환산공식!FY$15,$F731,0)</f>
        <v>0.3</v>
      </c>
      <c r="AB731" s="3"/>
      <c r="AD731">
        <f t="shared" ca="1" si="23"/>
        <v>6</v>
      </c>
      <c r="AF731" s="3"/>
      <c r="AG731" s="3"/>
      <c r="AH731" s="3"/>
    </row>
    <row r="732" spans="1:34">
      <c r="A732" s="198"/>
      <c r="B732" s="198"/>
      <c r="C732" s="198" t="s">
        <v>2184</v>
      </c>
      <c r="D732" s="195">
        <v>1741</v>
      </c>
      <c r="E732" s="195">
        <v>221</v>
      </c>
      <c r="F732" s="195">
        <v>221</v>
      </c>
      <c r="G732" s="239">
        <v>725</v>
      </c>
      <c r="H732" s="197" t="s">
        <v>79</v>
      </c>
      <c r="I732" s="242" t="s">
        <v>216</v>
      </c>
      <c r="J732" s="242" t="s">
        <v>12303</v>
      </c>
      <c r="K732" s="195" t="s">
        <v>71</v>
      </c>
      <c r="L732" s="20" t="str">
        <f ca="1">IF(OFFSET(환산공식!$ED$15,$F732,0)=1,"O","X")</f>
        <v>X</v>
      </c>
      <c r="M732" s="188">
        <f ca="1">IFERROR(OFFSET(환산공식!DJ$15,$F732,0),"")</f>
        <v>0</v>
      </c>
      <c r="N732" s="20" t="str">
        <f ca="1">IFERROR(CONCATENATE(ROUND(OFFSET(환산공식!DK$15,$F732,0),1),"%"),"")</f>
        <v/>
      </c>
      <c r="O732" s="20">
        <f ca="1">IFERROR(OFFSET(환산공식!DL$15,$F732,0),"")</f>
        <v>0</v>
      </c>
      <c r="P732" s="188" t="str">
        <f t="shared" ca="1" si="22"/>
        <v>3% 이하</v>
      </c>
      <c r="Q732" s="194">
        <f ca="1">IFERROR(ROUND(OFFSET(환산공식!$FG$15,$F732,0),3),"")</f>
        <v>0</v>
      </c>
      <c r="R732" s="194">
        <f ca="1">OFFSET('배치점수 계산기'!H$10,$D732,0)</f>
        <v>175.27199999999999</v>
      </c>
      <c r="S732" s="194">
        <f ca="1">OFFSET('배치점수 계산기'!I$10,$D732,0)</f>
        <v>174.56</v>
      </c>
      <c r="T732" s="194">
        <f ca="1">OFFSET('배치점수 계산기'!J$10,$D732,0)</f>
        <v>173.185</v>
      </c>
      <c r="U732" s="194">
        <f ca="1">OFFSET('배치점수 계산기'!K$10,$D732,0)</f>
        <v>171.55799999999999</v>
      </c>
      <c r="V732" s="194">
        <f ca="1">OFFSET('배치점수 계산기'!L$10,$D732,0)</f>
        <v>169.66800000000001</v>
      </c>
      <c r="W732" s="186" t="str">
        <f ca="1">OFFSET('배치점수 계산기'!M$10,$D732,0)</f>
        <v>표점</v>
      </c>
      <c r="X732" s="184" t="str">
        <f ca="1">OFFSET('배치점수 계산기'!N$10,$D732,0)</f>
        <v>표점</v>
      </c>
      <c r="Y732" s="188">
        <f ca="1">OFFSET(환산공식!FW$15,$F732,0)</f>
        <v>0.45</v>
      </c>
      <c r="Z732" s="20">
        <f ca="1">OFFSET(환산공식!FX$15,$F732,0)</f>
        <v>0.25</v>
      </c>
      <c r="AA732" s="179">
        <f ca="1">OFFSET(환산공식!FY$15,$F732,0)</f>
        <v>0.3</v>
      </c>
      <c r="AB732" s="3"/>
      <c r="AD732">
        <f t="shared" ca="1" si="23"/>
        <v>6</v>
      </c>
      <c r="AF732" s="3"/>
      <c r="AG732" s="3"/>
      <c r="AH732" s="3"/>
    </row>
    <row r="733" spans="1:34">
      <c r="A733" s="198"/>
      <c r="B733" s="198"/>
      <c r="C733" s="198" t="s">
        <v>2185</v>
      </c>
      <c r="D733" s="195">
        <v>1742</v>
      </c>
      <c r="E733" s="195">
        <v>221</v>
      </c>
      <c r="F733" s="195">
        <v>221</v>
      </c>
      <c r="G733" s="239">
        <v>726</v>
      </c>
      <c r="H733" s="197" t="s">
        <v>79</v>
      </c>
      <c r="I733" s="242" t="s">
        <v>216</v>
      </c>
      <c r="J733" s="242" t="s">
        <v>8804</v>
      </c>
      <c r="K733" s="195" t="s">
        <v>71</v>
      </c>
      <c r="L733" s="20" t="str">
        <f ca="1">IF(OFFSET(환산공식!$ED$15,$F733,0)=1,"O","X")</f>
        <v>X</v>
      </c>
      <c r="M733" s="188">
        <f ca="1">IFERROR(OFFSET(환산공식!DJ$15,$F733,0),"")</f>
        <v>0</v>
      </c>
      <c r="N733" s="20" t="str">
        <f ca="1">IFERROR(CONCATENATE(ROUND(OFFSET(환산공식!DK$15,$F733,0),1),"%"),"")</f>
        <v/>
      </c>
      <c r="O733" s="20">
        <f ca="1">IFERROR(OFFSET(환산공식!DL$15,$F733,0),"")</f>
        <v>0</v>
      </c>
      <c r="P733" s="188" t="str">
        <f t="shared" ca="1" si="22"/>
        <v>3% 이하</v>
      </c>
      <c r="Q733" s="194">
        <f ca="1">IFERROR(ROUND(OFFSET(환산공식!$FG$15,$F733,0),3),"")</f>
        <v>0</v>
      </c>
      <c r="R733" s="194">
        <f ca="1">OFFSET('배치점수 계산기'!H$10,$D733,0)</f>
        <v>175.20500000000001</v>
      </c>
      <c r="S733" s="194">
        <f ca="1">OFFSET('배치점수 계산기'!I$10,$D733,0)</f>
        <v>174.483</v>
      </c>
      <c r="T733" s="194">
        <f ca="1">OFFSET('배치점수 계산기'!J$10,$D733,0)</f>
        <v>173.185</v>
      </c>
      <c r="U733" s="194">
        <f ca="1">OFFSET('배치점수 계산기'!K$10,$D733,0)</f>
        <v>171.50700000000001</v>
      </c>
      <c r="V733" s="194">
        <f ca="1">OFFSET('배치점수 계산기'!L$10,$D733,0)</f>
        <v>169.518</v>
      </c>
      <c r="W733" s="186" t="str">
        <f ca="1">OFFSET('배치점수 계산기'!M$10,$D733,0)</f>
        <v>표점</v>
      </c>
      <c r="X733" s="184" t="str">
        <f ca="1">OFFSET('배치점수 계산기'!N$10,$D733,0)</f>
        <v>표점</v>
      </c>
      <c r="Y733" s="188">
        <f ca="1">OFFSET(환산공식!FW$15,$F733,0)</f>
        <v>0.45</v>
      </c>
      <c r="Z733" s="20">
        <f ca="1">OFFSET(환산공식!FX$15,$F733,0)</f>
        <v>0.25</v>
      </c>
      <c r="AA733" s="179">
        <f ca="1">OFFSET(환산공식!FY$15,$F733,0)</f>
        <v>0.3</v>
      </c>
      <c r="AB733" s="3"/>
      <c r="AD733">
        <f t="shared" ca="1" si="23"/>
        <v>6</v>
      </c>
      <c r="AF733" s="3"/>
      <c r="AG733" s="3"/>
      <c r="AH733" s="3"/>
    </row>
    <row r="734" spans="1:34">
      <c r="A734" s="198"/>
      <c r="B734" s="198"/>
      <c r="C734" s="198" t="s">
        <v>2186</v>
      </c>
      <c r="D734" s="195">
        <v>1743</v>
      </c>
      <c r="E734" s="195">
        <v>221</v>
      </c>
      <c r="F734" s="195">
        <v>221</v>
      </c>
      <c r="G734" s="239">
        <v>727</v>
      </c>
      <c r="H734" s="197" t="s">
        <v>79</v>
      </c>
      <c r="I734" s="242" t="s">
        <v>216</v>
      </c>
      <c r="J734" s="242" t="s">
        <v>11554</v>
      </c>
      <c r="K734" s="195" t="s">
        <v>71</v>
      </c>
      <c r="L734" s="20" t="str">
        <f ca="1">IF(OFFSET(환산공식!$ED$15,$F734,0)=1,"O","X")</f>
        <v>X</v>
      </c>
      <c r="M734" s="188">
        <f ca="1">IFERROR(OFFSET(환산공식!DJ$15,$F734,0),"")</f>
        <v>0</v>
      </c>
      <c r="N734" s="20" t="str">
        <f ca="1">IFERROR(CONCATENATE(ROUND(OFFSET(환산공식!DK$15,$F734,0),1),"%"),"")</f>
        <v/>
      </c>
      <c r="O734" s="20">
        <f ca="1">IFERROR(OFFSET(환산공식!DL$15,$F734,0),"")</f>
        <v>0</v>
      </c>
      <c r="P734" s="188" t="str">
        <f t="shared" ca="1" si="22"/>
        <v>3% 이하</v>
      </c>
      <c r="Q734" s="194">
        <f ca="1">IFERROR(ROUND(OFFSET(환산공식!$FG$15,$F734,0),3),"")</f>
        <v>0</v>
      </c>
      <c r="R734" s="194">
        <f ca="1">OFFSET('배치점수 계산기'!H$10,$D734,0)</f>
        <v>174.37799999999999</v>
      </c>
      <c r="S734" s="194">
        <f ca="1">OFFSET('배치점수 계산기'!I$10,$D734,0)</f>
        <v>173.67</v>
      </c>
      <c r="T734" s="194">
        <f ca="1">OFFSET('배치점수 계산기'!J$10,$D734,0)</f>
        <v>172.41300000000001</v>
      </c>
      <c r="U734" s="194">
        <f ca="1">OFFSET('배치점수 계산기'!K$10,$D734,0)</f>
        <v>170.768</v>
      </c>
      <c r="V734" s="194">
        <f ca="1">OFFSET('배치점수 계산기'!L$10,$D734,0)</f>
        <v>168.87799999999999</v>
      </c>
      <c r="W734" s="186" t="str">
        <f ca="1">OFFSET('배치점수 계산기'!M$10,$D734,0)</f>
        <v>표점</v>
      </c>
      <c r="X734" s="184" t="str">
        <f ca="1">OFFSET('배치점수 계산기'!N$10,$D734,0)</f>
        <v>표점</v>
      </c>
      <c r="Y734" s="188">
        <f ca="1">OFFSET(환산공식!FW$15,$F734,0)</f>
        <v>0.45</v>
      </c>
      <c r="Z734" s="20">
        <f ca="1">OFFSET(환산공식!FX$15,$F734,0)</f>
        <v>0.25</v>
      </c>
      <c r="AA734" s="179">
        <f ca="1">OFFSET(환산공식!FY$15,$F734,0)</f>
        <v>0.3</v>
      </c>
      <c r="AB734" s="3"/>
      <c r="AD734">
        <f t="shared" ca="1" si="23"/>
        <v>6</v>
      </c>
      <c r="AF734" s="3"/>
      <c r="AG734" s="3"/>
      <c r="AH734" s="3"/>
    </row>
    <row r="735" spans="1:34">
      <c r="A735" s="198"/>
      <c r="B735" s="198"/>
      <c r="C735" s="198" t="s">
        <v>2187</v>
      </c>
      <c r="D735" s="195">
        <v>1744</v>
      </c>
      <c r="E735" s="195">
        <v>221</v>
      </c>
      <c r="F735" s="195">
        <v>221</v>
      </c>
      <c r="G735" s="239">
        <v>728</v>
      </c>
      <c r="H735" s="197" t="s">
        <v>79</v>
      </c>
      <c r="I735" s="242" t="s">
        <v>216</v>
      </c>
      <c r="J735" s="242" t="s">
        <v>8753</v>
      </c>
      <c r="K735" s="195" t="s">
        <v>71</v>
      </c>
      <c r="L735" s="20" t="str">
        <f ca="1">IF(OFFSET(환산공식!$ED$15,$F735,0)=1,"O","X")</f>
        <v>X</v>
      </c>
      <c r="M735" s="188">
        <f ca="1">IFERROR(OFFSET(환산공식!DJ$15,$F735,0),"")</f>
        <v>0</v>
      </c>
      <c r="N735" s="20" t="str">
        <f ca="1">IFERROR(CONCATENATE(ROUND(OFFSET(환산공식!DK$15,$F735,0),1),"%"),"")</f>
        <v/>
      </c>
      <c r="O735" s="20">
        <f ca="1">IFERROR(OFFSET(환산공식!DL$15,$F735,0),"")</f>
        <v>0</v>
      </c>
      <c r="P735" s="188" t="str">
        <f t="shared" ca="1" si="22"/>
        <v>3% 이하</v>
      </c>
      <c r="Q735" s="194">
        <f ca="1">IFERROR(ROUND(OFFSET(환산공식!$FG$15,$F735,0),3),"")</f>
        <v>0</v>
      </c>
      <c r="R735" s="194">
        <f ca="1">OFFSET('배치점수 계산기'!H$10,$D735,0)</f>
        <v>173.88</v>
      </c>
      <c r="S735" s="194">
        <f ca="1">OFFSET('배치점수 계산기'!I$10,$D735,0)</f>
        <v>173.185</v>
      </c>
      <c r="T735" s="194">
        <f ca="1">OFFSET('배치점수 계산기'!J$10,$D735,0)</f>
        <v>171.96799999999999</v>
      </c>
      <c r="U735" s="194">
        <f ca="1">OFFSET('배치점수 계산기'!K$10,$D735,0)</f>
        <v>170.34</v>
      </c>
      <c r="V735" s="194">
        <f ca="1">OFFSET('배치점수 계산기'!L$10,$D735,0)</f>
        <v>168.43799999999999</v>
      </c>
      <c r="W735" s="186" t="str">
        <f ca="1">OFFSET('배치점수 계산기'!M$10,$D735,0)</f>
        <v>표점</v>
      </c>
      <c r="X735" s="184" t="str">
        <f ca="1">OFFSET('배치점수 계산기'!N$10,$D735,0)</f>
        <v>표점</v>
      </c>
      <c r="Y735" s="188">
        <f ca="1">OFFSET(환산공식!FW$15,$F735,0)</f>
        <v>0.45</v>
      </c>
      <c r="Z735" s="20">
        <f ca="1">OFFSET(환산공식!FX$15,$F735,0)</f>
        <v>0.25</v>
      </c>
      <c r="AA735" s="179">
        <f ca="1">OFFSET(환산공식!FY$15,$F735,0)</f>
        <v>0.3</v>
      </c>
      <c r="AB735" s="3"/>
      <c r="AD735">
        <f t="shared" ca="1" si="23"/>
        <v>6</v>
      </c>
      <c r="AF735" s="3"/>
      <c r="AG735" s="3"/>
      <c r="AH735" s="3"/>
    </row>
    <row r="736" spans="1:34">
      <c r="A736" s="198"/>
      <c r="B736" s="198"/>
      <c r="C736" s="198" t="s">
        <v>2188</v>
      </c>
      <c r="D736" s="195">
        <v>1745</v>
      </c>
      <c r="E736" s="195">
        <v>221</v>
      </c>
      <c r="F736" s="195">
        <v>221</v>
      </c>
      <c r="G736" s="239">
        <v>729</v>
      </c>
      <c r="H736" s="197" t="s">
        <v>79</v>
      </c>
      <c r="I736" s="242" t="s">
        <v>216</v>
      </c>
      <c r="J736" s="242" t="s">
        <v>9511</v>
      </c>
      <c r="K736" s="195" t="s">
        <v>71</v>
      </c>
      <c r="L736" s="20" t="str">
        <f ca="1">IF(OFFSET(환산공식!$ED$15,$F736,0)=1,"O","X")</f>
        <v>X</v>
      </c>
      <c r="M736" s="188">
        <f ca="1">IFERROR(OFFSET(환산공식!DJ$15,$F736,0),"")</f>
        <v>0</v>
      </c>
      <c r="N736" s="20" t="str">
        <f ca="1">IFERROR(CONCATENATE(ROUND(OFFSET(환산공식!DK$15,$F736,0),1),"%"),"")</f>
        <v/>
      </c>
      <c r="O736" s="20">
        <f ca="1">IFERROR(OFFSET(환산공식!DL$15,$F736,0),"")</f>
        <v>0</v>
      </c>
      <c r="P736" s="188" t="str">
        <f t="shared" ca="1" si="22"/>
        <v>3% 이하</v>
      </c>
      <c r="Q736" s="194">
        <f ca="1">IFERROR(ROUND(OFFSET(환산공식!$FG$15,$F736,0),3),"")</f>
        <v>0</v>
      </c>
      <c r="R736" s="194">
        <f ca="1">OFFSET('배치점수 계산기'!H$10,$D736,0)</f>
        <v>173.72</v>
      </c>
      <c r="S736" s="194">
        <f ca="1">OFFSET('배치점수 계산기'!I$10,$D736,0)</f>
        <v>173.148</v>
      </c>
      <c r="T736" s="194">
        <f ca="1">OFFSET('배치점수 계산기'!J$10,$D736,0)</f>
        <v>171.86699999999999</v>
      </c>
      <c r="U736" s="194">
        <f ca="1">OFFSET('배치점수 계산기'!K$10,$D736,0)</f>
        <v>170.24</v>
      </c>
      <c r="V736" s="194">
        <f ca="1">OFFSET('배치점수 계산기'!L$10,$D736,0)</f>
        <v>168.34</v>
      </c>
      <c r="W736" s="186" t="str">
        <f ca="1">OFFSET('배치점수 계산기'!M$10,$D736,0)</f>
        <v>표점</v>
      </c>
      <c r="X736" s="184" t="str">
        <f ca="1">OFFSET('배치점수 계산기'!N$10,$D736,0)</f>
        <v>표점</v>
      </c>
      <c r="Y736" s="188">
        <f ca="1">OFFSET(환산공식!FW$15,$F736,0)</f>
        <v>0.45</v>
      </c>
      <c r="Z736" s="20">
        <f ca="1">OFFSET(환산공식!FX$15,$F736,0)</f>
        <v>0.25</v>
      </c>
      <c r="AA736" s="179">
        <f ca="1">OFFSET(환산공식!FY$15,$F736,0)</f>
        <v>0.3</v>
      </c>
      <c r="AB736" s="3"/>
      <c r="AD736">
        <f t="shared" ca="1" si="23"/>
        <v>6</v>
      </c>
      <c r="AF736" s="3"/>
      <c r="AG736" s="3"/>
      <c r="AH736" s="3"/>
    </row>
    <row r="737" spans="1:34">
      <c r="A737" s="198"/>
      <c r="B737" s="198"/>
      <c r="C737" s="198" t="s">
        <v>2189</v>
      </c>
      <c r="D737" s="195">
        <v>1746</v>
      </c>
      <c r="E737" s="195">
        <v>221</v>
      </c>
      <c r="F737" s="195">
        <v>221</v>
      </c>
      <c r="G737" s="239">
        <v>730</v>
      </c>
      <c r="H737" s="197" t="s">
        <v>79</v>
      </c>
      <c r="I737" s="242" t="s">
        <v>216</v>
      </c>
      <c r="J737" s="242" t="s">
        <v>562</v>
      </c>
      <c r="K737" s="195" t="s">
        <v>71</v>
      </c>
      <c r="L737" s="20" t="str">
        <f ca="1">IF(OFFSET(환산공식!$ED$15,$F737,0)=1,"O","X")</f>
        <v>X</v>
      </c>
      <c r="M737" s="188">
        <f ca="1">IFERROR(OFFSET(환산공식!DJ$15,$F737,0),"")</f>
        <v>0</v>
      </c>
      <c r="N737" s="20" t="str">
        <f ca="1">IFERROR(CONCATENATE(ROUND(OFFSET(환산공식!DK$15,$F737,0),1),"%"),"")</f>
        <v/>
      </c>
      <c r="O737" s="20">
        <f ca="1">IFERROR(OFFSET(환산공식!DL$15,$F737,0),"")</f>
        <v>0</v>
      </c>
      <c r="P737" s="188" t="str">
        <f t="shared" ca="1" si="22"/>
        <v>3% 이하</v>
      </c>
      <c r="Q737" s="194">
        <f ca="1">IFERROR(ROUND(OFFSET(환산공식!$FG$15,$F737,0),3),"")</f>
        <v>0</v>
      </c>
      <c r="R737" s="194">
        <f ca="1">OFFSET('배치점수 계산기'!H$10,$D737,0)</f>
        <v>173.55799999999999</v>
      </c>
      <c r="S737" s="194">
        <f ca="1">OFFSET('배치점수 계산기'!I$10,$D737,0)</f>
        <v>172.94300000000001</v>
      </c>
      <c r="T737" s="194">
        <f ca="1">OFFSET('배치점수 계산기'!J$10,$D737,0)</f>
        <v>171.64500000000001</v>
      </c>
      <c r="U737" s="194">
        <f ca="1">OFFSET('배치점수 계산기'!K$10,$D737,0)</f>
        <v>170.02799999999999</v>
      </c>
      <c r="V737" s="194">
        <f ca="1">OFFSET('배치점수 계산기'!L$10,$D737,0)</f>
        <v>168.16499999999999</v>
      </c>
      <c r="W737" s="186" t="str">
        <f ca="1">OFFSET('배치점수 계산기'!M$10,$D737,0)</f>
        <v>표점</v>
      </c>
      <c r="X737" s="184" t="str">
        <f ca="1">OFFSET('배치점수 계산기'!N$10,$D737,0)</f>
        <v>표점</v>
      </c>
      <c r="Y737" s="188">
        <f ca="1">OFFSET(환산공식!FW$15,$F737,0)</f>
        <v>0.45</v>
      </c>
      <c r="Z737" s="20">
        <f ca="1">OFFSET(환산공식!FX$15,$F737,0)</f>
        <v>0.25</v>
      </c>
      <c r="AA737" s="179">
        <f ca="1">OFFSET(환산공식!FY$15,$F737,0)</f>
        <v>0.3</v>
      </c>
      <c r="AB737" s="3"/>
      <c r="AD737">
        <f t="shared" ca="1" si="23"/>
        <v>6</v>
      </c>
      <c r="AF737" s="3"/>
      <c r="AG737" s="3"/>
      <c r="AH737" s="3"/>
    </row>
    <row r="738" spans="1:34">
      <c r="A738" s="198"/>
      <c r="B738" s="198"/>
      <c r="C738" s="198" t="s">
        <v>2190</v>
      </c>
      <c r="D738" s="195">
        <v>1747</v>
      </c>
      <c r="E738" s="195">
        <v>221</v>
      </c>
      <c r="F738" s="195">
        <v>221</v>
      </c>
      <c r="G738" s="239">
        <v>731</v>
      </c>
      <c r="H738" s="197" t="s">
        <v>79</v>
      </c>
      <c r="I738" s="242" t="s">
        <v>216</v>
      </c>
      <c r="J738" s="242" t="s">
        <v>560</v>
      </c>
      <c r="K738" s="195" t="s">
        <v>71</v>
      </c>
      <c r="L738" s="20" t="str">
        <f ca="1">IF(OFFSET(환산공식!$ED$15,$F738,0)=1,"O","X")</f>
        <v>X</v>
      </c>
      <c r="M738" s="188">
        <f ca="1">IFERROR(OFFSET(환산공식!DJ$15,$F738,0),"")</f>
        <v>0</v>
      </c>
      <c r="N738" s="20" t="str">
        <f ca="1">IFERROR(CONCATENATE(ROUND(OFFSET(환산공식!DK$15,$F738,0),1),"%"),"")</f>
        <v/>
      </c>
      <c r="O738" s="20">
        <f ca="1">IFERROR(OFFSET(환산공식!DL$15,$F738,0),"")</f>
        <v>0</v>
      </c>
      <c r="P738" s="188" t="str">
        <f t="shared" ca="1" si="22"/>
        <v>3% 이하</v>
      </c>
      <c r="Q738" s="194">
        <f ca="1">IFERROR(ROUND(OFFSET(환산공식!$FG$15,$F738,0),3),"")</f>
        <v>0</v>
      </c>
      <c r="R738" s="194">
        <f ca="1">OFFSET('배치점수 계산기'!H$10,$D738,0)</f>
        <v>173.185</v>
      </c>
      <c r="S738" s="194">
        <f ca="1">OFFSET('배치점수 계산기'!I$10,$D738,0)</f>
        <v>172.613</v>
      </c>
      <c r="T738" s="194">
        <f ca="1">OFFSET('배치점수 계산기'!J$10,$D738,0)</f>
        <v>171.41300000000001</v>
      </c>
      <c r="U738" s="194">
        <f ca="1">OFFSET('배치점수 계산기'!K$10,$D738,0)</f>
        <v>169.785</v>
      </c>
      <c r="V738" s="194">
        <f ca="1">OFFSET('배치점수 계산기'!L$10,$D738,0)</f>
        <v>167.845</v>
      </c>
      <c r="W738" s="186" t="str">
        <f ca="1">OFFSET('배치점수 계산기'!M$10,$D738,0)</f>
        <v>표점</v>
      </c>
      <c r="X738" s="184" t="str">
        <f ca="1">OFFSET('배치점수 계산기'!N$10,$D738,0)</f>
        <v>표점</v>
      </c>
      <c r="Y738" s="188">
        <f ca="1">OFFSET(환산공식!FW$15,$F738,0)</f>
        <v>0.45</v>
      </c>
      <c r="Z738" s="20">
        <f ca="1">OFFSET(환산공식!FX$15,$F738,0)</f>
        <v>0.25</v>
      </c>
      <c r="AA738" s="179">
        <f ca="1">OFFSET(환산공식!FY$15,$F738,0)</f>
        <v>0.3</v>
      </c>
      <c r="AB738" s="3"/>
      <c r="AD738">
        <f t="shared" ca="1" si="23"/>
        <v>6</v>
      </c>
      <c r="AF738" s="3"/>
      <c r="AG738" s="3"/>
      <c r="AH738" s="3"/>
    </row>
    <row r="739" spans="1:34">
      <c r="A739" s="198"/>
      <c r="B739" s="198"/>
      <c r="C739" s="198" t="s">
        <v>2191</v>
      </c>
      <c r="D739" s="195">
        <v>1748</v>
      </c>
      <c r="E739" s="195">
        <v>221</v>
      </c>
      <c r="F739" s="195">
        <v>221</v>
      </c>
      <c r="G739" s="239">
        <v>732</v>
      </c>
      <c r="H739" s="197" t="s">
        <v>79</v>
      </c>
      <c r="I739" s="242" t="s">
        <v>216</v>
      </c>
      <c r="J739" s="242" t="s">
        <v>561</v>
      </c>
      <c r="K739" s="195" t="s">
        <v>71</v>
      </c>
      <c r="L739" s="20" t="str">
        <f ca="1">IF(OFFSET(환산공식!$ED$15,$F739,0)=1,"O","X")</f>
        <v>X</v>
      </c>
      <c r="M739" s="188">
        <f ca="1">IFERROR(OFFSET(환산공식!DJ$15,$F739,0),"")</f>
        <v>0</v>
      </c>
      <c r="N739" s="20" t="str">
        <f ca="1">IFERROR(CONCATENATE(ROUND(OFFSET(환산공식!DK$15,$F739,0),1),"%"),"")</f>
        <v/>
      </c>
      <c r="O739" s="20">
        <f ca="1">IFERROR(OFFSET(환산공식!DL$15,$F739,0),"")</f>
        <v>0</v>
      </c>
      <c r="P739" s="188" t="str">
        <f t="shared" ca="1" si="22"/>
        <v>3% 이하</v>
      </c>
      <c r="Q739" s="194">
        <f ca="1">IFERROR(ROUND(OFFSET(환산공식!$FG$15,$F739,0),3),"")</f>
        <v>0</v>
      </c>
      <c r="R739" s="194">
        <f ca="1">OFFSET('배치점수 계산기'!H$10,$D739,0)</f>
        <v>169.30799999999999</v>
      </c>
      <c r="S739" s="194">
        <f ca="1">OFFSET('배치점수 계산기'!I$10,$D739,0)</f>
        <v>168.65</v>
      </c>
      <c r="T739" s="194">
        <f ca="1">OFFSET('배치점수 계산기'!J$10,$D739,0)</f>
        <v>167.583</v>
      </c>
      <c r="U739" s="194">
        <f ca="1">OFFSET('배치점수 계산기'!K$10,$D739,0)</f>
        <v>166.023</v>
      </c>
      <c r="V739" s="194">
        <f ca="1">OFFSET('배치점수 계산기'!L$10,$D739,0)</f>
        <v>164.215</v>
      </c>
      <c r="W739" s="186" t="str">
        <f ca="1">OFFSET('배치점수 계산기'!M$10,$D739,0)</f>
        <v>표점</v>
      </c>
      <c r="X739" s="184" t="str">
        <f ca="1">OFFSET('배치점수 계산기'!N$10,$D739,0)</f>
        <v>표점</v>
      </c>
      <c r="Y739" s="188">
        <f ca="1">OFFSET(환산공식!FW$15,$F739,0)</f>
        <v>0.45</v>
      </c>
      <c r="Z739" s="20">
        <f ca="1">OFFSET(환산공식!FX$15,$F739,0)</f>
        <v>0.25</v>
      </c>
      <c r="AA739" s="179">
        <f ca="1">OFFSET(환산공식!FY$15,$F739,0)</f>
        <v>0.3</v>
      </c>
      <c r="AB739" s="3"/>
      <c r="AD739">
        <f t="shared" ca="1" si="23"/>
        <v>6</v>
      </c>
      <c r="AF739" s="3"/>
      <c r="AG739" s="3"/>
      <c r="AH739" s="3"/>
    </row>
    <row r="740" spans="1:34">
      <c r="A740" s="198"/>
      <c r="B740" s="198"/>
      <c r="C740" s="198" t="s">
        <v>2192</v>
      </c>
      <c r="D740" s="195">
        <v>1749</v>
      </c>
      <c r="E740" s="195">
        <v>228</v>
      </c>
      <c r="F740" s="195">
        <v>228</v>
      </c>
      <c r="G740" s="239">
        <v>733</v>
      </c>
      <c r="H740" s="197" t="s">
        <v>79</v>
      </c>
      <c r="I740" s="242" t="s">
        <v>214</v>
      </c>
      <c r="J740" s="242" t="s">
        <v>8633</v>
      </c>
      <c r="K740" s="195" t="s">
        <v>70</v>
      </c>
      <c r="L740" s="20" t="str">
        <f ca="1">IF(OFFSET(환산공식!$ED$15,$F740,0)=1,"O","X")</f>
        <v>X</v>
      </c>
      <c r="M740" s="188">
        <f ca="1">IFERROR(OFFSET(환산공식!DJ$15,$F740,0),"")</f>
        <v>40</v>
      </c>
      <c r="N740" s="20" t="str">
        <f ca="1">IFERROR(CONCATENATE(ROUND(OFFSET(환산공식!DK$15,$F740,0),1),"%"),"")</f>
        <v>100%</v>
      </c>
      <c r="O740" s="20">
        <f ca="1">IFERROR(OFFSET(환산공식!DL$15,$F740,0),"")</f>
        <v>0</v>
      </c>
      <c r="P740" s="188" t="str">
        <f t="shared" ca="1" si="22"/>
        <v>3% 이하</v>
      </c>
      <c r="Q740" s="194">
        <f ca="1">IFERROR(ROUND(OFFSET(환산공식!$FG$15,$F740,0),3),"")</f>
        <v>800</v>
      </c>
      <c r="R740" s="194">
        <f ca="1">OFFSET('배치점수 계산기'!H$10,$D740,0)</f>
        <v>973.46600000000001</v>
      </c>
      <c r="S740" s="194">
        <f ca="1">OFFSET('배치점수 계산기'!I$10,$D740,0)</f>
        <v>972.94899999999996</v>
      </c>
      <c r="T740" s="194">
        <f ca="1">OFFSET('배치점수 계산기'!J$10,$D740,0)</f>
        <v>971.93700000000001</v>
      </c>
      <c r="U740" s="194">
        <f ca="1">OFFSET('배치점수 계산기'!K$10,$D740,0)</f>
        <v>970.60900000000004</v>
      </c>
      <c r="V740" s="194">
        <f ca="1">OFFSET('배치점수 계산기'!L$10,$D740,0)</f>
        <v>968.91099999999994</v>
      </c>
      <c r="W740" s="186" t="str">
        <f ca="1">OFFSET('배치점수 계산기'!M$10,$D740,0)</f>
        <v>표점/만점</v>
      </c>
      <c r="X740" s="184" t="str">
        <f ca="1">OFFSET('배치점수 계산기'!N$10,$D740,0)</f>
        <v>표점/만점</v>
      </c>
      <c r="Y740" s="188">
        <f ca="1">OFFSET(환산공식!FW$15,$F740,0)</f>
        <v>0.25</v>
      </c>
      <c r="Z740" s="20">
        <f ca="1">OFFSET(환산공식!FX$15,$F740,0)</f>
        <v>0.37</v>
      </c>
      <c r="AA740" s="179">
        <f ca="1">OFFSET(환산공식!FY$15,$F740,0)</f>
        <v>0.37</v>
      </c>
      <c r="AB740" s="3"/>
      <c r="AD740">
        <f t="shared" ca="1" si="23"/>
        <v>6</v>
      </c>
      <c r="AF740" s="3"/>
      <c r="AG740" s="3"/>
      <c r="AH740" s="3"/>
    </row>
    <row r="741" spans="1:34">
      <c r="A741" s="198"/>
      <c r="B741" s="198"/>
      <c r="C741" s="198" t="s">
        <v>2193</v>
      </c>
      <c r="D741" s="195">
        <v>1750</v>
      </c>
      <c r="E741" s="195">
        <v>230</v>
      </c>
      <c r="F741" s="195">
        <v>230</v>
      </c>
      <c r="G741" s="239">
        <v>734</v>
      </c>
      <c r="H741" s="197" t="s">
        <v>79</v>
      </c>
      <c r="I741" s="242" t="s">
        <v>214</v>
      </c>
      <c r="J741" s="242" t="s">
        <v>8418</v>
      </c>
      <c r="K741" s="195" t="s">
        <v>70</v>
      </c>
      <c r="L741" s="20" t="str">
        <f ca="1">IF(OFFSET(환산공식!$ED$15,$F741,0)=1,"O","X")</f>
        <v>X</v>
      </c>
      <c r="M741" s="188">
        <f ca="1">IFERROR(OFFSET(환산공식!DJ$15,$F741,0),"")</f>
        <v>40</v>
      </c>
      <c r="N741" s="20" t="str">
        <f ca="1">IFERROR(CONCATENATE(ROUND(OFFSET(환산공식!DK$15,$F741,0),1),"%"),"")</f>
        <v>100%</v>
      </c>
      <c r="O741" s="20">
        <f ca="1">IFERROR(OFFSET(환산공식!DL$15,$F741,0),"")</f>
        <v>0</v>
      </c>
      <c r="P741" s="188" t="str">
        <f t="shared" ca="1" si="22"/>
        <v>3% 이하</v>
      </c>
      <c r="Q741" s="194">
        <f ca="1">IFERROR(ROUND(OFFSET(환산공식!$FG$15,$F741,0),3),"")</f>
        <v>800</v>
      </c>
      <c r="R741" s="194">
        <f ca="1">OFFSET('배치점수 계산기'!H$10,$D741,0)</f>
        <v>970.423</v>
      </c>
      <c r="S741" s="194">
        <f ca="1">OFFSET('배치점수 계산기'!I$10,$D741,0)</f>
        <v>969.93299999999999</v>
      </c>
      <c r="T741" s="194">
        <f ca="1">OFFSET('배치점수 계산기'!J$10,$D741,0)</f>
        <v>968.91099999999994</v>
      </c>
      <c r="U741" s="194">
        <f ca="1">OFFSET('배치점수 계산기'!K$10,$D741,0)</f>
        <v>967.625</v>
      </c>
      <c r="V741" s="194">
        <f ca="1">OFFSET('배치점수 계산기'!L$10,$D741,0)</f>
        <v>966.36</v>
      </c>
      <c r="W741" s="186" t="str">
        <f ca="1">OFFSET('배치점수 계산기'!M$10,$D741,0)</f>
        <v>표점/만점</v>
      </c>
      <c r="X741" s="184" t="str">
        <f ca="1">OFFSET('배치점수 계산기'!N$10,$D741,0)</f>
        <v>표점/만점</v>
      </c>
      <c r="Y741" s="188">
        <f ca="1">OFFSET(환산공식!FW$15,$F741,0)</f>
        <v>0.25</v>
      </c>
      <c r="Z741" s="20">
        <f ca="1">OFFSET(환산공식!FX$15,$F741,0)</f>
        <v>0.37</v>
      </c>
      <c r="AA741" s="179">
        <f ca="1">OFFSET(환산공식!FY$15,$F741,0)</f>
        <v>0.37</v>
      </c>
      <c r="AB741" s="3"/>
      <c r="AD741">
        <f t="shared" ca="1" si="23"/>
        <v>6</v>
      </c>
      <c r="AF741" s="3"/>
      <c r="AG741" s="3"/>
      <c r="AH741" s="3"/>
    </row>
    <row r="742" spans="1:34">
      <c r="A742" s="198"/>
      <c r="B742" s="198"/>
      <c r="C742" s="198" t="s">
        <v>2194</v>
      </c>
      <c r="D742" s="195">
        <v>1751</v>
      </c>
      <c r="E742" s="195">
        <v>228</v>
      </c>
      <c r="F742" s="195">
        <v>228</v>
      </c>
      <c r="G742" s="239">
        <v>735</v>
      </c>
      <c r="H742" s="197" t="s">
        <v>79</v>
      </c>
      <c r="I742" s="242" t="s">
        <v>214</v>
      </c>
      <c r="J742" s="242" t="s">
        <v>12125</v>
      </c>
      <c r="K742" s="195" t="s">
        <v>70</v>
      </c>
      <c r="L742" s="20" t="str">
        <f ca="1">IF(OFFSET(환산공식!$ED$15,$F742,0)=1,"O","X")</f>
        <v>X</v>
      </c>
      <c r="M742" s="188">
        <f ca="1">IFERROR(OFFSET(환산공식!DJ$15,$F742,0),"")</f>
        <v>40</v>
      </c>
      <c r="N742" s="20" t="str">
        <f ca="1">IFERROR(CONCATENATE(ROUND(OFFSET(환산공식!DK$15,$F742,0),1),"%"),"")</f>
        <v>100%</v>
      </c>
      <c r="O742" s="20">
        <f ca="1">IFERROR(OFFSET(환산공식!DL$15,$F742,0),"")</f>
        <v>0</v>
      </c>
      <c r="P742" s="188" t="str">
        <f t="shared" ca="1" si="22"/>
        <v>3% 이하</v>
      </c>
      <c r="Q742" s="194">
        <f ca="1">IFERROR(ROUND(OFFSET(환산공식!$FG$15,$F742,0),3),"")</f>
        <v>800</v>
      </c>
      <c r="R742" s="194">
        <f ca="1">OFFSET('배치점수 계산기'!H$10,$D742,0)</f>
        <v>968.76599999999996</v>
      </c>
      <c r="S742" s="194">
        <f ca="1">OFFSET('배치점수 계산기'!I$10,$D742,0)</f>
        <v>968.22500000000002</v>
      </c>
      <c r="T742" s="194">
        <f ca="1">OFFSET('배치점수 계산기'!J$10,$D742,0)</f>
        <v>967.33199999999999</v>
      </c>
      <c r="U742" s="194">
        <f ca="1">OFFSET('배치점수 계산기'!K$10,$D742,0)</f>
        <v>966.39800000000002</v>
      </c>
      <c r="V742" s="194">
        <f ca="1">OFFSET('배치점수 계산기'!L$10,$D742,0)</f>
        <v>965.19899999999996</v>
      </c>
      <c r="W742" s="186" t="str">
        <f ca="1">OFFSET('배치점수 계산기'!M$10,$D742,0)</f>
        <v>표점/만점</v>
      </c>
      <c r="X742" s="184" t="str">
        <f ca="1">OFFSET('배치점수 계산기'!N$10,$D742,0)</f>
        <v>표점/만점</v>
      </c>
      <c r="Y742" s="188">
        <f ca="1">OFFSET(환산공식!FW$15,$F742,0)</f>
        <v>0.25</v>
      </c>
      <c r="Z742" s="20">
        <f ca="1">OFFSET(환산공식!FX$15,$F742,0)</f>
        <v>0.37</v>
      </c>
      <c r="AA742" s="179">
        <f ca="1">OFFSET(환산공식!FY$15,$F742,0)</f>
        <v>0.37</v>
      </c>
      <c r="AB742" s="3"/>
      <c r="AD742">
        <f t="shared" ca="1" si="23"/>
        <v>6</v>
      </c>
      <c r="AF742" s="3"/>
      <c r="AG742" s="3"/>
      <c r="AH742" s="3"/>
    </row>
    <row r="743" spans="1:34">
      <c r="A743" s="198"/>
      <c r="B743" s="198"/>
      <c r="C743" s="198" t="s">
        <v>2195</v>
      </c>
      <c r="D743" s="195">
        <v>1752</v>
      </c>
      <c r="E743" s="195">
        <v>230</v>
      </c>
      <c r="F743" s="195">
        <v>230</v>
      </c>
      <c r="G743" s="239">
        <v>736</v>
      </c>
      <c r="H743" s="197" t="s">
        <v>79</v>
      </c>
      <c r="I743" s="242" t="s">
        <v>214</v>
      </c>
      <c r="J743" s="242" t="s">
        <v>9074</v>
      </c>
      <c r="K743" s="195" t="s">
        <v>70</v>
      </c>
      <c r="L743" s="20" t="str">
        <f ca="1">IF(OFFSET(환산공식!$ED$15,$F743,0)=1,"O","X")</f>
        <v>X</v>
      </c>
      <c r="M743" s="188">
        <f ca="1">IFERROR(OFFSET(환산공식!DJ$15,$F743,0),"")</f>
        <v>40</v>
      </c>
      <c r="N743" s="20" t="str">
        <f ca="1">IFERROR(CONCATENATE(ROUND(OFFSET(환산공식!DK$15,$F743,0),1),"%"),"")</f>
        <v>100%</v>
      </c>
      <c r="O743" s="20">
        <f ca="1">IFERROR(OFFSET(환산공식!DL$15,$F743,0),"")</f>
        <v>0</v>
      </c>
      <c r="P743" s="188" t="str">
        <f t="shared" ca="1" si="22"/>
        <v>3% 이하</v>
      </c>
      <c r="Q743" s="194">
        <f ca="1">IFERROR(ROUND(OFFSET(환산공식!$FG$15,$F743,0),3),"")</f>
        <v>800</v>
      </c>
      <c r="R743" s="194">
        <f ca="1">OFFSET('배치점수 계산기'!H$10,$D743,0)</f>
        <v>968.26800000000003</v>
      </c>
      <c r="S743" s="194">
        <f ca="1">OFFSET('배치점수 계산기'!I$10,$D743,0)</f>
        <v>967.82</v>
      </c>
      <c r="T743" s="194">
        <f ca="1">OFFSET('배치점수 계산기'!J$10,$D743,0)</f>
        <v>966.88499999999999</v>
      </c>
      <c r="U743" s="194">
        <f ca="1">OFFSET('배치점수 계산기'!K$10,$D743,0)</f>
        <v>965.69299999999998</v>
      </c>
      <c r="V743" s="194">
        <f ca="1">OFFSET('배치점수 계산기'!L$10,$D743,0)</f>
        <v>964.34799999999996</v>
      </c>
      <c r="W743" s="186" t="str">
        <f ca="1">OFFSET('배치점수 계산기'!M$10,$D743,0)</f>
        <v>표점/만점</v>
      </c>
      <c r="X743" s="184" t="str">
        <f ca="1">OFFSET('배치점수 계산기'!N$10,$D743,0)</f>
        <v>표점/만점</v>
      </c>
      <c r="Y743" s="188">
        <f ca="1">OFFSET(환산공식!FW$15,$F743,0)</f>
        <v>0.25</v>
      </c>
      <c r="Z743" s="20">
        <f ca="1">OFFSET(환산공식!FX$15,$F743,0)</f>
        <v>0.37</v>
      </c>
      <c r="AA743" s="179">
        <f ca="1">OFFSET(환산공식!FY$15,$F743,0)</f>
        <v>0.37</v>
      </c>
      <c r="AB743" s="3"/>
      <c r="AD743">
        <f t="shared" ca="1" si="23"/>
        <v>6</v>
      </c>
      <c r="AF743" s="3"/>
      <c r="AG743" s="3"/>
      <c r="AH743" s="3"/>
    </row>
    <row r="744" spans="1:34">
      <c r="A744" s="198"/>
      <c r="B744" s="198"/>
      <c r="C744" s="198" t="s">
        <v>2196</v>
      </c>
      <c r="D744" s="195">
        <v>1753</v>
      </c>
      <c r="E744" s="195">
        <v>228</v>
      </c>
      <c r="F744" s="195">
        <v>228</v>
      </c>
      <c r="G744" s="239">
        <v>737</v>
      </c>
      <c r="H744" s="197" t="s">
        <v>79</v>
      </c>
      <c r="I744" s="242" t="s">
        <v>214</v>
      </c>
      <c r="J744" s="242" t="s">
        <v>8197</v>
      </c>
      <c r="K744" s="195" t="s">
        <v>70</v>
      </c>
      <c r="L744" s="20" t="str">
        <f ca="1">IF(OFFSET(환산공식!$ED$15,$F744,0)=1,"O","X")</f>
        <v>X</v>
      </c>
      <c r="M744" s="188">
        <f ca="1">IFERROR(OFFSET(환산공식!DJ$15,$F744,0),"")</f>
        <v>40</v>
      </c>
      <c r="N744" s="20" t="str">
        <f ca="1">IFERROR(CONCATENATE(ROUND(OFFSET(환산공식!DK$15,$F744,0),1),"%"),"")</f>
        <v>100%</v>
      </c>
      <c r="O744" s="20">
        <f ca="1">IFERROR(OFFSET(환산공식!DL$15,$F744,0),"")</f>
        <v>0</v>
      </c>
      <c r="P744" s="188" t="str">
        <f t="shared" ca="1" si="22"/>
        <v>3% 이하</v>
      </c>
      <c r="Q744" s="194">
        <f ca="1">IFERROR(ROUND(OFFSET(환산공식!$FG$15,$F744,0),3),"")</f>
        <v>800</v>
      </c>
      <c r="R744" s="194">
        <f ca="1">OFFSET('배치점수 계산기'!H$10,$D744,0)</f>
        <v>967.07799999999997</v>
      </c>
      <c r="S744" s="194">
        <f ca="1">OFFSET('배치점수 계산기'!I$10,$D744,0)</f>
        <v>966.66300000000001</v>
      </c>
      <c r="T744" s="194">
        <f ca="1">OFFSET('배치점수 계산기'!J$10,$D744,0)</f>
        <v>965.798</v>
      </c>
      <c r="U744" s="194">
        <f ca="1">OFFSET('배치점수 계산기'!K$10,$D744,0)</f>
        <v>964.53099999999995</v>
      </c>
      <c r="V744" s="194">
        <f ca="1">OFFSET('배치점수 계산기'!L$10,$D744,0)</f>
        <v>963.12300000000005</v>
      </c>
      <c r="W744" s="186" t="str">
        <f ca="1">OFFSET('배치점수 계산기'!M$10,$D744,0)</f>
        <v>표점/만점</v>
      </c>
      <c r="X744" s="184" t="str">
        <f ca="1">OFFSET('배치점수 계산기'!N$10,$D744,0)</f>
        <v>표점/만점</v>
      </c>
      <c r="Y744" s="188">
        <f ca="1">OFFSET(환산공식!FW$15,$F744,0)</f>
        <v>0.25</v>
      </c>
      <c r="Z744" s="20">
        <f ca="1">OFFSET(환산공식!FX$15,$F744,0)</f>
        <v>0.37</v>
      </c>
      <c r="AA744" s="179">
        <f ca="1">OFFSET(환산공식!FY$15,$F744,0)</f>
        <v>0.37</v>
      </c>
      <c r="AB744" s="3"/>
      <c r="AD744">
        <f t="shared" ca="1" si="23"/>
        <v>6</v>
      </c>
      <c r="AF744" s="3"/>
      <c r="AG744" s="3"/>
      <c r="AH744" s="3"/>
    </row>
    <row r="745" spans="1:34">
      <c r="A745" s="198"/>
      <c r="B745" s="198"/>
      <c r="C745" s="198" t="s">
        <v>2197</v>
      </c>
      <c r="D745" s="195">
        <v>1754</v>
      </c>
      <c r="E745" s="195">
        <v>230</v>
      </c>
      <c r="F745" s="195">
        <v>230</v>
      </c>
      <c r="G745" s="239">
        <v>738</v>
      </c>
      <c r="H745" s="197" t="s">
        <v>79</v>
      </c>
      <c r="I745" s="242" t="s">
        <v>214</v>
      </c>
      <c r="J745" s="242" t="s">
        <v>12514</v>
      </c>
      <c r="K745" s="195" t="s">
        <v>70</v>
      </c>
      <c r="L745" s="20" t="str">
        <f ca="1">IF(OFFSET(환산공식!$ED$15,$F745,0)=1,"O","X")</f>
        <v>X</v>
      </c>
      <c r="M745" s="188">
        <f ca="1">IFERROR(OFFSET(환산공식!DJ$15,$F745,0),"")</f>
        <v>40</v>
      </c>
      <c r="N745" s="20" t="str">
        <f ca="1">IFERROR(CONCATENATE(ROUND(OFFSET(환산공식!DK$15,$F745,0),1),"%"),"")</f>
        <v>100%</v>
      </c>
      <c r="O745" s="20">
        <f ca="1">IFERROR(OFFSET(환산공식!DL$15,$F745,0),"")</f>
        <v>0</v>
      </c>
      <c r="P745" s="188" t="str">
        <f t="shared" ca="1" si="22"/>
        <v>3% 이하</v>
      </c>
      <c r="Q745" s="194">
        <f ca="1">IFERROR(ROUND(OFFSET(환산공식!$FG$15,$F745,0),3),"")</f>
        <v>800</v>
      </c>
      <c r="R745" s="194">
        <f ca="1">OFFSET('배치점수 계산기'!H$10,$D745,0)</f>
        <v>966.74800000000005</v>
      </c>
      <c r="S745" s="194">
        <f ca="1">OFFSET('배치점수 계산기'!I$10,$D745,0)</f>
        <v>966.39800000000002</v>
      </c>
      <c r="T745" s="194">
        <f ca="1">OFFSET('배치점수 계산기'!J$10,$D745,0)</f>
        <v>965.65</v>
      </c>
      <c r="U745" s="194">
        <f ca="1">OFFSET('배치점수 계산기'!K$10,$D745,0)</f>
        <v>964.60299999999995</v>
      </c>
      <c r="V745" s="194">
        <f ca="1">OFFSET('배치점수 계산기'!L$10,$D745,0)</f>
        <v>963.39800000000002</v>
      </c>
      <c r="W745" s="186" t="str">
        <f ca="1">OFFSET('배치점수 계산기'!M$10,$D745,0)</f>
        <v>표점/만점</v>
      </c>
      <c r="X745" s="184" t="str">
        <f ca="1">OFFSET('배치점수 계산기'!N$10,$D745,0)</f>
        <v>표점/만점</v>
      </c>
      <c r="Y745" s="188">
        <f ca="1">OFFSET(환산공식!FW$15,$F745,0)</f>
        <v>0.25</v>
      </c>
      <c r="Z745" s="20">
        <f ca="1">OFFSET(환산공식!FX$15,$F745,0)</f>
        <v>0.37</v>
      </c>
      <c r="AA745" s="179">
        <f ca="1">OFFSET(환산공식!FY$15,$F745,0)</f>
        <v>0.37</v>
      </c>
      <c r="AB745" s="3"/>
      <c r="AD745">
        <f t="shared" ca="1" si="23"/>
        <v>6</v>
      </c>
      <c r="AF745" s="3"/>
      <c r="AG745" s="3"/>
      <c r="AH745" s="3"/>
    </row>
    <row r="746" spans="1:34">
      <c r="A746" s="198"/>
      <c r="B746" s="198"/>
      <c r="C746" s="198" t="s">
        <v>2198</v>
      </c>
      <c r="D746" s="195">
        <v>1755</v>
      </c>
      <c r="E746" s="195">
        <v>230</v>
      </c>
      <c r="F746" s="195">
        <v>230</v>
      </c>
      <c r="G746" s="239">
        <v>739</v>
      </c>
      <c r="H746" s="197" t="s">
        <v>79</v>
      </c>
      <c r="I746" s="242" t="s">
        <v>214</v>
      </c>
      <c r="J746" s="242" t="s">
        <v>8316</v>
      </c>
      <c r="K746" s="195" t="s">
        <v>70</v>
      </c>
      <c r="L746" s="20" t="str">
        <f ca="1">IF(OFFSET(환산공식!$ED$15,$F746,0)=1,"O","X")</f>
        <v>X</v>
      </c>
      <c r="M746" s="188">
        <f ca="1">IFERROR(OFFSET(환산공식!DJ$15,$F746,0),"")</f>
        <v>40</v>
      </c>
      <c r="N746" s="20" t="str">
        <f ca="1">IFERROR(CONCATENATE(ROUND(OFFSET(환산공식!DK$15,$F746,0),1),"%"),"")</f>
        <v>100%</v>
      </c>
      <c r="O746" s="20">
        <f ca="1">IFERROR(OFFSET(환산공식!DL$15,$F746,0),"")</f>
        <v>0</v>
      </c>
      <c r="P746" s="188" t="str">
        <f t="shared" ca="1" si="22"/>
        <v>3% 이하</v>
      </c>
      <c r="Q746" s="194">
        <f ca="1">IFERROR(ROUND(OFFSET(환산공식!$FG$15,$F746,0),3),"")</f>
        <v>800</v>
      </c>
      <c r="R746" s="194">
        <f ca="1">OFFSET('배치점수 계산기'!H$10,$D746,0)</f>
        <v>966.77599999999995</v>
      </c>
      <c r="S746" s="194">
        <f ca="1">OFFSET('배치점수 계산기'!I$10,$D746,0)</f>
        <v>966.39800000000002</v>
      </c>
      <c r="T746" s="194">
        <f ca="1">OFFSET('배치점수 계산기'!J$10,$D746,0)</f>
        <v>965.51099999999997</v>
      </c>
      <c r="U746" s="194">
        <f ca="1">OFFSET('배치점수 계산기'!K$10,$D746,0)</f>
        <v>964.22400000000005</v>
      </c>
      <c r="V746" s="194">
        <f ca="1">OFFSET('배치점수 계산기'!L$10,$D746,0)</f>
        <v>962.81100000000004</v>
      </c>
      <c r="W746" s="186" t="str">
        <f ca="1">OFFSET('배치점수 계산기'!M$10,$D746,0)</f>
        <v>표점/만점</v>
      </c>
      <c r="X746" s="184" t="str">
        <f ca="1">OFFSET('배치점수 계산기'!N$10,$D746,0)</f>
        <v>표점/만점</v>
      </c>
      <c r="Y746" s="188">
        <f ca="1">OFFSET(환산공식!FW$15,$F746,0)</f>
        <v>0.25</v>
      </c>
      <c r="Z746" s="20">
        <f ca="1">OFFSET(환산공식!FX$15,$F746,0)</f>
        <v>0.37</v>
      </c>
      <c r="AA746" s="179">
        <f ca="1">OFFSET(환산공식!FY$15,$F746,0)</f>
        <v>0.37</v>
      </c>
      <c r="AB746" s="3"/>
      <c r="AD746">
        <f t="shared" ca="1" si="23"/>
        <v>6</v>
      </c>
      <c r="AF746" s="3"/>
      <c r="AG746" s="3"/>
      <c r="AH746" s="3"/>
    </row>
    <row r="747" spans="1:34">
      <c r="A747" s="198"/>
      <c r="B747" s="198"/>
      <c r="C747" s="198" t="s">
        <v>2199</v>
      </c>
      <c r="D747" s="195">
        <v>1756</v>
      </c>
      <c r="E747" s="195">
        <v>230</v>
      </c>
      <c r="F747" s="195">
        <v>230</v>
      </c>
      <c r="G747" s="239">
        <v>740</v>
      </c>
      <c r="H747" s="197" t="s">
        <v>79</v>
      </c>
      <c r="I747" s="242" t="s">
        <v>214</v>
      </c>
      <c r="J747" s="242" t="s">
        <v>8305</v>
      </c>
      <c r="K747" s="195" t="s">
        <v>70</v>
      </c>
      <c r="L747" s="20" t="str">
        <f ca="1">IF(OFFSET(환산공식!$ED$15,$F747,0)=1,"O","X")</f>
        <v>X</v>
      </c>
      <c r="M747" s="188">
        <f ca="1">IFERROR(OFFSET(환산공식!DJ$15,$F747,0),"")</f>
        <v>40</v>
      </c>
      <c r="N747" s="20" t="str">
        <f ca="1">IFERROR(CONCATENATE(ROUND(OFFSET(환산공식!DK$15,$F747,0),1),"%"),"")</f>
        <v>100%</v>
      </c>
      <c r="O747" s="20">
        <f ca="1">IFERROR(OFFSET(환산공식!DL$15,$F747,0),"")</f>
        <v>0</v>
      </c>
      <c r="P747" s="188" t="str">
        <f t="shared" ca="1" si="22"/>
        <v>3% 이하</v>
      </c>
      <c r="Q747" s="194">
        <f ca="1">IFERROR(ROUND(OFFSET(환산공식!$FG$15,$F747,0),3),"")</f>
        <v>800</v>
      </c>
      <c r="R747" s="194">
        <f ca="1">OFFSET('배치점수 계산기'!H$10,$D747,0)</f>
        <v>966.74800000000005</v>
      </c>
      <c r="S747" s="194">
        <f ca="1">OFFSET('배치점수 계산기'!I$10,$D747,0)</f>
        <v>966.36</v>
      </c>
      <c r="T747" s="194">
        <f ca="1">OFFSET('배치점수 계산기'!J$10,$D747,0)</f>
        <v>965.46799999999996</v>
      </c>
      <c r="U747" s="194">
        <f ca="1">OFFSET('배치점수 계산기'!K$10,$D747,0)</f>
        <v>964.19600000000003</v>
      </c>
      <c r="V747" s="194">
        <f ca="1">OFFSET('배치점수 계산기'!L$10,$D747,0)</f>
        <v>962.78300000000002</v>
      </c>
      <c r="W747" s="186" t="str">
        <f ca="1">OFFSET('배치점수 계산기'!M$10,$D747,0)</f>
        <v>표점/만점</v>
      </c>
      <c r="X747" s="184" t="str">
        <f ca="1">OFFSET('배치점수 계산기'!N$10,$D747,0)</f>
        <v>표점/만점</v>
      </c>
      <c r="Y747" s="188">
        <f ca="1">OFFSET(환산공식!FW$15,$F747,0)</f>
        <v>0.25</v>
      </c>
      <c r="Z747" s="20">
        <f ca="1">OFFSET(환산공식!FX$15,$F747,0)</f>
        <v>0.37</v>
      </c>
      <c r="AA747" s="179">
        <f ca="1">OFFSET(환산공식!FY$15,$F747,0)</f>
        <v>0.37</v>
      </c>
      <c r="AB747" s="3"/>
      <c r="AD747">
        <f t="shared" ca="1" si="23"/>
        <v>6</v>
      </c>
      <c r="AF747" s="3"/>
      <c r="AG747" s="3"/>
      <c r="AH747" s="3"/>
    </row>
    <row r="748" spans="1:34">
      <c r="A748" s="198"/>
      <c r="B748" s="198"/>
      <c r="C748" s="198" t="s">
        <v>2200</v>
      </c>
      <c r="D748" s="195">
        <v>1757</v>
      </c>
      <c r="E748" s="195">
        <v>230</v>
      </c>
      <c r="F748" s="195">
        <v>230</v>
      </c>
      <c r="G748" s="239">
        <v>741</v>
      </c>
      <c r="H748" s="197" t="s">
        <v>79</v>
      </c>
      <c r="I748" s="242" t="s">
        <v>214</v>
      </c>
      <c r="J748" s="242" t="s">
        <v>8168</v>
      </c>
      <c r="K748" s="195" t="s">
        <v>70</v>
      </c>
      <c r="L748" s="20" t="str">
        <f ca="1">IF(OFFSET(환산공식!$ED$15,$F748,0)=1,"O","X")</f>
        <v>X</v>
      </c>
      <c r="M748" s="188">
        <f ca="1">IFERROR(OFFSET(환산공식!DJ$15,$F748,0),"")</f>
        <v>40</v>
      </c>
      <c r="N748" s="20" t="str">
        <f ca="1">IFERROR(CONCATENATE(ROUND(OFFSET(환산공식!DK$15,$F748,0),1),"%"),"")</f>
        <v>100%</v>
      </c>
      <c r="O748" s="20">
        <f ca="1">IFERROR(OFFSET(환산공식!DL$15,$F748,0),"")</f>
        <v>0</v>
      </c>
      <c r="P748" s="188" t="str">
        <f t="shared" ca="1" si="22"/>
        <v>3% 이하</v>
      </c>
      <c r="Q748" s="194">
        <f ca="1">IFERROR(ROUND(OFFSET(환산공식!$FG$15,$F748,0),3),"")</f>
        <v>800</v>
      </c>
      <c r="R748" s="194">
        <f ca="1">OFFSET('배치점수 계산기'!H$10,$D748,0)</f>
        <v>966.74800000000005</v>
      </c>
      <c r="S748" s="194">
        <f ca="1">OFFSET('배치점수 계산기'!I$10,$D748,0)</f>
        <v>966.36</v>
      </c>
      <c r="T748" s="194">
        <f ca="1">OFFSET('배치점수 계산기'!J$10,$D748,0)</f>
        <v>965.46799999999996</v>
      </c>
      <c r="U748" s="194">
        <f ca="1">OFFSET('배치점수 계산기'!K$10,$D748,0)</f>
        <v>964.19600000000003</v>
      </c>
      <c r="V748" s="194">
        <f ca="1">OFFSET('배치점수 계산기'!L$10,$D748,0)</f>
        <v>962.78300000000002</v>
      </c>
      <c r="W748" s="186" t="str">
        <f ca="1">OFFSET('배치점수 계산기'!M$10,$D748,0)</f>
        <v>표점/만점</v>
      </c>
      <c r="X748" s="184" t="str">
        <f ca="1">OFFSET('배치점수 계산기'!N$10,$D748,0)</f>
        <v>표점/만점</v>
      </c>
      <c r="Y748" s="188">
        <f ca="1">OFFSET(환산공식!FW$15,$F748,0)</f>
        <v>0.25</v>
      </c>
      <c r="Z748" s="20">
        <f ca="1">OFFSET(환산공식!FX$15,$F748,0)</f>
        <v>0.37</v>
      </c>
      <c r="AA748" s="179">
        <f ca="1">OFFSET(환산공식!FY$15,$F748,0)</f>
        <v>0.37</v>
      </c>
      <c r="AB748" s="3"/>
      <c r="AD748">
        <f t="shared" ca="1" si="23"/>
        <v>6</v>
      </c>
      <c r="AF748" s="3"/>
      <c r="AG748" s="3"/>
      <c r="AH748" s="3"/>
    </row>
    <row r="749" spans="1:34">
      <c r="A749" s="198"/>
      <c r="B749" s="198"/>
      <c r="C749" s="198" t="s">
        <v>2201</v>
      </c>
      <c r="D749" s="195">
        <v>1758</v>
      </c>
      <c r="E749" s="195">
        <v>228</v>
      </c>
      <c r="F749" s="195">
        <v>228</v>
      </c>
      <c r="G749" s="239">
        <v>742</v>
      </c>
      <c r="H749" s="197" t="s">
        <v>79</v>
      </c>
      <c r="I749" s="242" t="s">
        <v>214</v>
      </c>
      <c r="J749" s="242" t="s">
        <v>8307</v>
      </c>
      <c r="K749" s="195" t="s">
        <v>70</v>
      </c>
      <c r="L749" s="20" t="str">
        <f ca="1">IF(OFFSET(환산공식!$ED$15,$F749,0)=1,"O","X")</f>
        <v>X</v>
      </c>
      <c r="M749" s="188">
        <f ca="1">IFERROR(OFFSET(환산공식!DJ$15,$F749,0),"")</f>
        <v>40</v>
      </c>
      <c r="N749" s="20" t="str">
        <f ca="1">IFERROR(CONCATENATE(ROUND(OFFSET(환산공식!DK$15,$F749,0),1),"%"),"")</f>
        <v>100%</v>
      </c>
      <c r="O749" s="20">
        <f ca="1">IFERROR(OFFSET(환산공식!DL$15,$F749,0),"")</f>
        <v>0</v>
      </c>
      <c r="P749" s="188" t="str">
        <f t="shared" ca="1" si="22"/>
        <v>3% 이하</v>
      </c>
      <c r="Q749" s="194">
        <f ca="1">IFERROR(ROUND(OFFSET(환산공식!$FG$15,$F749,0),3),"")</f>
        <v>800</v>
      </c>
      <c r="R749" s="194">
        <f ca="1">OFFSET('배치점수 계산기'!H$10,$D749,0)</f>
        <v>966.43600000000004</v>
      </c>
      <c r="S749" s="194">
        <f ca="1">OFFSET('배치점수 계산기'!I$10,$D749,0)</f>
        <v>966.06299999999999</v>
      </c>
      <c r="T749" s="194">
        <f ca="1">OFFSET('배치점수 계산기'!J$10,$D749,0)</f>
        <v>965.09400000000005</v>
      </c>
      <c r="U749" s="194">
        <f ca="1">OFFSET('배치점수 계산기'!K$10,$D749,0)</f>
        <v>963.87300000000005</v>
      </c>
      <c r="V749" s="194">
        <f ca="1">OFFSET('배치점수 계산기'!L$10,$D749,0)</f>
        <v>962.43799999999999</v>
      </c>
      <c r="W749" s="186" t="str">
        <f ca="1">OFFSET('배치점수 계산기'!M$10,$D749,0)</f>
        <v>표점/만점</v>
      </c>
      <c r="X749" s="184" t="str">
        <f ca="1">OFFSET('배치점수 계산기'!N$10,$D749,0)</f>
        <v>표점/만점</v>
      </c>
      <c r="Y749" s="188">
        <f ca="1">OFFSET(환산공식!FW$15,$F749,0)</f>
        <v>0.25</v>
      </c>
      <c r="Z749" s="20">
        <f ca="1">OFFSET(환산공식!FX$15,$F749,0)</f>
        <v>0.37</v>
      </c>
      <c r="AA749" s="179">
        <f ca="1">OFFSET(환산공식!FY$15,$F749,0)</f>
        <v>0.37</v>
      </c>
      <c r="AB749" s="3"/>
      <c r="AD749">
        <f t="shared" ca="1" si="23"/>
        <v>6</v>
      </c>
      <c r="AF749" s="3"/>
      <c r="AG749" s="3"/>
      <c r="AH749" s="3"/>
    </row>
    <row r="750" spans="1:34">
      <c r="A750" s="198"/>
      <c r="B750" s="198"/>
      <c r="C750" s="198" t="s">
        <v>2202</v>
      </c>
      <c r="D750" s="195">
        <v>1759</v>
      </c>
      <c r="E750" s="195">
        <v>230</v>
      </c>
      <c r="F750" s="195">
        <v>230</v>
      </c>
      <c r="G750" s="239">
        <v>743</v>
      </c>
      <c r="H750" s="197" t="s">
        <v>79</v>
      </c>
      <c r="I750" s="242" t="s">
        <v>214</v>
      </c>
      <c r="J750" s="242" t="s">
        <v>12624</v>
      </c>
      <c r="K750" s="195" t="s">
        <v>70</v>
      </c>
      <c r="L750" s="20" t="str">
        <f ca="1">IF(OFFSET(환산공식!$ED$15,$F750,0)=1,"O","X")</f>
        <v>X</v>
      </c>
      <c r="M750" s="188">
        <f ca="1">IFERROR(OFFSET(환산공식!DJ$15,$F750,0),"")</f>
        <v>40</v>
      </c>
      <c r="N750" s="20" t="str">
        <f ca="1">IFERROR(CONCATENATE(ROUND(OFFSET(환산공식!DK$15,$F750,0),1),"%"),"")</f>
        <v>100%</v>
      </c>
      <c r="O750" s="20">
        <f ca="1">IFERROR(OFFSET(환산공식!DL$15,$F750,0),"")</f>
        <v>0</v>
      </c>
      <c r="P750" s="188" t="str">
        <f t="shared" ca="1" si="22"/>
        <v>3% 이하</v>
      </c>
      <c r="Q750" s="194">
        <f ca="1">IFERROR(ROUND(OFFSET(환산공식!$FG$15,$F750,0),3),"")</f>
        <v>800</v>
      </c>
      <c r="R750" s="194">
        <f ca="1">OFFSET('배치점수 계산기'!H$10,$D750,0)</f>
        <v>966.245</v>
      </c>
      <c r="S750" s="194">
        <f ca="1">OFFSET('배치점수 계산기'!I$10,$D750,0)</f>
        <v>965.88300000000004</v>
      </c>
      <c r="T750" s="194">
        <f ca="1">OFFSET('배치점수 계산기'!J$10,$D750,0)</f>
        <v>964.90599999999995</v>
      </c>
      <c r="U750" s="194">
        <f ca="1">OFFSET('배치점수 계산기'!K$10,$D750,0)</f>
        <v>963.69</v>
      </c>
      <c r="V750" s="194">
        <f ca="1">OFFSET('배치점수 계산기'!L$10,$D750,0)</f>
        <v>962.25400000000002</v>
      </c>
      <c r="W750" s="186" t="str">
        <f ca="1">OFFSET('배치점수 계산기'!M$10,$D750,0)</f>
        <v>표점/만점</v>
      </c>
      <c r="X750" s="184" t="str">
        <f ca="1">OFFSET('배치점수 계산기'!N$10,$D750,0)</f>
        <v>표점/만점</v>
      </c>
      <c r="Y750" s="188">
        <f ca="1">OFFSET(환산공식!FW$15,$F750,0)</f>
        <v>0.25</v>
      </c>
      <c r="Z750" s="20">
        <f ca="1">OFFSET(환산공식!FX$15,$F750,0)</f>
        <v>0.37</v>
      </c>
      <c r="AA750" s="179">
        <f ca="1">OFFSET(환산공식!FY$15,$F750,0)</f>
        <v>0.37</v>
      </c>
      <c r="AB750" s="3"/>
      <c r="AD750">
        <f t="shared" ca="1" si="23"/>
        <v>6</v>
      </c>
      <c r="AF750" s="3"/>
      <c r="AG750" s="3"/>
      <c r="AH750" s="3"/>
    </row>
    <row r="751" spans="1:34">
      <c r="A751" s="198"/>
      <c r="B751" s="198"/>
      <c r="C751" s="198" t="s">
        <v>2203</v>
      </c>
      <c r="D751" s="195">
        <v>1760</v>
      </c>
      <c r="E751" s="195">
        <v>230</v>
      </c>
      <c r="F751" s="195">
        <v>230</v>
      </c>
      <c r="G751" s="239">
        <v>744</v>
      </c>
      <c r="H751" s="197" t="s">
        <v>79</v>
      </c>
      <c r="I751" s="242" t="s">
        <v>214</v>
      </c>
      <c r="J751" s="242" t="s">
        <v>8744</v>
      </c>
      <c r="K751" s="195" t="s">
        <v>70</v>
      </c>
      <c r="L751" s="20" t="str">
        <f ca="1">IF(OFFSET(환산공식!$ED$15,$F751,0)=1,"O","X")</f>
        <v>X</v>
      </c>
      <c r="M751" s="188">
        <f ca="1">IFERROR(OFFSET(환산공식!DJ$15,$F751,0),"")</f>
        <v>40</v>
      </c>
      <c r="N751" s="20" t="str">
        <f ca="1">IFERROR(CONCATENATE(ROUND(OFFSET(환산공식!DK$15,$F751,0),1),"%"),"")</f>
        <v>100%</v>
      </c>
      <c r="O751" s="20">
        <f ca="1">IFERROR(OFFSET(환산공식!DL$15,$F751,0),"")</f>
        <v>0</v>
      </c>
      <c r="P751" s="188" t="str">
        <f t="shared" ca="1" si="22"/>
        <v>3% 이하</v>
      </c>
      <c r="Q751" s="194">
        <f ca="1">IFERROR(ROUND(OFFSET(환산공식!$FG$15,$F751,0),3),"")</f>
        <v>800</v>
      </c>
      <c r="R751" s="194">
        <f ca="1">OFFSET('배치점수 계산기'!H$10,$D751,0)</f>
        <v>966.245</v>
      </c>
      <c r="S751" s="194">
        <f ca="1">OFFSET('배치점수 계산기'!I$10,$D751,0)</f>
        <v>965.87800000000004</v>
      </c>
      <c r="T751" s="194">
        <f ca="1">OFFSET('배치점수 계산기'!J$10,$D751,0)</f>
        <v>964.90599999999995</v>
      </c>
      <c r="U751" s="194">
        <f ca="1">OFFSET('배치점수 계산기'!K$10,$D751,0)</f>
        <v>963.64800000000002</v>
      </c>
      <c r="V751" s="194">
        <f ca="1">OFFSET('배치점수 계산기'!L$10,$D751,0)</f>
        <v>962.21600000000001</v>
      </c>
      <c r="W751" s="186" t="str">
        <f ca="1">OFFSET('배치점수 계산기'!M$10,$D751,0)</f>
        <v>표점/만점</v>
      </c>
      <c r="X751" s="184" t="str">
        <f ca="1">OFFSET('배치점수 계산기'!N$10,$D751,0)</f>
        <v>표점/만점</v>
      </c>
      <c r="Y751" s="188">
        <f ca="1">OFFSET(환산공식!FW$15,$F751,0)</f>
        <v>0.25</v>
      </c>
      <c r="Z751" s="20">
        <f ca="1">OFFSET(환산공식!FX$15,$F751,0)</f>
        <v>0.37</v>
      </c>
      <c r="AA751" s="179">
        <f ca="1">OFFSET(환산공식!FY$15,$F751,0)</f>
        <v>0.37</v>
      </c>
      <c r="AB751" s="3"/>
      <c r="AD751">
        <f t="shared" ca="1" si="23"/>
        <v>6</v>
      </c>
      <c r="AF751" s="3"/>
      <c r="AG751" s="3"/>
      <c r="AH751" s="3"/>
    </row>
    <row r="752" spans="1:34">
      <c r="A752" s="198"/>
      <c r="B752" s="198"/>
      <c r="C752" s="198" t="s">
        <v>2204</v>
      </c>
      <c r="D752" s="195">
        <v>1761</v>
      </c>
      <c r="E752" s="195">
        <v>230</v>
      </c>
      <c r="F752" s="195">
        <v>230</v>
      </c>
      <c r="G752" s="239">
        <v>745</v>
      </c>
      <c r="H752" s="197" t="s">
        <v>79</v>
      </c>
      <c r="I752" s="242" t="s">
        <v>214</v>
      </c>
      <c r="J752" s="242" t="s">
        <v>10636</v>
      </c>
      <c r="K752" s="195" t="s">
        <v>70</v>
      </c>
      <c r="L752" s="20" t="str">
        <f ca="1">IF(OFFSET(환산공식!$ED$15,$F752,0)=1,"O","X")</f>
        <v>X</v>
      </c>
      <c r="M752" s="188">
        <f ca="1">IFERROR(OFFSET(환산공식!DJ$15,$F752,0),"")</f>
        <v>40</v>
      </c>
      <c r="N752" s="20" t="str">
        <f ca="1">IFERROR(CONCATENATE(ROUND(OFFSET(환산공식!DK$15,$F752,0),1),"%"),"")</f>
        <v>100%</v>
      </c>
      <c r="O752" s="20">
        <f ca="1">IFERROR(OFFSET(환산공식!DL$15,$F752,0),"")</f>
        <v>0</v>
      </c>
      <c r="P752" s="188" t="str">
        <f t="shared" ca="1" si="22"/>
        <v>3% 이하</v>
      </c>
      <c r="Q752" s="194">
        <f ca="1">IFERROR(ROUND(OFFSET(환산공식!$FG$15,$F752,0),3),"")</f>
        <v>800</v>
      </c>
      <c r="R752" s="194">
        <f ca="1">OFFSET('배치점수 계산기'!H$10,$D752,0)</f>
        <v>965.798</v>
      </c>
      <c r="S752" s="194">
        <f ca="1">OFFSET('배치점수 계산기'!I$10,$D752,0)</f>
        <v>965.35400000000004</v>
      </c>
      <c r="T752" s="194">
        <f ca="1">OFFSET('배치점수 계산기'!J$10,$D752,0)</f>
        <v>964.41300000000001</v>
      </c>
      <c r="U752" s="194">
        <f ca="1">OFFSET('배치점수 계산기'!K$10,$D752,0)</f>
        <v>963.12300000000005</v>
      </c>
      <c r="V752" s="194">
        <f ca="1">OFFSET('배치점수 계산기'!L$10,$D752,0)</f>
        <v>961.67899999999997</v>
      </c>
      <c r="W752" s="186" t="str">
        <f ca="1">OFFSET('배치점수 계산기'!M$10,$D752,0)</f>
        <v>표점/만점</v>
      </c>
      <c r="X752" s="184" t="str">
        <f ca="1">OFFSET('배치점수 계산기'!N$10,$D752,0)</f>
        <v>표점/만점</v>
      </c>
      <c r="Y752" s="188">
        <f ca="1">OFFSET(환산공식!FW$15,$F752,0)</f>
        <v>0.25</v>
      </c>
      <c r="Z752" s="20">
        <f ca="1">OFFSET(환산공식!FX$15,$F752,0)</f>
        <v>0.37</v>
      </c>
      <c r="AA752" s="179">
        <f ca="1">OFFSET(환산공식!FY$15,$F752,0)</f>
        <v>0.37</v>
      </c>
      <c r="AB752" s="3"/>
      <c r="AD752">
        <f t="shared" ca="1" si="23"/>
        <v>6</v>
      </c>
      <c r="AF752" s="3"/>
      <c r="AG752" s="3"/>
      <c r="AH752" s="3"/>
    </row>
    <row r="753" spans="1:34">
      <c r="A753" s="198"/>
      <c r="B753" s="198"/>
      <c r="C753" s="198" t="s">
        <v>2205</v>
      </c>
      <c r="D753" s="195">
        <v>1762</v>
      </c>
      <c r="E753" s="195">
        <v>230</v>
      </c>
      <c r="F753" s="195">
        <v>230</v>
      </c>
      <c r="G753" s="239">
        <v>746</v>
      </c>
      <c r="H753" s="197" t="s">
        <v>79</v>
      </c>
      <c r="I753" s="242" t="s">
        <v>214</v>
      </c>
      <c r="J753" s="242" t="s">
        <v>8640</v>
      </c>
      <c r="K753" s="195" t="s">
        <v>70</v>
      </c>
      <c r="L753" s="20" t="str">
        <f ca="1">IF(OFFSET(환산공식!$ED$15,$F753,0)=1,"O","X")</f>
        <v>X</v>
      </c>
      <c r="M753" s="188">
        <f ca="1">IFERROR(OFFSET(환산공식!DJ$15,$F753,0),"")</f>
        <v>40</v>
      </c>
      <c r="N753" s="20" t="str">
        <f ca="1">IFERROR(CONCATENATE(ROUND(OFFSET(환산공식!DK$15,$F753,0),1),"%"),"")</f>
        <v>100%</v>
      </c>
      <c r="O753" s="20">
        <f ca="1">IFERROR(OFFSET(환산공식!DL$15,$F753,0),"")</f>
        <v>0</v>
      </c>
      <c r="P753" s="188" t="str">
        <f t="shared" ca="1" si="22"/>
        <v>3% 이하</v>
      </c>
      <c r="Q753" s="194">
        <f ca="1">IFERROR(ROUND(OFFSET(환산공식!$FG$15,$F753,0),3),"")</f>
        <v>800</v>
      </c>
      <c r="R753" s="194">
        <f ca="1">OFFSET('배치점수 계산기'!H$10,$D753,0)</f>
        <v>965.279</v>
      </c>
      <c r="S753" s="194">
        <f ca="1">OFFSET('배치점수 계산기'!I$10,$D753,0)</f>
        <v>964.82299999999998</v>
      </c>
      <c r="T753" s="194">
        <f ca="1">OFFSET('배치점수 계산기'!J$10,$D753,0)</f>
        <v>963.87300000000005</v>
      </c>
      <c r="U753" s="194">
        <f ca="1">OFFSET('배치점수 계산기'!K$10,$D753,0)</f>
        <v>962.58799999999997</v>
      </c>
      <c r="V753" s="194">
        <f ca="1">OFFSET('배치점수 계산기'!L$10,$D753,0)</f>
        <v>961.17600000000004</v>
      </c>
      <c r="W753" s="186" t="str">
        <f ca="1">OFFSET('배치점수 계산기'!M$10,$D753,0)</f>
        <v>표점/만점</v>
      </c>
      <c r="X753" s="184" t="str">
        <f ca="1">OFFSET('배치점수 계산기'!N$10,$D753,0)</f>
        <v>표점/만점</v>
      </c>
      <c r="Y753" s="188">
        <f ca="1">OFFSET(환산공식!FW$15,$F753,0)</f>
        <v>0.25</v>
      </c>
      <c r="Z753" s="20">
        <f ca="1">OFFSET(환산공식!FX$15,$F753,0)</f>
        <v>0.37</v>
      </c>
      <c r="AA753" s="179">
        <f ca="1">OFFSET(환산공식!FY$15,$F753,0)</f>
        <v>0.37</v>
      </c>
      <c r="AB753" s="3"/>
      <c r="AD753">
        <f t="shared" ca="1" si="23"/>
        <v>6</v>
      </c>
      <c r="AF753" s="3"/>
      <c r="AG753" s="3"/>
      <c r="AH753" s="3"/>
    </row>
    <row r="754" spans="1:34">
      <c r="A754" s="198"/>
      <c r="B754" s="198"/>
      <c r="C754" s="198" t="s">
        <v>2206</v>
      </c>
      <c r="D754" s="195">
        <v>1763</v>
      </c>
      <c r="E754" s="195">
        <v>230</v>
      </c>
      <c r="F754" s="195">
        <v>230</v>
      </c>
      <c r="G754" s="239">
        <v>747</v>
      </c>
      <c r="H754" s="197" t="s">
        <v>79</v>
      </c>
      <c r="I754" s="242" t="s">
        <v>214</v>
      </c>
      <c r="J754" s="242" t="s">
        <v>8148</v>
      </c>
      <c r="K754" s="195" t="s">
        <v>70</v>
      </c>
      <c r="L754" s="20" t="str">
        <f ca="1">IF(OFFSET(환산공식!$ED$15,$F754,0)=1,"O","X")</f>
        <v>X</v>
      </c>
      <c r="M754" s="188">
        <f ca="1">IFERROR(OFFSET(환산공식!DJ$15,$F754,0),"")</f>
        <v>40</v>
      </c>
      <c r="N754" s="20" t="str">
        <f ca="1">IFERROR(CONCATENATE(ROUND(OFFSET(환산공식!DK$15,$F754,0),1),"%"),"")</f>
        <v>100%</v>
      </c>
      <c r="O754" s="20">
        <f ca="1">IFERROR(OFFSET(환산공식!DL$15,$F754,0),"")</f>
        <v>0</v>
      </c>
      <c r="P754" s="188" t="str">
        <f t="shared" ca="1" si="22"/>
        <v>3% 이하</v>
      </c>
      <c r="Q754" s="194">
        <f ca="1">IFERROR(ROUND(OFFSET(환산공식!$FG$15,$F754,0),3),"")</f>
        <v>800</v>
      </c>
      <c r="R754" s="194">
        <f ca="1">OFFSET('배치점수 계산기'!H$10,$D754,0)</f>
        <v>965.04600000000005</v>
      </c>
      <c r="S754" s="194">
        <f ca="1">OFFSET('배치점수 계산기'!I$10,$D754,0)</f>
        <v>964.68399999999997</v>
      </c>
      <c r="T754" s="194">
        <f ca="1">OFFSET('배치점수 계산기'!J$10,$D754,0)</f>
        <v>963.84500000000003</v>
      </c>
      <c r="U754" s="194">
        <f ca="1">OFFSET('배치점수 계산기'!K$10,$D754,0)</f>
        <v>962.71400000000006</v>
      </c>
      <c r="V754" s="194">
        <f ca="1">OFFSET('배치점수 계산기'!L$10,$D754,0)</f>
        <v>961.32899999999995</v>
      </c>
      <c r="W754" s="186" t="str">
        <f ca="1">OFFSET('배치점수 계산기'!M$10,$D754,0)</f>
        <v>표점/만점</v>
      </c>
      <c r="X754" s="184" t="str">
        <f ca="1">OFFSET('배치점수 계산기'!N$10,$D754,0)</f>
        <v>표점/만점</v>
      </c>
      <c r="Y754" s="188">
        <f ca="1">OFFSET(환산공식!FW$15,$F754,0)</f>
        <v>0.25</v>
      </c>
      <c r="Z754" s="20">
        <f ca="1">OFFSET(환산공식!FX$15,$F754,0)</f>
        <v>0.37</v>
      </c>
      <c r="AA754" s="179">
        <f ca="1">OFFSET(환산공식!FY$15,$F754,0)</f>
        <v>0.37</v>
      </c>
      <c r="AB754" s="3"/>
      <c r="AD754">
        <f t="shared" ca="1" si="23"/>
        <v>6</v>
      </c>
      <c r="AF754" s="3"/>
      <c r="AG754" s="3"/>
      <c r="AH754" s="3"/>
    </row>
    <row r="755" spans="1:34">
      <c r="A755" s="198"/>
      <c r="B755" s="198"/>
      <c r="C755" s="198" t="s">
        <v>2207</v>
      </c>
      <c r="D755" s="195">
        <v>1764</v>
      </c>
      <c r="E755" s="195">
        <v>230</v>
      </c>
      <c r="F755" s="195">
        <v>230</v>
      </c>
      <c r="G755" s="239">
        <v>748</v>
      </c>
      <c r="H755" s="197" t="s">
        <v>79</v>
      </c>
      <c r="I755" s="242" t="s">
        <v>214</v>
      </c>
      <c r="J755" s="242" t="s">
        <v>10547</v>
      </c>
      <c r="K755" s="195" t="s">
        <v>70</v>
      </c>
      <c r="L755" s="20" t="str">
        <f ca="1">IF(OFFSET(환산공식!$ED$15,$F755,0)=1,"O","X")</f>
        <v>X</v>
      </c>
      <c r="M755" s="188">
        <f ca="1">IFERROR(OFFSET(환산공식!DJ$15,$F755,0),"")</f>
        <v>40</v>
      </c>
      <c r="N755" s="20" t="str">
        <f ca="1">IFERROR(CONCATENATE(ROUND(OFFSET(환산공식!DK$15,$F755,0),1),"%"),"")</f>
        <v>100%</v>
      </c>
      <c r="O755" s="20">
        <f ca="1">IFERROR(OFFSET(환산공식!DL$15,$F755,0),"")</f>
        <v>0</v>
      </c>
      <c r="P755" s="188" t="str">
        <f t="shared" ca="1" si="22"/>
        <v>3% 이하</v>
      </c>
      <c r="Q755" s="194">
        <f ca="1">IFERROR(ROUND(OFFSET(환산공식!$FG$15,$F755,0),3),"")</f>
        <v>800</v>
      </c>
      <c r="R755" s="194">
        <f ca="1">OFFSET('배치점수 계산기'!H$10,$D755,0)</f>
        <v>965.23599999999999</v>
      </c>
      <c r="S755" s="194">
        <f ca="1">OFFSET('배치점수 계산기'!I$10,$D755,0)</f>
        <v>964.78599999999994</v>
      </c>
      <c r="T755" s="194">
        <f ca="1">OFFSET('배치점수 계산기'!J$10,$D755,0)</f>
        <v>963.84500000000003</v>
      </c>
      <c r="U755" s="194">
        <f ca="1">OFFSET('배치점수 계산기'!K$10,$D755,0)</f>
        <v>962.54600000000005</v>
      </c>
      <c r="V755" s="194">
        <f ca="1">OFFSET('배치점수 계산기'!L$10,$D755,0)</f>
        <v>961.13400000000001</v>
      </c>
      <c r="W755" s="186" t="str">
        <f ca="1">OFFSET('배치점수 계산기'!M$10,$D755,0)</f>
        <v>표점/만점</v>
      </c>
      <c r="X755" s="184" t="str">
        <f ca="1">OFFSET('배치점수 계산기'!N$10,$D755,0)</f>
        <v>표점/만점</v>
      </c>
      <c r="Y755" s="188">
        <f ca="1">OFFSET(환산공식!FW$15,$F755,0)</f>
        <v>0.25</v>
      </c>
      <c r="Z755" s="20">
        <f ca="1">OFFSET(환산공식!FX$15,$F755,0)</f>
        <v>0.37</v>
      </c>
      <c r="AA755" s="179">
        <f ca="1">OFFSET(환산공식!FY$15,$F755,0)</f>
        <v>0.37</v>
      </c>
      <c r="AB755" s="3"/>
      <c r="AD755">
        <f t="shared" ca="1" si="23"/>
        <v>6</v>
      </c>
      <c r="AF755" s="3"/>
      <c r="AG755" s="3"/>
      <c r="AH755" s="3"/>
    </row>
    <row r="756" spans="1:34">
      <c r="A756" s="198"/>
      <c r="B756" s="198"/>
      <c r="C756" s="198" t="s">
        <v>2208</v>
      </c>
      <c r="D756" s="195">
        <v>1765</v>
      </c>
      <c r="E756" s="195">
        <v>230</v>
      </c>
      <c r="F756" s="195">
        <v>230</v>
      </c>
      <c r="G756" s="239">
        <v>749</v>
      </c>
      <c r="H756" s="197" t="s">
        <v>79</v>
      </c>
      <c r="I756" s="242" t="s">
        <v>214</v>
      </c>
      <c r="J756" s="242" t="s">
        <v>12903</v>
      </c>
      <c r="K756" s="195" t="s">
        <v>70</v>
      </c>
      <c r="L756" s="20" t="str">
        <f ca="1">IF(OFFSET(환산공식!$ED$15,$F756,0)=1,"O","X")</f>
        <v>X</v>
      </c>
      <c r="M756" s="188">
        <f ca="1">IFERROR(OFFSET(환산공식!DJ$15,$F756,0),"")</f>
        <v>40</v>
      </c>
      <c r="N756" s="20" t="str">
        <f ca="1">IFERROR(CONCATENATE(ROUND(OFFSET(환산공식!DK$15,$F756,0),1),"%"),"")</f>
        <v>100%</v>
      </c>
      <c r="O756" s="20">
        <f ca="1">IFERROR(OFFSET(환산공식!DL$15,$F756,0),"")</f>
        <v>0</v>
      </c>
      <c r="P756" s="188" t="str">
        <f t="shared" ca="1" si="22"/>
        <v>3% 이하</v>
      </c>
      <c r="Q756" s="194">
        <f ca="1">IFERROR(ROUND(OFFSET(환산공식!$FG$15,$F756,0),3),"")</f>
        <v>800</v>
      </c>
      <c r="R756" s="194">
        <f ca="1">OFFSET('배치점수 계산기'!H$10,$D756,0)</f>
        <v>964.90599999999995</v>
      </c>
      <c r="S756" s="194">
        <f ca="1">OFFSET('배치점수 계산기'!I$10,$D756,0)</f>
        <v>964.45100000000002</v>
      </c>
      <c r="T756" s="194">
        <f ca="1">OFFSET('배치점수 계산기'!J$10,$D756,0)</f>
        <v>963.49599999999998</v>
      </c>
      <c r="U756" s="194">
        <f ca="1">OFFSET('배치점수 계산기'!K$10,$D756,0)</f>
        <v>962.21600000000001</v>
      </c>
      <c r="V756" s="194">
        <f ca="1">OFFSET('배치점수 계산기'!L$10,$D756,0)</f>
        <v>960.84199999999998</v>
      </c>
      <c r="W756" s="186" t="str">
        <f ca="1">OFFSET('배치점수 계산기'!M$10,$D756,0)</f>
        <v>표점/만점</v>
      </c>
      <c r="X756" s="184" t="str">
        <f ca="1">OFFSET('배치점수 계산기'!N$10,$D756,0)</f>
        <v>표점/만점</v>
      </c>
      <c r="Y756" s="188">
        <f ca="1">OFFSET(환산공식!FW$15,$F756,0)</f>
        <v>0.25</v>
      </c>
      <c r="Z756" s="20">
        <f ca="1">OFFSET(환산공식!FX$15,$F756,0)</f>
        <v>0.37</v>
      </c>
      <c r="AA756" s="179">
        <f ca="1">OFFSET(환산공식!FY$15,$F756,0)</f>
        <v>0.37</v>
      </c>
      <c r="AB756" s="3"/>
      <c r="AD756">
        <f t="shared" ca="1" si="23"/>
        <v>6</v>
      </c>
      <c r="AF756" s="3"/>
      <c r="AG756" s="3"/>
      <c r="AH756" s="3"/>
    </row>
    <row r="757" spans="1:34">
      <c r="A757" s="198"/>
      <c r="B757" s="198"/>
      <c r="C757" s="198" t="s">
        <v>2209</v>
      </c>
      <c r="D757" s="195">
        <v>1766</v>
      </c>
      <c r="E757" s="195">
        <v>230</v>
      </c>
      <c r="F757" s="195">
        <v>230</v>
      </c>
      <c r="G757" s="239">
        <v>750</v>
      </c>
      <c r="H757" s="197" t="s">
        <v>79</v>
      </c>
      <c r="I757" s="242" t="s">
        <v>214</v>
      </c>
      <c r="J757" s="242" t="s">
        <v>8224</v>
      </c>
      <c r="K757" s="195" t="s">
        <v>70</v>
      </c>
      <c r="L757" s="20" t="str">
        <f ca="1">IF(OFFSET(환산공식!$ED$15,$F757,0)=1,"O","X")</f>
        <v>X</v>
      </c>
      <c r="M757" s="188">
        <f ca="1">IFERROR(OFFSET(환산공식!DJ$15,$F757,0),"")</f>
        <v>40</v>
      </c>
      <c r="N757" s="20" t="str">
        <f ca="1">IFERROR(CONCATENATE(ROUND(OFFSET(환산공식!DK$15,$F757,0),1),"%"),"")</f>
        <v>100%</v>
      </c>
      <c r="O757" s="20">
        <f ca="1">IFERROR(OFFSET(환산공식!DL$15,$F757,0),"")</f>
        <v>0</v>
      </c>
      <c r="P757" s="188" t="str">
        <f t="shared" ca="1" si="22"/>
        <v>3% 이하</v>
      </c>
      <c r="Q757" s="194">
        <f ca="1">IFERROR(ROUND(OFFSET(환산공식!$FG$15,$F757,0),3),"")</f>
        <v>800</v>
      </c>
      <c r="R757" s="194">
        <f ca="1">OFFSET('배치점수 계산기'!H$10,$D757,0)</f>
        <v>964.64099999999996</v>
      </c>
      <c r="S757" s="194">
        <f ca="1">OFFSET('배치점수 계산기'!I$10,$D757,0)</f>
        <v>964.22400000000005</v>
      </c>
      <c r="T757" s="194">
        <f ca="1">OFFSET('배치점수 계산기'!J$10,$D757,0)</f>
        <v>963.20899999999995</v>
      </c>
      <c r="U757" s="194">
        <f ca="1">OFFSET('배치점수 계산기'!K$10,$D757,0)</f>
        <v>961.94600000000003</v>
      </c>
      <c r="V757" s="194">
        <f ca="1">OFFSET('배치점수 계산기'!L$10,$D757,0)</f>
        <v>960.61500000000001</v>
      </c>
      <c r="W757" s="186" t="str">
        <f ca="1">OFFSET('배치점수 계산기'!M$10,$D757,0)</f>
        <v>표점/만점</v>
      </c>
      <c r="X757" s="184" t="str">
        <f ca="1">OFFSET('배치점수 계산기'!N$10,$D757,0)</f>
        <v>표점/만점</v>
      </c>
      <c r="Y757" s="188">
        <f ca="1">OFFSET(환산공식!FW$15,$F757,0)</f>
        <v>0.25</v>
      </c>
      <c r="Z757" s="20">
        <f ca="1">OFFSET(환산공식!FX$15,$F757,0)</f>
        <v>0.37</v>
      </c>
      <c r="AA757" s="179">
        <f ca="1">OFFSET(환산공식!FY$15,$F757,0)</f>
        <v>0.37</v>
      </c>
      <c r="AB757" s="3"/>
      <c r="AD757">
        <f t="shared" ca="1" si="23"/>
        <v>6</v>
      </c>
      <c r="AF757" s="3"/>
      <c r="AG757" s="3"/>
      <c r="AH757" s="3"/>
    </row>
    <row r="758" spans="1:34">
      <c r="A758" s="198"/>
      <c r="B758" s="198"/>
      <c r="C758" s="198" t="s">
        <v>2210</v>
      </c>
      <c r="D758" s="195">
        <v>1767</v>
      </c>
      <c r="E758" s="195">
        <v>231</v>
      </c>
      <c r="F758" s="195">
        <v>231</v>
      </c>
      <c r="G758" s="239">
        <v>751</v>
      </c>
      <c r="H758" s="197" t="s">
        <v>79</v>
      </c>
      <c r="I758" s="242" t="s">
        <v>214</v>
      </c>
      <c r="J758" s="242" t="s">
        <v>8283</v>
      </c>
      <c r="K758" s="195" t="s">
        <v>70</v>
      </c>
      <c r="L758" s="20" t="str">
        <f ca="1">IF(OFFSET(환산공식!$ED$15,$F758,0)=1,"O","X")</f>
        <v>X</v>
      </c>
      <c r="M758" s="188">
        <f ca="1">IFERROR(OFFSET(환산공식!DJ$15,$F758,0),"")</f>
        <v>40</v>
      </c>
      <c r="N758" s="20" t="str">
        <f ca="1">IFERROR(CONCATENATE(ROUND(OFFSET(환산공식!DK$15,$F758,0),1),"%"),"")</f>
        <v>100%</v>
      </c>
      <c r="O758" s="20">
        <f ca="1">IFERROR(OFFSET(환산공식!DL$15,$F758,0),"")</f>
        <v>0</v>
      </c>
      <c r="P758" s="188" t="str">
        <f t="shared" ca="1" si="22"/>
        <v>3% 이하</v>
      </c>
      <c r="Q758" s="194">
        <f ca="1">IFERROR(ROUND(OFFSET(환산공식!$FG$15,$F758,0),3),"")</f>
        <v>800</v>
      </c>
      <c r="R758" s="194">
        <f ca="1">OFFSET('배치점수 계산기'!H$10,$D758,0)</f>
        <v>964.44600000000003</v>
      </c>
      <c r="S758" s="194">
        <f ca="1">OFFSET('배치점수 계산기'!I$10,$D758,0)</f>
        <v>964.06799999999998</v>
      </c>
      <c r="T758" s="194">
        <f ca="1">OFFSET('배치점수 계산기'!J$10,$D758,0)</f>
        <v>963.16099999999994</v>
      </c>
      <c r="U758" s="194">
        <f ca="1">OFFSET('배치점수 계산기'!K$10,$D758,0)</f>
        <v>962.072</v>
      </c>
      <c r="V758" s="194">
        <f ca="1">OFFSET('배치점수 계산기'!L$10,$D758,0)</f>
        <v>960.72900000000004</v>
      </c>
      <c r="W758" s="186" t="str">
        <f ca="1">OFFSET('배치점수 계산기'!M$10,$D758,0)</f>
        <v>표점/만점</v>
      </c>
      <c r="X758" s="184" t="str">
        <f ca="1">OFFSET('배치점수 계산기'!N$10,$D758,0)</f>
        <v>표점/만점</v>
      </c>
      <c r="Y758" s="188">
        <f ca="1">OFFSET(환산공식!FW$15,$F758,0)</f>
        <v>0.25</v>
      </c>
      <c r="Z758" s="20">
        <f ca="1">OFFSET(환산공식!FX$15,$F758,0)</f>
        <v>0.37</v>
      </c>
      <c r="AA758" s="179">
        <f ca="1">OFFSET(환산공식!FY$15,$F758,0)</f>
        <v>0.37</v>
      </c>
      <c r="AB758" s="3"/>
      <c r="AD758">
        <f t="shared" ca="1" si="23"/>
        <v>6</v>
      </c>
      <c r="AF758" s="3"/>
      <c r="AG758" s="3"/>
      <c r="AH758" s="3"/>
    </row>
    <row r="759" spans="1:34">
      <c r="A759" s="198"/>
      <c r="B759" s="198"/>
      <c r="C759" s="198" t="s">
        <v>2211</v>
      </c>
      <c r="D759" s="195">
        <v>1768</v>
      </c>
      <c r="E759" s="195">
        <v>230</v>
      </c>
      <c r="F759" s="195">
        <v>230</v>
      </c>
      <c r="G759" s="239">
        <v>752</v>
      </c>
      <c r="H759" s="197" t="s">
        <v>79</v>
      </c>
      <c r="I759" s="242" t="s">
        <v>214</v>
      </c>
      <c r="J759" s="242" t="s">
        <v>541</v>
      </c>
      <c r="K759" s="195" t="s">
        <v>70</v>
      </c>
      <c r="L759" s="20" t="str">
        <f ca="1">IF(OFFSET(환산공식!$ED$15,$F759,0)=1,"O","X")</f>
        <v>X</v>
      </c>
      <c r="M759" s="188">
        <f ca="1">IFERROR(OFFSET(환산공식!DJ$15,$F759,0),"")</f>
        <v>40</v>
      </c>
      <c r="N759" s="20" t="str">
        <f ca="1">IFERROR(CONCATENATE(ROUND(OFFSET(환산공식!DK$15,$F759,0),1),"%"),"")</f>
        <v>100%</v>
      </c>
      <c r="O759" s="20">
        <f ca="1">IFERROR(OFFSET(환산공식!DL$15,$F759,0),"")</f>
        <v>0</v>
      </c>
      <c r="P759" s="188" t="str">
        <f t="shared" ca="1" si="22"/>
        <v>3% 이하</v>
      </c>
      <c r="Q759" s="194">
        <f ca="1">IFERROR(ROUND(OFFSET(환산공식!$FG$15,$F759,0),3),"")</f>
        <v>800</v>
      </c>
      <c r="R759" s="194">
        <f ca="1">OFFSET('배치점수 계산기'!H$10,$D759,0)</f>
        <v>964.15300000000002</v>
      </c>
      <c r="S759" s="194">
        <f ca="1">OFFSET('배치점수 계산기'!I$10,$D759,0)</f>
        <v>963.73299999999995</v>
      </c>
      <c r="T759" s="194">
        <f ca="1">OFFSET('배치점수 계산기'!J$10,$D759,0)</f>
        <v>962.74099999999999</v>
      </c>
      <c r="U759" s="194">
        <f ca="1">OFFSET('배치점수 계산기'!K$10,$D759,0)</f>
        <v>961.44600000000003</v>
      </c>
      <c r="V759" s="194">
        <f ca="1">OFFSET('배치점수 계산기'!L$10,$D759,0)</f>
        <v>960.2</v>
      </c>
      <c r="W759" s="186" t="str">
        <f ca="1">OFFSET('배치점수 계산기'!M$10,$D759,0)</f>
        <v>표점/만점</v>
      </c>
      <c r="X759" s="184" t="str">
        <f ca="1">OFFSET('배치점수 계산기'!N$10,$D759,0)</f>
        <v>표점/만점</v>
      </c>
      <c r="Y759" s="188">
        <f ca="1">OFFSET(환산공식!FW$15,$F759,0)</f>
        <v>0.25</v>
      </c>
      <c r="Z759" s="20">
        <f ca="1">OFFSET(환산공식!FX$15,$F759,0)</f>
        <v>0.37</v>
      </c>
      <c r="AA759" s="179">
        <f ca="1">OFFSET(환산공식!FY$15,$F759,0)</f>
        <v>0.37</v>
      </c>
      <c r="AB759" s="3"/>
      <c r="AD759">
        <f t="shared" ca="1" si="23"/>
        <v>6</v>
      </c>
      <c r="AF759" s="3"/>
      <c r="AG759" s="3"/>
      <c r="AH759" s="3"/>
    </row>
    <row r="760" spans="1:34">
      <c r="A760" s="198"/>
      <c r="B760" s="198"/>
      <c r="C760" s="198" t="s">
        <v>2212</v>
      </c>
      <c r="D760" s="195">
        <v>1771</v>
      </c>
      <c r="E760" s="195">
        <v>227</v>
      </c>
      <c r="F760" s="195">
        <v>227</v>
      </c>
      <c r="G760" s="239">
        <v>753</v>
      </c>
      <c r="H760" s="197" t="s">
        <v>79</v>
      </c>
      <c r="I760" s="242" t="s">
        <v>214</v>
      </c>
      <c r="J760" s="242" t="s">
        <v>542</v>
      </c>
      <c r="K760" s="195" t="s">
        <v>71</v>
      </c>
      <c r="L760" s="20" t="str">
        <f ca="1">IF(OFFSET(환산공식!$ED$15,$F760,0)=1,"O","X")</f>
        <v>X</v>
      </c>
      <c r="M760" s="188">
        <f ca="1">IFERROR(OFFSET(환산공식!DJ$15,$F760,0),"")</f>
        <v>40</v>
      </c>
      <c r="N760" s="20" t="str">
        <f ca="1">IFERROR(CONCATENATE(ROUND(OFFSET(환산공식!DK$15,$F760,0),1),"%"),"")</f>
        <v>100%</v>
      </c>
      <c r="O760" s="20">
        <f ca="1">IFERROR(OFFSET(환산공식!DL$15,$F760,0),"")</f>
        <v>0</v>
      </c>
      <c r="P760" s="188" t="str">
        <f t="shared" ca="1" si="22"/>
        <v>3% 이하</v>
      </c>
      <c r="Q760" s="194">
        <f ca="1">IFERROR(ROUND(OFFSET(환산공식!$FG$15,$F760,0),3),"")</f>
        <v>800</v>
      </c>
      <c r="R760" s="194">
        <f ca="1">OFFSET('배치점수 계산기'!H$10,$D760,0)</f>
        <v>971.54600000000005</v>
      </c>
      <c r="S760" s="194">
        <f ca="1">OFFSET('배치점수 계산기'!I$10,$D760,0)</f>
        <v>971.04300000000001</v>
      </c>
      <c r="T760" s="194">
        <f ca="1">OFFSET('배치점수 계산기'!J$10,$D760,0)</f>
        <v>969.99</v>
      </c>
      <c r="U760" s="194">
        <f ca="1">OFFSET('배치점수 계산기'!K$10,$D760,0)</f>
        <v>968.66099999999994</v>
      </c>
      <c r="V760" s="194">
        <f ca="1">OFFSET('배치점수 계산기'!L$10,$D760,0)</f>
        <v>967.202</v>
      </c>
      <c r="W760" s="186" t="str">
        <f ca="1">OFFSET('배치점수 계산기'!M$10,$D760,0)</f>
        <v>표점/만점</v>
      </c>
      <c r="X760" s="184" t="str">
        <f ca="1">OFFSET('배치점수 계산기'!N$10,$D760,0)</f>
        <v>표점/만점</v>
      </c>
      <c r="Y760" s="188">
        <f ca="1">OFFSET(환산공식!FW$15,$F760,0)</f>
        <v>0.38</v>
      </c>
      <c r="Z760" s="20">
        <f ca="1">OFFSET(환산공식!FX$15,$F760,0)</f>
        <v>0.25</v>
      </c>
      <c r="AA760" s="179">
        <f ca="1">OFFSET(환산공식!FY$15,$F760,0)</f>
        <v>0.37</v>
      </c>
      <c r="AB760" s="3"/>
      <c r="AD760">
        <f t="shared" ca="1" si="23"/>
        <v>6</v>
      </c>
      <c r="AF760" s="3"/>
      <c r="AG760" s="3"/>
      <c r="AH760" s="3"/>
    </row>
    <row r="761" spans="1:34">
      <c r="A761" s="198"/>
      <c r="B761" s="198"/>
      <c r="C761" s="198" t="s">
        <v>2213</v>
      </c>
      <c r="D761" s="195">
        <v>1772</v>
      </c>
      <c r="E761" s="195">
        <v>227</v>
      </c>
      <c r="F761" s="195">
        <v>227</v>
      </c>
      <c r="G761" s="239">
        <v>754</v>
      </c>
      <c r="H761" s="197" t="s">
        <v>79</v>
      </c>
      <c r="I761" s="242" t="s">
        <v>214</v>
      </c>
      <c r="J761" s="242" t="s">
        <v>8190</v>
      </c>
      <c r="K761" s="195" t="s">
        <v>71</v>
      </c>
      <c r="L761" s="20" t="str">
        <f ca="1">IF(OFFSET(환산공식!$ED$15,$F761,0)=1,"O","X")</f>
        <v>X</v>
      </c>
      <c r="M761" s="188">
        <f ca="1">IFERROR(OFFSET(환산공식!DJ$15,$F761,0),"")</f>
        <v>40</v>
      </c>
      <c r="N761" s="20" t="str">
        <f ca="1">IFERROR(CONCATENATE(ROUND(OFFSET(환산공식!DK$15,$F761,0),1),"%"),"")</f>
        <v>100%</v>
      </c>
      <c r="O761" s="20">
        <f ca="1">IFERROR(OFFSET(환산공식!DL$15,$F761,0),"")</f>
        <v>0</v>
      </c>
      <c r="P761" s="188" t="str">
        <f t="shared" ca="1" si="22"/>
        <v>3% 이하</v>
      </c>
      <c r="Q761" s="194">
        <f ca="1">IFERROR(ROUND(OFFSET(환산공식!$FG$15,$F761,0),3),"")</f>
        <v>800</v>
      </c>
      <c r="R761" s="194">
        <f ca="1">OFFSET('배치점수 계산기'!H$10,$D761,0)</f>
        <v>971.54600000000005</v>
      </c>
      <c r="S761" s="194">
        <f ca="1">OFFSET('배치점수 계산기'!I$10,$D761,0)</f>
        <v>971.00599999999997</v>
      </c>
      <c r="T761" s="194">
        <f ca="1">OFFSET('배치점수 계산기'!J$10,$D761,0)</f>
        <v>969.95299999999997</v>
      </c>
      <c r="U761" s="194">
        <f ca="1">OFFSET('배치점수 계산기'!K$10,$D761,0)</f>
        <v>968.66099999999994</v>
      </c>
      <c r="V761" s="194">
        <f ca="1">OFFSET('배치점수 계산기'!L$10,$D761,0)</f>
        <v>967.11300000000006</v>
      </c>
      <c r="W761" s="186" t="str">
        <f ca="1">OFFSET('배치점수 계산기'!M$10,$D761,0)</f>
        <v>표점/만점</v>
      </c>
      <c r="X761" s="184" t="str">
        <f ca="1">OFFSET('배치점수 계산기'!N$10,$D761,0)</f>
        <v>표점/만점</v>
      </c>
      <c r="Y761" s="188">
        <f ca="1">OFFSET(환산공식!FW$15,$F761,0)</f>
        <v>0.38</v>
      </c>
      <c r="Z761" s="20">
        <f ca="1">OFFSET(환산공식!FX$15,$F761,0)</f>
        <v>0.25</v>
      </c>
      <c r="AA761" s="179">
        <f ca="1">OFFSET(환산공식!FY$15,$F761,0)</f>
        <v>0.37</v>
      </c>
      <c r="AB761" s="3"/>
      <c r="AD761">
        <f t="shared" ca="1" si="23"/>
        <v>6</v>
      </c>
      <c r="AF761" s="3"/>
      <c r="AG761" s="3"/>
      <c r="AH761" s="3"/>
    </row>
    <row r="762" spans="1:34">
      <c r="A762" s="198"/>
      <c r="B762" s="198"/>
      <c r="C762" s="198" t="s">
        <v>2214</v>
      </c>
      <c r="D762" s="195">
        <v>1773</v>
      </c>
      <c r="E762" s="195">
        <v>227</v>
      </c>
      <c r="F762" s="195">
        <v>227</v>
      </c>
      <c r="G762" s="239">
        <v>755</v>
      </c>
      <c r="H762" s="197" t="s">
        <v>79</v>
      </c>
      <c r="I762" s="242" t="s">
        <v>214</v>
      </c>
      <c r="J762" s="242" t="s">
        <v>8216</v>
      </c>
      <c r="K762" s="195" t="s">
        <v>71</v>
      </c>
      <c r="L762" s="20" t="str">
        <f ca="1">IF(OFFSET(환산공식!$ED$15,$F762,0)=1,"O","X")</f>
        <v>X</v>
      </c>
      <c r="M762" s="188">
        <f ca="1">IFERROR(OFFSET(환산공식!DJ$15,$F762,0),"")</f>
        <v>40</v>
      </c>
      <c r="N762" s="20" t="str">
        <f ca="1">IFERROR(CONCATENATE(ROUND(OFFSET(환산공식!DK$15,$F762,0),1),"%"),"")</f>
        <v>100%</v>
      </c>
      <c r="O762" s="20">
        <f ca="1">IFERROR(OFFSET(환산공식!DL$15,$F762,0),"")</f>
        <v>0</v>
      </c>
      <c r="P762" s="188" t="str">
        <f t="shared" ca="1" si="22"/>
        <v>3% 이하</v>
      </c>
      <c r="Q762" s="194">
        <f ca="1">IFERROR(ROUND(OFFSET(환산공식!$FG$15,$F762,0),3),"")</f>
        <v>800</v>
      </c>
      <c r="R762" s="194">
        <f ca="1">OFFSET('배치점수 계산기'!H$10,$D762,0)</f>
        <v>971.26599999999996</v>
      </c>
      <c r="S762" s="194">
        <f ca="1">OFFSET('배치점수 계산기'!I$10,$D762,0)</f>
        <v>970.76900000000001</v>
      </c>
      <c r="T762" s="194">
        <f ca="1">OFFSET('배치점수 계산기'!J$10,$D762,0)</f>
        <v>969.721</v>
      </c>
      <c r="U762" s="194">
        <f ca="1">OFFSET('배치점수 계산기'!K$10,$D762,0)</f>
        <v>968.43399999999997</v>
      </c>
      <c r="V762" s="194">
        <f ca="1">OFFSET('배치점수 계산기'!L$10,$D762,0)</f>
        <v>966.88199999999995</v>
      </c>
      <c r="W762" s="186" t="str">
        <f ca="1">OFFSET('배치점수 계산기'!M$10,$D762,0)</f>
        <v>표점/만점</v>
      </c>
      <c r="X762" s="184" t="str">
        <f ca="1">OFFSET('배치점수 계산기'!N$10,$D762,0)</f>
        <v>표점/만점</v>
      </c>
      <c r="Y762" s="188">
        <f ca="1">OFFSET(환산공식!FW$15,$F762,0)</f>
        <v>0.38</v>
      </c>
      <c r="Z762" s="20">
        <f ca="1">OFFSET(환산공식!FX$15,$F762,0)</f>
        <v>0.25</v>
      </c>
      <c r="AA762" s="179">
        <f ca="1">OFFSET(환산공식!FY$15,$F762,0)</f>
        <v>0.37</v>
      </c>
      <c r="AB762" s="3"/>
      <c r="AD762">
        <f t="shared" ca="1" si="23"/>
        <v>6</v>
      </c>
      <c r="AF762" s="3"/>
      <c r="AG762" s="3"/>
      <c r="AH762" s="3"/>
    </row>
    <row r="763" spans="1:34">
      <c r="A763" s="198"/>
      <c r="B763" s="198"/>
      <c r="C763" s="198" t="s">
        <v>2215</v>
      </c>
      <c r="D763" s="195">
        <v>1774</v>
      </c>
      <c r="E763" s="195">
        <v>227</v>
      </c>
      <c r="F763" s="195">
        <v>227</v>
      </c>
      <c r="G763" s="239">
        <v>756</v>
      </c>
      <c r="H763" s="197" t="s">
        <v>79</v>
      </c>
      <c r="I763" s="242" t="s">
        <v>214</v>
      </c>
      <c r="J763" s="242" t="s">
        <v>8659</v>
      </c>
      <c r="K763" s="195" t="s">
        <v>71</v>
      </c>
      <c r="L763" s="20" t="str">
        <f ca="1">IF(OFFSET(환산공식!$ED$15,$F763,0)=1,"O","X")</f>
        <v>X</v>
      </c>
      <c r="M763" s="188">
        <f ca="1">IFERROR(OFFSET(환산공식!DJ$15,$F763,0),"")</f>
        <v>40</v>
      </c>
      <c r="N763" s="20" t="str">
        <f ca="1">IFERROR(CONCATENATE(ROUND(OFFSET(환산공식!DK$15,$F763,0),1),"%"),"")</f>
        <v>100%</v>
      </c>
      <c r="O763" s="20">
        <f ca="1">IFERROR(OFFSET(환산공식!DL$15,$F763,0),"")</f>
        <v>0</v>
      </c>
      <c r="P763" s="188" t="str">
        <f t="shared" ca="1" si="22"/>
        <v>3% 이하</v>
      </c>
      <c r="Q763" s="194">
        <f ca="1">IFERROR(ROUND(OFFSET(환산공식!$FG$15,$F763,0),3),"")</f>
        <v>800</v>
      </c>
      <c r="R763" s="194">
        <f ca="1">OFFSET('배치점수 계산기'!H$10,$D763,0)</f>
        <v>970.25800000000004</v>
      </c>
      <c r="S763" s="194">
        <f ca="1">OFFSET('배치점수 계산기'!I$10,$D763,0)</f>
        <v>969.798</v>
      </c>
      <c r="T763" s="194">
        <f ca="1">OFFSET('배치점수 계산기'!J$10,$D763,0)</f>
        <v>968.73900000000003</v>
      </c>
      <c r="U763" s="194">
        <f ca="1">OFFSET('배치점수 계산기'!K$10,$D763,0)</f>
        <v>967.57600000000002</v>
      </c>
      <c r="V763" s="194">
        <f ca="1">OFFSET('배치점수 계산기'!L$10,$D763,0)</f>
        <v>966.11699999999996</v>
      </c>
      <c r="W763" s="186" t="str">
        <f ca="1">OFFSET('배치점수 계산기'!M$10,$D763,0)</f>
        <v>표점/만점</v>
      </c>
      <c r="X763" s="184" t="str">
        <f ca="1">OFFSET('배치점수 계산기'!N$10,$D763,0)</f>
        <v>표점/만점</v>
      </c>
      <c r="Y763" s="188">
        <f ca="1">OFFSET(환산공식!FW$15,$F763,0)</f>
        <v>0.38</v>
      </c>
      <c r="Z763" s="20">
        <f ca="1">OFFSET(환산공식!FX$15,$F763,0)</f>
        <v>0.25</v>
      </c>
      <c r="AA763" s="179">
        <f ca="1">OFFSET(환산공식!FY$15,$F763,0)</f>
        <v>0.37</v>
      </c>
      <c r="AB763" s="3"/>
      <c r="AD763">
        <f t="shared" ca="1" si="23"/>
        <v>6</v>
      </c>
      <c r="AF763" s="3"/>
      <c r="AG763" s="3"/>
      <c r="AH763" s="3"/>
    </row>
    <row r="764" spans="1:34">
      <c r="A764" s="198"/>
      <c r="B764" s="198"/>
      <c r="C764" s="198" t="s">
        <v>2216</v>
      </c>
      <c r="D764" s="195">
        <v>1775</v>
      </c>
      <c r="E764" s="195">
        <v>227</v>
      </c>
      <c r="F764" s="195">
        <v>227</v>
      </c>
      <c r="G764" s="239">
        <v>757</v>
      </c>
      <c r="H764" s="197" t="s">
        <v>79</v>
      </c>
      <c r="I764" s="242" t="s">
        <v>214</v>
      </c>
      <c r="J764" s="242" t="s">
        <v>8214</v>
      </c>
      <c r="K764" s="195" t="s">
        <v>71</v>
      </c>
      <c r="L764" s="20" t="str">
        <f ca="1">IF(OFFSET(환산공식!$ED$15,$F764,0)=1,"O","X")</f>
        <v>X</v>
      </c>
      <c r="M764" s="188">
        <f ca="1">IFERROR(OFFSET(환산공식!DJ$15,$F764,0),"")</f>
        <v>40</v>
      </c>
      <c r="N764" s="20" t="str">
        <f ca="1">IFERROR(CONCATENATE(ROUND(OFFSET(환산공식!DK$15,$F764,0),1),"%"),"")</f>
        <v>100%</v>
      </c>
      <c r="O764" s="20">
        <f ca="1">IFERROR(OFFSET(환산공식!DL$15,$F764,0),"")</f>
        <v>0</v>
      </c>
      <c r="P764" s="188" t="str">
        <f t="shared" ca="1" si="22"/>
        <v>3% 이하</v>
      </c>
      <c r="Q764" s="194">
        <f ca="1">IFERROR(ROUND(OFFSET(환산공식!$FG$15,$F764,0),3),"")</f>
        <v>800</v>
      </c>
      <c r="R764" s="194">
        <f ca="1">OFFSET('배치점수 계산기'!H$10,$D764,0)</f>
        <v>970.06299999999999</v>
      </c>
      <c r="S764" s="194">
        <f ca="1">OFFSET('배치점수 계산기'!I$10,$D764,0)</f>
        <v>969.60299999999995</v>
      </c>
      <c r="T764" s="194">
        <f ca="1">OFFSET('배치점수 계산기'!J$10,$D764,0)</f>
        <v>968.63199999999995</v>
      </c>
      <c r="U764" s="194">
        <f ca="1">OFFSET('배치점수 계산기'!K$10,$D764,0)</f>
        <v>967.38800000000003</v>
      </c>
      <c r="V764" s="194">
        <f ca="1">OFFSET('배치점수 계산기'!L$10,$D764,0)</f>
        <v>965.94799999999998</v>
      </c>
      <c r="W764" s="186" t="str">
        <f ca="1">OFFSET('배치점수 계산기'!M$10,$D764,0)</f>
        <v>표점/만점</v>
      </c>
      <c r="X764" s="184" t="str">
        <f ca="1">OFFSET('배치점수 계산기'!N$10,$D764,0)</f>
        <v>표점/만점</v>
      </c>
      <c r="Y764" s="188">
        <f ca="1">OFFSET(환산공식!FW$15,$F764,0)</f>
        <v>0.38</v>
      </c>
      <c r="Z764" s="20">
        <f ca="1">OFFSET(환산공식!FX$15,$F764,0)</f>
        <v>0.25</v>
      </c>
      <c r="AA764" s="179">
        <f ca="1">OFFSET(환산공식!FY$15,$F764,0)</f>
        <v>0.37</v>
      </c>
      <c r="AB764" s="3"/>
      <c r="AD764">
        <f t="shared" ca="1" si="23"/>
        <v>6</v>
      </c>
      <c r="AF764" s="3"/>
      <c r="AG764" s="3"/>
      <c r="AH764" s="3"/>
    </row>
    <row r="765" spans="1:34">
      <c r="A765" s="198"/>
      <c r="B765" s="198"/>
      <c r="C765" s="198" t="s">
        <v>2217</v>
      </c>
      <c r="D765" s="195">
        <v>1776</v>
      </c>
      <c r="E765" s="195">
        <v>227</v>
      </c>
      <c r="F765" s="195">
        <v>227</v>
      </c>
      <c r="G765" s="239">
        <v>758</v>
      </c>
      <c r="H765" s="197" t="s">
        <v>79</v>
      </c>
      <c r="I765" s="242" t="s">
        <v>214</v>
      </c>
      <c r="J765" s="242" t="s">
        <v>11879</v>
      </c>
      <c r="K765" s="195" t="s">
        <v>71</v>
      </c>
      <c r="L765" s="20" t="str">
        <f ca="1">IF(OFFSET(환산공식!$ED$15,$F765,0)=1,"O","X")</f>
        <v>X</v>
      </c>
      <c r="M765" s="188">
        <f ca="1">IFERROR(OFFSET(환산공식!DJ$15,$F765,0),"")</f>
        <v>40</v>
      </c>
      <c r="N765" s="20" t="str">
        <f ca="1">IFERROR(CONCATENATE(ROUND(OFFSET(환산공식!DK$15,$F765,0),1),"%"),"")</f>
        <v>100%</v>
      </c>
      <c r="O765" s="20">
        <f ca="1">IFERROR(OFFSET(환산공식!DL$15,$F765,0),"")</f>
        <v>0</v>
      </c>
      <c r="P765" s="188" t="str">
        <f t="shared" ca="1" si="22"/>
        <v>3% 이하</v>
      </c>
      <c r="Q765" s="194">
        <f ca="1">IFERROR(ROUND(OFFSET(환산공식!$FG$15,$F765,0),3),"")</f>
        <v>800</v>
      </c>
      <c r="R765" s="194">
        <f ca="1">OFFSET('배치점수 계산기'!H$10,$D765,0)</f>
        <v>969.68</v>
      </c>
      <c r="S765" s="194">
        <f ca="1">OFFSET('배치점수 계산기'!I$10,$D765,0)</f>
        <v>969.22</v>
      </c>
      <c r="T765" s="194">
        <f ca="1">OFFSET('배치점수 계산기'!J$10,$D765,0)</f>
        <v>968.35900000000004</v>
      </c>
      <c r="U765" s="194">
        <f ca="1">OFFSET('배치점수 계산기'!K$10,$D765,0)</f>
        <v>967.23099999999999</v>
      </c>
      <c r="V765" s="194">
        <f ca="1">OFFSET('배치점수 계산기'!L$10,$D765,0)</f>
        <v>965.91899999999998</v>
      </c>
      <c r="W765" s="186" t="str">
        <f ca="1">OFFSET('배치점수 계산기'!M$10,$D765,0)</f>
        <v>표점/만점</v>
      </c>
      <c r="X765" s="184" t="str">
        <f ca="1">OFFSET('배치점수 계산기'!N$10,$D765,0)</f>
        <v>표점/만점</v>
      </c>
      <c r="Y765" s="188">
        <f ca="1">OFFSET(환산공식!FW$15,$F765,0)</f>
        <v>0.38</v>
      </c>
      <c r="Z765" s="20">
        <f ca="1">OFFSET(환산공식!FX$15,$F765,0)</f>
        <v>0.25</v>
      </c>
      <c r="AA765" s="179">
        <f ca="1">OFFSET(환산공식!FY$15,$F765,0)</f>
        <v>0.37</v>
      </c>
      <c r="AB765" s="3"/>
      <c r="AD765">
        <f t="shared" ca="1" si="23"/>
        <v>6</v>
      </c>
      <c r="AF765" s="3"/>
      <c r="AG765" s="3"/>
      <c r="AH765" s="3"/>
    </row>
    <row r="766" spans="1:34">
      <c r="A766" s="198"/>
      <c r="B766" s="198"/>
      <c r="C766" s="198" t="s">
        <v>2218</v>
      </c>
      <c r="D766" s="195">
        <v>1777</v>
      </c>
      <c r="E766" s="195">
        <v>227</v>
      </c>
      <c r="F766" s="195">
        <v>227</v>
      </c>
      <c r="G766" s="239">
        <v>759</v>
      </c>
      <c r="H766" s="197" t="s">
        <v>79</v>
      </c>
      <c r="I766" s="242" t="s">
        <v>214</v>
      </c>
      <c r="J766" s="242" t="s">
        <v>8534</v>
      </c>
      <c r="K766" s="195" t="s">
        <v>71</v>
      </c>
      <c r="L766" s="20" t="str">
        <f ca="1">IF(OFFSET(환산공식!$ED$15,$F766,0)=1,"O","X")</f>
        <v>X</v>
      </c>
      <c r="M766" s="188">
        <f ca="1">IFERROR(OFFSET(환산공식!DJ$15,$F766,0),"")</f>
        <v>40</v>
      </c>
      <c r="N766" s="20" t="str">
        <f ca="1">IFERROR(CONCATENATE(ROUND(OFFSET(환산공식!DK$15,$F766,0),1),"%"),"")</f>
        <v>100%</v>
      </c>
      <c r="O766" s="20">
        <f ca="1">IFERROR(OFFSET(환산공식!DL$15,$F766,0),"")</f>
        <v>0</v>
      </c>
      <c r="P766" s="188" t="str">
        <f t="shared" ca="1" si="22"/>
        <v>3% 이하</v>
      </c>
      <c r="Q766" s="194">
        <f ca="1">IFERROR(ROUND(OFFSET(환산공식!$FG$15,$F766,0),3),"")</f>
        <v>800</v>
      </c>
      <c r="R766" s="194">
        <f ca="1">OFFSET('배치점수 계산기'!H$10,$D766,0)</f>
        <v>969.36500000000001</v>
      </c>
      <c r="S766" s="194">
        <f ca="1">OFFSET('배치점수 계산기'!I$10,$D766,0)</f>
        <v>968.85900000000004</v>
      </c>
      <c r="T766" s="194">
        <f ca="1">OFFSET('배치점수 계산기'!J$10,$D766,0)</f>
        <v>967.96600000000001</v>
      </c>
      <c r="U766" s="194">
        <f ca="1">OFFSET('배치점수 계산기'!K$10,$D766,0)</f>
        <v>966.73400000000004</v>
      </c>
      <c r="V766" s="194">
        <f ca="1">OFFSET('배치점수 계산기'!L$10,$D766,0)</f>
        <v>965.33199999999999</v>
      </c>
      <c r="W766" s="186" t="str">
        <f ca="1">OFFSET('배치점수 계산기'!M$10,$D766,0)</f>
        <v>표점/만점</v>
      </c>
      <c r="X766" s="184" t="str">
        <f ca="1">OFFSET('배치점수 계산기'!N$10,$D766,0)</f>
        <v>표점/만점</v>
      </c>
      <c r="Y766" s="188">
        <f ca="1">OFFSET(환산공식!FW$15,$F766,0)</f>
        <v>0.38</v>
      </c>
      <c r="Z766" s="20">
        <f ca="1">OFFSET(환산공식!FX$15,$F766,0)</f>
        <v>0.25</v>
      </c>
      <c r="AA766" s="179">
        <f ca="1">OFFSET(환산공식!FY$15,$F766,0)</f>
        <v>0.37</v>
      </c>
      <c r="AB766" s="3"/>
      <c r="AD766">
        <f t="shared" ca="1" si="23"/>
        <v>6</v>
      </c>
      <c r="AF766" s="3"/>
      <c r="AG766" s="3"/>
      <c r="AH766" s="3"/>
    </row>
    <row r="767" spans="1:34">
      <c r="A767" s="198"/>
      <c r="B767" s="198"/>
      <c r="C767" s="198" t="s">
        <v>2219</v>
      </c>
      <c r="D767" s="195">
        <v>1778</v>
      </c>
      <c r="E767" s="195">
        <v>227</v>
      </c>
      <c r="F767" s="195">
        <v>227</v>
      </c>
      <c r="G767" s="239">
        <v>760</v>
      </c>
      <c r="H767" s="197" t="s">
        <v>79</v>
      </c>
      <c r="I767" s="242" t="s">
        <v>214</v>
      </c>
      <c r="J767" s="242" t="s">
        <v>8217</v>
      </c>
      <c r="K767" s="195" t="s">
        <v>71</v>
      </c>
      <c r="L767" s="20" t="str">
        <f ca="1">IF(OFFSET(환산공식!$ED$15,$F767,0)=1,"O","X")</f>
        <v>X</v>
      </c>
      <c r="M767" s="188">
        <f ca="1">IFERROR(OFFSET(환산공식!DJ$15,$F767,0),"")</f>
        <v>40</v>
      </c>
      <c r="N767" s="20" t="str">
        <f ca="1">IFERROR(CONCATENATE(ROUND(OFFSET(환산공식!DK$15,$F767,0),1),"%"),"")</f>
        <v>100%</v>
      </c>
      <c r="O767" s="20">
        <f ca="1">IFERROR(OFFSET(환산공식!DL$15,$F767,0),"")</f>
        <v>0</v>
      </c>
      <c r="P767" s="188" t="str">
        <f t="shared" ca="1" si="22"/>
        <v>3% 이하</v>
      </c>
      <c r="Q767" s="194">
        <f ca="1">IFERROR(ROUND(OFFSET(환산공식!$FG$15,$F767,0),3),"")</f>
        <v>800</v>
      </c>
      <c r="R767" s="194">
        <f ca="1">OFFSET('배치점수 계산기'!H$10,$D767,0)</f>
        <v>969.36500000000001</v>
      </c>
      <c r="S767" s="194">
        <f ca="1">OFFSET('배치점수 계산기'!I$10,$D767,0)</f>
        <v>968.85900000000004</v>
      </c>
      <c r="T767" s="194">
        <f ca="1">OFFSET('배치점수 계산기'!J$10,$D767,0)</f>
        <v>967.96600000000001</v>
      </c>
      <c r="U767" s="194">
        <f ca="1">OFFSET('배치점수 계산기'!K$10,$D767,0)</f>
        <v>966.73400000000004</v>
      </c>
      <c r="V767" s="194">
        <f ca="1">OFFSET('배치점수 계산기'!L$10,$D767,0)</f>
        <v>965.33199999999999</v>
      </c>
      <c r="W767" s="186" t="str">
        <f ca="1">OFFSET('배치점수 계산기'!M$10,$D767,0)</f>
        <v>표점/만점</v>
      </c>
      <c r="X767" s="184" t="str">
        <f ca="1">OFFSET('배치점수 계산기'!N$10,$D767,0)</f>
        <v>표점/만점</v>
      </c>
      <c r="Y767" s="188">
        <f ca="1">OFFSET(환산공식!FW$15,$F767,0)</f>
        <v>0.38</v>
      </c>
      <c r="Z767" s="20">
        <f ca="1">OFFSET(환산공식!FX$15,$F767,0)</f>
        <v>0.25</v>
      </c>
      <c r="AA767" s="179">
        <f ca="1">OFFSET(환산공식!FY$15,$F767,0)</f>
        <v>0.37</v>
      </c>
      <c r="AB767" s="3"/>
      <c r="AD767">
        <f t="shared" ca="1" si="23"/>
        <v>6</v>
      </c>
      <c r="AF767" s="3"/>
      <c r="AG767" s="3"/>
      <c r="AH767" s="3"/>
    </row>
    <row r="768" spans="1:34">
      <c r="A768" s="198"/>
      <c r="B768" s="198"/>
      <c r="C768" s="198" t="s">
        <v>2220</v>
      </c>
      <c r="D768" s="195">
        <v>1779</v>
      </c>
      <c r="E768" s="195">
        <v>227</v>
      </c>
      <c r="F768" s="195">
        <v>227</v>
      </c>
      <c r="G768" s="239">
        <v>761</v>
      </c>
      <c r="H768" s="197" t="s">
        <v>79</v>
      </c>
      <c r="I768" s="242" t="s">
        <v>214</v>
      </c>
      <c r="J768" s="242" t="s">
        <v>8726</v>
      </c>
      <c r="K768" s="195" t="s">
        <v>71</v>
      </c>
      <c r="L768" s="20" t="str">
        <f ca="1">IF(OFFSET(환산공식!$ED$15,$F768,0)=1,"O","X")</f>
        <v>X</v>
      </c>
      <c r="M768" s="188">
        <f ca="1">IFERROR(OFFSET(환산공식!DJ$15,$F768,0),"")</f>
        <v>40</v>
      </c>
      <c r="N768" s="20" t="str">
        <f ca="1">IFERROR(CONCATENATE(ROUND(OFFSET(환산공식!DK$15,$F768,0),1),"%"),"")</f>
        <v>100%</v>
      </c>
      <c r="O768" s="20">
        <f ca="1">IFERROR(OFFSET(환산공식!DL$15,$F768,0),"")</f>
        <v>0</v>
      </c>
      <c r="P768" s="188" t="str">
        <f t="shared" ca="1" si="22"/>
        <v>3% 이하</v>
      </c>
      <c r="Q768" s="194">
        <f ca="1">IFERROR(ROUND(OFFSET(환산공식!$FG$15,$F768,0),3),"")</f>
        <v>800</v>
      </c>
      <c r="R768" s="194">
        <f ca="1">OFFSET('배치점수 계산기'!H$10,$D768,0)</f>
        <v>969.09199999999998</v>
      </c>
      <c r="S768" s="194">
        <f ca="1">OFFSET('배치점수 계산기'!I$10,$D768,0)</f>
        <v>968.66099999999994</v>
      </c>
      <c r="T768" s="194">
        <f ca="1">OFFSET('배치점수 계산기'!J$10,$D768,0)</f>
        <v>967.73</v>
      </c>
      <c r="U768" s="194">
        <f ca="1">OFFSET('배치점수 계산기'!K$10,$D768,0)</f>
        <v>966.49800000000005</v>
      </c>
      <c r="V768" s="194">
        <f ca="1">OFFSET('배치점수 계산기'!L$10,$D768,0)</f>
        <v>965.14599999999996</v>
      </c>
      <c r="W768" s="186" t="str">
        <f ca="1">OFFSET('배치점수 계산기'!M$10,$D768,0)</f>
        <v>표점/만점</v>
      </c>
      <c r="X768" s="184" t="str">
        <f ca="1">OFFSET('배치점수 계산기'!N$10,$D768,0)</f>
        <v>표점/만점</v>
      </c>
      <c r="Y768" s="188">
        <f ca="1">OFFSET(환산공식!FW$15,$F768,0)</f>
        <v>0.38</v>
      </c>
      <c r="Z768" s="20">
        <f ca="1">OFFSET(환산공식!FX$15,$F768,0)</f>
        <v>0.25</v>
      </c>
      <c r="AA768" s="179">
        <f ca="1">OFFSET(환산공식!FY$15,$F768,0)</f>
        <v>0.37</v>
      </c>
      <c r="AB768" s="3"/>
      <c r="AD768">
        <f t="shared" ca="1" si="23"/>
        <v>6</v>
      </c>
      <c r="AF768" s="3"/>
      <c r="AG768" s="3"/>
      <c r="AH768" s="3"/>
    </row>
    <row r="769" spans="1:34">
      <c r="A769" s="198"/>
      <c r="B769" s="198"/>
      <c r="C769" s="198" t="s">
        <v>2221</v>
      </c>
      <c r="D769" s="195">
        <v>1780</v>
      </c>
      <c r="E769" s="195">
        <v>227</v>
      </c>
      <c r="F769" s="195">
        <v>227</v>
      </c>
      <c r="G769" s="239">
        <v>762</v>
      </c>
      <c r="H769" s="197" t="s">
        <v>79</v>
      </c>
      <c r="I769" s="242" t="s">
        <v>214</v>
      </c>
      <c r="J769" s="242" t="s">
        <v>8269</v>
      </c>
      <c r="K769" s="195" t="s">
        <v>71</v>
      </c>
      <c r="L769" s="20" t="str">
        <f ca="1">IF(OFFSET(환산공식!$ED$15,$F769,0)=1,"O","X")</f>
        <v>X</v>
      </c>
      <c r="M769" s="188">
        <f ca="1">IFERROR(OFFSET(환산공식!DJ$15,$F769,0),"")</f>
        <v>40</v>
      </c>
      <c r="N769" s="20" t="str">
        <f ca="1">IFERROR(CONCATENATE(ROUND(OFFSET(환산공식!DK$15,$F769,0),1),"%"),"")</f>
        <v>100%</v>
      </c>
      <c r="O769" s="20">
        <f ca="1">IFERROR(OFFSET(환산공식!DL$15,$F769,0),"")</f>
        <v>0</v>
      </c>
      <c r="P769" s="188" t="str">
        <f t="shared" ca="1" si="22"/>
        <v>3% 이하</v>
      </c>
      <c r="Q769" s="194">
        <f ca="1">IFERROR(ROUND(OFFSET(환산공식!$FG$15,$F769,0),3),"")</f>
        <v>800</v>
      </c>
      <c r="R769" s="194">
        <f ca="1">OFFSET('배치점수 계산기'!H$10,$D769,0)</f>
        <v>968.89599999999996</v>
      </c>
      <c r="S769" s="194">
        <f ca="1">OFFSET('배치점수 계산기'!I$10,$D769,0)</f>
        <v>968.43399999999997</v>
      </c>
      <c r="T769" s="194">
        <f ca="1">OFFSET('배치점수 계산기'!J$10,$D769,0)</f>
        <v>967.495</v>
      </c>
      <c r="U769" s="194">
        <f ca="1">OFFSET('배치점수 계산기'!K$10,$D769,0)</f>
        <v>966.3</v>
      </c>
      <c r="V769" s="194">
        <f ca="1">OFFSET('배치점수 계산기'!L$10,$D769,0)</f>
        <v>964.93899999999996</v>
      </c>
      <c r="W769" s="186" t="str">
        <f ca="1">OFFSET('배치점수 계산기'!M$10,$D769,0)</f>
        <v>표점/만점</v>
      </c>
      <c r="X769" s="184" t="str">
        <f ca="1">OFFSET('배치점수 계산기'!N$10,$D769,0)</f>
        <v>표점/만점</v>
      </c>
      <c r="Y769" s="188">
        <f ca="1">OFFSET(환산공식!FW$15,$F769,0)</f>
        <v>0.38</v>
      </c>
      <c r="Z769" s="20">
        <f ca="1">OFFSET(환산공식!FX$15,$F769,0)</f>
        <v>0.25</v>
      </c>
      <c r="AA769" s="179">
        <f ca="1">OFFSET(환산공식!FY$15,$F769,0)</f>
        <v>0.37</v>
      </c>
      <c r="AB769" s="3"/>
      <c r="AD769">
        <f t="shared" ca="1" si="23"/>
        <v>6</v>
      </c>
      <c r="AF769" s="3"/>
      <c r="AG769" s="3"/>
      <c r="AH769" s="3"/>
    </row>
    <row r="770" spans="1:34">
      <c r="A770" s="198"/>
      <c r="B770" s="198"/>
      <c r="C770" s="198" t="s">
        <v>2222</v>
      </c>
      <c r="D770" s="195">
        <v>1781</v>
      </c>
      <c r="E770" s="195">
        <v>227</v>
      </c>
      <c r="F770" s="195">
        <v>227</v>
      </c>
      <c r="G770" s="239">
        <v>763</v>
      </c>
      <c r="H770" s="197" t="s">
        <v>79</v>
      </c>
      <c r="I770" s="242" t="s">
        <v>214</v>
      </c>
      <c r="J770" s="242" t="s">
        <v>12342</v>
      </c>
      <c r="K770" s="195" t="s">
        <v>71</v>
      </c>
      <c r="L770" s="20" t="str">
        <f ca="1">IF(OFFSET(환산공식!$ED$15,$F770,0)=1,"O","X")</f>
        <v>X</v>
      </c>
      <c r="M770" s="188">
        <f ca="1">IFERROR(OFFSET(환산공식!DJ$15,$F770,0),"")</f>
        <v>40</v>
      </c>
      <c r="N770" s="20" t="str">
        <f ca="1">IFERROR(CONCATENATE(ROUND(OFFSET(환산공식!DK$15,$F770,0),1),"%"),"")</f>
        <v>100%</v>
      </c>
      <c r="O770" s="20">
        <f ca="1">IFERROR(OFFSET(환산공식!DL$15,$F770,0),"")</f>
        <v>0</v>
      </c>
      <c r="P770" s="188" t="str">
        <f t="shared" ca="1" si="22"/>
        <v>3% 이하</v>
      </c>
      <c r="Q770" s="194">
        <f ca="1">IFERROR(ROUND(OFFSET(환산공식!$FG$15,$F770,0),3),"")</f>
        <v>800</v>
      </c>
      <c r="R770" s="194">
        <f ca="1">OFFSET('배치점수 계산기'!H$10,$D770,0)</f>
        <v>967.73</v>
      </c>
      <c r="S770" s="194">
        <f ca="1">OFFSET('배치점수 계산기'!I$10,$D770,0)</f>
        <v>967.31200000000001</v>
      </c>
      <c r="T770" s="194">
        <f ca="1">OFFSET('배치점수 계산기'!J$10,$D770,0)</f>
        <v>966.37800000000004</v>
      </c>
      <c r="U770" s="194">
        <f ca="1">OFFSET('배치점수 계산기'!K$10,$D770,0)</f>
        <v>965.3</v>
      </c>
      <c r="V770" s="194">
        <f ca="1">OFFSET('배치점수 계산기'!L$10,$D770,0)</f>
        <v>963.85799999999995</v>
      </c>
      <c r="W770" s="186" t="str">
        <f ca="1">OFFSET('배치점수 계산기'!M$10,$D770,0)</f>
        <v>표점/만점</v>
      </c>
      <c r="X770" s="184" t="str">
        <f ca="1">OFFSET('배치점수 계산기'!N$10,$D770,0)</f>
        <v>표점/만점</v>
      </c>
      <c r="Y770" s="188">
        <f ca="1">OFFSET(환산공식!FW$15,$F770,0)</f>
        <v>0.38</v>
      </c>
      <c r="Z770" s="20">
        <f ca="1">OFFSET(환산공식!FX$15,$F770,0)</f>
        <v>0.25</v>
      </c>
      <c r="AA770" s="179">
        <f ca="1">OFFSET(환산공식!FY$15,$F770,0)</f>
        <v>0.37</v>
      </c>
      <c r="AB770" s="3"/>
      <c r="AD770">
        <f t="shared" ca="1" si="23"/>
        <v>6</v>
      </c>
      <c r="AF770" s="3"/>
      <c r="AG770" s="3"/>
      <c r="AH770" s="3"/>
    </row>
    <row r="771" spans="1:34">
      <c r="A771" s="198"/>
      <c r="B771" s="198"/>
      <c r="C771" s="198" t="s">
        <v>2223</v>
      </c>
      <c r="D771" s="195">
        <v>1786</v>
      </c>
      <c r="E771" s="195">
        <v>1</v>
      </c>
      <c r="F771" s="195">
        <v>1</v>
      </c>
      <c r="G771" s="239">
        <v>764</v>
      </c>
      <c r="H771" s="197" t="s">
        <v>79</v>
      </c>
      <c r="I771" s="242" t="s">
        <v>196</v>
      </c>
      <c r="J771" s="242" t="s">
        <v>240</v>
      </c>
      <c r="K771" s="195" t="s">
        <v>70</v>
      </c>
      <c r="L771" s="20" t="str">
        <f ca="1">IF(OFFSET(환산공식!$ED$15,$F771,0)=1,"O","X")</f>
        <v>X</v>
      </c>
      <c r="M771" s="188">
        <f ca="1">IFERROR(OFFSET(환산공식!DJ$15,$F771,0),"")</f>
        <v>0</v>
      </c>
      <c r="N771" s="20" t="str">
        <f ca="1">IFERROR(CONCATENATE(ROUND(OFFSET(환산공식!DK$15,$F771,0),1),"%"),"")</f>
        <v/>
      </c>
      <c r="O771" s="20">
        <f ca="1">IFERROR(OFFSET(환산공식!DL$15,$F771,0),"")</f>
        <v>0</v>
      </c>
      <c r="P771" s="188" t="str">
        <f t="shared" ca="1" si="22"/>
        <v>3% 이하</v>
      </c>
      <c r="Q771" s="194">
        <f ca="1">IFERROR(ROUND(OFFSET(환산공식!$FG$15,$F771,0),3),"")</f>
        <v>0</v>
      </c>
      <c r="R771" s="194">
        <f ca="1">OFFSET('배치점수 계산기'!H$10,$D771,0)</f>
        <v>421.56</v>
      </c>
      <c r="S771" s="194">
        <f ca="1">OFFSET('배치점수 계산기'!I$10,$D771,0)</f>
        <v>420.24</v>
      </c>
      <c r="T771" s="194">
        <f ca="1">OFFSET('배치점수 계산기'!J$10,$D771,0)</f>
        <v>419.096</v>
      </c>
      <c r="U771" s="194">
        <f ca="1">OFFSET('배치점수 계산기'!K$10,$D771,0)</f>
        <v>418.80599999999998</v>
      </c>
      <c r="V771" s="194">
        <f ca="1">OFFSET('배치점수 계산기'!L$10,$D771,0)</f>
        <v>418.524</v>
      </c>
      <c r="W771" s="186" t="str">
        <f ca="1">OFFSET('배치점수 계산기'!M$10,$D771,0)</f>
        <v>표점</v>
      </c>
      <c r="X771" s="184" t="str">
        <f ca="1">OFFSET('배치점수 계산기'!N$10,$D771,0)</f>
        <v>표점</v>
      </c>
      <c r="Y771" s="188">
        <f ca="1">OFFSET(환산공식!FW$15,$F771,0)</f>
        <v>0.33</v>
      </c>
      <c r="Z771" s="20">
        <f ca="1">OFFSET(환산공식!FX$15,$F771,0)</f>
        <v>0.4</v>
      </c>
      <c r="AA771" s="179">
        <f ca="1">OFFSET(환산공식!FY$15,$F771,0)</f>
        <v>0.27</v>
      </c>
      <c r="AB771" s="3"/>
      <c r="AD771">
        <f t="shared" ca="1" si="23"/>
        <v>6</v>
      </c>
      <c r="AF771" s="3"/>
      <c r="AG771" s="3"/>
      <c r="AH771" s="3"/>
    </row>
    <row r="772" spans="1:34">
      <c r="A772" s="198"/>
      <c r="B772" s="198"/>
      <c r="C772" s="198" t="s">
        <v>2224</v>
      </c>
      <c r="D772" s="195">
        <v>1787</v>
      </c>
      <c r="E772" s="195">
        <v>26</v>
      </c>
      <c r="F772" s="195">
        <v>26</v>
      </c>
      <c r="G772" s="239">
        <v>765</v>
      </c>
      <c r="H772" s="197" t="s">
        <v>79</v>
      </c>
      <c r="I772" s="242" t="s">
        <v>80</v>
      </c>
      <c r="J772" s="242" t="s">
        <v>240</v>
      </c>
      <c r="K772" s="195" t="s">
        <v>70</v>
      </c>
      <c r="L772" s="20" t="str">
        <f ca="1">IF(OFFSET(환산공식!$ED$15,$F772,0)=1,"O","X")</f>
        <v>X</v>
      </c>
      <c r="M772" s="188">
        <f ca="1">IFERROR(OFFSET(환산공식!DJ$15,$F772,0),"")</f>
        <v>100</v>
      </c>
      <c r="N772" s="20" t="str">
        <f ca="1">IFERROR(CONCATENATE(ROUND(OFFSET(환산공식!DK$15,$F772,0),1),"%"),"")</f>
        <v>100%</v>
      </c>
      <c r="O772" s="20">
        <f ca="1">IFERROR(OFFSET(환산공식!DL$15,$F772,0),"")</f>
        <v>0</v>
      </c>
      <c r="P772" s="188" t="str">
        <f t="shared" ca="1" si="22"/>
        <v>3% 이하</v>
      </c>
      <c r="Q772" s="194">
        <f ca="1">IFERROR(ROUND(OFFSET(환산공식!$FG$15,$F772,0),3),"")</f>
        <v>0</v>
      </c>
      <c r="R772" s="194">
        <f ca="1">OFFSET('배치점수 계산기'!H$10,$D772,0)</f>
        <v>892.13599999999997</v>
      </c>
      <c r="S772" s="194">
        <f ca="1">OFFSET('배치점수 계산기'!I$10,$D772,0)</f>
        <v>891.47900000000004</v>
      </c>
      <c r="T772" s="194">
        <f ca="1">OFFSET('배치점수 계산기'!J$10,$D772,0)</f>
        <v>889.70799999999997</v>
      </c>
      <c r="U772" s="194">
        <f ca="1">OFFSET('배치점수 계산기'!K$10,$D772,0)</f>
        <v>889.23599999999999</v>
      </c>
      <c r="V772" s="194">
        <f ca="1">OFFSET('배치점수 계산기'!L$10,$D772,0)</f>
        <v>888.15499999999997</v>
      </c>
      <c r="W772" s="186" t="str">
        <f ca="1">OFFSET('배치점수 계산기'!M$10,$D772,0)</f>
        <v>표점/만점</v>
      </c>
      <c r="X772" s="184" t="str">
        <f ca="1">OFFSET('배치점수 계산기'!N$10,$D772,0)</f>
        <v>변표/만점</v>
      </c>
      <c r="Y772" s="188">
        <f ca="1">OFFSET(환산공식!FW$15,$F772,0)</f>
        <v>0.28000000000000003</v>
      </c>
      <c r="Z772" s="20">
        <f ca="1">OFFSET(환산공식!FX$15,$F772,0)</f>
        <v>0.44</v>
      </c>
      <c r="AA772" s="179">
        <f ca="1">OFFSET(환산공식!FY$15,$F772,0)</f>
        <v>0.28000000000000003</v>
      </c>
      <c r="AB772" s="3"/>
      <c r="AD772">
        <f t="shared" ca="1" si="23"/>
        <v>6</v>
      </c>
      <c r="AF772" s="3"/>
      <c r="AG772" s="3"/>
      <c r="AH772" s="3"/>
    </row>
    <row r="773" spans="1:34">
      <c r="A773" s="198"/>
      <c r="B773" s="198"/>
      <c r="C773" s="198" t="s">
        <v>2225</v>
      </c>
      <c r="D773" s="195">
        <v>1788</v>
      </c>
      <c r="E773" s="195">
        <v>33</v>
      </c>
      <c r="F773" s="195">
        <v>33</v>
      </c>
      <c r="G773" s="239">
        <v>766</v>
      </c>
      <c r="H773" s="197" t="s">
        <v>79</v>
      </c>
      <c r="I773" s="242" t="s">
        <v>82</v>
      </c>
      <c r="J773" s="242" t="s">
        <v>240</v>
      </c>
      <c r="K773" s="195" t="s">
        <v>70</v>
      </c>
      <c r="L773" s="20" t="str">
        <f ca="1">IF(OFFSET(환산공식!$ED$15,$F773,0)=1,"O","X")</f>
        <v>X</v>
      </c>
      <c r="M773" s="188">
        <f ca="1">IFERROR(OFFSET(환산공식!DJ$15,$F773,0),"")</f>
        <v>0</v>
      </c>
      <c r="N773" s="20" t="str">
        <f ca="1">IFERROR(CONCATENATE(ROUND(OFFSET(환산공식!DK$15,$F773,0),1),"%"),"")</f>
        <v/>
      </c>
      <c r="O773" s="20">
        <f ca="1">IFERROR(OFFSET(환산공식!DL$15,$F773,0),"")</f>
        <v>0</v>
      </c>
      <c r="P773" s="188" t="str">
        <f t="shared" ca="1" si="22"/>
        <v>3% 이하</v>
      </c>
      <c r="Q773" s="194">
        <f ca="1">IFERROR(ROUND(OFFSET(환산공식!$FG$15,$F773,0),3),"")</f>
        <v>0</v>
      </c>
      <c r="R773" s="194">
        <f ca="1">OFFSET('배치점수 계산기'!H$10,$D773,0)</f>
        <v>419.26400000000001</v>
      </c>
      <c r="S773" s="194">
        <f ca="1">OFFSET('배치점수 계산기'!I$10,$D773,0)</f>
        <v>417.87799999999999</v>
      </c>
      <c r="T773" s="194">
        <f ca="1">OFFSET('배치점수 계산기'!J$10,$D773,0)</f>
        <v>417.29700000000003</v>
      </c>
      <c r="U773" s="194">
        <f ca="1">OFFSET('배치점수 계산기'!K$10,$D773,0)</f>
        <v>415.399</v>
      </c>
      <c r="V773" s="194">
        <f ca="1">OFFSET('배치점수 계산기'!L$10,$D773,0)</f>
        <v>413.86</v>
      </c>
      <c r="W773" s="186" t="str">
        <f ca="1">OFFSET('배치점수 계산기'!M$10,$D773,0)</f>
        <v>표점</v>
      </c>
      <c r="X773" s="184" t="str">
        <f ca="1">OFFSET('배치점수 계산기'!N$10,$D773,0)</f>
        <v>변표</v>
      </c>
      <c r="Y773" s="188">
        <f ca="1">OFFSET(환산공식!FW$15,$F773,0)</f>
        <v>0.25</v>
      </c>
      <c r="Z773" s="20">
        <f ca="1">OFFSET(환산공식!FX$15,$F773,0)</f>
        <v>0.4</v>
      </c>
      <c r="AA773" s="179">
        <f ca="1">OFFSET(환산공식!FY$15,$F773,0)</f>
        <v>0.35</v>
      </c>
      <c r="AB773" s="3"/>
      <c r="AD773">
        <f t="shared" ca="1" si="23"/>
        <v>6</v>
      </c>
      <c r="AF773" s="3"/>
      <c r="AG773" s="3"/>
      <c r="AH773" s="3"/>
    </row>
    <row r="774" spans="1:34">
      <c r="A774" s="198"/>
      <c r="B774" s="198"/>
      <c r="C774" s="198" t="s">
        <v>2226</v>
      </c>
      <c r="D774" s="195">
        <v>1789</v>
      </c>
      <c r="E774" s="195">
        <v>30</v>
      </c>
      <c r="F774" s="195">
        <v>30</v>
      </c>
      <c r="G774" s="239">
        <v>767</v>
      </c>
      <c r="H774" s="197" t="s">
        <v>79</v>
      </c>
      <c r="I774" s="242" t="s">
        <v>228</v>
      </c>
      <c r="J774" s="242" t="s">
        <v>7819</v>
      </c>
      <c r="K774" s="195" t="s">
        <v>70</v>
      </c>
      <c r="L774" s="20" t="str">
        <f ca="1">IF(OFFSET(환산공식!$ED$15,$F774,0)=1,"O","X")</f>
        <v>X</v>
      </c>
      <c r="M774" s="188">
        <f ca="1">IFERROR(OFFSET(환산공식!DJ$15,$F774,0),"")</f>
        <v>100</v>
      </c>
      <c r="N774" s="20" t="str">
        <f ca="1">IFERROR(CONCATENATE(ROUND(OFFSET(환산공식!DK$15,$F774,0),1),"%"),"")</f>
        <v>100%</v>
      </c>
      <c r="O774" s="20">
        <f ca="1">IFERROR(OFFSET(환산공식!DL$15,$F774,0),"")</f>
        <v>10</v>
      </c>
      <c r="P774" s="188" t="str">
        <f t="shared" ca="1" si="22"/>
        <v>3% 이하</v>
      </c>
      <c r="Q774" s="194">
        <f ca="1">IFERROR(ROUND(OFFSET(환산공식!$FG$15,$F774,0),3),"")</f>
        <v>0</v>
      </c>
      <c r="R774" s="194">
        <f ca="1">OFFSET('배치점수 계산기'!H$10,$D774,0)</f>
        <v>807.62699999999995</v>
      </c>
      <c r="S774" s="194">
        <f ca="1">OFFSET('배치점수 계산기'!I$10,$D774,0)</f>
        <v>805.94299999999998</v>
      </c>
      <c r="T774" s="194">
        <f ca="1">OFFSET('배치점수 계산기'!J$10,$D774,0)</f>
        <v>805.34299999999996</v>
      </c>
      <c r="U774" s="194">
        <f ca="1">OFFSET('배치점수 계산기'!K$10,$D774,0)</f>
        <v>804.23</v>
      </c>
      <c r="V774" s="194">
        <f ca="1">OFFSET('배치점수 계산기'!L$10,$D774,0)</f>
        <v>802.03399999999999</v>
      </c>
      <c r="W774" s="186" t="str">
        <f ca="1">OFFSET('배치점수 계산기'!M$10,$D774,0)</f>
        <v>표점</v>
      </c>
      <c r="X774" s="184" t="str">
        <f ca="1">OFFSET('배치점수 계산기'!N$10,$D774,0)</f>
        <v>변표</v>
      </c>
      <c r="Y774" s="188">
        <f ca="1">OFFSET(환산공식!FW$15,$F774,0)</f>
        <v>0.3</v>
      </c>
      <c r="Z774" s="20">
        <f ca="1">OFFSET(환산공식!FX$15,$F774,0)</f>
        <v>0.35</v>
      </c>
      <c r="AA774" s="179">
        <f ca="1">OFFSET(환산공식!FY$15,$F774,0)</f>
        <v>0.35</v>
      </c>
      <c r="AB774" s="3"/>
      <c r="AD774">
        <f t="shared" ca="1" si="23"/>
        <v>6</v>
      </c>
      <c r="AF774" s="3"/>
      <c r="AG774" s="3"/>
      <c r="AH774" s="3"/>
    </row>
    <row r="775" spans="1:34">
      <c r="A775" s="198"/>
      <c r="B775" s="198"/>
      <c r="C775" s="198" t="s">
        <v>2227</v>
      </c>
      <c r="D775" s="195">
        <v>1790</v>
      </c>
      <c r="E775" s="195">
        <v>112</v>
      </c>
      <c r="F775" s="195">
        <v>112</v>
      </c>
      <c r="G775" s="239">
        <v>768</v>
      </c>
      <c r="H775" s="197" t="s">
        <v>79</v>
      </c>
      <c r="I775" s="242" t="s">
        <v>221</v>
      </c>
      <c r="J775" s="242" t="s">
        <v>426</v>
      </c>
      <c r="K775" s="195" t="s">
        <v>70</v>
      </c>
      <c r="L775" s="20" t="str">
        <f ca="1">IF(OFFSET(환산공식!$ED$15,$F775,0)=1,"O","X")</f>
        <v>X</v>
      </c>
      <c r="M775" s="188">
        <f ca="1">IFERROR(OFFSET(환산공식!DJ$15,$F775,0),"")</f>
        <v>95</v>
      </c>
      <c r="N775" s="20" t="str">
        <f ca="1">IFERROR(CONCATENATE(ROUND(OFFSET(환산공식!DK$15,$F775,0),1),"%"),"")</f>
        <v>100%</v>
      </c>
      <c r="O775" s="20">
        <f ca="1">IFERROR(OFFSET(환산공식!DL$15,$F775,0),"")</f>
        <v>0</v>
      </c>
      <c r="P775" s="188" t="str">
        <f t="shared" ca="1" si="22"/>
        <v>3% 이하</v>
      </c>
      <c r="Q775" s="194">
        <f ca="1">IFERROR(ROUND(OFFSET(환산공식!$FG$15,$F775,0),3),"")</f>
        <v>0</v>
      </c>
      <c r="R775" s="194">
        <f ca="1">OFFSET('배치점수 계산기'!H$10,$D775,0)</f>
        <v>940.23199999999997</v>
      </c>
      <c r="S775" s="194">
        <f ca="1">OFFSET('배치점수 계산기'!I$10,$D775,0)</f>
        <v>937.94100000000003</v>
      </c>
      <c r="T775" s="194">
        <f ca="1">OFFSET('배치점수 계산기'!J$10,$D775,0)</f>
        <v>935.29300000000001</v>
      </c>
      <c r="U775" s="194">
        <f ca="1">OFFSET('배치점수 계산기'!K$10,$D775,0)</f>
        <v>933.18600000000004</v>
      </c>
      <c r="V775" s="194">
        <f ca="1">OFFSET('배치점수 계산기'!L$10,$D775,0)</f>
        <v>931.25099999999998</v>
      </c>
      <c r="W775" s="186" t="str">
        <f ca="1">OFFSET('배치점수 계산기'!M$10,$D775,0)</f>
        <v>표점/만점</v>
      </c>
      <c r="X775" s="184" t="str">
        <f ca="1">OFFSET('배치점수 계산기'!N$10,$D775,0)</f>
        <v>변표/만점</v>
      </c>
      <c r="Y775" s="188">
        <f ca="1">OFFSET(환산공식!FW$15,$F775,0)</f>
        <v>0.22</v>
      </c>
      <c r="Z775" s="20">
        <f ca="1">OFFSET(환산공식!FX$15,$F775,0)</f>
        <v>0.44</v>
      </c>
      <c r="AA775" s="179">
        <f ca="1">OFFSET(환산공식!FY$15,$F775,0)</f>
        <v>0.33</v>
      </c>
      <c r="AB775" s="3"/>
      <c r="AD775">
        <f t="shared" ca="1" si="23"/>
        <v>6</v>
      </c>
      <c r="AF775" s="3"/>
      <c r="AG775" s="3"/>
      <c r="AH775" s="3"/>
    </row>
    <row r="776" spans="1:34">
      <c r="A776" s="198"/>
      <c r="B776" s="198"/>
      <c r="C776" s="198" t="s">
        <v>2228</v>
      </c>
      <c r="D776" s="195">
        <v>1791</v>
      </c>
      <c r="E776" s="195">
        <v>290</v>
      </c>
      <c r="F776" s="195">
        <v>290</v>
      </c>
      <c r="G776" s="239">
        <v>769</v>
      </c>
      <c r="H776" s="197" t="s">
        <v>79</v>
      </c>
      <c r="I776" s="242" t="s">
        <v>209</v>
      </c>
      <c r="J776" s="242" t="s">
        <v>240</v>
      </c>
      <c r="K776" s="195" t="s">
        <v>70</v>
      </c>
      <c r="L776" s="20" t="str">
        <f ca="1">IF(OFFSET(환산공식!$ED$15,$F776,0)=1,"O","X")</f>
        <v>X</v>
      </c>
      <c r="M776" s="188">
        <f ca="1">IFERROR(OFFSET(환산공식!DJ$15,$F776,0),"")</f>
        <v>160</v>
      </c>
      <c r="N776" s="20" t="str">
        <f ca="1">IFERROR(CONCATENATE(ROUND(OFFSET(환산공식!DK$15,$F776,0),1),"%"),"")</f>
        <v>100%</v>
      </c>
      <c r="O776" s="20">
        <f ca="1">IFERROR(OFFSET(환산공식!DL$15,$F776,0),"")</f>
        <v>10</v>
      </c>
      <c r="P776" s="188" t="str">
        <f t="shared" ca="1" si="22"/>
        <v>3% 이하</v>
      </c>
      <c r="Q776" s="194">
        <f ca="1">IFERROR(ROUND(OFFSET(환산공식!$FG$15,$F776,0),3),"")</f>
        <v>0</v>
      </c>
      <c r="R776" s="194">
        <f ca="1">OFFSET('배치점수 계산기'!H$10,$D776,0)</f>
        <v>612.98599999999999</v>
      </c>
      <c r="S776" s="194">
        <f ca="1">OFFSET('배치점수 계산기'!I$10,$D776,0)</f>
        <v>611.93399999999997</v>
      </c>
      <c r="T776" s="194">
        <f ca="1">OFFSET('배치점수 계산기'!J$10,$D776,0)</f>
        <v>611.47</v>
      </c>
      <c r="U776" s="194">
        <f ca="1">OFFSET('배치점수 계산기'!K$10,$D776,0)</f>
        <v>610.91800000000001</v>
      </c>
      <c r="V776" s="194">
        <f ca="1">OFFSET('배치점수 계산기'!L$10,$D776,0)</f>
        <v>609.90800000000002</v>
      </c>
      <c r="W776" s="186" t="str">
        <f ca="1">OFFSET('배치점수 계산기'!M$10,$D776,0)</f>
        <v>표점</v>
      </c>
      <c r="X776" s="184" t="str">
        <f ca="1">OFFSET('배치점수 계산기'!N$10,$D776,0)</f>
        <v>표점</v>
      </c>
      <c r="Y776" s="188">
        <f ca="1">OFFSET(환산공식!FW$15,$F776,0)</f>
        <v>0.25</v>
      </c>
      <c r="Z776" s="20">
        <f ca="1">OFFSET(환산공식!FX$15,$F776,0)</f>
        <v>0.38</v>
      </c>
      <c r="AA776" s="179">
        <f ca="1">OFFSET(환산공식!FY$15,$F776,0)</f>
        <v>0.38</v>
      </c>
      <c r="AB776" s="3"/>
      <c r="AD776">
        <f t="shared" ca="1" si="23"/>
        <v>6</v>
      </c>
      <c r="AF776" s="3"/>
      <c r="AG776" s="3"/>
      <c r="AH776" s="3"/>
    </row>
    <row r="777" spans="1:34">
      <c r="A777" s="198"/>
      <c r="B777" s="198"/>
      <c r="C777" s="198" t="s">
        <v>2229</v>
      </c>
      <c r="D777" s="195">
        <v>1792</v>
      </c>
      <c r="E777" s="195">
        <v>290</v>
      </c>
      <c r="F777" s="195">
        <v>290</v>
      </c>
      <c r="G777" s="239">
        <v>770</v>
      </c>
      <c r="H777" s="197" t="s">
        <v>79</v>
      </c>
      <c r="I777" s="242" t="s">
        <v>209</v>
      </c>
      <c r="J777" s="242" t="s">
        <v>427</v>
      </c>
      <c r="K777" s="195" t="s">
        <v>70</v>
      </c>
      <c r="L777" s="20" t="str">
        <f ca="1">IF(OFFSET(환산공식!$ED$15,$F777,0)=1,"O","X")</f>
        <v>X</v>
      </c>
      <c r="M777" s="188">
        <f ca="1">IFERROR(OFFSET(환산공식!DJ$15,$F777,0),"")</f>
        <v>160</v>
      </c>
      <c r="N777" s="20" t="str">
        <f ca="1">IFERROR(CONCATENATE(ROUND(OFFSET(환산공식!DK$15,$F777,0),1),"%"),"")</f>
        <v>100%</v>
      </c>
      <c r="O777" s="20">
        <f ca="1">IFERROR(OFFSET(환산공식!DL$15,$F777,0),"")</f>
        <v>10</v>
      </c>
      <c r="P777" s="188" t="str">
        <f t="shared" ref="P777:P840" ca="1" si="24"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>3% 이하</v>
      </c>
      <c r="Q777" s="194">
        <f ca="1">IFERROR(ROUND(OFFSET(환산공식!$FG$15,$F777,0),3),"")</f>
        <v>0</v>
      </c>
      <c r="R777" s="194">
        <f ca="1">OFFSET('배치점수 계산기'!H$10,$D777,0)</f>
        <v>609.90800000000002</v>
      </c>
      <c r="S777" s="194">
        <f ca="1">OFFSET('배치점수 계산기'!I$10,$D777,0)</f>
        <v>609.51400000000001</v>
      </c>
      <c r="T777" s="194">
        <f ca="1">OFFSET('배치점수 계산기'!J$10,$D777,0)</f>
        <v>609.01800000000003</v>
      </c>
      <c r="U777" s="194">
        <f ca="1">OFFSET('배치점수 계산기'!K$10,$D777,0)</f>
        <v>607.55999999999995</v>
      </c>
      <c r="V777" s="194">
        <f ca="1">OFFSET('배치점수 계산기'!L$10,$D777,0)</f>
        <v>605.70000000000005</v>
      </c>
      <c r="W777" s="186" t="str">
        <f ca="1">OFFSET('배치점수 계산기'!M$10,$D777,0)</f>
        <v>표점</v>
      </c>
      <c r="X777" s="184" t="str">
        <f ca="1">OFFSET('배치점수 계산기'!N$10,$D777,0)</f>
        <v>표점</v>
      </c>
      <c r="Y777" s="188">
        <f ca="1">OFFSET(환산공식!FW$15,$F777,0)</f>
        <v>0.25</v>
      </c>
      <c r="Z777" s="20">
        <f ca="1">OFFSET(환산공식!FX$15,$F777,0)</f>
        <v>0.38</v>
      </c>
      <c r="AA777" s="179">
        <f ca="1">OFFSET(환산공식!FY$15,$F777,0)</f>
        <v>0.38</v>
      </c>
      <c r="AB777" s="3"/>
      <c r="AD777">
        <f t="shared" ref="AD777:AD840" ca="1" si="25">IF(L777="X",6,IF(Q777&gt;R777,1,IF(Q777&gt;S777,2,IF(Q777&gt;T777,3,IF(Q777&gt;U777,4,IF(Q777&gt;=V777,5,IF(Q777&lt;V777,6,"")))))))</f>
        <v>6</v>
      </c>
      <c r="AF777" s="3"/>
      <c r="AG777" s="3"/>
      <c r="AH777" s="3"/>
    </row>
    <row r="778" spans="1:34">
      <c r="A778" s="198"/>
      <c r="B778" s="198"/>
      <c r="C778" s="198" t="s">
        <v>2230</v>
      </c>
      <c r="D778" s="195">
        <v>1793</v>
      </c>
      <c r="E778" s="195">
        <v>88</v>
      </c>
      <c r="F778" s="195">
        <v>88</v>
      </c>
      <c r="G778" s="239">
        <v>771</v>
      </c>
      <c r="H778" s="197" t="s">
        <v>79</v>
      </c>
      <c r="I778" s="242" t="s">
        <v>224</v>
      </c>
      <c r="J778" s="242" t="s">
        <v>16719</v>
      </c>
      <c r="K778" s="195" t="s">
        <v>70</v>
      </c>
      <c r="L778" s="20" t="str">
        <f ca="1">IF(OFFSET(환산공식!$ED$15,$F778,0)=1,"O","X")</f>
        <v>X</v>
      </c>
      <c r="M778" s="188">
        <f ca="1">IFERROR(OFFSET(환산공식!DJ$15,$F778,0),"")</f>
        <v>200</v>
      </c>
      <c r="N778" s="20" t="str">
        <f ca="1">IFERROR(CONCATENATE(ROUND(OFFSET(환산공식!DK$15,$F778,0),1),"%"),"")</f>
        <v>100%</v>
      </c>
      <c r="O778" s="20">
        <f ca="1">IFERROR(OFFSET(환산공식!DL$15,$F778,0),"")</f>
        <v>10</v>
      </c>
      <c r="P778" s="188" t="str">
        <f t="shared" ca="1" si="24"/>
        <v>3% 이하</v>
      </c>
      <c r="Q778" s="194">
        <f ca="1">IFERROR(ROUND(OFFSET(환산공식!$FG$15,$F778,0),3),"")</f>
        <v>0</v>
      </c>
      <c r="R778" s="194">
        <f ca="1">OFFSET('배치점수 계산기'!H$10,$D778,0)</f>
        <v>992.04899999999998</v>
      </c>
      <c r="S778" s="194">
        <f ca="1">OFFSET('배치점수 계산기'!I$10,$D778,0)</f>
        <v>990.95799999999997</v>
      </c>
      <c r="T778" s="194">
        <f ca="1">OFFSET('배치점수 계산기'!J$10,$D778,0)</f>
        <v>989.03300000000002</v>
      </c>
      <c r="U778" s="194">
        <f ca="1">OFFSET('배치점수 계산기'!K$10,$D778,0)</f>
        <v>987.66899999999998</v>
      </c>
      <c r="V778" s="194">
        <f ca="1">OFFSET('배치점수 계산기'!L$10,$D778,0)</f>
        <v>984.60699999999997</v>
      </c>
      <c r="W778" s="186" t="str">
        <f ca="1">OFFSET('배치점수 계산기'!M$10,$D778,0)</f>
        <v>표점/만점</v>
      </c>
      <c r="X778" s="184" t="str">
        <f ca="1">OFFSET('배치점수 계산기'!N$10,$D778,0)</f>
        <v>변표/만점</v>
      </c>
      <c r="Y778" s="188">
        <f ca="1">OFFSET(환산공식!FW$15,$F778,0)</f>
        <v>0.31</v>
      </c>
      <c r="Z778" s="20">
        <f ca="1">OFFSET(환산공식!FX$15,$F778,0)</f>
        <v>0.37</v>
      </c>
      <c r="AA778" s="179">
        <f ca="1">OFFSET(환산공식!FY$15,$F778,0)</f>
        <v>0.31</v>
      </c>
      <c r="AB778" s="3"/>
      <c r="AD778">
        <f t="shared" ca="1" si="25"/>
        <v>6</v>
      </c>
      <c r="AF778" s="3"/>
      <c r="AG778" s="3"/>
      <c r="AH778" s="3"/>
    </row>
    <row r="779" spans="1:34">
      <c r="A779" s="198"/>
      <c r="B779" s="198"/>
      <c r="C779" s="198" t="s">
        <v>2231</v>
      </c>
      <c r="D779" s="195">
        <v>1794</v>
      </c>
      <c r="E779" s="195">
        <v>89</v>
      </c>
      <c r="F779" s="195">
        <v>89</v>
      </c>
      <c r="G779" s="239">
        <v>772</v>
      </c>
      <c r="H779" s="197" t="s">
        <v>79</v>
      </c>
      <c r="I779" s="242" t="s">
        <v>224</v>
      </c>
      <c r="J779" s="242" t="s">
        <v>248</v>
      </c>
      <c r="K779" s="195" t="s">
        <v>71</v>
      </c>
      <c r="L779" s="20" t="str">
        <f ca="1">IF(OFFSET(환산공식!$ED$15,$F779,0)=1,"O","X")</f>
        <v>X</v>
      </c>
      <c r="M779" s="188">
        <f ca="1">IFERROR(OFFSET(환산공식!DJ$15,$F779,0),"")</f>
        <v>200</v>
      </c>
      <c r="N779" s="20" t="str">
        <f ca="1">IFERROR(CONCATENATE(ROUND(OFFSET(환산공식!DK$15,$F779,0),1),"%"),"")</f>
        <v>100%</v>
      </c>
      <c r="O779" s="20">
        <f ca="1">IFERROR(OFFSET(환산공식!DL$15,$F779,0),"")</f>
        <v>10</v>
      </c>
      <c r="P779" s="188" t="str">
        <f t="shared" ca="1" si="24"/>
        <v>3% 이하</v>
      </c>
      <c r="Q779" s="194">
        <f ca="1">IFERROR(ROUND(OFFSET(환산공식!$FG$15,$F779,0),3),"")</f>
        <v>0</v>
      </c>
      <c r="R779" s="194">
        <f ca="1">OFFSET('배치점수 계산기'!H$10,$D779,0)</f>
        <v>979.66399999999999</v>
      </c>
      <c r="S779" s="194">
        <f ca="1">OFFSET('배치점수 계산기'!I$10,$D779,0)</f>
        <v>977.64499999999998</v>
      </c>
      <c r="T779" s="194">
        <f ca="1">OFFSET('배치점수 계산기'!J$10,$D779,0)</f>
        <v>971.601</v>
      </c>
      <c r="U779" s="194">
        <f ca="1">OFFSET('배치점수 계산기'!K$10,$D779,0)</f>
        <v>970.50099999999998</v>
      </c>
      <c r="V779" s="194">
        <f ca="1">OFFSET('배치점수 계산기'!L$10,$D779,0)</f>
        <v>965.64099999999996</v>
      </c>
      <c r="W779" s="186" t="str">
        <f ca="1">OFFSET('배치점수 계산기'!M$10,$D779,0)</f>
        <v>표점/만점</v>
      </c>
      <c r="X779" s="184" t="str">
        <f ca="1">OFFSET('배치점수 계산기'!N$10,$D779,0)</f>
        <v>변표/만점</v>
      </c>
      <c r="Y779" s="188">
        <f ca="1">OFFSET(환산공식!FW$15,$F779,0)</f>
        <v>0.38</v>
      </c>
      <c r="Z779" s="20">
        <f ca="1">OFFSET(환산공식!FX$15,$F779,0)</f>
        <v>0.37</v>
      </c>
      <c r="AA779" s="179">
        <f ca="1">OFFSET(환산공식!FY$15,$F779,0)</f>
        <v>0.25</v>
      </c>
      <c r="AB779" s="3"/>
      <c r="AD779">
        <f t="shared" ca="1" si="25"/>
        <v>6</v>
      </c>
      <c r="AF779" s="3"/>
      <c r="AG779" s="3"/>
      <c r="AH779" s="3"/>
    </row>
    <row r="780" spans="1:34">
      <c r="A780" s="198"/>
      <c r="B780" s="198"/>
      <c r="C780" s="198" t="s">
        <v>2232</v>
      </c>
      <c r="D780" s="195">
        <v>1795</v>
      </c>
      <c r="E780" s="195">
        <v>183</v>
      </c>
      <c r="F780" s="195">
        <v>183</v>
      </c>
      <c r="G780" s="239">
        <v>773</v>
      </c>
      <c r="H780" s="197" t="s">
        <v>79</v>
      </c>
      <c r="I780" s="242" t="s">
        <v>246</v>
      </c>
      <c r="J780" s="242" t="s">
        <v>426</v>
      </c>
      <c r="K780" s="195" t="s">
        <v>70</v>
      </c>
      <c r="L780" s="20" t="str">
        <f ca="1">IF(OFFSET(환산공식!$ED$15,$F780,0)=1,"O","X")</f>
        <v>X</v>
      </c>
      <c r="M780" s="188">
        <f ca="1">IFERROR(OFFSET(환산공식!DJ$15,$F780,0),"")</f>
        <v>100</v>
      </c>
      <c r="N780" s="20" t="str">
        <f ca="1">IFERROR(CONCATENATE(ROUND(OFFSET(환산공식!DK$15,$F780,0),1),"%"),"")</f>
        <v>100%</v>
      </c>
      <c r="O780" s="20">
        <f ca="1">IFERROR(OFFSET(환산공식!DL$15,$F780,0),"")</f>
        <v>0</v>
      </c>
      <c r="P780" s="188" t="str">
        <f t="shared" ca="1" si="24"/>
        <v>3% 이하</v>
      </c>
      <c r="Q780" s="194">
        <f ca="1">IFERROR(ROUND(OFFSET(환산공식!$FG$15,$F780,0),3),"")</f>
        <v>0</v>
      </c>
      <c r="R780" s="194">
        <f ca="1">OFFSET('배치점수 계산기'!H$10,$D780,0)</f>
        <v>952.35699999999997</v>
      </c>
      <c r="S780" s="194">
        <f ca="1">OFFSET('배치점수 계산기'!I$10,$D780,0)</f>
        <v>951.73500000000001</v>
      </c>
      <c r="T780" s="194">
        <f ca="1">OFFSET('배치점수 계산기'!J$10,$D780,0)</f>
        <v>951.14400000000001</v>
      </c>
      <c r="U780" s="194">
        <f ca="1">OFFSET('배치점수 계산기'!K$10,$D780,0)</f>
        <v>950.91200000000003</v>
      </c>
      <c r="V780" s="194">
        <f ca="1">OFFSET('배치점수 계산기'!L$10,$D780,0)</f>
        <v>948.97299999999996</v>
      </c>
      <c r="W780" s="186" t="str">
        <f ca="1">OFFSET('배치점수 계산기'!M$10,$D780,0)</f>
        <v>표점/만점</v>
      </c>
      <c r="X780" s="184" t="str">
        <f ca="1">OFFSET('배치점수 계산기'!N$10,$D780,0)</f>
        <v>표점/만점</v>
      </c>
      <c r="Y780" s="188">
        <f ca="1">OFFSET(환산공식!FW$15,$F780,0)</f>
        <v>0.22</v>
      </c>
      <c r="Z780" s="20">
        <f ca="1">OFFSET(환산공식!FX$15,$F780,0)</f>
        <v>0.44</v>
      </c>
      <c r="AA780" s="179">
        <f ca="1">OFFSET(환산공식!FY$15,$F780,0)</f>
        <v>0.33</v>
      </c>
      <c r="AB780" s="3"/>
      <c r="AD780">
        <f t="shared" ca="1" si="25"/>
        <v>6</v>
      </c>
      <c r="AF780" s="3"/>
      <c r="AG780" s="3"/>
      <c r="AH780" s="3"/>
    </row>
    <row r="781" spans="1:34">
      <c r="A781" s="198"/>
      <c r="B781" s="198"/>
      <c r="C781" s="198" t="s">
        <v>2233</v>
      </c>
      <c r="D781" s="195">
        <v>1796</v>
      </c>
      <c r="E781" s="195">
        <v>225</v>
      </c>
      <c r="F781" s="195">
        <v>225</v>
      </c>
      <c r="G781" s="239">
        <v>774</v>
      </c>
      <c r="H781" s="197" t="s">
        <v>79</v>
      </c>
      <c r="I781" s="242" t="s">
        <v>216</v>
      </c>
      <c r="J781" s="242" t="s">
        <v>240</v>
      </c>
      <c r="K781" s="195" t="s">
        <v>70</v>
      </c>
      <c r="L781" s="20" t="str">
        <f ca="1">IF(OFFSET(환산공식!$ED$15,$F781,0)=1,"O","X")</f>
        <v>X</v>
      </c>
      <c r="M781" s="188">
        <f ca="1">IFERROR(OFFSET(환산공식!DJ$15,$F781,0),"")</f>
        <v>0</v>
      </c>
      <c r="N781" s="20" t="str">
        <f ca="1">IFERROR(CONCATENATE(ROUND(OFFSET(환산공식!DK$15,$F781,0),1),"%"),"")</f>
        <v/>
      </c>
      <c r="O781" s="20">
        <f ca="1">IFERROR(OFFSET(환산공식!DL$15,$F781,0),"")</f>
        <v>0</v>
      </c>
      <c r="P781" s="188" t="str">
        <f t="shared" ca="1" si="24"/>
        <v>3% 이하</v>
      </c>
      <c r="Q781" s="194">
        <f ca="1">IFERROR(ROUND(OFFSET(환산공식!$FG$15,$F781,0),3),"")</f>
        <v>0</v>
      </c>
      <c r="R781" s="194">
        <f ca="1">OFFSET('배치점수 계산기'!H$10,$D781,0)</f>
        <v>203.745</v>
      </c>
      <c r="S781" s="194">
        <f ca="1">OFFSET('배치점수 계산기'!I$10,$D781,0)</f>
        <v>203.595</v>
      </c>
      <c r="T781" s="194">
        <f ca="1">OFFSET('배치점수 계산기'!J$10,$D781,0)</f>
        <v>203.24799999999999</v>
      </c>
      <c r="U781" s="194">
        <f ca="1">OFFSET('배치점수 계산기'!K$10,$D781,0)</f>
        <v>202.53299999999999</v>
      </c>
      <c r="V781" s="194">
        <f ca="1">OFFSET('배치점수 계산기'!L$10,$D781,0)</f>
        <v>202.34299999999999</v>
      </c>
      <c r="W781" s="186" t="str">
        <f ca="1">OFFSET('배치점수 계산기'!M$10,$D781,0)</f>
        <v>표점</v>
      </c>
      <c r="X781" s="184" t="str">
        <f ca="1">OFFSET('배치점수 계산기'!N$10,$D781,0)</f>
        <v>표점</v>
      </c>
      <c r="Y781" s="188">
        <f ca="1">OFFSET(환산공식!FW$15,$F781,0)</f>
        <v>0.25</v>
      </c>
      <c r="Z781" s="20">
        <f ca="1">OFFSET(환산공식!FX$15,$F781,0)</f>
        <v>0.45</v>
      </c>
      <c r="AA781" s="179">
        <f ca="1">OFFSET(환산공식!FY$15,$F781,0)</f>
        <v>0.3</v>
      </c>
      <c r="AB781" s="3"/>
      <c r="AD781">
        <f t="shared" ca="1" si="25"/>
        <v>6</v>
      </c>
      <c r="AF781" s="3"/>
      <c r="AG781" s="3"/>
      <c r="AH781" s="3"/>
    </row>
    <row r="782" spans="1:34">
      <c r="A782" s="198"/>
      <c r="B782" s="198"/>
      <c r="C782" s="198" t="s">
        <v>2234</v>
      </c>
      <c r="D782" s="195">
        <v>1797</v>
      </c>
      <c r="E782" s="195">
        <v>225</v>
      </c>
      <c r="F782" s="195">
        <v>225</v>
      </c>
      <c r="G782" s="239">
        <v>775</v>
      </c>
      <c r="H782" s="197" t="s">
        <v>79</v>
      </c>
      <c r="I782" s="242" t="s">
        <v>216</v>
      </c>
      <c r="J782" s="242" t="s">
        <v>427</v>
      </c>
      <c r="K782" s="195" t="s">
        <v>70</v>
      </c>
      <c r="L782" s="20" t="str">
        <f ca="1">IF(OFFSET(환산공식!$ED$15,$F782,0)=1,"O","X")</f>
        <v>X</v>
      </c>
      <c r="M782" s="188">
        <f ca="1">IFERROR(OFFSET(환산공식!DJ$15,$F782,0),"")</f>
        <v>0</v>
      </c>
      <c r="N782" s="20" t="str">
        <f ca="1">IFERROR(CONCATENATE(ROUND(OFFSET(환산공식!DK$15,$F782,0),1),"%"),"")</f>
        <v/>
      </c>
      <c r="O782" s="20">
        <f ca="1">IFERROR(OFFSET(환산공식!DL$15,$F782,0),"")</f>
        <v>0</v>
      </c>
      <c r="P782" s="188" t="str">
        <f t="shared" ca="1" si="24"/>
        <v>3% 이하</v>
      </c>
      <c r="Q782" s="194">
        <f ca="1">IFERROR(ROUND(OFFSET(환산공식!$FG$15,$F782,0),3),"")</f>
        <v>0</v>
      </c>
      <c r="R782" s="194">
        <f ca="1">OFFSET('배치점수 계산기'!H$10,$D782,0)</f>
        <v>196.52799999999999</v>
      </c>
      <c r="S782" s="194">
        <f ca="1">OFFSET('배치점수 계산기'!I$10,$D782,0)</f>
        <v>196.405</v>
      </c>
      <c r="T782" s="194">
        <f ca="1">OFFSET('배치점수 계산기'!J$10,$D782,0)</f>
        <v>196.405</v>
      </c>
      <c r="U782" s="194">
        <f ca="1">OFFSET('배치점수 계산기'!K$10,$D782,0)</f>
        <v>195.44300000000001</v>
      </c>
      <c r="V782" s="194">
        <f ca="1">OFFSET('배치점수 계산기'!L$10,$D782,0)</f>
        <v>193.215</v>
      </c>
      <c r="W782" s="186" t="str">
        <f ca="1">OFFSET('배치점수 계산기'!M$10,$D782,0)</f>
        <v>표점</v>
      </c>
      <c r="X782" s="184" t="str">
        <f ca="1">OFFSET('배치점수 계산기'!N$10,$D782,0)</f>
        <v>표점</v>
      </c>
      <c r="Y782" s="188">
        <f ca="1">OFFSET(환산공식!FW$15,$F782,0)</f>
        <v>0.25</v>
      </c>
      <c r="Z782" s="20">
        <f ca="1">OFFSET(환산공식!FX$15,$F782,0)</f>
        <v>0.45</v>
      </c>
      <c r="AA782" s="179">
        <f ca="1">OFFSET(환산공식!FY$15,$F782,0)</f>
        <v>0.3</v>
      </c>
      <c r="AB782" s="3"/>
      <c r="AD782">
        <f t="shared" ca="1" si="25"/>
        <v>6</v>
      </c>
      <c r="AF782" s="3"/>
      <c r="AG782" s="3"/>
      <c r="AH782" s="3"/>
    </row>
    <row r="783" spans="1:34">
      <c r="A783" s="198"/>
      <c r="B783" s="198"/>
      <c r="C783" s="198" t="s">
        <v>2235</v>
      </c>
      <c r="D783" s="195">
        <v>1798</v>
      </c>
      <c r="E783" s="195">
        <v>170</v>
      </c>
      <c r="F783" s="195">
        <v>170</v>
      </c>
      <c r="G783" s="239">
        <v>776</v>
      </c>
      <c r="H783" s="197" t="s">
        <v>79</v>
      </c>
      <c r="I783" s="242" t="s">
        <v>496</v>
      </c>
      <c r="J783" s="242" t="s">
        <v>240</v>
      </c>
      <c r="K783" s="195" t="s">
        <v>70</v>
      </c>
      <c r="L783" s="20" t="str">
        <f ca="1">IF(OFFSET(환산공식!$ED$15,$F783,0)=1,"O","X")</f>
        <v>X</v>
      </c>
      <c r="M783" s="188">
        <f ca="1">IFERROR(OFFSET(환산공식!DJ$15,$F783,0),"")</f>
        <v>111.1</v>
      </c>
      <c r="N783" s="20" t="str">
        <f ca="1">IFERROR(CONCATENATE(ROUND(OFFSET(환산공식!DK$15,$F783,0),1),"%"),"")</f>
        <v>100%</v>
      </c>
      <c r="O783" s="20">
        <f ca="1">IFERROR(OFFSET(환산공식!DL$15,$F783,0),"")</f>
        <v>10</v>
      </c>
      <c r="P783" s="188" t="str">
        <f t="shared" ca="1" si="24"/>
        <v>3% 이하</v>
      </c>
      <c r="Q783" s="194">
        <f ca="1">IFERROR(ROUND(OFFSET(환산공식!$FG$15,$F783,0),3),"")</f>
        <v>0</v>
      </c>
      <c r="R783" s="194">
        <f ca="1">OFFSET('배치점수 계산기'!H$10,$D783,0)</f>
        <v>720.80200000000002</v>
      </c>
      <c r="S783" s="194">
        <f ca="1">OFFSET('배치점수 계산기'!I$10,$D783,0)</f>
        <v>719.73500000000001</v>
      </c>
      <c r="T783" s="194">
        <f ca="1">OFFSET('배치점수 계산기'!J$10,$D783,0)</f>
        <v>717.96500000000003</v>
      </c>
      <c r="U783" s="194">
        <f ca="1">OFFSET('배치점수 계산기'!K$10,$D783,0)</f>
        <v>716.03800000000001</v>
      </c>
      <c r="V783" s="194">
        <f ca="1">OFFSET('배치점수 계산기'!L$10,$D783,0)</f>
        <v>714.85199999999998</v>
      </c>
      <c r="W783" s="186" t="str">
        <f ca="1">OFFSET('배치점수 계산기'!M$10,$D783,0)</f>
        <v>표점</v>
      </c>
      <c r="X783" s="184" t="str">
        <f ca="1">OFFSET('배치점수 계산기'!N$10,$D783,0)</f>
        <v>변표</v>
      </c>
      <c r="Y783" s="188">
        <f ca="1">OFFSET(환산공식!FW$15,$F783,0)</f>
        <v>0.25</v>
      </c>
      <c r="Z783" s="20">
        <f ca="1">OFFSET(환산공식!FX$15,$F783,0)</f>
        <v>0.38</v>
      </c>
      <c r="AA783" s="179">
        <f ca="1">OFFSET(환산공식!FY$15,$F783,0)</f>
        <v>0.38</v>
      </c>
      <c r="AB783" s="3"/>
      <c r="AD783">
        <f t="shared" ca="1" si="25"/>
        <v>6</v>
      </c>
      <c r="AF783" s="3"/>
      <c r="AG783" s="3"/>
      <c r="AH783" s="3"/>
    </row>
    <row r="784" spans="1:34">
      <c r="A784" s="198"/>
      <c r="B784" s="198"/>
      <c r="C784" s="198" t="s">
        <v>2236</v>
      </c>
      <c r="D784" s="195">
        <v>1799</v>
      </c>
      <c r="E784" s="195">
        <v>5</v>
      </c>
      <c r="F784" s="195">
        <v>5</v>
      </c>
      <c r="G784" s="239">
        <v>777</v>
      </c>
      <c r="H784" s="197" t="s">
        <v>79</v>
      </c>
      <c r="I784" s="242" t="s">
        <v>496</v>
      </c>
      <c r="J784" s="242" t="s">
        <v>427</v>
      </c>
      <c r="K784" s="195" t="s">
        <v>70</v>
      </c>
      <c r="L784" s="20" t="str">
        <f ca="1">IF(OFFSET(환산공식!$ED$15,$F784,0)=1,"O","X")</f>
        <v>X</v>
      </c>
      <c r="M784" s="188">
        <f ca="1">IFERROR(OFFSET(환산공식!DJ$15,$F784,0),"")</f>
        <v>105.6</v>
      </c>
      <c r="N784" s="20" t="str">
        <f ca="1">IFERROR(CONCATENATE(ROUND(OFFSET(환산공식!DK$15,$F784,0),1),"%"),"")</f>
        <v>100%</v>
      </c>
      <c r="O784" s="20">
        <f ca="1">IFERROR(OFFSET(환산공식!DL$15,$F784,0),"")</f>
        <v>0</v>
      </c>
      <c r="P784" s="188" t="str">
        <f t="shared" ca="1" si="24"/>
        <v>3% 이하</v>
      </c>
      <c r="Q784" s="194">
        <f ca="1">IFERROR(ROUND(OFFSET(환산공식!$FG$15,$F784,0),3),"")</f>
        <v>0</v>
      </c>
      <c r="R784" s="194">
        <f ca="1">OFFSET('배치점수 계산기'!H$10,$D784,0)</f>
        <v>674.05799999999999</v>
      </c>
      <c r="S784" s="194">
        <f ca="1">OFFSET('배치점수 계산기'!I$10,$D784,0)</f>
        <v>673.76499999999999</v>
      </c>
      <c r="T784" s="194">
        <f ca="1">OFFSET('배치점수 계산기'!J$10,$D784,0)</f>
        <v>673.11800000000005</v>
      </c>
      <c r="U784" s="194">
        <f ca="1">OFFSET('배치점수 계산기'!K$10,$D784,0)</f>
        <v>667.81200000000001</v>
      </c>
      <c r="V784" s="194">
        <f ca="1">OFFSET('배치점수 계산기'!L$10,$D784,0)</f>
        <v>661.49400000000003</v>
      </c>
      <c r="W784" s="186" t="str">
        <f ca="1">OFFSET('배치점수 계산기'!M$10,$D784,0)</f>
        <v>표점</v>
      </c>
      <c r="X784" s="184" t="str">
        <f ca="1">OFFSET('배치점수 계산기'!N$10,$D784,0)</f>
        <v>변표</v>
      </c>
      <c r="Y784" s="188">
        <f ca="1">OFFSET(환산공식!FW$15,$F784,0)</f>
        <v>0.25</v>
      </c>
      <c r="Z784" s="20">
        <f ca="1">OFFSET(환산공식!FX$15,$F784,0)</f>
        <v>0.38</v>
      </c>
      <c r="AA784" s="179">
        <f ca="1">OFFSET(환산공식!FY$15,$F784,0)</f>
        <v>0.38</v>
      </c>
      <c r="AB784" s="3"/>
      <c r="AD784">
        <f t="shared" ca="1" si="25"/>
        <v>6</v>
      </c>
      <c r="AF784" s="3"/>
      <c r="AG784" s="3"/>
      <c r="AH784" s="3"/>
    </row>
    <row r="785" spans="1:34">
      <c r="A785" s="198"/>
      <c r="B785" s="198"/>
      <c r="C785" s="198" t="s">
        <v>2237</v>
      </c>
      <c r="D785" s="195">
        <v>1800</v>
      </c>
      <c r="E785" s="195">
        <v>177</v>
      </c>
      <c r="F785" s="195">
        <v>177</v>
      </c>
      <c r="G785" s="239">
        <v>778</v>
      </c>
      <c r="H785" s="197" t="s">
        <v>79</v>
      </c>
      <c r="I785" s="242" t="s">
        <v>247</v>
      </c>
      <c r="J785" s="242" t="s">
        <v>240</v>
      </c>
      <c r="K785" s="195" t="s">
        <v>70</v>
      </c>
      <c r="L785" s="20" t="str">
        <f ca="1">IF(OFFSET(환산공식!$ED$15,$F785,0)=1,"O","X")</f>
        <v>X</v>
      </c>
      <c r="M785" s="188">
        <f ca="1">IFERROR(OFFSET(환산공식!DJ$15,$F785,0),"")</f>
        <v>100</v>
      </c>
      <c r="N785" s="20" t="str">
        <f ca="1">IFERROR(CONCATENATE(ROUND(OFFSET(환산공식!DK$15,$F785,0),1),"%"),"")</f>
        <v>100%</v>
      </c>
      <c r="O785" s="20">
        <f ca="1">IFERROR(OFFSET(환산공식!DL$15,$F785,0),"")</f>
        <v>5</v>
      </c>
      <c r="P785" s="188" t="str">
        <f t="shared" ca="1" si="24"/>
        <v>3% 이하</v>
      </c>
      <c r="Q785" s="194">
        <f ca="1">IFERROR(ROUND(OFFSET(환산공식!$FG$15,$F785,0),3),"")</f>
        <v>0</v>
      </c>
      <c r="R785" s="194">
        <f ca="1">OFFSET('배치점수 계산기'!H$10,$D785,0)</f>
        <v>986.81</v>
      </c>
      <c r="S785" s="194">
        <f ca="1">OFFSET('배치점수 계산기'!I$10,$D785,0)</f>
        <v>983.43</v>
      </c>
      <c r="T785" s="194">
        <f ca="1">OFFSET('배치점수 계산기'!J$10,$D785,0)</f>
        <v>980.47</v>
      </c>
      <c r="U785" s="194">
        <f ca="1">OFFSET('배치점수 계산기'!K$10,$D785,0)</f>
        <v>979.07</v>
      </c>
      <c r="V785" s="194">
        <f ca="1">OFFSET('배치점수 계산기'!L$10,$D785,0)</f>
        <v>976.07</v>
      </c>
      <c r="W785" s="186" t="str">
        <f ca="1">OFFSET('배치점수 계산기'!M$10,$D785,0)</f>
        <v>백분위</v>
      </c>
      <c r="X785" s="184" t="str">
        <f ca="1">OFFSET('배치점수 계산기'!N$10,$D785,0)</f>
        <v>백분위</v>
      </c>
      <c r="Y785" s="188">
        <f ca="1">OFFSET(환산공식!FW$15,$F785,0)</f>
        <v>0.33</v>
      </c>
      <c r="Z785" s="20">
        <f ca="1">OFFSET(환산공식!FX$15,$F785,0)</f>
        <v>0.33</v>
      </c>
      <c r="AA785" s="179">
        <f ca="1">OFFSET(환산공식!FY$15,$F785,0)</f>
        <v>0.33</v>
      </c>
      <c r="AB785" s="3"/>
      <c r="AD785">
        <f t="shared" ca="1" si="25"/>
        <v>6</v>
      </c>
      <c r="AF785" s="3"/>
      <c r="AG785" s="3"/>
      <c r="AH785" s="3"/>
    </row>
    <row r="786" spans="1:34">
      <c r="A786" s="198"/>
      <c r="B786" s="198"/>
      <c r="C786" s="198" t="s">
        <v>2238</v>
      </c>
      <c r="D786" s="195">
        <v>1801</v>
      </c>
      <c r="E786" s="195">
        <v>210</v>
      </c>
      <c r="F786" s="195">
        <v>210</v>
      </c>
      <c r="G786" s="239">
        <v>779</v>
      </c>
      <c r="H786" s="197" t="s">
        <v>79</v>
      </c>
      <c r="I786" s="242" t="s">
        <v>211</v>
      </c>
      <c r="J786" s="242" t="s">
        <v>240</v>
      </c>
      <c r="K786" s="195" t="s">
        <v>70</v>
      </c>
      <c r="L786" s="20" t="str">
        <f ca="1">IF(OFFSET(환산공식!$ED$15,$F786,0)=1,"O","X")</f>
        <v>X</v>
      </c>
      <c r="M786" s="188">
        <f ca="1">IFERROR(OFFSET(환산공식!DJ$15,$F786,0),"")</f>
        <v>30</v>
      </c>
      <c r="N786" s="20" t="str">
        <f ca="1">IFERROR(CONCATENATE(ROUND(OFFSET(환산공식!DK$15,$F786,0),1),"%"),"")</f>
        <v>100%</v>
      </c>
      <c r="O786" s="20">
        <f ca="1">IFERROR(OFFSET(환산공식!DL$15,$F786,0),"")</f>
        <v>5</v>
      </c>
      <c r="P786" s="188" t="str">
        <f t="shared" ca="1" si="24"/>
        <v>3% 이하</v>
      </c>
      <c r="Q786" s="194">
        <f ca="1">IFERROR(ROUND(OFFSET(환산공식!$FG$15,$F786,0),3),"")</f>
        <v>0</v>
      </c>
      <c r="R786" s="194">
        <f ca="1">OFFSET('배치점수 계산기'!H$10,$D786,0)</f>
        <v>373.06099999999998</v>
      </c>
      <c r="S786" s="194">
        <f ca="1">OFFSET('배치점수 계산기'!I$10,$D786,0)</f>
        <v>371.97800000000001</v>
      </c>
      <c r="T786" s="194">
        <f ca="1">OFFSET('배치점수 계산기'!J$10,$D786,0)</f>
        <v>370.52499999999998</v>
      </c>
      <c r="U786" s="194">
        <f ca="1">OFFSET('배치점수 계산기'!K$10,$D786,0)</f>
        <v>369.572</v>
      </c>
      <c r="V786" s="194">
        <f ca="1">OFFSET('배치점수 계산기'!L$10,$D786,0)</f>
        <v>368.65300000000002</v>
      </c>
      <c r="W786" s="186" t="str">
        <f ca="1">OFFSET('배치점수 계산기'!M$10,$D786,0)</f>
        <v>표점</v>
      </c>
      <c r="X786" s="184" t="str">
        <f ca="1">OFFSET('배치점수 계산기'!N$10,$D786,0)</f>
        <v>변표</v>
      </c>
      <c r="Y786" s="188">
        <f ca="1">OFFSET(환산공식!FW$15,$F786,0)</f>
        <v>0.3</v>
      </c>
      <c r="Z786" s="20">
        <f ca="1">OFFSET(환산공식!FX$15,$F786,0)</f>
        <v>0.4</v>
      </c>
      <c r="AA786" s="179">
        <f ca="1">OFFSET(환산공식!FY$15,$F786,0)</f>
        <v>0.3</v>
      </c>
      <c r="AB786" s="3"/>
      <c r="AD786">
        <f t="shared" ca="1" si="25"/>
        <v>6</v>
      </c>
      <c r="AF786" s="3"/>
      <c r="AG786" s="3"/>
      <c r="AH786" s="3"/>
    </row>
    <row r="787" spans="1:34">
      <c r="A787" s="198"/>
      <c r="B787" s="198"/>
      <c r="C787" s="198" t="s">
        <v>2239</v>
      </c>
      <c r="D787" s="195">
        <v>1802</v>
      </c>
      <c r="E787" s="195">
        <v>210</v>
      </c>
      <c r="F787" s="195">
        <v>210</v>
      </c>
      <c r="G787" s="239">
        <v>780</v>
      </c>
      <c r="H787" s="197" t="s">
        <v>79</v>
      </c>
      <c r="I787" s="242" t="s">
        <v>211</v>
      </c>
      <c r="J787" s="242" t="s">
        <v>427</v>
      </c>
      <c r="K787" s="195" t="s">
        <v>70</v>
      </c>
      <c r="L787" s="20" t="str">
        <f ca="1">IF(OFFSET(환산공식!$ED$15,$F787,0)=1,"O","X")</f>
        <v>X</v>
      </c>
      <c r="M787" s="188">
        <f ca="1">IFERROR(OFFSET(환산공식!DJ$15,$F787,0),"")</f>
        <v>30</v>
      </c>
      <c r="N787" s="20" t="str">
        <f ca="1">IFERROR(CONCATENATE(ROUND(OFFSET(환산공식!DK$15,$F787,0),1),"%"),"")</f>
        <v>100%</v>
      </c>
      <c r="O787" s="20">
        <f ca="1">IFERROR(OFFSET(환산공식!DL$15,$F787,0),"")</f>
        <v>5</v>
      </c>
      <c r="P787" s="188" t="str">
        <f t="shared" ca="1" si="24"/>
        <v>3% 이하</v>
      </c>
      <c r="Q787" s="194">
        <f ca="1">IFERROR(ROUND(OFFSET(환산공식!$FG$15,$F787,0),3),"")</f>
        <v>0</v>
      </c>
      <c r="R787" s="194">
        <f ca="1">OFFSET('배치점수 계산기'!H$10,$D787,0)</f>
        <v>365.48899999999998</v>
      </c>
      <c r="S787" s="194">
        <f ca="1">OFFSET('배치점수 계산기'!I$10,$D787,0)</f>
        <v>364.84800000000001</v>
      </c>
      <c r="T787" s="194">
        <f ca="1">OFFSET('배치점수 계산기'!J$10,$D787,0)</f>
        <v>363.48500000000001</v>
      </c>
      <c r="U787" s="194">
        <f ca="1">OFFSET('배치점수 계산기'!K$10,$D787,0)</f>
        <v>357.83100000000002</v>
      </c>
      <c r="V787" s="194">
        <f ca="1">OFFSET('배치점수 계산기'!L$10,$D787,0)</f>
        <v>354.20299999999997</v>
      </c>
      <c r="W787" s="186" t="str">
        <f ca="1">OFFSET('배치점수 계산기'!M$10,$D787,0)</f>
        <v>표점</v>
      </c>
      <c r="X787" s="184" t="str">
        <f ca="1">OFFSET('배치점수 계산기'!N$10,$D787,0)</f>
        <v>변표</v>
      </c>
      <c r="Y787" s="188">
        <f ca="1">OFFSET(환산공식!FW$15,$F787,0)</f>
        <v>0.3</v>
      </c>
      <c r="Z787" s="20">
        <f ca="1">OFFSET(환산공식!FX$15,$F787,0)</f>
        <v>0.4</v>
      </c>
      <c r="AA787" s="179">
        <f ca="1">OFFSET(환산공식!FY$15,$F787,0)</f>
        <v>0.3</v>
      </c>
      <c r="AB787" s="3"/>
      <c r="AD787">
        <f t="shared" ca="1" si="25"/>
        <v>6</v>
      </c>
      <c r="AF787" s="3"/>
      <c r="AG787" s="3"/>
      <c r="AH787" s="3"/>
    </row>
    <row r="788" spans="1:34">
      <c r="A788" s="198"/>
      <c r="B788" s="198"/>
      <c r="C788" s="198" t="s">
        <v>2240</v>
      </c>
      <c r="D788" s="195">
        <v>1803</v>
      </c>
      <c r="E788" s="195">
        <v>210</v>
      </c>
      <c r="F788" s="195">
        <v>210</v>
      </c>
      <c r="G788" s="239">
        <v>781</v>
      </c>
      <c r="H788" s="197" t="s">
        <v>79</v>
      </c>
      <c r="I788" s="242" t="s">
        <v>211</v>
      </c>
      <c r="J788" s="242" t="s">
        <v>16720</v>
      </c>
      <c r="K788" s="195" t="s">
        <v>70</v>
      </c>
      <c r="L788" s="20" t="str">
        <f ca="1">IF(OFFSET(환산공식!$ED$15,$F788,0)=1,"O","X")</f>
        <v>X</v>
      </c>
      <c r="M788" s="188">
        <f ca="1">IFERROR(OFFSET(환산공식!DJ$15,$F788,0),"")</f>
        <v>30</v>
      </c>
      <c r="N788" s="20" t="str">
        <f ca="1">IFERROR(CONCATENATE(ROUND(OFFSET(환산공식!DK$15,$F788,0),1),"%"),"")</f>
        <v>100%</v>
      </c>
      <c r="O788" s="20">
        <f ca="1">IFERROR(OFFSET(환산공식!DL$15,$F788,0),"")</f>
        <v>5</v>
      </c>
      <c r="P788" s="188" t="str">
        <f t="shared" ca="1" si="24"/>
        <v>3% 이하</v>
      </c>
      <c r="Q788" s="194">
        <f ca="1">IFERROR(ROUND(OFFSET(환산공식!$FG$15,$F788,0),3),"")</f>
        <v>0</v>
      </c>
      <c r="R788" s="194">
        <f ca="1">OFFSET('배치점수 계산기'!H$10,$D788,0)</f>
        <v>340.98200000000003</v>
      </c>
      <c r="S788" s="194">
        <f ca="1">OFFSET('배치점수 계산기'!I$10,$D788,0)</f>
        <v>339.80200000000002</v>
      </c>
      <c r="T788" s="194">
        <f ca="1">OFFSET('배치점수 계산기'!J$10,$D788,0)</f>
        <v>337.44600000000003</v>
      </c>
      <c r="U788" s="194">
        <f ca="1">OFFSET('배치점수 계산기'!K$10,$D788,0)</f>
        <v>328.33199999999999</v>
      </c>
      <c r="V788" s="194">
        <f ca="1">OFFSET('배치점수 계산기'!L$10,$D788,0)</f>
        <v>321.286</v>
      </c>
      <c r="W788" s="186" t="str">
        <f ca="1">OFFSET('배치점수 계산기'!M$10,$D788,0)</f>
        <v>표점</v>
      </c>
      <c r="X788" s="184" t="str">
        <f ca="1">OFFSET('배치점수 계산기'!N$10,$D788,0)</f>
        <v>변표</v>
      </c>
      <c r="Y788" s="188">
        <f ca="1">OFFSET(환산공식!FW$15,$F788,0)</f>
        <v>0.3</v>
      </c>
      <c r="Z788" s="20">
        <f ca="1">OFFSET(환산공식!FX$15,$F788,0)</f>
        <v>0.4</v>
      </c>
      <c r="AA788" s="179">
        <f ca="1">OFFSET(환산공식!FY$15,$F788,0)</f>
        <v>0.3</v>
      </c>
      <c r="AB788" s="3"/>
      <c r="AD788">
        <f t="shared" ca="1" si="25"/>
        <v>6</v>
      </c>
      <c r="AF788" s="3"/>
      <c r="AG788" s="3"/>
      <c r="AH788" s="3"/>
    </row>
    <row r="789" spans="1:34">
      <c r="A789" s="198"/>
      <c r="B789" s="198"/>
      <c r="C789" s="198" t="s">
        <v>2241</v>
      </c>
      <c r="D789" s="195">
        <v>1804</v>
      </c>
      <c r="E789" s="195">
        <v>171</v>
      </c>
      <c r="F789" s="195">
        <v>171</v>
      </c>
      <c r="G789" s="239">
        <v>782</v>
      </c>
      <c r="H789" s="197" t="s">
        <v>79</v>
      </c>
      <c r="I789" s="242" t="s">
        <v>223</v>
      </c>
      <c r="J789" s="242" t="s">
        <v>240</v>
      </c>
      <c r="K789" s="195" t="s">
        <v>70</v>
      </c>
      <c r="L789" s="20" t="str">
        <f ca="1">IF(OFFSET(환산공식!$ED$15,$F789,0)=1,"O","X")</f>
        <v>X</v>
      </c>
      <c r="M789" s="188">
        <f ca="1">IFERROR(OFFSET(환산공식!DJ$15,$F789,0),"")</f>
        <v>80</v>
      </c>
      <c r="N789" s="20" t="str">
        <f ca="1">IFERROR(CONCATENATE(ROUND(OFFSET(환산공식!DK$15,$F789,0),1),"%"),"")</f>
        <v>100%</v>
      </c>
      <c r="O789" s="20">
        <f ca="1">IFERROR(OFFSET(환산공식!DL$15,$F789,0),"")</f>
        <v>10</v>
      </c>
      <c r="P789" s="188" t="str">
        <f t="shared" ca="1" si="24"/>
        <v>3% 이하</v>
      </c>
      <c r="Q789" s="194">
        <f ca="1">IFERROR(ROUND(OFFSET(환산공식!$FG$15,$F789,0),3),"")</f>
        <v>0</v>
      </c>
      <c r="R789" s="194">
        <f ca="1">OFFSET('배치점수 계산기'!H$10,$D789,0)</f>
        <v>790.35199999999998</v>
      </c>
      <c r="S789" s="194">
        <f ca="1">OFFSET('배치점수 계산기'!I$10,$D789,0)</f>
        <v>789.28800000000001</v>
      </c>
      <c r="T789" s="194">
        <f ca="1">OFFSET('배치점수 계산기'!J$10,$D789,0)</f>
        <v>789.35199999999998</v>
      </c>
      <c r="U789" s="194">
        <f ca="1">OFFSET('배치점수 계산기'!K$10,$D789,0)</f>
        <v>788.39200000000005</v>
      </c>
      <c r="V789" s="194">
        <f ca="1">OFFSET('배치점수 계산기'!L$10,$D789,0)</f>
        <v>786.93600000000004</v>
      </c>
      <c r="W789" s="186" t="str">
        <f ca="1">OFFSET('배치점수 계산기'!M$10,$D789,0)</f>
        <v>백분위</v>
      </c>
      <c r="X789" s="184" t="str">
        <f ca="1">OFFSET('배치점수 계산기'!N$10,$D789,0)</f>
        <v>백분위</v>
      </c>
      <c r="Y789" s="188">
        <f ca="1">OFFSET(환산공식!FW$15,$F789,0)</f>
        <v>0.28000000000000003</v>
      </c>
      <c r="Z789" s="20">
        <f ca="1">OFFSET(환산공식!FX$15,$F789,0)</f>
        <v>0.39</v>
      </c>
      <c r="AA789" s="179">
        <f ca="1">OFFSET(환산공식!FY$15,$F789,0)</f>
        <v>0.33</v>
      </c>
      <c r="AB789" s="3"/>
      <c r="AD789">
        <f t="shared" ca="1" si="25"/>
        <v>6</v>
      </c>
      <c r="AF789" s="3"/>
      <c r="AG789" s="3"/>
      <c r="AH789" s="3"/>
    </row>
    <row r="790" spans="1:34">
      <c r="A790" s="198"/>
      <c r="B790" s="198"/>
      <c r="C790" s="198" t="s">
        <v>2242</v>
      </c>
      <c r="D790" s="195">
        <v>1805</v>
      </c>
      <c r="E790" s="195">
        <v>171</v>
      </c>
      <c r="F790" s="195">
        <v>171</v>
      </c>
      <c r="G790" s="239">
        <v>783</v>
      </c>
      <c r="H790" s="197" t="s">
        <v>79</v>
      </c>
      <c r="I790" s="242" t="s">
        <v>223</v>
      </c>
      <c r="J790" s="242" t="s">
        <v>427</v>
      </c>
      <c r="K790" s="195" t="s">
        <v>70</v>
      </c>
      <c r="L790" s="20" t="str">
        <f ca="1">IF(OFFSET(환산공식!$ED$15,$F790,0)=1,"O","X")</f>
        <v>X</v>
      </c>
      <c r="M790" s="188">
        <f ca="1">IFERROR(OFFSET(환산공식!DJ$15,$F790,0),"")</f>
        <v>80</v>
      </c>
      <c r="N790" s="20" t="str">
        <f ca="1">IFERROR(CONCATENATE(ROUND(OFFSET(환산공식!DK$15,$F790,0),1),"%"),"")</f>
        <v>100%</v>
      </c>
      <c r="O790" s="20">
        <f ca="1">IFERROR(OFFSET(환산공식!DL$15,$F790,0),"")</f>
        <v>10</v>
      </c>
      <c r="P790" s="188" t="str">
        <f t="shared" ca="1" si="24"/>
        <v>3% 이하</v>
      </c>
      <c r="Q790" s="194">
        <f ca="1">IFERROR(ROUND(OFFSET(환산공식!$FG$15,$F790,0),3),"")</f>
        <v>0</v>
      </c>
      <c r="R790" s="194">
        <f ca="1">OFFSET('배치점수 계산기'!H$10,$D790,0)</f>
        <v>789.67200000000003</v>
      </c>
      <c r="S790" s="194">
        <f ca="1">OFFSET('배치점수 계산기'!I$10,$D790,0)</f>
        <v>789.072</v>
      </c>
      <c r="T790" s="194">
        <f ca="1">OFFSET('배치점수 계산기'!J$10,$D790,0)</f>
        <v>787.57600000000002</v>
      </c>
      <c r="U790" s="194">
        <f ca="1">OFFSET('배치점수 계산기'!K$10,$D790,0)</f>
        <v>785.976</v>
      </c>
      <c r="V790" s="194">
        <f ca="1">OFFSET('배치점수 계산기'!L$10,$D790,0)</f>
        <v>782.10400000000004</v>
      </c>
      <c r="W790" s="186" t="str">
        <f ca="1">OFFSET('배치점수 계산기'!M$10,$D790,0)</f>
        <v>백분위</v>
      </c>
      <c r="X790" s="184" t="str">
        <f ca="1">OFFSET('배치점수 계산기'!N$10,$D790,0)</f>
        <v>백분위</v>
      </c>
      <c r="Y790" s="188">
        <f ca="1">OFFSET(환산공식!FW$15,$F790,0)</f>
        <v>0.28000000000000003</v>
      </c>
      <c r="Z790" s="20">
        <f ca="1">OFFSET(환산공식!FX$15,$F790,0)</f>
        <v>0.39</v>
      </c>
      <c r="AA790" s="179">
        <f ca="1">OFFSET(환산공식!FY$15,$F790,0)</f>
        <v>0.33</v>
      </c>
      <c r="AB790" s="3"/>
      <c r="AD790">
        <f t="shared" ca="1" si="25"/>
        <v>6</v>
      </c>
      <c r="AF790" s="3"/>
      <c r="AG790" s="3"/>
      <c r="AH790" s="3"/>
    </row>
    <row r="791" spans="1:34">
      <c r="A791" s="198"/>
      <c r="B791" s="198"/>
      <c r="C791" s="198" t="s">
        <v>2243</v>
      </c>
      <c r="D791" s="195">
        <v>1806</v>
      </c>
      <c r="E791" s="195">
        <v>229</v>
      </c>
      <c r="F791" s="195">
        <v>229</v>
      </c>
      <c r="G791" s="239">
        <v>784</v>
      </c>
      <c r="H791" s="197" t="s">
        <v>79</v>
      </c>
      <c r="I791" s="242" t="s">
        <v>214</v>
      </c>
      <c r="J791" s="242" t="s">
        <v>240</v>
      </c>
      <c r="K791" s="195" t="s">
        <v>70</v>
      </c>
      <c r="L791" s="20" t="str">
        <f ca="1">IF(OFFSET(환산공식!$ED$15,$F791,0)=1,"O","X")</f>
        <v>X</v>
      </c>
      <c r="M791" s="188">
        <f ca="1">IFERROR(OFFSET(환산공식!DJ$15,$F791,0),"")</f>
        <v>40</v>
      </c>
      <c r="N791" s="20" t="str">
        <f ca="1">IFERROR(CONCATENATE(ROUND(OFFSET(환산공식!DK$15,$F791,0),1),"%"),"")</f>
        <v>100%</v>
      </c>
      <c r="O791" s="20">
        <f ca="1">IFERROR(OFFSET(환산공식!DL$15,$F791,0),"")</f>
        <v>0</v>
      </c>
      <c r="P791" s="188" t="str">
        <f t="shared" ca="1" si="24"/>
        <v>3% 이하</v>
      </c>
      <c r="Q791" s="194">
        <f ca="1">IFERROR(ROUND(OFFSET(환산공식!$FG$15,$F791,0),3),"")</f>
        <v>800</v>
      </c>
      <c r="R791" s="194">
        <f ca="1">OFFSET('배치점수 계산기'!H$10,$D791,0)</f>
        <v>990.923</v>
      </c>
      <c r="S791" s="194">
        <f ca="1">OFFSET('배치점수 계산기'!I$10,$D791,0)</f>
        <v>990.601</v>
      </c>
      <c r="T791" s="194">
        <f ca="1">OFFSET('배치점수 계산기'!J$10,$D791,0)</f>
        <v>990.48</v>
      </c>
      <c r="U791" s="194">
        <f ca="1">OFFSET('배치점수 계산기'!K$10,$D791,0)</f>
        <v>990.13099999999997</v>
      </c>
      <c r="V791" s="194">
        <f ca="1">OFFSET('배치점수 계산기'!L$10,$D791,0)</f>
        <v>989.26199999999994</v>
      </c>
      <c r="W791" s="186" t="str">
        <f ca="1">OFFSET('배치점수 계산기'!M$10,$D791,0)</f>
        <v>표점/만점</v>
      </c>
      <c r="X791" s="184" t="str">
        <f ca="1">OFFSET('배치점수 계산기'!N$10,$D791,0)</f>
        <v>표점/만점</v>
      </c>
      <c r="Y791" s="188">
        <f ca="1">OFFSET(환산공식!FW$15,$F791,0)</f>
        <v>0.25</v>
      </c>
      <c r="Z791" s="20">
        <f ca="1">OFFSET(환산공식!FX$15,$F791,0)</f>
        <v>0.37</v>
      </c>
      <c r="AA791" s="179">
        <f ca="1">OFFSET(환산공식!FY$15,$F791,0)</f>
        <v>0.37</v>
      </c>
      <c r="AB791" s="3"/>
      <c r="AD791">
        <f t="shared" ca="1" si="25"/>
        <v>6</v>
      </c>
      <c r="AF791" s="3"/>
      <c r="AG791" s="3"/>
      <c r="AH791" s="3"/>
    </row>
    <row r="792" spans="1:34">
      <c r="A792" s="198"/>
      <c r="B792" s="198"/>
      <c r="C792" s="198" t="s">
        <v>2244</v>
      </c>
      <c r="D792" s="195">
        <v>1807</v>
      </c>
      <c r="E792" s="195">
        <v>229</v>
      </c>
      <c r="F792" s="195">
        <v>229</v>
      </c>
      <c r="G792" s="239">
        <v>785</v>
      </c>
      <c r="H792" s="197" t="s">
        <v>79</v>
      </c>
      <c r="I792" s="242" t="s">
        <v>214</v>
      </c>
      <c r="J792" s="242" t="s">
        <v>427</v>
      </c>
      <c r="K792" s="195" t="s">
        <v>70</v>
      </c>
      <c r="L792" s="20" t="str">
        <f ca="1">IF(OFFSET(환산공식!$ED$15,$F792,0)=1,"O","X")</f>
        <v>X</v>
      </c>
      <c r="M792" s="188">
        <f ca="1">IFERROR(OFFSET(환산공식!DJ$15,$F792,0),"")</f>
        <v>40</v>
      </c>
      <c r="N792" s="20" t="str">
        <f ca="1">IFERROR(CONCATENATE(ROUND(OFFSET(환산공식!DK$15,$F792,0),1),"%"),"")</f>
        <v>100%</v>
      </c>
      <c r="O792" s="20">
        <f ca="1">IFERROR(OFFSET(환산공식!DL$15,$F792,0),"")</f>
        <v>0</v>
      </c>
      <c r="P792" s="188" t="str">
        <f t="shared" ca="1" si="24"/>
        <v>3% 이하</v>
      </c>
      <c r="Q792" s="194">
        <f ca="1">IFERROR(ROUND(OFFSET(환산공식!$FG$15,$F792,0),3),"")</f>
        <v>800</v>
      </c>
      <c r="R792" s="194">
        <f ca="1">OFFSET('배치점수 계산기'!H$10,$D792,0)</f>
        <v>990.33900000000006</v>
      </c>
      <c r="S792" s="194">
        <f ca="1">OFFSET('배치점수 계산기'!I$10,$D792,0)</f>
        <v>990.13099999999997</v>
      </c>
      <c r="T792" s="194">
        <f ca="1">OFFSET('배치점수 계산기'!J$10,$D792,0)</f>
        <v>989.44299999999998</v>
      </c>
      <c r="U792" s="194">
        <f ca="1">OFFSET('배치점수 계산기'!K$10,$D792,0)</f>
        <v>988.577</v>
      </c>
      <c r="V792" s="194">
        <f ca="1">OFFSET('배치점수 계산기'!L$10,$D792,0)</f>
        <v>986.97699999999998</v>
      </c>
      <c r="W792" s="186" t="str">
        <f ca="1">OFFSET('배치점수 계산기'!M$10,$D792,0)</f>
        <v>표점/만점</v>
      </c>
      <c r="X792" s="184" t="str">
        <f ca="1">OFFSET('배치점수 계산기'!N$10,$D792,0)</f>
        <v>표점/만점</v>
      </c>
      <c r="Y792" s="188">
        <f ca="1">OFFSET(환산공식!FW$15,$F792,0)</f>
        <v>0.25</v>
      </c>
      <c r="Z792" s="20">
        <f ca="1">OFFSET(환산공식!FX$15,$F792,0)</f>
        <v>0.37</v>
      </c>
      <c r="AA792" s="179">
        <f ca="1">OFFSET(환산공식!FY$15,$F792,0)</f>
        <v>0.37</v>
      </c>
      <c r="AB792" s="3"/>
      <c r="AD792">
        <f t="shared" ca="1" si="25"/>
        <v>6</v>
      </c>
      <c r="AF792" s="3"/>
      <c r="AG792" s="3"/>
      <c r="AH792" s="3"/>
    </row>
    <row r="793" spans="1:34">
      <c r="A793" s="198"/>
      <c r="B793" s="198"/>
      <c r="C793" s="198" t="s">
        <v>2245</v>
      </c>
      <c r="D793" s="195">
        <v>1808</v>
      </c>
      <c r="E793" s="195">
        <v>142</v>
      </c>
      <c r="F793" s="195">
        <v>142</v>
      </c>
      <c r="G793" s="239">
        <v>786</v>
      </c>
      <c r="H793" s="197" t="s">
        <v>79</v>
      </c>
      <c r="I793" s="242" t="s">
        <v>7872</v>
      </c>
      <c r="J793" s="242" t="s">
        <v>7873</v>
      </c>
      <c r="K793" s="195" t="s">
        <v>70</v>
      </c>
      <c r="L793" s="20" t="str">
        <f ca="1">IF(OFFSET(환산공식!$ED$15,$F793,0)=1,"O","X")</f>
        <v>X</v>
      </c>
      <c r="M793" s="188">
        <f ca="1">IFERROR(OFFSET(환산공식!DJ$15,$F793,0),"")</f>
        <v>200</v>
      </c>
      <c r="N793" s="20" t="str">
        <f ca="1">IFERROR(CONCATENATE(ROUND(OFFSET(환산공식!DK$15,$F793,0),1),"%"),"")</f>
        <v>100%</v>
      </c>
      <c r="O793" s="20">
        <f ca="1">IFERROR(OFFSET(환산공식!DL$15,$F793,0),"")</f>
        <v>0</v>
      </c>
      <c r="P793" s="188" t="str">
        <f t="shared" ca="1" si="24"/>
        <v>3% 이하</v>
      </c>
      <c r="Q793" s="194">
        <f ca="1">IFERROR(ROUND(OFFSET(환산공식!$FG$15,$F793,0),3),"")</f>
        <v>0</v>
      </c>
      <c r="R793" s="194">
        <f ca="1">OFFSET('배치점수 계산기'!H$10,$D793,0)</f>
        <v>954.03899999999999</v>
      </c>
      <c r="S793" s="194">
        <f ca="1">OFFSET('배치점수 계산기'!I$10,$D793,0)</f>
        <v>953.76900000000001</v>
      </c>
      <c r="T793" s="194">
        <f ca="1">OFFSET('배치점수 계산기'!J$10,$D793,0)</f>
        <v>951.86199999999997</v>
      </c>
      <c r="U793" s="194">
        <f ca="1">OFFSET('배치점수 계산기'!K$10,$D793,0)</f>
        <v>950.06100000000004</v>
      </c>
      <c r="V793" s="194">
        <f ca="1">OFFSET('배치점수 계산기'!L$10,$D793,0)</f>
        <v>944.09799999999996</v>
      </c>
      <c r="W793" s="186" t="str">
        <f ca="1">OFFSET('배치점수 계산기'!M$10,$D793,0)</f>
        <v>표점/만점</v>
      </c>
      <c r="X793" s="184" t="str">
        <f ca="1">OFFSET('배치점수 계산기'!N$10,$D793,0)</f>
        <v>표점/만점</v>
      </c>
      <c r="Y793" s="188">
        <f ca="1">OFFSET(환산공식!FW$15,$F793,0)</f>
        <v>0.25</v>
      </c>
      <c r="Z793" s="20">
        <f ca="1">OFFSET(환산공식!FX$15,$F793,0)</f>
        <v>0.37</v>
      </c>
      <c r="AA793" s="179">
        <f ca="1">OFFSET(환산공식!FY$15,$F793,0)</f>
        <v>0.37</v>
      </c>
      <c r="AB793" s="3"/>
      <c r="AD793">
        <f t="shared" ca="1" si="25"/>
        <v>6</v>
      </c>
      <c r="AF793" s="3"/>
      <c r="AG793" s="3"/>
      <c r="AH793" s="3"/>
    </row>
    <row r="794" spans="1:34">
      <c r="A794" s="198"/>
      <c r="B794" s="198"/>
      <c r="C794" s="198" t="s">
        <v>2246</v>
      </c>
      <c r="D794" s="195">
        <v>1809</v>
      </c>
      <c r="E794" s="195">
        <v>142</v>
      </c>
      <c r="F794" s="195">
        <v>142</v>
      </c>
      <c r="G794" s="239">
        <v>787</v>
      </c>
      <c r="H794" s="197" t="s">
        <v>79</v>
      </c>
      <c r="I794" s="242" t="s">
        <v>7872</v>
      </c>
      <c r="J794" s="242" t="s">
        <v>427</v>
      </c>
      <c r="K794" s="195" t="s">
        <v>70</v>
      </c>
      <c r="L794" s="20" t="str">
        <f ca="1">IF(OFFSET(환산공식!$ED$15,$F794,0)=1,"O","X")</f>
        <v>X</v>
      </c>
      <c r="M794" s="188">
        <f ca="1">IFERROR(OFFSET(환산공식!DJ$15,$F794,0),"")</f>
        <v>200</v>
      </c>
      <c r="N794" s="20" t="str">
        <f ca="1">IFERROR(CONCATENATE(ROUND(OFFSET(환산공식!DK$15,$F794,0),1),"%"),"")</f>
        <v>100%</v>
      </c>
      <c r="O794" s="20">
        <f ca="1">IFERROR(OFFSET(환산공식!DL$15,$F794,0),"")</f>
        <v>0</v>
      </c>
      <c r="P794" s="188" t="str">
        <f t="shared" ca="1" si="24"/>
        <v>3% 이하</v>
      </c>
      <c r="Q794" s="194">
        <f ca="1">IFERROR(ROUND(OFFSET(환산공식!$FG$15,$F794,0),3),"")</f>
        <v>0</v>
      </c>
      <c r="R794" s="194">
        <f ca="1">OFFSET('배치점수 계산기'!H$10,$D794,0)</f>
        <v>927.423</v>
      </c>
      <c r="S794" s="194">
        <f ca="1">OFFSET('배치점수 계산기'!I$10,$D794,0)</f>
        <v>926.85699999999997</v>
      </c>
      <c r="T794" s="194">
        <f ca="1">OFFSET('배치점수 계산기'!J$10,$D794,0)</f>
        <v>926.08100000000002</v>
      </c>
      <c r="U794" s="194">
        <f ca="1">OFFSET('배치점수 계산기'!K$10,$D794,0)</f>
        <v>923.49599999999998</v>
      </c>
      <c r="V794" s="194">
        <f ca="1">OFFSET('배치점수 계산기'!L$10,$D794,0)</f>
        <v>918.16899999999998</v>
      </c>
      <c r="W794" s="186" t="str">
        <f ca="1">OFFSET('배치점수 계산기'!M$10,$D794,0)</f>
        <v>표점/만점</v>
      </c>
      <c r="X794" s="184" t="str">
        <f ca="1">OFFSET('배치점수 계산기'!N$10,$D794,0)</f>
        <v>표점/만점</v>
      </c>
      <c r="Y794" s="188">
        <f ca="1">OFFSET(환산공식!FW$15,$F794,0)</f>
        <v>0.25</v>
      </c>
      <c r="Z794" s="20">
        <f ca="1">OFFSET(환산공식!FX$15,$F794,0)</f>
        <v>0.37</v>
      </c>
      <c r="AA794" s="179">
        <f ca="1">OFFSET(환산공식!FY$15,$F794,0)</f>
        <v>0.37</v>
      </c>
      <c r="AB794" s="3"/>
      <c r="AD794">
        <f t="shared" ca="1" si="25"/>
        <v>6</v>
      </c>
      <c r="AF794" s="3"/>
      <c r="AG794" s="3"/>
      <c r="AH794" s="3"/>
    </row>
    <row r="795" spans="1:34">
      <c r="A795" s="198"/>
      <c r="B795" s="198"/>
      <c r="C795" s="198" t="s">
        <v>2247</v>
      </c>
      <c r="D795" s="195">
        <v>1810</v>
      </c>
      <c r="E795" s="195">
        <v>175</v>
      </c>
      <c r="F795" s="195">
        <v>175</v>
      </c>
      <c r="G795" s="239">
        <v>788</v>
      </c>
      <c r="H795" s="197" t="s">
        <v>79</v>
      </c>
      <c r="I795" s="242" t="s">
        <v>202</v>
      </c>
      <c r="J795" s="242" t="s">
        <v>240</v>
      </c>
      <c r="K795" s="195" t="s">
        <v>70</v>
      </c>
      <c r="L795" s="20" t="str">
        <f ca="1">IF(OFFSET(환산공식!$ED$15,$F795,0)=1,"O","X")</f>
        <v>X</v>
      </c>
      <c r="M795" s="188">
        <f ca="1">IFERROR(OFFSET(환산공식!DJ$15,$F795,0),"")</f>
        <v>100</v>
      </c>
      <c r="N795" s="20" t="str">
        <f ca="1">IFERROR(CONCATENATE(ROUND(OFFSET(환산공식!DK$15,$F795,0),1),"%"),"")</f>
        <v>100%</v>
      </c>
      <c r="O795" s="20">
        <f ca="1">IFERROR(OFFSET(환산공식!DL$15,$F795,0),"")</f>
        <v>5</v>
      </c>
      <c r="P795" s="188" t="str">
        <f t="shared" ca="1" si="24"/>
        <v>3% 이하</v>
      </c>
      <c r="Q795" s="194">
        <f ca="1">IFERROR(ROUND(OFFSET(환산공식!$FG$15,$F795,0),3),"")</f>
        <v>0</v>
      </c>
      <c r="R795" s="194">
        <f ca="1">OFFSET('배치점수 계산기'!H$10,$D795,0)</f>
        <v>565.19000000000005</v>
      </c>
      <c r="S795" s="194">
        <f ca="1">OFFSET('배치점수 계산기'!I$10,$D795,0)</f>
        <v>563.96</v>
      </c>
      <c r="T795" s="194">
        <f ca="1">OFFSET('배치점수 계산기'!J$10,$D795,0)</f>
        <v>562.98</v>
      </c>
      <c r="U795" s="194">
        <f ca="1">OFFSET('배치점수 계산기'!K$10,$D795,0)</f>
        <v>562.51</v>
      </c>
      <c r="V795" s="194">
        <f ca="1">OFFSET('배치점수 계산기'!L$10,$D795,0)</f>
        <v>560.55100000000004</v>
      </c>
      <c r="W795" s="186" t="str">
        <f ca="1">OFFSET('배치점수 계산기'!M$10,$D795,0)</f>
        <v>표점</v>
      </c>
      <c r="X795" s="184" t="str">
        <f ca="1">OFFSET('배치점수 계산기'!N$10,$D795,0)</f>
        <v>표점</v>
      </c>
      <c r="Y795" s="188">
        <f ca="1">OFFSET(환산공식!FW$15,$F795,0)</f>
        <v>0.37</v>
      </c>
      <c r="Z795" s="20">
        <f ca="1">OFFSET(환산공식!FX$15,$F795,0)</f>
        <v>0.44</v>
      </c>
      <c r="AA795" s="179">
        <f ca="1">OFFSET(환산공식!FY$15,$F795,0)</f>
        <v>0.19</v>
      </c>
      <c r="AB795" s="3"/>
      <c r="AD795">
        <f t="shared" ca="1" si="25"/>
        <v>6</v>
      </c>
      <c r="AF795" s="3"/>
      <c r="AG795" s="3"/>
      <c r="AH795" s="3"/>
    </row>
    <row r="796" spans="1:34">
      <c r="A796" s="198"/>
      <c r="B796" s="198"/>
      <c r="C796" s="198" t="s">
        <v>2248</v>
      </c>
      <c r="D796" s="195">
        <v>1811</v>
      </c>
      <c r="E796" s="195">
        <v>181</v>
      </c>
      <c r="F796" s="195">
        <v>181</v>
      </c>
      <c r="G796" s="239">
        <v>789</v>
      </c>
      <c r="H796" s="197" t="s">
        <v>79</v>
      </c>
      <c r="I796" s="242" t="s">
        <v>245</v>
      </c>
      <c r="J796" s="242" t="s">
        <v>240</v>
      </c>
      <c r="K796" s="195" t="s">
        <v>70</v>
      </c>
      <c r="L796" s="20" t="str">
        <f ca="1">IF(OFFSET(환산공식!$ED$15,$F796,0)=1,"O","X")</f>
        <v>X</v>
      </c>
      <c r="M796" s="188">
        <f ca="1">IFERROR(OFFSET(환산공식!DJ$15,$F796,0),"")</f>
        <v>200</v>
      </c>
      <c r="N796" s="20" t="str">
        <f ca="1">IFERROR(CONCATENATE(ROUND(OFFSET(환산공식!DK$15,$F796,0),1),"%"),"")</f>
        <v>100%</v>
      </c>
      <c r="O796" s="20">
        <f ca="1">IFERROR(OFFSET(환산공식!DL$15,$F796,0),"")</f>
        <v>10</v>
      </c>
      <c r="P796" s="188" t="str">
        <f t="shared" ca="1" si="24"/>
        <v>3% 이하</v>
      </c>
      <c r="Q796" s="194">
        <f ca="1">IFERROR(ROUND(OFFSET(환산공식!$FG$15,$F796,0),3),"")</f>
        <v>0</v>
      </c>
      <c r="R796" s="194">
        <f ca="1">OFFSET('배치점수 계산기'!H$10,$D796,0)</f>
        <v>797.04399999999998</v>
      </c>
      <c r="S796" s="194">
        <f ca="1">OFFSET('배치점수 계산기'!I$10,$D796,0)</f>
        <v>796.83199999999999</v>
      </c>
      <c r="T796" s="194">
        <f ca="1">OFFSET('배치점수 계산기'!J$10,$D796,0)</f>
        <v>796.51199999999994</v>
      </c>
      <c r="U796" s="194">
        <f ca="1">OFFSET('배치점수 계산기'!K$10,$D796,0)</f>
        <v>796.03200000000004</v>
      </c>
      <c r="V796" s="194">
        <f ca="1">OFFSET('배치점수 계산기'!L$10,$D796,0)</f>
        <v>795.65200000000004</v>
      </c>
      <c r="W796" s="186" t="str">
        <f ca="1">OFFSET('배치점수 계산기'!M$10,$D796,0)</f>
        <v>백분위</v>
      </c>
      <c r="X796" s="184" t="str">
        <f ca="1">OFFSET('배치점수 계산기'!N$10,$D796,0)</f>
        <v>백분위</v>
      </c>
      <c r="Y796" s="188">
        <f ca="1">OFFSET(환산공식!FW$15,$F796,0)</f>
        <v>0.33</v>
      </c>
      <c r="Z796" s="20">
        <f ca="1">OFFSET(환산공식!FX$15,$F796,0)</f>
        <v>0.47</v>
      </c>
      <c r="AA796" s="179">
        <f ca="1">OFFSET(환산공식!FY$15,$F796,0)</f>
        <v>0.2</v>
      </c>
      <c r="AB796" s="3"/>
      <c r="AD796">
        <f t="shared" ca="1" si="25"/>
        <v>6</v>
      </c>
      <c r="AF796" s="3"/>
      <c r="AG796" s="3"/>
      <c r="AH796" s="3"/>
    </row>
    <row r="797" spans="1:34">
      <c r="A797" s="198"/>
      <c r="B797" s="198"/>
      <c r="C797" s="198" t="s">
        <v>2249</v>
      </c>
      <c r="D797" s="195">
        <v>1812</v>
      </c>
      <c r="E797" s="195">
        <v>181</v>
      </c>
      <c r="F797" s="195">
        <v>181</v>
      </c>
      <c r="G797" s="239">
        <v>790</v>
      </c>
      <c r="H797" s="197" t="s">
        <v>79</v>
      </c>
      <c r="I797" s="242" t="s">
        <v>245</v>
      </c>
      <c r="J797" s="242" t="s">
        <v>427</v>
      </c>
      <c r="K797" s="195" t="s">
        <v>70</v>
      </c>
      <c r="L797" s="20" t="str">
        <f ca="1">IF(OFFSET(환산공식!$ED$15,$F797,0)=1,"O","X")</f>
        <v>X</v>
      </c>
      <c r="M797" s="188">
        <f ca="1">IFERROR(OFFSET(환산공식!DJ$15,$F797,0),"")</f>
        <v>200</v>
      </c>
      <c r="N797" s="20" t="str">
        <f ca="1">IFERROR(CONCATENATE(ROUND(OFFSET(환산공식!DK$15,$F797,0),1),"%"),"")</f>
        <v>100%</v>
      </c>
      <c r="O797" s="20">
        <f ca="1">IFERROR(OFFSET(환산공식!DL$15,$F797,0),"")</f>
        <v>10</v>
      </c>
      <c r="P797" s="188" t="str">
        <f t="shared" ca="1" si="24"/>
        <v>3% 이하</v>
      </c>
      <c r="Q797" s="194">
        <f ca="1">IFERROR(ROUND(OFFSET(환산공식!$FG$15,$F797,0),3),"")</f>
        <v>0</v>
      </c>
      <c r="R797" s="194">
        <f ca="1">OFFSET('배치점수 계산기'!H$10,$D797,0)</f>
        <v>795.05600000000004</v>
      </c>
      <c r="S797" s="194">
        <f ca="1">OFFSET('배치점수 계산기'!I$10,$D797,0)</f>
        <v>794.77599999999995</v>
      </c>
      <c r="T797" s="194">
        <f ca="1">OFFSET('배치점수 계산기'!J$10,$D797,0)</f>
        <v>794.29600000000005</v>
      </c>
      <c r="U797" s="194">
        <f ca="1">OFFSET('배치점수 계산기'!K$10,$D797,0)</f>
        <v>790.72</v>
      </c>
      <c r="V797" s="194">
        <f ca="1">OFFSET('배치점수 계산기'!L$10,$D797,0)</f>
        <v>788.62800000000004</v>
      </c>
      <c r="W797" s="186" t="str">
        <f ca="1">OFFSET('배치점수 계산기'!M$10,$D797,0)</f>
        <v>백분위</v>
      </c>
      <c r="X797" s="184" t="str">
        <f ca="1">OFFSET('배치점수 계산기'!N$10,$D797,0)</f>
        <v>백분위</v>
      </c>
      <c r="Y797" s="188">
        <f ca="1">OFFSET(환산공식!FW$15,$F797,0)</f>
        <v>0.33</v>
      </c>
      <c r="Z797" s="20">
        <f ca="1">OFFSET(환산공식!FX$15,$F797,0)</f>
        <v>0.47</v>
      </c>
      <c r="AA797" s="179">
        <f ca="1">OFFSET(환산공식!FY$15,$F797,0)</f>
        <v>0.2</v>
      </c>
      <c r="AB797" s="3"/>
      <c r="AD797">
        <f t="shared" ca="1" si="25"/>
        <v>6</v>
      </c>
      <c r="AF797" s="3"/>
      <c r="AG797" s="3"/>
      <c r="AH797" s="3"/>
    </row>
    <row r="798" spans="1:34">
      <c r="A798" s="198"/>
      <c r="B798" s="198"/>
      <c r="C798" s="198" t="s">
        <v>2250</v>
      </c>
      <c r="D798" s="195">
        <v>1813</v>
      </c>
      <c r="E798" s="195">
        <v>217</v>
      </c>
      <c r="F798" s="195">
        <v>217</v>
      </c>
      <c r="G798" s="239">
        <v>791</v>
      </c>
      <c r="H798" s="197" t="s">
        <v>79</v>
      </c>
      <c r="I798" s="242" t="s">
        <v>213</v>
      </c>
      <c r="J798" s="242" t="s">
        <v>240</v>
      </c>
      <c r="K798" s="195" t="s">
        <v>70</v>
      </c>
      <c r="L798" s="20" t="str">
        <f ca="1">IF(OFFSET(환산공식!$ED$15,$F798,0)=1,"O","X")</f>
        <v>X</v>
      </c>
      <c r="M798" s="188">
        <f ca="1">IFERROR(OFFSET(환산공식!DJ$15,$F798,0),"")</f>
        <v>200</v>
      </c>
      <c r="N798" s="20" t="str">
        <f ca="1">IFERROR(CONCATENATE(ROUND(OFFSET(환산공식!DK$15,$F798,0),1),"%"),"")</f>
        <v>100%</v>
      </c>
      <c r="O798" s="20">
        <f ca="1">IFERROR(OFFSET(환산공식!DL$15,$F798,0),"")</f>
        <v>10</v>
      </c>
      <c r="P798" s="188" t="str">
        <f t="shared" ca="1" si="24"/>
        <v>3% 이하</v>
      </c>
      <c r="Q798" s="194">
        <f ca="1">IFERROR(ROUND(OFFSET(환산공식!$FG$15,$F798,0),3),"")</f>
        <v>0</v>
      </c>
      <c r="R798" s="194">
        <f ca="1">OFFSET('배치점수 계산기'!H$10,$D798,0)</f>
        <v>984.77</v>
      </c>
      <c r="S798" s="194">
        <f ca="1">OFFSET('배치점수 계산기'!I$10,$D798,0)</f>
        <v>983.38</v>
      </c>
      <c r="T798" s="194">
        <f ca="1">OFFSET('배치점수 계산기'!J$10,$D798,0)</f>
        <v>982.05</v>
      </c>
      <c r="U798" s="194">
        <f ca="1">OFFSET('배치점수 계산기'!K$10,$D798,0)</f>
        <v>980.71</v>
      </c>
      <c r="V798" s="194">
        <f ca="1">OFFSET('배치점수 계산기'!L$10,$D798,0)</f>
        <v>977.2</v>
      </c>
      <c r="W798" s="186" t="str">
        <f ca="1">OFFSET('배치점수 계산기'!M$10,$D798,0)</f>
        <v>백분위</v>
      </c>
      <c r="X798" s="184" t="str">
        <f ca="1">OFFSET('배치점수 계산기'!N$10,$D798,0)</f>
        <v>백분위</v>
      </c>
      <c r="Y798" s="188">
        <f ca="1">OFFSET(환산공식!FW$15,$F798,0)</f>
        <v>0.25</v>
      </c>
      <c r="Z798" s="20">
        <f ca="1">OFFSET(환산공식!FX$15,$F798,0)</f>
        <v>0.38</v>
      </c>
      <c r="AA798" s="179">
        <f ca="1">OFFSET(환산공식!FY$15,$F798,0)</f>
        <v>0.38</v>
      </c>
      <c r="AB798" s="3"/>
      <c r="AD798">
        <f t="shared" ca="1" si="25"/>
        <v>6</v>
      </c>
      <c r="AF798" s="3"/>
      <c r="AG798" s="3"/>
      <c r="AH798" s="3"/>
    </row>
    <row r="799" spans="1:34">
      <c r="A799" s="198"/>
      <c r="B799" s="198"/>
      <c r="C799" s="198" t="s">
        <v>2251</v>
      </c>
      <c r="D799" s="195">
        <v>1814</v>
      </c>
      <c r="E799" s="195">
        <v>217</v>
      </c>
      <c r="F799" s="195">
        <v>217</v>
      </c>
      <c r="G799" s="239">
        <v>792</v>
      </c>
      <c r="H799" s="197" t="s">
        <v>79</v>
      </c>
      <c r="I799" s="242" t="s">
        <v>213</v>
      </c>
      <c r="J799" s="242" t="s">
        <v>427</v>
      </c>
      <c r="K799" s="195" t="s">
        <v>70</v>
      </c>
      <c r="L799" s="20" t="str">
        <f ca="1">IF(OFFSET(환산공식!$ED$15,$F799,0)=1,"O","X")</f>
        <v>X</v>
      </c>
      <c r="M799" s="188">
        <f ca="1">IFERROR(OFFSET(환산공식!DJ$15,$F799,0),"")</f>
        <v>200</v>
      </c>
      <c r="N799" s="20" t="str">
        <f ca="1">IFERROR(CONCATENATE(ROUND(OFFSET(환산공식!DK$15,$F799,0),1),"%"),"")</f>
        <v>100%</v>
      </c>
      <c r="O799" s="20">
        <f ca="1">IFERROR(OFFSET(환산공식!DL$15,$F799,0),"")</f>
        <v>10</v>
      </c>
      <c r="P799" s="188" t="str">
        <f t="shared" ca="1" si="24"/>
        <v>3% 이하</v>
      </c>
      <c r="Q799" s="194">
        <f ca="1">IFERROR(ROUND(OFFSET(환산공식!$FG$15,$F799,0),3),"")</f>
        <v>0</v>
      </c>
      <c r="R799" s="194">
        <f ca="1">OFFSET('배치점수 계산기'!H$10,$D799,0)</f>
        <v>974.33</v>
      </c>
      <c r="S799" s="194">
        <f ca="1">OFFSET('배치점수 계산기'!I$10,$D799,0)</f>
        <v>972.21</v>
      </c>
      <c r="T799" s="194">
        <f ca="1">OFFSET('배치점수 계산기'!J$10,$D799,0)</f>
        <v>969.48</v>
      </c>
      <c r="U799" s="194">
        <f ca="1">OFFSET('배치점수 계산기'!K$10,$D799,0)</f>
        <v>959.07</v>
      </c>
      <c r="V799" s="194">
        <f ca="1">OFFSET('배치점수 계산기'!L$10,$D799,0)</f>
        <v>947.36</v>
      </c>
      <c r="W799" s="186" t="str">
        <f ca="1">OFFSET('배치점수 계산기'!M$10,$D799,0)</f>
        <v>백분위</v>
      </c>
      <c r="X799" s="184" t="str">
        <f ca="1">OFFSET('배치점수 계산기'!N$10,$D799,0)</f>
        <v>백분위</v>
      </c>
      <c r="Y799" s="188">
        <f ca="1">OFFSET(환산공식!FW$15,$F799,0)</f>
        <v>0.25</v>
      </c>
      <c r="Z799" s="20">
        <f ca="1">OFFSET(환산공식!FX$15,$F799,0)</f>
        <v>0.38</v>
      </c>
      <c r="AA799" s="179">
        <f ca="1">OFFSET(환산공식!FY$15,$F799,0)</f>
        <v>0.38</v>
      </c>
      <c r="AB799" s="3"/>
      <c r="AD799">
        <f t="shared" ca="1" si="25"/>
        <v>6</v>
      </c>
      <c r="AF799" s="3"/>
      <c r="AG799" s="3"/>
      <c r="AH799" s="3"/>
    </row>
    <row r="800" spans="1:34">
      <c r="A800" s="198"/>
      <c r="B800" s="198"/>
      <c r="C800" s="198" t="s">
        <v>2252</v>
      </c>
      <c r="D800" s="195">
        <v>1815</v>
      </c>
      <c r="E800" s="195">
        <v>2</v>
      </c>
      <c r="F800" s="195">
        <v>2</v>
      </c>
      <c r="G800" s="239">
        <v>793</v>
      </c>
      <c r="H800" s="197" t="s">
        <v>79</v>
      </c>
      <c r="I800" s="242" t="s">
        <v>196</v>
      </c>
      <c r="J800" s="242" t="s">
        <v>428</v>
      </c>
      <c r="K800" s="195" t="s">
        <v>70</v>
      </c>
      <c r="L800" s="20" t="str">
        <f ca="1">IF(OFFSET(환산공식!$ED$15,$F800,0)=1,"O","X")</f>
        <v>X</v>
      </c>
      <c r="M800" s="188">
        <f ca="1">IFERROR(OFFSET(환산공식!DJ$15,$F800,0),"")</f>
        <v>0</v>
      </c>
      <c r="N800" s="20" t="str">
        <f ca="1">IFERROR(CONCATENATE(ROUND(OFFSET(환산공식!DK$15,$F800,0),1),"%"),"")</f>
        <v/>
      </c>
      <c r="O800" s="20">
        <f ca="1">IFERROR(OFFSET(환산공식!DL$15,$F800,0),"")</f>
        <v>0</v>
      </c>
      <c r="P800" s="188" t="str">
        <f t="shared" ca="1" si="24"/>
        <v>3% 이하</v>
      </c>
      <c r="Q800" s="194">
        <f ca="1">IFERROR(ROUND(OFFSET(환산공식!$FG$15,$F800,0),3),"")</f>
        <v>0</v>
      </c>
      <c r="R800" s="194">
        <f ca="1">OFFSET('배치점수 계산기'!H$10,$D800,0)</f>
        <v>416.05200000000002</v>
      </c>
      <c r="S800" s="194">
        <f ca="1">OFFSET('배치점수 계산기'!I$10,$D800,0)</f>
        <v>415.58</v>
      </c>
      <c r="T800" s="194">
        <f ca="1">OFFSET('배치점수 계산기'!J$10,$D800,0)</f>
        <v>414.68799999999999</v>
      </c>
      <c r="U800" s="194">
        <f ca="1">OFFSET('배치점수 계산기'!K$10,$D800,0)</f>
        <v>413.976</v>
      </c>
      <c r="V800" s="194">
        <f ca="1">OFFSET('배치점수 계산기'!L$10,$D800,0)</f>
        <v>413.43200000000002</v>
      </c>
      <c r="W800" s="186" t="str">
        <f ca="1">OFFSET('배치점수 계산기'!M$10,$D800,0)</f>
        <v>표점</v>
      </c>
      <c r="X800" s="184" t="str">
        <f ca="1">OFFSET('배치점수 계산기'!N$10,$D800,0)</f>
        <v>표점</v>
      </c>
      <c r="Y800" s="188">
        <f ca="1">OFFSET(환산공식!FW$15,$F800,0)</f>
        <v>0.33</v>
      </c>
      <c r="Z800" s="20">
        <f ca="1">OFFSET(환산공식!FX$15,$F800,0)</f>
        <v>0.4</v>
      </c>
      <c r="AA800" s="179">
        <f ca="1">OFFSET(환산공식!FY$15,$F800,0)</f>
        <v>0.27</v>
      </c>
      <c r="AB800" s="3"/>
      <c r="AD800">
        <f t="shared" ca="1" si="25"/>
        <v>6</v>
      </c>
      <c r="AF800" s="3"/>
      <c r="AG800" s="3"/>
      <c r="AH800" s="3"/>
    </row>
    <row r="801" spans="1:34">
      <c r="A801" s="198"/>
      <c r="B801" s="198"/>
      <c r="C801" s="198" t="s">
        <v>2253</v>
      </c>
      <c r="D801" s="195">
        <v>1816</v>
      </c>
      <c r="E801" s="195">
        <v>33</v>
      </c>
      <c r="F801" s="195">
        <v>33</v>
      </c>
      <c r="G801" s="239">
        <v>794</v>
      </c>
      <c r="H801" s="197" t="s">
        <v>79</v>
      </c>
      <c r="I801" s="242" t="s">
        <v>82</v>
      </c>
      <c r="J801" s="242" t="s">
        <v>253</v>
      </c>
      <c r="K801" s="195" t="s">
        <v>70</v>
      </c>
      <c r="L801" s="20" t="str">
        <f ca="1">IF(OFFSET(환산공식!$ED$15,$F801,0)=1,"O","X")</f>
        <v>X</v>
      </c>
      <c r="M801" s="188">
        <f ca="1">IFERROR(OFFSET(환산공식!DJ$15,$F801,0),"")</f>
        <v>0</v>
      </c>
      <c r="N801" s="20" t="str">
        <f ca="1">IFERROR(CONCATENATE(ROUND(OFFSET(환산공식!DK$15,$F801,0),1),"%"),"")</f>
        <v/>
      </c>
      <c r="O801" s="20">
        <f ca="1">IFERROR(OFFSET(환산공식!DL$15,$F801,0),"")</f>
        <v>0</v>
      </c>
      <c r="P801" s="188" t="str">
        <f t="shared" ca="1" si="24"/>
        <v>3% 이하</v>
      </c>
      <c r="Q801" s="194">
        <f ca="1">IFERROR(ROUND(OFFSET(환산공식!$FG$15,$F801,0),3),"")</f>
        <v>0</v>
      </c>
      <c r="R801" s="194">
        <f ca="1">OFFSET('배치점수 계산기'!H$10,$D801,0)</f>
        <v>415.96199999999999</v>
      </c>
      <c r="S801" s="194">
        <f ca="1">OFFSET('배치점수 계산기'!I$10,$D801,0)</f>
        <v>414.87400000000002</v>
      </c>
      <c r="T801" s="194">
        <f ca="1">OFFSET('배치점수 계산기'!J$10,$D801,0)</f>
        <v>413.24599999999998</v>
      </c>
      <c r="U801" s="194">
        <f ca="1">OFFSET('배치점수 계산기'!K$10,$D801,0)</f>
        <v>411.45800000000003</v>
      </c>
      <c r="V801" s="194">
        <f ca="1">OFFSET('배치점수 계산기'!L$10,$D801,0)</f>
        <v>409.858</v>
      </c>
      <c r="W801" s="186" t="str">
        <f ca="1">OFFSET('배치점수 계산기'!M$10,$D801,0)</f>
        <v>표점</v>
      </c>
      <c r="X801" s="184" t="str">
        <f ca="1">OFFSET('배치점수 계산기'!N$10,$D801,0)</f>
        <v>변표</v>
      </c>
      <c r="Y801" s="188">
        <f ca="1">OFFSET(환산공식!FW$15,$F801,0)</f>
        <v>0.25</v>
      </c>
      <c r="Z801" s="20">
        <f ca="1">OFFSET(환산공식!FX$15,$F801,0)</f>
        <v>0.4</v>
      </c>
      <c r="AA801" s="179">
        <f ca="1">OFFSET(환산공식!FY$15,$F801,0)</f>
        <v>0.35</v>
      </c>
      <c r="AB801" s="3"/>
      <c r="AD801">
        <f t="shared" ca="1" si="25"/>
        <v>6</v>
      </c>
      <c r="AF801" s="3"/>
      <c r="AG801" s="3"/>
      <c r="AH801" s="3"/>
    </row>
    <row r="802" spans="1:34">
      <c r="A802" s="198"/>
      <c r="B802" s="198"/>
      <c r="C802" s="198" t="s">
        <v>2254</v>
      </c>
      <c r="D802" s="195">
        <v>1817</v>
      </c>
      <c r="E802" s="195">
        <v>290</v>
      </c>
      <c r="F802" s="195">
        <v>290</v>
      </c>
      <c r="G802" s="239">
        <v>795</v>
      </c>
      <c r="H802" s="197" t="s">
        <v>79</v>
      </c>
      <c r="I802" s="242" t="s">
        <v>209</v>
      </c>
      <c r="J802" s="242" t="s">
        <v>253</v>
      </c>
      <c r="K802" s="195" t="s">
        <v>70</v>
      </c>
      <c r="L802" s="20" t="str">
        <f ca="1">IF(OFFSET(환산공식!$ED$15,$F802,0)=1,"O","X")</f>
        <v>X</v>
      </c>
      <c r="M802" s="188">
        <f ca="1">IFERROR(OFFSET(환산공식!DJ$15,$F802,0),"")</f>
        <v>160</v>
      </c>
      <c r="N802" s="20" t="str">
        <f ca="1">IFERROR(CONCATENATE(ROUND(OFFSET(환산공식!DK$15,$F802,0),1),"%"),"")</f>
        <v>100%</v>
      </c>
      <c r="O802" s="20">
        <f ca="1">IFERROR(OFFSET(환산공식!DL$15,$F802,0),"")</f>
        <v>10</v>
      </c>
      <c r="P802" s="188" t="str">
        <f t="shared" ca="1" si="24"/>
        <v>3% 이하</v>
      </c>
      <c r="Q802" s="194">
        <f ca="1">IFERROR(ROUND(OFFSET(환산공식!$FG$15,$F802,0),3),"")</f>
        <v>0</v>
      </c>
      <c r="R802" s="194">
        <f ca="1">OFFSET('배치점수 계산기'!H$10,$D802,0)</f>
        <v>607.75199999999995</v>
      </c>
      <c r="S802" s="194">
        <f ca="1">OFFSET('배치점수 계산기'!I$10,$D802,0)</f>
        <v>606.50400000000002</v>
      </c>
      <c r="T802" s="194">
        <f ca="1">OFFSET('배치점수 계산기'!J$10,$D802,0)</f>
        <v>605.70000000000005</v>
      </c>
      <c r="U802" s="194">
        <f ca="1">OFFSET('배치점수 계산기'!K$10,$D802,0)</f>
        <v>604.69200000000001</v>
      </c>
      <c r="V802" s="194">
        <f ca="1">OFFSET('배치점수 계산기'!L$10,$D802,0)</f>
        <v>603.56399999999996</v>
      </c>
      <c r="W802" s="186" t="str">
        <f ca="1">OFFSET('배치점수 계산기'!M$10,$D802,0)</f>
        <v>표점</v>
      </c>
      <c r="X802" s="184" t="str">
        <f ca="1">OFFSET('배치점수 계산기'!N$10,$D802,0)</f>
        <v>표점</v>
      </c>
      <c r="Y802" s="188">
        <f ca="1">OFFSET(환산공식!FW$15,$F802,0)</f>
        <v>0.25</v>
      </c>
      <c r="Z802" s="20">
        <f ca="1">OFFSET(환산공식!FX$15,$F802,0)</f>
        <v>0.38</v>
      </c>
      <c r="AA802" s="179">
        <f ca="1">OFFSET(환산공식!FY$15,$F802,0)</f>
        <v>0.38</v>
      </c>
      <c r="AB802" s="3"/>
      <c r="AD802">
        <f t="shared" ca="1" si="25"/>
        <v>6</v>
      </c>
      <c r="AF802" s="3"/>
      <c r="AG802" s="3"/>
      <c r="AH802" s="3"/>
    </row>
    <row r="803" spans="1:34">
      <c r="A803" s="198"/>
      <c r="B803" s="198"/>
      <c r="C803" s="198" t="s">
        <v>2255</v>
      </c>
      <c r="D803" s="195">
        <v>1818</v>
      </c>
      <c r="E803" s="195">
        <v>195</v>
      </c>
      <c r="F803" s="195">
        <v>195</v>
      </c>
      <c r="G803" s="239">
        <v>796</v>
      </c>
      <c r="H803" s="197" t="s">
        <v>79</v>
      </c>
      <c r="I803" s="242" t="s">
        <v>215</v>
      </c>
      <c r="J803" s="242" t="s">
        <v>253</v>
      </c>
      <c r="K803" s="195" t="s">
        <v>70</v>
      </c>
      <c r="L803" s="20" t="str">
        <f ca="1">IF(OFFSET(환산공식!$ED$15,$F803,0)=1,"O","X")</f>
        <v>X</v>
      </c>
      <c r="M803" s="188">
        <f ca="1">IFERROR(OFFSET(환산공식!DJ$15,$F803,0),"")</f>
        <v>125</v>
      </c>
      <c r="N803" s="20" t="str">
        <f ca="1">IFERROR(CONCATENATE(ROUND(OFFSET(환산공식!DK$15,$F803,0),1),"%"),"")</f>
        <v>100%</v>
      </c>
      <c r="O803" s="20">
        <f ca="1">IFERROR(OFFSET(환산공식!DL$15,$F803,0),"")</f>
        <v>10</v>
      </c>
      <c r="P803" s="188" t="str">
        <f t="shared" ca="1" si="24"/>
        <v>3% 이하</v>
      </c>
      <c r="Q803" s="194">
        <f ca="1">IFERROR(ROUND(OFFSET(환산공식!$FG$15,$F803,0),3),"")</f>
        <v>0</v>
      </c>
      <c r="R803" s="194">
        <f ca="1">OFFSET('배치점수 계산기'!H$10,$D803,0)</f>
        <v>730.47900000000004</v>
      </c>
      <c r="S803" s="194">
        <f ca="1">OFFSET('배치점수 계산기'!I$10,$D803,0)</f>
        <v>729.64499999999998</v>
      </c>
      <c r="T803" s="194">
        <f ca="1">OFFSET('배치점수 계산기'!J$10,$D803,0)</f>
        <v>728.30700000000002</v>
      </c>
      <c r="U803" s="194">
        <f ca="1">OFFSET('배치점수 계산기'!K$10,$D803,0)</f>
        <v>726.71500000000003</v>
      </c>
      <c r="V803" s="194">
        <f ca="1">OFFSET('배치점수 계산기'!L$10,$D803,0)</f>
        <v>723.80600000000004</v>
      </c>
      <c r="W803" s="186" t="str">
        <f ca="1">OFFSET('배치점수 계산기'!M$10,$D803,0)</f>
        <v>표점</v>
      </c>
      <c r="X803" s="184" t="str">
        <f ca="1">OFFSET('배치점수 계산기'!N$10,$D803,0)</f>
        <v>변표</v>
      </c>
      <c r="Y803" s="188">
        <f ca="1">OFFSET(환산공식!FW$15,$F803,0)</f>
        <v>0.28999999999999998</v>
      </c>
      <c r="Z803" s="20">
        <f ca="1">OFFSET(환산공식!FX$15,$F803,0)</f>
        <v>0.43</v>
      </c>
      <c r="AA803" s="179">
        <f ca="1">OFFSET(환산공식!FY$15,$F803,0)</f>
        <v>0.28999999999999998</v>
      </c>
      <c r="AB803" s="3"/>
      <c r="AD803">
        <f t="shared" ca="1" si="25"/>
        <v>6</v>
      </c>
      <c r="AF803" s="3"/>
      <c r="AG803" s="3"/>
      <c r="AH803" s="3"/>
    </row>
    <row r="804" spans="1:34">
      <c r="A804" s="198"/>
      <c r="B804" s="198"/>
      <c r="C804" s="198" t="s">
        <v>2256</v>
      </c>
      <c r="D804" s="195">
        <v>1819</v>
      </c>
      <c r="E804" s="195">
        <v>175</v>
      </c>
      <c r="F804" s="195">
        <v>175</v>
      </c>
      <c r="G804" s="239">
        <v>797</v>
      </c>
      <c r="H804" s="197" t="s">
        <v>79</v>
      </c>
      <c r="I804" s="242" t="s">
        <v>202</v>
      </c>
      <c r="J804" s="242" t="s">
        <v>430</v>
      </c>
      <c r="K804" s="195" t="s">
        <v>70</v>
      </c>
      <c r="L804" s="20" t="str">
        <f ca="1">IF(OFFSET(환산공식!$ED$15,$F804,0)=1,"O","X")</f>
        <v>X</v>
      </c>
      <c r="M804" s="188">
        <f ca="1">IFERROR(OFFSET(환산공식!DJ$15,$F804,0),"")</f>
        <v>100</v>
      </c>
      <c r="N804" s="20" t="str">
        <f ca="1">IFERROR(CONCATENATE(ROUND(OFFSET(환산공식!DK$15,$F804,0),1),"%"),"")</f>
        <v>100%</v>
      </c>
      <c r="O804" s="20">
        <f ca="1">IFERROR(OFFSET(환산공식!DL$15,$F804,0),"")</f>
        <v>5</v>
      </c>
      <c r="P804" s="188" t="str">
        <f t="shared" ca="1" si="24"/>
        <v>3% 이하</v>
      </c>
      <c r="Q804" s="194">
        <f ca="1">IFERROR(ROUND(OFFSET(환산공식!$FG$15,$F804,0),3),"")</f>
        <v>0</v>
      </c>
      <c r="R804" s="194">
        <f ca="1">OFFSET('배치점수 계산기'!H$10,$D804,0)</f>
        <v>562.26</v>
      </c>
      <c r="S804" s="194">
        <f ca="1">OFFSET('배치점수 계산기'!I$10,$D804,0)</f>
        <v>561.41999999999996</v>
      </c>
      <c r="T804" s="194">
        <f ca="1">OFFSET('배치점수 계산기'!J$10,$D804,0)</f>
        <v>560.55100000000004</v>
      </c>
      <c r="U804" s="194">
        <f ca="1">OFFSET('배치점수 계산기'!K$10,$D804,0)</f>
        <v>559.33000000000004</v>
      </c>
      <c r="V804" s="194">
        <f ca="1">OFFSET('배치점수 계산기'!L$10,$D804,0)</f>
        <v>556.03</v>
      </c>
      <c r="W804" s="186" t="str">
        <f ca="1">OFFSET('배치점수 계산기'!M$10,$D804,0)</f>
        <v>표점</v>
      </c>
      <c r="X804" s="184" t="str">
        <f ca="1">OFFSET('배치점수 계산기'!N$10,$D804,0)</f>
        <v>표점</v>
      </c>
      <c r="Y804" s="188">
        <f ca="1">OFFSET(환산공식!FW$15,$F804,0)</f>
        <v>0.37</v>
      </c>
      <c r="Z804" s="20">
        <f ca="1">OFFSET(환산공식!FX$15,$F804,0)</f>
        <v>0.44</v>
      </c>
      <c r="AA804" s="179">
        <f ca="1">OFFSET(환산공식!FY$15,$F804,0)</f>
        <v>0.19</v>
      </c>
      <c r="AB804" s="3"/>
      <c r="AD804">
        <f t="shared" ca="1" si="25"/>
        <v>6</v>
      </c>
      <c r="AF804" s="3"/>
      <c r="AG804" s="3"/>
      <c r="AH804" s="3"/>
    </row>
    <row r="805" spans="1:34">
      <c r="A805" s="198"/>
      <c r="B805" s="198"/>
      <c r="C805" s="198" t="s">
        <v>2257</v>
      </c>
      <c r="D805" s="195">
        <v>1820</v>
      </c>
      <c r="E805" s="195">
        <v>176</v>
      </c>
      <c r="F805" s="195">
        <v>176</v>
      </c>
      <c r="G805" s="239">
        <v>798</v>
      </c>
      <c r="H805" s="197" t="s">
        <v>79</v>
      </c>
      <c r="I805" s="242" t="s">
        <v>202</v>
      </c>
      <c r="J805" s="242" t="s">
        <v>431</v>
      </c>
      <c r="K805" s="195" t="s">
        <v>78</v>
      </c>
      <c r="L805" s="20" t="str">
        <f ca="1">IF(OFFSET(환산공식!$ED$15,$F805,0)=1,"O","X")</f>
        <v>X</v>
      </c>
      <c r="M805" s="188">
        <f ca="1">IFERROR(OFFSET(환산공식!DJ$15,$F805,0),"")</f>
        <v>100</v>
      </c>
      <c r="N805" s="20" t="str">
        <f ca="1">IFERROR(CONCATENATE(ROUND(OFFSET(환산공식!DK$15,$F805,0),1),"%"),"")</f>
        <v>100%</v>
      </c>
      <c r="O805" s="20">
        <f ca="1">IFERROR(OFFSET(환산공식!DL$15,$F805,0),"")</f>
        <v>5</v>
      </c>
      <c r="P805" s="188" t="str">
        <f t="shared" ca="1" si="24"/>
        <v>3% 이하</v>
      </c>
      <c r="Q805" s="194">
        <f ca="1">IFERROR(ROUND(OFFSET(환산공식!$FG$15,$F805,0),3),"")</f>
        <v>0</v>
      </c>
      <c r="R805" s="194">
        <f ca="1">OFFSET('배치점수 계산기'!H$10,$D805,0)</f>
        <v>571.15</v>
      </c>
      <c r="S805" s="194">
        <f ca="1">OFFSET('배치점수 계산기'!I$10,$D805,0)</f>
        <v>567.92999999999995</v>
      </c>
      <c r="T805" s="194">
        <f ca="1">OFFSET('배치점수 계산기'!J$10,$D805,0)</f>
        <v>567.13</v>
      </c>
      <c r="U805" s="194">
        <f ca="1">OFFSET('배치점수 계산기'!K$10,$D805,0)</f>
        <v>565.39</v>
      </c>
      <c r="V805" s="194">
        <f ca="1">OFFSET('배치점수 계산기'!L$10,$D805,0)</f>
        <v>563.41</v>
      </c>
      <c r="W805" s="186" t="str">
        <f ca="1">OFFSET('배치점수 계산기'!M$10,$D805,0)</f>
        <v>표점</v>
      </c>
      <c r="X805" s="184" t="str">
        <f ca="1">OFFSET('배치점수 계산기'!N$10,$D805,0)</f>
        <v>표점</v>
      </c>
      <c r="Y805" s="188">
        <f ca="1">OFFSET(환산공식!FW$15,$F805,0)</f>
        <v>0.44</v>
      </c>
      <c r="Z805" s="20">
        <f ca="1">OFFSET(환산공식!FX$15,$F805,0)</f>
        <v>0.37</v>
      </c>
      <c r="AA805" s="179">
        <f ca="1">OFFSET(환산공식!FY$15,$F805,0)</f>
        <v>0.19</v>
      </c>
      <c r="AB805" s="3"/>
      <c r="AD805">
        <f t="shared" ca="1" si="25"/>
        <v>6</v>
      </c>
      <c r="AF805" s="3"/>
      <c r="AG805" s="3"/>
      <c r="AH805" s="3"/>
    </row>
    <row r="806" spans="1:34">
      <c r="A806" s="198"/>
      <c r="B806" s="198"/>
      <c r="C806" s="198" t="s">
        <v>2258</v>
      </c>
      <c r="D806" s="195">
        <v>1821</v>
      </c>
      <c r="E806" s="195">
        <v>148</v>
      </c>
      <c r="F806" s="195">
        <v>148</v>
      </c>
      <c r="G806" s="239">
        <v>799</v>
      </c>
      <c r="H806" s="197" t="s">
        <v>79</v>
      </c>
      <c r="I806" s="242" t="s">
        <v>251</v>
      </c>
      <c r="J806" s="242" t="s">
        <v>253</v>
      </c>
      <c r="K806" s="195" t="s">
        <v>70</v>
      </c>
      <c r="L806" s="20" t="str">
        <f ca="1">IF(OFFSET(환산공식!$ED$15,$F806,0)=1,"O","X")</f>
        <v>X</v>
      </c>
      <c r="M806" s="188">
        <f ca="1">IFERROR(OFFSET(환산공식!DJ$15,$F806,0),"")</f>
        <v>150</v>
      </c>
      <c r="N806" s="20" t="str">
        <f ca="1">IFERROR(CONCATENATE(ROUND(OFFSET(환산공식!DK$15,$F806,0),1),"%"),"")</f>
        <v>100%</v>
      </c>
      <c r="O806" s="20">
        <f ca="1">IFERROR(OFFSET(환산공식!DL$15,$F806,0),"")</f>
        <v>5</v>
      </c>
      <c r="P806" s="188" t="str">
        <f t="shared" ca="1" si="24"/>
        <v>3% 이하</v>
      </c>
      <c r="Q806" s="194">
        <f ca="1">IFERROR(ROUND(OFFSET(환산공식!$FG$15,$F806,0),3),"")</f>
        <v>0</v>
      </c>
      <c r="R806" s="194">
        <f ca="1">OFFSET('배치점수 계산기'!H$10,$D806,0)</f>
        <v>957.08799999999997</v>
      </c>
      <c r="S806" s="194">
        <f ca="1">OFFSET('배치점수 계산기'!I$10,$D806,0)</f>
        <v>949.11099999999999</v>
      </c>
      <c r="T806" s="194">
        <f ca="1">OFFSET('배치점수 계산기'!J$10,$D806,0)</f>
        <v>946.59900000000005</v>
      </c>
      <c r="U806" s="194">
        <f ca="1">OFFSET('배치점수 계산기'!K$10,$D806,0)</f>
        <v>944.18899999999996</v>
      </c>
      <c r="V806" s="194">
        <f ca="1">OFFSET('배치점수 계산기'!L$10,$D806,0)</f>
        <v>941.00099999999998</v>
      </c>
      <c r="W806" s="186" t="str">
        <f ca="1">OFFSET('배치점수 계산기'!M$10,$D806,0)</f>
        <v>표점/만점</v>
      </c>
      <c r="X806" s="184" t="str">
        <f ca="1">OFFSET('배치점수 계산기'!N$10,$D806,0)</f>
        <v>백분위</v>
      </c>
      <c r="Y806" s="188">
        <f ca="1">OFFSET(환산공식!FW$15,$F806,0)</f>
        <v>0.26</v>
      </c>
      <c r="Z806" s="20">
        <f ca="1">OFFSET(환산공식!FX$15,$F806,0)</f>
        <v>0.37</v>
      </c>
      <c r="AA806" s="179">
        <f ca="1">OFFSET(환산공식!FY$15,$F806,0)</f>
        <v>0.37</v>
      </c>
      <c r="AB806" s="3"/>
      <c r="AD806">
        <f t="shared" ca="1" si="25"/>
        <v>6</v>
      </c>
      <c r="AF806" s="3"/>
      <c r="AG806" s="3"/>
      <c r="AH806" s="3"/>
    </row>
    <row r="807" spans="1:34">
      <c r="A807" s="198"/>
      <c r="B807" s="198"/>
      <c r="C807" s="198" t="s">
        <v>2259</v>
      </c>
      <c r="D807" s="195">
        <v>1822</v>
      </c>
      <c r="E807" s="195">
        <v>2</v>
      </c>
      <c r="F807" s="195">
        <v>2</v>
      </c>
      <c r="G807" s="239">
        <v>800</v>
      </c>
      <c r="H807" s="197" t="s">
        <v>79</v>
      </c>
      <c r="I807" s="242" t="s">
        <v>196</v>
      </c>
      <c r="J807" s="242" t="s">
        <v>7831</v>
      </c>
      <c r="K807" s="195" t="s">
        <v>70</v>
      </c>
      <c r="L807" s="20" t="str">
        <f ca="1">IF(OFFSET(환산공식!$ED$15,$F807,0)=1,"O","X")</f>
        <v>X</v>
      </c>
      <c r="M807" s="188">
        <f ca="1">IFERROR(OFFSET(환산공식!DJ$15,$F807,0),"")</f>
        <v>0</v>
      </c>
      <c r="N807" s="20" t="str">
        <f ca="1">IFERROR(CONCATENATE(ROUND(OFFSET(환산공식!DK$15,$F807,0),1),"%"),"")</f>
        <v/>
      </c>
      <c r="O807" s="20">
        <f ca="1">IFERROR(OFFSET(환산공식!DL$15,$F807,0),"")</f>
        <v>0</v>
      </c>
      <c r="P807" s="188" t="str">
        <f t="shared" ca="1" si="24"/>
        <v>3% 이하</v>
      </c>
      <c r="Q807" s="194">
        <f ca="1">IFERROR(ROUND(OFFSET(환산공식!$FG$15,$F807,0),3),"")</f>
        <v>0</v>
      </c>
      <c r="R807" s="194">
        <f ca="1">OFFSET('배치점수 계산기'!H$10,$D807,0)</f>
        <v>413.43200000000002</v>
      </c>
      <c r="S807" s="194">
        <f ca="1">OFFSET('배치점수 계산기'!I$10,$D807,0)</f>
        <v>411.21199999999999</v>
      </c>
      <c r="T807" s="194">
        <f ca="1">OFFSET('배치점수 계산기'!J$10,$D807,0)</f>
        <v>410.69400000000002</v>
      </c>
      <c r="U807" s="194">
        <f ca="1">OFFSET('배치점수 계산기'!K$10,$D807,0)</f>
        <v>407.952</v>
      </c>
      <c r="V807" s="194">
        <f ca="1">OFFSET('배치점수 계산기'!L$10,$D807,0)</f>
        <v>405.43599999999998</v>
      </c>
      <c r="W807" s="186" t="str">
        <f ca="1">OFFSET('배치점수 계산기'!M$10,$D807,0)</f>
        <v>표점</v>
      </c>
      <c r="X807" s="184" t="str">
        <f ca="1">OFFSET('배치점수 계산기'!N$10,$D807,0)</f>
        <v>표점</v>
      </c>
      <c r="Y807" s="188">
        <f ca="1">OFFSET(환산공식!FW$15,$F807,0)</f>
        <v>0.33</v>
      </c>
      <c r="Z807" s="20">
        <f ca="1">OFFSET(환산공식!FX$15,$F807,0)</f>
        <v>0.4</v>
      </c>
      <c r="AA807" s="179">
        <f ca="1">OFFSET(환산공식!FY$15,$F807,0)</f>
        <v>0.27</v>
      </c>
      <c r="AB807" s="3"/>
      <c r="AD807">
        <f t="shared" ca="1" si="25"/>
        <v>6</v>
      </c>
      <c r="AF807" s="3"/>
      <c r="AG807" s="3"/>
      <c r="AH807" s="3"/>
    </row>
    <row r="808" spans="1:34">
      <c r="A808" s="198"/>
      <c r="B808" s="198"/>
      <c r="C808" s="198" t="s">
        <v>2260</v>
      </c>
      <c r="D808" s="195">
        <v>1823</v>
      </c>
      <c r="E808" s="195">
        <v>33</v>
      </c>
      <c r="F808" s="195">
        <v>33</v>
      </c>
      <c r="G808" s="239">
        <v>801</v>
      </c>
      <c r="H808" s="197" t="s">
        <v>79</v>
      </c>
      <c r="I808" s="242" t="s">
        <v>82</v>
      </c>
      <c r="J808" s="242" t="s">
        <v>198</v>
      </c>
      <c r="K808" s="195" t="s">
        <v>70</v>
      </c>
      <c r="L808" s="20" t="str">
        <f ca="1">IF(OFFSET(환산공식!$ED$15,$F808,0)=1,"O","X")</f>
        <v>X</v>
      </c>
      <c r="M808" s="188">
        <f ca="1">IFERROR(OFFSET(환산공식!DJ$15,$F808,0),"")</f>
        <v>0</v>
      </c>
      <c r="N808" s="20" t="str">
        <f ca="1">IFERROR(CONCATENATE(ROUND(OFFSET(환산공식!DK$15,$F808,0),1),"%"),"")</f>
        <v/>
      </c>
      <c r="O808" s="20">
        <f ca="1">IFERROR(OFFSET(환산공식!DL$15,$F808,0),"")</f>
        <v>0</v>
      </c>
      <c r="P808" s="188" t="str">
        <f t="shared" ca="1" si="24"/>
        <v>3% 이하</v>
      </c>
      <c r="Q808" s="194">
        <f ca="1">IFERROR(ROUND(OFFSET(환산공식!$FG$15,$F808,0),3),"")</f>
        <v>0</v>
      </c>
      <c r="R808" s="194">
        <f ca="1">OFFSET('배치점수 계산기'!H$10,$D808,0)</f>
        <v>411.45800000000003</v>
      </c>
      <c r="S808" s="194">
        <f ca="1">OFFSET('배치점수 계산기'!I$10,$D808,0)</f>
        <v>409.94600000000003</v>
      </c>
      <c r="T808" s="194">
        <f ca="1">OFFSET('배치점수 계산기'!J$10,$D808,0)</f>
        <v>409.79</v>
      </c>
      <c r="U808" s="194">
        <f ca="1">OFFSET('배치점수 계산기'!K$10,$D808,0)</f>
        <v>408.94900000000001</v>
      </c>
      <c r="V808" s="194">
        <f ca="1">OFFSET('배치점수 계산기'!L$10,$D808,0)</f>
        <v>407.75700000000001</v>
      </c>
      <c r="W808" s="186" t="str">
        <f ca="1">OFFSET('배치점수 계산기'!M$10,$D808,0)</f>
        <v>표점</v>
      </c>
      <c r="X808" s="184" t="str">
        <f ca="1">OFFSET('배치점수 계산기'!N$10,$D808,0)</f>
        <v>변표</v>
      </c>
      <c r="Y808" s="188">
        <f ca="1">OFFSET(환산공식!FW$15,$F808,0)</f>
        <v>0.25</v>
      </c>
      <c r="Z808" s="20">
        <f ca="1">OFFSET(환산공식!FX$15,$F808,0)</f>
        <v>0.4</v>
      </c>
      <c r="AA808" s="179">
        <f ca="1">OFFSET(환산공식!FY$15,$F808,0)</f>
        <v>0.35</v>
      </c>
      <c r="AB808" s="3"/>
      <c r="AD808">
        <f t="shared" ca="1" si="25"/>
        <v>6</v>
      </c>
      <c r="AF808" s="3"/>
      <c r="AG808" s="3"/>
      <c r="AH808" s="3"/>
    </row>
    <row r="809" spans="1:34">
      <c r="A809" s="198"/>
      <c r="B809" s="198"/>
      <c r="C809" s="198" t="s">
        <v>2261</v>
      </c>
      <c r="D809" s="195">
        <v>1824</v>
      </c>
      <c r="E809" s="195">
        <v>53</v>
      </c>
      <c r="F809" s="195">
        <v>53</v>
      </c>
      <c r="G809" s="239">
        <v>802</v>
      </c>
      <c r="H809" s="197" t="s">
        <v>79</v>
      </c>
      <c r="I809" s="242" t="s">
        <v>233</v>
      </c>
      <c r="J809" s="242" t="s">
        <v>198</v>
      </c>
      <c r="K809" s="195" t="s">
        <v>70</v>
      </c>
      <c r="L809" s="20" t="str">
        <f ca="1">IF(OFFSET(환산공식!$ED$15,$F809,0)=1,"O","X")</f>
        <v>X</v>
      </c>
      <c r="M809" s="188">
        <f ca="1">IFERROR(OFFSET(환산공식!DJ$15,$F809,0),"")</f>
        <v>150</v>
      </c>
      <c r="N809" s="20" t="str">
        <f ca="1">IFERROR(CONCATENATE(ROUND(OFFSET(환산공식!DK$15,$F809,0),1),"%"),"")</f>
        <v>100%</v>
      </c>
      <c r="O809" s="20">
        <f ca="1">IFERROR(OFFSET(환산공식!DL$15,$F809,0),"")</f>
        <v>0</v>
      </c>
      <c r="P809" s="188" t="str">
        <f t="shared" ca="1" si="24"/>
        <v>3% 이하</v>
      </c>
      <c r="Q809" s="194">
        <f ca="1">IFERROR(ROUND(OFFSET(환산공식!$FG$15,$F809,0),3),"")</f>
        <v>0</v>
      </c>
      <c r="R809" s="194">
        <f ca="1">OFFSET('배치점수 계산기'!H$10,$D809,0)</f>
        <v>731.13800000000003</v>
      </c>
      <c r="S809" s="194">
        <f ca="1">OFFSET('배치점수 계산기'!I$10,$D809,0)</f>
        <v>729.97199999999998</v>
      </c>
      <c r="T809" s="194">
        <f ca="1">OFFSET('배치점수 계산기'!J$10,$D809,0)</f>
        <v>729.46699999999998</v>
      </c>
      <c r="U809" s="194">
        <f ca="1">OFFSET('배치점수 계산기'!K$10,$D809,0)</f>
        <v>728.30499999999995</v>
      </c>
      <c r="V809" s="194">
        <f ca="1">OFFSET('배치점수 계산기'!L$10,$D809,0)</f>
        <v>725.64400000000001</v>
      </c>
      <c r="W809" s="186" t="str">
        <f ca="1">OFFSET('배치점수 계산기'!M$10,$D809,0)</f>
        <v>표점</v>
      </c>
      <c r="X809" s="184" t="str">
        <f ca="1">OFFSET('배치점수 계산기'!N$10,$D809,0)</f>
        <v>변표</v>
      </c>
      <c r="Y809" s="188">
        <f ca="1">OFFSET(환산공식!FW$15,$F809,0)</f>
        <v>0.28999999999999998</v>
      </c>
      <c r="Z809" s="20">
        <f ca="1">OFFSET(환산공식!FX$15,$F809,0)</f>
        <v>0.41</v>
      </c>
      <c r="AA809" s="179">
        <f ca="1">OFFSET(환산공식!FY$15,$F809,0)</f>
        <v>0.28999999999999998</v>
      </c>
      <c r="AB809" s="3"/>
      <c r="AD809">
        <f t="shared" ca="1" si="25"/>
        <v>6</v>
      </c>
      <c r="AF809" s="3"/>
      <c r="AG809" s="3"/>
      <c r="AH809" s="3"/>
    </row>
    <row r="810" spans="1:34">
      <c r="A810" s="198"/>
      <c r="B810" s="198"/>
      <c r="C810" s="198" t="s">
        <v>2262</v>
      </c>
      <c r="D810" s="195">
        <v>1825</v>
      </c>
      <c r="E810" s="195">
        <v>111</v>
      </c>
      <c r="F810" s="195">
        <v>111</v>
      </c>
      <c r="G810" s="239">
        <v>803</v>
      </c>
      <c r="H810" s="197" t="s">
        <v>79</v>
      </c>
      <c r="I810" s="242" t="s">
        <v>221</v>
      </c>
      <c r="J810" s="242" t="s">
        <v>198</v>
      </c>
      <c r="K810" s="195" t="s">
        <v>70</v>
      </c>
      <c r="L810" s="20" t="str">
        <f ca="1">IF(OFFSET(환산공식!$ED$15,$F810,0)=1,"O","X")</f>
        <v>X</v>
      </c>
      <c r="M810" s="188">
        <f ca="1">IFERROR(OFFSET(환산공식!DJ$15,$F810,0),"")</f>
        <v>150</v>
      </c>
      <c r="N810" s="20" t="str">
        <f ca="1">IFERROR(CONCATENATE(ROUND(OFFSET(환산공식!DK$15,$F810,0),1),"%"),"")</f>
        <v>100%</v>
      </c>
      <c r="O810" s="20">
        <f ca="1">IFERROR(OFFSET(환산공식!DL$15,$F810,0),"")</f>
        <v>0</v>
      </c>
      <c r="P810" s="188" t="str">
        <f t="shared" ca="1" si="24"/>
        <v>3% 이하</v>
      </c>
      <c r="Q810" s="194">
        <f ca="1">IFERROR(ROUND(OFFSET(환산공식!$FG$15,$F810,0),3),"")</f>
        <v>0</v>
      </c>
      <c r="R810" s="194">
        <f ca="1">OFFSET('배치점수 계산기'!H$10,$D810,0)</f>
        <v>965.93600000000004</v>
      </c>
      <c r="S810" s="194">
        <f ca="1">OFFSET('배치점수 계산기'!I$10,$D810,0)</f>
        <v>965.04200000000003</v>
      </c>
      <c r="T810" s="194">
        <f ca="1">OFFSET('배치점수 계산기'!J$10,$D810,0)</f>
        <v>963.59699999999998</v>
      </c>
      <c r="U810" s="194">
        <f ca="1">OFFSET('배치점수 계산기'!K$10,$D810,0)</f>
        <v>962.43499999999995</v>
      </c>
      <c r="V810" s="194">
        <f ca="1">OFFSET('배치점수 계산기'!L$10,$D810,0)</f>
        <v>960.97199999999998</v>
      </c>
      <c r="W810" s="186" t="str">
        <f ca="1">OFFSET('배치점수 계산기'!M$10,$D810,0)</f>
        <v>표점/만점</v>
      </c>
      <c r="X810" s="184" t="str">
        <f ca="1">OFFSET('배치점수 계산기'!N$10,$D810,0)</f>
        <v>변표/만점</v>
      </c>
      <c r="Y810" s="188">
        <f ca="1">OFFSET(환산공식!FW$15,$F810,0)</f>
        <v>0.24</v>
      </c>
      <c r="Z810" s="20">
        <f ca="1">OFFSET(환산공식!FX$15,$F810,0)</f>
        <v>0.41</v>
      </c>
      <c r="AA810" s="179">
        <f ca="1">OFFSET(환산공식!FY$15,$F810,0)</f>
        <v>0.35</v>
      </c>
      <c r="AB810" s="3"/>
      <c r="AD810">
        <f t="shared" ca="1" si="25"/>
        <v>6</v>
      </c>
      <c r="AF810" s="3"/>
      <c r="AG810" s="3"/>
      <c r="AH810" s="3"/>
    </row>
    <row r="811" spans="1:34">
      <c r="A811" s="198"/>
      <c r="B811" s="198"/>
      <c r="C811" s="198" t="s">
        <v>2263</v>
      </c>
      <c r="D811" s="195">
        <v>1826</v>
      </c>
      <c r="E811" s="195">
        <v>184</v>
      </c>
      <c r="F811" s="195">
        <v>184</v>
      </c>
      <c r="G811" s="239">
        <v>804</v>
      </c>
      <c r="H811" s="197" t="s">
        <v>79</v>
      </c>
      <c r="I811" s="242" t="s">
        <v>212</v>
      </c>
      <c r="J811" s="242" t="s">
        <v>7981</v>
      </c>
      <c r="K811" s="195" t="s">
        <v>70</v>
      </c>
      <c r="L811" s="20" t="str">
        <f ca="1">IF(OFFSET(환산공식!$ED$15,$F811,0)=1,"O","X")</f>
        <v>X</v>
      </c>
      <c r="M811" s="188">
        <f ca="1">IFERROR(OFFSET(환산공식!DJ$15,$F811,0),"")</f>
        <v>200</v>
      </c>
      <c r="N811" s="20" t="str">
        <f ca="1">IFERROR(CONCATENATE(ROUND(OFFSET(환산공식!DK$15,$F811,0),1),"%"),"")</f>
        <v>100%</v>
      </c>
      <c r="O811" s="20">
        <f ca="1">IFERROR(OFFSET(환산공식!DL$15,$F811,0),"")</f>
        <v>10</v>
      </c>
      <c r="P811" s="188" t="str">
        <f t="shared" ca="1" si="24"/>
        <v>3% 이하</v>
      </c>
      <c r="Q811" s="194">
        <f ca="1">IFERROR(ROUND(OFFSET(환산공식!$FG$15,$F811,0),3),"")</f>
        <v>0</v>
      </c>
      <c r="R811" s="194">
        <f ca="1">OFFSET('배치점수 계산기'!H$10,$D811,0)</f>
        <v>947.72199999999998</v>
      </c>
      <c r="S811" s="194">
        <f ca="1">OFFSET('배치점수 계산기'!I$10,$D811,0)</f>
        <v>947.37900000000002</v>
      </c>
      <c r="T811" s="194">
        <f ca="1">OFFSET('배치점수 계산기'!J$10,$D811,0)</f>
        <v>945.76</v>
      </c>
      <c r="U811" s="194">
        <f ca="1">OFFSET('배치점수 계산기'!K$10,$D811,0)</f>
        <v>944.43100000000004</v>
      </c>
      <c r="V811" s="194">
        <f ca="1">OFFSET('배치점수 계산기'!L$10,$D811,0)</f>
        <v>942.93799999999999</v>
      </c>
      <c r="W811" s="186" t="str">
        <f ca="1">OFFSET('배치점수 계산기'!M$10,$D811,0)</f>
        <v>표점/만점</v>
      </c>
      <c r="X811" s="184" t="str">
        <f ca="1">OFFSET('배치점수 계산기'!N$10,$D811,0)</f>
        <v>표점/만점</v>
      </c>
      <c r="Y811" s="188">
        <f ca="1">OFFSET(환산공식!FW$15,$F811,0)</f>
        <v>0.3</v>
      </c>
      <c r="Z811" s="20">
        <f ca="1">OFFSET(환산공식!FX$15,$F811,0)</f>
        <v>0.4</v>
      </c>
      <c r="AA811" s="179">
        <f ca="1">OFFSET(환산공식!FY$15,$F811,0)</f>
        <v>0.3</v>
      </c>
      <c r="AB811" s="3"/>
      <c r="AD811">
        <f t="shared" ca="1" si="25"/>
        <v>6</v>
      </c>
      <c r="AF811" s="3"/>
      <c r="AG811" s="3"/>
      <c r="AH811" s="3"/>
    </row>
    <row r="812" spans="1:34">
      <c r="A812" s="198"/>
      <c r="B812" s="198"/>
      <c r="C812" s="198" t="s">
        <v>2264</v>
      </c>
      <c r="D812" s="195">
        <v>1827</v>
      </c>
      <c r="E812" s="195">
        <v>184</v>
      </c>
      <c r="F812" s="195">
        <v>184</v>
      </c>
      <c r="G812" s="239">
        <v>805</v>
      </c>
      <c r="H812" s="197" t="s">
        <v>79</v>
      </c>
      <c r="I812" s="242" t="s">
        <v>212</v>
      </c>
      <c r="J812" s="242" t="s">
        <v>8205</v>
      </c>
      <c r="K812" s="195" t="s">
        <v>70</v>
      </c>
      <c r="L812" s="20" t="str">
        <f ca="1">IF(OFFSET(환산공식!$ED$15,$F812,0)=1,"O","X")</f>
        <v>X</v>
      </c>
      <c r="M812" s="188">
        <f ca="1">IFERROR(OFFSET(환산공식!DJ$15,$F812,0),"")</f>
        <v>200</v>
      </c>
      <c r="N812" s="20" t="str">
        <f ca="1">IFERROR(CONCATENATE(ROUND(OFFSET(환산공식!DK$15,$F812,0),1),"%"),"")</f>
        <v>100%</v>
      </c>
      <c r="O812" s="20">
        <f ca="1">IFERROR(OFFSET(환산공식!DL$15,$F812,0),"")</f>
        <v>10</v>
      </c>
      <c r="P812" s="188" t="str">
        <f t="shared" ca="1" si="24"/>
        <v>3% 이하</v>
      </c>
      <c r="Q812" s="194">
        <f ca="1">IFERROR(ROUND(OFFSET(환산공식!$FG$15,$F812,0),3),"")</f>
        <v>0</v>
      </c>
      <c r="R812" s="194">
        <f ca="1">OFFSET('배치점수 계산기'!H$10,$D812,0)</f>
        <v>945.05499999999995</v>
      </c>
      <c r="S812" s="194">
        <f ca="1">OFFSET('배치점수 계산기'!I$10,$D812,0)</f>
        <v>944.43100000000004</v>
      </c>
      <c r="T812" s="194">
        <f ca="1">OFFSET('배치점수 계산기'!J$10,$D812,0)</f>
        <v>943.76199999999994</v>
      </c>
      <c r="U812" s="194">
        <f ca="1">OFFSET('배치점수 계산기'!K$10,$D812,0)</f>
        <v>938.38599999999997</v>
      </c>
      <c r="V812" s="194">
        <f ca="1">OFFSET('배치점수 계산기'!L$10,$D812,0)</f>
        <v>934.07100000000003</v>
      </c>
      <c r="W812" s="186" t="str">
        <f ca="1">OFFSET('배치점수 계산기'!M$10,$D812,0)</f>
        <v>표점/만점</v>
      </c>
      <c r="X812" s="184" t="str">
        <f ca="1">OFFSET('배치점수 계산기'!N$10,$D812,0)</f>
        <v>표점/만점</v>
      </c>
      <c r="Y812" s="188">
        <f ca="1">OFFSET(환산공식!FW$15,$F812,0)</f>
        <v>0.3</v>
      </c>
      <c r="Z812" s="20">
        <f ca="1">OFFSET(환산공식!FX$15,$F812,0)</f>
        <v>0.4</v>
      </c>
      <c r="AA812" s="179">
        <f ca="1">OFFSET(환산공식!FY$15,$F812,0)</f>
        <v>0.3</v>
      </c>
      <c r="AB812" s="3"/>
      <c r="AD812">
        <f t="shared" ca="1" si="25"/>
        <v>6</v>
      </c>
      <c r="AF812" s="3"/>
      <c r="AG812" s="3"/>
      <c r="AH812" s="3"/>
    </row>
    <row r="813" spans="1:34">
      <c r="A813" s="198"/>
      <c r="B813" s="198"/>
      <c r="C813" s="198" t="s">
        <v>2265</v>
      </c>
      <c r="D813" s="195">
        <v>1828</v>
      </c>
      <c r="E813" s="195">
        <v>88</v>
      </c>
      <c r="F813" s="195">
        <v>88</v>
      </c>
      <c r="G813" s="239">
        <v>806</v>
      </c>
      <c r="H813" s="197" t="s">
        <v>79</v>
      </c>
      <c r="I813" s="242" t="s">
        <v>224</v>
      </c>
      <c r="J813" s="242" t="s">
        <v>8229</v>
      </c>
      <c r="K813" s="195" t="s">
        <v>70</v>
      </c>
      <c r="L813" s="20" t="str">
        <f ca="1">IF(OFFSET(환산공식!$ED$15,$F813,0)=1,"O","X")</f>
        <v>X</v>
      </c>
      <c r="M813" s="188">
        <f ca="1">IFERROR(OFFSET(환산공식!DJ$15,$F813,0),"")</f>
        <v>200</v>
      </c>
      <c r="N813" s="20" t="str">
        <f ca="1">IFERROR(CONCATENATE(ROUND(OFFSET(환산공식!DK$15,$F813,0),1),"%"),"")</f>
        <v>100%</v>
      </c>
      <c r="O813" s="20">
        <f ca="1">IFERROR(OFFSET(환산공식!DL$15,$F813,0),"")</f>
        <v>10</v>
      </c>
      <c r="P813" s="188" t="str">
        <f t="shared" ca="1" si="24"/>
        <v>3% 이하</v>
      </c>
      <c r="Q813" s="194">
        <f ca="1">IFERROR(ROUND(OFFSET(환산공식!$FG$15,$F813,0),3),"")</f>
        <v>0</v>
      </c>
      <c r="R813" s="194">
        <f ca="1">OFFSET('배치점수 계산기'!H$10,$D813,0)</f>
        <v>973.34299999999996</v>
      </c>
      <c r="S813" s="194">
        <f ca="1">OFFSET('배치점수 계산기'!I$10,$D813,0)</f>
        <v>972.03899999999999</v>
      </c>
      <c r="T813" s="194">
        <f ca="1">OFFSET('배치점수 계산기'!J$10,$D813,0)</f>
        <v>970.04600000000005</v>
      </c>
      <c r="U813" s="194">
        <f ca="1">OFFSET('배치점수 계산기'!K$10,$D813,0)</f>
        <v>967.90899999999999</v>
      </c>
      <c r="V813" s="194">
        <f ca="1">OFFSET('배치점수 계산기'!L$10,$D813,0)</f>
        <v>965.62800000000004</v>
      </c>
      <c r="W813" s="186" t="str">
        <f ca="1">OFFSET('배치점수 계산기'!M$10,$D813,0)</f>
        <v>표점/만점</v>
      </c>
      <c r="X813" s="184" t="str">
        <f ca="1">OFFSET('배치점수 계산기'!N$10,$D813,0)</f>
        <v>변표/만점</v>
      </c>
      <c r="Y813" s="188">
        <f ca="1">OFFSET(환산공식!FW$15,$F813,0)</f>
        <v>0.31</v>
      </c>
      <c r="Z813" s="20">
        <f ca="1">OFFSET(환산공식!FX$15,$F813,0)</f>
        <v>0.37</v>
      </c>
      <c r="AA813" s="179">
        <f ca="1">OFFSET(환산공식!FY$15,$F813,0)</f>
        <v>0.31</v>
      </c>
      <c r="AB813" s="3"/>
      <c r="AD813">
        <f t="shared" ca="1" si="25"/>
        <v>6</v>
      </c>
      <c r="AF813" s="3"/>
      <c r="AG813" s="3"/>
      <c r="AH813" s="3"/>
    </row>
    <row r="814" spans="1:34">
      <c r="A814" s="198"/>
      <c r="B814" s="198"/>
      <c r="C814" s="198" t="s">
        <v>2266</v>
      </c>
      <c r="D814" s="195">
        <v>1829</v>
      </c>
      <c r="E814" s="195">
        <v>90</v>
      </c>
      <c r="F814" s="195">
        <v>90</v>
      </c>
      <c r="G814" s="239">
        <v>807</v>
      </c>
      <c r="H814" s="197" t="s">
        <v>79</v>
      </c>
      <c r="I814" s="242" t="s">
        <v>224</v>
      </c>
      <c r="J814" s="242" t="s">
        <v>8199</v>
      </c>
      <c r="K814" s="195" t="s">
        <v>71</v>
      </c>
      <c r="L814" s="20" t="str">
        <f ca="1">IF(OFFSET(환산공식!$ED$15,$F814,0)=1,"O","X")</f>
        <v>X</v>
      </c>
      <c r="M814" s="188">
        <f ca="1">IFERROR(OFFSET(환산공식!DJ$15,$F814,0),"")</f>
        <v>200</v>
      </c>
      <c r="N814" s="20" t="str">
        <f ca="1">IFERROR(CONCATENATE(ROUND(OFFSET(환산공식!DK$15,$F814,0),1),"%"),"")</f>
        <v>100%</v>
      </c>
      <c r="O814" s="20">
        <f ca="1">IFERROR(OFFSET(환산공식!DL$15,$F814,0),"")</f>
        <v>10</v>
      </c>
      <c r="P814" s="188" t="str">
        <f t="shared" ca="1" si="24"/>
        <v>3% 이하</v>
      </c>
      <c r="Q814" s="194">
        <f ca="1">IFERROR(ROUND(OFFSET(환산공식!$FG$15,$F814,0),3),"")</f>
        <v>0</v>
      </c>
      <c r="R814" s="194">
        <f ca="1">OFFSET('배치점수 계산기'!H$10,$D814,0)</f>
        <v>972.61800000000005</v>
      </c>
      <c r="S814" s="194">
        <f ca="1">OFFSET('배치점수 계산기'!I$10,$D814,0)</f>
        <v>970.66300000000001</v>
      </c>
      <c r="T814" s="194">
        <f ca="1">OFFSET('배치점수 계산기'!J$10,$D814,0)</f>
        <v>968.76</v>
      </c>
      <c r="U814" s="194">
        <f ca="1">OFFSET('배치점수 계산기'!K$10,$D814,0)</f>
        <v>967.13599999999997</v>
      </c>
      <c r="V814" s="194">
        <f ca="1">OFFSET('배치점수 계산기'!L$10,$D814,0)</f>
        <v>965.40700000000004</v>
      </c>
      <c r="W814" s="186" t="str">
        <f ca="1">OFFSET('배치점수 계산기'!M$10,$D814,0)</f>
        <v>표점/만점</v>
      </c>
      <c r="X814" s="184" t="str">
        <f ca="1">OFFSET('배치점수 계산기'!N$10,$D814,0)</f>
        <v>변표/만점</v>
      </c>
      <c r="Y814" s="188">
        <f ca="1">OFFSET(환산공식!FW$15,$F814,0)</f>
        <v>0.38</v>
      </c>
      <c r="Z814" s="20">
        <f ca="1">OFFSET(환산공식!FX$15,$F814,0)</f>
        <v>0.37</v>
      </c>
      <c r="AA814" s="179">
        <f ca="1">OFFSET(환산공식!FY$15,$F814,0)</f>
        <v>0.25</v>
      </c>
      <c r="AB814" s="3"/>
      <c r="AD814">
        <f t="shared" ca="1" si="25"/>
        <v>6</v>
      </c>
      <c r="AF814" s="3"/>
      <c r="AG814" s="3"/>
      <c r="AH814" s="3"/>
    </row>
    <row r="815" spans="1:34">
      <c r="A815" s="198"/>
      <c r="B815" s="198"/>
      <c r="C815" s="198" t="s">
        <v>2267</v>
      </c>
      <c r="D815" s="195">
        <v>1830</v>
      </c>
      <c r="E815" s="195">
        <v>63</v>
      </c>
      <c r="F815" s="195">
        <v>63</v>
      </c>
      <c r="G815" s="239">
        <v>808</v>
      </c>
      <c r="H815" s="197" t="s">
        <v>79</v>
      </c>
      <c r="I815" s="242" t="s">
        <v>254</v>
      </c>
      <c r="J815" s="242" t="s">
        <v>7981</v>
      </c>
      <c r="K815" s="195" t="s">
        <v>70</v>
      </c>
      <c r="L815" s="20" t="str">
        <f ca="1">IF(OFFSET(환산공식!$ED$15,$F815,0)=1,"O","X")</f>
        <v>X</v>
      </c>
      <c r="M815" s="188">
        <f ca="1">IFERROR(OFFSET(환산공식!DJ$15,$F815,0),"")</f>
        <v>150</v>
      </c>
      <c r="N815" s="20" t="str">
        <f ca="1">IFERROR(CONCATENATE(ROUND(OFFSET(환산공식!DK$15,$F815,0),1),"%"),"")</f>
        <v>100%</v>
      </c>
      <c r="O815" s="20">
        <f ca="1">IFERROR(OFFSET(환산공식!DL$15,$F815,0),"")</f>
        <v>3</v>
      </c>
      <c r="P815" s="188" t="str">
        <f t="shared" ca="1" si="24"/>
        <v>3% 이하</v>
      </c>
      <c r="Q815" s="194">
        <f ca="1">IFERROR(ROUND(OFFSET(환산공식!$FG$15,$F815,0),3),"")</f>
        <v>0</v>
      </c>
      <c r="R815" s="194">
        <f ca="1">OFFSET('배치점수 계산기'!H$10,$D815,0)</f>
        <v>955.89200000000005</v>
      </c>
      <c r="S815" s="194">
        <f ca="1">OFFSET('배치점수 계산기'!I$10,$D815,0)</f>
        <v>954.88099999999997</v>
      </c>
      <c r="T815" s="194">
        <f ca="1">OFFSET('배치점수 계산기'!J$10,$D815,0)</f>
        <v>953.19399999999996</v>
      </c>
      <c r="U815" s="194">
        <f ca="1">OFFSET('배치점수 계산기'!K$10,$D815,0)</f>
        <v>951.11300000000006</v>
      </c>
      <c r="V815" s="194">
        <f ca="1">OFFSET('배치점수 계산기'!L$10,$D815,0)</f>
        <v>948.21699999999998</v>
      </c>
      <c r="W815" s="186" t="str">
        <f ca="1">OFFSET('배치점수 계산기'!M$10,$D815,0)</f>
        <v>표점/만점</v>
      </c>
      <c r="X815" s="184" t="str">
        <f ca="1">OFFSET('배치점수 계산기'!N$10,$D815,0)</f>
        <v>변표/만점</v>
      </c>
      <c r="Y815" s="188">
        <f ca="1">OFFSET(환산공식!FW$15,$F815,0)</f>
        <v>0.3</v>
      </c>
      <c r="Z815" s="20">
        <f ca="1">OFFSET(환산공식!FX$15,$F815,0)</f>
        <v>0.41</v>
      </c>
      <c r="AA815" s="179">
        <f ca="1">OFFSET(환산공식!FY$15,$F815,0)</f>
        <v>0.28999999999999998</v>
      </c>
      <c r="AB815" s="3"/>
      <c r="AD815">
        <f t="shared" ca="1" si="25"/>
        <v>6</v>
      </c>
    </row>
    <row r="816" spans="1:34">
      <c r="A816" s="198"/>
      <c r="B816" s="198"/>
      <c r="C816" s="198" t="s">
        <v>2268</v>
      </c>
      <c r="D816" s="195">
        <v>1831</v>
      </c>
      <c r="E816" s="195">
        <v>229</v>
      </c>
      <c r="F816" s="195">
        <v>229</v>
      </c>
      <c r="G816" s="239">
        <v>809</v>
      </c>
      <c r="H816" s="197" t="s">
        <v>79</v>
      </c>
      <c r="I816" s="242" t="s">
        <v>214</v>
      </c>
      <c r="J816" s="242" t="s">
        <v>198</v>
      </c>
      <c r="K816" s="195" t="s">
        <v>70</v>
      </c>
      <c r="L816" s="20" t="str">
        <f ca="1">IF(OFFSET(환산공식!$ED$15,$F816,0)=1,"O","X")</f>
        <v>X</v>
      </c>
      <c r="M816" s="188">
        <f ca="1">IFERROR(OFFSET(환산공식!DJ$15,$F816,0),"")</f>
        <v>40</v>
      </c>
      <c r="N816" s="20" t="str">
        <f ca="1">IFERROR(CONCATENATE(ROUND(OFFSET(환산공식!DK$15,$F816,0),1),"%"),"")</f>
        <v>100%</v>
      </c>
      <c r="O816" s="20">
        <f ca="1">IFERROR(OFFSET(환산공식!DL$15,$F816,0),"")</f>
        <v>0</v>
      </c>
      <c r="P816" s="188" t="str">
        <f t="shared" ca="1" si="24"/>
        <v>3% 이하</v>
      </c>
      <c r="Q816" s="194">
        <f ca="1">IFERROR(ROUND(OFFSET(환산공식!$FG$15,$F816,0),3),"")</f>
        <v>800</v>
      </c>
      <c r="R816" s="194">
        <f ca="1">OFFSET('배치점수 계산기'!H$10,$D816,0)</f>
        <v>986.21199999999999</v>
      </c>
      <c r="S816" s="194">
        <f ca="1">OFFSET('배치점수 계산기'!I$10,$D816,0)</f>
        <v>986.06</v>
      </c>
      <c r="T816" s="194">
        <f ca="1">OFFSET('배치점수 계산기'!J$10,$D816,0)</f>
        <v>985.904</v>
      </c>
      <c r="U816" s="194">
        <f ca="1">OFFSET('배치점수 계산기'!K$10,$D816,0)</f>
        <v>985.68</v>
      </c>
      <c r="V816" s="194">
        <f ca="1">OFFSET('배치점수 계산기'!L$10,$D816,0)</f>
        <v>985.28700000000003</v>
      </c>
      <c r="W816" s="186" t="str">
        <f ca="1">OFFSET('배치점수 계산기'!M$10,$D816,0)</f>
        <v>표점/만점</v>
      </c>
      <c r="X816" s="184" t="str">
        <f ca="1">OFFSET('배치점수 계산기'!N$10,$D816,0)</f>
        <v>표점/만점</v>
      </c>
      <c r="Y816" s="188">
        <f ca="1">OFFSET(환산공식!FW$15,$F816,0)</f>
        <v>0.25</v>
      </c>
      <c r="Z816" s="20">
        <f ca="1">OFFSET(환산공식!FX$15,$F816,0)</f>
        <v>0.37</v>
      </c>
      <c r="AA816" s="179">
        <f ca="1">OFFSET(환산공식!FY$15,$F816,0)</f>
        <v>0.37</v>
      </c>
      <c r="AB816" s="3"/>
      <c r="AD816">
        <f t="shared" ca="1" si="25"/>
        <v>6</v>
      </c>
    </row>
    <row r="817" spans="1:30">
      <c r="A817" s="198"/>
      <c r="B817" s="198"/>
      <c r="C817" s="198" t="s">
        <v>2269</v>
      </c>
      <c r="D817" s="195">
        <v>1832</v>
      </c>
      <c r="E817" s="195">
        <v>229</v>
      </c>
      <c r="F817" s="195">
        <v>229</v>
      </c>
      <c r="G817" s="239">
        <v>810</v>
      </c>
      <c r="H817" s="197" t="s">
        <v>79</v>
      </c>
      <c r="I817" s="242" t="s">
        <v>214</v>
      </c>
      <c r="J817" s="242" t="s">
        <v>16721</v>
      </c>
      <c r="K817" s="195" t="s">
        <v>70</v>
      </c>
      <c r="L817" s="20" t="str">
        <f ca="1">IF(OFFSET(환산공식!$ED$15,$F817,0)=1,"O","X")</f>
        <v>X</v>
      </c>
      <c r="M817" s="188">
        <f ca="1">IFERROR(OFFSET(환산공식!DJ$15,$F817,0),"")</f>
        <v>40</v>
      </c>
      <c r="N817" s="20" t="str">
        <f ca="1">IFERROR(CONCATENATE(ROUND(OFFSET(환산공식!DK$15,$F817,0),1),"%"),"")</f>
        <v>100%</v>
      </c>
      <c r="O817" s="20">
        <f ca="1">IFERROR(OFFSET(환산공식!DL$15,$F817,0),"")</f>
        <v>0</v>
      </c>
      <c r="P817" s="188" t="str">
        <f t="shared" ca="1" si="24"/>
        <v>3% 이하</v>
      </c>
      <c r="Q817" s="194">
        <f ca="1">IFERROR(ROUND(OFFSET(환산공식!$FG$15,$F817,0),3),"")</f>
        <v>800</v>
      </c>
      <c r="R817" s="194">
        <f ca="1">OFFSET('배치점수 계산기'!H$10,$D817,0)</f>
        <v>986.21199999999999</v>
      </c>
      <c r="S817" s="194">
        <f ca="1">OFFSET('배치점수 계산기'!I$10,$D817,0)</f>
        <v>986.06</v>
      </c>
      <c r="T817" s="194">
        <f ca="1">OFFSET('배치점수 계산기'!J$10,$D817,0)</f>
        <v>985.904</v>
      </c>
      <c r="U817" s="194">
        <f ca="1">OFFSET('배치점수 계산기'!K$10,$D817,0)</f>
        <v>985.68</v>
      </c>
      <c r="V817" s="194">
        <f ca="1">OFFSET('배치점수 계산기'!L$10,$D817,0)</f>
        <v>985.28700000000003</v>
      </c>
      <c r="W817" s="186" t="str">
        <f ca="1">OFFSET('배치점수 계산기'!M$10,$D817,0)</f>
        <v>표점/만점</v>
      </c>
      <c r="X817" s="184" t="str">
        <f ca="1">OFFSET('배치점수 계산기'!N$10,$D817,0)</f>
        <v>표점/만점</v>
      </c>
      <c r="Y817" s="188">
        <f ca="1">OFFSET(환산공식!FW$15,$F817,0)</f>
        <v>0.25</v>
      </c>
      <c r="Z817" s="20">
        <f ca="1">OFFSET(환산공식!FX$15,$F817,0)</f>
        <v>0.37</v>
      </c>
      <c r="AA817" s="179">
        <f ca="1">OFFSET(환산공식!FY$15,$F817,0)</f>
        <v>0.37</v>
      </c>
      <c r="AB817" s="3"/>
      <c r="AD817">
        <f t="shared" ca="1" si="25"/>
        <v>6</v>
      </c>
    </row>
    <row r="818" spans="1:30">
      <c r="A818" s="198"/>
      <c r="B818" s="198"/>
      <c r="C818" s="198" t="s">
        <v>2270</v>
      </c>
      <c r="D818" s="195">
        <v>1833</v>
      </c>
      <c r="E818" s="195">
        <v>229</v>
      </c>
      <c r="F818" s="195">
        <v>229</v>
      </c>
      <c r="G818" s="239">
        <v>811</v>
      </c>
      <c r="H818" s="197" t="s">
        <v>79</v>
      </c>
      <c r="I818" s="242" t="s">
        <v>214</v>
      </c>
      <c r="J818" s="242" t="s">
        <v>16722</v>
      </c>
      <c r="K818" s="195" t="s">
        <v>70</v>
      </c>
      <c r="L818" s="20" t="str">
        <f ca="1">IF(OFFSET(환산공식!$ED$15,$F818,0)=1,"O","X")</f>
        <v>X</v>
      </c>
      <c r="M818" s="188">
        <f ca="1">IFERROR(OFFSET(환산공식!DJ$15,$F818,0),"")</f>
        <v>40</v>
      </c>
      <c r="N818" s="20" t="str">
        <f ca="1">IFERROR(CONCATENATE(ROUND(OFFSET(환산공식!DK$15,$F818,0),1),"%"),"")</f>
        <v>100%</v>
      </c>
      <c r="O818" s="20">
        <f ca="1">IFERROR(OFFSET(환산공식!DL$15,$F818,0),"")</f>
        <v>0</v>
      </c>
      <c r="P818" s="188" t="str">
        <f t="shared" ca="1" si="24"/>
        <v>3% 이하</v>
      </c>
      <c r="Q818" s="194">
        <f ca="1">IFERROR(ROUND(OFFSET(환산공식!$FG$15,$F818,0),3),"")</f>
        <v>800</v>
      </c>
      <c r="R818" s="194">
        <f ca="1">OFFSET('배치점수 계산기'!H$10,$D818,0)</f>
        <v>985.904</v>
      </c>
      <c r="S818" s="194">
        <f ca="1">OFFSET('배치점수 계산기'!I$10,$D818,0)</f>
        <v>985.83600000000001</v>
      </c>
      <c r="T818" s="194">
        <f ca="1">OFFSET('배치점수 계산기'!J$10,$D818,0)</f>
        <v>985.79300000000001</v>
      </c>
      <c r="U818" s="194">
        <f ca="1">OFFSET('배치점수 계산기'!K$10,$D818,0)</f>
        <v>985.23299999999995</v>
      </c>
      <c r="V818" s="194">
        <f ca="1">OFFSET('배치점수 계산기'!L$10,$D818,0)</f>
        <v>984.31100000000004</v>
      </c>
      <c r="W818" s="186" t="str">
        <f ca="1">OFFSET('배치점수 계산기'!M$10,$D818,0)</f>
        <v>표점/만점</v>
      </c>
      <c r="X818" s="184" t="str">
        <f ca="1">OFFSET('배치점수 계산기'!N$10,$D818,0)</f>
        <v>표점/만점</v>
      </c>
      <c r="Y818" s="188">
        <f ca="1">OFFSET(환산공식!FW$15,$F818,0)</f>
        <v>0.25</v>
      </c>
      <c r="Z818" s="20">
        <f ca="1">OFFSET(환산공식!FX$15,$F818,0)</f>
        <v>0.37</v>
      </c>
      <c r="AA818" s="179">
        <f ca="1">OFFSET(환산공식!FY$15,$F818,0)</f>
        <v>0.37</v>
      </c>
      <c r="AB818" s="3"/>
      <c r="AD818">
        <f t="shared" ca="1" si="25"/>
        <v>6</v>
      </c>
    </row>
    <row r="819" spans="1:30">
      <c r="A819" s="198"/>
      <c r="B819" s="198"/>
      <c r="C819" s="198" t="s">
        <v>2271</v>
      </c>
      <c r="D819" s="195">
        <v>1834</v>
      </c>
      <c r="E819" s="195">
        <v>229</v>
      </c>
      <c r="F819" s="195">
        <v>229</v>
      </c>
      <c r="G819" s="239">
        <v>812</v>
      </c>
      <c r="H819" s="197" t="s">
        <v>79</v>
      </c>
      <c r="I819" s="242" t="s">
        <v>214</v>
      </c>
      <c r="J819" s="242" t="s">
        <v>432</v>
      </c>
      <c r="K819" s="195" t="s">
        <v>70</v>
      </c>
      <c r="L819" s="20" t="str">
        <f ca="1">IF(OFFSET(환산공식!$ED$15,$F819,0)=1,"O","X")</f>
        <v>X</v>
      </c>
      <c r="M819" s="188">
        <f ca="1">IFERROR(OFFSET(환산공식!DJ$15,$F819,0),"")</f>
        <v>40</v>
      </c>
      <c r="N819" s="20" t="str">
        <f ca="1">IFERROR(CONCATENATE(ROUND(OFFSET(환산공식!DK$15,$F819,0),1),"%"),"")</f>
        <v>100%</v>
      </c>
      <c r="O819" s="20">
        <f ca="1">IFERROR(OFFSET(환산공식!DL$15,$F819,0),"")</f>
        <v>0</v>
      </c>
      <c r="P819" s="188" t="str">
        <f t="shared" ca="1" si="24"/>
        <v>3% 이하</v>
      </c>
      <c r="Q819" s="194">
        <f ca="1">IFERROR(ROUND(OFFSET(환산공식!$FG$15,$F819,0),3),"")</f>
        <v>800</v>
      </c>
      <c r="R819" s="194">
        <f ca="1">OFFSET('배치점수 계산기'!H$10,$D819,0)</f>
        <v>985.904</v>
      </c>
      <c r="S819" s="194">
        <f ca="1">OFFSET('배치점수 계산기'!I$10,$D819,0)</f>
        <v>985.83600000000001</v>
      </c>
      <c r="T819" s="194">
        <f ca="1">OFFSET('배치점수 계산기'!J$10,$D819,0)</f>
        <v>985.59299999999996</v>
      </c>
      <c r="U819" s="194">
        <f ca="1">OFFSET('배치점수 계산기'!K$10,$D819,0)</f>
        <v>985.09500000000003</v>
      </c>
      <c r="V819" s="194">
        <f ca="1">OFFSET('배치점수 계산기'!L$10,$D819,0)</f>
        <v>984.60599999999999</v>
      </c>
      <c r="W819" s="186" t="str">
        <f ca="1">OFFSET('배치점수 계산기'!M$10,$D819,0)</f>
        <v>표점/만점</v>
      </c>
      <c r="X819" s="184" t="str">
        <f ca="1">OFFSET('배치점수 계산기'!N$10,$D819,0)</f>
        <v>표점/만점</v>
      </c>
      <c r="Y819" s="188">
        <f ca="1">OFFSET(환산공식!FW$15,$F819,0)</f>
        <v>0.25</v>
      </c>
      <c r="Z819" s="20">
        <f ca="1">OFFSET(환산공식!FX$15,$F819,0)</f>
        <v>0.37</v>
      </c>
      <c r="AA819" s="179">
        <f ca="1">OFFSET(환산공식!FY$15,$F819,0)</f>
        <v>0.37</v>
      </c>
      <c r="AB819" s="3"/>
      <c r="AD819">
        <f t="shared" ca="1" si="25"/>
        <v>6</v>
      </c>
    </row>
    <row r="820" spans="1:30">
      <c r="A820" s="198"/>
      <c r="B820" s="198"/>
      <c r="C820" s="198" t="s">
        <v>2272</v>
      </c>
      <c r="D820" s="195">
        <v>1835</v>
      </c>
      <c r="E820" s="195">
        <v>171</v>
      </c>
      <c r="F820" s="195">
        <v>171</v>
      </c>
      <c r="G820" s="239">
        <v>813</v>
      </c>
      <c r="H820" s="197" t="s">
        <v>79</v>
      </c>
      <c r="I820" s="242" t="s">
        <v>223</v>
      </c>
      <c r="J820" s="242" t="s">
        <v>432</v>
      </c>
      <c r="K820" s="195" t="s">
        <v>70</v>
      </c>
      <c r="L820" s="20" t="str">
        <f ca="1">IF(OFFSET(환산공식!$ED$15,$F820,0)=1,"O","X")</f>
        <v>X</v>
      </c>
      <c r="M820" s="188">
        <f ca="1">IFERROR(OFFSET(환산공식!DJ$15,$F820,0),"")</f>
        <v>80</v>
      </c>
      <c r="N820" s="20" t="str">
        <f ca="1">IFERROR(CONCATENATE(ROUND(OFFSET(환산공식!DK$15,$F820,0),1),"%"),"")</f>
        <v>100%</v>
      </c>
      <c r="O820" s="20">
        <f ca="1">IFERROR(OFFSET(환산공식!DL$15,$F820,0),"")</f>
        <v>10</v>
      </c>
      <c r="P820" s="188" t="str">
        <f t="shared" ca="1" si="24"/>
        <v>3% 이하</v>
      </c>
      <c r="Q820" s="194">
        <f ca="1">IFERROR(ROUND(OFFSET(환산공식!$FG$15,$F820,0),3),"")</f>
        <v>0</v>
      </c>
      <c r="R820" s="194">
        <f ca="1">OFFSET('배치점수 계산기'!H$10,$D820,0)</f>
        <v>781.86400000000003</v>
      </c>
      <c r="S820" s="194">
        <f ca="1">OFFSET('배치점수 계산기'!I$10,$D820,0)</f>
        <v>780.34400000000005</v>
      </c>
      <c r="T820" s="194">
        <f ca="1">OFFSET('배치점수 계산기'!J$10,$D820,0)</f>
        <v>779.68799999999999</v>
      </c>
      <c r="U820" s="194">
        <f ca="1">OFFSET('배치점수 계산기'!K$10,$D820,0)</f>
        <v>774.92</v>
      </c>
      <c r="V820" s="194">
        <f ca="1">OFFSET('배치점수 계산기'!L$10,$D820,0)</f>
        <v>769.048</v>
      </c>
      <c r="W820" s="186" t="str">
        <f ca="1">OFFSET('배치점수 계산기'!M$10,$D820,0)</f>
        <v>백분위</v>
      </c>
      <c r="X820" s="184" t="str">
        <f ca="1">OFFSET('배치점수 계산기'!N$10,$D820,0)</f>
        <v>백분위</v>
      </c>
      <c r="Y820" s="188">
        <f ca="1">OFFSET(환산공식!FW$15,$F820,0)</f>
        <v>0.28000000000000003</v>
      </c>
      <c r="Z820" s="20">
        <f ca="1">OFFSET(환산공식!FX$15,$F820,0)</f>
        <v>0.39</v>
      </c>
      <c r="AA820" s="179">
        <f ca="1">OFFSET(환산공식!FY$15,$F820,0)</f>
        <v>0.33</v>
      </c>
      <c r="AB820" s="3"/>
      <c r="AD820">
        <f t="shared" ca="1" si="25"/>
        <v>6</v>
      </c>
    </row>
    <row r="821" spans="1:30">
      <c r="A821" s="198"/>
      <c r="B821" s="198"/>
      <c r="C821" s="198" t="s">
        <v>2273</v>
      </c>
      <c r="D821" s="195">
        <v>1836</v>
      </c>
      <c r="E821" s="195">
        <v>171</v>
      </c>
      <c r="F821" s="195">
        <v>171</v>
      </c>
      <c r="G821" s="239">
        <v>814</v>
      </c>
      <c r="H821" s="197" t="s">
        <v>79</v>
      </c>
      <c r="I821" s="242" t="s">
        <v>223</v>
      </c>
      <c r="J821" s="242" t="s">
        <v>198</v>
      </c>
      <c r="K821" s="195" t="s">
        <v>70</v>
      </c>
      <c r="L821" s="20" t="str">
        <f ca="1">IF(OFFSET(환산공식!$ED$15,$F821,0)=1,"O","X")</f>
        <v>X</v>
      </c>
      <c r="M821" s="188">
        <f ca="1">IFERROR(OFFSET(환산공식!DJ$15,$F821,0),"")</f>
        <v>80</v>
      </c>
      <c r="N821" s="20" t="str">
        <f ca="1">IFERROR(CONCATENATE(ROUND(OFFSET(환산공식!DK$15,$F821,0),1),"%"),"")</f>
        <v>100%</v>
      </c>
      <c r="O821" s="20">
        <f ca="1">IFERROR(OFFSET(환산공식!DL$15,$F821,0),"")</f>
        <v>10</v>
      </c>
      <c r="P821" s="188" t="str">
        <f t="shared" ca="1" si="24"/>
        <v>3% 이하</v>
      </c>
      <c r="Q821" s="194">
        <f ca="1">IFERROR(ROUND(OFFSET(환산공식!$FG$15,$F821,0),3),"")</f>
        <v>0</v>
      </c>
      <c r="R821" s="194">
        <f ca="1">OFFSET('배치점수 계산기'!H$10,$D821,0)</f>
        <v>782.10400000000004</v>
      </c>
      <c r="S821" s="194">
        <f ca="1">OFFSET('배치점수 계산기'!I$10,$D821,0)</f>
        <v>780.34400000000005</v>
      </c>
      <c r="T821" s="194">
        <f ca="1">OFFSET('배치점수 계산기'!J$10,$D821,0)</f>
        <v>779.08799999999997</v>
      </c>
      <c r="U821" s="194">
        <f ca="1">OFFSET('배치점수 계산기'!K$10,$D821,0)</f>
        <v>777.06399999999996</v>
      </c>
      <c r="V821" s="194">
        <f ca="1">OFFSET('배치점수 계산기'!L$10,$D821,0)</f>
        <v>775.4</v>
      </c>
      <c r="W821" s="186" t="str">
        <f ca="1">OFFSET('배치점수 계산기'!M$10,$D821,0)</f>
        <v>백분위</v>
      </c>
      <c r="X821" s="184" t="str">
        <f ca="1">OFFSET('배치점수 계산기'!N$10,$D821,0)</f>
        <v>백분위</v>
      </c>
      <c r="Y821" s="188">
        <f ca="1">OFFSET(환산공식!FW$15,$F821,0)</f>
        <v>0.28000000000000003</v>
      </c>
      <c r="Z821" s="20">
        <f ca="1">OFFSET(환산공식!FX$15,$F821,0)</f>
        <v>0.39</v>
      </c>
      <c r="AA821" s="179">
        <f ca="1">OFFSET(환산공식!FY$15,$F821,0)</f>
        <v>0.33</v>
      </c>
      <c r="AB821" s="3"/>
      <c r="AD821">
        <f t="shared" ca="1" si="25"/>
        <v>6</v>
      </c>
    </row>
    <row r="822" spans="1:30">
      <c r="A822" s="198"/>
      <c r="B822" s="198"/>
      <c r="C822" s="198" t="s">
        <v>2274</v>
      </c>
      <c r="D822" s="195">
        <v>1837</v>
      </c>
      <c r="E822" s="195">
        <v>210</v>
      </c>
      <c r="F822" s="195">
        <v>210</v>
      </c>
      <c r="G822" s="239">
        <v>815</v>
      </c>
      <c r="H822" s="197" t="s">
        <v>79</v>
      </c>
      <c r="I822" s="242" t="s">
        <v>211</v>
      </c>
      <c r="J822" s="242" t="s">
        <v>198</v>
      </c>
      <c r="K822" s="195" t="s">
        <v>70</v>
      </c>
      <c r="L822" s="20" t="str">
        <f ca="1">IF(OFFSET(환산공식!$ED$15,$F822,0)=1,"O","X")</f>
        <v>X</v>
      </c>
      <c r="M822" s="188">
        <f ca="1">IFERROR(OFFSET(환산공식!DJ$15,$F822,0),"")</f>
        <v>30</v>
      </c>
      <c r="N822" s="20" t="str">
        <f ca="1">IFERROR(CONCATENATE(ROUND(OFFSET(환산공식!DK$15,$F822,0),1),"%"),"")</f>
        <v>100%</v>
      </c>
      <c r="O822" s="20">
        <f ca="1">IFERROR(OFFSET(환산공식!DL$15,$F822,0),"")</f>
        <v>5</v>
      </c>
      <c r="P822" s="188" t="str">
        <f t="shared" ca="1" si="24"/>
        <v>3% 이하</v>
      </c>
      <c r="Q822" s="194">
        <f ca="1">IFERROR(ROUND(OFFSET(환산공식!$FG$15,$F822,0),3),"")</f>
        <v>0</v>
      </c>
      <c r="R822" s="194">
        <f ca="1">OFFSET('배치점수 계산기'!H$10,$D822,0)</f>
        <v>366.01900000000001</v>
      </c>
      <c r="S822" s="194">
        <f ca="1">OFFSET('배치점수 계산기'!I$10,$D822,0)</f>
        <v>365.16300000000001</v>
      </c>
      <c r="T822" s="194">
        <f ca="1">OFFSET('배치점수 계산기'!J$10,$D822,0)</f>
        <v>364.42700000000002</v>
      </c>
      <c r="U822" s="194">
        <f ca="1">OFFSET('배치점수 계산기'!K$10,$D822,0)</f>
        <v>363.98</v>
      </c>
      <c r="V822" s="194">
        <f ca="1">OFFSET('배치점수 계산기'!L$10,$D822,0)</f>
        <v>363.21100000000001</v>
      </c>
      <c r="W822" s="186" t="str">
        <f ca="1">OFFSET('배치점수 계산기'!M$10,$D822,0)</f>
        <v>표점</v>
      </c>
      <c r="X822" s="184" t="str">
        <f ca="1">OFFSET('배치점수 계산기'!N$10,$D822,0)</f>
        <v>변표</v>
      </c>
      <c r="Y822" s="188">
        <f ca="1">OFFSET(환산공식!FW$15,$F822,0)</f>
        <v>0.3</v>
      </c>
      <c r="Z822" s="20">
        <f ca="1">OFFSET(환산공식!FX$15,$F822,0)</f>
        <v>0.4</v>
      </c>
      <c r="AA822" s="179">
        <f ca="1">OFFSET(환산공식!FY$15,$F822,0)</f>
        <v>0.3</v>
      </c>
      <c r="AB822" s="3"/>
      <c r="AD822">
        <f t="shared" ca="1" si="25"/>
        <v>6</v>
      </c>
    </row>
    <row r="823" spans="1:30">
      <c r="A823" s="198"/>
      <c r="B823" s="198"/>
      <c r="C823" s="198" t="s">
        <v>2275</v>
      </c>
      <c r="D823" s="195">
        <v>1838</v>
      </c>
      <c r="E823" s="195">
        <v>175</v>
      </c>
      <c r="F823" s="195">
        <v>175</v>
      </c>
      <c r="G823" s="239">
        <v>816</v>
      </c>
      <c r="H823" s="197" t="s">
        <v>79</v>
      </c>
      <c r="I823" s="242" t="s">
        <v>202</v>
      </c>
      <c r="J823" s="242" t="s">
        <v>198</v>
      </c>
      <c r="K823" s="195" t="s">
        <v>70</v>
      </c>
      <c r="L823" s="20" t="str">
        <f ca="1">IF(OFFSET(환산공식!$ED$15,$F823,0)=1,"O","X")</f>
        <v>X</v>
      </c>
      <c r="M823" s="188">
        <f ca="1">IFERROR(OFFSET(환산공식!DJ$15,$F823,0),"")</f>
        <v>100</v>
      </c>
      <c r="N823" s="20" t="str">
        <f ca="1">IFERROR(CONCATENATE(ROUND(OFFSET(환산공식!DK$15,$F823,0),1),"%"),"")</f>
        <v>100%</v>
      </c>
      <c r="O823" s="20">
        <f ca="1">IFERROR(OFFSET(환산공식!DL$15,$F823,0),"")</f>
        <v>5</v>
      </c>
      <c r="P823" s="188" t="str">
        <f t="shared" ca="1" si="24"/>
        <v>3% 이하</v>
      </c>
      <c r="Q823" s="194">
        <f ca="1">IFERROR(ROUND(OFFSET(환산공식!$FG$15,$F823,0),3),"")</f>
        <v>0</v>
      </c>
      <c r="R823" s="194">
        <f ca="1">OFFSET('배치점수 계산기'!H$10,$D823,0)</f>
        <v>558.97</v>
      </c>
      <c r="S823" s="194">
        <f ca="1">OFFSET('배치점수 계산기'!I$10,$D823,0)</f>
        <v>556.53</v>
      </c>
      <c r="T823" s="194">
        <f ca="1">OFFSET('배치점수 계산기'!J$10,$D823,0)</f>
        <v>556.03</v>
      </c>
      <c r="U823" s="194">
        <f ca="1">OFFSET('배치점수 계산기'!K$10,$D823,0)</f>
        <v>555.09</v>
      </c>
      <c r="V823" s="194">
        <f ca="1">OFFSET('배치점수 계산기'!L$10,$D823,0)</f>
        <v>553.25</v>
      </c>
      <c r="W823" s="186" t="str">
        <f ca="1">OFFSET('배치점수 계산기'!M$10,$D823,0)</f>
        <v>표점</v>
      </c>
      <c r="X823" s="184" t="str">
        <f ca="1">OFFSET('배치점수 계산기'!N$10,$D823,0)</f>
        <v>표점</v>
      </c>
      <c r="Y823" s="188">
        <f ca="1">OFFSET(환산공식!FW$15,$F823,0)</f>
        <v>0.37</v>
      </c>
      <c r="Z823" s="20">
        <f ca="1">OFFSET(환산공식!FX$15,$F823,0)</f>
        <v>0.44</v>
      </c>
      <c r="AA823" s="179">
        <f ca="1">OFFSET(환산공식!FY$15,$F823,0)</f>
        <v>0.19</v>
      </c>
      <c r="AB823" s="3"/>
      <c r="AD823">
        <f t="shared" ca="1" si="25"/>
        <v>6</v>
      </c>
    </row>
    <row r="824" spans="1:30">
      <c r="A824" s="198"/>
      <c r="B824" s="198"/>
      <c r="C824" s="198" t="s">
        <v>2276</v>
      </c>
      <c r="D824" s="195">
        <v>1839</v>
      </c>
      <c r="E824" s="195">
        <v>151</v>
      </c>
      <c r="F824" s="195">
        <v>151</v>
      </c>
      <c r="G824" s="239">
        <v>817</v>
      </c>
      <c r="H824" s="197" t="s">
        <v>79</v>
      </c>
      <c r="I824" s="242" t="s">
        <v>222</v>
      </c>
      <c r="J824" s="242" t="s">
        <v>7981</v>
      </c>
      <c r="K824" s="195" t="s">
        <v>70</v>
      </c>
      <c r="L824" s="20" t="str">
        <f ca="1">IF(OFFSET(환산공식!$ED$15,$F824,0)=1,"O","X")</f>
        <v>X</v>
      </c>
      <c r="M824" s="188">
        <f ca="1">IFERROR(OFFSET(환산공식!DJ$15,$F824,0),"")</f>
        <v>80</v>
      </c>
      <c r="N824" s="20" t="str">
        <f ca="1">IFERROR(CONCATENATE(ROUND(OFFSET(환산공식!DK$15,$F824,0),1),"%"),"")</f>
        <v>100%</v>
      </c>
      <c r="O824" s="20">
        <f ca="1">IFERROR(OFFSET(환산공식!DL$15,$F824,0),"")</f>
        <v>6</v>
      </c>
      <c r="P824" s="188" t="str">
        <f t="shared" ca="1" si="24"/>
        <v>3% 이하</v>
      </c>
      <c r="Q824" s="194">
        <f ca="1">IFERROR(ROUND(OFFSET(환산공식!$FG$15,$F824,0),3),"")</f>
        <v>0</v>
      </c>
      <c r="R824" s="194">
        <f ca="1">OFFSET('배치점수 계산기'!H$10,$D824,0)</f>
        <v>514.67100000000005</v>
      </c>
      <c r="S824" s="194">
        <f ca="1">OFFSET('배치점수 계산기'!I$10,$D824,0)</f>
        <v>511.62700000000001</v>
      </c>
      <c r="T824" s="194">
        <f ca="1">OFFSET('배치점수 계산기'!J$10,$D824,0)</f>
        <v>509.35300000000001</v>
      </c>
      <c r="U824" s="194">
        <f ca="1">OFFSET('배치점수 계산기'!K$10,$D824,0)</f>
        <v>507.94200000000001</v>
      </c>
      <c r="V824" s="194">
        <f ca="1">OFFSET('배치점수 계산기'!L$10,$D824,0)</f>
        <v>504.88499999999999</v>
      </c>
      <c r="W824" s="186" t="str">
        <f ca="1">OFFSET('배치점수 계산기'!M$10,$D824,0)</f>
        <v>표점</v>
      </c>
      <c r="X824" s="184" t="str">
        <f ca="1">OFFSET('배치점수 계산기'!N$10,$D824,0)</f>
        <v>표점/만점</v>
      </c>
      <c r="Y824" s="188">
        <f ca="1">OFFSET(환산공식!FW$15,$F824,0)</f>
        <v>0.37</v>
      </c>
      <c r="Z824" s="20">
        <f ca="1">OFFSET(환산공식!FX$15,$F824,0)</f>
        <v>0.37</v>
      </c>
      <c r="AA824" s="179">
        <f ca="1">OFFSET(환산공식!FY$15,$F824,0)</f>
        <v>0.26</v>
      </c>
      <c r="AB824" s="3"/>
      <c r="AD824">
        <f t="shared" ca="1" si="25"/>
        <v>6</v>
      </c>
    </row>
    <row r="825" spans="1:30">
      <c r="A825" s="198"/>
      <c r="B825" s="198"/>
      <c r="C825" s="198" t="s">
        <v>2277</v>
      </c>
      <c r="D825" s="195">
        <v>1840</v>
      </c>
      <c r="E825" s="195">
        <v>182</v>
      </c>
      <c r="F825" s="195">
        <v>182</v>
      </c>
      <c r="G825" s="239">
        <v>818</v>
      </c>
      <c r="H825" s="197" t="s">
        <v>79</v>
      </c>
      <c r="I825" s="242" t="s">
        <v>226</v>
      </c>
      <c r="J825" s="242" t="s">
        <v>198</v>
      </c>
      <c r="K825" s="195" t="s">
        <v>70</v>
      </c>
      <c r="L825" s="20" t="str">
        <f ca="1">IF(OFFSET(환산공식!$ED$15,$F825,0)=1,"O","X")</f>
        <v>X</v>
      </c>
      <c r="M825" s="188">
        <f ca="1">IFERROR(OFFSET(환산공식!DJ$15,$F825,0),"")</f>
        <v>20</v>
      </c>
      <c r="N825" s="20" t="str">
        <f ca="1">IFERROR(CONCATENATE(ROUND(OFFSET(환산공식!DK$15,$F825,0),1),"%"),"")</f>
        <v>100%</v>
      </c>
      <c r="O825" s="20">
        <f ca="1">IFERROR(OFFSET(환산공식!DL$15,$F825,0),"")</f>
        <v>0</v>
      </c>
      <c r="P825" s="188" t="str">
        <f t="shared" ca="1" si="24"/>
        <v>3% 이하</v>
      </c>
      <c r="Q825" s="194">
        <f ca="1">IFERROR(ROUND(OFFSET(환산공식!$FG$15,$F825,0),3),"")</f>
        <v>0</v>
      </c>
      <c r="R825" s="194">
        <f ca="1">OFFSET('배치점수 계산기'!H$10,$D825,0)</f>
        <v>95.025000000000006</v>
      </c>
      <c r="S825" s="194">
        <f ca="1">OFFSET('배치점수 계산기'!I$10,$D825,0)</f>
        <v>94.814999999999998</v>
      </c>
      <c r="T825" s="194">
        <f ca="1">OFFSET('배치점수 계산기'!J$10,$D825,0)</f>
        <v>94.697000000000003</v>
      </c>
      <c r="U825" s="194">
        <f ca="1">OFFSET('배치점수 계산기'!K$10,$D825,0)</f>
        <v>94.590999999999994</v>
      </c>
      <c r="V825" s="194">
        <f ca="1">OFFSET('배치점수 계산기'!L$10,$D825,0)</f>
        <v>94.382000000000005</v>
      </c>
      <c r="W825" s="186" t="str">
        <f ca="1">OFFSET('배치점수 계산기'!M$10,$D825,0)</f>
        <v>표점/만점</v>
      </c>
      <c r="X825" s="184" t="str">
        <f ca="1">OFFSET('배치점수 계산기'!N$10,$D825,0)</f>
        <v>변표/만점</v>
      </c>
      <c r="Y825" s="188">
        <f ca="1">OFFSET(환산공식!FW$15,$F825,0)</f>
        <v>0.25</v>
      </c>
      <c r="Z825" s="20">
        <f ca="1">OFFSET(환산공식!FX$15,$F825,0)</f>
        <v>0.37</v>
      </c>
      <c r="AA825" s="179">
        <f ca="1">OFFSET(환산공식!FY$15,$F825,0)</f>
        <v>0.37</v>
      </c>
      <c r="AB825" s="3"/>
      <c r="AD825">
        <f t="shared" ca="1" si="25"/>
        <v>6</v>
      </c>
    </row>
    <row r="826" spans="1:30">
      <c r="A826" s="198"/>
      <c r="B826" s="198"/>
      <c r="C826" s="198" t="s">
        <v>2278</v>
      </c>
      <c r="D826" s="195">
        <v>1841</v>
      </c>
      <c r="E826" s="195">
        <v>164</v>
      </c>
      <c r="F826" s="195">
        <v>164</v>
      </c>
      <c r="G826" s="239">
        <v>819</v>
      </c>
      <c r="H826" s="197" t="s">
        <v>79</v>
      </c>
      <c r="I826" s="242" t="s">
        <v>220</v>
      </c>
      <c r="J826" s="242" t="s">
        <v>198</v>
      </c>
      <c r="K826" s="195" t="s">
        <v>70</v>
      </c>
      <c r="L826" s="20" t="str">
        <f ca="1">IF(OFFSET(환산공식!$ED$15,$F826,0)=1,"O","X")</f>
        <v>X</v>
      </c>
      <c r="M826" s="188">
        <f ca="1">IFERROR(OFFSET(환산공식!DJ$15,$F826,0),"")</f>
        <v>245</v>
      </c>
      <c r="N826" s="20" t="str">
        <f ca="1">IFERROR(CONCATENATE(ROUND(OFFSET(환산공식!DK$15,$F826,0),1),"%"),"")</f>
        <v>100%</v>
      </c>
      <c r="O826" s="20">
        <f ca="1">IFERROR(OFFSET(환산공식!DL$15,$F826,0),"")</f>
        <v>0</v>
      </c>
      <c r="P826" s="188" t="str">
        <f t="shared" ca="1" si="24"/>
        <v>3% 이하</v>
      </c>
      <c r="Q826" s="194">
        <f ca="1">IFERROR(ROUND(OFFSET(환산공식!$FG$15,$F826,0),3),"")</f>
        <v>0</v>
      </c>
      <c r="R826" s="194">
        <f ca="1">OFFSET('배치점수 계산기'!H$10,$D826,0)</f>
        <v>983.14700000000005</v>
      </c>
      <c r="S826" s="194">
        <f ca="1">OFFSET('배치점수 계산기'!I$10,$D826,0)</f>
        <v>981.15599999999995</v>
      </c>
      <c r="T826" s="194">
        <f ca="1">OFFSET('배치점수 계산기'!J$10,$D826,0)</f>
        <v>979.56799999999998</v>
      </c>
      <c r="U826" s="194">
        <f ca="1">OFFSET('배치점수 계산기'!K$10,$D826,0)</f>
        <v>979.10599999999999</v>
      </c>
      <c r="V826" s="194">
        <f ca="1">OFFSET('배치점수 계산기'!L$10,$D826,0)</f>
        <v>978.13</v>
      </c>
      <c r="W826" s="186" t="str">
        <f ca="1">OFFSET('배치점수 계산기'!M$10,$D826,0)</f>
        <v>백분위</v>
      </c>
      <c r="X826" s="184" t="str">
        <f ca="1">OFFSET('배치점수 계산기'!N$10,$D826,0)</f>
        <v>백분위</v>
      </c>
      <c r="Y826" s="188">
        <f ca="1">OFFSET(환산공식!FW$15,$F826,0)</f>
        <v>0.33</v>
      </c>
      <c r="Z826" s="20">
        <f ca="1">OFFSET(환산공식!FX$15,$F826,0)</f>
        <v>0.4</v>
      </c>
      <c r="AA826" s="179">
        <f ca="1">OFFSET(환산공식!FY$15,$F826,0)</f>
        <v>0.27</v>
      </c>
      <c r="AB826" s="3"/>
      <c r="AD826">
        <f t="shared" ca="1" si="25"/>
        <v>6</v>
      </c>
    </row>
    <row r="827" spans="1:30">
      <c r="A827" s="198"/>
      <c r="B827" s="198"/>
      <c r="C827" s="198" t="s">
        <v>2279</v>
      </c>
      <c r="D827" s="195">
        <v>1842</v>
      </c>
      <c r="E827" s="195">
        <v>163</v>
      </c>
      <c r="F827" s="195">
        <v>163</v>
      </c>
      <c r="G827" s="239">
        <v>820</v>
      </c>
      <c r="H827" s="197" t="s">
        <v>79</v>
      </c>
      <c r="I827" s="242" t="s">
        <v>227</v>
      </c>
      <c r="J827" s="242" t="s">
        <v>198</v>
      </c>
      <c r="K827" s="195" t="s">
        <v>70</v>
      </c>
      <c r="L827" s="20" t="str">
        <f ca="1">IF(OFFSET(환산공식!$ED$15,$F827,0)=1,"O","X")</f>
        <v>X</v>
      </c>
      <c r="M827" s="188">
        <f ca="1">IFERROR(OFFSET(환산공식!DJ$15,$F827,0),"")</f>
        <v>300</v>
      </c>
      <c r="N827" s="20" t="str">
        <f ca="1">IFERROR(CONCATENATE(ROUND(OFFSET(환산공식!DK$15,$F827,0),1),"%"),"")</f>
        <v>100%</v>
      </c>
      <c r="O827" s="20">
        <f ca="1">IFERROR(OFFSET(환산공식!DL$15,$F827,0),"")</f>
        <v>0</v>
      </c>
      <c r="P827" s="188" t="str">
        <f t="shared" ca="1" si="24"/>
        <v>3% 이하</v>
      </c>
      <c r="Q827" s="194">
        <f ca="1">IFERROR(ROUND(OFFSET(환산공식!$FG$15,$F827,0),3),"")</f>
        <v>0</v>
      </c>
      <c r="R827" s="194">
        <f ca="1">OFFSET('배치점수 계산기'!H$10,$D827,0)</f>
        <v>1020.718</v>
      </c>
      <c r="S827" s="194">
        <f ca="1">OFFSET('배치점수 계산기'!I$10,$D827,0)</f>
        <v>1019.6849999999999</v>
      </c>
      <c r="T827" s="194">
        <f ca="1">OFFSET('배치점수 계산기'!J$10,$D827,0)</f>
        <v>1017.407</v>
      </c>
      <c r="U827" s="194">
        <f ca="1">OFFSET('배치점수 계산기'!K$10,$D827,0)</f>
        <v>1011.758</v>
      </c>
      <c r="V827" s="194">
        <f ca="1">OFFSET('배치점수 계산기'!L$10,$D827,0)</f>
        <v>1003.419</v>
      </c>
      <c r="W827" s="186" t="str">
        <f ca="1">OFFSET('배치점수 계산기'!M$10,$D827,0)</f>
        <v>백분위</v>
      </c>
      <c r="X827" s="184" t="str">
        <f ca="1">OFFSET('배치점수 계산기'!N$10,$D827,0)</f>
        <v>백분위</v>
      </c>
      <c r="Y827" s="188">
        <f ca="1">OFFSET(환산공식!FW$15,$F827,0)</f>
        <v>0.3</v>
      </c>
      <c r="Z827" s="20">
        <f ca="1">OFFSET(환산공식!FX$15,$F827,0)</f>
        <v>0.4</v>
      </c>
      <c r="AA827" s="179">
        <f ca="1">OFFSET(환산공식!FY$15,$F827,0)</f>
        <v>0.3</v>
      </c>
      <c r="AB827" s="3"/>
      <c r="AD827">
        <f t="shared" ca="1" si="25"/>
        <v>6</v>
      </c>
    </row>
    <row r="828" spans="1:30">
      <c r="A828" s="198"/>
      <c r="B828" s="198"/>
      <c r="C828" s="198" t="s">
        <v>2280</v>
      </c>
      <c r="D828" s="195">
        <v>1843</v>
      </c>
      <c r="E828" s="195">
        <v>172</v>
      </c>
      <c r="F828" s="195">
        <v>172</v>
      </c>
      <c r="G828" s="239">
        <v>821</v>
      </c>
      <c r="H828" s="197" t="s">
        <v>79</v>
      </c>
      <c r="I828" s="242" t="s">
        <v>206</v>
      </c>
      <c r="J828" s="242" t="s">
        <v>198</v>
      </c>
      <c r="K828" s="195" t="s">
        <v>70</v>
      </c>
      <c r="L828" s="20" t="str">
        <f ca="1">IF(OFFSET(환산공식!$ED$15,$F828,0)=1,"O","X")</f>
        <v>X</v>
      </c>
      <c r="M828" s="188">
        <f ca="1">IFERROR(OFFSET(환산공식!DJ$15,$F828,0),"")</f>
        <v>80</v>
      </c>
      <c r="N828" s="20" t="str">
        <f ca="1">IFERROR(CONCATENATE(ROUND(OFFSET(환산공식!DK$15,$F828,0),1),"%"),"")</f>
        <v>100%</v>
      </c>
      <c r="O828" s="20">
        <f ca="1">IFERROR(OFFSET(환산공식!DL$15,$F828,0),"")</f>
        <v>5</v>
      </c>
      <c r="P828" s="188" t="str">
        <f t="shared" ca="1" si="24"/>
        <v>3% 이하</v>
      </c>
      <c r="Q828" s="194">
        <f ca="1">IFERROR(ROUND(OFFSET(환산공식!$FG$15,$F828,0),3),"")</f>
        <v>0</v>
      </c>
      <c r="R828" s="194">
        <f ca="1">OFFSET('배치점수 계산기'!H$10,$D828,0)</f>
        <v>398.68</v>
      </c>
      <c r="S828" s="194">
        <f ca="1">OFFSET('배치점수 계산기'!I$10,$D828,0)</f>
        <v>397.47</v>
      </c>
      <c r="T828" s="194">
        <f ca="1">OFFSET('배치점수 계산기'!J$10,$D828,0)</f>
        <v>396.50799999999998</v>
      </c>
      <c r="U828" s="194">
        <f ca="1">OFFSET('배치점수 계산기'!K$10,$D828,0)</f>
        <v>395.00799999999998</v>
      </c>
      <c r="V828" s="194">
        <f ca="1">OFFSET('배치점수 계산기'!L$10,$D828,0)</f>
        <v>393.11</v>
      </c>
      <c r="W828" s="186" t="str">
        <f ca="1">OFFSET('배치점수 계산기'!M$10,$D828,0)</f>
        <v>백분위</v>
      </c>
      <c r="X828" s="184" t="str">
        <f ca="1">OFFSET('배치점수 계산기'!N$10,$D828,0)</f>
        <v>백분위</v>
      </c>
      <c r="Y828" s="188">
        <f ca="1">OFFSET(환산공식!FW$15,$F828,0)</f>
        <v>0.25</v>
      </c>
      <c r="Z828" s="20">
        <f ca="1">OFFSET(환산공식!FX$15,$F828,0)</f>
        <v>0.38</v>
      </c>
      <c r="AA828" s="179">
        <f ca="1">OFFSET(환산공식!FY$15,$F828,0)</f>
        <v>0.38</v>
      </c>
      <c r="AB828" s="3"/>
      <c r="AD828">
        <f t="shared" ca="1" si="25"/>
        <v>6</v>
      </c>
    </row>
    <row r="829" spans="1:30">
      <c r="A829" s="198"/>
      <c r="B829" s="198"/>
      <c r="C829" s="198" t="s">
        <v>2281</v>
      </c>
      <c r="D829" s="195">
        <v>1844</v>
      </c>
      <c r="E829" s="195">
        <v>158</v>
      </c>
      <c r="F829" s="195">
        <v>158</v>
      </c>
      <c r="G829" s="239">
        <v>822</v>
      </c>
      <c r="H829" s="197" t="s">
        <v>79</v>
      </c>
      <c r="I829" s="242" t="s">
        <v>225</v>
      </c>
      <c r="J829" s="242" t="s">
        <v>198</v>
      </c>
      <c r="K829" s="195" t="s">
        <v>70</v>
      </c>
      <c r="L829" s="20" t="str">
        <f ca="1">IF(OFFSET(환산공식!$ED$15,$F829,0)=1,"O","X")</f>
        <v>X</v>
      </c>
      <c r="M829" s="188">
        <f ca="1">IFERROR(OFFSET(환산공식!DJ$15,$F829,0),"")</f>
        <v>200</v>
      </c>
      <c r="N829" s="20" t="str">
        <f ca="1">IFERROR(CONCATENATE(ROUND(OFFSET(환산공식!DK$15,$F829,0),1),"%"),"")</f>
        <v>100%</v>
      </c>
      <c r="O829" s="20">
        <f ca="1">IFERROR(OFFSET(환산공식!DL$15,$F829,0),"")</f>
        <v>3</v>
      </c>
      <c r="P829" s="188" t="str">
        <f t="shared" ca="1" si="24"/>
        <v>3% 이하</v>
      </c>
      <c r="Q829" s="194">
        <f ca="1">IFERROR(ROUND(OFFSET(환산공식!$FG$15,$F829,0),3),"")</f>
        <v>0</v>
      </c>
      <c r="R829" s="194">
        <f ca="1">OFFSET('배치점수 계산기'!H$10,$D829,0)</f>
        <v>971.86</v>
      </c>
      <c r="S829" s="194">
        <f ca="1">OFFSET('배치점수 계산기'!I$10,$D829,0)</f>
        <v>969.44</v>
      </c>
      <c r="T829" s="194">
        <f ca="1">OFFSET('배치점수 계산기'!J$10,$D829,0)</f>
        <v>967.57</v>
      </c>
      <c r="U829" s="194">
        <f ca="1">OFFSET('배치점수 계산기'!K$10,$D829,0)</f>
        <v>963.3</v>
      </c>
      <c r="V829" s="194">
        <f ca="1">OFFSET('배치점수 계산기'!L$10,$D829,0)</f>
        <v>959.37</v>
      </c>
      <c r="W829" s="186" t="str">
        <f ca="1">OFFSET('배치점수 계산기'!M$10,$D829,0)</f>
        <v>백분위</v>
      </c>
      <c r="X829" s="184" t="str">
        <f ca="1">OFFSET('배치점수 계산기'!N$10,$D829,0)</f>
        <v>백분위</v>
      </c>
      <c r="Y829" s="188">
        <f ca="1">OFFSET(환산공식!FW$15,$F829,0)</f>
        <v>0.31</v>
      </c>
      <c r="Z829" s="20">
        <f ca="1">OFFSET(환산공식!FX$15,$F829,0)</f>
        <v>0.44</v>
      </c>
      <c r="AA829" s="179">
        <f ca="1">OFFSET(환산공식!FY$15,$F829,0)</f>
        <v>0.25</v>
      </c>
      <c r="AB829" s="3"/>
      <c r="AD829">
        <f t="shared" ca="1" si="25"/>
        <v>6</v>
      </c>
    </row>
    <row r="830" spans="1:30">
      <c r="A830" s="198"/>
      <c r="B830" s="198"/>
      <c r="C830" s="198" t="s">
        <v>2282</v>
      </c>
      <c r="D830" s="195">
        <v>1845</v>
      </c>
      <c r="E830" s="195">
        <v>33</v>
      </c>
      <c r="F830" s="195">
        <v>33</v>
      </c>
      <c r="G830" s="239">
        <v>823</v>
      </c>
      <c r="H830" s="197" t="s">
        <v>79</v>
      </c>
      <c r="I830" s="242" t="s">
        <v>82</v>
      </c>
      <c r="J830" s="242" t="s">
        <v>433</v>
      </c>
      <c r="K830" s="195" t="s">
        <v>70</v>
      </c>
      <c r="L830" s="20" t="str">
        <f ca="1">IF(OFFSET(환산공식!$ED$15,$F830,0)=1,"O","X")</f>
        <v>X</v>
      </c>
      <c r="M830" s="188">
        <f ca="1">IFERROR(OFFSET(환산공식!DJ$15,$F830,0),"")</f>
        <v>0</v>
      </c>
      <c r="N830" s="20" t="str">
        <f ca="1">IFERROR(CONCATENATE(ROUND(OFFSET(환산공식!DK$15,$F830,0),1),"%"),"")</f>
        <v/>
      </c>
      <c r="O830" s="20">
        <f ca="1">IFERROR(OFFSET(환산공식!DL$15,$F830,0),"")</f>
        <v>0</v>
      </c>
      <c r="P830" s="188" t="str">
        <f t="shared" ca="1" si="24"/>
        <v>3% 이하</v>
      </c>
      <c r="Q830" s="194">
        <f ca="1">IFERROR(ROUND(OFFSET(환산공식!$FG$15,$F830,0),3),"")</f>
        <v>0</v>
      </c>
      <c r="R830" s="194">
        <f ca="1">OFFSET('배치점수 계산기'!H$10,$D830,0)</f>
        <v>411.97</v>
      </c>
      <c r="S830" s="194">
        <f ca="1">OFFSET('배치점수 계산기'!I$10,$D830,0)</f>
        <v>411.61099999999999</v>
      </c>
      <c r="T830" s="194">
        <f ca="1">OFFSET('배치점수 계산기'!J$10,$D830,0)</f>
        <v>411.45800000000003</v>
      </c>
      <c r="U830" s="194">
        <f ca="1">OFFSET('배치점수 계산기'!K$10,$D830,0)</f>
        <v>409.339</v>
      </c>
      <c r="V830" s="194">
        <f ca="1">OFFSET('배치점수 계산기'!L$10,$D830,0)</f>
        <v>406.58499999999998</v>
      </c>
      <c r="W830" s="186" t="str">
        <f ca="1">OFFSET('배치점수 계산기'!M$10,$D830,0)</f>
        <v>표점</v>
      </c>
      <c r="X830" s="184" t="str">
        <f ca="1">OFFSET('배치점수 계산기'!N$10,$D830,0)</f>
        <v>변표</v>
      </c>
      <c r="Y830" s="188">
        <f ca="1">OFFSET(환산공식!FW$15,$F830,0)</f>
        <v>0.25</v>
      </c>
      <c r="Z830" s="20">
        <f ca="1">OFFSET(환산공식!FX$15,$F830,0)</f>
        <v>0.4</v>
      </c>
      <c r="AA830" s="179">
        <f ca="1">OFFSET(환산공식!FY$15,$F830,0)</f>
        <v>0.35</v>
      </c>
      <c r="AB830" s="3"/>
      <c r="AD830">
        <f t="shared" ca="1" si="25"/>
        <v>6</v>
      </c>
    </row>
    <row r="831" spans="1:30">
      <c r="A831" s="198"/>
      <c r="B831" s="198"/>
      <c r="C831" s="198" t="s">
        <v>2283</v>
      </c>
      <c r="D831" s="195">
        <v>1846</v>
      </c>
      <c r="E831" s="195">
        <v>35</v>
      </c>
      <c r="F831" s="195">
        <v>35</v>
      </c>
      <c r="G831" s="239">
        <v>824</v>
      </c>
      <c r="H831" s="197" t="s">
        <v>79</v>
      </c>
      <c r="I831" s="242" t="s">
        <v>82</v>
      </c>
      <c r="J831" s="242" t="s">
        <v>199</v>
      </c>
      <c r="K831" s="195" t="s">
        <v>71</v>
      </c>
      <c r="L831" s="20" t="str">
        <f ca="1">IF(OFFSET(환산공식!$ED$15,$F831,0)=1,"O","X")</f>
        <v>X</v>
      </c>
      <c r="M831" s="188">
        <f ca="1">IFERROR(OFFSET(환산공식!DJ$15,$F831,0),"")</f>
        <v>0</v>
      </c>
      <c r="N831" s="20" t="str">
        <f ca="1">IFERROR(CONCATENATE(ROUND(OFFSET(환산공식!DK$15,$F831,0),1),"%"),"")</f>
        <v/>
      </c>
      <c r="O831" s="20">
        <f ca="1">IFERROR(OFFSET(환산공식!DL$15,$F831,0),"")</f>
        <v>0</v>
      </c>
      <c r="P831" s="188" t="str">
        <f t="shared" ca="1" si="24"/>
        <v>3% 이하</v>
      </c>
      <c r="Q831" s="194">
        <f ca="1">IFERROR(ROUND(OFFSET(환산공식!$FG$15,$F831,0),3),"")</f>
        <v>0</v>
      </c>
      <c r="R831" s="194">
        <f ca="1">OFFSET('배치점수 계산기'!H$10,$D831,0)</f>
        <v>408.67099999999999</v>
      </c>
      <c r="S831" s="194">
        <f ca="1">OFFSET('배치점수 계산기'!I$10,$D831,0)</f>
        <v>407.47199999999998</v>
      </c>
      <c r="T831" s="194">
        <f ca="1">OFFSET('배치점수 계산기'!J$10,$D831,0)</f>
        <v>406.07900000000001</v>
      </c>
      <c r="U831" s="194">
        <f ca="1">OFFSET('배치점수 계산기'!K$10,$D831,0)</f>
        <v>405.70699999999999</v>
      </c>
      <c r="V831" s="194">
        <f ca="1">OFFSET('배치점수 계산기'!L$10,$D831,0)</f>
        <v>404.99700000000001</v>
      </c>
      <c r="W831" s="186" t="str">
        <f ca="1">OFFSET('배치점수 계산기'!M$10,$D831,0)</f>
        <v>표점</v>
      </c>
      <c r="X831" s="184" t="str">
        <f ca="1">OFFSET('배치점수 계산기'!N$10,$D831,0)</f>
        <v>변표</v>
      </c>
      <c r="Y831" s="188">
        <f ca="1">OFFSET(환산공식!FW$15,$F831,0)</f>
        <v>0.35</v>
      </c>
      <c r="Z831" s="20">
        <f ca="1">OFFSET(환산공식!FX$15,$F831,0)</f>
        <v>0.35</v>
      </c>
      <c r="AA831" s="179">
        <f ca="1">OFFSET(환산공식!FY$15,$F831,0)</f>
        <v>0.3</v>
      </c>
      <c r="AB831" s="3"/>
      <c r="AD831">
        <f t="shared" ca="1" si="25"/>
        <v>6</v>
      </c>
    </row>
    <row r="832" spans="1:30">
      <c r="A832" s="198"/>
      <c r="B832" s="198"/>
      <c r="C832" s="198" t="s">
        <v>2284</v>
      </c>
      <c r="D832" s="195">
        <v>1847</v>
      </c>
      <c r="E832" s="195">
        <v>175</v>
      </c>
      <c r="F832" s="195">
        <v>175</v>
      </c>
      <c r="G832" s="239">
        <v>825</v>
      </c>
      <c r="H832" s="197" t="s">
        <v>79</v>
      </c>
      <c r="I832" s="242" t="s">
        <v>202</v>
      </c>
      <c r="J832" s="242" t="s">
        <v>433</v>
      </c>
      <c r="K832" s="195" t="s">
        <v>70</v>
      </c>
      <c r="L832" s="20" t="str">
        <f ca="1">IF(OFFSET(환산공식!$ED$15,$F832,0)=1,"O","X")</f>
        <v>X</v>
      </c>
      <c r="M832" s="188">
        <f ca="1">IFERROR(OFFSET(환산공식!DJ$15,$F832,0),"")</f>
        <v>100</v>
      </c>
      <c r="N832" s="20" t="str">
        <f ca="1">IFERROR(CONCATENATE(ROUND(OFFSET(환산공식!DK$15,$F832,0),1),"%"),"")</f>
        <v>100%</v>
      </c>
      <c r="O832" s="20">
        <f ca="1">IFERROR(OFFSET(환산공식!DL$15,$F832,0),"")</f>
        <v>5</v>
      </c>
      <c r="P832" s="188" t="str">
        <f t="shared" ca="1" si="24"/>
        <v>3% 이하</v>
      </c>
      <c r="Q832" s="194">
        <f ca="1">IFERROR(ROUND(OFFSET(환산공식!$FG$15,$F832,0),3),"")</f>
        <v>0</v>
      </c>
      <c r="R832" s="194">
        <f ca="1">OFFSET('배치점수 계산기'!H$10,$D832,0)</f>
        <v>559.33000000000004</v>
      </c>
      <c r="S832" s="194">
        <f ca="1">OFFSET('배치점수 계산기'!I$10,$D832,0)</f>
        <v>556.89</v>
      </c>
      <c r="T832" s="194">
        <f ca="1">OFFSET('배치점수 계산기'!J$10,$D832,0)</f>
        <v>555.35</v>
      </c>
      <c r="U832" s="194">
        <f ca="1">OFFSET('배치점수 계산기'!K$10,$D832,0)</f>
        <v>553.01</v>
      </c>
      <c r="V832" s="194">
        <f ca="1">OFFSET('배치점수 계산기'!L$10,$D832,0)</f>
        <v>547.54</v>
      </c>
      <c r="W832" s="186" t="str">
        <f ca="1">OFFSET('배치점수 계산기'!M$10,$D832,0)</f>
        <v>표점</v>
      </c>
      <c r="X832" s="184" t="str">
        <f ca="1">OFFSET('배치점수 계산기'!N$10,$D832,0)</f>
        <v>표점</v>
      </c>
      <c r="Y832" s="188">
        <f ca="1">OFFSET(환산공식!FW$15,$F832,0)</f>
        <v>0.37</v>
      </c>
      <c r="Z832" s="20">
        <f ca="1">OFFSET(환산공식!FX$15,$F832,0)</f>
        <v>0.44</v>
      </c>
      <c r="AA832" s="179">
        <f ca="1">OFFSET(환산공식!FY$15,$F832,0)</f>
        <v>0.19</v>
      </c>
      <c r="AB832" s="3"/>
      <c r="AD832">
        <f t="shared" ca="1" si="25"/>
        <v>6</v>
      </c>
    </row>
    <row r="833" spans="1:30">
      <c r="A833" s="198"/>
      <c r="B833" s="198"/>
      <c r="C833" s="198" t="s">
        <v>2285</v>
      </c>
      <c r="D833" s="195">
        <v>1848</v>
      </c>
      <c r="E833" s="195">
        <v>176</v>
      </c>
      <c r="F833" s="195">
        <v>176</v>
      </c>
      <c r="G833" s="239">
        <v>826</v>
      </c>
      <c r="H833" s="197" t="s">
        <v>79</v>
      </c>
      <c r="I833" s="242" t="s">
        <v>202</v>
      </c>
      <c r="J833" s="242" t="s">
        <v>199</v>
      </c>
      <c r="K833" s="195" t="s">
        <v>78</v>
      </c>
      <c r="L833" s="20" t="str">
        <f ca="1">IF(OFFSET(환산공식!$ED$15,$F833,0)=1,"O","X")</f>
        <v>X</v>
      </c>
      <c r="M833" s="188">
        <f ca="1">IFERROR(OFFSET(환산공식!DJ$15,$F833,0),"")</f>
        <v>100</v>
      </c>
      <c r="N833" s="20" t="str">
        <f ca="1">IFERROR(CONCATENATE(ROUND(OFFSET(환산공식!DK$15,$F833,0),1),"%"),"")</f>
        <v>100%</v>
      </c>
      <c r="O833" s="20">
        <f ca="1">IFERROR(OFFSET(환산공식!DL$15,$F833,0),"")</f>
        <v>5</v>
      </c>
      <c r="P833" s="188" t="str">
        <f t="shared" ca="1" si="24"/>
        <v>3% 이하</v>
      </c>
      <c r="Q833" s="194">
        <f ca="1">IFERROR(ROUND(OFFSET(환산공식!$FG$15,$F833,0),3),"")</f>
        <v>0</v>
      </c>
      <c r="R833" s="194">
        <f ca="1">OFFSET('배치점수 계산기'!H$10,$D833,0)</f>
        <v>567.59</v>
      </c>
      <c r="S833" s="194">
        <f ca="1">OFFSET('배치점수 계산기'!I$10,$D833,0)</f>
        <v>567.04</v>
      </c>
      <c r="T833" s="194">
        <f ca="1">OFFSET('배치점수 계산기'!J$10,$D833,0)</f>
        <v>565.99</v>
      </c>
      <c r="U833" s="194">
        <f ca="1">OFFSET('배치점수 계산기'!K$10,$D833,0)</f>
        <v>563.20000000000005</v>
      </c>
      <c r="V833" s="194">
        <f ca="1">OFFSET('배치점수 계산기'!L$10,$D833,0)</f>
        <v>555.19000000000005</v>
      </c>
      <c r="W833" s="186" t="str">
        <f ca="1">OFFSET('배치점수 계산기'!M$10,$D833,0)</f>
        <v>표점</v>
      </c>
      <c r="X833" s="184" t="str">
        <f ca="1">OFFSET('배치점수 계산기'!N$10,$D833,0)</f>
        <v>표점</v>
      </c>
      <c r="Y833" s="188">
        <f ca="1">OFFSET(환산공식!FW$15,$F833,0)</f>
        <v>0.44</v>
      </c>
      <c r="Z833" s="20">
        <f ca="1">OFFSET(환산공식!FX$15,$F833,0)</f>
        <v>0.37</v>
      </c>
      <c r="AA833" s="179">
        <f ca="1">OFFSET(환산공식!FY$15,$F833,0)</f>
        <v>0.19</v>
      </c>
      <c r="AB833" s="3"/>
      <c r="AD833">
        <f t="shared" ca="1" si="25"/>
        <v>6</v>
      </c>
    </row>
    <row r="834" spans="1:30">
      <c r="A834" s="198"/>
      <c r="B834" s="198"/>
      <c r="C834" s="198" t="s">
        <v>2286</v>
      </c>
      <c r="D834" s="195">
        <v>1849</v>
      </c>
      <c r="E834" s="195">
        <v>161</v>
      </c>
      <c r="F834" s="195">
        <v>161</v>
      </c>
      <c r="G834" s="239">
        <v>827</v>
      </c>
      <c r="H834" s="197" t="s">
        <v>79</v>
      </c>
      <c r="I834" s="242" t="s">
        <v>201</v>
      </c>
      <c r="J834" s="242" t="s">
        <v>433</v>
      </c>
      <c r="K834" s="195" t="s">
        <v>70</v>
      </c>
      <c r="L834" s="20" t="str">
        <f ca="1">IF(OFFSET(환산공식!$ED$15,$F834,0)=1,"O","X")</f>
        <v>X</v>
      </c>
      <c r="M834" s="188">
        <f ca="1">IFERROR(OFFSET(환산공식!DJ$15,$F834,0),"")</f>
        <v>139</v>
      </c>
      <c r="N834" s="20" t="str">
        <f ca="1">IFERROR(CONCATENATE(ROUND(OFFSET(환산공식!DK$15,$F834,0),1),"%"),"")</f>
        <v>100%</v>
      </c>
      <c r="O834" s="20">
        <f ca="1">IFERROR(OFFSET(환산공식!DL$15,$F834,0),"")</f>
        <v>0</v>
      </c>
      <c r="P834" s="188" t="str">
        <f t="shared" ca="1" si="24"/>
        <v>3% 이하</v>
      </c>
      <c r="Q834" s="194">
        <f ca="1">IFERROR(ROUND(OFFSET(환산공식!$FG$15,$F834,0),3),"")</f>
        <v>0</v>
      </c>
      <c r="R834" s="194">
        <f ca="1">OFFSET('배치점수 계산기'!H$10,$D834,0)</f>
        <v>537.52800000000002</v>
      </c>
      <c r="S834" s="194">
        <f ca="1">OFFSET('배치점수 계산기'!I$10,$D834,0)</f>
        <v>534.67399999999998</v>
      </c>
      <c r="T834" s="194">
        <f ca="1">OFFSET('배치점수 계산기'!J$10,$D834,0)</f>
        <v>533.51499999999999</v>
      </c>
      <c r="U834" s="194">
        <f ca="1">OFFSET('배치점수 계산기'!K$10,$D834,0)</f>
        <v>531.52099999999996</v>
      </c>
      <c r="V834" s="194">
        <f ca="1">OFFSET('배치점수 계산기'!L$10,$D834,0)</f>
        <v>526.73199999999997</v>
      </c>
      <c r="W834" s="186" t="str">
        <f ca="1">OFFSET('배치점수 계산기'!M$10,$D834,0)</f>
        <v>표점</v>
      </c>
      <c r="X834" s="184" t="str">
        <f ca="1">OFFSET('배치점수 계산기'!N$10,$D834,0)</f>
        <v>변표</v>
      </c>
      <c r="Y834" s="188">
        <f ca="1">OFFSET(환산공식!FW$15,$F834,0)</f>
        <v>0.33</v>
      </c>
      <c r="Z834" s="20">
        <f ca="1">OFFSET(환산공식!FX$15,$F834,0)</f>
        <v>0.33</v>
      </c>
      <c r="AA834" s="179">
        <f ca="1">OFFSET(환산공식!FY$15,$F834,0)</f>
        <v>0.33</v>
      </c>
      <c r="AB834" s="3"/>
      <c r="AD834">
        <f t="shared" ca="1" si="25"/>
        <v>6</v>
      </c>
    </row>
    <row r="835" spans="1:30">
      <c r="A835" s="198"/>
      <c r="B835" s="198"/>
      <c r="C835" s="198" t="s">
        <v>2287</v>
      </c>
      <c r="D835" s="195">
        <v>1850</v>
      </c>
      <c r="E835" s="195">
        <v>162</v>
      </c>
      <c r="F835" s="195">
        <v>162</v>
      </c>
      <c r="G835" s="239">
        <v>828</v>
      </c>
      <c r="H835" s="197" t="s">
        <v>79</v>
      </c>
      <c r="I835" s="242" t="s">
        <v>201</v>
      </c>
      <c r="J835" s="242" t="s">
        <v>199</v>
      </c>
      <c r="K835" s="195" t="s">
        <v>78</v>
      </c>
      <c r="L835" s="20" t="str">
        <f ca="1">IF(OFFSET(환산공식!$ED$15,$F835,0)=1,"O","X")</f>
        <v>X</v>
      </c>
      <c r="M835" s="188">
        <f ca="1">IFERROR(OFFSET(환산공식!DJ$15,$F835,0),"")</f>
        <v>139</v>
      </c>
      <c r="N835" s="20" t="str">
        <f ca="1">IFERROR(CONCATENATE(ROUND(OFFSET(환산공식!DK$15,$F835,0),1),"%"),"")</f>
        <v>100%</v>
      </c>
      <c r="O835" s="20">
        <f ca="1">IFERROR(OFFSET(환산공식!DL$15,$F835,0),"")</f>
        <v>0</v>
      </c>
      <c r="P835" s="188" t="str">
        <f t="shared" ca="1" si="24"/>
        <v>3% 이하</v>
      </c>
      <c r="Q835" s="194">
        <f ca="1">IFERROR(ROUND(OFFSET(환산공식!$FG$15,$F835,0),3),"")</f>
        <v>0</v>
      </c>
      <c r="R835" s="194">
        <f ca="1">OFFSET('배치점수 계산기'!H$10,$D835,0)</f>
        <v>541.71299999999997</v>
      </c>
      <c r="S835" s="194">
        <f ca="1">OFFSET('배치점수 계산기'!I$10,$D835,0)</f>
        <v>540.34</v>
      </c>
      <c r="T835" s="194">
        <f ca="1">OFFSET('배치점수 계산기'!J$10,$D835,0)</f>
        <v>539.31299999999999</v>
      </c>
      <c r="U835" s="194">
        <f ca="1">OFFSET('배치점수 계산기'!K$10,$D835,0)</f>
        <v>535.15300000000002</v>
      </c>
      <c r="V835" s="194">
        <f ca="1">OFFSET('배치점수 계산기'!L$10,$D835,0)</f>
        <v>532.24</v>
      </c>
      <c r="W835" s="186" t="str">
        <f ca="1">OFFSET('배치점수 계산기'!M$10,$D835,0)</f>
        <v>표점</v>
      </c>
      <c r="X835" s="184" t="str">
        <f ca="1">OFFSET('배치점수 계산기'!N$10,$D835,0)</f>
        <v>변표</v>
      </c>
      <c r="Y835" s="188">
        <f ca="1">OFFSET(환산공식!FW$15,$F835,0)</f>
        <v>0.33</v>
      </c>
      <c r="Z835" s="20">
        <f ca="1">OFFSET(환산공식!FX$15,$F835,0)</f>
        <v>0.33</v>
      </c>
      <c r="AA835" s="179">
        <f ca="1">OFFSET(환산공식!FY$15,$F835,0)</f>
        <v>0.33</v>
      </c>
      <c r="AB835" s="3"/>
      <c r="AD835">
        <f t="shared" ca="1" si="25"/>
        <v>6</v>
      </c>
    </row>
    <row r="836" spans="1:30">
      <c r="A836" s="198"/>
      <c r="B836" s="198"/>
      <c r="C836" s="198" t="s">
        <v>2288</v>
      </c>
      <c r="D836" s="195">
        <v>1851</v>
      </c>
      <c r="E836" s="195">
        <v>152</v>
      </c>
      <c r="F836" s="195">
        <v>152</v>
      </c>
      <c r="G836" s="239">
        <v>829</v>
      </c>
      <c r="H836" s="197" t="s">
        <v>79</v>
      </c>
      <c r="I836" s="242" t="s">
        <v>200</v>
      </c>
      <c r="J836" s="242" t="s">
        <v>433</v>
      </c>
      <c r="K836" s="195" t="s">
        <v>70</v>
      </c>
      <c r="L836" s="20" t="str">
        <f ca="1">IF(OFFSET(환산공식!$ED$15,$F836,0)=1,"O","X")</f>
        <v>X</v>
      </c>
      <c r="M836" s="188">
        <f ca="1">IFERROR(OFFSET(환산공식!DJ$15,$F836,0),"")</f>
        <v>100</v>
      </c>
      <c r="N836" s="20" t="str">
        <f ca="1">IFERROR(CONCATENATE(ROUND(OFFSET(환산공식!DK$15,$F836,0),1),"%"),"")</f>
        <v>100%</v>
      </c>
      <c r="O836" s="20">
        <f ca="1">IFERROR(OFFSET(환산공식!DL$15,$F836,0),"")</f>
        <v>10</v>
      </c>
      <c r="P836" s="188" t="str">
        <f t="shared" ca="1" si="24"/>
        <v>3% 이하</v>
      </c>
      <c r="Q836" s="194">
        <f ca="1">IFERROR(ROUND(OFFSET(환산공식!$FG$15,$F836,0),3),"")</f>
        <v>600</v>
      </c>
      <c r="R836" s="194">
        <f ca="1">OFFSET('배치점수 계산기'!H$10,$D836,0)</f>
        <v>999.89</v>
      </c>
      <c r="S836" s="194">
        <f ca="1">OFFSET('배치점수 계산기'!I$10,$D836,0)</f>
        <v>998.75</v>
      </c>
      <c r="T836" s="194">
        <f ca="1">OFFSET('배치점수 계산기'!J$10,$D836,0)</f>
        <v>997.91</v>
      </c>
      <c r="U836" s="194">
        <f ca="1">OFFSET('배치점수 계산기'!K$10,$D836,0)</f>
        <v>996.81</v>
      </c>
      <c r="V836" s="194">
        <f ca="1">OFFSET('배치점수 계산기'!L$10,$D836,0)</f>
        <v>993.24</v>
      </c>
      <c r="W836" s="186" t="str">
        <f ca="1">OFFSET('배치점수 계산기'!M$10,$D836,0)</f>
        <v>백분위</v>
      </c>
      <c r="X836" s="184" t="str">
        <f ca="1">OFFSET('배치점수 계산기'!N$10,$D836,0)</f>
        <v>백분위</v>
      </c>
      <c r="Y836" s="188">
        <f ca="1">OFFSET(환산공식!FW$15,$F836,0)</f>
        <v>0.33</v>
      </c>
      <c r="Z836" s="20">
        <f ca="1">OFFSET(환산공식!FX$15,$F836,0)</f>
        <v>0.33</v>
      </c>
      <c r="AA836" s="179">
        <f ca="1">OFFSET(환산공식!FY$15,$F836,0)</f>
        <v>0.33</v>
      </c>
      <c r="AB836" s="3"/>
      <c r="AD836">
        <f t="shared" ca="1" si="25"/>
        <v>6</v>
      </c>
    </row>
    <row r="837" spans="1:30">
      <c r="A837" s="198"/>
      <c r="B837" s="198"/>
      <c r="C837" s="198" t="s">
        <v>2289</v>
      </c>
      <c r="D837" s="195">
        <v>1852</v>
      </c>
      <c r="E837" s="195">
        <v>153</v>
      </c>
      <c r="F837" s="195">
        <v>153</v>
      </c>
      <c r="G837" s="239">
        <v>830</v>
      </c>
      <c r="H837" s="197" t="s">
        <v>79</v>
      </c>
      <c r="I837" s="242" t="s">
        <v>200</v>
      </c>
      <c r="J837" s="242" t="s">
        <v>199</v>
      </c>
      <c r="K837" s="195" t="s">
        <v>78</v>
      </c>
      <c r="L837" s="20" t="str">
        <f ca="1">IF(OFFSET(환산공식!$ED$15,$F837,0)=1,"O","X")</f>
        <v>X</v>
      </c>
      <c r="M837" s="188">
        <f ca="1">IFERROR(OFFSET(환산공식!DJ$15,$F837,0),"")</f>
        <v>100</v>
      </c>
      <c r="N837" s="20" t="str">
        <f ca="1">IFERROR(CONCATENATE(ROUND(OFFSET(환산공식!DK$15,$F837,0),1),"%"),"")</f>
        <v>100%</v>
      </c>
      <c r="O837" s="20">
        <f ca="1">IFERROR(OFFSET(환산공식!DL$15,$F837,0),"")</f>
        <v>10</v>
      </c>
      <c r="P837" s="188" t="str">
        <f t="shared" ca="1" si="24"/>
        <v>3% 이하</v>
      </c>
      <c r="Q837" s="194">
        <f ca="1">IFERROR(ROUND(OFFSET(환산공식!$FG$15,$F837,0),3),"")</f>
        <v>600</v>
      </c>
      <c r="R837" s="194">
        <f ca="1">OFFSET('배치점수 계산기'!H$10,$D837,0)</f>
        <v>1001.17</v>
      </c>
      <c r="S837" s="194">
        <f ca="1">OFFSET('배치점수 계산기'!I$10,$D837,0)</f>
        <v>999.91</v>
      </c>
      <c r="T837" s="194">
        <f ca="1">OFFSET('배치점수 계산기'!J$10,$D837,0)</f>
        <v>998.92</v>
      </c>
      <c r="U837" s="194">
        <f ca="1">OFFSET('배치점수 계산기'!K$10,$D837,0)</f>
        <v>998.27</v>
      </c>
      <c r="V837" s="194">
        <f ca="1">OFFSET('배치점수 계산기'!L$10,$D837,0)</f>
        <v>997.24</v>
      </c>
      <c r="W837" s="186" t="str">
        <f ca="1">OFFSET('배치점수 계산기'!M$10,$D837,0)</f>
        <v>백분위</v>
      </c>
      <c r="X837" s="184" t="str">
        <f ca="1">OFFSET('배치점수 계산기'!N$10,$D837,0)</f>
        <v>백분위</v>
      </c>
      <c r="Y837" s="188">
        <f ca="1">OFFSET(환산공식!FW$15,$F837,0)</f>
        <v>0.4</v>
      </c>
      <c r="Z837" s="20">
        <f ca="1">OFFSET(환산공식!FX$15,$F837,0)</f>
        <v>0.4</v>
      </c>
      <c r="AA837" s="179">
        <f ca="1">OFFSET(환산공식!FY$15,$F837,0)</f>
        <v>0.2</v>
      </c>
      <c r="AB837" s="3"/>
      <c r="AD837">
        <f t="shared" ca="1" si="25"/>
        <v>6</v>
      </c>
    </row>
    <row r="838" spans="1:30">
      <c r="A838" s="198"/>
      <c r="B838" s="198"/>
      <c r="C838" s="198" t="s">
        <v>2290</v>
      </c>
      <c r="D838" s="195">
        <v>1853</v>
      </c>
      <c r="E838" s="195">
        <v>167</v>
      </c>
      <c r="F838" s="195">
        <v>167</v>
      </c>
      <c r="G838" s="239">
        <v>831</v>
      </c>
      <c r="H838" s="197" t="s">
        <v>79</v>
      </c>
      <c r="I838" s="242" t="s">
        <v>208</v>
      </c>
      <c r="J838" s="242" t="s">
        <v>205</v>
      </c>
      <c r="K838" s="195" t="s">
        <v>70</v>
      </c>
      <c r="L838" s="20" t="str">
        <f ca="1">IF(OFFSET(환산공식!$ED$15,$F838,0)=1,"O","X")</f>
        <v>X</v>
      </c>
      <c r="M838" s="188">
        <f ca="1">IFERROR(OFFSET(환산공식!DJ$15,$F838,0),"")</f>
        <v>100</v>
      </c>
      <c r="N838" s="20" t="str">
        <f ca="1">IFERROR(CONCATENATE(ROUND(OFFSET(환산공식!DK$15,$F838,0),1),"%"),"")</f>
        <v>100%</v>
      </c>
      <c r="O838" s="20">
        <f ca="1">IFERROR(OFFSET(환산공식!DL$15,$F838,0),"")</f>
        <v>0</v>
      </c>
      <c r="P838" s="188" t="str">
        <f t="shared" ca="1" si="24"/>
        <v>3% 이하</v>
      </c>
      <c r="Q838" s="194">
        <f ca="1">IFERROR(ROUND(OFFSET(환산공식!$FG$15,$F838,0),3),"")</f>
        <v>0</v>
      </c>
      <c r="R838" s="194">
        <f ca="1">OFFSET('배치점수 계산기'!H$10,$D838,0)</f>
        <v>997.56600000000003</v>
      </c>
      <c r="S838" s="194">
        <f ca="1">OFFSET('배치점수 계산기'!I$10,$D838,0)</f>
        <v>992.24300000000005</v>
      </c>
      <c r="T838" s="194">
        <f ca="1">OFFSET('배치점수 계산기'!J$10,$D838,0)</f>
        <v>989.06700000000001</v>
      </c>
      <c r="U838" s="194">
        <f ca="1">OFFSET('배치점수 계산기'!K$10,$D838,0)</f>
        <v>979.76300000000003</v>
      </c>
      <c r="V838" s="194">
        <f ca="1">OFFSET('배치점수 계산기'!L$10,$D838,0)</f>
        <v>968.45899999999995</v>
      </c>
      <c r="W838" s="186" t="str">
        <f ca="1">OFFSET('배치점수 계산기'!M$10,$D838,0)</f>
        <v>백분위</v>
      </c>
      <c r="X838" s="184" t="str">
        <f ca="1">OFFSET('배치점수 계산기'!N$10,$D838,0)</f>
        <v>백분위</v>
      </c>
      <c r="Y838" s="188">
        <f ca="1">OFFSET(환산공식!FW$15,$F838,0)</f>
        <v>0.33</v>
      </c>
      <c r="Z838" s="20">
        <f ca="1">OFFSET(환산공식!FX$15,$F838,0)</f>
        <v>0.33</v>
      </c>
      <c r="AA838" s="179">
        <f ca="1">OFFSET(환산공식!FY$15,$F838,0)</f>
        <v>0.33</v>
      </c>
      <c r="AB838" s="3"/>
      <c r="AD838">
        <f t="shared" ca="1" si="25"/>
        <v>6</v>
      </c>
    </row>
    <row r="839" spans="1:30">
      <c r="A839" s="198"/>
      <c r="B839" s="198"/>
      <c r="C839" s="198" t="s">
        <v>2291</v>
      </c>
      <c r="D839" s="195">
        <v>1854</v>
      </c>
      <c r="E839" s="195">
        <v>173</v>
      </c>
      <c r="F839" s="195">
        <v>173</v>
      </c>
      <c r="G839" s="239">
        <v>832</v>
      </c>
      <c r="H839" s="197" t="s">
        <v>79</v>
      </c>
      <c r="I839" s="242" t="s">
        <v>206</v>
      </c>
      <c r="J839" s="242" t="s">
        <v>205</v>
      </c>
      <c r="K839" s="195" t="s">
        <v>70</v>
      </c>
      <c r="L839" s="20" t="str">
        <f ca="1">IF(OFFSET(환산공식!$ED$15,$F839,0)=1,"O","X")</f>
        <v>X</v>
      </c>
      <c r="M839" s="188">
        <f ca="1">IFERROR(OFFSET(환산공식!DJ$15,$F839,0),"")</f>
        <v>80</v>
      </c>
      <c r="N839" s="20" t="str">
        <f ca="1">IFERROR(CONCATENATE(ROUND(OFFSET(환산공식!DK$15,$F839,0),1),"%"),"")</f>
        <v>100%</v>
      </c>
      <c r="O839" s="20">
        <f ca="1">IFERROR(OFFSET(환산공식!DL$15,$F839,0),"")</f>
        <v>5</v>
      </c>
      <c r="P839" s="188" t="str">
        <f t="shared" ca="1" si="24"/>
        <v>3% 이하</v>
      </c>
      <c r="Q839" s="194">
        <f ca="1">IFERROR(ROUND(OFFSET(환산공식!$FG$15,$F839,0),3),"")</f>
        <v>0</v>
      </c>
      <c r="R839" s="194">
        <f ca="1">OFFSET('배치점수 계산기'!H$10,$D839,0)</f>
        <v>398.91399999999999</v>
      </c>
      <c r="S839" s="194">
        <f ca="1">OFFSET('배치점수 계산기'!I$10,$D839,0)</f>
        <v>397.976</v>
      </c>
      <c r="T839" s="194">
        <f ca="1">OFFSET('배치점수 계산기'!J$10,$D839,0)</f>
        <v>397.19400000000002</v>
      </c>
      <c r="U839" s="194">
        <f ca="1">OFFSET('배치점수 계산기'!K$10,$D839,0)</f>
        <v>394.44400000000002</v>
      </c>
      <c r="V839" s="194">
        <f ca="1">OFFSET('배치점수 계산기'!L$10,$D839,0)</f>
        <v>391.12</v>
      </c>
      <c r="W839" s="186" t="str">
        <f ca="1">OFFSET('배치점수 계산기'!M$10,$D839,0)</f>
        <v>백분위</v>
      </c>
      <c r="X839" s="184" t="str">
        <f ca="1">OFFSET('배치점수 계산기'!N$10,$D839,0)</f>
        <v>백분위</v>
      </c>
      <c r="Y839" s="188">
        <f ca="1">OFFSET(환산공식!FW$15,$F839,0)</f>
        <v>0.25</v>
      </c>
      <c r="Z839" s="20">
        <f ca="1">OFFSET(환산공식!FX$15,$F839,0)</f>
        <v>0.38</v>
      </c>
      <c r="AA839" s="179">
        <f ca="1">OFFSET(환산공식!FY$15,$F839,0)</f>
        <v>0.38</v>
      </c>
      <c r="AB839" s="3"/>
      <c r="AD839">
        <f t="shared" ca="1" si="25"/>
        <v>6</v>
      </c>
    </row>
    <row r="840" spans="1:30">
      <c r="A840" s="198"/>
      <c r="B840" s="198"/>
      <c r="C840" s="198" t="s">
        <v>2292</v>
      </c>
      <c r="D840" s="195">
        <v>1855</v>
      </c>
      <c r="E840" s="195">
        <v>2</v>
      </c>
      <c r="F840" s="195">
        <v>2</v>
      </c>
      <c r="G840" s="239">
        <v>833</v>
      </c>
      <c r="H840" s="197" t="s">
        <v>79</v>
      </c>
      <c r="I840" s="242" t="s">
        <v>196</v>
      </c>
      <c r="J840" s="242" t="s">
        <v>210</v>
      </c>
      <c r="K840" s="195" t="s">
        <v>70</v>
      </c>
      <c r="L840" s="20" t="str">
        <f ca="1">IF(OFFSET(환산공식!$ED$15,$F840,0)=1,"O","X")</f>
        <v>X</v>
      </c>
      <c r="M840" s="188">
        <f ca="1">IFERROR(OFFSET(환산공식!DJ$15,$F840,0),"")</f>
        <v>0</v>
      </c>
      <c r="N840" s="20" t="str">
        <f ca="1">IFERROR(CONCATENATE(ROUND(OFFSET(환산공식!DK$15,$F840,0),1),"%"),"")</f>
        <v/>
      </c>
      <c r="O840" s="20">
        <f ca="1">IFERROR(OFFSET(환산공식!DL$15,$F840,0),"")</f>
        <v>0</v>
      </c>
      <c r="P840" s="188" t="str">
        <f t="shared" ca="1" si="24"/>
        <v>3% 이하</v>
      </c>
      <c r="Q840" s="194">
        <f ca="1">IFERROR(ROUND(OFFSET(환산공식!$FG$15,$F840,0),3),"")</f>
        <v>0</v>
      </c>
      <c r="R840" s="194">
        <f ca="1">OFFSET('배치점수 계산기'!H$10,$D840,0)</f>
        <v>411.49200000000002</v>
      </c>
      <c r="S840" s="194">
        <f ca="1">OFFSET('배치점수 계산기'!I$10,$D840,0)</f>
        <v>410.69400000000002</v>
      </c>
      <c r="T840" s="194">
        <f ca="1">OFFSET('배치점수 계산기'!J$10,$D840,0)</f>
        <v>409.262</v>
      </c>
      <c r="U840" s="194">
        <f ca="1">OFFSET('배치점수 계산기'!K$10,$D840,0)</f>
        <v>405.25799999999998</v>
      </c>
      <c r="V840" s="194">
        <f ca="1">OFFSET('배치점수 계산기'!L$10,$D840,0)</f>
        <v>402.108</v>
      </c>
      <c r="W840" s="186" t="str">
        <f ca="1">OFFSET('배치점수 계산기'!M$10,$D840,0)</f>
        <v>표점</v>
      </c>
      <c r="X840" s="184" t="str">
        <f ca="1">OFFSET('배치점수 계산기'!N$10,$D840,0)</f>
        <v>표점</v>
      </c>
      <c r="Y840" s="188">
        <f ca="1">OFFSET(환산공식!FW$15,$F840,0)</f>
        <v>0.33</v>
      </c>
      <c r="Z840" s="20">
        <f ca="1">OFFSET(환산공식!FX$15,$F840,0)</f>
        <v>0.4</v>
      </c>
      <c r="AA840" s="179">
        <f ca="1">OFFSET(환산공식!FY$15,$F840,0)</f>
        <v>0.27</v>
      </c>
      <c r="AB840" s="3"/>
      <c r="AD840">
        <f t="shared" ca="1" si="25"/>
        <v>6</v>
      </c>
    </row>
    <row r="841" spans="1:30">
      <c r="A841" s="198"/>
      <c r="B841" s="198"/>
      <c r="C841" s="198" t="s">
        <v>2293</v>
      </c>
      <c r="D841" s="195">
        <v>1856</v>
      </c>
      <c r="E841" s="195">
        <v>225</v>
      </c>
      <c r="F841" s="195">
        <v>225</v>
      </c>
      <c r="G841" s="239">
        <v>834</v>
      </c>
      <c r="H841" s="197" t="s">
        <v>79</v>
      </c>
      <c r="I841" s="242" t="s">
        <v>216</v>
      </c>
      <c r="J841" s="242" t="s">
        <v>210</v>
      </c>
      <c r="K841" s="195" t="s">
        <v>70</v>
      </c>
      <c r="L841" s="20" t="str">
        <f ca="1">IF(OFFSET(환산공식!$ED$15,$F841,0)=1,"O","X")</f>
        <v>X</v>
      </c>
      <c r="M841" s="188">
        <f ca="1">IFERROR(OFFSET(환산공식!DJ$15,$F841,0),"")</f>
        <v>0</v>
      </c>
      <c r="N841" s="20" t="str">
        <f ca="1">IFERROR(CONCATENATE(ROUND(OFFSET(환산공식!DK$15,$F841,0),1),"%"),"")</f>
        <v/>
      </c>
      <c r="O841" s="20">
        <f ca="1">IFERROR(OFFSET(환산공식!DL$15,$F841,0),"")</f>
        <v>0</v>
      </c>
      <c r="P841" s="188" t="str">
        <f t="shared" ref="P841:P876" ca="1" si="26"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>3% 이하</v>
      </c>
      <c r="Q841" s="194">
        <f ca="1">IFERROR(ROUND(OFFSET(환산공식!$FG$15,$F841,0),3),"")</f>
        <v>0</v>
      </c>
      <c r="R841" s="194">
        <f ca="1">OFFSET('배치점수 계산기'!H$10,$D841,0)</f>
        <v>199.88200000000001</v>
      </c>
      <c r="S841" s="194">
        <f ca="1">OFFSET('배치점수 계산기'!I$10,$D841,0)</f>
        <v>199.33500000000001</v>
      </c>
      <c r="T841" s="194">
        <f ca="1">OFFSET('배치점수 계산기'!J$10,$D841,0)</f>
        <v>198.31800000000001</v>
      </c>
      <c r="U841" s="194">
        <f ca="1">OFFSET('배치점수 계산기'!K$10,$D841,0)</f>
        <v>197.86</v>
      </c>
      <c r="V841" s="194">
        <f ca="1">OFFSET('배치점수 계산기'!L$10,$D841,0)</f>
        <v>196.82</v>
      </c>
      <c r="W841" s="186" t="str">
        <f ca="1">OFFSET('배치점수 계산기'!M$10,$D841,0)</f>
        <v>표점</v>
      </c>
      <c r="X841" s="184" t="str">
        <f ca="1">OFFSET('배치점수 계산기'!N$10,$D841,0)</f>
        <v>표점</v>
      </c>
      <c r="Y841" s="188">
        <f ca="1">OFFSET(환산공식!FW$15,$F841,0)</f>
        <v>0.25</v>
      </c>
      <c r="Z841" s="20">
        <f ca="1">OFFSET(환산공식!FX$15,$F841,0)</f>
        <v>0.45</v>
      </c>
      <c r="AA841" s="179">
        <f ca="1">OFFSET(환산공식!FY$15,$F841,0)</f>
        <v>0.3</v>
      </c>
      <c r="AB841" s="3"/>
      <c r="AD841">
        <f t="shared" ref="AD841:AD876" ca="1" si="27">IF(L841="X",6,IF(Q841&gt;R841,1,IF(Q841&gt;S841,2,IF(Q841&gt;T841,3,IF(Q841&gt;U841,4,IF(Q841&gt;=V841,5,IF(Q841&lt;V841,6,"")))))))</f>
        <v>6</v>
      </c>
    </row>
    <row r="842" spans="1:30">
      <c r="A842" s="198"/>
      <c r="B842" s="198"/>
      <c r="C842" s="198" t="s">
        <v>2294</v>
      </c>
      <c r="D842" s="195">
        <v>1857</v>
      </c>
      <c r="E842" s="195">
        <v>225</v>
      </c>
      <c r="F842" s="195">
        <v>225</v>
      </c>
      <c r="G842" s="239">
        <v>835</v>
      </c>
      <c r="H842" s="197" t="s">
        <v>79</v>
      </c>
      <c r="I842" s="242" t="s">
        <v>216</v>
      </c>
      <c r="J842" s="242" t="s">
        <v>543</v>
      </c>
      <c r="K842" s="195" t="s">
        <v>70</v>
      </c>
      <c r="L842" s="20" t="str">
        <f ca="1">IF(OFFSET(환산공식!$ED$15,$F842,0)=1,"O","X")</f>
        <v>X</v>
      </c>
      <c r="M842" s="188">
        <f ca="1">IFERROR(OFFSET(환산공식!DJ$15,$F842,0),"")</f>
        <v>0</v>
      </c>
      <c r="N842" s="20" t="str">
        <f ca="1">IFERROR(CONCATENATE(ROUND(OFFSET(환산공식!DK$15,$F842,0),1),"%"),"")</f>
        <v/>
      </c>
      <c r="O842" s="20">
        <f ca="1">IFERROR(OFFSET(환산공식!DL$15,$F842,0),"")</f>
        <v>0</v>
      </c>
      <c r="P842" s="188" t="str">
        <f t="shared" ca="1" si="26"/>
        <v>3% 이하</v>
      </c>
      <c r="Q842" s="194">
        <f ca="1">IFERROR(ROUND(OFFSET(환산공식!$FG$15,$F842,0),3),"")</f>
        <v>0</v>
      </c>
      <c r="R842" s="194">
        <f ca="1">OFFSET('배치점수 계산기'!H$10,$D842,0)</f>
        <v>197.86</v>
      </c>
      <c r="S842" s="194">
        <f ca="1">OFFSET('배치점수 계산기'!I$10,$D842,0)</f>
        <v>197.7</v>
      </c>
      <c r="T842" s="194">
        <f ca="1">OFFSET('배치점수 계산기'!J$10,$D842,0)</f>
        <v>197.32499999999999</v>
      </c>
      <c r="U842" s="194">
        <f ca="1">OFFSET('배치점수 계산기'!K$10,$D842,0)</f>
        <v>196.315</v>
      </c>
      <c r="V842" s="194">
        <f ca="1">OFFSET('배치점수 계산기'!L$10,$D842,0)</f>
        <v>195.23</v>
      </c>
      <c r="W842" s="186" t="str">
        <f ca="1">OFFSET('배치점수 계산기'!M$10,$D842,0)</f>
        <v>표점</v>
      </c>
      <c r="X842" s="184" t="str">
        <f ca="1">OFFSET('배치점수 계산기'!N$10,$D842,0)</f>
        <v>표점</v>
      </c>
      <c r="Y842" s="188">
        <f ca="1">OFFSET(환산공식!FW$15,$F842,0)</f>
        <v>0.25</v>
      </c>
      <c r="Z842" s="20">
        <f ca="1">OFFSET(환산공식!FX$15,$F842,0)</f>
        <v>0.45</v>
      </c>
      <c r="AA842" s="179">
        <f ca="1">OFFSET(환산공식!FY$15,$F842,0)</f>
        <v>0.3</v>
      </c>
      <c r="AB842" s="3"/>
      <c r="AD842">
        <f t="shared" ca="1" si="27"/>
        <v>6</v>
      </c>
    </row>
    <row r="843" spans="1:30">
      <c r="A843" s="198"/>
      <c r="B843" s="198"/>
      <c r="C843" s="198" t="s">
        <v>2295</v>
      </c>
      <c r="D843" s="195">
        <v>1858</v>
      </c>
      <c r="E843" s="195">
        <v>195</v>
      </c>
      <c r="F843" s="195">
        <v>195</v>
      </c>
      <c r="G843" s="239">
        <v>836</v>
      </c>
      <c r="H843" s="197" t="s">
        <v>79</v>
      </c>
      <c r="I843" s="242" t="s">
        <v>215</v>
      </c>
      <c r="J843" s="242" t="s">
        <v>210</v>
      </c>
      <c r="K843" s="195" t="s">
        <v>70</v>
      </c>
      <c r="L843" s="20" t="str">
        <f ca="1">IF(OFFSET(환산공식!$ED$15,$F843,0)=1,"O","X")</f>
        <v>X</v>
      </c>
      <c r="M843" s="188">
        <f ca="1">IFERROR(OFFSET(환산공식!DJ$15,$F843,0),"")</f>
        <v>125</v>
      </c>
      <c r="N843" s="20" t="str">
        <f ca="1">IFERROR(CONCATENATE(ROUND(OFFSET(환산공식!DK$15,$F843,0),1),"%"),"")</f>
        <v>100%</v>
      </c>
      <c r="O843" s="20">
        <f ca="1">IFERROR(OFFSET(환산공식!DL$15,$F843,0),"")</f>
        <v>10</v>
      </c>
      <c r="P843" s="188" t="str">
        <f t="shared" ca="1" si="26"/>
        <v>3% 이하</v>
      </c>
      <c r="Q843" s="194">
        <f ca="1">IFERROR(ROUND(OFFSET(환산공식!$FG$15,$F843,0),3),"")</f>
        <v>0</v>
      </c>
      <c r="R843" s="194">
        <f ca="1">OFFSET('배치점수 계산기'!H$10,$D843,0)</f>
        <v>727.09100000000001</v>
      </c>
      <c r="S843" s="194">
        <f ca="1">OFFSET('배치점수 계산기'!I$10,$D843,0)</f>
        <v>723.27700000000004</v>
      </c>
      <c r="T843" s="194">
        <f ca="1">OFFSET('배치점수 계산기'!J$10,$D843,0)</f>
        <v>722.11400000000003</v>
      </c>
      <c r="U843" s="194">
        <f ca="1">OFFSET('배치점수 계산기'!K$10,$D843,0)</f>
        <v>721.274</v>
      </c>
      <c r="V843" s="194">
        <f ca="1">OFFSET('배치점수 계산기'!L$10,$D843,0)</f>
        <v>718.66499999999996</v>
      </c>
      <c r="W843" s="186" t="str">
        <f ca="1">OFFSET('배치점수 계산기'!M$10,$D843,0)</f>
        <v>표점</v>
      </c>
      <c r="X843" s="184" t="str">
        <f ca="1">OFFSET('배치점수 계산기'!N$10,$D843,0)</f>
        <v>변표</v>
      </c>
      <c r="Y843" s="188">
        <f ca="1">OFFSET(환산공식!FW$15,$F843,0)</f>
        <v>0.28999999999999998</v>
      </c>
      <c r="Z843" s="20">
        <f ca="1">OFFSET(환산공식!FX$15,$F843,0)</f>
        <v>0.43</v>
      </c>
      <c r="AA843" s="179">
        <f ca="1">OFFSET(환산공식!FY$15,$F843,0)</f>
        <v>0.28999999999999998</v>
      </c>
      <c r="AB843" s="3"/>
      <c r="AD843">
        <f t="shared" ca="1" si="27"/>
        <v>6</v>
      </c>
    </row>
    <row r="844" spans="1:30">
      <c r="A844" s="198"/>
      <c r="B844" s="198"/>
      <c r="C844" s="198" t="s">
        <v>2296</v>
      </c>
      <c r="D844" s="195">
        <v>1859</v>
      </c>
      <c r="E844" s="195">
        <v>184</v>
      </c>
      <c r="F844" s="195">
        <v>184</v>
      </c>
      <c r="G844" s="239">
        <v>837</v>
      </c>
      <c r="H844" s="197" t="s">
        <v>79</v>
      </c>
      <c r="I844" s="242" t="s">
        <v>212</v>
      </c>
      <c r="J844" s="242" t="s">
        <v>210</v>
      </c>
      <c r="K844" s="195" t="s">
        <v>70</v>
      </c>
      <c r="L844" s="20" t="str">
        <f ca="1">IF(OFFSET(환산공식!$ED$15,$F844,0)=1,"O","X")</f>
        <v>X</v>
      </c>
      <c r="M844" s="188">
        <f ca="1">IFERROR(OFFSET(환산공식!DJ$15,$F844,0),"")</f>
        <v>200</v>
      </c>
      <c r="N844" s="20" t="str">
        <f ca="1">IFERROR(CONCATENATE(ROUND(OFFSET(환산공식!DK$15,$F844,0),1),"%"),"")</f>
        <v>100%</v>
      </c>
      <c r="O844" s="20">
        <f ca="1">IFERROR(OFFSET(환산공식!DL$15,$F844,0),"")</f>
        <v>10</v>
      </c>
      <c r="P844" s="188" t="str">
        <f t="shared" ca="1" si="26"/>
        <v>3% 이하</v>
      </c>
      <c r="Q844" s="194">
        <f ca="1">IFERROR(ROUND(OFFSET(환산공식!$FG$15,$F844,0),3),"")</f>
        <v>0</v>
      </c>
      <c r="R844" s="194">
        <f ca="1">OFFSET('배치점수 계산기'!H$10,$D844,0)</f>
        <v>943.76199999999994</v>
      </c>
      <c r="S844" s="194">
        <f ca="1">OFFSET('배치점수 계산기'!I$10,$D844,0)</f>
        <v>942.61199999999997</v>
      </c>
      <c r="T844" s="194">
        <f ca="1">OFFSET('배치점수 계산기'!J$10,$D844,0)</f>
        <v>938.88400000000001</v>
      </c>
      <c r="U844" s="194">
        <f ca="1">OFFSET('배치점수 계산기'!K$10,$D844,0)</f>
        <v>936.90200000000004</v>
      </c>
      <c r="V844" s="194">
        <f ca="1">OFFSET('배치점수 계산기'!L$10,$D844,0)</f>
        <v>934.74</v>
      </c>
      <c r="W844" s="186" t="str">
        <f ca="1">OFFSET('배치점수 계산기'!M$10,$D844,0)</f>
        <v>표점/만점</v>
      </c>
      <c r="X844" s="184" t="str">
        <f ca="1">OFFSET('배치점수 계산기'!N$10,$D844,0)</f>
        <v>표점/만점</v>
      </c>
      <c r="Y844" s="188">
        <f ca="1">OFFSET(환산공식!FW$15,$F844,0)</f>
        <v>0.3</v>
      </c>
      <c r="Z844" s="20">
        <f ca="1">OFFSET(환산공식!FX$15,$F844,0)</f>
        <v>0.4</v>
      </c>
      <c r="AA844" s="179">
        <f ca="1">OFFSET(환산공식!FY$15,$F844,0)</f>
        <v>0.3</v>
      </c>
      <c r="AB844" s="3"/>
      <c r="AD844">
        <f t="shared" ca="1" si="27"/>
        <v>6</v>
      </c>
    </row>
    <row r="845" spans="1:30">
      <c r="A845" s="198"/>
      <c r="B845" s="198"/>
      <c r="C845" s="198" t="s">
        <v>2297</v>
      </c>
      <c r="D845" s="195">
        <v>1860</v>
      </c>
      <c r="E845" s="195">
        <v>210</v>
      </c>
      <c r="F845" s="195">
        <v>210</v>
      </c>
      <c r="G845" s="239">
        <v>838</v>
      </c>
      <c r="H845" s="197" t="s">
        <v>79</v>
      </c>
      <c r="I845" s="242" t="s">
        <v>211</v>
      </c>
      <c r="J845" s="242" t="s">
        <v>210</v>
      </c>
      <c r="K845" s="195" t="s">
        <v>70</v>
      </c>
      <c r="L845" s="20" t="str">
        <f ca="1">IF(OFFSET(환산공식!$ED$15,$F845,0)=1,"O","X")</f>
        <v>X</v>
      </c>
      <c r="M845" s="188">
        <f ca="1">IFERROR(OFFSET(환산공식!DJ$15,$F845,0),"")</f>
        <v>30</v>
      </c>
      <c r="N845" s="20" t="str">
        <f ca="1">IFERROR(CONCATENATE(ROUND(OFFSET(환산공식!DK$15,$F845,0),1),"%"),"")</f>
        <v>100%</v>
      </c>
      <c r="O845" s="20">
        <f ca="1">IFERROR(OFFSET(환산공식!DL$15,$F845,0),"")</f>
        <v>5</v>
      </c>
      <c r="P845" s="188" t="str">
        <f t="shared" ca="1" si="26"/>
        <v>3% 이하</v>
      </c>
      <c r="Q845" s="194">
        <f ca="1">IFERROR(ROUND(OFFSET(환산공식!$FG$15,$F845,0),3),"")</f>
        <v>0</v>
      </c>
      <c r="R845" s="194">
        <f ca="1">OFFSET('배치점수 계산기'!H$10,$D845,0)</f>
        <v>366.346</v>
      </c>
      <c r="S845" s="194">
        <f ca="1">OFFSET('배치점수 계산기'!I$10,$D845,0)</f>
        <v>365.48899999999998</v>
      </c>
      <c r="T845" s="194">
        <f ca="1">OFFSET('배치점수 계산기'!J$10,$D845,0)</f>
        <v>364.42700000000002</v>
      </c>
      <c r="U845" s="194">
        <f ca="1">OFFSET('배치점수 계산기'!K$10,$D845,0)</f>
        <v>362.80700000000002</v>
      </c>
      <c r="V845" s="194">
        <f ca="1">OFFSET('배치점수 계산기'!L$10,$D845,0)</f>
        <v>359.22199999999998</v>
      </c>
      <c r="W845" s="186" t="str">
        <f ca="1">OFFSET('배치점수 계산기'!M$10,$D845,0)</f>
        <v>표점</v>
      </c>
      <c r="X845" s="184" t="str">
        <f ca="1">OFFSET('배치점수 계산기'!N$10,$D845,0)</f>
        <v>변표</v>
      </c>
      <c r="Y845" s="188">
        <f ca="1">OFFSET(환산공식!FW$15,$F845,0)</f>
        <v>0.3</v>
      </c>
      <c r="Z845" s="20">
        <f ca="1">OFFSET(환산공식!FX$15,$F845,0)</f>
        <v>0.4</v>
      </c>
      <c r="AA845" s="179">
        <f ca="1">OFFSET(환산공식!FY$15,$F845,0)</f>
        <v>0.3</v>
      </c>
      <c r="AB845" s="3"/>
      <c r="AD845">
        <f t="shared" ca="1" si="27"/>
        <v>6</v>
      </c>
    </row>
    <row r="846" spans="1:30">
      <c r="A846" s="198"/>
      <c r="B846" s="198"/>
      <c r="C846" s="198" t="s">
        <v>2298</v>
      </c>
      <c r="D846" s="195">
        <v>1861</v>
      </c>
      <c r="E846" s="195">
        <v>232</v>
      </c>
      <c r="F846" s="195">
        <v>232</v>
      </c>
      <c r="G846" s="239">
        <v>839</v>
      </c>
      <c r="H846" s="197" t="s">
        <v>79</v>
      </c>
      <c r="I846" s="242" t="s">
        <v>397</v>
      </c>
      <c r="J846" s="242" t="s">
        <v>436</v>
      </c>
      <c r="K846" s="195" t="s">
        <v>71</v>
      </c>
      <c r="L846" s="20" t="str">
        <f ca="1">IF(OFFSET(환산공식!$ED$15,$F846,0)=1,"O","X")</f>
        <v>X</v>
      </c>
      <c r="M846" s="188">
        <f ca="1">IFERROR(OFFSET(환산공식!DJ$15,$F846,0),"")</f>
        <v>250</v>
      </c>
      <c r="N846" s="20" t="str">
        <f ca="1">IFERROR(CONCATENATE(ROUND(OFFSET(환산공식!DK$15,$F846,0),1),"%"),"")</f>
        <v>100%</v>
      </c>
      <c r="O846" s="20">
        <f ca="1">IFERROR(OFFSET(환산공식!DL$15,$F846,0),"")</f>
        <v>0</v>
      </c>
      <c r="P846" s="188" t="str">
        <f t="shared" ca="1" si="26"/>
        <v>3% 이하</v>
      </c>
      <c r="Q846" s="194">
        <f ca="1">IFERROR(ROUND(OFFSET(환산공식!$FG$15,$F846,0),3),"")</f>
        <v>0</v>
      </c>
      <c r="R846" s="194">
        <f ca="1">OFFSET('배치점수 계산기'!H$10,$D846,0)</f>
        <v>906.25</v>
      </c>
      <c r="S846" s="194">
        <f ca="1">OFFSET('배치점수 계산기'!I$10,$D846,0)</f>
        <v>885</v>
      </c>
      <c r="T846" s="194">
        <f ca="1">OFFSET('배치점수 계산기'!J$10,$D846,0)</f>
        <v>874.375</v>
      </c>
      <c r="U846" s="194">
        <f ca="1">OFFSET('배치점수 계산기'!K$10,$D846,0)</f>
        <v>857.125</v>
      </c>
      <c r="V846" s="194">
        <f ca="1">OFFSET('배치점수 계산기'!L$10,$D846,0)</f>
        <v>837</v>
      </c>
      <c r="W846" s="186" t="str">
        <f ca="1">OFFSET('배치점수 계산기'!M$10,$D846,0)</f>
        <v>백분위</v>
      </c>
      <c r="X846" s="184" t="str">
        <f ca="1">OFFSET('배치점수 계산기'!N$10,$D846,0)</f>
        <v>백분위</v>
      </c>
      <c r="Y846" s="188">
        <f ca="1">OFFSET(환산공식!FW$15,$F846,0)</f>
        <v>0.33</v>
      </c>
      <c r="Z846" s="20">
        <f ca="1">OFFSET(환산공식!FX$15,$F846,0)</f>
        <v>0.33</v>
      </c>
      <c r="AA846" s="179">
        <f ca="1">OFFSET(환산공식!FY$15,$F846,0)</f>
        <v>0.33</v>
      </c>
      <c r="AB846" s="3"/>
      <c r="AD846">
        <f t="shared" ca="1" si="27"/>
        <v>6</v>
      </c>
    </row>
    <row r="847" spans="1:30">
      <c r="A847" s="198"/>
      <c r="B847" s="198"/>
      <c r="C847" s="198" t="s">
        <v>2299</v>
      </c>
      <c r="D847" s="195">
        <v>1862</v>
      </c>
      <c r="E847" s="195">
        <v>233</v>
      </c>
      <c r="F847" s="195">
        <v>233</v>
      </c>
      <c r="G847" s="239">
        <v>840</v>
      </c>
      <c r="H847" s="197" t="s">
        <v>79</v>
      </c>
      <c r="I847" s="242" t="s">
        <v>397</v>
      </c>
      <c r="J847" s="242" t="s">
        <v>12364</v>
      </c>
      <c r="K847" s="195" t="s">
        <v>71</v>
      </c>
      <c r="L847" s="20" t="str">
        <f ca="1">IF(OFFSET(환산공식!$ED$15,$F847,0)=1,"O","X")</f>
        <v>X</v>
      </c>
      <c r="M847" s="188">
        <f ca="1">IFERROR(OFFSET(환산공식!DJ$15,$F847,0),"")</f>
        <v>250</v>
      </c>
      <c r="N847" s="20" t="str">
        <f ca="1">IFERROR(CONCATENATE(ROUND(OFFSET(환산공식!DK$15,$F847,0),1),"%"),"")</f>
        <v>100%</v>
      </c>
      <c r="O847" s="20">
        <f ca="1">IFERROR(OFFSET(환산공식!DL$15,$F847,0),"")</f>
        <v>0</v>
      </c>
      <c r="P847" s="188" t="str">
        <f t="shared" ca="1" si="26"/>
        <v>3% 이하</v>
      </c>
      <c r="Q847" s="194">
        <f ca="1">IFERROR(ROUND(OFFSET(환산공식!$FG$15,$F847,0),3),"")</f>
        <v>0</v>
      </c>
      <c r="R847" s="194">
        <f ca="1">OFFSET('배치점수 계산기'!H$10,$D847,0)</f>
        <v>806.125</v>
      </c>
      <c r="S847" s="194">
        <f ca="1">OFFSET('배치점수 계산기'!I$10,$D847,0)</f>
        <v>793.625</v>
      </c>
      <c r="T847" s="194">
        <f ca="1">OFFSET('배치점수 계산기'!J$10,$D847,0)</f>
        <v>781</v>
      </c>
      <c r="U847" s="194">
        <f ca="1">OFFSET('배치점수 계산기'!K$10,$D847,0)</f>
        <v>753.5</v>
      </c>
      <c r="V847" s="194">
        <f ca="1">OFFSET('배치점수 계산기'!L$10,$D847,0)</f>
        <v>723.75</v>
      </c>
      <c r="W847" s="186" t="str">
        <f ca="1">OFFSET('배치점수 계산기'!M$10,$D847,0)</f>
        <v>백분위</v>
      </c>
      <c r="X847" s="184" t="str">
        <f ca="1">OFFSET('배치점수 계산기'!N$10,$D847,0)</f>
        <v>백분위</v>
      </c>
      <c r="Y847" s="188">
        <f ca="1">OFFSET(환산공식!FW$15,$F847,0)</f>
        <v>0.33</v>
      </c>
      <c r="Z847" s="20">
        <f ca="1">OFFSET(환산공식!FX$15,$F847,0)</f>
        <v>0.33</v>
      </c>
      <c r="AA847" s="179">
        <f ca="1">OFFSET(환산공식!FY$15,$F847,0)</f>
        <v>0.33</v>
      </c>
      <c r="AB847" s="3"/>
      <c r="AD847">
        <f t="shared" ca="1" si="27"/>
        <v>6</v>
      </c>
    </row>
    <row r="848" spans="1:30">
      <c r="A848" s="198"/>
      <c r="B848" s="198"/>
      <c r="C848" s="198" t="s">
        <v>2300</v>
      </c>
      <c r="D848" s="195">
        <v>1863</v>
      </c>
      <c r="E848" s="195">
        <v>234</v>
      </c>
      <c r="F848" s="195">
        <v>234</v>
      </c>
      <c r="G848" s="239">
        <v>841</v>
      </c>
      <c r="H848" s="197" t="s">
        <v>79</v>
      </c>
      <c r="I848" s="242" t="s">
        <v>398</v>
      </c>
      <c r="J848" s="242" t="s">
        <v>436</v>
      </c>
      <c r="K848" s="195" t="s">
        <v>71</v>
      </c>
      <c r="L848" s="20" t="str">
        <f ca="1">IF(OFFSET(환산공식!$ED$15,$F848,0)=1,"O","X")</f>
        <v>X</v>
      </c>
      <c r="M848" s="188">
        <f ca="1">IFERROR(OFFSET(환산공식!DJ$15,$F848,0),"")</f>
        <v>125</v>
      </c>
      <c r="N848" s="20" t="str">
        <f ca="1">IFERROR(CONCATENATE(ROUND(OFFSET(환산공식!DK$15,$F848,0),1),"%"),"")</f>
        <v>100%</v>
      </c>
      <c r="O848" s="20">
        <f ca="1">IFERROR(OFFSET(환산공식!DL$15,$F848,0),"")</f>
        <v>2</v>
      </c>
      <c r="P848" s="188" t="str">
        <f t="shared" ca="1" si="26"/>
        <v>3% 이하</v>
      </c>
      <c r="Q848" s="194">
        <f ca="1">IFERROR(ROUND(OFFSET(환산공식!$FG$15,$F848,0),3),"")</f>
        <v>0</v>
      </c>
      <c r="R848" s="194">
        <f ca="1">OFFSET('배치점수 계산기'!H$10,$D848,0)</f>
        <v>341.68799999999999</v>
      </c>
      <c r="S848" s="194">
        <f ca="1">OFFSET('배치점수 계산기'!I$10,$D848,0)</f>
        <v>338.68799999999999</v>
      </c>
      <c r="T848" s="194">
        <f ca="1">OFFSET('배치점수 계산기'!J$10,$D848,0)</f>
        <v>337.43799999999999</v>
      </c>
      <c r="U848" s="194">
        <f ca="1">OFFSET('배치점수 계산기'!K$10,$D848,0)</f>
        <v>335.93799999999999</v>
      </c>
      <c r="V848" s="194">
        <f ca="1">OFFSET('배치점수 계산기'!L$10,$D848,0)</f>
        <v>333.75</v>
      </c>
      <c r="W848" s="186" t="str">
        <f ca="1">OFFSET('배치점수 계산기'!M$10,$D848,0)</f>
        <v>표점</v>
      </c>
      <c r="X848" s="184" t="str">
        <f ca="1">OFFSET('배치점수 계산기'!N$10,$D848,0)</f>
        <v>표점</v>
      </c>
      <c r="Y848" s="188">
        <f ca="1">OFFSET(환산공식!FW$15,$F848,0)</f>
        <v>0.33</v>
      </c>
      <c r="Z848" s="20">
        <f ca="1">OFFSET(환산공식!FX$15,$F848,0)</f>
        <v>0.33</v>
      </c>
      <c r="AA848" s="179">
        <f ca="1">OFFSET(환산공식!FY$15,$F848,0)</f>
        <v>0.33</v>
      </c>
      <c r="AB848" s="3"/>
      <c r="AD848">
        <f t="shared" ca="1" si="27"/>
        <v>6</v>
      </c>
    </row>
    <row r="849" spans="1:30">
      <c r="A849" s="198"/>
      <c r="B849" s="198"/>
      <c r="C849" s="198" t="s">
        <v>2301</v>
      </c>
      <c r="D849" s="195">
        <v>1864</v>
      </c>
      <c r="E849" s="195">
        <v>234</v>
      </c>
      <c r="F849" s="195">
        <v>234</v>
      </c>
      <c r="G849" s="239">
        <v>842</v>
      </c>
      <c r="H849" s="197" t="s">
        <v>79</v>
      </c>
      <c r="I849" s="242" t="s">
        <v>398</v>
      </c>
      <c r="J849" s="242" t="s">
        <v>439</v>
      </c>
      <c r="K849" s="195" t="s">
        <v>71</v>
      </c>
      <c r="L849" s="20" t="str">
        <f ca="1">IF(OFFSET(환산공식!$ED$15,$F849,0)=1,"O","X")</f>
        <v>X</v>
      </c>
      <c r="M849" s="188">
        <f ca="1">IFERROR(OFFSET(환산공식!DJ$15,$F849,0),"")</f>
        <v>125</v>
      </c>
      <c r="N849" s="20" t="str">
        <f ca="1">IFERROR(CONCATENATE(ROUND(OFFSET(환산공식!DK$15,$F849,0),1),"%"),"")</f>
        <v>100%</v>
      </c>
      <c r="O849" s="20">
        <f ca="1">IFERROR(OFFSET(환산공식!DL$15,$F849,0),"")</f>
        <v>2</v>
      </c>
      <c r="P849" s="188" t="str">
        <f t="shared" ca="1" si="26"/>
        <v>3% 이하</v>
      </c>
      <c r="Q849" s="194">
        <f ca="1">IFERROR(ROUND(OFFSET(환산공식!$FG$15,$F849,0),3),"")</f>
        <v>0</v>
      </c>
      <c r="R849" s="194">
        <f ca="1">OFFSET('배치점수 계산기'!H$10,$D849,0)</f>
        <v>340.31299999999999</v>
      </c>
      <c r="S849" s="194">
        <f ca="1">OFFSET('배치점수 계산기'!I$10,$D849,0)</f>
        <v>338.68799999999999</v>
      </c>
      <c r="T849" s="194">
        <f ca="1">OFFSET('배치점수 계산기'!J$10,$D849,0)</f>
        <v>337.125</v>
      </c>
      <c r="U849" s="194">
        <f ca="1">OFFSET('배치점수 계산기'!K$10,$D849,0)</f>
        <v>334.93799999999999</v>
      </c>
      <c r="V849" s="194">
        <f ca="1">OFFSET('배치점수 계산기'!L$10,$D849,0)</f>
        <v>332.625</v>
      </c>
      <c r="W849" s="186" t="str">
        <f ca="1">OFFSET('배치점수 계산기'!M$10,$D849,0)</f>
        <v>표점</v>
      </c>
      <c r="X849" s="184" t="str">
        <f ca="1">OFFSET('배치점수 계산기'!N$10,$D849,0)</f>
        <v>표점</v>
      </c>
      <c r="Y849" s="188">
        <f ca="1">OFFSET(환산공식!FW$15,$F849,0)</f>
        <v>0.33</v>
      </c>
      <c r="Z849" s="20">
        <f ca="1">OFFSET(환산공식!FX$15,$F849,0)</f>
        <v>0.33</v>
      </c>
      <c r="AA849" s="179">
        <f ca="1">OFFSET(환산공식!FY$15,$F849,0)</f>
        <v>0.33</v>
      </c>
      <c r="AB849" s="3"/>
      <c r="AD849">
        <f t="shared" ca="1" si="27"/>
        <v>6</v>
      </c>
    </row>
    <row r="850" spans="1:30">
      <c r="A850" s="198"/>
      <c r="B850" s="198"/>
      <c r="C850" s="198" t="s">
        <v>2302</v>
      </c>
      <c r="D850" s="195">
        <v>1865</v>
      </c>
      <c r="E850" s="195">
        <v>234</v>
      </c>
      <c r="F850" s="195">
        <v>234</v>
      </c>
      <c r="G850" s="239">
        <v>843</v>
      </c>
      <c r="H850" s="197" t="s">
        <v>79</v>
      </c>
      <c r="I850" s="242" t="s">
        <v>398</v>
      </c>
      <c r="J850" s="242" t="s">
        <v>440</v>
      </c>
      <c r="K850" s="195" t="s">
        <v>71</v>
      </c>
      <c r="L850" s="20" t="str">
        <f ca="1">IF(OFFSET(환산공식!$ED$15,$F850,0)=1,"O","X")</f>
        <v>X</v>
      </c>
      <c r="M850" s="188">
        <f ca="1">IFERROR(OFFSET(환산공식!DJ$15,$F850,0),"")</f>
        <v>125</v>
      </c>
      <c r="N850" s="20" t="str">
        <f ca="1">IFERROR(CONCATENATE(ROUND(OFFSET(환산공식!DK$15,$F850,0),1),"%"),"")</f>
        <v>100%</v>
      </c>
      <c r="O850" s="20">
        <f ca="1">IFERROR(OFFSET(환산공식!DL$15,$F850,0),"")</f>
        <v>2</v>
      </c>
      <c r="P850" s="188" t="str">
        <f t="shared" ca="1" si="26"/>
        <v>3% 이하</v>
      </c>
      <c r="Q850" s="194">
        <f ca="1">IFERROR(ROUND(OFFSET(환산공식!$FG$15,$F850,0),3),"")</f>
        <v>0</v>
      </c>
      <c r="R850" s="194">
        <f ca="1">OFFSET('배치점수 계산기'!H$10,$D850,0)</f>
        <v>328.06299999999999</v>
      </c>
      <c r="S850" s="194">
        <f ca="1">OFFSET('배치점수 계산기'!I$10,$D850,0)</f>
        <v>325.875</v>
      </c>
      <c r="T850" s="194">
        <f ca="1">OFFSET('배치점수 계산기'!J$10,$D850,0)</f>
        <v>323.625</v>
      </c>
      <c r="U850" s="194">
        <f ca="1">OFFSET('배치점수 계산기'!K$10,$D850,0)</f>
        <v>319.375</v>
      </c>
      <c r="V850" s="194">
        <f ca="1">OFFSET('배치점수 계산기'!L$10,$D850,0)</f>
        <v>314.31299999999999</v>
      </c>
      <c r="W850" s="186" t="str">
        <f ca="1">OFFSET('배치점수 계산기'!M$10,$D850,0)</f>
        <v>표점</v>
      </c>
      <c r="X850" s="184" t="str">
        <f ca="1">OFFSET('배치점수 계산기'!N$10,$D850,0)</f>
        <v>표점</v>
      </c>
      <c r="Y850" s="188">
        <f ca="1">OFFSET(환산공식!FW$15,$F850,0)</f>
        <v>0.33</v>
      </c>
      <c r="Z850" s="20">
        <f ca="1">OFFSET(환산공식!FX$15,$F850,0)</f>
        <v>0.33</v>
      </c>
      <c r="AA850" s="179">
        <f ca="1">OFFSET(환산공식!FY$15,$F850,0)</f>
        <v>0.33</v>
      </c>
      <c r="AB850" s="3"/>
      <c r="AD850">
        <f t="shared" ca="1" si="27"/>
        <v>6</v>
      </c>
    </row>
    <row r="851" spans="1:30">
      <c r="A851" s="198"/>
      <c r="B851" s="198"/>
      <c r="C851" s="198" t="s">
        <v>2303</v>
      </c>
      <c r="D851" s="195">
        <v>1866</v>
      </c>
      <c r="E851" s="195">
        <v>235</v>
      </c>
      <c r="F851" s="195">
        <v>235</v>
      </c>
      <c r="G851" s="239">
        <v>844</v>
      </c>
      <c r="H851" s="197" t="s">
        <v>79</v>
      </c>
      <c r="I851" s="242" t="s">
        <v>399</v>
      </c>
      <c r="J851" s="242" t="s">
        <v>436</v>
      </c>
      <c r="K851" s="195" t="s">
        <v>71</v>
      </c>
      <c r="L851" s="20" t="str">
        <f ca="1">IF(OFFSET(환산공식!$ED$15,$F851,0)=1,"O","X")</f>
        <v>X</v>
      </c>
      <c r="M851" s="188">
        <f ca="1">IFERROR(OFFSET(환산공식!DJ$15,$F851,0),"")</f>
        <v>250</v>
      </c>
      <c r="N851" s="20" t="str">
        <f ca="1">IFERROR(CONCATENATE(ROUND(OFFSET(환산공식!DK$15,$F851,0),1),"%"),"")</f>
        <v>100%</v>
      </c>
      <c r="O851" s="20">
        <f ca="1">IFERROR(OFFSET(환산공식!DL$15,$F851,0),"")</f>
        <v>2</v>
      </c>
      <c r="P851" s="188" t="str">
        <f t="shared" ca="1" si="26"/>
        <v>3% 이하</v>
      </c>
      <c r="Q851" s="194">
        <f ca="1">IFERROR(ROUND(OFFSET(환산공식!$FG$15,$F851,0),3),"")</f>
        <v>0</v>
      </c>
      <c r="R851" s="194">
        <f ca="1">OFFSET('배치점수 계산기'!H$10,$D851,0)</f>
        <v>832.67499999999995</v>
      </c>
      <c r="S851" s="194">
        <f ca="1">OFFSET('배치점수 계산기'!I$10,$D851,0)</f>
        <v>816.35</v>
      </c>
      <c r="T851" s="194">
        <f ca="1">OFFSET('배치점수 계산기'!J$10,$D851,0)</f>
        <v>810.57500000000005</v>
      </c>
      <c r="U851" s="194">
        <f ca="1">OFFSET('배치점수 계산기'!K$10,$D851,0)</f>
        <v>803.05</v>
      </c>
      <c r="V851" s="194">
        <f ca="1">OFFSET('배치점수 계산기'!L$10,$D851,0)</f>
        <v>791.25</v>
      </c>
      <c r="W851" s="186" t="str">
        <f ca="1">OFFSET('배치점수 계산기'!M$10,$D851,0)</f>
        <v>백분위</v>
      </c>
      <c r="X851" s="184" t="str">
        <f ca="1">OFFSET('배치점수 계산기'!N$10,$D851,0)</f>
        <v>백분위</v>
      </c>
      <c r="Y851" s="188">
        <f ca="1">OFFSET(환산공식!FW$15,$F851,0)</f>
        <v>0.33</v>
      </c>
      <c r="Z851" s="20">
        <f ca="1">OFFSET(환산공식!FX$15,$F851,0)</f>
        <v>0.33</v>
      </c>
      <c r="AA851" s="179">
        <f ca="1">OFFSET(환산공식!FY$15,$F851,0)</f>
        <v>0.33</v>
      </c>
      <c r="AB851" s="3"/>
      <c r="AD851">
        <f t="shared" ca="1" si="27"/>
        <v>6</v>
      </c>
    </row>
    <row r="852" spans="1:30">
      <c r="A852" s="198"/>
      <c r="B852" s="198"/>
      <c r="C852" s="198" t="s">
        <v>2304</v>
      </c>
      <c r="D852" s="195">
        <v>1867</v>
      </c>
      <c r="E852" s="195">
        <v>235</v>
      </c>
      <c r="F852" s="195">
        <v>235</v>
      </c>
      <c r="G852" s="239">
        <v>845</v>
      </c>
      <c r="H852" s="197" t="s">
        <v>79</v>
      </c>
      <c r="I852" s="242" t="s">
        <v>399</v>
      </c>
      <c r="J852" s="242" t="s">
        <v>439</v>
      </c>
      <c r="K852" s="195" t="s">
        <v>71</v>
      </c>
      <c r="L852" s="20" t="str">
        <f ca="1">IF(OFFSET(환산공식!$ED$15,$F852,0)=1,"O","X")</f>
        <v>X</v>
      </c>
      <c r="M852" s="188">
        <f ca="1">IFERROR(OFFSET(환산공식!DJ$15,$F852,0),"")</f>
        <v>250</v>
      </c>
      <c r="N852" s="20" t="str">
        <f ca="1">IFERROR(CONCATENATE(ROUND(OFFSET(환산공식!DK$15,$F852,0),1),"%"),"")</f>
        <v>100%</v>
      </c>
      <c r="O852" s="20">
        <f ca="1">IFERROR(OFFSET(환산공식!DL$15,$F852,0),"")</f>
        <v>2</v>
      </c>
      <c r="P852" s="188" t="str">
        <f t="shared" ca="1" si="26"/>
        <v>3% 이하</v>
      </c>
      <c r="Q852" s="194">
        <f ca="1">IFERROR(ROUND(OFFSET(환산공식!$FG$15,$F852,0),3),"")</f>
        <v>0</v>
      </c>
      <c r="R852" s="194">
        <f ca="1">OFFSET('배치점수 계산기'!H$10,$D852,0)</f>
        <v>822.5</v>
      </c>
      <c r="S852" s="194">
        <f ca="1">OFFSET('배치점수 계산기'!I$10,$D852,0)</f>
        <v>808.7</v>
      </c>
      <c r="T852" s="194">
        <f ca="1">OFFSET('배치점수 계산기'!J$10,$D852,0)</f>
        <v>802.1</v>
      </c>
      <c r="U852" s="194">
        <f ca="1">OFFSET('배치점수 계산기'!K$10,$D852,0)</f>
        <v>790.875</v>
      </c>
      <c r="V852" s="194">
        <f ca="1">OFFSET('배치점수 계산기'!L$10,$D852,0)</f>
        <v>778.7</v>
      </c>
      <c r="W852" s="186" t="str">
        <f ca="1">OFFSET('배치점수 계산기'!M$10,$D852,0)</f>
        <v>백분위</v>
      </c>
      <c r="X852" s="184" t="str">
        <f ca="1">OFFSET('배치점수 계산기'!N$10,$D852,0)</f>
        <v>백분위</v>
      </c>
      <c r="Y852" s="188">
        <f ca="1">OFFSET(환산공식!FW$15,$F852,0)</f>
        <v>0.33</v>
      </c>
      <c r="Z852" s="20">
        <f ca="1">OFFSET(환산공식!FX$15,$F852,0)</f>
        <v>0.33</v>
      </c>
      <c r="AA852" s="179">
        <f ca="1">OFFSET(환산공식!FY$15,$F852,0)</f>
        <v>0.33</v>
      </c>
      <c r="AB852" s="3"/>
      <c r="AD852">
        <f t="shared" ca="1" si="27"/>
        <v>6</v>
      </c>
    </row>
    <row r="853" spans="1:30">
      <c r="A853" s="198"/>
      <c r="B853" s="198"/>
      <c r="C853" s="198" t="s">
        <v>2305</v>
      </c>
      <c r="D853" s="195">
        <v>1868</v>
      </c>
      <c r="E853" s="195">
        <v>235</v>
      </c>
      <c r="F853" s="195">
        <v>235</v>
      </c>
      <c r="G853" s="239">
        <v>846</v>
      </c>
      <c r="H853" s="197" t="s">
        <v>79</v>
      </c>
      <c r="I853" s="242" t="s">
        <v>399</v>
      </c>
      <c r="J853" s="242" t="s">
        <v>441</v>
      </c>
      <c r="K853" s="195" t="s">
        <v>71</v>
      </c>
      <c r="L853" s="20" t="str">
        <f ca="1">IF(OFFSET(환산공식!$ED$15,$F853,0)=1,"O","X")</f>
        <v>X</v>
      </c>
      <c r="M853" s="188">
        <f ca="1">IFERROR(OFFSET(환산공식!DJ$15,$F853,0),"")</f>
        <v>250</v>
      </c>
      <c r="N853" s="20" t="str">
        <f ca="1">IFERROR(CONCATENATE(ROUND(OFFSET(환산공식!DK$15,$F853,0),1),"%"),"")</f>
        <v>100%</v>
      </c>
      <c r="O853" s="20">
        <f ca="1">IFERROR(OFFSET(환산공식!DL$15,$F853,0),"")</f>
        <v>2</v>
      </c>
      <c r="P853" s="188" t="str">
        <f t="shared" ca="1" si="26"/>
        <v>3% 이하</v>
      </c>
      <c r="Q853" s="194">
        <f ca="1">IFERROR(ROUND(OFFSET(환산공식!$FG$15,$F853,0),3),"")</f>
        <v>0</v>
      </c>
      <c r="R853" s="194">
        <f ca="1">OFFSET('배치점수 계산기'!H$10,$D853,0)</f>
        <v>776.75</v>
      </c>
      <c r="S853" s="194">
        <f ca="1">OFFSET('배치점수 계산기'!I$10,$D853,0)</f>
        <v>759.125</v>
      </c>
      <c r="T853" s="194">
        <f ca="1">OFFSET('배치점수 계산기'!J$10,$D853,0)</f>
        <v>747.7</v>
      </c>
      <c r="U853" s="194">
        <f ca="1">OFFSET('배치점수 계산기'!K$10,$D853,0)</f>
        <v>726.05</v>
      </c>
      <c r="V853" s="194">
        <f ca="1">OFFSET('배치점수 계산기'!L$10,$D853,0)</f>
        <v>700.45</v>
      </c>
      <c r="W853" s="186" t="str">
        <f ca="1">OFFSET('배치점수 계산기'!M$10,$D853,0)</f>
        <v>백분위</v>
      </c>
      <c r="X853" s="184" t="str">
        <f ca="1">OFFSET('배치점수 계산기'!N$10,$D853,0)</f>
        <v>백분위</v>
      </c>
      <c r="Y853" s="188">
        <f ca="1">OFFSET(환산공식!FW$15,$F853,0)</f>
        <v>0.33</v>
      </c>
      <c r="Z853" s="20">
        <f ca="1">OFFSET(환산공식!FX$15,$F853,0)</f>
        <v>0.33</v>
      </c>
      <c r="AA853" s="179">
        <f ca="1">OFFSET(환산공식!FY$15,$F853,0)</f>
        <v>0.33</v>
      </c>
      <c r="AB853" s="3"/>
      <c r="AD853">
        <f t="shared" ca="1" si="27"/>
        <v>6</v>
      </c>
    </row>
    <row r="854" spans="1:30">
      <c r="A854" s="198"/>
      <c r="B854" s="198"/>
      <c r="C854" s="198" t="s">
        <v>2306</v>
      </c>
      <c r="D854" s="195">
        <v>1869</v>
      </c>
      <c r="E854" s="195">
        <v>236</v>
      </c>
      <c r="F854" s="195">
        <v>236</v>
      </c>
      <c r="G854" s="239">
        <v>847</v>
      </c>
      <c r="H854" s="197" t="s">
        <v>79</v>
      </c>
      <c r="I854" s="242" t="s">
        <v>400</v>
      </c>
      <c r="J854" s="242" t="s">
        <v>436</v>
      </c>
      <c r="K854" s="195" t="s">
        <v>71</v>
      </c>
      <c r="L854" s="20" t="str">
        <f ca="1">IF(OFFSET(환산공식!$ED$15,$F854,0)=1,"O","X")</f>
        <v>X</v>
      </c>
      <c r="M854" s="188">
        <f ca="1">IFERROR(OFFSET(환산공식!DJ$15,$F854,0),"")</f>
        <v>200</v>
      </c>
      <c r="N854" s="20" t="str">
        <f ca="1">IFERROR(CONCATENATE(ROUND(OFFSET(환산공식!DK$15,$F854,0),1),"%"),"")</f>
        <v>100%</v>
      </c>
      <c r="O854" s="20">
        <f ca="1">IFERROR(OFFSET(환산공식!DL$15,$F854,0),"")</f>
        <v>0</v>
      </c>
      <c r="P854" s="188" t="str">
        <f t="shared" ca="1" si="26"/>
        <v>3% 이하</v>
      </c>
      <c r="Q854" s="194">
        <f ca="1">IFERROR(ROUND(OFFSET(환산공식!$FG$15,$F854,0),3),"")</f>
        <v>0</v>
      </c>
      <c r="R854" s="194">
        <f ca="1">OFFSET('배치점수 계산기'!H$10,$D854,0)</f>
        <v>884.34</v>
      </c>
      <c r="S854" s="194">
        <f ca="1">OFFSET('배치점수 계산기'!I$10,$D854,0)</f>
        <v>873.79899999999998</v>
      </c>
      <c r="T854" s="194">
        <f ca="1">OFFSET('배치점수 계산기'!J$10,$D854,0)</f>
        <v>870.23500000000001</v>
      </c>
      <c r="U854" s="194">
        <f ca="1">OFFSET('배치점수 계산기'!K$10,$D854,0)</f>
        <v>867.30600000000004</v>
      </c>
      <c r="V854" s="194">
        <f ca="1">OFFSET('배치점수 계산기'!L$10,$D854,0)</f>
        <v>863.44899999999996</v>
      </c>
      <c r="W854" s="186" t="str">
        <f ca="1">OFFSET('배치점수 계산기'!M$10,$D854,0)</f>
        <v>표점/만점</v>
      </c>
      <c r="X854" s="184" t="str">
        <f ca="1">OFFSET('배치점수 계산기'!N$10,$D854,0)</f>
        <v>표점/만점</v>
      </c>
      <c r="Y854" s="188">
        <f ca="1">OFFSET(환산공식!FW$15,$F854,0)</f>
        <v>0.38</v>
      </c>
      <c r="Z854" s="20">
        <f ca="1">OFFSET(환산공식!FX$15,$F854,0)</f>
        <v>0.38</v>
      </c>
      <c r="AA854" s="179">
        <f ca="1">OFFSET(환산공식!FY$15,$F854,0)</f>
        <v>0.25</v>
      </c>
      <c r="AB854" s="3"/>
      <c r="AD854">
        <f t="shared" ca="1" si="27"/>
        <v>6</v>
      </c>
    </row>
    <row r="855" spans="1:30">
      <c r="A855" s="198"/>
      <c r="B855" s="198"/>
      <c r="C855" s="198" t="s">
        <v>2307</v>
      </c>
      <c r="D855" s="195">
        <v>1870</v>
      </c>
      <c r="E855" s="195">
        <v>236</v>
      </c>
      <c r="F855" s="195">
        <v>236</v>
      </c>
      <c r="G855" s="239">
        <v>848</v>
      </c>
      <c r="H855" s="197" t="s">
        <v>79</v>
      </c>
      <c r="I855" s="242" t="s">
        <v>400</v>
      </c>
      <c r="J855" s="242" t="s">
        <v>439</v>
      </c>
      <c r="K855" s="195" t="s">
        <v>71</v>
      </c>
      <c r="L855" s="20" t="str">
        <f ca="1">IF(OFFSET(환산공식!$ED$15,$F855,0)=1,"O","X")</f>
        <v>X</v>
      </c>
      <c r="M855" s="188">
        <f ca="1">IFERROR(OFFSET(환산공식!DJ$15,$F855,0),"")</f>
        <v>200</v>
      </c>
      <c r="N855" s="20" t="str">
        <f ca="1">IFERROR(CONCATENATE(ROUND(OFFSET(환산공식!DK$15,$F855,0),1),"%"),"")</f>
        <v>100%</v>
      </c>
      <c r="O855" s="20">
        <f ca="1">IFERROR(OFFSET(환산공식!DL$15,$F855,0),"")</f>
        <v>0</v>
      </c>
      <c r="P855" s="188" t="str">
        <f t="shared" ca="1" si="26"/>
        <v>3% 이하</v>
      </c>
      <c r="Q855" s="194">
        <f ca="1">IFERROR(ROUND(OFFSET(환산공식!$FG$15,$F855,0),3),"")</f>
        <v>0</v>
      </c>
      <c r="R855" s="194">
        <f ca="1">OFFSET('배치점수 계산기'!H$10,$D855,0)</f>
        <v>850.98800000000006</v>
      </c>
      <c r="S855" s="194">
        <f ca="1">OFFSET('배치점수 계산기'!I$10,$D855,0)</f>
        <v>847.53899999999999</v>
      </c>
      <c r="T855" s="194">
        <f ca="1">OFFSET('배치점수 계산기'!J$10,$D855,0)</f>
        <v>844.90300000000002</v>
      </c>
      <c r="U855" s="194">
        <f ca="1">OFFSET('배치점수 계산기'!K$10,$D855,0)</f>
        <v>841.46600000000001</v>
      </c>
      <c r="V855" s="194">
        <f ca="1">OFFSET('배치점수 계산기'!L$10,$D855,0)</f>
        <v>836.37199999999996</v>
      </c>
      <c r="W855" s="186" t="str">
        <f ca="1">OFFSET('배치점수 계산기'!M$10,$D855,0)</f>
        <v>표점/만점</v>
      </c>
      <c r="X855" s="184" t="str">
        <f ca="1">OFFSET('배치점수 계산기'!N$10,$D855,0)</f>
        <v>표점/만점</v>
      </c>
      <c r="Y855" s="188">
        <f ca="1">OFFSET(환산공식!FW$15,$F855,0)</f>
        <v>0.38</v>
      </c>
      <c r="Z855" s="20">
        <f ca="1">OFFSET(환산공식!FX$15,$F855,0)</f>
        <v>0.38</v>
      </c>
      <c r="AA855" s="179">
        <f ca="1">OFFSET(환산공식!FY$15,$F855,0)</f>
        <v>0.25</v>
      </c>
      <c r="AB855" s="3"/>
      <c r="AD855">
        <f t="shared" ca="1" si="27"/>
        <v>6</v>
      </c>
    </row>
    <row r="856" spans="1:30">
      <c r="A856" s="198"/>
      <c r="B856" s="198"/>
      <c r="C856" s="198" t="s">
        <v>2308</v>
      </c>
      <c r="D856" s="195">
        <v>1871</v>
      </c>
      <c r="E856" s="195">
        <v>236</v>
      </c>
      <c r="F856" s="195">
        <v>236</v>
      </c>
      <c r="G856" s="239">
        <v>849</v>
      </c>
      <c r="H856" s="197" t="s">
        <v>79</v>
      </c>
      <c r="I856" s="242" t="s">
        <v>400</v>
      </c>
      <c r="J856" s="242" t="s">
        <v>441</v>
      </c>
      <c r="K856" s="195" t="s">
        <v>71</v>
      </c>
      <c r="L856" s="20" t="str">
        <f ca="1">IF(OFFSET(환산공식!$ED$15,$F856,0)=1,"O","X")</f>
        <v>X</v>
      </c>
      <c r="M856" s="188">
        <f ca="1">IFERROR(OFFSET(환산공식!DJ$15,$F856,0),"")</f>
        <v>200</v>
      </c>
      <c r="N856" s="20" t="str">
        <f ca="1">IFERROR(CONCATENATE(ROUND(OFFSET(환산공식!DK$15,$F856,0),1),"%"),"")</f>
        <v>100%</v>
      </c>
      <c r="O856" s="20">
        <f ca="1">IFERROR(OFFSET(환산공식!DL$15,$F856,0),"")</f>
        <v>0</v>
      </c>
      <c r="P856" s="188" t="str">
        <f t="shared" ca="1" si="26"/>
        <v>3% 이하</v>
      </c>
      <c r="Q856" s="194">
        <f ca="1">IFERROR(ROUND(OFFSET(환산공식!$FG$15,$F856,0),3),"")</f>
        <v>0</v>
      </c>
      <c r="R856" s="194">
        <f ca="1">OFFSET('배치점수 계산기'!H$10,$D856,0)</f>
        <v>815.64400000000001</v>
      </c>
      <c r="S856" s="194">
        <f ca="1">OFFSET('배치점수 계산기'!I$10,$D856,0)</f>
        <v>810.33</v>
      </c>
      <c r="T856" s="194">
        <f ca="1">OFFSET('배치점수 계산기'!J$10,$D856,0)</f>
        <v>804.51900000000001</v>
      </c>
      <c r="U856" s="194">
        <f ca="1">OFFSET('배치점수 계산기'!K$10,$D856,0)</f>
        <v>794.28</v>
      </c>
      <c r="V856" s="194">
        <f ca="1">OFFSET('배치점수 계산기'!L$10,$D856,0)</f>
        <v>778.55600000000004</v>
      </c>
      <c r="W856" s="186" t="str">
        <f ca="1">OFFSET('배치점수 계산기'!M$10,$D856,0)</f>
        <v>표점/만점</v>
      </c>
      <c r="X856" s="184" t="str">
        <f ca="1">OFFSET('배치점수 계산기'!N$10,$D856,0)</f>
        <v>표점/만점</v>
      </c>
      <c r="Y856" s="188">
        <f ca="1">OFFSET(환산공식!FW$15,$F856,0)</f>
        <v>0.38</v>
      </c>
      <c r="Z856" s="20">
        <f ca="1">OFFSET(환산공식!FX$15,$F856,0)</f>
        <v>0.38</v>
      </c>
      <c r="AA856" s="179">
        <f ca="1">OFFSET(환산공식!FY$15,$F856,0)</f>
        <v>0.25</v>
      </c>
      <c r="AB856" s="3"/>
      <c r="AD856">
        <f t="shared" ca="1" si="27"/>
        <v>6</v>
      </c>
    </row>
    <row r="857" spans="1:30">
      <c r="A857" s="198"/>
      <c r="B857" s="198"/>
      <c r="C857" s="198" t="s">
        <v>2309</v>
      </c>
      <c r="D857" s="195">
        <v>1872</v>
      </c>
      <c r="E857" s="195">
        <v>236</v>
      </c>
      <c r="F857" s="195">
        <v>236</v>
      </c>
      <c r="G857" s="239">
        <v>850</v>
      </c>
      <c r="H857" s="197" t="s">
        <v>79</v>
      </c>
      <c r="I857" s="242" t="s">
        <v>400</v>
      </c>
      <c r="J857" s="242" t="s">
        <v>437</v>
      </c>
      <c r="K857" s="195" t="s">
        <v>71</v>
      </c>
      <c r="L857" s="20" t="str">
        <f ca="1">IF(OFFSET(환산공식!$ED$15,$F857,0)=1,"O","X")</f>
        <v>X</v>
      </c>
      <c r="M857" s="188">
        <f ca="1">IFERROR(OFFSET(환산공식!DJ$15,$F857,0),"")</f>
        <v>200</v>
      </c>
      <c r="N857" s="20" t="str">
        <f ca="1">IFERROR(CONCATENATE(ROUND(OFFSET(환산공식!DK$15,$F857,0),1),"%"),"")</f>
        <v>100%</v>
      </c>
      <c r="O857" s="20">
        <f ca="1">IFERROR(OFFSET(환산공식!DL$15,$F857,0),"")</f>
        <v>0</v>
      </c>
      <c r="P857" s="188" t="str">
        <f t="shared" ca="1" si="26"/>
        <v>3% 이하</v>
      </c>
      <c r="Q857" s="194">
        <f ca="1">IFERROR(ROUND(OFFSET(환산공식!$FG$15,$F857,0),3),"")</f>
        <v>0</v>
      </c>
      <c r="R857" s="194">
        <f ca="1">OFFSET('배치점수 계산기'!H$10,$D857,0)</f>
        <v>815.64400000000001</v>
      </c>
      <c r="S857" s="194">
        <f ca="1">OFFSET('배치점수 계산기'!I$10,$D857,0)</f>
        <v>810.33</v>
      </c>
      <c r="T857" s="194">
        <f ca="1">OFFSET('배치점수 계산기'!J$10,$D857,0)</f>
        <v>804.51900000000001</v>
      </c>
      <c r="U857" s="194">
        <f ca="1">OFFSET('배치점수 계산기'!K$10,$D857,0)</f>
        <v>794.28</v>
      </c>
      <c r="V857" s="194">
        <f ca="1">OFFSET('배치점수 계산기'!L$10,$D857,0)</f>
        <v>778.55600000000004</v>
      </c>
      <c r="W857" s="186" t="str">
        <f ca="1">OFFSET('배치점수 계산기'!M$10,$D857,0)</f>
        <v>표점/만점</v>
      </c>
      <c r="X857" s="184" t="str">
        <f ca="1">OFFSET('배치점수 계산기'!N$10,$D857,0)</f>
        <v>표점/만점</v>
      </c>
      <c r="Y857" s="188">
        <f ca="1">OFFSET(환산공식!FW$15,$F857,0)</f>
        <v>0.38</v>
      </c>
      <c r="Z857" s="20">
        <f ca="1">OFFSET(환산공식!FX$15,$F857,0)</f>
        <v>0.38</v>
      </c>
      <c r="AA857" s="179">
        <f ca="1">OFFSET(환산공식!FY$15,$F857,0)</f>
        <v>0.25</v>
      </c>
      <c r="AB857" s="3"/>
      <c r="AD857">
        <f t="shared" ca="1" si="27"/>
        <v>6</v>
      </c>
    </row>
    <row r="858" spans="1:30">
      <c r="A858" s="198"/>
      <c r="B858" s="198"/>
      <c r="C858" s="198" t="s">
        <v>2310</v>
      </c>
      <c r="D858" s="195">
        <v>1873</v>
      </c>
      <c r="E858" s="195">
        <v>237</v>
      </c>
      <c r="F858" s="195">
        <v>237</v>
      </c>
      <c r="G858" s="239">
        <v>851</v>
      </c>
      <c r="H858" s="197" t="s">
        <v>79</v>
      </c>
      <c r="I858" s="242" t="s">
        <v>401</v>
      </c>
      <c r="J858" s="242" t="s">
        <v>436</v>
      </c>
      <c r="K858" s="195" t="s">
        <v>71</v>
      </c>
      <c r="L858" s="20" t="str">
        <f ca="1">IF(OFFSET(환산공식!$ED$15,$F858,0)=1,"O","X")</f>
        <v>X</v>
      </c>
      <c r="M858" s="188">
        <f ca="1">IFERROR(OFFSET(환산공식!DJ$15,$F858,0),"")</f>
        <v>200</v>
      </c>
      <c r="N858" s="20" t="str">
        <f ca="1">IFERROR(CONCATENATE(ROUND(OFFSET(환산공식!DK$15,$F858,0),1),"%"),"")</f>
        <v>100%</v>
      </c>
      <c r="O858" s="20">
        <f ca="1">IFERROR(OFFSET(환산공식!DL$15,$F858,0),"")</f>
        <v>0</v>
      </c>
      <c r="P858" s="188" t="str">
        <f t="shared" ca="1" si="26"/>
        <v>3% 이하</v>
      </c>
      <c r="Q858" s="194">
        <f ca="1">IFERROR(ROUND(OFFSET(환산공식!$FG$15,$F858,0),3),"")</f>
        <v>0</v>
      </c>
      <c r="R858" s="194">
        <f ca="1">OFFSET('배치점수 계산기'!H$10,$D858,0)</f>
        <v>667.96</v>
      </c>
      <c r="S858" s="194">
        <f ca="1">OFFSET('배치점수 계산기'!I$10,$D858,0)</f>
        <v>654.26</v>
      </c>
      <c r="T858" s="194">
        <f ca="1">OFFSET('배치점수 계산기'!J$10,$D858,0)</f>
        <v>648</v>
      </c>
      <c r="U858" s="194">
        <f ca="1">OFFSET('배치점수 계산기'!K$10,$D858,0)</f>
        <v>638.48</v>
      </c>
      <c r="V858" s="194">
        <f ca="1">OFFSET('배치점수 계산기'!L$10,$D858,0)</f>
        <v>628.66</v>
      </c>
      <c r="W858" s="186" t="str">
        <f ca="1">OFFSET('배치점수 계산기'!M$10,$D858,0)</f>
        <v>백분위</v>
      </c>
      <c r="X858" s="184" t="str">
        <f ca="1">OFFSET('배치점수 계산기'!N$10,$D858,0)</f>
        <v>백분위</v>
      </c>
      <c r="Y858" s="188">
        <f ca="1">OFFSET(환산공식!FW$15,$F858,0)</f>
        <v>0.33</v>
      </c>
      <c r="Z858" s="20">
        <f ca="1">OFFSET(환산공식!FX$15,$F858,0)</f>
        <v>0.33</v>
      </c>
      <c r="AA858" s="179">
        <f ca="1">OFFSET(환산공식!FY$15,$F858,0)</f>
        <v>0.33</v>
      </c>
      <c r="AB858" s="3"/>
      <c r="AD858">
        <f t="shared" ca="1" si="27"/>
        <v>6</v>
      </c>
    </row>
    <row r="859" spans="1:30">
      <c r="A859" s="198"/>
      <c r="B859" s="198"/>
      <c r="C859" s="198" t="s">
        <v>2311</v>
      </c>
      <c r="D859" s="195">
        <v>1874</v>
      </c>
      <c r="E859" s="195">
        <v>237</v>
      </c>
      <c r="F859" s="195">
        <v>237</v>
      </c>
      <c r="G859" s="239">
        <v>852</v>
      </c>
      <c r="H859" s="197" t="s">
        <v>79</v>
      </c>
      <c r="I859" s="242" t="s">
        <v>401</v>
      </c>
      <c r="J859" s="242" t="s">
        <v>439</v>
      </c>
      <c r="K859" s="195" t="s">
        <v>71</v>
      </c>
      <c r="L859" s="20" t="str">
        <f ca="1">IF(OFFSET(환산공식!$ED$15,$F859,0)=1,"O","X")</f>
        <v>X</v>
      </c>
      <c r="M859" s="188">
        <f ca="1">IFERROR(OFFSET(환산공식!DJ$15,$F859,0),"")</f>
        <v>200</v>
      </c>
      <c r="N859" s="20" t="str">
        <f ca="1">IFERROR(CONCATENATE(ROUND(OFFSET(환산공식!DK$15,$F859,0),1),"%"),"")</f>
        <v>100%</v>
      </c>
      <c r="O859" s="20">
        <f ca="1">IFERROR(OFFSET(환산공식!DL$15,$F859,0),"")</f>
        <v>0</v>
      </c>
      <c r="P859" s="188" t="str">
        <f t="shared" ca="1" si="26"/>
        <v>3% 이하</v>
      </c>
      <c r="Q859" s="194">
        <f ca="1">IFERROR(ROUND(OFFSET(환산공식!$FG$15,$F859,0),3),"")</f>
        <v>0</v>
      </c>
      <c r="R859" s="194">
        <f ca="1">OFFSET('배치점수 계산기'!H$10,$D859,0)</f>
        <v>644.54</v>
      </c>
      <c r="S859" s="194">
        <f ca="1">OFFSET('배치점수 계산기'!I$10,$D859,0)</f>
        <v>632.44000000000005</v>
      </c>
      <c r="T859" s="194">
        <f ca="1">OFFSET('배치점수 계산기'!J$10,$D859,0)</f>
        <v>624.6</v>
      </c>
      <c r="U859" s="194">
        <f ca="1">OFFSET('배치점수 계산기'!K$10,$D859,0)</f>
        <v>613.96</v>
      </c>
      <c r="V859" s="194">
        <f ca="1">OFFSET('배치점수 계산기'!L$10,$D859,0)</f>
        <v>603.34</v>
      </c>
      <c r="W859" s="186" t="str">
        <f ca="1">OFFSET('배치점수 계산기'!M$10,$D859,0)</f>
        <v>백분위</v>
      </c>
      <c r="X859" s="184" t="str">
        <f ca="1">OFFSET('배치점수 계산기'!N$10,$D859,0)</f>
        <v>백분위</v>
      </c>
      <c r="Y859" s="188">
        <f ca="1">OFFSET(환산공식!FW$15,$F859,0)</f>
        <v>0.33</v>
      </c>
      <c r="Z859" s="20">
        <f ca="1">OFFSET(환산공식!FX$15,$F859,0)</f>
        <v>0.33</v>
      </c>
      <c r="AA859" s="179">
        <f ca="1">OFFSET(환산공식!FY$15,$F859,0)</f>
        <v>0.33</v>
      </c>
      <c r="AB859" s="3"/>
      <c r="AD859">
        <f t="shared" ca="1" si="27"/>
        <v>6</v>
      </c>
    </row>
    <row r="860" spans="1:30">
      <c r="A860" s="198"/>
      <c r="B860" s="198"/>
      <c r="C860" s="198" t="s">
        <v>2312</v>
      </c>
      <c r="D860" s="195">
        <v>1875</v>
      </c>
      <c r="E860" s="195">
        <v>237</v>
      </c>
      <c r="F860" s="195">
        <v>237</v>
      </c>
      <c r="G860" s="239">
        <v>853</v>
      </c>
      <c r="H860" s="197" t="s">
        <v>79</v>
      </c>
      <c r="I860" s="242" t="s">
        <v>401</v>
      </c>
      <c r="J860" s="242" t="s">
        <v>438</v>
      </c>
      <c r="K860" s="195" t="s">
        <v>71</v>
      </c>
      <c r="L860" s="20" t="str">
        <f ca="1">IF(OFFSET(환산공식!$ED$15,$F860,0)=1,"O","X")</f>
        <v>X</v>
      </c>
      <c r="M860" s="188">
        <f ca="1">IFERROR(OFFSET(환산공식!DJ$15,$F860,0),"")</f>
        <v>200</v>
      </c>
      <c r="N860" s="20" t="str">
        <f ca="1">IFERROR(CONCATENATE(ROUND(OFFSET(환산공식!DK$15,$F860,0),1),"%"),"")</f>
        <v>100%</v>
      </c>
      <c r="O860" s="20">
        <f ca="1">IFERROR(OFFSET(환산공식!DL$15,$F860,0),"")</f>
        <v>0</v>
      </c>
      <c r="P860" s="188" t="str">
        <f t="shared" ca="1" si="26"/>
        <v>3% 이하</v>
      </c>
      <c r="Q860" s="194">
        <f ca="1">IFERROR(ROUND(OFFSET(환산공식!$FG$15,$F860,0),3),"")</f>
        <v>0</v>
      </c>
      <c r="R860" s="194">
        <f ca="1">OFFSET('배치점수 계산기'!H$10,$D860,0)</f>
        <v>580.9</v>
      </c>
      <c r="S860" s="194">
        <f ca="1">OFFSET('배치점수 계산기'!I$10,$D860,0)</f>
        <v>567.1</v>
      </c>
      <c r="T860" s="194">
        <f ca="1">OFFSET('배치점수 계산기'!J$10,$D860,0)</f>
        <v>558.36</v>
      </c>
      <c r="U860" s="194">
        <f ca="1">OFFSET('배치점수 계산기'!K$10,$D860,0)</f>
        <v>539.6</v>
      </c>
      <c r="V860" s="194">
        <f ca="1">OFFSET('배치점수 계산기'!L$10,$D860,0)</f>
        <v>520.64</v>
      </c>
      <c r="W860" s="186" t="str">
        <f ca="1">OFFSET('배치점수 계산기'!M$10,$D860,0)</f>
        <v>백분위</v>
      </c>
      <c r="X860" s="184" t="str">
        <f ca="1">OFFSET('배치점수 계산기'!N$10,$D860,0)</f>
        <v>백분위</v>
      </c>
      <c r="Y860" s="188">
        <f ca="1">OFFSET(환산공식!FW$15,$F860,0)</f>
        <v>0.33</v>
      </c>
      <c r="Z860" s="20">
        <f ca="1">OFFSET(환산공식!FX$15,$F860,0)</f>
        <v>0.33</v>
      </c>
      <c r="AA860" s="179">
        <f ca="1">OFFSET(환산공식!FY$15,$F860,0)</f>
        <v>0.33</v>
      </c>
      <c r="AB860" s="3"/>
      <c r="AD860">
        <f t="shared" ca="1" si="27"/>
        <v>6</v>
      </c>
    </row>
    <row r="861" spans="1:30">
      <c r="A861" s="198"/>
      <c r="B861" s="198"/>
      <c r="C861" s="198" t="s">
        <v>2313</v>
      </c>
      <c r="D861" s="195">
        <v>1876</v>
      </c>
      <c r="E861" s="195">
        <v>238</v>
      </c>
      <c r="F861" s="195">
        <v>238</v>
      </c>
      <c r="G861" s="239">
        <v>854</v>
      </c>
      <c r="H861" s="197" t="s">
        <v>79</v>
      </c>
      <c r="I861" s="242" t="s">
        <v>402</v>
      </c>
      <c r="J861" s="242" t="s">
        <v>442</v>
      </c>
      <c r="K861" s="195" t="s">
        <v>71</v>
      </c>
      <c r="L861" s="20" t="str">
        <f ca="1">IF(OFFSET(환산공식!$ED$15,$F861,0)=1,"O","X")</f>
        <v>X</v>
      </c>
      <c r="M861" s="188">
        <f ca="1">IFERROR(OFFSET(환산공식!DJ$15,$F861,0),"")</f>
        <v>0</v>
      </c>
      <c r="N861" s="20" t="str">
        <f ca="1">IFERROR(CONCATENATE(ROUND(OFFSET(환산공식!DK$15,$F861,0),1),"%"),"")</f>
        <v/>
      </c>
      <c r="O861" s="20">
        <f ca="1">IFERROR(OFFSET(환산공식!DL$15,$F861,0),"")</f>
        <v>0</v>
      </c>
      <c r="P861" s="188" t="str">
        <f t="shared" ca="1" si="26"/>
        <v>3% 이하</v>
      </c>
      <c r="Q861" s="194">
        <f ca="1">IFERROR(ROUND(OFFSET(환산공식!$FG$15,$F861,0),3),"")</f>
        <v>0</v>
      </c>
      <c r="R861" s="194">
        <f ca="1">OFFSET('배치점수 계산기'!H$10,$D861,0)</f>
        <v>632.41200000000003</v>
      </c>
      <c r="S861" s="194">
        <f ca="1">OFFSET('배치점수 계산기'!I$10,$D861,0)</f>
        <v>628.91200000000003</v>
      </c>
      <c r="T861" s="194">
        <f ca="1">OFFSET('배치점수 계산기'!J$10,$D861,0)</f>
        <v>625.91200000000003</v>
      </c>
      <c r="U861" s="194">
        <f ca="1">OFFSET('배치점수 계산기'!K$10,$D861,0)</f>
        <v>621.74400000000003</v>
      </c>
      <c r="V861" s="194">
        <f ca="1">OFFSET('배치점수 계산기'!L$10,$D861,0)</f>
        <v>616.41</v>
      </c>
      <c r="W861" s="186" t="str">
        <f ca="1">OFFSET('배치점수 계산기'!M$10,$D861,0)</f>
        <v>표점</v>
      </c>
      <c r="X861" s="184" t="str">
        <f ca="1">OFFSET('배치점수 계산기'!N$10,$D861,0)</f>
        <v>표점</v>
      </c>
      <c r="Y861" s="188">
        <f ca="1">OFFSET(환산공식!FW$15,$F861,0)</f>
        <v>0.33</v>
      </c>
      <c r="Z861" s="20">
        <f ca="1">OFFSET(환산공식!FX$15,$F861,0)</f>
        <v>0.33</v>
      </c>
      <c r="AA861" s="179">
        <f ca="1">OFFSET(환산공식!FY$15,$F861,0)</f>
        <v>0.33</v>
      </c>
      <c r="AB861" s="3"/>
      <c r="AD861">
        <f t="shared" ca="1" si="27"/>
        <v>6</v>
      </c>
    </row>
    <row r="862" spans="1:30">
      <c r="A862" s="198"/>
      <c r="B862" s="198"/>
      <c r="C862" s="198" t="s">
        <v>2314</v>
      </c>
      <c r="D862" s="195">
        <v>1877</v>
      </c>
      <c r="E862" s="195">
        <v>238</v>
      </c>
      <c r="F862" s="195">
        <v>238</v>
      </c>
      <c r="G862" s="239">
        <v>855</v>
      </c>
      <c r="H862" s="197" t="s">
        <v>79</v>
      </c>
      <c r="I862" s="242" t="s">
        <v>402</v>
      </c>
      <c r="J862" s="242" t="s">
        <v>564</v>
      </c>
      <c r="K862" s="195" t="s">
        <v>71</v>
      </c>
      <c r="L862" s="20" t="str">
        <f ca="1">IF(OFFSET(환산공식!$ED$15,$F862,0)=1,"O","X")</f>
        <v>X</v>
      </c>
      <c r="M862" s="188">
        <f ca="1">IFERROR(OFFSET(환산공식!DJ$15,$F862,0),"")</f>
        <v>0</v>
      </c>
      <c r="N862" s="20" t="str">
        <f ca="1">IFERROR(CONCATENATE(ROUND(OFFSET(환산공식!DK$15,$F862,0),1),"%"),"")</f>
        <v/>
      </c>
      <c r="O862" s="20">
        <f ca="1">IFERROR(OFFSET(환산공식!DL$15,$F862,0),"")</f>
        <v>0</v>
      </c>
      <c r="P862" s="188" t="str">
        <f t="shared" ca="1" si="26"/>
        <v>3% 이하</v>
      </c>
      <c r="Q862" s="194">
        <f ca="1">IFERROR(ROUND(OFFSET(환산공식!$FG$15,$F862,0),3),"")</f>
        <v>0</v>
      </c>
      <c r="R862" s="194">
        <f ca="1">OFFSET('배치점수 계산기'!H$10,$D862,0)</f>
        <v>566.07100000000003</v>
      </c>
      <c r="S862" s="194">
        <f ca="1">OFFSET('배치점수 계산기'!I$10,$D862,0)</f>
        <v>561.23699999999997</v>
      </c>
      <c r="T862" s="194">
        <f ca="1">OFFSET('배치점수 계산기'!J$10,$D862,0)</f>
        <v>556.57000000000005</v>
      </c>
      <c r="U862" s="194">
        <f ca="1">OFFSET('배치점수 계산기'!K$10,$D862,0)</f>
        <v>547.90200000000004</v>
      </c>
      <c r="V862" s="194">
        <f ca="1">OFFSET('배치점수 계산기'!L$10,$D862,0)</f>
        <v>537.90099999999995</v>
      </c>
      <c r="W862" s="186" t="str">
        <f ca="1">OFFSET('배치점수 계산기'!M$10,$D862,0)</f>
        <v>표점</v>
      </c>
      <c r="X862" s="184" t="str">
        <f ca="1">OFFSET('배치점수 계산기'!N$10,$D862,0)</f>
        <v>표점</v>
      </c>
      <c r="Y862" s="188">
        <f ca="1">OFFSET(환산공식!FW$15,$F862,0)</f>
        <v>0.33</v>
      </c>
      <c r="Z862" s="20">
        <f ca="1">OFFSET(환산공식!FX$15,$F862,0)</f>
        <v>0.33</v>
      </c>
      <c r="AA862" s="179">
        <f ca="1">OFFSET(환산공식!FY$15,$F862,0)</f>
        <v>0.33</v>
      </c>
      <c r="AB862" s="3"/>
      <c r="AD862">
        <f t="shared" ca="1" si="27"/>
        <v>6</v>
      </c>
    </row>
    <row r="863" spans="1:30">
      <c r="A863" s="198"/>
      <c r="B863" s="198"/>
      <c r="C863" s="198" t="s">
        <v>2315</v>
      </c>
      <c r="D863" s="195">
        <v>1878</v>
      </c>
      <c r="E863" s="195">
        <v>239</v>
      </c>
      <c r="F863" s="195">
        <v>239</v>
      </c>
      <c r="G863" s="239">
        <v>856</v>
      </c>
      <c r="H863" s="197" t="s">
        <v>79</v>
      </c>
      <c r="I863" s="242" t="s">
        <v>403</v>
      </c>
      <c r="J863" s="242" t="s">
        <v>436</v>
      </c>
      <c r="K863" s="195" t="s">
        <v>71</v>
      </c>
      <c r="L863" s="20" t="str">
        <f ca="1">IF(OFFSET(환산공식!$ED$15,$F863,0)=1,"O","X")</f>
        <v>X</v>
      </c>
      <c r="M863" s="188">
        <f ca="1">IFERROR(OFFSET(환산공식!DJ$15,$F863,0),"")</f>
        <v>200</v>
      </c>
      <c r="N863" s="20" t="str">
        <f ca="1">IFERROR(CONCATENATE(ROUND(OFFSET(환산공식!DK$15,$F863,0),1),"%"),"")</f>
        <v>100%</v>
      </c>
      <c r="O863" s="20">
        <f ca="1">IFERROR(OFFSET(환산공식!DL$15,$F863,0),"")</f>
        <v>0</v>
      </c>
      <c r="P863" s="188" t="str">
        <f t="shared" ca="1" si="26"/>
        <v>3% 이하</v>
      </c>
      <c r="Q863" s="194">
        <f ca="1">IFERROR(ROUND(OFFSET(환산공식!$FG$15,$F863,0),3),"")</f>
        <v>0</v>
      </c>
      <c r="R863" s="194">
        <f ca="1">OFFSET('배치점수 계산기'!H$10,$D863,0)</f>
        <v>600.6</v>
      </c>
      <c r="S863" s="194">
        <f ca="1">OFFSET('배치점수 계산기'!I$10,$D863,0)</f>
        <v>588.4</v>
      </c>
      <c r="T863" s="194">
        <f ca="1">OFFSET('배치점수 계산기'!J$10,$D863,0)</f>
        <v>582.5</v>
      </c>
      <c r="U863" s="194">
        <f ca="1">OFFSET('배치점수 계산기'!K$10,$D863,0)</f>
        <v>574.4</v>
      </c>
      <c r="V863" s="194">
        <f ca="1">OFFSET('배치점수 계산기'!L$10,$D863,0)</f>
        <v>565.29999999999995</v>
      </c>
      <c r="W863" s="186" t="str">
        <f ca="1">OFFSET('배치점수 계산기'!M$10,$D863,0)</f>
        <v>백분위</v>
      </c>
      <c r="X863" s="184" t="str">
        <f ca="1">OFFSET('배치점수 계산기'!N$10,$D863,0)</f>
        <v>백분위</v>
      </c>
      <c r="Y863" s="188">
        <f ca="1">OFFSET(환산공식!FW$15,$F863,0)</f>
        <v>0.33</v>
      </c>
      <c r="Z863" s="20">
        <f ca="1">OFFSET(환산공식!FX$15,$F863,0)</f>
        <v>0.33</v>
      </c>
      <c r="AA863" s="179">
        <f ca="1">OFFSET(환산공식!FY$15,$F863,0)</f>
        <v>0.33</v>
      </c>
      <c r="AB863" s="3"/>
      <c r="AD863">
        <f t="shared" ca="1" si="27"/>
        <v>6</v>
      </c>
    </row>
    <row r="864" spans="1:30">
      <c r="A864" s="198"/>
      <c r="B864" s="198"/>
      <c r="C864" s="198" t="s">
        <v>2316</v>
      </c>
      <c r="D864" s="195">
        <v>1879</v>
      </c>
      <c r="E864" s="195">
        <v>239</v>
      </c>
      <c r="F864" s="195">
        <v>239</v>
      </c>
      <c r="G864" s="239">
        <v>857</v>
      </c>
      <c r="H864" s="197" t="s">
        <v>79</v>
      </c>
      <c r="I864" s="242" t="s">
        <v>403</v>
      </c>
      <c r="J864" s="242" t="s">
        <v>439</v>
      </c>
      <c r="K864" s="195" t="s">
        <v>71</v>
      </c>
      <c r="L864" s="20" t="str">
        <f ca="1">IF(OFFSET(환산공식!$ED$15,$F864,0)=1,"O","X")</f>
        <v>X</v>
      </c>
      <c r="M864" s="188">
        <f ca="1">IFERROR(OFFSET(환산공식!DJ$15,$F864,0),"")</f>
        <v>200</v>
      </c>
      <c r="N864" s="20" t="str">
        <f ca="1">IFERROR(CONCATENATE(ROUND(OFFSET(환산공식!DK$15,$F864,0),1),"%"),"")</f>
        <v>100%</v>
      </c>
      <c r="O864" s="20">
        <f ca="1">IFERROR(OFFSET(환산공식!DL$15,$F864,0),"")</f>
        <v>0</v>
      </c>
      <c r="P864" s="188" t="str">
        <f t="shared" ca="1" si="26"/>
        <v>3% 이하</v>
      </c>
      <c r="Q864" s="194">
        <f ca="1">IFERROR(ROUND(OFFSET(환산공식!$FG$15,$F864,0),3),"")</f>
        <v>0</v>
      </c>
      <c r="R864" s="194">
        <f ca="1">OFFSET('배치점수 계산기'!H$10,$D864,0)</f>
        <v>587</v>
      </c>
      <c r="S864" s="194">
        <f ca="1">OFFSET('배치점수 계산기'!I$10,$D864,0)</f>
        <v>579.9</v>
      </c>
      <c r="T864" s="194">
        <f ca="1">OFFSET('배치점수 계산기'!J$10,$D864,0)</f>
        <v>574</v>
      </c>
      <c r="U864" s="194">
        <f ca="1">OFFSET('배치점수 계산기'!K$10,$D864,0)</f>
        <v>564.70000000000005</v>
      </c>
      <c r="V864" s="194">
        <f ca="1">OFFSET('배치점수 계산기'!L$10,$D864,0)</f>
        <v>555.70000000000005</v>
      </c>
      <c r="W864" s="186" t="str">
        <f ca="1">OFFSET('배치점수 계산기'!M$10,$D864,0)</f>
        <v>백분위</v>
      </c>
      <c r="X864" s="184" t="str">
        <f ca="1">OFFSET('배치점수 계산기'!N$10,$D864,0)</f>
        <v>백분위</v>
      </c>
      <c r="Y864" s="188">
        <f ca="1">OFFSET(환산공식!FW$15,$F864,0)</f>
        <v>0.33</v>
      </c>
      <c r="Z864" s="20">
        <f ca="1">OFFSET(환산공식!FX$15,$F864,0)</f>
        <v>0.33</v>
      </c>
      <c r="AA864" s="179">
        <f ca="1">OFFSET(환산공식!FY$15,$F864,0)</f>
        <v>0.33</v>
      </c>
      <c r="AB864" s="3"/>
      <c r="AD864">
        <f t="shared" ca="1" si="27"/>
        <v>6</v>
      </c>
    </row>
    <row r="865" spans="1:30">
      <c r="A865" s="198"/>
      <c r="B865" s="198"/>
      <c r="C865" s="198" t="s">
        <v>2317</v>
      </c>
      <c r="D865" s="195">
        <v>1880</v>
      </c>
      <c r="E865" s="195">
        <v>239</v>
      </c>
      <c r="F865" s="195">
        <v>239</v>
      </c>
      <c r="G865" s="239">
        <v>858</v>
      </c>
      <c r="H865" s="197" t="s">
        <v>79</v>
      </c>
      <c r="I865" s="242" t="s">
        <v>403</v>
      </c>
      <c r="J865" s="242" t="s">
        <v>440</v>
      </c>
      <c r="K865" s="195" t="s">
        <v>71</v>
      </c>
      <c r="L865" s="20" t="str">
        <f ca="1">IF(OFFSET(환산공식!$ED$15,$F865,0)=1,"O","X")</f>
        <v>X</v>
      </c>
      <c r="M865" s="188">
        <f ca="1">IFERROR(OFFSET(환산공식!DJ$15,$F865,0),"")</f>
        <v>200</v>
      </c>
      <c r="N865" s="20" t="str">
        <f ca="1">IFERROR(CONCATENATE(ROUND(OFFSET(환산공식!DK$15,$F865,0),1),"%"),"")</f>
        <v>100%</v>
      </c>
      <c r="O865" s="20">
        <f ca="1">IFERROR(OFFSET(환산공식!DL$15,$F865,0),"")</f>
        <v>0</v>
      </c>
      <c r="P865" s="188" t="str">
        <f t="shared" ca="1" si="26"/>
        <v>3% 이하</v>
      </c>
      <c r="Q865" s="194">
        <f ca="1">IFERROR(ROUND(OFFSET(환산공식!$FG$15,$F865,0),3),"")</f>
        <v>0</v>
      </c>
      <c r="R865" s="194">
        <f ca="1">OFFSET('배치점수 계산기'!H$10,$D865,0)</f>
        <v>574.4</v>
      </c>
      <c r="S865" s="194">
        <f ca="1">OFFSET('배치점수 계산기'!I$10,$D865,0)</f>
        <v>567.29999999999995</v>
      </c>
      <c r="T865" s="194">
        <f ca="1">OFFSET('배치점수 계산기'!J$10,$D865,0)</f>
        <v>557.6</v>
      </c>
      <c r="U865" s="194">
        <f ca="1">OFFSET('배치점수 계산기'!K$10,$D865,0)</f>
        <v>540.4</v>
      </c>
      <c r="V865" s="194">
        <f ca="1">OFFSET('배치점수 계산기'!L$10,$D865,0)</f>
        <v>520.20000000000005</v>
      </c>
      <c r="W865" s="186" t="str">
        <f ca="1">OFFSET('배치점수 계산기'!M$10,$D865,0)</f>
        <v>백분위</v>
      </c>
      <c r="X865" s="184" t="str">
        <f ca="1">OFFSET('배치점수 계산기'!N$10,$D865,0)</f>
        <v>백분위</v>
      </c>
      <c r="Y865" s="188">
        <f ca="1">OFFSET(환산공식!FW$15,$F865,0)</f>
        <v>0.33</v>
      </c>
      <c r="Z865" s="20">
        <f ca="1">OFFSET(환산공식!FX$15,$F865,0)</f>
        <v>0.33</v>
      </c>
      <c r="AA865" s="179">
        <f ca="1">OFFSET(환산공식!FY$15,$F865,0)</f>
        <v>0.33</v>
      </c>
      <c r="AB865" s="3"/>
      <c r="AD865">
        <f t="shared" ca="1" si="27"/>
        <v>6</v>
      </c>
    </row>
    <row r="866" spans="1:30">
      <c r="A866" s="198"/>
      <c r="B866" s="198"/>
      <c r="C866" s="198" t="s">
        <v>2318</v>
      </c>
      <c r="D866" s="195">
        <v>1881</v>
      </c>
      <c r="E866" s="195">
        <v>219</v>
      </c>
      <c r="F866" s="195">
        <v>219</v>
      </c>
      <c r="G866" s="239">
        <v>859</v>
      </c>
      <c r="H866" s="197" t="s">
        <v>79</v>
      </c>
      <c r="I866" s="242" t="s">
        <v>213</v>
      </c>
      <c r="J866" s="242" t="s">
        <v>12250</v>
      </c>
      <c r="K866" s="195" t="s">
        <v>71</v>
      </c>
      <c r="L866" s="20" t="str">
        <f ca="1">IF(OFFSET(환산공식!$ED$15,$F866,0)=1,"O","X")</f>
        <v>X</v>
      </c>
      <c r="M866" s="188">
        <f ca="1">IFERROR(OFFSET(환산공식!DJ$15,$F866,0),"")</f>
        <v>200</v>
      </c>
      <c r="N866" s="20" t="str">
        <f ca="1">IFERROR(CONCATENATE(ROUND(OFFSET(환산공식!DK$15,$F866,0),1),"%"),"")</f>
        <v>100%</v>
      </c>
      <c r="O866" s="20">
        <f ca="1">IFERROR(OFFSET(환산공식!DL$15,$F866,0),"")</f>
        <v>10</v>
      </c>
      <c r="P866" s="188" t="str">
        <f t="shared" ca="1" si="26"/>
        <v>3% 이하</v>
      </c>
      <c r="Q866" s="194">
        <f ca="1">IFERROR(ROUND(OFFSET(환산공식!$FG$15,$F866,0),3),"")</f>
        <v>0</v>
      </c>
      <c r="R866" s="194">
        <f ca="1">OFFSET('배치점수 계산기'!H$10,$D866,0)</f>
        <v>821.351</v>
      </c>
      <c r="S866" s="194">
        <f ca="1">OFFSET('배치점수 계산기'!I$10,$D866,0)</f>
        <v>803.95100000000002</v>
      </c>
      <c r="T866" s="194">
        <f ca="1">OFFSET('배치점수 계산기'!J$10,$D866,0)</f>
        <v>796.08199999999999</v>
      </c>
      <c r="U866" s="194">
        <f ca="1">OFFSET('배치점수 계산기'!K$10,$D866,0)</f>
        <v>786.78099999999995</v>
      </c>
      <c r="V866" s="194">
        <f ca="1">OFFSET('배치점수 계산기'!L$10,$D866,0)</f>
        <v>778.60900000000004</v>
      </c>
      <c r="W866" s="186" t="str">
        <f ca="1">OFFSET('배치점수 계산기'!M$10,$D866,0)</f>
        <v>백분위</v>
      </c>
      <c r="X866" s="184" t="str">
        <f ca="1">OFFSET('배치점수 계산기'!N$10,$D866,0)</f>
        <v>백분위</v>
      </c>
      <c r="Y866" s="188">
        <f ca="1">OFFSET(환산공식!FW$15,$F866,0)</f>
        <v>0.38</v>
      </c>
      <c r="Z866" s="20">
        <f ca="1">OFFSET(환산공식!FX$15,$F866,0)</f>
        <v>0.25</v>
      </c>
      <c r="AA866" s="179">
        <f ca="1">OFFSET(환산공식!FY$15,$F866,0)</f>
        <v>0.38</v>
      </c>
      <c r="AB866" s="3"/>
      <c r="AD866">
        <f t="shared" ca="1" si="27"/>
        <v>6</v>
      </c>
    </row>
    <row r="867" spans="1:30">
      <c r="A867" s="198"/>
      <c r="B867" s="198"/>
      <c r="C867" s="198" t="s">
        <v>2319</v>
      </c>
      <c r="D867" s="195">
        <v>1882</v>
      </c>
      <c r="E867" s="195">
        <v>240</v>
      </c>
      <c r="F867" s="195">
        <v>240</v>
      </c>
      <c r="G867" s="239">
        <v>860</v>
      </c>
      <c r="H867" s="197" t="s">
        <v>79</v>
      </c>
      <c r="I867" s="242" t="s">
        <v>404</v>
      </c>
      <c r="J867" s="242" t="s">
        <v>436</v>
      </c>
      <c r="K867" s="195" t="s">
        <v>71</v>
      </c>
      <c r="L867" s="20" t="str">
        <f ca="1">IF(OFFSET(환산공식!$ED$15,$F867,0)=1,"O","X")</f>
        <v>X</v>
      </c>
      <c r="M867" s="188">
        <f ca="1">IFERROR(OFFSET(환산공식!DJ$15,$F867,0),"")</f>
        <v>200</v>
      </c>
      <c r="N867" s="20" t="str">
        <f ca="1">IFERROR(CONCATENATE(ROUND(OFFSET(환산공식!DK$15,$F867,0),1),"%"),"")</f>
        <v>100%</v>
      </c>
      <c r="O867" s="20">
        <f ca="1">IFERROR(OFFSET(환산공식!DL$15,$F867,0),"")</f>
        <v>0</v>
      </c>
      <c r="P867" s="188" t="str">
        <f t="shared" ca="1" si="26"/>
        <v>3% 이하</v>
      </c>
      <c r="Q867" s="194">
        <f ca="1">IFERROR(ROUND(OFFSET(환산공식!$FG$15,$F867,0),3),"")</f>
        <v>0</v>
      </c>
      <c r="R867" s="194">
        <f ca="1">OFFSET('배치점수 계산기'!H$10,$D867,0)</f>
        <v>636.6</v>
      </c>
      <c r="S867" s="194">
        <f ca="1">OFFSET('배치점수 계산기'!I$10,$D867,0)</f>
        <v>628.58000000000004</v>
      </c>
      <c r="T867" s="194">
        <f ca="1">OFFSET('배치점수 계산기'!J$10,$D867,0)</f>
        <v>620.20000000000005</v>
      </c>
      <c r="U867" s="194">
        <f ca="1">OFFSET('배치점수 계산기'!K$10,$D867,0)</f>
        <v>608.46</v>
      </c>
      <c r="V867" s="194">
        <f ca="1">OFFSET('배치점수 계산기'!L$10,$D867,0)</f>
        <v>598.22</v>
      </c>
      <c r="W867" s="186" t="str">
        <f ca="1">OFFSET('배치점수 계산기'!M$10,$D867,0)</f>
        <v>백분위</v>
      </c>
      <c r="X867" s="184" t="str">
        <f ca="1">OFFSET('배치점수 계산기'!N$10,$D867,0)</f>
        <v>백분위</v>
      </c>
      <c r="Y867" s="188">
        <f ca="1">OFFSET(환산공식!FW$15,$F867,0)</f>
        <v>0.33</v>
      </c>
      <c r="Z867" s="20">
        <f ca="1">OFFSET(환산공식!FX$15,$F867,0)</f>
        <v>0.33</v>
      </c>
      <c r="AA867" s="179">
        <f ca="1">OFFSET(환산공식!FY$15,$F867,0)</f>
        <v>0.33</v>
      </c>
      <c r="AB867" s="3"/>
      <c r="AD867">
        <f t="shared" ca="1" si="27"/>
        <v>6</v>
      </c>
    </row>
    <row r="868" spans="1:30">
      <c r="A868" s="198"/>
      <c r="B868" s="198"/>
      <c r="C868" s="198" t="s">
        <v>2320</v>
      </c>
      <c r="D868" s="195">
        <v>1883</v>
      </c>
      <c r="E868" s="195">
        <v>240</v>
      </c>
      <c r="F868" s="195">
        <v>240</v>
      </c>
      <c r="G868" s="239">
        <v>861</v>
      </c>
      <c r="H868" s="197" t="s">
        <v>79</v>
      </c>
      <c r="I868" s="242" t="s">
        <v>404</v>
      </c>
      <c r="J868" s="242" t="s">
        <v>439</v>
      </c>
      <c r="K868" s="195" t="s">
        <v>71</v>
      </c>
      <c r="L868" s="20" t="str">
        <f ca="1">IF(OFFSET(환산공식!$ED$15,$F868,0)=1,"O","X")</f>
        <v>X</v>
      </c>
      <c r="M868" s="188">
        <f ca="1">IFERROR(OFFSET(환산공식!DJ$15,$F868,0),"")</f>
        <v>200</v>
      </c>
      <c r="N868" s="20" t="str">
        <f ca="1">IFERROR(CONCATENATE(ROUND(OFFSET(환산공식!DK$15,$F868,0),1),"%"),"")</f>
        <v>100%</v>
      </c>
      <c r="O868" s="20">
        <f ca="1">IFERROR(OFFSET(환산공식!DL$15,$F868,0),"")</f>
        <v>0</v>
      </c>
      <c r="P868" s="188" t="str">
        <f t="shared" ca="1" si="26"/>
        <v>3% 이하</v>
      </c>
      <c r="Q868" s="194">
        <f ca="1">IFERROR(ROUND(OFFSET(환산공식!$FG$15,$F868,0),3),"")</f>
        <v>0</v>
      </c>
      <c r="R868" s="194">
        <f ca="1">OFFSET('배치점수 계산기'!H$10,$D868,0)</f>
        <v>620.20000000000005</v>
      </c>
      <c r="S868" s="194">
        <f ca="1">OFFSET('배치점수 계산기'!I$10,$D868,0)</f>
        <v>608.46</v>
      </c>
      <c r="T868" s="194">
        <f ca="1">OFFSET('배치점수 계산기'!J$10,$D868,0)</f>
        <v>600.08000000000004</v>
      </c>
      <c r="U868" s="194">
        <f ca="1">OFFSET('배치점수 계산기'!K$10,$D868,0)</f>
        <v>589.44000000000005</v>
      </c>
      <c r="V868" s="194">
        <f ca="1">OFFSET('배치점수 계산기'!L$10,$D868,0)</f>
        <v>578.9</v>
      </c>
      <c r="W868" s="186" t="str">
        <f ca="1">OFFSET('배치점수 계산기'!M$10,$D868,0)</f>
        <v>백분위</v>
      </c>
      <c r="X868" s="184" t="str">
        <f ca="1">OFFSET('배치점수 계산기'!N$10,$D868,0)</f>
        <v>백분위</v>
      </c>
      <c r="Y868" s="188">
        <f ca="1">OFFSET(환산공식!FW$15,$F868,0)</f>
        <v>0.33</v>
      </c>
      <c r="Z868" s="20">
        <f ca="1">OFFSET(환산공식!FX$15,$F868,0)</f>
        <v>0.33</v>
      </c>
      <c r="AA868" s="179">
        <f ca="1">OFFSET(환산공식!FY$15,$F868,0)</f>
        <v>0.33</v>
      </c>
      <c r="AB868" s="3"/>
      <c r="AD868">
        <f t="shared" ca="1" si="27"/>
        <v>6</v>
      </c>
    </row>
    <row r="869" spans="1:30">
      <c r="A869" s="198"/>
      <c r="B869" s="198"/>
      <c r="C869" s="198" t="s">
        <v>2321</v>
      </c>
      <c r="D869" s="195">
        <v>1884</v>
      </c>
      <c r="E869" s="195">
        <v>240</v>
      </c>
      <c r="F869" s="195">
        <v>240</v>
      </c>
      <c r="G869" s="239">
        <v>862</v>
      </c>
      <c r="H869" s="197" t="s">
        <v>79</v>
      </c>
      <c r="I869" s="242" t="s">
        <v>404</v>
      </c>
      <c r="J869" s="242" t="s">
        <v>440</v>
      </c>
      <c r="K869" s="195" t="s">
        <v>71</v>
      </c>
      <c r="L869" s="20" t="str">
        <f ca="1">IF(OFFSET(환산공식!$ED$15,$F869,0)=1,"O","X")</f>
        <v>X</v>
      </c>
      <c r="M869" s="188">
        <f ca="1">IFERROR(OFFSET(환산공식!DJ$15,$F869,0),"")</f>
        <v>200</v>
      </c>
      <c r="N869" s="20" t="str">
        <f ca="1">IFERROR(CONCATENATE(ROUND(OFFSET(환산공식!DK$15,$F869,0),1),"%"),"")</f>
        <v>100%</v>
      </c>
      <c r="O869" s="20">
        <f ca="1">IFERROR(OFFSET(환산공식!DL$15,$F869,0),"")</f>
        <v>0</v>
      </c>
      <c r="P869" s="188" t="str">
        <f t="shared" ca="1" si="26"/>
        <v>3% 이하</v>
      </c>
      <c r="Q869" s="194">
        <f ca="1">IFERROR(ROUND(OFFSET(환산공식!$FG$15,$F869,0),3),"")</f>
        <v>0</v>
      </c>
      <c r="R869" s="194">
        <f ca="1">OFFSET('배치점수 계산기'!H$10,$D869,0)</f>
        <v>555.41999999999996</v>
      </c>
      <c r="S869" s="194">
        <f ca="1">OFFSET('배치점수 계산기'!I$10,$D869,0)</f>
        <v>547.9</v>
      </c>
      <c r="T869" s="194">
        <f ca="1">OFFSET('배치점수 계산기'!J$10,$D869,0)</f>
        <v>540.91999999999996</v>
      </c>
      <c r="U869" s="194">
        <f ca="1">OFFSET('배치점수 계산기'!K$10,$D869,0)</f>
        <v>523.46</v>
      </c>
      <c r="V869" s="194">
        <f ca="1">OFFSET('배치점수 계산기'!L$10,$D869,0)</f>
        <v>501.98</v>
      </c>
      <c r="W869" s="186" t="str">
        <f ca="1">OFFSET('배치점수 계산기'!M$10,$D869,0)</f>
        <v>백분위</v>
      </c>
      <c r="X869" s="184" t="str">
        <f ca="1">OFFSET('배치점수 계산기'!N$10,$D869,0)</f>
        <v>백분위</v>
      </c>
      <c r="Y869" s="188">
        <f ca="1">OFFSET(환산공식!FW$15,$F869,0)</f>
        <v>0.33</v>
      </c>
      <c r="Z869" s="20">
        <f ca="1">OFFSET(환산공식!FX$15,$F869,0)</f>
        <v>0.33</v>
      </c>
      <c r="AA869" s="179">
        <f ca="1">OFFSET(환산공식!FY$15,$F869,0)</f>
        <v>0.33</v>
      </c>
      <c r="AB869" s="3"/>
      <c r="AD869">
        <f t="shared" ca="1" si="27"/>
        <v>6</v>
      </c>
    </row>
    <row r="870" spans="1:30">
      <c r="A870" s="198"/>
      <c r="B870" s="198"/>
      <c r="C870" s="198" t="s">
        <v>2322</v>
      </c>
      <c r="D870" s="195">
        <v>1885</v>
      </c>
      <c r="E870" s="195">
        <v>241</v>
      </c>
      <c r="F870" s="195">
        <v>241</v>
      </c>
      <c r="G870" s="239">
        <v>863</v>
      </c>
      <c r="H870" s="197" t="s">
        <v>79</v>
      </c>
      <c r="I870" s="242" t="s">
        <v>405</v>
      </c>
      <c r="J870" s="242" t="s">
        <v>436</v>
      </c>
      <c r="K870" s="195" t="s">
        <v>71</v>
      </c>
      <c r="L870" s="20" t="str">
        <f ca="1">IF(OFFSET(환산공식!$ED$15,$F870,0)=1,"O","X")</f>
        <v>X</v>
      </c>
      <c r="M870" s="188">
        <f ca="1">IFERROR(OFFSET(환산공식!DJ$15,$F870,0),"")</f>
        <v>200</v>
      </c>
      <c r="N870" s="20" t="str">
        <f ca="1">IFERROR(CONCATENATE(ROUND(OFFSET(환산공식!DK$15,$F870,0),1),"%"),"")</f>
        <v>100%</v>
      </c>
      <c r="O870" s="20">
        <f ca="1">IFERROR(OFFSET(환산공식!DL$15,$F870,0),"")</f>
        <v>0</v>
      </c>
      <c r="P870" s="188" t="str">
        <f t="shared" ca="1" si="26"/>
        <v>3% 이하</v>
      </c>
      <c r="Q870" s="194">
        <f ca="1">IFERROR(ROUND(OFFSET(환산공식!$FG$15,$F870,0),3),"")</f>
        <v>0</v>
      </c>
      <c r="R870" s="194">
        <f ca="1">OFFSET('배치점수 계산기'!H$10,$D870,0)</f>
        <v>545.62</v>
      </c>
      <c r="S870" s="194">
        <f ca="1">OFFSET('배치점수 계산기'!I$10,$D870,0)</f>
        <v>540.22</v>
      </c>
      <c r="T870" s="194">
        <f ca="1">OFFSET('배치점수 계산기'!J$10,$D870,0)</f>
        <v>537.88</v>
      </c>
      <c r="U870" s="194">
        <f ca="1">OFFSET('배치점수 계산기'!K$10,$D870,0)</f>
        <v>535.52</v>
      </c>
      <c r="V870" s="194">
        <f ca="1">OFFSET('배치점수 계산기'!L$10,$D870,0)</f>
        <v>532.88</v>
      </c>
      <c r="W870" s="186" t="str">
        <f ca="1">OFFSET('배치점수 계산기'!M$10,$D870,0)</f>
        <v>표점</v>
      </c>
      <c r="X870" s="184" t="str">
        <f ca="1">OFFSET('배치점수 계산기'!N$10,$D870,0)</f>
        <v>표점</v>
      </c>
      <c r="Y870" s="188">
        <f ca="1">OFFSET(환산공식!FW$15,$F870,0)</f>
        <v>0.33</v>
      </c>
      <c r="Z870" s="20">
        <f ca="1">OFFSET(환산공식!FX$15,$F870,0)</f>
        <v>0.33</v>
      </c>
      <c r="AA870" s="179">
        <f ca="1">OFFSET(환산공식!FY$15,$F870,0)</f>
        <v>0.33</v>
      </c>
      <c r="AB870" s="3"/>
      <c r="AD870">
        <f t="shared" ca="1" si="27"/>
        <v>6</v>
      </c>
    </row>
    <row r="871" spans="1:30">
      <c r="A871" s="198"/>
      <c r="B871" s="198"/>
      <c r="C871" s="198" t="s">
        <v>2323</v>
      </c>
      <c r="D871" s="195">
        <v>1886</v>
      </c>
      <c r="E871" s="195">
        <v>241</v>
      </c>
      <c r="F871" s="195">
        <v>241</v>
      </c>
      <c r="G871" s="239">
        <v>864</v>
      </c>
      <c r="H871" s="197" t="s">
        <v>79</v>
      </c>
      <c r="I871" s="242" t="s">
        <v>405</v>
      </c>
      <c r="J871" s="242" t="s">
        <v>439</v>
      </c>
      <c r="K871" s="195" t="s">
        <v>71</v>
      </c>
      <c r="L871" s="20" t="str">
        <f ca="1">IF(OFFSET(환산공식!$ED$15,$F871,0)=1,"O","X")</f>
        <v>X</v>
      </c>
      <c r="M871" s="188">
        <f ca="1">IFERROR(OFFSET(환산공식!DJ$15,$F871,0),"")</f>
        <v>200</v>
      </c>
      <c r="N871" s="20" t="str">
        <f ca="1">IFERROR(CONCATENATE(ROUND(OFFSET(환산공식!DK$15,$F871,0),1),"%"),"")</f>
        <v>100%</v>
      </c>
      <c r="O871" s="20">
        <f ca="1">IFERROR(OFFSET(환산공식!DL$15,$F871,0),"")</f>
        <v>0</v>
      </c>
      <c r="P871" s="188" t="str">
        <f t="shared" ca="1" si="26"/>
        <v>3% 이하</v>
      </c>
      <c r="Q871" s="194">
        <f ca="1">IFERROR(ROUND(OFFSET(환산공식!$FG$15,$F871,0),3),"")</f>
        <v>0</v>
      </c>
      <c r="R871" s="194">
        <f ca="1">OFFSET('배치점수 계산기'!H$10,$D871,0)</f>
        <v>516.08000000000004</v>
      </c>
      <c r="S871" s="194">
        <f ca="1">OFFSET('배치점수 계산기'!I$10,$D871,0)</f>
        <v>513.41999999999996</v>
      </c>
      <c r="T871" s="194">
        <f ca="1">OFFSET('배치점수 계산기'!J$10,$D871,0)</f>
        <v>511.16</v>
      </c>
      <c r="U871" s="194">
        <f ca="1">OFFSET('배치점수 계산기'!K$10,$D871,0)</f>
        <v>508.8</v>
      </c>
      <c r="V871" s="194">
        <f ca="1">OFFSET('배치점수 계산기'!L$10,$D871,0)</f>
        <v>505.66</v>
      </c>
      <c r="W871" s="186" t="str">
        <f ca="1">OFFSET('배치점수 계산기'!M$10,$D871,0)</f>
        <v>표점</v>
      </c>
      <c r="X871" s="184" t="str">
        <f ca="1">OFFSET('배치점수 계산기'!N$10,$D871,0)</f>
        <v>표점</v>
      </c>
      <c r="Y871" s="188">
        <f ca="1">OFFSET(환산공식!FW$15,$F871,0)</f>
        <v>0.33</v>
      </c>
      <c r="Z871" s="20">
        <f ca="1">OFFSET(환산공식!FX$15,$F871,0)</f>
        <v>0.33</v>
      </c>
      <c r="AA871" s="179">
        <f ca="1">OFFSET(환산공식!FY$15,$F871,0)</f>
        <v>0.33</v>
      </c>
      <c r="AB871" s="3"/>
      <c r="AD871">
        <f t="shared" ca="1" si="27"/>
        <v>6</v>
      </c>
    </row>
    <row r="872" spans="1:30">
      <c r="A872" s="198"/>
      <c r="B872" s="198"/>
      <c r="C872" s="198" t="s">
        <v>2324</v>
      </c>
      <c r="D872" s="195">
        <v>1887</v>
      </c>
      <c r="E872" s="195">
        <v>241</v>
      </c>
      <c r="F872" s="195">
        <v>241</v>
      </c>
      <c r="G872" s="239">
        <v>865</v>
      </c>
      <c r="H872" s="197" t="s">
        <v>79</v>
      </c>
      <c r="I872" s="242" t="s">
        <v>405</v>
      </c>
      <c r="J872" s="242" t="s">
        <v>440</v>
      </c>
      <c r="K872" s="195" t="s">
        <v>71</v>
      </c>
      <c r="L872" s="20" t="str">
        <f ca="1">IF(OFFSET(환산공식!$ED$15,$F872,0)=1,"O","X")</f>
        <v>X</v>
      </c>
      <c r="M872" s="188">
        <f ca="1">IFERROR(OFFSET(환산공식!DJ$15,$F872,0),"")</f>
        <v>200</v>
      </c>
      <c r="N872" s="20" t="str">
        <f ca="1">IFERROR(CONCATENATE(ROUND(OFFSET(환산공식!DK$15,$F872,0),1),"%"),"")</f>
        <v>100%</v>
      </c>
      <c r="O872" s="20">
        <f ca="1">IFERROR(OFFSET(환산공식!DL$15,$F872,0),"")</f>
        <v>0</v>
      </c>
      <c r="P872" s="188" t="str">
        <f t="shared" ca="1" si="26"/>
        <v>3% 이하</v>
      </c>
      <c r="Q872" s="194">
        <f ca="1">IFERROR(ROUND(OFFSET(환산공식!$FG$15,$F872,0),3),"")</f>
        <v>0</v>
      </c>
      <c r="R872" s="194">
        <f ca="1">OFFSET('배치점수 계산기'!H$10,$D872,0)</f>
        <v>499.06</v>
      </c>
      <c r="S872" s="194">
        <f ca="1">OFFSET('배치점수 계산기'!I$10,$D872,0)</f>
        <v>496.5</v>
      </c>
      <c r="T872" s="194">
        <f ca="1">OFFSET('배치점수 계산기'!J$10,$D872,0)</f>
        <v>493.16</v>
      </c>
      <c r="U872" s="194">
        <f ca="1">OFFSET('배치점수 계산기'!K$10,$D872,0)</f>
        <v>486.66</v>
      </c>
      <c r="V872" s="194">
        <f ca="1">OFFSET('배치점수 계산기'!L$10,$D872,0)</f>
        <v>483.26</v>
      </c>
      <c r="W872" s="186" t="str">
        <f ca="1">OFFSET('배치점수 계산기'!M$10,$D872,0)</f>
        <v>표점</v>
      </c>
      <c r="X872" s="184" t="str">
        <f ca="1">OFFSET('배치점수 계산기'!N$10,$D872,0)</f>
        <v>표점</v>
      </c>
      <c r="Y872" s="188">
        <f ca="1">OFFSET(환산공식!FW$15,$F872,0)</f>
        <v>0.33</v>
      </c>
      <c r="Z872" s="20">
        <f ca="1">OFFSET(환산공식!FX$15,$F872,0)</f>
        <v>0.33</v>
      </c>
      <c r="AA872" s="179">
        <f ca="1">OFFSET(환산공식!FY$15,$F872,0)</f>
        <v>0.33</v>
      </c>
      <c r="AB872" s="3"/>
      <c r="AD872">
        <f t="shared" ca="1" si="27"/>
        <v>6</v>
      </c>
    </row>
    <row r="873" spans="1:30">
      <c r="A873" s="198"/>
      <c r="B873" s="198"/>
      <c r="C873" s="198" t="s">
        <v>2325</v>
      </c>
      <c r="D873" s="195">
        <v>1888</v>
      </c>
      <c r="E873" s="195">
        <v>242</v>
      </c>
      <c r="F873" s="195">
        <v>242</v>
      </c>
      <c r="G873" s="239">
        <v>866</v>
      </c>
      <c r="H873" s="197" t="s">
        <v>79</v>
      </c>
      <c r="I873" s="242" t="s">
        <v>406</v>
      </c>
      <c r="J873" s="242" t="s">
        <v>439</v>
      </c>
      <c r="K873" s="195" t="s">
        <v>71</v>
      </c>
      <c r="L873" s="20" t="str">
        <f ca="1">IF(OFFSET(환산공식!$ED$15,$F873,0)=1,"O","X")</f>
        <v>X</v>
      </c>
      <c r="M873" s="188">
        <f ca="1">IFERROR(OFFSET(환산공식!DJ$15,$F873,0),"")</f>
        <v>100</v>
      </c>
      <c r="N873" s="20" t="str">
        <f ca="1">IFERROR(CONCATENATE(ROUND(OFFSET(환산공식!DK$15,$F873,0),1),"%"),"")</f>
        <v>100%</v>
      </c>
      <c r="O873" s="20">
        <f ca="1">IFERROR(OFFSET(환산공식!DL$15,$F873,0),"")</f>
        <v>10</v>
      </c>
      <c r="P873" s="188" t="str">
        <f t="shared" ca="1" si="26"/>
        <v>3% 이하</v>
      </c>
      <c r="Q873" s="194">
        <f ca="1">IFERROR(ROUND(OFFSET(환산공식!$FG$15,$F873,0),3),"")</f>
        <v>0</v>
      </c>
      <c r="R873" s="194">
        <f ca="1">OFFSET('배치점수 계산기'!H$10,$D873,0)</f>
        <v>401.74</v>
      </c>
      <c r="S873" s="194">
        <f ca="1">OFFSET('배치점수 계산기'!I$10,$D873,0)</f>
        <v>399.60399999999998</v>
      </c>
      <c r="T873" s="194">
        <f ca="1">OFFSET('배치점수 계산기'!J$10,$D873,0)</f>
        <v>397.48399999999998</v>
      </c>
      <c r="U873" s="194">
        <f ca="1">OFFSET('배치점수 계산기'!K$10,$D873,0)</f>
        <v>394.64</v>
      </c>
      <c r="V873" s="194">
        <f ca="1">OFFSET('배치점수 계산기'!L$10,$D873,0)</f>
        <v>391.76400000000001</v>
      </c>
      <c r="W873" s="186" t="str">
        <f ca="1">OFFSET('배치점수 계산기'!M$10,$D873,0)</f>
        <v>표점</v>
      </c>
      <c r="X873" s="184" t="str">
        <f ca="1">OFFSET('배치점수 계산기'!N$10,$D873,0)</f>
        <v>표점</v>
      </c>
      <c r="Y873" s="188">
        <f ca="1">OFFSET(환산공식!FW$15,$F873,0)</f>
        <v>0.33</v>
      </c>
      <c r="Z873" s="20">
        <f ca="1">OFFSET(환산공식!FX$15,$F873,0)</f>
        <v>0.33</v>
      </c>
      <c r="AA873" s="179">
        <f ca="1">OFFSET(환산공식!FY$15,$F873,0)</f>
        <v>0.33</v>
      </c>
      <c r="AB873" s="3"/>
      <c r="AD873">
        <f t="shared" ca="1" si="27"/>
        <v>6</v>
      </c>
    </row>
    <row r="874" spans="1:30">
      <c r="A874" s="198"/>
      <c r="B874" s="198"/>
      <c r="C874" s="198" t="s">
        <v>2326</v>
      </c>
      <c r="D874" s="195">
        <v>1889</v>
      </c>
      <c r="E874" s="195">
        <v>242</v>
      </c>
      <c r="F874" s="195">
        <v>242</v>
      </c>
      <c r="G874" s="239">
        <v>867</v>
      </c>
      <c r="H874" s="197" t="s">
        <v>79</v>
      </c>
      <c r="I874" s="242" t="s">
        <v>406</v>
      </c>
      <c r="J874" s="242" t="s">
        <v>436</v>
      </c>
      <c r="K874" s="195" t="s">
        <v>71</v>
      </c>
      <c r="L874" s="20" t="str">
        <f ca="1">IF(OFFSET(환산공식!$ED$15,$F874,0)=1,"O","X")</f>
        <v>X</v>
      </c>
      <c r="M874" s="188">
        <f ca="1">IFERROR(OFFSET(환산공식!DJ$15,$F874,0),"")</f>
        <v>100</v>
      </c>
      <c r="N874" s="20" t="str">
        <f ca="1">IFERROR(CONCATENATE(ROUND(OFFSET(환산공식!DK$15,$F874,0),1),"%"),"")</f>
        <v>100%</v>
      </c>
      <c r="O874" s="20">
        <f ca="1">IFERROR(OFFSET(환산공식!DL$15,$F874,0),"")</f>
        <v>10</v>
      </c>
      <c r="P874" s="188" t="str">
        <f t="shared" ca="1" si="26"/>
        <v>3% 이하</v>
      </c>
      <c r="Q874" s="194">
        <f ca="1">IFERROR(ROUND(OFFSET(환산공식!$FG$15,$F874,0),3),"")</f>
        <v>0</v>
      </c>
      <c r="R874" s="194">
        <f ca="1">OFFSET('배치점수 계산기'!H$10,$D874,0)</f>
        <v>399.404</v>
      </c>
      <c r="S874" s="194">
        <f ca="1">OFFSET('배치점수 계산기'!I$10,$D874,0)</f>
        <v>397.38400000000001</v>
      </c>
      <c r="T874" s="194">
        <f ca="1">OFFSET('배치점수 계산기'!J$10,$D874,0)</f>
        <v>395.904</v>
      </c>
      <c r="U874" s="194">
        <f ca="1">OFFSET('배치점수 계산기'!K$10,$D874,0)</f>
        <v>394</v>
      </c>
      <c r="V874" s="194">
        <f ca="1">OFFSET('배치점수 계산기'!L$10,$D874,0)</f>
        <v>391.39600000000002</v>
      </c>
      <c r="W874" s="186" t="str">
        <f ca="1">OFFSET('배치점수 계산기'!M$10,$D874,0)</f>
        <v>표점</v>
      </c>
      <c r="X874" s="184" t="str">
        <f ca="1">OFFSET('배치점수 계산기'!N$10,$D874,0)</f>
        <v>표점</v>
      </c>
      <c r="Y874" s="188">
        <f ca="1">OFFSET(환산공식!FW$15,$F874,0)</f>
        <v>0.33</v>
      </c>
      <c r="Z874" s="20">
        <f ca="1">OFFSET(환산공식!FX$15,$F874,0)</f>
        <v>0.33</v>
      </c>
      <c r="AA874" s="179">
        <f ca="1">OFFSET(환산공식!FY$15,$F874,0)</f>
        <v>0.33</v>
      </c>
      <c r="AB874" s="3"/>
      <c r="AD874">
        <f t="shared" ca="1" si="27"/>
        <v>6</v>
      </c>
    </row>
    <row r="875" spans="1:30">
      <c r="A875" s="198"/>
      <c r="B875" s="198"/>
      <c r="C875" s="198" t="s">
        <v>2327</v>
      </c>
      <c r="D875" s="195">
        <v>1890</v>
      </c>
      <c r="E875" s="195">
        <v>242</v>
      </c>
      <c r="F875" s="195">
        <v>242</v>
      </c>
      <c r="G875" s="239">
        <v>868</v>
      </c>
      <c r="H875" s="197" t="s">
        <v>79</v>
      </c>
      <c r="I875" s="242" t="s">
        <v>406</v>
      </c>
      <c r="J875" s="242" t="s">
        <v>443</v>
      </c>
      <c r="K875" s="195" t="s">
        <v>71</v>
      </c>
      <c r="L875" s="20" t="str">
        <f ca="1">IF(OFFSET(환산공식!$ED$15,$F875,0)=1,"O","X")</f>
        <v>X</v>
      </c>
      <c r="M875" s="188">
        <f ca="1">IFERROR(OFFSET(환산공식!DJ$15,$F875,0),"")</f>
        <v>100</v>
      </c>
      <c r="N875" s="20" t="str">
        <f ca="1">IFERROR(CONCATENATE(ROUND(OFFSET(환산공식!DK$15,$F875,0),1),"%"),"")</f>
        <v>100%</v>
      </c>
      <c r="O875" s="20">
        <f ca="1">IFERROR(OFFSET(환산공식!DL$15,$F875,0),"")</f>
        <v>10</v>
      </c>
      <c r="P875" s="188" t="str">
        <f t="shared" ca="1" si="26"/>
        <v>3% 이하</v>
      </c>
      <c r="Q875" s="194">
        <f ca="1">IFERROR(ROUND(OFFSET(환산공식!$FG$15,$F875,0),3),"")</f>
        <v>0</v>
      </c>
      <c r="R875" s="194">
        <f ca="1">OFFSET('배치점수 계산기'!H$10,$D875,0)</f>
        <v>392.976</v>
      </c>
      <c r="S875" s="194">
        <f ca="1">OFFSET('배치점수 계산기'!I$10,$D875,0)</f>
        <v>391.14</v>
      </c>
      <c r="T875" s="194">
        <f ca="1">OFFSET('배치점수 계산기'!J$10,$D875,0)</f>
        <v>389.26</v>
      </c>
      <c r="U875" s="194">
        <f ca="1">OFFSET('배치점수 계산기'!K$10,$D875,0)</f>
        <v>386.3</v>
      </c>
      <c r="V875" s="194">
        <f ca="1">OFFSET('배치점수 계산기'!L$10,$D875,0)</f>
        <v>383.14</v>
      </c>
      <c r="W875" s="186" t="str">
        <f ca="1">OFFSET('배치점수 계산기'!M$10,$D875,0)</f>
        <v>표점</v>
      </c>
      <c r="X875" s="184" t="str">
        <f ca="1">OFFSET('배치점수 계산기'!N$10,$D875,0)</f>
        <v>표점</v>
      </c>
      <c r="Y875" s="188">
        <f ca="1">OFFSET(환산공식!FW$15,$F875,0)</f>
        <v>0.33</v>
      </c>
      <c r="Z875" s="20">
        <f ca="1">OFFSET(환산공식!FX$15,$F875,0)</f>
        <v>0.33</v>
      </c>
      <c r="AA875" s="179">
        <f ca="1">OFFSET(환산공식!FY$15,$F875,0)</f>
        <v>0.33</v>
      </c>
      <c r="AB875" s="3"/>
      <c r="AD875">
        <f t="shared" ca="1" si="27"/>
        <v>6</v>
      </c>
    </row>
    <row r="876" spans="1:30">
      <c r="A876" s="198"/>
      <c r="B876" s="198"/>
      <c r="C876" s="198" t="s">
        <v>2328</v>
      </c>
      <c r="D876" s="195">
        <v>1891</v>
      </c>
      <c r="E876" s="195">
        <v>242</v>
      </c>
      <c r="F876" s="195">
        <v>242</v>
      </c>
      <c r="G876" s="239">
        <v>869</v>
      </c>
      <c r="H876" s="197" t="s">
        <v>79</v>
      </c>
      <c r="I876" s="242" t="s">
        <v>406</v>
      </c>
      <c r="J876" s="242" t="s">
        <v>444</v>
      </c>
      <c r="K876" s="195" t="s">
        <v>71</v>
      </c>
      <c r="L876" s="20" t="str">
        <f ca="1">IF(OFFSET(환산공식!$ED$15,$F876,0)=1,"O","X")</f>
        <v>X</v>
      </c>
      <c r="M876" s="188">
        <f ca="1">IFERROR(OFFSET(환산공식!DJ$15,$F876,0),"")</f>
        <v>100</v>
      </c>
      <c r="N876" s="20" t="str">
        <f ca="1">IFERROR(CONCATENATE(ROUND(OFFSET(환산공식!DK$15,$F876,0),1),"%"),"")</f>
        <v>100%</v>
      </c>
      <c r="O876" s="20">
        <f ca="1">IFERROR(OFFSET(환산공식!DL$15,$F876,0),"")</f>
        <v>10</v>
      </c>
      <c r="P876" s="188" t="str">
        <f t="shared" ca="1" si="26"/>
        <v>3% 이하</v>
      </c>
      <c r="Q876" s="194">
        <f ca="1">IFERROR(ROUND(OFFSET(환산공식!$FG$15,$F876,0),3),"")</f>
        <v>0</v>
      </c>
      <c r="R876" s="194">
        <f ca="1">OFFSET('배치점수 계산기'!H$10,$D876,0)</f>
        <v>380.52</v>
      </c>
      <c r="S876" s="194">
        <f ca="1">OFFSET('배치점수 계산기'!I$10,$D876,0)</f>
        <v>378.65600000000001</v>
      </c>
      <c r="T876" s="194">
        <f ca="1">OFFSET('배치점수 계산기'!J$10,$D876,0)</f>
        <v>375.92</v>
      </c>
      <c r="U876" s="194">
        <f ca="1">OFFSET('배치점수 계산기'!K$10,$D876,0)</f>
        <v>369.416</v>
      </c>
      <c r="V876" s="194">
        <f ca="1">OFFSET('배치점수 계산기'!L$10,$D876,0)</f>
        <v>362.58</v>
      </c>
      <c r="W876" s="186" t="str">
        <f ca="1">OFFSET('배치점수 계산기'!M$10,$D876,0)</f>
        <v>표점</v>
      </c>
      <c r="X876" s="184" t="str">
        <f ca="1">OFFSET('배치점수 계산기'!N$10,$D876,0)</f>
        <v>표점</v>
      </c>
      <c r="Y876" s="188">
        <f ca="1">OFFSET(환산공식!FW$15,$F876,0)</f>
        <v>0.33</v>
      </c>
      <c r="Z876" s="20">
        <f ca="1">OFFSET(환산공식!FX$15,$F876,0)</f>
        <v>0.33</v>
      </c>
      <c r="AA876" s="179">
        <f ca="1">OFFSET(환산공식!FY$15,$F876,0)</f>
        <v>0.33</v>
      </c>
      <c r="AB876" s="3"/>
      <c r="AD876">
        <f t="shared" ca="1" si="27"/>
        <v>6</v>
      </c>
    </row>
    <row r="877" spans="1:30">
      <c r="A877" s="198"/>
      <c r="B877" s="198"/>
      <c r="C877" s="198"/>
      <c r="D877" s="195"/>
      <c r="E877" s="195"/>
      <c r="F877" s="195"/>
      <c r="G877" s="239"/>
      <c r="H877" s="197"/>
      <c r="I877" s="242"/>
      <c r="J877" s="242"/>
      <c r="K877" s="195"/>
      <c r="L877" s="20"/>
      <c r="M877" s="188"/>
      <c r="N877" s="20"/>
      <c r="O877" s="20"/>
      <c r="P877" s="188"/>
      <c r="Q877" s="194"/>
      <c r="R877" s="194"/>
      <c r="S877" s="194"/>
      <c r="T877" s="194"/>
      <c r="U877" s="194"/>
      <c r="V877" s="194"/>
      <c r="W877" s="186"/>
      <c r="X877" s="184"/>
      <c r="Y877" s="188"/>
      <c r="Z877" s="20"/>
      <c r="AA877" s="179"/>
      <c r="AB877" s="3"/>
    </row>
    <row r="878" spans="1:30">
      <c r="A878" s="198"/>
      <c r="B878" s="198"/>
      <c r="C878" s="198"/>
      <c r="D878" s="195"/>
      <c r="E878" s="195"/>
      <c r="F878" s="195"/>
      <c r="G878" s="239"/>
      <c r="H878" s="197"/>
      <c r="I878" s="242"/>
      <c r="J878" s="242"/>
      <c r="K878" s="195"/>
      <c r="L878" s="20"/>
      <c r="M878" s="188"/>
      <c r="N878" s="20"/>
      <c r="O878" s="20"/>
      <c r="P878" s="188"/>
      <c r="Q878" s="194"/>
      <c r="R878" s="194"/>
      <c r="S878" s="194"/>
      <c r="T878" s="194"/>
      <c r="U878" s="194"/>
      <c r="V878" s="194"/>
      <c r="W878" s="186"/>
      <c r="X878" s="184"/>
      <c r="Y878" s="188"/>
      <c r="Z878" s="20"/>
      <c r="AA878" s="179"/>
      <c r="AB878" s="3"/>
    </row>
    <row r="879" spans="1:30">
      <c r="A879" s="198"/>
      <c r="B879" s="198"/>
      <c r="C879" s="198"/>
      <c r="D879" s="195"/>
      <c r="E879" s="195"/>
      <c r="F879" s="195"/>
      <c r="G879" s="239"/>
      <c r="H879" s="197"/>
      <c r="I879" s="242"/>
      <c r="J879" s="242"/>
      <c r="K879" s="195"/>
      <c r="L879" s="20"/>
      <c r="M879" s="188"/>
      <c r="N879" s="20"/>
      <c r="O879" s="20"/>
      <c r="P879" s="188"/>
      <c r="Q879" s="194"/>
      <c r="R879" s="194"/>
      <c r="S879" s="194"/>
      <c r="T879" s="194"/>
      <c r="U879" s="194"/>
      <c r="V879" s="194"/>
      <c r="W879" s="186"/>
      <c r="X879" s="184"/>
      <c r="Y879" s="188"/>
      <c r="Z879" s="20"/>
      <c r="AA879" s="179"/>
      <c r="AB879" s="3"/>
    </row>
    <row r="880" spans="1:30">
      <c r="A880" s="198"/>
      <c r="B880" s="198"/>
      <c r="C880" s="198"/>
      <c r="D880" s="195"/>
      <c r="E880" s="195"/>
      <c r="F880" s="195"/>
      <c r="G880" s="239"/>
      <c r="H880" s="644"/>
      <c r="I880" s="546"/>
      <c r="J880" s="546"/>
      <c r="K880" s="545"/>
      <c r="L880" s="547"/>
      <c r="M880" s="548"/>
      <c r="N880" s="547"/>
      <c r="O880" s="547"/>
      <c r="P880" s="548"/>
      <c r="Q880" s="549"/>
      <c r="R880" s="549"/>
      <c r="S880" s="549"/>
      <c r="T880" s="549"/>
      <c r="U880" s="549"/>
      <c r="V880" s="549"/>
      <c r="W880" s="550"/>
      <c r="X880" s="551"/>
      <c r="Y880" s="548"/>
      <c r="Z880" s="547"/>
      <c r="AA880" s="552"/>
      <c r="AB880" s="3"/>
    </row>
  </sheetData>
  <sheetProtection algorithmName="SHA-512" hashValue="Zqdeq0UWmHjO38y7SlqfsVo39psqqbTVsOdmWmW1ROyCTKQgSUmT4OGe3pHmGdkLL5f7Hi7dLw6pdrAHHLEL4g==" saltValue="3FGDH3FcOJXWHUdAXiG4Fg==" spinCount="100000" sheet="1" sort="0" autoFilter="0"/>
  <autoFilter ref="C7:K7" xr:uid="{B03DDE09-7565-46C0-9595-F7237D3E14A7}"/>
  <mergeCells count="7">
    <mergeCell ref="Y6:AA6"/>
    <mergeCell ref="I1:Q3"/>
    <mergeCell ref="R5:V5"/>
    <mergeCell ref="M6:O6"/>
    <mergeCell ref="P6:Q6"/>
    <mergeCell ref="W6:X6"/>
    <mergeCell ref="R2:V3"/>
  </mergeCells>
  <phoneticPr fontId="3" type="noConversion"/>
  <conditionalFormatting sqref="H8:Q880">
    <cfRule type="expression" dxfId="29" priority="1">
      <formula>$AD8=6</formula>
    </cfRule>
    <cfRule type="expression" dxfId="28" priority="2">
      <formula>$AD8=5</formula>
    </cfRule>
    <cfRule type="expression" dxfId="27" priority="3">
      <formula>$AD8=4</formula>
    </cfRule>
    <cfRule type="expression" dxfId="26" priority="4">
      <formula>$AD8=3</formula>
    </cfRule>
    <cfRule type="expression" dxfId="25" priority="5">
      <formula>$AD8=2</formula>
    </cfRule>
    <cfRule type="expression" dxfId="24" priority="6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14A7-ADE3-404A-B8F8-89774669E398}">
  <dimension ref="A1:AH373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min="1" max="1" width="12.33203125" customWidth="1"/>
    <col min="2" max="6" width="9.1640625" hidden="1" customWidth="1"/>
    <col min="7" max="7" width="8.6640625" hidden="1" customWidth="1"/>
    <col min="8" max="8" width="9.1640625" customWidth="1"/>
    <col min="9" max="9" width="12.5" customWidth="1"/>
    <col min="10" max="10" width="25" customWidth="1"/>
    <col min="11" max="11" width="7" customWidth="1"/>
    <col min="12" max="12" width="8.6640625" customWidth="1"/>
    <col min="13" max="13" width="10.6640625" customWidth="1"/>
    <col min="14" max="14" width="12.1640625" customWidth="1"/>
    <col min="15" max="15" width="10.6640625" customWidth="1"/>
    <col min="16" max="16" width="13.83203125" customWidth="1"/>
    <col min="17" max="24" width="9.1640625" customWidth="1"/>
    <col min="25" max="27" width="5" customWidth="1"/>
    <col min="28" max="29" width="9" customWidth="1"/>
    <col min="30" max="30" width="9" hidden="1" customWidth="1"/>
    <col min="32" max="34" width="9" customWidth="1"/>
  </cols>
  <sheetData>
    <row r="1" spans="1:31" s="3" customFormat="1" ht="16.5" customHeight="1">
      <c r="A1" s="3" t="s">
        <v>505</v>
      </c>
      <c r="B1" s="3" t="s">
        <v>72</v>
      </c>
      <c r="C1" s="20" t="s">
        <v>79</v>
      </c>
      <c r="D1" s="20" t="s">
        <v>81</v>
      </c>
      <c r="E1" s="20" t="s">
        <v>506</v>
      </c>
      <c r="F1" s="20"/>
      <c r="G1" s="20"/>
      <c r="H1" s="20"/>
      <c r="I1" s="697" t="s">
        <v>16535</v>
      </c>
      <c r="J1" s="698"/>
      <c r="K1" s="698"/>
      <c r="L1" s="698"/>
      <c r="M1" s="698"/>
      <c r="N1" s="698"/>
      <c r="O1" s="698"/>
      <c r="P1" s="698"/>
      <c r="Q1" s="698"/>
      <c r="R1" s="20"/>
      <c r="S1" s="20"/>
      <c r="T1" s="20"/>
      <c r="U1" s="20"/>
      <c r="V1" s="20"/>
      <c r="W1" s="184"/>
      <c r="X1" s="184"/>
      <c r="Y1" s="20"/>
      <c r="Z1" s="20"/>
      <c r="AA1" s="20"/>
      <c r="AC1"/>
      <c r="AD1"/>
      <c r="AE1"/>
    </row>
    <row r="2" spans="1:31" s="3" customFormat="1">
      <c r="B2" s="3">
        <v>1</v>
      </c>
      <c r="C2" s="20">
        <v>2</v>
      </c>
      <c r="D2" s="20">
        <v>3</v>
      </c>
      <c r="E2" s="20">
        <v>4</v>
      </c>
      <c r="F2" s="20"/>
      <c r="G2" s="20"/>
      <c r="H2" s="20"/>
      <c r="I2" s="698"/>
      <c r="J2" s="698"/>
      <c r="K2" s="698"/>
      <c r="L2" s="698"/>
      <c r="M2" s="698"/>
      <c r="N2" s="698"/>
      <c r="O2" s="698"/>
      <c r="P2" s="698"/>
      <c r="Q2" s="698"/>
      <c r="R2" s="702" t="s">
        <v>507</v>
      </c>
      <c r="S2" s="702"/>
      <c r="T2" s="702"/>
      <c r="U2" s="702"/>
      <c r="V2" s="702"/>
      <c r="W2" s="184"/>
      <c r="X2" s="184"/>
      <c r="Y2" s="20"/>
      <c r="Z2" s="20"/>
      <c r="AA2" s="20"/>
      <c r="AC2"/>
      <c r="AD2"/>
      <c r="AE2"/>
    </row>
    <row r="3" spans="1:31" s="3" customFormat="1">
      <c r="A3" s="3" t="s">
        <v>505</v>
      </c>
      <c r="B3" s="244" t="s">
        <v>508</v>
      </c>
      <c r="C3" s="107"/>
      <c r="D3" s="20"/>
      <c r="E3" s="20"/>
      <c r="F3" s="20"/>
      <c r="G3" s="20"/>
      <c r="H3" s="20"/>
      <c r="I3" s="698"/>
      <c r="J3" s="698"/>
      <c r="K3" s="698"/>
      <c r="L3" s="698"/>
      <c r="M3" s="698"/>
      <c r="N3" s="698"/>
      <c r="O3" s="698"/>
      <c r="P3" s="698"/>
      <c r="Q3" s="698"/>
      <c r="R3" s="702"/>
      <c r="S3" s="702"/>
      <c r="T3" s="702"/>
      <c r="U3" s="702"/>
      <c r="V3" s="702"/>
      <c r="W3" s="184"/>
      <c r="X3" s="184"/>
      <c r="Y3" s="20"/>
      <c r="Z3" s="20"/>
      <c r="AA3" s="20"/>
      <c r="AC3"/>
      <c r="AD3"/>
      <c r="AE3"/>
    </row>
    <row r="4" spans="1:31" s="3" customFormat="1">
      <c r="B4" s="245">
        <v>3</v>
      </c>
      <c r="C4" s="110" t="str">
        <f>IF($B$4=1,CONCATENATE($B$1,AE4),IF($B$4=2,CONCATENATE($C$1,AE4),IF($B$4=3,CONCATENATE($D$1,AE4),IF($B$4=4,CONCATENATE($E$1,AE4)))))</f>
        <v>다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0"/>
      <c r="X4" s="184"/>
      <c r="Y4" s="20"/>
      <c r="Z4" s="20"/>
      <c r="AA4" s="20"/>
      <c r="AC4"/>
      <c r="AD4"/>
      <c r="AE4"/>
    </row>
    <row r="5" spans="1:31" s="3" customFormat="1" ht="18" thickBot="1">
      <c r="C5" s="246">
        <f>IFERROR(INDEX('배치점수 계산기'!A9:C9,MATCH(C4,'배치점수 계산기'!A7:C7,0)),)</f>
        <v>1890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85"/>
      <c r="P5" s="20"/>
      <c r="Q5" s="20"/>
      <c r="R5" s="694" t="s">
        <v>509</v>
      </c>
      <c r="S5" s="695"/>
      <c r="T5" s="695"/>
      <c r="U5" s="695"/>
      <c r="V5" s="696"/>
      <c r="W5" s="199"/>
      <c r="X5" s="184"/>
      <c r="Y5" s="20"/>
      <c r="Z5" s="20"/>
      <c r="AA5" s="20"/>
      <c r="AC5"/>
      <c r="AD5"/>
      <c r="AE5"/>
    </row>
    <row r="6" spans="1:31" s="3" customFormat="1">
      <c r="D6" s="20"/>
      <c r="E6" s="20"/>
      <c r="F6" s="20"/>
      <c r="G6" s="20"/>
      <c r="H6" s="176"/>
      <c r="I6" s="187"/>
      <c r="J6" s="187"/>
      <c r="K6" s="187"/>
      <c r="L6" s="177"/>
      <c r="M6" s="694" t="s">
        <v>510</v>
      </c>
      <c r="N6" s="695"/>
      <c r="O6" s="696"/>
      <c r="P6" s="699" t="s">
        <v>511</v>
      </c>
      <c r="Q6" s="700"/>
      <c r="R6" s="178" t="s">
        <v>512</v>
      </c>
      <c r="S6" s="177" t="s">
        <v>513</v>
      </c>
      <c r="T6" s="177" t="s">
        <v>514</v>
      </c>
      <c r="U6" s="177" t="s">
        <v>515</v>
      </c>
      <c r="V6" s="179"/>
      <c r="W6" s="694" t="s">
        <v>516</v>
      </c>
      <c r="X6" s="701"/>
      <c r="Y6" s="694" t="s">
        <v>517</v>
      </c>
      <c r="Z6" s="695"/>
      <c r="AA6" s="696"/>
      <c r="AC6"/>
      <c r="AD6"/>
      <c r="AE6"/>
    </row>
    <row r="7" spans="1:31" s="3" customFormat="1">
      <c r="A7" s="198"/>
      <c r="B7" s="198"/>
      <c r="C7" s="198"/>
      <c r="D7" s="195"/>
      <c r="E7" s="195" t="s">
        <v>518</v>
      </c>
      <c r="F7" s="195"/>
      <c r="G7" s="195"/>
      <c r="H7" s="241" t="s">
        <v>539</v>
      </c>
      <c r="I7" s="196" t="s">
        <v>411</v>
      </c>
      <c r="J7" s="196" t="s">
        <v>412</v>
      </c>
      <c r="K7" s="240" t="s">
        <v>538</v>
      </c>
      <c r="L7" s="190" t="s">
        <v>519</v>
      </c>
      <c r="M7" s="189" t="s">
        <v>520</v>
      </c>
      <c r="N7" s="191" t="s">
        <v>521</v>
      </c>
      <c r="O7" s="191" t="s">
        <v>522</v>
      </c>
      <c r="P7" s="189" t="s">
        <v>523</v>
      </c>
      <c r="Q7" s="190" t="s">
        <v>524</v>
      </c>
      <c r="R7" s="180">
        <v>0.9</v>
      </c>
      <c r="S7" s="181">
        <v>0.7</v>
      </c>
      <c r="T7" s="209">
        <v>0.4</v>
      </c>
      <c r="U7" s="182">
        <v>0.1</v>
      </c>
      <c r="V7" s="183">
        <v>0.03</v>
      </c>
      <c r="W7" s="192" t="s">
        <v>525</v>
      </c>
      <c r="X7" s="193" t="s">
        <v>297</v>
      </c>
      <c r="Y7" s="176" t="s">
        <v>526</v>
      </c>
      <c r="Z7" s="187" t="s">
        <v>527</v>
      </c>
      <c r="AA7" s="177" t="s">
        <v>528</v>
      </c>
      <c r="AC7"/>
      <c r="AD7" t="s">
        <v>529</v>
      </c>
      <c r="AE7"/>
    </row>
    <row r="8" spans="1:31" s="3" customFormat="1">
      <c r="A8" s="198"/>
      <c r="B8" s="198"/>
      <c r="C8" s="198" t="str">
        <f>_xlfn.CONCAT($C$4,G8)</f>
        <v>다1</v>
      </c>
      <c r="D8" s="235">
        <f>MATCH($C8,'배치점수 계산기'!$O$11:$O$3001,0)</f>
        <v>1892</v>
      </c>
      <c r="E8" s="195">
        <f ca="1">OFFSET('배치점수 계산기'!A$10,D8,0)</f>
        <v>11</v>
      </c>
      <c r="F8" s="195">
        <f ca="1">MATCH(E8,환산공식!$C$16:$C$903,0)</f>
        <v>11</v>
      </c>
      <c r="G8" s="239">
        <v>1</v>
      </c>
      <c r="H8" s="197" t="str">
        <f>IFERROR(INDEX('배치점수 계산기'!C$11:C$3001,MATCH($C8,'배치점수 계산기'!$O$11:$O$3001,0)),"")</f>
        <v>다</v>
      </c>
      <c r="I8" s="242" t="str">
        <f>IFERROR(INDEX('배치점수 계산기'!D$11:D$3001,MATCH($C8,'배치점수 계산기'!$O$11:$O$3001,0)),"")</f>
        <v>고려대</v>
      </c>
      <c r="J8" s="242" t="str">
        <f>IFERROR(INDEX('배치점수 계산기'!E$11:E$3001,MATCH($C8,'배치점수 계산기'!$O$11:$O$3001,0)),"")</f>
        <v>학부대학</v>
      </c>
      <c r="K8" s="195" t="str">
        <f>IFERROR(INDEX('배치점수 계산기'!F$11:F$3001,MATCH($C8,'배치점수 계산기'!$O$11:$O$3001,0)),"")</f>
        <v>통합</v>
      </c>
      <c r="L8" s="20" t="str">
        <f ca="1">IF(OFFSET(환산공식!$ED$15,$F8,0)=1,"O","X")</f>
        <v>X</v>
      </c>
      <c r="M8" s="188">
        <f ca="1">IFERROR(OFFSET(환산공식!DJ$15,$F8,0),"")</f>
        <v>0</v>
      </c>
      <c r="N8" s="20" t="str">
        <f ca="1">IFERROR(CONCATENATE(ROUND(OFFSET(환산공식!DK$15,$F8,0),1),"%"),"")</f>
        <v/>
      </c>
      <c r="O8" s="20">
        <f ca="1">IFERROR(OFFSET(환산공식!DL$15,$F8,0),"")</f>
        <v>0</v>
      </c>
      <c r="P8" s="188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194">
        <f ca="1">IFERROR(ROUND(OFFSET(환산공식!$FG$15,$F8,0),3),"")</f>
        <v>0</v>
      </c>
      <c r="R8" s="194">
        <f ca="1">OFFSET('배치점수 계산기'!H$10,$D8,0)</f>
        <v>663.31</v>
      </c>
      <c r="S8" s="194">
        <f ca="1">OFFSET('배치점수 계산기'!I$10,$D8,0)</f>
        <v>662.86699999999996</v>
      </c>
      <c r="T8" s="194">
        <f ca="1">OFFSET('배치점수 계산기'!J$10,$D8,0)</f>
        <v>661.04899999999998</v>
      </c>
      <c r="U8" s="194">
        <f ca="1">OFFSET('배치점수 계산기'!K$10,$D8,0)</f>
        <v>659.71</v>
      </c>
      <c r="V8" s="194">
        <f ca="1">OFFSET('배치점수 계산기'!L$10,$D8,0)</f>
        <v>656.36099999999999</v>
      </c>
      <c r="W8" s="186" t="str">
        <f ca="1">OFFSET('배치점수 계산기'!M$10,$D8,0)</f>
        <v>표점</v>
      </c>
      <c r="X8" s="184" t="str">
        <f ca="1">OFFSET('배치점수 계산기'!N$10,$D8,0)</f>
        <v>변표</v>
      </c>
      <c r="Y8" s="188">
        <f ca="1">OFFSET(환산공식!FW$15,$F8,0)</f>
        <v>0.36</v>
      </c>
      <c r="Z8" s="20">
        <f ca="1">OFFSET(환산공식!FX$15,$F8,0)</f>
        <v>0.36</v>
      </c>
      <c r="AA8" s="179">
        <f ca="1">OFFSET(환산공식!FY$15,$F8,0)</f>
        <v>0.28999999999999998</v>
      </c>
      <c r="AC8"/>
      <c r="AD8">
        <f ca="1">IF(L8="X",6,IF(Q8&gt;R8,1,IF(Q8&gt;S8,2,IF(Q8&gt;T8,3,IF(Q8&gt;U8,4,IF(Q8&gt;=V8,5,IF(Q8&lt;V8,6,"")))))))</f>
        <v>6</v>
      </c>
      <c r="AE8"/>
    </row>
    <row r="9" spans="1:31" s="3" customFormat="1">
      <c r="A9" s="198"/>
      <c r="B9" s="198"/>
      <c r="C9" s="198" t="s">
        <v>2330</v>
      </c>
      <c r="D9" s="235">
        <v>1894</v>
      </c>
      <c r="E9" s="195">
        <v>14</v>
      </c>
      <c r="F9" s="195">
        <v>14</v>
      </c>
      <c r="G9" s="239">
        <v>2</v>
      </c>
      <c r="H9" s="197" t="s">
        <v>81</v>
      </c>
      <c r="I9" s="242" t="s">
        <v>302</v>
      </c>
      <c r="J9" s="242" t="s">
        <v>8702</v>
      </c>
      <c r="K9" s="195" t="s">
        <v>70</v>
      </c>
      <c r="L9" s="20" t="str">
        <f ca="1">IF(OFFSET(환산공식!$ED$15,$F9,0)=1,"O","X")</f>
        <v>X</v>
      </c>
      <c r="M9" s="188">
        <f ca="1">IFERROR(OFFSET(환산공식!DJ$15,$F9,0),"")</f>
        <v>100</v>
      </c>
      <c r="N9" s="20" t="str">
        <f ca="1">IFERROR(CONCATENATE(ROUND(OFFSET(환산공식!DK$15,$F9,0),1),"%"),"")</f>
        <v>100%</v>
      </c>
      <c r="O9" s="20">
        <f ca="1">IFERROR(OFFSET(환산공식!DL$15,$F9,0),"")</f>
        <v>10</v>
      </c>
      <c r="P9" s="188" t="str">
        <f t="shared" ref="P9:P72" ca="1" si="0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194">
        <f ca="1">IFERROR(ROUND(OFFSET(환산공식!$FG$15,$F9,0),3),"")</f>
        <v>0</v>
      </c>
      <c r="R9" s="194">
        <f ca="1">OFFSET('배치점수 계산기'!H$10,$D9,0)</f>
        <v>502.58499999999998</v>
      </c>
      <c r="S9" s="194">
        <f ca="1">OFFSET('배치점수 계산기'!I$10,$D9,0)</f>
        <v>501.97300000000001</v>
      </c>
      <c r="T9" s="194">
        <f ca="1">OFFSET('배치점수 계산기'!J$10,$D9,0)</f>
        <v>501.36700000000002</v>
      </c>
      <c r="U9" s="194">
        <f ca="1">OFFSET('배치점수 계산기'!K$10,$D9,0)</f>
        <v>499.113</v>
      </c>
      <c r="V9" s="194">
        <f ca="1">OFFSET('배치점수 계산기'!L$10,$D9,0)</f>
        <v>497.185</v>
      </c>
      <c r="W9" s="186" t="str">
        <f ca="1">OFFSET('배치점수 계산기'!M$10,$D9,0)</f>
        <v>표점</v>
      </c>
      <c r="X9" s="184" t="str">
        <f ca="1">OFFSET('배치점수 계산기'!N$10,$D9,0)</f>
        <v>변표</v>
      </c>
      <c r="Y9" s="188">
        <f ca="1">OFFSET(환산공식!FW$15,$F9,0)</f>
        <v>0.43</v>
      </c>
      <c r="Z9" s="20">
        <f ca="1">OFFSET(환산공식!FX$15,$F9,0)</f>
        <v>0.37</v>
      </c>
      <c r="AA9" s="179">
        <f ca="1">OFFSET(환산공식!FY$15,$F9,0)</f>
        <v>0.2</v>
      </c>
      <c r="AC9"/>
      <c r="AD9">
        <f t="shared" ref="AD9:AD72" ca="1" si="1">IF(L9="X",6,IF(Q9&gt;R9,1,IF(Q9&gt;S9,2,IF(Q9&gt;T9,3,IF(Q9&gt;U9,4,IF(Q9&gt;=V9,5,IF(Q9&lt;V9,6,"")))))))</f>
        <v>6</v>
      </c>
      <c r="AE9"/>
    </row>
    <row r="10" spans="1:31" s="3" customFormat="1">
      <c r="A10" s="198"/>
      <c r="B10" s="198"/>
      <c r="C10" s="198" t="s">
        <v>2331</v>
      </c>
      <c r="D10" s="235">
        <v>1895</v>
      </c>
      <c r="E10" s="195">
        <v>14</v>
      </c>
      <c r="F10" s="195">
        <v>14</v>
      </c>
      <c r="G10" s="239">
        <v>3</v>
      </c>
      <c r="H10" s="197" t="s">
        <v>81</v>
      </c>
      <c r="I10" s="242" t="s">
        <v>302</v>
      </c>
      <c r="J10" s="242" t="s">
        <v>8566</v>
      </c>
      <c r="K10" s="195" t="s">
        <v>71</v>
      </c>
      <c r="L10" s="20" t="str">
        <f ca="1">IF(OFFSET(환산공식!$ED$15,$F10,0)=1,"O","X")</f>
        <v>X</v>
      </c>
      <c r="M10" s="188">
        <f ca="1">IFERROR(OFFSET(환산공식!DJ$15,$F10,0),"")</f>
        <v>100</v>
      </c>
      <c r="N10" s="20" t="str">
        <f ca="1">IFERROR(CONCATENATE(ROUND(OFFSET(환산공식!DK$15,$F10,0),1),"%"),"")</f>
        <v>100%</v>
      </c>
      <c r="O10" s="20">
        <f ca="1">IFERROR(OFFSET(환산공식!DL$15,$F10,0),"")</f>
        <v>10</v>
      </c>
      <c r="P10" s="188" t="str">
        <f t="shared" ca="1" si="0"/>
        <v>3% 이하</v>
      </c>
      <c r="Q10" s="194">
        <f ca="1">IFERROR(ROUND(OFFSET(환산공식!$FG$15,$F10,0),3),"")</f>
        <v>0</v>
      </c>
      <c r="R10" s="194">
        <f ca="1">OFFSET('배치점수 계산기'!H$10,$D10,0)</f>
        <v>503.72899999999998</v>
      </c>
      <c r="S10" s="194">
        <f ca="1">OFFSET('배치점수 계산기'!I$10,$D10,0)</f>
        <v>503.52199999999999</v>
      </c>
      <c r="T10" s="194">
        <f ca="1">OFFSET('배치점수 계산기'!J$10,$D10,0)</f>
        <v>502.87700000000001</v>
      </c>
      <c r="U10" s="194">
        <f ca="1">OFFSET('배치점수 계산기'!K$10,$D10,0)</f>
        <v>502.09300000000002</v>
      </c>
      <c r="V10" s="194">
        <f ca="1">OFFSET('배치점수 계산기'!L$10,$D10,0)</f>
        <v>500.56799999999998</v>
      </c>
      <c r="W10" s="186" t="str">
        <f ca="1">OFFSET('배치점수 계산기'!M$10,$D10,0)</f>
        <v>표점</v>
      </c>
      <c r="X10" s="184" t="str">
        <f ca="1">OFFSET('배치점수 계산기'!N$10,$D10,0)</f>
        <v>변표</v>
      </c>
      <c r="Y10" s="188">
        <f ca="1">OFFSET(환산공식!FW$15,$F10,0)</f>
        <v>0.43</v>
      </c>
      <c r="Z10" s="20">
        <f ca="1">OFFSET(환산공식!FX$15,$F10,0)</f>
        <v>0.37</v>
      </c>
      <c r="AA10" s="179">
        <f ca="1">OFFSET(환산공식!FY$15,$F10,0)</f>
        <v>0.2</v>
      </c>
      <c r="AC10"/>
      <c r="AD10">
        <f t="shared" ca="1" si="1"/>
        <v>6</v>
      </c>
      <c r="AE10"/>
    </row>
    <row r="11" spans="1:31" s="3" customFormat="1">
      <c r="A11" s="198"/>
      <c r="B11" s="198"/>
      <c r="C11" s="198" t="s">
        <v>2332</v>
      </c>
      <c r="D11" s="235">
        <v>1896</v>
      </c>
      <c r="E11" s="195">
        <v>275</v>
      </c>
      <c r="F11" s="195">
        <v>275</v>
      </c>
      <c r="G11" s="239">
        <v>4</v>
      </c>
      <c r="H11" s="197" t="s">
        <v>81</v>
      </c>
      <c r="I11" s="242" t="s">
        <v>77</v>
      </c>
      <c r="J11" s="242" t="s">
        <v>16724</v>
      </c>
      <c r="K11" s="195" t="s">
        <v>70</v>
      </c>
      <c r="L11" s="20" t="str">
        <f ca="1">IF(OFFSET(환산공식!$ED$15,$F11,0)=1,"O","X")</f>
        <v>X</v>
      </c>
      <c r="M11" s="188">
        <f ca="1">IFERROR(OFFSET(환산공식!DJ$15,$F11,0),"")</f>
        <v>63.5</v>
      </c>
      <c r="N11" s="20" t="str">
        <f ca="1">IFERROR(CONCATENATE(ROUND(OFFSET(환산공식!DK$15,$F11,0),1),"%"),"")</f>
        <v>100%</v>
      </c>
      <c r="O11" s="20">
        <f ca="1">IFERROR(OFFSET(환산공식!DL$15,$F11,0),"")</f>
        <v>0</v>
      </c>
      <c r="P11" s="188" t="str">
        <f t="shared" ca="1" si="0"/>
        <v>3% 이하</v>
      </c>
      <c r="Q11" s="194">
        <f ca="1">IFERROR(ROUND(OFFSET(환산공식!$FG$15,$F11,0),3),"")</f>
        <v>0</v>
      </c>
      <c r="R11" s="194">
        <f ca="1">OFFSET('배치점수 계산기'!H$10,$D11,0)</f>
        <v>674.55899999999997</v>
      </c>
      <c r="S11" s="194">
        <f ca="1">OFFSET('배치점수 계산기'!I$10,$D11,0)</f>
        <v>673.048</v>
      </c>
      <c r="T11" s="194">
        <f ca="1">OFFSET('배치점수 계산기'!J$10,$D11,0)</f>
        <v>671.30499999999995</v>
      </c>
      <c r="U11" s="194">
        <f ca="1">OFFSET('배치점수 계산기'!K$10,$D11,0)</f>
        <v>669.721</v>
      </c>
      <c r="V11" s="194">
        <f ca="1">OFFSET('배치점수 계산기'!L$10,$D11,0)</f>
        <v>664.8</v>
      </c>
      <c r="W11" s="186" t="str">
        <f ca="1">OFFSET('배치점수 계산기'!M$10,$D11,0)</f>
        <v>표점</v>
      </c>
      <c r="X11" s="184" t="str">
        <f ca="1">OFFSET('배치점수 계산기'!N$10,$D11,0)</f>
        <v>변표</v>
      </c>
      <c r="Y11" s="188">
        <f ca="1">OFFSET(환산공식!FW$15,$F11,0)</f>
        <v>0.27</v>
      </c>
      <c r="Z11" s="20">
        <f ca="1">OFFSET(환산공식!FX$15,$F11,0)</f>
        <v>0.36</v>
      </c>
      <c r="AA11" s="179">
        <f ca="1">OFFSET(환산공식!FY$15,$F11,0)</f>
        <v>0.36</v>
      </c>
      <c r="AC11"/>
      <c r="AD11">
        <f t="shared" ca="1" si="1"/>
        <v>6</v>
      </c>
      <c r="AE11"/>
    </row>
    <row r="12" spans="1:31" s="3" customFormat="1">
      <c r="A12" s="198"/>
      <c r="B12" s="198"/>
      <c r="C12" s="198" t="s">
        <v>2333</v>
      </c>
      <c r="D12" s="235">
        <v>1897</v>
      </c>
      <c r="E12" s="195">
        <v>275</v>
      </c>
      <c r="F12" s="195">
        <v>275</v>
      </c>
      <c r="G12" s="239">
        <v>5</v>
      </c>
      <c r="H12" s="197" t="s">
        <v>81</v>
      </c>
      <c r="I12" s="242" t="s">
        <v>77</v>
      </c>
      <c r="J12" s="242" t="s">
        <v>8143</v>
      </c>
      <c r="K12" s="195" t="s">
        <v>70</v>
      </c>
      <c r="L12" s="20" t="str">
        <f ca="1">IF(OFFSET(환산공식!$ED$15,$F12,0)=1,"O","X")</f>
        <v>X</v>
      </c>
      <c r="M12" s="188">
        <f ca="1">IFERROR(OFFSET(환산공식!DJ$15,$F12,0),"")</f>
        <v>63.5</v>
      </c>
      <c r="N12" s="20" t="str">
        <f ca="1">IFERROR(CONCATENATE(ROUND(OFFSET(환산공식!DK$15,$F12,0),1),"%"),"")</f>
        <v>100%</v>
      </c>
      <c r="O12" s="20">
        <f ca="1">IFERROR(OFFSET(환산공식!DL$15,$F12,0),"")</f>
        <v>0</v>
      </c>
      <c r="P12" s="188" t="str">
        <f t="shared" ca="1" si="0"/>
        <v>3% 이하</v>
      </c>
      <c r="Q12" s="194">
        <f ca="1">IFERROR(ROUND(OFFSET(환산공식!$FG$15,$F12,0),3),"")</f>
        <v>0</v>
      </c>
      <c r="R12" s="194">
        <f ca="1">OFFSET('배치점수 계산기'!H$10,$D12,0)</f>
        <v>671.30499999999995</v>
      </c>
      <c r="S12" s="194">
        <f ca="1">OFFSET('배치점수 계산기'!I$10,$D12,0)</f>
        <v>669.98099999999999</v>
      </c>
      <c r="T12" s="194">
        <f ca="1">OFFSET('배치점수 계산기'!J$10,$D12,0)</f>
        <v>668.22699999999998</v>
      </c>
      <c r="U12" s="194">
        <f ca="1">OFFSET('배치점수 계산기'!K$10,$D12,0)</f>
        <v>667.029</v>
      </c>
      <c r="V12" s="194">
        <f ca="1">OFFSET('배치점수 계산기'!L$10,$D12,0)</f>
        <v>662.46</v>
      </c>
      <c r="W12" s="186" t="str">
        <f ca="1">OFFSET('배치점수 계산기'!M$10,$D12,0)</f>
        <v>표점</v>
      </c>
      <c r="X12" s="184" t="str">
        <f ca="1">OFFSET('배치점수 계산기'!N$10,$D12,0)</f>
        <v>변표</v>
      </c>
      <c r="Y12" s="188">
        <f ca="1">OFFSET(환산공식!FW$15,$F12,0)</f>
        <v>0.27</v>
      </c>
      <c r="Z12" s="20">
        <f ca="1">OFFSET(환산공식!FX$15,$F12,0)</f>
        <v>0.36</v>
      </c>
      <c r="AA12" s="179">
        <f ca="1">OFFSET(환산공식!FY$15,$F12,0)</f>
        <v>0.36</v>
      </c>
      <c r="AC12"/>
      <c r="AD12">
        <f t="shared" ca="1" si="1"/>
        <v>6</v>
      </c>
      <c r="AE12"/>
    </row>
    <row r="13" spans="1:31" s="3" customFormat="1">
      <c r="A13" s="198"/>
      <c r="B13" s="198"/>
      <c r="C13" s="198" t="s">
        <v>2334</v>
      </c>
      <c r="D13" s="235">
        <v>1898</v>
      </c>
      <c r="E13" s="195">
        <v>275</v>
      </c>
      <c r="F13" s="195">
        <v>275</v>
      </c>
      <c r="G13" s="239">
        <v>6</v>
      </c>
      <c r="H13" s="197" t="s">
        <v>81</v>
      </c>
      <c r="I13" s="242" t="s">
        <v>77</v>
      </c>
      <c r="J13" s="242" t="s">
        <v>8141</v>
      </c>
      <c r="K13" s="195" t="s">
        <v>70</v>
      </c>
      <c r="L13" s="20" t="str">
        <f ca="1">IF(OFFSET(환산공식!$ED$15,$F13,0)=1,"O","X")</f>
        <v>X</v>
      </c>
      <c r="M13" s="188">
        <f ca="1">IFERROR(OFFSET(환산공식!DJ$15,$F13,0),"")</f>
        <v>63.5</v>
      </c>
      <c r="N13" s="20" t="str">
        <f ca="1">IFERROR(CONCATENATE(ROUND(OFFSET(환산공식!DK$15,$F13,0),1),"%"),"")</f>
        <v>100%</v>
      </c>
      <c r="O13" s="20">
        <f ca="1">IFERROR(OFFSET(환산공식!DL$15,$F13,0),"")</f>
        <v>0</v>
      </c>
      <c r="P13" s="188" t="str">
        <f t="shared" ca="1" si="0"/>
        <v>3% 이하</v>
      </c>
      <c r="Q13" s="194">
        <f ca="1">IFERROR(ROUND(OFFSET(환산공식!$FG$15,$F13,0),3),"")</f>
        <v>0</v>
      </c>
      <c r="R13" s="194">
        <f ca="1">OFFSET('배치점수 계산기'!H$10,$D13,0)</f>
        <v>671.30499999999995</v>
      </c>
      <c r="S13" s="194">
        <f ca="1">OFFSET('배치점수 계산기'!I$10,$D13,0)</f>
        <v>669.98099999999999</v>
      </c>
      <c r="T13" s="194">
        <f ca="1">OFFSET('배치점수 계산기'!J$10,$D13,0)</f>
        <v>668.22699999999998</v>
      </c>
      <c r="U13" s="194">
        <f ca="1">OFFSET('배치점수 계산기'!K$10,$D13,0)</f>
        <v>667.029</v>
      </c>
      <c r="V13" s="194">
        <f ca="1">OFFSET('배치점수 계산기'!L$10,$D13,0)</f>
        <v>664.53399999999999</v>
      </c>
      <c r="W13" s="186" t="str">
        <f ca="1">OFFSET('배치점수 계산기'!M$10,$D13,0)</f>
        <v>표점</v>
      </c>
      <c r="X13" s="184" t="str">
        <f ca="1">OFFSET('배치점수 계산기'!N$10,$D13,0)</f>
        <v>변표</v>
      </c>
      <c r="Y13" s="188">
        <f ca="1">OFFSET(환산공식!FW$15,$F13,0)</f>
        <v>0.27</v>
      </c>
      <c r="Z13" s="20">
        <f ca="1">OFFSET(환산공식!FX$15,$F13,0)</f>
        <v>0.36</v>
      </c>
      <c r="AA13" s="179">
        <f ca="1">OFFSET(환산공식!FY$15,$F13,0)</f>
        <v>0.36</v>
      </c>
      <c r="AC13"/>
      <c r="AD13">
        <f t="shared" ca="1" si="1"/>
        <v>6</v>
      </c>
      <c r="AE13"/>
    </row>
    <row r="14" spans="1:31" s="3" customFormat="1">
      <c r="A14" s="198"/>
      <c r="B14" s="198"/>
      <c r="C14" s="198" t="s">
        <v>2335</v>
      </c>
      <c r="D14" s="235">
        <v>1899</v>
      </c>
      <c r="E14" s="195">
        <v>275</v>
      </c>
      <c r="F14" s="195">
        <v>275</v>
      </c>
      <c r="G14" s="239">
        <v>7</v>
      </c>
      <c r="H14" s="197" t="s">
        <v>81</v>
      </c>
      <c r="I14" s="242" t="s">
        <v>77</v>
      </c>
      <c r="J14" s="242" t="s">
        <v>8203</v>
      </c>
      <c r="K14" s="195" t="s">
        <v>70</v>
      </c>
      <c r="L14" s="20" t="str">
        <f ca="1">IF(OFFSET(환산공식!$ED$15,$F14,0)=1,"O","X")</f>
        <v>X</v>
      </c>
      <c r="M14" s="188">
        <f ca="1">IFERROR(OFFSET(환산공식!DJ$15,$F14,0),"")</f>
        <v>63.5</v>
      </c>
      <c r="N14" s="20" t="str">
        <f ca="1">IFERROR(CONCATENATE(ROUND(OFFSET(환산공식!DK$15,$F14,0),1),"%"),"")</f>
        <v>100%</v>
      </c>
      <c r="O14" s="20">
        <f ca="1">IFERROR(OFFSET(환산공식!DL$15,$F14,0),"")</f>
        <v>0</v>
      </c>
      <c r="P14" s="188" t="str">
        <f t="shared" ca="1" si="0"/>
        <v>3% 이하</v>
      </c>
      <c r="Q14" s="194">
        <f ca="1">IFERROR(ROUND(OFFSET(환산공식!$FG$15,$F14,0),3),"")</f>
        <v>0</v>
      </c>
      <c r="R14" s="194">
        <f ca="1">OFFSET('배치점수 계산기'!H$10,$D14,0)</f>
        <v>669.721</v>
      </c>
      <c r="S14" s="194">
        <f ca="1">OFFSET('배치점수 계산기'!I$10,$D14,0)</f>
        <v>667.827</v>
      </c>
      <c r="T14" s="194">
        <f ca="1">OFFSET('배치점수 계산기'!J$10,$D14,0)</f>
        <v>666.16899999999998</v>
      </c>
      <c r="U14" s="194">
        <f ca="1">OFFSET('배치점수 계산기'!K$10,$D14,0)</f>
        <v>664.8</v>
      </c>
      <c r="V14" s="194">
        <f ca="1">OFFSET('배치점수 계산기'!L$10,$D14,0)</f>
        <v>660.46</v>
      </c>
      <c r="W14" s="186" t="str">
        <f ca="1">OFFSET('배치점수 계산기'!M$10,$D14,0)</f>
        <v>표점</v>
      </c>
      <c r="X14" s="184" t="str">
        <f ca="1">OFFSET('배치점수 계산기'!N$10,$D14,0)</f>
        <v>변표</v>
      </c>
      <c r="Y14" s="188">
        <f ca="1">OFFSET(환산공식!FW$15,$F14,0)</f>
        <v>0.27</v>
      </c>
      <c r="Z14" s="20">
        <f ca="1">OFFSET(환산공식!FX$15,$F14,0)</f>
        <v>0.36</v>
      </c>
      <c r="AA14" s="179">
        <f ca="1">OFFSET(환산공식!FY$15,$F14,0)</f>
        <v>0.36</v>
      </c>
      <c r="AC14"/>
      <c r="AD14">
        <f t="shared" ca="1" si="1"/>
        <v>6</v>
      </c>
      <c r="AE14"/>
    </row>
    <row r="15" spans="1:31" s="3" customFormat="1">
      <c r="A15" s="198"/>
      <c r="B15" s="198"/>
      <c r="C15" s="198" t="s">
        <v>2336</v>
      </c>
      <c r="D15" s="235">
        <v>1900</v>
      </c>
      <c r="E15" s="195">
        <v>275</v>
      </c>
      <c r="F15" s="195">
        <v>275</v>
      </c>
      <c r="G15" s="239">
        <v>8</v>
      </c>
      <c r="H15" s="197" t="s">
        <v>81</v>
      </c>
      <c r="I15" s="242" t="s">
        <v>77</v>
      </c>
      <c r="J15" s="242" t="s">
        <v>8220</v>
      </c>
      <c r="K15" s="195" t="s">
        <v>70</v>
      </c>
      <c r="L15" s="20" t="str">
        <f ca="1">IF(OFFSET(환산공식!$ED$15,$F15,0)=1,"O","X")</f>
        <v>X</v>
      </c>
      <c r="M15" s="188">
        <f ca="1">IFERROR(OFFSET(환산공식!DJ$15,$F15,0),"")</f>
        <v>63.5</v>
      </c>
      <c r="N15" s="20" t="str">
        <f ca="1">IFERROR(CONCATENATE(ROUND(OFFSET(환산공식!DK$15,$F15,0),1),"%"),"")</f>
        <v>100%</v>
      </c>
      <c r="O15" s="20">
        <f ca="1">IFERROR(OFFSET(환산공식!DL$15,$F15,0),"")</f>
        <v>0</v>
      </c>
      <c r="P15" s="188" t="str">
        <f t="shared" ca="1" si="0"/>
        <v>3% 이하</v>
      </c>
      <c r="Q15" s="194">
        <f ca="1">IFERROR(ROUND(OFFSET(환산공식!$FG$15,$F15,0),3),"")</f>
        <v>0</v>
      </c>
      <c r="R15" s="194">
        <f ca="1">OFFSET('배치점수 계산기'!H$10,$D15,0)</f>
        <v>668.22699999999998</v>
      </c>
      <c r="S15" s="194">
        <f ca="1">OFFSET('배치점수 계산기'!I$10,$D15,0)</f>
        <v>667.029</v>
      </c>
      <c r="T15" s="194">
        <f ca="1">OFFSET('배치점수 계산기'!J$10,$D15,0)</f>
        <v>665.88099999999997</v>
      </c>
      <c r="U15" s="194">
        <f ca="1">OFFSET('배치점수 계산기'!K$10,$D15,0)</f>
        <v>664.53399999999999</v>
      </c>
      <c r="V15" s="194">
        <f ca="1">OFFSET('배치점수 계산기'!L$10,$D15,0)</f>
        <v>660.08500000000004</v>
      </c>
      <c r="W15" s="186" t="str">
        <f ca="1">OFFSET('배치점수 계산기'!M$10,$D15,0)</f>
        <v>표점</v>
      </c>
      <c r="X15" s="184" t="str">
        <f ca="1">OFFSET('배치점수 계산기'!N$10,$D15,0)</f>
        <v>변표</v>
      </c>
      <c r="Y15" s="188">
        <f ca="1">OFFSET(환산공식!FW$15,$F15,0)</f>
        <v>0.27</v>
      </c>
      <c r="Z15" s="20">
        <f ca="1">OFFSET(환산공식!FX$15,$F15,0)</f>
        <v>0.36</v>
      </c>
      <c r="AA15" s="179">
        <f ca="1">OFFSET(환산공식!FY$15,$F15,0)</f>
        <v>0.36</v>
      </c>
      <c r="AC15"/>
      <c r="AD15">
        <f t="shared" ca="1" si="1"/>
        <v>6</v>
      </c>
      <c r="AE15"/>
    </row>
    <row r="16" spans="1:31" s="3" customFormat="1">
      <c r="A16" s="198"/>
      <c r="B16" s="198"/>
      <c r="C16" s="198" t="s">
        <v>2337</v>
      </c>
      <c r="D16" s="235">
        <v>1901</v>
      </c>
      <c r="E16" s="195">
        <v>278</v>
      </c>
      <c r="F16" s="195">
        <v>278</v>
      </c>
      <c r="G16" s="239">
        <v>9</v>
      </c>
      <c r="H16" s="197" t="s">
        <v>81</v>
      </c>
      <c r="I16" s="242" t="s">
        <v>77</v>
      </c>
      <c r="J16" s="242" t="s">
        <v>8293</v>
      </c>
      <c r="K16" s="195" t="s">
        <v>71</v>
      </c>
      <c r="L16" s="20" t="str">
        <f ca="1">IF(OFFSET(환산공식!$ED$15,$F16,0)=1,"O","X")</f>
        <v>X</v>
      </c>
      <c r="M16" s="188">
        <f ca="1">IFERROR(OFFSET(환산공식!DJ$15,$F16,0),"")</f>
        <v>63.5</v>
      </c>
      <c r="N16" s="20" t="str">
        <f ca="1">IFERROR(CONCATENATE(ROUND(OFFSET(환산공식!DK$15,$F16,0),1),"%"),"")</f>
        <v>100%</v>
      </c>
      <c r="O16" s="20">
        <f ca="1">IFERROR(OFFSET(환산공식!DL$15,$F16,0),"")</f>
        <v>0</v>
      </c>
      <c r="P16" s="188" t="str">
        <f t="shared" ca="1" si="0"/>
        <v>3% 이하</v>
      </c>
      <c r="Q16" s="194">
        <f ca="1">IFERROR(ROUND(OFFSET(환산공식!$FG$15,$F16,0),3),"")</f>
        <v>0</v>
      </c>
      <c r="R16" s="194">
        <f ca="1">OFFSET('배치점수 계산기'!H$10,$D16,0)</f>
        <v>664.89</v>
      </c>
      <c r="S16" s="194">
        <f ca="1">OFFSET('배치점수 계산기'!I$10,$D16,0)</f>
        <v>662.82399999999996</v>
      </c>
      <c r="T16" s="194">
        <f ca="1">OFFSET('배치점수 계산기'!J$10,$D16,0)</f>
        <v>661.82299999999998</v>
      </c>
      <c r="U16" s="194">
        <f ca="1">OFFSET('배치점수 계산기'!K$10,$D16,0)</f>
        <v>656.54200000000003</v>
      </c>
      <c r="V16" s="194">
        <f ca="1">OFFSET('배치점수 계산기'!L$10,$D16,0)</f>
        <v>654.15599999999995</v>
      </c>
      <c r="W16" s="186" t="str">
        <f ca="1">OFFSET('배치점수 계산기'!M$10,$D16,0)</f>
        <v>표점</v>
      </c>
      <c r="X16" s="184" t="str">
        <f ca="1">OFFSET('배치점수 계산기'!N$10,$D16,0)</f>
        <v>변표</v>
      </c>
      <c r="Y16" s="188">
        <f ca="1">OFFSET(환산공식!FW$15,$F16,0)</f>
        <v>0.27</v>
      </c>
      <c r="Z16" s="20">
        <f ca="1">OFFSET(환산공식!FX$15,$F16,0)</f>
        <v>0.36</v>
      </c>
      <c r="AA16" s="179">
        <f ca="1">OFFSET(환산공식!FY$15,$F16,0)</f>
        <v>0.36</v>
      </c>
      <c r="AC16"/>
      <c r="AD16">
        <f t="shared" ca="1" si="1"/>
        <v>6</v>
      </c>
      <c r="AE16"/>
    </row>
    <row r="17" spans="1:31" s="3" customFormat="1">
      <c r="A17" s="198"/>
      <c r="B17" s="198"/>
      <c r="C17" s="198" t="s">
        <v>2338</v>
      </c>
      <c r="D17" s="235">
        <v>1902</v>
      </c>
      <c r="E17" s="195">
        <v>29</v>
      </c>
      <c r="F17" s="195">
        <v>29</v>
      </c>
      <c r="G17" s="239">
        <v>10</v>
      </c>
      <c r="H17" s="197" t="s">
        <v>81</v>
      </c>
      <c r="I17" s="242" t="s">
        <v>80</v>
      </c>
      <c r="J17" s="242" t="s">
        <v>8523</v>
      </c>
      <c r="K17" s="195" t="s">
        <v>71</v>
      </c>
      <c r="L17" s="20" t="str">
        <f ca="1">IF(OFFSET(환산공식!$ED$15,$F17,0)=1,"O","X")</f>
        <v>X</v>
      </c>
      <c r="M17" s="188">
        <f ca="1">IFERROR(OFFSET(환산공식!DJ$15,$F17,0),"")</f>
        <v>100</v>
      </c>
      <c r="N17" s="20" t="str">
        <f ca="1">IFERROR(CONCATENATE(ROUND(OFFSET(환산공식!DK$15,$F17,0),1),"%"),"")</f>
        <v>100%</v>
      </c>
      <c r="O17" s="20">
        <f ca="1">IFERROR(OFFSET(환산공식!DL$15,$F17,0),"")</f>
        <v>0</v>
      </c>
      <c r="P17" s="188" t="str">
        <f t="shared" ca="1" si="0"/>
        <v>3% 이하</v>
      </c>
      <c r="Q17" s="194">
        <f ca="1">IFERROR(ROUND(OFFSET(환산공식!$FG$15,$F17,0),3),"")</f>
        <v>0</v>
      </c>
      <c r="R17" s="194">
        <f ca="1">OFFSET('배치점수 계산기'!H$10,$D17,0)</f>
        <v>851.64099999999996</v>
      </c>
      <c r="S17" s="194">
        <f ca="1">OFFSET('배치점수 계산기'!I$10,$D17,0)</f>
        <v>849.10699999999997</v>
      </c>
      <c r="T17" s="194">
        <f ca="1">OFFSET('배치점수 계산기'!J$10,$D17,0)</f>
        <v>847.423</v>
      </c>
      <c r="U17" s="194">
        <f ca="1">OFFSET('배치점수 계산기'!K$10,$D17,0)</f>
        <v>845.26700000000005</v>
      </c>
      <c r="V17" s="194">
        <f ca="1">OFFSET('배치점수 계산기'!L$10,$D17,0)</f>
        <v>843.72900000000004</v>
      </c>
      <c r="W17" s="186" t="str">
        <f ca="1">OFFSET('배치점수 계산기'!M$10,$D17,0)</f>
        <v>표점/만점</v>
      </c>
      <c r="X17" s="184" t="str">
        <f ca="1">OFFSET('배치점수 계산기'!N$10,$D17,0)</f>
        <v>변표/만점</v>
      </c>
      <c r="Y17" s="188">
        <f ca="1">OFFSET(환산공식!FW$15,$F17,0)</f>
        <v>0.39</v>
      </c>
      <c r="Z17" s="20">
        <f ca="1">OFFSET(환산공식!FX$15,$F17,0)</f>
        <v>0.39</v>
      </c>
      <c r="AA17" s="179">
        <f ca="1">OFFSET(환산공식!FY$15,$F17,0)</f>
        <v>0.22</v>
      </c>
      <c r="AC17"/>
      <c r="AD17">
        <f t="shared" ca="1" si="1"/>
        <v>6</v>
      </c>
      <c r="AE17"/>
    </row>
    <row r="18" spans="1:31" s="3" customFormat="1">
      <c r="A18" s="198"/>
      <c r="B18" s="198"/>
      <c r="C18" s="198" t="s">
        <v>2339</v>
      </c>
      <c r="D18" s="235">
        <v>1903</v>
      </c>
      <c r="E18" s="195">
        <v>30</v>
      </c>
      <c r="F18" s="195">
        <v>30</v>
      </c>
      <c r="G18" s="239">
        <v>11</v>
      </c>
      <c r="H18" s="197" t="s">
        <v>81</v>
      </c>
      <c r="I18" s="242" t="s">
        <v>228</v>
      </c>
      <c r="J18" s="242" t="s">
        <v>9068</v>
      </c>
      <c r="K18" s="195" t="s">
        <v>70</v>
      </c>
      <c r="L18" s="20" t="str">
        <f ca="1">IF(OFFSET(환산공식!$ED$15,$F18,0)=1,"O","X")</f>
        <v>X</v>
      </c>
      <c r="M18" s="188">
        <f ca="1">IFERROR(OFFSET(환산공식!DJ$15,$F18,0),"")</f>
        <v>100</v>
      </c>
      <c r="N18" s="20" t="str">
        <f ca="1">IFERROR(CONCATENATE(ROUND(OFFSET(환산공식!DK$15,$F18,0),1),"%"),"")</f>
        <v>100%</v>
      </c>
      <c r="O18" s="20">
        <f ca="1">IFERROR(OFFSET(환산공식!DL$15,$F18,0),"")</f>
        <v>10</v>
      </c>
      <c r="P18" s="188" t="str">
        <f t="shared" ca="1" si="0"/>
        <v>3% 이하</v>
      </c>
      <c r="Q18" s="194">
        <f ca="1">IFERROR(ROUND(OFFSET(환산공식!$FG$15,$F18,0),3),"")</f>
        <v>0</v>
      </c>
      <c r="R18" s="194">
        <f ca="1">OFFSET('배치점수 계산기'!H$10,$D18,0)</f>
        <v>768.37599999999998</v>
      </c>
      <c r="S18" s="194">
        <f ca="1">OFFSET('배치점수 계산기'!I$10,$D18,0)</f>
        <v>766.33299999999997</v>
      </c>
      <c r="T18" s="194">
        <f ca="1">OFFSET('배치점수 계산기'!J$10,$D18,0)</f>
        <v>764.96400000000006</v>
      </c>
      <c r="U18" s="194">
        <f ca="1">OFFSET('배치점수 계산기'!K$10,$D18,0)</f>
        <v>764.07399999999996</v>
      </c>
      <c r="V18" s="194">
        <f ca="1">OFFSET('배치점수 계산기'!L$10,$D18,0)</f>
        <v>762.40099999999995</v>
      </c>
      <c r="W18" s="186" t="str">
        <f ca="1">OFFSET('배치점수 계산기'!M$10,$D18,0)</f>
        <v>표점</v>
      </c>
      <c r="X18" s="184" t="str">
        <f ca="1">OFFSET('배치점수 계산기'!N$10,$D18,0)</f>
        <v>변표</v>
      </c>
      <c r="Y18" s="188">
        <f ca="1">OFFSET(환산공식!FW$15,$F18,0)</f>
        <v>0.3</v>
      </c>
      <c r="Z18" s="20">
        <f ca="1">OFFSET(환산공식!FX$15,$F18,0)</f>
        <v>0.35</v>
      </c>
      <c r="AA18" s="179">
        <f ca="1">OFFSET(환산공식!FY$15,$F18,0)</f>
        <v>0.35</v>
      </c>
      <c r="AC18"/>
      <c r="AD18">
        <f t="shared" ca="1" si="1"/>
        <v>6</v>
      </c>
      <c r="AE18"/>
    </row>
    <row r="19" spans="1:31" s="3" customFormat="1">
      <c r="A19" s="198"/>
      <c r="B19" s="198"/>
      <c r="C19" s="198" t="s">
        <v>2340</v>
      </c>
      <c r="D19" s="235">
        <v>1904</v>
      </c>
      <c r="E19" s="195">
        <v>30</v>
      </c>
      <c r="F19" s="195">
        <v>30</v>
      </c>
      <c r="G19" s="239">
        <v>12</v>
      </c>
      <c r="H19" s="197" t="s">
        <v>81</v>
      </c>
      <c r="I19" s="242" t="s">
        <v>228</v>
      </c>
      <c r="J19" s="242" t="s">
        <v>9090</v>
      </c>
      <c r="K19" s="195" t="s">
        <v>70</v>
      </c>
      <c r="L19" s="20" t="str">
        <f ca="1">IF(OFFSET(환산공식!$ED$15,$F19,0)=1,"O","X")</f>
        <v>X</v>
      </c>
      <c r="M19" s="188">
        <f ca="1">IFERROR(OFFSET(환산공식!DJ$15,$F19,0),"")</f>
        <v>100</v>
      </c>
      <c r="N19" s="20" t="str">
        <f ca="1">IFERROR(CONCATENATE(ROUND(OFFSET(환산공식!DK$15,$F19,0),1),"%"),"")</f>
        <v>100%</v>
      </c>
      <c r="O19" s="20">
        <f ca="1">IFERROR(OFFSET(환산공식!DL$15,$F19,0),"")</f>
        <v>10</v>
      </c>
      <c r="P19" s="188" t="str">
        <f t="shared" ca="1" si="0"/>
        <v>3% 이하</v>
      </c>
      <c r="Q19" s="194">
        <f ca="1">IFERROR(ROUND(OFFSET(환산공식!$FG$15,$F19,0),3),"")</f>
        <v>0</v>
      </c>
      <c r="R19" s="194">
        <f ca="1">OFFSET('배치점수 계산기'!H$10,$D19,0)</f>
        <v>767.66899999999998</v>
      </c>
      <c r="S19" s="194">
        <f ca="1">OFFSET('배치점수 계산기'!I$10,$D19,0)</f>
        <v>765.62699999999995</v>
      </c>
      <c r="T19" s="194">
        <f ca="1">OFFSET('배치점수 계산기'!J$10,$D19,0)</f>
        <v>764.43700000000001</v>
      </c>
      <c r="U19" s="194">
        <f ca="1">OFFSET('배치점수 계산기'!K$10,$D19,0)</f>
        <v>762.89700000000005</v>
      </c>
      <c r="V19" s="194">
        <f ca="1">OFFSET('배치점수 계산기'!L$10,$D19,0)</f>
        <v>759.45600000000002</v>
      </c>
      <c r="W19" s="186" t="str">
        <f ca="1">OFFSET('배치점수 계산기'!M$10,$D19,0)</f>
        <v>표점</v>
      </c>
      <c r="X19" s="184" t="str">
        <f ca="1">OFFSET('배치점수 계산기'!N$10,$D19,0)</f>
        <v>변표</v>
      </c>
      <c r="Y19" s="188">
        <f ca="1">OFFSET(환산공식!FW$15,$F19,0)</f>
        <v>0.3</v>
      </c>
      <c r="Z19" s="20">
        <f ca="1">OFFSET(환산공식!FX$15,$F19,0)</f>
        <v>0.35</v>
      </c>
      <c r="AA19" s="179">
        <f ca="1">OFFSET(환산공식!FY$15,$F19,0)</f>
        <v>0.35</v>
      </c>
      <c r="AC19"/>
      <c r="AD19">
        <f t="shared" ca="1" si="1"/>
        <v>6</v>
      </c>
      <c r="AE19"/>
    </row>
    <row r="20" spans="1:31" s="3" customFormat="1">
      <c r="A20" s="198"/>
      <c r="B20" s="198"/>
      <c r="C20" s="198" t="s">
        <v>2341</v>
      </c>
      <c r="D20" s="235">
        <v>1905</v>
      </c>
      <c r="E20" s="195">
        <v>32</v>
      </c>
      <c r="F20" s="195">
        <v>32</v>
      </c>
      <c r="G20" s="239">
        <v>13</v>
      </c>
      <c r="H20" s="197" t="s">
        <v>81</v>
      </c>
      <c r="I20" s="242" t="s">
        <v>228</v>
      </c>
      <c r="J20" s="242" t="s">
        <v>9201</v>
      </c>
      <c r="K20" s="195" t="s">
        <v>71</v>
      </c>
      <c r="L20" s="20" t="str">
        <f ca="1">IF(OFFSET(환산공식!$ED$15,$F20,0)=1,"O","X")</f>
        <v>X</v>
      </c>
      <c r="M20" s="188">
        <f ca="1">IFERROR(OFFSET(환산공식!DJ$15,$F20,0),"")</f>
        <v>100</v>
      </c>
      <c r="N20" s="20" t="str">
        <f ca="1">IFERROR(CONCATENATE(ROUND(OFFSET(환산공식!DK$15,$F20,0),1),"%"),"")</f>
        <v>100%</v>
      </c>
      <c r="O20" s="20">
        <f ca="1">IFERROR(OFFSET(환산공식!DL$15,$F20,0),"")</f>
        <v>10</v>
      </c>
      <c r="P20" s="188" t="str">
        <f t="shared" ca="1" si="0"/>
        <v>3% 이하</v>
      </c>
      <c r="Q20" s="194">
        <f ca="1">IFERROR(ROUND(OFFSET(환산공식!$FG$15,$F20,0),3),"")</f>
        <v>0</v>
      </c>
      <c r="R20" s="194">
        <f ca="1">OFFSET('배치점수 계산기'!H$10,$D20,0)</f>
        <v>755.47699999999998</v>
      </c>
      <c r="S20" s="194">
        <f ca="1">OFFSET('배치점수 계산기'!I$10,$D20,0)</f>
        <v>754.36199999999997</v>
      </c>
      <c r="T20" s="194">
        <f ca="1">OFFSET('배치점수 계산기'!J$10,$D20,0)</f>
        <v>753.22500000000002</v>
      </c>
      <c r="U20" s="194">
        <f ca="1">OFFSET('배치점수 계산기'!K$10,$D20,0)</f>
        <v>751.66600000000005</v>
      </c>
      <c r="V20" s="194">
        <f ca="1">OFFSET('배치점수 계산기'!L$10,$D20,0)</f>
        <v>751.34</v>
      </c>
      <c r="W20" s="186" t="str">
        <f ca="1">OFFSET('배치점수 계산기'!M$10,$D20,0)</f>
        <v>표점</v>
      </c>
      <c r="X20" s="184" t="str">
        <f ca="1">OFFSET('배치점수 계산기'!N$10,$D20,0)</f>
        <v>변표</v>
      </c>
      <c r="Y20" s="188">
        <f ca="1">OFFSET(환산공식!FW$15,$F20,0)</f>
        <v>0.3</v>
      </c>
      <c r="Z20" s="20">
        <f ca="1">OFFSET(환산공식!FX$15,$F20,0)</f>
        <v>0.4</v>
      </c>
      <c r="AA20" s="179">
        <f ca="1">OFFSET(환산공식!FY$15,$F20,0)</f>
        <v>0.3</v>
      </c>
      <c r="AC20"/>
      <c r="AD20">
        <f t="shared" ca="1" si="1"/>
        <v>6</v>
      </c>
      <c r="AE20"/>
    </row>
    <row r="21" spans="1:31" s="3" customFormat="1">
      <c r="A21" s="198"/>
      <c r="B21" s="198"/>
      <c r="C21" s="198" t="s">
        <v>2342</v>
      </c>
      <c r="D21" s="235">
        <v>1906</v>
      </c>
      <c r="E21" s="195">
        <v>44</v>
      </c>
      <c r="F21" s="195">
        <v>44</v>
      </c>
      <c r="G21" s="239">
        <v>14</v>
      </c>
      <c r="H21" s="197" t="s">
        <v>81</v>
      </c>
      <c r="I21" s="242" t="s">
        <v>83</v>
      </c>
      <c r="J21" s="242" t="s">
        <v>9029</v>
      </c>
      <c r="K21" s="195" t="s">
        <v>70</v>
      </c>
      <c r="L21" s="20" t="str">
        <f ca="1">IF(OFFSET(환산공식!$ED$15,$F21,0)=1,"O","X")</f>
        <v>X</v>
      </c>
      <c r="M21" s="188">
        <f ca="1">IFERROR(OFFSET(환산공식!DJ$15,$F21,0),"")</f>
        <v>100</v>
      </c>
      <c r="N21" s="20" t="str">
        <f ca="1">IFERROR(CONCATENATE(ROUND(OFFSET(환산공식!DK$15,$F21,0),1),"%"),"")</f>
        <v>100%</v>
      </c>
      <c r="O21" s="20">
        <f ca="1">IFERROR(OFFSET(환산공식!DL$15,$F21,0),"")</f>
        <v>0</v>
      </c>
      <c r="P21" s="188" t="str">
        <f t="shared" ca="1" si="0"/>
        <v>3% 이하</v>
      </c>
      <c r="Q21" s="194">
        <f ca="1">IFERROR(ROUND(OFFSET(환산공식!$FG$15,$F21,0),3),"")</f>
        <v>0</v>
      </c>
      <c r="R21" s="194">
        <f ca="1">OFFSET('배치점수 계산기'!H$10,$D21,0)</f>
        <v>916.84199999999998</v>
      </c>
      <c r="S21" s="194">
        <f ca="1">OFFSET('배치점수 계산기'!I$10,$D21,0)</f>
        <v>913.93700000000001</v>
      </c>
      <c r="T21" s="194">
        <f ca="1">OFFSET('배치점수 계산기'!J$10,$D21,0)</f>
        <v>911.67600000000004</v>
      </c>
      <c r="U21" s="194">
        <f ca="1">OFFSET('배치점수 계산기'!K$10,$D21,0)</f>
        <v>907.51099999999997</v>
      </c>
      <c r="V21" s="194">
        <f ca="1">OFFSET('배치점수 계산기'!L$10,$D21,0)</f>
        <v>900.54499999999996</v>
      </c>
      <c r="W21" s="186" t="str">
        <f ca="1">OFFSET('배치점수 계산기'!M$10,$D21,0)</f>
        <v>표점/만점</v>
      </c>
      <c r="X21" s="184" t="str">
        <f ca="1">OFFSET('배치점수 계산기'!N$10,$D21,0)</f>
        <v>변표/만점</v>
      </c>
      <c r="Y21" s="188">
        <f ca="1">OFFSET(환산공식!FW$15,$F21,0)</f>
        <v>0.34</v>
      </c>
      <c r="Z21" s="20">
        <f ca="1">OFFSET(환산공식!FX$15,$F21,0)</f>
        <v>0.44</v>
      </c>
      <c r="AA21" s="179">
        <f ca="1">OFFSET(환산공식!FY$15,$F21,0)</f>
        <v>0.22</v>
      </c>
      <c r="AC21"/>
      <c r="AD21">
        <f t="shared" ca="1" si="1"/>
        <v>6</v>
      </c>
      <c r="AE21"/>
    </row>
    <row r="22" spans="1:31" s="3" customFormat="1">
      <c r="A22" s="198"/>
      <c r="B22" s="198"/>
      <c r="C22" s="198" t="s">
        <v>2343</v>
      </c>
      <c r="D22" s="235">
        <v>1907</v>
      </c>
      <c r="E22" s="195">
        <v>44</v>
      </c>
      <c r="F22" s="195">
        <v>44</v>
      </c>
      <c r="G22" s="239">
        <v>15</v>
      </c>
      <c r="H22" s="197" t="s">
        <v>81</v>
      </c>
      <c r="I22" s="242" t="s">
        <v>83</v>
      </c>
      <c r="J22" s="242" t="s">
        <v>9100</v>
      </c>
      <c r="K22" s="195" t="s">
        <v>70</v>
      </c>
      <c r="L22" s="20" t="str">
        <f ca="1">IF(OFFSET(환산공식!$ED$15,$F22,0)=1,"O","X")</f>
        <v>X</v>
      </c>
      <c r="M22" s="188">
        <f ca="1">IFERROR(OFFSET(환산공식!DJ$15,$F22,0),"")</f>
        <v>100</v>
      </c>
      <c r="N22" s="20" t="str">
        <f ca="1">IFERROR(CONCATENATE(ROUND(OFFSET(환산공식!DK$15,$F22,0),1),"%"),"")</f>
        <v>100%</v>
      </c>
      <c r="O22" s="20">
        <f ca="1">IFERROR(OFFSET(환산공식!DL$15,$F22,0),"")</f>
        <v>0</v>
      </c>
      <c r="P22" s="188" t="str">
        <f t="shared" ca="1" si="0"/>
        <v>3% 이하</v>
      </c>
      <c r="Q22" s="194">
        <f ca="1">IFERROR(ROUND(OFFSET(환산공식!$FG$15,$F22,0),3),"")</f>
        <v>0</v>
      </c>
      <c r="R22" s="194">
        <f ca="1">OFFSET('배치점수 계산기'!H$10,$D22,0)</f>
        <v>914.85199999999998</v>
      </c>
      <c r="S22" s="194">
        <f ca="1">OFFSET('배치점수 계산기'!I$10,$D22,0)</f>
        <v>911.88</v>
      </c>
      <c r="T22" s="194">
        <f ca="1">OFFSET('배치점수 계산기'!J$10,$D22,0)</f>
        <v>909.28</v>
      </c>
      <c r="U22" s="194">
        <f ca="1">OFFSET('배치점수 계산기'!K$10,$D22,0)</f>
        <v>904.75599999999997</v>
      </c>
      <c r="V22" s="194">
        <f ca="1">OFFSET('배치점수 계산기'!L$10,$D22,0)</f>
        <v>898.71799999999996</v>
      </c>
      <c r="W22" s="186" t="str">
        <f ca="1">OFFSET('배치점수 계산기'!M$10,$D22,0)</f>
        <v>표점/만점</v>
      </c>
      <c r="X22" s="184" t="str">
        <f ca="1">OFFSET('배치점수 계산기'!N$10,$D22,0)</f>
        <v>변표/만점</v>
      </c>
      <c r="Y22" s="188">
        <f ca="1">OFFSET(환산공식!FW$15,$F22,0)</f>
        <v>0.34</v>
      </c>
      <c r="Z22" s="20">
        <f ca="1">OFFSET(환산공식!FX$15,$F22,0)</f>
        <v>0.44</v>
      </c>
      <c r="AA22" s="179">
        <f ca="1">OFFSET(환산공식!FY$15,$F22,0)</f>
        <v>0.22</v>
      </c>
      <c r="AC22"/>
      <c r="AD22">
        <f t="shared" ca="1" si="1"/>
        <v>6</v>
      </c>
      <c r="AE22"/>
    </row>
    <row r="23" spans="1:31" s="3" customFormat="1">
      <c r="A23" s="198"/>
      <c r="B23" s="198"/>
      <c r="C23" s="198" t="s">
        <v>2344</v>
      </c>
      <c r="D23" s="235">
        <v>1908</v>
      </c>
      <c r="E23" s="195">
        <v>45</v>
      </c>
      <c r="F23" s="195">
        <v>45</v>
      </c>
      <c r="G23" s="239">
        <v>16</v>
      </c>
      <c r="H23" s="197" t="s">
        <v>81</v>
      </c>
      <c r="I23" s="242" t="s">
        <v>83</v>
      </c>
      <c r="J23" s="242" t="s">
        <v>9257</v>
      </c>
      <c r="K23" s="195" t="s">
        <v>70</v>
      </c>
      <c r="L23" s="20" t="str">
        <f ca="1">IF(OFFSET(환산공식!$ED$15,$F23,0)=1,"O","X")</f>
        <v>X</v>
      </c>
      <c r="M23" s="188">
        <f ca="1">IFERROR(OFFSET(환산공식!DJ$15,$F23,0),"")</f>
        <v>100</v>
      </c>
      <c r="N23" s="20" t="str">
        <f ca="1">IFERROR(CONCATENATE(ROUND(OFFSET(환산공식!DK$15,$F23,0),1),"%"),"")</f>
        <v>100%</v>
      </c>
      <c r="O23" s="20">
        <f ca="1">IFERROR(OFFSET(환산공식!DL$15,$F23,0),"")</f>
        <v>0</v>
      </c>
      <c r="P23" s="188" t="str">
        <f t="shared" ca="1" si="0"/>
        <v>3% 이하</v>
      </c>
      <c r="Q23" s="194">
        <f ca="1">IFERROR(ROUND(OFFSET(환산공식!$FG$15,$F23,0),3),"")</f>
        <v>0</v>
      </c>
      <c r="R23" s="194">
        <f ca="1">OFFSET('배치점수 계산기'!H$10,$D23,0)</f>
        <v>910.10400000000004</v>
      </c>
      <c r="S23" s="194">
        <f ca="1">OFFSET('배치점수 계산기'!I$10,$D23,0)</f>
        <v>908.52599999999995</v>
      </c>
      <c r="T23" s="194">
        <f ca="1">OFFSET('배치점수 계산기'!J$10,$D23,0)</f>
        <v>906.19399999999996</v>
      </c>
      <c r="U23" s="194">
        <f ca="1">OFFSET('배치점수 계산기'!K$10,$D23,0)</f>
        <v>901.95100000000002</v>
      </c>
      <c r="V23" s="194">
        <f ca="1">OFFSET('배치점수 계산기'!L$10,$D23,0)</f>
        <v>899.06700000000001</v>
      </c>
      <c r="W23" s="186" t="str">
        <f ca="1">OFFSET('배치점수 계산기'!M$10,$D23,0)</f>
        <v>표점/만점</v>
      </c>
      <c r="X23" s="184" t="str">
        <f ca="1">OFFSET('배치점수 계산기'!N$10,$D23,0)</f>
        <v>변표/만점</v>
      </c>
      <c r="Y23" s="188">
        <f ca="1">OFFSET(환산공식!FW$15,$F23,0)</f>
        <v>0.34</v>
      </c>
      <c r="Z23" s="20">
        <f ca="1">OFFSET(환산공식!FX$15,$F23,0)</f>
        <v>0.39</v>
      </c>
      <c r="AA23" s="179">
        <f ca="1">OFFSET(환산공식!FY$15,$F23,0)</f>
        <v>0.28000000000000003</v>
      </c>
      <c r="AC23"/>
      <c r="AD23">
        <f t="shared" ca="1" si="1"/>
        <v>6</v>
      </c>
      <c r="AE23"/>
    </row>
    <row r="24" spans="1:31" s="3" customFormat="1">
      <c r="A24" s="198"/>
      <c r="B24" s="198"/>
      <c r="C24" s="198" t="s">
        <v>2345</v>
      </c>
      <c r="D24" s="235">
        <v>1909</v>
      </c>
      <c r="E24" s="195">
        <v>88</v>
      </c>
      <c r="F24" s="195">
        <v>88</v>
      </c>
      <c r="G24" s="239">
        <v>17</v>
      </c>
      <c r="H24" s="197" t="s">
        <v>81</v>
      </c>
      <c r="I24" s="242" t="s">
        <v>224</v>
      </c>
      <c r="J24" s="242" t="s">
        <v>9303</v>
      </c>
      <c r="K24" s="195" t="s">
        <v>70</v>
      </c>
      <c r="L24" s="20" t="str">
        <f ca="1">IF(OFFSET(환산공식!$ED$15,$F24,0)=1,"O","X")</f>
        <v>X</v>
      </c>
      <c r="M24" s="188">
        <f ca="1">IFERROR(OFFSET(환산공식!DJ$15,$F24,0),"")</f>
        <v>200</v>
      </c>
      <c r="N24" s="20" t="str">
        <f ca="1">IFERROR(CONCATENATE(ROUND(OFFSET(환산공식!DK$15,$F24,0),1),"%"),"")</f>
        <v>100%</v>
      </c>
      <c r="O24" s="20">
        <f ca="1">IFERROR(OFFSET(환산공식!DL$15,$F24,0),"")</f>
        <v>10</v>
      </c>
      <c r="P24" s="188" t="str">
        <f t="shared" ca="1" si="0"/>
        <v>3% 이하</v>
      </c>
      <c r="Q24" s="194">
        <f ca="1">IFERROR(ROUND(OFFSET(환산공식!$FG$15,$F24,0),3),"")</f>
        <v>0</v>
      </c>
      <c r="R24" s="194">
        <f ca="1">OFFSET('배치점수 계산기'!H$10,$D24,0)</f>
        <v>937.01199999999994</v>
      </c>
      <c r="S24" s="194">
        <f ca="1">OFFSET('배치점수 계산기'!I$10,$D24,0)</f>
        <v>935.24800000000005</v>
      </c>
      <c r="T24" s="194">
        <f ca="1">OFFSET('배치점수 계산기'!J$10,$D24,0)</f>
        <v>933.56200000000001</v>
      </c>
      <c r="U24" s="194">
        <f ca="1">OFFSET('배치점수 계산기'!K$10,$D24,0)</f>
        <v>930.40499999999997</v>
      </c>
      <c r="V24" s="194">
        <f ca="1">OFFSET('배치점수 계산기'!L$10,$D24,0)</f>
        <v>925.22400000000005</v>
      </c>
      <c r="W24" s="186" t="str">
        <f ca="1">OFFSET('배치점수 계산기'!M$10,$D24,0)</f>
        <v>표점/만점</v>
      </c>
      <c r="X24" s="184" t="str">
        <f ca="1">OFFSET('배치점수 계산기'!N$10,$D24,0)</f>
        <v>변표/만점</v>
      </c>
      <c r="Y24" s="188">
        <f ca="1">OFFSET(환산공식!FW$15,$F24,0)</f>
        <v>0.31</v>
      </c>
      <c r="Z24" s="20">
        <f ca="1">OFFSET(환산공식!FX$15,$F24,0)</f>
        <v>0.37</v>
      </c>
      <c r="AA24" s="179">
        <f ca="1">OFFSET(환산공식!FY$15,$F24,0)</f>
        <v>0.31</v>
      </c>
      <c r="AC24"/>
      <c r="AD24">
        <f t="shared" ca="1" si="1"/>
        <v>6</v>
      </c>
      <c r="AE24"/>
    </row>
    <row r="25" spans="1:31" s="3" customFormat="1">
      <c r="A25" s="198"/>
      <c r="B25" s="198"/>
      <c r="C25" s="198" t="s">
        <v>2346</v>
      </c>
      <c r="D25" s="235">
        <v>1910</v>
      </c>
      <c r="E25" s="195">
        <v>89</v>
      </c>
      <c r="F25" s="195">
        <v>89</v>
      </c>
      <c r="G25" s="239">
        <v>18</v>
      </c>
      <c r="H25" s="197" t="s">
        <v>81</v>
      </c>
      <c r="I25" s="242" t="s">
        <v>224</v>
      </c>
      <c r="J25" s="242" t="s">
        <v>9154</v>
      </c>
      <c r="K25" s="195" t="s">
        <v>71</v>
      </c>
      <c r="L25" s="20" t="str">
        <f ca="1">IF(OFFSET(환산공식!$ED$15,$F25,0)=1,"O","X")</f>
        <v>X</v>
      </c>
      <c r="M25" s="188">
        <f ca="1">IFERROR(OFFSET(환산공식!DJ$15,$F25,0),"")</f>
        <v>200</v>
      </c>
      <c r="N25" s="20" t="str">
        <f ca="1">IFERROR(CONCATENATE(ROUND(OFFSET(환산공식!DK$15,$F25,0),1),"%"),"")</f>
        <v>100%</v>
      </c>
      <c r="O25" s="20">
        <f ca="1">IFERROR(OFFSET(환산공식!DL$15,$F25,0),"")</f>
        <v>10</v>
      </c>
      <c r="P25" s="188" t="str">
        <f t="shared" ca="1" si="0"/>
        <v>3% 이하</v>
      </c>
      <c r="Q25" s="194">
        <f ca="1">IFERROR(ROUND(OFFSET(환산공식!$FG$15,$F25,0),3),"")</f>
        <v>0</v>
      </c>
      <c r="R25" s="194">
        <f ca="1">OFFSET('배치점수 계산기'!H$10,$D25,0)</f>
        <v>930.51</v>
      </c>
      <c r="S25" s="194">
        <f ca="1">OFFSET('배치점수 계산기'!I$10,$D25,0)</f>
        <v>928.97699999999998</v>
      </c>
      <c r="T25" s="194">
        <f ca="1">OFFSET('배치점수 계산기'!J$10,$D25,0)</f>
        <v>927.55600000000004</v>
      </c>
      <c r="U25" s="194">
        <f ca="1">OFFSET('배치점수 계산기'!K$10,$D25,0)</f>
        <v>924.71299999999997</v>
      </c>
      <c r="V25" s="194">
        <f ca="1">OFFSET('배치점수 계산기'!L$10,$D25,0)</f>
        <v>920.33900000000006</v>
      </c>
      <c r="W25" s="186" t="str">
        <f ca="1">OFFSET('배치점수 계산기'!M$10,$D25,0)</f>
        <v>표점/만점</v>
      </c>
      <c r="X25" s="184" t="str">
        <f ca="1">OFFSET('배치점수 계산기'!N$10,$D25,0)</f>
        <v>변표/만점</v>
      </c>
      <c r="Y25" s="188">
        <f ca="1">OFFSET(환산공식!FW$15,$F25,0)</f>
        <v>0.38</v>
      </c>
      <c r="Z25" s="20">
        <f ca="1">OFFSET(환산공식!FX$15,$F25,0)</f>
        <v>0.37</v>
      </c>
      <c r="AA25" s="179">
        <f ca="1">OFFSET(환산공식!FY$15,$F25,0)</f>
        <v>0.25</v>
      </c>
      <c r="AC25"/>
      <c r="AD25">
        <f t="shared" ca="1" si="1"/>
        <v>6</v>
      </c>
      <c r="AE25"/>
    </row>
    <row r="26" spans="1:31" s="3" customFormat="1">
      <c r="A26" s="198"/>
      <c r="B26" s="198"/>
      <c r="C26" s="198" t="s">
        <v>2347</v>
      </c>
      <c r="D26" s="235">
        <v>1911</v>
      </c>
      <c r="E26" s="195">
        <v>40</v>
      </c>
      <c r="F26" s="195">
        <v>40</v>
      </c>
      <c r="G26" s="239">
        <v>19</v>
      </c>
      <c r="H26" s="197" t="s">
        <v>81</v>
      </c>
      <c r="I26" s="242" t="s">
        <v>9336</v>
      </c>
      <c r="J26" s="242" t="s">
        <v>9337</v>
      </c>
      <c r="K26" s="195" t="s">
        <v>70</v>
      </c>
      <c r="L26" s="20" t="str">
        <f ca="1">IF(OFFSET(환산공식!$ED$15,$F26,0)=1,"O","X")</f>
        <v>X</v>
      </c>
      <c r="M26" s="188">
        <f ca="1">IFERROR(OFFSET(환산공식!DJ$15,$F26,0),"")</f>
        <v>105</v>
      </c>
      <c r="N26" s="20" t="str">
        <f ca="1">IFERROR(CONCATENATE(ROUND(OFFSET(환산공식!DK$15,$F26,0),1),"%"),"")</f>
        <v>100%</v>
      </c>
      <c r="O26" s="20">
        <f ca="1">IFERROR(OFFSET(환산공식!DL$15,$F26,0),"")</f>
        <v>10</v>
      </c>
      <c r="P26" s="188" t="str">
        <f t="shared" ca="1" si="0"/>
        <v>3% 이하</v>
      </c>
      <c r="Q26" s="194">
        <f ca="1">IFERROR(ROUND(OFFSET(환산공식!$FG$15,$F26,0),3),"")</f>
        <v>0</v>
      </c>
      <c r="R26" s="194">
        <f ca="1">OFFSET('배치점수 계산기'!H$10,$D26,0)</f>
        <v>658.49300000000005</v>
      </c>
      <c r="S26" s="194">
        <f ca="1">OFFSET('배치점수 계산기'!I$10,$D26,0)</f>
        <v>656.06500000000005</v>
      </c>
      <c r="T26" s="194">
        <f ca="1">OFFSET('배치점수 계산기'!J$10,$D26,0)</f>
        <v>653.46900000000005</v>
      </c>
      <c r="U26" s="194">
        <f ca="1">OFFSET('배치점수 계산기'!K$10,$D26,0)</f>
        <v>648.55100000000004</v>
      </c>
      <c r="V26" s="194">
        <f ca="1">OFFSET('배치점수 계산기'!L$10,$D26,0)</f>
        <v>643.93799999999999</v>
      </c>
      <c r="W26" s="186" t="str">
        <f ca="1">OFFSET('배치점수 계산기'!M$10,$D26,0)</f>
        <v>표점/만점</v>
      </c>
      <c r="X26" s="184" t="str">
        <f ca="1">OFFSET('배치점수 계산기'!N$10,$D26,0)</f>
        <v>변표/만점</v>
      </c>
      <c r="Y26" s="188">
        <f ca="1">OFFSET(환산공식!FW$15,$F26,0)</f>
        <v>0.24</v>
      </c>
      <c r="Z26" s="20">
        <f ca="1">OFFSET(환산공식!FX$15,$F26,0)</f>
        <v>0.41</v>
      </c>
      <c r="AA26" s="179">
        <f ca="1">OFFSET(환산공식!FY$15,$F26,0)</f>
        <v>0.35</v>
      </c>
      <c r="AC26"/>
      <c r="AD26">
        <f t="shared" ca="1" si="1"/>
        <v>6</v>
      </c>
      <c r="AE26"/>
    </row>
    <row r="27" spans="1:31" s="3" customFormat="1">
      <c r="A27" s="198"/>
      <c r="B27" s="198"/>
      <c r="C27" s="198" t="s">
        <v>2348</v>
      </c>
      <c r="D27" s="235">
        <v>1912</v>
      </c>
      <c r="E27" s="195">
        <v>40</v>
      </c>
      <c r="F27" s="195">
        <v>40</v>
      </c>
      <c r="G27" s="239">
        <v>20</v>
      </c>
      <c r="H27" s="197" t="s">
        <v>81</v>
      </c>
      <c r="I27" s="242" t="s">
        <v>9336</v>
      </c>
      <c r="J27" s="242" t="s">
        <v>11509</v>
      </c>
      <c r="K27" s="195" t="s">
        <v>70</v>
      </c>
      <c r="L27" s="20" t="str">
        <f ca="1">IF(OFFSET(환산공식!$ED$15,$F27,0)=1,"O","X")</f>
        <v>X</v>
      </c>
      <c r="M27" s="188">
        <f ca="1">IFERROR(OFFSET(환산공식!DJ$15,$F27,0),"")</f>
        <v>105</v>
      </c>
      <c r="N27" s="20" t="str">
        <f ca="1">IFERROR(CONCATENATE(ROUND(OFFSET(환산공식!DK$15,$F27,0),1),"%"),"")</f>
        <v>100%</v>
      </c>
      <c r="O27" s="20">
        <f ca="1">IFERROR(OFFSET(환산공식!DL$15,$F27,0),"")</f>
        <v>10</v>
      </c>
      <c r="P27" s="188" t="str">
        <f t="shared" ca="1" si="0"/>
        <v>3% 이하</v>
      </c>
      <c r="Q27" s="194">
        <f ca="1">IFERROR(ROUND(OFFSET(환산공식!$FG$15,$F27,0),3),"")</f>
        <v>0</v>
      </c>
      <c r="R27" s="194">
        <f ca="1">OFFSET('배치점수 계산기'!H$10,$D27,0)</f>
        <v>625.37400000000002</v>
      </c>
      <c r="S27" s="194">
        <f ca="1">OFFSET('배치점수 계산기'!I$10,$D27,0)</f>
        <v>623.5</v>
      </c>
      <c r="T27" s="194">
        <f ca="1">OFFSET('배치점수 계산기'!J$10,$D27,0)</f>
        <v>621.447</v>
      </c>
      <c r="U27" s="194">
        <f ca="1">OFFSET('배치점수 계산기'!K$10,$D27,0)</f>
        <v>620.04100000000005</v>
      </c>
      <c r="V27" s="194">
        <f ca="1">OFFSET('배치점수 계산기'!L$10,$D27,0)</f>
        <v>617.53399999999999</v>
      </c>
      <c r="W27" s="186" t="str">
        <f ca="1">OFFSET('배치점수 계산기'!M$10,$D27,0)</f>
        <v>표점/만점</v>
      </c>
      <c r="X27" s="184" t="str">
        <f ca="1">OFFSET('배치점수 계산기'!N$10,$D27,0)</f>
        <v>변표/만점</v>
      </c>
      <c r="Y27" s="188">
        <f ca="1">OFFSET(환산공식!FW$15,$F27,0)</f>
        <v>0.24</v>
      </c>
      <c r="Z27" s="20">
        <f ca="1">OFFSET(환산공식!FX$15,$F27,0)</f>
        <v>0.41</v>
      </c>
      <c r="AA27" s="179">
        <f ca="1">OFFSET(환산공식!FY$15,$F27,0)</f>
        <v>0.35</v>
      </c>
      <c r="AC27"/>
      <c r="AD27">
        <f t="shared" ca="1" si="1"/>
        <v>6</v>
      </c>
      <c r="AE27"/>
    </row>
    <row r="28" spans="1:31" s="3" customFormat="1">
      <c r="A28" s="198"/>
      <c r="B28" s="198"/>
      <c r="C28" s="198" t="s">
        <v>2349</v>
      </c>
      <c r="D28" s="235">
        <v>1913</v>
      </c>
      <c r="E28" s="195">
        <v>40</v>
      </c>
      <c r="F28" s="195">
        <v>40</v>
      </c>
      <c r="G28" s="239">
        <v>21</v>
      </c>
      <c r="H28" s="197" t="s">
        <v>81</v>
      </c>
      <c r="I28" s="242" t="s">
        <v>9336</v>
      </c>
      <c r="J28" s="242" t="s">
        <v>7910</v>
      </c>
      <c r="K28" s="195" t="s">
        <v>70</v>
      </c>
      <c r="L28" s="20" t="str">
        <f ca="1">IF(OFFSET(환산공식!$ED$15,$F28,0)=1,"O","X")</f>
        <v>X</v>
      </c>
      <c r="M28" s="188">
        <f ca="1">IFERROR(OFFSET(환산공식!DJ$15,$F28,0),"")</f>
        <v>105</v>
      </c>
      <c r="N28" s="20" t="str">
        <f ca="1">IFERROR(CONCATENATE(ROUND(OFFSET(환산공식!DK$15,$F28,0),1),"%"),"")</f>
        <v>100%</v>
      </c>
      <c r="O28" s="20">
        <f ca="1">IFERROR(OFFSET(환산공식!DL$15,$F28,0),"")</f>
        <v>10</v>
      </c>
      <c r="P28" s="188" t="str">
        <f t="shared" ca="1" si="0"/>
        <v>3% 이하</v>
      </c>
      <c r="Q28" s="194">
        <f ca="1">IFERROR(ROUND(OFFSET(환산공식!$FG$15,$F28,0),3),"")</f>
        <v>0</v>
      </c>
      <c r="R28" s="194">
        <f ca="1">OFFSET('배치점수 계산기'!H$10,$D28,0)</f>
        <v>625.26199999999994</v>
      </c>
      <c r="S28" s="194">
        <f ca="1">OFFSET('배치점수 계산기'!I$10,$D28,0)</f>
        <v>622.98599999999999</v>
      </c>
      <c r="T28" s="194">
        <f ca="1">OFFSET('배치점수 계산기'!J$10,$D28,0)</f>
        <v>621.06299999999999</v>
      </c>
      <c r="U28" s="194">
        <f ca="1">OFFSET('배치점수 계산기'!K$10,$D28,0)</f>
        <v>619.84699999999998</v>
      </c>
      <c r="V28" s="194">
        <f ca="1">OFFSET('배치점수 계산기'!L$10,$D28,0)</f>
        <v>617.26499999999999</v>
      </c>
      <c r="W28" s="186" t="str">
        <f ca="1">OFFSET('배치점수 계산기'!M$10,$D28,0)</f>
        <v>표점/만점</v>
      </c>
      <c r="X28" s="184" t="str">
        <f ca="1">OFFSET('배치점수 계산기'!N$10,$D28,0)</f>
        <v>변표/만점</v>
      </c>
      <c r="Y28" s="188">
        <f ca="1">OFFSET(환산공식!FW$15,$F28,0)</f>
        <v>0.24</v>
      </c>
      <c r="Z28" s="20">
        <f ca="1">OFFSET(환산공식!FX$15,$F28,0)</f>
        <v>0.41</v>
      </c>
      <c r="AA28" s="179">
        <f ca="1">OFFSET(환산공식!FY$15,$F28,0)</f>
        <v>0.35</v>
      </c>
      <c r="AC28"/>
      <c r="AD28">
        <f t="shared" ca="1" si="1"/>
        <v>6</v>
      </c>
      <c r="AE28"/>
    </row>
    <row r="29" spans="1:31" s="3" customFormat="1">
      <c r="A29" s="198"/>
      <c r="B29" s="198"/>
      <c r="C29" s="198" t="s">
        <v>2350</v>
      </c>
      <c r="D29" s="235">
        <v>1914</v>
      </c>
      <c r="E29" s="195">
        <v>40</v>
      </c>
      <c r="F29" s="195">
        <v>40</v>
      </c>
      <c r="G29" s="239">
        <v>22</v>
      </c>
      <c r="H29" s="197" t="s">
        <v>81</v>
      </c>
      <c r="I29" s="242" t="s">
        <v>9336</v>
      </c>
      <c r="J29" s="242" t="s">
        <v>11690</v>
      </c>
      <c r="K29" s="195" t="s">
        <v>70</v>
      </c>
      <c r="L29" s="20" t="str">
        <f ca="1">IF(OFFSET(환산공식!$ED$15,$F29,0)=1,"O","X")</f>
        <v>X</v>
      </c>
      <c r="M29" s="188">
        <f ca="1">IFERROR(OFFSET(환산공식!DJ$15,$F29,0),"")</f>
        <v>105</v>
      </c>
      <c r="N29" s="20" t="str">
        <f ca="1">IFERROR(CONCATENATE(ROUND(OFFSET(환산공식!DK$15,$F29,0),1),"%"),"")</f>
        <v>100%</v>
      </c>
      <c r="O29" s="20">
        <f ca="1">IFERROR(OFFSET(환산공식!DL$15,$F29,0),"")</f>
        <v>10</v>
      </c>
      <c r="P29" s="188" t="str">
        <f t="shared" ca="1" si="0"/>
        <v>3% 이하</v>
      </c>
      <c r="Q29" s="194">
        <f ca="1">IFERROR(ROUND(OFFSET(환산공식!$FG$15,$F29,0),3),"")</f>
        <v>0</v>
      </c>
      <c r="R29" s="194">
        <f ca="1">OFFSET('배치점수 계산기'!H$10,$D29,0)</f>
        <v>622.71500000000003</v>
      </c>
      <c r="S29" s="194">
        <f ca="1">OFFSET('배치점수 계산기'!I$10,$D29,0)</f>
        <v>620.85199999999998</v>
      </c>
      <c r="T29" s="194">
        <f ca="1">OFFSET('배치점수 계산기'!J$10,$D29,0)</f>
        <v>619.75199999999995</v>
      </c>
      <c r="U29" s="194">
        <f ca="1">OFFSET('배치점수 계산기'!K$10,$D29,0)</f>
        <v>618.43600000000004</v>
      </c>
      <c r="V29" s="194">
        <f ca="1">OFFSET('배치점수 계산기'!L$10,$D29,0)</f>
        <v>614.65499999999997</v>
      </c>
      <c r="W29" s="186" t="str">
        <f ca="1">OFFSET('배치점수 계산기'!M$10,$D29,0)</f>
        <v>표점/만점</v>
      </c>
      <c r="X29" s="184" t="str">
        <f ca="1">OFFSET('배치점수 계산기'!N$10,$D29,0)</f>
        <v>변표/만점</v>
      </c>
      <c r="Y29" s="188">
        <f ca="1">OFFSET(환산공식!FW$15,$F29,0)</f>
        <v>0.24</v>
      </c>
      <c r="Z29" s="20">
        <f ca="1">OFFSET(환산공식!FX$15,$F29,0)</f>
        <v>0.41</v>
      </c>
      <c r="AA29" s="179">
        <f ca="1">OFFSET(환산공식!FY$15,$F29,0)</f>
        <v>0.35</v>
      </c>
      <c r="AC29"/>
      <c r="AD29">
        <f t="shared" ca="1" si="1"/>
        <v>6</v>
      </c>
      <c r="AE29"/>
    </row>
    <row r="30" spans="1:31" s="3" customFormat="1">
      <c r="A30" s="198"/>
      <c r="B30" s="198"/>
      <c r="C30" s="198" t="s">
        <v>2351</v>
      </c>
      <c r="D30" s="235">
        <v>1915</v>
      </c>
      <c r="E30" s="195">
        <v>40</v>
      </c>
      <c r="F30" s="195">
        <v>40</v>
      </c>
      <c r="G30" s="239">
        <v>23</v>
      </c>
      <c r="H30" s="197" t="s">
        <v>81</v>
      </c>
      <c r="I30" s="242" t="s">
        <v>9336</v>
      </c>
      <c r="J30" s="242" t="s">
        <v>11714</v>
      </c>
      <c r="K30" s="195" t="s">
        <v>70</v>
      </c>
      <c r="L30" s="20" t="str">
        <f ca="1">IF(OFFSET(환산공식!$ED$15,$F30,0)=1,"O","X")</f>
        <v>X</v>
      </c>
      <c r="M30" s="188">
        <f ca="1">IFERROR(OFFSET(환산공식!DJ$15,$F30,0),"")</f>
        <v>105</v>
      </c>
      <c r="N30" s="20" t="str">
        <f ca="1">IFERROR(CONCATENATE(ROUND(OFFSET(환산공식!DK$15,$F30,0),1),"%"),"")</f>
        <v>100%</v>
      </c>
      <c r="O30" s="20">
        <f ca="1">IFERROR(OFFSET(환산공식!DL$15,$F30,0),"")</f>
        <v>10</v>
      </c>
      <c r="P30" s="188" t="str">
        <f t="shared" ca="1" si="0"/>
        <v>3% 이하</v>
      </c>
      <c r="Q30" s="194">
        <f ca="1">IFERROR(ROUND(OFFSET(환산공식!$FG$15,$F30,0),3),"")</f>
        <v>0</v>
      </c>
      <c r="R30" s="194">
        <f ca="1">OFFSET('배치점수 계산기'!H$10,$D30,0)</f>
        <v>622.62300000000005</v>
      </c>
      <c r="S30" s="194">
        <f ca="1">OFFSET('배치점수 계산기'!I$10,$D30,0)</f>
        <v>620.67600000000004</v>
      </c>
      <c r="T30" s="194">
        <f ca="1">OFFSET('배치점수 계산기'!J$10,$D30,0)</f>
        <v>619.66200000000003</v>
      </c>
      <c r="U30" s="194">
        <f ca="1">OFFSET('배치점수 계산기'!K$10,$D30,0)</f>
        <v>618.34</v>
      </c>
      <c r="V30" s="194">
        <f ca="1">OFFSET('배치점수 계산기'!L$10,$D30,0)</f>
        <v>614.55999999999995</v>
      </c>
      <c r="W30" s="186" t="str">
        <f ca="1">OFFSET('배치점수 계산기'!M$10,$D30,0)</f>
        <v>표점/만점</v>
      </c>
      <c r="X30" s="184" t="str">
        <f ca="1">OFFSET('배치점수 계산기'!N$10,$D30,0)</f>
        <v>변표/만점</v>
      </c>
      <c r="Y30" s="188">
        <f ca="1">OFFSET(환산공식!FW$15,$F30,0)</f>
        <v>0.24</v>
      </c>
      <c r="Z30" s="20">
        <f ca="1">OFFSET(환산공식!FX$15,$F30,0)</f>
        <v>0.41</v>
      </c>
      <c r="AA30" s="179">
        <f ca="1">OFFSET(환산공식!FY$15,$F30,0)</f>
        <v>0.35</v>
      </c>
      <c r="AC30"/>
      <c r="AD30">
        <f t="shared" ca="1" si="1"/>
        <v>6</v>
      </c>
      <c r="AE30"/>
    </row>
    <row r="31" spans="1:31" s="3" customFormat="1">
      <c r="A31" s="198"/>
      <c r="B31" s="198"/>
      <c r="C31" s="198" t="s">
        <v>2352</v>
      </c>
      <c r="D31" s="235">
        <v>1916</v>
      </c>
      <c r="E31" s="195">
        <v>40</v>
      </c>
      <c r="F31" s="195">
        <v>40</v>
      </c>
      <c r="G31" s="239">
        <v>24</v>
      </c>
      <c r="H31" s="197" t="s">
        <v>81</v>
      </c>
      <c r="I31" s="242" t="s">
        <v>9336</v>
      </c>
      <c r="J31" s="242" t="s">
        <v>555</v>
      </c>
      <c r="K31" s="195" t="s">
        <v>70</v>
      </c>
      <c r="L31" s="20" t="str">
        <f ca="1">IF(OFFSET(환산공식!$ED$15,$F31,0)=1,"O","X")</f>
        <v>X</v>
      </c>
      <c r="M31" s="188">
        <f ca="1">IFERROR(OFFSET(환산공식!DJ$15,$F31,0),"")</f>
        <v>105</v>
      </c>
      <c r="N31" s="20" t="str">
        <f ca="1">IFERROR(CONCATENATE(ROUND(OFFSET(환산공식!DK$15,$F31,0),1),"%"),"")</f>
        <v>100%</v>
      </c>
      <c r="O31" s="20">
        <f ca="1">IFERROR(OFFSET(환산공식!DL$15,$F31,0),"")</f>
        <v>10</v>
      </c>
      <c r="P31" s="188" t="str">
        <f t="shared" ca="1" si="0"/>
        <v>3% 이하</v>
      </c>
      <c r="Q31" s="194">
        <f ca="1">IFERROR(ROUND(OFFSET(환산공식!$FG$15,$F31,0),3),"")</f>
        <v>0</v>
      </c>
      <c r="R31" s="194">
        <f ca="1">OFFSET('배치점수 계산기'!H$10,$D31,0)</f>
        <v>621.83500000000004</v>
      </c>
      <c r="S31" s="194">
        <f ca="1">OFFSET('배치점수 계산기'!I$10,$D31,0)</f>
        <v>620.22799999999995</v>
      </c>
      <c r="T31" s="194">
        <f ca="1">OFFSET('배치점수 계산기'!J$10,$D31,0)</f>
        <v>619.39</v>
      </c>
      <c r="U31" s="194">
        <f ca="1">OFFSET('배치점수 계산기'!K$10,$D31,0)</f>
        <v>617.95699999999999</v>
      </c>
      <c r="V31" s="194">
        <f ca="1">OFFSET('배치점수 계산기'!L$10,$D31,0)</f>
        <v>613.93700000000001</v>
      </c>
      <c r="W31" s="186" t="str">
        <f ca="1">OFFSET('배치점수 계산기'!M$10,$D31,0)</f>
        <v>표점/만점</v>
      </c>
      <c r="X31" s="184" t="str">
        <f ca="1">OFFSET('배치점수 계산기'!N$10,$D31,0)</f>
        <v>변표/만점</v>
      </c>
      <c r="Y31" s="188">
        <f ca="1">OFFSET(환산공식!FW$15,$F31,0)</f>
        <v>0.24</v>
      </c>
      <c r="Z31" s="20">
        <f ca="1">OFFSET(환산공식!FX$15,$F31,0)</f>
        <v>0.41</v>
      </c>
      <c r="AA31" s="179">
        <f ca="1">OFFSET(환산공식!FY$15,$F31,0)</f>
        <v>0.35</v>
      </c>
      <c r="AC31"/>
      <c r="AD31">
        <f t="shared" ca="1" si="1"/>
        <v>6</v>
      </c>
      <c r="AE31"/>
    </row>
    <row r="32" spans="1:31" s="3" customFormat="1">
      <c r="A32" s="198"/>
      <c r="B32" s="198"/>
      <c r="C32" s="198" t="s">
        <v>2353</v>
      </c>
      <c r="D32" s="235">
        <v>1917</v>
      </c>
      <c r="E32" s="195">
        <v>40</v>
      </c>
      <c r="F32" s="195">
        <v>40</v>
      </c>
      <c r="G32" s="239">
        <v>25</v>
      </c>
      <c r="H32" s="197" t="s">
        <v>81</v>
      </c>
      <c r="I32" s="242" t="s">
        <v>9336</v>
      </c>
      <c r="J32" s="242" t="s">
        <v>551</v>
      </c>
      <c r="K32" s="195" t="s">
        <v>70</v>
      </c>
      <c r="L32" s="20" t="str">
        <f ca="1">IF(OFFSET(환산공식!$ED$15,$F32,0)=1,"O","X")</f>
        <v>X</v>
      </c>
      <c r="M32" s="188">
        <f ca="1">IFERROR(OFFSET(환산공식!DJ$15,$F32,0),"")</f>
        <v>105</v>
      </c>
      <c r="N32" s="20" t="str">
        <f ca="1">IFERROR(CONCATENATE(ROUND(OFFSET(환산공식!DK$15,$F32,0),1),"%"),"")</f>
        <v>100%</v>
      </c>
      <c r="O32" s="20">
        <f ca="1">IFERROR(OFFSET(환산공식!DL$15,$F32,0),"")</f>
        <v>10</v>
      </c>
      <c r="P32" s="188" t="str">
        <f t="shared" ca="1" si="0"/>
        <v>3% 이하</v>
      </c>
      <c r="Q32" s="194">
        <f ca="1">IFERROR(ROUND(OFFSET(환산공식!$FG$15,$F32,0),3),"")</f>
        <v>0</v>
      </c>
      <c r="R32" s="194">
        <f ca="1">OFFSET('배치점수 계산기'!H$10,$D32,0)</f>
        <v>621.64800000000002</v>
      </c>
      <c r="S32" s="194">
        <f ca="1">OFFSET('배치점수 계산기'!I$10,$D32,0)</f>
        <v>620.04100000000005</v>
      </c>
      <c r="T32" s="194">
        <f ca="1">OFFSET('배치점수 계산기'!J$10,$D32,0)</f>
        <v>619.18200000000002</v>
      </c>
      <c r="U32" s="194">
        <f ca="1">OFFSET('배치점수 계산기'!K$10,$D32,0)</f>
        <v>617.68100000000004</v>
      </c>
      <c r="V32" s="194">
        <f ca="1">OFFSET('배치점수 계산기'!L$10,$D32,0)</f>
        <v>613.75199999999995</v>
      </c>
      <c r="W32" s="186" t="str">
        <f ca="1">OFFSET('배치점수 계산기'!M$10,$D32,0)</f>
        <v>표점/만점</v>
      </c>
      <c r="X32" s="184" t="str">
        <f ca="1">OFFSET('배치점수 계산기'!N$10,$D32,0)</f>
        <v>변표/만점</v>
      </c>
      <c r="Y32" s="188">
        <f ca="1">OFFSET(환산공식!FW$15,$F32,0)</f>
        <v>0.24</v>
      </c>
      <c r="Z32" s="20">
        <f ca="1">OFFSET(환산공식!FX$15,$F32,0)</f>
        <v>0.41</v>
      </c>
      <c r="AA32" s="179">
        <f ca="1">OFFSET(환산공식!FY$15,$F32,0)</f>
        <v>0.35</v>
      </c>
      <c r="AC32"/>
      <c r="AD32">
        <f t="shared" ca="1" si="1"/>
        <v>6</v>
      </c>
      <c r="AE32"/>
    </row>
    <row r="33" spans="1:34" s="3" customFormat="1">
      <c r="A33" s="198"/>
      <c r="B33" s="198"/>
      <c r="C33" s="198" t="s">
        <v>2354</v>
      </c>
      <c r="D33" s="235">
        <v>1918</v>
      </c>
      <c r="E33" s="195">
        <v>40</v>
      </c>
      <c r="F33" s="195">
        <v>40</v>
      </c>
      <c r="G33" s="239">
        <v>26</v>
      </c>
      <c r="H33" s="197" t="s">
        <v>81</v>
      </c>
      <c r="I33" s="242" t="s">
        <v>9336</v>
      </c>
      <c r="J33" s="242" t="s">
        <v>8443</v>
      </c>
      <c r="K33" s="195" t="s">
        <v>70</v>
      </c>
      <c r="L33" s="20" t="str">
        <f ca="1">IF(OFFSET(환산공식!$ED$15,$F33,0)=1,"O","X")</f>
        <v>X</v>
      </c>
      <c r="M33" s="188">
        <f ca="1">IFERROR(OFFSET(환산공식!DJ$15,$F33,0),"")</f>
        <v>105</v>
      </c>
      <c r="N33" s="20" t="str">
        <f ca="1">IFERROR(CONCATENATE(ROUND(OFFSET(환산공식!DK$15,$F33,0),1),"%"),"")</f>
        <v>100%</v>
      </c>
      <c r="O33" s="20">
        <f ca="1">IFERROR(OFFSET(환산공식!DL$15,$F33,0),"")</f>
        <v>10</v>
      </c>
      <c r="P33" s="188" t="str">
        <f t="shared" ca="1" si="0"/>
        <v>3% 이하</v>
      </c>
      <c r="Q33" s="194">
        <f ca="1">IFERROR(ROUND(OFFSET(환산공식!$FG$15,$F33,0),3),"")</f>
        <v>0</v>
      </c>
      <c r="R33" s="194">
        <f ca="1">OFFSET('배치점수 계산기'!H$10,$D33,0)</f>
        <v>621.64800000000002</v>
      </c>
      <c r="S33" s="194">
        <f ca="1">OFFSET('배치점수 계산기'!I$10,$D33,0)</f>
        <v>620.04100000000005</v>
      </c>
      <c r="T33" s="194">
        <f ca="1">OFFSET('배치점수 계산기'!J$10,$D33,0)</f>
        <v>619.18200000000002</v>
      </c>
      <c r="U33" s="194">
        <f ca="1">OFFSET('배치점수 계산기'!K$10,$D33,0)</f>
        <v>617.68100000000004</v>
      </c>
      <c r="V33" s="194">
        <f ca="1">OFFSET('배치점수 계산기'!L$10,$D33,0)</f>
        <v>613.75199999999995</v>
      </c>
      <c r="W33" s="186" t="str">
        <f ca="1">OFFSET('배치점수 계산기'!M$10,$D33,0)</f>
        <v>표점/만점</v>
      </c>
      <c r="X33" s="184" t="str">
        <f ca="1">OFFSET('배치점수 계산기'!N$10,$D33,0)</f>
        <v>변표/만점</v>
      </c>
      <c r="Y33" s="188">
        <f ca="1">OFFSET(환산공식!FW$15,$F33,0)</f>
        <v>0.24</v>
      </c>
      <c r="Z33" s="20">
        <f ca="1">OFFSET(환산공식!FX$15,$F33,0)</f>
        <v>0.41</v>
      </c>
      <c r="AA33" s="179">
        <f ca="1">OFFSET(환산공식!FY$15,$F33,0)</f>
        <v>0.35</v>
      </c>
      <c r="AC33"/>
      <c r="AD33">
        <f t="shared" ca="1" si="1"/>
        <v>6</v>
      </c>
      <c r="AE33"/>
    </row>
    <row r="34" spans="1:34" s="3" customFormat="1">
      <c r="A34" s="198"/>
      <c r="B34" s="198"/>
      <c r="C34" s="198" t="s">
        <v>2355</v>
      </c>
      <c r="D34" s="235">
        <v>1919</v>
      </c>
      <c r="E34" s="195">
        <v>40</v>
      </c>
      <c r="F34" s="195">
        <v>40</v>
      </c>
      <c r="G34" s="239">
        <v>27</v>
      </c>
      <c r="H34" s="197" t="s">
        <v>81</v>
      </c>
      <c r="I34" s="242" t="s">
        <v>9336</v>
      </c>
      <c r="J34" s="242" t="s">
        <v>11824</v>
      </c>
      <c r="K34" s="195" t="s">
        <v>70</v>
      </c>
      <c r="L34" s="20" t="str">
        <f ca="1">IF(OFFSET(환산공식!$ED$15,$F34,0)=1,"O","X")</f>
        <v>X</v>
      </c>
      <c r="M34" s="188">
        <f ca="1">IFERROR(OFFSET(환산공식!DJ$15,$F34,0),"")</f>
        <v>105</v>
      </c>
      <c r="N34" s="20" t="str">
        <f ca="1">IFERROR(CONCATENATE(ROUND(OFFSET(환산공식!DK$15,$F34,0),1),"%"),"")</f>
        <v>100%</v>
      </c>
      <c r="O34" s="20">
        <f ca="1">IFERROR(OFFSET(환산공식!DL$15,$F34,0),"")</f>
        <v>10</v>
      </c>
      <c r="P34" s="188" t="str">
        <f t="shared" ca="1" si="0"/>
        <v>3% 이하</v>
      </c>
      <c r="Q34" s="194">
        <f ca="1">IFERROR(ROUND(OFFSET(환산공식!$FG$15,$F34,0),3),"")</f>
        <v>0</v>
      </c>
      <c r="R34" s="194">
        <f ca="1">OFFSET('배치점수 계산기'!H$10,$D34,0)</f>
        <v>620.67600000000004</v>
      </c>
      <c r="S34" s="194">
        <f ca="1">OFFSET('배치점수 계산기'!I$10,$D34,0)</f>
        <v>619.66200000000003</v>
      </c>
      <c r="T34" s="194">
        <f ca="1">OFFSET('배치점수 계산기'!J$10,$D34,0)</f>
        <v>618.34</v>
      </c>
      <c r="U34" s="194">
        <f ca="1">OFFSET('배치점수 계산기'!K$10,$D34,0)</f>
        <v>616.53200000000004</v>
      </c>
      <c r="V34" s="194">
        <f ca="1">OFFSET('배치점수 계산기'!L$10,$D34,0)</f>
        <v>613.43299999999999</v>
      </c>
      <c r="W34" s="186" t="str">
        <f ca="1">OFFSET('배치점수 계산기'!M$10,$D34,0)</f>
        <v>표점/만점</v>
      </c>
      <c r="X34" s="184" t="str">
        <f ca="1">OFFSET('배치점수 계산기'!N$10,$D34,0)</f>
        <v>변표/만점</v>
      </c>
      <c r="Y34" s="188">
        <f ca="1">OFFSET(환산공식!FW$15,$F34,0)</f>
        <v>0.24</v>
      </c>
      <c r="Z34" s="20">
        <f ca="1">OFFSET(환산공식!FX$15,$F34,0)</f>
        <v>0.41</v>
      </c>
      <c r="AA34" s="179">
        <f ca="1">OFFSET(환산공식!FY$15,$F34,0)</f>
        <v>0.35</v>
      </c>
      <c r="AC34"/>
      <c r="AD34">
        <f t="shared" ca="1" si="1"/>
        <v>6</v>
      </c>
      <c r="AE34"/>
    </row>
    <row r="35" spans="1:34" s="3" customFormat="1">
      <c r="A35" s="198"/>
      <c r="B35" s="198"/>
      <c r="C35" s="198" t="s">
        <v>2356</v>
      </c>
      <c r="D35" s="235">
        <v>1920</v>
      </c>
      <c r="E35" s="195">
        <v>38</v>
      </c>
      <c r="F35" s="195">
        <v>38</v>
      </c>
      <c r="G35" s="239">
        <v>28</v>
      </c>
      <c r="H35" s="197" t="s">
        <v>81</v>
      </c>
      <c r="I35" s="242" t="s">
        <v>9336</v>
      </c>
      <c r="J35" s="242" t="s">
        <v>9799</v>
      </c>
      <c r="K35" s="195" t="s">
        <v>71</v>
      </c>
      <c r="L35" s="20" t="str">
        <f ca="1">IF(OFFSET(환산공식!$ED$15,$F35,0)=1,"O","X")</f>
        <v>X</v>
      </c>
      <c r="M35" s="188">
        <f ca="1">IFERROR(OFFSET(환산공식!DJ$15,$F35,0),"")</f>
        <v>140</v>
      </c>
      <c r="N35" s="20" t="str">
        <f ca="1">IFERROR(CONCATENATE(ROUND(OFFSET(환산공식!DK$15,$F35,0),1),"%"),"")</f>
        <v>100%</v>
      </c>
      <c r="O35" s="20">
        <f ca="1">IFERROR(OFFSET(환산공식!DL$15,$F35,0),"")</f>
        <v>10</v>
      </c>
      <c r="P35" s="188" t="str">
        <f t="shared" ca="1" si="0"/>
        <v>3% 이하</v>
      </c>
      <c r="Q35" s="194">
        <f ca="1">IFERROR(ROUND(OFFSET(환산공식!$FG$15,$F35,0),3),"")</f>
        <v>0</v>
      </c>
      <c r="R35" s="194">
        <f ca="1">OFFSET('배치점수 계산기'!H$10,$D35,0)</f>
        <v>654.56500000000005</v>
      </c>
      <c r="S35" s="194">
        <f ca="1">OFFSET('배치점수 계산기'!I$10,$D35,0)</f>
        <v>652.11699999999996</v>
      </c>
      <c r="T35" s="194">
        <f ca="1">OFFSET('배치점수 계산기'!J$10,$D35,0)</f>
        <v>649.10199999999998</v>
      </c>
      <c r="U35" s="194">
        <f ca="1">OFFSET('배치점수 계산기'!K$10,$D35,0)</f>
        <v>646.88</v>
      </c>
      <c r="V35" s="194">
        <f ca="1">OFFSET('배치점수 계산기'!L$10,$D35,0)</f>
        <v>642.36699999999996</v>
      </c>
      <c r="W35" s="186" t="str">
        <f ca="1">OFFSET('배치점수 계산기'!M$10,$D35,0)</f>
        <v>표점/만점</v>
      </c>
      <c r="X35" s="184" t="str">
        <f ca="1">OFFSET('배치점수 계산기'!N$10,$D35,0)</f>
        <v>변표/만점</v>
      </c>
      <c r="Y35" s="188">
        <f ca="1">OFFSET(환산공식!FW$15,$F35,0)</f>
        <v>0.38</v>
      </c>
      <c r="Z35" s="20">
        <f ca="1">OFFSET(환산공식!FX$15,$F35,0)</f>
        <v>0.37</v>
      </c>
      <c r="AA35" s="179">
        <f ca="1">OFFSET(환산공식!FY$15,$F35,0)</f>
        <v>0.25</v>
      </c>
      <c r="AC35"/>
      <c r="AD35">
        <f t="shared" ca="1" si="1"/>
        <v>6</v>
      </c>
      <c r="AE35"/>
    </row>
    <row r="36" spans="1:34" s="3" customFormat="1">
      <c r="A36" s="198"/>
      <c r="B36" s="198"/>
      <c r="C36" s="198" t="s">
        <v>2357</v>
      </c>
      <c r="D36" s="235">
        <v>1921</v>
      </c>
      <c r="E36" s="195">
        <v>39</v>
      </c>
      <c r="F36" s="195">
        <v>39</v>
      </c>
      <c r="G36" s="239">
        <v>29</v>
      </c>
      <c r="H36" s="197" t="s">
        <v>81</v>
      </c>
      <c r="I36" s="242" t="s">
        <v>9336</v>
      </c>
      <c r="J36" s="242" t="s">
        <v>11143</v>
      </c>
      <c r="K36" s="195" t="s">
        <v>71</v>
      </c>
      <c r="L36" s="20" t="str">
        <f ca="1">IF(OFFSET(환산공식!$ED$15,$F36,0)=1,"O","X")</f>
        <v>X</v>
      </c>
      <c r="M36" s="188">
        <f ca="1">IFERROR(OFFSET(환산공식!DJ$15,$F36,0),"")</f>
        <v>105</v>
      </c>
      <c r="N36" s="20" t="str">
        <f ca="1">IFERROR(CONCATENATE(ROUND(OFFSET(환산공식!DK$15,$F36,0),1),"%"),"")</f>
        <v>100%</v>
      </c>
      <c r="O36" s="20">
        <f ca="1">IFERROR(OFFSET(환산공식!DL$15,$F36,0),"")</f>
        <v>10</v>
      </c>
      <c r="P36" s="188" t="str">
        <f t="shared" ca="1" si="0"/>
        <v>3% 이하</v>
      </c>
      <c r="Q36" s="194">
        <f ca="1">IFERROR(ROUND(OFFSET(환산공식!$FG$15,$F36,0),3),"")</f>
        <v>0</v>
      </c>
      <c r="R36" s="194">
        <f ca="1">OFFSET('배치점수 계산기'!H$10,$D36,0)</f>
        <v>623.72</v>
      </c>
      <c r="S36" s="194">
        <f ca="1">OFFSET('배치점수 계산기'!I$10,$D36,0)</f>
        <v>622.68600000000004</v>
      </c>
      <c r="T36" s="194">
        <f ca="1">OFFSET('배치점수 계산기'!J$10,$D36,0)</f>
        <v>621.11900000000003</v>
      </c>
      <c r="U36" s="194">
        <f ca="1">OFFSET('배치점수 계산기'!K$10,$D36,0)</f>
        <v>618.81700000000001</v>
      </c>
      <c r="V36" s="194">
        <f ca="1">OFFSET('배치점수 계산기'!L$10,$D36,0)</f>
        <v>616.22799999999995</v>
      </c>
      <c r="W36" s="186" t="str">
        <f ca="1">OFFSET('배치점수 계산기'!M$10,$D36,0)</f>
        <v>표점/만점</v>
      </c>
      <c r="X36" s="184" t="str">
        <f ca="1">OFFSET('배치점수 계산기'!N$10,$D36,0)</f>
        <v>변표/만점</v>
      </c>
      <c r="Y36" s="188">
        <f ca="1">OFFSET(환산공식!FW$15,$F36,0)</f>
        <v>0.35</v>
      </c>
      <c r="Z36" s="20">
        <f ca="1">OFFSET(환산공식!FX$15,$F36,0)</f>
        <v>0.41</v>
      </c>
      <c r="AA36" s="179">
        <f ca="1">OFFSET(환산공식!FY$15,$F36,0)</f>
        <v>0.23</v>
      </c>
      <c r="AC36"/>
      <c r="AD36">
        <f t="shared" ca="1" si="1"/>
        <v>6</v>
      </c>
      <c r="AE36"/>
    </row>
    <row r="37" spans="1:34" s="3" customFormat="1">
      <c r="A37" s="198"/>
      <c r="B37" s="198"/>
      <c r="C37" s="198" t="s">
        <v>2358</v>
      </c>
      <c r="D37" s="235">
        <v>1922</v>
      </c>
      <c r="E37" s="195">
        <v>39</v>
      </c>
      <c r="F37" s="195">
        <v>39</v>
      </c>
      <c r="G37" s="239">
        <v>30</v>
      </c>
      <c r="H37" s="197" t="s">
        <v>81</v>
      </c>
      <c r="I37" s="242" t="s">
        <v>9336</v>
      </c>
      <c r="J37" s="242" t="s">
        <v>11722</v>
      </c>
      <c r="K37" s="195" t="s">
        <v>71</v>
      </c>
      <c r="L37" s="20" t="str">
        <f ca="1">IF(OFFSET(환산공식!$ED$15,$F37,0)=1,"O","X")</f>
        <v>X</v>
      </c>
      <c r="M37" s="188">
        <f ca="1">IFERROR(OFFSET(환산공식!DJ$15,$F37,0),"")</f>
        <v>105</v>
      </c>
      <c r="N37" s="20" t="str">
        <f ca="1">IFERROR(CONCATENATE(ROUND(OFFSET(환산공식!DK$15,$F37,0),1),"%"),"")</f>
        <v>100%</v>
      </c>
      <c r="O37" s="20">
        <f ca="1">IFERROR(OFFSET(환산공식!DL$15,$F37,0),"")</f>
        <v>10</v>
      </c>
      <c r="P37" s="188" t="str">
        <f t="shared" ca="1" si="0"/>
        <v>3% 이하</v>
      </c>
      <c r="Q37" s="194">
        <f ca="1">IFERROR(ROUND(OFFSET(환산공식!$FG$15,$F37,0),3),"")</f>
        <v>0</v>
      </c>
      <c r="R37" s="194">
        <f ca="1">OFFSET('배치점수 계산기'!H$10,$D37,0)</f>
        <v>615.90899999999999</v>
      </c>
      <c r="S37" s="194">
        <f ca="1">OFFSET('배치점수 계산기'!I$10,$D37,0)</f>
        <v>615.08100000000002</v>
      </c>
      <c r="T37" s="194">
        <f ca="1">OFFSET('배치점수 계산기'!J$10,$D37,0)</f>
        <v>613.71600000000001</v>
      </c>
      <c r="U37" s="194">
        <f ca="1">OFFSET('배치점수 계산기'!K$10,$D37,0)</f>
        <v>611.35400000000004</v>
      </c>
      <c r="V37" s="194">
        <f ca="1">OFFSET('배치점수 계산기'!L$10,$D37,0)</f>
        <v>608.65800000000002</v>
      </c>
      <c r="W37" s="186" t="str">
        <f ca="1">OFFSET('배치점수 계산기'!M$10,$D37,0)</f>
        <v>표점/만점</v>
      </c>
      <c r="X37" s="184" t="str">
        <f ca="1">OFFSET('배치점수 계산기'!N$10,$D37,0)</f>
        <v>변표/만점</v>
      </c>
      <c r="Y37" s="188">
        <f ca="1">OFFSET(환산공식!FW$15,$F37,0)</f>
        <v>0.35</v>
      </c>
      <c r="Z37" s="20">
        <f ca="1">OFFSET(환산공식!FX$15,$F37,0)</f>
        <v>0.41</v>
      </c>
      <c r="AA37" s="179">
        <f ca="1">OFFSET(환산공식!FY$15,$F37,0)</f>
        <v>0.23</v>
      </c>
      <c r="AC37"/>
      <c r="AD37">
        <f t="shared" ca="1" si="1"/>
        <v>6</v>
      </c>
      <c r="AE37"/>
    </row>
    <row r="38" spans="1:34" s="3" customFormat="1">
      <c r="A38" s="198"/>
      <c r="B38" s="198"/>
      <c r="C38" s="198" t="s">
        <v>2359</v>
      </c>
      <c r="D38" s="235">
        <v>1923</v>
      </c>
      <c r="E38" s="195">
        <v>38</v>
      </c>
      <c r="F38" s="195">
        <v>38</v>
      </c>
      <c r="G38" s="239">
        <v>31</v>
      </c>
      <c r="H38" s="197" t="s">
        <v>81</v>
      </c>
      <c r="I38" s="242" t="s">
        <v>9336</v>
      </c>
      <c r="J38" s="242" t="s">
        <v>11924</v>
      </c>
      <c r="K38" s="195" t="s">
        <v>71</v>
      </c>
      <c r="L38" s="20" t="str">
        <f ca="1">IF(OFFSET(환산공식!$ED$15,$F38,0)=1,"O","X")</f>
        <v>X</v>
      </c>
      <c r="M38" s="188">
        <f ca="1">IFERROR(OFFSET(환산공식!DJ$15,$F38,0),"")</f>
        <v>140</v>
      </c>
      <c r="N38" s="20" t="str">
        <f ca="1">IFERROR(CONCATENATE(ROUND(OFFSET(환산공식!DK$15,$F38,0),1),"%"),"")</f>
        <v>100%</v>
      </c>
      <c r="O38" s="20">
        <f ca="1">IFERROR(OFFSET(환산공식!DL$15,$F38,0),"")</f>
        <v>10</v>
      </c>
      <c r="P38" s="188" t="str">
        <f t="shared" ca="1" si="0"/>
        <v>3% 이하</v>
      </c>
      <c r="Q38" s="194">
        <f ca="1">IFERROR(ROUND(OFFSET(환산공식!$FG$15,$F38,0),3),"")</f>
        <v>0</v>
      </c>
      <c r="R38" s="194">
        <f ca="1">OFFSET('배치점수 계산기'!H$10,$D38,0)</f>
        <v>618.56799999999998</v>
      </c>
      <c r="S38" s="194">
        <f ca="1">OFFSET('배치점수 계산기'!I$10,$D38,0)</f>
        <v>617.68600000000004</v>
      </c>
      <c r="T38" s="194">
        <f ca="1">OFFSET('배치점수 계산기'!J$10,$D38,0)</f>
        <v>616.60299999999995</v>
      </c>
      <c r="U38" s="194">
        <f ca="1">OFFSET('배치점수 계산기'!K$10,$D38,0)</f>
        <v>612.18299999999999</v>
      </c>
      <c r="V38" s="194">
        <f ca="1">OFFSET('배치점수 계산기'!L$10,$D38,0)</f>
        <v>610.79100000000005</v>
      </c>
      <c r="W38" s="186" t="str">
        <f ca="1">OFFSET('배치점수 계산기'!M$10,$D38,0)</f>
        <v>표점/만점</v>
      </c>
      <c r="X38" s="184" t="str">
        <f ca="1">OFFSET('배치점수 계산기'!N$10,$D38,0)</f>
        <v>변표/만점</v>
      </c>
      <c r="Y38" s="188">
        <f ca="1">OFFSET(환산공식!FW$15,$F38,0)</f>
        <v>0.38</v>
      </c>
      <c r="Z38" s="20">
        <f ca="1">OFFSET(환산공식!FX$15,$F38,0)</f>
        <v>0.37</v>
      </c>
      <c r="AA38" s="179">
        <f ca="1">OFFSET(환산공식!FY$15,$F38,0)</f>
        <v>0.25</v>
      </c>
      <c r="AC38"/>
      <c r="AD38">
        <f t="shared" ca="1" si="1"/>
        <v>6</v>
      </c>
      <c r="AE38"/>
    </row>
    <row r="39" spans="1:34" s="3" customFormat="1">
      <c r="A39" s="198"/>
      <c r="B39" s="198"/>
      <c r="C39" s="198" t="s">
        <v>2360</v>
      </c>
      <c r="D39" s="235">
        <v>1924</v>
      </c>
      <c r="E39" s="195">
        <v>39</v>
      </c>
      <c r="F39" s="195">
        <v>39</v>
      </c>
      <c r="G39" s="239">
        <v>32</v>
      </c>
      <c r="H39" s="197" t="s">
        <v>81</v>
      </c>
      <c r="I39" s="242" t="s">
        <v>9336</v>
      </c>
      <c r="J39" s="242" t="s">
        <v>11834</v>
      </c>
      <c r="K39" s="195" t="s">
        <v>71</v>
      </c>
      <c r="L39" s="20" t="str">
        <f ca="1">IF(OFFSET(환산공식!$ED$15,$F39,0)=1,"O","X")</f>
        <v>X</v>
      </c>
      <c r="M39" s="188">
        <f ca="1">IFERROR(OFFSET(환산공식!DJ$15,$F39,0),"")</f>
        <v>105</v>
      </c>
      <c r="N39" s="20" t="str">
        <f ca="1">IFERROR(CONCATENATE(ROUND(OFFSET(환산공식!DK$15,$F39,0),1),"%"),"")</f>
        <v>100%</v>
      </c>
      <c r="O39" s="20">
        <f ca="1">IFERROR(OFFSET(환산공식!DL$15,$F39,0),"")</f>
        <v>10</v>
      </c>
      <c r="P39" s="188" t="str">
        <f t="shared" ca="1" si="0"/>
        <v>3% 이하</v>
      </c>
      <c r="Q39" s="194">
        <f ca="1">IFERROR(ROUND(OFFSET(환산공식!$FG$15,$F39,0),3),"")</f>
        <v>0</v>
      </c>
      <c r="R39" s="194">
        <f ca="1">OFFSET('배치점수 계산기'!H$10,$D39,0)</f>
        <v>615.08100000000002</v>
      </c>
      <c r="S39" s="194">
        <f ca="1">OFFSET('배치점수 계산기'!I$10,$D39,0)</f>
        <v>614.12</v>
      </c>
      <c r="T39" s="194">
        <f ca="1">OFFSET('배치점수 계산기'!J$10,$D39,0)</f>
        <v>612.35</v>
      </c>
      <c r="U39" s="194">
        <f ca="1">OFFSET('배치점수 계산기'!K$10,$D39,0)</f>
        <v>609.96</v>
      </c>
      <c r="V39" s="194">
        <f ca="1">OFFSET('배치점수 계산기'!L$10,$D39,0)</f>
        <v>607.39099999999996</v>
      </c>
      <c r="W39" s="186" t="str">
        <f ca="1">OFFSET('배치점수 계산기'!M$10,$D39,0)</f>
        <v>표점/만점</v>
      </c>
      <c r="X39" s="184" t="str">
        <f ca="1">OFFSET('배치점수 계산기'!N$10,$D39,0)</f>
        <v>변표/만점</v>
      </c>
      <c r="Y39" s="188">
        <f ca="1">OFFSET(환산공식!FW$15,$F39,0)</f>
        <v>0.35</v>
      </c>
      <c r="Z39" s="20">
        <f ca="1">OFFSET(환산공식!FX$15,$F39,0)</f>
        <v>0.41</v>
      </c>
      <c r="AA39" s="179">
        <f ca="1">OFFSET(환산공식!FY$15,$F39,0)</f>
        <v>0.23</v>
      </c>
      <c r="AC39"/>
      <c r="AD39">
        <f t="shared" ca="1" si="1"/>
        <v>6</v>
      </c>
      <c r="AE39"/>
    </row>
    <row r="40" spans="1:34" s="3" customFormat="1">
      <c r="A40" s="198"/>
      <c r="B40" s="198"/>
      <c r="C40" s="198" t="s">
        <v>2361</v>
      </c>
      <c r="D40" s="235">
        <v>1925</v>
      </c>
      <c r="E40" s="195">
        <v>38</v>
      </c>
      <c r="F40" s="195">
        <v>38</v>
      </c>
      <c r="G40" s="239">
        <v>33</v>
      </c>
      <c r="H40" s="197" t="s">
        <v>81</v>
      </c>
      <c r="I40" s="242" t="s">
        <v>9336</v>
      </c>
      <c r="J40" s="242" t="s">
        <v>11854</v>
      </c>
      <c r="K40" s="195" t="s">
        <v>71</v>
      </c>
      <c r="L40" s="20" t="str">
        <f ca="1">IF(OFFSET(환산공식!$ED$15,$F40,0)=1,"O","X")</f>
        <v>X</v>
      </c>
      <c r="M40" s="188">
        <f ca="1">IFERROR(OFFSET(환산공식!DJ$15,$F40,0),"")</f>
        <v>140</v>
      </c>
      <c r="N40" s="20" t="str">
        <f ca="1">IFERROR(CONCATENATE(ROUND(OFFSET(환산공식!DK$15,$F40,0),1),"%"),"")</f>
        <v>100%</v>
      </c>
      <c r="O40" s="20">
        <f ca="1">IFERROR(OFFSET(환산공식!DL$15,$F40,0),"")</f>
        <v>10</v>
      </c>
      <c r="P40" s="188" t="str">
        <f t="shared" ca="1" si="0"/>
        <v>3% 이하</v>
      </c>
      <c r="Q40" s="194">
        <f ca="1">IFERROR(ROUND(OFFSET(환산공식!$FG$15,$F40,0),3),"")</f>
        <v>0</v>
      </c>
      <c r="R40" s="194">
        <f ca="1">OFFSET('배치점수 계산기'!H$10,$D40,0)</f>
        <v>620.096</v>
      </c>
      <c r="S40" s="194">
        <f ca="1">OFFSET('배치점수 계산기'!I$10,$D40,0)</f>
        <v>618.43200000000002</v>
      </c>
      <c r="T40" s="194">
        <f ca="1">OFFSET('배치점수 계산기'!J$10,$D40,0)</f>
        <v>615.77099999999996</v>
      </c>
      <c r="U40" s="194">
        <f ca="1">OFFSET('배치점수 계산기'!K$10,$D40,0)</f>
        <v>612.476</v>
      </c>
      <c r="V40" s="194">
        <f ca="1">OFFSET('배치점수 계산기'!L$10,$D40,0)</f>
        <v>609.64200000000005</v>
      </c>
      <c r="W40" s="186" t="str">
        <f ca="1">OFFSET('배치점수 계산기'!M$10,$D40,0)</f>
        <v>표점/만점</v>
      </c>
      <c r="X40" s="184" t="str">
        <f ca="1">OFFSET('배치점수 계산기'!N$10,$D40,0)</f>
        <v>변표/만점</v>
      </c>
      <c r="Y40" s="188">
        <f ca="1">OFFSET(환산공식!FW$15,$F40,0)</f>
        <v>0.38</v>
      </c>
      <c r="Z40" s="20">
        <f ca="1">OFFSET(환산공식!FX$15,$F40,0)</f>
        <v>0.37</v>
      </c>
      <c r="AA40" s="179">
        <f ca="1">OFFSET(환산공식!FY$15,$F40,0)</f>
        <v>0.25</v>
      </c>
      <c r="AC40"/>
      <c r="AD40">
        <f t="shared" ca="1" si="1"/>
        <v>6</v>
      </c>
      <c r="AE40"/>
    </row>
    <row r="41" spans="1:34" s="3" customFormat="1">
      <c r="A41" s="198"/>
      <c r="B41" s="198"/>
      <c r="C41" s="198" t="s">
        <v>2362</v>
      </c>
      <c r="D41" s="235">
        <v>1926</v>
      </c>
      <c r="E41" s="195">
        <v>39</v>
      </c>
      <c r="F41" s="195">
        <v>39</v>
      </c>
      <c r="G41" s="239">
        <v>34</v>
      </c>
      <c r="H41" s="197" t="s">
        <v>81</v>
      </c>
      <c r="I41" s="242" t="s">
        <v>9336</v>
      </c>
      <c r="J41" s="242" t="s">
        <v>12035</v>
      </c>
      <c r="K41" s="195" t="s">
        <v>71</v>
      </c>
      <c r="L41" s="20" t="str">
        <f ca="1">IF(OFFSET(환산공식!$ED$15,$F41,0)=1,"O","X")</f>
        <v>X</v>
      </c>
      <c r="M41" s="188">
        <f ca="1">IFERROR(OFFSET(환산공식!DJ$15,$F41,0),"")</f>
        <v>105</v>
      </c>
      <c r="N41" s="20" t="str">
        <f ca="1">IFERROR(CONCATENATE(ROUND(OFFSET(환산공식!DK$15,$F41,0),1),"%"),"")</f>
        <v>100%</v>
      </c>
      <c r="O41" s="20">
        <f ca="1">IFERROR(OFFSET(환산공식!DL$15,$F41,0),"")</f>
        <v>10</v>
      </c>
      <c r="P41" s="188" t="str">
        <f t="shared" ca="1" si="0"/>
        <v>3% 이하</v>
      </c>
      <c r="Q41" s="194">
        <f ca="1">IFERROR(ROUND(OFFSET(환산공식!$FG$15,$F41,0),3),"")</f>
        <v>0</v>
      </c>
      <c r="R41" s="194">
        <f ca="1">OFFSET('배치점수 계산기'!H$10,$D41,0)</f>
        <v>612.20699999999999</v>
      </c>
      <c r="S41" s="194">
        <f ca="1">OFFSET('배치점수 계산기'!I$10,$D41,0)</f>
        <v>611.03499999999997</v>
      </c>
      <c r="T41" s="194">
        <f ca="1">OFFSET('배치점수 계산기'!J$10,$D41,0)</f>
        <v>609.10799999999995</v>
      </c>
      <c r="U41" s="194">
        <f ca="1">OFFSET('배치점수 계산기'!K$10,$D41,0)</f>
        <v>607.03200000000004</v>
      </c>
      <c r="V41" s="194">
        <f ca="1">OFFSET('배치점수 계산기'!L$10,$D41,0)</f>
        <v>605.15800000000002</v>
      </c>
      <c r="W41" s="186" t="str">
        <f ca="1">OFFSET('배치점수 계산기'!M$10,$D41,0)</f>
        <v>표점/만점</v>
      </c>
      <c r="X41" s="184" t="str">
        <f ca="1">OFFSET('배치점수 계산기'!N$10,$D41,0)</f>
        <v>변표/만점</v>
      </c>
      <c r="Y41" s="188">
        <f ca="1">OFFSET(환산공식!FW$15,$F41,0)</f>
        <v>0.35</v>
      </c>
      <c r="Z41" s="20">
        <f ca="1">OFFSET(환산공식!FX$15,$F41,0)</f>
        <v>0.41</v>
      </c>
      <c r="AA41" s="179">
        <f ca="1">OFFSET(환산공식!FY$15,$F41,0)</f>
        <v>0.23</v>
      </c>
      <c r="AC41"/>
      <c r="AD41">
        <f t="shared" ca="1" si="1"/>
        <v>6</v>
      </c>
      <c r="AE41"/>
    </row>
    <row r="42" spans="1:34" s="3" customFormat="1">
      <c r="A42" s="198"/>
      <c r="B42" s="198"/>
      <c r="C42" s="198" t="s">
        <v>2363</v>
      </c>
      <c r="D42" s="235">
        <v>1927</v>
      </c>
      <c r="E42" s="195">
        <v>38</v>
      </c>
      <c r="F42" s="195">
        <v>38</v>
      </c>
      <c r="G42" s="239">
        <v>35</v>
      </c>
      <c r="H42" s="197" t="s">
        <v>81</v>
      </c>
      <c r="I42" s="242" t="s">
        <v>9336</v>
      </c>
      <c r="J42" s="242" t="s">
        <v>12168</v>
      </c>
      <c r="K42" s="195" t="s">
        <v>71</v>
      </c>
      <c r="L42" s="20" t="str">
        <f ca="1">IF(OFFSET(환산공식!$ED$15,$F42,0)=1,"O","X")</f>
        <v>X</v>
      </c>
      <c r="M42" s="188">
        <f ca="1">IFERROR(OFFSET(환산공식!DJ$15,$F42,0),"")</f>
        <v>140</v>
      </c>
      <c r="N42" s="20" t="str">
        <f ca="1">IFERROR(CONCATENATE(ROUND(OFFSET(환산공식!DK$15,$F42,0),1),"%"),"")</f>
        <v>100%</v>
      </c>
      <c r="O42" s="20">
        <f ca="1">IFERROR(OFFSET(환산공식!DL$15,$F42,0),"")</f>
        <v>10</v>
      </c>
      <c r="P42" s="188" t="str">
        <f t="shared" ca="1" si="0"/>
        <v>3% 이하</v>
      </c>
      <c r="Q42" s="194">
        <f ca="1">IFERROR(ROUND(OFFSET(환산공식!$FG$15,$F42,0),3),"")</f>
        <v>0</v>
      </c>
      <c r="R42" s="194">
        <f ca="1">OFFSET('배치점수 계산기'!H$10,$D42,0)</f>
        <v>615.92200000000003</v>
      </c>
      <c r="S42" s="194">
        <f ca="1">OFFSET('배치점수 계산기'!I$10,$D42,0)</f>
        <v>614.68100000000004</v>
      </c>
      <c r="T42" s="194">
        <f ca="1">OFFSET('배치점수 계산기'!J$10,$D42,0)</f>
        <v>612.52</v>
      </c>
      <c r="U42" s="194">
        <f ca="1">OFFSET('배치점수 계산기'!K$10,$D42,0)</f>
        <v>610.69200000000001</v>
      </c>
      <c r="V42" s="194">
        <f ca="1">OFFSET('배치점수 계산기'!L$10,$D42,0)</f>
        <v>609.08000000000004</v>
      </c>
      <c r="W42" s="186" t="str">
        <f ca="1">OFFSET('배치점수 계산기'!M$10,$D42,0)</f>
        <v>표점/만점</v>
      </c>
      <c r="X42" s="184" t="str">
        <f ca="1">OFFSET('배치점수 계산기'!N$10,$D42,0)</f>
        <v>변표/만점</v>
      </c>
      <c r="Y42" s="188">
        <f ca="1">OFFSET(환산공식!FW$15,$F42,0)</f>
        <v>0.38</v>
      </c>
      <c r="Z42" s="20">
        <f ca="1">OFFSET(환산공식!FX$15,$F42,0)</f>
        <v>0.37</v>
      </c>
      <c r="AA42" s="179">
        <f ca="1">OFFSET(환산공식!FY$15,$F42,0)</f>
        <v>0.25</v>
      </c>
      <c r="AC42"/>
      <c r="AD42">
        <f t="shared" ca="1" si="1"/>
        <v>6</v>
      </c>
      <c r="AE42"/>
    </row>
    <row r="43" spans="1:34" s="3" customFormat="1">
      <c r="A43" s="198"/>
      <c r="B43" s="198"/>
      <c r="C43" s="198" t="s">
        <v>2364</v>
      </c>
      <c r="D43" s="235">
        <v>1928</v>
      </c>
      <c r="E43" s="195">
        <v>39</v>
      </c>
      <c r="F43" s="195">
        <v>39</v>
      </c>
      <c r="G43" s="239">
        <v>36</v>
      </c>
      <c r="H43" s="197" t="s">
        <v>81</v>
      </c>
      <c r="I43" s="242" t="s">
        <v>9336</v>
      </c>
      <c r="J43" s="242" t="s">
        <v>12097</v>
      </c>
      <c r="K43" s="195" t="s">
        <v>71</v>
      </c>
      <c r="L43" s="20" t="str">
        <f ca="1">IF(OFFSET(환산공식!$ED$15,$F43,0)=1,"O","X")</f>
        <v>X</v>
      </c>
      <c r="M43" s="188">
        <f ca="1">IFERROR(OFFSET(환산공식!DJ$15,$F43,0),"")</f>
        <v>105</v>
      </c>
      <c r="N43" s="20" t="str">
        <f ca="1">IFERROR(CONCATENATE(ROUND(OFFSET(환산공식!DK$15,$F43,0),1),"%"),"")</f>
        <v>100%</v>
      </c>
      <c r="O43" s="20">
        <f ca="1">IFERROR(OFFSET(환산공식!DL$15,$F43,0),"")</f>
        <v>10</v>
      </c>
      <c r="P43" s="188" t="str">
        <f t="shared" ca="1" si="0"/>
        <v>3% 이하</v>
      </c>
      <c r="Q43" s="194">
        <f ca="1">IFERROR(ROUND(OFFSET(환산공식!$FG$15,$F43,0),3),"")</f>
        <v>0</v>
      </c>
      <c r="R43" s="194">
        <f ca="1">OFFSET('배치점수 계산기'!H$10,$D43,0)</f>
        <v>611.92399999999998</v>
      </c>
      <c r="S43" s="194">
        <f ca="1">OFFSET('배치점수 계산기'!I$10,$D43,0)</f>
        <v>610.44600000000003</v>
      </c>
      <c r="T43" s="194">
        <f ca="1">OFFSET('배치점수 계산기'!J$10,$D43,0)</f>
        <v>608.44600000000003</v>
      </c>
      <c r="U43" s="194">
        <f ca="1">OFFSET('배치점수 계산기'!K$10,$D43,0)</f>
        <v>606.54499999999996</v>
      </c>
      <c r="V43" s="194">
        <f ca="1">OFFSET('배치점수 계산기'!L$10,$D43,0)</f>
        <v>604.94200000000001</v>
      </c>
      <c r="W43" s="186" t="str">
        <f ca="1">OFFSET('배치점수 계산기'!M$10,$D43,0)</f>
        <v>표점/만점</v>
      </c>
      <c r="X43" s="184" t="str">
        <f ca="1">OFFSET('배치점수 계산기'!N$10,$D43,0)</f>
        <v>변표/만점</v>
      </c>
      <c r="Y43" s="188">
        <f ca="1">OFFSET(환산공식!FW$15,$F43,0)</f>
        <v>0.35</v>
      </c>
      <c r="Z43" s="20">
        <f ca="1">OFFSET(환산공식!FX$15,$F43,0)</f>
        <v>0.41</v>
      </c>
      <c r="AA43" s="179">
        <f ca="1">OFFSET(환산공식!FY$15,$F43,0)</f>
        <v>0.23</v>
      </c>
      <c r="AC43"/>
      <c r="AD43">
        <f t="shared" ca="1" si="1"/>
        <v>6</v>
      </c>
      <c r="AE43"/>
    </row>
    <row r="44" spans="1:34" s="3" customFormat="1">
      <c r="A44" s="198"/>
      <c r="B44" s="198"/>
      <c r="C44" s="198" t="s">
        <v>2365</v>
      </c>
      <c r="D44" s="235">
        <v>1929</v>
      </c>
      <c r="E44" s="195">
        <v>39</v>
      </c>
      <c r="F44" s="195">
        <v>39</v>
      </c>
      <c r="G44" s="239">
        <v>37</v>
      </c>
      <c r="H44" s="197" t="s">
        <v>81</v>
      </c>
      <c r="I44" s="242" t="s">
        <v>9336</v>
      </c>
      <c r="J44" s="242" t="s">
        <v>12718</v>
      </c>
      <c r="K44" s="195" t="s">
        <v>71</v>
      </c>
      <c r="L44" s="20" t="str">
        <f ca="1">IF(OFFSET(환산공식!$ED$15,$F44,0)=1,"O","X")</f>
        <v>X</v>
      </c>
      <c r="M44" s="188">
        <f ca="1">IFERROR(OFFSET(환산공식!DJ$15,$F44,0),"")</f>
        <v>105</v>
      </c>
      <c r="N44" s="20" t="str">
        <f ca="1">IFERROR(CONCATENATE(ROUND(OFFSET(환산공식!DK$15,$F44,0),1),"%"),"")</f>
        <v>100%</v>
      </c>
      <c r="O44" s="20">
        <f ca="1">IFERROR(OFFSET(환산공식!DL$15,$F44,0),"")</f>
        <v>10</v>
      </c>
      <c r="P44" s="188" t="str">
        <f t="shared" ca="1" si="0"/>
        <v>3% 이하</v>
      </c>
      <c r="Q44" s="194">
        <f ca="1">IFERROR(ROUND(OFFSET(환산공식!$FG$15,$F44,0),3),"")</f>
        <v>0</v>
      </c>
      <c r="R44" s="194">
        <f ca="1">OFFSET('배치점수 계산기'!H$10,$D44,0)</f>
        <v>598.90200000000004</v>
      </c>
      <c r="S44" s="194">
        <f ca="1">OFFSET('배치점수 계산기'!I$10,$D44,0)</f>
        <v>597.86500000000001</v>
      </c>
      <c r="T44" s="194">
        <f ca="1">OFFSET('배치점수 계산기'!J$10,$D44,0)</f>
        <v>596.16700000000003</v>
      </c>
      <c r="U44" s="194">
        <f ca="1">OFFSET('배치점수 계산기'!K$10,$D44,0)</f>
        <v>594.495</v>
      </c>
      <c r="V44" s="194">
        <f ca="1">OFFSET('배치점수 계산기'!L$10,$D44,0)</f>
        <v>592.21100000000001</v>
      </c>
      <c r="W44" s="186" t="str">
        <f ca="1">OFFSET('배치점수 계산기'!M$10,$D44,0)</f>
        <v>표점/만점</v>
      </c>
      <c r="X44" s="184" t="str">
        <f ca="1">OFFSET('배치점수 계산기'!N$10,$D44,0)</f>
        <v>변표/만점</v>
      </c>
      <c r="Y44" s="188">
        <f ca="1">OFFSET(환산공식!FW$15,$F44,0)</f>
        <v>0.35</v>
      </c>
      <c r="Z44" s="20">
        <f ca="1">OFFSET(환산공식!FX$15,$F44,0)</f>
        <v>0.41</v>
      </c>
      <c r="AA44" s="179">
        <f ca="1">OFFSET(환산공식!FY$15,$F44,0)</f>
        <v>0.23</v>
      </c>
      <c r="AC44"/>
      <c r="AD44">
        <f t="shared" ca="1" si="1"/>
        <v>6</v>
      </c>
      <c r="AE44"/>
    </row>
    <row r="45" spans="1:34">
      <c r="A45" s="198"/>
      <c r="B45" s="198"/>
      <c r="C45" s="198" t="s">
        <v>2366</v>
      </c>
      <c r="D45" s="235">
        <v>1930</v>
      </c>
      <c r="E45" s="195">
        <v>47</v>
      </c>
      <c r="F45" s="195">
        <v>47</v>
      </c>
      <c r="G45" s="239">
        <v>38</v>
      </c>
      <c r="H45" s="197" t="s">
        <v>81</v>
      </c>
      <c r="I45" s="242" t="s">
        <v>217</v>
      </c>
      <c r="J45" s="242" t="s">
        <v>9261</v>
      </c>
      <c r="K45" s="195" t="s">
        <v>70</v>
      </c>
      <c r="L45" s="20" t="str">
        <f ca="1">IF(OFFSET(환산공식!$ED$15,$F45,0)=1,"O","X")</f>
        <v>X</v>
      </c>
      <c r="M45" s="188">
        <f ca="1">IFERROR(OFFSET(환산공식!DJ$15,$F45,0),"")</f>
        <v>100</v>
      </c>
      <c r="N45" s="20" t="str">
        <f ca="1">IFERROR(CONCATENATE(ROUND(OFFSET(환산공식!DK$15,$F45,0),1),"%"),"")</f>
        <v>100%</v>
      </c>
      <c r="O45" s="20">
        <f ca="1">IFERROR(OFFSET(환산공식!DL$15,$F45,0),"")</f>
        <v>0</v>
      </c>
      <c r="P45" s="188" t="str">
        <f t="shared" ca="1" si="0"/>
        <v>3% 이하</v>
      </c>
      <c r="Q45" s="194">
        <f ca="1">IFERROR(ROUND(OFFSET(환산공식!$FG$15,$F45,0),3),"")</f>
        <v>0</v>
      </c>
      <c r="R45" s="194">
        <f ca="1">OFFSET('배치점수 계산기'!H$10,$D45,0)</f>
        <v>671.53200000000004</v>
      </c>
      <c r="S45" s="194">
        <f ca="1">OFFSET('배치점수 계산기'!I$10,$D45,0)</f>
        <v>670.09799999999996</v>
      </c>
      <c r="T45" s="194">
        <f ca="1">OFFSET('배치점수 계산기'!J$10,$D45,0)</f>
        <v>667.05</v>
      </c>
      <c r="U45" s="194">
        <f ca="1">OFFSET('배치점수 계산기'!K$10,$D45,0)</f>
        <v>663.44</v>
      </c>
      <c r="V45" s="194">
        <f ca="1">OFFSET('배치점수 계산기'!L$10,$D45,0)</f>
        <v>659.30100000000004</v>
      </c>
      <c r="W45" s="186" t="str">
        <f ca="1">OFFSET('배치점수 계산기'!M$10,$D45,0)</f>
        <v>표점</v>
      </c>
      <c r="X45" s="184" t="str">
        <f ca="1">OFFSET('배치점수 계산기'!N$10,$D45,0)</f>
        <v>변표</v>
      </c>
      <c r="Y45" s="188">
        <f ca="1">OFFSET(환산공식!FW$15,$F45,0)</f>
        <v>0.33</v>
      </c>
      <c r="Z45" s="20">
        <f ca="1">OFFSET(환산공식!FX$15,$F45,0)</f>
        <v>0.44</v>
      </c>
      <c r="AA45" s="179">
        <f ca="1">OFFSET(환산공식!FY$15,$F45,0)</f>
        <v>0.22</v>
      </c>
      <c r="AB45" s="3"/>
      <c r="AD45">
        <f t="shared" ca="1" si="1"/>
        <v>6</v>
      </c>
      <c r="AF45" s="3"/>
      <c r="AG45" s="3"/>
      <c r="AH45" s="3"/>
    </row>
    <row r="46" spans="1:34">
      <c r="A46" s="198"/>
      <c r="B46" s="198"/>
      <c r="C46" s="198" t="s">
        <v>2367</v>
      </c>
      <c r="D46" s="235">
        <v>1931</v>
      </c>
      <c r="E46" s="195">
        <v>47</v>
      </c>
      <c r="F46" s="195">
        <v>47</v>
      </c>
      <c r="G46" s="239">
        <v>39</v>
      </c>
      <c r="H46" s="197" t="s">
        <v>81</v>
      </c>
      <c r="I46" s="242" t="s">
        <v>217</v>
      </c>
      <c r="J46" s="242" t="s">
        <v>9329</v>
      </c>
      <c r="K46" s="195" t="s">
        <v>70</v>
      </c>
      <c r="L46" s="20" t="str">
        <f ca="1">IF(OFFSET(환산공식!$ED$15,$F46,0)=1,"O","X")</f>
        <v>X</v>
      </c>
      <c r="M46" s="188">
        <f ca="1">IFERROR(OFFSET(환산공식!DJ$15,$F46,0),"")</f>
        <v>100</v>
      </c>
      <c r="N46" s="20" t="str">
        <f ca="1">IFERROR(CONCATENATE(ROUND(OFFSET(환산공식!DK$15,$F46,0),1),"%"),"")</f>
        <v>100%</v>
      </c>
      <c r="O46" s="20">
        <f ca="1">IFERROR(OFFSET(환산공식!DL$15,$F46,0),"")</f>
        <v>0</v>
      </c>
      <c r="P46" s="188" t="str">
        <f t="shared" ca="1" si="0"/>
        <v>3% 이하</v>
      </c>
      <c r="Q46" s="194">
        <f ca="1">IFERROR(ROUND(OFFSET(환산공식!$FG$15,$F46,0),3),"")</f>
        <v>0</v>
      </c>
      <c r="R46" s="194">
        <f ca="1">OFFSET('배치점수 계산기'!H$10,$D46,0)</f>
        <v>670.73</v>
      </c>
      <c r="S46" s="194">
        <f ca="1">OFFSET('배치점수 계산기'!I$10,$D46,0)</f>
        <v>668.94200000000001</v>
      </c>
      <c r="T46" s="194">
        <f ca="1">OFFSET('배치점수 계산기'!J$10,$D46,0)</f>
        <v>666.27499999999998</v>
      </c>
      <c r="U46" s="194">
        <f ca="1">OFFSET('배치점수 계산기'!K$10,$D46,0)</f>
        <v>664.48599999999999</v>
      </c>
      <c r="V46" s="194">
        <f ca="1">OFFSET('배치점수 계산기'!L$10,$D46,0)</f>
        <v>660.82600000000002</v>
      </c>
      <c r="W46" s="186" t="str">
        <f ca="1">OFFSET('배치점수 계산기'!M$10,$D46,0)</f>
        <v>표점</v>
      </c>
      <c r="X46" s="184" t="str">
        <f ca="1">OFFSET('배치점수 계산기'!N$10,$D46,0)</f>
        <v>변표</v>
      </c>
      <c r="Y46" s="188">
        <f ca="1">OFFSET(환산공식!FW$15,$F46,0)</f>
        <v>0.33</v>
      </c>
      <c r="Z46" s="20">
        <f ca="1">OFFSET(환산공식!FX$15,$F46,0)</f>
        <v>0.44</v>
      </c>
      <c r="AA46" s="179">
        <f ca="1">OFFSET(환산공식!FY$15,$F46,0)</f>
        <v>0.22</v>
      </c>
      <c r="AB46" s="3"/>
      <c r="AD46">
        <f t="shared" ca="1" si="1"/>
        <v>6</v>
      </c>
      <c r="AF46" s="3"/>
      <c r="AG46" s="3"/>
      <c r="AH46" s="3"/>
    </row>
    <row r="47" spans="1:34">
      <c r="A47" s="198"/>
      <c r="B47" s="198"/>
      <c r="C47" s="198" t="s">
        <v>2368</v>
      </c>
      <c r="D47" s="235">
        <v>1932</v>
      </c>
      <c r="E47" s="195">
        <v>47</v>
      </c>
      <c r="F47" s="195">
        <v>47</v>
      </c>
      <c r="G47" s="239">
        <v>40</v>
      </c>
      <c r="H47" s="197" t="s">
        <v>81</v>
      </c>
      <c r="I47" s="242" t="s">
        <v>217</v>
      </c>
      <c r="J47" s="242" t="s">
        <v>9551</v>
      </c>
      <c r="K47" s="195" t="s">
        <v>70</v>
      </c>
      <c r="L47" s="20" t="str">
        <f ca="1">IF(OFFSET(환산공식!$ED$15,$F47,0)=1,"O","X")</f>
        <v>X</v>
      </c>
      <c r="M47" s="188">
        <f ca="1">IFERROR(OFFSET(환산공식!DJ$15,$F47,0),"")</f>
        <v>100</v>
      </c>
      <c r="N47" s="20" t="str">
        <f ca="1">IFERROR(CONCATENATE(ROUND(OFFSET(환산공식!DK$15,$F47,0),1),"%"),"")</f>
        <v>100%</v>
      </c>
      <c r="O47" s="20">
        <f ca="1">IFERROR(OFFSET(환산공식!DL$15,$F47,0),"")</f>
        <v>0</v>
      </c>
      <c r="P47" s="188" t="str">
        <f t="shared" ca="1" si="0"/>
        <v>3% 이하</v>
      </c>
      <c r="Q47" s="194">
        <f ca="1">IFERROR(ROUND(OFFSET(환산공식!$FG$15,$F47,0),3),"")</f>
        <v>0</v>
      </c>
      <c r="R47" s="194">
        <f ca="1">OFFSET('배치점수 계산기'!H$10,$D47,0)</f>
        <v>669.66600000000005</v>
      </c>
      <c r="S47" s="194">
        <f ca="1">OFFSET('배치점수 계산기'!I$10,$D47,0)</f>
        <v>666.27499999999998</v>
      </c>
      <c r="T47" s="194">
        <f ca="1">OFFSET('배치점수 계산기'!J$10,$D47,0)</f>
        <v>663.18200000000002</v>
      </c>
      <c r="U47" s="194">
        <f ca="1">OFFSET('배치점수 계산기'!K$10,$D47,0)</f>
        <v>660.82600000000002</v>
      </c>
      <c r="V47" s="194">
        <f ca="1">OFFSET('배치점수 계산기'!L$10,$D47,0)</f>
        <v>656.86199999999997</v>
      </c>
      <c r="W47" s="186" t="str">
        <f ca="1">OFFSET('배치점수 계산기'!M$10,$D47,0)</f>
        <v>표점</v>
      </c>
      <c r="X47" s="184" t="str">
        <f ca="1">OFFSET('배치점수 계산기'!N$10,$D47,0)</f>
        <v>변표</v>
      </c>
      <c r="Y47" s="188">
        <f ca="1">OFFSET(환산공식!FW$15,$F47,0)</f>
        <v>0.33</v>
      </c>
      <c r="Z47" s="20">
        <f ca="1">OFFSET(환산공식!FX$15,$F47,0)</f>
        <v>0.44</v>
      </c>
      <c r="AA47" s="179">
        <f ca="1">OFFSET(환산공식!FY$15,$F47,0)</f>
        <v>0.22</v>
      </c>
      <c r="AB47" s="3"/>
      <c r="AD47">
        <f t="shared" ca="1" si="1"/>
        <v>6</v>
      </c>
      <c r="AF47" s="3"/>
      <c r="AG47" s="3"/>
      <c r="AH47" s="3"/>
    </row>
    <row r="48" spans="1:34">
      <c r="A48" s="198"/>
      <c r="B48" s="198"/>
      <c r="C48" s="198" t="s">
        <v>2369</v>
      </c>
      <c r="D48" s="235">
        <v>1933</v>
      </c>
      <c r="E48" s="195">
        <v>48</v>
      </c>
      <c r="F48" s="195">
        <v>48</v>
      </c>
      <c r="G48" s="239">
        <v>41</v>
      </c>
      <c r="H48" s="197" t="s">
        <v>81</v>
      </c>
      <c r="I48" s="242" t="s">
        <v>217</v>
      </c>
      <c r="J48" s="242" t="s">
        <v>9141</v>
      </c>
      <c r="K48" s="195" t="s">
        <v>71</v>
      </c>
      <c r="L48" s="20" t="str">
        <f ca="1">IF(OFFSET(환산공식!$ED$15,$F48,0)=1,"O","X")</f>
        <v>X</v>
      </c>
      <c r="M48" s="188">
        <f ca="1">IFERROR(OFFSET(환산공식!DJ$15,$F48,0),"")</f>
        <v>100</v>
      </c>
      <c r="N48" s="20" t="str">
        <f ca="1">IFERROR(CONCATENATE(ROUND(OFFSET(환산공식!DK$15,$F48,0),1),"%"),"")</f>
        <v>100%</v>
      </c>
      <c r="O48" s="20">
        <f ca="1">IFERROR(OFFSET(환산공식!DL$15,$F48,0),"")</f>
        <v>0</v>
      </c>
      <c r="P48" s="188" t="str">
        <f t="shared" ca="1" si="0"/>
        <v>3% 이하</v>
      </c>
      <c r="Q48" s="194">
        <f ca="1">IFERROR(ROUND(OFFSET(환산공식!$FG$15,$F48,0),3),"")</f>
        <v>0</v>
      </c>
      <c r="R48" s="194">
        <f ca="1">OFFSET('배치점수 계산기'!H$10,$D48,0)</f>
        <v>682.06</v>
      </c>
      <c r="S48" s="194">
        <f ca="1">OFFSET('배치점수 계산기'!I$10,$D48,0)</f>
        <v>678.846</v>
      </c>
      <c r="T48" s="194">
        <f ca="1">OFFSET('배치점수 계산기'!J$10,$D48,0)</f>
        <v>674.78</v>
      </c>
      <c r="U48" s="194">
        <f ca="1">OFFSET('배치점수 계산기'!K$10,$D48,0)</f>
        <v>671.79200000000003</v>
      </c>
      <c r="V48" s="194">
        <f ca="1">OFFSET('배치점수 계산기'!L$10,$D48,0)</f>
        <v>668.48800000000006</v>
      </c>
      <c r="W48" s="186" t="str">
        <f ca="1">OFFSET('배치점수 계산기'!M$10,$D48,0)</f>
        <v>표점</v>
      </c>
      <c r="X48" s="184" t="str">
        <f ca="1">OFFSET('배치점수 계산기'!N$10,$D48,0)</f>
        <v>변표</v>
      </c>
      <c r="Y48" s="188">
        <f ca="1">OFFSET(환산공식!FW$15,$F48,0)</f>
        <v>0.44</v>
      </c>
      <c r="Z48" s="20">
        <f ca="1">OFFSET(환산공식!FX$15,$F48,0)</f>
        <v>0.33</v>
      </c>
      <c r="AA48" s="179">
        <f ca="1">OFFSET(환산공식!FY$15,$F48,0)</f>
        <v>0.22</v>
      </c>
      <c r="AB48" s="3"/>
      <c r="AD48">
        <f t="shared" ca="1" si="1"/>
        <v>6</v>
      </c>
      <c r="AF48" s="3"/>
      <c r="AG48" s="3"/>
      <c r="AH48" s="3"/>
    </row>
    <row r="49" spans="1:34">
      <c r="A49" s="198"/>
      <c r="B49" s="198"/>
      <c r="C49" s="198" t="s">
        <v>2370</v>
      </c>
      <c r="D49" s="235">
        <v>1934</v>
      </c>
      <c r="E49" s="195">
        <v>53</v>
      </c>
      <c r="F49" s="195">
        <v>53</v>
      </c>
      <c r="G49" s="239">
        <v>42</v>
      </c>
      <c r="H49" s="197" t="s">
        <v>81</v>
      </c>
      <c r="I49" s="242" t="s">
        <v>233</v>
      </c>
      <c r="J49" s="242" t="s">
        <v>9528</v>
      </c>
      <c r="K49" s="195" t="s">
        <v>70</v>
      </c>
      <c r="L49" s="20" t="str">
        <f ca="1">IF(OFFSET(환산공식!$ED$15,$F49,0)=1,"O","X")</f>
        <v>X</v>
      </c>
      <c r="M49" s="188">
        <f ca="1">IFERROR(OFFSET(환산공식!DJ$15,$F49,0),"")</f>
        <v>150</v>
      </c>
      <c r="N49" s="20" t="str">
        <f ca="1">IFERROR(CONCATENATE(ROUND(OFFSET(환산공식!DK$15,$F49,0),1),"%"),"")</f>
        <v>100%</v>
      </c>
      <c r="O49" s="20">
        <f ca="1">IFERROR(OFFSET(환산공식!DL$15,$F49,0),"")</f>
        <v>0</v>
      </c>
      <c r="P49" s="188" t="str">
        <f t="shared" ca="1" si="0"/>
        <v>3% 이하</v>
      </c>
      <c r="Q49" s="194">
        <f ca="1">IFERROR(ROUND(OFFSET(환산공식!$FG$15,$F49,0),3),"")</f>
        <v>0</v>
      </c>
      <c r="R49" s="194">
        <f ca="1">OFFSET('배치점수 계산기'!H$10,$D49,0)</f>
        <v>697.49900000000002</v>
      </c>
      <c r="S49" s="194">
        <f ca="1">OFFSET('배치점수 계산기'!I$10,$D49,0)</f>
        <v>696.59400000000005</v>
      </c>
      <c r="T49" s="194">
        <f ca="1">OFFSET('배치점수 계산기'!J$10,$D49,0)</f>
        <v>694.86</v>
      </c>
      <c r="U49" s="194">
        <f ca="1">OFFSET('배치점수 계산기'!K$10,$D49,0)</f>
        <v>693.51800000000003</v>
      </c>
      <c r="V49" s="194">
        <f ca="1">OFFSET('배치점수 계산기'!L$10,$D49,0)</f>
        <v>692.17200000000003</v>
      </c>
      <c r="W49" s="186" t="str">
        <f ca="1">OFFSET('배치점수 계산기'!M$10,$D49,0)</f>
        <v>표점</v>
      </c>
      <c r="X49" s="184" t="str">
        <f ca="1">OFFSET('배치점수 계산기'!N$10,$D49,0)</f>
        <v>변표</v>
      </c>
      <c r="Y49" s="188">
        <f ca="1">OFFSET(환산공식!FW$15,$F49,0)</f>
        <v>0.28999999999999998</v>
      </c>
      <c r="Z49" s="20">
        <f ca="1">OFFSET(환산공식!FX$15,$F49,0)</f>
        <v>0.41</v>
      </c>
      <c r="AA49" s="179">
        <f ca="1">OFFSET(환산공식!FY$15,$F49,0)</f>
        <v>0.28999999999999998</v>
      </c>
      <c r="AB49" s="3"/>
      <c r="AD49">
        <f t="shared" ca="1" si="1"/>
        <v>6</v>
      </c>
      <c r="AF49" s="3"/>
      <c r="AG49" s="3"/>
      <c r="AH49" s="3"/>
    </row>
    <row r="50" spans="1:34">
      <c r="A50" s="198"/>
      <c r="B50" s="198"/>
      <c r="C50" s="198" t="s">
        <v>2371</v>
      </c>
      <c r="D50" s="235">
        <v>1935</v>
      </c>
      <c r="E50" s="195">
        <v>53</v>
      </c>
      <c r="F50" s="195">
        <v>53</v>
      </c>
      <c r="G50" s="239">
        <v>43</v>
      </c>
      <c r="H50" s="197" t="s">
        <v>81</v>
      </c>
      <c r="I50" s="242" t="s">
        <v>233</v>
      </c>
      <c r="J50" s="242" t="s">
        <v>9778</v>
      </c>
      <c r="K50" s="195" t="s">
        <v>70</v>
      </c>
      <c r="L50" s="20" t="str">
        <f ca="1">IF(OFFSET(환산공식!$ED$15,$F50,0)=1,"O","X")</f>
        <v>X</v>
      </c>
      <c r="M50" s="188">
        <f ca="1">IFERROR(OFFSET(환산공식!DJ$15,$F50,0),"")</f>
        <v>150</v>
      </c>
      <c r="N50" s="20" t="str">
        <f ca="1">IFERROR(CONCATENATE(ROUND(OFFSET(환산공식!DK$15,$F50,0),1),"%"),"")</f>
        <v>100%</v>
      </c>
      <c r="O50" s="20">
        <f ca="1">IFERROR(OFFSET(환산공식!DL$15,$F50,0),"")</f>
        <v>0</v>
      </c>
      <c r="P50" s="188" t="str">
        <f t="shared" ca="1" si="0"/>
        <v>3% 이하</v>
      </c>
      <c r="Q50" s="194">
        <f ca="1">IFERROR(ROUND(OFFSET(환산공식!$FG$15,$F50,0),3),"")</f>
        <v>0</v>
      </c>
      <c r="R50" s="194">
        <f ca="1">OFFSET('배치점수 계산기'!H$10,$D50,0)</f>
        <v>695.83299999999997</v>
      </c>
      <c r="S50" s="194">
        <f ca="1">OFFSET('배치점수 계산기'!I$10,$D50,0)</f>
        <v>693.51800000000003</v>
      </c>
      <c r="T50" s="194">
        <f ca="1">OFFSET('배치점수 계산기'!J$10,$D50,0)</f>
        <v>690.35599999999999</v>
      </c>
      <c r="U50" s="194">
        <f ca="1">OFFSET('배치점수 계산기'!K$10,$D50,0)</f>
        <v>687.779</v>
      </c>
      <c r="V50" s="194">
        <f ca="1">OFFSET('배치점수 계산기'!L$10,$D50,0)</f>
        <v>683.81</v>
      </c>
      <c r="W50" s="186" t="str">
        <f ca="1">OFFSET('배치점수 계산기'!M$10,$D50,0)</f>
        <v>표점</v>
      </c>
      <c r="X50" s="184" t="str">
        <f ca="1">OFFSET('배치점수 계산기'!N$10,$D50,0)</f>
        <v>변표</v>
      </c>
      <c r="Y50" s="188">
        <f ca="1">OFFSET(환산공식!FW$15,$F50,0)</f>
        <v>0.28999999999999998</v>
      </c>
      <c r="Z50" s="20">
        <f ca="1">OFFSET(환산공식!FX$15,$F50,0)</f>
        <v>0.41</v>
      </c>
      <c r="AA50" s="179">
        <f ca="1">OFFSET(환산공식!FY$15,$F50,0)</f>
        <v>0.28999999999999998</v>
      </c>
      <c r="AB50" s="3"/>
      <c r="AD50">
        <f t="shared" ca="1" si="1"/>
        <v>6</v>
      </c>
      <c r="AF50" s="3"/>
      <c r="AG50" s="3"/>
      <c r="AH50" s="3"/>
    </row>
    <row r="51" spans="1:34">
      <c r="A51" s="198"/>
      <c r="B51" s="198"/>
      <c r="C51" s="198" t="s">
        <v>2372</v>
      </c>
      <c r="D51" s="235">
        <v>1936</v>
      </c>
      <c r="E51" s="195">
        <v>53</v>
      </c>
      <c r="F51" s="195">
        <v>53</v>
      </c>
      <c r="G51" s="239">
        <v>44</v>
      </c>
      <c r="H51" s="197" t="s">
        <v>81</v>
      </c>
      <c r="I51" s="242" t="s">
        <v>233</v>
      </c>
      <c r="J51" s="242" t="s">
        <v>9999</v>
      </c>
      <c r="K51" s="195" t="s">
        <v>70</v>
      </c>
      <c r="L51" s="20" t="str">
        <f ca="1">IF(OFFSET(환산공식!$ED$15,$F51,0)=1,"O","X")</f>
        <v>X</v>
      </c>
      <c r="M51" s="188">
        <f ca="1">IFERROR(OFFSET(환산공식!DJ$15,$F51,0),"")</f>
        <v>150</v>
      </c>
      <c r="N51" s="20" t="str">
        <f ca="1">IFERROR(CONCATENATE(ROUND(OFFSET(환산공식!DK$15,$F51,0),1),"%"),"")</f>
        <v>100%</v>
      </c>
      <c r="O51" s="20">
        <f ca="1">IFERROR(OFFSET(환산공식!DL$15,$F51,0),"")</f>
        <v>0</v>
      </c>
      <c r="P51" s="188" t="str">
        <f t="shared" ca="1" si="0"/>
        <v>3% 이하</v>
      </c>
      <c r="Q51" s="194">
        <f ca="1">IFERROR(ROUND(OFFSET(환산공식!$FG$15,$F51,0),3),"")</f>
        <v>0</v>
      </c>
      <c r="R51" s="194">
        <f ca="1">OFFSET('배치점수 계산기'!H$10,$D51,0)</f>
        <v>693.04499999999996</v>
      </c>
      <c r="S51" s="194">
        <f ca="1">OFFSET('배치점수 계산기'!I$10,$D51,0)</f>
        <v>690.65099999999995</v>
      </c>
      <c r="T51" s="194">
        <f ca="1">OFFSET('배치점수 계산기'!J$10,$D51,0)</f>
        <v>687.14800000000002</v>
      </c>
      <c r="U51" s="194">
        <f ca="1">OFFSET('배치점수 계산기'!K$10,$D51,0)</f>
        <v>684.37699999999995</v>
      </c>
      <c r="V51" s="194">
        <f ca="1">OFFSET('배치점수 계산기'!L$10,$D51,0)</f>
        <v>679.98400000000004</v>
      </c>
      <c r="W51" s="186" t="str">
        <f ca="1">OFFSET('배치점수 계산기'!M$10,$D51,0)</f>
        <v>표점</v>
      </c>
      <c r="X51" s="184" t="str">
        <f ca="1">OFFSET('배치점수 계산기'!N$10,$D51,0)</f>
        <v>변표</v>
      </c>
      <c r="Y51" s="188">
        <f ca="1">OFFSET(환산공식!FW$15,$F51,0)</f>
        <v>0.28999999999999998</v>
      </c>
      <c r="Z51" s="20">
        <f ca="1">OFFSET(환산공식!FX$15,$F51,0)</f>
        <v>0.41</v>
      </c>
      <c r="AA51" s="179">
        <f ca="1">OFFSET(환산공식!FY$15,$F51,0)</f>
        <v>0.28999999999999998</v>
      </c>
      <c r="AB51" s="3"/>
      <c r="AD51">
        <f t="shared" ca="1" si="1"/>
        <v>6</v>
      </c>
      <c r="AF51" s="3"/>
      <c r="AG51" s="3"/>
      <c r="AH51" s="3"/>
    </row>
    <row r="52" spans="1:34">
      <c r="A52" s="198"/>
      <c r="B52" s="198"/>
      <c r="C52" s="198" t="s">
        <v>2373</v>
      </c>
      <c r="D52" s="235">
        <v>1937</v>
      </c>
      <c r="E52" s="195">
        <v>53</v>
      </c>
      <c r="F52" s="195">
        <v>53</v>
      </c>
      <c r="G52" s="239">
        <v>45</v>
      </c>
      <c r="H52" s="197" t="s">
        <v>81</v>
      </c>
      <c r="I52" s="242" t="s">
        <v>233</v>
      </c>
      <c r="J52" s="242" t="s">
        <v>550</v>
      </c>
      <c r="K52" s="195" t="s">
        <v>70</v>
      </c>
      <c r="L52" s="20" t="str">
        <f ca="1">IF(OFFSET(환산공식!$ED$15,$F52,0)=1,"O","X")</f>
        <v>X</v>
      </c>
      <c r="M52" s="188">
        <f ca="1">IFERROR(OFFSET(환산공식!DJ$15,$F52,0),"")</f>
        <v>150</v>
      </c>
      <c r="N52" s="20" t="str">
        <f ca="1">IFERROR(CONCATENATE(ROUND(OFFSET(환산공식!DK$15,$F52,0),1),"%"),"")</f>
        <v>100%</v>
      </c>
      <c r="O52" s="20">
        <f ca="1">IFERROR(OFFSET(환산공식!DL$15,$F52,0),"")</f>
        <v>0</v>
      </c>
      <c r="P52" s="188" t="str">
        <f t="shared" ca="1" si="0"/>
        <v>3% 이하</v>
      </c>
      <c r="Q52" s="194">
        <f ca="1">IFERROR(ROUND(OFFSET(환산공식!$FG$15,$F52,0),3),"")</f>
        <v>0</v>
      </c>
      <c r="R52" s="194">
        <f ca="1">OFFSET('배치점수 계산기'!H$10,$D52,0)</f>
        <v>693.14700000000005</v>
      </c>
      <c r="S52" s="194">
        <f ca="1">OFFSET('배치점수 계산기'!I$10,$D52,0)</f>
        <v>690.65099999999995</v>
      </c>
      <c r="T52" s="194">
        <f ca="1">OFFSET('배치점수 계산기'!J$10,$D52,0)</f>
        <v>686.68100000000004</v>
      </c>
      <c r="U52" s="194">
        <f ca="1">OFFSET('배치점수 계산기'!K$10,$D52,0)</f>
        <v>683.81</v>
      </c>
      <c r="V52" s="194">
        <f ca="1">OFFSET('배치점수 계산기'!L$10,$D52,0)</f>
        <v>679.98400000000004</v>
      </c>
      <c r="W52" s="186" t="str">
        <f ca="1">OFFSET('배치점수 계산기'!M$10,$D52,0)</f>
        <v>표점</v>
      </c>
      <c r="X52" s="184" t="str">
        <f ca="1">OFFSET('배치점수 계산기'!N$10,$D52,0)</f>
        <v>변표</v>
      </c>
      <c r="Y52" s="188">
        <f ca="1">OFFSET(환산공식!FW$15,$F52,0)</f>
        <v>0.28999999999999998</v>
      </c>
      <c r="Z52" s="20">
        <f ca="1">OFFSET(환산공식!FX$15,$F52,0)</f>
        <v>0.41</v>
      </c>
      <c r="AA52" s="179">
        <f ca="1">OFFSET(환산공식!FY$15,$F52,0)</f>
        <v>0.28999999999999998</v>
      </c>
      <c r="AB52" s="3"/>
      <c r="AD52">
        <f t="shared" ca="1" si="1"/>
        <v>6</v>
      </c>
      <c r="AF52" s="3"/>
      <c r="AG52" s="3"/>
      <c r="AH52" s="3"/>
    </row>
    <row r="53" spans="1:34">
      <c r="A53" s="198"/>
      <c r="B53" s="198"/>
      <c r="C53" s="198" t="s">
        <v>2374</v>
      </c>
      <c r="D53" s="235">
        <v>1938</v>
      </c>
      <c r="E53" s="195">
        <v>54</v>
      </c>
      <c r="F53" s="195">
        <v>54</v>
      </c>
      <c r="G53" s="239">
        <v>46</v>
      </c>
      <c r="H53" s="197" t="s">
        <v>81</v>
      </c>
      <c r="I53" s="242" t="s">
        <v>233</v>
      </c>
      <c r="J53" s="242" t="s">
        <v>9572</v>
      </c>
      <c r="K53" s="195" t="s">
        <v>71</v>
      </c>
      <c r="L53" s="20" t="str">
        <f ca="1">IF(OFFSET(환산공식!$ED$15,$F53,0)=1,"O","X")</f>
        <v>X</v>
      </c>
      <c r="M53" s="188">
        <f ca="1">IFERROR(OFFSET(환산공식!DJ$15,$F53,0),"")</f>
        <v>150</v>
      </c>
      <c r="N53" s="20" t="str">
        <f ca="1">IFERROR(CONCATENATE(ROUND(OFFSET(환산공식!DK$15,$F53,0),1),"%"),"")</f>
        <v>100%</v>
      </c>
      <c r="O53" s="20">
        <f ca="1">IFERROR(OFFSET(환산공식!DL$15,$F53,0),"")</f>
        <v>0</v>
      </c>
      <c r="P53" s="188" t="str">
        <f t="shared" ca="1" si="0"/>
        <v>3% 이하</v>
      </c>
      <c r="Q53" s="194">
        <f ca="1">IFERROR(ROUND(OFFSET(환산공식!$FG$15,$F53,0),3),"")</f>
        <v>0</v>
      </c>
      <c r="R53" s="194">
        <f ca="1">OFFSET('배치점수 계산기'!H$10,$D53,0)</f>
        <v>695.70600000000002</v>
      </c>
      <c r="S53" s="194">
        <f ca="1">OFFSET('배치점수 계산기'!I$10,$D53,0)</f>
        <v>694.65</v>
      </c>
      <c r="T53" s="194">
        <f ca="1">OFFSET('배치점수 계산기'!J$10,$D53,0)</f>
        <v>692.16499999999996</v>
      </c>
      <c r="U53" s="194">
        <f ca="1">OFFSET('배치점수 계산기'!K$10,$D53,0)</f>
        <v>689.404</v>
      </c>
      <c r="V53" s="194">
        <f ca="1">OFFSET('배치점수 계산기'!L$10,$D53,0)</f>
        <v>683.38900000000001</v>
      </c>
      <c r="W53" s="186" t="str">
        <f ca="1">OFFSET('배치점수 계산기'!M$10,$D53,0)</f>
        <v>표점</v>
      </c>
      <c r="X53" s="184" t="str">
        <f ca="1">OFFSET('배치점수 계산기'!N$10,$D53,0)</f>
        <v>변표</v>
      </c>
      <c r="Y53" s="188">
        <f ca="1">OFFSET(환산공식!FW$15,$F53,0)</f>
        <v>0.41</v>
      </c>
      <c r="Z53" s="20">
        <f ca="1">OFFSET(환산공식!FX$15,$F53,0)</f>
        <v>0.28999999999999998</v>
      </c>
      <c r="AA53" s="179">
        <f ca="1">OFFSET(환산공식!FY$15,$F53,0)</f>
        <v>0.28999999999999998</v>
      </c>
      <c r="AB53" s="3"/>
      <c r="AD53">
        <f t="shared" ca="1" si="1"/>
        <v>6</v>
      </c>
      <c r="AF53" s="3"/>
      <c r="AG53" s="3"/>
      <c r="AH53" s="3"/>
    </row>
    <row r="54" spans="1:34">
      <c r="A54" s="198"/>
      <c r="B54" s="198"/>
      <c r="C54" s="198" t="s">
        <v>2375</v>
      </c>
      <c r="D54" s="235">
        <v>1939</v>
      </c>
      <c r="E54" s="195">
        <v>54</v>
      </c>
      <c r="F54" s="195">
        <v>54</v>
      </c>
      <c r="G54" s="239">
        <v>47</v>
      </c>
      <c r="H54" s="197" t="s">
        <v>81</v>
      </c>
      <c r="I54" s="242" t="s">
        <v>233</v>
      </c>
      <c r="J54" s="242" t="s">
        <v>9641</v>
      </c>
      <c r="K54" s="195" t="s">
        <v>71</v>
      </c>
      <c r="L54" s="20" t="str">
        <f ca="1">IF(OFFSET(환산공식!$ED$15,$F54,0)=1,"O","X")</f>
        <v>X</v>
      </c>
      <c r="M54" s="188">
        <f ca="1">IFERROR(OFFSET(환산공식!DJ$15,$F54,0),"")</f>
        <v>150</v>
      </c>
      <c r="N54" s="20" t="str">
        <f ca="1">IFERROR(CONCATENATE(ROUND(OFFSET(환산공식!DK$15,$F54,0),1),"%"),"")</f>
        <v>100%</v>
      </c>
      <c r="O54" s="20">
        <f ca="1">IFERROR(OFFSET(환산공식!DL$15,$F54,0),"")</f>
        <v>0</v>
      </c>
      <c r="P54" s="188" t="str">
        <f t="shared" ca="1" si="0"/>
        <v>3% 이하</v>
      </c>
      <c r="Q54" s="194">
        <f ca="1">IFERROR(ROUND(OFFSET(환산공식!$FG$15,$F54,0),3),"")</f>
        <v>0</v>
      </c>
      <c r="R54" s="194">
        <f ca="1">OFFSET('배치점수 계산기'!H$10,$D54,0)</f>
        <v>696.41800000000001</v>
      </c>
      <c r="S54" s="194">
        <f ca="1">OFFSET('배치점수 계산기'!I$10,$D54,0)</f>
        <v>693.66300000000001</v>
      </c>
      <c r="T54" s="194">
        <f ca="1">OFFSET('배치점수 계산기'!J$10,$D54,0)</f>
        <v>690.70399999999995</v>
      </c>
      <c r="U54" s="194">
        <f ca="1">OFFSET('배치점수 계산기'!K$10,$D54,0)</f>
        <v>688.44399999999996</v>
      </c>
      <c r="V54" s="194">
        <f ca="1">OFFSET('배치점수 계산기'!L$10,$D54,0)</f>
        <v>684.92600000000004</v>
      </c>
      <c r="W54" s="186" t="str">
        <f ca="1">OFFSET('배치점수 계산기'!M$10,$D54,0)</f>
        <v>표점</v>
      </c>
      <c r="X54" s="184" t="str">
        <f ca="1">OFFSET('배치점수 계산기'!N$10,$D54,0)</f>
        <v>변표</v>
      </c>
      <c r="Y54" s="188">
        <f ca="1">OFFSET(환산공식!FW$15,$F54,0)</f>
        <v>0.41</v>
      </c>
      <c r="Z54" s="20">
        <f ca="1">OFFSET(환산공식!FX$15,$F54,0)</f>
        <v>0.28999999999999998</v>
      </c>
      <c r="AA54" s="179">
        <f ca="1">OFFSET(환산공식!FY$15,$F54,0)</f>
        <v>0.28999999999999998</v>
      </c>
      <c r="AB54" s="3"/>
      <c r="AD54">
        <f t="shared" ca="1" si="1"/>
        <v>6</v>
      </c>
      <c r="AF54" s="3"/>
      <c r="AG54" s="3"/>
      <c r="AH54" s="3"/>
    </row>
    <row r="55" spans="1:34">
      <c r="A55" s="198"/>
      <c r="B55" s="198"/>
      <c r="C55" s="198" t="s">
        <v>2376</v>
      </c>
      <c r="D55" s="235">
        <v>1940</v>
      </c>
      <c r="E55" s="195">
        <v>56</v>
      </c>
      <c r="F55" s="195">
        <v>56</v>
      </c>
      <c r="G55" s="239">
        <v>48</v>
      </c>
      <c r="H55" s="197" t="s">
        <v>81</v>
      </c>
      <c r="I55" s="242" t="s">
        <v>417</v>
      </c>
      <c r="J55" s="242" t="s">
        <v>9522</v>
      </c>
      <c r="K55" s="195" t="s">
        <v>70</v>
      </c>
      <c r="L55" s="20" t="str">
        <f ca="1">IF(OFFSET(환산공식!$ED$15,$F55,0)=1,"O","X")</f>
        <v>X</v>
      </c>
      <c r="M55" s="188">
        <f ca="1">IFERROR(OFFSET(환산공식!DJ$15,$F55,0),"")</f>
        <v>15</v>
      </c>
      <c r="N55" s="20" t="str">
        <f ca="1">IFERROR(CONCATENATE(ROUND(OFFSET(환산공식!DK$15,$F55,0),1),"%"),"")</f>
        <v>100%</v>
      </c>
      <c r="O55" s="20">
        <f ca="1">IFERROR(OFFSET(환산공식!DL$15,$F55,0),"")</f>
        <v>10</v>
      </c>
      <c r="P55" s="188" t="str">
        <f t="shared" ca="1" si="0"/>
        <v>3% 이하</v>
      </c>
      <c r="Q55" s="194">
        <f ca="1">IFERROR(ROUND(OFFSET(환산공식!$FG$15,$F55,0),3),"")</f>
        <v>0</v>
      </c>
      <c r="R55" s="194">
        <f ca="1">OFFSET('배치점수 계산기'!H$10,$D55,0)</f>
        <v>134.06200000000001</v>
      </c>
      <c r="S55" s="194">
        <f ca="1">OFFSET('배치점수 계산기'!I$10,$D55,0)</f>
        <v>133.83799999999999</v>
      </c>
      <c r="T55" s="194">
        <f ca="1">OFFSET('배치점수 계산기'!J$10,$D55,0)</f>
        <v>133.57400000000001</v>
      </c>
      <c r="U55" s="194">
        <f ca="1">OFFSET('배치점수 계산기'!K$10,$D55,0)</f>
        <v>133.047</v>
      </c>
      <c r="V55" s="194">
        <f ca="1">OFFSET('배치점수 계산기'!L$10,$D55,0)</f>
        <v>131.88499999999999</v>
      </c>
      <c r="W55" s="186" t="str">
        <f ca="1">OFFSET('배치점수 계산기'!M$10,$D55,0)</f>
        <v>표점</v>
      </c>
      <c r="X55" s="184" t="str">
        <f ca="1">OFFSET('배치점수 계산기'!N$10,$D55,0)</f>
        <v>표점</v>
      </c>
      <c r="Y55" s="188">
        <f ca="1">OFFSET(환산공식!FW$15,$F55,0)</f>
        <v>0.24</v>
      </c>
      <c r="Z55" s="20">
        <f ca="1">OFFSET(환산공식!FX$15,$F55,0)</f>
        <v>0.41</v>
      </c>
      <c r="AA55" s="179">
        <f ca="1">OFFSET(환산공식!FY$15,$F55,0)</f>
        <v>0.35</v>
      </c>
      <c r="AB55" s="3"/>
      <c r="AD55">
        <f t="shared" ca="1" si="1"/>
        <v>6</v>
      </c>
      <c r="AF55" s="3"/>
      <c r="AG55" s="3"/>
      <c r="AH55" s="3"/>
    </row>
    <row r="56" spans="1:34">
      <c r="A56" s="198"/>
      <c r="B56" s="198"/>
      <c r="C56" s="198" t="s">
        <v>2377</v>
      </c>
      <c r="D56" s="235">
        <v>1941</v>
      </c>
      <c r="E56" s="195">
        <v>56</v>
      </c>
      <c r="F56" s="195">
        <v>56</v>
      </c>
      <c r="G56" s="239">
        <v>49</v>
      </c>
      <c r="H56" s="197" t="s">
        <v>81</v>
      </c>
      <c r="I56" s="242" t="s">
        <v>417</v>
      </c>
      <c r="J56" s="242" t="s">
        <v>9741</v>
      </c>
      <c r="K56" s="195" t="s">
        <v>70</v>
      </c>
      <c r="L56" s="20" t="str">
        <f ca="1">IF(OFFSET(환산공식!$ED$15,$F56,0)=1,"O","X")</f>
        <v>X</v>
      </c>
      <c r="M56" s="188">
        <f ca="1">IFERROR(OFFSET(환산공식!DJ$15,$F56,0),"")</f>
        <v>15</v>
      </c>
      <c r="N56" s="20" t="str">
        <f ca="1">IFERROR(CONCATENATE(ROUND(OFFSET(환산공식!DK$15,$F56,0),1),"%"),"")</f>
        <v>100%</v>
      </c>
      <c r="O56" s="20">
        <f ca="1">IFERROR(OFFSET(환산공식!DL$15,$F56,0),"")</f>
        <v>10</v>
      </c>
      <c r="P56" s="188" t="str">
        <f t="shared" ca="1" si="0"/>
        <v>3% 이하</v>
      </c>
      <c r="Q56" s="194">
        <f ca="1">IFERROR(ROUND(OFFSET(환산공식!$FG$15,$F56,0),3),"")</f>
        <v>0</v>
      </c>
      <c r="R56" s="194">
        <f ca="1">OFFSET('배치점수 계산기'!H$10,$D56,0)</f>
        <v>133.61600000000001</v>
      </c>
      <c r="S56" s="194">
        <f ca="1">OFFSET('배치점수 계산기'!I$10,$D56,0)</f>
        <v>133.27000000000001</v>
      </c>
      <c r="T56" s="194">
        <f ca="1">OFFSET('배치점수 계산기'!J$10,$D56,0)</f>
        <v>132.90799999999999</v>
      </c>
      <c r="U56" s="194">
        <f ca="1">OFFSET('배치점수 계산기'!K$10,$D56,0)</f>
        <v>132.32900000000001</v>
      </c>
      <c r="V56" s="194">
        <f ca="1">OFFSET('배치점수 계산기'!L$10,$D56,0)</f>
        <v>131.16900000000001</v>
      </c>
      <c r="W56" s="186" t="str">
        <f ca="1">OFFSET('배치점수 계산기'!M$10,$D56,0)</f>
        <v>표점</v>
      </c>
      <c r="X56" s="184" t="str">
        <f ca="1">OFFSET('배치점수 계산기'!N$10,$D56,0)</f>
        <v>표점</v>
      </c>
      <c r="Y56" s="188">
        <f ca="1">OFFSET(환산공식!FW$15,$F56,0)</f>
        <v>0.24</v>
      </c>
      <c r="Z56" s="20">
        <f ca="1">OFFSET(환산공식!FX$15,$F56,0)</f>
        <v>0.41</v>
      </c>
      <c r="AA56" s="179">
        <f ca="1">OFFSET(환산공식!FY$15,$F56,0)</f>
        <v>0.35</v>
      </c>
      <c r="AB56" s="3"/>
      <c r="AD56">
        <f t="shared" ca="1" si="1"/>
        <v>6</v>
      </c>
      <c r="AF56" s="3"/>
      <c r="AG56" s="3"/>
      <c r="AH56" s="3"/>
    </row>
    <row r="57" spans="1:34">
      <c r="A57" s="198"/>
      <c r="B57" s="198"/>
      <c r="C57" s="198" t="s">
        <v>2378</v>
      </c>
      <c r="D57" s="235">
        <v>1942</v>
      </c>
      <c r="E57" s="195">
        <v>56</v>
      </c>
      <c r="F57" s="195">
        <v>56</v>
      </c>
      <c r="G57" s="239">
        <v>50</v>
      </c>
      <c r="H57" s="197" t="s">
        <v>81</v>
      </c>
      <c r="I57" s="242" t="s">
        <v>417</v>
      </c>
      <c r="J57" s="242" t="s">
        <v>9862</v>
      </c>
      <c r="K57" s="195" t="s">
        <v>70</v>
      </c>
      <c r="L57" s="20" t="str">
        <f ca="1">IF(OFFSET(환산공식!$ED$15,$F57,0)=1,"O","X")</f>
        <v>X</v>
      </c>
      <c r="M57" s="188">
        <f ca="1">IFERROR(OFFSET(환산공식!DJ$15,$F57,0),"")</f>
        <v>15</v>
      </c>
      <c r="N57" s="20" t="str">
        <f ca="1">IFERROR(CONCATENATE(ROUND(OFFSET(환산공식!DK$15,$F57,0),1),"%"),"")</f>
        <v>100%</v>
      </c>
      <c r="O57" s="20">
        <f ca="1">IFERROR(OFFSET(환산공식!DL$15,$F57,0),"")</f>
        <v>10</v>
      </c>
      <c r="P57" s="188" t="str">
        <f t="shared" ca="1" si="0"/>
        <v>3% 이하</v>
      </c>
      <c r="Q57" s="194">
        <f ca="1">IFERROR(ROUND(OFFSET(환산공식!$FG$15,$F57,0),3),"")</f>
        <v>0</v>
      </c>
      <c r="R57" s="194">
        <f ca="1">OFFSET('배치점수 계산기'!H$10,$D57,0)</f>
        <v>133.15600000000001</v>
      </c>
      <c r="S57" s="194">
        <f ca="1">OFFSET('배치점수 계산기'!I$10,$D57,0)</f>
        <v>132.90799999999999</v>
      </c>
      <c r="T57" s="194">
        <f ca="1">OFFSET('배치점수 계산기'!J$10,$D57,0)</f>
        <v>132.67599999999999</v>
      </c>
      <c r="U57" s="194">
        <f ca="1">OFFSET('배치점수 계산기'!K$10,$D57,0)</f>
        <v>132.08000000000001</v>
      </c>
      <c r="V57" s="194">
        <f ca="1">OFFSET('배치점수 계산기'!L$10,$D57,0)</f>
        <v>130.87299999999999</v>
      </c>
      <c r="W57" s="186" t="str">
        <f ca="1">OFFSET('배치점수 계산기'!M$10,$D57,0)</f>
        <v>표점</v>
      </c>
      <c r="X57" s="184" t="str">
        <f ca="1">OFFSET('배치점수 계산기'!N$10,$D57,0)</f>
        <v>표점</v>
      </c>
      <c r="Y57" s="188">
        <f ca="1">OFFSET(환산공식!FW$15,$F57,0)</f>
        <v>0.24</v>
      </c>
      <c r="Z57" s="20">
        <f ca="1">OFFSET(환산공식!FX$15,$F57,0)</f>
        <v>0.41</v>
      </c>
      <c r="AA57" s="179">
        <f ca="1">OFFSET(환산공식!FY$15,$F57,0)</f>
        <v>0.35</v>
      </c>
      <c r="AB57" s="3"/>
      <c r="AD57">
        <f t="shared" ca="1" si="1"/>
        <v>6</v>
      </c>
      <c r="AF57" s="3"/>
      <c r="AG57" s="3"/>
      <c r="AH57" s="3"/>
    </row>
    <row r="58" spans="1:34">
      <c r="A58" s="198"/>
      <c r="B58" s="198"/>
      <c r="C58" s="198" t="s">
        <v>2379</v>
      </c>
      <c r="D58" s="235">
        <v>1943</v>
      </c>
      <c r="E58" s="195">
        <v>56</v>
      </c>
      <c r="F58" s="195">
        <v>56</v>
      </c>
      <c r="G58" s="239">
        <v>51</v>
      </c>
      <c r="H58" s="197" t="s">
        <v>81</v>
      </c>
      <c r="I58" s="242" t="s">
        <v>417</v>
      </c>
      <c r="J58" s="242" t="s">
        <v>8835</v>
      </c>
      <c r="K58" s="195" t="s">
        <v>70</v>
      </c>
      <c r="L58" s="20" t="str">
        <f ca="1">IF(OFFSET(환산공식!$ED$15,$F58,0)=1,"O","X")</f>
        <v>X</v>
      </c>
      <c r="M58" s="188">
        <f ca="1">IFERROR(OFFSET(환산공식!DJ$15,$F58,0),"")</f>
        <v>15</v>
      </c>
      <c r="N58" s="20" t="str">
        <f ca="1">IFERROR(CONCATENATE(ROUND(OFFSET(환산공식!DK$15,$F58,0),1),"%"),"")</f>
        <v>100%</v>
      </c>
      <c r="O58" s="20">
        <f ca="1">IFERROR(OFFSET(환산공식!DL$15,$F58,0),"")</f>
        <v>10</v>
      </c>
      <c r="P58" s="188" t="str">
        <f t="shared" ca="1" si="0"/>
        <v>3% 이하</v>
      </c>
      <c r="Q58" s="194">
        <f ca="1">IFERROR(ROUND(OFFSET(환산공식!$FG$15,$F58,0),3),"")</f>
        <v>0</v>
      </c>
      <c r="R58" s="194">
        <f ca="1">OFFSET('배치점수 계산기'!H$10,$D58,0)</f>
        <v>133.15600000000001</v>
      </c>
      <c r="S58" s="194">
        <f ca="1">OFFSET('배치점수 계산기'!I$10,$D58,0)</f>
        <v>132.90799999999999</v>
      </c>
      <c r="T58" s="194">
        <f ca="1">OFFSET('배치점수 계산기'!J$10,$D58,0)</f>
        <v>132.67599999999999</v>
      </c>
      <c r="U58" s="194">
        <f ca="1">OFFSET('배치점수 계산기'!K$10,$D58,0)</f>
        <v>132.08000000000001</v>
      </c>
      <c r="V58" s="194">
        <f ca="1">OFFSET('배치점수 계산기'!L$10,$D58,0)</f>
        <v>130.87299999999999</v>
      </c>
      <c r="W58" s="186" t="str">
        <f ca="1">OFFSET('배치점수 계산기'!M$10,$D58,0)</f>
        <v>표점</v>
      </c>
      <c r="X58" s="184" t="str">
        <f ca="1">OFFSET('배치점수 계산기'!N$10,$D58,0)</f>
        <v>표점</v>
      </c>
      <c r="Y58" s="188">
        <f ca="1">OFFSET(환산공식!FW$15,$F58,0)</f>
        <v>0.24</v>
      </c>
      <c r="Z58" s="20">
        <f ca="1">OFFSET(환산공식!FX$15,$F58,0)</f>
        <v>0.41</v>
      </c>
      <c r="AA58" s="179">
        <f ca="1">OFFSET(환산공식!FY$15,$F58,0)</f>
        <v>0.35</v>
      </c>
      <c r="AB58" s="3"/>
      <c r="AD58">
        <f t="shared" ca="1" si="1"/>
        <v>6</v>
      </c>
      <c r="AF58" s="3"/>
      <c r="AG58" s="3"/>
      <c r="AH58" s="3"/>
    </row>
    <row r="59" spans="1:34">
      <c r="A59" s="198"/>
      <c r="B59" s="198"/>
      <c r="C59" s="198" t="s">
        <v>2380</v>
      </c>
      <c r="D59" s="235">
        <v>1944</v>
      </c>
      <c r="E59" s="195">
        <v>56</v>
      </c>
      <c r="F59" s="195">
        <v>56</v>
      </c>
      <c r="G59" s="239">
        <v>52</v>
      </c>
      <c r="H59" s="197" t="s">
        <v>81</v>
      </c>
      <c r="I59" s="242" t="s">
        <v>417</v>
      </c>
      <c r="J59" s="242" t="s">
        <v>9887</v>
      </c>
      <c r="K59" s="195" t="s">
        <v>70</v>
      </c>
      <c r="L59" s="20" t="str">
        <f ca="1">IF(OFFSET(환산공식!$ED$15,$F59,0)=1,"O","X")</f>
        <v>X</v>
      </c>
      <c r="M59" s="188">
        <f ca="1">IFERROR(OFFSET(환산공식!DJ$15,$F59,0),"")</f>
        <v>15</v>
      </c>
      <c r="N59" s="20" t="str">
        <f ca="1">IFERROR(CONCATENATE(ROUND(OFFSET(환산공식!DK$15,$F59,0),1),"%"),"")</f>
        <v>100%</v>
      </c>
      <c r="O59" s="20">
        <f ca="1">IFERROR(OFFSET(환산공식!DL$15,$F59,0),"")</f>
        <v>10</v>
      </c>
      <c r="P59" s="188" t="str">
        <f t="shared" ca="1" si="0"/>
        <v>3% 이하</v>
      </c>
      <c r="Q59" s="194">
        <f ca="1">IFERROR(ROUND(OFFSET(환산공식!$FG$15,$F59,0),3),"")</f>
        <v>0</v>
      </c>
      <c r="R59" s="194">
        <f ca="1">OFFSET('배치점수 계산기'!H$10,$D59,0)</f>
        <v>133.047</v>
      </c>
      <c r="S59" s="194">
        <f ca="1">OFFSET('배치점수 계산기'!I$10,$D59,0)</f>
        <v>132.80500000000001</v>
      </c>
      <c r="T59" s="194">
        <f ca="1">OFFSET('배치점수 계산기'!J$10,$D59,0)</f>
        <v>132.53899999999999</v>
      </c>
      <c r="U59" s="194">
        <f ca="1">OFFSET('배치점수 계산기'!K$10,$D59,0)</f>
        <v>131.93600000000001</v>
      </c>
      <c r="V59" s="194">
        <f ca="1">OFFSET('배치점수 계산기'!L$10,$D59,0)</f>
        <v>130.745</v>
      </c>
      <c r="W59" s="186" t="str">
        <f ca="1">OFFSET('배치점수 계산기'!M$10,$D59,0)</f>
        <v>표점</v>
      </c>
      <c r="X59" s="184" t="str">
        <f ca="1">OFFSET('배치점수 계산기'!N$10,$D59,0)</f>
        <v>표점</v>
      </c>
      <c r="Y59" s="188">
        <f ca="1">OFFSET(환산공식!FW$15,$F59,0)</f>
        <v>0.24</v>
      </c>
      <c r="Z59" s="20">
        <f ca="1">OFFSET(환산공식!FX$15,$F59,0)</f>
        <v>0.41</v>
      </c>
      <c r="AA59" s="179">
        <f ca="1">OFFSET(환산공식!FY$15,$F59,0)</f>
        <v>0.35</v>
      </c>
      <c r="AB59" s="3"/>
      <c r="AD59">
        <f t="shared" ca="1" si="1"/>
        <v>6</v>
      </c>
      <c r="AF59" s="3"/>
      <c r="AG59" s="3"/>
      <c r="AH59" s="3"/>
    </row>
    <row r="60" spans="1:34">
      <c r="A60" s="198"/>
      <c r="B60" s="198"/>
      <c r="C60" s="198" t="s">
        <v>2381</v>
      </c>
      <c r="D60" s="235">
        <v>1945</v>
      </c>
      <c r="E60" s="195">
        <v>56</v>
      </c>
      <c r="F60" s="195">
        <v>56</v>
      </c>
      <c r="G60" s="239">
        <v>53</v>
      </c>
      <c r="H60" s="197" t="s">
        <v>81</v>
      </c>
      <c r="I60" s="242" t="s">
        <v>417</v>
      </c>
      <c r="J60" s="242" t="s">
        <v>9885</v>
      </c>
      <c r="K60" s="195" t="s">
        <v>70</v>
      </c>
      <c r="L60" s="20" t="str">
        <f ca="1">IF(OFFSET(환산공식!$ED$15,$F60,0)=1,"O","X")</f>
        <v>X</v>
      </c>
      <c r="M60" s="188">
        <f ca="1">IFERROR(OFFSET(환산공식!DJ$15,$F60,0),"")</f>
        <v>15</v>
      </c>
      <c r="N60" s="20" t="str">
        <f ca="1">IFERROR(CONCATENATE(ROUND(OFFSET(환산공식!DK$15,$F60,0),1),"%"),"")</f>
        <v>100%</v>
      </c>
      <c r="O60" s="20">
        <f ca="1">IFERROR(OFFSET(환산공식!DL$15,$F60,0),"")</f>
        <v>10</v>
      </c>
      <c r="P60" s="188" t="str">
        <f t="shared" ca="1" si="0"/>
        <v>3% 이하</v>
      </c>
      <c r="Q60" s="194">
        <f ca="1">IFERROR(ROUND(OFFSET(환산공식!$FG$15,$F60,0),3),"")</f>
        <v>0</v>
      </c>
      <c r="R60" s="194">
        <f ca="1">OFFSET('배치점수 계산기'!H$10,$D60,0)</f>
        <v>133.047</v>
      </c>
      <c r="S60" s="194">
        <f ca="1">OFFSET('배치점수 계산기'!I$10,$D60,0)</f>
        <v>132.80500000000001</v>
      </c>
      <c r="T60" s="194">
        <f ca="1">OFFSET('배치점수 계산기'!J$10,$D60,0)</f>
        <v>132.53899999999999</v>
      </c>
      <c r="U60" s="194">
        <f ca="1">OFFSET('배치점수 계산기'!K$10,$D60,0)</f>
        <v>131.93600000000001</v>
      </c>
      <c r="V60" s="194">
        <f ca="1">OFFSET('배치점수 계산기'!L$10,$D60,0)</f>
        <v>130.745</v>
      </c>
      <c r="W60" s="186" t="str">
        <f ca="1">OFFSET('배치점수 계산기'!M$10,$D60,0)</f>
        <v>표점</v>
      </c>
      <c r="X60" s="184" t="str">
        <f ca="1">OFFSET('배치점수 계산기'!N$10,$D60,0)</f>
        <v>표점</v>
      </c>
      <c r="Y60" s="188">
        <f ca="1">OFFSET(환산공식!FW$15,$F60,0)</f>
        <v>0.24</v>
      </c>
      <c r="Z60" s="20">
        <f ca="1">OFFSET(환산공식!FX$15,$F60,0)</f>
        <v>0.41</v>
      </c>
      <c r="AA60" s="179">
        <f ca="1">OFFSET(환산공식!FY$15,$F60,0)</f>
        <v>0.35</v>
      </c>
      <c r="AB60" s="3"/>
      <c r="AD60">
        <f t="shared" ca="1" si="1"/>
        <v>6</v>
      </c>
      <c r="AF60" s="3"/>
      <c r="AG60" s="3"/>
      <c r="AH60" s="3"/>
    </row>
    <row r="61" spans="1:34">
      <c r="A61" s="198"/>
      <c r="B61" s="198"/>
      <c r="C61" s="198" t="s">
        <v>2382</v>
      </c>
      <c r="D61" s="235">
        <v>1946</v>
      </c>
      <c r="E61" s="195">
        <v>56</v>
      </c>
      <c r="F61" s="195">
        <v>56</v>
      </c>
      <c r="G61" s="239">
        <v>54</v>
      </c>
      <c r="H61" s="197" t="s">
        <v>81</v>
      </c>
      <c r="I61" s="242" t="s">
        <v>417</v>
      </c>
      <c r="J61" s="242" t="s">
        <v>9918</v>
      </c>
      <c r="K61" s="195" t="s">
        <v>70</v>
      </c>
      <c r="L61" s="20" t="str">
        <f ca="1">IF(OFFSET(환산공식!$ED$15,$F61,0)=1,"O","X")</f>
        <v>X</v>
      </c>
      <c r="M61" s="188">
        <f ca="1">IFERROR(OFFSET(환산공식!DJ$15,$F61,0),"")</f>
        <v>15</v>
      </c>
      <c r="N61" s="20" t="str">
        <f ca="1">IFERROR(CONCATENATE(ROUND(OFFSET(환산공식!DK$15,$F61,0),1),"%"),"")</f>
        <v>100%</v>
      </c>
      <c r="O61" s="20">
        <f ca="1">IFERROR(OFFSET(환산공식!DL$15,$F61,0),"")</f>
        <v>10</v>
      </c>
      <c r="P61" s="188" t="str">
        <f t="shared" ca="1" si="0"/>
        <v>3% 이하</v>
      </c>
      <c r="Q61" s="194">
        <f ca="1">IFERROR(ROUND(OFFSET(환산공식!$FG$15,$F61,0),3),"")</f>
        <v>0</v>
      </c>
      <c r="R61" s="194">
        <f ca="1">OFFSET('배치점수 계산기'!H$10,$D61,0)</f>
        <v>132.94800000000001</v>
      </c>
      <c r="S61" s="194">
        <f ca="1">OFFSET('배치점수 계산기'!I$10,$D61,0)</f>
        <v>132.72499999999999</v>
      </c>
      <c r="T61" s="194">
        <f ca="1">OFFSET('배치점수 계산기'!J$10,$D61,0)</f>
        <v>132.46799999999999</v>
      </c>
      <c r="U61" s="194">
        <f ca="1">OFFSET('배치점수 계산기'!K$10,$D61,0)</f>
        <v>131.86500000000001</v>
      </c>
      <c r="V61" s="194">
        <f ca="1">OFFSET('배치점수 계산기'!L$10,$D61,0)</f>
        <v>130.65799999999999</v>
      </c>
      <c r="W61" s="186" t="str">
        <f ca="1">OFFSET('배치점수 계산기'!M$10,$D61,0)</f>
        <v>표점</v>
      </c>
      <c r="X61" s="184" t="str">
        <f ca="1">OFFSET('배치점수 계산기'!N$10,$D61,0)</f>
        <v>표점</v>
      </c>
      <c r="Y61" s="188">
        <f ca="1">OFFSET(환산공식!FW$15,$F61,0)</f>
        <v>0.24</v>
      </c>
      <c r="Z61" s="20">
        <f ca="1">OFFSET(환산공식!FX$15,$F61,0)</f>
        <v>0.41</v>
      </c>
      <c r="AA61" s="179">
        <f ca="1">OFFSET(환산공식!FY$15,$F61,0)</f>
        <v>0.35</v>
      </c>
      <c r="AB61" s="3"/>
      <c r="AD61">
        <f t="shared" ca="1" si="1"/>
        <v>6</v>
      </c>
      <c r="AF61" s="3"/>
      <c r="AG61" s="3"/>
      <c r="AH61" s="3"/>
    </row>
    <row r="62" spans="1:34">
      <c r="A62" s="198"/>
      <c r="B62" s="198"/>
      <c r="C62" s="198" t="s">
        <v>2383</v>
      </c>
      <c r="D62" s="235">
        <v>1947</v>
      </c>
      <c r="E62" s="195">
        <v>56</v>
      </c>
      <c r="F62" s="195">
        <v>56</v>
      </c>
      <c r="G62" s="239">
        <v>55</v>
      </c>
      <c r="H62" s="197" t="s">
        <v>81</v>
      </c>
      <c r="I62" s="242" t="s">
        <v>417</v>
      </c>
      <c r="J62" s="242" t="s">
        <v>9980</v>
      </c>
      <c r="K62" s="195" t="s">
        <v>70</v>
      </c>
      <c r="L62" s="20" t="str">
        <f ca="1">IF(OFFSET(환산공식!$ED$15,$F62,0)=1,"O","X")</f>
        <v>X</v>
      </c>
      <c r="M62" s="188">
        <f ca="1">IFERROR(OFFSET(환산공식!DJ$15,$F62,0),"")</f>
        <v>15</v>
      </c>
      <c r="N62" s="20" t="str">
        <f ca="1">IFERROR(CONCATENATE(ROUND(OFFSET(환산공식!DK$15,$F62,0),1),"%"),"")</f>
        <v>100%</v>
      </c>
      <c r="O62" s="20">
        <f ca="1">IFERROR(OFFSET(환산공식!DL$15,$F62,0),"")</f>
        <v>10</v>
      </c>
      <c r="P62" s="188" t="str">
        <f t="shared" ca="1" si="0"/>
        <v>3% 이하</v>
      </c>
      <c r="Q62" s="194">
        <f ca="1">IFERROR(ROUND(OFFSET(환산공식!$FG$15,$F62,0),3),"")</f>
        <v>0</v>
      </c>
      <c r="R62" s="194">
        <f ca="1">OFFSET('배치점수 계산기'!H$10,$D62,0)</f>
        <v>132.87700000000001</v>
      </c>
      <c r="S62" s="194">
        <f ca="1">OFFSET('배치점수 계산기'!I$10,$D62,0)</f>
        <v>132.59700000000001</v>
      </c>
      <c r="T62" s="194">
        <f ca="1">OFFSET('배치점수 계산기'!J$10,$D62,0)</f>
        <v>132.32900000000001</v>
      </c>
      <c r="U62" s="194">
        <f ca="1">OFFSET('배치점수 계산기'!K$10,$D62,0)</f>
        <v>131.72800000000001</v>
      </c>
      <c r="V62" s="194">
        <f ca="1">OFFSET('배치점수 계산기'!L$10,$D62,0)</f>
        <v>130.488</v>
      </c>
      <c r="W62" s="186" t="str">
        <f ca="1">OFFSET('배치점수 계산기'!M$10,$D62,0)</f>
        <v>표점</v>
      </c>
      <c r="X62" s="184" t="str">
        <f ca="1">OFFSET('배치점수 계산기'!N$10,$D62,0)</f>
        <v>표점</v>
      </c>
      <c r="Y62" s="188">
        <f ca="1">OFFSET(환산공식!FW$15,$F62,0)</f>
        <v>0.24</v>
      </c>
      <c r="Z62" s="20">
        <f ca="1">OFFSET(환산공식!FX$15,$F62,0)</f>
        <v>0.41</v>
      </c>
      <c r="AA62" s="179">
        <f ca="1">OFFSET(환산공식!FY$15,$F62,0)</f>
        <v>0.35</v>
      </c>
      <c r="AB62" s="3"/>
      <c r="AD62">
        <f t="shared" ca="1" si="1"/>
        <v>6</v>
      </c>
      <c r="AF62" s="3"/>
      <c r="AG62" s="3"/>
      <c r="AH62" s="3"/>
    </row>
    <row r="63" spans="1:34">
      <c r="A63" s="198"/>
      <c r="B63" s="198"/>
      <c r="C63" s="198" t="s">
        <v>2384</v>
      </c>
      <c r="D63" s="235">
        <v>1948</v>
      </c>
      <c r="E63" s="195">
        <v>56</v>
      </c>
      <c r="F63" s="195">
        <v>56</v>
      </c>
      <c r="G63" s="239">
        <v>56</v>
      </c>
      <c r="H63" s="197" t="s">
        <v>81</v>
      </c>
      <c r="I63" s="242" t="s">
        <v>417</v>
      </c>
      <c r="J63" s="242" t="s">
        <v>8640</v>
      </c>
      <c r="K63" s="195" t="s">
        <v>70</v>
      </c>
      <c r="L63" s="20" t="str">
        <f ca="1">IF(OFFSET(환산공식!$ED$15,$F63,0)=1,"O","X")</f>
        <v>X</v>
      </c>
      <c r="M63" s="188">
        <f ca="1">IFERROR(OFFSET(환산공식!DJ$15,$F63,0),"")</f>
        <v>15</v>
      </c>
      <c r="N63" s="20" t="str">
        <f ca="1">IFERROR(CONCATENATE(ROUND(OFFSET(환산공식!DK$15,$F63,0),1),"%"),"")</f>
        <v>100%</v>
      </c>
      <c r="O63" s="20">
        <f ca="1">IFERROR(OFFSET(환산공식!DL$15,$F63,0),"")</f>
        <v>10</v>
      </c>
      <c r="P63" s="188" t="str">
        <f t="shared" ca="1" si="0"/>
        <v>3% 이하</v>
      </c>
      <c r="Q63" s="194">
        <f ca="1">IFERROR(ROUND(OFFSET(환산공식!$FG$15,$F63,0),3),"")</f>
        <v>0</v>
      </c>
      <c r="R63" s="194">
        <f ca="1">OFFSET('배치점수 계산기'!H$10,$D63,0)</f>
        <v>132.87700000000001</v>
      </c>
      <c r="S63" s="194">
        <f ca="1">OFFSET('배치점수 계산기'!I$10,$D63,0)</f>
        <v>132.59700000000001</v>
      </c>
      <c r="T63" s="194">
        <f ca="1">OFFSET('배치점수 계산기'!J$10,$D63,0)</f>
        <v>132.32900000000001</v>
      </c>
      <c r="U63" s="194">
        <f ca="1">OFFSET('배치점수 계산기'!K$10,$D63,0)</f>
        <v>131.72800000000001</v>
      </c>
      <c r="V63" s="194">
        <f ca="1">OFFSET('배치점수 계산기'!L$10,$D63,0)</f>
        <v>130.488</v>
      </c>
      <c r="W63" s="186" t="str">
        <f ca="1">OFFSET('배치점수 계산기'!M$10,$D63,0)</f>
        <v>표점</v>
      </c>
      <c r="X63" s="184" t="str">
        <f ca="1">OFFSET('배치점수 계산기'!N$10,$D63,0)</f>
        <v>표점</v>
      </c>
      <c r="Y63" s="188">
        <f ca="1">OFFSET(환산공식!FW$15,$F63,0)</f>
        <v>0.24</v>
      </c>
      <c r="Z63" s="20">
        <f ca="1">OFFSET(환산공식!FX$15,$F63,0)</f>
        <v>0.41</v>
      </c>
      <c r="AA63" s="179">
        <f ca="1">OFFSET(환산공식!FY$15,$F63,0)</f>
        <v>0.35</v>
      </c>
      <c r="AB63" s="3"/>
      <c r="AD63">
        <f t="shared" ca="1" si="1"/>
        <v>6</v>
      </c>
      <c r="AF63" s="3"/>
      <c r="AG63" s="3"/>
      <c r="AH63" s="3"/>
    </row>
    <row r="64" spans="1:34">
      <c r="A64" s="198"/>
      <c r="B64" s="198"/>
      <c r="C64" s="198" t="s">
        <v>2385</v>
      </c>
      <c r="D64" s="235">
        <v>1949</v>
      </c>
      <c r="E64" s="195">
        <v>56</v>
      </c>
      <c r="F64" s="195">
        <v>56</v>
      </c>
      <c r="G64" s="239">
        <v>57</v>
      </c>
      <c r="H64" s="197" t="s">
        <v>81</v>
      </c>
      <c r="I64" s="242" t="s">
        <v>417</v>
      </c>
      <c r="J64" s="242" t="s">
        <v>8283</v>
      </c>
      <c r="K64" s="195" t="s">
        <v>70</v>
      </c>
      <c r="L64" s="20" t="str">
        <f ca="1">IF(OFFSET(환산공식!$ED$15,$F64,0)=1,"O","X")</f>
        <v>X</v>
      </c>
      <c r="M64" s="188">
        <f ca="1">IFERROR(OFFSET(환산공식!DJ$15,$F64,0),"")</f>
        <v>15</v>
      </c>
      <c r="N64" s="20" t="str">
        <f ca="1">IFERROR(CONCATENATE(ROUND(OFFSET(환산공식!DK$15,$F64,0),1),"%"),"")</f>
        <v>100%</v>
      </c>
      <c r="O64" s="20">
        <f ca="1">IFERROR(OFFSET(환산공식!DL$15,$F64,0),"")</f>
        <v>10</v>
      </c>
      <c r="P64" s="188" t="str">
        <f t="shared" ca="1" si="0"/>
        <v>3% 이하</v>
      </c>
      <c r="Q64" s="194">
        <f ca="1">IFERROR(ROUND(OFFSET(환산공식!$FG$15,$F64,0),3),"")</f>
        <v>0</v>
      </c>
      <c r="R64" s="194">
        <f ca="1">OFFSET('배치점수 계산기'!H$10,$D64,0)</f>
        <v>132.77600000000001</v>
      </c>
      <c r="S64" s="194">
        <f ca="1">OFFSET('배치점수 계산기'!I$10,$D64,0)</f>
        <v>132.488</v>
      </c>
      <c r="T64" s="194">
        <f ca="1">OFFSET('배치점수 계산기'!J$10,$D64,0)</f>
        <v>132.21</v>
      </c>
      <c r="U64" s="194">
        <f ca="1">OFFSET('배치점수 계산기'!K$10,$D64,0)</f>
        <v>131.60900000000001</v>
      </c>
      <c r="V64" s="194">
        <f ca="1">OFFSET('배치점수 계산기'!L$10,$D64,0)</f>
        <v>130.35300000000001</v>
      </c>
      <c r="W64" s="186" t="str">
        <f ca="1">OFFSET('배치점수 계산기'!M$10,$D64,0)</f>
        <v>표점</v>
      </c>
      <c r="X64" s="184" t="str">
        <f ca="1">OFFSET('배치점수 계산기'!N$10,$D64,0)</f>
        <v>표점</v>
      </c>
      <c r="Y64" s="188">
        <f ca="1">OFFSET(환산공식!FW$15,$F64,0)</f>
        <v>0.24</v>
      </c>
      <c r="Z64" s="20">
        <f ca="1">OFFSET(환산공식!FX$15,$F64,0)</f>
        <v>0.41</v>
      </c>
      <c r="AA64" s="179">
        <f ca="1">OFFSET(환산공식!FY$15,$F64,0)</f>
        <v>0.35</v>
      </c>
      <c r="AB64" s="3"/>
      <c r="AD64">
        <f t="shared" ca="1" si="1"/>
        <v>6</v>
      </c>
      <c r="AF64" s="3"/>
      <c r="AG64" s="3"/>
      <c r="AH64" s="3"/>
    </row>
    <row r="65" spans="1:34">
      <c r="A65" s="198"/>
      <c r="B65" s="198"/>
      <c r="C65" s="198" t="s">
        <v>2386</v>
      </c>
      <c r="D65" s="235">
        <v>1950</v>
      </c>
      <c r="E65" s="195">
        <v>56</v>
      </c>
      <c r="F65" s="195">
        <v>56</v>
      </c>
      <c r="G65" s="239">
        <v>58</v>
      </c>
      <c r="H65" s="197" t="s">
        <v>81</v>
      </c>
      <c r="I65" s="242" t="s">
        <v>417</v>
      </c>
      <c r="J65" s="242" t="s">
        <v>8624</v>
      </c>
      <c r="K65" s="195" t="s">
        <v>70</v>
      </c>
      <c r="L65" s="20" t="str">
        <f ca="1">IF(OFFSET(환산공식!$ED$15,$F65,0)=1,"O","X")</f>
        <v>X</v>
      </c>
      <c r="M65" s="188">
        <f ca="1">IFERROR(OFFSET(환산공식!DJ$15,$F65,0),"")</f>
        <v>15</v>
      </c>
      <c r="N65" s="20" t="str">
        <f ca="1">IFERROR(CONCATENATE(ROUND(OFFSET(환산공식!DK$15,$F65,0),1),"%"),"")</f>
        <v>100%</v>
      </c>
      <c r="O65" s="20">
        <f ca="1">IFERROR(OFFSET(환산공식!DL$15,$F65,0),"")</f>
        <v>10</v>
      </c>
      <c r="P65" s="188" t="str">
        <f t="shared" ca="1" si="0"/>
        <v>3% 이하</v>
      </c>
      <c r="Q65" s="194">
        <f ca="1">IFERROR(ROUND(OFFSET(환산공식!$FG$15,$F65,0),3),"")</f>
        <v>0</v>
      </c>
      <c r="R65" s="194">
        <f ca="1">OFFSET('배치점수 계산기'!H$10,$D65,0)</f>
        <v>132.69800000000001</v>
      </c>
      <c r="S65" s="194">
        <f ca="1">OFFSET('배치점수 계산기'!I$10,$D65,0)</f>
        <v>132.41800000000001</v>
      </c>
      <c r="T65" s="194">
        <f ca="1">OFFSET('배치점수 계산기'!J$10,$D65,0)</f>
        <v>132.13</v>
      </c>
      <c r="U65" s="194">
        <f ca="1">OFFSET('배치점수 계산기'!K$10,$D65,0)</f>
        <v>131.52699999999999</v>
      </c>
      <c r="V65" s="194">
        <f ca="1">OFFSET('배치점수 계산기'!L$10,$D65,0)</f>
        <v>130.26599999999999</v>
      </c>
      <c r="W65" s="186" t="str">
        <f ca="1">OFFSET('배치점수 계산기'!M$10,$D65,0)</f>
        <v>표점</v>
      </c>
      <c r="X65" s="184" t="str">
        <f ca="1">OFFSET('배치점수 계산기'!N$10,$D65,0)</f>
        <v>표점</v>
      </c>
      <c r="Y65" s="188">
        <f ca="1">OFFSET(환산공식!FW$15,$F65,0)</f>
        <v>0.24</v>
      </c>
      <c r="Z65" s="20">
        <f ca="1">OFFSET(환산공식!FX$15,$F65,0)</f>
        <v>0.41</v>
      </c>
      <c r="AA65" s="179">
        <f ca="1">OFFSET(환산공식!FY$15,$F65,0)</f>
        <v>0.35</v>
      </c>
      <c r="AB65" s="3"/>
      <c r="AD65">
        <f t="shared" ca="1" si="1"/>
        <v>6</v>
      </c>
      <c r="AF65" s="3"/>
      <c r="AG65" s="3"/>
      <c r="AH65" s="3"/>
    </row>
    <row r="66" spans="1:34">
      <c r="A66" s="198"/>
      <c r="B66" s="198"/>
      <c r="C66" s="198" t="s">
        <v>2387</v>
      </c>
      <c r="D66" s="235">
        <v>1951</v>
      </c>
      <c r="E66" s="195">
        <v>57</v>
      </c>
      <c r="F66" s="195">
        <v>57</v>
      </c>
      <c r="G66" s="239">
        <v>59</v>
      </c>
      <c r="H66" s="197" t="s">
        <v>81</v>
      </c>
      <c r="I66" s="242" t="s">
        <v>417</v>
      </c>
      <c r="J66" s="242" t="s">
        <v>9487</v>
      </c>
      <c r="K66" s="195" t="s">
        <v>71</v>
      </c>
      <c r="L66" s="20" t="str">
        <f ca="1">IF(OFFSET(환산공식!$ED$15,$F66,0)=1,"O","X")</f>
        <v>X</v>
      </c>
      <c r="M66" s="188">
        <f ca="1">IFERROR(OFFSET(환산공식!DJ$15,$F66,0),"")</f>
        <v>15</v>
      </c>
      <c r="N66" s="20" t="str">
        <f ca="1">IFERROR(CONCATENATE(ROUND(OFFSET(환산공식!DK$15,$F66,0),1),"%"),"")</f>
        <v>100%</v>
      </c>
      <c r="O66" s="20">
        <f ca="1">IFERROR(OFFSET(환산공식!DL$15,$F66,0),"")</f>
        <v>10</v>
      </c>
      <c r="P66" s="188" t="str">
        <f t="shared" ca="1" si="0"/>
        <v>3% 이하</v>
      </c>
      <c r="Q66" s="194">
        <f ca="1">IFERROR(ROUND(OFFSET(환산공식!$FG$15,$F66,0),3),"")</f>
        <v>0</v>
      </c>
      <c r="R66" s="194">
        <f ca="1">OFFSET('배치점수 계산기'!H$10,$D66,0)</f>
        <v>132.89500000000001</v>
      </c>
      <c r="S66" s="194">
        <f ca="1">OFFSET('배치점수 계산기'!I$10,$D66,0)</f>
        <v>132.465</v>
      </c>
      <c r="T66" s="194">
        <f ca="1">OFFSET('배치점수 계산기'!J$10,$D66,0)</f>
        <v>132.13300000000001</v>
      </c>
      <c r="U66" s="194">
        <f ca="1">OFFSET('배치점수 계산기'!K$10,$D66,0)</f>
        <v>131.613</v>
      </c>
      <c r="V66" s="194">
        <f ca="1">OFFSET('배치점수 계산기'!L$10,$D66,0)</f>
        <v>130.505</v>
      </c>
      <c r="W66" s="186" t="str">
        <f ca="1">OFFSET('배치점수 계산기'!M$10,$D66,0)</f>
        <v>표점</v>
      </c>
      <c r="X66" s="184" t="str">
        <f ca="1">OFFSET('배치점수 계산기'!N$10,$D66,0)</f>
        <v>표점</v>
      </c>
      <c r="Y66" s="188">
        <f ca="1">OFFSET(환산공식!FW$15,$F66,0)</f>
        <v>0.35</v>
      </c>
      <c r="Z66" s="20">
        <f ca="1">OFFSET(환산공식!FX$15,$F66,0)</f>
        <v>0.35</v>
      </c>
      <c r="AA66" s="179">
        <f ca="1">OFFSET(환산공식!FY$15,$F66,0)</f>
        <v>0.28999999999999998</v>
      </c>
      <c r="AB66" s="3"/>
      <c r="AD66">
        <f t="shared" ca="1" si="1"/>
        <v>6</v>
      </c>
      <c r="AF66" s="3"/>
      <c r="AG66" s="3"/>
      <c r="AH66" s="3"/>
    </row>
    <row r="67" spans="1:34">
      <c r="A67" s="198"/>
      <c r="B67" s="198"/>
      <c r="C67" s="198" t="s">
        <v>2388</v>
      </c>
      <c r="D67" s="235">
        <v>1952</v>
      </c>
      <c r="E67" s="195">
        <v>57</v>
      </c>
      <c r="F67" s="195">
        <v>57</v>
      </c>
      <c r="G67" s="239">
        <v>60</v>
      </c>
      <c r="H67" s="197" t="s">
        <v>81</v>
      </c>
      <c r="I67" s="242" t="s">
        <v>417</v>
      </c>
      <c r="J67" s="242" t="s">
        <v>491</v>
      </c>
      <c r="K67" s="195" t="s">
        <v>71</v>
      </c>
      <c r="L67" s="20" t="str">
        <f ca="1">IF(OFFSET(환산공식!$ED$15,$F67,0)=1,"O","X")</f>
        <v>X</v>
      </c>
      <c r="M67" s="188">
        <f ca="1">IFERROR(OFFSET(환산공식!DJ$15,$F67,0),"")</f>
        <v>15</v>
      </c>
      <c r="N67" s="20" t="str">
        <f ca="1">IFERROR(CONCATENATE(ROUND(OFFSET(환산공식!DK$15,$F67,0),1),"%"),"")</f>
        <v>100%</v>
      </c>
      <c r="O67" s="20">
        <f ca="1">IFERROR(OFFSET(환산공식!DL$15,$F67,0),"")</f>
        <v>10</v>
      </c>
      <c r="P67" s="188" t="str">
        <f t="shared" ca="1" si="0"/>
        <v>3% 이하</v>
      </c>
      <c r="Q67" s="194">
        <f ca="1">IFERROR(ROUND(OFFSET(환산공식!$FG$15,$F67,0),3),"")</f>
        <v>0</v>
      </c>
      <c r="R67" s="194">
        <f ca="1">OFFSET('배치점수 계산기'!H$10,$D67,0)</f>
        <v>131.798</v>
      </c>
      <c r="S67" s="194">
        <f ca="1">OFFSET('배치점수 계산기'!I$10,$D67,0)</f>
        <v>131.613</v>
      </c>
      <c r="T67" s="194">
        <f ca="1">OFFSET('배치점수 계산기'!J$10,$D67,0)</f>
        <v>131.40199999999999</v>
      </c>
      <c r="U67" s="194">
        <f ca="1">OFFSET('배치점수 계산기'!K$10,$D67,0)</f>
        <v>130.94499999999999</v>
      </c>
      <c r="V67" s="194">
        <f ca="1">OFFSET('배치점수 계산기'!L$10,$D67,0)</f>
        <v>130.15100000000001</v>
      </c>
      <c r="W67" s="186" t="str">
        <f ca="1">OFFSET('배치점수 계산기'!M$10,$D67,0)</f>
        <v>표점</v>
      </c>
      <c r="X67" s="184" t="str">
        <f ca="1">OFFSET('배치점수 계산기'!N$10,$D67,0)</f>
        <v>표점</v>
      </c>
      <c r="Y67" s="188">
        <f ca="1">OFFSET(환산공식!FW$15,$F67,0)</f>
        <v>0.35</v>
      </c>
      <c r="Z67" s="20">
        <f ca="1">OFFSET(환산공식!FX$15,$F67,0)</f>
        <v>0.35</v>
      </c>
      <c r="AA67" s="179">
        <f ca="1">OFFSET(환산공식!FY$15,$F67,0)</f>
        <v>0.28999999999999998</v>
      </c>
      <c r="AB67" s="3"/>
      <c r="AD67">
        <f t="shared" ca="1" si="1"/>
        <v>6</v>
      </c>
      <c r="AF67" s="3"/>
      <c r="AG67" s="3"/>
      <c r="AH67" s="3"/>
    </row>
    <row r="68" spans="1:34">
      <c r="A68" s="198"/>
      <c r="B68" s="198"/>
      <c r="C68" s="198" t="s">
        <v>2389</v>
      </c>
      <c r="D68" s="235">
        <v>1953</v>
      </c>
      <c r="E68" s="195">
        <v>57</v>
      </c>
      <c r="F68" s="195">
        <v>57</v>
      </c>
      <c r="G68" s="239">
        <v>61</v>
      </c>
      <c r="H68" s="197" t="s">
        <v>81</v>
      </c>
      <c r="I68" s="242" t="s">
        <v>417</v>
      </c>
      <c r="J68" s="242" t="s">
        <v>489</v>
      </c>
      <c r="K68" s="195" t="s">
        <v>71</v>
      </c>
      <c r="L68" s="20" t="str">
        <f ca="1">IF(OFFSET(환산공식!$ED$15,$F68,0)=1,"O","X")</f>
        <v>X</v>
      </c>
      <c r="M68" s="188">
        <f ca="1">IFERROR(OFFSET(환산공식!DJ$15,$F68,0),"")</f>
        <v>15</v>
      </c>
      <c r="N68" s="20" t="str">
        <f ca="1">IFERROR(CONCATENATE(ROUND(OFFSET(환산공식!DK$15,$F68,0),1),"%"),"")</f>
        <v>100%</v>
      </c>
      <c r="O68" s="20">
        <f ca="1">IFERROR(OFFSET(환산공식!DL$15,$F68,0),"")</f>
        <v>10</v>
      </c>
      <c r="P68" s="188" t="str">
        <f t="shared" ca="1" si="0"/>
        <v>3% 이하</v>
      </c>
      <c r="Q68" s="194">
        <f ca="1">IFERROR(ROUND(OFFSET(환산공식!$FG$15,$F68,0),3),"")</f>
        <v>0</v>
      </c>
      <c r="R68" s="194">
        <f ca="1">OFFSET('배치점수 계산기'!H$10,$D68,0)</f>
        <v>131.58500000000001</v>
      </c>
      <c r="S68" s="194">
        <f ca="1">OFFSET('배치점수 계산기'!I$10,$D68,0)</f>
        <v>131.4</v>
      </c>
      <c r="T68" s="194">
        <f ca="1">OFFSET('배치점수 계산기'!J$10,$D68,0)</f>
        <v>131.239</v>
      </c>
      <c r="U68" s="194">
        <f ca="1">OFFSET('배치점수 계산기'!K$10,$D68,0)</f>
        <v>130.666</v>
      </c>
      <c r="V68" s="194">
        <f ca="1">OFFSET('배치점수 계산기'!L$10,$D68,0)</f>
        <v>129.46199999999999</v>
      </c>
      <c r="W68" s="186" t="str">
        <f ca="1">OFFSET('배치점수 계산기'!M$10,$D68,0)</f>
        <v>표점</v>
      </c>
      <c r="X68" s="184" t="str">
        <f ca="1">OFFSET('배치점수 계산기'!N$10,$D68,0)</f>
        <v>표점</v>
      </c>
      <c r="Y68" s="188">
        <f ca="1">OFFSET(환산공식!FW$15,$F68,0)</f>
        <v>0.35</v>
      </c>
      <c r="Z68" s="20">
        <f ca="1">OFFSET(환산공식!FX$15,$F68,0)</f>
        <v>0.35</v>
      </c>
      <c r="AA68" s="179">
        <f ca="1">OFFSET(환산공식!FY$15,$F68,0)</f>
        <v>0.28999999999999998</v>
      </c>
      <c r="AB68" s="3"/>
      <c r="AD68">
        <f t="shared" ca="1" si="1"/>
        <v>6</v>
      </c>
      <c r="AF68" s="3"/>
      <c r="AG68" s="3"/>
      <c r="AH68" s="3"/>
    </row>
    <row r="69" spans="1:34">
      <c r="A69" s="198"/>
      <c r="B69" s="198"/>
      <c r="C69" s="198" t="s">
        <v>2390</v>
      </c>
      <c r="D69" s="235">
        <v>1954</v>
      </c>
      <c r="E69" s="195">
        <v>57</v>
      </c>
      <c r="F69" s="195">
        <v>57</v>
      </c>
      <c r="G69" s="239">
        <v>62</v>
      </c>
      <c r="H69" s="197" t="s">
        <v>81</v>
      </c>
      <c r="I69" s="242" t="s">
        <v>417</v>
      </c>
      <c r="J69" s="242" t="s">
        <v>9921</v>
      </c>
      <c r="K69" s="195" t="s">
        <v>71</v>
      </c>
      <c r="L69" s="20" t="str">
        <f ca="1">IF(OFFSET(환산공식!$ED$15,$F69,0)=1,"O","X")</f>
        <v>X</v>
      </c>
      <c r="M69" s="188">
        <f ca="1">IFERROR(OFFSET(환산공식!DJ$15,$F69,0),"")</f>
        <v>15</v>
      </c>
      <c r="N69" s="20" t="str">
        <f ca="1">IFERROR(CONCATENATE(ROUND(OFFSET(환산공식!DK$15,$F69,0),1),"%"),"")</f>
        <v>100%</v>
      </c>
      <c r="O69" s="20">
        <f ca="1">IFERROR(OFFSET(환산공식!DL$15,$F69,0),"")</f>
        <v>10</v>
      </c>
      <c r="P69" s="188" t="str">
        <f t="shared" ca="1" si="0"/>
        <v>3% 이하</v>
      </c>
      <c r="Q69" s="194">
        <f ca="1">IFERROR(ROUND(OFFSET(환산공식!$FG$15,$F69,0),3),"")</f>
        <v>0</v>
      </c>
      <c r="R69" s="194">
        <f ca="1">OFFSET('배치점수 계산기'!H$10,$D69,0)</f>
        <v>131.40199999999999</v>
      </c>
      <c r="S69" s="194">
        <f ca="1">OFFSET('배치점수 계산기'!I$10,$D69,0)</f>
        <v>131.26900000000001</v>
      </c>
      <c r="T69" s="194">
        <f ca="1">OFFSET('배치점수 계산기'!J$10,$D69,0)</f>
        <v>131.10599999999999</v>
      </c>
      <c r="U69" s="194">
        <f ca="1">OFFSET('배치점수 계산기'!K$10,$D69,0)</f>
        <v>130.505</v>
      </c>
      <c r="V69" s="194">
        <f ca="1">OFFSET('배치점수 계산기'!L$10,$D69,0)</f>
        <v>129.29900000000001</v>
      </c>
      <c r="W69" s="186" t="str">
        <f ca="1">OFFSET('배치점수 계산기'!M$10,$D69,0)</f>
        <v>표점</v>
      </c>
      <c r="X69" s="184" t="str">
        <f ca="1">OFFSET('배치점수 계산기'!N$10,$D69,0)</f>
        <v>표점</v>
      </c>
      <c r="Y69" s="188">
        <f ca="1">OFFSET(환산공식!FW$15,$F69,0)</f>
        <v>0.35</v>
      </c>
      <c r="Z69" s="20">
        <f ca="1">OFFSET(환산공식!FX$15,$F69,0)</f>
        <v>0.35</v>
      </c>
      <c r="AA69" s="179">
        <f ca="1">OFFSET(환산공식!FY$15,$F69,0)</f>
        <v>0.28999999999999998</v>
      </c>
      <c r="AB69" s="3"/>
      <c r="AD69">
        <f t="shared" ca="1" si="1"/>
        <v>6</v>
      </c>
      <c r="AF69" s="3"/>
      <c r="AG69" s="3"/>
      <c r="AH69" s="3"/>
    </row>
    <row r="70" spans="1:34">
      <c r="A70" s="198"/>
      <c r="B70" s="198"/>
      <c r="C70" s="198" t="s">
        <v>2391</v>
      </c>
      <c r="D70" s="235">
        <v>1955</v>
      </c>
      <c r="E70" s="195">
        <v>57</v>
      </c>
      <c r="F70" s="195">
        <v>57</v>
      </c>
      <c r="G70" s="239">
        <v>63</v>
      </c>
      <c r="H70" s="197" t="s">
        <v>81</v>
      </c>
      <c r="I70" s="242" t="s">
        <v>417</v>
      </c>
      <c r="J70" s="242" t="s">
        <v>8216</v>
      </c>
      <c r="K70" s="195" t="s">
        <v>71</v>
      </c>
      <c r="L70" s="20" t="str">
        <f ca="1">IF(OFFSET(환산공식!$ED$15,$F70,0)=1,"O","X")</f>
        <v>X</v>
      </c>
      <c r="M70" s="188">
        <f ca="1">IFERROR(OFFSET(환산공식!DJ$15,$F70,0),"")</f>
        <v>15</v>
      </c>
      <c r="N70" s="20" t="str">
        <f ca="1">IFERROR(CONCATENATE(ROUND(OFFSET(환산공식!DK$15,$F70,0),1),"%"),"")</f>
        <v>100%</v>
      </c>
      <c r="O70" s="20">
        <f ca="1">IFERROR(OFFSET(환산공식!DL$15,$F70,0),"")</f>
        <v>10</v>
      </c>
      <c r="P70" s="188" t="str">
        <f t="shared" ca="1" si="0"/>
        <v>3% 이하</v>
      </c>
      <c r="Q70" s="194">
        <f ca="1">IFERROR(ROUND(OFFSET(환산공식!$FG$15,$F70,0),3),"")</f>
        <v>0</v>
      </c>
      <c r="R70" s="194">
        <f ca="1">OFFSET('배치점수 계산기'!H$10,$D70,0)</f>
        <v>131.29900000000001</v>
      </c>
      <c r="S70" s="194">
        <f ca="1">OFFSET('배치점수 계산기'!I$10,$D70,0)</f>
        <v>131.12799999999999</v>
      </c>
      <c r="T70" s="194">
        <f ca="1">OFFSET('배치점수 계산기'!J$10,$D70,0)</f>
        <v>130.93899999999999</v>
      </c>
      <c r="U70" s="194">
        <f ca="1">OFFSET('배치점수 계산기'!K$10,$D70,0)</f>
        <v>130.37200000000001</v>
      </c>
      <c r="V70" s="194">
        <f ca="1">OFFSET('배치점수 계산기'!L$10,$D70,0)</f>
        <v>129.16800000000001</v>
      </c>
      <c r="W70" s="186" t="str">
        <f ca="1">OFFSET('배치점수 계산기'!M$10,$D70,0)</f>
        <v>표점</v>
      </c>
      <c r="X70" s="184" t="str">
        <f ca="1">OFFSET('배치점수 계산기'!N$10,$D70,0)</f>
        <v>표점</v>
      </c>
      <c r="Y70" s="188">
        <f ca="1">OFFSET(환산공식!FW$15,$F70,0)</f>
        <v>0.35</v>
      </c>
      <c r="Z70" s="20">
        <f ca="1">OFFSET(환산공식!FX$15,$F70,0)</f>
        <v>0.35</v>
      </c>
      <c r="AA70" s="179">
        <f ca="1">OFFSET(환산공식!FY$15,$F70,0)</f>
        <v>0.28999999999999998</v>
      </c>
      <c r="AB70" s="3"/>
      <c r="AD70">
        <f t="shared" ca="1" si="1"/>
        <v>6</v>
      </c>
      <c r="AF70" s="3"/>
      <c r="AG70" s="3"/>
      <c r="AH70" s="3"/>
    </row>
    <row r="71" spans="1:34">
      <c r="A71" s="198"/>
      <c r="B71" s="198"/>
      <c r="C71" s="198" t="s">
        <v>2392</v>
      </c>
      <c r="D71" s="235">
        <v>1956</v>
      </c>
      <c r="E71" s="195">
        <v>57</v>
      </c>
      <c r="F71" s="195">
        <v>57</v>
      </c>
      <c r="G71" s="239">
        <v>64</v>
      </c>
      <c r="H71" s="197" t="s">
        <v>81</v>
      </c>
      <c r="I71" s="242" t="s">
        <v>417</v>
      </c>
      <c r="J71" s="242" t="s">
        <v>8654</v>
      </c>
      <c r="K71" s="195" t="s">
        <v>71</v>
      </c>
      <c r="L71" s="20" t="str">
        <f ca="1">IF(OFFSET(환산공식!$ED$15,$F71,0)=1,"O","X")</f>
        <v>X</v>
      </c>
      <c r="M71" s="188">
        <f ca="1">IFERROR(OFFSET(환산공식!DJ$15,$F71,0),"")</f>
        <v>15</v>
      </c>
      <c r="N71" s="20" t="str">
        <f ca="1">IFERROR(CONCATENATE(ROUND(OFFSET(환산공식!DK$15,$F71,0),1),"%"),"")</f>
        <v>100%</v>
      </c>
      <c r="O71" s="20">
        <f ca="1">IFERROR(OFFSET(환산공식!DL$15,$F71,0),"")</f>
        <v>10</v>
      </c>
      <c r="P71" s="188" t="str">
        <f t="shared" ca="1" si="0"/>
        <v>3% 이하</v>
      </c>
      <c r="Q71" s="194">
        <f ca="1">IFERROR(ROUND(OFFSET(환산공식!$FG$15,$F71,0),3),"")</f>
        <v>0</v>
      </c>
      <c r="R71" s="194">
        <f ca="1">OFFSET('배치점수 계산기'!H$10,$D71,0)</f>
        <v>131.26900000000001</v>
      </c>
      <c r="S71" s="194">
        <f ca="1">OFFSET('배치점수 계산기'!I$10,$D71,0)</f>
        <v>131.10599999999999</v>
      </c>
      <c r="T71" s="194">
        <f ca="1">OFFSET('배치점수 계산기'!J$10,$D71,0)</f>
        <v>130.887</v>
      </c>
      <c r="U71" s="194">
        <f ca="1">OFFSET('배치점수 계산기'!K$10,$D71,0)</f>
        <v>130.28399999999999</v>
      </c>
      <c r="V71" s="194">
        <f ca="1">OFFSET('배치점수 계산기'!L$10,$D71,0)</f>
        <v>129.108</v>
      </c>
      <c r="W71" s="186" t="str">
        <f ca="1">OFFSET('배치점수 계산기'!M$10,$D71,0)</f>
        <v>표점</v>
      </c>
      <c r="X71" s="184" t="str">
        <f ca="1">OFFSET('배치점수 계산기'!N$10,$D71,0)</f>
        <v>표점</v>
      </c>
      <c r="Y71" s="188">
        <f ca="1">OFFSET(환산공식!FW$15,$F71,0)</f>
        <v>0.35</v>
      </c>
      <c r="Z71" s="20">
        <f ca="1">OFFSET(환산공식!FX$15,$F71,0)</f>
        <v>0.35</v>
      </c>
      <c r="AA71" s="179">
        <f ca="1">OFFSET(환산공식!FY$15,$F71,0)</f>
        <v>0.28999999999999998</v>
      </c>
      <c r="AB71" s="3"/>
      <c r="AD71">
        <f t="shared" ca="1" si="1"/>
        <v>6</v>
      </c>
      <c r="AF71" s="3"/>
      <c r="AG71" s="3"/>
      <c r="AH71" s="3"/>
    </row>
    <row r="72" spans="1:34">
      <c r="A72" s="198"/>
      <c r="B72" s="198"/>
      <c r="C72" s="198" t="s">
        <v>2393</v>
      </c>
      <c r="D72" s="235">
        <v>1957</v>
      </c>
      <c r="E72" s="195">
        <v>57</v>
      </c>
      <c r="F72" s="195">
        <v>57</v>
      </c>
      <c r="G72" s="239">
        <v>65</v>
      </c>
      <c r="H72" s="197" t="s">
        <v>81</v>
      </c>
      <c r="I72" s="242" t="s">
        <v>417</v>
      </c>
      <c r="J72" s="242" t="s">
        <v>560</v>
      </c>
      <c r="K72" s="195" t="s">
        <v>71</v>
      </c>
      <c r="L72" s="20" t="str">
        <f ca="1">IF(OFFSET(환산공식!$ED$15,$F72,0)=1,"O","X")</f>
        <v>X</v>
      </c>
      <c r="M72" s="188">
        <f ca="1">IFERROR(OFFSET(환산공식!DJ$15,$F72,0),"")</f>
        <v>15</v>
      </c>
      <c r="N72" s="20" t="str">
        <f ca="1">IFERROR(CONCATENATE(ROUND(OFFSET(환산공식!DK$15,$F72,0),1),"%"),"")</f>
        <v>100%</v>
      </c>
      <c r="O72" s="20">
        <f ca="1">IFERROR(OFFSET(환산공식!DL$15,$F72,0),"")</f>
        <v>10</v>
      </c>
      <c r="P72" s="188" t="str">
        <f t="shared" ca="1" si="0"/>
        <v>3% 이하</v>
      </c>
      <c r="Q72" s="194">
        <f ca="1">IFERROR(ROUND(OFFSET(환산공식!$FG$15,$F72,0),3),"")</f>
        <v>0</v>
      </c>
      <c r="R72" s="194">
        <f ca="1">OFFSET('배치점수 계산기'!H$10,$D72,0)</f>
        <v>131.26900000000001</v>
      </c>
      <c r="S72" s="194">
        <f ca="1">OFFSET('배치점수 계산기'!I$10,$D72,0)</f>
        <v>131.10599999999999</v>
      </c>
      <c r="T72" s="194">
        <f ca="1">OFFSET('배치점수 계산기'!J$10,$D72,0)</f>
        <v>130.887</v>
      </c>
      <c r="U72" s="194">
        <f ca="1">OFFSET('배치점수 계산기'!K$10,$D72,0)</f>
        <v>130.28399999999999</v>
      </c>
      <c r="V72" s="194">
        <f ca="1">OFFSET('배치점수 계산기'!L$10,$D72,0)</f>
        <v>129.108</v>
      </c>
      <c r="W72" s="186" t="str">
        <f ca="1">OFFSET('배치점수 계산기'!M$10,$D72,0)</f>
        <v>표점</v>
      </c>
      <c r="X72" s="184" t="str">
        <f ca="1">OFFSET('배치점수 계산기'!N$10,$D72,0)</f>
        <v>표점</v>
      </c>
      <c r="Y72" s="188">
        <f ca="1">OFFSET(환산공식!FW$15,$F72,0)</f>
        <v>0.35</v>
      </c>
      <c r="Z72" s="20">
        <f ca="1">OFFSET(환산공식!FX$15,$F72,0)</f>
        <v>0.35</v>
      </c>
      <c r="AA72" s="179">
        <f ca="1">OFFSET(환산공식!FY$15,$F72,0)</f>
        <v>0.28999999999999998</v>
      </c>
      <c r="AB72" s="3"/>
      <c r="AD72">
        <f t="shared" ca="1" si="1"/>
        <v>6</v>
      </c>
      <c r="AF72" s="3"/>
      <c r="AG72" s="3"/>
      <c r="AH72" s="3"/>
    </row>
    <row r="73" spans="1:34">
      <c r="A73" s="198"/>
      <c r="B73" s="198"/>
      <c r="C73" s="198" t="s">
        <v>2394</v>
      </c>
      <c r="D73" s="235">
        <v>1958</v>
      </c>
      <c r="E73" s="195">
        <v>57</v>
      </c>
      <c r="F73" s="195">
        <v>57</v>
      </c>
      <c r="G73" s="239">
        <v>66</v>
      </c>
      <c r="H73" s="197" t="s">
        <v>81</v>
      </c>
      <c r="I73" s="242" t="s">
        <v>417</v>
      </c>
      <c r="J73" s="242" t="s">
        <v>8618</v>
      </c>
      <c r="K73" s="195" t="s">
        <v>71</v>
      </c>
      <c r="L73" s="20" t="str">
        <f ca="1">IF(OFFSET(환산공식!$ED$15,$F73,0)=1,"O","X")</f>
        <v>X</v>
      </c>
      <c r="M73" s="188">
        <f ca="1">IFERROR(OFFSET(환산공식!DJ$15,$F73,0),"")</f>
        <v>15</v>
      </c>
      <c r="N73" s="20" t="str">
        <f ca="1">IFERROR(CONCATENATE(ROUND(OFFSET(환산공식!DK$15,$F73,0),1),"%"),"")</f>
        <v>100%</v>
      </c>
      <c r="O73" s="20">
        <f ca="1">IFERROR(OFFSET(환산공식!DL$15,$F73,0),"")</f>
        <v>10</v>
      </c>
      <c r="P73" s="188" t="str">
        <f t="shared" ref="P73:P136" ca="1" si="2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3% 이하</v>
      </c>
      <c r="Q73" s="194">
        <f ca="1">IFERROR(ROUND(OFFSET(환산공식!$FG$15,$F73,0),3),"")</f>
        <v>0</v>
      </c>
      <c r="R73" s="194">
        <f ca="1">OFFSET('배치점수 계산기'!H$10,$D73,0)</f>
        <v>131.12799999999999</v>
      </c>
      <c r="S73" s="194">
        <f ca="1">OFFSET('배치점수 계산기'!I$10,$D73,0)</f>
        <v>130.93899999999999</v>
      </c>
      <c r="T73" s="194">
        <f ca="1">OFFSET('배치점수 계산기'!J$10,$D73,0)</f>
        <v>130.75399999999999</v>
      </c>
      <c r="U73" s="194">
        <f ca="1">OFFSET('배치점수 계산기'!K$10,$D73,0)</f>
        <v>130.18100000000001</v>
      </c>
      <c r="V73" s="194">
        <f ca="1">OFFSET('배치점수 계산기'!L$10,$D73,0)</f>
        <v>128.97499999999999</v>
      </c>
      <c r="W73" s="186" t="str">
        <f ca="1">OFFSET('배치점수 계산기'!M$10,$D73,0)</f>
        <v>표점</v>
      </c>
      <c r="X73" s="184" t="str">
        <f ca="1">OFFSET('배치점수 계산기'!N$10,$D73,0)</f>
        <v>표점</v>
      </c>
      <c r="Y73" s="188">
        <f ca="1">OFFSET(환산공식!FW$15,$F73,0)</f>
        <v>0.35</v>
      </c>
      <c r="Z73" s="20">
        <f ca="1">OFFSET(환산공식!FX$15,$F73,0)</f>
        <v>0.35</v>
      </c>
      <c r="AA73" s="179">
        <f ca="1">OFFSET(환산공식!FY$15,$F73,0)</f>
        <v>0.28999999999999998</v>
      </c>
      <c r="AB73" s="3"/>
      <c r="AD73">
        <f t="shared" ref="AD73:AD136" ca="1" si="3">IF(L73="X",6,IF(Q73&gt;R73,1,IF(Q73&gt;S73,2,IF(Q73&gt;T73,3,IF(Q73&gt;U73,4,IF(Q73&gt;=V73,5,IF(Q73&lt;V73,6,"")))))))</f>
        <v>6</v>
      </c>
      <c r="AF73" s="3"/>
      <c r="AG73" s="3"/>
      <c r="AH73" s="3"/>
    </row>
    <row r="74" spans="1:34">
      <c r="A74" s="198"/>
      <c r="B74" s="198"/>
      <c r="C74" s="198" t="s">
        <v>2395</v>
      </c>
      <c r="D74" s="235">
        <v>1959</v>
      </c>
      <c r="E74" s="195">
        <v>57</v>
      </c>
      <c r="F74" s="195">
        <v>57</v>
      </c>
      <c r="G74" s="239">
        <v>67</v>
      </c>
      <c r="H74" s="197" t="s">
        <v>81</v>
      </c>
      <c r="I74" s="242" t="s">
        <v>417</v>
      </c>
      <c r="J74" s="242" t="s">
        <v>8190</v>
      </c>
      <c r="K74" s="195" t="s">
        <v>71</v>
      </c>
      <c r="L74" s="20" t="str">
        <f ca="1">IF(OFFSET(환산공식!$ED$15,$F74,0)=1,"O","X")</f>
        <v>X</v>
      </c>
      <c r="M74" s="188">
        <f ca="1">IFERROR(OFFSET(환산공식!DJ$15,$F74,0),"")</f>
        <v>15</v>
      </c>
      <c r="N74" s="20" t="str">
        <f ca="1">IFERROR(CONCATENATE(ROUND(OFFSET(환산공식!DK$15,$F74,0),1),"%"),"")</f>
        <v>100%</v>
      </c>
      <c r="O74" s="20">
        <f ca="1">IFERROR(OFFSET(환산공식!DL$15,$F74,0),"")</f>
        <v>10</v>
      </c>
      <c r="P74" s="188" t="str">
        <f t="shared" ca="1" si="2"/>
        <v>3% 이하</v>
      </c>
      <c r="Q74" s="194">
        <f ca="1">IFERROR(ROUND(OFFSET(환산공식!$FG$15,$F74,0),3),"")</f>
        <v>0</v>
      </c>
      <c r="R74" s="194">
        <f ca="1">OFFSET('배치점수 계산기'!H$10,$D74,0)</f>
        <v>131.04599999999999</v>
      </c>
      <c r="S74" s="194">
        <f ca="1">OFFSET('배치점수 계산기'!I$10,$D74,0)</f>
        <v>130.857</v>
      </c>
      <c r="T74" s="194">
        <f ca="1">OFFSET('배치점수 계산기'!J$10,$D74,0)</f>
        <v>130.666</v>
      </c>
      <c r="U74" s="194">
        <f ca="1">OFFSET('배치점수 계산기'!K$10,$D74,0)</f>
        <v>130.09100000000001</v>
      </c>
      <c r="V74" s="194">
        <f ca="1">OFFSET('배치점수 계산기'!L$10,$D74,0)</f>
        <v>128.857</v>
      </c>
      <c r="W74" s="186" t="str">
        <f ca="1">OFFSET('배치점수 계산기'!M$10,$D74,0)</f>
        <v>표점</v>
      </c>
      <c r="X74" s="184" t="str">
        <f ca="1">OFFSET('배치점수 계산기'!N$10,$D74,0)</f>
        <v>표점</v>
      </c>
      <c r="Y74" s="188">
        <f ca="1">OFFSET(환산공식!FW$15,$F74,0)</f>
        <v>0.35</v>
      </c>
      <c r="Z74" s="20">
        <f ca="1">OFFSET(환산공식!FX$15,$F74,0)</f>
        <v>0.35</v>
      </c>
      <c r="AA74" s="179">
        <f ca="1">OFFSET(환산공식!FY$15,$F74,0)</f>
        <v>0.28999999999999998</v>
      </c>
      <c r="AB74" s="3"/>
      <c r="AD74">
        <f t="shared" ca="1" si="3"/>
        <v>6</v>
      </c>
      <c r="AF74" s="3"/>
      <c r="AG74" s="3"/>
      <c r="AH74" s="3"/>
    </row>
    <row r="75" spans="1:34">
      <c r="A75" s="198"/>
      <c r="B75" s="198"/>
      <c r="C75" s="198" t="s">
        <v>2396</v>
      </c>
      <c r="D75" s="235">
        <v>1960</v>
      </c>
      <c r="E75" s="195">
        <v>57</v>
      </c>
      <c r="F75" s="195">
        <v>57</v>
      </c>
      <c r="G75" s="239">
        <v>68</v>
      </c>
      <c r="H75" s="197" t="s">
        <v>81</v>
      </c>
      <c r="I75" s="242" t="s">
        <v>417</v>
      </c>
      <c r="J75" s="242" t="s">
        <v>8772</v>
      </c>
      <c r="K75" s="195" t="s">
        <v>71</v>
      </c>
      <c r="L75" s="20" t="str">
        <f ca="1">IF(OFFSET(환산공식!$ED$15,$F75,0)=1,"O","X")</f>
        <v>X</v>
      </c>
      <c r="M75" s="188">
        <f ca="1">IFERROR(OFFSET(환산공식!DJ$15,$F75,0),"")</f>
        <v>15</v>
      </c>
      <c r="N75" s="20" t="str">
        <f ca="1">IFERROR(CONCATENATE(ROUND(OFFSET(환산공식!DK$15,$F75,0),1),"%"),"")</f>
        <v>100%</v>
      </c>
      <c r="O75" s="20">
        <f ca="1">IFERROR(OFFSET(환산공식!DL$15,$F75,0),"")</f>
        <v>10</v>
      </c>
      <c r="P75" s="188" t="str">
        <f t="shared" ca="1" si="2"/>
        <v>3% 이하</v>
      </c>
      <c r="Q75" s="194">
        <f ca="1">IFERROR(ROUND(OFFSET(환산공식!$FG$15,$F75,0),3),"")</f>
        <v>0</v>
      </c>
      <c r="R75" s="194">
        <f ca="1">OFFSET('배치점수 계산기'!H$10,$D75,0)</f>
        <v>131.04599999999999</v>
      </c>
      <c r="S75" s="194">
        <f ca="1">OFFSET('배치점수 계산기'!I$10,$D75,0)</f>
        <v>130.857</v>
      </c>
      <c r="T75" s="194">
        <f ca="1">OFFSET('배치점수 계산기'!J$10,$D75,0)</f>
        <v>130.666</v>
      </c>
      <c r="U75" s="194">
        <f ca="1">OFFSET('배치점수 계산기'!K$10,$D75,0)</f>
        <v>130.09100000000001</v>
      </c>
      <c r="V75" s="194">
        <f ca="1">OFFSET('배치점수 계산기'!L$10,$D75,0)</f>
        <v>128.857</v>
      </c>
      <c r="W75" s="186" t="str">
        <f ca="1">OFFSET('배치점수 계산기'!M$10,$D75,0)</f>
        <v>표점</v>
      </c>
      <c r="X75" s="184" t="str">
        <f ca="1">OFFSET('배치점수 계산기'!N$10,$D75,0)</f>
        <v>표점</v>
      </c>
      <c r="Y75" s="188">
        <f ca="1">OFFSET(환산공식!FW$15,$F75,0)</f>
        <v>0.35</v>
      </c>
      <c r="Z75" s="20">
        <f ca="1">OFFSET(환산공식!FX$15,$F75,0)</f>
        <v>0.35</v>
      </c>
      <c r="AA75" s="179">
        <f ca="1">OFFSET(환산공식!FY$15,$F75,0)</f>
        <v>0.28999999999999998</v>
      </c>
      <c r="AB75" s="3"/>
      <c r="AD75">
        <f t="shared" ca="1" si="3"/>
        <v>6</v>
      </c>
      <c r="AF75" s="3"/>
      <c r="AG75" s="3"/>
      <c r="AH75" s="3"/>
    </row>
    <row r="76" spans="1:34">
      <c r="A76" s="198"/>
      <c r="B76" s="198"/>
      <c r="C76" s="198" t="s">
        <v>2397</v>
      </c>
      <c r="D76" s="235">
        <v>1961</v>
      </c>
      <c r="E76" s="195">
        <v>57</v>
      </c>
      <c r="F76" s="195">
        <v>57</v>
      </c>
      <c r="G76" s="239">
        <v>69</v>
      </c>
      <c r="H76" s="197" t="s">
        <v>81</v>
      </c>
      <c r="I76" s="242" t="s">
        <v>417</v>
      </c>
      <c r="J76" s="242" t="s">
        <v>8232</v>
      </c>
      <c r="K76" s="195" t="s">
        <v>71</v>
      </c>
      <c r="L76" s="20" t="str">
        <f ca="1">IF(OFFSET(환산공식!$ED$15,$F76,0)=1,"O","X")</f>
        <v>X</v>
      </c>
      <c r="M76" s="188">
        <f ca="1">IFERROR(OFFSET(환산공식!DJ$15,$F76,0),"")</f>
        <v>15</v>
      </c>
      <c r="N76" s="20" t="str">
        <f ca="1">IFERROR(CONCATENATE(ROUND(OFFSET(환산공식!DK$15,$F76,0),1),"%"),"")</f>
        <v>100%</v>
      </c>
      <c r="O76" s="20">
        <f ca="1">IFERROR(OFFSET(환산공식!DL$15,$F76,0),"")</f>
        <v>10</v>
      </c>
      <c r="P76" s="188" t="str">
        <f t="shared" ca="1" si="2"/>
        <v>3% 이하</v>
      </c>
      <c r="Q76" s="194">
        <f ca="1">IFERROR(ROUND(OFFSET(환산공식!$FG$15,$F76,0),3),"")</f>
        <v>0</v>
      </c>
      <c r="R76" s="194">
        <f ca="1">OFFSET('배치점수 계산기'!H$10,$D76,0)</f>
        <v>130.93899999999999</v>
      </c>
      <c r="S76" s="194">
        <f ca="1">OFFSET('배치점수 계산기'!I$10,$D76,0)</f>
        <v>130.75399999999999</v>
      </c>
      <c r="T76" s="194">
        <f ca="1">OFFSET('배치점수 계산기'!J$10,$D76,0)</f>
        <v>130.56299999999999</v>
      </c>
      <c r="U76" s="194">
        <f ca="1">OFFSET('배치점수 계산기'!K$10,$D76,0)</f>
        <v>129.982</v>
      </c>
      <c r="V76" s="194">
        <f ca="1">OFFSET('배치점수 계산기'!L$10,$D76,0)</f>
        <v>128.77600000000001</v>
      </c>
      <c r="W76" s="186" t="str">
        <f ca="1">OFFSET('배치점수 계산기'!M$10,$D76,0)</f>
        <v>표점</v>
      </c>
      <c r="X76" s="184" t="str">
        <f ca="1">OFFSET('배치점수 계산기'!N$10,$D76,0)</f>
        <v>표점</v>
      </c>
      <c r="Y76" s="188">
        <f ca="1">OFFSET(환산공식!FW$15,$F76,0)</f>
        <v>0.35</v>
      </c>
      <c r="Z76" s="20">
        <f ca="1">OFFSET(환산공식!FX$15,$F76,0)</f>
        <v>0.35</v>
      </c>
      <c r="AA76" s="179">
        <f ca="1">OFFSET(환산공식!FY$15,$F76,0)</f>
        <v>0.28999999999999998</v>
      </c>
      <c r="AB76" s="3"/>
      <c r="AD76">
        <f t="shared" ca="1" si="3"/>
        <v>6</v>
      </c>
      <c r="AF76" s="3"/>
      <c r="AG76" s="3"/>
      <c r="AH76" s="3"/>
    </row>
    <row r="77" spans="1:34">
      <c r="A77" s="198"/>
      <c r="B77" s="198"/>
      <c r="C77" s="198" t="s">
        <v>2398</v>
      </c>
      <c r="D77" s="235">
        <v>1962</v>
      </c>
      <c r="E77" s="195">
        <v>57</v>
      </c>
      <c r="F77" s="195">
        <v>57</v>
      </c>
      <c r="G77" s="239">
        <v>70</v>
      </c>
      <c r="H77" s="197" t="s">
        <v>81</v>
      </c>
      <c r="I77" s="242" t="s">
        <v>417</v>
      </c>
      <c r="J77" s="242" t="s">
        <v>561</v>
      </c>
      <c r="K77" s="195" t="s">
        <v>71</v>
      </c>
      <c r="L77" s="20" t="str">
        <f ca="1">IF(OFFSET(환산공식!$ED$15,$F77,0)=1,"O","X")</f>
        <v>X</v>
      </c>
      <c r="M77" s="188">
        <f ca="1">IFERROR(OFFSET(환산공식!DJ$15,$F77,0),"")</f>
        <v>15</v>
      </c>
      <c r="N77" s="20" t="str">
        <f ca="1">IFERROR(CONCATENATE(ROUND(OFFSET(환산공식!DK$15,$F77,0),1),"%"),"")</f>
        <v>100%</v>
      </c>
      <c r="O77" s="20">
        <f ca="1">IFERROR(OFFSET(환산공식!DL$15,$F77,0),"")</f>
        <v>10</v>
      </c>
      <c r="P77" s="188" t="str">
        <f t="shared" ca="1" si="2"/>
        <v>3% 이하</v>
      </c>
      <c r="Q77" s="194">
        <f ca="1">IFERROR(ROUND(OFFSET(환산공식!$FG$15,$F77,0),3),"")</f>
        <v>0</v>
      </c>
      <c r="R77" s="194">
        <f ca="1">OFFSET('배치점수 계산기'!H$10,$D77,0)</f>
        <v>130.93899999999999</v>
      </c>
      <c r="S77" s="194">
        <f ca="1">OFFSET('배치점수 계산기'!I$10,$D77,0)</f>
        <v>130.75399999999999</v>
      </c>
      <c r="T77" s="194">
        <f ca="1">OFFSET('배치점수 계산기'!J$10,$D77,0)</f>
        <v>130.56299999999999</v>
      </c>
      <c r="U77" s="194">
        <f ca="1">OFFSET('배치점수 계산기'!K$10,$D77,0)</f>
        <v>129.982</v>
      </c>
      <c r="V77" s="194">
        <f ca="1">OFFSET('배치점수 계산기'!L$10,$D77,0)</f>
        <v>128.77600000000001</v>
      </c>
      <c r="W77" s="186" t="str">
        <f ca="1">OFFSET('배치점수 계산기'!M$10,$D77,0)</f>
        <v>표점</v>
      </c>
      <c r="X77" s="184" t="str">
        <f ca="1">OFFSET('배치점수 계산기'!N$10,$D77,0)</f>
        <v>표점</v>
      </c>
      <c r="Y77" s="188">
        <f ca="1">OFFSET(환산공식!FW$15,$F77,0)</f>
        <v>0.35</v>
      </c>
      <c r="Z77" s="20">
        <f ca="1">OFFSET(환산공식!FX$15,$F77,0)</f>
        <v>0.35</v>
      </c>
      <c r="AA77" s="179">
        <f ca="1">OFFSET(환산공식!FY$15,$F77,0)</f>
        <v>0.28999999999999998</v>
      </c>
      <c r="AB77" s="3"/>
      <c r="AD77">
        <f t="shared" ca="1" si="3"/>
        <v>6</v>
      </c>
      <c r="AF77" s="3"/>
      <c r="AG77" s="3"/>
      <c r="AH77" s="3"/>
    </row>
    <row r="78" spans="1:34">
      <c r="A78" s="198"/>
      <c r="B78" s="198"/>
      <c r="C78" s="198" t="s">
        <v>2399</v>
      </c>
      <c r="D78" s="235">
        <v>1963</v>
      </c>
      <c r="E78" s="195">
        <v>85</v>
      </c>
      <c r="F78" s="195">
        <v>85</v>
      </c>
      <c r="G78" s="239">
        <v>71</v>
      </c>
      <c r="H78" s="197" t="s">
        <v>81</v>
      </c>
      <c r="I78" s="242" t="s">
        <v>9189</v>
      </c>
      <c r="J78" s="242" t="s">
        <v>10193</v>
      </c>
      <c r="K78" s="195" t="s">
        <v>70</v>
      </c>
      <c r="L78" s="20" t="str">
        <f ca="1">IF(OFFSET(환산공식!$ED$15,$F78,0)=1,"O","X")</f>
        <v>X</v>
      </c>
      <c r="M78" s="188">
        <f ca="1">IFERROR(OFFSET(환산공식!DJ$15,$F78,0),"")</f>
        <v>200</v>
      </c>
      <c r="N78" s="20" t="str">
        <f ca="1">IFERROR(CONCATENATE(ROUND(OFFSET(환산공식!DK$15,$F78,0),1),"%"),"")</f>
        <v>100%</v>
      </c>
      <c r="O78" s="20">
        <f ca="1">IFERROR(OFFSET(환산공식!DL$15,$F78,0),"")</f>
        <v>0</v>
      </c>
      <c r="P78" s="188" t="str">
        <f t="shared" ca="1" si="2"/>
        <v>3% 이하</v>
      </c>
      <c r="Q78" s="194">
        <f ca="1">IFERROR(ROUND(OFFSET(환산공식!$FG$15,$F78,0),3),"")</f>
        <v>0</v>
      </c>
      <c r="R78" s="194">
        <f ca="1">OFFSET('배치점수 계산기'!H$10,$D78,0)</f>
        <v>911.96900000000005</v>
      </c>
      <c r="S78" s="194">
        <f ca="1">OFFSET('배치점수 계산기'!I$10,$D78,0)</f>
        <v>909.84299999999996</v>
      </c>
      <c r="T78" s="194">
        <f ca="1">OFFSET('배치점수 계산기'!J$10,$D78,0)</f>
        <v>907.01099999999997</v>
      </c>
      <c r="U78" s="194">
        <f ca="1">OFFSET('배치점수 계산기'!K$10,$D78,0)</f>
        <v>902.78899999999999</v>
      </c>
      <c r="V78" s="194">
        <f ca="1">OFFSET('배치점수 계산기'!L$10,$D78,0)</f>
        <v>897.42100000000005</v>
      </c>
      <c r="W78" s="186" t="str">
        <f ca="1">OFFSET('배치점수 계산기'!M$10,$D78,0)</f>
        <v>표점/만점</v>
      </c>
      <c r="X78" s="184" t="str">
        <f ca="1">OFFSET('배치점수 계산기'!N$10,$D78,0)</f>
        <v>표점/만점</v>
      </c>
      <c r="Y78" s="188">
        <f ca="1">OFFSET(환산공식!FW$15,$F78,0)</f>
        <v>0.25</v>
      </c>
      <c r="Z78" s="20">
        <f ca="1">OFFSET(환산공식!FX$15,$F78,0)</f>
        <v>0.44</v>
      </c>
      <c r="AA78" s="179">
        <f ca="1">OFFSET(환산공식!FY$15,$F78,0)</f>
        <v>0.31</v>
      </c>
      <c r="AB78" s="3"/>
      <c r="AD78">
        <f t="shared" ca="1" si="3"/>
        <v>6</v>
      </c>
      <c r="AF78" s="3"/>
      <c r="AG78" s="3"/>
      <c r="AH78" s="3"/>
    </row>
    <row r="79" spans="1:34">
      <c r="A79" s="198"/>
      <c r="B79" s="198"/>
      <c r="C79" s="198" t="s">
        <v>2400</v>
      </c>
      <c r="D79" s="235">
        <v>1964</v>
      </c>
      <c r="E79" s="195">
        <v>75</v>
      </c>
      <c r="F79" s="195">
        <v>75</v>
      </c>
      <c r="G79" s="239">
        <v>72</v>
      </c>
      <c r="H79" s="197" t="s">
        <v>81</v>
      </c>
      <c r="I79" s="242" t="s">
        <v>236</v>
      </c>
      <c r="J79" s="242" t="s">
        <v>8988</v>
      </c>
      <c r="K79" s="195" t="s">
        <v>70</v>
      </c>
      <c r="L79" s="20" t="str">
        <f ca="1">IF(OFFSET(환산공식!$ED$15,$F79,0)=1,"O","X")</f>
        <v>X</v>
      </c>
      <c r="M79" s="188">
        <f ca="1">IFERROR(OFFSET(환산공식!DJ$15,$F79,0),"")</f>
        <v>200</v>
      </c>
      <c r="N79" s="20" t="str">
        <f ca="1">IFERROR(CONCATENATE(ROUND(OFFSET(환산공식!DK$15,$F79,0),1),"%"),"")</f>
        <v>100%</v>
      </c>
      <c r="O79" s="20">
        <f ca="1">IFERROR(OFFSET(환산공식!DL$15,$F79,0),"")</f>
        <v>4</v>
      </c>
      <c r="P79" s="188" t="str">
        <f t="shared" ca="1" si="2"/>
        <v>3% 이하</v>
      </c>
      <c r="Q79" s="194">
        <f ca="1">IFERROR(ROUND(OFFSET(환산공식!$FG$15,$F79,0),3),"")</f>
        <v>0</v>
      </c>
      <c r="R79" s="194">
        <f ca="1">OFFSET('배치점수 계산기'!H$10,$D79,0)</f>
        <v>938.87300000000005</v>
      </c>
      <c r="S79" s="194">
        <f ca="1">OFFSET('배치점수 계산기'!I$10,$D79,0)</f>
        <v>934.41099999999994</v>
      </c>
      <c r="T79" s="194">
        <f ca="1">OFFSET('배치점수 계산기'!J$10,$D79,0)</f>
        <v>930.52099999999996</v>
      </c>
      <c r="U79" s="194">
        <f ca="1">OFFSET('배치점수 계산기'!K$10,$D79,0)</f>
        <v>927.09699999999998</v>
      </c>
      <c r="V79" s="194">
        <f ca="1">OFFSET('배치점수 계산기'!L$10,$D79,0)</f>
        <v>921.28800000000001</v>
      </c>
      <c r="W79" s="186" t="str">
        <f ca="1">OFFSET('배치점수 계산기'!M$10,$D79,0)</f>
        <v>표점/만점</v>
      </c>
      <c r="X79" s="184" t="str">
        <f ca="1">OFFSET('배치점수 계산기'!N$10,$D79,0)</f>
        <v>변표/만점</v>
      </c>
      <c r="Y79" s="188">
        <f ca="1">OFFSET(환산공식!FW$15,$F79,0)</f>
        <v>0.25</v>
      </c>
      <c r="Z79" s="20">
        <f ca="1">OFFSET(환산공식!FX$15,$F79,0)</f>
        <v>0.44</v>
      </c>
      <c r="AA79" s="179">
        <f ca="1">OFFSET(환산공식!FY$15,$F79,0)</f>
        <v>0.31</v>
      </c>
      <c r="AB79" s="3"/>
      <c r="AD79">
        <f t="shared" ca="1" si="3"/>
        <v>6</v>
      </c>
      <c r="AF79" s="3"/>
      <c r="AG79" s="3"/>
      <c r="AH79" s="3"/>
    </row>
    <row r="80" spans="1:34">
      <c r="A80" s="198"/>
      <c r="B80" s="198"/>
      <c r="C80" s="198" t="s">
        <v>2401</v>
      </c>
      <c r="D80" s="235">
        <v>1965</v>
      </c>
      <c r="E80" s="195">
        <v>75</v>
      </c>
      <c r="F80" s="195">
        <v>75</v>
      </c>
      <c r="G80" s="239">
        <v>73</v>
      </c>
      <c r="H80" s="197" t="s">
        <v>81</v>
      </c>
      <c r="I80" s="242" t="s">
        <v>236</v>
      </c>
      <c r="J80" s="242" t="s">
        <v>7351</v>
      </c>
      <c r="K80" s="195" t="s">
        <v>70</v>
      </c>
      <c r="L80" s="20" t="str">
        <f ca="1">IF(OFFSET(환산공식!$ED$15,$F80,0)=1,"O","X")</f>
        <v>X</v>
      </c>
      <c r="M80" s="188">
        <f ca="1">IFERROR(OFFSET(환산공식!DJ$15,$F80,0),"")</f>
        <v>200</v>
      </c>
      <c r="N80" s="20" t="str">
        <f ca="1">IFERROR(CONCATENATE(ROUND(OFFSET(환산공식!DK$15,$F80,0),1),"%"),"")</f>
        <v>100%</v>
      </c>
      <c r="O80" s="20">
        <f ca="1">IFERROR(OFFSET(환산공식!DL$15,$F80,0),"")</f>
        <v>4</v>
      </c>
      <c r="P80" s="188" t="str">
        <f t="shared" ca="1" si="2"/>
        <v>3% 이하</v>
      </c>
      <c r="Q80" s="194">
        <f ca="1">IFERROR(ROUND(OFFSET(환산공식!$FG$15,$F80,0),3),"")</f>
        <v>0</v>
      </c>
      <c r="R80" s="194">
        <f ca="1">OFFSET('배치점수 계산기'!H$10,$D80,0)</f>
        <v>912.07899999999995</v>
      </c>
      <c r="S80" s="194">
        <f ca="1">OFFSET('배치점수 계산기'!I$10,$D80,0)</f>
        <v>909.63300000000004</v>
      </c>
      <c r="T80" s="194">
        <f ca="1">OFFSET('배치점수 계산기'!J$10,$D80,0)</f>
        <v>907.846</v>
      </c>
      <c r="U80" s="194">
        <f ca="1">OFFSET('배치점수 계산기'!K$10,$D80,0)</f>
        <v>905.16099999999994</v>
      </c>
      <c r="V80" s="194">
        <f ca="1">OFFSET('배치점수 계산기'!L$10,$D80,0)</f>
        <v>898.22500000000002</v>
      </c>
      <c r="W80" s="186" t="str">
        <f ca="1">OFFSET('배치점수 계산기'!M$10,$D80,0)</f>
        <v>표점/만점</v>
      </c>
      <c r="X80" s="184" t="str">
        <f ca="1">OFFSET('배치점수 계산기'!N$10,$D80,0)</f>
        <v>변표/만점</v>
      </c>
      <c r="Y80" s="188">
        <f ca="1">OFFSET(환산공식!FW$15,$F80,0)</f>
        <v>0.25</v>
      </c>
      <c r="Z80" s="20">
        <f ca="1">OFFSET(환산공식!FX$15,$F80,0)</f>
        <v>0.44</v>
      </c>
      <c r="AA80" s="179">
        <f ca="1">OFFSET(환산공식!FY$15,$F80,0)</f>
        <v>0.31</v>
      </c>
      <c r="AB80" s="3"/>
      <c r="AD80">
        <f t="shared" ca="1" si="3"/>
        <v>6</v>
      </c>
      <c r="AF80" s="3"/>
      <c r="AG80" s="3"/>
      <c r="AH80" s="3"/>
    </row>
    <row r="81" spans="1:34">
      <c r="A81" s="198"/>
      <c r="B81" s="198"/>
      <c r="C81" s="198" t="s">
        <v>2402</v>
      </c>
      <c r="D81" s="235">
        <v>1966</v>
      </c>
      <c r="E81" s="195">
        <v>74</v>
      </c>
      <c r="F81" s="195">
        <v>74</v>
      </c>
      <c r="G81" s="239">
        <v>74</v>
      </c>
      <c r="H81" s="197" t="s">
        <v>81</v>
      </c>
      <c r="I81" s="242" t="s">
        <v>236</v>
      </c>
      <c r="J81" s="242" t="s">
        <v>10166</v>
      </c>
      <c r="K81" s="195" t="s">
        <v>70</v>
      </c>
      <c r="L81" s="20" t="str">
        <f ca="1">IF(OFFSET(환산공식!$ED$15,$F81,0)=1,"O","X")</f>
        <v>X</v>
      </c>
      <c r="M81" s="188">
        <f ca="1">IFERROR(OFFSET(환산공식!DJ$15,$F81,0),"")</f>
        <v>200</v>
      </c>
      <c r="N81" s="20" t="str">
        <f ca="1">IFERROR(CONCATENATE(ROUND(OFFSET(환산공식!DK$15,$F81,0),1),"%"),"")</f>
        <v>100%</v>
      </c>
      <c r="O81" s="20">
        <f ca="1">IFERROR(OFFSET(환산공식!DL$15,$F81,0),"")</f>
        <v>4</v>
      </c>
      <c r="P81" s="188" t="str">
        <f t="shared" ca="1" si="2"/>
        <v>3% 이하</v>
      </c>
      <c r="Q81" s="194">
        <f ca="1">IFERROR(ROUND(OFFSET(환산공식!$FG$15,$F81,0),3),"")</f>
        <v>0</v>
      </c>
      <c r="R81" s="194">
        <f ca="1">OFFSET('배치점수 계산기'!H$10,$D81,0)</f>
        <v>917.41200000000003</v>
      </c>
      <c r="S81" s="194">
        <f ca="1">OFFSET('배치점수 계산기'!I$10,$D81,0)</f>
        <v>912.16899999999998</v>
      </c>
      <c r="T81" s="194">
        <f ca="1">OFFSET('배치점수 계산기'!J$10,$D81,0)</f>
        <v>907.68700000000001</v>
      </c>
      <c r="U81" s="194">
        <f ca="1">OFFSET('배치점수 계산기'!K$10,$D81,0)</f>
        <v>903.995</v>
      </c>
      <c r="V81" s="194">
        <f ca="1">OFFSET('배치점수 계산기'!L$10,$D81,0)</f>
        <v>896.10799999999995</v>
      </c>
      <c r="W81" s="186" t="str">
        <f ca="1">OFFSET('배치점수 계산기'!M$10,$D81,0)</f>
        <v>표점/만점</v>
      </c>
      <c r="X81" s="184" t="str">
        <f ca="1">OFFSET('배치점수 계산기'!N$10,$D81,0)</f>
        <v>변표/만점</v>
      </c>
      <c r="Y81" s="188">
        <f ca="1">OFFSET(환산공식!FW$15,$F81,0)</f>
        <v>0.25</v>
      </c>
      <c r="Z81" s="20">
        <f ca="1">OFFSET(환산공식!FX$15,$F81,0)</f>
        <v>0.44</v>
      </c>
      <c r="AA81" s="179">
        <f ca="1">OFFSET(환산공식!FY$15,$F81,0)</f>
        <v>0.31</v>
      </c>
      <c r="AB81" s="3"/>
      <c r="AD81">
        <f t="shared" ca="1" si="3"/>
        <v>6</v>
      </c>
      <c r="AF81" s="3"/>
      <c r="AG81" s="3"/>
      <c r="AH81" s="3"/>
    </row>
    <row r="82" spans="1:34">
      <c r="A82" s="198"/>
      <c r="B82" s="198"/>
      <c r="C82" s="198" t="s">
        <v>2403</v>
      </c>
      <c r="D82" s="235">
        <v>1967</v>
      </c>
      <c r="E82" s="195">
        <v>75</v>
      </c>
      <c r="F82" s="195">
        <v>75</v>
      </c>
      <c r="G82" s="239">
        <v>75</v>
      </c>
      <c r="H82" s="197" t="s">
        <v>81</v>
      </c>
      <c r="I82" s="242" t="s">
        <v>236</v>
      </c>
      <c r="J82" s="242" t="s">
        <v>480</v>
      </c>
      <c r="K82" s="195" t="s">
        <v>70</v>
      </c>
      <c r="L82" s="20" t="str">
        <f ca="1">IF(OFFSET(환산공식!$ED$15,$F82,0)=1,"O","X")</f>
        <v>X</v>
      </c>
      <c r="M82" s="188">
        <f ca="1">IFERROR(OFFSET(환산공식!DJ$15,$F82,0),"")</f>
        <v>200</v>
      </c>
      <c r="N82" s="20" t="str">
        <f ca="1">IFERROR(CONCATENATE(ROUND(OFFSET(환산공식!DK$15,$F82,0),1),"%"),"")</f>
        <v>100%</v>
      </c>
      <c r="O82" s="20">
        <f ca="1">IFERROR(OFFSET(환산공식!DL$15,$F82,0),"")</f>
        <v>4</v>
      </c>
      <c r="P82" s="188" t="str">
        <f t="shared" ca="1" si="2"/>
        <v>3% 이하</v>
      </c>
      <c r="Q82" s="194">
        <f ca="1">IFERROR(ROUND(OFFSET(환산공식!$FG$15,$F82,0),3),"")</f>
        <v>0</v>
      </c>
      <c r="R82" s="194">
        <f ca="1">OFFSET('배치점수 계산기'!H$10,$D82,0)</f>
        <v>913.17899999999997</v>
      </c>
      <c r="S82" s="194">
        <f ca="1">OFFSET('배치점수 계산기'!I$10,$D82,0)</f>
        <v>908.04100000000005</v>
      </c>
      <c r="T82" s="194">
        <f ca="1">OFFSET('배치점수 계산기'!J$10,$D82,0)</f>
        <v>903.91899999999998</v>
      </c>
      <c r="U82" s="194">
        <f ca="1">OFFSET('배치점수 계산기'!K$10,$D82,0)</f>
        <v>899.51499999999999</v>
      </c>
      <c r="V82" s="194">
        <f ca="1">OFFSET('배치점수 계산기'!L$10,$D82,0)</f>
        <v>894.18100000000004</v>
      </c>
      <c r="W82" s="186" t="str">
        <f ca="1">OFFSET('배치점수 계산기'!M$10,$D82,0)</f>
        <v>표점/만점</v>
      </c>
      <c r="X82" s="184" t="str">
        <f ca="1">OFFSET('배치점수 계산기'!N$10,$D82,0)</f>
        <v>변표/만점</v>
      </c>
      <c r="Y82" s="188">
        <f ca="1">OFFSET(환산공식!FW$15,$F82,0)</f>
        <v>0.25</v>
      </c>
      <c r="Z82" s="20">
        <f ca="1">OFFSET(환산공식!FX$15,$F82,0)</f>
        <v>0.44</v>
      </c>
      <c r="AA82" s="179">
        <f ca="1">OFFSET(환산공식!FY$15,$F82,0)</f>
        <v>0.31</v>
      </c>
      <c r="AB82" s="3"/>
      <c r="AD82">
        <f t="shared" ca="1" si="3"/>
        <v>6</v>
      </c>
      <c r="AF82" s="3"/>
      <c r="AG82" s="3"/>
      <c r="AH82" s="3"/>
    </row>
    <row r="83" spans="1:34">
      <c r="A83" s="198"/>
      <c r="B83" s="198"/>
      <c r="C83" s="198" t="s">
        <v>2404</v>
      </c>
      <c r="D83" s="235">
        <v>1968</v>
      </c>
      <c r="E83" s="195">
        <v>74</v>
      </c>
      <c r="F83" s="195">
        <v>74</v>
      </c>
      <c r="G83" s="239">
        <v>76</v>
      </c>
      <c r="H83" s="197" t="s">
        <v>81</v>
      </c>
      <c r="I83" s="242" t="s">
        <v>236</v>
      </c>
      <c r="J83" s="242" t="s">
        <v>10224</v>
      </c>
      <c r="K83" s="195" t="s">
        <v>70</v>
      </c>
      <c r="L83" s="20" t="str">
        <f ca="1">IF(OFFSET(환산공식!$ED$15,$F83,0)=1,"O","X")</f>
        <v>X</v>
      </c>
      <c r="M83" s="188">
        <f ca="1">IFERROR(OFFSET(환산공식!DJ$15,$F83,0),"")</f>
        <v>200</v>
      </c>
      <c r="N83" s="20" t="str">
        <f ca="1">IFERROR(CONCATENATE(ROUND(OFFSET(환산공식!DK$15,$F83,0),1),"%"),"")</f>
        <v>100%</v>
      </c>
      <c r="O83" s="20">
        <f ca="1">IFERROR(OFFSET(환산공식!DL$15,$F83,0),"")</f>
        <v>4</v>
      </c>
      <c r="P83" s="188" t="str">
        <f t="shared" ca="1" si="2"/>
        <v>3% 이하</v>
      </c>
      <c r="Q83" s="194">
        <f ca="1">IFERROR(ROUND(OFFSET(환산공식!$FG$15,$F83,0),3),"")</f>
        <v>0</v>
      </c>
      <c r="R83" s="194">
        <f ca="1">OFFSET('배치점수 계산기'!H$10,$D83,0)</f>
        <v>915.721</v>
      </c>
      <c r="S83" s="194">
        <f ca="1">OFFSET('배치점수 계산기'!I$10,$D83,0)</f>
        <v>910.57299999999998</v>
      </c>
      <c r="T83" s="194">
        <f ca="1">OFFSET('배치점수 계산기'!J$10,$D83,0)</f>
        <v>906.44399999999996</v>
      </c>
      <c r="U83" s="194">
        <f ca="1">OFFSET('배치점수 계산기'!K$10,$D83,0)</f>
        <v>902.029</v>
      </c>
      <c r="V83" s="194">
        <f ca="1">OFFSET('배치점수 계산기'!L$10,$D83,0)</f>
        <v>895.2</v>
      </c>
      <c r="W83" s="186" t="str">
        <f ca="1">OFFSET('배치점수 계산기'!M$10,$D83,0)</f>
        <v>표점/만점</v>
      </c>
      <c r="X83" s="184" t="str">
        <f ca="1">OFFSET('배치점수 계산기'!N$10,$D83,0)</f>
        <v>변표/만점</v>
      </c>
      <c r="Y83" s="188">
        <f ca="1">OFFSET(환산공식!FW$15,$F83,0)</f>
        <v>0.25</v>
      </c>
      <c r="Z83" s="20">
        <f ca="1">OFFSET(환산공식!FX$15,$F83,0)</f>
        <v>0.44</v>
      </c>
      <c r="AA83" s="179">
        <f ca="1">OFFSET(환산공식!FY$15,$F83,0)</f>
        <v>0.31</v>
      </c>
      <c r="AB83" s="3"/>
      <c r="AD83">
        <f t="shared" ca="1" si="3"/>
        <v>6</v>
      </c>
      <c r="AF83" s="3"/>
      <c r="AG83" s="3"/>
      <c r="AH83" s="3"/>
    </row>
    <row r="84" spans="1:34">
      <c r="A84" s="198"/>
      <c r="B84" s="198"/>
      <c r="C84" s="198" t="s">
        <v>2405</v>
      </c>
      <c r="D84" s="235">
        <v>1969</v>
      </c>
      <c r="E84" s="195">
        <v>74</v>
      </c>
      <c r="F84" s="195">
        <v>74</v>
      </c>
      <c r="G84" s="239">
        <v>77</v>
      </c>
      <c r="H84" s="197" t="s">
        <v>81</v>
      </c>
      <c r="I84" s="242" t="s">
        <v>236</v>
      </c>
      <c r="J84" s="242" t="s">
        <v>551</v>
      </c>
      <c r="K84" s="195" t="s">
        <v>70</v>
      </c>
      <c r="L84" s="20" t="str">
        <f ca="1">IF(OFFSET(환산공식!$ED$15,$F84,0)=1,"O","X")</f>
        <v>X</v>
      </c>
      <c r="M84" s="188">
        <f ca="1">IFERROR(OFFSET(환산공식!DJ$15,$F84,0),"")</f>
        <v>200</v>
      </c>
      <c r="N84" s="20" t="str">
        <f ca="1">IFERROR(CONCATENATE(ROUND(OFFSET(환산공식!DK$15,$F84,0),1),"%"),"")</f>
        <v>100%</v>
      </c>
      <c r="O84" s="20">
        <f ca="1">IFERROR(OFFSET(환산공식!DL$15,$F84,0),"")</f>
        <v>4</v>
      </c>
      <c r="P84" s="188" t="str">
        <f t="shared" ca="1" si="2"/>
        <v>3% 이하</v>
      </c>
      <c r="Q84" s="194">
        <f ca="1">IFERROR(ROUND(OFFSET(환산공식!$FG$15,$F84,0),3),"")</f>
        <v>0</v>
      </c>
      <c r="R84" s="194">
        <f ca="1">OFFSET('배치점수 계산기'!H$10,$D84,0)</f>
        <v>913.71900000000005</v>
      </c>
      <c r="S84" s="194">
        <f ca="1">OFFSET('배치점수 계산기'!I$10,$D84,0)</f>
        <v>908.82799999999997</v>
      </c>
      <c r="T84" s="194">
        <f ca="1">OFFSET('배치점수 계산기'!J$10,$D84,0)</f>
        <v>904.38699999999994</v>
      </c>
      <c r="U84" s="194">
        <f ca="1">OFFSET('배치점수 계산기'!K$10,$D84,0)</f>
        <v>900.03499999999997</v>
      </c>
      <c r="V84" s="194">
        <f ca="1">OFFSET('배치점수 계산기'!L$10,$D84,0)</f>
        <v>892.77599999999995</v>
      </c>
      <c r="W84" s="186" t="str">
        <f ca="1">OFFSET('배치점수 계산기'!M$10,$D84,0)</f>
        <v>표점/만점</v>
      </c>
      <c r="X84" s="184" t="str">
        <f ca="1">OFFSET('배치점수 계산기'!N$10,$D84,0)</f>
        <v>변표/만점</v>
      </c>
      <c r="Y84" s="188">
        <f ca="1">OFFSET(환산공식!FW$15,$F84,0)</f>
        <v>0.25</v>
      </c>
      <c r="Z84" s="20">
        <f ca="1">OFFSET(환산공식!FX$15,$F84,0)</f>
        <v>0.44</v>
      </c>
      <c r="AA84" s="179">
        <f ca="1">OFFSET(환산공식!FY$15,$F84,0)</f>
        <v>0.31</v>
      </c>
      <c r="AB84" s="3"/>
      <c r="AD84">
        <f t="shared" ca="1" si="3"/>
        <v>6</v>
      </c>
      <c r="AF84" s="3"/>
      <c r="AG84" s="3"/>
      <c r="AH84" s="3"/>
    </row>
    <row r="85" spans="1:34">
      <c r="A85" s="198"/>
      <c r="B85" s="198"/>
      <c r="C85" s="198" t="s">
        <v>2406</v>
      </c>
      <c r="D85" s="235">
        <v>1970</v>
      </c>
      <c r="E85" s="195">
        <v>74</v>
      </c>
      <c r="F85" s="195">
        <v>74</v>
      </c>
      <c r="G85" s="239">
        <v>78</v>
      </c>
      <c r="H85" s="197" t="s">
        <v>81</v>
      </c>
      <c r="I85" s="242" t="s">
        <v>236</v>
      </c>
      <c r="J85" s="242" t="s">
        <v>8418</v>
      </c>
      <c r="K85" s="195" t="s">
        <v>70</v>
      </c>
      <c r="L85" s="20" t="str">
        <f ca="1">IF(OFFSET(환산공식!$ED$15,$F85,0)=1,"O","X")</f>
        <v>X</v>
      </c>
      <c r="M85" s="188">
        <f ca="1">IFERROR(OFFSET(환산공식!DJ$15,$F85,0),"")</f>
        <v>200</v>
      </c>
      <c r="N85" s="20" t="str">
        <f ca="1">IFERROR(CONCATENATE(ROUND(OFFSET(환산공식!DK$15,$F85,0),1),"%"),"")</f>
        <v>100%</v>
      </c>
      <c r="O85" s="20">
        <f ca="1">IFERROR(OFFSET(환산공식!DL$15,$F85,0),"")</f>
        <v>4</v>
      </c>
      <c r="P85" s="188" t="str">
        <f t="shared" ca="1" si="2"/>
        <v>3% 이하</v>
      </c>
      <c r="Q85" s="194">
        <f ca="1">IFERROR(ROUND(OFFSET(환산공식!$FG$15,$F85,0),3),"")</f>
        <v>0</v>
      </c>
      <c r="R85" s="194">
        <f ca="1">OFFSET('배치점수 계산기'!H$10,$D85,0)</f>
        <v>912.16899999999998</v>
      </c>
      <c r="S85" s="194">
        <f ca="1">OFFSET('배치점수 계산기'!I$10,$D85,0)</f>
        <v>907.12699999999995</v>
      </c>
      <c r="T85" s="194">
        <f ca="1">OFFSET('배치점수 계산기'!J$10,$D85,0)</f>
        <v>902.63499999999999</v>
      </c>
      <c r="U85" s="194">
        <f ca="1">OFFSET('배치점수 계산기'!K$10,$D85,0)</f>
        <v>898.33799999999997</v>
      </c>
      <c r="V85" s="194">
        <f ca="1">OFFSET('배치점수 계산기'!L$10,$D85,0)</f>
        <v>891.70100000000002</v>
      </c>
      <c r="W85" s="186" t="str">
        <f ca="1">OFFSET('배치점수 계산기'!M$10,$D85,0)</f>
        <v>표점/만점</v>
      </c>
      <c r="X85" s="184" t="str">
        <f ca="1">OFFSET('배치점수 계산기'!N$10,$D85,0)</f>
        <v>변표/만점</v>
      </c>
      <c r="Y85" s="188">
        <f ca="1">OFFSET(환산공식!FW$15,$F85,0)</f>
        <v>0.25</v>
      </c>
      <c r="Z85" s="20">
        <f ca="1">OFFSET(환산공식!FX$15,$F85,0)</f>
        <v>0.44</v>
      </c>
      <c r="AA85" s="179">
        <f ca="1">OFFSET(환산공식!FY$15,$F85,0)</f>
        <v>0.31</v>
      </c>
      <c r="AB85" s="3"/>
      <c r="AD85">
        <f t="shared" ca="1" si="3"/>
        <v>6</v>
      </c>
      <c r="AF85" s="3"/>
      <c r="AG85" s="3"/>
      <c r="AH85" s="3"/>
    </row>
    <row r="86" spans="1:34">
      <c r="A86" s="198"/>
      <c r="B86" s="198"/>
      <c r="C86" s="198" t="s">
        <v>2407</v>
      </c>
      <c r="D86" s="235">
        <v>1971</v>
      </c>
      <c r="E86" s="195">
        <v>74</v>
      </c>
      <c r="F86" s="195">
        <v>74</v>
      </c>
      <c r="G86" s="239">
        <v>79</v>
      </c>
      <c r="H86" s="197" t="s">
        <v>81</v>
      </c>
      <c r="I86" s="242" t="s">
        <v>236</v>
      </c>
      <c r="J86" s="242" t="s">
        <v>10426</v>
      </c>
      <c r="K86" s="195" t="s">
        <v>70</v>
      </c>
      <c r="L86" s="20" t="str">
        <f ca="1">IF(OFFSET(환산공식!$ED$15,$F86,0)=1,"O","X")</f>
        <v>X</v>
      </c>
      <c r="M86" s="188">
        <f ca="1">IFERROR(OFFSET(환산공식!DJ$15,$F86,0),"")</f>
        <v>200</v>
      </c>
      <c r="N86" s="20" t="str">
        <f ca="1">IFERROR(CONCATENATE(ROUND(OFFSET(환산공식!DK$15,$F86,0),1),"%"),"")</f>
        <v>100%</v>
      </c>
      <c r="O86" s="20">
        <f ca="1">IFERROR(OFFSET(환산공식!DL$15,$F86,0),"")</f>
        <v>4</v>
      </c>
      <c r="P86" s="188" t="str">
        <f t="shared" ca="1" si="2"/>
        <v>3% 이하</v>
      </c>
      <c r="Q86" s="194">
        <f ca="1">IFERROR(ROUND(OFFSET(환산공식!$FG$15,$F86,0),3),"")</f>
        <v>0</v>
      </c>
      <c r="R86" s="194">
        <f ca="1">OFFSET('배치점수 계산기'!H$10,$D86,0)</f>
        <v>911.91200000000003</v>
      </c>
      <c r="S86" s="194">
        <f ca="1">OFFSET('배치점수 계산기'!I$10,$D86,0)</f>
        <v>906.92100000000005</v>
      </c>
      <c r="T86" s="194">
        <f ca="1">OFFSET('배치점수 계산기'!J$10,$D86,0)</f>
        <v>902.29200000000003</v>
      </c>
      <c r="U86" s="194">
        <f ca="1">OFFSET('배치점수 계산기'!K$10,$D86,0)</f>
        <v>898.04700000000003</v>
      </c>
      <c r="V86" s="194">
        <f ca="1">OFFSET('배치점수 계산기'!L$10,$D86,0)</f>
        <v>891.57</v>
      </c>
      <c r="W86" s="186" t="str">
        <f ca="1">OFFSET('배치점수 계산기'!M$10,$D86,0)</f>
        <v>표점/만점</v>
      </c>
      <c r="X86" s="184" t="str">
        <f ca="1">OFFSET('배치점수 계산기'!N$10,$D86,0)</f>
        <v>변표/만점</v>
      </c>
      <c r="Y86" s="188">
        <f ca="1">OFFSET(환산공식!FW$15,$F86,0)</f>
        <v>0.25</v>
      </c>
      <c r="Z86" s="20">
        <f ca="1">OFFSET(환산공식!FX$15,$F86,0)</f>
        <v>0.44</v>
      </c>
      <c r="AA86" s="179">
        <f ca="1">OFFSET(환산공식!FY$15,$F86,0)</f>
        <v>0.31</v>
      </c>
      <c r="AB86" s="3"/>
      <c r="AD86">
        <f t="shared" ca="1" si="3"/>
        <v>6</v>
      </c>
      <c r="AF86" s="3"/>
      <c r="AG86" s="3"/>
      <c r="AH86" s="3"/>
    </row>
    <row r="87" spans="1:34">
      <c r="A87" s="198"/>
      <c r="B87" s="198"/>
      <c r="C87" s="198" t="s">
        <v>2408</v>
      </c>
      <c r="D87" s="235">
        <v>1972</v>
      </c>
      <c r="E87" s="195">
        <v>75</v>
      </c>
      <c r="F87" s="195">
        <v>75</v>
      </c>
      <c r="G87" s="239">
        <v>80</v>
      </c>
      <c r="H87" s="197" t="s">
        <v>81</v>
      </c>
      <c r="I87" s="242" t="s">
        <v>236</v>
      </c>
      <c r="J87" s="242" t="s">
        <v>10460</v>
      </c>
      <c r="K87" s="195" t="s">
        <v>70</v>
      </c>
      <c r="L87" s="20" t="str">
        <f ca="1">IF(OFFSET(환산공식!$ED$15,$F87,0)=1,"O","X")</f>
        <v>X</v>
      </c>
      <c r="M87" s="188">
        <f ca="1">IFERROR(OFFSET(환산공식!DJ$15,$F87,0),"")</f>
        <v>200</v>
      </c>
      <c r="N87" s="20" t="str">
        <f ca="1">IFERROR(CONCATENATE(ROUND(OFFSET(환산공식!DK$15,$F87,0),1),"%"),"")</f>
        <v>100%</v>
      </c>
      <c r="O87" s="20">
        <f ca="1">IFERROR(OFFSET(환산공식!DL$15,$F87,0),"")</f>
        <v>4</v>
      </c>
      <c r="P87" s="188" t="str">
        <f t="shared" ca="1" si="2"/>
        <v>3% 이하</v>
      </c>
      <c r="Q87" s="194">
        <f ca="1">IFERROR(ROUND(OFFSET(환산공식!$FG$15,$F87,0),3),"")</f>
        <v>0</v>
      </c>
      <c r="R87" s="194">
        <f ca="1">OFFSET('배치점수 계산기'!H$10,$D87,0)</f>
        <v>908.91200000000003</v>
      </c>
      <c r="S87" s="194">
        <f ca="1">OFFSET('배치점수 계산기'!I$10,$D87,0)</f>
        <v>903.91899999999998</v>
      </c>
      <c r="T87" s="194">
        <f ca="1">OFFSET('배치점수 계산기'!J$10,$D87,0)</f>
        <v>899.08600000000001</v>
      </c>
      <c r="U87" s="194">
        <f ca="1">OFFSET('배치점수 계산기'!K$10,$D87,0)</f>
        <v>895.15099999999995</v>
      </c>
      <c r="V87" s="194">
        <f ca="1">OFFSET('배치점수 계산기'!L$10,$D87,0)</f>
        <v>888.649</v>
      </c>
      <c r="W87" s="186" t="str">
        <f ca="1">OFFSET('배치점수 계산기'!M$10,$D87,0)</f>
        <v>표점/만점</v>
      </c>
      <c r="X87" s="184" t="str">
        <f ca="1">OFFSET('배치점수 계산기'!N$10,$D87,0)</f>
        <v>변표/만점</v>
      </c>
      <c r="Y87" s="188">
        <f ca="1">OFFSET(환산공식!FW$15,$F87,0)</f>
        <v>0.25</v>
      </c>
      <c r="Z87" s="20">
        <f ca="1">OFFSET(환산공식!FX$15,$F87,0)</f>
        <v>0.44</v>
      </c>
      <c r="AA87" s="179">
        <f ca="1">OFFSET(환산공식!FY$15,$F87,0)</f>
        <v>0.31</v>
      </c>
      <c r="AB87" s="3"/>
      <c r="AD87">
        <f t="shared" ca="1" si="3"/>
        <v>6</v>
      </c>
      <c r="AF87" s="3"/>
      <c r="AG87" s="3"/>
      <c r="AH87" s="3"/>
    </row>
    <row r="88" spans="1:34">
      <c r="A88" s="198"/>
      <c r="B88" s="198"/>
      <c r="C88" s="198" t="s">
        <v>2409</v>
      </c>
      <c r="D88" s="235">
        <v>1973</v>
      </c>
      <c r="E88" s="195">
        <v>75</v>
      </c>
      <c r="F88" s="195">
        <v>75</v>
      </c>
      <c r="G88" s="239">
        <v>81</v>
      </c>
      <c r="H88" s="197" t="s">
        <v>81</v>
      </c>
      <c r="I88" s="242" t="s">
        <v>236</v>
      </c>
      <c r="J88" s="242" t="s">
        <v>10490</v>
      </c>
      <c r="K88" s="195" t="s">
        <v>70</v>
      </c>
      <c r="L88" s="20" t="str">
        <f ca="1">IF(OFFSET(환산공식!$ED$15,$F88,0)=1,"O","X")</f>
        <v>X</v>
      </c>
      <c r="M88" s="188">
        <f ca="1">IFERROR(OFFSET(환산공식!DJ$15,$F88,0),"")</f>
        <v>200</v>
      </c>
      <c r="N88" s="20" t="str">
        <f ca="1">IFERROR(CONCATENATE(ROUND(OFFSET(환산공식!DK$15,$F88,0),1),"%"),"")</f>
        <v>100%</v>
      </c>
      <c r="O88" s="20">
        <f ca="1">IFERROR(OFFSET(환산공식!DL$15,$F88,0),"")</f>
        <v>4</v>
      </c>
      <c r="P88" s="188" t="str">
        <f t="shared" ca="1" si="2"/>
        <v>3% 이하</v>
      </c>
      <c r="Q88" s="194">
        <f ca="1">IFERROR(ROUND(OFFSET(환산공식!$FG$15,$F88,0),3),"")</f>
        <v>0</v>
      </c>
      <c r="R88" s="194">
        <f ca="1">OFFSET('배치점수 계산기'!H$10,$D88,0)</f>
        <v>908.42700000000002</v>
      </c>
      <c r="S88" s="194">
        <f ca="1">OFFSET('배치점수 계산기'!I$10,$D88,0)</f>
        <v>903.17</v>
      </c>
      <c r="T88" s="194">
        <f ca="1">OFFSET('배치점수 계산기'!J$10,$D88,0)</f>
        <v>898.68899999999996</v>
      </c>
      <c r="U88" s="194">
        <f ca="1">OFFSET('배치점수 계산기'!K$10,$D88,0)</f>
        <v>895.01499999999999</v>
      </c>
      <c r="V88" s="194">
        <f ca="1">OFFSET('배치점수 계산기'!L$10,$D88,0)</f>
        <v>888.26700000000005</v>
      </c>
      <c r="W88" s="186" t="str">
        <f ca="1">OFFSET('배치점수 계산기'!M$10,$D88,0)</f>
        <v>표점/만점</v>
      </c>
      <c r="X88" s="184" t="str">
        <f ca="1">OFFSET('배치점수 계산기'!N$10,$D88,0)</f>
        <v>변표/만점</v>
      </c>
      <c r="Y88" s="188">
        <f ca="1">OFFSET(환산공식!FW$15,$F88,0)</f>
        <v>0.25</v>
      </c>
      <c r="Z88" s="20">
        <f ca="1">OFFSET(환산공식!FX$15,$F88,0)</f>
        <v>0.44</v>
      </c>
      <c r="AA88" s="179">
        <f ca="1">OFFSET(환산공식!FY$15,$F88,0)</f>
        <v>0.31</v>
      </c>
      <c r="AB88" s="3"/>
      <c r="AD88">
        <f t="shared" ca="1" si="3"/>
        <v>6</v>
      </c>
      <c r="AF88" s="3"/>
      <c r="AG88" s="3"/>
      <c r="AH88" s="3"/>
    </row>
    <row r="89" spans="1:34">
      <c r="A89" s="198"/>
      <c r="B89" s="198"/>
      <c r="C89" s="198" t="s">
        <v>2410</v>
      </c>
      <c r="D89" s="235">
        <v>1974</v>
      </c>
      <c r="E89" s="195">
        <v>74</v>
      </c>
      <c r="F89" s="195">
        <v>74</v>
      </c>
      <c r="G89" s="239">
        <v>82</v>
      </c>
      <c r="H89" s="197" t="s">
        <v>81</v>
      </c>
      <c r="I89" s="242" t="s">
        <v>236</v>
      </c>
      <c r="J89" s="242" t="s">
        <v>9074</v>
      </c>
      <c r="K89" s="195" t="s">
        <v>70</v>
      </c>
      <c r="L89" s="20" t="str">
        <f ca="1">IF(OFFSET(환산공식!$ED$15,$F89,0)=1,"O","X")</f>
        <v>X</v>
      </c>
      <c r="M89" s="188">
        <f ca="1">IFERROR(OFFSET(환산공식!DJ$15,$F89,0),"")</f>
        <v>200</v>
      </c>
      <c r="N89" s="20" t="str">
        <f ca="1">IFERROR(CONCATENATE(ROUND(OFFSET(환산공식!DK$15,$F89,0),1),"%"),"")</f>
        <v>100%</v>
      </c>
      <c r="O89" s="20">
        <f ca="1">IFERROR(OFFSET(환산공식!DL$15,$F89,0),"")</f>
        <v>4</v>
      </c>
      <c r="P89" s="188" t="str">
        <f t="shared" ca="1" si="2"/>
        <v>3% 이하</v>
      </c>
      <c r="Q89" s="194">
        <f ca="1">IFERROR(ROUND(OFFSET(환산공식!$FG$15,$F89,0),3),"")</f>
        <v>0</v>
      </c>
      <c r="R89" s="194">
        <f ca="1">OFFSET('배치점수 계산기'!H$10,$D89,0)</f>
        <v>910.96</v>
      </c>
      <c r="S89" s="194">
        <f ca="1">OFFSET('배치점수 계산기'!I$10,$D89,0)</f>
        <v>905.69399999999996</v>
      </c>
      <c r="T89" s="194">
        <f ca="1">OFFSET('배치점수 계산기'!J$10,$D89,0)</f>
        <v>901.202</v>
      </c>
      <c r="U89" s="194">
        <f ca="1">OFFSET('배치점수 계산기'!K$10,$D89,0)</f>
        <v>897.51700000000005</v>
      </c>
      <c r="V89" s="194">
        <f ca="1">OFFSET('배치점수 계산기'!L$10,$D89,0)</f>
        <v>890.75900000000001</v>
      </c>
      <c r="W89" s="186" t="str">
        <f ca="1">OFFSET('배치점수 계산기'!M$10,$D89,0)</f>
        <v>표점/만점</v>
      </c>
      <c r="X89" s="184" t="str">
        <f ca="1">OFFSET('배치점수 계산기'!N$10,$D89,0)</f>
        <v>변표/만점</v>
      </c>
      <c r="Y89" s="188">
        <f ca="1">OFFSET(환산공식!FW$15,$F89,0)</f>
        <v>0.25</v>
      </c>
      <c r="Z89" s="20">
        <f ca="1">OFFSET(환산공식!FX$15,$F89,0)</f>
        <v>0.44</v>
      </c>
      <c r="AA89" s="179">
        <f ca="1">OFFSET(환산공식!FY$15,$F89,0)</f>
        <v>0.31</v>
      </c>
      <c r="AB89" s="3"/>
      <c r="AD89">
        <f t="shared" ca="1" si="3"/>
        <v>6</v>
      </c>
      <c r="AF89" s="3"/>
      <c r="AG89" s="3"/>
      <c r="AH89" s="3"/>
    </row>
    <row r="90" spans="1:34">
      <c r="A90" s="198"/>
      <c r="B90" s="198"/>
      <c r="C90" s="198" t="s">
        <v>2411</v>
      </c>
      <c r="D90" s="235">
        <v>1975</v>
      </c>
      <c r="E90" s="195">
        <v>74</v>
      </c>
      <c r="F90" s="195">
        <v>74</v>
      </c>
      <c r="G90" s="239">
        <v>83</v>
      </c>
      <c r="H90" s="197" t="s">
        <v>81</v>
      </c>
      <c r="I90" s="242" t="s">
        <v>236</v>
      </c>
      <c r="J90" s="242" t="s">
        <v>8168</v>
      </c>
      <c r="K90" s="195" t="s">
        <v>70</v>
      </c>
      <c r="L90" s="20" t="str">
        <f ca="1">IF(OFFSET(환산공식!$ED$15,$F90,0)=1,"O","X")</f>
        <v>X</v>
      </c>
      <c r="M90" s="188">
        <f ca="1">IFERROR(OFFSET(환산공식!DJ$15,$F90,0),"")</f>
        <v>200</v>
      </c>
      <c r="N90" s="20" t="str">
        <f ca="1">IFERROR(CONCATENATE(ROUND(OFFSET(환산공식!DK$15,$F90,0),1),"%"),"")</f>
        <v>100%</v>
      </c>
      <c r="O90" s="20">
        <f ca="1">IFERROR(OFFSET(환산공식!DL$15,$F90,0),"")</f>
        <v>4</v>
      </c>
      <c r="P90" s="188" t="str">
        <f t="shared" ca="1" si="2"/>
        <v>3% 이하</v>
      </c>
      <c r="Q90" s="194">
        <f ca="1">IFERROR(ROUND(OFFSET(환산공식!$FG$15,$F90,0),3),"")</f>
        <v>0</v>
      </c>
      <c r="R90" s="194">
        <f ca="1">OFFSET('배치점수 계산기'!H$10,$D90,0)</f>
        <v>910.96</v>
      </c>
      <c r="S90" s="194">
        <f ca="1">OFFSET('배치점수 계산기'!I$10,$D90,0)</f>
        <v>905.69399999999996</v>
      </c>
      <c r="T90" s="194">
        <f ca="1">OFFSET('배치점수 계산기'!J$10,$D90,0)</f>
        <v>901.202</v>
      </c>
      <c r="U90" s="194">
        <f ca="1">OFFSET('배치점수 계산기'!K$10,$D90,0)</f>
        <v>897.51700000000005</v>
      </c>
      <c r="V90" s="194">
        <f ca="1">OFFSET('배치점수 계산기'!L$10,$D90,0)</f>
        <v>890.75900000000001</v>
      </c>
      <c r="W90" s="186" t="str">
        <f ca="1">OFFSET('배치점수 계산기'!M$10,$D90,0)</f>
        <v>표점/만점</v>
      </c>
      <c r="X90" s="184" t="str">
        <f ca="1">OFFSET('배치점수 계산기'!N$10,$D90,0)</f>
        <v>변표/만점</v>
      </c>
      <c r="Y90" s="188">
        <f ca="1">OFFSET(환산공식!FW$15,$F90,0)</f>
        <v>0.25</v>
      </c>
      <c r="Z90" s="20">
        <f ca="1">OFFSET(환산공식!FX$15,$F90,0)</f>
        <v>0.44</v>
      </c>
      <c r="AA90" s="179">
        <f ca="1">OFFSET(환산공식!FY$15,$F90,0)</f>
        <v>0.31</v>
      </c>
      <c r="AB90" s="3"/>
      <c r="AD90">
        <f t="shared" ca="1" si="3"/>
        <v>6</v>
      </c>
      <c r="AF90" s="3"/>
      <c r="AG90" s="3"/>
      <c r="AH90" s="3"/>
    </row>
    <row r="91" spans="1:34">
      <c r="A91" s="198"/>
      <c r="B91" s="198"/>
      <c r="C91" s="198" t="s">
        <v>2412</v>
      </c>
      <c r="D91" s="235">
        <v>1976</v>
      </c>
      <c r="E91" s="195">
        <v>74</v>
      </c>
      <c r="F91" s="195">
        <v>74</v>
      </c>
      <c r="G91" s="239">
        <v>84</v>
      </c>
      <c r="H91" s="197" t="s">
        <v>81</v>
      </c>
      <c r="I91" s="242" t="s">
        <v>236</v>
      </c>
      <c r="J91" s="242" t="s">
        <v>550</v>
      </c>
      <c r="K91" s="195" t="s">
        <v>70</v>
      </c>
      <c r="L91" s="20" t="str">
        <f ca="1">IF(OFFSET(환산공식!$ED$15,$F91,0)=1,"O","X")</f>
        <v>X</v>
      </c>
      <c r="M91" s="188">
        <f ca="1">IFERROR(OFFSET(환산공식!DJ$15,$F91,0),"")</f>
        <v>200</v>
      </c>
      <c r="N91" s="20" t="str">
        <f ca="1">IFERROR(CONCATENATE(ROUND(OFFSET(환산공식!DK$15,$F91,0),1),"%"),"")</f>
        <v>100%</v>
      </c>
      <c r="O91" s="20">
        <f ca="1">IFERROR(OFFSET(환산공식!DL$15,$F91,0),"")</f>
        <v>4</v>
      </c>
      <c r="P91" s="188" t="str">
        <f t="shared" ca="1" si="2"/>
        <v>3% 이하</v>
      </c>
      <c r="Q91" s="194">
        <f ca="1">IFERROR(ROUND(OFFSET(환산공식!$FG$15,$F91,0),3),"")</f>
        <v>0</v>
      </c>
      <c r="R91" s="194">
        <f ca="1">OFFSET('배치점수 계산기'!H$10,$D91,0)</f>
        <v>909.68899999999996</v>
      </c>
      <c r="S91" s="194">
        <f ca="1">OFFSET('배치점수 계산기'!I$10,$D91,0)</f>
        <v>904.82100000000003</v>
      </c>
      <c r="T91" s="194">
        <f ca="1">OFFSET('배치점수 계산기'!J$10,$D91,0)</f>
        <v>900.03499999999997</v>
      </c>
      <c r="U91" s="194">
        <f ca="1">OFFSET('배치점수 계산기'!K$10,$D91,0)</f>
        <v>896.40700000000004</v>
      </c>
      <c r="V91" s="194">
        <f ca="1">OFFSET('배치점수 계산기'!L$10,$D91,0)</f>
        <v>890.16399999999999</v>
      </c>
      <c r="W91" s="186" t="str">
        <f ca="1">OFFSET('배치점수 계산기'!M$10,$D91,0)</f>
        <v>표점/만점</v>
      </c>
      <c r="X91" s="184" t="str">
        <f ca="1">OFFSET('배치점수 계산기'!N$10,$D91,0)</f>
        <v>변표/만점</v>
      </c>
      <c r="Y91" s="188">
        <f ca="1">OFFSET(환산공식!FW$15,$F91,0)</f>
        <v>0.25</v>
      </c>
      <c r="Z91" s="20">
        <f ca="1">OFFSET(환산공식!FX$15,$F91,0)</f>
        <v>0.44</v>
      </c>
      <c r="AA91" s="179">
        <f ca="1">OFFSET(환산공식!FY$15,$F91,0)</f>
        <v>0.31</v>
      </c>
      <c r="AB91" s="3"/>
      <c r="AD91">
        <f t="shared" ca="1" si="3"/>
        <v>6</v>
      </c>
      <c r="AF91" s="3"/>
      <c r="AG91" s="3"/>
      <c r="AH91" s="3"/>
    </row>
    <row r="92" spans="1:34">
      <c r="A92" s="198"/>
      <c r="B92" s="198"/>
      <c r="C92" s="198" t="s">
        <v>2413</v>
      </c>
      <c r="D92" s="235">
        <v>1977</v>
      </c>
      <c r="E92" s="195">
        <v>74</v>
      </c>
      <c r="F92" s="195">
        <v>74</v>
      </c>
      <c r="G92" s="239">
        <v>85</v>
      </c>
      <c r="H92" s="197" t="s">
        <v>81</v>
      </c>
      <c r="I92" s="242" t="s">
        <v>236</v>
      </c>
      <c r="J92" s="242" t="s">
        <v>555</v>
      </c>
      <c r="K92" s="195" t="s">
        <v>70</v>
      </c>
      <c r="L92" s="20" t="str">
        <f ca="1">IF(OFFSET(환산공식!$ED$15,$F92,0)=1,"O","X")</f>
        <v>X</v>
      </c>
      <c r="M92" s="188">
        <f ca="1">IFERROR(OFFSET(환산공식!DJ$15,$F92,0),"")</f>
        <v>200</v>
      </c>
      <c r="N92" s="20" t="str">
        <f ca="1">IFERROR(CONCATENATE(ROUND(OFFSET(환산공식!DK$15,$F92,0),1),"%"),"")</f>
        <v>100%</v>
      </c>
      <c r="O92" s="20">
        <f ca="1">IFERROR(OFFSET(환산공식!DL$15,$F92,0),"")</f>
        <v>4</v>
      </c>
      <c r="P92" s="188" t="str">
        <f t="shared" ca="1" si="2"/>
        <v>3% 이하</v>
      </c>
      <c r="Q92" s="194">
        <f ca="1">IFERROR(ROUND(OFFSET(환산공식!$FG$15,$F92,0),3),"")</f>
        <v>0</v>
      </c>
      <c r="R92" s="194">
        <f ca="1">OFFSET('배치점수 계산기'!H$10,$D92,0)</f>
        <v>907.54899999999998</v>
      </c>
      <c r="S92" s="194">
        <f ca="1">OFFSET('배치점수 계산기'!I$10,$D92,0)</f>
        <v>902.029</v>
      </c>
      <c r="T92" s="194">
        <f ca="1">OFFSET('배치점수 계산기'!J$10,$D92,0)</f>
        <v>897.65300000000002</v>
      </c>
      <c r="U92" s="194">
        <f ca="1">OFFSET('배치점수 계산기'!K$10,$D92,0)</f>
        <v>894.77300000000002</v>
      </c>
      <c r="V92" s="194">
        <f ca="1">OFFSET('배치점수 계산기'!L$10,$D92,0)</f>
        <v>888.87599999999998</v>
      </c>
      <c r="W92" s="186" t="str">
        <f ca="1">OFFSET('배치점수 계산기'!M$10,$D92,0)</f>
        <v>표점/만점</v>
      </c>
      <c r="X92" s="184" t="str">
        <f ca="1">OFFSET('배치점수 계산기'!N$10,$D92,0)</f>
        <v>변표/만점</v>
      </c>
      <c r="Y92" s="188">
        <f ca="1">OFFSET(환산공식!FW$15,$F92,0)</f>
        <v>0.25</v>
      </c>
      <c r="Z92" s="20">
        <f ca="1">OFFSET(환산공식!FX$15,$F92,0)</f>
        <v>0.44</v>
      </c>
      <c r="AA92" s="179">
        <f ca="1">OFFSET(환산공식!FY$15,$F92,0)</f>
        <v>0.31</v>
      </c>
      <c r="AB92" s="3"/>
      <c r="AD92">
        <f t="shared" ca="1" si="3"/>
        <v>6</v>
      </c>
      <c r="AF92" s="3"/>
      <c r="AG92" s="3"/>
      <c r="AH92" s="3"/>
    </row>
    <row r="93" spans="1:34">
      <c r="A93" s="198"/>
      <c r="B93" s="198"/>
      <c r="C93" s="198" t="s">
        <v>2414</v>
      </c>
      <c r="D93" s="235">
        <v>1978</v>
      </c>
      <c r="E93" s="195">
        <v>73</v>
      </c>
      <c r="F93" s="195">
        <v>73</v>
      </c>
      <c r="G93" s="239">
        <v>86</v>
      </c>
      <c r="H93" s="197" t="s">
        <v>81</v>
      </c>
      <c r="I93" s="242" t="s">
        <v>236</v>
      </c>
      <c r="J93" s="242" t="s">
        <v>8938</v>
      </c>
      <c r="K93" s="195" t="s">
        <v>71</v>
      </c>
      <c r="L93" s="20" t="str">
        <f ca="1">IF(OFFSET(환산공식!$ED$15,$F93,0)=1,"O","X")</f>
        <v>X</v>
      </c>
      <c r="M93" s="188">
        <f ca="1">IFERROR(OFFSET(환산공식!DJ$15,$F93,0),"")</f>
        <v>200</v>
      </c>
      <c r="N93" s="20" t="str">
        <f ca="1">IFERROR(CONCATENATE(ROUND(OFFSET(환산공식!DK$15,$F93,0),1),"%"),"")</f>
        <v>100%</v>
      </c>
      <c r="O93" s="20">
        <f ca="1">IFERROR(OFFSET(환산공식!DL$15,$F93,0),"")</f>
        <v>4</v>
      </c>
      <c r="P93" s="188" t="str">
        <f t="shared" ca="1" si="2"/>
        <v>3% 이하</v>
      </c>
      <c r="Q93" s="194">
        <f ca="1">IFERROR(ROUND(OFFSET(환산공식!$FG$15,$F93,0),3),"")</f>
        <v>0</v>
      </c>
      <c r="R93" s="194">
        <f ca="1">OFFSET('배치점수 계산기'!H$10,$D93,0)</f>
        <v>908.83799999999997</v>
      </c>
      <c r="S93" s="194">
        <f ca="1">OFFSET('배치점수 계산기'!I$10,$D93,0)</f>
        <v>903.68299999999999</v>
      </c>
      <c r="T93" s="194">
        <f ca="1">OFFSET('배치점수 계산기'!J$10,$D93,0)</f>
        <v>900.61</v>
      </c>
      <c r="U93" s="194">
        <f ca="1">OFFSET('배치점수 계산기'!K$10,$D93,0)</f>
        <v>897.37</v>
      </c>
      <c r="V93" s="194">
        <f ca="1">OFFSET('배치점수 계산기'!L$10,$D93,0)</f>
        <v>889.66800000000001</v>
      </c>
      <c r="W93" s="186" t="str">
        <f ca="1">OFFSET('배치점수 계산기'!M$10,$D93,0)</f>
        <v>표점/만점</v>
      </c>
      <c r="X93" s="184" t="str">
        <f ca="1">OFFSET('배치점수 계산기'!N$10,$D93,0)</f>
        <v>변표/만점</v>
      </c>
      <c r="Y93" s="188">
        <f ca="1">OFFSET(환산공식!FW$15,$F93,0)</f>
        <v>0.38</v>
      </c>
      <c r="Z93" s="20">
        <f ca="1">OFFSET(환산공식!FX$15,$F93,0)</f>
        <v>0.31</v>
      </c>
      <c r="AA93" s="179">
        <f ca="1">OFFSET(환산공식!FY$15,$F93,0)</f>
        <v>0.31</v>
      </c>
      <c r="AB93" s="3"/>
      <c r="AD93">
        <f t="shared" ca="1" si="3"/>
        <v>6</v>
      </c>
      <c r="AF93" s="3"/>
      <c r="AG93" s="3"/>
      <c r="AH93" s="3"/>
    </row>
    <row r="94" spans="1:34">
      <c r="A94" s="198"/>
      <c r="B94" s="198"/>
      <c r="C94" s="198" t="s">
        <v>2415</v>
      </c>
      <c r="D94" s="235">
        <v>1979</v>
      </c>
      <c r="E94" s="195">
        <v>76</v>
      </c>
      <c r="F94" s="195">
        <v>76</v>
      </c>
      <c r="G94" s="239">
        <v>87</v>
      </c>
      <c r="H94" s="197" t="s">
        <v>81</v>
      </c>
      <c r="I94" s="242" t="s">
        <v>236</v>
      </c>
      <c r="J94" s="242" t="s">
        <v>9709</v>
      </c>
      <c r="K94" s="195" t="s">
        <v>71</v>
      </c>
      <c r="L94" s="20" t="str">
        <f ca="1">IF(OFFSET(환산공식!$ED$15,$F94,0)=1,"O","X")</f>
        <v>X</v>
      </c>
      <c r="M94" s="188">
        <f ca="1">IFERROR(OFFSET(환산공식!DJ$15,$F94,0),"")</f>
        <v>200</v>
      </c>
      <c r="N94" s="20" t="str">
        <f ca="1">IFERROR(CONCATENATE(ROUND(OFFSET(환산공식!DK$15,$F94,0),1),"%"),"")</f>
        <v>100%</v>
      </c>
      <c r="O94" s="20">
        <f ca="1">IFERROR(OFFSET(환산공식!DL$15,$F94,0),"")</f>
        <v>4</v>
      </c>
      <c r="P94" s="188" t="str">
        <f t="shared" ca="1" si="2"/>
        <v>3% 이하</v>
      </c>
      <c r="Q94" s="194">
        <f ca="1">IFERROR(ROUND(OFFSET(환산공식!$FG$15,$F94,0),3),"")</f>
        <v>0</v>
      </c>
      <c r="R94" s="194">
        <f ca="1">OFFSET('배치점수 계산기'!H$10,$D94,0)</f>
        <v>903.99199999999996</v>
      </c>
      <c r="S94" s="194">
        <f ca="1">OFFSET('배치점수 계산기'!I$10,$D94,0)</f>
        <v>898.471</v>
      </c>
      <c r="T94" s="194">
        <f ca="1">OFFSET('배치점수 계산기'!J$10,$D94,0)</f>
        <v>894.41899999999998</v>
      </c>
      <c r="U94" s="194">
        <f ca="1">OFFSET('배치점수 계산기'!K$10,$D94,0)</f>
        <v>890.94600000000003</v>
      </c>
      <c r="V94" s="194">
        <f ca="1">OFFSET('배치점수 계산기'!L$10,$D94,0)</f>
        <v>883.18700000000001</v>
      </c>
      <c r="W94" s="186" t="str">
        <f ca="1">OFFSET('배치점수 계산기'!M$10,$D94,0)</f>
        <v>표점/만점</v>
      </c>
      <c r="X94" s="184" t="str">
        <f ca="1">OFFSET('배치점수 계산기'!N$10,$D94,0)</f>
        <v>변표/만점</v>
      </c>
      <c r="Y94" s="188">
        <f ca="1">OFFSET(환산공식!FW$15,$F94,0)</f>
        <v>0.44</v>
      </c>
      <c r="Z94" s="20">
        <f ca="1">OFFSET(환산공식!FX$15,$F94,0)</f>
        <v>0.25</v>
      </c>
      <c r="AA94" s="179">
        <f ca="1">OFFSET(환산공식!FY$15,$F94,0)</f>
        <v>0.31</v>
      </c>
      <c r="AB94" s="3"/>
      <c r="AD94">
        <f t="shared" ca="1" si="3"/>
        <v>6</v>
      </c>
      <c r="AF94" s="3"/>
      <c r="AG94" s="3"/>
      <c r="AH94" s="3"/>
    </row>
    <row r="95" spans="1:34">
      <c r="A95" s="198"/>
      <c r="B95" s="198"/>
      <c r="C95" s="198" t="s">
        <v>2416</v>
      </c>
      <c r="D95" s="235">
        <v>1980</v>
      </c>
      <c r="E95" s="195">
        <v>67</v>
      </c>
      <c r="F95" s="195">
        <v>67</v>
      </c>
      <c r="G95" s="239">
        <v>88</v>
      </c>
      <c r="H95" s="197" t="s">
        <v>81</v>
      </c>
      <c r="I95" s="242" t="s">
        <v>237</v>
      </c>
      <c r="J95" s="242" t="s">
        <v>10436</v>
      </c>
      <c r="K95" s="195" t="s">
        <v>70</v>
      </c>
      <c r="L95" s="20" t="str">
        <f ca="1">IF(OFFSET(환산공식!$ED$15,$F95,0)=1,"O","X")</f>
        <v>X</v>
      </c>
      <c r="M95" s="188">
        <f ca="1">IFERROR(OFFSET(환산공식!DJ$15,$F95,0),"")</f>
        <v>200</v>
      </c>
      <c r="N95" s="20" t="str">
        <f ca="1">IFERROR(CONCATENATE(ROUND(OFFSET(환산공식!DK$15,$F95,0),1),"%"),"")</f>
        <v>100%</v>
      </c>
      <c r="O95" s="20">
        <f ca="1">IFERROR(OFFSET(환산공식!DL$15,$F95,0),"")</f>
        <v>0</v>
      </c>
      <c r="P95" s="188" t="str">
        <f t="shared" ca="1" si="2"/>
        <v>3% 이하</v>
      </c>
      <c r="Q95" s="194">
        <f ca="1">IFERROR(ROUND(OFFSET(환산공식!$FG$15,$F95,0),3),"")</f>
        <v>0</v>
      </c>
      <c r="R95" s="194">
        <f ca="1">OFFSET('배치점수 계산기'!H$10,$D95,0)</f>
        <v>701.86699999999996</v>
      </c>
      <c r="S95" s="194">
        <f ca="1">OFFSET('배치점수 계산기'!I$10,$D95,0)</f>
        <v>699.06200000000001</v>
      </c>
      <c r="T95" s="194">
        <f ca="1">OFFSET('배치점수 계산기'!J$10,$D95,0)</f>
        <v>696.73199999999997</v>
      </c>
      <c r="U95" s="194">
        <f ca="1">OFFSET('배치점수 계산기'!K$10,$D95,0)</f>
        <v>693.54499999999996</v>
      </c>
      <c r="V95" s="194">
        <f ca="1">OFFSET('배치점수 계산기'!L$10,$D95,0)</f>
        <v>689.76599999999996</v>
      </c>
      <c r="W95" s="186" t="str">
        <f ca="1">OFFSET('배치점수 계산기'!M$10,$D95,0)</f>
        <v>표점</v>
      </c>
      <c r="X95" s="184" t="str">
        <f ca="1">OFFSET('배치점수 계산기'!N$10,$D95,0)</f>
        <v>표점</v>
      </c>
      <c r="Y95" s="188">
        <f ca="1">OFFSET(환산공식!FW$15,$F95,0)</f>
        <v>0.25</v>
      </c>
      <c r="Z95" s="20">
        <f ca="1">OFFSET(환산공식!FX$15,$F95,0)</f>
        <v>0.38</v>
      </c>
      <c r="AA95" s="179">
        <f ca="1">OFFSET(환산공식!FY$15,$F95,0)</f>
        <v>0.38</v>
      </c>
      <c r="AB95" s="3"/>
      <c r="AD95">
        <f t="shared" ca="1" si="3"/>
        <v>6</v>
      </c>
      <c r="AF95" s="3"/>
      <c r="AG95" s="3"/>
      <c r="AH95" s="3"/>
    </row>
    <row r="96" spans="1:34">
      <c r="A96" s="198"/>
      <c r="B96" s="198"/>
      <c r="C96" s="198" t="s">
        <v>2417</v>
      </c>
      <c r="D96" s="235">
        <v>1981</v>
      </c>
      <c r="E96" s="195">
        <v>67</v>
      </c>
      <c r="F96" s="195">
        <v>67</v>
      </c>
      <c r="G96" s="239">
        <v>89</v>
      </c>
      <c r="H96" s="197" t="s">
        <v>81</v>
      </c>
      <c r="I96" s="242" t="s">
        <v>237</v>
      </c>
      <c r="J96" s="242" t="s">
        <v>10859</v>
      </c>
      <c r="K96" s="195" t="s">
        <v>70</v>
      </c>
      <c r="L96" s="20" t="str">
        <f ca="1">IF(OFFSET(환산공식!$ED$15,$F96,0)=1,"O","X")</f>
        <v>X</v>
      </c>
      <c r="M96" s="188">
        <f ca="1">IFERROR(OFFSET(환산공식!DJ$15,$F96,0),"")</f>
        <v>200</v>
      </c>
      <c r="N96" s="20" t="str">
        <f ca="1">IFERROR(CONCATENATE(ROUND(OFFSET(환산공식!DK$15,$F96,0),1),"%"),"")</f>
        <v>100%</v>
      </c>
      <c r="O96" s="20">
        <f ca="1">IFERROR(OFFSET(환산공식!DL$15,$F96,0),"")</f>
        <v>0</v>
      </c>
      <c r="P96" s="188" t="str">
        <f t="shared" ca="1" si="2"/>
        <v>3% 이하</v>
      </c>
      <c r="Q96" s="194">
        <f ca="1">IFERROR(ROUND(OFFSET(환산공식!$FG$15,$F96,0),3),"")</f>
        <v>0</v>
      </c>
      <c r="R96" s="194">
        <f ca="1">OFFSET('배치점수 계산기'!H$10,$D96,0)</f>
        <v>697.67</v>
      </c>
      <c r="S96" s="194">
        <f ca="1">OFFSET('배치점수 계산기'!I$10,$D96,0)</f>
        <v>694.601</v>
      </c>
      <c r="T96" s="194">
        <f ca="1">OFFSET('배치점수 계산기'!J$10,$D96,0)</f>
        <v>692.37099999999998</v>
      </c>
      <c r="U96" s="194">
        <f ca="1">OFFSET('배치점수 계산기'!K$10,$D96,0)</f>
        <v>690.12</v>
      </c>
      <c r="V96" s="194">
        <f ca="1">OFFSET('배치점수 계산기'!L$10,$D96,0)</f>
        <v>686.34100000000001</v>
      </c>
      <c r="W96" s="186" t="str">
        <f ca="1">OFFSET('배치점수 계산기'!M$10,$D96,0)</f>
        <v>표점</v>
      </c>
      <c r="X96" s="184" t="str">
        <f ca="1">OFFSET('배치점수 계산기'!N$10,$D96,0)</f>
        <v>표점</v>
      </c>
      <c r="Y96" s="188">
        <f ca="1">OFFSET(환산공식!FW$15,$F96,0)</f>
        <v>0.25</v>
      </c>
      <c r="Z96" s="20">
        <f ca="1">OFFSET(환산공식!FX$15,$F96,0)</f>
        <v>0.38</v>
      </c>
      <c r="AA96" s="179">
        <f ca="1">OFFSET(환산공식!FY$15,$F96,0)</f>
        <v>0.38</v>
      </c>
      <c r="AB96" s="3"/>
      <c r="AD96">
        <f t="shared" ca="1" si="3"/>
        <v>6</v>
      </c>
      <c r="AF96" s="3"/>
      <c r="AG96" s="3"/>
      <c r="AH96" s="3"/>
    </row>
    <row r="97" spans="1:34">
      <c r="A97" s="198"/>
      <c r="B97" s="198"/>
      <c r="C97" s="198" t="s">
        <v>2418</v>
      </c>
      <c r="D97" s="235">
        <v>1982</v>
      </c>
      <c r="E97" s="195">
        <v>67</v>
      </c>
      <c r="F97" s="195">
        <v>67</v>
      </c>
      <c r="G97" s="239">
        <v>90</v>
      </c>
      <c r="H97" s="197" t="s">
        <v>81</v>
      </c>
      <c r="I97" s="242" t="s">
        <v>237</v>
      </c>
      <c r="J97" s="242" t="s">
        <v>10837</v>
      </c>
      <c r="K97" s="195" t="s">
        <v>70</v>
      </c>
      <c r="L97" s="20" t="str">
        <f ca="1">IF(OFFSET(환산공식!$ED$15,$F97,0)=1,"O","X")</f>
        <v>X</v>
      </c>
      <c r="M97" s="188">
        <f ca="1">IFERROR(OFFSET(환산공식!DJ$15,$F97,0),"")</f>
        <v>200</v>
      </c>
      <c r="N97" s="20" t="str">
        <f ca="1">IFERROR(CONCATENATE(ROUND(OFFSET(환산공식!DK$15,$F97,0),1),"%"),"")</f>
        <v>100%</v>
      </c>
      <c r="O97" s="20">
        <f ca="1">IFERROR(OFFSET(환산공식!DL$15,$F97,0),"")</f>
        <v>0</v>
      </c>
      <c r="P97" s="188" t="str">
        <f t="shared" ca="1" si="2"/>
        <v>3% 이하</v>
      </c>
      <c r="Q97" s="194">
        <f ca="1">IFERROR(ROUND(OFFSET(환산공식!$FG$15,$F97,0),3),"")</f>
        <v>0</v>
      </c>
      <c r="R97" s="194">
        <f ca="1">OFFSET('배치점수 계산기'!H$10,$D97,0)</f>
        <v>694.601</v>
      </c>
      <c r="S97" s="194">
        <f ca="1">OFFSET('배치점수 계산기'!I$10,$D97,0)</f>
        <v>691.85900000000004</v>
      </c>
      <c r="T97" s="194">
        <f ca="1">OFFSET('배치점수 계산기'!J$10,$D97,0)</f>
        <v>690.29200000000003</v>
      </c>
      <c r="U97" s="194">
        <f ca="1">OFFSET('배치점수 계산기'!K$10,$D97,0)</f>
        <v>687.63300000000004</v>
      </c>
      <c r="V97" s="194">
        <f ca="1">OFFSET('배치점수 계산기'!L$10,$D97,0)</f>
        <v>684.71</v>
      </c>
      <c r="W97" s="186" t="str">
        <f ca="1">OFFSET('배치점수 계산기'!M$10,$D97,0)</f>
        <v>표점</v>
      </c>
      <c r="X97" s="184" t="str">
        <f ca="1">OFFSET('배치점수 계산기'!N$10,$D97,0)</f>
        <v>표점</v>
      </c>
      <c r="Y97" s="188">
        <f ca="1">OFFSET(환산공식!FW$15,$F97,0)</f>
        <v>0.25</v>
      </c>
      <c r="Z97" s="20">
        <f ca="1">OFFSET(환산공식!FX$15,$F97,0)</f>
        <v>0.38</v>
      </c>
      <c r="AA97" s="179">
        <f ca="1">OFFSET(환산공식!FY$15,$F97,0)</f>
        <v>0.38</v>
      </c>
      <c r="AB97" s="3"/>
      <c r="AD97">
        <f t="shared" ca="1" si="3"/>
        <v>6</v>
      </c>
      <c r="AF97" s="3"/>
      <c r="AG97" s="3"/>
      <c r="AH97" s="3"/>
    </row>
    <row r="98" spans="1:34">
      <c r="A98" s="198"/>
      <c r="B98" s="198"/>
      <c r="C98" s="198" t="s">
        <v>2419</v>
      </c>
      <c r="D98" s="235">
        <v>1984</v>
      </c>
      <c r="E98" s="195">
        <v>68</v>
      </c>
      <c r="F98" s="195">
        <v>68</v>
      </c>
      <c r="G98" s="239">
        <v>91</v>
      </c>
      <c r="H98" s="197" t="s">
        <v>81</v>
      </c>
      <c r="I98" s="242" t="s">
        <v>237</v>
      </c>
      <c r="J98" s="242" t="s">
        <v>10158</v>
      </c>
      <c r="K98" s="195" t="s">
        <v>71</v>
      </c>
      <c r="L98" s="20" t="str">
        <f ca="1">IF(OFFSET(환산공식!$ED$15,$F98,0)=1,"O","X")</f>
        <v>X</v>
      </c>
      <c r="M98" s="188">
        <f ca="1">IFERROR(OFFSET(환산공식!DJ$15,$F98,0),"")</f>
        <v>200</v>
      </c>
      <c r="N98" s="20" t="str">
        <f ca="1">IFERROR(CONCATENATE(ROUND(OFFSET(환산공식!DK$15,$F98,0),1),"%"),"")</f>
        <v>100%</v>
      </c>
      <c r="O98" s="20">
        <f ca="1">IFERROR(OFFSET(환산공식!DL$15,$F98,0),"")</f>
        <v>0</v>
      </c>
      <c r="P98" s="188" t="str">
        <f t="shared" ca="1" si="2"/>
        <v>3% 이하</v>
      </c>
      <c r="Q98" s="194">
        <f ca="1">IFERROR(ROUND(OFFSET(환산공식!$FG$15,$F98,0),3),"")</f>
        <v>0</v>
      </c>
      <c r="R98" s="194">
        <f ca="1">OFFSET('배치점수 계산기'!H$10,$D98,0)</f>
        <v>699.09400000000005</v>
      </c>
      <c r="S98" s="194">
        <f ca="1">OFFSET('배치점수 계산기'!I$10,$D98,0)</f>
        <v>696.5</v>
      </c>
      <c r="T98" s="194">
        <f ca="1">OFFSET('배치점수 계산기'!J$10,$D98,0)</f>
        <v>694.36</v>
      </c>
      <c r="U98" s="194">
        <f ca="1">OFFSET('배치점수 계산기'!K$10,$D98,0)</f>
        <v>691.31600000000003</v>
      </c>
      <c r="V98" s="194">
        <f ca="1">OFFSET('배치점수 계산기'!L$10,$D98,0)</f>
        <v>687</v>
      </c>
      <c r="W98" s="186" t="str">
        <f ca="1">OFFSET('배치점수 계산기'!M$10,$D98,0)</f>
        <v>표점</v>
      </c>
      <c r="X98" s="184" t="str">
        <f ca="1">OFFSET('배치점수 계산기'!N$10,$D98,0)</f>
        <v>표점</v>
      </c>
      <c r="Y98" s="188">
        <f ca="1">OFFSET(환산공식!FW$15,$F98,0)</f>
        <v>0.38</v>
      </c>
      <c r="Z98" s="20">
        <f ca="1">OFFSET(환산공식!FX$15,$F98,0)</f>
        <v>0.38</v>
      </c>
      <c r="AA98" s="179">
        <f ca="1">OFFSET(환산공식!FY$15,$F98,0)</f>
        <v>0.25</v>
      </c>
      <c r="AB98" s="3"/>
      <c r="AD98">
        <f t="shared" ca="1" si="3"/>
        <v>6</v>
      </c>
      <c r="AF98" s="3"/>
      <c r="AG98" s="3"/>
      <c r="AH98" s="3"/>
    </row>
    <row r="99" spans="1:34">
      <c r="A99" s="198"/>
      <c r="B99" s="198"/>
      <c r="C99" s="198" t="s">
        <v>2420</v>
      </c>
      <c r="D99" s="235">
        <v>1985</v>
      </c>
      <c r="E99" s="195">
        <v>68</v>
      </c>
      <c r="F99" s="195">
        <v>68</v>
      </c>
      <c r="G99" s="239">
        <v>92</v>
      </c>
      <c r="H99" s="197" t="s">
        <v>81</v>
      </c>
      <c r="I99" s="242" t="s">
        <v>237</v>
      </c>
      <c r="J99" s="242" t="s">
        <v>9921</v>
      </c>
      <c r="K99" s="195" t="s">
        <v>71</v>
      </c>
      <c r="L99" s="20" t="str">
        <f ca="1">IF(OFFSET(환산공식!$ED$15,$F99,0)=1,"O","X")</f>
        <v>X</v>
      </c>
      <c r="M99" s="188">
        <f ca="1">IFERROR(OFFSET(환산공식!DJ$15,$F99,0),"")</f>
        <v>200</v>
      </c>
      <c r="N99" s="20" t="str">
        <f ca="1">IFERROR(CONCATENATE(ROUND(OFFSET(환산공식!DK$15,$F99,0),1),"%"),"")</f>
        <v>100%</v>
      </c>
      <c r="O99" s="20">
        <f ca="1">IFERROR(OFFSET(환산공식!DL$15,$F99,0),"")</f>
        <v>0</v>
      </c>
      <c r="P99" s="188" t="str">
        <f t="shared" ca="1" si="2"/>
        <v>3% 이하</v>
      </c>
      <c r="Q99" s="194">
        <f ca="1">IFERROR(ROUND(OFFSET(환산공식!$FG$15,$F99,0),3),"")</f>
        <v>0</v>
      </c>
      <c r="R99" s="194">
        <f ca="1">OFFSET('배치점수 계산기'!H$10,$D99,0)</f>
        <v>694.49400000000003</v>
      </c>
      <c r="S99" s="194">
        <f ca="1">OFFSET('배치점수 계산기'!I$10,$D99,0)</f>
        <v>692.11599999999999</v>
      </c>
      <c r="T99" s="194">
        <f ca="1">OFFSET('배치점수 계산기'!J$10,$D99,0)</f>
        <v>688.97400000000005</v>
      </c>
      <c r="U99" s="194">
        <f ca="1">OFFSET('배치점수 계산기'!K$10,$D99,0)</f>
        <v>687</v>
      </c>
      <c r="V99" s="194">
        <f ca="1">OFFSET('배치점수 계산기'!L$10,$D99,0)</f>
        <v>684.39</v>
      </c>
      <c r="W99" s="186" t="str">
        <f ca="1">OFFSET('배치점수 계산기'!M$10,$D99,0)</f>
        <v>표점</v>
      </c>
      <c r="X99" s="184" t="str">
        <f ca="1">OFFSET('배치점수 계산기'!N$10,$D99,0)</f>
        <v>표점</v>
      </c>
      <c r="Y99" s="188">
        <f ca="1">OFFSET(환산공식!FW$15,$F99,0)</f>
        <v>0.38</v>
      </c>
      <c r="Z99" s="20">
        <f ca="1">OFFSET(환산공식!FX$15,$F99,0)</f>
        <v>0.38</v>
      </c>
      <c r="AA99" s="179">
        <f ca="1">OFFSET(환산공식!FY$15,$F99,0)</f>
        <v>0.25</v>
      </c>
      <c r="AB99" s="3"/>
      <c r="AD99">
        <f t="shared" ca="1" si="3"/>
        <v>6</v>
      </c>
      <c r="AF99" s="3"/>
      <c r="AG99" s="3"/>
      <c r="AH99" s="3"/>
    </row>
    <row r="100" spans="1:34">
      <c r="A100" s="198"/>
      <c r="B100" s="198"/>
      <c r="C100" s="198" t="s">
        <v>2421</v>
      </c>
      <c r="D100" s="235">
        <v>1986</v>
      </c>
      <c r="E100" s="195">
        <v>68</v>
      </c>
      <c r="F100" s="195">
        <v>68</v>
      </c>
      <c r="G100" s="239">
        <v>93</v>
      </c>
      <c r="H100" s="197" t="s">
        <v>81</v>
      </c>
      <c r="I100" s="242" t="s">
        <v>237</v>
      </c>
      <c r="J100" s="242" t="s">
        <v>9936</v>
      </c>
      <c r="K100" s="195" t="s">
        <v>71</v>
      </c>
      <c r="L100" s="20" t="str">
        <f ca="1">IF(OFFSET(환산공식!$ED$15,$F100,0)=1,"O","X")</f>
        <v>X</v>
      </c>
      <c r="M100" s="188">
        <f ca="1">IFERROR(OFFSET(환산공식!DJ$15,$F100,0),"")</f>
        <v>200</v>
      </c>
      <c r="N100" s="20" t="str">
        <f ca="1">IFERROR(CONCATENATE(ROUND(OFFSET(환산공식!DK$15,$F100,0),1),"%"),"")</f>
        <v>100%</v>
      </c>
      <c r="O100" s="20">
        <f ca="1">IFERROR(OFFSET(환산공식!DL$15,$F100,0),"")</f>
        <v>0</v>
      </c>
      <c r="P100" s="188" t="str">
        <f t="shared" ca="1" si="2"/>
        <v>3% 이하</v>
      </c>
      <c r="Q100" s="194">
        <f ca="1">IFERROR(ROUND(OFFSET(환산공식!$FG$15,$F100,0),3),"")</f>
        <v>0</v>
      </c>
      <c r="R100" s="194">
        <f ca="1">OFFSET('배치점수 계산기'!H$10,$D100,0)</f>
        <v>693.80600000000004</v>
      </c>
      <c r="S100" s="194">
        <f ca="1">OFFSET('배치점수 계산기'!I$10,$D100,0)</f>
        <v>691.46600000000001</v>
      </c>
      <c r="T100" s="194">
        <f ca="1">OFFSET('배치점수 계산기'!J$10,$D100,0)</f>
        <v>688.27</v>
      </c>
      <c r="U100" s="194">
        <f ca="1">OFFSET('배치점수 계산기'!K$10,$D100,0)</f>
        <v>686.53</v>
      </c>
      <c r="V100" s="194">
        <f ca="1">OFFSET('배치점수 계산기'!L$10,$D100,0)</f>
        <v>683.05</v>
      </c>
      <c r="W100" s="186" t="str">
        <f ca="1">OFFSET('배치점수 계산기'!M$10,$D100,0)</f>
        <v>표점</v>
      </c>
      <c r="X100" s="184" t="str">
        <f ca="1">OFFSET('배치점수 계산기'!N$10,$D100,0)</f>
        <v>표점</v>
      </c>
      <c r="Y100" s="188">
        <f ca="1">OFFSET(환산공식!FW$15,$F100,0)</f>
        <v>0.38</v>
      </c>
      <c r="Z100" s="20">
        <f ca="1">OFFSET(환산공식!FX$15,$F100,0)</f>
        <v>0.38</v>
      </c>
      <c r="AA100" s="179">
        <f ca="1">OFFSET(환산공식!FY$15,$F100,0)</f>
        <v>0.25</v>
      </c>
      <c r="AB100" s="3"/>
      <c r="AD100">
        <f t="shared" ca="1" si="3"/>
        <v>6</v>
      </c>
      <c r="AF100" s="3"/>
      <c r="AG100" s="3"/>
      <c r="AH100" s="3"/>
    </row>
    <row r="101" spans="1:34">
      <c r="A101" s="198"/>
      <c r="B101" s="198"/>
      <c r="C101" s="198" t="s">
        <v>2422</v>
      </c>
      <c r="D101" s="235">
        <v>1987</v>
      </c>
      <c r="E101" s="195">
        <v>68</v>
      </c>
      <c r="F101" s="195">
        <v>68</v>
      </c>
      <c r="G101" s="239">
        <v>94</v>
      </c>
      <c r="H101" s="197" t="s">
        <v>81</v>
      </c>
      <c r="I101" s="242" t="s">
        <v>237</v>
      </c>
      <c r="J101" s="242" t="s">
        <v>8753</v>
      </c>
      <c r="K101" s="195" t="s">
        <v>71</v>
      </c>
      <c r="L101" s="20" t="str">
        <f ca="1">IF(OFFSET(환산공식!$ED$15,$F101,0)=1,"O","X")</f>
        <v>X</v>
      </c>
      <c r="M101" s="188">
        <f ca="1">IFERROR(OFFSET(환산공식!DJ$15,$F101,0),"")</f>
        <v>200</v>
      </c>
      <c r="N101" s="20" t="str">
        <f ca="1">IFERROR(CONCATENATE(ROUND(OFFSET(환산공식!DK$15,$F101,0),1),"%"),"")</f>
        <v>100%</v>
      </c>
      <c r="O101" s="20">
        <f ca="1">IFERROR(OFFSET(환산공식!DL$15,$F101,0),"")</f>
        <v>0</v>
      </c>
      <c r="P101" s="188" t="str">
        <f t="shared" ca="1" si="2"/>
        <v>3% 이하</v>
      </c>
      <c r="Q101" s="194">
        <f ca="1">IFERROR(ROUND(OFFSET(환산공식!$FG$15,$F101,0),3),"")</f>
        <v>0</v>
      </c>
      <c r="R101" s="194">
        <f ca="1">OFFSET('배치점수 계산기'!H$10,$D101,0)</f>
        <v>693.60599999999999</v>
      </c>
      <c r="S101" s="194">
        <f ca="1">OFFSET('배치점수 계산기'!I$10,$D101,0)</f>
        <v>691.04600000000005</v>
      </c>
      <c r="T101" s="194">
        <f ca="1">OFFSET('배치점수 계산기'!J$10,$D101,0)</f>
        <v>687.98599999999999</v>
      </c>
      <c r="U101" s="194">
        <f ca="1">OFFSET('배치점수 계산기'!K$10,$D101,0)</f>
        <v>686.24599999999998</v>
      </c>
      <c r="V101" s="194">
        <f ca="1">OFFSET('배치점수 계산기'!L$10,$D101,0)</f>
        <v>682.76599999999996</v>
      </c>
      <c r="W101" s="186" t="str">
        <f ca="1">OFFSET('배치점수 계산기'!M$10,$D101,0)</f>
        <v>표점</v>
      </c>
      <c r="X101" s="184" t="str">
        <f ca="1">OFFSET('배치점수 계산기'!N$10,$D101,0)</f>
        <v>표점</v>
      </c>
      <c r="Y101" s="188">
        <f ca="1">OFFSET(환산공식!FW$15,$F101,0)</f>
        <v>0.38</v>
      </c>
      <c r="Z101" s="20">
        <f ca="1">OFFSET(환산공식!FX$15,$F101,0)</f>
        <v>0.38</v>
      </c>
      <c r="AA101" s="179">
        <f ca="1">OFFSET(환산공식!FY$15,$F101,0)</f>
        <v>0.25</v>
      </c>
      <c r="AB101" s="3"/>
      <c r="AD101">
        <f t="shared" ca="1" si="3"/>
        <v>6</v>
      </c>
      <c r="AF101" s="3"/>
      <c r="AG101" s="3"/>
      <c r="AH101" s="3"/>
    </row>
    <row r="102" spans="1:34">
      <c r="A102" s="198"/>
      <c r="B102" s="198"/>
      <c r="C102" s="198" t="s">
        <v>2423</v>
      </c>
      <c r="D102" s="235">
        <v>1988</v>
      </c>
      <c r="E102" s="195">
        <v>68</v>
      </c>
      <c r="F102" s="195">
        <v>68</v>
      </c>
      <c r="G102" s="239">
        <v>95</v>
      </c>
      <c r="H102" s="197" t="s">
        <v>81</v>
      </c>
      <c r="I102" s="242" t="s">
        <v>237</v>
      </c>
      <c r="J102" s="242" t="s">
        <v>10659</v>
      </c>
      <c r="K102" s="195" t="s">
        <v>71</v>
      </c>
      <c r="L102" s="20" t="str">
        <f ca="1">IF(OFFSET(환산공식!$ED$15,$F102,0)=1,"O","X")</f>
        <v>X</v>
      </c>
      <c r="M102" s="188">
        <f ca="1">IFERROR(OFFSET(환산공식!DJ$15,$F102,0),"")</f>
        <v>200</v>
      </c>
      <c r="N102" s="20" t="str">
        <f ca="1">IFERROR(CONCATENATE(ROUND(OFFSET(환산공식!DK$15,$F102,0),1),"%"),"")</f>
        <v>100%</v>
      </c>
      <c r="O102" s="20">
        <f ca="1">IFERROR(OFFSET(환산공식!DL$15,$F102,0),"")</f>
        <v>0</v>
      </c>
      <c r="P102" s="188" t="str">
        <f t="shared" ca="1" si="2"/>
        <v>3% 이하</v>
      </c>
      <c r="Q102" s="194">
        <f ca="1">IFERROR(ROUND(OFFSET(환산공식!$FG$15,$F102,0),3),"")</f>
        <v>0</v>
      </c>
      <c r="R102" s="194">
        <f ca="1">OFFSET('배치점수 계산기'!H$10,$D102,0)</f>
        <v>692.11599999999999</v>
      </c>
      <c r="S102" s="194">
        <f ca="1">OFFSET('배치점수 계산기'!I$10,$D102,0)</f>
        <v>689.32600000000002</v>
      </c>
      <c r="T102" s="194">
        <f ca="1">OFFSET('배치점수 계산기'!J$10,$D102,0)</f>
        <v>687</v>
      </c>
      <c r="U102" s="194">
        <f ca="1">OFFSET('배치점수 계산기'!K$10,$D102,0)</f>
        <v>684.69</v>
      </c>
      <c r="V102" s="194">
        <f ca="1">OFFSET('배치점수 계산기'!L$10,$D102,0)</f>
        <v>681.01</v>
      </c>
      <c r="W102" s="186" t="str">
        <f ca="1">OFFSET('배치점수 계산기'!M$10,$D102,0)</f>
        <v>표점</v>
      </c>
      <c r="X102" s="184" t="str">
        <f ca="1">OFFSET('배치점수 계산기'!N$10,$D102,0)</f>
        <v>표점</v>
      </c>
      <c r="Y102" s="188">
        <f ca="1">OFFSET(환산공식!FW$15,$F102,0)</f>
        <v>0.38</v>
      </c>
      <c r="Z102" s="20">
        <f ca="1">OFFSET(환산공식!FX$15,$F102,0)</f>
        <v>0.38</v>
      </c>
      <c r="AA102" s="179">
        <f ca="1">OFFSET(환산공식!FY$15,$F102,0)</f>
        <v>0.25</v>
      </c>
      <c r="AB102" s="3"/>
      <c r="AD102">
        <f t="shared" ca="1" si="3"/>
        <v>6</v>
      </c>
      <c r="AF102" s="3"/>
      <c r="AG102" s="3"/>
      <c r="AH102" s="3"/>
    </row>
    <row r="103" spans="1:34">
      <c r="A103" s="198"/>
      <c r="B103" s="198"/>
      <c r="C103" s="198" t="s">
        <v>2424</v>
      </c>
      <c r="D103" s="235">
        <v>1989</v>
      </c>
      <c r="E103" s="195">
        <v>68</v>
      </c>
      <c r="F103" s="195">
        <v>68</v>
      </c>
      <c r="G103" s="239">
        <v>96</v>
      </c>
      <c r="H103" s="197" t="s">
        <v>81</v>
      </c>
      <c r="I103" s="242" t="s">
        <v>237</v>
      </c>
      <c r="J103" s="242" t="s">
        <v>10660</v>
      </c>
      <c r="K103" s="195" t="s">
        <v>71</v>
      </c>
      <c r="L103" s="20" t="str">
        <f ca="1">IF(OFFSET(환산공식!$ED$15,$F103,0)=1,"O","X")</f>
        <v>X</v>
      </c>
      <c r="M103" s="188">
        <f ca="1">IFERROR(OFFSET(환산공식!DJ$15,$F103,0),"")</f>
        <v>200</v>
      </c>
      <c r="N103" s="20" t="str">
        <f ca="1">IFERROR(CONCATENATE(ROUND(OFFSET(환산공식!DK$15,$F103,0),1),"%"),"")</f>
        <v>100%</v>
      </c>
      <c r="O103" s="20">
        <f ca="1">IFERROR(OFFSET(환산공식!DL$15,$F103,0),"")</f>
        <v>0</v>
      </c>
      <c r="P103" s="188" t="str">
        <f t="shared" ca="1" si="2"/>
        <v>3% 이하</v>
      </c>
      <c r="Q103" s="194">
        <f ca="1">IFERROR(ROUND(OFFSET(환산공식!$FG$15,$F103,0),3),"")</f>
        <v>0</v>
      </c>
      <c r="R103" s="194">
        <f ca="1">OFFSET('배치점수 계산기'!H$10,$D103,0)</f>
        <v>691.75</v>
      </c>
      <c r="S103" s="194">
        <f ca="1">OFFSET('배치점수 계산기'!I$10,$D103,0)</f>
        <v>689.32600000000002</v>
      </c>
      <c r="T103" s="194">
        <f ca="1">OFFSET('배치점수 계산기'!J$10,$D103,0)</f>
        <v>686.66399999999999</v>
      </c>
      <c r="U103" s="194">
        <f ca="1">OFFSET('배치점수 계산기'!K$10,$D103,0)</f>
        <v>684.99</v>
      </c>
      <c r="V103" s="194">
        <f ca="1">OFFSET('배치점수 계산기'!L$10,$D103,0)</f>
        <v>681.79600000000005</v>
      </c>
      <c r="W103" s="186" t="str">
        <f ca="1">OFFSET('배치점수 계산기'!M$10,$D103,0)</f>
        <v>표점</v>
      </c>
      <c r="X103" s="184" t="str">
        <f ca="1">OFFSET('배치점수 계산기'!N$10,$D103,0)</f>
        <v>표점</v>
      </c>
      <c r="Y103" s="188">
        <f ca="1">OFFSET(환산공식!FW$15,$F103,0)</f>
        <v>0.38</v>
      </c>
      <c r="Z103" s="20">
        <f ca="1">OFFSET(환산공식!FX$15,$F103,0)</f>
        <v>0.38</v>
      </c>
      <c r="AA103" s="179">
        <f ca="1">OFFSET(환산공식!FY$15,$F103,0)</f>
        <v>0.25</v>
      </c>
      <c r="AB103" s="3"/>
      <c r="AD103">
        <f t="shared" ca="1" si="3"/>
        <v>6</v>
      </c>
      <c r="AF103" s="3"/>
      <c r="AG103" s="3"/>
      <c r="AH103" s="3"/>
    </row>
    <row r="104" spans="1:34">
      <c r="A104" s="198"/>
      <c r="B104" s="198"/>
      <c r="C104" s="198" t="s">
        <v>2425</v>
      </c>
      <c r="D104" s="235">
        <v>1990</v>
      </c>
      <c r="E104" s="195">
        <v>68</v>
      </c>
      <c r="F104" s="195">
        <v>68</v>
      </c>
      <c r="G104" s="239">
        <v>97</v>
      </c>
      <c r="H104" s="197" t="s">
        <v>81</v>
      </c>
      <c r="I104" s="242" t="s">
        <v>237</v>
      </c>
      <c r="J104" s="242" t="s">
        <v>16726</v>
      </c>
      <c r="K104" s="195" t="s">
        <v>71</v>
      </c>
      <c r="L104" s="20" t="str">
        <f ca="1">IF(OFFSET(환산공식!$ED$15,$F104,0)=1,"O","X")</f>
        <v>X</v>
      </c>
      <c r="M104" s="188">
        <f ca="1">IFERROR(OFFSET(환산공식!DJ$15,$F104,0),"")</f>
        <v>200</v>
      </c>
      <c r="N104" s="20" t="str">
        <f ca="1">IFERROR(CONCATENATE(ROUND(OFFSET(환산공식!DK$15,$F104,0),1),"%"),"")</f>
        <v>100%</v>
      </c>
      <c r="O104" s="20">
        <f ca="1">IFERROR(OFFSET(환산공식!DL$15,$F104,0),"")</f>
        <v>0</v>
      </c>
      <c r="P104" s="188" t="str">
        <f t="shared" ca="1" si="2"/>
        <v>3% 이하</v>
      </c>
      <c r="Q104" s="194">
        <f ca="1">IFERROR(ROUND(OFFSET(환산공식!$FG$15,$F104,0),3),"")</f>
        <v>0</v>
      </c>
      <c r="R104" s="194">
        <f ca="1">OFFSET('배치점수 계산기'!H$10,$D104,0)</f>
        <v>690.96400000000006</v>
      </c>
      <c r="S104" s="194">
        <f ca="1">OFFSET('배치점수 계산기'!I$10,$D104,0)</f>
        <v>688.54</v>
      </c>
      <c r="T104" s="194">
        <f ca="1">OFFSET('배치점수 계산기'!J$10,$D104,0)</f>
        <v>686.096</v>
      </c>
      <c r="U104" s="194">
        <f ca="1">OFFSET('배치점수 계산기'!K$10,$D104,0)</f>
        <v>684.54</v>
      </c>
      <c r="V104" s="194">
        <f ca="1">OFFSET('배치점수 계산기'!L$10,$D104,0)</f>
        <v>681.29399999999998</v>
      </c>
      <c r="W104" s="186" t="str">
        <f ca="1">OFFSET('배치점수 계산기'!M$10,$D104,0)</f>
        <v>표점</v>
      </c>
      <c r="X104" s="184" t="str">
        <f ca="1">OFFSET('배치점수 계산기'!N$10,$D104,0)</f>
        <v>표점</v>
      </c>
      <c r="Y104" s="188">
        <f ca="1">OFFSET(환산공식!FW$15,$F104,0)</f>
        <v>0.38</v>
      </c>
      <c r="Z104" s="20">
        <f ca="1">OFFSET(환산공식!FX$15,$F104,0)</f>
        <v>0.38</v>
      </c>
      <c r="AA104" s="179">
        <f ca="1">OFFSET(환산공식!FY$15,$F104,0)</f>
        <v>0.25</v>
      </c>
      <c r="AB104" s="3"/>
      <c r="AD104">
        <f t="shared" ca="1" si="3"/>
        <v>6</v>
      </c>
      <c r="AF104" s="3"/>
      <c r="AG104" s="3"/>
      <c r="AH104" s="3"/>
    </row>
    <row r="105" spans="1:34">
      <c r="A105" s="198"/>
      <c r="B105" s="198"/>
      <c r="C105" s="198" t="s">
        <v>2426</v>
      </c>
      <c r="D105" s="235">
        <v>1991</v>
      </c>
      <c r="E105" s="195">
        <v>68</v>
      </c>
      <c r="F105" s="195">
        <v>68</v>
      </c>
      <c r="G105" s="239">
        <v>98</v>
      </c>
      <c r="H105" s="197" t="s">
        <v>81</v>
      </c>
      <c r="I105" s="242" t="s">
        <v>237</v>
      </c>
      <c r="J105" s="242" t="s">
        <v>10705</v>
      </c>
      <c r="K105" s="195" t="s">
        <v>71</v>
      </c>
      <c r="L105" s="20" t="str">
        <f ca="1">IF(OFFSET(환산공식!$ED$15,$F105,0)=1,"O","X")</f>
        <v>X</v>
      </c>
      <c r="M105" s="188">
        <f ca="1">IFERROR(OFFSET(환산공식!DJ$15,$F105,0),"")</f>
        <v>200</v>
      </c>
      <c r="N105" s="20" t="str">
        <f ca="1">IFERROR(CONCATENATE(ROUND(OFFSET(환산공식!DK$15,$F105,0),1),"%"),"")</f>
        <v>100%</v>
      </c>
      <c r="O105" s="20">
        <f ca="1">IFERROR(OFFSET(환산공식!DL$15,$F105,0),"")</f>
        <v>0</v>
      </c>
      <c r="P105" s="188" t="str">
        <f t="shared" ca="1" si="2"/>
        <v>3% 이하</v>
      </c>
      <c r="Q105" s="194">
        <f ca="1">IFERROR(ROUND(OFFSET(환산공식!$FG$15,$F105,0),3),"")</f>
        <v>0</v>
      </c>
      <c r="R105" s="194">
        <f ca="1">OFFSET('배치점수 계산기'!H$10,$D105,0)</f>
        <v>690.39599999999996</v>
      </c>
      <c r="S105" s="194">
        <f ca="1">OFFSET('배치점수 계산기'!I$10,$D105,0)</f>
        <v>687.98599999999999</v>
      </c>
      <c r="T105" s="194">
        <f ca="1">OFFSET('배치점수 계산기'!J$10,$D105,0)</f>
        <v>685.74400000000003</v>
      </c>
      <c r="U105" s="194">
        <f ca="1">OFFSET('배치점수 계산기'!K$10,$D105,0)</f>
        <v>684.05399999999997</v>
      </c>
      <c r="V105" s="194">
        <f ca="1">OFFSET('배치점수 계산기'!L$10,$D105,0)</f>
        <v>680.87599999999998</v>
      </c>
      <c r="W105" s="186" t="str">
        <f ca="1">OFFSET('배치점수 계산기'!M$10,$D105,0)</f>
        <v>표점</v>
      </c>
      <c r="X105" s="184" t="str">
        <f ca="1">OFFSET('배치점수 계산기'!N$10,$D105,0)</f>
        <v>표점</v>
      </c>
      <c r="Y105" s="188">
        <f ca="1">OFFSET(환산공식!FW$15,$F105,0)</f>
        <v>0.38</v>
      </c>
      <c r="Z105" s="20">
        <f ca="1">OFFSET(환산공식!FX$15,$F105,0)</f>
        <v>0.38</v>
      </c>
      <c r="AA105" s="179">
        <f ca="1">OFFSET(환산공식!FY$15,$F105,0)</f>
        <v>0.25</v>
      </c>
      <c r="AB105" s="3"/>
      <c r="AD105">
        <f t="shared" ca="1" si="3"/>
        <v>6</v>
      </c>
      <c r="AF105" s="3"/>
      <c r="AG105" s="3"/>
      <c r="AH105" s="3"/>
    </row>
    <row r="106" spans="1:34">
      <c r="A106" s="198"/>
      <c r="B106" s="198"/>
      <c r="C106" s="198" t="s">
        <v>2427</v>
      </c>
      <c r="D106" s="235">
        <v>1994</v>
      </c>
      <c r="E106" s="195">
        <v>83</v>
      </c>
      <c r="F106" s="195">
        <v>83</v>
      </c>
      <c r="G106" s="239">
        <v>99</v>
      </c>
      <c r="H106" s="197" t="s">
        <v>81</v>
      </c>
      <c r="I106" s="242" t="s">
        <v>301</v>
      </c>
      <c r="J106" s="242" t="s">
        <v>7965</v>
      </c>
      <c r="K106" s="195" t="s">
        <v>71</v>
      </c>
      <c r="L106" s="20" t="str">
        <f ca="1">IF(OFFSET(환산공식!$ED$15,$F106,0)=1,"O","X")</f>
        <v>X</v>
      </c>
      <c r="M106" s="188">
        <f ca="1">IFERROR(OFFSET(환산공식!DJ$15,$F106,0),"")</f>
        <v>200</v>
      </c>
      <c r="N106" s="20" t="str">
        <f ca="1">IFERROR(CONCATENATE(ROUND(OFFSET(환산공식!DK$15,$F106,0),1),"%"),"")</f>
        <v>100%</v>
      </c>
      <c r="O106" s="20">
        <f ca="1">IFERROR(OFFSET(환산공식!DL$15,$F106,0),"")</f>
        <v>10</v>
      </c>
      <c r="P106" s="188" t="str">
        <f t="shared" ca="1" si="2"/>
        <v>3% 이하</v>
      </c>
      <c r="Q106" s="194">
        <f ca="1">IFERROR(ROUND(OFFSET(환산공식!$FG$15,$F106,0),3),"")</f>
        <v>0</v>
      </c>
      <c r="R106" s="194">
        <f ca="1">OFFSET('배치점수 계산기'!H$10,$D106,0)</f>
        <v>711.87699999999995</v>
      </c>
      <c r="S106" s="194">
        <f ca="1">OFFSET('배치점수 계산기'!I$10,$D106,0)</f>
        <v>708.98299999999995</v>
      </c>
      <c r="T106" s="194">
        <f ca="1">OFFSET('배치점수 계산기'!J$10,$D106,0)</f>
        <v>705.56100000000004</v>
      </c>
      <c r="U106" s="194">
        <f ca="1">OFFSET('배치점수 계산기'!K$10,$D106,0)</f>
        <v>702.77599999999995</v>
      </c>
      <c r="V106" s="194">
        <f ca="1">OFFSET('배치점수 계산기'!L$10,$D106,0)</f>
        <v>697.23699999999997</v>
      </c>
      <c r="W106" s="186" t="str">
        <f ca="1">OFFSET('배치점수 계산기'!M$10,$D106,0)</f>
        <v>표점</v>
      </c>
      <c r="X106" s="184" t="str">
        <f ca="1">OFFSET('배치점수 계산기'!N$10,$D106,0)</f>
        <v>변표</v>
      </c>
      <c r="Y106" s="188">
        <f ca="1">OFFSET(환산공식!FW$15,$F106,0)</f>
        <v>0.44</v>
      </c>
      <c r="Z106" s="20">
        <f ca="1">OFFSET(환산공식!FX$15,$F106,0)</f>
        <v>0.44</v>
      </c>
      <c r="AA106" s="179">
        <f ca="1">OFFSET(환산공식!FY$15,$F106,0)</f>
        <v>0.13</v>
      </c>
      <c r="AB106" s="3"/>
      <c r="AD106">
        <f t="shared" ca="1" si="3"/>
        <v>6</v>
      </c>
      <c r="AF106" s="3"/>
      <c r="AG106" s="3"/>
      <c r="AH106" s="3"/>
    </row>
    <row r="107" spans="1:34">
      <c r="A107" s="198"/>
      <c r="B107" s="198"/>
      <c r="C107" s="198" t="s">
        <v>2428</v>
      </c>
      <c r="D107" s="235">
        <v>1995</v>
      </c>
      <c r="E107" s="195">
        <v>111</v>
      </c>
      <c r="F107" s="195">
        <v>111</v>
      </c>
      <c r="G107" s="239">
        <v>100</v>
      </c>
      <c r="H107" s="197" t="s">
        <v>81</v>
      </c>
      <c r="I107" s="242" t="s">
        <v>221</v>
      </c>
      <c r="J107" s="242" t="s">
        <v>9971</v>
      </c>
      <c r="K107" s="195" t="s">
        <v>70</v>
      </c>
      <c r="L107" s="20" t="str">
        <f ca="1">IF(OFFSET(환산공식!$ED$15,$F107,0)=1,"O","X")</f>
        <v>X</v>
      </c>
      <c r="M107" s="188">
        <f ca="1">IFERROR(OFFSET(환산공식!DJ$15,$F107,0),"")</f>
        <v>150</v>
      </c>
      <c r="N107" s="20" t="str">
        <f ca="1">IFERROR(CONCATENATE(ROUND(OFFSET(환산공식!DK$15,$F107,0),1),"%"),"")</f>
        <v>100%</v>
      </c>
      <c r="O107" s="20">
        <f ca="1">IFERROR(OFFSET(환산공식!DL$15,$F107,0),"")</f>
        <v>0</v>
      </c>
      <c r="P107" s="188" t="str">
        <f t="shared" ca="1" si="2"/>
        <v>3% 이하</v>
      </c>
      <c r="Q107" s="194">
        <f ca="1">IFERROR(ROUND(OFFSET(환산공식!$FG$15,$F107,0),3),"")</f>
        <v>0</v>
      </c>
      <c r="R107" s="194">
        <f ca="1">OFFSET('배치점수 계산기'!H$10,$D107,0)</f>
        <v>918.37199999999996</v>
      </c>
      <c r="S107" s="194">
        <f ca="1">OFFSET('배치점수 계산기'!I$10,$D107,0)</f>
        <v>914.64099999999996</v>
      </c>
      <c r="T107" s="194">
        <f ca="1">OFFSET('배치점수 계산기'!J$10,$D107,0)</f>
        <v>909.21799999999996</v>
      </c>
      <c r="U107" s="194">
        <f ca="1">OFFSET('배치점수 계산기'!K$10,$D107,0)</f>
        <v>902.66600000000005</v>
      </c>
      <c r="V107" s="194">
        <f ca="1">OFFSET('배치점수 계산기'!L$10,$D107,0)</f>
        <v>893.84</v>
      </c>
      <c r="W107" s="186" t="str">
        <f ca="1">OFFSET('배치점수 계산기'!M$10,$D107,0)</f>
        <v>표점/만점</v>
      </c>
      <c r="X107" s="184" t="str">
        <f ca="1">OFFSET('배치점수 계산기'!N$10,$D107,0)</f>
        <v>변표/만점</v>
      </c>
      <c r="Y107" s="188">
        <f ca="1">OFFSET(환산공식!FW$15,$F107,0)</f>
        <v>0.24</v>
      </c>
      <c r="Z107" s="20">
        <f ca="1">OFFSET(환산공식!FX$15,$F107,0)</f>
        <v>0.41</v>
      </c>
      <c r="AA107" s="179">
        <f ca="1">OFFSET(환산공식!FY$15,$F107,0)</f>
        <v>0.35</v>
      </c>
      <c r="AB107" s="3"/>
      <c r="AD107">
        <f t="shared" ca="1" si="3"/>
        <v>6</v>
      </c>
      <c r="AF107" s="3"/>
      <c r="AG107" s="3"/>
      <c r="AH107" s="3"/>
    </row>
    <row r="108" spans="1:34">
      <c r="A108" s="198"/>
      <c r="B108" s="198"/>
      <c r="C108" s="198" t="s">
        <v>2429</v>
      </c>
      <c r="D108" s="235">
        <v>1996</v>
      </c>
      <c r="E108" s="195">
        <v>111</v>
      </c>
      <c r="F108" s="195">
        <v>111</v>
      </c>
      <c r="G108" s="239">
        <v>101</v>
      </c>
      <c r="H108" s="197" t="s">
        <v>81</v>
      </c>
      <c r="I108" s="242" t="s">
        <v>221</v>
      </c>
      <c r="J108" s="242" t="s">
        <v>8633</v>
      </c>
      <c r="K108" s="195" t="s">
        <v>70</v>
      </c>
      <c r="L108" s="20" t="str">
        <f ca="1">IF(OFFSET(환산공식!$ED$15,$F108,0)=1,"O","X")</f>
        <v>X</v>
      </c>
      <c r="M108" s="188">
        <f ca="1">IFERROR(OFFSET(환산공식!DJ$15,$F108,0),"")</f>
        <v>150</v>
      </c>
      <c r="N108" s="20" t="str">
        <f ca="1">IFERROR(CONCATENATE(ROUND(OFFSET(환산공식!DK$15,$F108,0),1),"%"),"")</f>
        <v>100%</v>
      </c>
      <c r="O108" s="20">
        <f ca="1">IFERROR(OFFSET(환산공식!DL$15,$F108,0),"")</f>
        <v>0</v>
      </c>
      <c r="P108" s="188" t="str">
        <f t="shared" ca="1" si="2"/>
        <v>3% 이하</v>
      </c>
      <c r="Q108" s="194">
        <f ca="1">IFERROR(ROUND(OFFSET(환산공식!$FG$15,$F108,0),3),"")</f>
        <v>0</v>
      </c>
      <c r="R108" s="194">
        <f ca="1">OFFSET('배치점수 계산기'!H$10,$D108,0)</f>
        <v>916.51300000000003</v>
      </c>
      <c r="S108" s="194">
        <f ca="1">OFFSET('배치점수 계산기'!I$10,$D108,0)</f>
        <v>912.83900000000006</v>
      </c>
      <c r="T108" s="194">
        <f ca="1">OFFSET('배치점수 계산기'!J$10,$D108,0)</f>
        <v>907.36099999999999</v>
      </c>
      <c r="U108" s="194">
        <f ca="1">OFFSET('배치점수 계산기'!K$10,$D108,0)</f>
        <v>903.346</v>
      </c>
      <c r="V108" s="194">
        <f ca="1">OFFSET('배치점수 계산기'!L$10,$D108,0)</f>
        <v>897.63300000000004</v>
      </c>
      <c r="W108" s="186" t="str">
        <f ca="1">OFFSET('배치점수 계산기'!M$10,$D108,0)</f>
        <v>표점/만점</v>
      </c>
      <c r="X108" s="184" t="str">
        <f ca="1">OFFSET('배치점수 계산기'!N$10,$D108,0)</f>
        <v>변표/만점</v>
      </c>
      <c r="Y108" s="188">
        <f ca="1">OFFSET(환산공식!FW$15,$F108,0)</f>
        <v>0.24</v>
      </c>
      <c r="Z108" s="20">
        <f ca="1">OFFSET(환산공식!FX$15,$F108,0)</f>
        <v>0.41</v>
      </c>
      <c r="AA108" s="179">
        <f ca="1">OFFSET(환산공식!FY$15,$F108,0)</f>
        <v>0.35</v>
      </c>
      <c r="AB108" s="3"/>
      <c r="AD108">
        <f t="shared" ca="1" si="3"/>
        <v>6</v>
      </c>
      <c r="AF108" s="3"/>
      <c r="AG108" s="3"/>
      <c r="AH108" s="3"/>
    </row>
    <row r="109" spans="1:34">
      <c r="A109" s="198"/>
      <c r="B109" s="198"/>
      <c r="C109" s="198" t="s">
        <v>2430</v>
      </c>
      <c r="D109" s="235">
        <v>1997</v>
      </c>
      <c r="E109" s="195">
        <v>111</v>
      </c>
      <c r="F109" s="195">
        <v>111</v>
      </c>
      <c r="G109" s="239">
        <v>102</v>
      </c>
      <c r="H109" s="197" t="s">
        <v>81</v>
      </c>
      <c r="I109" s="242" t="s">
        <v>221</v>
      </c>
      <c r="J109" s="242" t="s">
        <v>8856</v>
      </c>
      <c r="K109" s="195" t="s">
        <v>70</v>
      </c>
      <c r="L109" s="20" t="str">
        <f ca="1">IF(OFFSET(환산공식!$ED$15,$F109,0)=1,"O","X")</f>
        <v>X</v>
      </c>
      <c r="M109" s="188">
        <f ca="1">IFERROR(OFFSET(환산공식!DJ$15,$F109,0),"")</f>
        <v>150</v>
      </c>
      <c r="N109" s="20" t="str">
        <f ca="1">IFERROR(CONCATENATE(ROUND(OFFSET(환산공식!DK$15,$F109,0),1),"%"),"")</f>
        <v>100%</v>
      </c>
      <c r="O109" s="20">
        <f ca="1">IFERROR(OFFSET(환산공식!DL$15,$F109,0),"")</f>
        <v>0</v>
      </c>
      <c r="P109" s="188" t="str">
        <f t="shared" ca="1" si="2"/>
        <v>3% 이하</v>
      </c>
      <c r="Q109" s="194">
        <f ca="1">IFERROR(ROUND(OFFSET(환산공식!$FG$15,$F109,0),3),"")</f>
        <v>0</v>
      </c>
      <c r="R109" s="194">
        <f ca="1">OFFSET('배치점수 계산기'!H$10,$D109,0)</f>
        <v>916.51300000000003</v>
      </c>
      <c r="S109" s="194">
        <f ca="1">OFFSET('배치점수 계산기'!I$10,$D109,0)</f>
        <v>912.83900000000006</v>
      </c>
      <c r="T109" s="194">
        <f ca="1">OFFSET('배치점수 계산기'!J$10,$D109,0)</f>
        <v>907.36099999999999</v>
      </c>
      <c r="U109" s="194">
        <f ca="1">OFFSET('배치점수 계산기'!K$10,$D109,0)</f>
        <v>900.68799999999999</v>
      </c>
      <c r="V109" s="194">
        <f ca="1">OFFSET('배치점수 계산기'!L$10,$D109,0)</f>
        <v>892.34400000000005</v>
      </c>
      <c r="W109" s="186" t="str">
        <f ca="1">OFFSET('배치점수 계산기'!M$10,$D109,0)</f>
        <v>표점/만점</v>
      </c>
      <c r="X109" s="184" t="str">
        <f ca="1">OFFSET('배치점수 계산기'!N$10,$D109,0)</f>
        <v>변표/만점</v>
      </c>
      <c r="Y109" s="188">
        <f ca="1">OFFSET(환산공식!FW$15,$F109,0)</f>
        <v>0.24</v>
      </c>
      <c r="Z109" s="20">
        <f ca="1">OFFSET(환산공식!FX$15,$F109,0)</f>
        <v>0.41</v>
      </c>
      <c r="AA109" s="179">
        <f ca="1">OFFSET(환산공식!FY$15,$F109,0)</f>
        <v>0.35</v>
      </c>
      <c r="AB109" s="3"/>
      <c r="AD109">
        <f t="shared" ca="1" si="3"/>
        <v>6</v>
      </c>
      <c r="AF109" s="3"/>
      <c r="AG109" s="3"/>
      <c r="AH109" s="3"/>
    </row>
    <row r="110" spans="1:34">
      <c r="A110" s="198"/>
      <c r="B110" s="198"/>
      <c r="C110" s="198" t="s">
        <v>2431</v>
      </c>
      <c r="D110" s="235">
        <v>1998</v>
      </c>
      <c r="E110" s="195">
        <v>111</v>
      </c>
      <c r="F110" s="195">
        <v>111</v>
      </c>
      <c r="G110" s="239">
        <v>103</v>
      </c>
      <c r="H110" s="197" t="s">
        <v>81</v>
      </c>
      <c r="I110" s="242" t="s">
        <v>221</v>
      </c>
      <c r="J110" s="242" t="s">
        <v>8418</v>
      </c>
      <c r="K110" s="195" t="s">
        <v>70</v>
      </c>
      <c r="L110" s="20" t="str">
        <f ca="1">IF(OFFSET(환산공식!$ED$15,$F110,0)=1,"O","X")</f>
        <v>X</v>
      </c>
      <c r="M110" s="188">
        <f ca="1">IFERROR(OFFSET(환산공식!DJ$15,$F110,0),"")</f>
        <v>150</v>
      </c>
      <c r="N110" s="20" t="str">
        <f ca="1">IFERROR(CONCATENATE(ROUND(OFFSET(환산공식!DK$15,$F110,0),1),"%"),"")</f>
        <v>100%</v>
      </c>
      <c r="O110" s="20">
        <f ca="1">IFERROR(OFFSET(환산공식!DL$15,$F110,0),"")</f>
        <v>0</v>
      </c>
      <c r="P110" s="188" t="str">
        <f t="shared" ca="1" si="2"/>
        <v>3% 이하</v>
      </c>
      <c r="Q110" s="194">
        <f ca="1">IFERROR(ROUND(OFFSET(환산공식!$FG$15,$F110,0),3),"")</f>
        <v>0</v>
      </c>
      <c r="R110" s="194">
        <f ca="1">OFFSET('배치점수 계산기'!H$10,$D110,0)</f>
        <v>914.50800000000004</v>
      </c>
      <c r="S110" s="194">
        <f ca="1">OFFSET('배치점수 계산기'!I$10,$D110,0)</f>
        <v>910.14400000000001</v>
      </c>
      <c r="T110" s="194">
        <f ca="1">OFFSET('배치점수 계산기'!J$10,$D110,0)</f>
        <v>904.72699999999998</v>
      </c>
      <c r="U110" s="194">
        <f ca="1">OFFSET('배치점수 계산기'!K$10,$D110,0)</f>
        <v>897.76900000000001</v>
      </c>
      <c r="V110" s="194">
        <f ca="1">OFFSET('배치점수 계산기'!L$10,$D110,0)</f>
        <v>890.22299999999996</v>
      </c>
      <c r="W110" s="186" t="str">
        <f ca="1">OFFSET('배치점수 계산기'!M$10,$D110,0)</f>
        <v>표점/만점</v>
      </c>
      <c r="X110" s="184" t="str">
        <f ca="1">OFFSET('배치점수 계산기'!N$10,$D110,0)</f>
        <v>변표/만점</v>
      </c>
      <c r="Y110" s="188">
        <f ca="1">OFFSET(환산공식!FW$15,$F110,0)</f>
        <v>0.24</v>
      </c>
      <c r="Z110" s="20">
        <f ca="1">OFFSET(환산공식!FX$15,$F110,0)</f>
        <v>0.41</v>
      </c>
      <c r="AA110" s="179">
        <f ca="1">OFFSET(환산공식!FY$15,$F110,0)</f>
        <v>0.35</v>
      </c>
      <c r="AB110" s="3"/>
      <c r="AD110">
        <f t="shared" ca="1" si="3"/>
        <v>6</v>
      </c>
      <c r="AF110" s="3"/>
      <c r="AG110" s="3"/>
      <c r="AH110" s="3"/>
    </row>
    <row r="111" spans="1:34">
      <c r="A111" s="198"/>
      <c r="B111" s="198"/>
      <c r="C111" s="198" t="s">
        <v>2432</v>
      </c>
      <c r="D111" s="235">
        <v>1999</v>
      </c>
      <c r="E111" s="195">
        <v>111</v>
      </c>
      <c r="F111" s="195">
        <v>111</v>
      </c>
      <c r="G111" s="239">
        <v>104</v>
      </c>
      <c r="H111" s="197" t="s">
        <v>81</v>
      </c>
      <c r="I111" s="242" t="s">
        <v>221</v>
      </c>
      <c r="J111" s="242" t="s">
        <v>8491</v>
      </c>
      <c r="K111" s="195" t="s">
        <v>70</v>
      </c>
      <c r="L111" s="20" t="str">
        <f ca="1">IF(OFFSET(환산공식!$ED$15,$F111,0)=1,"O","X")</f>
        <v>X</v>
      </c>
      <c r="M111" s="188">
        <f ca="1">IFERROR(OFFSET(환산공식!DJ$15,$F111,0),"")</f>
        <v>150</v>
      </c>
      <c r="N111" s="20" t="str">
        <f ca="1">IFERROR(CONCATENATE(ROUND(OFFSET(환산공식!DK$15,$F111,0),1),"%"),"")</f>
        <v>100%</v>
      </c>
      <c r="O111" s="20">
        <f ca="1">IFERROR(OFFSET(환산공식!DL$15,$F111,0),"")</f>
        <v>0</v>
      </c>
      <c r="P111" s="188" t="str">
        <f t="shared" ca="1" si="2"/>
        <v>3% 이하</v>
      </c>
      <c r="Q111" s="194">
        <f ca="1">IFERROR(ROUND(OFFSET(환산공식!$FG$15,$F111,0),3),"")</f>
        <v>0</v>
      </c>
      <c r="R111" s="194">
        <f ca="1">OFFSET('배치점수 계산기'!H$10,$D111,0)</f>
        <v>913.947</v>
      </c>
      <c r="S111" s="194">
        <f ca="1">OFFSET('배치점수 계산기'!I$10,$D111,0)</f>
        <v>909.59699999999998</v>
      </c>
      <c r="T111" s="194">
        <f ca="1">OFFSET('배치점수 계산기'!J$10,$D111,0)</f>
        <v>904.08699999999999</v>
      </c>
      <c r="U111" s="194">
        <f ca="1">OFFSET('배치점수 계산기'!K$10,$D111,0)</f>
        <v>900.42700000000002</v>
      </c>
      <c r="V111" s="194">
        <f ca="1">OFFSET('배치점수 계산기'!L$10,$D111,0)</f>
        <v>894.37099999999998</v>
      </c>
      <c r="W111" s="186" t="str">
        <f ca="1">OFFSET('배치점수 계산기'!M$10,$D111,0)</f>
        <v>표점/만점</v>
      </c>
      <c r="X111" s="184" t="str">
        <f ca="1">OFFSET('배치점수 계산기'!N$10,$D111,0)</f>
        <v>변표/만점</v>
      </c>
      <c r="Y111" s="188">
        <f ca="1">OFFSET(환산공식!FW$15,$F111,0)</f>
        <v>0.24</v>
      </c>
      <c r="Z111" s="20">
        <f ca="1">OFFSET(환산공식!FX$15,$F111,0)</f>
        <v>0.41</v>
      </c>
      <c r="AA111" s="179">
        <f ca="1">OFFSET(환산공식!FY$15,$F111,0)</f>
        <v>0.35</v>
      </c>
      <c r="AB111" s="3"/>
      <c r="AD111">
        <f t="shared" ca="1" si="3"/>
        <v>6</v>
      </c>
      <c r="AF111" s="3"/>
      <c r="AG111" s="3"/>
      <c r="AH111" s="3"/>
    </row>
    <row r="112" spans="1:34">
      <c r="A112" s="198"/>
      <c r="B112" s="198"/>
      <c r="C112" s="198" t="s">
        <v>2433</v>
      </c>
      <c r="D112" s="235">
        <v>2000</v>
      </c>
      <c r="E112" s="195">
        <v>111</v>
      </c>
      <c r="F112" s="195">
        <v>111</v>
      </c>
      <c r="G112" s="239">
        <v>105</v>
      </c>
      <c r="H112" s="197" t="s">
        <v>81</v>
      </c>
      <c r="I112" s="242" t="s">
        <v>221</v>
      </c>
      <c r="J112" s="242" t="s">
        <v>10384</v>
      </c>
      <c r="K112" s="195" t="s">
        <v>70</v>
      </c>
      <c r="L112" s="20" t="str">
        <f ca="1">IF(OFFSET(환산공식!$ED$15,$F112,0)=1,"O","X")</f>
        <v>X</v>
      </c>
      <c r="M112" s="188">
        <f ca="1">IFERROR(OFFSET(환산공식!DJ$15,$F112,0),"")</f>
        <v>150</v>
      </c>
      <c r="N112" s="20" t="str">
        <f ca="1">IFERROR(CONCATENATE(ROUND(OFFSET(환산공식!DK$15,$F112,0),1),"%"),"")</f>
        <v>100%</v>
      </c>
      <c r="O112" s="20">
        <f ca="1">IFERROR(OFFSET(환산공식!DL$15,$F112,0),"")</f>
        <v>0</v>
      </c>
      <c r="P112" s="188" t="str">
        <f t="shared" ca="1" si="2"/>
        <v>3% 이하</v>
      </c>
      <c r="Q112" s="194">
        <f ca="1">IFERROR(ROUND(OFFSET(환산공식!$FG$15,$F112,0),3),"")</f>
        <v>0</v>
      </c>
      <c r="R112" s="194">
        <f ca="1">OFFSET('배치점수 계산기'!H$10,$D112,0)</f>
        <v>906.96799999999996</v>
      </c>
      <c r="S112" s="194">
        <f ca="1">OFFSET('배치점수 계산기'!I$10,$D112,0)</f>
        <v>904.08699999999999</v>
      </c>
      <c r="T112" s="194">
        <f ca="1">OFFSET('배치점수 계산기'!J$10,$D112,0)</f>
        <v>901.57100000000003</v>
      </c>
      <c r="U112" s="194">
        <f ca="1">OFFSET('배치점수 계산기'!K$10,$D112,0)</f>
        <v>894.37099999999998</v>
      </c>
      <c r="V112" s="194">
        <f ca="1">OFFSET('배치점수 계산기'!L$10,$D112,0)</f>
        <v>886.21600000000001</v>
      </c>
      <c r="W112" s="186" t="str">
        <f ca="1">OFFSET('배치점수 계산기'!M$10,$D112,0)</f>
        <v>표점/만점</v>
      </c>
      <c r="X112" s="184" t="str">
        <f ca="1">OFFSET('배치점수 계산기'!N$10,$D112,0)</f>
        <v>변표/만점</v>
      </c>
      <c r="Y112" s="188">
        <f ca="1">OFFSET(환산공식!FW$15,$F112,0)</f>
        <v>0.24</v>
      </c>
      <c r="Z112" s="20">
        <f ca="1">OFFSET(환산공식!FX$15,$F112,0)</f>
        <v>0.41</v>
      </c>
      <c r="AA112" s="179">
        <f ca="1">OFFSET(환산공식!FY$15,$F112,0)</f>
        <v>0.35</v>
      </c>
      <c r="AB112" s="3"/>
      <c r="AD112">
        <f t="shared" ca="1" si="3"/>
        <v>6</v>
      </c>
      <c r="AF112" s="3"/>
      <c r="AG112" s="3"/>
      <c r="AH112" s="3"/>
    </row>
    <row r="113" spans="1:34">
      <c r="A113" s="198"/>
      <c r="B113" s="198"/>
      <c r="C113" s="198" t="s">
        <v>2434</v>
      </c>
      <c r="D113" s="235">
        <v>2001</v>
      </c>
      <c r="E113" s="195">
        <v>111</v>
      </c>
      <c r="F113" s="195">
        <v>111</v>
      </c>
      <c r="G113" s="239">
        <v>106</v>
      </c>
      <c r="H113" s="197" t="s">
        <v>81</v>
      </c>
      <c r="I113" s="242" t="s">
        <v>221</v>
      </c>
      <c r="J113" s="242" t="s">
        <v>10405</v>
      </c>
      <c r="K113" s="195" t="s">
        <v>70</v>
      </c>
      <c r="L113" s="20" t="str">
        <f ca="1">IF(OFFSET(환산공식!$ED$15,$F113,0)=1,"O","X")</f>
        <v>X</v>
      </c>
      <c r="M113" s="188">
        <f ca="1">IFERROR(OFFSET(환산공식!DJ$15,$F113,0),"")</f>
        <v>150</v>
      </c>
      <c r="N113" s="20" t="str">
        <f ca="1">IFERROR(CONCATENATE(ROUND(OFFSET(환산공식!DK$15,$F113,0),1),"%"),"")</f>
        <v>100%</v>
      </c>
      <c r="O113" s="20">
        <f ca="1">IFERROR(OFFSET(환산공식!DL$15,$F113,0),"")</f>
        <v>0</v>
      </c>
      <c r="P113" s="188" t="str">
        <f t="shared" ca="1" si="2"/>
        <v>3% 이하</v>
      </c>
      <c r="Q113" s="194">
        <f ca="1">IFERROR(ROUND(OFFSET(환산공식!$FG$15,$F113,0),3),"")</f>
        <v>0</v>
      </c>
      <c r="R113" s="194">
        <f ca="1">OFFSET('배치점수 계산기'!H$10,$D113,0)</f>
        <v>908.76300000000003</v>
      </c>
      <c r="S113" s="194">
        <f ca="1">OFFSET('배치점수 계산기'!I$10,$D113,0)</f>
        <v>904.72699999999998</v>
      </c>
      <c r="T113" s="194">
        <f ca="1">OFFSET('배치점수 계산기'!J$10,$D113,0)</f>
        <v>899.33500000000004</v>
      </c>
      <c r="U113" s="194">
        <f ca="1">OFFSET('배치점수 계산기'!K$10,$D113,0)</f>
        <v>892.67399999999998</v>
      </c>
      <c r="V113" s="194">
        <f ca="1">OFFSET('배치점수 계산기'!L$10,$D113,0)</f>
        <v>886.47799999999995</v>
      </c>
      <c r="W113" s="186" t="str">
        <f ca="1">OFFSET('배치점수 계산기'!M$10,$D113,0)</f>
        <v>표점/만점</v>
      </c>
      <c r="X113" s="184" t="str">
        <f ca="1">OFFSET('배치점수 계산기'!N$10,$D113,0)</f>
        <v>변표/만점</v>
      </c>
      <c r="Y113" s="188">
        <f ca="1">OFFSET(환산공식!FW$15,$F113,0)</f>
        <v>0.24</v>
      </c>
      <c r="Z113" s="20">
        <f ca="1">OFFSET(환산공식!FX$15,$F113,0)</f>
        <v>0.41</v>
      </c>
      <c r="AA113" s="179">
        <f ca="1">OFFSET(환산공식!FY$15,$F113,0)</f>
        <v>0.35</v>
      </c>
      <c r="AB113" s="3"/>
      <c r="AD113">
        <f t="shared" ca="1" si="3"/>
        <v>6</v>
      </c>
      <c r="AF113" s="3"/>
      <c r="AG113" s="3"/>
      <c r="AH113" s="3"/>
    </row>
    <row r="114" spans="1:34">
      <c r="A114" s="198"/>
      <c r="B114" s="198"/>
      <c r="C114" s="198" t="s">
        <v>2435</v>
      </c>
      <c r="D114" s="235">
        <v>2002</v>
      </c>
      <c r="E114" s="195">
        <v>111</v>
      </c>
      <c r="F114" s="195">
        <v>111</v>
      </c>
      <c r="G114" s="239">
        <v>107</v>
      </c>
      <c r="H114" s="197" t="s">
        <v>81</v>
      </c>
      <c r="I114" s="242" t="s">
        <v>221</v>
      </c>
      <c r="J114" s="242" t="s">
        <v>7255</v>
      </c>
      <c r="K114" s="195" t="s">
        <v>70</v>
      </c>
      <c r="L114" s="20" t="str">
        <f ca="1">IF(OFFSET(환산공식!$ED$15,$F114,0)=1,"O","X")</f>
        <v>X</v>
      </c>
      <c r="M114" s="188">
        <f ca="1">IFERROR(OFFSET(환산공식!DJ$15,$F114,0),"")</f>
        <v>150</v>
      </c>
      <c r="N114" s="20" t="str">
        <f ca="1">IFERROR(CONCATENATE(ROUND(OFFSET(환산공식!DK$15,$F114,0),1),"%"),"")</f>
        <v>100%</v>
      </c>
      <c r="O114" s="20">
        <f ca="1">IFERROR(OFFSET(환산공식!DL$15,$F114,0),"")</f>
        <v>0</v>
      </c>
      <c r="P114" s="188" t="str">
        <f t="shared" ca="1" si="2"/>
        <v>3% 이하</v>
      </c>
      <c r="Q114" s="194">
        <f ca="1">IFERROR(ROUND(OFFSET(환산공식!$FG$15,$F114,0),3),"")</f>
        <v>0</v>
      </c>
      <c r="R114" s="194">
        <f ca="1">OFFSET('배치점수 계산기'!H$10,$D114,0)</f>
        <v>905.34500000000003</v>
      </c>
      <c r="S114" s="194">
        <f ca="1">OFFSET('배치점수 계산기'!I$10,$D114,0)</f>
        <v>902.66600000000005</v>
      </c>
      <c r="T114" s="194">
        <f ca="1">OFFSET('배치점수 계산기'!J$10,$D114,0)</f>
        <v>898.39200000000005</v>
      </c>
      <c r="U114" s="194">
        <f ca="1">OFFSET('배치점수 계산기'!K$10,$D114,0)</f>
        <v>894.78</v>
      </c>
      <c r="V114" s="194">
        <f ca="1">OFFSET('배치점수 계산기'!L$10,$D114,0)</f>
        <v>889.64499999999998</v>
      </c>
      <c r="W114" s="186" t="str">
        <f ca="1">OFFSET('배치점수 계산기'!M$10,$D114,0)</f>
        <v>표점/만점</v>
      </c>
      <c r="X114" s="184" t="str">
        <f ca="1">OFFSET('배치점수 계산기'!N$10,$D114,0)</f>
        <v>변표/만점</v>
      </c>
      <c r="Y114" s="188">
        <f ca="1">OFFSET(환산공식!FW$15,$F114,0)</f>
        <v>0.24</v>
      </c>
      <c r="Z114" s="20">
        <f ca="1">OFFSET(환산공식!FX$15,$F114,0)</f>
        <v>0.41</v>
      </c>
      <c r="AA114" s="179">
        <f ca="1">OFFSET(환산공식!FY$15,$F114,0)</f>
        <v>0.35</v>
      </c>
      <c r="AB114" s="3"/>
      <c r="AD114">
        <f t="shared" ca="1" si="3"/>
        <v>6</v>
      </c>
      <c r="AF114" s="3"/>
      <c r="AG114" s="3"/>
      <c r="AH114" s="3"/>
    </row>
    <row r="115" spans="1:34">
      <c r="A115" s="198"/>
      <c r="B115" s="198"/>
      <c r="C115" s="198" t="s">
        <v>2436</v>
      </c>
      <c r="D115" s="235">
        <v>2003</v>
      </c>
      <c r="E115" s="195">
        <v>111</v>
      </c>
      <c r="F115" s="195">
        <v>111</v>
      </c>
      <c r="G115" s="239">
        <v>108</v>
      </c>
      <c r="H115" s="197" t="s">
        <v>81</v>
      </c>
      <c r="I115" s="242" t="s">
        <v>221</v>
      </c>
      <c r="J115" s="242" t="s">
        <v>8011</v>
      </c>
      <c r="K115" s="195" t="s">
        <v>70</v>
      </c>
      <c r="L115" s="20" t="str">
        <f ca="1">IF(OFFSET(환산공식!$ED$15,$F115,0)=1,"O","X")</f>
        <v>X</v>
      </c>
      <c r="M115" s="188">
        <f ca="1">IFERROR(OFFSET(환산공식!DJ$15,$F115,0),"")</f>
        <v>150</v>
      </c>
      <c r="N115" s="20" t="str">
        <f ca="1">IFERROR(CONCATENATE(ROUND(OFFSET(환산공식!DK$15,$F115,0),1),"%"),"")</f>
        <v>100%</v>
      </c>
      <c r="O115" s="20">
        <f ca="1">IFERROR(OFFSET(환산공식!DL$15,$F115,0),"")</f>
        <v>0</v>
      </c>
      <c r="P115" s="188" t="str">
        <f t="shared" ca="1" si="2"/>
        <v>3% 이하</v>
      </c>
      <c r="Q115" s="194">
        <f ca="1">IFERROR(ROUND(OFFSET(환산공식!$FG$15,$F115,0),3),"")</f>
        <v>0</v>
      </c>
      <c r="R115" s="194">
        <f ca="1">OFFSET('배치점수 계산기'!H$10,$D115,0)</f>
        <v>906.149</v>
      </c>
      <c r="S115" s="194">
        <f ca="1">OFFSET('배치점수 계산기'!I$10,$D115,0)</f>
        <v>902.10199999999998</v>
      </c>
      <c r="T115" s="194">
        <f ca="1">OFFSET('배치점수 계산기'!J$10,$D115,0)</f>
        <v>896.51599999999996</v>
      </c>
      <c r="U115" s="194">
        <f ca="1">OFFSET('배치점수 계산기'!K$10,$D115,0)</f>
        <v>892.67399999999998</v>
      </c>
      <c r="V115" s="194">
        <f ca="1">OFFSET('배치점수 계산기'!L$10,$D115,0)</f>
        <v>886.80799999999999</v>
      </c>
      <c r="W115" s="186" t="str">
        <f ca="1">OFFSET('배치점수 계산기'!M$10,$D115,0)</f>
        <v>표점/만점</v>
      </c>
      <c r="X115" s="184" t="str">
        <f ca="1">OFFSET('배치점수 계산기'!N$10,$D115,0)</f>
        <v>변표/만점</v>
      </c>
      <c r="Y115" s="188">
        <f ca="1">OFFSET(환산공식!FW$15,$F115,0)</f>
        <v>0.24</v>
      </c>
      <c r="Z115" s="20">
        <f ca="1">OFFSET(환산공식!FX$15,$F115,0)</f>
        <v>0.41</v>
      </c>
      <c r="AA115" s="179">
        <f ca="1">OFFSET(환산공식!FY$15,$F115,0)</f>
        <v>0.35</v>
      </c>
      <c r="AB115" s="3"/>
      <c r="AD115">
        <f t="shared" ca="1" si="3"/>
        <v>6</v>
      </c>
      <c r="AF115" s="3"/>
      <c r="AG115" s="3"/>
      <c r="AH115" s="3"/>
    </row>
    <row r="116" spans="1:34">
      <c r="A116" s="198"/>
      <c r="B116" s="198"/>
      <c r="C116" s="198" t="s">
        <v>2437</v>
      </c>
      <c r="D116" s="235">
        <v>2004</v>
      </c>
      <c r="E116" s="195">
        <v>111</v>
      </c>
      <c r="F116" s="195">
        <v>111</v>
      </c>
      <c r="G116" s="239">
        <v>109</v>
      </c>
      <c r="H116" s="197" t="s">
        <v>81</v>
      </c>
      <c r="I116" s="242" t="s">
        <v>221</v>
      </c>
      <c r="J116" s="242" t="s">
        <v>10578</v>
      </c>
      <c r="K116" s="195" t="s">
        <v>70</v>
      </c>
      <c r="L116" s="20" t="str">
        <f ca="1">IF(OFFSET(환산공식!$ED$15,$F116,0)=1,"O","X")</f>
        <v>X</v>
      </c>
      <c r="M116" s="188">
        <f ca="1">IFERROR(OFFSET(환산공식!DJ$15,$F116,0),"")</f>
        <v>150</v>
      </c>
      <c r="N116" s="20" t="str">
        <f ca="1">IFERROR(CONCATENATE(ROUND(OFFSET(환산공식!DK$15,$F116,0),1),"%"),"")</f>
        <v>100%</v>
      </c>
      <c r="O116" s="20">
        <f ca="1">IFERROR(OFFSET(환산공식!DL$15,$F116,0),"")</f>
        <v>0</v>
      </c>
      <c r="P116" s="188" t="str">
        <f t="shared" ca="1" si="2"/>
        <v>3% 이하</v>
      </c>
      <c r="Q116" s="194">
        <f ca="1">IFERROR(ROUND(OFFSET(환산공식!$FG$15,$F116,0),3),"")</f>
        <v>0</v>
      </c>
      <c r="R116" s="194">
        <f ca="1">OFFSET('배치점수 계산기'!H$10,$D116,0)</f>
        <v>905.84900000000005</v>
      </c>
      <c r="S116" s="194">
        <f ca="1">OFFSET('배치점수 계산기'!I$10,$D116,0)</f>
        <v>901.96600000000001</v>
      </c>
      <c r="T116" s="194">
        <f ca="1">OFFSET('배치점수 계산기'!J$10,$D116,0)</f>
        <v>895.76400000000001</v>
      </c>
      <c r="U116" s="194">
        <f ca="1">OFFSET('배치점수 계산기'!K$10,$D116,0)</f>
        <v>890.48299999999995</v>
      </c>
      <c r="V116" s="194">
        <f ca="1">OFFSET('배치점수 계산기'!L$10,$D116,0)</f>
        <v>884.78</v>
      </c>
      <c r="W116" s="186" t="str">
        <f ca="1">OFFSET('배치점수 계산기'!M$10,$D116,0)</f>
        <v>표점/만점</v>
      </c>
      <c r="X116" s="184" t="str">
        <f ca="1">OFFSET('배치점수 계산기'!N$10,$D116,0)</f>
        <v>변표/만점</v>
      </c>
      <c r="Y116" s="188">
        <f ca="1">OFFSET(환산공식!FW$15,$F116,0)</f>
        <v>0.24</v>
      </c>
      <c r="Z116" s="20">
        <f ca="1">OFFSET(환산공식!FX$15,$F116,0)</f>
        <v>0.41</v>
      </c>
      <c r="AA116" s="179">
        <f ca="1">OFFSET(환산공식!FY$15,$F116,0)</f>
        <v>0.35</v>
      </c>
      <c r="AB116" s="3"/>
      <c r="AD116">
        <f t="shared" ca="1" si="3"/>
        <v>6</v>
      </c>
      <c r="AF116" s="3"/>
      <c r="AG116" s="3"/>
      <c r="AH116" s="3"/>
    </row>
    <row r="117" spans="1:34">
      <c r="A117" s="198"/>
      <c r="B117" s="198"/>
      <c r="C117" s="198" t="s">
        <v>2438</v>
      </c>
      <c r="D117" s="235">
        <v>2005</v>
      </c>
      <c r="E117" s="195">
        <v>111</v>
      </c>
      <c r="F117" s="195">
        <v>111</v>
      </c>
      <c r="G117" s="239">
        <v>110</v>
      </c>
      <c r="H117" s="197" t="s">
        <v>81</v>
      </c>
      <c r="I117" s="242" t="s">
        <v>221</v>
      </c>
      <c r="J117" s="242" t="s">
        <v>8757</v>
      </c>
      <c r="K117" s="195" t="s">
        <v>70</v>
      </c>
      <c r="L117" s="20" t="str">
        <f ca="1">IF(OFFSET(환산공식!$ED$15,$F117,0)=1,"O","X")</f>
        <v>X</v>
      </c>
      <c r="M117" s="188">
        <f ca="1">IFERROR(OFFSET(환산공식!DJ$15,$F117,0),"")</f>
        <v>150</v>
      </c>
      <c r="N117" s="20" t="str">
        <f ca="1">IFERROR(CONCATENATE(ROUND(OFFSET(환산공식!DK$15,$F117,0),1),"%"),"")</f>
        <v>100%</v>
      </c>
      <c r="O117" s="20">
        <f ca="1">IFERROR(OFFSET(환산공식!DL$15,$F117,0),"")</f>
        <v>0</v>
      </c>
      <c r="P117" s="188" t="str">
        <f t="shared" ca="1" si="2"/>
        <v>3% 이하</v>
      </c>
      <c r="Q117" s="194">
        <f ca="1">IFERROR(ROUND(OFFSET(환산공식!$FG$15,$F117,0),3),"")</f>
        <v>0</v>
      </c>
      <c r="R117" s="194">
        <f ca="1">OFFSET('배치점수 계산기'!H$10,$D117,0)</f>
        <v>905.84900000000005</v>
      </c>
      <c r="S117" s="194">
        <f ca="1">OFFSET('배치점수 계산기'!I$10,$D117,0)</f>
        <v>901.96600000000001</v>
      </c>
      <c r="T117" s="194">
        <f ca="1">OFFSET('배치점수 계산기'!J$10,$D117,0)</f>
        <v>895.76400000000001</v>
      </c>
      <c r="U117" s="194">
        <f ca="1">OFFSET('배치점수 계산기'!K$10,$D117,0)</f>
        <v>892.67200000000003</v>
      </c>
      <c r="V117" s="194">
        <f ca="1">OFFSET('배치점수 계산기'!L$10,$D117,0)</f>
        <v>886.67200000000003</v>
      </c>
      <c r="W117" s="186" t="str">
        <f ca="1">OFFSET('배치점수 계산기'!M$10,$D117,0)</f>
        <v>표점/만점</v>
      </c>
      <c r="X117" s="184" t="str">
        <f ca="1">OFFSET('배치점수 계산기'!N$10,$D117,0)</f>
        <v>변표/만점</v>
      </c>
      <c r="Y117" s="188">
        <f ca="1">OFFSET(환산공식!FW$15,$F117,0)</f>
        <v>0.24</v>
      </c>
      <c r="Z117" s="20">
        <f ca="1">OFFSET(환산공식!FX$15,$F117,0)</f>
        <v>0.41</v>
      </c>
      <c r="AA117" s="179">
        <f ca="1">OFFSET(환산공식!FY$15,$F117,0)</f>
        <v>0.35</v>
      </c>
      <c r="AB117" s="3"/>
      <c r="AD117">
        <f t="shared" ca="1" si="3"/>
        <v>6</v>
      </c>
      <c r="AF117" s="3"/>
      <c r="AG117" s="3"/>
      <c r="AH117" s="3"/>
    </row>
    <row r="118" spans="1:34">
      <c r="A118" s="198"/>
      <c r="B118" s="198"/>
      <c r="C118" s="198" t="s">
        <v>2439</v>
      </c>
      <c r="D118" s="235">
        <v>2006</v>
      </c>
      <c r="E118" s="195">
        <v>111</v>
      </c>
      <c r="F118" s="195">
        <v>111</v>
      </c>
      <c r="G118" s="239">
        <v>111</v>
      </c>
      <c r="H118" s="197" t="s">
        <v>81</v>
      </c>
      <c r="I118" s="242" t="s">
        <v>221</v>
      </c>
      <c r="J118" s="242" t="s">
        <v>9649</v>
      </c>
      <c r="K118" s="195" t="s">
        <v>70</v>
      </c>
      <c r="L118" s="20" t="str">
        <f ca="1">IF(OFFSET(환산공식!$ED$15,$F118,0)=1,"O","X")</f>
        <v>X</v>
      </c>
      <c r="M118" s="188">
        <f ca="1">IFERROR(OFFSET(환산공식!DJ$15,$F118,0),"")</f>
        <v>150</v>
      </c>
      <c r="N118" s="20" t="str">
        <f ca="1">IFERROR(CONCATENATE(ROUND(OFFSET(환산공식!DK$15,$F118,0),1),"%"),"")</f>
        <v>100%</v>
      </c>
      <c r="O118" s="20">
        <f ca="1">IFERROR(OFFSET(환산공식!DL$15,$F118,0),"")</f>
        <v>0</v>
      </c>
      <c r="P118" s="188" t="str">
        <f t="shared" ca="1" si="2"/>
        <v>3% 이하</v>
      </c>
      <c r="Q118" s="194">
        <f ca="1">IFERROR(ROUND(OFFSET(환산공식!$FG$15,$F118,0),3),"")</f>
        <v>0</v>
      </c>
      <c r="R118" s="194">
        <f ca="1">OFFSET('배치점수 계산기'!H$10,$D118,0)</f>
        <v>903.59400000000005</v>
      </c>
      <c r="S118" s="194">
        <f ca="1">OFFSET('배치점수 계산기'!I$10,$D118,0)</f>
        <v>899.33500000000004</v>
      </c>
      <c r="T118" s="194">
        <f ca="1">OFFSET('배치점수 계산기'!J$10,$D118,0)</f>
        <v>893.84</v>
      </c>
      <c r="U118" s="194">
        <f ca="1">OFFSET('배치점수 계산기'!K$10,$D118,0)</f>
        <v>891.15300000000002</v>
      </c>
      <c r="V118" s="194">
        <f ca="1">OFFSET('배치점수 계산기'!L$10,$D118,0)</f>
        <v>885.35799999999995</v>
      </c>
      <c r="W118" s="186" t="str">
        <f ca="1">OFFSET('배치점수 계산기'!M$10,$D118,0)</f>
        <v>표점/만점</v>
      </c>
      <c r="X118" s="184" t="str">
        <f ca="1">OFFSET('배치점수 계산기'!N$10,$D118,0)</f>
        <v>변표/만점</v>
      </c>
      <c r="Y118" s="188">
        <f ca="1">OFFSET(환산공식!FW$15,$F118,0)</f>
        <v>0.24</v>
      </c>
      <c r="Z118" s="20">
        <f ca="1">OFFSET(환산공식!FX$15,$F118,0)</f>
        <v>0.41</v>
      </c>
      <c r="AA118" s="179">
        <f ca="1">OFFSET(환산공식!FY$15,$F118,0)</f>
        <v>0.35</v>
      </c>
      <c r="AB118" s="3"/>
      <c r="AD118">
        <f t="shared" ca="1" si="3"/>
        <v>6</v>
      </c>
      <c r="AF118" s="3"/>
      <c r="AG118" s="3"/>
      <c r="AH118" s="3"/>
    </row>
    <row r="119" spans="1:34">
      <c r="A119" s="198"/>
      <c r="B119" s="198"/>
      <c r="C119" s="198" t="s">
        <v>2440</v>
      </c>
      <c r="D119" s="235">
        <v>2007</v>
      </c>
      <c r="E119" s="195">
        <v>111</v>
      </c>
      <c r="F119" s="195">
        <v>111</v>
      </c>
      <c r="G119" s="239">
        <v>112</v>
      </c>
      <c r="H119" s="197" t="s">
        <v>81</v>
      </c>
      <c r="I119" s="242" t="s">
        <v>221</v>
      </c>
      <c r="J119" s="242" t="s">
        <v>10713</v>
      </c>
      <c r="K119" s="195" t="s">
        <v>70</v>
      </c>
      <c r="L119" s="20" t="str">
        <f ca="1">IF(OFFSET(환산공식!$ED$15,$F119,0)=1,"O","X")</f>
        <v>X</v>
      </c>
      <c r="M119" s="188">
        <f ca="1">IFERROR(OFFSET(환산공식!DJ$15,$F119,0),"")</f>
        <v>150</v>
      </c>
      <c r="N119" s="20" t="str">
        <f ca="1">IFERROR(CONCATENATE(ROUND(OFFSET(환산공식!DK$15,$F119,0),1),"%"),"")</f>
        <v>100%</v>
      </c>
      <c r="O119" s="20">
        <f ca="1">IFERROR(OFFSET(환산공식!DL$15,$F119,0),"")</f>
        <v>0</v>
      </c>
      <c r="P119" s="188" t="str">
        <f t="shared" ca="1" si="2"/>
        <v>3% 이하</v>
      </c>
      <c r="Q119" s="194">
        <f ca="1">IFERROR(ROUND(OFFSET(환산공식!$FG$15,$F119,0),3),"")</f>
        <v>0</v>
      </c>
      <c r="R119" s="194">
        <f ca="1">OFFSET('배치점수 계산기'!H$10,$D119,0)</f>
        <v>900.42700000000002</v>
      </c>
      <c r="S119" s="194">
        <f ca="1">OFFSET('배치점수 계산기'!I$10,$D119,0)</f>
        <v>897.11599999999999</v>
      </c>
      <c r="T119" s="194">
        <f ca="1">OFFSET('배치점수 계산기'!J$10,$D119,0)</f>
        <v>893.38599999999997</v>
      </c>
      <c r="U119" s="194">
        <f ca="1">OFFSET('배치점수 계산기'!K$10,$D119,0)</f>
        <v>888.44100000000003</v>
      </c>
      <c r="V119" s="194">
        <f ca="1">OFFSET('배치점수 계산기'!L$10,$D119,0)</f>
        <v>883.029</v>
      </c>
      <c r="W119" s="186" t="str">
        <f ca="1">OFFSET('배치점수 계산기'!M$10,$D119,0)</f>
        <v>표점/만점</v>
      </c>
      <c r="X119" s="184" t="str">
        <f ca="1">OFFSET('배치점수 계산기'!N$10,$D119,0)</f>
        <v>변표/만점</v>
      </c>
      <c r="Y119" s="188">
        <f ca="1">OFFSET(환산공식!FW$15,$F119,0)</f>
        <v>0.24</v>
      </c>
      <c r="Z119" s="20">
        <f ca="1">OFFSET(환산공식!FX$15,$F119,0)</f>
        <v>0.41</v>
      </c>
      <c r="AA119" s="179">
        <f ca="1">OFFSET(환산공식!FY$15,$F119,0)</f>
        <v>0.35</v>
      </c>
      <c r="AB119" s="3"/>
      <c r="AD119">
        <f t="shared" ca="1" si="3"/>
        <v>6</v>
      </c>
      <c r="AF119" s="3"/>
      <c r="AG119" s="3"/>
      <c r="AH119" s="3"/>
    </row>
    <row r="120" spans="1:34">
      <c r="A120" s="198"/>
      <c r="B120" s="198"/>
      <c r="C120" s="198" t="s">
        <v>2441</v>
      </c>
      <c r="D120" s="235">
        <v>2008</v>
      </c>
      <c r="E120" s="195">
        <v>111</v>
      </c>
      <c r="F120" s="195">
        <v>111</v>
      </c>
      <c r="G120" s="239">
        <v>113</v>
      </c>
      <c r="H120" s="197" t="s">
        <v>81</v>
      </c>
      <c r="I120" s="242" t="s">
        <v>221</v>
      </c>
      <c r="J120" s="242" t="s">
        <v>10862</v>
      </c>
      <c r="K120" s="195" t="s">
        <v>70</v>
      </c>
      <c r="L120" s="20" t="str">
        <f ca="1">IF(OFFSET(환산공식!$ED$15,$F120,0)=1,"O","X")</f>
        <v>X</v>
      </c>
      <c r="M120" s="188">
        <f ca="1">IFERROR(OFFSET(환산공식!DJ$15,$F120,0),"")</f>
        <v>150</v>
      </c>
      <c r="N120" s="20" t="str">
        <f ca="1">IFERROR(CONCATENATE(ROUND(OFFSET(환산공식!DK$15,$F120,0),1),"%"),"")</f>
        <v>100%</v>
      </c>
      <c r="O120" s="20">
        <f ca="1">IFERROR(OFFSET(환산공식!DL$15,$F120,0),"")</f>
        <v>0</v>
      </c>
      <c r="P120" s="188" t="str">
        <f t="shared" ca="1" si="2"/>
        <v>3% 이하</v>
      </c>
      <c r="Q120" s="194">
        <f ca="1">IFERROR(ROUND(OFFSET(환산공식!$FG$15,$F120,0),3),"")</f>
        <v>0</v>
      </c>
      <c r="R120" s="194">
        <f ca="1">OFFSET('배치점수 계산기'!H$10,$D120,0)</f>
        <v>901.57100000000003</v>
      </c>
      <c r="S120" s="194">
        <f ca="1">OFFSET('배치점수 계산기'!I$10,$D120,0)</f>
        <v>897.11599999999999</v>
      </c>
      <c r="T120" s="194">
        <f ca="1">OFFSET('배치점수 계산기'!J$10,$D120,0)</f>
        <v>892.47799999999995</v>
      </c>
      <c r="U120" s="194">
        <f ca="1">OFFSET('배치점수 계산기'!K$10,$D120,0)</f>
        <v>889.24</v>
      </c>
      <c r="V120" s="194">
        <f ca="1">OFFSET('배치점수 계산기'!L$10,$D120,0)</f>
        <v>884.03899999999999</v>
      </c>
      <c r="W120" s="186" t="str">
        <f ca="1">OFFSET('배치점수 계산기'!M$10,$D120,0)</f>
        <v>표점/만점</v>
      </c>
      <c r="X120" s="184" t="str">
        <f ca="1">OFFSET('배치점수 계산기'!N$10,$D120,0)</f>
        <v>변표/만점</v>
      </c>
      <c r="Y120" s="188">
        <f ca="1">OFFSET(환산공식!FW$15,$F120,0)</f>
        <v>0.24</v>
      </c>
      <c r="Z120" s="20">
        <f ca="1">OFFSET(환산공식!FX$15,$F120,0)</f>
        <v>0.41</v>
      </c>
      <c r="AA120" s="179">
        <f ca="1">OFFSET(환산공식!FY$15,$F120,0)</f>
        <v>0.35</v>
      </c>
      <c r="AB120" s="3"/>
      <c r="AD120">
        <f t="shared" ca="1" si="3"/>
        <v>6</v>
      </c>
      <c r="AF120" s="3"/>
      <c r="AG120" s="3"/>
      <c r="AH120" s="3"/>
    </row>
    <row r="121" spans="1:34">
      <c r="A121" s="198"/>
      <c r="B121" s="198"/>
      <c r="C121" s="198" t="s">
        <v>2442</v>
      </c>
      <c r="D121" s="235">
        <v>2009</v>
      </c>
      <c r="E121" s="195">
        <v>111</v>
      </c>
      <c r="F121" s="195">
        <v>111</v>
      </c>
      <c r="G121" s="239">
        <v>114</v>
      </c>
      <c r="H121" s="197" t="s">
        <v>81</v>
      </c>
      <c r="I121" s="242" t="s">
        <v>221</v>
      </c>
      <c r="J121" s="242" t="s">
        <v>8148</v>
      </c>
      <c r="K121" s="195" t="s">
        <v>70</v>
      </c>
      <c r="L121" s="20" t="str">
        <f ca="1">IF(OFFSET(환산공식!$ED$15,$F121,0)=1,"O","X")</f>
        <v>X</v>
      </c>
      <c r="M121" s="188">
        <f ca="1">IFERROR(OFFSET(환산공식!DJ$15,$F121,0),"")</f>
        <v>150</v>
      </c>
      <c r="N121" s="20" t="str">
        <f ca="1">IFERROR(CONCATENATE(ROUND(OFFSET(환산공식!DK$15,$F121,0),1),"%"),"")</f>
        <v>100%</v>
      </c>
      <c r="O121" s="20">
        <f ca="1">IFERROR(OFFSET(환산공식!DL$15,$F121,0),"")</f>
        <v>0</v>
      </c>
      <c r="P121" s="188" t="str">
        <f t="shared" ca="1" si="2"/>
        <v>3% 이하</v>
      </c>
      <c r="Q121" s="194">
        <f ca="1">IFERROR(ROUND(OFFSET(환산공식!$FG$15,$F121,0),3),"")</f>
        <v>0</v>
      </c>
      <c r="R121" s="194">
        <f ca="1">OFFSET('배치점수 계산기'!H$10,$D121,0)</f>
        <v>901.57100000000003</v>
      </c>
      <c r="S121" s="194">
        <f ca="1">OFFSET('배치점수 계산기'!I$10,$D121,0)</f>
        <v>897.11599999999999</v>
      </c>
      <c r="T121" s="194">
        <f ca="1">OFFSET('배치점수 계산기'!J$10,$D121,0)</f>
        <v>892.47799999999995</v>
      </c>
      <c r="U121" s="194">
        <f ca="1">OFFSET('배치점수 계산기'!K$10,$D121,0)</f>
        <v>889.24</v>
      </c>
      <c r="V121" s="194">
        <f ca="1">OFFSET('배치점수 계산기'!L$10,$D121,0)</f>
        <v>884.03899999999999</v>
      </c>
      <c r="W121" s="186" t="str">
        <f ca="1">OFFSET('배치점수 계산기'!M$10,$D121,0)</f>
        <v>표점/만점</v>
      </c>
      <c r="X121" s="184" t="str">
        <f ca="1">OFFSET('배치점수 계산기'!N$10,$D121,0)</f>
        <v>변표/만점</v>
      </c>
      <c r="Y121" s="188">
        <f ca="1">OFFSET(환산공식!FW$15,$F121,0)</f>
        <v>0.24</v>
      </c>
      <c r="Z121" s="20">
        <f ca="1">OFFSET(환산공식!FX$15,$F121,0)</f>
        <v>0.41</v>
      </c>
      <c r="AA121" s="179">
        <f ca="1">OFFSET(환산공식!FY$15,$F121,0)</f>
        <v>0.35</v>
      </c>
      <c r="AB121" s="3"/>
      <c r="AD121">
        <f t="shared" ca="1" si="3"/>
        <v>6</v>
      </c>
      <c r="AF121" s="3"/>
      <c r="AG121" s="3"/>
      <c r="AH121" s="3"/>
    </row>
    <row r="122" spans="1:34">
      <c r="A122" s="198"/>
      <c r="B122" s="198"/>
      <c r="C122" s="198" t="s">
        <v>2443</v>
      </c>
      <c r="D122" s="235">
        <v>2010</v>
      </c>
      <c r="E122" s="195">
        <v>111</v>
      </c>
      <c r="F122" s="195">
        <v>111</v>
      </c>
      <c r="G122" s="239">
        <v>115</v>
      </c>
      <c r="H122" s="197" t="s">
        <v>81</v>
      </c>
      <c r="I122" s="242" t="s">
        <v>221</v>
      </c>
      <c r="J122" s="242" t="s">
        <v>7256</v>
      </c>
      <c r="K122" s="195" t="s">
        <v>70</v>
      </c>
      <c r="L122" s="20" t="str">
        <f ca="1">IF(OFFSET(환산공식!$ED$15,$F122,0)=1,"O","X")</f>
        <v>X</v>
      </c>
      <c r="M122" s="188">
        <f ca="1">IFERROR(OFFSET(환산공식!DJ$15,$F122,0),"")</f>
        <v>150</v>
      </c>
      <c r="N122" s="20" t="str">
        <f ca="1">IFERROR(CONCATENATE(ROUND(OFFSET(환산공식!DK$15,$F122,0),1),"%"),"")</f>
        <v>100%</v>
      </c>
      <c r="O122" s="20">
        <f ca="1">IFERROR(OFFSET(환산공식!DL$15,$F122,0),"")</f>
        <v>0</v>
      </c>
      <c r="P122" s="188" t="str">
        <f t="shared" ca="1" si="2"/>
        <v>3% 이하</v>
      </c>
      <c r="Q122" s="194">
        <f ca="1">IFERROR(ROUND(OFFSET(환산공식!$FG$15,$F122,0),3),"")</f>
        <v>0</v>
      </c>
      <c r="R122" s="194">
        <f ca="1">OFFSET('배치점수 계산기'!H$10,$D122,0)</f>
        <v>899.78</v>
      </c>
      <c r="S122" s="194">
        <f ca="1">OFFSET('배치점수 계산기'!I$10,$D122,0)</f>
        <v>896.51599999999996</v>
      </c>
      <c r="T122" s="194">
        <f ca="1">OFFSET('배치점수 계산기'!J$10,$D122,0)</f>
        <v>891.98699999999997</v>
      </c>
      <c r="U122" s="194">
        <f ca="1">OFFSET('배치점수 계산기'!K$10,$D122,0)</f>
        <v>888.44100000000003</v>
      </c>
      <c r="V122" s="194">
        <f ca="1">OFFSET('배치점수 계산기'!L$10,$D122,0)</f>
        <v>883.42600000000004</v>
      </c>
      <c r="W122" s="186" t="str">
        <f ca="1">OFFSET('배치점수 계산기'!M$10,$D122,0)</f>
        <v>표점/만점</v>
      </c>
      <c r="X122" s="184" t="str">
        <f ca="1">OFFSET('배치점수 계산기'!N$10,$D122,0)</f>
        <v>변표/만점</v>
      </c>
      <c r="Y122" s="188">
        <f ca="1">OFFSET(환산공식!FW$15,$F122,0)</f>
        <v>0.24</v>
      </c>
      <c r="Z122" s="20">
        <f ca="1">OFFSET(환산공식!FX$15,$F122,0)</f>
        <v>0.41</v>
      </c>
      <c r="AA122" s="179">
        <f ca="1">OFFSET(환산공식!FY$15,$F122,0)</f>
        <v>0.35</v>
      </c>
      <c r="AB122" s="3"/>
      <c r="AD122">
        <f t="shared" ca="1" si="3"/>
        <v>6</v>
      </c>
      <c r="AF122" s="3"/>
      <c r="AG122" s="3"/>
      <c r="AH122" s="3"/>
    </row>
    <row r="123" spans="1:34">
      <c r="A123" s="198"/>
      <c r="B123" s="198"/>
      <c r="C123" s="198" t="s">
        <v>2444</v>
      </c>
      <c r="D123" s="235">
        <v>2011</v>
      </c>
      <c r="E123" s="195">
        <v>111</v>
      </c>
      <c r="F123" s="195">
        <v>111</v>
      </c>
      <c r="G123" s="239">
        <v>116</v>
      </c>
      <c r="H123" s="197" t="s">
        <v>81</v>
      </c>
      <c r="I123" s="242" t="s">
        <v>221</v>
      </c>
      <c r="J123" s="242" t="s">
        <v>10633</v>
      </c>
      <c r="K123" s="195" t="s">
        <v>70</v>
      </c>
      <c r="L123" s="20" t="str">
        <f ca="1">IF(OFFSET(환산공식!$ED$15,$F123,0)=1,"O","X")</f>
        <v>X</v>
      </c>
      <c r="M123" s="188">
        <f ca="1">IFERROR(OFFSET(환산공식!DJ$15,$F123,0),"")</f>
        <v>150</v>
      </c>
      <c r="N123" s="20" t="str">
        <f ca="1">IFERROR(CONCATENATE(ROUND(OFFSET(환산공식!DK$15,$F123,0),1),"%"),"")</f>
        <v>100%</v>
      </c>
      <c r="O123" s="20">
        <f ca="1">IFERROR(OFFSET(환산공식!DL$15,$F123,0),"")</f>
        <v>0</v>
      </c>
      <c r="P123" s="188" t="str">
        <f t="shared" ca="1" si="2"/>
        <v>3% 이하</v>
      </c>
      <c r="Q123" s="194">
        <f ca="1">IFERROR(ROUND(OFFSET(환산공식!$FG$15,$F123,0),3),"")</f>
        <v>0</v>
      </c>
      <c r="R123" s="194">
        <f ca="1">OFFSET('배치점수 계산기'!H$10,$D123,0)</f>
        <v>899.78</v>
      </c>
      <c r="S123" s="194">
        <f ca="1">OFFSET('배치점수 계산기'!I$10,$D123,0)</f>
        <v>895.36900000000003</v>
      </c>
      <c r="T123" s="194">
        <f ca="1">OFFSET('배치점수 계산기'!J$10,$D123,0)</f>
        <v>891.15300000000002</v>
      </c>
      <c r="U123" s="194">
        <f ca="1">OFFSET('배치점수 계산기'!K$10,$D123,0)</f>
        <v>888.01700000000005</v>
      </c>
      <c r="V123" s="194">
        <f ca="1">OFFSET('배치점수 계산기'!L$10,$D123,0)</f>
        <v>883.029</v>
      </c>
      <c r="W123" s="186" t="str">
        <f ca="1">OFFSET('배치점수 계산기'!M$10,$D123,0)</f>
        <v>표점/만점</v>
      </c>
      <c r="X123" s="184" t="str">
        <f ca="1">OFFSET('배치점수 계산기'!N$10,$D123,0)</f>
        <v>변표/만점</v>
      </c>
      <c r="Y123" s="188">
        <f ca="1">OFFSET(환산공식!FW$15,$F123,0)</f>
        <v>0.24</v>
      </c>
      <c r="Z123" s="20">
        <f ca="1">OFFSET(환산공식!FX$15,$F123,0)</f>
        <v>0.41</v>
      </c>
      <c r="AA123" s="179">
        <f ca="1">OFFSET(환산공식!FY$15,$F123,0)</f>
        <v>0.35</v>
      </c>
      <c r="AB123" s="3"/>
      <c r="AD123">
        <f t="shared" ca="1" si="3"/>
        <v>6</v>
      </c>
      <c r="AF123" s="3"/>
      <c r="AG123" s="3"/>
      <c r="AH123" s="3"/>
    </row>
    <row r="124" spans="1:34">
      <c r="A124" s="198"/>
      <c r="B124" s="198"/>
      <c r="C124" s="198" t="s">
        <v>2445</v>
      </c>
      <c r="D124" s="235">
        <v>2012</v>
      </c>
      <c r="E124" s="195">
        <v>111</v>
      </c>
      <c r="F124" s="195">
        <v>111</v>
      </c>
      <c r="G124" s="239">
        <v>117</v>
      </c>
      <c r="H124" s="197" t="s">
        <v>81</v>
      </c>
      <c r="I124" s="242" t="s">
        <v>221</v>
      </c>
      <c r="J124" s="242" t="s">
        <v>10846</v>
      </c>
      <c r="K124" s="195" t="s">
        <v>70</v>
      </c>
      <c r="L124" s="20" t="str">
        <f ca="1">IF(OFFSET(환산공식!$ED$15,$F124,0)=1,"O","X")</f>
        <v>X</v>
      </c>
      <c r="M124" s="188">
        <f ca="1">IFERROR(OFFSET(환산공식!DJ$15,$F124,0),"")</f>
        <v>150</v>
      </c>
      <c r="N124" s="20" t="str">
        <f ca="1">IFERROR(CONCATENATE(ROUND(OFFSET(환산공식!DK$15,$F124,0),1),"%"),"")</f>
        <v>100%</v>
      </c>
      <c r="O124" s="20">
        <f ca="1">IFERROR(OFFSET(환산공식!DL$15,$F124,0),"")</f>
        <v>0</v>
      </c>
      <c r="P124" s="188" t="str">
        <f t="shared" ca="1" si="2"/>
        <v>3% 이하</v>
      </c>
      <c r="Q124" s="194">
        <f ca="1">IFERROR(ROUND(OFFSET(환산공식!$FG$15,$F124,0),3),"")</f>
        <v>0</v>
      </c>
      <c r="R124" s="194">
        <f ca="1">OFFSET('배치점수 계산기'!H$10,$D124,0)</f>
        <v>897.76900000000001</v>
      </c>
      <c r="S124" s="194">
        <f ca="1">OFFSET('배치점수 계산기'!I$10,$D124,0)</f>
        <v>893.84</v>
      </c>
      <c r="T124" s="194">
        <f ca="1">OFFSET('배치점수 계산기'!J$10,$D124,0)</f>
        <v>889.64499999999998</v>
      </c>
      <c r="U124" s="194">
        <f ca="1">OFFSET('배치점수 계산기'!K$10,$D124,0)</f>
        <v>886.80799999999999</v>
      </c>
      <c r="V124" s="194">
        <f ca="1">OFFSET('배치점수 계산기'!L$10,$D124,0)</f>
        <v>882.13900000000001</v>
      </c>
      <c r="W124" s="186" t="str">
        <f ca="1">OFFSET('배치점수 계산기'!M$10,$D124,0)</f>
        <v>표점/만점</v>
      </c>
      <c r="X124" s="184" t="str">
        <f ca="1">OFFSET('배치점수 계산기'!N$10,$D124,0)</f>
        <v>변표/만점</v>
      </c>
      <c r="Y124" s="188">
        <f ca="1">OFFSET(환산공식!FW$15,$F124,0)</f>
        <v>0.24</v>
      </c>
      <c r="Z124" s="20">
        <f ca="1">OFFSET(환산공식!FX$15,$F124,0)</f>
        <v>0.41</v>
      </c>
      <c r="AA124" s="179">
        <f ca="1">OFFSET(환산공식!FY$15,$F124,0)</f>
        <v>0.35</v>
      </c>
      <c r="AB124" s="3"/>
      <c r="AD124">
        <f t="shared" ca="1" si="3"/>
        <v>6</v>
      </c>
      <c r="AF124" s="3"/>
      <c r="AG124" s="3"/>
      <c r="AH124" s="3"/>
    </row>
    <row r="125" spans="1:34">
      <c r="A125" s="198"/>
      <c r="B125" s="198"/>
      <c r="C125" s="198" t="s">
        <v>2446</v>
      </c>
      <c r="D125" s="235">
        <v>2014</v>
      </c>
      <c r="E125" s="195">
        <v>113</v>
      </c>
      <c r="F125" s="195">
        <v>113</v>
      </c>
      <c r="G125" s="239">
        <v>118</v>
      </c>
      <c r="H125" s="197" t="s">
        <v>81</v>
      </c>
      <c r="I125" s="242" t="s">
        <v>221</v>
      </c>
      <c r="J125" s="242" t="s">
        <v>9916</v>
      </c>
      <c r="K125" s="195" t="s">
        <v>71</v>
      </c>
      <c r="L125" s="20" t="str">
        <f ca="1">IF(OFFSET(환산공식!$ED$15,$F125,0)=1,"O","X")</f>
        <v>X</v>
      </c>
      <c r="M125" s="188">
        <f ca="1">IFERROR(OFFSET(환산공식!DJ$15,$F125,0),"")</f>
        <v>150</v>
      </c>
      <c r="N125" s="20" t="str">
        <f ca="1">IFERROR(CONCATENATE(ROUND(OFFSET(환산공식!DK$15,$F125,0),1),"%"),"")</f>
        <v>100%</v>
      </c>
      <c r="O125" s="20">
        <f ca="1">IFERROR(OFFSET(환산공식!DL$15,$F125,0),"")</f>
        <v>0</v>
      </c>
      <c r="P125" s="188" t="str">
        <f t="shared" ca="1" si="2"/>
        <v>3% 이하</v>
      </c>
      <c r="Q125" s="194">
        <f ca="1">IFERROR(ROUND(OFFSET(환산공식!$FG$15,$F125,0),3),"")</f>
        <v>0</v>
      </c>
      <c r="R125" s="194">
        <f ca="1">OFFSET('배치점수 계산기'!H$10,$D125,0)</f>
        <v>902.47500000000002</v>
      </c>
      <c r="S125" s="194">
        <f ca="1">OFFSET('배치점수 계산기'!I$10,$D125,0)</f>
        <v>901.34199999999998</v>
      </c>
      <c r="T125" s="194">
        <f ca="1">OFFSET('배치점수 계산기'!J$10,$D125,0)</f>
        <v>900.07299999999998</v>
      </c>
      <c r="U125" s="194">
        <f ca="1">OFFSET('배치점수 계산기'!K$10,$D125,0)</f>
        <v>898.73199999999997</v>
      </c>
      <c r="V125" s="194">
        <f ca="1">OFFSET('배치점수 계산기'!L$10,$D125,0)</f>
        <v>896.44</v>
      </c>
      <c r="W125" s="186" t="str">
        <f ca="1">OFFSET('배치점수 계산기'!M$10,$D125,0)</f>
        <v>표점/만점</v>
      </c>
      <c r="X125" s="184" t="str">
        <f ca="1">OFFSET('배치점수 계산기'!N$10,$D125,0)</f>
        <v>변표/만점</v>
      </c>
      <c r="Y125" s="188">
        <f ca="1">OFFSET(환산공식!FW$15,$F125,0)</f>
        <v>0.3</v>
      </c>
      <c r="Z125" s="20">
        <f ca="1">OFFSET(환산공식!FX$15,$F125,0)</f>
        <v>0.47</v>
      </c>
      <c r="AA125" s="179">
        <f ca="1">OFFSET(환산공식!FY$15,$F125,0)</f>
        <v>0.24</v>
      </c>
      <c r="AB125" s="3"/>
      <c r="AD125">
        <f t="shared" ca="1" si="3"/>
        <v>6</v>
      </c>
      <c r="AF125" s="3"/>
      <c r="AG125" s="3"/>
      <c r="AH125" s="3"/>
    </row>
    <row r="126" spans="1:34">
      <c r="A126" s="198"/>
      <c r="B126" s="198"/>
      <c r="C126" s="198" t="s">
        <v>2447</v>
      </c>
      <c r="D126" s="235">
        <v>2015</v>
      </c>
      <c r="E126" s="195">
        <v>114</v>
      </c>
      <c r="F126" s="195">
        <v>114</v>
      </c>
      <c r="G126" s="239">
        <v>119</v>
      </c>
      <c r="H126" s="197" t="s">
        <v>81</v>
      </c>
      <c r="I126" s="242" t="s">
        <v>221</v>
      </c>
      <c r="J126" s="242" t="s">
        <v>8214</v>
      </c>
      <c r="K126" s="195" t="s">
        <v>71</v>
      </c>
      <c r="L126" s="20" t="str">
        <f ca="1">IF(OFFSET(환산공식!$ED$15,$F126,0)=1,"O","X")</f>
        <v>X</v>
      </c>
      <c r="M126" s="188">
        <f ca="1">IFERROR(OFFSET(환산공식!DJ$15,$F126,0),"")</f>
        <v>150</v>
      </c>
      <c r="N126" s="20" t="str">
        <f ca="1">IFERROR(CONCATENATE(ROUND(OFFSET(환산공식!DK$15,$F126,0),1),"%"),"")</f>
        <v>100%</v>
      </c>
      <c r="O126" s="20">
        <f ca="1">IFERROR(OFFSET(환산공식!DL$15,$F126,0),"")</f>
        <v>0</v>
      </c>
      <c r="P126" s="188" t="str">
        <f t="shared" ca="1" si="2"/>
        <v>3% 이하</v>
      </c>
      <c r="Q126" s="194">
        <f ca="1">IFERROR(ROUND(OFFSET(환산공식!$FG$15,$F126,0),3),"")</f>
        <v>0</v>
      </c>
      <c r="R126" s="194">
        <f ca="1">OFFSET('배치점수 계산기'!H$10,$D126,0)</f>
        <v>896.32500000000005</v>
      </c>
      <c r="S126" s="194">
        <f ca="1">OFFSET('배치점수 계산기'!I$10,$D126,0)</f>
        <v>892.61500000000001</v>
      </c>
      <c r="T126" s="194">
        <f ca="1">OFFSET('배치점수 계산기'!J$10,$D126,0)</f>
        <v>886.95799999999997</v>
      </c>
      <c r="U126" s="194">
        <f ca="1">OFFSET('배치점수 계산기'!K$10,$D126,0)</f>
        <v>883.74800000000005</v>
      </c>
      <c r="V126" s="194">
        <f ca="1">OFFSET('배치점수 계산기'!L$10,$D126,0)</f>
        <v>878.00099999999998</v>
      </c>
      <c r="W126" s="186" t="str">
        <f ca="1">OFFSET('배치점수 계산기'!M$10,$D126,0)</f>
        <v>표점/만점</v>
      </c>
      <c r="X126" s="184" t="str">
        <f ca="1">OFFSET('배치점수 계산기'!N$10,$D126,0)</f>
        <v>변표/만점</v>
      </c>
      <c r="Y126" s="188">
        <f ca="1">OFFSET(환산공식!FW$15,$F126,0)</f>
        <v>0.41</v>
      </c>
      <c r="Z126" s="20">
        <f ca="1">OFFSET(환산공식!FX$15,$F126,0)</f>
        <v>0.28999999999999998</v>
      </c>
      <c r="AA126" s="179">
        <f ca="1">OFFSET(환산공식!FY$15,$F126,0)</f>
        <v>0.28999999999999998</v>
      </c>
      <c r="AB126" s="3"/>
      <c r="AD126">
        <f t="shared" ca="1" si="3"/>
        <v>6</v>
      </c>
      <c r="AF126" s="3"/>
      <c r="AG126" s="3"/>
      <c r="AH126" s="3"/>
    </row>
    <row r="127" spans="1:34">
      <c r="A127" s="198"/>
      <c r="B127" s="198"/>
      <c r="C127" s="198" t="s">
        <v>2448</v>
      </c>
      <c r="D127" s="235">
        <v>2016</v>
      </c>
      <c r="E127" s="195">
        <v>114</v>
      </c>
      <c r="F127" s="195">
        <v>114</v>
      </c>
      <c r="G127" s="239">
        <v>120</v>
      </c>
      <c r="H127" s="197" t="s">
        <v>81</v>
      </c>
      <c r="I127" s="242" t="s">
        <v>221</v>
      </c>
      <c r="J127" s="242" t="s">
        <v>9573</v>
      </c>
      <c r="K127" s="195" t="s">
        <v>71</v>
      </c>
      <c r="L127" s="20" t="str">
        <f ca="1">IF(OFFSET(환산공식!$ED$15,$F127,0)=1,"O","X")</f>
        <v>X</v>
      </c>
      <c r="M127" s="188">
        <f ca="1">IFERROR(OFFSET(환산공식!DJ$15,$F127,0),"")</f>
        <v>150</v>
      </c>
      <c r="N127" s="20" t="str">
        <f ca="1">IFERROR(CONCATENATE(ROUND(OFFSET(환산공식!DK$15,$F127,0),1),"%"),"")</f>
        <v>100%</v>
      </c>
      <c r="O127" s="20">
        <f ca="1">IFERROR(OFFSET(환산공식!DL$15,$F127,0),"")</f>
        <v>0</v>
      </c>
      <c r="P127" s="188" t="str">
        <f t="shared" ca="1" si="2"/>
        <v>3% 이하</v>
      </c>
      <c r="Q127" s="194">
        <f ca="1">IFERROR(ROUND(OFFSET(환산공식!$FG$15,$F127,0),3),"")</f>
        <v>0</v>
      </c>
      <c r="R127" s="194">
        <f ca="1">OFFSET('배치점수 계산기'!H$10,$D127,0)</f>
        <v>891.31600000000003</v>
      </c>
      <c r="S127" s="194">
        <f ca="1">OFFSET('배치점수 계산기'!I$10,$D127,0)</f>
        <v>888.45299999999997</v>
      </c>
      <c r="T127" s="194">
        <f ca="1">OFFSET('배치점수 계산기'!J$10,$D127,0)</f>
        <v>885.2</v>
      </c>
      <c r="U127" s="194">
        <f ca="1">OFFSET('배치점수 계산기'!K$10,$D127,0)</f>
        <v>879.77</v>
      </c>
      <c r="V127" s="194">
        <f ca="1">OFFSET('배치점수 계산기'!L$10,$D127,0)</f>
        <v>872.80399999999997</v>
      </c>
      <c r="W127" s="186" t="str">
        <f ca="1">OFFSET('배치점수 계산기'!M$10,$D127,0)</f>
        <v>표점/만점</v>
      </c>
      <c r="X127" s="184" t="str">
        <f ca="1">OFFSET('배치점수 계산기'!N$10,$D127,0)</f>
        <v>변표/만점</v>
      </c>
      <c r="Y127" s="188">
        <f ca="1">OFFSET(환산공식!FW$15,$F127,0)</f>
        <v>0.41</v>
      </c>
      <c r="Z127" s="20">
        <f ca="1">OFFSET(환산공식!FX$15,$F127,0)</f>
        <v>0.28999999999999998</v>
      </c>
      <c r="AA127" s="179">
        <f ca="1">OFFSET(환산공식!FY$15,$F127,0)</f>
        <v>0.28999999999999998</v>
      </c>
      <c r="AB127" s="3"/>
      <c r="AD127">
        <f t="shared" ca="1" si="3"/>
        <v>6</v>
      </c>
      <c r="AF127" s="3"/>
      <c r="AG127" s="3"/>
      <c r="AH127" s="3"/>
    </row>
    <row r="128" spans="1:34">
      <c r="A128" s="198"/>
      <c r="B128" s="198"/>
      <c r="C128" s="198" t="s">
        <v>2449</v>
      </c>
      <c r="D128" s="235">
        <v>2017</v>
      </c>
      <c r="E128" s="195">
        <v>114</v>
      </c>
      <c r="F128" s="195">
        <v>114</v>
      </c>
      <c r="G128" s="239">
        <v>121</v>
      </c>
      <c r="H128" s="197" t="s">
        <v>81</v>
      </c>
      <c r="I128" s="242" t="s">
        <v>221</v>
      </c>
      <c r="J128" s="242" t="s">
        <v>10797</v>
      </c>
      <c r="K128" s="195" t="s">
        <v>71</v>
      </c>
      <c r="L128" s="20" t="str">
        <f ca="1">IF(OFFSET(환산공식!$ED$15,$F128,0)=1,"O","X")</f>
        <v>X</v>
      </c>
      <c r="M128" s="188">
        <f ca="1">IFERROR(OFFSET(환산공식!DJ$15,$F128,0),"")</f>
        <v>150</v>
      </c>
      <c r="N128" s="20" t="str">
        <f ca="1">IFERROR(CONCATENATE(ROUND(OFFSET(환산공식!DK$15,$F128,0),1),"%"),"")</f>
        <v>100%</v>
      </c>
      <c r="O128" s="20">
        <f ca="1">IFERROR(OFFSET(환산공식!DL$15,$F128,0),"")</f>
        <v>0</v>
      </c>
      <c r="P128" s="188" t="str">
        <f t="shared" ca="1" si="2"/>
        <v>3% 이하</v>
      </c>
      <c r="Q128" s="194">
        <f ca="1">IFERROR(ROUND(OFFSET(환산공식!$FG$15,$F128,0),3),"")</f>
        <v>0</v>
      </c>
      <c r="R128" s="194">
        <f ca="1">OFFSET('배치점수 계산기'!H$10,$D128,0)</f>
        <v>889.64800000000002</v>
      </c>
      <c r="S128" s="194">
        <f ca="1">OFFSET('배치점수 계산기'!I$10,$D128,0)</f>
        <v>886.77800000000002</v>
      </c>
      <c r="T128" s="194">
        <f ca="1">OFFSET('배치점수 계산기'!J$10,$D128,0)</f>
        <v>883.98599999999999</v>
      </c>
      <c r="U128" s="194">
        <f ca="1">OFFSET('배치점수 계산기'!K$10,$D128,0)</f>
        <v>881.23400000000004</v>
      </c>
      <c r="V128" s="194">
        <f ca="1">OFFSET('배치점수 계산기'!L$10,$D128,0)</f>
        <v>875.65700000000004</v>
      </c>
      <c r="W128" s="186" t="str">
        <f ca="1">OFFSET('배치점수 계산기'!M$10,$D128,0)</f>
        <v>표점/만점</v>
      </c>
      <c r="X128" s="184" t="str">
        <f ca="1">OFFSET('배치점수 계산기'!N$10,$D128,0)</f>
        <v>변표/만점</v>
      </c>
      <c r="Y128" s="188">
        <f ca="1">OFFSET(환산공식!FW$15,$F128,0)</f>
        <v>0.41</v>
      </c>
      <c r="Z128" s="20">
        <f ca="1">OFFSET(환산공식!FX$15,$F128,0)</f>
        <v>0.28999999999999998</v>
      </c>
      <c r="AA128" s="179">
        <f ca="1">OFFSET(환산공식!FY$15,$F128,0)</f>
        <v>0.28999999999999998</v>
      </c>
      <c r="AB128" s="3"/>
      <c r="AD128">
        <f t="shared" ca="1" si="3"/>
        <v>6</v>
      </c>
      <c r="AF128" s="3"/>
      <c r="AG128" s="3"/>
      <c r="AH128" s="3"/>
    </row>
    <row r="129" spans="1:34">
      <c r="A129" s="198"/>
      <c r="B129" s="198"/>
      <c r="C129" s="198" t="s">
        <v>2450</v>
      </c>
      <c r="D129" s="235">
        <v>2018</v>
      </c>
      <c r="E129" s="195">
        <v>113</v>
      </c>
      <c r="F129" s="195">
        <v>113</v>
      </c>
      <c r="G129" s="239">
        <v>122</v>
      </c>
      <c r="H129" s="197" t="s">
        <v>81</v>
      </c>
      <c r="I129" s="242" t="s">
        <v>221</v>
      </c>
      <c r="J129" s="242" t="s">
        <v>10647</v>
      </c>
      <c r="K129" s="195" t="s">
        <v>71</v>
      </c>
      <c r="L129" s="20" t="str">
        <f ca="1">IF(OFFSET(환산공식!$ED$15,$F129,0)=1,"O","X")</f>
        <v>X</v>
      </c>
      <c r="M129" s="188">
        <f ca="1">IFERROR(OFFSET(환산공식!DJ$15,$F129,0),"")</f>
        <v>150</v>
      </c>
      <c r="N129" s="20" t="str">
        <f ca="1">IFERROR(CONCATENATE(ROUND(OFFSET(환산공식!DK$15,$F129,0),1),"%"),"")</f>
        <v>100%</v>
      </c>
      <c r="O129" s="20">
        <f ca="1">IFERROR(OFFSET(환산공식!DL$15,$F129,0),"")</f>
        <v>0</v>
      </c>
      <c r="P129" s="188" t="str">
        <f t="shared" ca="1" si="2"/>
        <v>3% 이하</v>
      </c>
      <c r="Q129" s="194">
        <f ca="1">IFERROR(ROUND(OFFSET(환산공식!$FG$15,$F129,0),3),"")</f>
        <v>0</v>
      </c>
      <c r="R129" s="194">
        <f ca="1">OFFSET('배치점수 계산기'!H$10,$D129,0)</f>
        <v>891.57799999999997</v>
      </c>
      <c r="S129" s="194">
        <f ca="1">OFFSET('배치점수 계산기'!I$10,$D129,0)</f>
        <v>888.36900000000003</v>
      </c>
      <c r="T129" s="194">
        <f ca="1">OFFSET('배치점수 계산기'!J$10,$D129,0)</f>
        <v>885.06200000000001</v>
      </c>
      <c r="U129" s="194">
        <f ca="1">OFFSET('배치점수 계산기'!K$10,$D129,0)</f>
        <v>879.73500000000001</v>
      </c>
      <c r="V129" s="194">
        <f ca="1">OFFSET('배치점수 계산기'!L$10,$D129,0)</f>
        <v>876.44500000000005</v>
      </c>
      <c r="W129" s="186" t="str">
        <f ca="1">OFFSET('배치점수 계산기'!M$10,$D129,0)</f>
        <v>표점/만점</v>
      </c>
      <c r="X129" s="184" t="str">
        <f ca="1">OFFSET('배치점수 계산기'!N$10,$D129,0)</f>
        <v>변표/만점</v>
      </c>
      <c r="Y129" s="188">
        <f ca="1">OFFSET(환산공식!FW$15,$F129,0)</f>
        <v>0.3</v>
      </c>
      <c r="Z129" s="20">
        <f ca="1">OFFSET(환산공식!FX$15,$F129,0)</f>
        <v>0.47</v>
      </c>
      <c r="AA129" s="179">
        <f ca="1">OFFSET(환산공식!FY$15,$F129,0)</f>
        <v>0.24</v>
      </c>
      <c r="AB129" s="3"/>
      <c r="AD129">
        <f t="shared" ca="1" si="3"/>
        <v>6</v>
      </c>
      <c r="AF129" s="3"/>
      <c r="AG129" s="3"/>
      <c r="AH129" s="3"/>
    </row>
    <row r="130" spans="1:34">
      <c r="A130" s="198"/>
      <c r="B130" s="198"/>
      <c r="C130" s="198" t="s">
        <v>2451</v>
      </c>
      <c r="D130" s="235">
        <v>2019</v>
      </c>
      <c r="E130" s="195">
        <v>114</v>
      </c>
      <c r="F130" s="195">
        <v>114</v>
      </c>
      <c r="G130" s="239">
        <v>123</v>
      </c>
      <c r="H130" s="197" t="s">
        <v>81</v>
      </c>
      <c r="I130" s="242" t="s">
        <v>221</v>
      </c>
      <c r="J130" s="242" t="s">
        <v>8726</v>
      </c>
      <c r="K130" s="195" t="s">
        <v>71</v>
      </c>
      <c r="L130" s="20" t="str">
        <f ca="1">IF(OFFSET(환산공식!$ED$15,$F130,0)=1,"O","X")</f>
        <v>X</v>
      </c>
      <c r="M130" s="188">
        <f ca="1">IFERROR(OFFSET(환산공식!DJ$15,$F130,0),"")</f>
        <v>150</v>
      </c>
      <c r="N130" s="20" t="str">
        <f ca="1">IFERROR(CONCATENATE(ROUND(OFFSET(환산공식!DK$15,$F130,0),1),"%"),"")</f>
        <v>100%</v>
      </c>
      <c r="O130" s="20">
        <f ca="1">IFERROR(OFFSET(환산공식!DL$15,$F130,0),"")</f>
        <v>0</v>
      </c>
      <c r="P130" s="188" t="str">
        <f t="shared" ca="1" si="2"/>
        <v>3% 이하</v>
      </c>
      <c r="Q130" s="194">
        <f ca="1">IFERROR(ROUND(OFFSET(환산공식!$FG$15,$F130,0),3),"")</f>
        <v>0</v>
      </c>
      <c r="R130" s="194">
        <f ca="1">OFFSET('배치점수 계산기'!H$10,$D130,0)</f>
        <v>887.57500000000005</v>
      </c>
      <c r="S130" s="194">
        <f ca="1">OFFSET('배치점수 계산기'!I$10,$D130,0)</f>
        <v>885.678</v>
      </c>
      <c r="T130" s="194">
        <f ca="1">OFFSET('배치점수 계산기'!J$10,$D130,0)</f>
        <v>883.20500000000004</v>
      </c>
      <c r="U130" s="194">
        <f ca="1">OFFSET('배치점수 계산기'!K$10,$D130,0)</f>
        <v>879.77</v>
      </c>
      <c r="V130" s="194">
        <f ca="1">OFFSET('배치점수 계산기'!L$10,$D130,0)</f>
        <v>874.55899999999997</v>
      </c>
      <c r="W130" s="186" t="str">
        <f ca="1">OFFSET('배치점수 계산기'!M$10,$D130,0)</f>
        <v>표점/만점</v>
      </c>
      <c r="X130" s="184" t="str">
        <f ca="1">OFFSET('배치점수 계산기'!N$10,$D130,0)</f>
        <v>변표/만점</v>
      </c>
      <c r="Y130" s="188">
        <f ca="1">OFFSET(환산공식!FW$15,$F130,0)</f>
        <v>0.41</v>
      </c>
      <c r="Z130" s="20">
        <f ca="1">OFFSET(환산공식!FX$15,$F130,0)</f>
        <v>0.28999999999999998</v>
      </c>
      <c r="AA130" s="179">
        <f ca="1">OFFSET(환산공식!FY$15,$F130,0)</f>
        <v>0.28999999999999998</v>
      </c>
      <c r="AB130" s="3"/>
      <c r="AD130">
        <f t="shared" ca="1" si="3"/>
        <v>6</v>
      </c>
      <c r="AF130" s="3"/>
      <c r="AG130" s="3"/>
      <c r="AH130" s="3"/>
    </row>
    <row r="131" spans="1:34">
      <c r="A131" s="198"/>
      <c r="B131" s="198"/>
      <c r="C131" s="198" t="s">
        <v>2452</v>
      </c>
      <c r="D131" s="235">
        <v>2020</v>
      </c>
      <c r="E131" s="195">
        <v>114</v>
      </c>
      <c r="F131" s="195">
        <v>114</v>
      </c>
      <c r="G131" s="239">
        <v>124</v>
      </c>
      <c r="H131" s="197" t="s">
        <v>81</v>
      </c>
      <c r="I131" s="242" t="s">
        <v>221</v>
      </c>
      <c r="J131" s="242" t="s">
        <v>8654</v>
      </c>
      <c r="K131" s="195" t="s">
        <v>71</v>
      </c>
      <c r="L131" s="20" t="str">
        <f ca="1">IF(OFFSET(환산공식!$ED$15,$F131,0)=1,"O","X")</f>
        <v>X</v>
      </c>
      <c r="M131" s="188">
        <f ca="1">IFERROR(OFFSET(환산공식!DJ$15,$F131,0),"")</f>
        <v>150</v>
      </c>
      <c r="N131" s="20" t="str">
        <f ca="1">IFERROR(CONCATENATE(ROUND(OFFSET(환산공식!DK$15,$F131,0),1),"%"),"")</f>
        <v>100%</v>
      </c>
      <c r="O131" s="20">
        <f ca="1">IFERROR(OFFSET(환산공식!DL$15,$F131,0),"")</f>
        <v>0</v>
      </c>
      <c r="P131" s="188" t="str">
        <f t="shared" ca="1" si="2"/>
        <v>3% 이하</v>
      </c>
      <c r="Q131" s="194">
        <f ca="1">IFERROR(ROUND(OFFSET(환산공식!$FG$15,$F131,0),3),"")</f>
        <v>0</v>
      </c>
      <c r="R131" s="194">
        <f ca="1">OFFSET('배치점수 계산기'!H$10,$D131,0)</f>
        <v>889.41</v>
      </c>
      <c r="S131" s="194">
        <f ca="1">OFFSET('배치점수 계산기'!I$10,$D131,0)</f>
        <v>885.81899999999996</v>
      </c>
      <c r="T131" s="194">
        <f ca="1">OFFSET('배치점수 계산기'!J$10,$D131,0)</f>
        <v>882.72699999999998</v>
      </c>
      <c r="U131" s="194">
        <f ca="1">OFFSET('배치점수 계산기'!K$10,$D131,0)</f>
        <v>879.39099999999996</v>
      </c>
      <c r="V131" s="194">
        <f ca="1">OFFSET('배치점수 계산기'!L$10,$D131,0)</f>
        <v>874.28200000000004</v>
      </c>
      <c r="W131" s="186" t="str">
        <f ca="1">OFFSET('배치점수 계산기'!M$10,$D131,0)</f>
        <v>표점/만점</v>
      </c>
      <c r="X131" s="184" t="str">
        <f ca="1">OFFSET('배치점수 계산기'!N$10,$D131,0)</f>
        <v>변표/만점</v>
      </c>
      <c r="Y131" s="188">
        <f ca="1">OFFSET(환산공식!FW$15,$F131,0)</f>
        <v>0.41</v>
      </c>
      <c r="Z131" s="20">
        <f ca="1">OFFSET(환산공식!FX$15,$F131,0)</f>
        <v>0.28999999999999998</v>
      </c>
      <c r="AA131" s="179">
        <f ca="1">OFFSET(환산공식!FY$15,$F131,0)</f>
        <v>0.28999999999999998</v>
      </c>
      <c r="AB131" s="3"/>
      <c r="AD131">
        <f t="shared" ca="1" si="3"/>
        <v>6</v>
      </c>
      <c r="AF131" s="3"/>
      <c r="AG131" s="3"/>
      <c r="AH131" s="3"/>
    </row>
    <row r="132" spans="1:34">
      <c r="A132" s="198"/>
      <c r="B132" s="198"/>
      <c r="C132" s="198" t="s">
        <v>2453</v>
      </c>
      <c r="D132" s="235">
        <v>2021</v>
      </c>
      <c r="E132" s="195">
        <v>114</v>
      </c>
      <c r="F132" s="195">
        <v>114</v>
      </c>
      <c r="G132" s="239">
        <v>125</v>
      </c>
      <c r="H132" s="197" t="s">
        <v>81</v>
      </c>
      <c r="I132" s="242" t="s">
        <v>221</v>
      </c>
      <c r="J132" s="242" t="s">
        <v>8618</v>
      </c>
      <c r="K132" s="195" t="s">
        <v>71</v>
      </c>
      <c r="L132" s="20" t="str">
        <f ca="1">IF(OFFSET(환산공식!$ED$15,$F132,0)=1,"O","X")</f>
        <v>X</v>
      </c>
      <c r="M132" s="188">
        <f ca="1">IFERROR(OFFSET(환산공식!DJ$15,$F132,0),"")</f>
        <v>150</v>
      </c>
      <c r="N132" s="20" t="str">
        <f ca="1">IFERROR(CONCATENATE(ROUND(OFFSET(환산공식!DK$15,$F132,0),1),"%"),"")</f>
        <v>100%</v>
      </c>
      <c r="O132" s="20">
        <f ca="1">IFERROR(OFFSET(환산공식!DL$15,$F132,0),"")</f>
        <v>0</v>
      </c>
      <c r="P132" s="188" t="str">
        <f t="shared" ca="1" si="2"/>
        <v>3% 이하</v>
      </c>
      <c r="Q132" s="194">
        <f ca="1">IFERROR(ROUND(OFFSET(환산공식!$FG$15,$F132,0),3),"")</f>
        <v>0</v>
      </c>
      <c r="R132" s="194">
        <f ca="1">OFFSET('배치점수 계산기'!H$10,$D132,0)</f>
        <v>889.64800000000002</v>
      </c>
      <c r="S132" s="194">
        <f ca="1">OFFSET('배치점수 계산기'!I$10,$D132,0)</f>
        <v>885.81899999999996</v>
      </c>
      <c r="T132" s="194">
        <f ca="1">OFFSET('배치점수 계산기'!J$10,$D132,0)</f>
        <v>882.48900000000003</v>
      </c>
      <c r="U132" s="194">
        <f ca="1">OFFSET('배치점수 계산기'!K$10,$D132,0)</f>
        <v>876.80200000000002</v>
      </c>
      <c r="V132" s="194">
        <f ca="1">OFFSET('배치점수 계산기'!L$10,$D132,0)</f>
        <v>871.404</v>
      </c>
      <c r="W132" s="186" t="str">
        <f ca="1">OFFSET('배치점수 계산기'!M$10,$D132,0)</f>
        <v>표점/만점</v>
      </c>
      <c r="X132" s="184" t="str">
        <f ca="1">OFFSET('배치점수 계산기'!N$10,$D132,0)</f>
        <v>변표/만점</v>
      </c>
      <c r="Y132" s="188">
        <f ca="1">OFFSET(환산공식!FW$15,$F132,0)</f>
        <v>0.41</v>
      </c>
      <c r="Z132" s="20">
        <f ca="1">OFFSET(환산공식!FX$15,$F132,0)</f>
        <v>0.28999999999999998</v>
      </c>
      <c r="AA132" s="179">
        <f ca="1">OFFSET(환산공식!FY$15,$F132,0)</f>
        <v>0.28999999999999998</v>
      </c>
      <c r="AB132" s="3"/>
      <c r="AD132">
        <f t="shared" ca="1" si="3"/>
        <v>6</v>
      </c>
      <c r="AF132" s="3"/>
      <c r="AG132" s="3"/>
      <c r="AH132" s="3"/>
    </row>
    <row r="133" spans="1:34">
      <c r="A133" s="198"/>
      <c r="B133" s="198"/>
      <c r="C133" s="198" t="s">
        <v>2454</v>
      </c>
      <c r="D133" s="235">
        <v>2022</v>
      </c>
      <c r="E133" s="195">
        <v>113</v>
      </c>
      <c r="F133" s="195">
        <v>113</v>
      </c>
      <c r="G133" s="239">
        <v>126</v>
      </c>
      <c r="H133" s="197" t="s">
        <v>81</v>
      </c>
      <c r="I133" s="242" t="s">
        <v>221</v>
      </c>
      <c r="J133" s="242" t="s">
        <v>10696</v>
      </c>
      <c r="K133" s="195" t="s">
        <v>71</v>
      </c>
      <c r="L133" s="20" t="str">
        <f ca="1">IF(OFFSET(환산공식!$ED$15,$F133,0)=1,"O","X")</f>
        <v>X</v>
      </c>
      <c r="M133" s="188">
        <f ca="1">IFERROR(OFFSET(환산공식!DJ$15,$F133,0),"")</f>
        <v>150</v>
      </c>
      <c r="N133" s="20" t="str">
        <f ca="1">IFERROR(CONCATENATE(ROUND(OFFSET(환산공식!DK$15,$F133,0),1),"%"),"")</f>
        <v>100%</v>
      </c>
      <c r="O133" s="20">
        <f ca="1">IFERROR(OFFSET(환산공식!DL$15,$F133,0),"")</f>
        <v>0</v>
      </c>
      <c r="P133" s="188" t="str">
        <f t="shared" ca="1" si="2"/>
        <v>3% 이하</v>
      </c>
      <c r="Q133" s="194">
        <f ca="1">IFERROR(ROUND(OFFSET(환산공식!$FG$15,$F133,0),3),"")</f>
        <v>0</v>
      </c>
      <c r="R133" s="194">
        <f ca="1">OFFSET('배치점수 계산기'!H$10,$D133,0)</f>
        <v>887.851</v>
      </c>
      <c r="S133" s="194">
        <f ca="1">OFFSET('배치점수 계산기'!I$10,$D133,0)</f>
        <v>886.48</v>
      </c>
      <c r="T133" s="194">
        <f ca="1">OFFSET('배치점수 계산기'!J$10,$D133,0)</f>
        <v>884.375</v>
      </c>
      <c r="U133" s="194">
        <f ca="1">OFFSET('배치점수 계산기'!K$10,$D133,0)</f>
        <v>881.399</v>
      </c>
      <c r="V133" s="194">
        <f ca="1">OFFSET('배치점수 계산기'!L$10,$D133,0)</f>
        <v>876.44500000000005</v>
      </c>
      <c r="W133" s="186" t="str">
        <f ca="1">OFFSET('배치점수 계산기'!M$10,$D133,0)</f>
        <v>표점/만점</v>
      </c>
      <c r="X133" s="184" t="str">
        <f ca="1">OFFSET('배치점수 계산기'!N$10,$D133,0)</f>
        <v>변표/만점</v>
      </c>
      <c r="Y133" s="188">
        <f ca="1">OFFSET(환산공식!FW$15,$F133,0)</f>
        <v>0.3</v>
      </c>
      <c r="Z133" s="20">
        <f ca="1">OFFSET(환산공식!FX$15,$F133,0)</f>
        <v>0.47</v>
      </c>
      <c r="AA133" s="179">
        <f ca="1">OFFSET(환산공식!FY$15,$F133,0)</f>
        <v>0.24</v>
      </c>
      <c r="AB133" s="3"/>
      <c r="AD133">
        <f t="shared" ca="1" si="3"/>
        <v>6</v>
      </c>
      <c r="AF133" s="3"/>
      <c r="AG133" s="3"/>
      <c r="AH133" s="3"/>
    </row>
    <row r="134" spans="1:34">
      <c r="A134" s="198"/>
      <c r="B134" s="198"/>
      <c r="C134" s="198" t="s">
        <v>2455</v>
      </c>
      <c r="D134" s="235">
        <v>2023</v>
      </c>
      <c r="E134" s="195">
        <v>113</v>
      </c>
      <c r="F134" s="195">
        <v>113</v>
      </c>
      <c r="G134" s="239">
        <v>127</v>
      </c>
      <c r="H134" s="197" t="s">
        <v>81</v>
      </c>
      <c r="I134" s="242" t="s">
        <v>221</v>
      </c>
      <c r="J134" s="242" t="s">
        <v>8696</v>
      </c>
      <c r="K134" s="195" t="s">
        <v>71</v>
      </c>
      <c r="L134" s="20" t="str">
        <f ca="1">IF(OFFSET(환산공식!$ED$15,$F134,0)=1,"O","X")</f>
        <v>X</v>
      </c>
      <c r="M134" s="188">
        <f ca="1">IFERROR(OFFSET(환산공식!DJ$15,$F134,0),"")</f>
        <v>150</v>
      </c>
      <c r="N134" s="20" t="str">
        <f ca="1">IFERROR(CONCATENATE(ROUND(OFFSET(환산공식!DK$15,$F134,0),1),"%"),"")</f>
        <v>100%</v>
      </c>
      <c r="O134" s="20">
        <f ca="1">IFERROR(OFFSET(환산공식!DL$15,$F134,0),"")</f>
        <v>0</v>
      </c>
      <c r="P134" s="188" t="str">
        <f t="shared" ca="1" si="2"/>
        <v>3% 이하</v>
      </c>
      <c r="Q134" s="194">
        <f ca="1">IFERROR(ROUND(OFFSET(환산공식!$FG$15,$F134,0),3),"")</f>
        <v>0</v>
      </c>
      <c r="R134" s="194">
        <f ca="1">OFFSET('배치점수 계산기'!H$10,$D134,0)</f>
        <v>886.19200000000001</v>
      </c>
      <c r="S134" s="194">
        <f ca="1">OFFSET('배치점수 계산기'!I$10,$D134,0)</f>
        <v>884.54499999999996</v>
      </c>
      <c r="T134" s="194">
        <f ca="1">OFFSET('배치점수 계산기'!J$10,$D134,0)</f>
        <v>882.54</v>
      </c>
      <c r="U134" s="194">
        <f ca="1">OFFSET('배치점수 계산기'!K$10,$D134,0)</f>
        <v>879.73500000000001</v>
      </c>
      <c r="V134" s="194">
        <f ca="1">OFFSET('배치점수 계산기'!L$10,$D134,0)</f>
        <v>874.51700000000005</v>
      </c>
      <c r="W134" s="186" t="str">
        <f ca="1">OFFSET('배치점수 계산기'!M$10,$D134,0)</f>
        <v>표점/만점</v>
      </c>
      <c r="X134" s="184" t="str">
        <f ca="1">OFFSET('배치점수 계산기'!N$10,$D134,0)</f>
        <v>변표/만점</v>
      </c>
      <c r="Y134" s="188">
        <f ca="1">OFFSET(환산공식!FW$15,$F134,0)</f>
        <v>0.3</v>
      </c>
      <c r="Z134" s="20">
        <f ca="1">OFFSET(환산공식!FX$15,$F134,0)</f>
        <v>0.47</v>
      </c>
      <c r="AA134" s="179">
        <f ca="1">OFFSET(환산공식!FY$15,$F134,0)</f>
        <v>0.24</v>
      </c>
      <c r="AB134" s="3"/>
      <c r="AD134">
        <f t="shared" ca="1" si="3"/>
        <v>6</v>
      </c>
      <c r="AF134" s="3"/>
      <c r="AG134" s="3"/>
      <c r="AH134" s="3"/>
    </row>
    <row r="135" spans="1:34">
      <c r="A135" s="198"/>
      <c r="B135" s="198"/>
      <c r="C135" s="198" t="s">
        <v>2456</v>
      </c>
      <c r="D135" s="235">
        <v>2026</v>
      </c>
      <c r="E135" s="195">
        <v>115</v>
      </c>
      <c r="F135" s="195">
        <v>115</v>
      </c>
      <c r="G135" s="239">
        <v>128</v>
      </c>
      <c r="H135" s="197" t="s">
        <v>81</v>
      </c>
      <c r="I135" s="242" t="s">
        <v>238</v>
      </c>
      <c r="J135" s="242" t="s">
        <v>8056</v>
      </c>
      <c r="K135" s="195" t="s">
        <v>70</v>
      </c>
      <c r="L135" s="20" t="str">
        <f ca="1">IF(OFFSET(환산공식!$ED$15,$F135,0)=1,"O","X")</f>
        <v>X</v>
      </c>
      <c r="M135" s="188">
        <f ca="1">IFERROR(OFFSET(환산공식!DJ$15,$F135,0),"")</f>
        <v>100</v>
      </c>
      <c r="N135" s="20" t="str">
        <f ca="1">IFERROR(CONCATENATE(ROUND(OFFSET(환산공식!DK$15,$F135,0),1),"%"),"")</f>
        <v>100%</v>
      </c>
      <c r="O135" s="20">
        <f ca="1">IFERROR(OFFSET(환산공식!DL$15,$F135,0),"")</f>
        <v>0</v>
      </c>
      <c r="P135" s="188" t="str">
        <f t="shared" ca="1" si="2"/>
        <v>3% 이하</v>
      </c>
      <c r="Q135" s="194">
        <f ca="1">IFERROR(ROUND(OFFSET(환산공식!$FG$15,$F135,0),3),"")</f>
        <v>0</v>
      </c>
      <c r="R135" s="194">
        <f ca="1">OFFSET('배치점수 계산기'!H$10,$D135,0)</f>
        <v>908.22799999999995</v>
      </c>
      <c r="S135" s="194">
        <f ca="1">OFFSET('배치점수 계산기'!I$10,$D135,0)</f>
        <v>904.82500000000005</v>
      </c>
      <c r="T135" s="194">
        <f ca="1">OFFSET('배치점수 계산기'!J$10,$D135,0)</f>
        <v>902.25900000000001</v>
      </c>
      <c r="U135" s="194">
        <f ca="1">OFFSET('배치점수 계산기'!K$10,$D135,0)</f>
        <v>897.96900000000005</v>
      </c>
      <c r="V135" s="194">
        <f ca="1">OFFSET('배치점수 계산기'!L$10,$D135,0)</f>
        <v>890.78700000000003</v>
      </c>
      <c r="W135" s="186" t="str">
        <f ca="1">OFFSET('배치점수 계산기'!M$10,$D135,0)</f>
        <v>표점/만점</v>
      </c>
      <c r="X135" s="184" t="str">
        <f ca="1">OFFSET('배치점수 계산기'!N$10,$D135,0)</f>
        <v>변표/만점</v>
      </c>
      <c r="Y135" s="188">
        <f ca="1">OFFSET(환산공식!FW$15,$F135,0)</f>
        <v>0.28000000000000003</v>
      </c>
      <c r="Z135" s="20">
        <f ca="1">OFFSET(환산공식!FX$15,$F135,0)</f>
        <v>0.39</v>
      </c>
      <c r="AA135" s="179">
        <f ca="1">OFFSET(환산공식!FY$15,$F135,0)</f>
        <v>0.33</v>
      </c>
      <c r="AB135" s="3"/>
      <c r="AD135">
        <f t="shared" ca="1" si="3"/>
        <v>6</v>
      </c>
      <c r="AF135" s="3"/>
      <c r="AG135" s="3"/>
      <c r="AH135" s="3"/>
    </row>
    <row r="136" spans="1:34">
      <c r="A136" s="198"/>
      <c r="B136" s="198"/>
      <c r="C136" s="198" t="s">
        <v>2457</v>
      </c>
      <c r="D136" s="235">
        <v>2027</v>
      </c>
      <c r="E136" s="195">
        <v>115</v>
      </c>
      <c r="F136" s="195">
        <v>115</v>
      </c>
      <c r="G136" s="239">
        <v>129</v>
      </c>
      <c r="H136" s="197" t="s">
        <v>81</v>
      </c>
      <c r="I136" s="242" t="s">
        <v>238</v>
      </c>
      <c r="J136" s="242" t="s">
        <v>7250</v>
      </c>
      <c r="K136" s="195" t="s">
        <v>70</v>
      </c>
      <c r="L136" s="20" t="str">
        <f ca="1">IF(OFFSET(환산공식!$ED$15,$F136,0)=1,"O","X")</f>
        <v>X</v>
      </c>
      <c r="M136" s="188">
        <f ca="1">IFERROR(OFFSET(환산공식!DJ$15,$F136,0),"")</f>
        <v>100</v>
      </c>
      <c r="N136" s="20" t="str">
        <f ca="1">IFERROR(CONCATENATE(ROUND(OFFSET(환산공식!DK$15,$F136,0),1),"%"),"")</f>
        <v>100%</v>
      </c>
      <c r="O136" s="20">
        <f ca="1">IFERROR(OFFSET(환산공식!DL$15,$F136,0),"")</f>
        <v>0</v>
      </c>
      <c r="P136" s="188" t="str">
        <f t="shared" ca="1" si="2"/>
        <v>3% 이하</v>
      </c>
      <c r="Q136" s="194">
        <f ca="1">IFERROR(ROUND(OFFSET(환산공식!$FG$15,$F136,0),3),"")</f>
        <v>0</v>
      </c>
      <c r="R136" s="194">
        <f ca="1">OFFSET('배치점수 계산기'!H$10,$D136,0)</f>
        <v>907.48199999999997</v>
      </c>
      <c r="S136" s="194">
        <f ca="1">OFFSET('배치점수 계산기'!I$10,$D136,0)</f>
        <v>904.65499999999997</v>
      </c>
      <c r="T136" s="194">
        <f ca="1">OFFSET('배치점수 계산기'!J$10,$D136,0)</f>
        <v>902</v>
      </c>
      <c r="U136" s="194">
        <f ca="1">OFFSET('배치점수 계산기'!K$10,$D136,0)</f>
        <v>897.54</v>
      </c>
      <c r="V136" s="194">
        <f ca="1">OFFSET('배치점수 계산기'!L$10,$D136,0)</f>
        <v>890.28099999999995</v>
      </c>
      <c r="W136" s="186" t="str">
        <f ca="1">OFFSET('배치점수 계산기'!M$10,$D136,0)</f>
        <v>표점/만점</v>
      </c>
      <c r="X136" s="184" t="str">
        <f ca="1">OFFSET('배치점수 계산기'!N$10,$D136,0)</f>
        <v>변표/만점</v>
      </c>
      <c r="Y136" s="188">
        <f ca="1">OFFSET(환산공식!FW$15,$F136,0)</f>
        <v>0.28000000000000003</v>
      </c>
      <c r="Z136" s="20">
        <f ca="1">OFFSET(환산공식!FX$15,$F136,0)</f>
        <v>0.39</v>
      </c>
      <c r="AA136" s="179">
        <f ca="1">OFFSET(환산공식!FY$15,$F136,0)</f>
        <v>0.33</v>
      </c>
      <c r="AB136" s="3"/>
      <c r="AD136">
        <f t="shared" ca="1" si="3"/>
        <v>6</v>
      </c>
      <c r="AF136" s="3"/>
      <c r="AG136" s="3"/>
      <c r="AH136" s="3"/>
    </row>
    <row r="137" spans="1:34">
      <c r="A137" s="198"/>
      <c r="B137" s="198"/>
      <c r="C137" s="198" t="s">
        <v>2458</v>
      </c>
      <c r="D137" s="235">
        <v>2028</v>
      </c>
      <c r="E137" s="195">
        <v>115</v>
      </c>
      <c r="F137" s="195">
        <v>115</v>
      </c>
      <c r="G137" s="239">
        <v>130</v>
      </c>
      <c r="H137" s="197" t="s">
        <v>81</v>
      </c>
      <c r="I137" s="242" t="s">
        <v>238</v>
      </c>
      <c r="J137" s="242" t="s">
        <v>8157</v>
      </c>
      <c r="K137" s="195" t="s">
        <v>70</v>
      </c>
      <c r="L137" s="20" t="str">
        <f ca="1">IF(OFFSET(환산공식!$ED$15,$F137,0)=1,"O","X")</f>
        <v>X</v>
      </c>
      <c r="M137" s="188">
        <f ca="1">IFERROR(OFFSET(환산공식!DJ$15,$F137,0),"")</f>
        <v>100</v>
      </c>
      <c r="N137" s="20" t="str">
        <f ca="1">IFERROR(CONCATENATE(ROUND(OFFSET(환산공식!DK$15,$F137,0),1),"%"),"")</f>
        <v>100%</v>
      </c>
      <c r="O137" s="20">
        <f ca="1">IFERROR(OFFSET(환산공식!DL$15,$F137,0),"")</f>
        <v>0</v>
      </c>
      <c r="P137" s="188" t="str">
        <f t="shared" ref="P137:P200" ca="1" si="4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194">
        <f ca="1">IFERROR(ROUND(OFFSET(환산공식!$FG$15,$F137,0),3),"")</f>
        <v>0</v>
      </c>
      <c r="R137" s="194">
        <f ca="1">OFFSET('배치점수 계산기'!H$10,$D137,0)</f>
        <v>899.40499999999997</v>
      </c>
      <c r="S137" s="194">
        <f ca="1">OFFSET('배치점수 계산기'!I$10,$D137,0)</f>
        <v>896.76199999999994</v>
      </c>
      <c r="T137" s="194">
        <f ca="1">OFFSET('배치점수 계산기'!J$10,$D137,0)</f>
        <v>893.67200000000003</v>
      </c>
      <c r="U137" s="194">
        <f ca="1">OFFSET('배치점수 계산기'!K$10,$D137,0)</f>
        <v>886.91</v>
      </c>
      <c r="V137" s="194">
        <f ca="1">OFFSET('배치점수 계산기'!L$10,$D137,0)</f>
        <v>881.60699999999997</v>
      </c>
      <c r="W137" s="186" t="str">
        <f ca="1">OFFSET('배치점수 계산기'!M$10,$D137,0)</f>
        <v>표점/만점</v>
      </c>
      <c r="X137" s="184" t="str">
        <f ca="1">OFFSET('배치점수 계산기'!N$10,$D137,0)</f>
        <v>변표/만점</v>
      </c>
      <c r="Y137" s="188">
        <f ca="1">OFFSET(환산공식!FW$15,$F137,0)</f>
        <v>0.28000000000000003</v>
      </c>
      <c r="Z137" s="20">
        <f ca="1">OFFSET(환산공식!FX$15,$F137,0)</f>
        <v>0.39</v>
      </c>
      <c r="AA137" s="179">
        <f ca="1">OFFSET(환산공식!FY$15,$F137,0)</f>
        <v>0.33</v>
      </c>
      <c r="AB137" s="3"/>
      <c r="AD137">
        <f t="shared" ref="AD137:AD200" ca="1" si="5">IF(L137="X",6,IF(Q137&gt;R137,1,IF(Q137&gt;S137,2,IF(Q137&gt;T137,3,IF(Q137&gt;U137,4,IF(Q137&gt;=V137,5,IF(Q137&lt;V137,6,"")))))))</f>
        <v>6</v>
      </c>
      <c r="AF137" s="3"/>
      <c r="AG137" s="3"/>
      <c r="AH137" s="3"/>
    </row>
    <row r="138" spans="1:34">
      <c r="A138" s="198"/>
      <c r="B138" s="198"/>
      <c r="C138" s="198" t="s">
        <v>2459</v>
      </c>
      <c r="D138" s="235">
        <v>2029</v>
      </c>
      <c r="E138" s="195">
        <v>115</v>
      </c>
      <c r="F138" s="195">
        <v>115</v>
      </c>
      <c r="G138" s="239">
        <v>131</v>
      </c>
      <c r="H138" s="197" t="s">
        <v>81</v>
      </c>
      <c r="I138" s="242" t="s">
        <v>238</v>
      </c>
      <c r="J138" s="242" t="s">
        <v>8418</v>
      </c>
      <c r="K138" s="195" t="s">
        <v>70</v>
      </c>
      <c r="L138" s="20" t="str">
        <f ca="1">IF(OFFSET(환산공식!$ED$15,$F138,0)=1,"O","X")</f>
        <v>X</v>
      </c>
      <c r="M138" s="188">
        <f ca="1">IFERROR(OFFSET(환산공식!DJ$15,$F138,0),"")</f>
        <v>100</v>
      </c>
      <c r="N138" s="20" t="str">
        <f ca="1">IFERROR(CONCATENATE(ROUND(OFFSET(환산공식!DK$15,$F138,0),1),"%"),"")</f>
        <v>100%</v>
      </c>
      <c r="O138" s="20">
        <f ca="1">IFERROR(OFFSET(환산공식!DL$15,$F138,0),"")</f>
        <v>0</v>
      </c>
      <c r="P138" s="188" t="str">
        <f t="shared" ca="1" si="4"/>
        <v>3% 이하</v>
      </c>
      <c r="Q138" s="194">
        <f ca="1">IFERROR(ROUND(OFFSET(환산공식!$FG$15,$F138,0),3),"")</f>
        <v>0</v>
      </c>
      <c r="R138" s="194">
        <f ca="1">OFFSET('배치점수 계산기'!H$10,$D138,0)</f>
        <v>897.96900000000005</v>
      </c>
      <c r="S138" s="194">
        <f ca="1">OFFSET('배치점수 계산기'!I$10,$D138,0)</f>
        <v>895.31700000000001</v>
      </c>
      <c r="T138" s="194">
        <f ca="1">OFFSET('배치점수 계산기'!J$10,$D138,0)</f>
        <v>891.59</v>
      </c>
      <c r="U138" s="194">
        <f ca="1">OFFSET('배치점수 계산기'!K$10,$D138,0)</f>
        <v>887.08</v>
      </c>
      <c r="V138" s="194">
        <f ca="1">OFFSET('배치점수 계산기'!L$10,$D138,0)</f>
        <v>882.03599999999994</v>
      </c>
      <c r="W138" s="186" t="str">
        <f ca="1">OFFSET('배치점수 계산기'!M$10,$D138,0)</f>
        <v>표점/만점</v>
      </c>
      <c r="X138" s="184" t="str">
        <f ca="1">OFFSET('배치점수 계산기'!N$10,$D138,0)</f>
        <v>변표/만점</v>
      </c>
      <c r="Y138" s="188">
        <f ca="1">OFFSET(환산공식!FW$15,$F138,0)</f>
        <v>0.28000000000000003</v>
      </c>
      <c r="Z138" s="20">
        <f ca="1">OFFSET(환산공식!FX$15,$F138,0)</f>
        <v>0.39</v>
      </c>
      <c r="AA138" s="179">
        <f ca="1">OFFSET(환산공식!FY$15,$F138,0)</f>
        <v>0.33</v>
      </c>
      <c r="AB138" s="3"/>
      <c r="AD138">
        <f t="shared" ca="1" si="5"/>
        <v>6</v>
      </c>
      <c r="AF138" s="3"/>
      <c r="AG138" s="3"/>
      <c r="AH138" s="3"/>
    </row>
    <row r="139" spans="1:34">
      <c r="A139" s="198"/>
      <c r="B139" s="198"/>
      <c r="C139" s="198" t="s">
        <v>2460</v>
      </c>
      <c r="D139" s="235">
        <v>2030</v>
      </c>
      <c r="E139" s="195">
        <v>115</v>
      </c>
      <c r="F139" s="195">
        <v>115</v>
      </c>
      <c r="G139" s="239">
        <v>132</v>
      </c>
      <c r="H139" s="197" t="s">
        <v>81</v>
      </c>
      <c r="I139" s="242" t="s">
        <v>238</v>
      </c>
      <c r="J139" s="242" t="s">
        <v>9074</v>
      </c>
      <c r="K139" s="195" t="s">
        <v>70</v>
      </c>
      <c r="L139" s="20" t="str">
        <f ca="1">IF(OFFSET(환산공식!$ED$15,$F139,0)=1,"O","X")</f>
        <v>X</v>
      </c>
      <c r="M139" s="188">
        <f ca="1">IFERROR(OFFSET(환산공식!DJ$15,$F139,0),"")</f>
        <v>100</v>
      </c>
      <c r="N139" s="20" t="str">
        <f ca="1">IFERROR(CONCATENATE(ROUND(OFFSET(환산공식!DK$15,$F139,0),1),"%"),"")</f>
        <v>100%</v>
      </c>
      <c r="O139" s="20">
        <f ca="1">IFERROR(OFFSET(환산공식!DL$15,$F139,0),"")</f>
        <v>0</v>
      </c>
      <c r="P139" s="188" t="str">
        <f t="shared" ca="1" si="4"/>
        <v>3% 이하</v>
      </c>
      <c r="Q139" s="194">
        <f ca="1">IFERROR(ROUND(OFFSET(환산공식!$FG$15,$F139,0),3),"")</f>
        <v>0</v>
      </c>
      <c r="R139" s="194">
        <f ca="1">OFFSET('배치점수 계산기'!H$10,$D139,0)</f>
        <v>897.54</v>
      </c>
      <c r="S139" s="194">
        <f ca="1">OFFSET('배치점수 계산기'!I$10,$D139,0)</f>
        <v>894.88800000000003</v>
      </c>
      <c r="T139" s="194">
        <f ca="1">OFFSET('배치점수 계산기'!J$10,$D139,0)</f>
        <v>891.59</v>
      </c>
      <c r="U139" s="194">
        <f ca="1">OFFSET('배치점수 계산기'!K$10,$D139,0)</f>
        <v>887.08</v>
      </c>
      <c r="V139" s="194">
        <f ca="1">OFFSET('배치점수 계산기'!L$10,$D139,0)</f>
        <v>882.03599999999994</v>
      </c>
      <c r="W139" s="186" t="str">
        <f ca="1">OFFSET('배치점수 계산기'!M$10,$D139,0)</f>
        <v>표점/만점</v>
      </c>
      <c r="X139" s="184" t="str">
        <f ca="1">OFFSET('배치점수 계산기'!N$10,$D139,0)</f>
        <v>변표/만점</v>
      </c>
      <c r="Y139" s="188">
        <f ca="1">OFFSET(환산공식!FW$15,$F139,0)</f>
        <v>0.28000000000000003</v>
      </c>
      <c r="Z139" s="20">
        <f ca="1">OFFSET(환산공식!FX$15,$F139,0)</f>
        <v>0.39</v>
      </c>
      <c r="AA139" s="179">
        <f ca="1">OFFSET(환산공식!FY$15,$F139,0)</f>
        <v>0.33</v>
      </c>
      <c r="AB139" s="3"/>
      <c r="AD139">
        <f t="shared" ca="1" si="5"/>
        <v>6</v>
      </c>
      <c r="AF139" s="3"/>
      <c r="AG139" s="3"/>
      <c r="AH139" s="3"/>
    </row>
    <row r="140" spans="1:34">
      <c r="A140" s="198"/>
      <c r="B140" s="198"/>
      <c r="C140" s="198" t="s">
        <v>2461</v>
      </c>
      <c r="D140" s="235">
        <v>2031</v>
      </c>
      <c r="E140" s="195">
        <v>115</v>
      </c>
      <c r="F140" s="195">
        <v>115</v>
      </c>
      <c r="G140" s="239">
        <v>133</v>
      </c>
      <c r="H140" s="197" t="s">
        <v>81</v>
      </c>
      <c r="I140" s="242" t="s">
        <v>238</v>
      </c>
      <c r="J140" s="242" t="s">
        <v>8757</v>
      </c>
      <c r="K140" s="195" t="s">
        <v>70</v>
      </c>
      <c r="L140" s="20" t="str">
        <f ca="1">IF(OFFSET(환산공식!$ED$15,$F140,0)=1,"O","X")</f>
        <v>X</v>
      </c>
      <c r="M140" s="188">
        <f ca="1">IFERROR(OFFSET(환산공식!DJ$15,$F140,0),"")</f>
        <v>100</v>
      </c>
      <c r="N140" s="20" t="str">
        <f ca="1">IFERROR(CONCATENATE(ROUND(OFFSET(환산공식!DK$15,$F140,0),1),"%"),"")</f>
        <v>100%</v>
      </c>
      <c r="O140" s="20">
        <f ca="1">IFERROR(OFFSET(환산공식!DL$15,$F140,0),"")</f>
        <v>0</v>
      </c>
      <c r="P140" s="188" t="str">
        <f t="shared" ca="1" si="4"/>
        <v>3% 이하</v>
      </c>
      <c r="Q140" s="194">
        <f ca="1">IFERROR(ROUND(OFFSET(환산공식!$FG$15,$F140,0),3),"")</f>
        <v>0</v>
      </c>
      <c r="R140" s="194">
        <f ca="1">OFFSET('배치점수 계산기'!H$10,$D140,0)</f>
        <v>897.52599999999995</v>
      </c>
      <c r="S140" s="194">
        <f ca="1">OFFSET('배치점수 계산기'!I$10,$D140,0)</f>
        <v>894.88800000000003</v>
      </c>
      <c r="T140" s="194">
        <f ca="1">OFFSET('배치점수 계산기'!J$10,$D140,0)</f>
        <v>891.24199999999996</v>
      </c>
      <c r="U140" s="194">
        <f ca="1">OFFSET('배치점수 계산기'!K$10,$D140,0)</f>
        <v>887.08</v>
      </c>
      <c r="V140" s="194">
        <f ca="1">OFFSET('배치점수 계산기'!L$10,$D140,0)</f>
        <v>882.03599999999994</v>
      </c>
      <c r="W140" s="186" t="str">
        <f ca="1">OFFSET('배치점수 계산기'!M$10,$D140,0)</f>
        <v>표점/만점</v>
      </c>
      <c r="X140" s="184" t="str">
        <f ca="1">OFFSET('배치점수 계산기'!N$10,$D140,0)</f>
        <v>변표/만점</v>
      </c>
      <c r="Y140" s="188">
        <f ca="1">OFFSET(환산공식!FW$15,$F140,0)</f>
        <v>0.28000000000000003</v>
      </c>
      <c r="Z140" s="20">
        <f ca="1">OFFSET(환산공식!FX$15,$F140,0)</f>
        <v>0.39</v>
      </c>
      <c r="AA140" s="179">
        <f ca="1">OFFSET(환산공식!FY$15,$F140,0)</f>
        <v>0.33</v>
      </c>
      <c r="AB140" s="3"/>
      <c r="AD140">
        <f t="shared" ca="1" si="5"/>
        <v>6</v>
      </c>
      <c r="AF140" s="3"/>
      <c r="AG140" s="3"/>
      <c r="AH140" s="3"/>
    </row>
    <row r="141" spans="1:34">
      <c r="A141" s="198"/>
      <c r="B141" s="198"/>
      <c r="C141" s="198" t="s">
        <v>2462</v>
      </c>
      <c r="D141" s="235">
        <v>2032</v>
      </c>
      <c r="E141" s="195">
        <v>115</v>
      </c>
      <c r="F141" s="195">
        <v>115</v>
      </c>
      <c r="G141" s="239">
        <v>134</v>
      </c>
      <c r="H141" s="197" t="s">
        <v>81</v>
      </c>
      <c r="I141" s="242" t="s">
        <v>238</v>
      </c>
      <c r="J141" s="242" t="s">
        <v>10702</v>
      </c>
      <c r="K141" s="195" t="s">
        <v>70</v>
      </c>
      <c r="L141" s="20" t="str">
        <f ca="1">IF(OFFSET(환산공식!$ED$15,$F141,0)=1,"O","X")</f>
        <v>X</v>
      </c>
      <c r="M141" s="188">
        <f ca="1">IFERROR(OFFSET(환산공식!DJ$15,$F141,0),"")</f>
        <v>100</v>
      </c>
      <c r="N141" s="20" t="str">
        <f ca="1">IFERROR(CONCATENATE(ROUND(OFFSET(환산공식!DK$15,$F141,0),1),"%"),"")</f>
        <v>100%</v>
      </c>
      <c r="O141" s="20">
        <f ca="1">IFERROR(OFFSET(환산공식!DL$15,$F141,0),"")</f>
        <v>0</v>
      </c>
      <c r="P141" s="188" t="str">
        <f t="shared" ca="1" si="4"/>
        <v>3% 이하</v>
      </c>
      <c r="Q141" s="194">
        <f ca="1">IFERROR(ROUND(OFFSET(환산공식!$FG$15,$F141,0),3),"")</f>
        <v>0</v>
      </c>
      <c r="R141" s="194">
        <f ca="1">OFFSET('배치점수 계산기'!H$10,$D141,0)</f>
        <v>894.101</v>
      </c>
      <c r="S141" s="194">
        <f ca="1">OFFSET('배치점수 계산기'!I$10,$D141,0)</f>
        <v>890.95699999999999</v>
      </c>
      <c r="T141" s="194">
        <f ca="1">OFFSET('배치점수 계산기'!J$10,$D141,0)</f>
        <v>887.86800000000005</v>
      </c>
      <c r="U141" s="194">
        <f ca="1">OFFSET('배치점수 계산기'!K$10,$D141,0)</f>
        <v>884.66399999999999</v>
      </c>
      <c r="V141" s="194">
        <f ca="1">OFFSET('배치점수 계산기'!L$10,$D141,0)</f>
        <v>879.79300000000001</v>
      </c>
      <c r="W141" s="186" t="str">
        <f ca="1">OFFSET('배치점수 계산기'!M$10,$D141,0)</f>
        <v>표점/만점</v>
      </c>
      <c r="X141" s="184" t="str">
        <f ca="1">OFFSET('배치점수 계산기'!N$10,$D141,0)</f>
        <v>변표/만점</v>
      </c>
      <c r="Y141" s="188">
        <f ca="1">OFFSET(환산공식!FW$15,$F141,0)</f>
        <v>0.28000000000000003</v>
      </c>
      <c r="Z141" s="20">
        <f ca="1">OFFSET(환산공식!FX$15,$F141,0)</f>
        <v>0.39</v>
      </c>
      <c r="AA141" s="179">
        <f ca="1">OFFSET(환산공식!FY$15,$F141,0)</f>
        <v>0.33</v>
      </c>
      <c r="AB141" s="3"/>
      <c r="AD141">
        <f t="shared" ca="1" si="5"/>
        <v>6</v>
      </c>
      <c r="AF141" s="3"/>
      <c r="AG141" s="3"/>
      <c r="AH141" s="3"/>
    </row>
    <row r="142" spans="1:34">
      <c r="A142" s="198"/>
      <c r="B142" s="198"/>
      <c r="C142" s="198" t="s">
        <v>2463</v>
      </c>
      <c r="D142" s="235">
        <v>2033</v>
      </c>
      <c r="E142" s="195">
        <v>115</v>
      </c>
      <c r="F142" s="195">
        <v>115</v>
      </c>
      <c r="G142" s="239">
        <v>135</v>
      </c>
      <c r="H142" s="197" t="s">
        <v>81</v>
      </c>
      <c r="I142" s="242" t="s">
        <v>238</v>
      </c>
      <c r="J142" s="242" t="s">
        <v>8443</v>
      </c>
      <c r="K142" s="195" t="s">
        <v>70</v>
      </c>
      <c r="L142" s="20" t="str">
        <f ca="1">IF(OFFSET(환산공식!$ED$15,$F142,0)=1,"O","X")</f>
        <v>X</v>
      </c>
      <c r="M142" s="188">
        <f ca="1">IFERROR(OFFSET(환산공식!DJ$15,$F142,0),"")</f>
        <v>100</v>
      </c>
      <c r="N142" s="20" t="str">
        <f ca="1">IFERROR(CONCATENATE(ROUND(OFFSET(환산공식!DK$15,$F142,0),1),"%"),"")</f>
        <v>100%</v>
      </c>
      <c r="O142" s="20">
        <f ca="1">IFERROR(OFFSET(환산공식!DL$15,$F142,0),"")</f>
        <v>0</v>
      </c>
      <c r="P142" s="188" t="str">
        <f t="shared" ca="1" si="4"/>
        <v>3% 이하</v>
      </c>
      <c r="Q142" s="194">
        <f ca="1">IFERROR(ROUND(OFFSET(환산공식!$FG$15,$F142,0),3),"")</f>
        <v>0</v>
      </c>
      <c r="R142" s="194">
        <f ca="1">OFFSET('배치점수 계산기'!H$10,$D142,0)</f>
        <v>893.67200000000003</v>
      </c>
      <c r="S142" s="194">
        <f ca="1">OFFSET('배치점수 계산기'!I$10,$D142,0)</f>
        <v>889.78099999999995</v>
      </c>
      <c r="T142" s="194">
        <f ca="1">OFFSET('배치점수 계산기'!J$10,$D142,0)</f>
        <v>886.91</v>
      </c>
      <c r="U142" s="194">
        <f ca="1">OFFSET('배치점수 계산기'!K$10,$D142,0)</f>
        <v>883.33900000000006</v>
      </c>
      <c r="V142" s="194">
        <f ca="1">OFFSET('배치점수 계산기'!L$10,$D142,0)</f>
        <v>878.91200000000003</v>
      </c>
      <c r="W142" s="186" t="str">
        <f ca="1">OFFSET('배치점수 계산기'!M$10,$D142,0)</f>
        <v>표점/만점</v>
      </c>
      <c r="X142" s="184" t="str">
        <f ca="1">OFFSET('배치점수 계산기'!N$10,$D142,0)</f>
        <v>변표/만점</v>
      </c>
      <c r="Y142" s="188">
        <f ca="1">OFFSET(환산공식!FW$15,$F142,0)</f>
        <v>0.28000000000000003</v>
      </c>
      <c r="Z142" s="20">
        <f ca="1">OFFSET(환산공식!FX$15,$F142,0)</f>
        <v>0.39</v>
      </c>
      <c r="AA142" s="179">
        <f ca="1">OFFSET(환산공식!FY$15,$F142,0)</f>
        <v>0.33</v>
      </c>
      <c r="AB142" s="3"/>
      <c r="AD142">
        <f t="shared" ca="1" si="5"/>
        <v>6</v>
      </c>
      <c r="AF142" s="3"/>
      <c r="AG142" s="3"/>
      <c r="AH142" s="3"/>
    </row>
    <row r="143" spans="1:34">
      <c r="A143" s="198"/>
      <c r="B143" s="198"/>
      <c r="C143" s="198" t="s">
        <v>2464</v>
      </c>
      <c r="D143" s="235">
        <v>2034</v>
      </c>
      <c r="E143" s="195">
        <v>123</v>
      </c>
      <c r="F143" s="195">
        <v>123</v>
      </c>
      <c r="G143" s="239">
        <v>136</v>
      </c>
      <c r="H143" s="197" t="s">
        <v>81</v>
      </c>
      <c r="I143" s="242" t="s">
        <v>238</v>
      </c>
      <c r="J143" s="242" t="s">
        <v>10649</v>
      </c>
      <c r="K143" s="195" t="s">
        <v>70</v>
      </c>
      <c r="L143" s="20" t="str">
        <f ca="1">IF(OFFSET(환산공식!$ED$15,$F143,0)=1,"O","X")</f>
        <v>X</v>
      </c>
      <c r="M143" s="188">
        <f ca="1">IFERROR(OFFSET(환산공식!DJ$15,$F143,0),"")</f>
        <v>100</v>
      </c>
      <c r="N143" s="20" t="str">
        <f ca="1">IFERROR(CONCATENATE(ROUND(OFFSET(환산공식!DK$15,$F143,0),1),"%"),"")</f>
        <v>100%</v>
      </c>
      <c r="O143" s="20">
        <f ca="1">IFERROR(OFFSET(환산공식!DL$15,$F143,0),"")</f>
        <v>0</v>
      </c>
      <c r="P143" s="188" t="str">
        <f t="shared" ca="1" si="4"/>
        <v>3% 이하</v>
      </c>
      <c r="Q143" s="194">
        <f ca="1">IFERROR(ROUND(OFFSET(환산공식!$FG$15,$F143,0),3),"")</f>
        <v>0</v>
      </c>
      <c r="R143" s="194">
        <f ca="1">OFFSET('배치점수 계산기'!H$10,$D143,0)</f>
        <v>879.98900000000003</v>
      </c>
      <c r="S143" s="194">
        <f ca="1">OFFSET('배치점수 계산기'!I$10,$D143,0)</f>
        <v>876.23299999999995</v>
      </c>
      <c r="T143" s="194">
        <f ca="1">OFFSET('배치점수 계산기'!J$10,$D143,0)</f>
        <v>872.45899999999995</v>
      </c>
      <c r="U143" s="194">
        <f ca="1">OFFSET('배치점수 계산기'!K$10,$D143,0)</f>
        <v>868.83</v>
      </c>
      <c r="V143" s="194">
        <f ca="1">OFFSET('배치점수 계산기'!L$10,$D143,0)</f>
        <v>864.65499999999997</v>
      </c>
      <c r="W143" s="186" t="str">
        <f ca="1">OFFSET('배치점수 계산기'!M$10,$D143,0)</f>
        <v>표점/만점</v>
      </c>
      <c r="X143" s="184" t="str">
        <f ca="1">OFFSET('배치점수 계산기'!N$10,$D143,0)</f>
        <v>변표/만점</v>
      </c>
      <c r="Y143" s="188">
        <f ca="1">OFFSET(환산공식!FW$15,$F143,0)</f>
        <v>0.28000000000000003</v>
      </c>
      <c r="Z143" s="20">
        <f ca="1">OFFSET(환산공식!FX$15,$F143,0)</f>
        <v>0.45</v>
      </c>
      <c r="AA143" s="179">
        <f ca="1">OFFSET(환산공식!FY$15,$F143,0)</f>
        <v>0.27</v>
      </c>
      <c r="AB143" s="3"/>
      <c r="AD143">
        <f t="shared" ca="1" si="5"/>
        <v>6</v>
      </c>
      <c r="AF143" s="3"/>
      <c r="AG143" s="3"/>
      <c r="AH143" s="3"/>
    </row>
    <row r="144" spans="1:34">
      <c r="A144" s="198"/>
      <c r="B144" s="198"/>
      <c r="C144" s="198" t="s">
        <v>2465</v>
      </c>
      <c r="D144" s="235">
        <v>2035</v>
      </c>
      <c r="E144" s="195">
        <v>115</v>
      </c>
      <c r="F144" s="195">
        <v>115</v>
      </c>
      <c r="G144" s="239">
        <v>137</v>
      </c>
      <c r="H144" s="197" t="s">
        <v>81</v>
      </c>
      <c r="I144" s="242" t="s">
        <v>238</v>
      </c>
      <c r="J144" s="242" t="s">
        <v>10795</v>
      </c>
      <c r="K144" s="195" t="s">
        <v>70</v>
      </c>
      <c r="L144" s="20" t="str">
        <f ca="1">IF(OFFSET(환산공식!$ED$15,$F144,0)=1,"O","X")</f>
        <v>X</v>
      </c>
      <c r="M144" s="188">
        <f ca="1">IFERROR(OFFSET(환산공식!DJ$15,$F144,0),"")</f>
        <v>100</v>
      </c>
      <c r="N144" s="20" t="str">
        <f ca="1">IFERROR(CONCATENATE(ROUND(OFFSET(환산공식!DK$15,$F144,0),1),"%"),"")</f>
        <v>100%</v>
      </c>
      <c r="O144" s="20">
        <f ca="1">IFERROR(OFFSET(환산공식!DL$15,$F144,0),"")</f>
        <v>0</v>
      </c>
      <c r="P144" s="188" t="str">
        <f t="shared" ca="1" si="4"/>
        <v>3% 이하</v>
      </c>
      <c r="Q144" s="194">
        <f ca="1">IFERROR(ROUND(OFFSET(환산공식!$FG$15,$F144,0),3),"")</f>
        <v>0</v>
      </c>
      <c r="R144" s="194">
        <f ca="1">OFFSET('배치점수 계산기'!H$10,$D144,0)</f>
        <v>891.24199999999996</v>
      </c>
      <c r="S144" s="194">
        <f ca="1">OFFSET('배치점수 계산기'!I$10,$D144,0)</f>
        <v>888.48199999999997</v>
      </c>
      <c r="T144" s="194">
        <f ca="1">OFFSET('배치점수 계산기'!J$10,$D144,0)</f>
        <v>885.75300000000004</v>
      </c>
      <c r="U144" s="194">
        <f ca="1">OFFSET('배치점수 계산기'!K$10,$D144,0)</f>
        <v>881.08799999999997</v>
      </c>
      <c r="V144" s="194">
        <f ca="1">OFFSET('배치점수 계산기'!L$10,$D144,0)</f>
        <v>876.43700000000001</v>
      </c>
      <c r="W144" s="186" t="str">
        <f ca="1">OFFSET('배치점수 계산기'!M$10,$D144,0)</f>
        <v>표점/만점</v>
      </c>
      <c r="X144" s="184" t="str">
        <f ca="1">OFFSET('배치점수 계산기'!N$10,$D144,0)</f>
        <v>변표/만점</v>
      </c>
      <c r="Y144" s="188">
        <f ca="1">OFFSET(환산공식!FW$15,$F144,0)</f>
        <v>0.28000000000000003</v>
      </c>
      <c r="Z144" s="20">
        <f ca="1">OFFSET(환산공식!FX$15,$F144,0)</f>
        <v>0.39</v>
      </c>
      <c r="AA144" s="179">
        <f ca="1">OFFSET(환산공식!FY$15,$F144,0)</f>
        <v>0.33</v>
      </c>
      <c r="AB144" s="3"/>
      <c r="AD144">
        <f t="shared" ca="1" si="5"/>
        <v>6</v>
      </c>
      <c r="AF144" s="3"/>
      <c r="AG144" s="3"/>
      <c r="AH144" s="3"/>
    </row>
    <row r="145" spans="1:34">
      <c r="A145" s="198"/>
      <c r="B145" s="198"/>
      <c r="C145" s="198" t="s">
        <v>2466</v>
      </c>
      <c r="D145" s="235">
        <v>2036</v>
      </c>
      <c r="E145" s="195">
        <v>115</v>
      </c>
      <c r="F145" s="195">
        <v>115</v>
      </c>
      <c r="G145" s="239">
        <v>138</v>
      </c>
      <c r="H145" s="197" t="s">
        <v>81</v>
      </c>
      <c r="I145" s="242" t="s">
        <v>238</v>
      </c>
      <c r="J145" s="242" t="s">
        <v>550</v>
      </c>
      <c r="K145" s="195" t="s">
        <v>70</v>
      </c>
      <c r="L145" s="20" t="str">
        <f ca="1">IF(OFFSET(환산공식!$ED$15,$F145,0)=1,"O","X")</f>
        <v>X</v>
      </c>
      <c r="M145" s="188">
        <f ca="1">IFERROR(OFFSET(환산공식!DJ$15,$F145,0),"")</f>
        <v>100</v>
      </c>
      <c r="N145" s="20" t="str">
        <f ca="1">IFERROR(CONCATENATE(ROUND(OFFSET(환산공식!DK$15,$F145,0),1),"%"),"")</f>
        <v>100%</v>
      </c>
      <c r="O145" s="20">
        <f ca="1">IFERROR(OFFSET(환산공식!DL$15,$F145,0),"")</f>
        <v>0</v>
      </c>
      <c r="P145" s="188" t="str">
        <f t="shared" ca="1" si="4"/>
        <v>3% 이하</v>
      </c>
      <c r="Q145" s="194">
        <f ca="1">IFERROR(ROUND(OFFSET(환산공식!$FG$15,$F145,0),3),"")</f>
        <v>0</v>
      </c>
      <c r="R145" s="194">
        <f ca="1">OFFSET('배치점수 계산기'!H$10,$D145,0)</f>
        <v>893.67200000000003</v>
      </c>
      <c r="S145" s="194">
        <f ca="1">OFFSET('배치점수 계산기'!I$10,$D145,0)</f>
        <v>889.61099999999999</v>
      </c>
      <c r="T145" s="194">
        <f ca="1">OFFSET('배치점수 계산기'!J$10,$D145,0)</f>
        <v>885.75300000000004</v>
      </c>
      <c r="U145" s="194">
        <f ca="1">OFFSET('배치점수 계산기'!K$10,$D145,0)</f>
        <v>882.65899999999999</v>
      </c>
      <c r="V145" s="194">
        <f ca="1">OFFSET('배치점수 계산기'!L$10,$D145,0)</f>
        <v>878.24199999999996</v>
      </c>
      <c r="W145" s="186" t="str">
        <f ca="1">OFFSET('배치점수 계산기'!M$10,$D145,0)</f>
        <v>표점/만점</v>
      </c>
      <c r="X145" s="184" t="str">
        <f ca="1">OFFSET('배치점수 계산기'!N$10,$D145,0)</f>
        <v>변표/만점</v>
      </c>
      <c r="Y145" s="188">
        <f ca="1">OFFSET(환산공식!FW$15,$F145,0)</f>
        <v>0.28000000000000003</v>
      </c>
      <c r="Z145" s="20">
        <f ca="1">OFFSET(환산공식!FX$15,$F145,0)</f>
        <v>0.39</v>
      </c>
      <c r="AA145" s="179">
        <f ca="1">OFFSET(환산공식!FY$15,$F145,0)</f>
        <v>0.33</v>
      </c>
      <c r="AB145" s="3"/>
      <c r="AD145">
        <f t="shared" ca="1" si="5"/>
        <v>6</v>
      </c>
      <c r="AF145" s="3"/>
      <c r="AG145" s="3"/>
      <c r="AH145" s="3"/>
    </row>
    <row r="146" spans="1:34">
      <c r="A146" s="198"/>
      <c r="B146" s="198"/>
      <c r="C146" s="198" t="s">
        <v>2467</v>
      </c>
      <c r="D146" s="235">
        <v>2037</v>
      </c>
      <c r="E146" s="195">
        <v>115</v>
      </c>
      <c r="F146" s="195">
        <v>115</v>
      </c>
      <c r="G146" s="239">
        <v>139</v>
      </c>
      <c r="H146" s="197" t="s">
        <v>81</v>
      </c>
      <c r="I146" s="242" t="s">
        <v>238</v>
      </c>
      <c r="J146" s="242" t="s">
        <v>10898</v>
      </c>
      <c r="K146" s="195" t="s">
        <v>70</v>
      </c>
      <c r="L146" s="20" t="str">
        <f ca="1">IF(OFFSET(환산공식!$ED$15,$F146,0)=1,"O","X")</f>
        <v>X</v>
      </c>
      <c r="M146" s="188">
        <f ca="1">IFERROR(OFFSET(환산공식!DJ$15,$F146,0),"")</f>
        <v>100</v>
      </c>
      <c r="N146" s="20" t="str">
        <f ca="1">IFERROR(CONCATENATE(ROUND(OFFSET(환산공식!DK$15,$F146,0),1),"%"),"")</f>
        <v>100%</v>
      </c>
      <c r="O146" s="20">
        <f ca="1">IFERROR(OFFSET(환산공식!DL$15,$F146,0),"")</f>
        <v>0</v>
      </c>
      <c r="P146" s="188" t="str">
        <f t="shared" ca="1" si="4"/>
        <v>3% 이하</v>
      </c>
      <c r="Q146" s="194">
        <f ca="1">IFERROR(ROUND(OFFSET(환산공식!$FG$15,$F146,0),3),"")</f>
        <v>0</v>
      </c>
      <c r="R146" s="194">
        <f ca="1">OFFSET('배치점수 계산기'!H$10,$D146,0)</f>
        <v>893.25699999999995</v>
      </c>
      <c r="S146" s="194">
        <f ca="1">OFFSET('배치점수 계산기'!I$10,$D146,0)</f>
        <v>888.74099999999999</v>
      </c>
      <c r="T146" s="194">
        <f ca="1">OFFSET('배치점수 계산기'!J$10,$D146,0)</f>
        <v>885.423</v>
      </c>
      <c r="U146" s="194">
        <f ca="1">OFFSET('배치점수 계산기'!K$10,$D146,0)</f>
        <v>882.20600000000002</v>
      </c>
      <c r="V146" s="194">
        <f ca="1">OFFSET('배치점수 계산기'!L$10,$D146,0)</f>
        <v>877.86099999999999</v>
      </c>
      <c r="W146" s="186" t="str">
        <f ca="1">OFFSET('배치점수 계산기'!M$10,$D146,0)</f>
        <v>표점/만점</v>
      </c>
      <c r="X146" s="184" t="str">
        <f ca="1">OFFSET('배치점수 계산기'!N$10,$D146,0)</f>
        <v>변표/만점</v>
      </c>
      <c r="Y146" s="188">
        <f ca="1">OFFSET(환산공식!FW$15,$F146,0)</f>
        <v>0.28000000000000003</v>
      </c>
      <c r="Z146" s="20">
        <f ca="1">OFFSET(환산공식!FX$15,$F146,0)</f>
        <v>0.39</v>
      </c>
      <c r="AA146" s="179">
        <f ca="1">OFFSET(환산공식!FY$15,$F146,0)</f>
        <v>0.33</v>
      </c>
      <c r="AB146" s="3"/>
      <c r="AD146">
        <f t="shared" ca="1" si="5"/>
        <v>6</v>
      </c>
      <c r="AF146" s="3"/>
      <c r="AG146" s="3"/>
      <c r="AH146" s="3"/>
    </row>
    <row r="147" spans="1:34">
      <c r="A147" s="198"/>
      <c r="B147" s="198"/>
      <c r="C147" s="198" t="s">
        <v>2468</v>
      </c>
      <c r="D147" s="235">
        <v>2038</v>
      </c>
      <c r="E147" s="195">
        <v>115</v>
      </c>
      <c r="F147" s="195">
        <v>115</v>
      </c>
      <c r="G147" s="239">
        <v>140</v>
      </c>
      <c r="H147" s="197" t="s">
        <v>81</v>
      </c>
      <c r="I147" s="242" t="s">
        <v>238</v>
      </c>
      <c r="J147" s="242" t="s">
        <v>8538</v>
      </c>
      <c r="K147" s="195" t="s">
        <v>70</v>
      </c>
      <c r="L147" s="20" t="str">
        <f ca="1">IF(OFFSET(환산공식!$ED$15,$F147,0)=1,"O","X")</f>
        <v>X</v>
      </c>
      <c r="M147" s="188">
        <f ca="1">IFERROR(OFFSET(환산공식!DJ$15,$F147,0),"")</f>
        <v>100</v>
      </c>
      <c r="N147" s="20" t="str">
        <f ca="1">IFERROR(CONCATENATE(ROUND(OFFSET(환산공식!DK$15,$F147,0),1),"%"),"")</f>
        <v>100%</v>
      </c>
      <c r="O147" s="20">
        <f ca="1">IFERROR(OFFSET(환산공식!DL$15,$F147,0),"")</f>
        <v>0</v>
      </c>
      <c r="P147" s="188" t="str">
        <f t="shared" ca="1" si="4"/>
        <v>3% 이하</v>
      </c>
      <c r="Q147" s="194">
        <f ca="1">IFERROR(ROUND(OFFSET(환산공식!$FG$15,$F147,0),3),"")</f>
        <v>0</v>
      </c>
      <c r="R147" s="194">
        <f ca="1">OFFSET('배치점수 계산기'!H$10,$D147,0)</f>
        <v>891.59</v>
      </c>
      <c r="S147" s="194">
        <f ca="1">OFFSET('배치점수 계산기'!I$10,$D147,0)</f>
        <v>887.86800000000005</v>
      </c>
      <c r="T147" s="194">
        <f ca="1">OFFSET('배치점수 계산기'!J$10,$D147,0)</f>
        <v>884.51900000000001</v>
      </c>
      <c r="U147" s="194">
        <f ca="1">OFFSET('배치점수 계산기'!K$10,$D147,0)</f>
        <v>880.779</v>
      </c>
      <c r="V147" s="194">
        <f ca="1">OFFSET('배치점수 계산기'!L$10,$D147,0)</f>
        <v>875.77099999999996</v>
      </c>
      <c r="W147" s="186" t="str">
        <f ca="1">OFFSET('배치점수 계산기'!M$10,$D147,0)</f>
        <v>표점/만점</v>
      </c>
      <c r="X147" s="184" t="str">
        <f ca="1">OFFSET('배치점수 계산기'!N$10,$D147,0)</f>
        <v>변표/만점</v>
      </c>
      <c r="Y147" s="188">
        <f ca="1">OFFSET(환산공식!FW$15,$F147,0)</f>
        <v>0.28000000000000003</v>
      </c>
      <c r="Z147" s="20">
        <f ca="1">OFFSET(환산공식!FX$15,$F147,0)</f>
        <v>0.39</v>
      </c>
      <c r="AA147" s="179">
        <f ca="1">OFFSET(환산공식!FY$15,$F147,0)</f>
        <v>0.33</v>
      </c>
      <c r="AB147" s="3"/>
      <c r="AD147">
        <f t="shared" ca="1" si="5"/>
        <v>6</v>
      </c>
      <c r="AF147" s="3"/>
      <c r="AG147" s="3"/>
      <c r="AH147" s="3"/>
    </row>
    <row r="148" spans="1:34">
      <c r="A148" s="198"/>
      <c r="B148" s="198"/>
      <c r="C148" s="198" t="s">
        <v>2469</v>
      </c>
      <c r="D148" s="235">
        <v>2039</v>
      </c>
      <c r="E148" s="195">
        <v>115</v>
      </c>
      <c r="F148" s="195">
        <v>115</v>
      </c>
      <c r="G148" s="239">
        <v>141</v>
      </c>
      <c r="H148" s="197" t="s">
        <v>81</v>
      </c>
      <c r="I148" s="242" t="s">
        <v>238</v>
      </c>
      <c r="J148" s="242" t="s">
        <v>551</v>
      </c>
      <c r="K148" s="195" t="s">
        <v>70</v>
      </c>
      <c r="L148" s="20" t="str">
        <f ca="1">IF(OFFSET(환산공식!$ED$15,$F148,0)=1,"O","X")</f>
        <v>X</v>
      </c>
      <c r="M148" s="188">
        <f ca="1">IFERROR(OFFSET(환산공식!DJ$15,$F148,0),"")</f>
        <v>100</v>
      </c>
      <c r="N148" s="20" t="str">
        <f ca="1">IFERROR(CONCATENATE(ROUND(OFFSET(환산공식!DK$15,$F148,0),1),"%"),"")</f>
        <v>100%</v>
      </c>
      <c r="O148" s="20">
        <f ca="1">IFERROR(OFFSET(환산공식!DL$15,$F148,0),"")</f>
        <v>0</v>
      </c>
      <c r="P148" s="188" t="str">
        <f t="shared" ca="1" si="4"/>
        <v>3% 이하</v>
      </c>
      <c r="Q148" s="194">
        <f ca="1">IFERROR(ROUND(OFFSET(환산공식!$FG$15,$F148,0),3),"")</f>
        <v>0</v>
      </c>
      <c r="R148" s="194">
        <f ca="1">OFFSET('배치점수 계산기'!H$10,$D148,0)</f>
        <v>890.78700000000003</v>
      </c>
      <c r="S148" s="194">
        <f ca="1">OFFSET('배치점수 계산기'!I$10,$D148,0)</f>
        <v>887.08</v>
      </c>
      <c r="T148" s="194">
        <f ca="1">OFFSET('배치점수 계산기'!J$10,$D148,0)</f>
        <v>883.59799999999996</v>
      </c>
      <c r="U148" s="194">
        <f ca="1">OFFSET('배치점수 계산기'!K$10,$D148,0)</f>
        <v>880.66399999999999</v>
      </c>
      <c r="V148" s="194">
        <f ca="1">OFFSET('배치점수 계산기'!L$10,$D148,0)</f>
        <v>876.43700000000001</v>
      </c>
      <c r="W148" s="186" t="str">
        <f ca="1">OFFSET('배치점수 계산기'!M$10,$D148,0)</f>
        <v>표점/만점</v>
      </c>
      <c r="X148" s="184" t="str">
        <f ca="1">OFFSET('배치점수 계산기'!N$10,$D148,0)</f>
        <v>변표/만점</v>
      </c>
      <c r="Y148" s="188">
        <f ca="1">OFFSET(환산공식!FW$15,$F148,0)</f>
        <v>0.28000000000000003</v>
      </c>
      <c r="Z148" s="20">
        <f ca="1">OFFSET(환산공식!FX$15,$F148,0)</f>
        <v>0.39</v>
      </c>
      <c r="AA148" s="179">
        <f ca="1">OFFSET(환산공식!FY$15,$F148,0)</f>
        <v>0.33</v>
      </c>
      <c r="AB148" s="3"/>
      <c r="AD148">
        <f t="shared" ca="1" si="5"/>
        <v>6</v>
      </c>
      <c r="AF148" s="3"/>
      <c r="AG148" s="3"/>
      <c r="AH148" s="3"/>
    </row>
    <row r="149" spans="1:34">
      <c r="A149" s="198"/>
      <c r="B149" s="198"/>
      <c r="C149" s="198" t="s">
        <v>2470</v>
      </c>
      <c r="D149" s="235">
        <v>2040</v>
      </c>
      <c r="E149" s="195">
        <v>115</v>
      </c>
      <c r="F149" s="195">
        <v>115</v>
      </c>
      <c r="G149" s="239">
        <v>142</v>
      </c>
      <c r="H149" s="197" t="s">
        <v>81</v>
      </c>
      <c r="I149" s="242" t="s">
        <v>238</v>
      </c>
      <c r="J149" s="242" t="s">
        <v>9309</v>
      </c>
      <c r="K149" s="195" t="s">
        <v>70</v>
      </c>
      <c r="L149" s="20" t="str">
        <f ca="1">IF(OFFSET(환산공식!$ED$15,$F149,0)=1,"O","X")</f>
        <v>X</v>
      </c>
      <c r="M149" s="188">
        <f ca="1">IFERROR(OFFSET(환산공식!DJ$15,$F149,0),"")</f>
        <v>100</v>
      </c>
      <c r="N149" s="20" t="str">
        <f ca="1">IFERROR(CONCATENATE(ROUND(OFFSET(환산공식!DK$15,$F149,0),1),"%"),"")</f>
        <v>100%</v>
      </c>
      <c r="O149" s="20">
        <f ca="1">IFERROR(OFFSET(환산공식!DL$15,$F149,0),"")</f>
        <v>0</v>
      </c>
      <c r="P149" s="188" t="str">
        <f t="shared" ca="1" si="4"/>
        <v>3% 이하</v>
      </c>
      <c r="Q149" s="194">
        <f ca="1">IFERROR(ROUND(OFFSET(환산공식!$FG$15,$F149,0),3),"")</f>
        <v>0</v>
      </c>
      <c r="R149" s="194">
        <f ca="1">OFFSET('배치점수 계산기'!H$10,$D149,0)</f>
        <v>887.33900000000006</v>
      </c>
      <c r="S149" s="194">
        <f ca="1">OFFSET('배치점수 계산기'!I$10,$D149,0)</f>
        <v>885.423</v>
      </c>
      <c r="T149" s="194">
        <f ca="1">OFFSET('배치점수 계산기'!J$10,$D149,0)</f>
        <v>882.72400000000005</v>
      </c>
      <c r="U149" s="194">
        <f ca="1">OFFSET('배치점수 계산기'!K$10,$D149,0)</f>
        <v>879.96299999999997</v>
      </c>
      <c r="V149" s="194">
        <f ca="1">OFFSET('배치점수 계산기'!L$10,$D149,0)</f>
        <v>875.77099999999996</v>
      </c>
      <c r="W149" s="186" t="str">
        <f ca="1">OFFSET('배치점수 계산기'!M$10,$D149,0)</f>
        <v>표점/만점</v>
      </c>
      <c r="X149" s="184" t="str">
        <f ca="1">OFFSET('배치점수 계산기'!N$10,$D149,0)</f>
        <v>변표/만점</v>
      </c>
      <c r="Y149" s="188">
        <f ca="1">OFFSET(환산공식!FW$15,$F149,0)</f>
        <v>0.28000000000000003</v>
      </c>
      <c r="Z149" s="20">
        <f ca="1">OFFSET(환산공식!FX$15,$F149,0)</f>
        <v>0.39</v>
      </c>
      <c r="AA149" s="179">
        <f ca="1">OFFSET(환산공식!FY$15,$F149,0)</f>
        <v>0.33</v>
      </c>
      <c r="AB149" s="3"/>
      <c r="AD149">
        <f t="shared" ca="1" si="5"/>
        <v>6</v>
      </c>
      <c r="AF149" s="3"/>
      <c r="AG149" s="3"/>
      <c r="AH149" s="3"/>
    </row>
    <row r="150" spans="1:34">
      <c r="A150" s="198"/>
      <c r="B150" s="198"/>
      <c r="C150" s="198" t="s">
        <v>2471</v>
      </c>
      <c r="D150" s="235">
        <v>2041</v>
      </c>
      <c r="E150" s="195">
        <v>117</v>
      </c>
      <c r="F150" s="195">
        <v>117</v>
      </c>
      <c r="G150" s="239">
        <v>143</v>
      </c>
      <c r="H150" s="197" t="s">
        <v>81</v>
      </c>
      <c r="I150" s="242" t="s">
        <v>238</v>
      </c>
      <c r="J150" s="242" t="s">
        <v>7252</v>
      </c>
      <c r="K150" s="195" t="s">
        <v>70</v>
      </c>
      <c r="L150" s="20" t="str">
        <f ca="1">IF(OFFSET(환산공식!$ED$15,$F150,0)=1,"O","X")</f>
        <v>X</v>
      </c>
      <c r="M150" s="188">
        <f ca="1">IFERROR(OFFSET(환산공식!DJ$15,$F150,0),"")</f>
        <v>100</v>
      </c>
      <c r="N150" s="20" t="str">
        <f ca="1">IFERROR(CONCATENATE(ROUND(OFFSET(환산공식!DK$15,$F150,0),1),"%"),"")</f>
        <v>100%</v>
      </c>
      <c r="O150" s="20">
        <f ca="1">IFERROR(OFFSET(환산공식!DL$15,$F150,0),"")</f>
        <v>0</v>
      </c>
      <c r="P150" s="188" t="str">
        <f t="shared" ca="1" si="4"/>
        <v>3% 이하</v>
      </c>
      <c r="Q150" s="194">
        <f ca="1">IFERROR(ROUND(OFFSET(환산공식!$FG$15,$F150,0),3),"")</f>
        <v>0</v>
      </c>
      <c r="R150" s="194">
        <f ca="1">OFFSET('배치점수 계산기'!H$10,$D150,0)</f>
        <v>879.70799999999997</v>
      </c>
      <c r="S150" s="194">
        <f ca="1">OFFSET('배치점수 계산기'!I$10,$D150,0)</f>
        <v>876.87699999999995</v>
      </c>
      <c r="T150" s="194">
        <f ca="1">OFFSET('배치점수 계산기'!J$10,$D150,0)</f>
        <v>873.75900000000001</v>
      </c>
      <c r="U150" s="194">
        <f ca="1">OFFSET('배치점수 계산기'!K$10,$D150,0)</f>
        <v>870.76900000000001</v>
      </c>
      <c r="V150" s="194">
        <f ca="1">OFFSET('배치점수 계산기'!L$10,$D150,0)</f>
        <v>866.39599999999996</v>
      </c>
      <c r="W150" s="186" t="str">
        <f ca="1">OFFSET('배치점수 계산기'!M$10,$D150,0)</f>
        <v>표점/만점</v>
      </c>
      <c r="X150" s="184" t="str">
        <f ca="1">OFFSET('배치점수 계산기'!N$10,$D150,0)</f>
        <v>변표/만점</v>
      </c>
      <c r="Y150" s="188">
        <f ca="1">OFFSET(환산공식!FW$15,$F150,0)</f>
        <v>0.28000000000000003</v>
      </c>
      <c r="Z150" s="20">
        <f ca="1">OFFSET(환산공식!FX$15,$F150,0)</f>
        <v>0.45</v>
      </c>
      <c r="AA150" s="179">
        <f ca="1">OFFSET(환산공식!FY$15,$F150,0)</f>
        <v>0.27</v>
      </c>
      <c r="AB150" s="3"/>
      <c r="AD150">
        <f t="shared" ca="1" si="5"/>
        <v>6</v>
      </c>
      <c r="AF150" s="3"/>
      <c r="AG150" s="3"/>
      <c r="AH150" s="3"/>
    </row>
    <row r="151" spans="1:34">
      <c r="A151" s="198"/>
      <c r="B151" s="198"/>
      <c r="C151" s="198" t="s">
        <v>2472</v>
      </c>
      <c r="D151" s="235">
        <v>2042</v>
      </c>
      <c r="E151" s="195">
        <v>115</v>
      </c>
      <c r="F151" s="195">
        <v>115</v>
      </c>
      <c r="G151" s="239">
        <v>144</v>
      </c>
      <c r="H151" s="197" t="s">
        <v>81</v>
      </c>
      <c r="I151" s="242" t="s">
        <v>238</v>
      </c>
      <c r="J151" s="242" t="s">
        <v>11120</v>
      </c>
      <c r="K151" s="195" t="s">
        <v>70</v>
      </c>
      <c r="L151" s="20" t="str">
        <f ca="1">IF(OFFSET(환산공식!$ED$15,$F151,0)=1,"O","X")</f>
        <v>X</v>
      </c>
      <c r="M151" s="188">
        <f ca="1">IFERROR(OFFSET(환산공식!DJ$15,$F151,0),"")</f>
        <v>100</v>
      </c>
      <c r="N151" s="20" t="str">
        <f ca="1">IFERROR(CONCATENATE(ROUND(OFFSET(환산공식!DK$15,$F151,0),1),"%"),"")</f>
        <v>100%</v>
      </c>
      <c r="O151" s="20">
        <f ca="1">IFERROR(OFFSET(환산공식!DL$15,$F151,0),"")</f>
        <v>0</v>
      </c>
      <c r="P151" s="188" t="str">
        <f t="shared" ca="1" si="4"/>
        <v>3% 이하</v>
      </c>
      <c r="Q151" s="194">
        <f ca="1">IFERROR(ROUND(OFFSET(환산공식!$FG$15,$F151,0),3),"")</f>
        <v>0</v>
      </c>
      <c r="R151" s="194">
        <f ca="1">OFFSET('배치점수 계산기'!H$10,$D151,0)</f>
        <v>887.08</v>
      </c>
      <c r="S151" s="194">
        <f ca="1">OFFSET('배치점수 계산기'!I$10,$D151,0)</f>
        <v>884.16300000000001</v>
      </c>
      <c r="T151" s="194">
        <f ca="1">OFFSET('배치점수 계산기'!J$10,$D151,0)</f>
        <v>880.51900000000001</v>
      </c>
      <c r="U151" s="194">
        <f ca="1">OFFSET('배치점수 계산기'!K$10,$D151,0)</f>
        <v>877.07500000000005</v>
      </c>
      <c r="V151" s="194">
        <f ca="1">OFFSET('배치점수 계산기'!L$10,$D151,0)</f>
        <v>872.74800000000005</v>
      </c>
      <c r="W151" s="186" t="str">
        <f ca="1">OFFSET('배치점수 계산기'!M$10,$D151,0)</f>
        <v>표점/만점</v>
      </c>
      <c r="X151" s="184" t="str">
        <f ca="1">OFFSET('배치점수 계산기'!N$10,$D151,0)</f>
        <v>변표/만점</v>
      </c>
      <c r="Y151" s="188">
        <f ca="1">OFFSET(환산공식!FW$15,$F151,0)</f>
        <v>0.28000000000000003</v>
      </c>
      <c r="Z151" s="20">
        <f ca="1">OFFSET(환산공식!FX$15,$F151,0)</f>
        <v>0.39</v>
      </c>
      <c r="AA151" s="179">
        <f ca="1">OFFSET(환산공식!FY$15,$F151,0)</f>
        <v>0.33</v>
      </c>
      <c r="AB151" s="3"/>
      <c r="AD151">
        <f t="shared" ca="1" si="5"/>
        <v>6</v>
      </c>
      <c r="AF151" s="3"/>
      <c r="AG151" s="3"/>
      <c r="AH151" s="3"/>
    </row>
    <row r="152" spans="1:34">
      <c r="A152" s="198"/>
      <c r="B152" s="198"/>
      <c r="C152" s="198" t="s">
        <v>2473</v>
      </c>
      <c r="D152" s="235">
        <v>2043</v>
      </c>
      <c r="E152" s="195">
        <v>115</v>
      </c>
      <c r="F152" s="195">
        <v>115</v>
      </c>
      <c r="G152" s="239">
        <v>145</v>
      </c>
      <c r="H152" s="197" t="s">
        <v>81</v>
      </c>
      <c r="I152" s="242" t="s">
        <v>238</v>
      </c>
      <c r="J152" s="242" t="s">
        <v>555</v>
      </c>
      <c r="K152" s="195" t="s">
        <v>70</v>
      </c>
      <c r="L152" s="20" t="str">
        <f ca="1">IF(OFFSET(환산공식!$ED$15,$F152,0)=1,"O","X")</f>
        <v>X</v>
      </c>
      <c r="M152" s="188">
        <f ca="1">IFERROR(OFFSET(환산공식!DJ$15,$F152,0),"")</f>
        <v>100</v>
      </c>
      <c r="N152" s="20" t="str">
        <f ca="1">IFERROR(CONCATENATE(ROUND(OFFSET(환산공식!DK$15,$F152,0),1),"%"),"")</f>
        <v>100%</v>
      </c>
      <c r="O152" s="20">
        <f ca="1">IFERROR(OFFSET(환산공식!DL$15,$F152,0),"")</f>
        <v>0</v>
      </c>
      <c r="P152" s="188" t="str">
        <f t="shared" ca="1" si="4"/>
        <v>3% 이하</v>
      </c>
      <c r="Q152" s="194">
        <f ca="1">IFERROR(ROUND(OFFSET(환산공식!$FG$15,$F152,0),3),"")</f>
        <v>0</v>
      </c>
      <c r="R152" s="194">
        <f ca="1">OFFSET('배치점수 계산기'!H$10,$D152,0)</f>
        <v>883.59799999999996</v>
      </c>
      <c r="S152" s="194">
        <f ca="1">OFFSET('배치점수 계산기'!I$10,$D152,0)</f>
        <v>881.46199999999999</v>
      </c>
      <c r="T152" s="194">
        <f ca="1">OFFSET('배치점수 계산기'!J$10,$D152,0)</f>
        <v>878.91200000000003</v>
      </c>
      <c r="U152" s="194">
        <f ca="1">OFFSET('배치점수 계산기'!K$10,$D152,0)</f>
        <v>875.77099999999996</v>
      </c>
      <c r="V152" s="194">
        <f ca="1">OFFSET('배치점수 계산기'!L$10,$D152,0)</f>
        <v>870.08699999999999</v>
      </c>
      <c r="W152" s="186" t="str">
        <f ca="1">OFFSET('배치점수 계산기'!M$10,$D152,0)</f>
        <v>표점/만점</v>
      </c>
      <c r="X152" s="184" t="str">
        <f ca="1">OFFSET('배치점수 계산기'!N$10,$D152,0)</f>
        <v>변표/만점</v>
      </c>
      <c r="Y152" s="188">
        <f ca="1">OFFSET(환산공식!FW$15,$F152,0)</f>
        <v>0.28000000000000003</v>
      </c>
      <c r="Z152" s="20">
        <f ca="1">OFFSET(환산공식!FX$15,$F152,0)</f>
        <v>0.39</v>
      </c>
      <c r="AA152" s="179">
        <f ca="1">OFFSET(환산공식!FY$15,$F152,0)</f>
        <v>0.33</v>
      </c>
      <c r="AB152" s="3"/>
      <c r="AD152">
        <f t="shared" ca="1" si="5"/>
        <v>6</v>
      </c>
      <c r="AF152" s="3"/>
      <c r="AG152" s="3"/>
      <c r="AH152" s="3"/>
    </row>
    <row r="153" spans="1:34">
      <c r="A153" s="198"/>
      <c r="B153" s="198"/>
      <c r="C153" s="198" t="s">
        <v>2474</v>
      </c>
      <c r="D153" s="235">
        <v>2044</v>
      </c>
      <c r="E153" s="195">
        <v>115</v>
      </c>
      <c r="F153" s="195">
        <v>115</v>
      </c>
      <c r="G153" s="239">
        <v>146</v>
      </c>
      <c r="H153" s="197" t="s">
        <v>81</v>
      </c>
      <c r="I153" s="242" t="s">
        <v>238</v>
      </c>
      <c r="J153" s="242" t="s">
        <v>7910</v>
      </c>
      <c r="K153" s="195" t="s">
        <v>70</v>
      </c>
      <c r="L153" s="20" t="str">
        <f ca="1">IF(OFFSET(환산공식!$ED$15,$F153,0)=1,"O","X")</f>
        <v>X</v>
      </c>
      <c r="M153" s="188">
        <f ca="1">IFERROR(OFFSET(환산공식!DJ$15,$F153,0),"")</f>
        <v>100</v>
      </c>
      <c r="N153" s="20" t="str">
        <f ca="1">IFERROR(CONCATENATE(ROUND(OFFSET(환산공식!DK$15,$F153,0),1),"%"),"")</f>
        <v>100%</v>
      </c>
      <c r="O153" s="20">
        <f ca="1">IFERROR(OFFSET(환산공식!DL$15,$F153,0),"")</f>
        <v>0</v>
      </c>
      <c r="P153" s="188" t="str">
        <f t="shared" ca="1" si="4"/>
        <v>3% 이하</v>
      </c>
      <c r="Q153" s="194">
        <f ca="1">IFERROR(ROUND(OFFSET(환산공식!$FG$15,$F153,0),3),"")</f>
        <v>0</v>
      </c>
      <c r="R153" s="194">
        <f ca="1">OFFSET('배치점수 계산기'!H$10,$D153,0)</f>
        <v>879.96299999999997</v>
      </c>
      <c r="S153" s="194">
        <f ca="1">OFFSET('배치점수 계산기'!I$10,$D153,0)</f>
        <v>877.28599999999994</v>
      </c>
      <c r="T153" s="194">
        <f ca="1">OFFSET('배치점수 계산기'!J$10,$D153,0)</f>
        <v>874.226</v>
      </c>
      <c r="U153" s="194">
        <f ca="1">OFFSET('배치점수 계산기'!K$10,$D153,0)</f>
        <v>871.54600000000005</v>
      </c>
      <c r="V153" s="194">
        <f ca="1">OFFSET('배치점수 계산기'!L$10,$D153,0)</f>
        <v>866.68799999999999</v>
      </c>
      <c r="W153" s="186" t="str">
        <f ca="1">OFFSET('배치점수 계산기'!M$10,$D153,0)</f>
        <v>표점/만점</v>
      </c>
      <c r="X153" s="184" t="str">
        <f ca="1">OFFSET('배치점수 계산기'!N$10,$D153,0)</f>
        <v>변표/만점</v>
      </c>
      <c r="Y153" s="188">
        <f ca="1">OFFSET(환산공식!FW$15,$F153,0)</f>
        <v>0.28000000000000003</v>
      </c>
      <c r="Z153" s="20">
        <f ca="1">OFFSET(환산공식!FX$15,$F153,0)</f>
        <v>0.39</v>
      </c>
      <c r="AA153" s="179">
        <f ca="1">OFFSET(환산공식!FY$15,$F153,0)</f>
        <v>0.33</v>
      </c>
      <c r="AB153" s="3"/>
      <c r="AD153">
        <f t="shared" ca="1" si="5"/>
        <v>6</v>
      </c>
      <c r="AF153" s="3"/>
      <c r="AG153" s="3"/>
      <c r="AH153" s="3"/>
    </row>
    <row r="154" spans="1:34">
      <c r="A154" s="198"/>
      <c r="B154" s="198"/>
      <c r="C154" s="198" t="s">
        <v>2475</v>
      </c>
      <c r="D154" s="235">
        <v>2045</v>
      </c>
      <c r="E154" s="195">
        <v>118</v>
      </c>
      <c r="F154" s="195">
        <v>118</v>
      </c>
      <c r="G154" s="239">
        <v>147</v>
      </c>
      <c r="H154" s="197" t="s">
        <v>81</v>
      </c>
      <c r="I154" s="242" t="s">
        <v>238</v>
      </c>
      <c r="J154" s="242" t="s">
        <v>9633</v>
      </c>
      <c r="K154" s="195" t="s">
        <v>71</v>
      </c>
      <c r="L154" s="20" t="str">
        <f ca="1">IF(OFFSET(환산공식!$ED$15,$F154,0)=1,"O","X")</f>
        <v>X</v>
      </c>
      <c r="M154" s="188">
        <f ca="1">IFERROR(OFFSET(환산공식!DJ$15,$F154,0),"")</f>
        <v>150</v>
      </c>
      <c r="N154" s="20" t="str">
        <f ca="1">IFERROR(CONCATENATE(ROUND(OFFSET(환산공식!DK$15,$F154,0),1),"%"),"")</f>
        <v>100%</v>
      </c>
      <c r="O154" s="20">
        <f ca="1">IFERROR(OFFSET(환산공식!DL$15,$F154,0),"")</f>
        <v>0</v>
      </c>
      <c r="P154" s="188" t="str">
        <f t="shared" ca="1" si="4"/>
        <v>3% 이하</v>
      </c>
      <c r="Q154" s="194">
        <f ca="1">IFERROR(ROUND(OFFSET(환산공식!$FG$15,$F154,0),3),"")</f>
        <v>0</v>
      </c>
      <c r="R154" s="194">
        <f ca="1">OFFSET('배치점수 계산기'!H$10,$D154,0)</f>
        <v>896.91099999999994</v>
      </c>
      <c r="S154" s="194">
        <f ca="1">OFFSET('배치점수 계산기'!I$10,$D154,0)</f>
        <v>893.87599999999998</v>
      </c>
      <c r="T154" s="194">
        <f ca="1">OFFSET('배치점수 계산기'!J$10,$D154,0)</f>
        <v>889.98299999999995</v>
      </c>
      <c r="U154" s="194">
        <f ca="1">OFFSET('배치점수 계산기'!K$10,$D154,0)</f>
        <v>886.27300000000002</v>
      </c>
      <c r="V154" s="194">
        <f ca="1">OFFSET('배치점수 계산기'!L$10,$D154,0)</f>
        <v>881.31</v>
      </c>
      <c r="W154" s="186" t="str">
        <f ca="1">OFFSET('배치점수 계산기'!M$10,$D154,0)</f>
        <v>표점/만점</v>
      </c>
      <c r="X154" s="184" t="str">
        <f ca="1">OFFSET('배치점수 계산기'!N$10,$D154,0)</f>
        <v>변표/만점</v>
      </c>
      <c r="Y154" s="188">
        <f ca="1">OFFSET(환산공식!FW$15,$F154,0)</f>
        <v>0.42</v>
      </c>
      <c r="Z154" s="20">
        <f ca="1">OFFSET(환산공식!FX$15,$F154,0)</f>
        <v>0.3</v>
      </c>
      <c r="AA154" s="179">
        <f ca="1">OFFSET(환산공식!FY$15,$F154,0)</f>
        <v>0.28999999999999998</v>
      </c>
      <c r="AB154" s="3"/>
      <c r="AD154">
        <f t="shared" ca="1" si="5"/>
        <v>6</v>
      </c>
      <c r="AF154" s="3"/>
      <c r="AG154" s="3"/>
      <c r="AH154" s="3"/>
    </row>
    <row r="155" spans="1:34">
      <c r="A155" s="198"/>
      <c r="B155" s="198"/>
      <c r="C155" s="198" t="s">
        <v>2476</v>
      </c>
      <c r="D155" s="235">
        <v>2046</v>
      </c>
      <c r="E155" s="195">
        <v>118</v>
      </c>
      <c r="F155" s="195">
        <v>118</v>
      </c>
      <c r="G155" s="239">
        <v>148</v>
      </c>
      <c r="H155" s="197" t="s">
        <v>81</v>
      </c>
      <c r="I155" s="242" t="s">
        <v>238</v>
      </c>
      <c r="J155" s="242" t="s">
        <v>9141</v>
      </c>
      <c r="K155" s="195" t="s">
        <v>71</v>
      </c>
      <c r="L155" s="20" t="str">
        <f ca="1">IF(OFFSET(환산공식!$ED$15,$F155,0)=1,"O","X")</f>
        <v>X</v>
      </c>
      <c r="M155" s="188">
        <f ca="1">IFERROR(OFFSET(환산공식!DJ$15,$F155,0),"")</f>
        <v>150</v>
      </c>
      <c r="N155" s="20" t="str">
        <f ca="1">IFERROR(CONCATENATE(ROUND(OFFSET(환산공식!DK$15,$F155,0),1),"%"),"")</f>
        <v>100%</v>
      </c>
      <c r="O155" s="20">
        <f ca="1">IFERROR(OFFSET(환산공식!DL$15,$F155,0),"")</f>
        <v>0</v>
      </c>
      <c r="P155" s="188" t="str">
        <f t="shared" ca="1" si="4"/>
        <v>3% 이하</v>
      </c>
      <c r="Q155" s="194">
        <f ca="1">IFERROR(ROUND(OFFSET(환산공식!$FG$15,$F155,0),3),"")</f>
        <v>0</v>
      </c>
      <c r="R155" s="194">
        <f ca="1">OFFSET('배치점수 계산기'!H$10,$D155,0)</f>
        <v>898.28200000000004</v>
      </c>
      <c r="S155" s="194">
        <f ca="1">OFFSET('배치점수 계산기'!I$10,$D155,0)</f>
        <v>894.15800000000002</v>
      </c>
      <c r="T155" s="194">
        <f ca="1">OFFSET('배치점수 계산기'!J$10,$D155,0)</f>
        <v>889.10900000000004</v>
      </c>
      <c r="U155" s="194">
        <f ca="1">OFFSET('배치점수 계산기'!K$10,$D155,0)</f>
        <v>883.89</v>
      </c>
      <c r="V155" s="194">
        <f ca="1">OFFSET('배치점수 계산기'!L$10,$D155,0)</f>
        <v>879.09900000000005</v>
      </c>
      <c r="W155" s="186" t="str">
        <f ca="1">OFFSET('배치점수 계산기'!M$10,$D155,0)</f>
        <v>표점/만점</v>
      </c>
      <c r="X155" s="184" t="str">
        <f ca="1">OFFSET('배치점수 계산기'!N$10,$D155,0)</f>
        <v>변표/만점</v>
      </c>
      <c r="Y155" s="188">
        <f ca="1">OFFSET(환산공식!FW$15,$F155,0)</f>
        <v>0.42</v>
      </c>
      <c r="Z155" s="20">
        <f ca="1">OFFSET(환산공식!FX$15,$F155,0)</f>
        <v>0.3</v>
      </c>
      <c r="AA155" s="179">
        <f ca="1">OFFSET(환산공식!FY$15,$F155,0)</f>
        <v>0.28999999999999998</v>
      </c>
      <c r="AB155" s="3"/>
      <c r="AD155">
        <f t="shared" ca="1" si="5"/>
        <v>6</v>
      </c>
      <c r="AF155" s="3"/>
      <c r="AG155" s="3"/>
      <c r="AH155" s="3"/>
    </row>
    <row r="156" spans="1:34">
      <c r="A156" s="198"/>
      <c r="B156" s="198"/>
      <c r="C156" s="198" t="s">
        <v>2477</v>
      </c>
      <c r="D156" s="235">
        <v>2047</v>
      </c>
      <c r="E156" s="195">
        <v>118</v>
      </c>
      <c r="F156" s="195">
        <v>118</v>
      </c>
      <c r="G156" s="239">
        <v>149</v>
      </c>
      <c r="H156" s="197" t="s">
        <v>81</v>
      </c>
      <c r="I156" s="242" t="s">
        <v>238</v>
      </c>
      <c r="J156" s="242" t="s">
        <v>8863</v>
      </c>
      <c r="K156" s="195" t="s">
        <v>71</v>
      </c>
      <c r="L156" s="20" t="str">
        <f ca="1">IF(OFFSET(환산공식!$ED$15,$F156,0)=1,"O","X")</f>
        <v>X</v>
      </c>
      <c r="M156" s="188">
        <f ca="1">IFERROR(OFFSET(환산공식!DJ$15,$F156,0),"")</f>
        <v>150</v>
      </c>
      <c r="N156" s="20" t="str">
        <f ca="1">IFERROR(CONCATENATE(ROUND(OFFSET(환산공식!DK$15,$F156,0),1),"%"),"")</f>
        <v>100%</v>
      </c>
      <c r="O156" s="20">
        <f ca="1">IFERROR(OFFSET(환산공식!DL$15,$F156,0),"")</f>
        <v>0</v>
      </c>
      <c r="P156" s="188" t="str">
        <f t="shared" ca="1" si="4"/>
        <v>3% 이하</v>
      </c>
      <c r="Q156" s="194">
        <f ca="1">IFERROR(ROUND(OFFSET(환산공식!$FG$15,$F156,0),3),"")</f>
        <v>0</v>
      </c>
      <c r="R156" s="194">
        <f ca="1">OFFSET('배치점수 계산기'!H$10,$D156,0)</f>
        <v>895.13300000000004</v>
      </c>
      <c r="S156" s="194">
        <f ca="1">OFFSET('배치점수 계산기'!I$10,$D156,0)</f>
        <v>890.221</v>
      </c>
      <c r="T156" s="194">
        <f ca="1">OFFSET('배치점수 계산기'!J$10,$D156,0)</f>
        <v>886.09299999999996</v>
      </c>
      <c r="U156" s="194">
        <f ca="1">OFFSET('배치점수 계산기'!K$10,$D156,0)</f>
        <v>882.59500000000003</v>
      </c>
      <c r="V156" s="194">
        <f ca="1">OFFSET('배치점수 계산기'!L$10,$D156,0)</f>
        <v>877.71299999999997</v>
      </c>
      <c r="W156" s="186" t="str">
        <f ca="1">OFFSET('배치점수 계산기'!M$10,$D156,0)</f>
        <v>표점/만점</v>
      </c>
      <c r="X156" s="184" t="str">
        <f ca="1">OFFSET('배치점수 계산기'!N$10,$D156,0)</f>
        <v>변표/만점</v>
      </c>
      <c r="Y156" s="188">
        <f ca="1">OFFSET(환산공식!FW$15,$F156,0)</f>
        <v>0.42</v>
      </c>
      <c r="Z156" s="20">
        <f ca="1">OFFSET(환산공식!FX$15,$F156,0)</f>
        <v>0.3</v>
      </c>
      <c r="AA156" s="179">
        <f ca="1">OFFSET(환산공식!FY$15,$F156,0)</f>
        <v>0.28999999999999998</v>
      </c>
      <c r="AB156" s="3"/>
      <c r="AD156">
        <f t="shared" ca="1" si="5"/>
        <v>6</v>
      </c>
      <c r="AF156" s="3"/>
      <c r="AG156" s="3"/>
      <c r="AH156" s="3"/>
    </row>
    <row r="157" spans="1:34">
      <c r="A157" s="198"/>
      <c r="B157" s="198"/>
      <c r="C157" s="198" t="s">
        <v>2478</v>
      </c>
      <c r="D157" s="235">
        <v>2048</v>
      </c>
      <c r="E157" s="195">
        <v>121</v>
      </c>
      <c r="F157" s="195">
        <v>121</v>
      </c>
      <c r="G157" s="239">
        <v>150</v>
      </c>
      <c r="H157" s="197" t="s">
        <v>81</v>
      </c>
      <c r="I157" s="242" t="s">
        <v>238</v>
      </c>
      <c r="J157" s="242" t="s">
        <v>10717</v>
      </c>
      <c r="K157" s="195" t="s">
        <v>71</v>
      </c>
      <c r="L157" s="20" t="str">
        <f ca="1">IF(OFFSET(환산공식!$ED$15,$F157,0)=1,"O","X")</f>
        <v>X</v>
      </c>
      <c r="M157" s="188">
        <f ca="1">IFERROR(OFFSET(환산공식!DJ$15,$F157,0),"")</f>
        <v>100</v>
      </c>
      <c r="N157" s="20" t="str">
        <f ca="1">IFERROR(CONCATENATE(ROUND(OFFSET(환산공식!DK$15,$F157,0),1),"%"),"")</f>
        <v>100%</v>
      </c>
      <c r="O157" s="20">
        <f ca="1">IFERROR(OFFSET(환산공식!DL$15,$F157,0),"")</f>
        <v>0</v>
      </c>
      <c r="P157" s="188" t="str">
        <f t="shared" ca="1" si="4"/>
        <v>3% 이하</v>
      </c>
      <c r="Q157" s="194">
        <f ca="1">IFERROR(ROUND(OFFSET(환산공식!$FG$15,$F157,0),3),"")</f>
        <v>0</v>
      </c>
      <c r="R157" s="194">
        <f ca="1">OFFSET('배치점수 계산기'!H$10,$D157,0)</f>
        <v>872.98</v>
      </c>
      <c r="S157" s="194">
        <f ca="1">OFFSET('배치점수 계산기'!I$10,$D157,0)</f>
        <v>869.06799999999998</v>
      </c>
      <c r="T157" s="194">
        <f ca="1">OFFSET('배치점수 계산기'!J$10,$D157,0)</f>
        <v>864.69899999999996</v>
      </c>
      <c r="U157" s="194">
        <f ca="1">OFFSET('배치점수 계산기'!K$10,$D157,0)</f>
        <v>861.38800000000003</v>
      </c>
      <c r="V157" s="194">
        <f ca="1">OFFSET('배치점수 계산기'!L$10,$D157,0)</f>
        <v>856.29499999999996</v>
      </c>
      <c r="W157" s="186" t="str">
        <f ca="1">OFFSET('배치점수 계산기'!M$10,$D157,0)</f>
        <v>표점/만점</v>
      </c>
      <c r="X157" s="184" t="str">
        <f ca="1">OFFSET('배치점수 계산기'!N$10,$D157,0)</f>
        <v>변표/만점</v>
      </c>
      <c r="Y157" s="188">
        <f ca="1">OFFSET(환산공식!FW$15,$F157,0)</f>
        <v>0.39</v>
      </c>
      <c r="Z157" s="20">
        <f ca="1">OFFSET(환산공식!FX$15,$F157,0)</f>
        <v>0.34</v>
      </c>
      <c r="AA157" s="179">
        <f ca="1">OFFSET(환산공식!FY$15,$F157,0)</f>
        <v>0.27</v>
      </c>
      <c r="AB157" s="3"/>
      <c r="AD157">
        <f t="shared" ca="1" si="5"/>
        <v>6</v>
      </c>
      <c r="AF157" s="3"/>
      <c r="AG157" s="3"/>
      <c r="AH157" s="3"/>
    </row>
    <row r="158" spans="1:34">
      <c r="A158" s="198"/>
      <c r="B158" s="198"/>
      <c r="C158" s="198" t="s">
        <v>2479</v>
      </c>
      <c r="D158" s="235">
        <v>2049</v>
      </c>
      <c r="E158" s="195">
        <v>118</v>
      </c>
      <c r="F158" s="195">
        <v>118</v>
      </c>
      <c r="G158" s="239">
        <v>151</v>
      </c>
      <c r="H158" s="197" t="s">
        <v>81</v>
      </c>
      <c r="I158" s="242" t="s">
        <v>238</v>
      </c>
      <c r="J158" s="242" t="s">
        <v>8726</v>
      </c>
      <c r="K158" s="195" t="s">
        <v>71</v>
      </c>
      <c r="L158" s="20" t="str">
        <f ca="1">IF(OFFSET(환산공식!$ED$15,$F158,0)=1,"O","X")</f>
        <v>X</v>
      </c>
      <c r="M158" s="188">
        <f ca="1">IFERROR(OFFSET(환산공식!DJ$15,$F158,0),"")</f>
        <v>150</v>
      </c>
      <c r="N158" s="20" t="str">
        <f ca="1">IFERROR(CONCATENATE(ROUND(OFFSET(환산공식!DK$15,$F158,0),1),"%"),"")</f>
        <v>100%</v>
      </c>
      <c r="O158" s="20">
        <f ca="1">IFERROR(OFFSET(환산공식!DL$15,$F158,0),"")</f>
        <v>0</v>
      </c>
      <c r="P158" s="188" t="str">
        <f t="shared" ca="1" si="4"/>
        <v>3% 이하</v>
      </c>
      <c r="Q158" s="194">
        <f ca="1">IFERROR(ROUND(OFFSET(환산공식!$FG$15,$F158,0),3),"")</f>
        <v>0</v>
      </c>
      <c r="R158" s="194">
        <f ca="1">OFFSET('배치점수 계산기'!H$10,$D158,0)</f>
        <v>892.476</v>
      </c>
      <c r="S158" s="194">
        <f ca="1">OFFSET('배치점수 계산기'!I$10,$D158,0)</f>
        <v>888.31299999999999</v>
      </c>
      <c r="T158" s="194">
        <f ca="1">OFFSET('배치점수 계산기'!J$10,$D158,0)</f>
        <v>884.91200000000003</v>
      </c>
      <c r="U158" s="194">
        <f ca="1">OFFSET('배치점수 계산기'!K$10,$D158,0)</f>
        <v>880.89200000000005</v>
      </c>
      <c r="V158" s="194">
        <f ca="1">OFFSET('배치점수 계산기'!L$10,$D158,0)</f>
        <v>876.43</v>
      </c>
      <c r="W158" s="186" t="str">
        <f ca="1">OFFSET('배치점수 계산기'!M$10,$D158,0)</f>
        <v>표점/만점</v>
      </c>
      <c r="X158" s="184" t="str">
        <f ca="1">OFFSET('배치점수 계산기'!N$10,$D158,0)</f>
        <v>변표/만점</v>
      </c>
      <c r="Y158" s="188">
        <f ca="1">OFFSET(환산공식!FW$15,$F158,0)</f>
        <v>0.42</v>
      </c>
      <c r="Z158" s="20">
        <f ca="1">OFFSET(환산공식!FX$15,$F158,0)</f>
        <v>0.3</v>
      </c>
      <c r="AA158" s="179">
        <f ca="1">OFFSET(환산공식!FY$15,$F158,0)</f>
        <v>0.28999999999999998</v>
      </c>
      <c r="AB158" s="3"/>
      <c r="AD158">
        <f t="shared" ca="1" si="5"/>
        <v>6</v>
      </c>
      <c r="AF158" s="3"/>
      <c r="AG158" s="3"/>
      <c r="AH158" s="3"/>
    </row>
    <row r="159" spans="1:34">
      <c r="A159" s="198"/>
      <c r="B159" s="198"/>
      <c r="C159" s="198" t="s">
        <v>2480</v>
      </c>
      <c r="D159" s="235">
        <v>2050</v>
      </c>
      <c r="E159" s="195">
        <v>118</v>
      </c>
      <c r="F159" s="195">
        <v>118</v>
      </c>
      <c r="G159" s="239">
        <v>152</v>
      </c>
      <c r="H159" s="197" t="s">
        <v>81</v>
      </c>
      <c r="I159" s="242" t="s">
        <v>238</v>
      </c>
      <c r="J159" s="242" t="s">
        <v>8696</v>
      </c>
      <c r="K159" s="195" t="s">
        <v>71</v>
      </c>
      <c r="L159" s="20" t="str">
        <f ca="1">IF(OFFSET(환산공식!$ED$15,$F159,0)=1,"O","X")</f>
        <v>X</v>
      </c>
      <c r="M159" s="188">
        <f ca="1">IFERROR(OFFSET(환산공식!DJ$15,$F159,0),"")</f>
        <v>150</v>
      </c>
      <c r="N159" s="20" t="str">
        <f ca="1">IFERROR(CONCATENATE(ROUND(OFFSET(환산공식!DK$15,$F159,0),1),"%"),"")</f>
        <v>100%</v>
      </c>
      <c r="O159" s="20">
        <f ca="1">IFERROR(OFFSET(환산공식!DL$15,$F159,0),"")</f>
        <v>0</v>
      </c>
      <c r="P159" s="188" t="str">
        <f t="shared" ca="1" si="4"/>
        <v>3% 이하</v>
      </c>
      <c r="Q159" s="194">
        <f ca="1">IFERROR(ROUND(OFFSET(환산공식!$FG$15,$F159,0),3),"")</f>
        <v>0</v>
      </c>
      <c r="R159" s="194">
        <f ca="1">OFFSET('배치점수 계산기'!H$10,$D159,0)</f>
        <v>886.51099999999997</v>
      </c>
      <c r="S159" s="194">
        <f ca="1">OFFSET('배치점수 계산기'!I$10,$D159,0)</f>
        <v>885.529</v>
      </c>
      <c r="T159" s="194">
        <f ca="1">OFFSET('배치점수 계산기'!J$10,$D159,0)</f>
        <v>884.26900000000001</v>
      </c>
      <c r="U159" s="194">
        <f ca="1">OFFSET('배치점수 계산기'!K$10,$D159,0)</f>
        <v>881.31</v>
      </c>
      <c r="V159" s="194">
        <f ca="1">OFFSET('배치점수 계산기'!L$10,$D159,0)</f>
        <v>874.08</v>
      </c>
      <c r="W159" s="186" t="str">
        <f ca="1">OFFSET('배치점수 계산기'!M$10,$D159,0)</f>
        <v>표점/만점</v>
      </c>
      <c r="X159" s="184" t="str">
        <f ca="1">OFFSET('배치점수 계산기'!N$10,$D159,0)</f>
        <v>변표/만점</v>
      </c>
      <c r="Y159" s="188">
        <f ca="1">OFFSET(환산공식!FW$15,$F159,0)</f>
        <v>0.42</v>
      </c>
      <c r="Z159" s="20">
        <f ca="1">OFFSET(환산공식!FX$15,$F159,0)</f>
        <v>0.3</v>
      </c>
      <c r="AA159" s="179">
        <f ca="1">OFFSET(환산공식!FY$15,$F159,0)</f>
        <v>0.28999999999999998</v>
      </c>
      <c r="AB159" s="3"/>
      <c r="AD159">
        <f t="shared" ca="1" si="5"/>
        <v>6</v>
      </c>
      <c r="AF159" s="3"/>
      <c r="AG159" s="3"/>
      <c r="AH159" s="3"/>
    </row>
    <row r="160" spans="1:34">
      <c r="A160" s="198"/>
      <c r="B160" s="198"/>
      <c r="C160" s="198" t="s">
        <v>2481</v>
      </c>
      <c r="D160" s="235">
        <v>2051</v>
      </c>
      <c r="E160" s="195">
        <v>118</v>
      </c>
      <c r="F160" s="195">
        <v>118</v>
      </c>
      <c r="G160" s="239">
        <v>153</v>
      </c>
      <c r="H160" s="197" t="s">
        <v>81</v>
      </c>
      <c r="I160" s="242" t="s">
        <v>238</v>
      </c>
      <c r="J160" s="242" t="s">
        <v>8190</v>
      </c>
      <c r="K160" s="195" t="s">
        <v>71</v>
      </c>
      <c r="L160" s="20" t="str">
        <f ca="1">IF(OFFSET(환산공식!$ED$15,$F160,0)=1,"O","X")</f>
        <v>X</v>
      </c>
      <c r="M160" s="188">
        <f ca="1">IFERROR(OFFSET(환산공식!DJ$15,$F160,0),"")</f>
        <v>150</v>
      </c>
      <c r="N160" s="20" t="str">
        <f ca="1">IFERROR(CONCATENATE(ROUND(OFFSET(환산공식!DK$15,$F160,0),1),"%"),"")</f>
        <v>100%</v>
      </c>
      <c r="O160" s="20">
        <f ca="1">IFERROR(OFFSET(환산공식!DL$15,$F160,0),"")</f>
        <v>0</v>
      </c>
      <c r="P160" s="188" t="str">
        <f t="shared" ca="1" si="4"/>
        <v>3% 이하</v>
      </c>
      <c r="Q160" s="194">
        <f ca="1">IFERROR(ROUND(OFFSET(환산공식!$FG$15,$F160,0),3),"")</f>
        <v>0</v>
      </c>
      <c r="R160" s="194">
        <f ca="1">OFFSET('배치점수 계산기'!H$10,$D160,0)</f>
        <v>889.98299999999995</v>
      </c>
      <c r="S160" s="194">
        <f ca="1">OFFSET('배치점수 계산기'!I$10,$D160,0)</f>
        <v>886.51099999999997</v>
      </c>
      <c r="T160" s="194">
        <f ca="1">OFFSET('배치점수 계산기'!J$10,$D160,0)</f>
        <v>883.43100000000004</v>
      </c>
      <c r="U160" s="194">
        <f ca="1">OFFSET('배치점수 계산기'!K$10,$D160,0)</f>
        <v>878.72</v>
      </c>
      <c r="V160" s="194">
        <f ca="1">OFFSET('배치점수 계산기'!L$10,$D160,0)</f>
        <v>872.92499999999995</v>
      </c>
      <c r="W160" s="186" t="str">
        <f ca="1">OFFSET('배치점수 계산기'!M$10,$D160,0)</f>
        <v>표점/만점</v>
      </c>
      <c r="X160" s="184" t="str">
        <f ca="1">OFFSET('배치점수 계산기'!N$10,$D160,0)</f>
        <v>변표/만점</v>
      </c>
      <c r="Y160" s="188">
        <f ca="1">OFFSET(환산공식!FW$15,$F160,0)</f>
        <v>0.42</v>
      </c>
      <c r="Z160" s="20">
        <f ca="1">OFFSET(환산공식!FX$15,$F160,0)</f>
        <v>0.3</v>
      </c>
      <c r="AA160" s="179">
        <f ca="1">OFFSET(환산공식!FY$15,$F160,0)</f>
        <v>0.28999999999999998</v>
      </c>
      <c r="AB160" s="3"/>
      <c r="AD160">
        <f t="shared" ca="1" si="5"/>
        <v>6</v>
      </c>
      <c r="AF160" s="3"/>
      <c r="AG160" s="3"/>
      <c r="AH160" s="3"/>
    </row>
    <row r="161" spans="1:34">
      <c r="A161" s="198"/>
      <c r="B161" s="198"/>
      <c r="C161" s="198" t="s">
        <v>2482</v>
      </c>
      <c r="D161" s="235">
        <v>2052</v>
      </c>
      <c r="E161" s="195">
        <v>118</v>
      </c>
      <c r="F161" s="195">
        <v>118</v>
      </c>
      <c r="G161" s="239">
        <v>154</v>
      </c>
      <c r="H161" s="197" t="s">
        <v>81</v>
      </c>
      <c r="I161" s="242" t="s">
        <v>238</v>
      </c>
      <c r="J161" s="242" t="s">
        <v>10897</v>
      </c>
      <c r="K161" s="195" t="s">
        <v>71</v>
      </c>
      <c r="L161" s="20" t="str">
        <f ca="1">IF(OFFSET(환산공식!$ED$15,$F161,0)=1,"O","X")</f>
        <v>X</v>
      </c>
      <c r="M161" s="188">
        <f ca="1">IFERROR(OFFSET(환산공식!DJ$15,$F161,0),"")</f>
        <v>150</v>
      </c>
      <c r="N161" s="20" t="str">
        <f ca="1">IFERROR(CONCATENATE(ROUND(OFFSET(환산공식!DK$15,$F161,0),1),"%"),"")</f>
        <v>100%</v>
      </c>
      <c r="O161" s="20">
        <f ca="1">IFERROR(OFFSET(환산공식!DL$15,$F161,0),"")</f>
        <v>0</v>
      </c>
      <c r="P161" s="188" t="str">
        <f t="shared" ca="1" si="4"/>
        <v>3% 이하</v>
      </c>
      <c r="Q161" s="194">
        <f ca="1">IFERROR(ROUND(OFFSET(환산공식!$FG$15,$F161,0),3),"")</f>
        <v>0</v>
      </c>
      <c r="R161" s="194">
        <f ca="1">OFFSET('배치점수 계산기'!H$10,$D161,0)</f>
        <v>888.87099999999998</v>
      </c>
      <c r="S161" s="194">
        <f ca="1">OFFSET('배치점수 계산기'!I$10,$D161,0)</f>
        <v>885.29100000000005</v>
      </c>
      <c r="T161" s="194">
        <f ca="1">OFFSET('배치점수 계산기'!J$10,$D161,0)</f>
        <v>882.04899999999998</v>
      </c>
      <c r="U161" s="194">
        <f ca="1">OFFSET('배치점수 계산기'!K$10,$D161,0)</f>
        <v>877.33399999999995</v>
      </c>
      <c r="V161" s="194">
        <f ca="1">OFFSET('배치점수 계산기'!L$10,$D161,0)</f>
        <v>872.68700000000001</v>
      </c>
      <c r="W161" s="186" t="str">
        <f ca="1">OFFSET('배치점수 계산기'!M$10,$D161,0)</f>
        <v>표점/만점</v>
      </c>
      <c r="X161" s="184" t="str">
        <f ca="1">OFFSET('배치점수 계산기'!N$10,$D161,0)</f>
        <v>변표/만점</v>
      </c>
      <c r="Y161" s="188">
        <f ca="1">OFFSET(환산공식!FW$15,$F161,0)</f>
        <v>0.42</v>
      </c>
      <c r="Z161" s="20">
        <f ca="1">OFFSET(환산공식!FX$15,$F161,0)</f>
        <v>0.3</v>
      </c>
      <c r="AA161" s="179">
        <f ca="1">OFFSET(환산공식!FY$15,$F161,0)</f>
        <v>0.28999999999999998</v>
      </c>
      <c r="AB161" s="3"/>
      <c r="AD161">
        <f t="shared" ca="1" si="5"/>
        <v>6</v>
      </c>
      <c r="AF161" s="3"/>
      <c r="AG161" s="3"/>
      <c r="AH161" s="3"/>
    </row>
    <row r="162" spans="1:34">
      <c r="A162" s="198"/>
      <c r="B162" s="198"/>
      <c r="C162" s="198" t="s">
        <v>2483</v>
      </c>
      <c r="D162" s="235">
        <v>2053</v>
      </c>
      <c r="E162" s="195">
        <v>119</v>
      </c>
      <c r="F162" s="195">
        <v>119</v>
      </c>
      <c r="G162" s="239">
        <v>155</v>
      </c>
      <c r="H162" s="197" t="s">
        <v>81</v>
      </c>
      <c r="I162" s="242" t="s">
        <v>238</v>
      </c>
      <c r="J162" s="242" t="s">
        <v>10884</v>
      </c>
      <c r="K162" s="195" t="s">
        <v>71</v>
      </c>
      <c r="L162" s="20" t="str">
        <f ca="1">IF(OFFSET(환산공식!$ED$15,$F162,0)=1,"O","X")</f>
        <v>X</v>
      </c>
      <c r="M162" s="188">
        <f ca="1">IFERROR(OFFSET(환산공식!DJ$15,$F162,0),"")</f>
        <v>100</v>
      </c>
      <c r="N162" s="20" t="str">
        <f ca="1">IFERROR(CONCATENATE(ROUND(OFFSET(환산공식!DK$15,$F162,0),1),"%"),"")</f>
        <v>100%</v>
      </c>
      <c r="O162" s="20">
        <f ca="1">IFERROR(OFFSET(환산공식!DL$15,$F162,0),"")</f>
        <v>0</v>
      </c>
      <c r="P162" s="188" t="str">
        <f t="shared" ca="1" si="4"/>
        <v>3% 이하</v>
      </c>
      <c r="Q162" s="194">
        <f ca="1">IFERROR(ROUND(OFFSET(환산공식!$FG$15,$F162,0),3),"")</f>
        <v>0</v>
      </c>
      <c r="R162" s="194">
        <f ca="1">OFFSET('배치점수 계산기'!H$10,$D162,0)</f>
        <v>880.84199999999998</v>
      </c>
      <c r="S162" s="194">
        <f ca="1">OFFSET('배치점수 계산기'!I$10,$D162,0)</f>
        <v>878.08799999999997</v>
      </c>
      <c r="T162" s="194">
        <f ca="1">OFFSET('배치점수 계산기'!J$10,$D162,0)</f>
        <v>874.77499999999998</v>
      </c>
      <c r="U162" s="194">
        <f ca="1">OFFSET('배치점수 계산기'!K$10,$D162,0)</f>
        <v>871.73800000000006</v>
      </c>
      <c r="V162" s="194">
        <f ca="1">OFFSET('배치점수 계산기'!L$10,$D162,0)</f>
        <v>866.83100000000002</v>
      </c>
      <c r="W162" s="186" t="str">
        <f ca="1">OFFSET('배치점수 계산기'!M$10,$D162,0)</f>
        <v>표점/만점</v>
      </c>
      <c r="X162" s="184" t="str">
        <f ca="1">OFFSET('배치점수 계산기'!N$10,$D162,0)</f>
        <v>변표/만점</v>
      </c>
      <c r="Y162" s="188">
        <f ca="1">OFFSET(환산공식!FW$15,$F162,0)</f>
        <v>0.39</v>
      </c>
      <c r="Z162" s="20">
        <f ca="1">OFFSET(환산공식!FX$15,$F162,0)</f>
        <v>0.34</v>
      </c>
      <c r="AA162" s="179">
        <f ca="1">OFFSET(환산공식!FY$15,$F162,0)</f>
        <v>0.27</v>
      </c>
      <c r="AB162" s="3"/>
      <c r="AD162">
        <f t="shared" ca="1" si="5"/>
        <v>6</v>
      </c>
      <c r="AF162" s="3"/>
      <c r="AG162" s="3"/>
      <c r="AH162" s="3"/>
    </row>
    <row r="163" spans="1:34">
      <c r="A163" s="198"/>
      <c r="B163" s="198"/>
      <c r="C163" s="198" t="s">
        <v>2484</v>
      </c>
      <c r="D163" s="235">
        <v>2054</v>
      </c>
      <c r="E163" s="195">
        <v>118</v>
      </c>
      <c r="F163" s="195">
        <v>118</v>
      </c>
      <c r="G163" s="239">
        <v>156</v>
      </c>
      <c r="H163" s="197" t="s">
        <v>81</v>
      </c>
      <c r="I163" s="242" t="s">
        <v>238</v>
      </c>
      <c r="J163" s="242" t="s">
        <v>8772</v>
      </c>
      <c r="K163" s="195" t="s">
        <v>71</v>
      </c>
      <c r="L163" s="20" t="str">
        <f ca="1">IF(OFFSET(환산공식!$ED$15,$F163,0)=1,"O","X")</f>
        <v>X</v>
      </c>
      <c r="M163" s="188">
        <f ca="1">IFERROR(OFFSET(환산공식!DJ$15,$F163,0),"")</f>
        <v>150</v>
      </c>
      <c r="N163" s="20" t="str">
        <f ca="1">IFERROR(CONCATENATE(ROUND(OFFSET(환산공식!DK$15,$F163,0),1),"%"),"")</f>
        <v>100%</v>
      </c>
      <c r="O163" s="20">
        <f ca="1">IFERROR(OFFSET(환산공식!DL$15,$F163,0),"")</f>
        <v>0</v>
      </c>
      <c r="P163" s="188" t="str">
        <f t="shared" ca="1" si="4"/>
        <v>3% 이하</v>
      </c>
      <c r="Q163" s="194">
        <f ca="1">IFERROR(ROUND(OFFSET(환산공식!$FG$15,$F163,0),3),"")</f>
        <v>0</v>
      </c>
      <c r="R163" s="194">
        <f ca="1">OFFSET('배치점수 계산기'!H$10,$D163,0)</f>
        <v>886.74099999999999</v>
      </c>
      <c r="S163" s="194">
        <f ca="1">OFFSET('배치점수 계산기'!I$10,$D163,0)</f>
        <v>883.89</v>
      </c>
      <c r="T163" s="194">
        <f ca="1">OFFSET('배치점수 계산기'!J$10,$D163,0)</f>
        <v>880.08600000000001</v>
      </c>
      <c r="U163" s="194">
        <f ca="1">OFFSET('배치점수 계산기'!K$10,$D163,0)</f>
        <v>875.81100000000004</v>
      </c>
      <c r="V163" s="194">
        <f ca="1">OFFSET('배치점수 계산기'!L$10,$D163,0)</f>
        <v>871.25099999999998</v>
      </c>
      <c r="W163" s="186" t="str">
        <f ca="1">OFFSET('배치점수 계산기'!M$10,$D163,0)</f>
        <v>표점/만점</v>
      </c>
      <c r="X163" s="184" t="str">
        <f ca="1">OFFSET('배치점수 계산기'!N$10,$D163,0)</f>
        <v>변표/만점</v>
      </c>
      <c r="Y163" s="188">
        <f ca="1">OFFSET(환산공식!FW$15,$F163,0)</f>
        <v>0.42</v>
      </c>
      <c r="Z163" s="20">
        <f ca="1">OFFSET(환산공식!FX$15,$F163,0)</f>
        <v>0.3</v>
      </c>
      <c r="AA163" s="179">
        <f ca="1">OFFSET(환산공식!FY$15,$F163,0)</f>
        <v>0.28999999999999998</v>
      </c>
      <c r="AB163" s="3"/>
      <c r="AD163">
        <f t="shared" ca="1" si="5"/>
        <v>6</v>
      </c>
      <c r="AF163" s="3"/>
      <c r="AG163" s="3"/>
      <c r="AH163" s="3"/>
    </row>
    <row r="164" spans="1:34">
      <c r="A164" s="198"/>
      <c r="B164" s="198"/>
      <c r="C164" s="198" t="s">
        <v>2485</v>
      </c>
      <c r="D164" s="235">
        <v>2055</v>
      </c>
      <c r="E164" s="195">
        <v>118</v>
      </c>
      <c r="F164" s="195">
        <v>118</v>
      </c>
      <c r="G164" s="239">
        <v>157</v>
      </c>
      <c r="H164" s="197" t="s">
        <v>81</v>
      </c>
      <c r="I164" s="242" t="s">
        <v>238</v>
      </c>
      <c r="J164" s="242" t="s">
        <v>10979</v>
      </c>
      <c r="K164" s="195" t="s">
        <v>71</v>
      </c>
      <c r="L164" s="20" t="str">
        <f ca="1">IF(OFFSET(환산공식!$ED$15,$F164,0)=1,"O","X")</f>
        <v>X</v>
      </c>
      <c r="M164" s="188">
        <f ca="1">IFERROR(OFFSET(환산공식!DJ$15,$F164,0),"")</f>
        <v>150</v>
      </c>
      <c r="N164" s="20" t="str">
        <f ca="1">IFERROR(CONCATENATE(ROUND(OFFSET(환산공식!DK$15,$F164,0),1),"%"),"")</f>
        <v>100%</v>
      </c>
      <c r="O164" s="20">
        <f ca="1">IFERROR(OFFSET(환산공식!DL$15,$F164,0),"")</f>
        <v>0</v>
      </c>
      <c r="P164" s="188" t="str">
        <f t="shared" ca="1" si="4"/>
        <v>3% 이하</v>
      </c>
      <c r="Q164" s="194">
        <f ca="1">IFERROR(ROUND(OFFSET(환산공식!$FG$15,$F164,0),3),"")</f>
        <v>0</v>
      </c>
      <c r="R164" s="194">
        <f ca="1">OFFSET('배치점수 계산기'!H$10,$D164,0)</f>
        <v>886.09299999999996</v>
      </c>
      <c r="S164" s="194">
        <f ca="1">OFFSET('배치점수 계산기'!I$10,$D164,0)</f>
        <v>883.29</v>
      </c>
      <c r="T164" s="194">
        <f ca="1">OFFSET('배치점수 계산기'!J$10,$D164,0)</f>
        <v>879.68</v>
      </c>
      <c r="U164" s="194">
        <f ca="1">OFFSET('배치점수 계산기'!K$10,$D164,0)</f>
        <v>875.18399999999997</v>
      </c>
      <c r="V164" s="194">
        <f ca="1">OFFSET('배치점수 계산기'!L$10,$D164,0)</f>
        <v>870.69200000000001</v>
      </c>
      <c r="W164" s="186" t="str">
        <f ca="1">OFFSET('배치점수 계산기'!M$10,$D164,0)</f>
        <v>표점/만점</v>
      </c>
      <c r="X164" s="184" t="str">
        <f ca="1">OFFSET('배치점수 계산기'!N$10,$D164,0)</f>
        <v>변표/만점</v>
      </c>
      <c r="Y164" s="188">
        <f ca="1">OFFSET(환산공식!FW$15,$F164,0)</f>
        <v>0.42</v>
      </c>
      <c r="Z164" s="20">
        <f ca="1">OFFSET(환산공식!FX$15,$F164,0)</f>
        <v>0.3</v>
      </c>
      <c r="AA164" s="179">
        <f ca="1">OFFSET(환산공식!FY$15,$F164,0)</f>
        <v>0.28999999999999998</v>
      </c>
      <c r="AB164" s="3"/>
      <c r="AD164">
        <f t="shared" ca="1" si="5"/>
        <v>6</v>
      </c>
      <c r="AF164" s="3"/>
      <c r="AG164" s="3"/>
      <c r="AH164" s="3"/>
    </row>
    <row r="165" spans="1:34">
      <c r="A165" s="198"/>
      <c r="B165" s="198"/>
      <c r="C165" s="198" t="s">
        <v>2486</v>
      </c>
      <c r="D165" s="235">
        <v>2056</v>
      </c>
      <c r="E165" s="195">
        <v>118</v>
      </c>
      <c r="F165" s="195">
        <v>118</v>
      </c>
      <c r="G165" s="239">
        <v>158</v>
      </c>
      <c r="H165" s="197" t="s">
        <v>81</v>
      </c>
      <c r="I165" s="242" t="s">
        <v>238</v>
      </c>
      <c r="J165" s="242" t="s">
        <v>11001</v>
      </c>
      <c r="K165" s="195" t="s">
        <v>71</v>
      </c>
      <c r="L165" s="20" t="str">
        <f ca="1">IF(OFFSET(환산공식!$ED$15,$F165,0)=1,"O","X")</f>
        <v>X</v>
      </c>
      <c r="M165" s="188">
        <f ca="1">IFERROR(OFFSET(환산공식!DJ$15,$F165,0),"")</f>
        <v>150</v>
      </c>
      <c r="N165" s="20" t="str">
        <f ca="1">IFERROR(CONCATENATE(ROUND(OFFSET(환산공식!DK$15,$F165,0),1),"%"),"")</f>
        <v>100%</v>
      </c>
      <c r="O165" s="20">
        <f ca="1">IFERROR(OFFSET(환산공식!DL$15,$F165,0),"")</f>
        <v>0</v>
      </c>
      <c r="P165" s="188" t="str">
        <f t="shared" ca="1" si="4"/>
        <v>3% 이하</v>
      </c>
      <c r="Q165" s="194">
        <f ca="1">IFERROR(ROUND(OFFSET(환산공식!$FG$15,$F165,0),3),"")</f>
        <v>0</v>
      </c>
      <c r="R165" s="194">
        <f ca="1">OFFSET('배치점수 계산기'!H$10,$D165,0)</f>
        <v>885.29100000000005</v>
      </c>
      <c r="S165" s="194">
        <f ca="1">OFFSET('배치점수 계산기'!I$10,$D165,0)</f>
        <v>882.63400000000001</v>
      </c>
      <c r="T165" s="194">
        <f ca="1">OFFSET('배치점수 계산기'!J$10,$D165,0)</f>
        <v>879.202</v>
      </c>
      <c r="U165" s="194">
        <f ca="1">OFFSET('배치점수 계산기'!K$10,$D165,0)</f>
        <v>874.76599999999996</v>
      </c>
      <c r="V165" s="194">
        <f ca="1">OFFSET('배치점수 계산기'!L$10,$D165,0)</f>
        <v>869.07299999999998</v>
      </c>
      <c r="W165" s="186" t="str">
        <f ca="1">OFFSET('배치점수 계산기'!M$10,$D165,0)</f>
        <v>표점/만점</v>
      </c>
      <c r="X165" s="184" t="str">
        <f ca="1">OFFSET('배치점수 계산기'!N$10,$D165,0)</f>
        <v>변표/만점</v>
      </c>
      <c r="Y165" s="188">
        <f ca="1">OFFSET(환산공식!FW$15,$F165,0)</f>
        <v>0.42</v>
      </c>
      <c r="Z165" s="20">
        <f ca="1">OFFSET(환산공식!FX$15,$F165,0)</f>
        <v>0.3</v>
      </c>
      <c r="AA165" s="179">
        <f ca="1">OFFSET(환산공식!FY$15,$F165,0)</f>
        <v>0.28999999999999998</v>
      </c>
      <c r="AB165" s="3"/>
      <c r="AD165">
        <f t="shared" ca="1" si="5"/>
        <v>6</v>
      </c>
      <c r="AF165" s="3"/>
      <c r="AG165" s="3"/>
      <c r="AH165" s="3"/>
    </row>
    <row r="166" spans="1:34">
      <c r="A166" s="198"/>
      <c r="B166" s="198"/>
      <c r="C166" s="198" t="s">
        <v>2487</v>
      </c>
      <c r="D166" s="235">
        <v>2057</v>
      </c>
      <c r="E166" s="195">
        <v>119</v>
      </c>
      <c r="F166" s="195">
        <v>119</v>
      </c>
      <c r="G166" s="239">
        <v>159</v>
      </c>
      <c r="H166" s="197" t="s">
        <v>81</v>
      </c>
      <c r="I166" s="242" t="s">
        <v>238</v>
      </c>
      <c r="J166" s="242" t="s">
        <v>7254</v>
      </c>
      <c r="K166" s="195" t="s">
        <v>71</v>
      </c>
      <c r="L166" s="20" t="str">
        <f ca="1">IF(OFFSET(환산공식!$ED$15,$F166,0)=1,"O","X")</f>
        <v>X</v>
      </c>
      <c r="M166" s="188">
        <f ca="1">IFERROR(OFFSET(환산공식!DJ$15,$F166,0),"")</f>
        <v>100</v>
      </c>
      <c r="N166" s="20" t="str">
        <f ca="1">IFERROR(CONCATENATE(ROUND(OFFSET(환산공식!DK$15,$F166,0),1),"%"),"")</f>
        <v>100%</v>
      </c>
      <c r="O166" s="20">
        <f ca="1">IFERROR(OFFSET(환산공식!DL$15,$F166,0),"")</f>
        <v>0</v>
      </c>
      <c r="P166" s="188" t="str">
        <f t="shared" ca="1" si="4"/>
        <v>3% 이하</v>
      </c>
      <c r="Q166" s="194">
        <f ca="1">IFERROR(ROUND(OFFSET(환산공식!$FG$15,$F166,0),3),"")</f>
        <v>0</v>
      </c>
      <c r="R166" s="194">
        <f ca="1">OFFSET('배치점수 계산기'!H$10,$D166,0)</f>
        <v>879.38800000000003</v>
      </c>
      <c r="S166" s="194">
        <f ca="1">OFFSET('배치점수 계산기'!I$10,$D166,0)</f>
        <v>876.65099999999995</v>
      </c>
      <c r="T166" s="194">
        <f ca="1">OFFSET('배치점수 계산기'!J$10,$D166,0)</f>
        <v>873.26800000000003</v>
      </c>
      <c r="U166" s="194">
        <f ca="1">OFFSET('배치점수 계산기'!K$10,$D166,0)</f>
        <v>869.77200000000005</v>
      </c>
      <c r="V166" s="194">
        <f ca="1">OFFSET('배치점수 계산기'!L$10,$D166,0)</f>
        <v>864.48599999999999</v>
      </c>
      <c r="W166" s="186" t="str">
        <f ca="1">OFFSET('배치점수 계산기'!M$10,$D166,0)</f>
        <v>표점/만점</v>
      </c>
      <c r="X166" s="184" t="str">
        <f ca="1">OFFSET('배치점수 계산기'!N$10,$D166,0)</f>
        <v>변표/만점</v>
      </c>
      <c r="Y166" s="188">
        <f ca="1">OFFSET(환산공식!FW$15,$F166,0)</f>
        <v>0.39</v>
      </c>
      <c r="Z166" s="20">
        <f ca="1">OFFSET(환산공식!FX$15,$F166,0)</f>
        <v>0.34</v>
      </c>
      <c r="AA166" s="179">
        <f ca="1">OFFSET(환산공식!FY$15,$F166,0)</f>
        <v>0.27</v>
      </c>
      <c r="AB166" s="3"/>
      <c r="AD166">
        <f t="shared" ca="1" si="5"/>
        <v>6</v>
      </c>
      <c r="AF166" s="3"/>
      <c r="AG166" s="3"/>
      <c r="AH166" s="3"/>
    </row>
    <row r="167" spans="1:34">
      <c r="A167" s="198"/>
      <c r="B167" s="198"/>
      <c r="C167" s="198" t="s">
        <v>2488</v>
      </c>
      <c r="D167" s="235">
        <v>2058</v>
      </c>
      <c r="E167" s="195">
        <v>118</v>
      </c>
      <c r="F167" s="195">
        <v>118</v>
      </c>
      <c r="G167" s="239">
        <v>160</v>
      </c>
      <c r="H167" s="197" t="s">
        <v>81</v>
      </c>
      <c r="I167" s="242" t="s">
        <v>238</v>
      </c>
      <c r="J167" s="242" t="s">
        <v>11062</v>
      </c>
      <c r="K167" s="195" t="s">
        <v>71</v>
      </c>
      <c r="L167" s="20" t="str">
        <f ca="1">IF(OFFSET(환산공식!$ED$15,$F167,0)=1,"O","X")</f>
        <v>X</v>
      </c>
      <c r="M167" s="188">
        <f ca="1">IFERROR(OFFSET(환산공식!DJ$15,$F167,0),"")</f>
        <v>150</v>
      </c>
      <c r="N167" s="20" t="str">
        <f ca="1">IFERROR(CONCATENATE(ROUND(OFFSET(환산공식!DK$15,$F167,0),1),"%"),"")</f>
        <v>100%</v>
      </c>
      <c r="O167" s="20">
        <f ca="1">IFERROR(OFFSET(환산공식!DL$15,$F167,0),"")</f>
        <v>0</v>
      </c>
      <c r="P167" s="188" t="str">
        <f t="shared" ca="1" si="4"/>
        <v>3% 이하</v>
      </c>
      <c r="Q167" s="194">
        <f ca="1">IFERROR(ROUND(OFFSET(환산공식!$FG$15,$F167,0),3),"")</f>
        <v>0</v>
      </c>
      <c r="R167" s="194">
        <f ca="1">OFFSET('배치점수 계산기'!H$10,$D167,0)</f>
        <v>884.87300000000005</v>
      </c>
      <c r="S167" s="194">
        <f ca="1">OFFSET('배치점수 계산기'!I$10,$D167,0)</f>
        <v>880.93100000000004</v>
      </c>
      <c r="T167" s="194">
        <f ca="1">OFFSET('배치점수 계산기'!J$10,$D167,0)</f>
        <v>878.06399999999996</v>
      </c>
      <c r="U167" s="194">
        <f ca="1">OFFSET('배치점수 계산기'!K$10,$D167,0)</f>
        <v>873.42399999999998</v>
      </c>
      <c r="V167" s="194">
        <f ca="1">OFFSET('배치점수 계산기'!L$10,$D167,0)</f>
        <v>869.07299999999998</v>
      </c>
      <c r="W167" s="186" t="str">
        <f ca="1">OFFSET('배치점수 계산기'!M$10,$D167,0)</f>
        <v>표점/만점</v>
      </c>
      <c r="X167" s="184" t="str">
        <f ca="1">OFFSET('배치점수 계산기'!N$10,$D167,0)</f>
        <v>변표/만점</v>
      </c>
      <c r="Y167" s="188">
        <f ca="1">OFFSET(환산공식!FW$15,$F167,0)</f>
        <v>0.42</v>
      </c>
      <c r="Z167" s="20">
        <f ca="1">OFFSET(환산공식!FX$15,$F167,0)</f>
        <v>0.3</v>
      </c>
      <c r="AA167" s="179">
        <f ca="1">OFFSET(환산공식!FY$15,$F167,0)</f>
        <v>0.28999999999999998</v>
      </c>
      <c r="AB167" s="3"/>
      <c r="AD167">
        <f t="shared" ca="1" si="5"/>
        <v>6</v>
      </c>
      <c r="AF167" s="3"/>
      <c r="AG167" s="3"/>
      <c r="AH167" s="3"/>
    </row>
    <row r="168" spans="1:34">
      <c r="A168" s="198"/>
      <c r="B168" s="198"/>
      <c r="C168" s="198" t="s">
        <v>2489</v>
      </c>
      <c r="D168" s="235">
        <v>2059</v>
      </c>
      <c r="E168" s="195">
        <v>118</v>
      </c>
      <c r="F168" s="195">
        <v>118</v>
      </c>
      <c r="G168" s="239">
        <v>161</v>
      </c>
      <c r="H168" s="197" t="s">
        <v>81</v>
      </c>
      <c r="I168" s="242" t="s">
        <v>238</v>
      </c>
      <c r="J168" s="242" t="s">
        <v>499</v>
      </c>
      <c r="K168" s="195" t="s">
        <v>71</v>
      </c>
      <c r="L168" s="20" t="str">
        <f ca="1">IF(OFFSET(환산공식!$ED$15,$F168,0)=1,"O","X")</f>
        <v>X</v>
      </c>
      <c r="M168" s="188">
        <f ca="1">IFERROR(OFFSET(환산공식!DJ$15,$F168,0),"")</f>
        <v>150</v>
      </c>
      <c r="N168" s="20" t="str">
        <f ca="1">IFERROR(CONCATENATE(ROUND(OFFSET(환산공식!DK$15,$F168,0),1),"%"),"")</f>
        <v>100%</v>
      </c>
      <c r="O168" s="20">
        <f ca="1">IFERROR(OFFSET(환산공식!DL$15,$F168,0),"")</f>
        <v>0</v>
      </c>
      <c r="P168" s="188" t="str">
        <f t="shared" ca="1" si="4"/>
        <v>3% 이하</v>
      </c>
      <c r="Q168" s="194">
        <f ca="1">IFERROR(ROUND(OFFSET(환산공식!$FG$15,$F168,0),3),"")</f>
        <v>0</v>
      </c>
      <c r="R168" s="194">
        <f ca="1">OFFSET('배치점수 계산기'!H$10,$D168,0)</f>
        <v>884.44899999999996</v>
      </c>
      <c r="S168" s="194">
        <f ca="1">OFFSET('배치점수 계산기'!I$10,$D168,0)</f>
        <v>880.89200000000005</v>
      </c>
      <c r="T168" s="194">
        <f ca="1">OFFSET('배치점수 계산기'!J$10,$D168,0)</f>
        <v>877.95299999999997</v>
      </c>
      <c r="U168" s="194">
        <f ca="1">OFFSET('배치점수 계산기'!K$10,$D168,0)</f>
        <v>874.327</v>
      </c>
      <c r="V168" s="194">
        <f ca="1">OFFSET('배치점수 계산기'!L$10,$D168,0)</f>
        <v>869.71799999999996</v>
      </c>
      <c r="W168" s="186" t="str">
        <f ca="1">OFFSET('배치점수 계산기'!M$10,$D168,0)</f>
        <v>표점/만점</v>
      </c>
      <c r="X168" s="184" t="str">
        <f ca="1">OFFSET('배치점수 계산기'!N$10,$D168,0)</f>
        <v>변표/만점</v>
      </c>
      <c r="Y168" s="188">
        <f ca="1">OFFSET(환산공식!FW$15,$F168,0)</f>
        <v>0.42</v>
      </c>
      <c r="Z168" s="20">
        <f ca="1">OFFSET(환산공식!FX$15,$F168,0)</f>
        <v>0.3</v>
      </c>
      <c r="AA168" s="179">
        <f ca="1">OFFSET(환산공식!FY$15,$F168,0)</f>
        <v>0.28999999999999998</v>
      </c>
      <c r="AB168" s="3"/>
      <c r="AD168">
        <f t="shared" ca="1" si="5"/>
        <v>6</v>
      </c>
      <c r="AF168" s="3"/>
      <c r="AG168" s="3"/>
      <c r="AH168" s="3"/>
    </row>
    <row r="169" spans="1:34">
      <c r="A169" s="198"/>
      <c r="B169" s="198"/>
      <c r="C169" s="198" t="s">
        <v>2490</v>
      </c>
      <c r="D169" s="235">
        <v>2060</v>
      </c>
      <c r="E169" s="195">
        <v>91</v>
      </c>
      <c r="F169" s="195">
        <v>91</v>
      </c>
      <c r="G169" s="239">
        <v>162</v>
      </c>
      <c r="H169" s="197" t="s">
        <v>81</v>
      </c>
      <c r="I169" s="242" t="s">
        <v>422</v>
      </c>
      <c r="J169" s="242" t="s">
        <v>8835</v>
      </c>
      <c r="K169" s="195" t="s">
        <v>70</v>
      </c>
      <c r="L169" s="20" t="str">
        <f ca="1">IF(OFFSET(환산공식!$ED$15,$F169,0)=1,"O","X")</f>
        <v>X</v>
      </c>
      <c r="M169" s="188">
        <f ca="1">IFERROR(OFFSET(환산공식!DJ$15,$F169,0),"")</f>
        <v>150</v>
      </c>
      <c r="N169" s="20" t="str">
        <f ca="1">IFERROR(CONCATENATE(ROUND(OFFSET(환산공식!DK$15,$F169,0),1),"%"),"")</f>
        <v>100%</v>
      </c>
      <c r="O169" s="20">
        <f ca="1">IFERROR(OFFSET(환산공식!DL$15,$F169,0),"")</f>
        <v>5</v>
      </c>
      <c r="P169" s="188" t="str">
        <f t="shared" ca="1" si="4"/>
        <v>3% 이하</v>
      </c>
      <c r="Q169" s="194">
        <f ca="1">IFERROR(ROUND(OFFSET(환산공식!$FG$15,$F169,0),3),"")</f>
        <v>0</v>
      </c>
      <c r="R169" s="194">
        <f ca="1">OFFSET('배치점수 계산기'!H$10,$D169,0)</f>
        <v>886.28399999999999</v>
      </c>
      <c r="S169" s="194">
        <f ca="1">OFFSET('배치점수 계산기'!I$10,$D169,0)</f>
        <v>883.00699999999995</v>
      </c>
      <c r="T169" s="194">
        <f ca="1">OFFSET('배치점수 계산기'!J$10,$D169,0)</f>
        <v>878.49099999999999</v>
      </c>
      <c r="U169" s="194">
        <f ca="1">OFFSET('배치점수 계산기'!K$10,$D169,0)</f>
        <v>873.04499999999996</v>
      </c>
      <c r="V169" s="194">
        <f ca="1">OFFSET('배치점수 계산기'!L$10,$D169,0)</f>
        <v>856.99300000000005</v>
      </c>
      <c r="W169" s="186" t="str">
        <f ca="1">OFFSET('배치점수 계산기'!M$10,$D169,0)</f>
        <v>백분위</v>
      </c>
      <c r="X169" s="184" t="str">
        <f ca="1">OFFSET('배치점수 계산기'!N$10,$D169,0)</f>
        <v>백분위</v>
      </c>
      <c r="Y169" s="188">
        <f ca="1">OFFSET(환산공식!FW$15,$F169,0)</f>
        <v>0.24</v>
      </c>
      <c r="Z169" s="20">
        <f ca="1">OFFSET(환산공식!FX$15,$F169,0)</f>
        <v>0.41</v>
      </c>
      <c r="AA169" s="179">
        <f ca="1">OFFSET(환산공식!FY$15,$F169,0)</f>
        <v>0.35</v>
      </c>
      <c r="AB169" s="3"/>
      <c r="AD169">
        <f t="shared" ca="1" si="5"/>
        <v>6</v>
      </c>
      <c r="AF169" s="3"/>
      <c r="AG169" s="3"/>
      <c r="AH169" s="3"/>
    </row>
    <row r="170" spans="1:34">
      <c r="A170" s="198"/>
      <c r="B170" s="198"/>
      <c r="C170" s="198" t="s">
        <v>2491</v>
      </c>
      <c r="D170" s="235">
        <v>2061</v>
      </c>
      <c r="E170" s="195">
        <v>91</v>
      </c>
      <c r="F170" s="195">
        <v>91</v>
      </c>
      <c r="G170" s="239">
        <v>163</v>
      </c>
      <c r="H170" s="197" t="s">
        <v>81</v>
      </c>
      <c r="I170" s="242" t="s">
        <v>422</v>
      </c>
      <c r="J170" s="242" t="s">
        <v>8491</v>
      </c>
      <c r="K170" s="195" t="s">
        <v>70</v>
      </c>
      <c r="L170" s="20" t="str">
        <f ca="1">IF(OFFSET(환산공식!$ED$15,$F170,0)=1,"O","X")</f>
        <v>X</v>
      </c>
      <c r="M170" s="188">
        <f ca="1">IFERROR(OFFSET(환산공식!DJ$15,$F170,0),"")</f>
        <v>150</v>
      </c>
      <c r="N170" s="20" t="str">
        <f ca="1">IFERROR(CONCATENATE(ROUND(OFFSET(환산공식!DK$15,$F170,0),1),"%"),"")</f>
        <v>100%</v>
      </c>
      <c r="O170" s="20">
        <f ca="1">IFERROR(OFFSET(환산공식!DL$15,$F170,0),"")</f>
        <v>5</v>
      </c>
      <c r="P170" s="188" t="str">
        <f t="shared" ca="1" si="4"/>
        <v>3% 이하</v>
      </c>
      <c r="Q170" s="194">
        <f ca="1">IFERROR(ROUND(OFFSET(환산공식!$FG$15,$F170,0),3),"")</f>
        <v>0</v>
      </c>
      <c r="R170" s="194">
        <f ca="1">OFFSET('배치점수 계산기'!H$10,$D170,0)</f>
        <v>884.34199999999998</v>
      </c>
      <c r="S170" s="194">
        <f ca="1">OFFSET('배치점수 계산기'!I$10,$D170,0)</f>
        <v>880.202</v>
      </c>
      <c r="T170" s="194">
        <f ca="1">OFFSET('배치점수 계산기'!J$10,$D170,0)</f>
        <v>876.36800000000005</v>
      </c>
      <c r="U170" s="194">
        <f ca="1">OFFSET('배치점수 계산기'!K$10,$D170,0)</f>
        <v>870.80700000000002</v>
      </c>
      <c r="V170" s="194">
        <f ca="1">OFFSET('배치점수 계산기'!L$10,$D170,0)</f>
        <v>855.47400000000005</v>
      </c>
      <c r="W170" s="186" t="str">
        <f ca="1">OFFSET('배치점수 계산기'!M$10,$D170,0)</f>
        <v>백분위</v>
      </c>
      <c r="X170" s="184" t="str">
        <f ca="1">OFFSET('배치점수 계산기'!N$10,$D170,0)</f>
        <v>백분위</v>
      </c>
      <c r="Y170" s="188">
        <f ca="1">OFFSET(환산공식!FW$15,$F170,0)</f>
        <v>0.24</v>
      </c>
      <c r="Z170" s="20">
        <f ca="1">OFFSET(환산공식!FX$15,$F170,0)</f>
        <v>0.41</v>
      </c>
      <c r="AA170" s="179">
        <f ca="1">OFFSET(환산공식!FY$15,$F170,0)</f>
        <v>0.35</v>
      </c>
      <c r="AB170" s="3"/>
      <c r="AD170">
        <f t="shared" ca="1" si="5"/>
        <v>6</v>
      </c>
      <c r="AF170" s="3"/>
      <c r="AG170" s="3"/>
      <c r="AH170" s="3"/>
    </row>
    <row r="171" spans="1:34">
      <c r="A171" s="198"/>
      <c r="B171" s="198"/>
      <c r="C171" s="198" t="s">
        <v>2492</v>
      </c>
      <c r="D171" s="235">
        <v>2062</v>
      </c>
      <c r="E171" s="195">
        <v>91</v>
      </c>
      <c r="F171" s="195">
        <v>91</v>
      </c>
      <c r="G171" s="239">
        <v>164</v>
      </c>
      <c r="H171" s="197" t="s">
        <v>81</v>
      </c>
      <c r="I171" s="242" t="s">
        <v>422</v>
      </c>
      <c r="J171" s="242" t="s">
        <v>10405</v>
      </c>
      <c r="K171" s="195" t="s">
        <v>70</v>
      </c>
      <c r="L171" s="20" t="str">
        <f ca="1">IF(OFFSET(환산공식!$ED$15,$F171,0)=1,"O","X")</f>
        <v>X</v>
      </c>
      <c r="M171" s="188">
        <f ca="1">IFERROR(OFFSET(환산공식!DJ$15,$F171,0),"")</f>
        <v>150</v>
      </c>
      <c r="N171" s="20" t="str">
        <f ca="1">IFERROR(CONCATENATE(ROUND(OFFSET(환산공식!DK$15,$F171,0),1),"%"),"")</f>
        <v>100%</v>
      </c>
      <c r="O171" s="20">
        <f ca="1">IFERROR(OFFSET(환산공식!DL$15,$F171,0),"")</f>
        <v>5</v>
      </c>
      <c r="P171" s="188" t="str">
        <f t="shared" ca="1" si="4"/>
        <v>3% 이하</v>
      </c>
      <c r="Q171" s="194">
        <f ca="1">IFERROR(ROUND(OFFSET(환산공식!$FG$15,$F171,0),3),"")</f>
        <v>0</v>
      </c>
      <c r="R171" s="194">
        <f ca="1">OFFSET('배치점수 계산기'!H$10,$D171,0)</f>
        <v>883.48</v>
      </c>
      <c r="S171" s="194">
        <f ca="1">OFFSET('배치점수 계산기'!I$10,$D171,0)</f>
        <v>878.49099999999999</v>
      </c>
      <c r="T171" s="194">
        <f ca="1">OFFSET('배치점수 계산기'!J$10,$D171,0)</f>
        <v>870.80700000000002</v>
      </c>
      <c r="U171" s="194">
        <f ca="1">OFFSET('배치점수 계산기'!K$10,$D171,0)</f>
        <v>865.20799999999997</v>
      </c>
      <c r="V171" s="194">
        <f ca="1">OFFSET('배치점수 계산기'!L$10,$D171,0)</f>
        <v>855.47400000000005</v>
      </c>
      <c r="W171" s="186" t="str">
        <f ca="1">OFFSET('배치점수 계산기'!M$10,$D171,0)</f>
        <v>백분위</v>
      </c>
      <c r="X171" s="184" t="str">
        <f ca="1">OFFSET('배치점수 계산기'!N$10,$D171,0)</f>
        <v>백분위</v>
      </c>
      <c r="Y171" s="188">
        <f ca="1">OFFSET(환산공식!FW$15,$F171,0)</f>
        <v>0.24</v>
      </c>
      <c r="Z171" s="20">
        <f ca="1">OFFSET(환산공식!FX$15,$F171,0)</f>
        <v>0.41</v>
      </c>
      <c r="AA171" s="179">
        <f ca="1">OFFSET(환산공식!FY$15,$F171,0)</f>
        <v>0.35</v>
      </c>
      <c r="AB171" s="3"/>
      <c r="AD171">
        <f t="shared" ca="1" si="5"/>
        <v>6</v>
      </c>
      <c r="AF171" s="3"/>
      <c r="AG171" s="3"/>
      <c r="AH171" s="3"/>
    </row>
    <row r="172" spans="1:34">
      <c r="A172" s="198"/>
      <c r="B172" s="198"/>
      <c r="C172" s="198" t="s">
        <v>2493</v>
      </c>
      <c r="D172" s="235">
        <v>2063</v>
      </c>
      <c r="E172" s="195">
        <v>91</v>
      </c>
      <c r="F172" s="195">
        <v>91</v>
      </c>
      <c r="G172" s="239">
        <v>165</v>
      </c>
      <c r="H172" s="197" t="s">
        <v>81</v>
      </c>
      <c r="I172" s="242" t="s">
        <v>422</v>
      </c>
      <c r="J172" s="242" t="s">
        <v>11181</v>
      </c>
      <c r="K172" s="195" t="s">
        <v>70</v>
      </c>
      <c r="L172" s="20" t="str">
        <f ca="1">IF(OFFSET(환산공식!$ED$15,$F172,0)=1,"O","X")</f>
        <v>X</v>
      </c>
      <c r="M172" s="188">
        <f ca="1">IFERROR(OFFSET(환산공식!DJ$15,$F172,0),"")</f>
        <v>150</v>
      </c>
      <c r="N172" s="20" t="str">
        <f ca="1">IFERROR(CONCATENATE(ROUND(OFFSET(환산공식!DK$15,$F172,0),1),"%"),"")</f>
        <v>100%</v>
      </c>
      <c r="O172" s="20">
        <f ca="1">IFERROR(OFFSET(환산공식!DL$15,$F172,0),"")</f>
        <v>5</v>
      </c>
      <c r="P172" s="188" t="str">
        <f t="shared" ca="1" si="4"/>
        <v>3% 이하</v>
      </c>
      <c r="Q172" s="194">
        <f ca="1">IFERROR(ROUND(OFFSET(환산공식!$FG$15,$F172,0),3),"")</f>
        <v>0</v>
      </c>
      <c r="R172" s="194">
        <f ca="1">OFFSET('배치점수 계산기'!H$10,$D172,0)</f>
        <v>883.08</v>
      </c>
      <c r="S172" s="194">
        <f ca="1">OFFSET('배치점수 계산기'!I$10,$D172,0)</f>
        <v>876.56799999999998</v>
      </c>
      <c r="T172" s="194">
        <f ca="1">OFFSET('배치점수 계산기'!J$10,$D172,0)</f>
        <v>870.13099999999997</v>
      </c>
      <c r="U172" s="194">
        <f ca="1">OFFSET('배치점수 계산기'!K$10,$D172,0)</f>
        <v>864.26199999999994</v>
      </c>
      <c r="V172" s="194">
        <f ca="1">OFFSET('배치점수 계산기'!L$10,$D172,0)</f>
        <v>853.05899999999997</v>
      </c>
      <c r="W172" s="186" t="str">
        <f ca="1">OFFSET('배치점수 계산기'!M$10,$D172,0)</f>
        <v>백분위</v>
      </c>
      <c r="X172" s="184" t="str">
        <f ca="1">OFFSET('배치점수 계산기'!N$10,$D172,0)</f>
        <v>백분위</v>
      </c>
      <c r="Y172" s="188">
        <f ca="1">OFFSET(환산공식!FW$15,$F172,0)</f>
        <v>0.24</v>
      </c>
      <c r="Z172" s="20">
        <f ca="1">OFFSET(환산공식!FX$15,$F172,0)</f>
        <v>0.41</v>
      </c>
      <c r="AA172" s="179">
        <f ca="1">OFFSET(환산공식!FY$15,$F172,0)</f>
        <v>0.35</v>
      </c>
      <c r="AB172" s="3"/>
      <c r="AD172">
        <f t="shared" ca="1" si="5"/>
        <v>6</v>
      </c>
      <c r="AF172" s="3"/>
      <c r="AG172" s="3"/>
      <c r="AH172" s="3"/>
    </row>
    <row r="173" spans="1:34">
      <c r="A173" s="198"/>
      <c r="B173" s="198"/>
      <c r="C173" s="198" t="s">
        <v>2494</v>
      </c>
      <c r="D173" s="235">
        <v>2064</v>
      </c>
      <c r="E173" s="195">
        <v>91</v>
      </c>
      <c r="F173" s="195">
        <v>91</v>
      </c>
      <c r="G173" s="239">
        <v>166</v>
      </c>
      <c r="H173" s="197" t="s">
        <v>81</v>
      </c>
      <c r="I173" s="242" t="s">
        <v>422</v>
      </c>
      <c r="J173" s="242" t="s">
        <v>8283</v>
      </c>
      <c r="K173" s="195" t="s">
        <v>70</v>
      </c>
      <c r="L173" s="20" t="str">
        <f ca="1">IF(OFFSET(환산공식!$ED$15,$F173,0)=1,"O","X")</f>
        <v>X</v>
      </c>
      <c r="M173" s="188">
        <f ca="1">IFERROR(OFFSET(환산공식!DJ$15,$F173,0),"")</f>
        <v>150</v>
      </c>
      <c r="N173" s="20" t="str">
        <f ca="1">IFERROR(CONCATENATE(ROUND(OFFSET(환산공식!DK$15,$F173,0),1),"%"),"")</f>
        <v>100%</v>
      </c>
      <c r="O173" s="20">
        <f ca="1">IFERROR(OFFSET(환산공식!DL$15,$F173,0),"")</f>
        <v>5</v>
      </c>
      <c r="P173" s="188" t="str">
        <f t="shared" ca="1" si="4"/>
        <v>3% 이하</v>
      </c>
      <c r="Q173" s="194">
        <f ca="1">IFERROR(ROUND(OFFSET(환산공식!$FG$15,$F173,0),3),"")</f>
        <v>0</v>
      </c>
      <c r="R173" s="194">
        <f ca="1">OFFSET('배치점수 계산기'!H$10,$D173,0)</f>
        <v>881.29700000000003</v>
      </c>
      <c r="S173" s="194">
        <f ca="1">OFFSET('배치점수 계산기'!I$10,$D173,0)</f>
        <v>876.56799999999998</v>
      </c>
      <c r="T173" s="194">
        <f ca="1">OFFSET('배치점수 계산기'!J$10,$D173,0)</f>
        <v>869.85799999999995</v>
      </c>
      <c r="U173" s="194">
        <f ca="1">OFFSET('배치점수 계산기'!K$10,$D173,0)</f>
        <v>863.78899999999999</v>
      </c>
      <c r="V173" s="194">
        <f ca="1">OFFSET('배치점수 계산기'!L$10,$D173,0)</f>
        <v>853.01900000000001</v>
      </c>
      <c r="W173" s="186" t="str">
        <f ca="1">OFFSET('배치점수 계산기'!M$10,$D173,0)</f>
        <v>백분위</v>
      </c>
      <c r="X173" s="184" t="str">
        <f ca="1">OFFSET('배치점수 계산기'!N$10,$D173,0)</f>
        <v>백분위</v>
      </c>
      <c r="Y173" s="188">
        <f ca="1">OFFSET(환산공식!FW$15,$F173,0)</f>
        <v>0.24</v>
      </c>
      <c r="Z173" s="20">
        <f ca="1">OFFSET(환산공식!FX$15,$F173,0)</f>
        <v>0.41</v>
      </c>
      <c r="AA173" s="179">
        <f ca="1">OFFSET(환산공식!FY$15,$F173,0)</f>
        <v>0.35</v>
      </c>
      <c r="AB173" s="3"/>
      <c r="AD173">
        <f t="shared" ca="1" si="5"/>
        <v>6</v>
      </c>
      <c r="AF173" s="3"/>
      <c r="AG173" s="3"/>
      <c r="AH173" s="3"/>
    </row>
    <row r="174" spans="1:34">
      <c r="A174" s="198"/>
      <c r="B174" s="198"/>
      <c r="C174" s="198" t="s">
        <v>2495</v>
      </c>
      <c r="D174" s="235">
        <v>2065</v>
      </c>
      <c r="E174" s="195">
        <v>91</v>
      </c>
      <c r="F174" s="195">
        <v>91</v>
      </c>
      <c r="G174" s="239">
        <v>167</v>
      </c>
      <c r="H174" s="197" t="s">
        <v>81</v>
      </c>
      <c r="I174" s="242" t="s">
        <v>422</v>
      </c>
      <c r="J174" s="242" t="s">
        <v>11204</v>
      </c>
      <c r="K174" s="195" t="s">
        <v>70</v>
      </c>
      <c r="L174" s="20" t="str">
        <f ca="1">IF(OFFSET(환산공식!$ED$15,$F174,0)=1,"O","X")</f>
        <v>X</v>
      </c>
      <c r="M174" s="188">
        <f ca="1">IFERROR(OFFSET(환산공식!DJ$15,$F174,0),"")</f>
        <v>150</v>
      </c>
      <c r="N174" s="20" t="str">
        <f ca="1">IFERROR(CONCATENATE(ROUND(OFFSET(환산공식!DK$15,$F174,0),1),"%"),"")</f>
        <v>100%</v>
      </c>
      <c r="O174" s="20">
        <f ca="1">IFERROR(OFFSET(환산공식!DL$15,$F174,0),"")</f>
        <v>5</v>
      </c>
      <c r="P174" s="188" t="str">
        <f t="shared" ca="1" si="4"/>
        <v>3% 이하</v>
      </c>
      <c r="Q174" s="194">
        <f ca="1">IFERROR(ROUND(OFFSET(환산공식!$FG$15,$F174,0),3),"")</f>
        <v>0</v>
      </c>
      <c r="R174" s="194">
        <f ca="1">OFFSET('배치점수 계산기'!H$10,$D174,0)</f>
        <v>879.72900000000004</v>
      </c>
      <c r="S174" s="194">
        <f ca="1">OFFSET('배치점수 계산기'!I$10,$D174,0)</f>
        <v>874.86199999999997</v>
      </c>
      <c r="T174" s="194">
        <f ca="1">OFFSET('배치점수 계산기'!J$10,$D174,0)</f>
        <v>868.673</v>
      </c>
      <c r="U174" s="194">
        <f ca="1">OFFSET('배치점수 계산기'!K$10,$D174,0)</f>
        <v>862.61199999999997</v>
      </c>
      <c r="V174" s="194">
        <f ca="1">OFFSET('배치점수 계산기'!L$10,$D174,0)</f>
        <v>851.8</v>
      </c>
      <c r="W174" s="186" t="str">
        <f ca="1">OFFSET('배치점수 계산기'!M$10,$D174,0)</f>
        <v>백분위</v>
      </c>
      <c r="X174" s="184" t="str">
        <f ca="1">OFFSET('배치점수 계산기'!N$10,$D174,0)</f>
        <v>백분위</v>
      </c>
      <c r="Y174" s="188">
        <f ca="1">OFFSET(환산공식!FW$15,$F174,0)</f>
        <v>0.24</v>
      </c>
      <c r="Z174" s="20">
        <f ca="1">OFFSET(환산공식!FX$15,$F174,0)</f>
        <v>0.41</v>
      </c>
      <c r="AA174" s="179">
        <f ca="1">OFFSET(환산공식!FY$15,$F174,0)</f>
        <v>0.35</v>
      </c>
      <c r="AB174" s="3"/>
      <c r="AD174">
        <f t="shared" ca="1" si="5"/>
        <v>6</v>
      </c>
      <c r="AF174" s="3"/>
      <c r="AG174" s="3"/>
      <c r="AH174" s="3"/>
    </row>
    <row r="175" spans="1:34">
      <c r="A175" s="198"/>
      <c r="B175" s="198"/>
      <c r="C175" s="198" t="s">
        <v>2496</v>
      </c>
      <c r="D175" s="235">
        <v>2066</v>
      </c>
      <c r="E175" s="195">
        <v>91</v>
      </c>
      <c r="F175" s="195">
        <v>91</v>
      </c>
      <c r="G175" s="239">
        <v>168</v>
      </c>
      <c r="H175" s="197" t="s">
        <v>81</v>
      </c>
      <c r="I175" s="242" t="s">
        <v>422</v>
      </c>
      <c r="J175" s="242" t="s">
        <v>11304</v>
      </c>
      <c r="K175" s="195" t="s">
        <v>70</v>
      </c>
      <c r="L175" s="20" t="str">
        <f ca="1">IF(OFFSET(환산공식!$ED$15,$F175,0)=1,"O","X")</f>
        <v>X</v>
      </c>
      <c r="M175" s="188">
        <f ca="1">IFERROR(OFFSET(환산공식!DJ$15,$F175,0),"")</f>
        <v>150</v>
      </c>
      <c r="N175" s="20" t="str">
        <f ca="1">IFERROR(CONCATENATE(ROUND(OFFSET(환산공식!DK$15,$F175,0),1),"%"),"")</f>
        <v>100%</v>
      </c>
      <c r="O175" s="20">
        <f ca="1">IFERROR(OFFSET(환산공식!DL$15,$F175,0),"")</f>
        <v>5</v>
      </c>
      <c r="P175" s="188" t="str">
        <f t="shared" ca="1" si="4"/>
        <v>3% 이하</v>
      </c>
      <c r="Q175" s="194">
        <f ca="1">IFERROR(ROUND(OFFSET(환산공식!$FG$15,$F175,0),3),"")</f>
        <v>0</v>
      </c>
      <c r="R175" s="194">
        <f ca="1">OFFSET('배치점수 계산기'!H$10,$D175,0)</f>
        <v>874.66200000000003</v>
      </c>
      <c r="S175" s="194">
        <f ca="1">OFFSET('배치점수 계산기'!I$10,$D175,0)</f>
        <v>870.221</v>
      </c>
      <c r="T175" s="194">
        <f ca="1">OFFSET('배치점수 계산기'!J$10,$D175,0)</f>
        <v>865.28099999999995</v>
      </c>
      <c r="U175" s="194">
        <f ca="1">OFFSET('배치점수 계산기'!K$10,$D175,0)</f>
        <v>855.548</v>
      </c>
      <c r="V175" s="194">
        <f ca="1">OFFSET('배치점수 계산기'!L$10,$D175,0)</f>
        <v>844.71699999999998</v>
      </c>
      <c r="W175" s="186" t="str">
        <f ca="1">OFFSET('배치점수 계산기'!M$10,$D175,0)</f>
        <v>백분위</v>
      </c>
      <c r="X175" s="184" t="str">
        <f ca="1">OFFSET('배치점수 계산기'!N$10,$D175,0)</f>
        <v>백분위</v>
      </c>
      <c r="Y175" s="188">
        <f ca="1">OFFSET(환산공식!FW$15,$F175,0)</f>
        <v>0.24</v>
      </c>
      <c r="Z175" s="20">
        <f ca="1">OFFSET(환산공식!FX$15,$F175,0)</f>
        <v>0.41</v>
      </c>
      <c r="AA175" s="179">
        <f ca="1">OFFSET(환산공식!FY$15,$F175,0)</f>
        <v>0.35</v>
      </c>
      <c r="AB175" s="3"/>
      <c r="AD175">
        <f t="shared" ca="1" si="5"/>
        <v>6</v>
      </c>
      <c r="AF175" s="3"/>
      <c r="AG175" s="3"/>
      <c r="AH175" s="3"/>
    </row>
    <row r="176" spans="1:34">
      <c r="A176" s="198"/>
      <c r="B176" s="198"/>
      <c r="C176" s="198" t="s">
        <v>2497</v>
      </c>
      <c r="D176" s="235">
        <v>2067</v>
      </c>
      <c r="E176" s="195">
        <v>91</v>
      </c>
      <c r="F176" s="195">
        <v>91</v>
      </c>
      <c r="G176" s="239">
        <v>169</v>
      </c>
      <c r="H176" s="197" t="s">
        <v>81</v>
      </c>
      <c r="I176" s="242" t="s">
        <v>422</v>
      </c>
      <c r="J176" s="242" t="s">
        <v>9627</v>
      </c>
      <c r="K176" s="195" t="s">
        <v>70</v>
      </c>
      <c r="L176" s="20" t="str">
        <f ca="1">IF(OFFSET(환산공식!$ED$15,$F176,0)=1,"O","X")</f>
        <v>X</v>
      </c>
      <c r="M176" s="188">
        <f ca="1">IFERROR(OFFSET(환산공식!DJ$15,$F176,0),"")</f>
        <v>150</v>
      </c>
      <c r="N176" s="20" t="str">
        <f ca="1">IFERROR(CONCATENATE(ROUND(OFFSET(환산공식!DK$15,$F176,0),1),"%"),"")</f>
        <v>100%</v>
      </c>
      <c r="O176" s="20">
        <f ca="1">IFERROR(OFFSET(환산공식!DL$15,$F176,0),"")</f>
        <v>5</v>
      </c>
      <c r="P176" s="188" t="str">
        <f t="shared" ca="1" si="4"/>
        <v>3% 이하</v>
      </c>
      <c r="Q176" s="194">
        <f ca="1">IFERROR(ROUND(OFFSET(환산공식!$FG$15,$F176,0),3),"")</f>
        <v>0</v>
      </c>
      <c r="R176" s="194">
        <f ca="1">OFFSET('배치점수 계산기'!H$10,$D176,0)</f>
        <v>873.44799999999998</v>
      </c>
      <c r="S176" s="194">
        <f ca="1">OFFSET('배치점수 계산기'!I$10,$D176,0)</f>
        <v>869.85799999999995</v>
      </c>
      <c r="T176" s="194">
        <f ca="1">OFFSET('배치점수 계산기'!J$10,$D176,0)</f>
        <v>862.49800000000005</v>
      </c>
      <c r="U176" s="194">
        <f ca="1">OFFSET('배치점수 계산기'!K$10,$D176,0)</f>
        <v>855.548</v>
      </c>
      <c r="V176" s="194">
        <f ca="1">OFFSET('배치점수 계산기'!L$10,$D176,0)</f>
        <v>844.71699999999998</v>
      </c>
      <c r="W176" s="186" t="str">
        <f ca="1">OFFSET('배치점수 계산기'!M$10,$D176,0)</f>
        <v>백분위</v>
      </c>
      <c r="X176" s="184" t="str">
        <f ca="1">OFFSET('배치점수 계산기'!N$10,$D176,0)</f>
        <v>백분위</v>
      </c>
      <c r="Y176" s="188">
        <f ca="1">OFFSET(환산공식!FW$15,$F176,0)</f>
        <v>0.24</v>
      </c>
      <c r="Z176" s="20">
        <f ca="1">OFFSET(환산공식!FX$15,$F176,0)</f>
        <v>0.41</v>
      </c>
      <c r="AA176" s="179">
        <f ca="1">OFFSET(환산공식!FY$15,$F176,0)</f>
        <v>0.35</v>
      </c>
      <c r="AB176" s="3"/>
      <c r="AD176">
        <f t="shared" ca="1" si="5"/>
        <v>6</v>
      </c>
      <c r="AF176" s="3"/>
      <c r="AG176" s="3"/>
      <c r="AH176" s="3"/>
    </row>
    <row r="177" spans="1:34">
      <c r="A177" s="198"/>
      <c r="B177" s="198"/>
      <c r="C177" s="198" t="s">
        <v>2498</v>
      </c>
      <c r="D177" s="235">
        <v>2068</v>
      </c>
      <c r="E177" s="195">
        <v>91</v>
      </c>
      <c r="F177" s="195">
        <v>91</v>
      </c>
      <c r="G177" s="239">
        <v>170</v>
      </c>
      <c r="H177" s="197" t="s">
        <v>81</v>
      </c>
      <c r="I177" s="242" t="s">
        <v>422</v>
      </c>
      <c r="J177" s="242" t="s">
        <v>16729</v>
      </c>
      <c r="K177" s="195" t="s">
        <v>70</v>
      </c>
      <c r="L177" s="20" t="str">
        <f ca="1">IF(OFFSET(환산공식!$ED$15,$F177,0)=1,"O","X")</f>
        <v>X</v>
      </c>
      <c r="M177" s="188">
        <f ca="1">IFERROR(OFFSET(환산공식!DJ$15,$F177,0),"")</f>
        <v>150</v>
      </c>
      <c r="N177" s="20" t="str">
        <f ca="1">IFERROR(CONCATENATE(ROUND(OFFSET(환산공식!DK$15,$F177,0),1),"%"),"")</f>
        <v>100%</v>
      </c>
      <c r="O177" s="20">
        <f ca="1">IFERROR(OFFSET(환산공식!DL$15,$F177,0),"")</f>
        <v>5</v>
      </c>
      <c r="P177" s="188" t="str">
        <f t="shared" ca="1" si="4"/>
        <v>3% 이하</v>
      </c>
      <c r="Q177" s="194">
        <f ca="1">IFERROR(ROUND(OFFSET(환산공식!$FG$15,$F177,0),3),"")</f>
        <v>0</v>
      </c>
      <c r="R177" s="194">
        <f ca="1">OFFSET('배치점수 계산기'!H$10,$D177,0)</f>
        <v>862.49800000000005</v>
      </c>
      <c r="S177" s="194">
        <f ca="1">OFFSET('배치점수 계산기'!I$10,$D177,0)</f>
        <v>858.65800000000002</v>
      </c>
      <c r="T177" s="194">
        <f ca="1">OFFSET('배치점수 계산기'!J$10,$D177,0)</f>
        <v>851.8</v>
      </c>
      <c r="U177" s="194">
        <f ca="1">OFFSET('배치점수 계산기'!K$10,$D177,0)</f>
        <v>843.60900000000004</v>
      </c>
      <c r="V177" s="194">
        <f ca="1">OFFSET('배치점수 계산기'!L$10,$D177,0)</f>
        <v>830.21699999999998</v>
      </c>
      <c r="W177" s="186" t="str">
        <f ca="1">OFFSET('배치점수 계산기'!M$10,$D177,0)</f>
        <v>백분위</v>
      </c>
      <c r="X177" s="184" t="str">
        <f ca="1">OFFSET('배치점수 계산기'!N$10,$D177,0)</f>
        <v>백분위</v>
      </c>
      <c r="Y177" s="188">
        <f ca="1">OFFSET(환산공식!FW$15,$F177,0)</f>
        <v>0.24</v>
      </c>
      <c r="Z177" s="20">
        <f ca="1">OFFSET(환산공식!FX$15,$F177,0)</f>
        <v>0.41</v>
      </c>
      <c r="AA177" s="179">
        <f ca="1">OFFSET(환산공식!FY$15,$F177,0)</f>
        <v>0.35</v>
      </c>
      <c r="AB177" s="3"/>
      <c r="AD177">
        <f t="shared" ca="1" si="5"/>
        <v>6</v>
      </c>
      <c r="AF177" s="3"/>
      <c r="AG177" s="3"/>
      <c r="AH177" s="3"/>
    </row>
    <row r="178" spans="1:34">
      <c r="A178" s="198"/>
      <c r="B178" s="198"/>
      <c r="C178" s="198" t="s">
        <v>2499</v>
      </c>
      <c r="D178" s="235">
        <v>2069</v>
      </c>
      <c r="E178" s="195">
        <v>91</v>
      </c>
      <c r="F178" s="195">
        <v>91</v>
      </c>
      <c r="G178" s="239">
        <v>171</v>
      </c>
      <c r="H178" s="197" t="s">
        <v>81</v>
      </c>
      <c r="I178" s="242" t="s">
        <v>422</v>
      </c>
      <c r="J178" s="242" t="s">
        <v>16730</v>
      </c>
      <c r="K178" s="195" t="s">
        <v>70</v>
      </c>
      <c r="L178" s="20" t="str">
        <f ca="1">IF(OFFSET(환산공식!$ED$15,$F178,0)=1,"O","X")</f>
        <v>X</v>
      </c>
      <c r="M178" s="188">
        <f ca="1">IFERROR(OFFSET(환산공식!DJ$15,$F178,0),"")</f>
        <v>150</v>
      </c>
      <c r="N178" s="20" t="str">
        <f ca="1">IFERROR(CONCATENATE(ROUND(OFFSET(환산공식!DK$15,$F178,0),1),"%"),"")</f>
        <v>100%</v>
      </c>
      <c r="O178" s="20">
        <f ca="1">IFERROR(OFFSET(환산공식!DL$15,$F178,0),"")</f>
        <v>5</v>
      </c>
      <c r="P178" s="188" t="str">
        <f t="shared" ca="1" si="4"/>
        <v>3% 이하</v>
      </c>
      <c r="Q178" s="194">
        <f ca="1">IFERROR(ROUND(OFFSET(환산공식!$FG$15,$F178,0),3),"")</f>
        <v>0</v>
      </c>
      <c r="R178" s="194">
        <f ca="1">OFFSET('배치점수 계산기'!H$10,$D178,0)</f>
        <v>858.65800000000002</v>
      </c>
      <c r="S178" s="194">
        <f ca="1">OFFSET('배치점수 계산기'!I$10,$D178,0)</f>
        <v>851.87400000000002</v>
      </c>
      <c r="T178" s="194">
        <f ca="1">OFFSET('배치점수 계산기'!J$10,$D178,0)</f>
        <v>846.67700000000002</v>
      </c>
      <c r="U178" s="194">
        <f ca="1">OFFSET('배치점수 계산기'!K$10,$D178,0)</f>
        <v>837.14700000000005</v>
      </c>
      <c r="V178" s="194">
        <f ca="1">OFFSET('배치점수 계산기'!L$10,$D178,0)</f>
        <v>827.18799999999999</v>
      </c>
      <c r="W178" s="186" t="str">
        <f ca="1">OFFSET('배치점수 계산기'!M$10,$D178,0)</f>
        <v>백분위</v>
      </c>
      <c r="X178" s="184" t="str">
        <f ca="1">OFFSET('배치점수 계산기'!N$10,$D178,0)</f>
        <v>백분위</v>
      </c>
      <c r="Y178" s="188">
        <f ca="1">OFFSET(환산공식!FW$15,$F178,0)</f>
        <v>0.24</v>
      </c>
      <c r="Z178" s="20">
        <f ca="1">OFFSET(환산공식!FX$15,$F178,0)</f>
        <v>0.41</v>
      </c>
      <c r="AA178" s="179">
        <f ca="1">OFFSET(환산공식!FY$15,$F178,0)</f>
        <v>0.35</v>
      </c>
      <c r="AB178" s="3"/>
      <c r="AD178">
        <f t="shared" ca="1" si="5"/>
        <v>6</v>
      </c>
      <c r="AF178" s="3"/>
      <c r="AG178" s="3"/>
      <c r="AH178" s="3"/>
    </row>
    <row r="179" spans="1:34">
      <c r="A179" s="198"/>
      <c r="B179" s="198"/>
      <c r="C179" s="198" t="s">
        <v>2500</v>
      </c>
      <c r="D179" s="235">
        <v>2070</v>
      </c>
      <c r="E179" s="195">
        <v>94</v>
      </c>
      <c r="F179" s="195">
        <v>94</v>
      </c>
      <c r="G179" s="239">
        <v>172</v>
      </c>
      <c r="H179" s="197" t="s">
        <v>81</v>
      </c>
      <c r="I179" s="242" t="s">
        <v>422</v>
      </c>
      <c r="J179" s="242" t="s">
        <v>489</v>
      </c>
      <c r="K179" s="195" t="s">
        <v>71</v>
      </c>
      <c r="L179" s="20" t="str">
        <f ca="1">IF(OFFSET(환산공식!$ED$15,$F179,0)=1,"O","X")</f>
        <v>X</v>
      </c>
      <c r="M179" s="188">
        <f ca="1">IFERROR(OFFSET(환산공식!DJ$15,$F179,0),"")</f>
        <v>200</v>
      </c>
      <c r="N179" s="20" t="str">
        <f ca="1">IFERROR(CONCATENATE(ROUND(OFFSET(환산공식!DK$15,$F179,0),1),"%"),"")</f>
        <v>100%</v>
      </c>
      <c r="O179" s="20">
        <f ca="1">IFERROR(OFFSET(환산공식!DL$15,$F179,0),"")</f>
        <v>5</v>
      </c>
      <c r="P179" s="188" t="str">
        <f t="shared" ca="1" si="4"/>
        <v>3% 이하</v>
      </c>
      <c r="Q179" s="194">
        <f ca="1">IFERROR(ROUND(OFFSET(환산공식!$FG$15,$F179,0),3),"")</f>
        <v>0</v>
      </c>
      <c r="R179" s="194">
        <f ca="1">OFFSET('배치점수 계산기'!H$10,$D179,0)</f>
        <v>867.15499999999997</v>
      </c>
      <c r="S179" s="194">
        <f ca="1">OFFSET('배치점수 계산기'!I$10,$D179,0)</f>
        <v>863.31</v>
      </c>
      <c r="T179" s="194">
        <f ca="1">OFFSET('배치점수 계산기'!J$10,$D179,0)</f>
        <v>856.72500000000002</v>
      </c>
      <c r="U179" s="194">
        <f ca="1">OFFSET('배치점수 계산기'!K$10,$D179,0)</f>
        <v>850.88</v>
      </c>
      <c r="V179" s="194">
        <f ca="1">OFFSET('배치점수 계산기'!L$10,$D179,0)</f>
        <v>842.29499999999996</v>
      </c>
      <c r="W179" s="186" t="str">
        <f ca="1">OFFSET('배치점수 계산기'!M$10,$D179,0)</f>
        <v>백분위</v>
      </c>
      <c r="X179" s="184" t="str">
        <f ca="1">OFFSET('배치점수 계산기'!N$10,$D179,0)</f>
        <v>백분위</v>
      </c>
      <c r="Y179" s="188">
        <f ca="1">OFFSET(환산공식!FW$15,$F179,0)</f>
        <v>0.31</v>
      </c>
      <c r="Z179" s="20">
        <f ca="1">OFFSET(환산공식!FX$15,$F179,0)</f>
        <v>0.44</v>
      </c>
      <c r="AA179" s="179">
        <f ca="1">OFFSET(환산공식!FY$15,$F179,0)</f>
        <v>0.25</v>
      </c>
      <c r="AB179" s="3"/>
      <c r="AD179">
        <f t="shared" ca="1" si="5"/>
        <v>6</v>
      </c>
      <c r="AF179" s="3"/>
      <c r="AG179" s="3"/>
      <c r="AH179" s="3"/>
    </row>
    <row r="180" spans="1:34">
      <c r="A180" s="198"/>
      <c r="B180" s="198"/>
      <c r="C180" s="198" t="s">
        <v>2501</v>
      </c>
      <c r="D180" s="235">
        <v>2071</v>
      </c>
      <c r="E180" s="195">
        <v>95</v>
      </c>
      <c r="F180" s="195">
        <v>95</v>
      </c>
      <c r="G180" s="239">
        <v>173</v>
      </c>
      <c r="H180" s="197" t="s">
        <v>81</v>
      </c>
      <c r="I180" s="242" t="s">
        <v>422</v>
      </c>
      <c r="J180" s="242" t="s">
        <v>11250</v>
      </c>
      <c r="K180" s="195" t="s">
        <v>71</v>
      </c>
      <c r="L180" s="20" t="str">
        <f ca="1">IF(OFFSET(환산공식!$ED$15,$F180,0)=1,"O","X")</f>
        <v>X</v>
      </c>
      <c r="M180" s="188">
        <f ca="1">IFERROR(OFFSET(환산공식!DJ$15,$F180,0),"")</f>
        <v>200</v>
      </c>
      <c r="N180" s="20" t="str">
        <f ca="1">IFERROR(CONCATENATE(ROUND(OFFSET(환산공식!DK$15,$F180,0),1),"%"),"")</f>
        <v>100%</v>
      </c>
      <c r="O180" s="20">
        <f ca="1">IFERROR(OFFSET(환산공식!DL$15,$F180,0),"")</f>
        <v>5</v>
      </c>
      <c r="P180" s="188" t="str">
        <f t="shared" ca="1" si="4"/>
        <v>3% 이하</v>
      </c>
      <c r="Q180" s="194">
        <f ca="1">IFERROR(ROUND(OFFSET(환산공식!$FG$15,$F180,0),3),"")</f>
        <v>0</v>
      </c>
      <c r="R180" s="194">
        <f ca="1">OFFSET('배치점수 계산기'!H$10,$D180,0)</f>
        <v>863.84</v>
      </c>
      <c r="S180" s="194">
        <f ca="1">OFFSET('배치점수 계산기'!I$10,$D180,0)</f>
        <v>858.8</v>
      </c>
      <c r="T180" s="194">
        <f ca="1">OFFSET('배치점수 계산기'!J$10,$D180,0)</f>
        <v>850.94</v>
      </c>
      <c r="U180" s="194">
        <f ca="1">OFFSET('배치점수 계산기'!K$10,$D180,0)</f>
        <v>845.87</v>
      </c>
      <c r="V180" s="194">
        <f ca="1">OFFSET('배치점수 계산기'!L$10,$D180,0)</f>
        <v>835.51</v>
      </c>
      <c r="W180" s="186" t="str">
        <f ca="1">OFFSET('배치점수 계산기'!M$10,$D180,0)</f>
        <v>백분위</v>
      </c>
      <c r="X180" s="184" t="str">
        <f ca="1">OFFSET('배치점수 계산기'!N$10,$D180,0)</f>
        <v>백분위</v>
      </c>
      <c r="Y180" s="188">
        <f ca="1">OFFSET(환산공식!FW$15,$F180,0)</f>
        <v>0.38</v>
      </c>
      <c r="Z180" s="20">
        <f ca="1">OFFSET(환산공식!FX$15,$F180,0)</f>
        <v>0.38</v>
      </c>
      <c r="AA180" s="179">
        <f ca="1">OFFSET(환산공식!FY$15,$F180,0)</f>
        <v>0.25</v>
      </c>
      <c r="AB180" s="3"/>
      <c r="AD180">
        <f t="shared" ca="1" si="5"/>
        <v>6</v>
      </c>
      <c r="AF180" s="3"/>
      <c r="AG180" s="3"/>
      <c r="AH180" s="3"/>
    </row>
    <row r="181" spans="1:34">
      <c r="A181" s="198"/>
      <c r="B181" s="198"/>
      <c r="C181" s="198" t="s">
        <v>2502</v>
      </c>
      <c r="D181" s="235">
        <v>2072</v>
      </c>
      <c r="E181" s="195">
        <v>93</v>
      </c>
      <c r="F181" s="195">
        <v>93</v>
      </c>
      <c r="G181" s="239">
        <v>174</v>
      </c>
      <c r="H181" s="197" t="s">
        <v>81</v>
      </c>
      <c r="I181" s="242" t="s">
        <v>422</v>
      </c>
      <c r="J181" s="242" t="s">
        <v>8863</v>
      </c>
      <c r="K181" s="195" t="s">
        <v>71</v>
      </c>
      <c r="L181" s="20" t="str">
        <f ca="1">IF(OFFSET(환산공식!$ED$15,$F181,0)=1,"O","X")</f>
        <v>X</v>
      </c>
      <c r="M181" s="188">
        <f ca="1">IFERROR(OFFSET(환산공식!DJ$15,$F181,0),"")</f>
        <v>200</v>
      </c>
      <c r="N181" s="20" t="str">
        <f ca="1">IFERROR(CONCATENATE(ROUND(OFFSET(환산공식!DK$15,$F181,0),1),"%"),"")</f>
        <v>100%</v>
      </c>
      <c r="O181" s="20">
        <f ca="1">IFERROR(OFFSET(환산공식!DL$15,$F181,0),"")</f>
        <v>5</v>
      </c>
      <c r="P181" s="188" t="str">
        <f t="shared" ca="1" si="4"/>
        <v>3% 이하</v>
      </c>
      <c r="Q181" s="194">
        <f ca="1">IFERROR(ROUND(OFFSET(환산공식!$FG$15,$F181,0),3),"")</f>
        <v>0</v>
      </c>
      <c r="R181" s="194">
        <f ca="1">OFFSET('배치점수 계산기'!H$10,$D181,0)</f>
        <v>866.27</v>
      </c>
      <c r="S181" s="194">
        <f ca="1">OFFSET('배치점수 계산기'!I$10,$D181,0)</f>
        <v>861.15499999999997</v>
      </c>
      <c r="T181" s="194">
        <f ca="1">OFFSET('배치점수 계산기'!J$10,$D181,0)</f>
        <v>853.59</v>
      </c>
      <c r="U181" s="194">
        <f ca="1">OFFSET('배치점수 계산기'!K$10,$D181,0)</f>
        <v>847.7</v>
      </c>
      <c r="V181" s="194">
        <f ca="1">OFFSET('배치점수 계산기'!L$10,$D181,0)</f>
        <v>838.73500000000001</v>
      </c>
      <c r="W181" s="186" t="str">
        <f ca="1">OFFSET('배치점수 계산기'!M$10,$D181,0)</f>
        <v>백분위</v>
      </c>
      <c r="X181" s="184" t="str">
        <f ca="1">OFFSET('배치점수 계산기'!N$10,$D181,0)</f>
        <v>백분위</v>
      </c>
      <c r="Y181" s="188">
        <f ca="1">OFFSET(환산공식!FW$15,$F181,0)</f>
        <v>0.44</v>
      </c>
      <c r="Z181" s="20">
        <f ca="1">OFFSET(환산공식!FX$15,$F181,0)</f>
        <v>0.31</v>
      </c>
      <c r="AA181" s="179">
        <f ca="1">OFFSET(환산공식!FY$15,$F181,0)</f>
        <v>0.25</v>
      </c>
      <c r="AB181" s="3"/>
      <c r="AD181">
        <f t="shared" ca="1" si="5"/>
        <v>6</v>
      </c>
      <c r="AF181" s="3"/>
      <c r="AG181" s="3"/>
      <c r="AH181" s="3"/>
    </row>
    <row r="182" spans="1:34">
      <c r="A182" s="198"/>
      <c r="B182" s="198"/>
      <c r="C182" s="198" t="s">
        <v>2503</v>
      </c>
      <c r="D182" s="235">
        <v>2073</v>
      </c>
      <c r="E182" s="195">
        <v>93</v>
      </c>
      <c r="F182" s="195">
        <v>93</v>
      </c>
      <c r="G182" s="239">
        <v>175</v>
      </c>
      <c r="H182" s="197" t="s">
        <v>81</v>
      </c>
      <c r="I182" s="242" t="s">
        <v>422</v>
      </c>
      <c r="J182" s="242" t="s">
        <v>8883</v>
      </c>
      <c r="K182" s="195" t="s">
        <v>71</v>
      </c>
      <c r="L182" s="20" t="str">
        <f ca="1">IF(OFFSET(환산공식!$ED$15,$F182,0)=1,"O","X")</f>
        <v>X</v>
      </c>
      <c r="M182" s="188">
        <f ca="1">IFERROR(OFFSET(환산공식!DJ$15,$F182,0),"")</f>
        <v>200</v>
      </c>
      <c r="N182" s="20" t="str">
        <f ca="1">IFERROR(CONCATENATE(ROUND(OFFSET(환산공식!DK$15,$F182,0),1),"%"),"")</f>
        <v>100%</v>
      </c>
      <c r="O182" s="20">
        <f ca="1">IFERROR(OFFSET(환산공식!DL$15,$F182,0),"")</f>
        <v>5</v>
      </c>
      <c r="P182" s="188" t="str">
        <f t="shared" ca="1" si="4"/>
        <v>3% 이하</v>
      </c>
      <c r="Q182" s="194">
        <f ca="1">IFERROR(ROUND(OFFSET(환산공식!$FG$15,$F182,0),3),"")</f>
        <v>0</v>
      </c>
      <c r="R182" s="194">
        <f ca="1">OFFSET('배치점수 계산기'!H$10,$D182,0)</f>
        <v>865.79499999999996</v>
      </c>
      <c r="S182" s="194">
        <f ca="1">OFFSET('배치점수 계산기'!I$10,$D182,0)</f>
        <v>861.15499999999997</v>
      </c>
      <c r="T182" s="194">
        <f ca="1">OFFSET('배치점수 계산기'!J$10,$D182,0)</f>
        <v>853.29</v>
      </c>
      <c r="U182" s="194">
        <f ca="1">OFFSET('배치점수 계산기'!K$10,$D182,0)</f>
        <v>847.57500000000005</v>
      </c>
      <c r="V182" s="194">
        <f ca="1">OFFSET('배치점수 계산기'!L$10,$D182,0)</f>
        <v>838.73500000000001</v>
      </c>
      <c r="W182" s="186" t="str">
        <f ca="1">OFFSET('배치점수 계산기'!M$10,$D182,0)</f>
        <v>백분위</v>
      </c>
      <c r="X182" s="184" t="str">
        <f ca="1">OFFSET('배치점수 계산기'!N$10,$D182,0)</f>
        <v>백분위</v>
      </c>
      <c r="Y182" s="188">
        <f ca="1">OFFSET(환산공식!FW$15,$F182,0)</f>
        <v>0.44</v>
      </c>
      <c r="Z182" s="20">
        <f ca="1">OFFSET(환산공식!FX$15,$F182,0)</f>
        <v>0.31</v>
      </c>
      <c r="AA182" s="179">
        <f ca="1">OFFSET(환산공식!FY$15,$F182,0)</f>
        <v>0.25</v>
      </c>
      <c r="AB182" s="3"/>
      <c r="AD182">
        <f t="shared" ca="1" si="5"/>
        <v>6</v>
      </c>
      <c r="AF182" s="3"/>
      <c r="AG182" s="3"/>
      <c r="AH182" s="3"/>
    </row>
    <row r="183" spans="1:34">
      <c r="A183" s="198"/>
      <c r="B183" s="198"/>
      <c r="C183" s="198" t="s">
        <v>2504</v>
      </c>
      <c r="D183" s="235">
        <v>2074</v>
      </c>
      <c r="E183" s="195">
        <v>95</v>
      </c>
      <c r="F183" s="195">
        <v>95</v>
      </c>
      <c r="G183" s="239">
        <v>176</v>
      </c>
      <c r="H183" s="197" t="s">
        <v>81</v>
      </c>
      <c r="I183" s="242" t="s">
        <v>422</v>
      </c>
      <c r="J183" s="242" t="s">
        <v>11298</v>
      </c>
      <c r="K183" s="195" t="s">
        <v>71</v>
      </c>
      <c r="L183" s="20" t="str">
        <f ca="1">IF(OFFSET(환산공식!$ED$15,$F183,0)=1,"O","X")</f>
        <v>X</v>
      </c>
      <c r="M183" s="188">
        <f ca="1">IFERROR(OFFSET(환산공식!DJ$15,$F183,0),"")</f>
        <v>200</v>
      </c>
      <c r="N183" s="20" t="str">
        <f ca="1">IFERROR(CONCATENATE(ROUND(OFFSET(환산공식!DK$15,$F183,0),1),"%"),"")</f>
        <v>100%</v>
      </c>
      <c r="O183" s="20">
        <f ca="1">IFERROR(OFFSET(환산공식!DL$15,$F183,0),"")</f>
        <v>5</v>
      </c>
      <c r="P183" s="188" t="str">
        <f t="shared" ca="1" si="4"/>
        <v>3% 이하</v>
      </c>
      <c r="Q183" s="194">
        <f ca="1">IFERROR(ROUND(OFFSET(환산공식!$FG$15,$F183,0),3),"")</f>
        <v>0</v>
      </c>
      <c r="R183" s="194">
        <f ca="1">OFFSET('배치점수 계산기'!H$10,$D183,0)</f>
        <v>862.82</v>
      </c>
      <c r="S183" s="194">
        <f ca="1">OFFSET('배치점수 계산기'!I$10,$D183,0)</f>
        <v>857.63</v>
      </c>
      <c r="T183" s="194">
        <f ca="1">OFFSET('배치점수 계산기'!J$10,$D183,0)</f>
        <v>849.74</v>
      </c>
      <c r="U183" s="194">
        <f ca="1">OFFSET('배치점수 계산기'!K$10,$D183,0)</f>
        <v>843.95</v>
      </c>
      <c r="V183" s="194">
        <f ca="1">OFFSET('배치점수 계산기'!L$10,$D183,0)</f>
        <v>834.04</v>
      </c>
      <c r="W183" s="186" t="str">
        <f ca="1">OFFSET('배치점수 계산기'!M$10,$D183,0)</f>
        <v>백분위</v>
      </c>
      <c r="X183" s="184" t="str">
        <f ca="1">OFFSET('배치점수 계산기'!N$10,$D183,0)</f>
        <v>백분위</v>
      </c>
      <c r="Y183" s="188">
        <f ca="1">OFFSET(환산공식!FW$15,$F183,0)</f>
        <v>0.38</v>
      </c>
      <c r="Z183" s="20">
        <f ca="1">OFFSET(환산공식!FX$15,$F183,0)</f>
        <v>0.38</v>
      </c>
      <c r="AA183" s="179">
        <f ca="1">OFFSET(환산공식!FY$15,$F183,0)</f>
        <v>0.25</v>
      </c>
      <c r="AB183" s="3"/>
      <c r="AD183">
        <f t="shared" ca="1" si="5"/>
        <v>6</v>
      </c>
      <c r="AF183" s="3"/>
      <c r="AG183" s="3"/>
      <c r="AH183" s="3"/>
    </row>
    <row r="184" spans="1:34">
      <c r="A184" s="198"/>
      <c r="B184" s="198"/>
      <c r="C184" s="198" t="s">
        <v>2505</v>
      </c>
      <c r="D184" s="235">
        <v>2075</v>
      </c>
      <c r="E184" s="195">
        <v>93</v>
      </c>
      <c r="F184" s="195">
        <v>93</v>
      </c>
      <c r="G184" s="239">
        <v>177</v>
      </c>
      <c r="H184" s="197" t="s">
        <v>81</v>
      </c>
      <c r="I184" s="242" t="s">
        <v>422</v>
      </c>
      <c r="J184" s="242" t="s">
        <v>8974</v>
      </c>
      <c r="K184" s="195" t="s">
        <v>71</v>
      </c>
      <c r="L184" s="20" t="str">
        <f ca="1">IF(OFFSET(환산공식!$ED$15,$F184,0)=1,"O","X")</f>
        <v>X</v>
      </c>
      <c r="M184" s="188">
        <f ca="1">IFERROR(OFFSET(환산공식!DJ$15,$F184,0),"")</f>
        <v>200</v>
      </c>
      <c r="N184" s="20" t="str">
        <f ca="1">IFERROR(CONCATENATE(ROUND(OFFSET(환산공식!DK$15,$F184,0),1),"%"),"")</f>
        <v>100%</v>
      </c>
      <c r="O184" s="20">
        <f ca="1">IFERROR(OFFSET(환산공식!DL$15,$F184,0),"")</f>
        <v>5</v>
      </c>
      <c r="P184" s="188" t="str">
        <f t="shared" ca="1" si="4"/>
        <v>3% 이하</v>
      </c>
      <c r="Q184" s="194">
        <f ca="1">IFERROR(ROUND(OFFSET(환산공식!$FG$15,$F184,0),3),"")</f>
        <v>0</v>
      </c>
      <c r="R184" s="194">
        <f ca="1">OFFSET('배치점수 계산기'!H$10,$D184,0)</f>
        <v>861.77499999999998</v>
      </c>
      <c r="S184" s="194">
        <f ca="1">OFFSET('배치점수 계산기'!I$10,$D184,0)</f>
        <v>856.88499999999999</v>
      </c>
      <c r="T184" s="194">
        <f ca="1">OFFSET('배치점수 계산기'!J$10,$D184,0)</f>
        <v>849.44500000000005</v>
      </c>
      <c r="U184" s="194">
        <f ca="1">OFFSET('배치점수 계산기'!K$10,$D184,0)</f>
        <v>843.33</v>
      </c>
      <c r="V184" s="194">
        <f ca="1">OFFSET('배치점수 계산기'!L$10,$D184,0)</f>
        <v>834.46500000000003</v>
      </c>
      <c r="W184" s="186" t="str">
        <f ca="1">OFFSET('배치점수 계산기'!M$10,$D184,0)</f>
        <v>백분위</v>
      </c>
      <c r="X184" s="184" t="str">
        <f ca="1">OFFSET('배치점수 계산기'!N$10,$D184,0)</f>
        <v>백분위</v>
      </c>
      <c r="Y184" s="188">
        <f ca="1">OFFSET(환산공식!FW$15,$F184,0)</f>
        <v>0.44</v>
      </c>
      <c r="Z184" s="20">
        <f ca="1">OFFSET(환산공식!FX$15,$F184,0)</f>
        <v>0.31</v>
      </c>
      <c r="AA184" s="179">
        <f ca="1">OFFSET(환산공식!FY$15,$F184,0)</f>
        <v>0.25</v>
      </c>
      <c r="AB184" s="3"/>
      <c r="AD184">
        <f t="shared" ca="1" si="5"/>
        <v>6</v>
      </c>
      <c r="AF184" s="3"/>
      <c r="AG184" s="3"/>
      <c r="AH184" s="3"/>
    </row>
    <row r="185" spans="1:34">
      <c r="A185" s="198"/>
      <c r="B185" s="198"/>
      <c r="C185" s="198" t="s">
        <v>2506</v>
      </c>
      <c r="D185" s="235">
        <v>2076</v>
      </c>
      <c r="E185" s="195">
        <v>93</v>
      </c>
      <c r="F185" s="195">
        <v>93</v>
      </c>
      <c r="G185" s="239">
        <v>178</v>
      </c>
      <c r="H185" s="197" t="s">
        <v>81</v>
      </c>
      <c r="I185" s="242" t="s">
        <v>422</v>
      </c>
      <c r="J185" s="242" t="s">
        <v>9657</v>
      </c>
      <c r="K185" s="195" t="s">
        <v>71</v>
      </c>
      <c r="L185" s="20" t="str">
        <f ca="1">IF(OFFSET(환산공식!$ED$15,$F185,0)=1,"O","X")</f>
        <v>X</v>
      </c>
      <c r="M185" s="188">
        <f ca="1">IFERROR(OFFSET(환산공식!DJ$15,$F185,0),"")</f>
        <v>200</v>
      </c>
      <c r="N185" s="20" t="str">
        <f ca="1">IFERROR(CONCATENATE(ROUND(OFFSET(환산공식!DK$15,$F185,0),1),"%"),"")</f>
        <v>100%</v>
      </c>
      <c r="O185" s="20">
        <f ca="1">IFERROR(OFFSET(환산공식!DL$15,$F185,0),"")</f>
        <v>5</v>
      </c>
      <c r="P185" s="188" t="str">
        <f t="shared" ca="1" si="4"/>
        <v>3% 이하</v>
      </c>
      <c r="Q185" s="194">
        <f ca="1">IFERROR(ROUND(OFFSET(환산공식!$FG$15,$F185,0),3),"")</f>
        <v>0</v>
      </c>
      <c r="R185" s="194">
        <f ca="1">OFFSET('배치점수 계산기'!H$10,$D185,0)</f>
        <v>858.80499999999995</v>
      </c>
      <c r="S185" s="194">
        <f ca="1">OFFSET('배치점수 계산기'!I$10,$D185,0)</f>
        <v>853.59</v>
      </c>
      <c r="T185" s="194">
        <f ca="1">OFFSET('배치점수 계산기'!J$10,$D185,0)</f>
        <v>845.3</v>
      </c>
      <c r="U185" s="194">
        <f ca="1">OFFSET('배치점수 계산기'!K$10,$D185,0)</f>
        <v>839.88499999999999</v>
      </c>
      <c r="V185" s="194">
        <f ca="1">OFFSET('배치점수 계산기'!L$10,$D185,0)</f>
        <v>831.995</v>
      </c>
      <c r="W185" s="186" t="str">
        <f ca="1">OFFSET('배치점수 계산기'!M$10,$D185,0)</f>
        <v>백분위</v>
      </c>
      <c r="X185" s="184" t="str">
        <f ca="1">OFFSET('배치점수 계산기'!N$10,$D185,0)</f>
        <v>백분위</v>
      </c>
      <c r="Y185" s="188">
        <f ca="1">OFFSET(환산공식!FW$15,$F185,0)</f>
        <v>0.44</v>
      </c>
      <c r="Z185" s="20">
        <f ca="1">OFFSET(환산공식!FX$15,$F185,0)</f>
        <v>0.31</v>
      </c>
      <c r="AA185" s="179">
        <f ca="1">OFFSET(환산공식!FY$15,$F185,0)</f>
        <v>0.25</v>
      </c>
      <c r="AB185" s="3"/>
      <c r="AD185">
        <f t="shared" ca="1" si="5"/>
        <v>6</v>
      </c>
      <c r="AF185" s="3"/>
      <c r="AG185" s="3"/>
      <c r="AH185" s="3"/>
    </row>
    <row r="186" spans="1:34">
      <c r="A186" s="198"/>
      <c r="B186" s="198"/>
      <c r="C186" s="198" t="s">
        <v>2507</v>
      </c>
      <c r="D186" s="235">
        <v>2077</v>
      </c>
      <c r="E186" s="195">
        <v>99</v>
      </c>
      <c r="F186" s="195">
        <v>99</v>
      </c>
      <c r="G186" s="239">
        <v>179</v>
      </c>
      <c r="H186" s="197" t="s">
        <v>81</v>
      </c>
      <c r="I186" s="242" t="s">
        <v>423</v>
      </c>
      <c r="J186" s="242" t="s">
        <v>11513</v>
      </c>
      <c r="K186" s="195" t="s">
        <v>70</v>
      </c>
      <c r="L186" s="20" t="str">
        <f ca="1">IF(OFFSET(환산공식!$ED$15,$F186,0)=1,"O","X")</f>
        <v>X</v>
      </c>
      <c r="M186" s="188">
        <f ca="1">IFERROR(OFFSET(환산공식!DJ$15,$F186,0),"")</f>
        <v>200</v>
      </c>
      <c r="N186" s="20" t="str">
        <f ca="1">IFERROR(CONCATENATE(ROUND(OFFSET(환산공식!DK$15,$F186,0),1),"%"),"")</f>
        <v>100%</v>
      </c>
      <c r="O186" s="20">
        <f ca="1">IFERROR(OFFSET(환산공식!DL$15,$F186,0),"")</f>
        <v>10</v>
      </c>
      <c r="P186" s="188" t="str">
        <f t="shared" ca="1" si="4"/>
        <v>3% 이하</v>
      </c>
      <c r="Q186" s="194">
        <f ca="1">IFERROR(ROUND(OFFSET(환산공식!$FG$15,$F186,0),3),"")</f>
        <v>0</v>
      </c>
      <c r="R186" s="194">
        <f ca="1">OFFSET('배치점수 계산기'!H$10,$D186,0)</f>
        <v>687.57</v>
      </c>
      <c r="S186" s="194">
        <f ca="1">OFFSET('배치점수 계산기'!I$10,$D186,0)</f>
        <v>686.63499999999999</v>
      </c>
      <c r="T186" s="194">
        <f ca="1">OFFSET('배치점수 계산기'!J$10,$D186,0)</f>
        <v>684.84100000000001</v>
      </c>
      <c r="U186" s="194">
        <f ca="1">OFFSET('배치점수 계산기'!K$10,$D186,0)</f>
        <v>681.86500000000001</v>
      </c>
      <c r="V186" s="194">
        <f ca="1">OFFSET('배치점수 계산기'!L$10,$D186,0)</f>
        <v>679.21100000000001</v>
      </c>
      <c r="W186" s="186" t="str">
        <f ca="1">OFFSET('배치점수 계산기'!M$10,$D186,0)</f>
        <v>표점</v>
      </c>
      <c r="X186" s="184" t="str">
        <f ca="1">OFFSET('배치점수 계산기'!N$10,$D186,0)</f>
        <v>변표</v>
      </c>
      <c r="Y186" s="188">
        <f ca="1">OFFSET(환산공식!FW$15,$F186,0)</f>
        <v>0.25</v>
      </c>
      <c r="Z186" s="20">
        <f ca="1">OFFSET(환산공식!FX$15,$F186,0)</f>
        <v>0.44</v>
      </c>
      <c r="AA186" s="179">
        <f ca="1">OFFSET(환산공식!FY$15,$F186,0)</f>
        <v>0.31</v>
      </c>
      <c r="AB186" s="3"/>
      <c r="AD186">
        <f t="shared" ca="1" si="5"/>
        <v>6</v>
      </c>
      <c r="AF186" s="3"/>
      <c r="AG186" s="3"/>
      <c r="AH186" s="3"/>
    </row>
    <row r="187" spans="1:34">
      <c r="A187" s="198"/>
      <c r="B187" s="198"/>
      <c r="C187" s="198" t="s">
        <v>2508</v>
      </c>
      <c r="D187" s="235">
        <v>2078</v>
      </c>
      <c r="E187" s="195">
        <v>96</v>
      </c>
      <c r="F187" s="195">
        <v>96</v>
      </c>
      <c r="G187" s="239">
        <v>180</v>
      </c>
      <c r="H187" s="197" t="s">
        <v>81</v>
      </c>
      <c r="I187" s="242" t="s">
        <v>423</v>
      </c>
      <c r="J187" s="242" t="s">
        <v>11831</v>
      </c>
      <c r="K187" s="195" t="s">
        <v>70</v>
      </c>
      <c r="L187" s="20" t="str">
        <f ca="1">IF(OFFSET(환산공식!$ED$15,$F187,0)=1,"O","X")</f>
        <v>X</v>
      </c>
      <c r="M187" s="188">
        <f ca="1">IFERROR(OFFSET(환산공식!DJ$15,$F187,0),"")</f>
        <v>200</v>
      </c>
      <c r="N187" s="20" t="str">
        <f ca="1">IFERROR(CONCATENATE(ROUND(OFFSET(환산공식!DK$15,$F187,0),1),"%"),"")</f>
        <v>100%</v>
      </c>
      <c r="O187" s="20">
        <f ca="1">IFERROR(OFFSET(환산공식!DL$15,$F187,0),"")</f>
        <v>10</v>
      </c>
      <c r="P187" s="188" t="str">
        <f t="shared" ca="1" si="4"/>
        <v>3% 이하</v>
      </c>
      <c r="Q187" s="194">
        <f ca="1">IFERROR(ROUND(OFFSET(환산공식!$FG$15,$F187,0),3),"")</f>
        <v>0</v>
      </c>
      <c r="R187" s="194">
        <f ca="1">OFFSET('배치점수 계산기'!H$10,$D187,0)</f>
        <v>697.18200000000002</v>
      </c>
      <c r="S187" s="194">
        <f ca="1">OFFSET('배치점수 계산기'!I$10,$D187,0)</f>
        <v>695.25</v>
      </c>
      <c r="T187" s="194">
        <f ca="1">OFFSET('배치점수 계산기'!J$10,$D187,0)</f>
        <v>693.42899999999997</v>
      </c>
      <c r="U187" s="194">
        <f ca="1">OFFSET('배치점수 계산기'!K$10,$D187,0)</f>
        <v>690.78499999999997</v>
      </c>
      <c r="V187" s="194">
        <f ca="1">OFFSET('배치점수 계산기'!L$10,$D187,0)</f>
        <v>687.91200000000003</v>
      </c>
      <c r="W187" s="186" t="str">
        <f ca="1">OFFSET('배치점수 계산기'!M$10,$D187,0)</f>
        <v>표점</v>
      </c>
      <c r="X187" s="184" t="str">
        <f ca="1">OFFSET('배치점수 계산기'!N$10,$D187,0)</f>
        <v>변표</v>
      </c>
      <c r="Y187" s="188">
        <f ca="1">OFFSET(환산공식!FW$15,$F187,0)</f>
        <v>0.25</v>
      </c>
      <c r="Z187" s="20">
        <f ca="1">OFFSET(환산공식!FX$15,$F187,0)</f>
        <v>0.44</v>
      </c>
      <c r="AA187" s="179">
        <f ca="1">OFFSET(환산공식!FY$15,$F187,0)</f>
        <v>0.31</v>
      </c>
      <c r="AB187" s="3"/>
      <c r="AD187">
        <f t="shared" ca="1" si="5"/>
        <v>6</v>
      </c>
      <c r="AF187" s="3"/>
      <c r="AG187" s="3"/>
      <c r="AH187" s="3"/>
    </row>
    <row r="188" spans="1:34">
      <c r="A188" s="198"/>
      <c r="B188" s="198"/>
      <c r="C188" s="198" t="s">
        <v>2509</v>
      </c>
      <c r="D188" s="235">
        <v>2079</v>
      </c>
      <c r="E188" s="195">
        <v>96</v>
      </c>
      <c r="F188" s="195">
        <v>96</v>
      </c>
      <c r="G188" s="239">
        <v>181</v>
      </c>
      <c r="H188" s="197" t="s">
        <v>81</v>
      </c>
      <c r="I188" s="242" t="s">
        <v>423</v>
      </c>
      <c r="J188" s="242" t="s">
        <v>11956</v>
      </c>
      <c r="K188" s="195" t="s">
        <v>70</v>
      </c>
      <c r="L188" s="20" t="str">
        <f ca="1">IF(OFFSET(환산공식!$ED$15,$F188,0)=1,"O","X")</f>
        <v>X</v>
      </c>
      <c r="M188" s="188">
        <f ca="1">IFERROR(OFFSET(환산공식!DJ$15,$F188,0),"")</f>
        <v>200</v>
      </c>
      <c r="N188" s="20" t="str">
        <f ca="1">IFERROR(CONCATENATE(ROUND(OFFSET(환산공식!DK$15,$F188,0),1),"%"),"")</f>
        <v>100%</v>
      </c>
      <c r="O188" s="20">
        <f ca="1">IFERROR(OFFSET(환산공식!DL$15,$F188,0),"")</f>
        <v>10</v>
      </c>
      <c r="P188" s="188" t="str">
        <f t="shared" ca="1" si="4"/>
        <v>3% 이하</v>
      </c>
      <c r="Q188" s="194">
        <f ca="1">IFERROR(ROUND(OFFSET(환산공식!$FG$15,$F188,0),3),"")</f>
        <v>0</v>
      </c>
      <c r="R188" s="194">
        <f ca="1">OFFSET('배치점수 계산기'!H$10,$D188,0)</f>
        <v>695.25</v>
      </c>
      <c r="S188" s="194">
        <f ca="1">OFFSET('배치점수 계산기'!I$10,$D188,0)</f>
        <v>693.42899999999997</v>
      </c>
      <c r="T188" s="194">
        <f ca="1">OFFSET('배치점수 계산기'!J$10,$D188,0)</f>
        <v>691.76700000000005</v>
      </c>
      <c r="U188" s="194">
        <f ca="1">OFFSET('배치점수 계산기'!K$10,$D188,0)</f>
        <v>688.98199999999997</v>
      </c>
      <c r="V188" s="194">
        <f ca="1">OFFSET('배치점수 계산기'!L$10,$D188,0)</f>
        <v>686.23800000000006</v>
      </c>
      <c r="W188" s="186" t="str">
        <f ca="1">OFFSET('배치점수 계산기'!M$10,$D188,0)</f>
        <v>표점</v>
      </c>
      <c r="X188" s="184" t="str">
        <f ca="1">OFFSET('배치점수 계산기'!N$10,$D188,0)</f>
        <v>변표</v>
      </c>
      <c r="Y188" s="188">
        <f ca="1">OFFSET(환산공식!FW$15,$F188,0)</f>
        <v>0.25</v>
      </c>
      <c r="Z188" s="20">
        <f ca="1">OFFSET(환산공식!FX$15,$F188,0)</f>
        <v>0.44</v>
      </c>
      <c r="AA188" s="179">
        <f ca="1">OFFSET(환산공식!FY$15,$F188,0)</f>
        <v>0.31</v>
      </c>
      <c r="AB188" s="3"/>
      <c r="AD188">
        <f t="shared" ca="1" si="5"/>
        <v>6</v>
      </c>
      <c r="AF188" s="3"/>
      <c r="AG188" s="3"/>
      <c r="AH188" s="3"/>
    </row>
    <row r="189" spans="1:34">
      <c r="A189" s="198"/>
      <c r="B189" s="198"/>
      <c r="C189" s="198" t="s">
        <v>2510</v>
      </c>
      <c r="D189" s="235">
        <v>2080</v>
      </c>
      <c r="E189" s="195">
        <v>96</v>
      </c>
      <c r="F189" s="195">
        <v>96</v>
      </c>
      <c r="G189" s="239">
        <v>182</v>
      </c>
      <c r="H189" s="197" t="s">
        <v>81</v>
      </c>
      <c r="I189" s="242" t="s">
        <v>423</v>
      </c>
      <c r="J189" s="242" t="s">
        <v>11987</v>
      </c>
      <c r="K189" s="195" t="s">
        <v>70</v>
      </c>
      <c r="L189" s="20" t="str">
        <f ca="1">IF(OFFSET(환산공식!$ED$15,$F189,0)=1,"O","X")</f>
        <v>X</v>
      </c>
      <c r="M189" s="188">
        <f ca="1">IFERROR(OFFSET(환산공식!DJ$15,$F189,0),"")</f>
        <v>200</v>
      </c>
      <c r="N189" s="20" t="str">
        <f ca="1">IFERROR(CONCATENATE(ROUND(OFFSET(환산공식!DK$15,$F189,0),1),"%"),"")</f>
        <v>100%</v>
      </c>
      <c r="O189" s="20">
        <f ca="1">IFERROR(OFFSET(환산공식!DL$15,$F189,0),"")</f>
        <v>10</v>
      </c>
      <c r="P189" s="188" t="str">
        <f t="shared" ca="1" si="4"/>
        <v>3% 이하</v>
      </c>
      <c r="Q189" s="194">
        <f ca="1">IFERROR(ROUND(OFFSET(환산공식!$FG$15,$F189,0),3),"")</f>
        <v>0</v>
      </c>
      <c r="R189" s="194">
        <f ca="1">OFFSET('배치점수 계산기'!H$10,$D189,0)</f>
        <v>694.65800000000002</v>
      </c>
      <c r="S189" s="194">
        <f ca="1">OFFSET('배치점수 계산기'!I$10,$D189,0)</f>
        <v>692.89700000000005</v>
      </c>
      <c r="T189" s="194">
        <f ca="1">OFFSET('배치점수 계산기'!J$10,$D189,0)</f>
        <v>691.327</v>
      </c>
      <c r="U189" s="194">
        <f ca="1">OFFSET('배치점수 계산기'!K$10,$D189,0)</f>
        <v>688.56700000000001</v>
      </c>
      <c r="V189" s="194">
        <f ca="1">OFFSET('배치점수 계산기'!L$10,$D189,0)</f>
        <v>685.62599999999998</v>
      </c>
      <c r="W189" s="186" t="str">
        <f ca="1">OFFSET('배치점수 계산기'!M$10,$D189,0)</f>
        <v>표점</v>
      </c>
      <c r="X189" s="184" t="str">
        <f ca="1">OFFSET('배치점수 계산기'!N$10,$D189,0)</f>
        <v>변표</v>
      </c>
      <c r="Y189" s="188">
        <f ca="1">OFFSET(환산공식!FW$15,$F189,0)</f>
        <v>0.25</v>
      </c>
      <c r="Z189" s="20">
        <f ca="1">OFFSET(환산공식!FX$15,$F189,0)</f>
        <v>0.44</v>
      </c>
      <c r="AA189" s="179">
        <f ca="1">OFFSET(환산공식!FY$15,$F189,0)</f>
        <v>0.31</v>
      </c>
      <c r="AB189" s="3"/>
      <c r="AD189">
        <f t="shared" ca="1" si="5"/>
        <v>6</v>
      </c>
      <c r="AF189" s="3"/>
      <c r="AG189" s="3"/>
      <c r="AH189" s="3"/>
    </row>
    <row r="190" spans="1:34">
      <c r="A190" s="198"/>
      <c r="B190" s="198"/>
      <c r="C190" s="198" t="s">
        <v>2511</v>
      </c>
      <c r="D190" s="235">
        <v>2081</v>
      </c>
      <c r="E190" s="195">
        <v>96</v>
      </c>
      <c r="F190" s="195">
        <v>96</v>
      </c>
      <c r="G190" s="239">
        <v>183</v>
      </c>
      <c r="H190" s="197" t="s">
        <v>81</v>
      </c>
      <c r="I190" s="242" t="s">
        <v>423</v>
      </c>
      <c r="J190" s="242" t="s">
        <v>12060</v>
      </c>
      <c r="K190" s="195" t="s">
        <v>70</v>
      </c>
      <c r="L190" s="20" t="str">
        <f ca="1">IF(OFFSET(환산공식!$ED$15,$F190,0)=1,"O","X")</f>
        <v>X</v>
      </c>
      <c r="M190" s="188">
        <f ca="1">IFERROR(OFFSET(환산공식!DJ$15,$F190,0),"")</f>
        <v>200</v>
      </c>
      <c r="N190" s="20" t="str">
        <f ca="1">IFERROR(CONCATENATE(ROUND(OFFSET(환산공식!DK$15,$F190,0),1),"%"),"")</f>
        <v>100%</v>
      </c>
      <c r="O190" s="20">
        <f ca="1">IFERROR(OFFSET(환산공식!DL$15,$F190,0),"")</f>
        <v>10</v>
      </c>
      <c r="P190" s="188" t="str">
        <f t="shared" ca="1" si="4"/>
        <v>3% 이하</v>
      </c>
      <c r="Q190" s="194">
        <f ca="1">IFERROR(ROUND(OFFSET(환산공식!$FG$15,$F190,0),3),"")</f>
        <v>0</v>
      </c>
      <c r="R190" s="194">
        <f ca="1">OFFSET('배치점수 계산기'!H$10,$D190,0)</f>
        <v>693.154</v>
      </c>
      <c r="S190" s="194">
        <f ca="1">OFFSET('배치점수 계산기'!I$10,$D190,0)</f>
        <v>692.11</v>
      </c>
      <c r="T190" s="194">
        <f ca="1">OFFSET('배치점수 계산기'!J$10,$D190,0)</f>
        <v>690.36199999999997</v>
      </c>
      <c r="U190" s="194">
        <f ca="1">OFFSET('배치점수 계산기'!K$10,$D190,0)</f>
        <v>687.62199999999996</v>
      </c>
      <c r="V190" s="194">
        <f ca="1">OFFSET('배치점수 계산기'!L$10,$D190,0)</f>
        <v>684.63</v>
      </c>
      <c r="W190" s="186" t="str">
        <f ca="1">OFFSET('배치점수 계산기'!M$10,$D190,0)</f>
        <v>표점</v>
      </c>
      <c r="X190" s="184" t="str">
        <f ca="1">OFFSET('배치점수 계산기'!N$10,$D190,0)</f>
        <v>변표</v>
      </c>
      <c r="Y190" s="188">
        <f ca="1">OFFSET(환산공식!FW$15,$F190,0)</f>
        <v>0.25</v>
      </c>
      <c r="Z190" s="20">
        <f ca="1">OFFSET(환산공식!FX$15,$F190,0)</f>
        <v>0.44</v>
      </c>
      <c r="AA190" s="179">
        <f ca="1">OFFSET(환산공식!FY$15,$F190,0)</f>
        <v>0.31</v>
      </c>
      <c r="AB190" s="3"/>
      <c r="AD190">
        <f t="shared" ca="1" si="5"/>
        <v>6</v>
      </c>
      <c r="AF190" s="3"/>
      <c r="AG190" s="3"/>
      <c r="AH190" s="3"/>
    </row>
    <row r="191" spans="1:34">
      <c r="A191" s="198"/>
      <c r="B191" s="198"/>
      <c r="C191" s="198" t="s">
        <v>2512</v>
      </c>
      <c r="D191" s="235">
        <v>2082</v>
      </c>
      <c r="E191" s="195">
        <v>96</v>
      </c>
      <c r="F191" s="195">
        <v>96</v>
      </c>
      <c r="G191" s="239">
        <v>184</v>
      </c>
      <c r="H191" s="197" t="s">
        <v>81</v>
      </c>
      <c r="I191" s="242" t="s">
        <v>423</v>
      </c>
      <c r="J191" s="242" t="s">
        <v>11596</v>
      </c>
      <c r="K191" s="195" t="s">
        <v>70</v>
      </c>
      <c r="L191" s="20" t="str">
        <f ca="1">IF(OFFSET(환산공식!$ED$15,$F191,0)=1,"O","X")</f>
        <v>X</v>
      </c>
      <c r="M191" s="188">
        <f ca="1">IFERROR(OFFSET(환산공식!DJ$15,$F191,0),"")</f>
        <v>200</v>
      </c>
      <c r="N191" s="20" t="str">
        <f ca="1">IFERROR(CONCATENATE(ROUND(OFFSET(환산공식!DK$15,$F191,0),1),"%"),"")</f>
        <v>100%</v>
      </c>
      <c r="O191" s="20">
        <f ca="1">IFERROR(OFFSET(환산공식!DL$15,$F191,0),"")</f>
        <v>10</v>
      </c>
      <c r="P191" s="188" t="str">
        <f t="shared" ca="1" si="4"/>
        <v>3% 이하</v>
      </c>
      <c r="Q191" s="194">
        <f ca="1">IFERROR(ROUND(OFFSET(환산공식!$FG$15,$F191,0),3),"")</f>
        <v>0</v>
      </c>
      <c r="R191" s="194">
        <f ca="1">OFFSET('배치점수 계산기'!H$10,$D191,0)</f>
        <v>692.89700000000005</v>
      </c>
      <c r="S191" s="194">
        <f ca="1">OFFSET('배치점수 계산기'!I$10,$D191,0)</f>
        <v>691.60699999999997</v>
      </c>
      <c r="T191" s="194">
        <f ca="1">OFFSET('배치점수 계산기'!J$10,$D191,0)</f>
        <v>689.79100000000005</v>
      </c>
      <c r="U191" s="194">
        <f ca="1">OFFSET('배치점수 계산기'!K$10,$D191,0)</f>
        <v>686.96699999999998</v>
      </c>
      <c r="V191" s="194">
        <f ca="1">OFFSET('배치점수 계산기'!L$10,$D191,0)</f>
        <v>684.21199999999999</v>
      </c>
      <c r="W191" s="186" t="str">
        <f ca="1">OFFSET('배치점수 계산기'!M$10,$D191,0)</f>
        <v>표점</v>
      </c>
      <c r="X191" s="184" t="str">
        <f ca="1">OFFSET('배치점수 계산기'!N$10,$D191,0)</f>
        <v>변표</v>
      </c>
      <c r="Y191" s="188">
        <f ca="1">OFFSET(환산공식!FW$15,$F191,0)</f>
        <v>0.25</v>
      </c>
      <c r="Z191" s="20">
        <f ca="1">OFFSET(환산공식!FX$15,$F191,0)</f>
        <v>0.44</v>
      </c>
      <c r="AA191" s="179">
        <f ca="1">OFFSET(환산공식!FY$15,$F191,0)</f>
        <v>0.31</v>
      </c>
      <c r="AB191" s="3"/>
      <c r="AD191">
        <f t="shared" ca="1" si="5"/>
        <v>6</v>
      </c>
      <c r="AF191" s="3"/>
      <c r="AG191" s="3"/>
      <c r="AH191" s="3"/>
    </row>
    <row r="192" spans="1:34">
      <c r="A192" s="198"/>
      <c r="B192" s="198"/>
      <c r="C192" s="198" t="s">
        <v>2513</v>
      </c>
      <c r="D192" s="235">
        <v>2083</v>
      </c>
      <c r="E192" s="195">
        <v>96</v>
      </c>
      <c r="F192" s="195">
        <v>96</v>
      </c>
      <c r="G192" s="239">
        <v>185</v>
      </c>
      <c r="H192" s="197" t="s">
        <v>81</v>
      </c>
      <c r="I192" s="242" t="s">
        <v>423</v>
      </c>
      <c r="J192" s="242" t="s">
        <v>10547</v>
      </c>
      <c r="K192" s="195" t="s">
        <v>70</v>
      </c>
      <c r="L192" s="20" t="str">
        <f ca="1">IF(OFFSET(환산공식!$ED$15,$F192,0)=1,"O","X")</f>
        <v>X</v>
      </c>
      <c r="M192" s="188">
        <f ca="1">IFERROR(OFFSET(환산공식!DJ$15,$F192,0),"")</f>
        <v>200</v>
      </c>
      <c r="N192" s="20" t="str">
        <f ca="1">IFERROR(CONCATENATE(ROUND(OFFSET(환산공식!DK$15,$F192,0),1),"%"),"")</f>
        <v>100%</v>
      </c>
      <c r="O192" s="20">
        <f ca="1">IFERROR(OFFSET(환산공식!DL$15,$F192,0),"")</f>
        <v>10</v>
      </c>
      <c r="P192" s="188" t="str">
        <f t="shared" ca="1" si="4"/>
        <v>3% 이하</v>
      </c>
      <c r="Q192" s="194">
        <f ca="1">IFERROR(ROUND(OFFSET(환산공식!$FG$15,$F192,0),3),"")</f>
        <v>0</v>
      </c>
      <c r="R192" s="194">
        <f ca="1">OFFSET('배치점수 계산기'!H$10,$D192,0)</f>
        <v>692.89700000000005</v>
      </c>
      <c r="S192" s="194">
        <f ca="1">OFFSET('배치점수 계산기'!I$10,$D192,0)</f>
        <v>691.327</v>
      </c>
      <c r="T192" s="194">
        <f ca="1">OFFSET('배치점수 계산기'!J$10,$D192,0)</f>
        <v>689.25800000000004</v>
      </c>
      <c r="U192" s="194">
        <f ca="1">OFFSET('배치점수 계산기'!K$10,$D192,0)</f>
        <v>686.529</v>
      </c>
      <c r="V192" s="194">
        <f ca="1">OFFSET('배치점수 계산기'!L$10,$D192,0)</f>
        <v>683.81500000000005</v>
      </c>
      <c r="W192" s="186" t="str">
        <f ca="1">OFFSET('배치점수 계산기'!M$10,$D192,0)</f>
        <v>표점</v>
      </c>
      <c r="X192" s="184" t="str">
        <f ca="1">OFFSET('배치점수 계산기'!N$10,$D192,0)</f>
        <v>변표</v>
      </c>
      <c r="Y192" s="188">
        <f ca="1">OFFSET(환산공식!FW$15,$F192,0)</f>
        <v>0.25</v>
      </c>
      <c r="Z192" s="20">
        <f ca="1">OFFSET(환산공식!FX$15,$F192,0)</f>
        <v>0.44</v>
      </c>
      <c r="AA192" s="179">
        <f ca="1">OFFSET(환산공식!FY$15,$F192,0)</f>
        <v>0.31</v>
      </c>
      <c r="AB192" s="3"/>
      <c r="AD192">
        <f t="shared" ca="1" si="5"/>
        <v>6</v>
      </c>
      <c r="AF192" s="3"/>
      <c r="AG192" s="3"/>
      <c r="AH192" s="3"/>
    </row>
    <row r="193" spans="1:34">
      <c r="A193" s="198"/>
      <c r="B193" s="198"/>
      <c r="C193" s="198" t="s">
        <v>2514</v>
      </c>
      <c r="D193" s="235">
        <v>2084</v>
      </c>
      <c r="E193" s="195">
        <v>96</v>
      </c>
      <c r="F193" s="195">
        <v>96</v>
      </c>
      <c r="G193" s="239">
        <v>186</v>
      </c>
      <c r="H193" s="197" t="s">
        <v>81</v>
      </c>
      <c r="I193" s="242" t="s">
        <v>423</v>
      </c>
      <c r="J193" s="242" t="s">
        <v>8744</v>
      </c>
      <c r="K193" s="195" t="s">
        <v>70</v>
      </c>
      <c r="L193" s="20" t="str">
        <f ca="1">IF(OFFSET(환산공식!$ED$15,$F193,0)=1,"O","X")</f>
        <v>X</v>
      </c>
      <c r="M193" s="188">
        <f ca="1">IFERROR(OFFSET(환산공식!DJ$15,$F193,0),"")</f>
        <v>200</v>
      </c>
      <c r="N193" s="20" t="str">
        <f ca="1">IFERROR(CONCATENATE(ROUND(OFFSET(환산공식!DK$15,$F193,0),1),"%"),"")</f>
        <v>100%</v>
      </c>
      <c r="O193" s="20">
        <f ca="1">IFERROR(OFFSET(환산공식!DL$15,$F193,0),"")</f>
        <v>10</v>
      </c>
      <c r="P193" s="188" t="str">
        <f t="shared" ca="1" si="4"/>
        <v>3% 이하</v>
      </c>
      <c r="Q193" s="194">
        <f ca="1">IFERROR(ROUND(OFFSET(환산공식!$FG$15,$F193,0),3),"")</f>
        <v>0</v>
      </c>
      <c r="R193" s="194">
        <f ca="1">OFFSET('배치점수 계산기'!H$10,$D193,0)</f>
        <v>692.80200000000002</v>
      </c>
      <c r="S193" s="194">
        <f ca="1">OFFSET('배치점수 계산기'!I$10,$D193,0)</f>
        <v>691.06600000000003</v>
      </c>
      <c r="T193" s="194">
        <f ca="1">OFFSET('배치점수 계산기'!J$10,$D193,0)</f>
        <v>689.16300000000001</v>
      </c>
      <c r="U193" s="194">
        <f ca="1">OFFSET('배치점수 계산기'!K$10,$D193,0)</f>
        <v>686.33399999999995</v>
      </c>
      <c r="V193" s="194">
        <f ca="1">OFFSET('배치점수 계산기'!L$10,$D193,0)</f>
        <v>681.18799999999999</v>
      </c>
      <c r="W193" s="186" t="str">
        <f ca="1">OFFSET('배치점수 계산기'!M$10,$D193,0)</f>
        <v>표점</v>
      </c>
      <c r="X193" s="184" t="str">
        <f ca="1">OFFSET('배치점수 계산기'!N$10,$D193,0)</f>
        <v>변표</v>
      </c>
      <c r="Y193" s="188">
        <f ca="1">OFFSET(환산공식!FW$15,$F193,0)</f>
        <v>0.25</v>
      </c>
      <c r="Z193" s="20">
        <f ca="1">OFFSET(환산공식!FX$15,$F193,0)</f>
        <v>0.44</v>
      </c>
      <c r="AA193" s="179">
        <f ca="1">OFFSET(환산공식!FY$15,$F193,0)</f>
        <v>0.31</v>
      </c>
      <c r="AB193" s="3"/>
      <c r="AD193">
        <f t="shared" ca="1" si="5"/>
        <v>6</v>
      </c>
      <c r="AF193" s="3"/>
      <c r="AG193" s="3"/>
      <c r="AH193" s="3"/>
    </row>
    <row r="194" spans="1:34">
      <c r="A194" s="198"/>
      <c r="B194" s="198"/>
      <c r="C194" s="198" t="s">
        <v>2515</v>
      </c>
      <c r="D194" s="235">
        <v>2085</v>
      </c>
      <c r="E194" s="195">
        <v>96</v>
      </c>
      <c r="F194" s="195">
        <v>96</v>
      </c>
      <c r="G194" s="239">
        <v>187</v>
      </c>
      <c r="H194" s="197" t="s">
        <v>81</v>
      </c>
      <c r="I194" s="242" t="s">
        <v>423</v>
      </c>
      <c r="J194" s="242" t="s">
        <v>555</v>
      </c>
      <c r="K194" s="195" t="s">
        <v>70</v>
      </c>
      <c r="L194" s="20" t="str">
        <f ca="1">IF(OFFSET(환산공식!$ED$15,$F194,0)=1,"O","X")</f>
        <v>X</v>
      </c>
      <c r="M194" s="188">
        <f ca="1">IFERROR(OFFSET(환산공식!DJ$15,$F194,0),"")</f>
        <v>200</v>
      </c>
      <c r="N194" s="20" t="str">
        <f ca="1">IFERROR(CONCATENATE(ROUND(OFFSET(환산공식!DK$15,$F194,0),1),"%"),"")</f>
        <v>100%</v>
      </c>
      <c r="O194" s="20">
        <f ca="1">IFERROR(OFFSET(환산공식!DL$15,$F194,0),"")</f>
        <v>10</v>
      </c>
      <c r="P194" s="188" t="str">
        <f t="shared" ca="1" si="4"/>
        <v>3% 이하</v>
      </c>
      <c r="Q194" s="194">
        <f ca="1">IFERROR(ROUND(OFFSET(환산공식!$FG$15,$F194,0),3),"")</f>
        <v>0</v>
      </c>
      <c r="R194" s="194">
        <f ca="1">OFFSET('배치점수 계산기'!H$10,$D194,0)</f>
        <v>692.30499999999995</v>
      </c>
      <c r="S194" s="194">
        <f ca="1">OFFSET('배치점수 계산기'!I$10,$D194,0)</f>
        <v>690.36199999999997</v>
      </c>
      <c r="T194" s="194">
        <f ca="1">OFFSET('배치점수 계산기'!J$10,$D194,0)</f>
        <v>688.48299999999995</v>
      </c>
      <c r="U194" s="194">
        <f ca="1">OFFSET('배치점수 계산기'!K$10,$D194,0)</f>
        <v>685.62199999999996</v>
      </c>
      <c r="V194" s="194">
        <f ca="1">OFFSET('배치점수 계산기'!L$10,$D194,0)</f>
        <v>682.97199999999998</v>
      </c>
      <c r="W194" s="186" t="str">
        <f ca="1">OFFSET('배치점수 계산기'!M$10,$D194,0)</f>
        <v>표점</v>
      </c>
      <c r="X194" s="184" t="str">
        <f ca="1">OFFSET('배치점수 계산기'!N$10,$D194,0)</f>
        <v>변표</v>
      </c>
      <c r="Y194" s="188">
        <f ca="1">OFFSET(환산공식!FW$15,$F194,0)</f>
        <v>0.25</v>
      </c>
      <c r="Z194" s="20">
        <f ca="1">OFFSET(환산공식!FX$15,$F194,0)</f>
        <v>0.44</v>
      </c>
      <c r="AA194" s="179">
        <f ca="1">OFFSET(환산공식!FY$15,$F194,0)</f>
        <v>0.31</v>
      </c>
      <c r="AB194" s="3"/>
      <c r="AD194">
        <f t="shared" ca="1" si="5"/>
        <v>6</v>
      </c>
      <c r="AF194" s="3"/>
      <c r="AG194" s="3"/>
      <c r="AH194" s="3"/>
    </row>
    <row r="195" spans="1:34">
      <c r="A195" s="198"/>
      <c r="B195" s="198"/>
      <c r="C195" s="198" t="s">
        <v>2516</v>
      </c>
      <c r="D195" s="235">
        <v>2086</v>
      </c>
      <c r="E195" s="195">
        <v>96</v>
      </c>
      <c r="F195" s="195">
        <v>96</v>
      </c>
      <c r="G195" s="239">
        <v>188</v>
      </c>
      <c r="H195" s="197" t="s">
        <v>81</v>
      </c>
      <c r="I195" s="242" t="s">
        <v>423</v>
      </c>
      <c r="J195" s="242" t="s">
        <v>12400</v>
      </c>
      <c r="K195" s="195" t="s">
        <v>70</v>
      </c>
      <c r="L195" s="20" t="str">
        <f ca="1">IF(OFFSET(환산공식!$ED$15,$F195,0)=1,"O","X")</f>
        <v>X</v>
      </c>
      <c r="M195" s="188">
        <f ca="1">IFERROR(OFFSET(환산공식!DJ$15,$F195,0),"")</f>
        <v>200</v>
      </c>
      <c r="N195" s="20" t="str">
        <f ca="1">IFERROR(CONCATENATE(ROUND(OFFSET(환산공식!DK$15,$F195,0),1),"%"),"")</f>
        <v>100%</v>
      </c>
      <c r="O195" s="20">
        <f ca="1">IFERROR(OFFSET(환산공식!DL$15,$F195,0),"")</f>
        <v>10</v>
      </c>
      <c r="P195" s="188" t="str">
        <f t="shared" ca="1" si="4"/>
        <v>3% 이하</v>
      </c>
      <c r="Q195" s="194">
        <f ca="1">IFERROR(ROUND(OFFSET(환산공식!$FG$15,$F195,0),3),"")</f>
        <v>0</v>
      </c>
      <c r="R195" s="194">
        <f ca="1">OFFSET('배치점수 계산기'!H$10,$D195,0)</f>
        <v>688.01199999999994</v>
      </c>
      <c r="S195" s="194">
        <f ca="1">OFFSET('배치점수 계산기'!I$10,$D195,0)</f>
        <v>686.42899999999997</v>
      </c>
      <c r="T195" s="194">
        <f ca="1">OFFSET('배치점수 계산기'!J$10,$D195,0)</f>
        <v>684.30799999999999</v>
      </c>
      <c r="U195" s="194">
        <f ca="1">OFFSET('배치점수 계산기'!K$10,$D195,0)</f>
        <v>681.95899999999995</v>
      </c>
      <c r="V195" s="194">
        <f ca="1">OFFSET('배치점수 계산기'!L$10,$D195,0)</f>
        <v>679.79300000000001</v>
      </c>
      <c r="W195" s="186" t="str">
        <f ca="1">OFFSET('배치점수 계산기'!M$10,$D195,0)</f>
        <v>표점</v>
      </c>
      <c r="X195" s="184" t="str">
        <f ca="1">OFFSET('배치점수 계산기'!N$10,$D195,0)</f>
        <v>변표</v>
      </c>
      <c r="Y195" s="188">
        <f ca="1">OFFSET(환산공식!FW$15,$F195,0)</f>
        <v>0.25</v>
      </c>
      <c r="Z195" s="20">
        <f ca="1">OFFSET(환산공식!FX$15,$F195,0)</f>
        <v>0.44</v>
      </c>
      <c r="AA195" s="179">
        <f ca="1">OFFSET(환산공식!FY$15,$F195,0)</f>
        <v>0.31</v>
      </c>
      <c r="AB195" s="3"/>
      <c r="AD195">
        <f t="shared" ca="1" si="5"/>
        <v>6</v>
      </c>
      <c r="AF195" s="3"/>
      <c r="AG195" s="3"/>
      <c r="AH195" s="3"/>
    </row>
    <row r="196" spans="1:34">
      <c r="A196" s="198"/>
      <c r="B196" s="198"/>
      <c r="C196" s="198" t="s">
        <v>2517</v>
      </c>
      <c r="D196" s="235">
        <v>2087</v>
      </c>
      <c r="E196" s="195">
        <v>96</v>
      </c>
      <c r="F196" s="195">
        <v>96</v>
      </c>
      <c r="G196" s="239">
        <v>189</v>
      </c>
      <c r="H196" s="197" t="s">
        <v>81</v>
      </c>
      <c r="I196" s="242" t="s">
        <v>423</v>
      </c>
      <c r="J196" s="242" t="s">
        <v>12424</v>
      </c>
      <c r="K196" s="195" t="s">
        <v>70</v>
      </c>
      <c r="L196" s="20" t="str">
        <f ca="1">IF(OFFSET(환산공식!$ED$15,$F196,0)=1,"O","X")</f>
        <v>X</v>
      </c>
      <c r="M196" s="188">
        <f ca="1">IFERROR(OFFSET(환산공식!DJ$15,$F196,0),"")</f>
        <v>200</v>
      </c>
      <c r="N196" s="20" t="str">
        <f ca="1">IFERROR(CONCATENATE(ROUND(OFFSET(환산공식!DK$15,$F196,0),1),"%"),"")</f>
        <v>100%</v>
      </c>
      <c r="O196" s="20">
        <f ca="1">IFERROR(OFFSET(환산공식!DL$15,$F196,0),"")</f>
        <v>10</v>
      </c>
      <c r="P196" s="188" t="str">
        <f t="shared" ca="1" si="4"/>
        <v>3% 이하</v>
      </c>
      <c r="Q196" s="194">
        <f ca="1">IFERROR(ROUND(OFFSET(환산공식!$FG$15,$F196,0),3),"")</f>
        <v>0</v>
      </c>
      <c r="R196" s="194">
        <f ca="1">OFFSET('배치점수 계산기'!H$10,$D196,0)</f>
        <v>687.18899999999996</v>
      </c>
      <c r="S196" s="194">
        <f ca="1">OFFSET('배치점수 계산기'!I$10,$D196,0)</f>
        <v>685.62199999999996</v>
      </c>
      <c r="T196" s="194">
        <f ca="1">OFFSET('배치점수 계산기'!J$10,$D196,0)</f>
        <v>683.97</v>
      </c>
      <c r="U196" s="194">
        <f ca="1">OFFSET('배치점수 계산기'!K$10,$D196,0)</f>
        <v>681.61</v>
      </c>
      <c r="V196" s="194">
        <f ca="1">OFFSET('배치점수 계산기'!L$10,$D196,0)</f>
        <v>679.27700000000004</v>
      </c>
      <c r="W196" s="186" t="str">
        <f ca="1">OFFSET('배치점수 계산기'!M$10,$D196,0)</f>
        <v>표점</v>
      </c>
      <c r="X196" s="184" t="str">
        <f ca="1">OFFSET('배치점수 계산기'!N$10,$D196,0)</f>
        <v>변표</v>
      </c>
      <c r="Y196" s="188">
        <f ca="1">OFFSET(환산공식!FW$15,$F196,0)</f>
        <v>0.25</v>
      </c>
      <c r="Z196" s="20">
        <f ca="1">OFFSET(환산공식!FX$15,$F196,0)</f>
        <v>0.44</v>
      </c>
      <c r="AA196" s="179">
        <f ca="1">OFFSET(환산공식!FY$15,$F196,0)</f>
        <v>0.31</v>
      </c>
      <c r="AB196" s="3"/>
      <c r="AD196">
        <f t="shared" ca="1" si="5"/>
        <v>6</v>
      </c>
      <c r="AF196" s="3"/>
      <c r="AG196" s="3"/>
      <c r="AH196" s="3"/>
    </row>
    <row r="197" spans="1:34">
      <c r="A197" s="198"/>
      <c r="B197" s="198"/>
      <c r="C197" s="198" t="s">
        <v>2518</v>
      </c>
      <c r="D197" s="235">
        <v>2088</v>
      </c>
      <c r="E197" s="195">
        <v>96</v>
      </c>
      <c r="F197" s="195">
        <v>96</v>
      </c>
      <c r="G197" s="239">
        <v>190</v>
      </c>
      <c r="H197" s="197" t="s">
        <v>81</v>
      </c>
      <c r="I197" s="242" t="s">
        <v>423</v>
      </c>
      <c r="J197" s="242" t="s">
        <v>13224</v>
      </c>
      <c r="K197" s="195" t="s">
        <v>70</v>
      </c>
      <c r="L197" s="20" t="str">
        <f ca="1">IF(OFFSET(환산공식!$ED$15,$F197,0)=1,"O","X")</f>
        <v>X</v>
      </c>
      <c r="M197" s="188">
        <f ca="1">IFERROR(OFFSET(환산공식!DJ$15,$F197,0),"")</f>
        <v>200</v>
      </c>
      <c r="N197" s="20" t="str">
        <f ca="1">IFERROR(CONCATENATE(ROUND(OFFSET(환산공식!DK$15,$F197,0),1),"%"),"")</f>
        <v>100%</v>
      </c>
      <c r="O197" s="20">
        <f ca="1">IFERROR(OFFSET(환산공식!DL$15,$F197,0),"")</f>
        <v>10</v>
      </c>
      <c r="P197" s="188" t="str">
        <f t="shared" ca="1" si="4"/>
        <v>3% 이하</v>
      </c>
      <c r="Q197" s="194">
        <f ca="1">IFERROR(ROUND(OFFSET(환산공식!$FG$15,$F197,0),3),"")</f>
        <v>0</v>
      </c>
      <c r="R197" s="194">
        <f ca="1">OFFSET('배치점수 계산기'!H$10,$D197,0)</f>
        <v>672.471</v>
      </c>
      <c r="S197" s="194">
        <f ca="1">OFFSET('배치점수 계산기'!I$10,$D197,0)</f>
        <v>670.9</v>
      </c>
      <c r="T197" s="194">
        <f ca="1">OFFSET('배치점수 계산기'!J$10,$D197,0)</f>
        <v>669.404</v>
      </c>
      <c r="U197" s="194">
        <f ca="1">OFFSET('배치점수 계산기'!K$10,$D197,0)</f>
        <v>667.07</v>
      </c>
      <c r="V197" s="194">
        <f ca="1">OFFSET('배치점수 계산기'!L$10,$D197,0)</f>
        <v>664.84699999999998</v>
      </c>
      <c r="W197" s="186" t="str">
        <f ca="1">OFFSET('배치점수 계산기'!M$10,$D197,0)</f>
        <v>표점</v>
      </c>
      <c r="X197" s="184" t="str">
        <f ca="1">OFFSET('배치점수 계산기'!N$10,$D197,0)</f>
        <v>변표</v>
      </c>
      <c r="Y197" s="188">
        <f ca="1">OFFSET(환산공식!FW$15,$F197,0)</f>
        <v>0.25</v>
      </c>
      <c r="Z197" s="20">
        <f ca="1">OFFSET(환산공식!FX$15,$F197,0)</f>
        <v>0.44</v>
      </c>
      <c r="AA197" s="179">
        <f ca="1">OFFSET(환산공식!FY$15,$F197,0)</f>
        <v>0.31</v>
      </c>
      <c r="AB197" s="3"/>
      <c r="AD197">
        <f t="shared" ca="1" si="5"/>
        <v>6</v>
      </c>
      <c r="AF197" s="3"/>
      <c r="AG197" s="3"/>
      <c r="AH197" s="3"/>
    </row>
    <row r="198" spans="1:34">
      <c r="A198" s="198"/>
      <c r="B198" s="198"/>
      <c r="C198" s="198" t="s">
        <v>2519</v>
      </c>
      <c r="D198" s="235">
        <v>2089</v>
      </c>
      <c r="E198" s="195">
        <v>96</v>
      </c>
      <c r="F198" s="195">
        <v>96</v>
      </c>
      <c r="G198" s="239">
        <v>191</v>
      </c>
      <c r="H198" s="197" t="s">
        <v>81</v>
      </c>
      <c r="I198" s="242" t="s">
        <v>423</v>
      </c>
      <c r="J198" s="242" t="s">
        <v>13243</v>
      </c>
      <c r="K198" s="195" t="s">
        <v>70</v>
      </c>
      <c r="L198" s="20" t="str">
        <f ca="1">IF(OFFSET(환산공식!$ED$15,$F198,0)=1,"O","X")</f>
        <v>X</v>
      </c>
      <c r="M198" s="188">
        <f ca="1">IFERROR(OFFSET(환산공식!DJ$15,$F198,0),"")</f>
        <v>200</v>
      </c>
      <c r="N198" s="20" t="str">
        <f ca="1">IFERROR(CONCATENATE(ROUND(OFFSET(환산공식!DK$15,$F198,0),1),"%"),"")</f>
        <v>100%</v>
      </c>
      <c r="O198" s="20">
        <f ca="1">IFERROR(OFFSET(환산공식!DL$15,$F198,0),"")</f>
        <v>10</v>
      </c>
      <c r="P198" s="188" t="str">
        <f t="shared" ca="1" si="4"/>
        <v>3% 이하</v>
      </c>
      <c r="Q198" s="194">
        <f ca="1">IFERROR(ROUND(OFFSET(환산공식!$FG$15,$F198,0),3),"")</f>
        <v>0</v>
      </c>
      <c r="R198" s="194">
        <f ca="1">OFFSET('배치점수 계산기'!H$10,$D198,0)</f>
        <v>671.77599999999995</v>
      </c>
      <c r="S198" s="194">
        <f ca="1">OFFSET('배치점수 계산기'!I$10,$D198,0)</f>
        <v>670.37300000000005</v>
      </c>
      <c r="T198" s="194">
        <f ca="1">OFFSET('배치점수 계산기'!J$10,$D198,0)</f>
        <v>668.64400000000001</v>
      </c>
      <c r="U198" s="194">
        <f ca="1">OFFSET('배치점수 계산기'!K$10,$D198,0)</f>
        <v>665.89700000000005</v>
      </c>
      <c r="V198" s="194">
        <f ca="1">OFFSET('배치점수 계산기'!L$10,$D198,0)</f>
        <v>662.92</v>
      </c>
      <c r="W198" s="186" t="str">
        <f ca="1">OFFSET('배치점수 계산기'!M$10,$D198,0)</f>
        <v>표점</v>
      </c>
      <c r="X198" s="184" t="str">
        <f ca="1">OFFSET('배치점수 계산기'!N$10,$D198,0)</f>
        <v>변표</v>
      </c>
      <c r="Y198" s="188">
        <f ca="1">OFFSET(환산공식!FW$15,$F198,0)</f>
        <v>0.25</v>
      </c>
      <c r="Z198" s="20">
        <f ca="1">OFFSET(환산공식!FX$15,$F198,0)</f>
        <v>0.44</v>
      </c>
      <c r="AA198" s="179">
        <f ca="1">OFFSET(환산공식!FY$15,$F198,0)</f>
        <v>0.31</v>
      </c>
      <c r="AB198" s="3"/>
      <c r="AD198">
        <f t="shared" ca="1" si="5"/>
        <v>6</v>
      </c>
      <c r="AF198" s="3"/>
      <c r="AG198" s="3"/>
      <c r="AH198" s="3"/>
    </row>
    <row r="199" spans="1:34">
      <c r="A199" s="198"/>
      <c r="B199" s="198"/>
      <c r="C199" s="198" t="s">
        <v>2520</v>
      </c>
      <c r="D199" s="235">
        <v>2090</v>
      </c>
      <c r="E199" s="195">
        <v>96</v>
      </c>
      <c r="F199" s="195">
        <v>96</v>
      </c>
      <c r="G199" s="239">
        <v>192</v>
      </c>
      <c r="H199" s="197" t="s">
        <v>81</v>
      </c>
      <c r="I199" s="242" t="s">
        <v>423</v>
      </c>
      <c r="J199" s="242" t="s">
        <v>13259</v>
      </c>
      <c r="K199" s="195" t="s">
        <v>70</v>
      </c>
      <c r="L199" s="20" t="str">
        <f ca="1">IF(OFFSET(환산공식!$ED$15,$F199,0)=1,"O","X")</f>
        <v>X</v>
      </c>
      <c r="M199" s="188">
        <f ca="1">IFERROR(OFFSET(환산공식!DJ$15,$F199,0),"")</f>
        <v>200</v>
      </c>
      <c r="N199" s="20" t="str">
        <f ca="1">IFERROR(CONCATENATE(ROUND(OFFSET(환산공식!DK$15,$F199,0),1),"%"),"")</f>
        <v>100%</v>
      </c>
      <c r="O199" s="20">
        <f ca="1">IFERROR(OFFSET(환산공식!DL$15,$F199,0),"")</f>
        <v>10</v>
      </c>
      <c r="P199" s="188" t="str">
        <f t="shared" ca="1" si="4"/>
        <v>3% 이하</v>
      </c>
      <c r="Q199" s="194">
        <f ca="1">IFERROR(ROUND(OFFSET(환산공식!$FG$15,$F199,0),3),"")</f>
        <v>0</v>
      </c>
      <c r="R199" s="194">
        <f ca="1">OFFSET('배치점수 계산기'!H$10,$D199,0)</f>
        <v>671.43399999999997</v>
      </c>
      <c r="S199" s="194">
        <f ca="1">OFFSET('배치점수 계산기'!I$10,$D199,0)</f>
        <v>670.02700000000004</v>
      </c>
      <c r="T199" s="194">
        <f ca="1">OFFSET('배치점수 계산기'!J$10,$D199,0)</f>
        <v>668.54700000000003</v>
      </c>
      <c r="U199" s="194">
        <f ca="1">OFFSET('배치점수 계산기'!K$10,$D199,0)</f>
        <v>666.19399999999996</v>
      </c>
      <c r="V199" s="194">
        <f ca="1">OFFSET('배치점수 계산기'!L$10,$D199,0)</f>
        <v>663.63699999999994</v>
      </c>
      <c r="W199" s="186" t="str">
        <f ca="1">OFFSET('배치점수 계산기'!M$10,$D199,0)</f>
        <v>표점</v>
      </c>
      <c r="X199" s="184" t="str">
        <f ca="1">OFFSET('배치점수 계산기'!N$10,$D199,0)</f>
        <v>변표</v>
      </c>
      <c r="Y199" s="188">
        <f ca="1">OFFSET(환산공식!FW$15,$F199,0)</f>
        <v>0.25</v>
      </c>
      <c r="Z199" s="20">
        <f ca="1">OFFSET(환산공식!FX$15,$F199,0)</f>
        <v>0.44</v>
      </c>
      <c r="AA199" s="179">
        <f ca="1">OFFSET(환산공식!FY$15,$F199,0)</f>
        <v>0.31</v>
      </c>
      <c r="AB199" s="3"/>
      <c r="AD199">
        <f t="shared" ca="1" si="5"/>
        <v>6</v>
      </c>
      <c r="AF199" s="3"/>
      <c r="AG199" s="3"/>
      <c r="AH199" s="3"/>
    </row>
    <row r="200" spans="1:34">
      <c r="A200" s="198"/>
      <c r="B200" s="198"/>
      <c r="C200" s="198" t="s">
        <v>2521</v>
      </c>
      <c r="D200" s="235">
        <v>2091</v>
      </c>
      <c r="E200" s="195">
        <v>96</v>
      </c>
      <c r="F200" s="195">
        <v>96</v>
      </c>
      <c r="G200" s="239">
        <v>193</v>
      </c>
      <c r="H200" s="197" t="s">
        <v>81</v>
      </c>
      <c r="I200" s="242" t="s">
        <v>423</v>
      </c>
      <c r="J200" s="242" t="s">
        <v>13276</v>
      </c>
      <c r="K200" s="195" t="s">
        <v>70</v>
      </c>
      <c r="L200" s="20" t="str">
        <f ca="1">IF(OFFSET(환산공식!$ED$15,$F200,0)=1,"O","X")</f>
        <v>X</v>
      </c>
      <c r="M200" s="188">
        <f ca="1">IFERROR(OFFSET(환산공식!DJ$15,$F200,0),"")</f>
        <v>200</v>
      </c>
      <c r="N200" s="20" t="str">
        <f ca="1">IFERROR(CONCATENATE(ROUND(OFFSET(환산공식!DK$15,$F200,0),1),"%"),"")</f>
        <v>100%</v>
      </c>
      <c r="O200" s="20">
        <f ca="1">IFERROR(OFFSET(환산공식!DL$15,$F200,0),"")</f>
        <v>10</v>
      </c>
      <c r="P200" s="188" t="str">
        <f t="shared" ca="1" si="4"/>
        <v>3% 이하</v>
      </c>
      <c r="Q200" s="194">
        <f ca="1">IFERROR(ROUND(OFFSET(환산공식!$FG$15,$F200,0),3),"")</f>
        <v>0</v>
      </c>
      <c r="R200" s="194">
        <f ca="1">OFFSET('배치점수 계산기'!H$10,$D200,0)</f>
        <v>671.43399999999997</v>
      </c>
      <c r="S200" s="194">
        <f ca="1">OFFSET('배치점수 계산기'!I$10,$D200,0)</f>
        <v>669.78599999999994</v>
      </c>
      <c r="T200" s="194">
        <f ca="1">OFFSET('배치점수 계산기'!J$10,$D200,0)</f>
        <v>667.899</v>
      </c>
      <c r="U200" s="194">
        <f ca="1">OFFSET('배치점수 계산기'!K$10,$D200,0)</f>
        <v>665.21400000000006</v>
      </c>
      <c r="V200" s="194">
        <f ca="1">OFFSET('배치점수 계산기'!L$10,$D200,0)</f>
        <v>662.38099999999997</v>
      </c>
      <c r="W200" s="186" t="str">
        <f ca="1">OFFSET('배치점수 계산기'!M$10,$D200,0)</f>
        <v>표점</v>
      </c>
      <c r="X200" s="184" t="str">
        <f ca="1">OFFSET('배치점수 계산기'!N$10,$D200,0)</f>
        <v>변표</v>
      </c>
      <c r="Y200" s="188">
        <f ca="1">OFFSET(환산공식!FW$15,$F200,0)</f>
        <v>0.25</v>
      </c>
      <c r="Z200" s="20">
        <f ca="1">OFFSET(환산공식!FX$15,$F200,0)</f>
        <v>0.44</v>
      </c>
      <c r="AA200" s="179">
        <f ca="1">OFFSET(환산공식!FY$15,$F200,0)</f>
        <v>0.31</v>
      </c>
      <c r="AB200" s="3"/>
      <c r="AD200">
        <f t="shared" ca="1" si="5"/>
        <v>6</v>
      </c>
      <c r="AF200" s="3"/>
      <c r="AG200" s="3"/>
      <c r="AH200" s="3"/>
    </row>
    <row r="201" spans="1:34">
      <c r="A201" s="198"/>
      <c r="B201" s="198"/>
      <c r="C201" s="198" t="s">
        <v>2522</v>
      </c>
      <c r="D201" s="235">
        <v>2092</v>
      </c>
      <c r="E201" s="195">
        <v>96</v>
      </c>
      <c r="F201" s="195">
        <v>96</v>
      </c>
      <c r="G201" s="239">
        <v>194</v>
      </c>
      <c r="H201" s="197" t="s">
        <v>81</v>
      </c>
      <c r="I201" s="242" t="s">
        <v>423</v>
      </c>
      <c r="J201" s="242" t="s">
        <v>13297</v>
      </c>
      <c r="K201" s="195" t="s">
        <v>70</v>
      </c>
      <c r="L201" s="20" t="str">
        <f ca="1">IF(OFFSET(환산공식!$ED$15,$F201,0)=1,"O","X")</f>
        <v>X</v>
      </c>
      <c r="M201" s="188">
        <f ca="1">IFERROR(OFFSET(환산공식!DJ$15,$F201,0),"")</f>
        <v>200</v>
      </c>
      <c r="N201" s="20" t="str">
        <f ca="1">IFERROR(CONCATENATE(ROUND(OFFSET(환산공식!DK$15,$F201,0),1),"%"),"")</f>
        <v>100%</v>
      </c>
      <c r="O201" s="20">
        <f ca="1">IFERROR(OFFSET(환산공식!DL$15,$F201,0),"")</f>
        <v>10</v>
      </c>
      <c r="P201" s="188" t="str">
        <f t="shared" ref="P201:P264" ca="1" si="6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3% 이하</v>
      </c>
      <c r="Q201" s="194">
        <f ca="1">IFERROR(ROUND(OFFSET(환산공식!$FG$15,$F201,0),3),"")</f>
        <v>0</v>
      </c>
      <c r="R201" s="194">
        <f ca="1">OFFSET('배치점수 계산기'!H$10,$D201,0)</f>
        <v>670.553</v>
      </c>
      <c r="S201" s="194">
        <f ca="1">OFFSET('배치점수 계산기'!I$10,$D201,0)</f>
        <v>669.16200000000003</v>
      </c>
      <c r="T201" s="194">
        <f ca="1">OFFSET('배치점수 계산기'!J$10,$D201,0)</f>
        <v>667.48800000000006</v>
      </c>
      <c r="U201" s="194">
        <f ca="1">OFFSET('배치점수 계산기'!K$10,$D201,0)</f>
        <v>665.31399999999996</v>
      </c>
      <c r="V201" s="194">
        <f ca="1">OFFSET('배치점수 계산기'!L$10,$D201,0)</f>
        <v>663.11500000000001</v>
      </c>
      <c r="W201" s="186" t="str">
        <f ca="1">OFFSET('배치점수 계산기'!M$10,$D201,0)</f>
        <v>표점</v>
      </c>
      <c r="X201" s="184" t="str">
        <f ca="1">OFFSET('배치점수 계산기'!N$10,$D201,0)</f>
        <v>변표</v>
      </c>
      <c r="Y201" s="188">
        <f ca="1">OFFSET(환산공식!FW$15,$F201,0)</f>
        <v>0.25</v>
      </c>
      <c r="Z201" s="20">
        <f ca="1">OFFSET(환산공식!FX$15,$F201,0)</f>
        <v>0.44</v>
      </c>
      <c r="AA201" s="179">
        <f ca="1">OFFSET(환산공식!FY$15,$F201,0)</f>
        <v>0.31</v>
      </c>
      <c r="AB201" s="3"/>
      <c r="AD201">
        <f t="shared" ref="AD201:AD264" ca="1" si="7">IF(L201="X",6,IF(Q201&gt;R201,1,IF(Q201&gt;S201,2,IF(Q201&gt;T201,3,IF(Q201&gt;U201,4,IF(Q201&gt;=V201,5,IF(Q201&lt;V201,6,"")))))))</f>
        <v>6</v>
      </c>
      <c r="AF201" s="3"/>
      <c r="AG201" s="3"/>
      <c r="AH201" s="3"/>
    </row>
    <row r="202" spans="1:34">
      <c r="A202" s="198"/>
      <c r="B202" s="198"/>
      <c r="C202" s="198" t="s">
        <v>2523</v>
      </c>
      <c r="D202" s="235">
        <v>2093</v>
      </c>
      <c r="E202" s="195">
        <v>96</v>
      </c>
      <c r="F202" s="195">
        <v>96</v>
      </c>
      <c r="G202" s="239">
        <v>195</v>
      </c>
      <c r="H202" s="197" t="s">
        <v>81</v>
      </c>
      <c r="I202" s="242" t="s">
        <v>423</v>
      </c>
      <c r="J202" s="242" t="s">
        <v>13343</v>
      </c>
      <c r="K202" s="195" t="s">
        <v>70</v>
      </c>
      <c r="L202" s="20" t="str">
        <f ca="1">IF(OFFSET(환산공식!$ED$15,$F202,0)=1,"O","X")</f>
        <v>X</v>
      </c>
      <c r="M202" s="188">
        <f ca="1">IFERROR(OFFSET(환산공식!DJ$15,$F202,0),"")</f>
        <v>200</v>
      </c>
      <c r="N202" s="20" t="str">
        <f ca="1">IFERROR(CONCATENATE(ROUND(OFFSET(환산공식!DK$15,$F202,0),1),"%"),"")</f>
        <v>100%</v>
      </c>
      <c r="O202" s="20">
        <f ca="1">IFERROR(OFFSET(환산공식!DL$15,$F202,0),"")</f>
        <v>10</v>
      </c>
      <c r="P202" s="188" t="str">
        <f t="shared" ca="1" si="6"/>
        <v>3% 이하</v>
      </c>
      <c r="Q202" s="194">
        <f ca="1">IFERROR(ROUND(OFFSET(환산공식!$FG$15,$F202,0),3),"")</f>
        <v>0</v>
      </c>
      <c r="R202" s="194">
        <f ca="1">OFFSET('배치점수 계산기'!H$10,$D202,0)</f>
        <v>668.18100000000004</v>
      </c>
      <c r="S202" s="194">
        <f ca="1">OFFSET('배치점수 계산기'!I$10,$D202,0)</f>
        <v>666.78499999999997</v>
      </c>
      <c r="T202" s="194">
        <f ca="1">OFFSET('배치점수 계산기'!J$10,$D202,0)</f>
        <v>665.50099999999998</v>
      </c>
      <c r="U202" s="194">
        <f ca="1">OFFSET('배치점수 계산기'!K$10,$D202,0)</f>
        <v>663.39499999999998</v>
      </c>
      <c r="V202" s="194">
        <f ca="1">OFFSET('배치점수 계산기'!L$10,$D202,0)</f>
        <v>661.25</v>
      </c>
      <c r="W202" s="186" t="str">
        <f ca="1">OFFSET('배치점수 계산기'!M$10,$D202,0)</f>
        <v>표점</v>
      </c>
      <c r="X202" s="184" t="str">
        <f ca="1">OFFSET('배치점수 계산기'!N$10,$D202,0)</f>
        <v>변표</v>
      </c>
      <c r="Y202" s="188">
        <f ca="1">OFFSET(환산공식!FW$15,$F202,0)</f>
        <v>0.25</v>
      </c>
      <c r="Z202" s="20">
        <f ca="1">OFFSET(환산공식!FX$15,$F202,0)</f>
        <v>0.44</v>
      </c>
      <c r="AA202" s="179">
        <f ca="1">OFFSET(환산공식!FY$15,$F202,0)</f>
        <v>0.31</v>
      </c>
      <c r="AB202" s="3"/>
      <c r="AD202">
        <f t="shared" ca="1" si="7"/>
        <v>6</v>
      </c>
      <c r="AF202" s="3"/>
      <c r="AG202" s="3"/>
      <c r="AH202" s="3"/>
    </row>
    <row r="203" spans="1:34">
      <c r="A203" s="198"/>
      <c r="B203" s="198"/>
      <c r="C203" s="198" t="s">
        <v>2524</v>
      </c>
      <c r="D203" s="235">
        <v>2094</v>
      </c>
      <c r="E203" s="195">
        <v>96</v>
      </c>
      <c r="F203" s="195">
        <v>96</v>
      </c>
      <c r="G203" s="239">
        <v>196</v>
      </c>
      <c r="H203" s="197" t="s">
        <v>81</v>
      </c>
      <c r="I203" s="242" t="s">
        <v>423</v>
      </c>
      <c r="J203" s="242" t="s">
        <v>13369</v>
      </c>
      <c r="K203" s="195" t="s">
        <v>70</v>
      </c>
      <c r="L203" s="20" t="str">
        <f ca="1">IF(OFFSET(환산공식!$ED$15,$F203,0)=1,"O","X")</f>
        <v>X</v>
      </c>
      <c r="M203" s="188">
        <f ca="1">IFERROR(OFFSET(환산공식!DJ$15,$F203,0),"")</f>
        <v>200</v>
      </c>
      <c r="N203" s="20" t="str">
        <f ca="1">IFERROR(CONCATENATE(ROUND(OFFSET(환산공식!DK$15,$F203,0),1),"%"),"")</f>
        <v>100%</v>
      </c>
      <c r="O203" s="20">
        <f ca="1">IFERROR(OFFSET(환산공식!DL$15,$F203,0),"")</f>
        <v>10</v>
      </c>
      <c r="P203" s="188" t="str">
        <f t="shared" ca="1" si="6"/>
        <v>3% 이하</v>
      </c>
      <c r="Q203" s="194">
        <f ca="1">IFERROR(ROUND(OFFSET(환산공식!$FG$15,$F203,0),3),"")</f>
        <v>0</v>
      </c>
      <c r="R203" s="194">
        <f ca="1">OFFSET('배치점수 계산기'!H$10,$D203,0)</f>
        <v>668.36099999999999</v>
      </c>
      <c r="S203" s="194">
        <f ca="1">OFFSET('배치점수 계산기'!I$10,$D203,0)</f>
        <v>666.78499999999997</v>
      </c>
      <c r="T203" s="194">
        <f ca="1">OFFSET('배치점수 계산기'!J$10,$D203,0)</f>
        <v>665.12699999999995</v>
      </c>
      <c r="U203" s="194">
        <f ca="1">OFFSET('배치점수 계산기'!K$10,$D203,0)</f>
        <v>662.47799999999995</v>
      </c>
      <c r="V203" s="194">
        <f ca="1">OFFSET('배치점수 계산기'!L$10,$D203,0)</f>
        <v>659.83799999999997</v>
      </c>
      <c r="W203" s="186" t="str">
        <f ca="1">OFFSET('배치점수 계산기'!M$10,$D203,0)</f>
        <v>표점</v>
      </c>
      <c r="X203" s="184" t="str">
        <f ca="1">OFFSET('배치점수 계산기'!N$10,$D203,0)</f>
        <v>변표</v>
      </c>
      <c r="Y203" s="188">
        <f ca="1">OFFSET(환산공식!FW$15,$F203,0)</f>
        <v>0.25</v>
      </c>
      <c r="Z203" s="20">
        <f ca="1">OFFSET(환산공식!FX$15,$F203,0)</f>
        <v>0.44</v>
      </c>
      <c r="AA203" s="179">
        <f ca="1">OFFSET(환산공식!FY$15,$F203,0)</f>
        <v>0.31</v>
      </c>
      <c r="AB203" s="3"/>
      <c r="AD203">
        <f t="shared" ca="1" si="7"/>
        <v>6</v>
      </c>
      <c r="AF203" s="3"/>
      <c r="AG203" s="3"/>
      <c r="AH203" s="3"/>
    </row>
    <row r="204" spans="1:34">
      <c r="A204" s="198"/>
      <c r="B204" s="198"/>
      <c r="C204" s="198" t="s">
        <v>2525</v>
      </c>
      <c r="D204" s="235">
        <v>2095</v>
      </c>
      <c r="E204" s="195">
        <v>96</v>
      </c>
      <c r="F204" s="195">
        <v>96</v>
      </c>
      <c r="G204" s="239">
        <v>197</v>
      </c>
      <c r="H204" s="197" t="s">
        <v>81</v>
      </c>
      <c r="I204" s="242" t="s">
        <v>423</v>
      </c>
      <c r="J204" s="242" t="s">
        <v>13456</v>
      </c>
      <c r="K204" s="195" t="s">
        <v>70</v>
      </c>
      <c r="L204" s="20" t="str">
        <f ca="1">IF(OFFSET(환산공식!$ED$15,$F204,0)=1,"O","X")</f>
        <v>X</v>
      </c>
      <c r="M204" s="188">
        <f ca="1">IFERROR(OFFSET(환산공식!DJ$15,$F204,0),"")</f>
        <v>200</v>
      </c>
      <c r="N204" s="20" t="str">
        <f ca="1">IFERROR(CONCATENATE(ROUND(OFFSET(환산공식!DK$15,$F204,0),1),"%"),"")</f>
        <v>100%</v>
      </c>
      <c r="O204" s="20">
        <f ca="1">IFERROR(OFFSET(환산공식!DL$15,$F204,0),"")</f>
        <v>10</v>
      </c>
      <c r="P204" s="188" t="str">
        <f t="shared" ca="1" si="6"/>
        <v>3% 이하</v>
      </c>
      <c r="Q204" s="194">
        <f ca="1">IFERROR(ROUND(OFFSET(환산공식!$FG$15,$F204,0),3),"")</f>
        <v>0</v>
      </c>
      <c r="R204" s="194">
        <f ca="1">OFFSET('배치점수 계산기'!H$10,$D204,0)</f>
        <v>665.89700000000005</v>
      </c>
      <c r="S204" s="194">
        <f ca="1">OFFSET('배치점수 계산기'!I$10,$D204,0)</f>
        <v>664.39099999999996</v>
      </c>
      <c r="T204" s="194">
        <f ca="1">OFFSET('배치점수 계산기'!J$10,$D204,0)</f>
        <v>662.38099999999997</v>
      </c>
      <c r="U204" s="194">
        <f ca="1">OFFSET('배치점수 계산기'!K$10,$D204,0)</f>
        <v>659.55799999999999</v>
      </c>
      <c r="V204" s="194">
        <f ca="1">OFFSET('배치점수 계산기'!L$10,$D204,0)</f>
        <v>656.11599999999999</v>
      </c>
      <c r="W204" s="186" t="str">
        <f ca="1">OFFSET('배치점수 계산기'!M$10,$D204,0)</f>
        <v>표점</v>
      </c>
      <c r="X204" s="184" t="str">
        <f ca="1">OFFSET('배치점수 계산기'!N$10,$D204,0)</f>
        <v>변표</v>
      </c>
      <c r="Y204" s="188">
        <f ca="1">OFFSET(환산공식!FW$15,$F204,0)</f>
        <v>0.25</v>
      </c>
      <c r="Z204" s="20">
        <f ca="1">OFFSET(환산공식!FX$15,$F204,0)</f>
        <v>0.44</v>
      </c>
      <c r="AA204" s="179">
        <f ca="1">OFFSET(환산공식!FY$15,$F204,0)</f>
        <v>0.31</v>
      </c>
      <c r="AB204" s="3"/>
      <c r="AD204">
        <f t="shared" ca="1" si="7"/>
        <v>6</v>
      </c>
      <c r="AF204" s="3"/>
      <c r="AG204" s="3"/>
      <c r="AH204" s="3"/>
    </row>
    <row r="205" spans="1:34">
      <c r="A205" s="198"/>
      <c r="B205" s="198"/>
      <c r="C205" s="198" t="s">
        <v>2526</v>
      </c>
      <c r="D205" s="235">
        <v>2096</v>
      </c>
      <c r="E205" s="195">
        <v>97</v>
      </c>
      <c r="F205" s="195">
        <v>97</v>
      </c>
      <c r="G205" s="239">
        <v>198</v>
      </c>
      <c r="H205" s="197" t="s">
        <v>81</v>
      </c>
      <c r="I205" s="242" t="s">
        <v>423</v>
      </c>
      <c r="J205" s="242" t="s">
        <v>9921</v>
      </c>
      <c r="K205" s="195" t="s">
        <v>71</v>
      </c>
      <c r="L205" s="20" t="str">
        <f ca="1">IF(OFFSET(환산공식!$ED$15,$F205,0)=1,"O","X")</f>
        <v>X</v>
      </c>
      <c r="M205" s="188">
        <f ca="1">IFERROR(OFFSET(환산공식!DJ$15,$F205,0),"")</f>
        <v>200</v>
      </c>
      <c r="N205" s="20" t="str">
        <f ca="1">IFERROR(CONCATENATE(ROUND(OFFSET(환산공식!DK$15,$F205,0),1),"%"),"")</f>
        <v>100%</v>
      </c>
      <c r="O205" s="20">
        <f ca="1">IFERROR(OFFSET(환산공식!DL$15,$F205,0),"")</f>
        <v>10</v>
      </c>
      <c r="P205" s="188" t="str">
        <f t="shared" ca="1" si="6"/>
        <v>3% 이하</v>
      </c>
      <c r="Q205" s="194">
        <f ca="1">IFERROR(ROUND(OFFSET(환산공식!$FG$15,$F205,0),3),"")</f>
        <v>0</v>
      </c>
      <c r="R205" s="194">
        <f ca="1">OFFSET('배치점수 계산기'!H$10,$D205,0)</f>
        <v>691.38499999999999</v>
      </c>
      <c r="S205" s="194">
        <f ca="1">OFFSET('배치점수 계산기'!I$10,$D205,0)</f>
        <v>690.197</v>
      </c>
      <c r="T205" s="194">
        <f ca="1">OFFSET('배치점수 계산기'!J$10,$D205,0)</f>
        <v>688.32799999999997</v>
      </c>
      <c r="U205" s="194">
        <f ca="1">OFFSET('배치점수 계산기'!K$10,$D205,0)</f>
        <v>685.46299999999997</v>
      </c>
      <c r="V205" s="194">
        <f ca="1">OFFSET('배치점수 계산기'!L$10,$D205,0)</f>
        <v>682.79700000000003</v>
      </c>
      <c r="W205" s="186" t="str">
        <f ca="1">OFFSET('배치점수 계산기'!M$10,$D205,0)</f>
        <v>표점</v>
      </c>
      <c r="X205" s="184" t="str">
        <f ca="1">OFFSET('배치점수 계산기'!N$10,$D205,0)</f>
        <v>변표</v>
      </c>
      <c r="Y205" s="188">
        <f ca="1">OFFSET(환산공식!FW$15,$F205,0)</f>
        <v>0.38</v>
      </c>
      <c r="Z205" s="20">
        <f ca="1">OFFSET(환산공식!FX$15,$F205,0)</f>
        <v>0.31</v>
      </c>
      <c r="AA205" s="179">
        <f ca="1">OFFSET(환산공식!FY$15,$F205,0)</f>
        <v>0.31</v>
      </c>
      <c r="AB205" s="3"/>
      <c r="AD205">
        <f t="shared" ca="1" si="7"/>
        <v>6</v>
      </c>
      <c r="AF205" s="3"/>
      <c r="AG205" s="3"/>
      <c r="AH205" s="3"/>
    </row>
    <row r="206" spans="1:34">
      <c r="A206" s="198"/>
      <c r="B206" s="198"/>
      <c r="C206" s="198" t="s">
        <v>2527</v>
      </c>
      <c r="D206" s="235">
        <v>2097</v>
      </c>
      <c r="E206" s="195">
        <v>97</v>
      </c>
      <c r="F206" s="195">
        <v>97</v>
      </c>
      <c r="G206" s="239">
        <v>199</v>
      </c>
      <c r="H206" s="197" t="s">
        <v>81</v>
      </c>
      <c r="I206" s="242" t="s">
        <v>423</v>
      </c>
      <c r="J206" s="242" t="s">
        <v>8726</v>
      </c>
      <c r="K206" s="195" t="s">
        <v>71</v>
      </c>
      <c r="L206" s="20" t="str">
        <f ca="1">IF(OFFSET(환산공식!$ED$15,$F206,0)=1,"O","X")</f>
        <v>X</v>
      </c>
      <c r="M206" s="188">
        <f ca="1">IFERROR(OFFSET(환산공식!DJ$15,$F206,0),"")</f>
        <v>200</v>
      </c>
      <c r="N206" s="20" t="str">
        <f ca="1">IFERROR(CONCATENATE(ROUND(OFFSET(환산공식!DK$15,$F206,0),1),"%"),"")</f>
        <v>100%</v>
      </c>
      <c r="O206" s="20">
        <f ca="1">IFERROR(OFFSET(환산공식!DL$15,$F206,0),"")</f>
        <v>10</v>
      </c>
      <c r="P206" s="188" t="str">
        <f t="shared" ca="1" si="6"/>
        <v>3% 이하</v>
      </c>
      <c r="Q206" s="194">
        <f ca="1">IFERROR(ROUND(OFFSET(환산공식!$FG$15,$F206,0),3),"")</f>
        <v>0</v>
      </c>
      <c r="R206" s="194">
        <f ca="1">OFFSET('배치점수 계산기'!H$10,$D206,0)</f>
        <v>690.75</v>
      </c>
      <c r="S206" s="194">
        <f ca="1">OFFSET('배치점수 계산기'!I$10,$D206,0)</f>
        <v>689.52300000000002</v>
      </c>
      <c r="T206" s="194">
        <f ca="1">OFFSET('배치점수 계산기'!J$10,$D206,0)</f>
        <v>687.70799999999997</v>
      </c>
      <c r="U206" s="194">
        <f ca="1">OFFSET('배치점수 계산기'!K$10,$D206,0)</f>
        <v>685.00199999999995</v>
      </c>
      <c r="V206" s="194">
        <f ca="1">OFFSET('배치점수 계산기'!L$10,$D206,0)</f>
        <v>682.26800000000003</v>
      </c>
      <c r="W206" s="186" t="str">
        <f ca="1">OFFSET('배치점수 계산기'!M$10,$D206,0)</f>
        <v>표점</v>
      </c>
      <c r="X206" s="184" t="str">
        <f ca="1">OFFSET('배치점수 계산기'!N$10,$D206,0)</f>
        <v>변표</v>
      </c>
      <c r="Y206" s="188">
        <f ca="1">OFFSET(환산공식!FW$15,$F206,0)</f>
        <v>0.38</v>
      </c>
      <c r="Z206" s="20">
        <f ca="1">OFFSET(환산공식!FX$15,$F206,0)</f>
        <v>0.31</v>
      </c>
      <c r="AA206" s="179">
        <f ca="1">OFFSET(환산공식!FY$15,$F206,0)</f>
        <v>0.31</v>
      </c>
      <c r="AB206" s="3"/>
      <c r="AD206">
        <f t="shared" ca="1" si="7"/>
        <v>6</v>
      </c>
      <c r="AF206" s="3"/>
      <c r="AG206" s="3"/>
      <c r="AH206" s="3"/>
    </row>
    <row r="207" spans="1:34">
      <c r="A207" s="198"/>
      <c r="B207" s="198"/>
      <c r="C207" s="198" t="s">
        <v>2528</v>
      </c>
      <c r="D207" s="235">
        <v>2098</v>
      </c>
      <c r="E207" s="195">
        <v>98</v>
      </c>
      <c r="F207" s="195">
        <v>98</v>
      </c>
      <c r="G207" s="239">
        <v>200</v>
      </c>
      <c r="H207" s="197" t="s">
        <v>81</v>
      </c>
      <c r="I207" s="242" t="s">
        <v>423</v>
      </c>
      <c r="J207" s="242" t="s">
        <v>11592</v>
      </c>
      <c r="K207" s="195" t="s">
        <v>71</v>
      </c>
      <c r="L207" s="20" t="str">
        <f ca="1">IF(OFFSET(환산공식!$ED$15,$F207,0)=1,"O","X")</f>
        <v>X</v>
      </c>
      <c r="M207" s="188">
        <f ca="1">IFERROR(OFFSET(환산공식!DJ$15,$F207,0),"")</f>
        <v>200</v>
      </c>
      <c r="N207" s="20" t="str">
        <f ca="1">IFERROR(CONCATENATE(ROUND(OFFSET(환산공식!DK$15,$F207,0),1),"%"),"")</f>
        <v>100%</v>
      </c>
      <c r="O207" s="20">
        <f ca="1">IFERROR(OFFSET(환산공식!DL$15,$F207,0),"")</f>
        <v>10</v>
      </c>
      <c r="P207" s="188" t="str">
        <f t="shared" ca="1" si="6"/>
        <v>3% 이하</v>
      </c>
      <c r="Q207" s="194">
        <f ca="1">IFERROR(ROUND(OFFSET(환산공식!$FG$15,$F207,0),3),"")</f>
        <v>0</v>
      </c>
      <c r="R207" s="194">
        <f ca="1">OFFSET('배치점수 계산기'!H$10,$D207,0)</f>
        <v>690.91600000000005</v>
      </c>
      <c r="S207" s="194">
        <f ca="1">OFFSET('배치점수 계산기'!I$10,$D207,0)</f>
        <v>689.45899999999995</v>
      </c>
      <c r="T207" s="194">
        <f ca="1">OFFSET('배치점수 계산기'!J$10,$D207,0)</f>
        <v>687.63099999999997</v>
      </c>
      <c r="U207" s="194">
        <f ca="1">OFFSET('배치점수 계산기'!K$10,$D207,0)</f>
        <v>684.98800000000006</v>
      </c>
      <c r="V207" s="194">
        <f ca="1">OFFSET('배치점수 계산기'!L$10,$D207,0)</f>
        <v>682.33900000000006</v>
      </c>
      <c r="W207" s="186" t="str">
        <f ca="1">OFFSET('배치점수 계산기'!M$10,$D207,0)</f>
        <v>표점</v>
      </c>
      <c r="X207" s="184" t="str">
        <f ca="1">OFFSET('배치점수 계산기'!N$10,$D207,0)</f>
        <v>변표</v>
      </c>
      <c r="Y207" s="188">
        <f ca="1">OFFSET(환산공식!FW$15,$F207,0)</f>
        <v>0.38</v>
      </c>
      <c r="Z207" s="20">
        <f ca="1">OFFSET(환산공식!FX$15,$F207,0)</f>
        <v>0.38</v>
      </c>
      <c r="AA207" s="179">
        <f ca="1">OFFSET(환산공식!FY$15,$F207,0)</f>
        <v>0.25</v>
      </c>
      <c r="AB207" s="3"/>
      <c r="AD207">
        <f t="shared" ca="1" si="7"/>
        <v>6</v>
      </c>
      <c r="AF207" s="3"/>
      <c r="AG207" s="3"/>
      <c r="AH207" s="3"/>
    </row>
    <row r="208" spans="1:34">
      <c r="A208" s="198"/>
      <c r="B208" s="198"/>
      <c r="C208" s="198" t="s">
        <v>2529</v>
      </c>
      <c r="D208" s="235">
        <v>2099</v>
      </c>
      <c r="E208" s="195">
        <v>97</v>
      </c>
      <c r="F208" s="195">
        <v>97</v>
      </c>
      <c r="G208" s="239">
        <v>201</v>
      </c>
      <c r="H208" s="197" t="s">
        <v>81</v>
      </c>
      <c r="I208" s="242" t="s">
        <v>423</v>
      </c>
      <c r="J208" s="242" t="s">
        <v>11688</v>
      </c>
      <c r="K208" s="195" t="s">
        <v>71</v>
      </c>
      <c r="L208" s="20" t="str">
        <f ca="1">IF(OFFSET(환산공식!$ED$15,$F208,0)=1,"O","X")</f>
        <v>X</v>
      </c>
      <c r="M208" s="188">
        <f ca="1">IFERROR(OFFSET(환산공식!DJ$15,$F208,0),"")</f>
        <v>200</v>
      </c>
      <c r="N208" s="20" t="str">
        <f ca="1">IFERROR(CONCATENATE(ROUND(OFFSET(환산공식!DK$15,$F208,0),1),"%"),"")</f>
        <v>100%</v>
      </c>
      <c r="O208" s="20">
        <f ca="1">IFERROR(OFFSET(환산공식!DL$15,$F208,0),"")</f>
        <v>10</v>
      </c>
      <c r="P208" s="188" t="str">
        <f t="shared" ca="1" si="6"/>
        <v>3% 이하</v>
      </c>
      <c r="Q208" s="194">
        <f ca="1">IFERROR(ROUND(OFFSET(환산공식!$FG$15,$F208,0),3),"")</f>
        <v>0</v>
      </c>
      <c r="R208" s="194">
        <f ca="1">OFFSET('배치점수 계산기'!H$10,$D208,0)</f>
        <v>689.71199999999999</v>
      </c>
      <c r="S208" s="194">
        <f ca="1">OFFSET('배치점수 계산기'!I$10,$D208,0)</f>
        <v>688.51</v>
      </c>
      <c r="T208" s="194">
        <f ca="1">OFFSET('배치점수 계산기'!J$10,$D208,0)</f>
        <v>686.822</v>
      </c>
      <c r="U208" s="194">
        <f ca="1">OFFSET('배치점수 계산기'!K$10,$D208,0)</f>
        <v>684.11199999999997</v>
      </c>
      <c r="V208" s="194">
        <f ca="1">OFFSET('배치점수 계산기'!L$10,$D208,0)</f>
        <v>681.34199999999998</v>
      </c>
      <c r="W208" s="186" t="str">
        <f ca="1">OFFSET('배치점수 계산기'!M$10,$D208,0)</f>
        <v>표점</v>
      </c>
      <c r="X208" s="184" t="str">
        <f ca="1">OFFSET('배치점수 계산기'!N$10,$D208,0)</f>
        <v>변표</v>
      </c>
      <c r="Y208" s="188">
        <f ca="1">OFFSET(환산공식!FW$15,$F208,0)</f>
        <v>0.38</v>
      </c>
      <c r="Z208" s="20">
        <f ca="1">OFFSET(환산공식!FX$15,$F208,0)</f>
        <v>0.31</v>
      </c>
      <c r="AA208" s="179">
        <f ca="1">OFFSET(환산공식!FY$15,$F208,0)</f>
        <v>0.31</v>
      </c>
      <c r="AB208" s="3"/>
      <c r="AD208">
        <f t="shared" ca="1" si="7"/>
        <v>6</v>
      </c>
      <c r="AF208" s="3"/>
      <c r="AG208" s="3"/>
      <c r="AH208" s="3"/>
    </row>
    <row r="209" spans="1:34">
      <c r="A209" s="198"/>
      <c r="B209" s="198"/>
      <c r="C209" s="198" t="s">
        <v>2530</v>
      </c>
      <c r="D209" s="235">
        <v>2100</v>
      </c>
      <c r="E209" s="195">
        <v>97</v>
      </c>
      <c r="F209" s="195">
        <v>97</v>
      </c>
      <c r="G209" s="239">
        <v>202</v>
      </c>
      <c r="H209" s="197" t="s">
        <v>81</v>
      </c>
      <c r="I209" s="242" t="s">
        <v>423</v>
      </c>
      <c r="J209" s="242" t="s">
        <v>11197</v>
      </c>
      <c r="K209" s="195" t="s">
        <v>71</v>
      </c>
      <c r="L209" s="20" t="str">
        <f ca="1">IF(OFFSET(환산공식!$ED$15,$F209,0)=1,"O","X")</f>
        <v>X</v>
      </c>
      <c r="M209" s="188">
        <f ca="1">IFERROR(OFFSET(환산공식!DJ$15,$F209,0),"")</f>
        <v>200</v>
      </c>
      <c r="N209" s="20" t="str">
        <f ca="1">IFERROR(CONCATENATE(ROUND(OFFSET(환산공식!DK$15,$F209,0),1),"%"),"")</f>
        <v>100%</v>
      </c>
      <c r="O209" s="20">
        <f ca="1">IFERROR(OFFSET(환산공식!DL$15,$F209,0),"")</f>
        <v>10</v>
      </c>
      <c r="P209" s="188" t="str">
        <f t="shared" ca="1" si="6"/>
        <v>3% 이하</v>
      </c>
      <c r="Q209" s="194">
        <f ca="1">IFERROR(ROUND(OFFSET(환산공식!$FG$15,$F209,0),3),"")</f>
        <v>0</v>
      </c>
      <c r="R209" s="194">
        <f ca="1">OFFSET('배치점수 계산기'!H$10,$D209,0)</f>
        <v>689.95500000000004</v>
      </c>
      <c r="S209" s="194">
        <f ca="1">OFFSET('배치점수 계산기'!I$10,$D209,0)</f>
        <v>688.45299999999997</v>
      </c>
      <c r="T209" s="194">
        <f ca="1">OFFSET('배치점수 계산기'!J$10,$D209,0)</f>
        <v>686.58</v>
      </c>
      <c r="U209" s="194">
        <f ca="1">OFFSET('배치점수 계산기'!K$10,$D209,0)</f>
        <v>683.98699999999997</v>
      </c>
      <c r="V209" s="194">
        <f ca="1">OFFSET('배치점수 계산기'!L$10,$D209,0)</f>
        <v>681.34199999999998</v>
      </c>
      <c r="W209" s="186" t="str">
        <f ca="1">OFFSET('배치점수 계산기'!M$10,$D209,0)</f>
        <v>표점</v>
      </c>
      <c r="X209" s="184" t="str">
        <f ca="1">OFFSET('배치점수 계산기'!N$10,$D209,0)</f>
        <v>변표</v>
      </c>
      <c r="Y209" s="188">
        <f ca="1">OFFSET(환산공식!FW$15,$F209,0)</f>
        <v>0.38</v>
      </c>
      <c r="Z209" s="20">
        <f ca="1">OFFSET(환산공식!FX$15,$F209,0)</f>
        <v>0.31</v>
      </c>
      <c r="AA209" s="179">
        <f ca="1">OFFSET(환산공식!FY$15,$F209,0)</f>
        <v>0.31</v>
      </c>
      <c r="AB209" s="3"/>
      <c r="AD209">
        <f t="shared" ca="1" si="7"/>
        <v>6</v>
      </c>
      <c r="AF209" s="3"/>
      <c r="AG209" s="3"/>
      <c r="AH209" s="3"/>
    </row>
    <row r="210" spans="1:34">
      <c r="A210" s="198"/>
      <c r="B210" s="198"/>
      <c r="C210" s="198" t="s">
        <v>2531</v>
      </c>
      <c r="D210" s="235">
        <v>2101</v>
      </c>
      <c r="E210" s="195">
        <v>98</v>
      </c>
      <c r="F210" s="195">
        <v>98</v>
      </c>
      <c r="G210" s="239">
        <v>203</v>
      </c>
      <c r="H210" s="197" t="s">
        <v>81</v>
      </c>
      <c r="I210" s="242" t="s">
        <v>423</v>
      </c>
      <c r="J210" s="242" t="s">
        <v>11662</v>
      </c>
      <c r="K210" s="195" t="s">
        <v>71</v>
      </c>
      <c r="L210" s="20" t="str">
        <f ca="1">IF(OFFSET(환산공식!$ED$15,$F210,0)=1,"O","X")</f>
        <v>X</v>
      </c>
      <c r="M210" s="188">
        <f ca="1">IFERROR(OFFSET(환산공식!DJ$15,$F210,0),"")</f>
        <v>200</v>
      </c>
      <c r="N210" s="20" t="str">
        <f ca="1">IFERROR(CONCATENATE(ROUND(OFFSET(환산공식!DK$15,$F210,0),1),"%"),"")</f>
        <v>100%</v>
      </c>
      <c r="O210" s="20">
        <f ca="1">IFERROR(OFFSET(환산공식!DL$15,$F210,0),"")</f>
        <v>10</v>
      </c>
      <c r="P210" s="188" t="str">
        <f t="shared" ca="1" si="6"/>
        <v>3% 이하</v>
      </c>
      <c r="Q210" s="194">
        <f ca="1">IFERROR(ROUND(OFFSET(환산공식!$FG$15,$F210,0),3),"")</f>
        <v>0</v>
      </c>
      <c r="R210" s="194">
        <f ca="1">OFFSET('배치점수 계산기'!H$10,$D210,0)</f>
        <v>689.20799999999997</v>
      </c>
      <c r="S210" s="194">
        <f ca="1">OFFSET('배치점수 계산기'!I$10,$D210,0)</f>
        <v>687.98299999999995</v>
      </c>
      <c r="T210" s="194">
        <f ca="1">OFFSET('배치점수 계산기'!J$10,$D210,0)</f>
        <v>686.34799999999996</v>
      </c>
      <c r="U210" s="194">
        <f ca="1">OFFSET('배치점수 계산기'!K$10,$D210,0)</f>
        <v>683.71900000000005</v>
      </c>
      <c r="V210" s="194">
        <f ca="1">OFFSET('배치점수 계산기'!L$10,$D210,0)</f>
        <v>681.197</v>
      </c>
      <c r="W210" s="186" t="str">
        <f ca="1">OFFSET('배치점수 계산기'!M$10,$D210,0)</f>
        <v>표점</v>
      </c>
      <c r="X210" s="184" t="str">
        <f ca="1">OFFSET('배치점수 계산기'!N$10,$D210,0)</f>
        <v>변표</v>
      </c>
      <c r="Y210" s="188">
        <f ca="1">OFFSET(환산공식!FW$15,$F210,0)</f>
        <v>0.38</v>
      </c>
      <c r="Z210" s="20">
        <f ca="1">OFFSET(환산공식!FX$15,$F210,0)</f>
        <v>0.38</v>
      </c>
      <c r="AA210" s="179">
        <f ca="1">OFFSET(환산공식!FY$15,$F210,0)</f>
        <v>0.25</v>
      </c>
      <c r="AB210" s="3"/>
      <c r="AD210">
        <f t="shared" ca="1" si="7"/>
        <v>6</v>
      </c>
      <c r="AF210" s="3"/>
      <c r="AG210" s="3"/>
      <c r="AH210" s="3"/>
    </row>
    <row r="211" spans="1:34">
      <c r="A211" s="198"/>
      <c r="B211" s="198"/>
      <c r="C211" s="198" t="s">
        <v>2532</v>
      </c>
      <c r="D211" s="235">
        <v>2102</v>
      </c>
      <c r="E211" s="195">
        <v>97</v>
      </c>
      <c r="F211" s="195">
        <v>97</v>
      </c>
      <c r="G211" s="239">
        <v>204</v>
      </c>
      <c r="H211" s="197" t="s">
        <v>81</v>
      </c>
      <c r="I211" s="242" t="s">
        <v>423</v>
      </c>
      <c r="J211" s="242" t="s">
        <v>11739</v>
      </c>
      <c r="K211" s="195" t="s">
        <v>71</v>
      </c>
      <c r="L211" s="20" t="str">
        <f ca="1">IF(OFFSET(환산공식!$ED$15,$F211,0)=1,"O","X")</f>
        <v>X</v>
      </c>
      <c r="M211" s="188">
        <f ca="1">IFERROR(OFFSET(환산공식!DJ$15,$F211,0),"")</f>
        <v>200</v>
      </c>
      <c r="N211" s="20" t="str">
        <f ca="1">IFERROR(CONCATENATE(ROUND(OFFSET(환산공식!DK$15,$F211,0),1),"%"),"")</f>
        <v>100%</v>
      </c>
      <c r="O211" s="20">
        <f ca="1">IFERROR(OFFSET(환산공식!DL$15,$F211,0),"")</f>
        <v>10</v>
      </c>
      <c r="P211" s="188" t="str">
        <f t="shared" ca="1" si="6"/>
        <v>3% 이하</v>
      </c>
      <c r="Q211" s="194">
        <f ca="1">IFERROR(ROUND(OFFSET(환산공식!$FG$15,$F211,0),3),"")</f>
        <v>0</v>
      </c>
      <c r="R211" s="194">
        <f ca="1">OFFSET('배치점수 계산기'!H$10,$D211,0)</f>
        <v>688.85199999999998</v>
      </c>
      <c r="S211" s="194">
        <f ca="1">OFFSET('배치점수 계산기'!I$10,$D211,0)</f>
        <v>687.70799999999997</v>
      </c>
      <c r="T211" s="194">
        <f ca="1">OFFSET('배치점수 계산기'!J$10,$D211,0)</f>
        <v>685.9</v>
      </c>
      <c r="U211" s="194">
        <f ca="1">OFFSET('배치점수 계산기'!K$10,$D211,0)</f>
        <v>683.33500000000004</v>
      </c>
      <c r="V211" s="194">
        <f ca="1">OFFSET('배치점수 계산기'!L$10,$D211,0)</f>
        <v>680.72500000000002</v>
      </c>
      <c r="W211" s="186" t="str">
        <f ca="1">OFFSET('배치점수 계산기'!M$10,$D211,0)</f>
        <v>표점</v>
      </c>
      <c r="X211" s="184" t="str">
        <f ca="1">OFFSET('배치점수 계산기'!N$10,$D211,0)</f>
        <v>변표</v>
      </c>
      <c r="Y211" s="188">
        <f ca="1">OFFSET(환산공식!FW$15,$F211,0)</f>
        <v>0.38</v>
      </c>
      <c r="Z211" s="20">
        <f ca="1">OFFSET(환산공식!FX$15,$F211,0)</f>
        <v>0.31</v>
      </c>
      <c r="AA211" s="179">
        <f ca="1">OFFSET(환산공식!FY$15,$F211,0)</f>
        <v>0.31</v>
      </c>
      <c r="AB211" s="3"/>
      <c r="AD211">
        <f t="shared" ca="1" si="7"/>
        <v>6</v>
      </c>
      <c r="AF211" s="3"/>
      <c r="AG211" s="3"/>
      <c r="AH211" s="3"/>
    </row>
    <row r="212" spans="1:34">
      <c r="A212" s="198"/>
      <c r="B212" s="198"/>
      <c r="C212" s="198" t="s">
        <v>2533</v>
      </c>
      <c r="D212" s="235">
        <v>2103</v>
      </c>
      <c r="E212" s="195">
        <v>97</v>
      </c>
      <c r="F212" s="195">
        <v>97</v>
      </c>
      <c r="G212" s="239">
        <v>205</v>
      </c>
      <c r="H212" s="197" t="s">
        <v>81</v>
      </c>
      <c r="I212" s="242" t="s">
        <v>423</v>
      </c>
      <c r="J212" s="242" t="s">
        <v>8618</v>
      </c>
      <c r="K212" s="195" t="s">
        <v>71</v>
      </c>
      <c r="L212" s="20" t="str">
        <f ca="1">IF(OFFSET(환산공식!$ED$15,$F212,0)=1,"O","X")</f>
        <v>X</v>
      </c>
      <c r="M212" s="188">
        <f ca="1">IFERROR(OFFSET(환산공식!DJ$15,$F212,0),"")</f>
        <v>200</v>
      </c>
      <c r="N212" s="20" t="str">
        <f ca="1">IFERROR(CONCATENATE(ROUND(OFFSET(환산공식!DK$15,$F212,0),1),"%"),"")</f>
        <v>100%</v>
      </c>
      <c r="O212" s="20">
        <f ca="1">IFERROR(OFFSET(환산공식!DL$15,$F212,0),"")</f>
        <v>10</v>
      </c>
      <c r="P212" s="188" t="str">
        <f t="shared" ca="1" si="6"/>
        <v>3% 이하</v>
      </c>
      <c r="Q212" s="194">
        <f ca="1">IFERROR(ROUND(OFFSET(환산공식!$FG$15,$F212,0),3),"")</f>
        <v>0</v>
      </c>
      <c r="R212" s="194">
        <f ca="1">OFFSET('배치점수 계산기'!H$10,$D212,0)</f>
        <v>687.00800000000004</v>
      </c>
      <c r="S212" s="194">
        <f ca="1">OFFSET('배치점수 계산기'!I$10,$D212,0)</f>
        <v>685.9</v>
      </c>
      <c r="T212" s="194">
        <f ca="1">OFFSET('배치점수 계산기'!J$10,$D212,0)</f>
        <v>684.298</v>
      </c>
      <c r="U212" s="194">
        <f ca="1">OFFSET('배치점수 계산기'!K$10,$D212,0)</f>
        <v>681.58799999999997</v>
      </c>
      <c r="V212" s="194">
        <f ca="1">OFFSET('배치점수 계산기'!L$10,$D212,0)</f>
        <v>679.26199999999994</v>
      </c>
      <c r="W212" s="186" t="str">
        <f ca="1">OFFSET('배치점수 계산기'!M$10,$D212,0)</f>
        <v>표점</v>
      </c>
      <c r="X212" s="184" t="str">
        <f ca="1">OFFSET('배치점수 계산기'!N$10,$D212,0)</f>
        <v>변표</v>
      </c>
      <c r="Y212" s="188">
        <f ca="1">OFFSET(환산공식!FW$15,$F212,0)</f>
        <v>0.38</v>
      </c>
      <c r="Z212" s="20">
        <f ca="1">OFFSET(환산공식!FX$15,$F212,0)</f>
        <v>0.31</v>
      </c>
      <c r="AA212" s="179">
        <f ca="1">OFFSET(환산공식!FY$15,$F212,0)</f>
        <v>0.31</v>
      </c>
      <c r="AB212" s="3"/>
      <c r="AD212">
        <f t="shared" ca="1" si="7"/>
        <v>6</v>
      </c>
      <c r="AF212" s="3"/>
      <c r="AG212" s="3"/>
      <c r="AH212" s="3"/>
    </row>
    <row r="213" spans="1:34">
      <c r="A213" s="198"/>
      <c r="B213" s="198"/>
      <c r="C213" s="198" t="s">
        <v>2534</v>
      </c>
      <c r="D213" s="235">
        <v>2104</v>
      </c>
      <c r="E213" s="195">
        <v>97</v>
      </c>
      <c r="F213" s="195">
        <v>97</v>
      </c>
      <c r="G213" s="239">
        <v>206</v>
      </c>
      <c r="H213" s="197" t="s">
        <v>81</v>
      </c>
      <c r="I213" s="242" t="s">
        <v>423</v>
      </c>
      <c r="J213" s="242" t="s">
        <v>7365</v>
      </c>
      <c r="K213" s="195" t="s">
        <v>71</v>
      </c>
      <c r="L213" s="20" t="str">
        <f ca="1">IF(OFFSET(환산공식!$ED$15,$F213,0)=1,"O","X")</f>
        <v>X</v>
      </c>
      <c r="M213" s="188">
        <f ca="1">IFERROR(OFFSET(환산공식!DJ$15,$F213,0),"")</f>
        <v>200</v>
      </c>
      <c r="N213" s="20" t="str">
        <f ca="1">IFERROR(CONCATENATE(ROUND(OFFSET(환산공식!DK$15,$F213,0),1),"%"),"")</f>
        <v>100%</v>
      </c>
      <c r="O213" s="20">
        <f ca="1">IFERROR(OFFSET(환산공식!DL$15,$F213,0),"")</f>
        <v>10</v>
      </c>
      <c r="P213" s="188" t="str">
        <f t="shared" ca="1" si="6"/>
        <v>3% 이하</v>
      </c>
      <c r="Q213" s="194">
        <f ca="1">IFERROR(ROUND(OFFSET(환산공식!$FG$15,$F213,0),3),"")</f>
        <v>0</v>
      </c>
      <c r="R213" s="194">
        <f ca="1">OFFSET('배치점수 계산기'!H$10,$D213,0)</f>
        <v>686.11800000000005</v>
      </c>
      <c r="S213" s="194">
        <f ca="1">OFFSET('배치점수 계산기'!I$10,$D213,0)</f>
        <v>685.00199999999995</v>
      </c>
      <c r="T213" s="194">
        <f ca="1">OFFSET('배치점수 계산기'!J$10,$D213,0)</f>
        <v>683.51700000000005</v>
      </c>
      <c r="U213" s="194">
        <f ca="1">OFFSET('배치점수 계산기'!K$10,$D213,0)</f>
        <v>680.85</v>
      </c>
      <c r="V213" s="194">
        <f ca="1">OFFSET('배치점수 계산기'!L$10,$D213,0)</f>
        <v>678.51499999999999</v>
      </c>
      <c r="W213" s="186" t="str">
        <f ca="1">OFFSET('배치점수 계산기'!M$10,$D213,0)</f>
        <v>표점</v>
      </c>
      <c r="X213" s="184" t="str">
        <f ca="1">OFFSET('배치점수 계산기'!N$10,$D213,0)</f>
        <v>변표</v>
      </c>
      <c r="Y213" s="188">
        <f ca="1">OFFSET(환산공식!FW$15,$F213,0)</f>
        <v>0.38</v>
      </c>
      <c r="Z213" s="20">
        <f ca="1">OFFSET(환산공식!FX$15,$F213,0)</f>
        <v>0.31</v>
      </c>
      <c r="AA213" s="179">
        <f ca="1">OFFSET(환산공식!FY$15,$F213,0)</f>
        <v>0.31</v>
      </c>
      <c r="AB213" s="3"/>
      <c r="AD213">
        <f t="shared" ca="1" si="7"/>
        <v>6</v>
      </c>
      <c r="AF213" s="3"/>
      <c r="AG213" s="3"/>
      <c r="AH213" s="3"/>
    </row>
    <row r="214" spans="1:34">
      <c r="A214" s="198"/>
      <c r="B214" s="198"/>
      <c r="C214" s="198" t="s">
        <v>2535</v>
      </c>
      <c r="D214" s="235">
        <v>2105</v>
      </c>
      <c r="E214" s="195">
        <v>97</v>
      </c>
      <c r="F214" s="195">
        <v>97</v>
      </c>
      <c r="G214" s="239">
        <v>207</v>
      </c>
      <c r="H214" s="197" t="s">
        <v>81</v>
      </c>
      <c r="I214" s="242" t="s">
        <v>423</v>
      </c>
      <c r="J214" s="242" t="s">
        <v>12509</v>
      </c>
      <c r="K214" s="195" t="s">
        <v>71</v>
      </c>
      <c r="L214" s="20" t="str">
        <f ca="1">IF(OFFSET(환산공식!$ED$15,$F214,0)=1,"O","X")</f>
        <v>X</v>
      </c>
      <c r="M214" s="188">
        <f ca="1">IFERROR(OFFSET(환산공식!DJ$15,$F214,0),"")</f>
        <v>200</v>
      </c>
      <c r="N214" s="20" t="str">
        <f ca="1">IFERROR(CONCATENATE(ROUND(OFFSET(환산공식!DK$15,$F214,0),1),"%"),"")</f>
        <v>100%</v>
      </c>
      <c r="O214" s="20">
        <f ca="1">IFERROR(OFFSET(환산공식!DL$15,$F214,0),"")</f>
        <v>10</v>
      </c>
      <c r="P214" s="188" t="str">
        <f t="shared" ca="1" si="6"/>
        <v>3% 이하</v>
      </c>
      <c r="Q214" s="194">
        <f ca="1">IFERROR(ROUND(OFFSET(환산공식!$FG$15,$F214,0),3),"")</f>
        <v>0</v>
      </c>
      <c r="R214" s="194">
        <f ca="1">OFFSET('배치점수 계산기'!H$10,$D214,0)</f>
        <v>676.99</v>
      </c>
      <c r="S214" s="194">
        <f ca="1">OFFSET('배치점수 계산기'!I$10,$D214,0)</f>
        <v>675.49</v>
      </c>
      <c r="T214" s="194">
        <f ca="1">OFFSET('배치점수 계산기'!J$10,$D214,0)</f>
        <v>673.88499999999999</v>
      </c>
      <c r="U214" s="194">
        <f ca="1">OFFSET('배치점수 계산기'!K$10,$D214,0)</f>
        <v>671.61500000000001</v>
      </c>
      <c r="V214" s="194">
        <f ca="1">OFFSET('배치점수 계산기'!L$10,$D214,0)</f>
        <v>669.04499999999996</v>
      </c>
      <c r="W214" s="186" t="str">
        <f ca="1">OFFSET('배치점수 계산기'!M$10,$D214,0)</f>
        <v>표점</v>
      </c>
      <c r="X214" s="184" t="str">
        <f ca="1">OFFSET('배치점수 계산기'!N$10,$D214,0)</f>
        <v>변표</v>
      </c>
      <c r="Y214" s="188">
        <f ca="1">OFFSET(환산공식!FW$15,$F214,0)</f>
        <v>0.38</v>
      </c>
      <c r="Z214" s="20">
        <f ca="1">OFFSET(환산공식!FX$15,$F214,0)</f>
        <v>0.31</v>
      </c>
      <c r="AA214" s="179">
        <f ca="1">OFFSET(환산공식!FY$15,$F214,0)</f>
        <v>0.31</v>
      </c>
      <c r="AB214" s="3"/>
      <c r="AD214">
        <f t="shared" ca="1" si="7"/>
        <v>6</v>
      </c>
      <c r="AF214" s="3"/>
      <c r="AG214" s="3"/>
      <c r="AH214" s="3"/>
    </row>
    <row r="215" spans="1:34">
      <c r="A215" s="198"/>
      <c r="B215" s="198"/>
      <c r="C215" s="198" t="s">
        <v>2536</v>
      </c>
      <c r="D215" s="235">
        <v>2106</v>
      </c>
      <c r="E215" s="195">
        <v>97</v>
      </c>
      <c r="F215" s="195">
        <v>97</v>
      </c>
      <c r="G215" s="239">
        <v>208</v>
      </c>
      <c r="H215" s="197" t="s">
        <v>81</v>
      </c>
      <c r="I215" s="242" t="s">
        <v>423</v>
      </c>
      <c r="J215" s="242" t="s">
        <v>12795</v>
      </c>
      <c r="K215" s="195" t="s">
        <v>71</v>
      </c>
      <c r="L215" s="20" t="str">
        <f ca="1">IF(OFFSET(환산공식!$ED$15,$F215,0)=1,"O","X")</f>
        <v>X</v>
      </c>
      <c r="M215" s="188">
        <f ca="1">IFERROR(OFFSET(환산공식!DJ$15,$F215,0),"")</f>
        <v>200</v>
      </c>
      <c r="N215" s="20" t="str">
        <f ca="1">IFERROR(CONCATENATE(ROUND(OFFSET(환산공식!DK$15,$F215,0),1),"%"),"")</f>
        <v>100%</v>
      </c>
      <c r="O215" s="20">
        <f ca="1">IFERROR(OFFSET(환산공식!DL$15,$F215,0),"")</f>
        <v>10</v>
      </c>
      <c r="P215" s="188" t="str">
        <f t="shared" ca="1" si="6"/>
        <v>3% 이하</v>
      </c>
      <c r="Q215" s="194">
        <f ca="1">IFERROR(ROUND(OFFSET(환산공식!$FG$15,$F215,0),3),"")</f>
        <v>0</v>
      </c>
      <c r="R215" s="194">
        <f ca="1">OFFSET('배치점수 계산기'!H$10,$D215,0)</f>
        <v>671.02300000000002</v>
      </c>
      <c r="S215" s="194">
        <f ca="1">OFFSET('배치점수 계산기'!I$10,$D215,0)</f>
        <v>669.66300000000001</v>
      </c>
      <c r="T215" s="194">
        <f ca="1">OFFSET('배치점수 계산기'!J$10,$D215,0)</f>
        <v>667.88800000000003</v>
      </c>
      <c r="U215" s="194">
        <f ca="1">OFFSET('배치점수 계산기'!K$10,$D215,0)</f>
        <v>664.96799999999996</v>
      </c>
      <c r="V215" s="194">
        <f ca="1">OFFSET('배치점수 계산기'!L$10,$D215,0)</f>
        <v>661.65700000000004</v>
      </c>
      <c r="W215" s="186" t="str">
        <f ca="1">OFFSET('배치점수 계산기'!M$10,$D215,0)</f>
        <v>표점</v>
      </c>
      <c r="X215" s="184" t="str">
        <f ca="1">OFFSET('배치점수 계산기'!N$10,$D215,0)</f>
        <v>변표</v>
      </c>
      <c r="Y215" s="188">
        <f ca="1">OFFSET(환산공식!FW$15,$F215,0)</f>
        <v>0.38</v>
      </c>
      <c r="Z215" s="20">
        <f ca="1">OFFSET(환산공식!FX$15,$F215,0)</f>
        <v>0.31</v>
      </c>
      <c r="AA215" s="179">
        <f ca="1">OFFSET(환산공식!FY$15,$F215,0)</f>
        <v>0.31</v>
      </c>
      <c r="AB215" s="3"/>
      <c r="AD215">
        <f t="shared" ca="1" si="7"/>
        <v>6</v>
      </c>
      <c r="AF215" s="3"/>
      <c r="AG215" s="3"/>
      <c r="AH215" s="3"/>
    </row>
    <row r="216" spans="1:34">
      <c r="A216" s="198"/>
      <c r="B216" s="198"/>
      <c r="C216" s="198" t="s">
        <v>2537</v>
      </c>
      <c r="D216" s="235">
        <v>2107</v>
      </c>
      <c r="E216" s="195">
        <v>97</v>
      </c>
      <c r="F216" s="195">
        <v>97</v>
      </c>
      <c r="G216" s="239">
        <v>209</v>
      </c>
      <c r="H216" s="197" t="s">
        <v>81</v>
      </c>
      <c r="I216" s="242" t="s">
        <v>423</v>
      </c>
      <c r="J216" s="242" t="s">
        <v>12871</v>
      </c>
      <c r="K216" s="195" t="s">
        <v>71</v>
      </c>
      <c r="L216" s="20" t="str">
        <f ca="1">IF(OFFSET(환산공식!$ED$15,$F216,0)=1,"O","X")</f>
        <v>X</v>
      </c>
      <c r="M216" s="188">
        <f ca="1">IFERROR(OFFSET(환산공식!DJ$15,$F216,0),"")</f>
        <v>200</v>
      </c>
      <c r="N216" s="20" t="str">
        <f ca="1">IFERROR(CONCATENATE(ROUND(OFFSET(환산공식!DK$15,$F216,0),1),"%"),"")</f>
        <v>100%</v>
      </c>
      <c r="O216" s="20">
        <f ca="1">IFERROR(OFFSET(환산공식!DL$15,$F216,0),"")</f>
        <v>10</v>
      </c>
      <c r="P216" s="188" t="str">
        <f t="shared" ca="1" si="6"/>
        <v>3% 이하</v>
      </c>
      <c r="Q216" s="194">
        <f ca="1">IFERROR(ROUND(OFFSET(환산공식!$FG$15,$F216,0),3),"")</f>
        <v>0</v>
      </c>
      <c r="R216" s="194">
        <f ca="1">OFFSET('배치점수 계산기'!H$10,$D216,0)</f>
        <v>669.32</v>
      </c>
      <c r="S216" s="194">
        <f ca="1">OFFSET('배치점수 계산기'!I$10,$D216,0)</f>
        <v>667.79499999999996</v>
      </c>
      <c r="T216" s="194">
        <f ca="1">OFFSET('배치점수 계산기'!J$10,$D216,0)</f>
        <v>666.04499999999996</v>
      </c>
      <c r="U216" s="194">
        <f ca="1">OFFSET('배치점수 계산기'!K$10,$D216,0)</f>
        <v>662.64300000000003</v>
      </c>
      <c r="V216" s="194">
        <f ca="1">OFFSET('배치점수 계산기'!L$10,$D216,0)</f>
        <v>659.77499999999998</v>
      </c>
      <c r="W216" s="186" t="str">
        <f ca="1">OFFSET('배치점수 계산기'!M$10,$D216,0)</f>
        <v>표점</v>
      </c>
      <c r="X216" s="184" t="str">
        <f ca="1">OFFSET('배치점수 계산기'!N$10,$D216,0)</f>
        <v>변표</v>
      </c>
      <c r="Y216" s="188">
        <f ca="1">OFFSET(환산공식!FW$15,$F216,0)</f>
        <v>0.38</v>
      </c>
      <c r="Z216" s="20">
        <f ca="1">OFFSET(환산공식!FX$15,$F216,0)</f>
        <v>0.31</v>
      </c>
      <c r="AA216" s="179">
        <f ca="1">OFFSET(환산공식!FY$15,$F216,0)</f>
        <v>0.31</v>
      </c>
      <c r="AB216" s="3"/>
      <c r="AD216">
        <f t="shared" ca="1" si="7"/>
        <v>6</v>
      </c>
      <c r="AF216" s="3"/>
      <c r="AG216" s="3"/>
      <c r="AH216" s="3"/>
    </row>
    <row r="217" spans="1:34">
      <c r="A217" s="198"/>
      <c r="B217" s="198"/>
      <c r="C217" s="198" t="s">
        <v>2538</v>
      </c>
      <c r="D217" s="235">
        <v>2108</v>
      </c>
      <c r="E217" s="195">
        <v>97</v>
      </c>
      <c r="F217" s="195">
        <v>97</v>
      </c>
      <c r="G217" s="239">
        <v>210</v>
      </c>
      <c r="H217" s="197" t="s">
        <v>81</v>
      </c>
      <c r="I217" s="242" t="s">
        <v>423</v>
      </c>
      <c r="J217" s="242" t="s">
        <v>12910</v>
      </c>
      <c r="K217" s="195" t="s">
        <v>71</v>
      </c>
      <c r="L217" s="20" t="str">
        <f ca="1">IF(OFFSET(환산공식!$ED$15,$F217,0)=1,"O","X")</f>
        <v>X</v>
      </c>
      <c r="M217" s="188">
        <f ca="1">IFERROR(OFFSET(환산공식!DJ$15,$F217,0),"")</f>
        <v>200</v>
      </c>
      <c r="N217" s="20" t="str">
        <f ca="1">IFERROR(CONCATENATE(ROUND(OFFSET(환산공식!DK$15,$F217,0),1),"%"),"")</f>
        <v>100%</v>
      </c>
      <c r="O217" s="20">
        <f ca="1">IFERROR(OFFSET(환산공식!DL$15,$F217,0),"")</f>
        <v>10</v>
      </c>
      <c r="P217" s="188" t="str">
        <f t="shared" ca="1" si="6"/>
        <v>3% 이하</v>
      </c>
      <c r="Q217" s="194">
        <f ca="1">IFERROR(ROUND(OFFSET(환산공식!$FG$15,$F217,0),3),"")</f>
        <v>0</v>
      </c>
      <c r="R217" s="194">
        <f ca="1">OFFSET('배치점수 계산기'!H$10,$D217,0)</f>
        <v>668.03700000000003</v>
      </c>
      <c r="S217" s="194">
        <f ca="1">OFFSET('배치점수 계산기'!I$10,$D217,0)</f>
        <v>667.14499999999998</v>
      </c>
      <c r="T217" s="194">
        <f ca="1">OFFSET('배치점수 계산기'!J$10,$D217,0)</f>
        <v>665.77</v>
      </c>
      <c r="U217" s="194">
        <f ca="1">OFFSET('배치점수 계산기'!K$10,$D217,0)</f>
        <v>663.22500000000002</v>
      </c>
      <c r="V217" s="194">
        <f ca="1">OFFSET('배치점수 계산기'!L$10,$D217,0)</f>
        <v>660.625</v>
      </c>
      <c r="W217" s="186" t="str">
        <f ca="1">OFFSET('배치점수 계산기'!M$10,$D217,0)</f>
        <v>표점</v>
      </c>
      <c r="X217" s="184" t="str">
        <f ca="1">OFFSET('배치점수 계산기'!N$10,$D217,0)</f>
        <v>변표</v>
      </c>
      <c r="Y217" s="188">
        <f ca="1">OFFSET(환산공식!FW$15,$F217,0)</f>
        <v>0.38</v>
      </c>
      <c r="Z217" s="20">
        <f ca="1">OFFSET(환산공식!FX$15,$F217,0)</f>
        <v>0.31</v>
      </c>
      <c r="AA217" s="179">
        <f ca="1">OFFSET(환산공식!FY$15,$F217,0)</f>
        <v>0.31</v>
      </c>
      <c r="AB217" s="3"/>
      <c r="AD217">
        <f t="shared" ca="1" si="7"/>
        <v>6</v>
      </c>
      <c r="AF217" s="3"/>
      <c r="AG217" s="3"/>
      <c r="AH217" s="3"/>
    </row>
    <row r="218" spans="1:34">
      <c r="A218" s="198"/>
      <c r="B218" s="198"/>
      <c r="C218" s="198" t="s">
        <v>2539</v>
      </c>
      <c r="D218" s="235">
        <v>2109</v>
      </c>
      <c r="E218" s="195">
        <v>97</v>
      </c>
      <c r="F218" s="195">
        <v>97</v>
      </c>
      <c r="G218" s="239">
        <v>211</v>
      </c>
      <c r="H218" s="197" t="s">
        <v>81</v>
      </c>
      <c r="I218" s="242" t="s">
        <v>423</v>
      </c>
      <c r="J218" s="242" t="s">
        <v>12915</v>
      </c>
      <c r="K218" s="195" t="s">
        <v>71</v>
      </c>
      <c r="L218" s="20" t="str">
        <f ca="1">IF(OFFSET(환산공식!$ED$15,$F218,0)=1,"O","X")</f>
        <v>X</v>
      </c>
      <c r="M218" s="188">
        <f ca="1">IFERROR(OFFSET(환산공식!DJ$15,$F218,0),"")</f>
        <v>200</v>
      </c>
      <c r="N218" s="20" t="str">
        <f ca="1">IFERROR(CONCATENATE(ROUND(OFFSET(환산공식!DK$15,$F218,0),1),"%"),"")</f>
        <v>100%</v>
      </c>
      <c r="O218" s="20">
        <f ca="1">IFERROR(OFFSET(환산공식!DL$15,$F218,0),"")</f>
        <v>10</v>
      </c>
      <c r="P218" s="188" t="str">
        <f t="shared" ca="1" si="6"/>
        <v>3% 이하</v>
      </c>
      <c r="Q218" s="194">
        <f ca="1">IFERROR(ROUND(OFFSET(환산공식!$FG$15,$F218,0),3),"")</f>
        <v>0</v>
      </c>
      <c r="R218" s="194">
        <f ca="1">OFFSET('배치점수 계산기'!H$10,$D218,0)</f>
        <v>668.65499999999997</v>
      </c>
      <c r="S218" s="194">
        <f ca="1">OFFSET('배치점수 계산기'!I$10,$D218,0)</f>
        <v>667.14499999999998</v>
      </c>
      <c r="T218" s="194">
        <f ca="1">OFFSET('배치점수 계산기'!J$10,$D218,0)</f>
        <v>665.11800000000005</v>
      </c>
      <c r="U218" s="194">
        <f ca="1">OFFSET('배치점수 계산기'!K$10,$D218,0)</f>
        <v>661.45</v>
      </c>
      <c r="V218" s="194">
        <f ca="1">OFFSET('배치점수 계산기'!L$10,$D218,0)</f>
        <v>657.66</v>
      </c>
      <c r="W218" s="186" t="str">
        <f ca="1">OFFSET('배치점수 계산기'!M$10,$D218,0)</f>
        <v>표점</v>
      </c>
      <c r="X218" s="184" t="str">
        <f ca="1">OFFSET('배치점수 계산기'!N$10,$D218,0)</f>
        <v>변표</v>
      </c>
      <c r="Y218" s="188">
        <f ca="1">OFFSET(환산공식!FW$15,$F218,0)</f>
        <v>0.38</v>
      </c>
      <c r="Z218" s="20">
        <f ca="1">OFFSET(환산공식!FX$15,$F218,0)</f>
        <v>0.31</v>
      </c>
      <c r="AA218" s="179">
        <f ca="1">OFFSET(환산공식!FY$15,$F218,0)</f>
        <v>0.31</v>
      </c>
      <c r="AB218" s="3"/>
      <c r="AD218">
        <f t="shared" ca="1" si="7"/>
        <v>6</v>
      </c>
      <c r="AF218" s="3"/>
      <c r="AG218" s="3"/>
      <c r="AH218" s="3"/>
    </row>
    <row r="219" spans="1:34">
      <c r="A219" s="198"/>
      <c r="B219" s="198"/>
      <c r="C219" s="198" t="s">
        <v>2540</v>
      </c>
      <c r="D219" s="235">
        <v>2110</v>
      </c>
      <c r="E219" s="195">
        <v>97</v>
      </c>
      <c r="F219" s="195">
        <v>97</v>
      </c>
      <c r="G219" s="239">
        <v>212</v>
      </c>
      <c r="H219" s="197" t="s">
        <v>81</v>
      </c>
      <c r="I219" s="242" t="s">
        <v>423</v>
      </c>
      <c r="J219" s="242" t="s">
        <v>12926</v>
      </c>
      <c r="K219" s="195" t="s">
        <v>71</v>
      </c>
      <c r="L219" s="20" t="str">
        <f ca="1">IF(OFFSET(환산공식!$ED$15,$F219,0)=1,"O","X")</f>
        <v>X</v>
      </c>
      <c r="M219" s="188">
        <f ca="1">IFERROR(OFFSET(환산공식!DJ$15,$F219,0),"")</f>
        <v>200</v>
      </c>
      <c r="N219" s="20" t="str">
        <f ca="1">IFERROR(CONCATENATE(ROUND(OFFSET(환산공식!DK$15,$F219,0),1),"%"),"")</f>
        <v>100%</v>
      </c>
      <c r="O219" s="20">
        <f ca="1">IFERROR(OFFSET(환산공식!DL$15,$F219,0),"")</f>
        <v>10</v>
      </c>
      <c r="P219" s="188" t="str">
        <f t="shared" ca="1" si="6"/>
        <v>3% 이하</v>
      </c>
      <c r="Q219" s="194">
        <f ca="1">IFERROR(ROUND(OFFSET(환산공식!$FG$15,$F219,0),3),"")</f>
        <v>0</v>
      </c>
      <c r="R219" s="194">
        <f ca="1">OFFSET('배치점수 계산기'!H$10,$D219,0)</f>
        <v>668.03700000000003</v>
      </c>
      <c r="S219" s="194">
        <f ca="1">OFFSET('배치점수 계산기'!I$10,$D219,0)</f>
        <v>666.82500000000005</v>
      </c>
      <c r="T219" s="194">
        <f ca="1">OFFSET('배치점수 계산기'!J$10,$D219,0)</f>
        <v>664.96799999999996</v>
      </c>
      <c r="U219" s="194">
        <f ca="1">OFFSET('배치점수 계산기'!K$10,$D219,0)</f>
        <v>661.83900000000006</v>
      </c>
      <c r="V219" s="194">
        <f ca="1">OFFSET('배치점수 계산기'!L$10,$D219,0)</f>
        <v>658.73</v>
      </c>
      <c r="W219" s="186" t="str">
        <f ca="1">OFFSET('배치점수 계산기'!M$10,$D219,0)</f>
        <v>표점</v>
      </c>
      <c r="X219" s="184" t="str">
        <f ca="1">OFFSET('배치점수 계산기'!N$10,$D219,0)</f>
        <v>변표</v>
      </c>
      <c r="Y219" s="188">
        <f ca="1">OFFSET(환산공식!FW$15,$F219,0)</f>
        <v>0.38</v>
      </c>
      <c r="Z219" s="20">
        <f ca="1">OFFSET(환산공식!FX$15,$F219,0)</f>
        <v>0.31</v>
      </c>
      <c r="AA219" s="179">
        <f ca="1">OFFSET(환산공식!FY$15,$F219,0)</f>
        <v>0.31</v>
      </c>
      <c r="AB219" s="3"/>
      <c r="AD219">
        <f t="shared" ca="1" si="7"/>
        <v>6</v>
      </c>
      <c r="AF219" s="3"/>
      <c r="AG219" s="3"/>
      <c r="AH219" s="3"/>
    </row>
    <row r="220" spans="1:34">
      <c r="A220" s="198"/>
      <c r="B220" s="198"/>
      <c r="C220" s="198" t="s">
        <v>2541</v>
      </c>
      <c r="D220" s="235">
        <v>2111</v>
      </c>
      <c r="E220" s="195">
        <v>97</v>
      </c>
      <c r="F220" s="195">
        <v>97</v>
      </c>
      <c r="G220" s="239">
        <v>213</v>
      </c>
      <c r="H220" s="197" t="s">
        <v>81</v>
      </c>
      <c r="I220" s="242" t="s">
        <v>423</v>
      </c>
      <c r="J220" s="242" t="s">
        <v>13148</v>
      </c>
      <c r="K220" s="195" t="s">
        <v>71</v>
      </c>
      <c r="L220" s="20" t="str">
        <f ca="1">IF(OFFSET(환산공식!$ED$15,$F220,0)=1,"O","X")</f>
        <v>X</v>
      </c>
      <c r="M220" s="188">
        <f ca="1">IFERROR(OFFSET(환산공식!DJ$15,$F220,0),"")</f>
        <v>200</v>
      </c>
      <c r="N220" s="20" t="str">
        <f ca="1">IFERROR(CONCATENATE(ROUND(OFFSET(환산공식!DK$15,$F220,0),1),"%"),"")</f>
        <v>100%</v>
      </c>
      <c r="O220" s="20">
        <f ca="1">IFERROR(OFFSET(환산공식!DL$15,$F220,0),"")</f>
        <v>10</v>
      </c>
      <c r="P220" s="188" t="str">
        <f t="shared" ca="1" si="6"/>
        <v>3% 이하</v>
      </c>
      <c r="Q220" s="194">
        <f ca="1">IFERROR(ROUND(OFFSET(환산공식!$FG$15,$F220,0),3),"")</f>
        <v>0</v>
      </c>
      <c r="R220" s="194">
        <f ca="1">OFFSET('배치점수 계산기'!H$10,$D220,0)</f>
        <v>664.54300000000001</v>
      </c>
      <c r="S220" s="194">
        <f ca="1">OFFSET('배치점수 계산기'!I$10,$D220,0)</f>
        <v>663.5</v>
      </c>
      <c r="T220" s="194">
        <f ca="1">OFFSET('배치점수 계산기'!J$10,$D220,0)</f>
        <v>661.93200000000002</v>
      </c>
      <c r="U220" s="194">
        <f ca="1">OFFSET('배치점수 계산기'!K$10,$D220,0)</f>
        <v>659.4</v>
      </c>
      <c r="V220" s="194">
        <f ca="1">OFFSET('배치점수 계산기'!L$10,$D220,0)</f>
        <v>657.10799999999995</v>
      </c>
      <c r="W220" s="186" t="str">
        <f ca="1">OFFSET('배치점수 계산기'!M$10,$D220,0)</f>
        <v>표점</v>
      </c>
      <c r="X220" s="184" t="str">
        <f ca="1">OFFSET('배치점수 계산기'!N$10,$D220,0)</f>
        <v>변표</v>
      </c>
      <c r="Y220" s="188">
        <f ca="1">OFFSET(환산공식!FW$15,$F220,0)</f>
        <v>0.38</v>
      </c>
      <c r="Z220" s="20">
        <f ca="1">OFFSET(환산공식!FX$15,$F220,0)</f>
        <v>0.31</v>
      </c>
      <c r="AA220" s="179">
        <f ca="1">OFFSET(환산공식!FY$15,$F220,0)</f>
        <v>0.31</v>
      </c>
      <c r="AB220" s="3"/>
      <c r="AD220">
        <f t="shared" ca="1" si="7"/>
        <v>6</v>
      </c>
      <c r="AF220" s="3"/>
      <c r="AG220" s="3"/>
      <c r="AH220" s="3"/>
    </row>
    <row r="221" spans="1:34">
      <c r="A221" s="198"/>
      <c r="B221" s="198"/>
      <c r="C221" s="198" t="s">
        <v>2542</v>
      </c>
      <c r="D221" s="235">
        <v>2112</v>
      </c>
      <c r="E221" s="195">
        <v>97</v>
      </c>
      <c r="F221" s="195">
        <v>97</v>
      </c>
      <c r="G221" s="239">
        <v>214</v>
      </c>
      <c r="H221" s="197" t="s">
        <v>81</v>
      </c>
      <c r="I221" s="242" t="s">
        <v>423</v>
      </c>
      <c r="J221" s="242" t="s">
        <v>13429</v>
      </c>
      <c r="K221" s="195" t="s">
        <v>71</v>
      </c>
      <c r="L221" s="20" t="str">
        <f ca="1">IF(OFFSET(환산공식!$ED$15,$F221,0)=1,"O","X")</f>
        <v>X</v>
      </c>
      <c r="M221" s="188">
        <f ca="1">IFERROR(OFFSET(환산공식!DJ$15,$F221,0),"")</f>
        <v>200</v>
      </c>
      <c r="N221" s="20" t="str">
        <f ca="1">IFERROR(CONCATENATE(ROUND(OFFSET(환산공식!DK$15,$F221,0),1),"%"),"")</f>
        <v>100%</v>
      </c>
      <c r="O221" s="20">
        <f ca="1">IFERROR(OFFSET(환산공식!DL$15,$F221,0),"")</f>
        <v>10</v>
      </c>
      <c r="P221" s="188" t="str">
        <f t="shared" ca="1" si="6"/>
        <v>3% 이하</v>
      </c>
      <c r="Q221" s="194">
        <f ca="1">IFERROR(ROUND(OFFSET(환산공식!$FG$15,$F221,0),3),"")</f>
        <v>0</v>
      </c>
      <c r="R221" s="194">
        <f ca="1">OFFSET('배치점수 계산기'!H$10,$D221,0)</f>
        <v>657.46699999999998</v>
      </c>
      <c r="S221" s="194">
        <f ca="1">OFFSET('배치점수 계산기'!I$10,$D221,0)</f>
        <v>656.06700000000001</v>
      </c>
      <c r="T221" s="194">
        <f ca="1">OFFSET('배치점수 계산기'!J$10,$D221,0)</f>
        <v>654.24300000000005</v>
      </c>
      <c r="U221" s="194">
        <f ca="1">OFFSET('배치점수 계산기'!K$10,$D221,0)</f>
        <v>651.63699999999994</v>
      </c>
      <c r="V221" s="194">
        <f ca="1">OFFSET('배치점수 계산기'!L$10,$D221,0)</f>
        <v>649.255</v>
      </c>
      <c r="W221" s="186" t="str">
        <f ca="1">OFFSET('배치점수 계산기'!M$10,$D221,0)</f>
        <v>표점</v>
      </c>
      <c r="X221" s="184" t="str">
        <f ca="1">OFFSET('배치점수 계산기'!N$10,$D221,0)</f>
        <v>변표</v>
      </c>
      <c r="Y221" s="188">
        <f ca="1">OFFSET(환산공식!FW$15,$F221,0)</f>
        <v>0.38</v>
      </c>
      <c r="Z221" s="20">
        <f ca="1">OFFSET(환산공식!FX$15,$F221,0)</f>
        <v>0.31</v>
      </c>
      <c r="AA221" s="179">
        <f ca="1">OFFSET(환산공식!FY$15,$F221,0)</f>
        <v>0.31</v>
      </c>
      <c r="AB221" s="3"/>
      <c r="AD221">
        <f t="shared" ca="1" si="7"/>
        <v>6</v>
      </c>
      <c r="AF221" s="3"/>
      <c r="AG221" s="3"/>
      <c r="AH221" s="3"/>
    </row>
    <row r="222" spans="1:34">
      <c r="A222" s="198"/>
      <c r="B222" s="198"/>
      <c r="C222" s="198" t="s">
        <v>2543</v>
      </c>
      <c r="D222" s="235">
        <v>2113</v>
      </c>
      <c r="E222" s="195">
        <v>132</v>
      </c>
      <c r="F222" s="195">
        <v>132</v>
      </c>
      <c r="G222" s="239">
        <v>215</v>
      </c>
      <c r="H222" s="197" t="s">
        <v>81</v>
      </c>
      <c r="I222" s="242" t="s">
        <v>446</v>
      </c>
      <c r="J222" s="242" t="s">
        <v>7825</v>
      </c>
      <c r="K222" s="195" t="s">
        <v>70</v>
      </c>
      <c r="L222" s="20" t="str">
        <f ca="1">IF(OFFSET(환산공식!$ED$15,$F222,0)=1,"O","X")</f>
        <v>X</v>
      </c>
      <c r="M222" s="188">
        <f ca="1">IFERROR(OFFSET(환산공식!DJ$15,$F222,0),"")</f>
        <v>100</v>
      </c>
      <c r="N222" s="20" t="str">
        <f ca="1">IFERROR(CONCATENATE(ROUND(OFFSET(환산공식!DK$15,$F222,0),1),"%"),"")</f>
        <v>100%</v>
      </c>
      <c r="O222" s="20">
        <f ca="1">IFERROR(OFFSET(환산공식!DL$15,$F222,0),"")</f>
        <v>0</v>
      </c>
      <c r="P222" s="188" t="str">
        <f t="shared" ca="1" si="6"/>
        <v>3% 이하</v>
      </c>
      <c r="Q222" s="194">
        <f ca="1">IFERROR(ROUND(OFFSET(환산공식!$FG$15,$F222,0),3),"")</f>
        <v>0</v>
      </c>
      <c r="R222" s="194">
        <f ca="1">OFFSET('배치점수 계산기'!H$10,$D222,0)</f>
        <v>819.61</v>
      </c>
      <c r="S222" s="194">
        <f ca="1">OFFSET('배치점수 계산기'!I$10,$D222,0)</f>
        <v>808.61</v>
      </c>
      <c r="T222" s="194">
        <f ca="1">OFFSET('배치점수 계산기'!J$10,$D222,0)</f>
        <v>798.87</v>
      </c>
      <c r="U222" s="194">
        <f ca="1">OFFSET('배치점수 계산기'!K$10,$D222,0)</f>
        <v>787.92</v>
      </c>
      <c r="V222" s="194">
        <f ca="1">OFFSET('배치점수 계산기'!L$10,$D222,0)</f>
        <v>777.34</v>
      </c>
      <c r="W222" s="186" t="str">
        <f ca="1">OFFSET('배치점수 계산기'!M$10,$D222,0)</f>
        <v>백분위</v>
      </c>
      <c r="X222" s="184" t="str">
        <f ca="1">OFFSET('배치점수 계산기'!N$10,$D222,0)</f>
        <v>백분위</v>
      </c>
      <c r="Y222" s="188">
        <f ca="1">OFFSET(환산공식!FW$15,$F222,0)</f>
        <v>0.28000000000000003</v>
      </c>
      <c r="Z222" s="20">
        <f ca="1">OFFSET(환산공식!FX$15,$F222,0)</f>
        <v>0.39</v>
      </c>
      <c r="AA222" s="179">
        <f ca="1">OFFSET(환산공식!FY$15,$F222,0)</f>
        <v>0.33</v>
      </c>
      <c r="AB222" s="3"/>
      <c r="AD222">
        <f t="shared" ca="1" si="7"/>
        <v>6</v>
      </c>
      <c r="AF222" s="3"/>
      <c r="AG222" s="3"/>
      <c r="AH222" s="3"/>
    </row>
    <row r="223" spans="1:34">
      <c r="A223" s="198"/>
      <c r="B223" s="198"/>
      <c r="C223" s="198" t="s">
        <v>2544</v>
      </c>
      <c r="D223" s="235">
        <v>2114</v>
      </c>
      <c r="E223" s="195">
        <v>132</v>
      </c>
      <c r="F223" s="195">
        <v>132</v>
      </c>
      <c r="G223" s="239">
        <v>216</v>
      </c>
      <c r="H223" s="197" t="s">
        <v>81</v>
      </c>
      <c r="I223" s="242" t="s">
        <v>446</v>
      </c>
      <c r="J223" s="242" t="s">
        <v>12032</v>
      </c>
      <c r="K223" s="195" t="s">
        <v>70</v>
      </c>
      <c r="L223" s="20" t="str">
        <f ca="1">IF(OFFSET(환산공식!$ED$15,$F223,0)=1,"O","X")</f>
        <v>X</v>
      </c>
      <c r="M223" s="188">
        <f ca="1">IFERROR(OFFSET(환산공식!DJ$15,$F223,0),"")</f>
        <v>100</v>
      </c>
      <c r="N223" s="20" t="str">
        <f ca="1">IFERROR(CONCATENATE(ROUND(OFFSET(환산공식!DK$15,$F223,0),1),"%"),"")</f>
        <v>100%</v>
      </c>
      <c r="O223" s="20">
        <f ca="1">IFERROR(OFFSET(환산공식!DL$15,$F223,0),"")</f>
        <v>0</v>
      </c>
      <c r="P223" s="188" t="str">
        <f t="shared" ca="1" si="6"/>
        <v>3% 이하</v>
      </c>
      <c r="Q223" s="194">
        <f ca="1">IFERROR(ROUND(OFFSET(환산공식!$FG$15,$F223,0),3),"")</f>
        <v>0</v>
      </c>
      <c r="R223" s="194">
        <f ca="1">OFFSET('배치점수 계산기'!H$10,$D223,0)</f>
        <v>801.68</v>
      </c>
      <c r="S223" s="194">
        <f ca="1">OFFSET('배치점수 계산기'!I$10,$D223,0)</f>
        <v>792.15</v>
      </c>
      <c r="T223" s="194">
        <f ca="1">OFFSET('배치점수 계산기'!J$10,$D223,0)</f>
        <v>781.33</v>
      </c>
      <c r="U223" s="194">
        <f ca="1">OFFSET('배치점수 계산기'!K$10,$D223,0)</f>
        <v>772.69</v>
      </c>
      <c r="V223" s="194">
        <f ca="1">OFFSET('배치점수 계산기'!L$10,$D223,0)</f>
        <v>762.03</v>
      </c>
      <c r="W223" s="186" t="str">
        <f ca="1">OFFSET('배치점수 계산기'!M$10,$D223,0)</f>
        <v>백분위</v>
      </c>
      <c r="X223" s="184" t="str">
        <f ca="1">OFFSET('배치점수 계산기'!N$10,$D223,0)</f>
        <v>백분위</v>
      </c>
      <c r="Y223" s="188">
        <f ca="1">OFFSET(환산공식!FW$15,$F223,0)</f>
        <v>0.28000000000000003</v>
      </c>
      <c r="Z223" s="20">
        <f ca="1">OFFSET(환산공식!FX$15,$F223,0)</f>
        <v>0.39</v>
      </c>
      <c r="AA223" s="179">
        <f ca="1">OFFSET(환산공식!FY$15,$F223,0)</f>
        <v>0.33</v>
      </c>
      <c r="AB223" s="3"/>
      <c r="AD223">
        <f t="shared" ca="1" si="7"/>
        <v>6</v>
      </c>
      <c r="AF223" s="3"/>
      <c r="AG223" s="3"/>
      <c r="AH223" s="3"/>
    </row>
    <row r="224" spans="1:34">
      <c r="A224" s="198"/>
      <c r="B224" s="198"/>
      <c r="C224" s="198" t="s">
        <v>2545</v>
      </c>
      <c r="D224" s="235">
        <v>2115</v>
      </c>
      <c r="E224" s="195">
        <v>132</v>
      </c>
      <c r="F224" s="195">
        <v>132</v>
      </c>
      <c r="G224" s="239">
        <v>217</v>
      </c>
      <c r="H224" s="197" t="s">
        <v>81</v>
      </c>
      <c r="I224" s="242" t="s">
        <v>446</v>
      </c>
      <c r="J224" s="242" t="s">
        <v>550</v>
      </c>
      <c r="K224" s="195" t="s">
        <v>70</v>
      </c>
      <c r="L224" s="20" t="str">
        <f ca="1">IF(OFFSET(환산공식!$ED$15,$F224,0)=1,"O","X")</f>
        <v>X</v>
      </c>
      <c r="M224" s="188">
        <f ca="1">IFERROR(OFFSET(환산공식!DJ$15,$F224,0),"")</f>
        <v>100</v>
      </c>
      <c r="N224" s="20" t="str">
        <f ca="1">IFERROR(CONCATENATE(ROUND(OFFSET(환산공식!DK$15,$F224,0),1),"%"),"")</f>
        <v>100%</v>
      </c>
      <c r="O224" s="20">
        <f ca="1">IFERROR(OFFSET(환산공식!DL$15,$F224,0),"")</f>
        <v>0</v>
      </c>
      <c r="P224" s="188" t="str">
        <f t="shared" ca="1" si="6"/>
        <v>3% 이하</v>
      </c>
      <c r="Q224" s="194">
        <f ca="1">IFERROR(ROUND(OFFSET(환산공식!$FG$15,$F224,0),3),"")</f>
        <v>0</v>
      </c>
      <c r="R224" s="194">
        <f ca="1">OFFSET('배치점수 계산기'!H$10,$D224,0)</f>
        <v>801.43</v>
      </c>
      <c r="S224" s="194">
        <f ca="1">OFFSET('배치점수 계산기'!I$10,$D224,0)</f>
        <v>790.27</v>
      </c>
      <c r="T224" s="194">
        <f ca="1">OFFSET('배치점수 계산기'!J$10,$D224,0)</f>
        <v>780.38</v>
      </c>
      <c r="U224" s="194">
        <f ca="1">OFFSET('배치점수 계산기'!K$10,$D224,0)</f>
        <v>775.01</v>
      </c>
      <c r="V224" s="194">
        <f ca="1">OFFSET('배치점수 계산기'!L$10,$D224,0)</f>
        <v>770.43</v>
      </c>
      <c r="W224" s="186" t="str">
        <f ca="1">OFFSET('배치점수 계산기'!M$10,$D224,0)</f>
        <v>백분위</v>
      </c>
      <c r="X224" s="184" t="str">
        <f ca="1">OFFSET('배치점수 계산기'!N$10,$D224,0)</f>
        <v>백분위</v>
      </c>
      <c r="Y224" s="188">
        <f ca="1">OFFSET(환산공식!FW$15,$F224,0)</f>
        <v>0.28000000000000003</v>
      </c>
      <c r="Z224" s="20">
        <f ca="1">OFFSET(환산공식!FX$15,$F224,0)</f>
        <v>0.39</v>
      </c>
      <c r="AA224" s="179">
        <f ca="1">OFFSET(환산공식!FY$15,$F224,0)</f>
        <v>0.33</v>
      </c>
      <c r="AB224" s="3"/>
      <c r="AD224">
        <f t="shared" ca="1" si="7"/>
        <v>6</v>
      </c>
      <c r="AF224" s="3"/>
      <c r="AG224" s="3"/>
      <c r="AH224" s="3"/>
    </row>
    <row r="225" spans="1:34">
      <c r="A225" s="198"/>
      <c r="B225" s="198"/>
      <c r="C225" s="198" t="s">
        <v>2546</v>
      </c>
      <c r="D225" s="235">
        <v>2116</v>
      </c>
      <c r="E225" s="195">
        <v>132</v>
      </c>
      <c r="F225" s="195">
        <v>132</v>
      </c>
      <c r="G225" s="239">
        <v>218</v>
      </c>
      <c r="H225" s="197" t="s">
        <v>81</v>
      </c>
      <c r="I225" s="242" t="s">
        <v>446</v>
      </c>
      <c r="J225" s="242" t="s">
        <v>9795</v>
      </c>
      <c r="K225" s="195" t="s">
        <v>70</v>
      </c>
      <c r="L225" s="20" t="str">
        <f ca="1">IF(OFFSET(환산공식!$ED$15,$F225,0)=1,"O","X")</f>
        <v>X</v>
      </c>
      <c r="M225" s="188">
        <f ca="1">IFERROR(OFFSET(환산공식!DJ$15,$F225,0),"")</f>
        <v>100</v>
      </c>
      <c r="N225" s="20" t="str">
        <f ca="1">IFERROR(CONCATENATE(ROUND(OFFSET(환산공식!DK$15,$F225,0),1),"%"),"")</f>
        <v>100%</v>
      </c>
      <c r="O225" s="20">
        <f ca="1">IFERROR(OFFSET(환산공식!DL$15,$F225,0),"")</f>
        <v>0</v>
      </c>
      <c r="P225" s="188" t="str">
        <f t="shared" ca="1" si="6"/>
        <v>3% 이하</v>
      </c>
      <c r="Q225" s="194">
        <f ca="1">IFERROR(ROUND(OFFSET(환산공식!$FG$15,$F225,0),3),"")</f>
        <v>0</v>
      </c>
      <c r="R225" s="194">
        <f ca="1">OFFSET('배치점수 계산기'!H$10,$D225,0)</f>
        <v>792.15</v>
      </c>
      <c r="S225" s="194">
        <f ca="1">OFFSET('배치점수 계산기'!I$10,$D225,0)</f>
        <v>783.11</v>
      </c>
      <c r="T225" s="194">
        <f ca="1">OFFSET('배치점수 계산기'!J$10,$D225,0)</f>
        <v>773.53</v>
      </c>
      <c r="U225" s="194">
        <f ca="1">OFFSET('배치점수 계산기'!K$10,$D225,0)</f>
        <v>765.08</v>
      </c>
      <c r="V225" s="194">
        <f ca="1">OFFSET('배치점수 계산기'!L$10,$D225,0)</f>
        <v>754.14</v>
      </c>
      <c r="W225" s="186" t="str">
        <f ca="1">OFFSET('배치점수 계산기'!M$10,$D225,0)</f>
        <v>백분위</v>
      </c>
      <c r="X225" s="184" t="str">
        <f ca="1">OFFSET('배치점수 계산기'!N$10,$D225,0)</f>
        <v>백분위</v>
      </c>
      <c r="Y225" s="188">
        <f ca="1">OFFSET(환산공식!FW$15,$F225,0)</f>
        <v>0.28000000000000003</v>
      </c>
      <c r="Z225" s="20">
        <f ca="1">OFFSET(환산공식!FX$15,$F225,0)</f>
        <v>0.39</v>
      </c>
      <c r="AA225" s="179">
        <f ca="1">OFFSET(환산공식!FY$15,$F225,0)</f>
        <v>0.33</v>
      </c>
      <c r="AB225" s="3"/>
      <c r="AD225">
        <f t="shared" ca="1" si="7"/>
        <v>6</v>
      </c>
      <c r="AF225" s="3"/>
      <c r="AG225" s="3"/>
      <c r="AH225" s="3"/>
    </row>
    <row r="226" spans="1:34">
      <c r="A226" s="198"/>
      <c r="B226" s="198"/>
      <c r="C226" s="198" t="s">
        <v>2547</v>
      </c>
      <c r="D226" s="235">
        <v>2117</v>
      </c>
      <c r="E226" s="195">
        <v>132</v>
      </c>
      <c r="F226" s="195">
        <v>132</v>
      </c>
      <c r="G226" s="239">
        <v>219</v>
      </c>
      <c r="H226" s="197" t="s">
        <v>81</v>
      </c>
      <c r="I226" s="242" t="s">
        <v>446</v>
      </c>
      <c r="J226" s="242" t="s">
        <v>11884</v>
      </c>
      <c r="K226" s="195" t="s">
        <v>70</v>
      </c>
      <c r="L226" s="20" t="str">
        <f ca="1">IF(OFFSET(환산공식!$ED$15,$F226,0)=1,"O","X")</f>
        <v>X</v>
      </c>
      <c r="M226" s="188">
        <f ca="1">IFERROR(OFFSET(환산공식!DJ$15,$F226,0),"")</f>
        <v>100</v>
      </c>
      <c r="N226" s="20" t="str">
        <f ca="1">IFERROR(CONCATENATE(ROUND(OFFSET(환산공식!DK$15,$F226,0),1),"%"),"")</f>
        <v>100%</v>
      </c>
      <c r="O226" s="20">
        <f ca="1">IFERROR(OFFSET(환산공식!DL$15,$F226,0),"")</f>
        <v>0</v>
      </c>
      <c r="P226" s="188" t="str">
        <f t="shared" ca="1" si="6"/>
        <v>3% 이하</v>
      </c>
      <c r="Q226" s="194">
        <f ca="1">IFERROR(ROUND(OFFSET(환산공식!$FG$15,$F226,0),3),"")</f>
        <v>0</v>
      </c>
      <c r="R226" s="194">
        <f ca="1">OFFSET('배치점수 계산기'!H$10,$D226,0)</f>
        <v>792.15</v>
      </c>
      <c r="S226" s="194">
        <f ca="1">OFFSET('배치점수 계산기'!I$10,$D226,0)</f>
        <v>781.83</v>
      </c>
      <c r="T226" s="194">
        <f ca="1">OFFSET('배치점수 계산기'!J$10,$D226,0)</f>
        <v>772.69</v>
      </c>
      <c r="U226" s="194">
        <f ca="1">OFFSET('배치점수 계산기'!K$10,$D226,0)</f>
        <v>767.29</v>
      </c>
      <c r="V226" s="194">
        <f ca="1">OFFSET('배치점수 계산기'!L$10,$D226,0)</f>
        <v>760.95</v>
      </c>
      <c r="W226" s="186" t="str">
        <f ca="1">OFFSET('배치점수 계산기'!M$10,$D226,0)</f>
        <v>백분위</v>
      </c>
      <c r="X226" s="184" t="str">
        <f ca="1">OFFSET('배치점수 계산기'!N$10,$D226,0)</f>
        <v>백분위</v>
      </c>
      <c r="Y226" s="188">
        <f ca="1">OFFSET(환산공식!FW$15,$F226,0)</f>
        <v>0.28000000000000003</v>
      </c>
      <c r="Z226" s="20">
        <f ca="1">OFFSET(환산공식!FX$15,$F226,0)</f>
        <v>0.39</v>
      </c>
      <c r="AA226" s="179">
        <f ca="1">OFFSET(환산공식!FY$15,$F226,0)</f>
        <v>0.33</v>
      </c>
      <c r="AB226" s="3"/>
      <c r="AD226">
        <f t="shared" ca="1" si="7"/>
        <v>6</v>
      </c>
      <c r="AF226" s="3"/>
      <c r="AG226" s="3"/>
      <c r="AH226" s="3"/>
    </row>
    <row r="227" spans="1:34">
      <c r="A227" s="198"/>
      <c r="B227" s="198"/>
      <c r="C227" s="198" t="s">
        <v>2548</v>
      </c>
      <c r="D227" s="235">
        <v>2118</v>
      </c>
      <c r="E227" s="195">
        <v>132</v>
      </c>
      <c r="F227" s="195">
        <v>132</v>
      </c>
      <c r="G227" s="239">
        <v>220</v>
      </c>
      <c r="H227" s="197" t="s">
        <v>81</v>
      </c>
      <c r="I227" s="242" t="s">
        <v>446</v>
      </c>
      <c r="J227" s="242" t="s">
        <v>12236</v>
      </c>
      <c r="K227" s="195" t="s">
        <v>70</v>
      </c>
      <c r="L227" s="20" t="str">
        <f ca="1">IF(OFFSET(환산공식!$ED$15,$F227,0)=1,"O","X")</f>
        <v>X</v>
      </c>
      <c r="M227" s="188">
        <f ca="1">IFERROR(OFFSET(환산공식!DJ$15,$F227,0),"")</f>
        <v>100</v>
      </c>
      <c r="N227" s="20" t="str">
        <f ca="1">IFERROR(CONCATENATE(ROUND(OFFSET(환산공식!DK$15,$F227,0),1),"%"),"")</f>
        <v>100%</v>
      </c>
      <c r="O227" s="20">
        <f ca="1">IFERROR(OFFSET(환산공식!DL$15,$F227,0),"")</f>
        <v>0</v>
      </c>
      <c r="P227" s="188" t="str">
        <f t="shared" ca="1" si="6"/>
        <v>3% 이하</v>
      </c>
      <c r="Q227" s="194">
        <f ca="1">IFERROR(ROUND(OFFSET(환산공식!$FG$15,$F227,0),3),"")</f>
        <v>0</v>
      </c>
      <c r="R227" s="194">
        <f ca="1">OFFSET('배치점수 계산기'!H$10,$D227,0)</f>
        <v>792.15</v>
      </c>
      <c r="S227" s="194">
        <f ca="1">OFFSET('배치점수 계산기'!I$10,$D227,0)</f>
        <v>781.83</v>
      </c>
      <c r="T227" s="194">
        <f ca="1">OFFSET('배치점수 계산기'!J$10,$D227,0)</f>
        <v>772.58</v>
      </c>
      <c r="U227" s="194">
        <f ca="1">OFFSET('배치점수 계산기'!K$10,$D227,0)</f>
        <v>765.08</v>
      </c>
      <c r="V227" s="194">
        <f ca="1">OFFSET('배치점수 계산기'!L$10,$D227,0)</f>
        <v>757.87</v>
      </c>
      <c r="W227" s="186" t="str">
        <f ca="1">OFFSET('배치점수 계산기'!M$10,$D227,0)</f>
        <v>백분위</v>
      </c>
      <c r="X227" s="184" t="str">
        <f ca="1">OFFSET('배치점수 계산기'!N$10,$D227,0)</f>
        <v>백분위</v>
      </c>
      <c r="Y227" s="188">
        <f ca="1">OFFSET(환산공식!FW$15,$F227,0)</f>
        <v>0.28000000000000003</v>
      </c>
      <c r="Z227" s="20">
        <f ca="1">OFFSET(환산공식!FX$15,$F227,0)</f>
        <v>0.39</v>
      </c>
      <c r="AA227" s="179">
        <f ca="1">OFFSET(환산공식!FY$15,$F227,0)</f>
        <v>0.33</v>
      </c>
      <c r="AB227" s="3"/>
      <c r="AD227">
        <f t="shared" ca="1" si="7"/>
        <v>6</v>
      </c>
      <c r="AF227" s="3"/>
      <c r="AG227" s="3"/>
      <c r="AH227" s="3"/>
    </row>
    <row r="228" spans="1:34">
      <c r="A228" s="198"/>
      <c r="B228" s="198"/>
      <c r="C228" s="198" t="s">
        <v>2549</v>
      </c>
      <c r="D228" s="235">
        <v>2119</v>
      </c>
      <c r="E228" s="195">
        <v>132</v>
      </c>
      <c r="F228" s="195">
        <v>132</v>
      </c>
      <c r="G228" s="239">
        <v>221</v>
      </c>
      <c r="H228" s="197" t="s">
        <v>81</v>
      </c>
      <c r="I228" s="242" t="s">
        <v>446</v>
      </c>
      <c r="J228" s="242" t="s">
        <v>8640</v>
      </c>
      <c r="K228" s="195" t="s">
        <v>70</v>
      </c>
      <c r="L228" s="20" t="str">
        <f ca="1">IF(OFFSET(환산공식!$ED$15,$F228,0)=1,"O","X")</f>
        <v>X</v>
      </c>
      <c r="M228" s="188">
        <f ca="1">IFERROR(OFFSET(환산공식!DJ$15,$F228,0),"")</f>
        <v>100</v>
      </c>
      <c r="N228" s="20" t="str">
        <f ca="1">IFERROR(CONCATENATE(ROUND(OFFSET(환산공식!DK$15,$F228,0),1),"%"),"")</f>
        <v>100%</v>
      </c>
      <c r="O228" s="20">
        <f ca="1">IFERROR(OFFSET(환산공식!DL$15,$F228,0),"")</f>
        <v>0</v>
      </c>
      <c r="P228" s="188" t="str">
        <f t="shared" ca="1" si="6"/>
        <v>3% 이하</v>
      </c>
      <c r="Q228" s="194">
        <f ca="1">IFERROR(ROUND(OFFSET(환산공식!$FG$15,$F228,0),3),"")</f>
        <v>0</v>
      </c>
      <c r="R228" s="194">
        <f ca="1">OFFSET('배치점수 계산기'!H$10,$D228,0)</f>
        <v>787.92</v>
      </c>
      <c r="S228" s="194">
        <f ca="1">OFFSET('배치점수 계산기'!I$10,$D228,0)</f>
        <v>778.27</v>
      </c>
      <c r="T228" s="194">
        <f ca="1">OFFSET('배치점수 계산기'!J$10,$D228,0)</f>
        <v>768.87</v>
      </c>
      <c r="U228" s="194">
        <f ca="1">OFFSET('배치점수 계산기'!K$10,$D228,0)</f>
        <v>760.95</v>
      </c>
      <c r="V228" s="194">
        <f ca="1">OFFSET('배치점수 계산기'!L$10,$D228,0)</f>
        <v>751.77</v>
      </c>
      <c r="W228" s="186" t="str">
        <f ca="1">OFFSET('배치점수 계산기'!M$10,$D228,0)</f>
        <v>백분위</v>
      </c>
      <c r="X228" s="184" t="str">
        <f ca="1">OFFSET('배치점수 계산기'!N$10,$D228,0)</f>
        <v>백분위</v>
      </c>
      <c r="Y228" s="188">
        <f ca="1">OFFSET(환산공식!FW$15,$F228,0)</f>
        <v>0.28000000000000003</v>
      </c>
      <c r="Z228" s="20">
        <f ca="1">OFFSET(환산공식!FX$15,$F228,0)</f>
        <v>0.39</v>
      </c>
      <c r="AA228" s="179">
        <f ca="1">OFFSET(환산공식!FY$15,$F228,0)</f>
        <v>0.33</v>
      </c>
      <c r="AB228" s="3"/>
      <c r="AD228">
        <f t="shared" ca="1" si="7"/>
        <v>6</v>
      </c>
      <c r="AF228" s="3"/>
      <c r="AG228" s="3"/>
      <c r="AH228" s="3"/>
    </row>
    <row r="229" spans="1:34">
      <c r="A229" s="198"/>
      <c r="B229" s="198"/>
      <c r="C229" s="198" t="s">
        <v>2550</v>
      </c>
      <c r="D229" s="235">
        <v>2120</v>
      </c>
      <c r="E229" s="195">
        <v>132</v>
      </c>
      <c r="F229" s="195">
        <v>132</v>
      </c>
      <c r="G229" s="239">
        <v>222</v>
      </c>
      <c r="H229" s="197" t="s">
        <v>81</v>
      </c>
      <c r="I229" s="242" t="s">
        <v>446</v>
      </c>
      <c r="J229" s="242" t="s">
        <v>447</v>
      </c>
      <c r="K229" s="195" t="s">
        <v>70</v>
      </c>
      <c r="L229" s="20" t="str">
        <f ca="1">IF(OFFSET(환산공식!$ED$15,$F229,0)=1,"O","X")</f>
        <v>X</v>
      </c>
      <c r="M229" s="188">
        <f ca="1">IFERROR(OFFSET(환산공식!DJ$15,$F229,0),"")</f>
        <v>100</v>
      </c>
      <c r="N229" s="20" t="str">
        <f ca="1">IFERROR(CONCATENATE(ROUND(OFFSET(환산공식!DK$15,$F229,0),1),"%"),"")</f>
        <v>100%</v>
      </c>
      <c r="O229" s="20">
        <f ca="1">IFERROR(OFFSET(환산공식!DL$15,$F229,0),"")</f>
        <v>0</v>
      </c>
      <c r="P229" s="188" t="str">
        <f t="shared" ca="1" si="6"/>
        <v>3% 이하</v>
      </c>
      <c r="Q229" s="194">
        <f ca="1">IFERROR(ROUND(OFFSET(환산공식!$FG$15,$F229,0),3),"")</f>
        <v>0</v>
      </c>
      <c r="R229" s="194">
        <f ca="1">OFFSET('배치점수 계산기'!H$10,$D229,0)</f>
        <v>787.85</v>
      </c>
      <c r="S229" s="194">
        <f ca="1">OFFSET('배치점수 계산기'!I$10,$D229,0)</f>
        <v>778.02</v>
      </c>
      <c r="T229" s="194">
        <f ca="1">OFFSET('배치점수 계산기'!J$10,$D229,0)</f>
        <v>768.11</v>
      </c>
      <c r="U229" s="194">
        <f ca="1">OFFSET('배치점수 계산기'!K$10,$D229,0)</f>
        <v>762.15</v>
      </c>
      <c r="V229" s="194">
        <f ca="1">OFFSET('배치점수 계산기'!L$10,$D229,0)</f>
        <v>756.69</v>
      </c>
      <c r="W229" s="186" t="str">
        <f ca="1">OFFSET('배치점수 계산기'!M$10,$D229,0)</f>
        <v>백분위</v>
      </c>
      <c r="X229" s="184" t="str">
        <f ca="1">OFFSET('배치점수 계산기'!N$10,$D229,0)</f>
        <v>백분위</v>
      </c>
      <c r="Y229" s="188">
        <f ca="1">OFFSET(환산공식!FW$15,$F229,0)</f>
        <v>0.28000000000000003</v>
      </c>
      <c r="Z229" s="20">
        <f ca="1">OFFSET(환산공식!FX$15,$F229,0)</f>
        <v>0.39</v>
      </c>
      <c r="AA229" s="179">
        <f ca="1">OFFSET(환산공식!FY$15,$F229,0)</f>
        <v>0.33</v>
      </c>
      <c r="AB229" s="3"/>
      <c r="AD229">
        <f t="shared" ca="1" si="7"/>
        <v>6</v>
      </c>
      <c r="AF229" s="3"/>
      <c r="AG229" s="3"/>
      <c r="AH229" s="3"/>
    </row>
    <row r="230" spans="1:34">
      <c r="A230" s="198"/>
      <c r="B230" s="198"/>
      <c r="C230" s="198" t="s">
        <v>2551</v>
      </c>
      <c r="D230" s="235">
        <v>2121</v>
      </c>
      <c r="E230" s="195">
        <v>132</v>
      </c>
      <c r="F230" s="195">
        <v>132</v>
      </c>
      <c r="G230" s="239">
        <v>223</v>
      </c>
      <c r="H230" s="197" t="s">
        <v>81</v>
      </c>
      <c r="I230" s="242" t="s">
        <v>446</v>
      </c>
      <c r="J230" s="242" t="s">
        <v>12316</v>
      </c>
      <c r="K230" s="195" t="s">
        <v>70</v>
      </c>
      <c r="L230" s="20" t="str">
        <f ca="1">IF(OFFSET(환산공식!$ED$15,$F230,0)=1,"O","X")</f>
        <v>X</v>
      </c>
      <c r="M230" s="188">
        <f ca="1">IFERROR(OFFSET(환산공식!DJ$15,$F230,0),"")</f>
        <v>100</v>
      </c>
      <c r="N230" s="20" t="str">
        <f ca="1">IFERROR(CONCATENATE(ROUND(OFFSET(환산공식!DK$15,$F230,0),1),"%"),"")</f>
        <v>100%</v>
      </c>
      <c r="O230" s="20">
        <f ca="1">IFERROR(OFFSET(환산공식!DL$15,$F230,0),"")</f>
        <v>0</v>
      </c>
      <c r="P230" s="188" t="str">
        <f t="shared" ca="1" si="6"/>
        <v>3% 이하</v>
      </c>
      <c r="Q230" s="194">
        <f ca="1">IFERROR(ROUND(OFFSET(환산공식!$FG$15,$F230,0),3),"")</f>
        <v>0</v>
      </c>
      <c r="R230" s="194">
        <f ca="1">OFFSET('배치점수 계산기'!H$10,$D230,0)</f>
        <v>786.21</v>
      </c>
      <c r="S230" s="194">
        <f ca="1">OFFSET('배치점수 계산기'!I$10,$D230,0)</f>
        <v>776.67</v>
      </c>
      <c r="T230" s="194">
        <f ca="1">OFFSET('배치점수 계산기'!J$10,$D230,0)</f>
        <v>767.22</v>
      </c>
      <c r="U230" s="194">
        <f ca="1">OFFSET('배치점수 계산기'!K$10,$D230,0)</f>
        <v>761.06</v>
      </c>
      <c r="V230" s="194">
        <f ca="1">OFFSET('배치점수 계산기'!L$10,$D230,0)</f>
        <v>754.46</v>
      </c>
      <c r="W230" s="186" t="str">
        <f ca="1">OFFSET('배치점수 계산기'!M$10,$D230,0)</f>
        <v>백분위</v>
      </c>
      <c r="X230" s="184" t="str">
        <f ca="1">OFFSET('배치점수 계산기'!N$10,$D230,0)</f>
        <v>백분위</v>
      </c>
      <c r="Y230" s="188">
        <f ca="1">OFFSET(환산공식!FW$15,$F230,0)</f>
        <v>0.28000000000000003</v>
      </c>
      <c r="Z230" s="20">
        <f ca="1">OFFSET(환산공식!FX$15,$F230,0)</f>
        <v>0.39</v>
      </c>
      <c r="AA230" s="179">
        <f ca="1">OFFSET(환산공식!FY$15,$F230,0)</f>
        <v>0.33</v>
      </c>
      <c r="AB230" s="3"/>
      <c r="AD230">
        <f t="shared" ca="1" si="7"/>
        <v>6</v>
      </c>
      <c r="AF230" s="3"/>
      <c r="AG230" s="3"/>
      <c r="AH230" s="3"/>
    </row>
    <row r="231" spans="1:34">
      <c r="A231" s="198"/>
      <c r="B231" s="198"/>
      <c r="C231" s="198" t="s">
        <v>2552</v>
      </c>
      <c r="D231" s="235">
        <v>2122</v>
      </c>
      <c r="E231" s="195">
        <v>132</v>
      </c>
      <c r="F231" s="195">
        <v>132</v>
      </c>
      <c r="G231" s="239">
        <v>224</v>
      </c>
      <c r="H231" s="197" t="s">
        <v>81</v>
      </c>
      <c r="I231" s="242" t="s">
        <v>446</v>
      </c>
      <c r="J231" s="242" t="s">
        <v>555</v>
      </c>
      <c r="K231" s="195" t="s">
        <v>70</v>
      </c>
      <c r="L231" s="20" t="str">
        <f ca="1">IF(OFFSET(환산공식!$ED$15,$F231,0)=1,"O","X")</f>
        <v>X</v>
      </c>
      <c r="M231" s="188">
        <f ca="1">IFERROR(OFFSET(환산공식!DJ$15,$F231,0),"")</f>
        <v>100</v>
      </c>
      <c r="N231" s="20" t="str">
        <f ca="1">IFERROR(CONCATENATE(ROUND(OFFSET(환산공식!DK$15,$F231,0),1),"%"),"")</f>
        <v>100%</v>
      </c>
      <c r="O231" s="20">
        <f ca="1">IFERROR(OFFSET(환산공식!DL$15,$F231,0),"")</f>
        <v>0</v>
      </c>
      <c r="P231" s="188" t="str">
        <f t="shared" ca="1" si="6"/>
        <v>3% 이하</v>
      </c>
      <c r="Q231" s="194">
        <f ca="1">IFERROR(ROUND(OFFSET(환산공식!$FG$15,$F231,0),3),"")</f>
        <v>0</v>
      </c>
      <c r="R231" s="194">
        <f ca="1">OFFSET('배치점수 계산기'!H$10,$D231,0)</f>
        <v>780.45</v>
      </c>
      <c r="S231" s="194">
        <f ca="1">OFFSET('배치점수 계산기'!I$10,$D231,0)</f>
        <v>771.35</v>
      </c>
      <c r="T231" s="194">
        <f ca="1">OFFSET('배치점수 계산기'!J$10,$D231,0)</f>
        <v>760.32</v>
      </c>
      <c r="U231" s="194">
        <f ca="1">OFFSET('배치점수 계산기'!K$10,$D231,0)</f>
        <v>752.74</v>
      </c>
      <c r="V231" s="194">
        <f ca="1">OFFSET('배치점수 계산기'!L$10,$D231,0)</f>
        <v>743.72</v>
      </c>
      <c r="W231" s="186" t="str">
        <f ca="1">OFFSET('배치점수 계산기'!M$10,$D231,0)</f>
        <v>백분위</v>
      </c>
      <c r="X231" s="184" t="str">
        <f ca="1">OFFSET('배치점수 계산기'!N$10,$D231,0)</f>
        <v>백분위</v>
      </c>
      <c r="Y231" s="188">
        <f ca="1">OFFSET(환산공식!FW$15,$F231,0)</f>
        <v>0.28000000000000003</v>
      </c>
      <c r="Z231" s="20">
        <f ca="1">OFFSET(환산공식!FX$15,$F231,0)</f>
        <v>0.39</v>
      </c>
      <c r="AA231" s="179">
        <f ca="1">OFFSET(환산공식!FY$15,$F231,0)</f>
        <v>0.33</v>
      </c>
      <c r="AB231" s="3"/>
      <c r="AD231">
        <f t="shared" ca="1" si="7"/>
        <v>6</v>
      </c>
      <c r="AF231" s="3"/>
      <c r="AG231" s="3"/>
      <c r="AH231" s="3"/>
    </row>
    <row r="232" spans="1:34">
      <c r="A232" s="198"/>
      <c r="B232" s="198"/>
      <c r="C232" s="198" t="s">
        <v>2553</v>
      </c>
      <c r="D232" s="235">
        <v>2123</v>
      </c>
      <c r="E232" s="195">
        <v>132</v>
      </c>
      <c r="F232" s="195">
        <v>132</v>
      </c>
      <c r="G232" s="239">
        <v>225</v>
      </c>
      <c r="H232" s="197" t="s">
        <v>81</v>
      </c>
      <c r="I232" s="242" t="s">
        <v>446</v>
      </c>
      <c r="J232" s="242" t="s">
        <v>551</v>
      </c>
      <c r="K232" s="195" t="s">
        <v>70</v>
      </c>
      <c r="L232" s="20" t="str">
        <f ca="1">IF(OFFSET(환산공식!$ED$15,$F232,0)=1,"O","X")</f>
        <v>X</v>
      </c>
      <c r="M232" s="188">
        <f ca="1">IFERROR(OFFSET(환산공식!DJ$15,$F232,0),"")</f>
        <v>100</v>
      </c>
      <c r="N232" s="20" t="str">
        <f ca="1">IFERROR(CONCATENATE(ROUND(OFFSET(환산공식!DK$15,$F232,0),1),"%"),"")</f>
        <v>100%</v>
      </c>
      <c r="O232" s="20">
        <f ca="1">IFERROR(OFFSET(환산공식!DL$15,$F232,0),"")</f>
        <v>0</v>
      </c>
      <c r="P232" s="188" t="str">
        <f t="shared" ca="1" si="6"/>
        <v>3% 이하</v>
      </c>
      <c r="Q232" s="194">
        <f ca="1">IFERROR(ROUND(OFFSET(환산공식!$FG$15,$F232,0),3),"")</f>
        <v>0</v>
      </c>
      <c r="R232" s="194">
        <f ca="1">OFFSET('배치점수 계산기'!H$10,$D232,0)</f>
        <v>772.69</v>
      </c>
      <c r="S232" s="194">
        <f ca="1">OFFSET('배치점수 계산기'!I$10,$D232,0)</f>
        <v>762.1</v>
      </c>
      <c r="T232" s="194">
        <f ca="1">OFFSET('배치점수 계산기'!J$10,$D232,0)</f>
        <v>752.22</v>
      </c>
      <c r="U232" s="194">
        <f ca="1">OFFSET('배치점수 계산기'!K$10,$D232,0)</f>
        <v>743.72</v>
      </c>
      <c r="V232" s="194">
        <f ca="1">OFFSET('배치점수 계산기'!L$10,$D232,0)</f>
        <v>737.08</v>
      </c>
      <c r="W232" s="186" t="str">
        <f ca="1">OFFSET('배치점수 계산기'!M$10,$D232,0)</f>
        <v>백분위</v>
      </c>
      <c r="X232" s="184" t="str">
        <f ca="1">OFFSET('배치점수 계산기'!N$10,$D232,0)</f>
        <v>백분위</v>
      </c>
      <c r="Y232" s="188">
        <f ca="1">OFFSET(환산공식!FW$15,$F232,0)</f>
        <v>0.28000000000000003</v>
      </c>
      <c r="Z232" s="20">
        <f ca="1">OFFSET(환산공식!FX$15,$F232,0)</f>
        <v>0.39</v>
      </c>
      <c r="AA232" s="179">
        <f ca="1">OFFSET(환산공식!FY$15,$F232,0)</f>
        <v>0.33</v>
      </c>
      <c r="AB232" s="3"/>
      <c r="AD232">
        <f t="shared" ca="1" si="7"/>
        <v>6</v>
      </c>
      <c r="AF232" s="3"/>
      <c r="AG232" s="3"/>
      <c r="AH232" s="3"/>
    </row>
    <row r="233" spans="1:34">
      <c r="A233" s="198"/>
      <c r="B233" s="198"/>
      <c r="C233" s="198" t="s">
        <v>2554</v>
      </c>
      <c r="D233" s="235">
        <v>2124</v>
      </c>
      <c r="E233" s="195">
        <v>130</v>
      </c>
      <c r="F233" s="195">
        <v>130</v>
      </c>
      <c r="G233" s="239">
        <v>226</v>
      </c>
      <c r="H233" s="197" t="s">
        <v>81</v>
      </c>
      <c r="I233" s="242" t="s">
        <v>446</v>
      </c>
      <c r="J233" s="242" t="s">
        <v>10976</v>
      </c>
      <c r="K233" s="195" t="s">
        <v>71</v>
      </c>
      <c r="L233" s="20" t="str">
        <f ca="1">IF(OFFSET(환산공식!$ED$15,$F233,0)=1,"O","X")</f>
        <v>X</v>
      </c>
      <c r="M233" s="188">
        <f ca="1">IFERROR(OFFSET(환산공식!DJ$15,$F233,0),"")</f>
        <v>100</v>
      </c>
      <c r="N233" s="20" t="str">
        <f ca="1">IFERROR(CONCATENATE(ROUND(OFFSET(환산공식!DK$15,$F233,0),1),"%"),"")</f>
        <v>100%</v>
      </c>
      <c r="O233" s="20">
        <f ca="1">IFERROR(OFFSET(환산공식!DL$15,$F233,0),"")</f>
        <v>0</v>
      </c>
      <c r="P233" s="188" t="str">
        <f t="shared" ca="1" si="6"/>
        <v>3% 이하</v>
      </c>
      <c r="Q233" s="194">
        <f ca="1">IFERROR(ROUND(OFFSET(환산공식!$FG$15,$F233,0),3),"")</f>
        <v>0</v>
      </c>
      <c r="R233" s="194">
        <f ca="1">OFFSET('배치점수 계산기'!H$10,$D233,0)</f>
        <v>854.85500000000002</v>
      </c>
      <c r="S233" s="194">
        <f ca="1">OFFSET('배치점수 계산기'!I$10,$D233,0)</f>
        <v>848.22500000000002</v>
      </c>
      <c r="T233" s="194">
        <f ca="1">OFFSET('배치점수 계산기'!J$10,$D233,0)</f>
        <v>841.47</v>
      </c>
      <c r="U233" s="194">
        <f ca="1">OFFSET('배치점수 계산기'!K$10,$D233,0)</f>
        <v>832.72500000000002</v>
      </c>
      <c r="V233" s="194">
        <f ca="1">OFFSET('배치점수 계산기'!L$10,$D233,0)</f>
        <v>822.97</v>
      </c>
      <c r="W233" s="186" t="str">
        <f ca="1">OFFSET('배치점수 계산기'!M$10,$D233,0)</f>
        <v>백분위</v>
      </c>
      <c r="X233" s="184" t="str">
        <f ca="1">OFFSET('배치점수 계산기'!N$10,$D233,0)</f>
        <v>백분위</v>
      </c>
      <c r="Y233" s="188">
        <f ca="1">OFFSET(환산공식!FW$15,$F233,0)</f>
        <v>0.28000000000000003</v>
      </c>
      <c r="Z233" s="20">
        <f ca="1">OFFSET(환산공식!FX$15,$F233,0)</f>
        <v>0.39</v>
      </c>
      <c r="AA233" s="179">
        <f ca="1">OFFSET(환산공식!FY$15,$F233,0)</f>
        <v>0.33</v>
      </c>
      <c r="AB233" s="3"/>
      <c r="AD233">
        <f t="shared" ca="1" si="7"/>
        <v>6</v>
      </c>
      <c r="AF233" s="3"/>
      <c r="AG233" s="3"/>
      <c r="AH233" s="3"/>
    </row>
    <row r="234" spans="1:34">
      <c r="A234" s="198"/>
      <c r="B234" s="198"/>
      <c r="C234" s="198" t="s">
        <v>2555</v>
      </c>
      <c r="D234" s="235">
        <v>2125</v>
      </c>
      <c r="E234" s="195">
        <v>130</v>
      </c>
      <c r="F234" s="195">
        <v>130</v>
      </c>
      <c r="G234" s="239">
        <v>227</v>
      </c>
      <c r="H234" s="197" t="s">
        <v>81</v>
      </c>
      <c r="I234" s="242" t="s">
        <v>446</v>
      </c>
      <c r="J234" s="242" t="s">
        <v>11370</v>
      </c>
      <c r="K234" s="195" t="s">
        <v>71</v>
      </c>
      <c r="L234" s="20" t="str">
        <f ca="1">IF(OFFSET(환산공식!$ED$15,$F234,0)=1,"O","X")</f>
        <v>X</v>
      </c>
      <c r="M234" s="188">
        <f ca="1">IFERROR(OFFSET(환산공식!DJ$15,$F234,0),"")</f>
        <v>100</v>
      </c>
      <c r="N234" s="20" t="str">
        <f ca="1">IFERROR(CONCATENATE(ROUND(OFFSET(환산공식!DK$15,$F234,0),1),"%"),"")</f>
        <v>100%</v>
      </c>
      <c r="O234" s="20">
        <f ca="1">IFERROR(OFFSET(환산공식!DL$15,$F234,0),"")</f>
        <v>0</v>
      </c>
      <c r="P234" s="188" t="str">
        <f t="shared" ca="1" si="6"/>
        <v>3% 이하</v>
      </c>
      <c r="Q234" s="194">
        <f ca="1">IFERROR(ROUND(OFFSET(환산공식!$FG$15,$F234,0),3),"")</f>
        <v>0</v>
      </c>
      <c r="R234" s="194">
        <f ca="1">OFFSET('배치점수 계산기'!H$10,$D234,0)</f>
        <v>835.48500000000001</v>
      </c>
      <c r="S234" s="194">
        <f ca="1">OFFSET('배치점수 계산기'!I$10,$D234,0)</f>
        <v>830.11500000000001</v>
      </c>
      <c r="T234" s="194">
        <f ca="1">OFFSET('배치점수 계산기'!J$10,$D234,0)</f>
        <v>823.27</v>
      </c>
      <c r="U234" s="194">
        <f ca="1">OFFSET('배치점수 계산기'!K$10,$D234,0)</f>
        <v>813.8</v>
      </c>
      <c r="V234" s="194">
        <f ca="1">OFFSET('배치점수 계산기'!L$10,$D234,0)</f>
        <v>804.42</v>
      </c>
      <c r="W234" s="186" t="str">
        <f ca="1">OFFSET('배치점수 계산기'!M$10,$D234,0)</f>
        <v>백분위</v>
      </c>
      <c r="X234" s="184" t="str">
        <f ca="1">OFFSET('배치점수 계산기'!N$10,$D234,0)</f>
        <v>백분위</v>
      </c>
      <c r="Y234" s="188">
        <f ca="1">OFFSET(환산공식!FW$15,$F234,0)</f>
        <v>0.28000000000000003</v>
      </c>
      <c r="Z234" s="20">
        <f ca="1">OFFSET(환산공식!FX$15,$F234,0)</f>
        <v>0.39</v>
      </c>
      <c r="AA234" s="179">
        <f ca="1">OFFSET(환산공식!FY$15,$F234,0)</f>
        <v>0.33</v>
      </c>
      <c r="AB234" s="3"/>
      <c r="AD234">
        <f t="shared" ca="1" si="7"/>
        <v>6</v>
      </c>
      <c r="AF234" s="3"/>
      <c r="AG234" s="3"/>
      <c r="AH234" s="3"/>
    </row>
    <row r="235" spans="1:34">
      <c r="A235" s="198"/>
      <c r="B235" s="198"/>
      <c r="C235" s="198" t="s">
        <v>2556</v>
      </c>
      <c r="D235" s="235">
        <v>2126</v>
      </c>
      <c r="E235" s="195">
        <v>129</v>
      </c>
      <c r="F235" s="195">
        <v>129</v>
      </c>
      <c r="G235" s="239">
        <v>228</v>
      </c>
      <c r="H235" s="197" t="s">
        <v>81</v>
      </c>
      <c r="I235" s="242" t="s">
        <v>446</v>
      </c>
      <c r="J235" s="242" t="s">
        <v>8659</v>
      </c>
      <c r="K235" s="195" t="s">
        <v>71</v>
      </c>
      <c r="L235" s="20" t="str">
        <f ca="1">IF(OFFSET(환산공식!$ED$15,$F235,0)=1,"O","X")</f>
        <v>X</v>
      </c>
      <c r="M235" s="188">
        <f ca="1">IFERROR(OFFSET(환산공식!DJ$15,$F235,0),"")</f>
        <v>100</v>
      </c>
      <c r="N235" s="20" t="str">
        <f ca="1">IFERROR(CONCATENATE(ROUND(OFFSET(환산공식!DK$15,$F235,0),1),"%"),"")</f>
        <v>100%</v>
      </c>
      <c r="O235" s="20">
        <f ca="1">IFERROR(OFFSET(환산공식!DL$15,$F235,0),"")</f>
        <v>0</v>
      </c>
      <c r="P235" s="188" t="str">
        <f t="shared" ca="1" si="6"/>
        <v>3% 이하</v>
      </c>
      <c r="Q235" s="194">
        <f ca="1">IFERROR(ROUND(OFFSET(환산공식!$FG$15,$F235,0),3),"")</f>
        <v>0</v>
      </c>
      <c r="R235" s="194">
        <f ca="1">OFFSET('배치점수 계산기'!H$10,$D235,0)</f>
        <v>820.61500000000001</v>
      </c>
      <c r="S235" s="194">
        <f ca="1">OFFSET('배치점수 계산기'!I$10,$D235,0)</f>
        <v>815.03</v>
      </c>
      <c r="T235" s="194">
        <f ca="1">OFFSET('배치점수 계산기'!J$10,$D235,0)</f>
        <v>809.08500000000004</v>
      </c>
      <c r="U235" s="194">
        <f ca="1">OFFSET('배치점수 계산기'!K$10,$D235,0)</f>
        <v>800.79</v>
      </c>
      <c r="V235" s="194">
        <f ca="1">OFFSET('배치점수 계산기'!L$10,$D235,0)</f>
        <v>791.91</v>
      </c>
      <c r="W235" s="186" t="str">
        <f ca="1">OFFSET('배치점수 계산기'!M$10,$D235,0)</f>
        <v>백분위</v>
      </c>
      <c r="X235" s="184" t="str">
        <f ca="1">OFFSET('배치점수 계산기'!N$10,$D235,0)</f>
        <v>백분위</v>
      </c>
      <c r="Y235" s="188">
        <f ca="1">OFFSET(환산공식!FW$15,$F235,0)</f>
        <v>0.39</v>
      </c>
      <c r="Z235" s="20">
        <f ca="1">OFFSET(환산공식!FX$15,$F235,0)</f>
        <v>0.33</v>
      </c>
      <c r="AA235" s="179">
        <f ca="1">OFFSET(환산공식!FY$15,$F235,0)</f>
        <v>0.28000000000000003</v>
      </c>
      <c r="AB235" s="3"/>
      <c r="AD235">
        <f t="shared" ca="1" si="7"/>
        <v>6</v>
      </c>
      <c r="AF235" s="3"/>
      <c r="AG235" s="3"/>
      <c r="AH235" s="3"/>
    </row>
    <row r="236" spans="1:34">
      <c r="A236" s="198"/>
      <c r="B236" s="198"/>
      <c r="C236" s="198" t="s">
        <v>2557</v>
      </c>
      <c r="D236" s="235">
        <v>2127</v>
      </c>
      <c r="E236" s="195">
        <v>129</v>
      </c>
      <c r="F236" s="195">
        <v>129</v>
      </c>
      <c r="G236" s="239">
        <v>229</v>
      </c>
      <c r="H236" s="197" t="s">
        <v>81</v>
      </c>
      <c r="I236" s="242" t="s">
        <v>446</v>
      </c>
      <c r="J236" s="242" t="s">
        <v>8534</v>
      </c>
      <c r="K236" s="195" t="s">
        <v>71</v>
      </c>
      <c r="L236" s="20" t="str">
        <f ca="1">IF(OFFSET(환산공식!$ED$15,$F236,0)=1,"O","X")</f>
        <v>X</v>
      </c>
      <c r="M236" s="188">
        <f ca="1">IFERROR(OFFSET(환산공식!DJ$15,$F236,0),"")</f>
        <v>100</v>
      </c>
      <c r="N236" s="20" t="str">
        <f ca="1">IFERROR(CONCATENATE(ROUND(OFFSET(환산공식!DK$15,$F236,0),1),"%"),"")</f>
        <v>100%</v>
      </c>
      <c r="O236" s="20">
        <f ca="1">IFERROR(OFFSET(환산공식!DL$15,$F236,0),"")</f>
        <v>0</v>
      </c>
      <c r="P236" s="188" t="str">
        <f t="shared" ca="1" si="6"/>
        <v>3% 이하</v>
      </c>
      <c r="Q236" s="194">
        <f ca="1">IFERROR(ROUND(OFFSET(환산공식!$FG$15,$F236,0),3),"")</f>
        <v>0</v>
      </c>
      <c r="R236" s="194">
        <f ca="1">OFFSET('배치점수 계산기'!H$10,$D236,0)</f>
        <v>810.59500000000003</v>
      </c>
      <c r="S236" s="194">
        <f ca="1">OFFSET('배치점수 계산기'!I$10,$D236,0)</f>
        <v>805.7</v>
      </c>
      <c r="T236" s="194">
        <f ca="1">OFFSET('배치점수 계산기'!J$10,$D236,0)</f>
        <v>800.16499999999996</v>
      </c>
      <c r="U236" s="194">
        <f ca="1">OFFSET('배치점수 계산기'!K$10,$D236,0)</f>
        <v>791.91</v>
      </c>
      <c r="V236" s="194">
        <f ca="1">OFFSET('배치점수 계산기'!L$10,$D236,0)</f>
        <v>783.66499999999996</v>
      </c>
      <c r="W236" s="186" t="str">
        <f ca="1">OFFSET('배치점수 계산기'!M$10,$D236,0)</f>
        <v>백분위</v>
      </c>
      <c r="X236" s="184" t="str">
        <f ca="1">OFFSET('배치점수 계산기'!N$10,$D236,0)</f>
        <v>백분위</v>
      </c>
      <c r="Y236" s="188">
        <f ca="1">OFFSET(환산공식!FW$15,$F236,0)</f>
        <v>0.39</v>
      </c>
      <c r="Z236" s="20">
        <f ca="1">OFFSET(환산공식!FX$15,$F236,0)</f>
        <v>0.33</v>
      </c>
      <c r="AA236" s="179">
        <f ca="1">OFFSET(환산공식!FY$15,$F236,0)</f>
        <v>0.28000000000000003</v>
      </c>
      <c r="AB236" s="3"/>
      <c r="AD236">
        <f t="shared" ca="1" si="7"/>
        <v>6</v>
      </c>
      <c r="AF236" s="3"/>
      <c r="AG236" s="3"/>
      <c r="AH236" s="3"/>
    </row>
    <row r="237" spans="1:34">
      <c r="A237" s="198"/>
      <c r="B237" s="198"/>
      <c r="C237" s="198" t="s">
        <v>2558</v>
      </c>
      <c r="D237" s="235">
        <v>2128</v>
      </c>
      <c r="E237" s="195">
        <v>129</v>
      </c>
      <c r="F237" s="195">
        <v>129</v>
      </c>
      <c r="G237" s="239">
        <v>230</v>
      </c>
      <c r="H237" s="197" t="s">
        <v>81</v>
      </c>
      <c r="I237" s="242" t="s">
        <v>446</v>
      </c>
      <c r="J237" s="242" t="s">
        <v>8726</v>
      </c>
      <c r="K237" s="195" t="s">
        <v>71</v>
      </c>
      <c r="L237" s="20" t="str">
        <f ca="1">IF(OFFSET(환산공식!$ED$15,$F237,0)=1,"O","X")</f>
        <v>X</v>
      </c>
      <c r="M237" s="188">
        <f ca="1">IFERROR(OFFSET(환산공식!DJ$15,$F237,0),"")</f>
        <v>100</v>
      </c>
      <c r="N237" s="20" t="str">
        <f ca="1">IFERROR(CONCATENATE(ROUND(OFFSET(환산공식!DK$15,$F237,0),1),"%"),"")</f>
        <v>100%</v>
      </c>
      <c r="O237" s="20">
        <f ca="1">IFERROR(OFFSET(환산공식!DL$15,$F237,0),"")</f>
        <v>0</v>
      </c>
      <c r="P237" s="188" t="str">
        <f t="shared" ca="1" si="6"/>
        <v>3% 이하</v>
      </c>
      <c r="Q237" s="194">
        <f ca="1">IFERROR(ROUND(OFFSET(환산공식!$FG$15,$F237,0),3),"")</f>
        <v>0</v>
      </c>
      <c r="R237" s="194">
        <f ca="1">OFFSET('배치점수 계산기'!H$10,$D237,0)</f>
        <v>808.01</v>
      </c>
      <c r="S237" s="194">
        <f ca="1">OFFSET('배치점수 계산기'!I$10,$D237,0)</f>
        <v>803.09</v>
      </c>
      <c r="T237" s="194">
        <f ca="1">OFFSET('배치점수 계산기'!J$10,$D237,0)</f>
        <v>797.63</v>
      </c>
      <c r="U237" s="194">
        <f ca="1">OFFSET('배치점수 계산기'!K$10,$D237,0)</f>
        <v>788.875</v>
      </c>
      <c r="V237" s="194">
        <f ca="1">OFFSET('배치점수 계산기'!L$10,$D237,0)</f>
        <v>780.93</v>
      </c>
      <c r="W237" s="186" t="str">
        <f ca="1">OFFSET('배치점수 계산기'!M$10,$D237,0)</f>
        <v>백분위</v>
      </c>
      <c r="X237" s="184" t="str">
        <f ca="1">OFFSET('배치점수 계산기'!N$10,$D237,0)</f>
        <v>백분위</v>
      </c>
      <c r="Y237" s="188">
        <f ca="1">OFFSET(환산공식!FW$15,$F237,0)</f>
        <v>0.39</v>
      </c>
      <c r="Z237" s="20">
        <f ca="1">OFFSET(환산공식!FX$15,$F237,0)</f>
        <v>0.33</v>
      </c>
      <c r="AA237" s="179">
        <f ca="1">OFFSET(환산공식!FY$15,$F237,0)</f>
        <v>0.28000000000000003</v>
      </c>
      <c r="AB237" s="3"/>
      <c r="AD237">
        <f t="shared" ca="1" si="7"/>
        <v>6</v>
      </c>
      <c r="AF237" s="3"/>
      <c r="AG237" s="3"/>
      <c r="AH237" s="3"/>
    </row>
    <row r="238" spans="1:34">
      <c r="A238" s="198"/>
      <c r="B238" s="198"/>
      <c r="C238" s="198" t="s">
        <v>2559</v>
      </c>
      <c r="D238" s="235">
        <v>2129</v>
      </c>
      <c r="E238" s="195">
        <v>129</v>
      </c>
      <c r="F238" s="195">
        <v>129</v>
      </c>
      <c r="G238" s="239">
        <v>231</v>
      </c>
      <c r="H238" s="197" t="s">
        <v>81</v>
      </c>
      <c r="I238" s="242" t="s">
        <v>446</v>
      </c>
      <c r="J238" s="242" t="s">
        <v>16731</v>
      </c>
      <c r="K238" s="195" t="s">
        <v>71</v>
      </c>
      <c r="L238" s="20" t="str">
        <f ca="1">IF(OFFSET(환산공식!$ED$15,$F238,0)=1,"O","X")</f>
        <v>X</v>
      </c>
      <c r="M238" s="188">
        <f ca="1">IFERROR(OFFSET(환산공식!DJ$15,$F238,0),"")</f>
        <v>100</v>
      </c>
      <c r="N238" s="20" t="str">
        <f ca="1">IFERROR(CONCATENATE(ROUND(OFFSET(환산공식!DK$15,$F238,0),1),"%"),"")</f>
        <v>100%</v>
      </c>
      <c r="O238" s="20">
        <f ca="1">IFERROR(OFFSET(환산공식!DL$15,$F238,0),"")</f>
        <v>0</v>
      </c>
      <c r="P238" s="188" t="str">
        <f t="shared" ca="1" si="6"/>
        <v>3% 이하</v>
      </c>
      <c r="Q238" s="194">
        <f ca="1">IFERROR(ROUND(OFFSET(환산공식!$FG$15,$F238,0),3),"")</f>
        <v>0</v>
      </c>
      <c r="R238" s="194">
        <f ca="1">OFFSET('배치점수 계산기'!H$10,$D238,0)</f>
        <v>808.01</v>
      </c>
      <c r="S238" s="194">
        <f ca="1">OFFSET('배치점수 계산기'!I$10,$D238,0)</f>
        <v>802.91499999999996</v>
      </c>
      <c r="T238" s="194">
        <f ca="1">OFFSET('배치점수 계산기'!J$10,$D238,0)</f>
        <v>797.48</v>
      </c>
      <c r="U238" s="194">
        <f ca="1">OFFSET('배치점수 계산기'!K$10,$D238,0)</f>
        <v>788.52499999999998</v>
      </c>
      <c r="V238" s="194">
        <f ca="1">OFFSET('배치점수 계산기'!L$10,$D238,0)</f>
        <v>780.78</v>
      </c>
      <c r="W238" s="186" t="str">
        <f ca="1">OFFSET('배치점수 계산기'!M$10,$D238,0)</f>
        <v>백분위</v>
      </c>
      <c r="X238" s="184" t="str">
        <f ca="1">OFFSET('배치점수 계산기'!N$10,$D238,0)</f>
        <v>백분위</v>
      </c>
      <c r="Y238" s="188">
        <f ca="1">OFFSET(환산공식!FW$15,$F238,0)</f>
        <v>0.39</v>
      </c>
      <c r="Z238" s="20">
        <f ca="1">OFFSET(환산공식!FX$15,$F238,0)</f>
        <v>0.33</v>
      </c>
      <c r="AA238" s="179">
        <f ca="1">OFFSET(환산공식!FY$15,$F238,0)</f>
        <v>0.28000000000000003</v>
      </c>
      <c r="AB238" s="3"/>
      <c r="AD238">
        <f t="shared" ca="1" si="7"/>
        <v>6</v>
      </c>
      <c r="AF238" s="3"/>
      <c r="AG238" s="3"/>
      <c r="AH238" s="3"/>
    </row>
    <row r="239" spans="1:34">
      <c r="A239" s="198"/>
      <c r="B239" s="198"/>
      <c r="C239" s="198" t="s">
        <v>2560</v>
      </c>
      <c r="D239" s="235">
        <v>2130</v>
      </c>
      <c r="E239" s="195">
        <v>129</v>
      </c>
      <c r="F239" s="195">
        <v>129</v>
      </c>
      <c r="G239" s="239">
        <v>232</v>
      </c>
      <c r="H239" s="197" t="s">
        <v>81</v>
      </c>
      <c r="I239" s="242" t="s">
        <v>446</v>
      </c>
      <c r="J239" s="242" t="s">
        <v>9305</v>
      </c>
      <c r="K239" s="195" t="s">
        <v>71</v>
      </c>
      <c r="L239" s="20" t="str">
        <f ca="1">IF(OFFSET(환산공식!$ED$15,$F239,0)=1,"O","X")</f>
        <v>X</v>
      </c>
      <c r="M239" s="188">
        <f ca="1">IFERROR(OFFSET(환산공식!DJ$15,$F239,0),"")</f>
        <v>100</v>
      </c>
      <c r="N239" s="20" t="str">
        <f ca="1">IFERROR(CONCATENATE(ROUND(OFFSET(환산공식!DK$15,$F239,0),1),"%"),"")</f>
        <v>100%</v>
      </c>
      <c r="O239" s="20">
        <f ca="1">IFERROR(OFFSET(환산공식!DL$15,$F239,0),"")</f>
        <v>0</v>
      </c>
      <c r="P239" s="188" t="str">
        <f t="shared" ca="1" si="6"/>
        <v>3% 이하</v>
      </c>
      <c r="Q239" s="194">
        <f ca="1">IFERROR(ROUND(OFFSET(환산공식!$FG$15,$F239,0),3),"")</f>
        <v>0</v>
      </c>
      <c r="R239" s="194">
        <f ca="1">OFFSET('배치점수 계산기'!H$10,$D239,0)</f>
        <v>808.01</v>
      </c>
      <c r="S239" s="194">
        <f ca="1">OFFSET('배치점수 계산기'!I$10,$D239,0)</f>
        <v>802.91499999999996</v>
      </c>
      <c r="T239" s="194">
        <f ca="1">OFFSET('배치점수 계산기'!J$10,$D239,0)</f>
        <v>797.48</v>
      </c>
      <c r="U239" s="194">
        <f ca="1">OFFSET('배치점수 계산기'!K$10,$D239,0)</f>
        <v>788.52499999999998</v>
      </c>
      <c r="V239" s="194">
        <f ca="1">OFFSET('배치점수 계산기'!L$10,$D239,0)</f>
        <v>780.78</v>
      </c>
      <c r="W239" s="186" t="str">
        <f ca="1">OFFSET('배치점수 계산기'!M$10,$D239,0)</f>
        <v>백분위</v>
      </c>
      <c r="X239" s="184" t="str">
        <f ca="1">OFFSET('배치점수 계산기'!N$10,$D239,0)</f>
        <v>백분위</v>
      </c>
      <c r="Y239" s="188">
        <f ca="1">OFFSET(환산공식!FW$15,$F239,0)</f>
        <v>0.39</v>
      </c>
      <c r="Z239" s="20">
        <f ca="1">OFFSET(환산공식!FX$15,$F239,0)</f>
        <v>0.33</v>
      </c>
      <c r="AA239" s="179">
        <f ca="1">OFFSET(환산공식!FY$15,$F239,0)</f>
        <v>0.28000000000000003</v>
      </c>
      <c r="AB239" s="3"/>
      <c r="AD239">
        <f t="shared" ca="1" si="7"/>
        <v>6</v>
      </c>
      <c r="AF239" s="3"/>
      <c r="AG239" s="3"/>
      <c r="AH239" s="3"/>
    </row>
    <row r="240" spans="1:34">
      <c r="A240" s="198"/>
      <c r="B240" s="198"/>
      <c r="C240" s="198" t="s">
        <v>2561</v>
      </c>
      <c r="D240" s="235">
        <v>2131</v>
      </c>
      <c r="E240" s="195">
        <v>129</v>
      </c>
      <c r="F240" s="195">
        <v>129</v>
      </c>
      <c r="G240" s="239">
        <v>233</v>
      </c>
      <c r="H240" s="197" t="s">
        <v>81</v>
      </c>
      <c r="I240" s="242" t="s">
        <v>446</v>
      </c>
      <c r="J240" s="242" t="s">
        <v>10979</v>
      </c>
      <c r="K240" s="195" t="s">
        <v>71</v>
      </c>
      <c r="L240" s="20" t="str">
        <f ca="1">IF(OFFSET(환산공식!$ED$15,$F240,0)=1,"O","X")</f>
        <v>X</v>
      </c>
      <c r="M240" s="188">
        <f ca="1">IFERROR(OFFSET(환산공식!DJ$15,$F240,0),"")</f>
        <v>100</v>
      </c>
      <c r="N240" s="20" t="str">
        <f ca="1">IFERROR(CONCATENATE(ROUND(OFFSET(환산공식!DK$15,$F240,0),1),"%"),"")</f>
        <v>100%</v>
      </c>
      <c r="O240" s="20">
        <f ca="1">IFERROR(OFFSET(환산공식!DL$15,$F240,0),"")</f>
        <v>0</v>
      </c>
      <c r="P240" s="188" t="str">
        <f t="shared" ca="1" si="6"/>
        <v>3% 이하</v>
      </c>
      <c r="Q240" s="194">
        <f ca="1">IFERROR(ROUND(OFFSET(환산공식!$FG$15,$F240,0),3),"")</f>
        <v>0</v>
      </c>
      <c r="R240" s="194">
        <f ca="1">OFFSET('배치점수 계산기'!H$10,$D240,0)</f>
        <v>807.36</v>
      </c>
      <c r="S240" s="194">
        <f ca="1">OFFSET('배치점수 계산기'!I$10,$D240,0)</f>
        <v>802.11500000000001</v>
      </c>
      <c r="T240" s="194">
        <f ca="1">OFFSET('배치점수 계산기'!J$10,$D240,0)</f>
        <v>796.14499999999998</v>
      </c>
      <c r="U240" s="194">
        <f ca="1">OFFSET('배치점수 계산기'!K$10,$D240,0)</f>
        <v>788.22500000000002</v>
      </c>
      <c r="V240" s="194">
        <f ca="1">OFFSET('배치점수 계산기'!L$10,$D240,0)</f>
        <v>780.43</v>
      </c>
      <c r="W240" s="186" t="str">
        <f ca="1">OFFSET('배치점수 계산기'!M$10,$D240,0)</f>
        <v>백분위</v>
      </c>
      <c r="X240" s="184" t="str">
        <f ca="1">OFFSET('배치점수 계산기'!N$10,$D240,0)</f>
        <v>백분위</v>
      </c>
      <c r="Y240" s="188">
        <f ca="1">OFFSET(환산공식!FW$15,$F240,0)</f>
        <v>0.39</v>
      </c>
      <c r="Z240" s="20">
        <f ca="1">OFFSET(환산공식!FX$15,$F240,0)</f>
        <v>0.33</v>
      </c>
      <c r="AA240" s="179">
        <f ca="1">OFFSET(환산공식!FY$15,$F240,0)</f>
        <v>0.28000000000000003</v>
      </c>
      <c r="AB240" s="3"/>
      <c r="AD240">
        <f t="shared" ca="1" si="7"/>
        <v>6</v>
      </c>
      <c r="AF240" s="3"/>
      <c r="AG240" s="3"/>
      <c r="AH240" s="3"/>
    </row>
    <row r="241" spans="1:34">
      <c r="A241" s="198"/>
      <c r="B241" s="198"/>
      <c r="C241" s="198" t="s">
        <v>2562</v>
      </c>
      <c r="D241" s="235">
        <v>2132</v>
      </c>
      <c r="E241" s="195">
        <v>129</v>
      </c>
      <c r="F241" s="195">
        <v>129</v>
      </c>
      <c r="G241" s="239">
        <v>234</v>
      </c>
      <c r="H241" s="197" t="s">
        <v>81</v>
      </c>
      <c r="I241" s="242" t="s">
        <v>446</v>
      </c>
      <c r="J241" s="242" t="s">
        <v>11311</v>
      </c>
      <c r="K241" s="195" t="s">
        <v>71</v>
      </c>
      <c r="L241" s="20" t="str">
        <f ca="1">IF(OFFSET(환산공식!$ED$15,$F241,0)=1,"O","X")</f>
        <v>X</v>
      </c>
      <c r="M241" s="188">
        <f ca="1">IFERROR(OFFSET(환산공식!DJ$15,$F241,0),"")</f>
        <v>100</v>
      </c>
      <c r="N241" s="20" t="str">
        <f ca="1">IFERROR(CONCATENATE(ROUND(OFFSET(환산공식!DK$15,$F241,0),1),"%"),"")</f>
        <v>100%</v>
      </c>
      <c r="O241" s="20">
        <f ca="1">IFERROR(OFFSET(환산공식!DL$15,$F241,0),"")</f>
        <v>0</v>
      </c>
      <c r="P241" s="188" t="str">
        <f t="shared" ca="1" si="6"/>
        <v>3% 이하</v>
      </c>
      <c r="Q241" s="194">
        <f ca="1">IFERROR(ROUND(OFFSET(환산공식!$FG$15,$F241,0),3),"")</f>
        <v>0</v>
      </c>
      <c r="R241" s="194">
        <f ca="1">OFFSET('배치점수 계산기'!H$10,$D241,0)</f>
        <v>802.11500000000001</v>
      </c>
      <c r="S241" s="194">
        <f ca="1">OFFSET('배치점수 계산기'!I$10,$D241,0)</f>
        <v>797.63</v>
      </c>
      <c r="T241" s="194">
        <f ca="1">OFFSET('배치점수 계산기'!J$10,$D241,0)</f>
        <v>790.63499999999999</v>
      </c>
      <c r="U241" s="194">
        <f ca="1">OFFSET('배치점수 계산기'!K$10,$D241,0)</f>
        <v>783.66499999999996</v>
      </c>
      <c r="V241" s="194">
        <f ca="1">OFFSET('배치점수 계산기'!L$10,$D241,0)</f>
        <v>775.71</v>
      </c>
      <c r="W241" s="186" t="str">
        <f ca="1">OFFSET('배치점수 계산기'!M$10,$D241,0)</f>
        <v>백분위</v>
      </c>
      <c r="X241" s="184" t="str">
        <f ca="1">OFFSET('배치점수 계산기'!N$10,$D241,0)</f>
        <v>백분위</v>
      </c>
      <c r="Y241" s="188">
        <f ca="1">OFFSET(환산공식!FW$15,$F241,0)</f>
        <v>0.39</v>
      </c>
      <c r="Z241" s="20">
        <f ca="1">OFFSET(환산공식!FX$15,$F241,0)</f>
        <v>0.33</v>
      </c>
      <c r="AA241" s="179">
        <f ca="1">OFFSET(환산공식!FY$15,$F241,0)</f>
        <v>0.28000000000000003</v>
      </c>
      <c r="AB241" s="3"/>
      <c r="AD241">
        <f t="shared" ca="1" si="7"/>
        <v>6</v>
      </c>
      <c r="AF241" s="3"/>
      <c r="AG241" s="3"/>
      <c r="AH241" s="3"/>
    </row>
    <row r="242" spans="1:34">
      <c r="A242" s="198"/>
      <c r="B242" s="198"/>
      <c r="C242" s="198" t="s">
        <v>2563</v>
      </c>
      <c r="D242" s="235">
        <v>2133</v>
      </c>
      <c r="E242" s="195">
        <v>129</v>
      </c>
      <c r="F242" s="195">
        <v>129</v>
      </c>
      <c r="G242" s="239">
        <v>235</v>
      </c>
      <c r="H242" s="197" t="s">
        <v>81</v>
      </c>
      <c r="I242" s="242" t="s">
        <v>446</v>
      </c>
      <c r="J242" s="242" t="s">
        <v>9921</v>
      </c>
      <c r="K242" s="195" t="s">
        <v>71</v>
      </c>
      <c r="L242" s="20" t="str">
        <f ca="1">IF(OFFSET(환산공식!$ED$15,$F242,0)=1,"O","X")</f>
        <v>X</v>
      </c>
      <c r="M242" s="188">
        <f ca="1">IFERROR(OFFSET(환산공식!DJ$15,$F242,0),"")</f>
        <v>100</v>
      </c>
      <c r="N242" s="20" t="str">
        <f ca="1">IFERROR(CONCATENATE(ROUND(OFFSET(환산공식!DK$15,$F242,0),1),"%"),"")</f>
        <v>100%</v>
      </c>
      <c r="O242" s="20">
        <f ca="1">IFERROR(OFFSET(환산공식!DL$15,$F242,0),"")</f>
        <v>0</v>
      </c>
      <c r="P242" s="188" t="str">
        <f t="shared" ca="1" si="6"/>
        <v>3% 이하</v>
      </c>
      <c r="Q242" s="194">
        <f ca="1">IFERROR(ROUND(OFFSET(환산공식!$FG$15,$F242,0),3),"")</f>
        <v>0</v>
      </c>
      <c r="R242" s="194">
        <f ca="1">OFFSET('배치점수 계산기'!H$10,$D242,0)</f>
        <v>801.79</v>
      </c>
      <c r="S242" s="194">
        <f ca="1">OFFSET('배치점수 계산기'!I$10,$D242,0)</f>
        <v>797.48</v>
      </c>
      <c r="T242" s="194">
        <f ca="1">OFFSET('배치점수 계산기'!J$10,$D242,0)</f>
        <v>790.18499999999995</v>
      </c>
      <c r="U242" s="194">
        <f ca="1">OFFSET('배치점수 계산기'!K$10,$D242,0)</f>
        <v>783.66499999999996</v>
      </c>
      <c r="V242" s="194">
        <f ca="1">OFFSET('배치점수 계산기'!L$10,$D242,0)</f>
        <v>775.18499999999995</v>
      </c>
      <c r="W242" s="186" t="str">
        <f ca="1">OFFSET('배치점수 계산기'!M$10,$D242,0)</f>
        <v>백분위</v>
      </c>
      <c r="X242" s="184" t="str">
        <f ca="1">OFFSET('배치점수 계산기'!N$10,$D242,0)</f>
        <v>백분위</v>
      </c>
      <c r="Y242" s="188">
        <f ca="1">OFFSET(환산공식!FW$15,$F242,0)</f>
        <v>0.39</v>
      </c>
      <c r="Z242" s="20">
        <f ca="1">OFFSET(환산공식!FX$15,$F242,0)</f>
        <v>0.33</v>
      </c>
      <c r="AA242" s="179">
        <f ca="1">OFFSET(환산공식!FY$15,$F242,0)</f>
        <v>0.28000000000000003</v>
      </c>
      <c r="AB242" s="3"/>
      <c r="AD242">
        <f t="shared" ca="1" si="7"/>
        <v>6</v>
      </c>
      <c r="AF242" s="3"/>
      <c r="AG242" s="3"/>
      <c r="AH242" s="3"/>
    </row>
    <row r="243" spans="1:34">
      <c r="A243" s="198"/>
      <c r="B243" s="198"/>
      <c r="C243" s="198" t="s">
        <v>2564</v>
      </c>
      <c r="D243" s="235">
        <v>2134</v>
      </c>
      <c r="E243" s="195">
        <v>105</v>
      </c>
      <c r="F243" s="195">
        <v>105</v>
      </c>
      <c r="G243" s="239">
        <v>236</v>
      </c>
      <c r="H243" s="197" t="s">
        <v>81</v>
      </c>
      <c r="I243" s="242" t="s">
        <v>239</v>
      </c>
      <c r="J243" s="242" t="s">
        <v>10835</v>
      </c>
      <c r="K243" s="195" t="s">
        <v>70</v>
      </c>
      <c r="L243" s="20" t="str">
        <f ca="1">IF(OFFSET(환산공식!$ED$15,$F243,0)=1,"O","X")</f>
        <v>X</v>
      </c>
      <c r="M243" s="188">
        <f ca="1">IFERROR(OFFSET(환산공식!DJ$15,$F243,0),"")</f>
        <v>200</v>
      </c>
      <c r="N243" s="20" t="str">
        <f ca="1">IFERROR(CONCATENATE(ROUND(OFFSET(환산공식!DK$15,$F243,0),1),"%"),"")</f>
        <v>100%</v>
      </c>
      <c r="O243" s="20">
        <f ca="1">IFERROR(OFFSET(환산공식!DL$15,$F243,0),"")</f>
        <v>10</v>
      </c>
      <c r="P243" s="188" t="str">
        <f t="shared" ca="1" si="6"/>
        <v>3% 이하</v>
      </c>
      <c r="Q243" s="194">
        <f ca="1">IFERROR(ROUND(OFFSET(환산공식!$FG$15,$F243,0),3),"")</f>
        <v>0</v>
      </c>
      <c r="R243" s="194">
        <f ca="1">OFFSET('배치점수 계산기'!H$10,$D243,0)</f>
        <v>877.38</v>
      </c>
      <c r="S243" s="194">
        <f ca="1">OFFSET('배치점수 계산기'!I$10,$D243,0)</f>
        <v>873.04</v>
      </c>
      <c r="T243" s="194">
        <f ca="1">OFFSET('배치점수 계산기'!J$10,$D243,0)</f>
        <v>865.78</v>
      </c>
      <c r="U243" s="194">
        <f ca="1">OFFSET('배치점수 계산기'!K$10,$D243,0)</f>
        <v>857.6</v>
      </c>
      <c r="V243" s="194">
        <f ca="1">OFFSET('배치점수 계산기'!L$10,$D243,0)</f>
        <v>849.5</v>
      </c>
      <c r="W243" s="186" t="str">
        <f ca="1">OFFSET('배치점수 계산기'!M$10,$D243,0)</f>
        <v>백분위</v>
      </c>
      <c r="X243" s="184" t="str">
        <f ca="1">OFFSET('배치점수 계산기'!N$10,$D243,0)</f>
        <v>백분위</v>
      </c>
      <c r="Y243" s="188">
        <f ca="1">OFFSET(환산공식!FW$15,$F243,0)</f>
        <v>0.38</v>
      </c>
      <c r="Z243" s="20">
        <f ca="1">OFFSET(환산공식!FX$15,$F243,0)</f>
        <v>0.38</v>
      </c>
      <c r="AA243" s="179">
        <f ca="1">OFFSET(환산공식!FY$15,$F243,0)</f>
        <v>0.25</v>
      </c>
      <c r="AB243" s="3"/>
      <c r="AD243">
        <f t="shared" ca="1" si="7"/>
        <v>6</v>
      </c>
      <c r="AF243" s="3"/>
      <c r="AG243" s="3"/>
      <c r="AH243" s="3"/>
    </row>
    <row r="244" spans="1:34">
      <c r="A244" s="198"/>
      <c r="B244" s="198"/>
      <c r="C244" s="198" t="s">
        <v>2565</v>
      </c>
      <c r="D244" s="235">
        <v>2135</v>
      </c>
      <c r="E244" s="195">
        <v>105</v>
      </c>
      <c r="F244" s="195">
        <v>105</v>
      </c>
      <c r="G244" s="239">
        <v>237</v>
      </c>
      <c r="H244" s="197" t="s">
        <v>81</v>
      </c>
      <c r="I244" s="242" t="s">
        <v>239</v>
      </c>
      <c r="J244" s="242" t="s">
        <v>7261</v>
      </c>
      <c r="K244" s="195" t="s">
        <v>70</v>
      </c>
      <c r="L244" s="20" t="str">
        <f ca="1">IF(OFFSET(환산공식!$ED$15,$F244,0)=1,"O","X")</f>
        <v>X</v>
      </c>
      <c r="M244" s="188">
        <f ca="1">IFERROR(OFFSET(환산공식!DJ$15,$F244,0),"")</f>
        <v>200</v>
      </c>
      <c r="N244" s="20" t="str">
        <f ca="1">IFERROR(CONCATENATE(ROUND(OFFSET(환산공식!DK$15,$F244,0),1),"%"),"")</f>
        <v>100%</v>
      </c>
      <c r="O244" s="20">
        <f ca="1">IFERROR(OFFSET(환산공식!DL$15,$F244,0),"")</f>
        <v>10</v>
      </c>
      <c r="P244" s="188" t="str">
        <f t="shared" ca="1" si="6"/>
        <v>3% 이하</v>
      </c>
      <c r="Q244" s="194">
        <f ca="1">IFERROR(ROUND(OFFSET(환산공식!$FG$15,$F244,0),3),"")</f>
        <v>0</v>
      </c>
      <c r="R244" s="194">
        <f ca="1">OFFSET('배치점수 계산기'!H$10,$D244,0)</f>
        <v>856.24</v>
      </c>
      <c r="S244" s="194">
        <f ca="1">OFFSET('배치점수 계산기'!I$10,$D244,0)</f>
        <v>851.36</v>
      </c>
      <c r="T244" s="194">
        <f ca="1">OFFSET('배치점수 계산기'!J$10,$D244,0)</f>
        <v>846.2</v>
      </c>
      <c r="U244" s="194">
        <f ca="1">OFFSET('배치점수 계산기'!K$10,$D244,0)</f>
        <v>836.28</v>
      </c>
      <c r="V244" s="194">
        <f ca="1">OFFSET('배치점수 계산기'!L$10,$D244,0)</f>
        <v>826.22</v>
      </c>
      <c r="W244" s="186" t="str">
        <f ca="1">OFFSET('배치점수 계산기'!M$10,$D244,0)</f>
        <v>백분위</v>
      </c>
      <c r="X244" s="184" t="str">
        <f ca="1">OFFSET('배치점수 계산기'!N$10,$D244,0)</f>
        <v>백분위</v>
      </c>
      <c r="Y244" s="188">
        <f ca="1">OFFSET(환산공식!FW$15,$F244,0)</f>
        <v>0.38</v>
      </c>
      <c r="Z244" s="20">
        <f ca="1">OFFSET(환산공식!FX$15,$F244,0)</f>
        <v>0.38</v>
      </c>
      <c r="AA244" s="179">
        <f ca="1">OFFSET(환산공식!FY$15,$F244,0)</f>
        <v>0.25</v>
      </c>
      <c r="AB244" s="3"/>
      <c r="AD244">
        <f t="shared" ca="1" si="7"/>
        <v>6</v>
      </c>
      <c r="AF244" s="3"/>
      <c r="AG244" s="3"/>
      <c r="AH244" s="3"/>
    </row>
    <row r="245" spans="1:34">
      <c r="A245" s="198"/>
      <c r="B245" s="198"/>
      <c r="C245" s="198" t="s">
        <v>2566</v>
      </c>
      <c r="D245" s="235">
        <v>2136</v>
      </c>
      <c r="E245" s="195">
        <v>107</v>
      </c>
      <c r="F245" s="195">
        <v>107</v>
      </c>
      <c r="G245" s="239">
        <v>238</v>
      </c>
      <c r="H245" s="197" t="s">
        <v>81</v>
      </c>
      <c r="I245" s="242" t="s">
        <v>239</v>
      </c>
      <c r="J245" s="242" t="s">
        <v>10050</v>
      </c>
      <c r="K245" s="195" t="s">
        <v>71</v>
      </c>
      <c r="L245" s="20" t="str">
        <f ca="1">IF(OFFSET(환산공식!$ED$15,$F245,0)=1,"O","X")</f>
        <v>X</v>
      </c>
      <c r="M245" s="188">
        <f ca="1">IFERROR(OFFSET(환산공식!DJ$15,$F245,0),"")</f>
        <v>0</v>
      </c>
      <c r="N245" s="20" t="str">
        <f ca="1">IFERROR(CONCATENATE(ROUND(OFFSET(환산공식!DK$15,$F245,0),1),"%"),"")</f>
        <v/>
      </c>
      <c r="O245" s="20">
        <f ca="1">IFERROR(OFFSET(환산공식!DL$15,$F245,0),"")</f>
        <v>0</v>
      </c>
      <c r="P245" s="188" t="str">
        <f t="shared" ca="1" si="6"/>
        <v>3% 이하</v>
      </c>
      <c r="Q245" s="194">
        <f ca="1">IFERROR(ROUND(OFFSET(환산공식!$FG$15,$F245,0),3),"")</f>
        <v>0</v>
      </c>
      <c r="R245" s="194">
        <f ca="1">OFFSET('배치점수 계산기'!H$10,$D245,0)</f>
        <v>844.92</v>
      </c>
      <c r="S245" s="194">
        <f ca="1">OFFSET('배치점수 계산기'!I$10,$D245,0)</f>
        <v>834.7</v>
      </c>
      <c r="T245" s="194">
        <f ca="1">OFFSET('배치점수 계산기'!J$10,$D245,0)</f>
        <v>823.38</v>
      </c>
      <c r="U245" s="194">
        <f ca="1">OFFSET('배치점수 계산기'!K$10,$D245,0)</f>
        <v>803.58</v>
      </c>
      <c r="V245" s="194">
        <f ca="1">OFFSET('배치점수 계산기'!L$10,$D245,0)</f>
        <v>787.58</v>
      </c>
      <c r="W245" s="186" t="str">
        <f ca="1">OFFSET('배치점수 계산기'!M$10,$D245,0)</f>
        <v>백분위</v>
      </c>
      <c r="X245" s="184" t="str">
        <f ca="1">OFFSET('배치점수 계산기'!N$10,$D245,0)</f>
        <v>백분위</v>
      </c>
      <c r="Y245" s="188">
        <f ca="1">OFFSET(환산공식!FW$15,$F245,0)</f>
        <v>0.5</v>
      </c>
      <c r="Z245" s="20">
        <f ca="1">OFFSET(환산공식!FX$15,$F245,0)</f>
        <v>0</v>
      </c>
      <c r="AA245" s="179">
        <f ca="1">OFFSET(환산공식!FY$15,$F245,0)</f>
        <v>0.5</v>
      </c>
      <c r="AB245" s="3"/>
      <c r="AD245">
        <f t="shared" ca="1" si="7"/>
        <v>6</v>
      </c>
      <c r="AF245" s="3"/>
      <c r="AG245" s="3"/>
      <c r="AH245" s="3"/>
    </row>
    <row r="246" spans="1:34">
      <c r="A246" s="198"/>
      <c r="B246" s="198"/>
      <c r="C246" s="198" t="s">
        <v>2567</v>
      </c>
      <c r="D246" s="235">
        <v>2137</v>
      </c>
      <c r="E246" s="195">
        <v>101</v>
      </c>
      <c r="F246" s="195">
        <v>101</v>
      </c>
      <c r="G246" s="239">
        <v>239</v>
      </c>
      <c r="H246" s="197" t="s">
        <v>81</v>
      </c>
      <c r="I246" s="242" t="s">
        <v>424</v>
      </c>
      <c r="J246" s="242" t="s">
        <v>10811</v>
      </c>
      <c r="K246" s="195" t="s">
        <v>70</v>
      </c>
      <c r="L246" s="20" t="str">
        <f ca="1">IF(OFFSET(환산공식!$ED$15,$F246,0)=1,"O","X")</f>
        <v>X</v>
      </c>
      <c r="M246" s="188">
        <f ca="1">IFERROR(OFFSET(환산공식!DJ$15,$F246,0),"")</f>
        <v>200</v>
      </c>
      <c r="N246" s="20" t="str">
        <f ca="1">IFERROR(CONCATENATE(ROUND(OFFSET(환산공식!DK$15,$F246,0),1),"%"),"")</f>
        <v>100%</v>
      </c>
      <c r="O246" s="20">
        <f ca="1">IFERROR(OFFSET(환산공식!DL$15,$F246,0),"")</f>
        <v>3</v>
      </c>
      <c r="P246" s="188" t="str">
        <f t="shared" ca="1" si="6"/>
        <v>3% 이하</v>
      </c>
      <c r="Q246" s="194">
        <f ca="1">IFERROR(ROUND(OFFSET(환산공식!$FG$15,$F246,0),3),"")</f>
        <v>0</v>
      </c>
      <c r="R246" s="194">
        <f ca="1">OFFSET('배치점수 계산기'!H$10,$D246,0)</f>
        <v>913.41</v>
      </c>
      <c r="S246" s="194">
        <f ca="1">OFFSET('배치점수 계산기'!I$10,$D246,0)</f>
        <v>908.02</v>
      </c>
      <c r="T246" s="194">
        <f ca="1">OFFSET('배치점수 계산기'!J$10,$D246,0)</f>
        <v>900.44</v>
      </c>
      <c r="U246" s="194">
        <f ca="1">OFFSET('배치점수 계산기'!K$10,$D246,0)</f>
        <v>890.35</v>
      </c>
      <c r="V246" s="194">
        <f ca="1">OFFSET('배치점수 계산기'!L$10,$D246,0)</f>
        <v>880.31</v>
      </c>
      <c r="W246" s="186" t="str">
        <f ca="1">OFFSET('배치점수 계산기'!M$10,$D246,0)</f>
        <v>백분위</v>
      </c>
      <c r="X246" s="184" t="str">
        <f ca="1">OFFSET('배치점수 계산기'!N$10,$D246,0)</f>
        <v>백분위</v>
      </c>
      <c r="Y246" s="188">
        <f ca="1">OFFSET(환산공식!FW$15,$F246,0)</f>
        <v>0.31</v>
      </c>
      <c r="Z246" s="20">
        <f ca="1">OFFSET(환산공식!FX$15,$F246,0)</f>
        <v>0.44</v>
      </c>
      <c r="AA246" s="179">
        <f ca="1">OFFSET(환산공식!FY$15,$F246,0)</f>
        <v>0.25</v>
      </c>
      <c r="AB246" s="3"/>
      <c r="AD246">
        <f t="shared" ca="1" si="7"/>
        <v>6</v>
      </c>
      <c r="AF246" s="3"/>
      <c r="AG246" s="3"/>
      <c r="AH246" s="3"/>
    </row>
    <row r="247" spans="1:34">
      <c r="A247" s="198"/>
      <c r="B247" s="198"/>
      <c r="C247" s="198" t="s">
        <v>2568</v>
      </c>
      <c r="D247" s="235">
        <v>2138</v>
      </c>
      <c r="E247" s="195">
        <v>101</v>
      </c>
      <c r="F247" s="195">
        <v>101</v>
      </c>
      <c r="G247" s="239">
        <v>240</v>
      </c>
      <c r="H247" s="197" t="s">
        <v>81</v>
      </c>
      <c r="I247" s="242" t="s">
        <v>424</v>
      </c>
      <c r="J247" s="242" t="s">
        <v>11596</v>
      </c>
      <c r="K247" s="195" t="s">
        <v>70</v>
      </c>
      <c r="L247" s="20" t="str">
        <f ca="1">IF(OFFSET(환산공식!$ED$15,$F247,0)=1,"O","X")</f>
        <v>X</v>
      </c>
      <c r="M247" s="188">
        <f ca="1">IFERROR(OFFSET(환산공식!DJ$15,$F247,0),"")</f>
        <v>200</v>
      </c>
      <c r="N247" s="20" t="str">
        <f ca="1">IFERROR(CONCATENATE(ROUND(OFFSET(환산공식!DK$15,$F247,0),1),"%"),"")</f>
        <v>100%</v>
      </c>
      <c r="O247" s="20">
        <f ca="1">IFERROR(OFFSET(환산공식!DL$15,$F247,0),"")</f>
        <v>3</v>
      </c>
      <c r="P247" s="188" t="str">
        <f t="shared" ca="1" si="6"/>
        <v>3% 이하</v>
      </c>
      <c r="Q247" s="194">
        <f ca="1">IFERROR(ROUND(OFFSET(환산공식!$FG$15,$F247,0),3),"")</f>
        <v>0</v>
      </c>
      <c r="R247" s="194">
        <f ca="1">OFFSET('배치점수 계산기'!H$10,$D247,0)</f>
        <v>859.94</v>
      </c>
      <c r="S247" s="194">
        <f ca="1">OFFSET('배치점수 계산기'!I$10,$D247,0)</f>
        <v>854.78</v>
      </c>
      <c r="T247" s="194">
        <f ca="1">OFFSET('배치점수 계산기'!J$10,$D247,0)</f>
        <v>849.64</v>
      </c>
      <c r="U247" s="194">
        <f ca="1">OFFSET('배치점수 계산기'!K$10,$D247,0)</f>
        <v>840.88</v>
      </c>
      <c r="V247" s="194">
        <f ca="1">OFFSET('배치점수 계산기'!L$10,$D247,0)</f>
        <v>831.73</v>
      </c>
      <c r="W247" s="186" t="str">
        <f ca="1">OFFSET('배치점수 계산기'!M$10,$D247,0)</f>
        <v>백분위</v>
      </c>
      <c r="X247" s="184" t="str">
        <f ca="1">OFFSET('배치점수 계산기'!N$10,$D247,0)</f>
        <v>백분위</v>
      </c>
      <c r="Y247" s="188">
        <f ca="1">OFFSET(환산공식!FW$15,$F247,0)</f>
        <v>0.31</v>
      </c>
      <c r="Z247" s="20">
        <f ca="1">OFFSET(환산공식!FX$15,$F247,0)</f>
        <v>0.44</v>
      </c>
      <c r="AA247" s="179">
        <f ca="1">OFFSET(환산공식!FY$15,$F247,0)</f>
        <v>0.25</v>
      </c>
      <c r="AB247" s="3"/>
      <c r="AD247">
        <f t="shared" ca="1" si="7"/>
        <v>6</v>
      </c>
      <c r="AF247" s="3"/>
      <c r="AG247" s="3"/>
      <c r="AH247" s="3"/>
    </row>
    <row r="248" spans="1:34">
      <c r="A248" s="198"/>
      <c r="B248" s="198"/>
      <c r="C248" s="198" t="s">
        <v>2569</v>
      </c>
      <c r="D248" s="235">
        <v>2139</v>
      </c>
      <c r="E248" s="195">
        <v>102</v>
      </c>
      <c r="F248" s="195">
        <v>102</v>
      </c>
      <c r="G248" s="239">
        <v>241</v>
      </c>
      <c r="H248" s="197" t="s">
        <v>81</v>
      </c>
      <c r="I248" s="242" t="s">
        <v>424</v>
      </c>
      <c r="J248" s="242" t="s">
        <v>7984</v>
      </c>
      <c r="K248" s="195" t="s">
        <v>71</v>
      </c>
      <c r="L248" s="20" t="str">
        <f ca="1">IF(OFFSET(환산공식!$ED$15,$F248,0)=1,"O","X")</f>
        <v>X</v>
      </c>
      <c r="M248" s="188">
        <f ca="1">IFERROR(OFFSET(환산공식!DJ$15,$F248,0),"")</f>
        <v>200</v>
      </c>
      <c r="N248" s="20" t="str">
        <f ca="1">IFERROR(CONCATENATE(ROUND(OFFSET(환산공식!DK$15,$F248,0),1),"%"),"")</f>
        <v>100%</v>
      </c>
      <c r="O248" s="20">
        <f ca="1">IFERROR(OFFSET(환산공식!DL$15,$F248,0),"")</f>
        <v>3</v>
      </c>
      <c r="P248" s="188" t="str">
        <f t="shared" ca="1" si="6"/>
        <v>3% 이하</v>
      </c>
      <c r="Q248" s="194">
        <f ca="1">IFERROR(ROUND(OFFSET(환산공식!$FG$15,$F248,0),3),"")</f>
        <v>0</v>
      </c>
      <c r="R248" s="194">
        <f ca="1">OFFSET('배치점수 계산기'!H$10,$D248,0)</f>
        <v>872.7</v>
      </c>
      <c r="S248" s="194">
        <f ca="1">OFFSET('배치점수 계산기'!I$10,$D248,0)</f>
        <v>867.34</v>
      </c>
      <c r="T248" s="194">
        <f ca="1">OFFSET('배치점수 계산기'!J$10,$D248,0)</f>
        <v>862.73</v>
      </c>
      <c r="U248" s="194">
        <f ca="1">OFFSET('배치점수 계산기'!K$10,$D248,0)</f>
        <v>853.72</v>
      </c>
      <c r="V248" s="194">
        <f ca="1">OFFSET('배치점수 계산기'!L$10,$D248,0)</f>
        <v>845.23</v>
      </c>
      <c r="W248" s="186" t="str">
        <f ca="1">OFFSET('배치점수 계산기'!M$10,$D248,0)</f>
        <v>백분위</v>
      </c>
      <c r="X248" s="184" t="str">
        <f ca="1">OFFSET('배치점수 계산기'!N$10,$D248,0)</f>
        <v>백분위</v>
      </c>
      <c r="Y248" s="188">
        <f ca="1">OFFSET(환산공식!FW$15,$F248,0)</f>
        <v>0.38</v>
      </c>
      <c r="Z248" s="20">
        <f ca="1">OFFSET(환산공식!FX$15,$F248,0)</f>
        <v>0.38</v>
      </c>
      <c r="AA248" s="179">
        <f ca="1">OFFSET(환산공식!FY$15,$F248,0)</f>
        <v>0.25</v>
      </c>
      <c r="AB248" s="3"/>
      <c r="AD248">
        <f t="shared" ca="1" si="7"/>
        <v>6</v>
      </c>
      <c r="AF248" s="3"/>
      <c r="AG248" s="3"/>
      <c r="AH248" s="3"/>
    </row>
    <row r="249" spans="1:34">
      <c r="A249" s="198"/>
      <c r="B249" s="198"/>
      <c r="C249" s="198" t="s">
        <v>2570</v>
      </c>
      <c r="D249" s="235">
        <v>2140</v>
      </c>
      <c r="E249" s="195">
        <v>139</v>
      </c>
      <c r="F249" s="195">
        <v>139</v>
      </c>
      <c r="G249" s="239">
        <v>242</v>
      </c>
      <c r="H249" s="197" t="s">
        <v>81</v>
      </c>
      <c r="I249" s="242" t="s">
        <v>195</v>
      </c>
      <c r="J249" s="242" t="s">
        <v>16732</v>
      </c>
      <c r="K249" s="195" t="s">
        <v>70</v>
      </c>
      <c r="L249" s="20" t="str">
        <f ca="1">IF(OFFSET(환산공식!$ED$15,$F249,0)=1,"O","X")</f>
        <v>X</v>
      </c>
      <c r="M249" s="188">
        <f ca="1">IFERROR(OFFSET(환산공식!DJ$15,$F249,0),"")</f>
        <v>19.600000000000001</v>
      </c>
      <c r="N249" s="20" t="str">
        <f ca="1">IFERROR(CONCATENATE(ROUND(OFFSET(환산공식!DK$15,$F249,0),1),"%"),"")</f>
        <v>100%</v>
      </c>
      <c r="O249" s="20">
        <f ca="1">IFERROR(OFFSET(환산공식!DL$15,$F249,0),"")</f>
        <v>0</v>
      </c>
      <c r="P249" s="188" t="str">
        <f t="shared" ca="1" si="6"/>
        <v>3% 이하</v>
      </c>
      <c r="Q249" s="194">
        <f ca="1">IFERROR(ROUND(OFFSET(환산공식!$FG$15,$F249,0),3),"")</f>
        <v>0</v>
      </c>
      <c r="R249" s="194">
        <f ca="1">OFFSET('배치점수 계산기'!H$10,$D249,0)</f>
        <v>90.456000000000003</v>
      </c>
      <c r="S249" s="194">
        <f ca="1">OFFSET('배치점수 계산기'!I$10,$D249,0)</f>
        <v>90.218000000000004</v>
      </c>
      <c r="T249" s="194">
        <f ca="1">OFFSET('배치점수 계산기'!J$10,$D249,0)</f>
        <v>89.625</v>
      </c>
      <c r="U249" s="194">
        <f ca="1">OFFSET('배치점수 계산기'!K$10,$D249,0)</f>
        <v>89.22</v>
      </c>
      <c r="V249" s="194">
        <f ca="1">OFFSET('배치점수 계산기'!L$10,$D249,0)</f>
        <v>88.028999999999996</v>
      </c>
      <c r="W249" s="186" t="str">
        <f ca="1">OFFSET('배치점수 계산기'!M$10,$D249,0)</f>
        <v>백분위</v>
      </c>
      <c r="X249" s="184" t="str">
        <f ca="1">OFFSET('배치점수 계산기'!N$10,$D249,0)</f>
        <v>백분위</v>
      </c>
      <c r="Y249" s="188">
        <f ca="1">OFFSET(환산공식!FW$15,$F249,0)</f>
        <v>0.31</v>
      </c>
      <c r="Z249" s="20">
        <f ca="1">OFFSET(환산공식!FX$15,$F249,0)</f>
        <v>0.38</v>
      </c>
      <c r="AA249" s="179">
        <f ca="1">OFFSET(환산공식!FY$15,$F249,0)</f>
        <v>0.31</v>
      </c>
      <c r="AB249" s="3"/>
      <c r="AD249">
        <f t="shared" ca="1" si="7"/>
        <v>6</v>
      </c>
      <c r="AF249" s="3"/>
      <c r="AG249" s="3"/>
      <c r="AH249" s="3"/>
    </row>
    <row r="250" spans="1:34">
      <c r="A250" s="198"/>
      <c r="B250" s="198"/>
      <c r="C250" s="198" t="s">
        <v>2571</v>
      </c>
      <c r="D250" s="235">
        <v>2141</v>
      </c>
      <c r="E250" s="195">
        <v>244</v>
      </c>
      <c r="F250" s="195">
        <v>244</v>
      </c>
      <c r="G250" s="239">
        <v>243</v>
      </c>
      <c r="H250" s="197" t="s">
        <v>81</v>
      </c>
      <c r="I250" s="242" t="s">
        <v>195</v>
      </c>
      <c r="J250" s="242" t="s">
        <v>16733</v>
      </c>
      <c r="K250" s="195" t="s">
        <v>70</v>
      </c>
      <c r="L250" s="20" t="str">
        <f ca="1">IF(OFFSET(환산공식!$ED$15,$F250,0)=1,"O","X")</f>
        <v>X</v>
      </c>
      <c r="M250" s="188">
        <f ca="1">IFERROR(OFFSET(환산공식!DJ$15,$F250,0),"")</f>
        <v>19.600000000000001</v>
      </c>
      <c r="N250" s="20" t="str">
        <f ca="1">IFERROR(CONCATENATE(ROUND(OFFSET(환산공식!DK$15,$F250,0),1),"%"),"")</f>
        <v/>
      </c>
      <c r="O250" s="20">
        <f ca="1">IFERROR(OFFSET(환산공식!DL$15,$F250,0),"")</f>
        <v>0</v>
      </c>
      <c r="P250" s="188" t="str">
        <f t="shared" ca="1" si="6"/>
        <v>90% 이상</v>
      </c>
      <c r="Q250" s="194" t="str">
        <f ca="1">IFERROR(ROUND(OFFSET(환산공식!$FG$15,$F250,0),3),"")</f>
        <v/>
      </c>
      <c r="R250" s="194">
        <f ca="1">OFFSET('배치점수 계산기'!H$10,$D250,0)</f>
        <v>89.084999999999994</v>
      </c>
      <c r="S250" s="194">
        <f ca="1">OFFSET('배치점수 계산기'!I$10,$D250,0)</f>
        <v>88.715999999999994</v>
      </c>
      <c r="T250" s="194">
        <f ca="1">OFFSET('배치점수 계산기'!J$10,$D250,0)</f>
        <v>87.948999999999998</v>
      </c>
      <c r="U250" s="194">
        <f ca="1">OFFSET('배치점수 계산기'!K$10,$D250,0)</f>
        <v>87.182000000000002</v>
      </c>
      <c r="V250" s="194">
        <f ca="1">OFFSET('배치점수 계산기'!L$10,$D250,0)</f>
        <v>86.68</v>
      </c>
      <c r="W250" s="186" t="str">
        <f ca="1">OFFSET('배치점수 계산기'!M$10,$D250,0)</f>
        <v>백분위</v>
      </c>
      <c r="X250" s="184" t="str">
        <f ca="1">OFFSET('배치점수 계산기'!N$10,$D250,0)</f>
        <v>백분위</v>
      </c>
      <c r="Y250" s="188" t="e">
        <f ca="1">OFFSET(환산공식!FW$15,$F250,0)</f>
        <v>#VALUE!</v>
      </c>
      <c r="Z250" s="20" t="e">
        <f ca="1">OFFSET(환산공식!FX$15,$F250,0)</f>
        <v>#VALUE!</v>
      </c>
      <c r="AA250" s="179" t="e">
        <f ca="1">OFFSET(환산공식!FY$15,$F250,0)</f>
        <v>#VALUE!</v>
      </c>
      <c r="AB250" s="3"/>
      <c r="AD250">
        <f t="shared" ca="1" si="7"/>
        <v>6</v>
      </c>
      <c r="AF250" s="3"/>
      <c r="AG250" s="3"/>
      <c r="AH250" s="3"/>
    </row>
    <row r="251" spans="1:34">
      <c r="A251" s="198"/>
      <c r="B251" s="198"/>
      <c r="C251" s="198" t="s">
        <v>2572</v>
      </c>
      <c r="D251" s="235">
        <v>2142</v>
      </c>
      <c r="E251" s="195">
        <v>244</v>
      </c>
      <c r="F251" s="195">
        <v>244</v>
      </c>
      <c r="G251" s="239">
        <v>244</v>
      </c>
      <c r="H251" s="197" t="s">
        <v>81</v>
      </c>
      <c r="I251" s="242" t="s">
        <v>195</v>
      </c>
      <c r="J251" s="242" t="s">
        <v>16734</v>
      </c>
      <c r="K251" s="195" t="s">
        <v>70</v>
      </c>
      <c r="L251" s="20" t="str">
        <f ca="1">IF(OFFSET(환산공식!$ED$15,$F251,0)=1,"O","X")</f>
        <v>X</v>
      </c>
      <c r="M251" s="188">
        <f ca="1">IFERROR(OFFSET(환산공식!DJ$15,$F251,0),"")</f>
        <v>19.600000000000001</v>
      </c>
      <c r="N251" s="20" t="str">
        <f ca="1">IFERROR(CONCATENATE(ROUND(OFFSET(환산공식!DK$15,$F251,0),1),"%"),"")</f>
        <v/>
      </c>
      <c r="O251" s="20">
        <f ca="1">IFERROR(OFFSET(환산공식!DL$15,$F251,0),"")</f>
        <v>0</v>
      </c>
      <c r="P251" s="188" t="str">
        <f t="shared" ca="1" si="6"/>
        <v>90% 이상</v>
      </c>
      <c r="Q251" s="194" t="str">
        <f ca="1">IFERROR(ROUND(OFFSET(환산공식!$FG$15,$F251,0),3),"")</f>
        <v/>
      </c>
      <c r="R251" s="194">
        <f ca="1">OFFSET('배치점수 계산기'!H$10,$D251,0)</f>
        <v>87.028999999999996</v>
      </c>
      <c r="S251" s="194">
        <f ca="1">OFFSET('배치점수 계산기'!I$10,$D251,0)</f>
        <v>86.658000000000001</v>
      </c>
      <c r="T251" s="194">
        <f ca="1">OFFSET('배치점수 계산기'!J$10,$D251,0)</f>
        <v>86.138000000000005</v>
      </c>
      <c r="U251" s="194">
        <f ca="1">OFFSET('배치점수 계산기'!K$10,$D251,0)</f>
        <v>85.61</v>
      </c>
      <c r="V251" s="194">
        <f ca="1">OFFSET('배치점수 계산기'!L$10,$D251,0)</f>
        <v>85.290999999999997</v>
      </c>
      <c r="W251" s="186" t="str">
        <f ca="1">OFFSET('배치점수 계산기'!M$10,$D251,0)</f>
        <v>백분위</v>
      </c>
      <c r="X251" s="184" t="str">
        <f ca="1">OFFSET('배치점수 계산기'!N$10,$D251,0)</f>
        <v>백분위</v>
      </c>
      <c r="Y251" s="188" t="e">
        <f ca="1">OFFSET(환산공식!FW$15,$F251,0)</f>
        <v>#VALUE!</v>
      </c>
      <c r="Z251" s="20" t="e">
        <f ca="1">OFFSET(환산공식!FX$15,$F251,0)</f>
        <v>#VALUE!</v>
      </c>
      <c r="AA251" s="179" t="e">
        <f ca="1">OFFSET(환산공식!FY$15,$F251,0)</f>
        <v>#VALUE!</v>
      </c>
      <c r="AB251" s="3"/>
      <c r="AD251">
        <f t="shared" ca="1" si="7"/>
        <v>6</v>
      </c>
      <c r="AF251" s="3"/>
      <c r="AG251" s="3"/>
      <c r="AH251" s="3"/>
    </row>
    <row r="252" spans="1:34">
      <c r="A252" s="198"/>
      <c r="B252" s="198"/>
      <c r="C252" s="198" t="s">
        <v>2573</v>
      </c>
      <c r="D252" s="235">
        <v>2143</v>
      </c>
      <c r="E252" s="195">
        <v>244</v>
      </c>
      <c r="F252" s="195">
        <v>244</v>
      </c>
      <c r="G252" s="239">
        <v>245</v>
      </c>
      <c r="H252" s="197" t="s">
        <v>81</v>
      </c>
      <c r="I252" s="242" t="s">
        <v>195</v>
      </c>
      <c r="J252" s="242" t="s">
        <v>16735</v>
      </c>
      <c r="K252" s="195" t="s">
        <v>70</v>
      </c>
      <c r="L252" s="20" t="str">
        <f ca="1">IF(OFFSET(환산공식!$ED$15,$F252,0)=1,"O","X")</f>
        <v>X</v>
      </c>
      <c r="M252" s="188">
        <f ca="1">IFERROR(OFFSET(환산공식!DJ$15,$F252,0),"")</f>
        <v>19.600000000000001</v>
      </c>
      <c r="N252" s="20" t="str">
        <f ca="1">IFERROR(CONCATENATE(ROUND(OFFSET(환산공식!DK$15,$F252,0),1),"%"),"")</f>
        <v/>
      </c>
      <c r="O252" s="20">
        <f ca="1">IFERROR(OFFSET(환산공식!DL$15,$F252,0),"")</f>
        <v>0</v>
      </c>
      <c r="P252" s="188" t="str">
        <f t="shared" ca="1" si="6"/>
        <v>90% 이상</v>
      </c>
      <c r="Q252" s="194" t="str">
        <f ca="1">IFERROR(ROUND(OFFSET(환산공식!$FG$15,$F252,0),3),"")</f>
        <v/>
      </c>
      <c r="R252" s="194">
        <f ca="1">OFFSET('배치점수 계산기'!H$10,$D252,0)</f>
        <v>86.974999999999994</v>
      </c>
      <c r="S252" s="194">
        <f ca="1">OFFSET('배치점수 계산기'!I$10,$D252,0)</f>
        <v>86.454999999999998</v>
      </c>
      <c r="T252" s="194">
        <f ca="1">OFFSET('배치점수 계산기'!J$10,$D252,0)</f>
        <v>85.841999999999999</v>
      </c>
      <c r="U252" s="194">
        <f ca="1">OFFSET('배치점수 계산기'!K$10,$D252,0)</f>
        <v>85.447999999999993</v>
      </c>
      <c r="V252" s="194">
        <f ca="1">OFFSET('배치점수 계산기'!L$10,$D252,0)</f>
        <v>84.712999999999994</v>
      </c>
      <c r="W252" s="186" t="str">
        <f ca="1">OFFSET('배치점수 계산기'!M$10,$D252,0)</f>
        <v>백분위</v>
      </c>
      <c r="X252" s="184" t="str">
        <f ca="1">OFFSET('배치점수 계산기'!N$10,$D252,0)</f>
        <v>백분위</v>
      </c>
      <c r="Y252" s="188" t="e">
        <f ca="1">OFFSET(환산공식!FW$15,$F252,0)</f>
        <v>#VALUE!</v>
      </c>
      <c r="Z252" s="20" t="e">
        <f ca="1">OFFSET(환산공식!FX$15,$F252,0)</f>
        <v>#VALUE!</v>
      </c>
      <c r="AA252" s="179" t="e">
        <f ca="1">OFFSET(환산공식!FY$15,$F252,0)</f>
        <v>#VALUE!</v>
      </c>
      <c r="AB252" s="3"/>
      <c r="AD252">
        <f t="shared" ca="1" si="7"/>
        <v>6</v>
      </c>
      <c r="AF252" s="3"/>
      <c r="AG252" s="3"/>
      <c r="AH252" s="3"/>
    </row>
    <row r="253" spans="1:34">
      <c r="A253" s="198"/>
      <c r="B253" s="198"/>
      <c r="C253" s="198" t="s">
        <v>2574</v>
      </c>
      <c r="D253" s="235">
        <v>2144</v>
      </c>
      <c r="E253" s="195">
        <v>244</v>
      </c>
      <c r="F253" s="195">
        <v>244</v>
      </c>
      <c r="G253" s="239">
        <v>246</v>
      </c>
      <c r="H253" s="197" t="s">
        <v>81</v>
      </c>
      <c r="I253" s="242" t="s">
        <v>195</v>
      </c>
      <c r="J253" s="242" t="s">
        <v>16736</v>
      </c>
      <c r="K253" s="195" t="s">
        <v>70</v>
      </c>
      <c r="L253" s="20" t="str">
        <f ca="1">IF(OFFSET(환산공식!$ED$15,$F253,0)=1,"O","X")</f>
        <v>X</v>
      </c>
      <c r="M253" s="188">
        <f ca="1">IFERROR(OFFSET(환산공식!DJ$15,$F253,0),"")</f>
        <v>19.600000000000001</v>
      </c>
      <c r="N253" s="20" t="str">
        <f ca="1">IFERROR(CONCATENATE(ROUND(OFFSET(환산공식!DK$15,$F253,0),1),"%"),"")</f>
        <v/>
      </c>
      <c r="O253" s="20">
        <f ca="1">IFERROR(OFFSET(환산공식!DL$15,$F253,0),"")</f>
        <v>0</v>
      </c>
      <c r="P253" s="188" t="str">
        <f t="shared" ca="1" si="6"/>
        <v>90% 이상</v>
      </c>
      <c r="Q253" s="194" t="str">
        <f ca="1">IFERROR(ROUND(OFFSET(환산공식!$FG$15,$F253,0),3),"")</f>
        <v/>
      </c>
      <c r="R253" s="194">
        <f ca="1">OFFSET('배치점수 계산기'!H$10,$D253,0)</f>
        <v>86.927000000000007</v>
      </c>
      <c r="S253" s="194">
        <f ca="1">OFFSET('배치점수 계산기'!I$10,$D253,0)</f>
        <v>86.224000000000004</v>
      </c>
      <c r="T253" s="194">
        <f ca="1">OFFSET('배치점수 계산기'!J$10,$D253,0)</f>
        <v>85.61</v>
      </c>
      <c r="U253" s="194">
        <f ca="1">OFFSET('배치점수 계산기'!K$10,$D253,0)</f>
        <v>85.01</v>
      </c>
      <c r="V253" s="194">
        <f ca="1">OFFSET('배치점수 계산기'!L$10,$D253,0)</f>
        <v>83.341999999999999</v>
      </c>
      <c r="W253" s="186" t="str">
        <f ca="1">OFFSET('배치점수 계산기'!M$10,$D253,0)</f>
        <v>백분위</v>
      </c>
      <c r="X253" s="184" t="str">
        <f ca="1">OFFSET('배치점수 계산기'!N$10,$D253,0)</f>
        <v>백분위</v>
      </c>
      <c r="Y253" s="188" t="e">
        <f ca="1">OFFSET(환산공식!FW$15,$F253,0)</f>
        <v>#VALUE!</v>
      </c>
      <c r="Z253" s="20" t="e">
        <f ca="1">OFFSET(환산공식!FX$15,$F253,0)</f>
        <v>#VALUE!</v>
      </c>
      <c r="AA253" s="179" t="e">
        <f ca="1">OFFSET(환산공식!FY$15,$F253,0)</f>
        <v>#VALUE!</v>
      </c>
      <c r="AB253" s="3"/>
      <c r="AD253">
        <f t="shared" ca="1" si="7"/>
        <v>6</v>
      </c>
      <c r="AF253" s="3"/>
      <c r="AG253" s="3"/>
      <c r="AH253" s="3"/>
    </row>
    <row r="254" spans="1:34">
      <c r="A254" s="198"/>
      <c r="B254" s="198"/>
      <c r="C254" s="198" t="s">
        <v>2575</v>
      </c>
      <c r="D254" s="235">
        <v>2145</v>
      </c>
      <c r="E254" s="195">
        <v>244</v>
      </c>
      <c r="F254" s="195">
        <v>244</v>
      </c>
      <c r="G254" s="239">
        <v>247</v>
      </c>
      <c r="H254" s="197" t="s">
        <v>81</v>
      </c>
      <c r="I254" s="242" t="s">
        <v>195</v>
      </c>
      <c r="J254" s="242" t="s">
        <v>16737</v>
      </c>
      <c r="K254" s="195" t="s">
        <v>70</v>
      </c>
      <c r="L254" s="20" t="str">
        <f ca="1">IF(OFFSET(환산공식!$ED$15,$F254,0)=1,"O","X")</f>
        <v>X</v>
      </c>
      <c r="M254" s="188">
        <f ca="1">IFERROR(OFFSET(환산공식!DJ$15,$F254,0),"")</f>
        <v>19.600000000000001</v>
      </c>
      <c r="N254" s="20" t="str">
        <f ca="1">IFERROR(CONCATENATE(ROUND(OFFSET(환산공식!DK$15,$F254,0),1),"%"),"")</f>
        <v/>
      </c>
      <c r="O254" s="20">
        <f ca="1">IFERROR(OFFSET(환산공식!DL$15,$F254,0),"")</f>
        <v>0</v>
      </c>
      <c r="P254" s="188" t="str">
        <f t="shared" ca="1" si="6"/>
        <v>90% 이상</v>
      </c>
      <c r="Q254" s="194" t="str">
        <f ca="1">IFERROR(ROUND(OFFSET(환산공식!$FG$15,$F254,0),3),"")</f>
        <v/>
      </c>
      <c r="R254" s="194">
        <f ca="1">OFFSET('배치점수 계산기'!H$10,$D254,0)</f>
        <v>86.608000000000004</v>
      </c>
      <c r="S254" s="194">
        <f ca="1">OFFSET('배치점수 계산기'!I$10,$D254,0)</f>
        <v>86.078000000000003</v>
      </c>
      <c r="T254" s="194">
        <f ca="1">OFFSET('배치점수 계산기'!J$10,$D254,0)</f>
        <v>85.522999999999996</v>
      </c>
      <c r="U254" s="194">
        <f ca="1">OFFSET('배치점수 계산기'!K$10,$D254,0)</f>
        <v>84.924999999999997</v>
      </c>
      <c r="V254" s="194">
        <f ca="1">OFFSET('배치점수 계산기'!L$10,$D254,0)</f>
        <v>84.534000000000006</v>
      </c>
      <c r="W254" s="186" t="str">
        <f ca="1">OFFSET('배치점수 계산기'!M$10,$D254,0)</f>
        <v>백분위</v>
      </c>
      <c r="X254" s="184" t="str">
        <f ca="1">OFFSET('배치점수 계산기'!N$10,$D254,0)</f>
        <v>백분위</v>
      </c>
      <c r="Y254" s="188" t="e">
        <f ca="1">OFFSET(환산공식!FW$15,$F254,0)</f>
        <v>#VALUE!</v>
      </c>
      <c r="Z254" s="20" t="e">
        <f ca="1">OFFSET(환산공식!FX$15,$F254,0)</f>
        <v>#VALUE!</v>
      </c>
      <c r="AA254" s="179" t="e">
        <f ca="1">OFFSET(환산공식!FY$15,$F254,0)</f>
        <v>#VALUE!</v>
      </c>
      <c r="AB254" s="3"/>
      <c r="AD254">
        <f t="shared" ca="1" si="7"/>
        <v>6</v>
      </c>
      <c r="AF254" s="3"/>
      <c r="AG254" s="3"/>
      <c r="AH254" s="3"/>
    </row>
    <row r="255" spans="1:34">
      <c r="A255" s="198"/>
      <c r="B255" s="198"/>
      <c r="C255" s="198" t="s">
        <v>2576</v>
      </c>
      <c r="D255" s="235">
        <v>2146</v>
      </c>
      <c r="E255" s="195">
        <v>244</v>
      </c>
      <c r="F255" s="195">
        <v>244</v>
      </c>
      <c r="G255" s="239">
        <v>248</v>
      </c>
      <c r="H255" s="197" t="s">
        <v>81</v>
      </c>
      <c r="I255" s="242" t="s">
        <v>195</v>
      </c>
      <c r="J255" s="242" t="s">
        <v>16738</v>
      </c>
      <c r="K255" s="195" t="s">
        <v>70</v>
      </c>
      <c r="L255" s="20" t="str">
        <f ca="1">IF(OFFSET(환산공식!$ED$15,$F255,0)=1,"O","X")</f>
        <v>X</v>
      </c>
      <c r="M255" s="188">
        <f ca="1">IFERROR(OFFSET(환산공식!DJ$15,$F255,0),"")</f>
        <v>19.600000000000001</v>
      </c>
      <c r="N255" s="20" t="str">
        <f ca="1">IFERROR(CONCATENATE(ROUND(OFFSET(환산공식!DK$15,$F255,0),1),"%"),"")</f>
        <v/>
      </c>
      <c r="O255" s="20">
        <f ca="1">IFERROR(OFFSET(환산공식!DL$15,$F255,0),"")</f>
        <v>0</v>
      </c>
      <c r="P255" s="188" t="str">
        <f t="shared" ca="1" si="6"/>
        <v>90% 이상</v>
      </c>
      <c r="Q255" s="194" t="str">
        <f ca="1">IFERROR(ROUND(OFFSET(환산공식!$FG$15,$F255,0),3),"")</f>
        <v/>
      </c>
      <c r="R255" s="194">
        <f ca="1">OFFSET('배치점수 계산기'!H$10,$D255,0)</f>
        <v>86.546999999999997</v>
      </c>
      <c r="S255" s="194">
        <f ca="1">OFFSET('배치점수 계산기'!I$10,$D255,0)</f>
        <v>86.073999999999998</v>
      </c>
      <c r="T255" s="194">
        <f ca="1">OFFSET('배치점수 계산기'!J$10,$D255,0)</f>
        <v>85.471000000000004</v>
      </c>
      <c r="U255" s="194">
        <f ca="1">OFFSET('배치점수 계산기'!K$10,$D255,0)</f>
        <v>84.814999999999998</v>
      </c>
      <c r="V255" s="194">
        <f ca="1">OFFSET('배치점수 계산기'!L$10,$D255,0)</f>
        <v>84.036000000000001</v>
      </c>
      <c r="W255" s="186" t="str">
        <f ca="1">OFFSET('배치점수 계산기'!M$10,$D255,0)</f>
        <v>백분위</v>
      </c>
      <c r="X255" s="184" t="str">
        <f ca="1">OFFSET('배치점수 계산기'!N$10,$D255,0)</f>
        <v>백분위</v>
      </c>
      <c r="Y255" s="188" t="e">
        <f ca="1">OFFSET(환산공식!FW$15,$F255,0)</f>
        <v>#VALUE!</v>
      </c>
      <c r="Z255" s="20" t="e">
        <f ca="1">OFFSET(환산공식!FX$15,$F255,0)</f>
        <v>#VALUE!</v>
      </c>
      <c r="AA255" s="179" t="e">
        <f ca="1">OFFSET(환산공식!FY$15,$F255,0)</f>
        <v>#VALUE!</v>
      </c>
      <c r="AB255" s="3"/>
      <c r="AD255">
        <f t="shared" ca="1" si="7"/>
        <v>6</v>
      </c>
      <c r="AF255" s="3"/>
      <c r="AG255" s="3"/>
      <c r="AH255" s="3"/>
    </row>
    <row r="256" spans="1:34">
      <c r="A256" s="198"/>
      <c r="B256" s="198"/>
      <c r="C256" s="198" t="s">
        <v>2577</v>
      </c>
      <c r="D256" s="235">
        <v>2147</v>
      </c>
      <c r="E256" s="195">
        <v>244</v>
      </c>
      <c r="F256" s="195">
        <v>244</v>
      </c>
      <c r="G256" s="239">
        <v>249</v>
      </c>
      <c r="H256" s="197" t="s">
        <v>81</v>
      </c>
      <c r="I256" s="242" t="s">
        <v>195</v>
      </c>
      <c r="J256" s="242" t="s">
        <v>16739</v>
      </c>
      <c r="K256" s="195" t="s">
        <v>70</v>
      </c>
      <c r="L256" s="20" t="str">
        <f ca="1">IF(OFFSET(환산공식!$ED$15,$F256,0)=1,"O","X")</f>
        <v>X</v>
      </c>
      <c r="M256" s="188">
        <f ca="1">IFERROR(OFFSET(환산공식!DJ$15,$F256,0),"")</f>
        <v>19.600000000000001</v>
      </c>
      <c r="N256" s="20" t="str">
        <f ca="1">IFERROR(CONCATENATE(ROUND(OFFSET(환산공식!DK$15,$F256,0),1),"%"),"")</f>
        <v/>
      </c>
      <c r="O256" s="20">
        <f ca="1">IFERROR(OFFSET(환산공식!DL$15,$F256,0),"")</f>
        <v>0</v>
      </c>
      <c r="P256" s="188" t="str">
        <f t="shared" ca="1" si="6"/>
        <v>90% 이상</v>
      </c>
      <c r="Q256" s="194" t="str">
        <f ca="1">IFERROR(ROUND(OFFSET(환산공식!$FG$15,$F256,0),3),"")</f>
        <v/>
      </c>
      <c r="R256" s="194">
        <f ca="1">OFFSET('배치점수 계산기'!H$10,$D256,0)</f>
        <v>86.364999999999995</v>
      </c>
      <c r="S256" s="194">
        <f ca="1">OFFSET('배치점수 계산기'!I$10,$D256,0)</f>
        <v>85.814999999999998</v>
      </c>
      <c r="T256" s="194">
        <f ca="1">OFFSET('배치점수 계산기'!J$10,$D256,0)</f>
        <v>85.290999999999997</v>
      </c>
      <c r="U256" s="194">
        <f ca="1">OFFSET('배치점수 계산기'!K$10,$D256,0)</f>
        <v>84.578999999999994</v>
      </c>
      <c r="V256" s="194">
        <f ca="1">OFFSET('배치점수 계산기'!L$10,$D256,0)</f>
        <v>83.863</v>
      </c>
      <c r="W256" s="186" t="str">
        <f ca="1">OFFSET('배치점수 계산기'!M$10,$D256,0)</f>
        <v>백분위</v>
      </c>
      <c r="X256" s="184" t="str">
        <f ca="1">OFFSET('배치점수 계산기'!N$10,$D256,0)</f>
        <v>백분위</v>
      </c>
      <c r="Y256" s="188" t="e">
        <f ca="1">OFFSET(환산공식!FW$15,$F256,0)</f>
        <v>#VALUE!</v>
      </c>
      <c r="Z256" s="20" t="e">
        <f ca="1">OFFSET(환산공식!FX$15,$F256,0)</f>
        <v>#VALUE!</v>
      </c>
      <c r="AA256" s="179" t="e">
        <f ca="1">OFFSET(환산공식!FY$15,$F256,0)</f>
        <v>#VALUE!</v>
      </c>
      <c r="AB256" s="3"/>
      <c r="AD256">
        <f t="shared" ca="1" si="7"/>
        <v>6</v>
      </c>
      <c r="AF256" s="3"/>
      <c r="AG256" s="3"/>
      <c r="AH256" s="3"/>
    </row>
    <row r="257" spans="1:34">
      <c r="A257" s="198"/>
      <c r="B257" s="198"/>
      <c r="C257" s="198" t="s">
        <v>2578</v>
      </c>
      <c r="D257" s="235">
        <v>2148</v>
      </c>
      <c r="E257" s="195">
        <v>244</v>
      </c>
      <c r="F257" s="195">
        <v>244</v>
      </c>
      <c r="G257" s="239">
        <v>250</v>
      </c>
      <c r="H257" s="197" t="s">
        <v>81</v>
      </c>
      <c r="I257" s="242" t="s">
        <v>195</v>
      </c>
      <c r="J257" s="242" t="s">
        <v>16740</v>
      </c>
      <c r="K257" s="195" t="s">
        <v>70</v>
      </c>
      <c r="L257" s="20" t="str">
        <f ca="1">IF(OFFSET(환산공식!$ED$15,$F257,0)=1,"O","X")</f>
        <v>X</v>
      </c>
      <c r="M257" s="188">
        <f ca="1">IFERROR(OFFSET(환산공식!DJ$15,$F257,0),"")</f>
        <v>19.600000000000001</v>
      </c>
      <c r="N257" s="20" t="str">
        <f ca="1">IFERROR(CONCATENATE(ROUND(OFFSET(환산공식!DK$15,$F257,0),1),"%"),"")</f>
        <v/>
      </c>
      <c r="O257" s="20">
        <f ca="1">IFERROR(OFFSET(환산공식!DL$15,$F257,0),"")</f>
        <v>0</v>
      </c>
      <c r="P257" s="188" t="str">
        <f t="shared" ca="1" si="6"/>
        <v>90% 이상</v>
      </c>
      <c r="Q257" s="194" t="str">
        <f ca="1">IFERROR(ROUND(OFFSET(환산공식!$FG$15,$F257,0),3),"")</f>
        <v/>
      </c>
      <c r="R257" s="194">
        <f ca="1">OFFSET('배치점수 계산기'!H$10,$D257,0)</f>
        <v>86.078000000000003</v>
      </c>
      <c r="S257" s="194">
        <f ca="1">OFFSET('배치점수 계산기'!I$10,$D257,0)</f>
        <v>85.66</v>
      </c>
      <c r="T257" s="194">
        <f ca="1">OFFSET('배치점수 계산기'!J$10,$D257,0)</f>
        <v>85.141000000000005</v>
      </c>
      <c r="U257" s="194">
        <f ca="1">OFFSET('배치점수 계산기'!K$10,$D257,0)</f>
        <v>84.534000000000006</v>
      </c>
      <c r="V257" s="194">
        <f ca="1">OFFSET('배치점수 계산기'!L$10,$D257,0)</f>
        <v>83.67</v>
      </c>
      <c r="W257" s="186" t="str">
        <f ca="1">OFFSET('배치점수 계산기'!M$10,$D257,0)</f>
        <v>백분위</v>
      </c>
      <c r="X257" s="184" t="str">
        <f ca="1">OFFSET('배치점수 계산기'!N$10,$D257,0)</f>
        <v>백분위</v>
      </c>
      <c r="Y257" s="188" t="e">
        <f ca="1">OFFSET(환산공식!FW$15,$F257,0)</f>
        <v>#VALUE!</v>
      </c>
      <c r="Z257" s="20" t="e">
        <f ca="1">OFFSET(환산공식!FX$15,$F257,0)</f>
        <v>#VALUE!</v>
      </c>
      <c r="AA257" s="179" t="e">
        <f ca="1">OFFSET(환산공식!FY$15,$F257,0)</f>
        <v>#VALUE!</v>
      </c>
      <c r="AB257" s="3"/>
      <c r="AD257">
        <f t="shared" ca="1" si="7"/>
        <v>6</v>
      </c>
      <c r="AF257" s="3"/>
      <c r="AG257" s="3"/>
      <c r="AH257" s="3"/>
    </row>
    <row r="258" spans="1:34">
      <c r="A258" s="198"/>
      <c r="B258" s="198"/>
      <c r="C258" s="198" t="s">
        <v>2579</v>
      </c>
      <c r="D258" s="235">
        <v>2149</v>
      </c>
      <c r="E258" s="195">
        <v>244</v>
      </c>
      <c r="F258" s="195">
        <v>244</v>
      </c>
      <c r="G258" s="239">
        <v>251</v>
      </c>
      <c r="H258" s="197" t="s">
        <v>81</v>
      </c>
      <c r="I258" s="242" t="s">
        <v>195</v>
      </c>
      <c r="J258" s="242" t="s">
        <v>16741</v>
      </c>
      <c r="K258" s="195" t="s">
        <v>70</v>
      </c>
      <c r="L258" s="20" t="str">
        <f ca="1">IF(OFFSET(환산공식!$ED$15,$F258,0)=1,"O","X")</f>
        <v>X</v>
      </c>
      <c r="M258" s="188">
        <f ca="1">IFERROR(OFFSET(환산공식!DJ$15,$F258,0),"")</f>
        <v>19.600000000000001</v>
      </c>
      <c r="N258" s="20" t="str">
        <f ca="1">IFERROR(CONCATENATE(ROUND(OFFSET(환산공식!DK$15,$F258,0),1),"%"),"")</f>
        <v/>
      </c>
      <c r="O258" s="20">
        <f ca="1">IFERROR(OFFSET(환산공식!DL$15,$F258,0),"")</f>
        <v>0</v>
      </c>
      <c r="P258" s="188" t="str">
        <f t="shared" ca="1" si="6"/>
        <v>90% 이상</v>
      </c>
      <c r="Q258" s="194" t="str">
        <f ca="1">IFERROR(ROUND(OFFSET(환산공식!$FG$15,$F258,0),3),"")</f>
        <v/>
      </c>
      <c r="R258" s="194">
        <f ca="1">OFFSET('배치점수 계산기'!H$10,$D258,0)</f>
        <v>86.073999999999998</v>
      </c>
      <c r="S258" s="194">
        <f ca="1">OFFSET('배치점수 계산기'!I$10,$D258,0)</f>
        <v>85.66</v>
      </c>
      <c r="T258" s="194">
        <f ca="1">OFFSET('배치점수 계산기'!J$10,$D258,0)</f>
        <v>85.135999999999996</v>
      </c>
      <c r="U258" s="194">
        <f ca="1">OFFSET('배치점수 계산기'!K$10,$D258,0)</f>
        <v>84.534000000000006</v>
      </c>
      <c r="V258" s="194">
        <f ca="1">OFFSET('배치점수 계산기'!L$10,$D258,0)</f>
        <v>83.778999999999996</v>
      </c>
      <c r="W258" s="186" t="str">
        <f ca="1">OFFSET('배치점수 계산기'!M$10,$D258,0)</f>
        <v>백분위</v>
      </c>
      <c r="X258" s="184" t="str">
        <f ca="1">OFFSET('배치점수 계산기'!N$10,$D258,0)</f>
        <v>백분위</v>
      </c>
      <c r="Y258" s="188" t="e">
        <f ca="1">OFFSET(환산공식!FW$15,$F258,0)</f>
        <v>#VALUE!</v>
      </c>
      <c r="Z258" s="20" t="e">
        <f ca="1">OFFSET(환산공식!FX$15,$F258,0)</f>
        <v>#VALUE!</v>
      </c>
      <c r="AA258" s="179" t="e">
        <f ca="1">OFFSET(환산공식!FY$15,$F258,0)</f>
        <v>#VALUE!</v>
      </c>
      <c r="AB258" s="3"/>
      <c r="AD258">
        <f t="shared" ca="1" si="7"/>
        <v>6</v>
      </c>
      <c r="AF258" s="3"/>
      <c r="AG258" s="3"/>
      <c r="AH258" s="3"/>
    </row>
    <row r="259" spans="1:34">
      <c r="A259" s="198"/>
      <c r="B259" s="198"/>
      <c r="C259" s="198" t="s">
        <v>2580</v>
      </c>
      <c r="D259" s="235">
        <v>2150</v>
      </c>
      <c r="E259" s="195">
        <v>244</v>
      </c>
      <c r="F259" s="195">
        <v>244</v>
      </c>
      <c r="G259" s="239">
        <v>252</v>
      </c>
      <c r="H259" s="197" t="s">
        <v>81</v>
      </c>
      <c r="I259" s="242" t="s">
        <v>195</v>
      </c>
      <c r="J259" s="242" t="s">
        <v>16742</v>
      </c>
      <c r="K259" s="195" t="s">
        <v>70</v>
      </c>
      <c r="L259" s="20" t="str">
        <f ca="1">IF(OFFSET(환산공식!$ED$15,$F259,0)=1,"O","X")</f>
        <v>X</v>
      </c>
      <c r="M259" s="188">
        <f ca="1">IFERROR(OFFSET(환산공식!DJ$15,$F259,0),"")</f>
        <v>19.600000000000001</v>
      </c>
      <c r="N259" s="20" t="str">
        <f ca="1">IFERROR(CONCATENATE(ROUND(OFFSET(환산공식!DK$15,$F259,0),1),"%"),"")</f>
        <v/>
      </c>
      <c r="O259" s="20">
        <f ca="1">IFERROR(OFFSET(환산공식!DL$15,$F259,0),"")</f>
        <v>0</v>
      </c>
      <c r="P259" s="188" t="str">
        <f t="shared" ca="1" si="6"/>
        <v>90% 이상</v>
      </c>
      <c r="Q259" s="194" t="str">
        <f ca="1">IFERROR(ROUND(OFFSET(환산공식!$FG$15,$F259,0),3),"")</f>
        <v/>
      </c>
      <c r="R259" s="194">
        <f ca="1">OFFSET('배치점수 계산기'!H$10,$D259,0)</f>
        <v>85.682000000000002</v>
      </c>
      <c r="S259" s="194">
        <f ca="1">OFFSET('배치점수 계산기'!I$10,$D259,0)</f>
        <v>85.338999999999999</v>
      </c>
      <c r="T259" s="194">
        <f ca="1">OFFSET('배치점수 계산기'!J$10,$D259,0)</f>
        <v>84.686000000000007</v>
      </c>
      <c r="U259" s="194">
        <f ca="1">OFFSET('배치점수 계산기'!K$10,$D259,0)</f>
        <v>83.954999999999998</v>
      </c>
      <c r="V259" s="194">
        <f ca="1">OFFSET('배치점수 계산기'!L$10,$D259,0)</f>
        <v>82.510999999999996</v>
      </c>
      <c r="W259" s="186" t="str">
        <f ca="1">OFFSET('배치점수 계산기'!M$10,$D259,0)</f>
        <v>백분위</v>
      </c>
      <c r="X259" s="184" t="str">
        <f ca="1">OFFSET('배치점수 계산기'!N$10,$D259,0)</f>
        <v>백분위</v>
      </c>
      <c r="Y259" s="188" t="e">
        <f ca="1">OFFSET(환산공식!FW$15,$F259,0)</f>
        <v>#VALUE!</v>
      </c>
      <c r="Z259" s="20" t="e">
        <f ca="1">OFFSET(환산공식!FX$15,$F259,0)</f>
        <v>#VALUE!</v>
      </c>
      <c r="AA259" s="179" t="e">
        <f ca="1">OFFSET(환산공식!FY$15,$F259,0)</f>
        <v>#VALUE!</v>
      </c>
      <c r="AB259" s="3"/>
      <c r="AD259">
        <f t="shared" ca="1" si="7"/>
        <v>6</v>
      </c>
      <c r="AF259" s="3"/>
      <c r="AG259" s="3"/>
      <c r="AH259" s="3"/>
    </row>
    <row r="260" spans="1:34">
      <c r="A260" s="198"/>
      <c r="B260" s="198"/>
      <c r="C260" s="198" t="s">
        <v>2581</v>
      </c>
      <c r="D260" s="235">
        <v>2151</v>
      </c>
      <c r="E260" s="195">
        <v>244</v>
      </c>
      <c r="F260" s="195">
        <v>244</v>
      </c>
      <c r="G260" s="239">
        <v>253</v>
      </c>
      <c r="H260" s="197" t="s">
        <v>81</v>
      </c>
      <c r="I260" s="242" t="s">
        <v>195</v>
      </c>
      <c r="J260" s="242" t="s">
        <v>16743</v>
      </c>
      <c r="K260" s="195" t="s">
        <v>70</v>
      </c>
      <c r="L260" s="20" t="str">
        <f ca="1">IF(OFFSET(환산공식!$ED$15,$F260,0)=1,"O","X")</f>
        <v>X</v>
      </c>
      <c r="M260" s="188">
        <f ca="1">IFERROR(OFFSET(환산공식!DJ$15,$F260,0),"")</f>
        <v>19.600000000000001</v>
      </c>
      <c r="N260" s="20" t="str">
        <f ca="1">IFERROR(CONCATENATE(ROUND(OFFSET(환산공식!DK$15,$F260,0),1),"%"),"")</f>
        <v/>
      </c>
      <c r="O260" s="20">
        <f ca="1">IFERROR(OFFSET(환산공식!DL$15,$F260,0),"")</f>
        <v>0</v>
      </c>
      <c r="P260" s="188" t="str">
        <f t="shared" ca="1" si="6"/>
        <v>90% 이상</v>
      </c>
      <c r="Q260" s="194" t="str">
        <f ca="1">IFERROR(ROUND(OFFSET(환산공식!$FG$15,$F260,0),3),"")</f>
        <v/>
      </c>
      <c r="R260" s="194">
        <f ca="1">OFFSET('배치점수 계산기'!H$10,$D260,0)</f>
        <v>85.805999999999997</v>
      </c>
      <c r="S260" s="194">
        <f ca="1">OFFSET('배치점수 계산기'!I$10,$D260,0)</f>
        <v>85.290999999999997</v>
      </c>
      <c r="T260" s="194">
        <f ca="1">OFFSET('배치점수 계산기'!J$10,$D260,0)</f>
        <v>84.534000000000006</v>
      </c>
      <c r="U260" s="194">
        <f ca="1">OFFSET('배치점수 계산기'!K$10,$D260,0)</f>
        <v>83.954999999999998</v>
      </c>
      <c r="V260" s="194">
        <f ca="1">OFFSET('배치점수 계산기'!L$10,$D260,0)</f>
        <v>82.144999999999996</v>
      </c>
      <c r="W260" s="186" t="str">
        <f ca="1">OFFSET('배치점수 계산기'!M$10,$D260,0)</f>
        <v>백분위</v>
      </c>
      <c r="X260" s="184" t="str">
        <f ca="1">OFFSET('배치점수 계산기'!N$10,$D260,0)</f>
        <v>백분위</v>
      </c>
      <c r="Y260" s="188" t="e">
        <f ca="1">OFFSET(환산공식!FW$15,$F260,0)</f>
        <v>#VALUE!</v>
      </c>
      <c r="Z260" s="20" t="e">
        <f ca="1">OFFSET(환산공식!FX$15,$F260,0)</f>
        <v>#VALUE!</v>
      </c>
      <c r="AA260" s="179" t="e">
        <f ca="1">OFFSET(환산공식!FY$15,$F260,0)</f>
        <v>#VALUE!</v>
      </c>
      <c r="AB260" s="3"/>
      <c r="AD260">
        <f t="shared" ca="1" si="7"/>
        <v>6</v>
      </c>
      <c r="AF260" s="3"/>
      <c r="AG260" s="3"/>
      <c r="AH260" s="3"/>
    </row>
    <row r="261" spans="1:34">
      <c r="A261" s="198"/>
      <c r="B261" s="198"/>
      <c r="C261" s="198" t="s">
        <v>2582</v>
      </c>
      <c r="D261" s="235">
        <v>2152</v>
      </c>
      <c r="E261" s="195">
        <v>244</v>
      </c>
      <c r="F261" s="195">
        <v>244</v>
      </c>
      <c r="G261" s="239">
        <v>254</v>
      </c>
      <c r="H261" s="197" t="s">
        <v>81</v>
      </c>
      <c r="I261" s="242" t="s">
        <v>195</v>
      </c>
      <c r="J261" s="242" t="s">
        <v>16744</v>
      </c>
      <c r="K261" s="195" t="s">
        <v>70</v>
      </c>
      <c r="L261" s="20" t="str">
        <f ca="1">IF(OFFSET(환산공식!$ED$15,$F261,0)=1,"O","X")</f>
        <v>X</v>
      </c>
      <c r="M261" s="188">
        <f ca="1">IFERROR(OFFSET(환산공식!DJ$15,$F261,0),"")</f>
        <v>19.600000000000001</v>
      </c>
      <c r="N261" s="20" t="str">
        <f ca="1">IFERROR(CONCATENATE(ROUND(OFFSET(환산공식!DK$15,$F261,0),1),"%"),"")</f>
        <v/>
      </c>
      <c r="O261" s="20">
        <f ca="1">IFERROR(OFFSET(환산공식!DL$15,$F261,0),"")</f>
        <v>0</v>
      </c>
      <c r="P261" s="188" t="str">
        <f t="shared" ca="1" si="6"/>
        <v>90% 이상</v>
      </c>
      <c r="Q261" s="194" t="str">
        <f ca="1">IFERROR(ROUND(OFFSET(환산공식!$FG$15,$F261,0),3),"")</f>
        <v/>
      </c>
      <c r="R261" s="194">
        <f ca="1">OFFSET('배치점수 계산기'!H$10,$D261,0)</f>
        <v>85.655000000000001</v>
      </c>
      <c r="S261" s="194">
        <f ca="1">OFFSET('배치점수 계산기'!I$10,$D261,0)</f>
        <v>85.207999999999998</v>
      </c>
      <c r="T261" s="194">
        <f ca="1">OFFSET('배치점수 계산기'!J$10,$D261,0)</f>
        <v>84.39</v>
      </c>
      <c r="U261" s="194">
        <f ca="1">OFFSET('배치점수 계산기'!K$10,$D261,0)</f>
        <v>83.611000000000004</v>
      </c>
      <c r="V261" s="194">
        <f ca="1">OFFSET('배치점수 계산기'!L$10,$D261,0)</f>
        <v>82.686000000000007</v>
      </c>
      <c r="W261" s="186" t="str">
        <f ca="1">OFFSET('배치점수 계산기'!M$10,$D261,0)</f>
        <v>백분위</v>
      </c>
      <c r="X261" s="184" t="str">
        <f ca="1">OFFSET('배치점수 계산기'!N$10,$D261,0)</f>
        <v>백분위</v>
      </c>
      <c r="Y261" s="188" t="e">
        <f ca="1">OFFSET(환산공식!FW$15,$F261,0)</f>
        <v>#VALUE!</v>
      </c>
      <c r="Z261" s="20" t="e">
        <f ca="1">OFFSET(환산공식!FX$15,$F261,0)</f>
        <v>#VALUE!</v>
      </c>
      <c r="AA261" s="179" t="e">
        <f ca="1">OFFSET(환산공식!FY$15,$F261,0)</f>
        <v>#VALUE!</v>
      </c>
      <c r="AB261" s="3"/>
      <c r="AD261">
        <f t="shared" ca="1" si="7"/>
        <v>6</v>
      </c>
      <c r="AF261" s="3"/>
      <c r="AG261" s="3"/>
      <c r="AH261" s="3"/>
    </row>
    <row r="262" spans="1:34">
      <c r="A262" s="198"/>
      <c r="B262" s="198"/>
      <c r="C262" s="198" t="s">
        <v>2583</v>
      </c>
      <c r="D262" s="235">
        <v>2153</v>
      </c>
      <c r="E262" s="195">
        <v>244</v>
      </c>
      <c r="F262" s="195">
        <v>244</v>
      </c>
      <c r="G262" s="239">
        <v>255</v>
      </c>
      <c r="H262" s="197" t="s">
        <v>81</v>
      </c>
      <c r="I262" s="242" t="s">
        <v>195</v>
      </c>
      <c r="J262" s="242" t="s">
        <v>16745</v>
      </c>
      <c r="K262" s="195" t="s">
        <v>70</v>
      </c>
      <c r="L262" s="20" t="str">
        <f ca="1">IF(OFFSET(환산공식!$ED$15,$F262,0)=1,"O","X")</f>
        <v>X</v>
      </c>
      <c r="M262" s="188">
        <f ca="1">IFERROR(OFFSET(환산공식!DJ$15,$F262,0),"")</f>
        <v>19.600000000000001</v>
      </c>
      <c r="N262" s="20" t="str">
        <f ca="1">IFERROR(CONCATENATE(ROUND(OFFSET(환산공식!DK$15,$F262,0),1),"%"),"")</f>
        <v/>
      </c>
      <c r="O262" s="20">
        <f ca="1">IFERROR(OFFSET(환산공식!DL$15,$F262,0),"")</f>
        <v>0</v>
      </c>
      <c r="P262" s="188" t="str">
        <f t="shared" ca="1" si="6"/>
        <v>90% 이상</v>
      </c>
      <c r="Q262" s="194" t="str">
        <f ca="1">IFERROR(ROUND(OFFSET(환산공식!$FG$15,$F262,0),3),"")</f>
        <v/>
      </c>
      <c r="R262" s="194">
        <f ca="1">OFFSET('배치점수 계산기'!H$10,$D262,0)</f>
        <v>85.347999999999999</v>
      </c>
      <c r="S262" s="194">
        <f ca="1">OFFSET('배치점수 계산기'!I$10,$D262,0)</f>
        <v>84.823999999999998</v>
      </c>
      <c r="T262" s="194">
        <f ca="1">OFFSET('배치점수 계산기'!J$10,$D262,0)</f>
        <v>84.013000000000005</v>
      </c>
      <c r="U262" s="194">
        <f ca="1">OFFSET('배치점수 계산기'!K$10,$D262,0)</f>
        <v>83.337999999999994</v>
      </c>
      <c r="V262" s="194">
        <f ca="1">OFFSET('배치점수 계산기'!L$10,$D262,0)</f>
        <v>82.361000000000004</v>
      </c>
      <c r="W262" s="186" t="str">
        <f ca="1">OFFSET('배치점수 계산기'!M$10,$D262,0)</f>
        <v>백분위</v>
      </c>
      <c r="X262" s="184" t="str">
        <f ca="1">OFFSET('배치점수 계산기'!N$10,$D262,0)</f>
        <v>백분위</v>
      </c>
      <c r="Y262" s="188" t="e">
        <f ca="1">OFFSET(환산공식!FW$15,$F262,0)</f>
        <v>#VALUE!</v>
      </c>
      <c r="Z262" s="20" t="e">
        <f ca="1">OFFSET(환산공식!FX$15,$F262,0)</f>
        <v>#VALUE!</v>
      </c>
      <c r="AA262" s="179" t="e">
        <f ca="1">OFFSET(환산공식!FY$15,$F262,0)</f>
        <v>#VALUE!</v>
      </c>
      <c r="AB262" s="3"/>
      <c r="AD262">
        <f t="shared" ca="1" si="7"/>
        <v>6</v>
      </c>
      <c r="AF262" s="3"/>
      <c r="AG262" s="3"/>
      <c r="AH262" s="3"/>
    </row>
    <row r="263" spans="1:34">
      <c r="A263" s="198"/>
      <c r="B263" s="198"/>
      <c r="C263" s="198" t="s">
        <v>2584</v>
      </c>
      <c r="D263" s="235">
        <v>2154</v>
      </c>
      <c r="E263" s="195">
        <v>244</v>
      </c>
      <c r="F263" s="195">
        <v>244</v>
      </c>
      <c r="G263" s="239">
        <v>256</v>
      </c>
      <c r="H263" s="197" t="s">
        <v>81</v>
      </c>
      <c r="I263" s="242" t="s">
        <v>195</v>
      </c>
      <c r="J263" s="242" t="s">
        <v>16746</v>
      </c>
      <c r="K263" s="195" t="s">
        <v>70</v>
      </c>
      <c r="L263" s="20" t="str">
        <f ca="1">IF(OFFSET(환산공식!$ED$15,$F263,0)=1,"O","X")</f>
        <v>X</v>
      </c>
      <c r="M263" s="188">
        <f ca="1">IFERROR(OFFSET(환산공식!DJ$15,$F263,0),"")</f>
        <v>19.600000000000001</v>
      </c>
      <c r="N263" s="20" t="str">
        <f ca="1">IFERROR(CONCATENATE(ROUND(OFFSET(환산공식!DK$15,$F263,0),1),"%"),"")</f>
        <v/>
      </c>
      <c r="O263" s="20">
        <f ca="1">IFERROR(OFFSET(환산공식!DL$15,$F263,0),"")</f>
        <v>0</v>
      </c>
      <c r="P263" s="188" t="str">
        <f t="shared" ca="1" si="6"/>
        <v>90% 이상</v>
      </c>
      <c r="Q263" s="194" t="str">
        <f ca="1">IFERROR(ROUND(OFFSET(환산공식!$FG$15,$F263,0),3),"")</f>
        <v/>
      </c>
      <c r="R263" s="194">
        <f ca="1">OFFSET('배치점수 계산기'!H$10,$D263,0)</f>
        <v>84.924999999999997</v>
      </c>
      <c r="S263" s="194">
        <f ca="1">OFFSET('배치점수 계산기'!I$10,$D263,0)</f>
        <v>84.534000000000006</v>
      </c>
      <c r="T263" s="194">
        <f ca="1">OFFSET('배치점수 계산기'!J$10,$D263,0)</f>
        <v>83.778999999999996</v>
      </c>
      <c r="U263" s="194">
        <f ca="1">OFFSET('배치점수 계산기'!K$10,$D263,0)</f>
        <v>83.025999999999996</v>
      </c>
      <c r="V263" s="194">
        <f ca="1">OFFSET('배치점수 계산기'!L$10,$D263,0)</f>
        <v>82.400999999999996</v>
      </c>
      <c r="W263" s="186" t="str">
        <f ca="1">OFFSET('배치점수 계산기'!M$10,$D263,0)</f>
        <v>백분위</v>
      </c>
      <c r="X263" s="184" t="str">
        <f ca="1">OFFSET('배치점수 계산기'!N$10,$D263,0)</f>
        <v>백분위</v>
      </c>
      <c r="Y263" s="188" t="e">
        <f ca="1">OFFSET(환산공식!FW$15,$F263,0)</f>
        <v>#VALUE!</v>
      </c>
      <c r="Z263" s="20" t="e">
        <f ca="1">OFFSET(환산공식!FX$15,$F263,0)</f>
        <v>#VALUE!</v>
      </c>
      <c r="AA263" s="179" t="e">
        <f ca="1">OFFSET(환산공식!FY$15,$F263,0)</f>
        <v>#VALUE!</v>
      </c>
      <c r="AB263" s="3"/>
      <c r="AD263">
        <f t="shared" ca="1" si="7"/>
        <v>6</v>
      </c>
      <c r="AF263" s="3"/>
      <c r="AG263" s="3"/>
      <c r="AH263" s="3"/>
    </row>
    <row r="264" spans="1:34">
      <c r="A264" s="198"/>
      <c r="B264" s="198"/>
      <c r="C264" s="198" t="s">
        <v>2585</v>
      </c>
      <c r="D264" s="235">
        <v>2155</v>
      </c>
      <c r="E264" s="195">
        <v>244</v>
      </c>
      <c r="F264" s="195">
        <v>244</v>
      </c>
      <c r="G264" s="239">
        <v>257</v>
      </c>
      <c r="H264" s="197" t="s">
        <v>81</v>
      </c>
      <c r="I264" s="242" t="s">
        <v>195</v>
      </c>
      <c r="J264" s="242" t="s">
        <v>16747</v>
      </c>
      <c r="K264" s="195" t="s">
        <v>70</v>
      </c>
      <c r="L264" s="20" t="str">
        <f ca="1">IF(OFFSET(환산공식!$ED$15,$F264,0)=1,"O","X")</f>
        <v>X</v>
      </c>
      <c r="M264" s="188">
        <f ca="1">IFERROR(OFFSET(환산공식!DJ$15,$F264,0),"")</f>
        <v>19.600000000000001</v>
      </c>
      <c r="N264" s="20" t="str">
        <f ca="1">IFERROR(CONCATENATE(ROUND(OFFSET(환산공식!DK$15,$F264,0),1),"%"),"")</f>
        <v/>
      </c>
      <c r="O264" s="20">
        <f ca="1">IFERROR(OFFSET(환산공식!DL$15,$F264,0),"")</f>
        <v>0</v>
      </c>
      <c r="P264" s="188" t="str">
        <f t="shared" ca="1" si="6"/>
        <v>90% 이상</v>
      </c>
      <c r="Q264" s="194" t="str">
        <f ca="1">IFERROR(ROUND(OFFSET(환산공식!$FG$15,$F264,0),3),"")</f>
        <v/>
      </c>
      <c r="R264" s="194">
        <f ca="1">OFFSET('배치점수 계산기'!H$10,$D264,0)</f>
        <v>83.858999999999995</v>
      </c>
      <c r="S264" s="194">
        <f ca="1">OFFSET('배치점수 계산기'!I$10,$D264,0)</f>
        <v>83.337999999999994</v>
      </c>
      <c r="T264" s="194">
        <f ca="1">OFFSET('배치점수 계산기'!J$10,$D264,0)</f>
        <v>82.510999999999996</v>
      </c>
      <c r="U264" s="194">
        <f ca="1">OFFSET('배치점수 계산기'!K$10,$D264,0)</f>
        <v>81.819000000000003</v>
      </c>
      <c r="V264" s="194">
        <f ca="1">OFFSET('배치점수 계산기'!L$10,$D264,0)</f>
        <v>81.072999999999993</v>
      </c>
      <c r="W264" s="186" t="str">
        <f ca="1">OFFSET('배치점수 계산기'!M$10,$D264,0)</f>
        <v>백분위</v>
      </c>
      <c r="X264" s="184" t="str">
        <f ca="1">OFFSET('배치점수 계산기'!N$10,$D264,0)</f>
        <v>백분위</v>
      </c>
      <c r="Y264" s="188" t="e">
        <f ca="1">OFFSET(환산공식!FW$15,$F264,0)</f>
        <v>#VALUE!</v>
      </c>
      <c r="Z264" s="20" t="e">
        <f ca="1">OFFSET(환산공식!FX$15,$F264,0)</f>
        <v>#VALUE!</v>
      </c>
      <c r="AA264" s="179" t="e">
        <f ca="1">OFFSET(환산공식!FY$15,$F264,0)</f>
        <v>#VALUE!</v>
      </c>
      <c r="AB264" s="3"/>
      <c r="AD264">
        <f t="shared" ca="1" si="7"/>
        <v>6</v>
      </c>
      <c r="AF264" s="3"/>
      <c r="AG264" s="3"/>
      <c r="AH264" s="3"/>
    </row>
    <row r="265" spans="1:34">
      <c r="A265" s="198"/>
      <c r="B265" s="198"/>
      <c r="C265" s="198" t="s">
        <v>2586</v>
      </c>
      <c r="D265" s="235">
        <v>2156</v>
      </c>
      <c r="E265" s="195">
        <v>245</v>
      </c>
      <c r="F265" s="195">
        <v>245</v>
      </c>
      <c r="G265" s="239">
        <v>258</v>
      </c>
      <c r="H265" s="197" t="s">
        <v>81</v>
      </c>
      <c r="I265" s="242" t="s">
        <v>195</v>
      </c>
      <c r="J265" s="242" t="s">
        <v>16748</v>
      </c>
      <c r="K265" s="195" t="s">
        <v>71</v>
      </c>
      <c r="L265" s="20" t="str">
        <f ca="1">IF(OFFSET(환산공식!$ED$15,$F265,0)=1,"O","X")</f>
        <v>X</v>
      </c>
      <c r="M265" s="188">
        <f ca="1">IFERROR(OFFSET(환산공식!DJ$15,$F265,0),"")</f>
        <v>19.600000000000001</v>
      </c>
      <c r="N265" s="20" t="str">
        <f ca="1">IFERROR(CONCATENATE(ROUND(OFFSET(환산공식!DK$15,$F265,0),1),"%"),"")</f>
        <v/>
      </c>
      <c r="O265" s="20">
        <f ca="1">IFERROR(OFFSET(환산공식!DL$15,$F265,0),"")</f>
        <v>0</v>
      </c>
      <c r="P265" s="188" t="str">
        <f t="shared" ref="P265:P328" ca="1" si="8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90% 이상</v>
      </c>
      <c r="Q265" s="194" t="str">
        <f ca="1">IFERROR(ROUND(OFFSET(환산공식!$FG$15,$F265,0),3),"")</f>
        <v/>
      </c>
      <c r="R265" s="194">
        <f ca="1">OFFSET('배치점수 계산기'!H$10,$D265,0)</f>
        <v>87.049000000000007</v>
      </c>
      <c r="S265" s="194">
        <f ca="1">OFFSET('배치점수 계산기'!I$10,$D265,0)</f>
        <v>86.712000000000003</v>
      </c>
      <c r="T265" s="194">
        <f ca="1">OFFSET('배치점수 계산기'!J$10,$D265,0)</f>
        <v>86.004000000000005</v>
      </c>
      <c r="U265" s="194">
        <f ca="1">OFFSET('배치점수 계산기'!K$10,$D265,0)</f>
        <v>85.399000000000001</v>
      </c>
      <c r="V265" s="194">
        <f ca="1">OFFSET('배치점수 계산기'!L$10,$D265,0)</f>
        <v>85.003</v>
      </c>
      <c r="W265" s="186" t="str">
        <f ca="1">OFFSET('배치점수 계산기'!M$10,$D265,0)</f>
        <v>백분위</v>
      </c>
      <c r="X265" s="184" t="str">
        <f ca="1">OFFSET('배치점수 계산기'!N$10,$D265,0)</f>
        <v>백분위</v>
      </c>
      <c r="Y265" s="188" t="e">
        <f ca="1">OFFSET(환산공식!FW$15,$F265,0)</f>
        <v>#VALUE!</v>
      </c>
      <c r="Z265" s="20" t="e">
        <f ca="1">OFFSET(환산공식!FX$15,$F265,0)</f>
        <v>#VALUE!</v>
      </c>
      <c r="AA265" s="179" t="e">
        <f ca="1">OFFSET(환산공식!FY$15,$F265,0)</f>
        <v>#VALUE!</v>
      </c>
      <c r="AB265" s="3"/>
      <c r="AD265">
        <f t="shared" ref="AD265:AD328" ca="1" si="9">IF(L265="X",6,IF(Q265&gt;R265,1,IF(Q265&gt;S265,2,IF(Q265&gt;T265,3,IF(Q265&gt;U265,4,IF(Q265&gt;=V265,5,IF(Q265&lt;V265,6,"")))))))</f>
        <v>6</v>
      </c>
      <c r="AF265" s="3"/>
      <c r="AG265" s="3"/>
      <c r="AH265" s="3"/>
    </row>
    <row r="266" spans="1:34">
      <c r="A266" s="198"/>
      <c r="B266" s="198"/>
      <c r="C266" s="198" t="s">
        <v>2587</v>
      </c>
      <c r="D266" s="235">
        <v>2157</v>
      </c>
      <c r="E266" s="195">
        <v>245</v>
      </c>
      <c r="F266" s="195">
        <v>245</v>
      </c>
      <c r="G266" s="239">
        <v>259</v>
      </c>
      <c r="H266" s="197" t="s">
        <v>81</v>
      </c>
      <c r="I266" s="242" t="s">
        <v>195</v>
      </c>
      <c r="J266" s="242" t="s">
        <v>16749</v>
      </c>
      <c r="K266" s="195" t="s">
        <v>71</v>
      </c>
      <c r="L266" s="20" t="str">
        <f ca="1">IF(OFFSET(환산공식!$ED$15,$F266,0)=1,"O","X")</f>
        <v>X</v>
      </c>
      <c r="M266" s="188">
        <f ca="1">IFERROR(OFFSET(환산공식!DJ$15,$F266,0),"")</f>
        <v>19.600000000000001</v>
      </c>
      <c r="N266" s="20" t="str">
        <f ca="1">IFERROR(CONCATENATE(ROUND(OFFSET(환산공식!DK$15,$F266,0),1),"%"),"")</f>
        <v/>
      </c>
      <c r="O266" s="20">
        <f ca="1">IFERROR(OFFSET(환산공식!DL$15,$F266,0),"")</f>
        <v>0</v>
      </c>
      <c r="P266" s="188" t="str">
        <f t="shared" ca="1" si="8"/>
        <v>90% 이상</v>
      </c>
      <c r="Q266" s="194" t="str">
        <f ca="1">IFERROR(ROUND(OFFSET(환산공식!$FG$15,$F266,0),3),"")</f>
        <v/>
      </c>
      <c r="R266" s="194">
        <f ca="1">OFFSET('배치점수 계산기'!H$10,$D266,0)</f>
        <v>86.974999999999994</v>
      </c>
      <c r="S266" s="194">
        <f ca="1">OFFSET('배치점수 계산기'!I$10,$D266,0)</f>
        <v>86.596000000000004</v>
      </c>
      <c r="T266" s="194">
        <f ca="1">OFFSET('배치점수 계산기'!J$10,$D266,0)</f>
        <v>85.947999999999993</v>
      </c>
      <c r="U266" s="194">
        <f ca="1">OFFSET('배치점수 계산기'!K$10,$D266,0)</f>
        <v>85.399000000000001</v>
      </c>
      <c r="V266" s="194">
        <f ca="1">OFFSET('배치점수 계산기'!L$10,$D266,0)</f>
        <v>84.911000000000001</v>
      </c>
      <c r="W266" s="186" t="str">
        <f ca="1">OFFSET('배치점수 계산기'!M$10,$D266,0)</f>
        <v>백분위</v>
      </c>
      <c r="X266" s="184" t="str">
        <f ca="1">OFFSET('배치점수 계산기'!N$10,$D266,0)</f>
        <v>백분위</v>
      </c>
      <c r="Y266" s="188" t="e">
        <f ca="1">OFFSET(환산공식!FW$15,$F266,0)</f>
        <v>#VALUE!</v>
      </c>
      <c r="Z266" s="20" t="e">
        <f ca="1">OFFSET(환산공식!FX$15,$F266,0)</f>
        <v>#VALUE!</v>
      </c>
      <c r="AA266" s="179" t="e">
        <f ca="1">OFFSET(환산공식!FY$15,$F266,0)</f>
        <v>#VALUE!</v>
      </c>
      <c r="AB266" s="3"/>
      <c r="AD266">
        <f t="shared" ca="1" si="9"/>
        <v>6</v>
      </c>
      <c r="AF266" s="3"/>
      <c r="AG266" s="3"/>
      <c r="AH266" s="3"/>
    </row>
    <row r="267" spans="1:34">
      <c r="A267" s="198"/>
      <c r="B267" s="198"/>
      <c r="C267" s="198" t="s">
        <v>2588</v>
      </c>
      <c r="D267" s="235">
        <v>2158</v>
      </c>
      <c r="E267" s="195">
        <v>245</v>
      </c>
      <c r="F267" s="195">
        <v>245</v>
      </c>
      <c r="G267" s="239">
        <v>260</v>
      </c>
      <c r="H267" s="197" t="s">
        <v>81</v>
      </c>
      <c r="I267" s="242" t="s">
        <v>195</v>
      </c>
      <c r="J267" s="242" t="s">
        <v>16750</v>
      </c>
      <c r="K267" s="195" t="s">
        <v>71</v>
      </c>
      <c r="L267" s="20" t="str">
        <f ca="1">IF(OFFSET(환산공식!$ED$15,$F267,0)=1,"O","X")</f>
        <v>X</v>
      </c>
      <c r="M267" s="188">
        <f ca="1">IFERROR(OFFSET(환산공식!DJ$15,$F267,0),"")</f>
        <v>19.600000000000001</v>
      </c>
      <c r="N267" s="20" t="str">
        <f ca="1">IFERROR(CONCATENATE(ROUND(OFFSET(환산공식!DK$15,$F267,0),1),"%"),"")</f>
        <v/>
      </c>
      <c r="O267" s="20">
        <f ca="1">IFERROR(OFFSET(환산공식!DL$15,$F267,0),"")</f>
        <v>0</v>
      </c>
      <c r="P267" s="188" t="str">
        <f t="shared" ca="1" si="8"/>
        <v>90% 이상</v>
      </c>
      <c r="Q267" s="194" t="str">
        <f ca="1">IFERROR(ROUND(OFFSET(환산공식!$FG$15,$F267,0),3),"")</f>
        <v/>
      </c>
      <c r="R267" s="194">
        <f ca="1">OFFSET('배치점수 계산기'!H$10,$D267,0)</f>
        <v>86.38</v>
      </c>
      <c r="S267" s="194">
        <f ca="1">OFFSET('배치점수 계산기'!I$10,$D267,0)</f>
        <v>85.947999999999993</v>
      </c>
      <c r="T267" s="194">
        <f ca="1">OFFSET('배치점수 계산기'!J$10,$D267,0)</f>
        <v>85.277000000000001</v>
      </c>
      <c r="U267" s="194">
        <f ca="1">OFFSET('배치점수 계산기'!K$10,$D267,0)</f>
        <v>84.570999999999998</v>
      </c>
      <c r="V267" s="194">
        <f ca="1">OFFSET('배치점수 계산기'!L$10,$D267,0)</f>
        <v>84.158000000000001</v>
      </c>
      <c r="W267" s="186" t="str">
        <f ca="1">OFFSET('배치점수 계산기'!M$10,$D267,0)</f>
        <v>백분위</v>
      </c>
      <c r="X267" s="184" t="str">
        <f ca="1">OFFSET('배치점수 계산기'!N$10,$D267,0)</f>
        <v>백분위</v>
      </c>
      <c r="Y267" s="188" t="e">
        <f ca="1">OFFSET(환산공식!FW$15,$F267,0)</f>
        <v>#VALUE!</v>
      </c>
      <c r="Z267" s="20" t="e">
        <f ca="1">OFFSET(환산공식!FX$15,$F267,0)</f>
        <v>#VALUE!</v>
      </c>
      <c r="AA267" s="179" t="e">
        <f ca="1">OFFSET(환산공식!FY$15,$F267,0)</f>
        <v>#VALUE!</v>
      </c>
      <c r="AB267" s="3"/>
      <c r="AD267">
        <f t="shared" ca="1" si="9"/>
        <v>6</v>
      </c>
      <c r="AF267" s="3"/>
      <c r="AG267" s="3"/>
      <c r="AH267" s="3"/>
    </row>
    <row r="268" spans="1:34">
      <c r="A268" s="198"/>
      <c r="B268" s="198"/>
      <c r="C268" s="198" t="s">
        <v>2589</v>
      </c>
      <c r="D268" s="235">
        <v>2159</v>
      </c>
      <c r="E268" s="195">
        <v>245</v>
      </c>
      <c r="F268" s="195">
        <v>245</v>
      </c>
      <c r="G268" s="239">
        <v>261</v>
      </c>
      <c r="H268" s="197" t="s">
        <v>81</v>
      </c>
      <c r="I268" s="242" t="s">
        <v>195</v>
      </c>
      <c r="J268" s="242" t="s">
        <v>16751</v>
      </c>
      <c r="K268" s="195" t="s">
        <v>71</v>
      </c>
      <c r="L268" s="20" t="str">
        <f ca="1">IF(OFFSET(환산공식!$ED$15,$F268,0)=1,"O","X")</f>
        <v>X</v>
      </c>
      <c r="M268" s="188">
        <f ca="1">IFERROR(OFFSET(환산공식!DJ$15,$F268,0),"")</f>
        <v>19.600000000000001</v>
      </c>
      <c r="N268" s="20" t="str">
        <f ca="1">IFERROR(CONCATENATE(ROUND(OFFSET(환산공식!DK$15,$F268,0),1),"%"),"")</f>
        <v/>
      </c>
      <c r="O268" s="20">
        <f ca="1">IFERROR(OFFSET(환산공식!DL$15,$F268,0),"")</f>
        <v>0</v>
      </c>
      <c r="P268" s="188" t="str">
        <f t="shared" ca="1" si="8"/>
        <v>90% 이상</v>
      </c>
      <c r="Q268" s="194" t="str">
        <f ca="1">IFERROR(ROUND(OFFSET(환산공식!$FG$15,$F268,0),3),"")</f>
        <v/>
      </c>
      <c r="R268" s="194">
        <f ca="1">OFFSET('배치점수 계산기'!H$10,$D268,0)</f>
        <v>85.603999999999999</v>
      </c>
      <c r="S268" s="194">
        <f ca="1">OFFSET('배치점수 계산기'!I$10,$D268,0)</f>
        <v>85.254999999999995</v>
      </c>
      <c r="T268" s="194">
        <f ca="1">OFFSET('배치점수 계산기'!J$10,$D268,0)</f>
        <v>84.388000000000005</v>
      </c>
      <c r="U268" s="194">
        <f ca="1">OFFSET('배치점수 계산기'!K$10,$D268,0)</f>
        <v>83.665999999999997</v>
      </c>
      <c r="V268" s="194">
        <f ca="1">OFFSET('배치점수 계산기'!L$10,$D268,0)</f>
        <v>83.268000000000001</v>
      </c>
      <c r="W268" s="186" t="str">
        <f ca="1">OFFSET('배치점수 계산기'!M$10,$D268,0)</f>
        <v>백분위</v>
      </c>
      <c r="X268" s="184" t="str">
        <f ca="1">OFFSET('배치점수 계산기'!N$10,$D268,0)</f>
        <v>백분위</v>
      </c>
      <c r="Y268" s="188" t="e">
        <f ca="1">OFFSET(환산공식!FW$15,$F268,0)</f>
        <v>#VALUE!</v>
      </c>
      <c r="Z268" s="20" t="e">
        <f ca="1">OFFSET(환산공식!FX$15,$F268,0)</f>
        <v>#VALUE!</v>
      </c>
      <c r="AA268" s="179" t="e">
        <f ca="1">OFFSET(환산공식!FY$15,$F268,0)</f>
        <v>#VALUE!</v>
      </c>
      <c r="AB268" s="3"/>
      <c r="AD268">
        <f t="shared" ca="1" si="9"/>
        <v>6</v>
      </c>
      <c r="AF268" s="3"/>
      <c r="AG268" s="3"/>
      <c r="AH268" s="3"/>
    </row>
    <row r="269" spans="1:34">
      <c r="A269" s="198"/>
      <c r="B269" s="198"/>
      <c r="C269" s="198" t="s">
        <v>2590</v>
      </c>
      <c r="D269" s="235">
        <v>2160</v>
      </c>
      <c r="E269" s="195">
        <v>246</v>
      </c>
      <c r="F269" s="195">
        <v>246</v>
      </c>
      <c r="G269" s="239">
        <v>262</v>
      </c>
      <c r="H269" s="197" t="s">
        <v>81</v>
      </c>
      <c r="I269" s="242" t="s">
        <v>485</v>
      </c>
      <c r="J269" s="242" t="s">
        <v>9754</v>
      </c>
      <c r="K269" s="195" t="s">
        <v>70</v>
      </c>
      <c r="L269" s="20" t="str">
        <f ca="1">IF(OFFSET(환산공식!$ED$15,$F269,0)=1,"O","X")</f>
        <v>X</v>
      </c>
      <c r="M269" s="188">
        <f ca="1">IFERROR(OFFSET(환산공식!DJ$15,$F269,0),"")</f>
        <v>20</v>
      </c>
      <c r="N269" s="20" t="str">
        <f ca="1">IFERROR(CONCATENATE(ROUND(OFFSET(환산공식!DK$15,$F269,0),1),"%"),"")</f>
        <v>100%</v>
      </c>
      <c r="O269" s="20">
        <f ca="1">IFERROR(OFFSET(환산공식!DL$15,$F269,0),"")</f>
        <v>0</v>
      </c>
      <c r="P269" s="188" t="str">
        <f t="shared" ca="1" si="8"/>
        <v>3% 이하</v>
      </c>
      <c r="Q269" s="194">
        <f ca="1">IFERROR(ROUND(OFFSET(환산공식!$FG$15,$F269,0),3),"")</f>
        <v>0</v>
      </c>
      <c r="R269" s="194">
        <f ca="1">OFFSET('배치점수 계산기'!H$10,$D269,0)</f>
        <v>85.134</v>
      </c>
      <c r="S269" s="194">
        <f ca="1">OFFSET('배치점수 계산기'!I$10,$D269,0)</f>
        <v>84.504999999999995</v>
      </c>
      <c r="T269" s="194">
        <f ca="1">OFFSET('배치점수 계산기'!J$10,$D269,0)</f>
        <v>83.593000000000004</v>
      </c>
      <c r="U269" s="194">
        <f ca="1">OFFSET('배치점수 계산기'!K$10,$D269,0)</f>
        <v>82.835999999999999</v>
      </c>
      <c r="V269" s="194">
        <f ca="1">OFFSET('배치점수 계산기'!L$10,$D269,0)</f>
        <v>81.734999999999999</v>
      </c>
      <c r="W269" s="186" t="str">
        <f ca="1">OFFSET('배치점수 계산기'!M$10,$D269,0)</f>
        <v>백분위</v>
      </c>
      <c r="X269" s="184" t="str">
        <f ca="1">OFFSET('배치점수 계산기'!N$10,$D269,0)</f>
        <v>백분위</v>
      </c>
      <c r="Y269" s="188">
        <f ca="1">OFFSET(환산공식!FW$15,$F269,0)</f>
        <v>0.38</v>
      </c>
      <c r="Z269" s="20">
        <f ca="1">OFFSET(환산공식!FX$15,$F269,0)</f>
        <v>0.44</v>
      </c>
      <c r="AA269" s="179">
        <f ca="1">OFFSET(환산공식!FY$15,$F269,0)</f>
        <v>0.19</v>
      </c>
      <c r="AB269" s="3"/>
      <c r="AD269">
        <f t="shared" ca="1" si="9"/>
        <v>6</v>
      </c>
      <c r="AF269" s="3"/>
      <c r="AG269" s="3"/>
      <c r="AH269" s="3"/>
    </row>
    <row r="270" spans="1:34">
      <c r="A270" s="198"/>
      <c r="B270" s="198"/>
      <c r="C270" s="198" t="s">
        <v>2591</v>
      </c>
      <c r="D270" s="235">
        <v>2161</v>
      </c>
      <c r="E270" s="195">
        <v>246</v>
      </c>
      <c r="F270" s="195">
        <v>246</v>
      </c>
      <c r="G270" s="239">
        <v>263</v>
      </c>
      <c r="H270" s="197" t="s">
        <v>81</v>
      </c>
      <c r="I270" s="242" t="s">
        <v>485</v>
      </c>
      <c r="J270" s="242" t="s">
        <v>11678</v>
      </c>
      <c r="K270" s="195" t="s">
        <v>70</v>
      </c>
      <c r="L270" s="20" t="str">
        <f ca="1">IF(OFFSET(환산공식!$ED$15,$F270,0)=1,"O","X")</f>
        <v>X</v>
      </c>
      <c r="M270" s="188">
        <f ca="1">IFERROR(OFFSET(환산공식!DJ$15,$F270,0),"")</f>
        <v>20</v>
      </c>
      <c r="N270" s="20" t="str">
        <f ca="1">IFERROR(CONCATENATE(ROUND(OFFSET(환산공식!DK$15,$F270,0),1),"%"),"")</f>
        <v>100%</v>
      </c>
      <c r="O270" s="20">
        <f ca="1">IFERROR(OFFSET(환산공식!DL$15,$F270,0),"")</f>
        <v>0</v>
      </c>
      <c r="P270" s="188" t="str">
        <f t="shared" ca="1" si="8"/>
        <v>3% 이하</v>
      </c>
      <c r="Q270" s="194">
        <f ca="1">IFERROR(ROUND(OFFSET(환산공식!$FG$15,$F270,0),3),"")</f>
        <v>0</v>
      </c>
      <c r="R270" s="194">
        <f ca="1">OFFSET('배치점수 계산기'!H$10,$D270,0)</f>
        <v>84.09</v>
      </c>
      <c r="S270" s="194">
        <f ca="1">OFFSET('배치점수 계산기'!I$10,$D270,0)</f>
        <v>83.442999999999998</v>
      </c>
      <c r="T270" s="194">
        <f ca="1">OFFSET('배치점수 계산기'!J$10,$D270,0)</f>
        <v>82.62</v>
      </c>
      <c r="U270" s="194">
        <f ca="1">OFFSET('배치점수 계산기'!K$10,$D270,0)</f>
        <v>81.734999999999999</v>
      </c>
      <c r="V270" s="194">
        <f ca="1">OFFSET('배치점수 계산기'!L$10,$D270,0)</f>
        <v>80.73</v>
      </c>
      <c r="W270" s="186" t="str">
        <f ca="1">OFFSET('배치점수 계산기'!M$10,$D270,0)</f>
        <v>백분위</v>
      </c>
      <c r="X270" s="184" t="str">
        <f ca="1">OFFSET('배치점수 계산기'!N$10,$D270,0)</f>
        <v>백분위</v>
      </c>
      <c r="Y270" s="188">
        <f ca="1">OFFSET(환산공식!FW$15,$F270,0)</f>
        <v>0.38</v>
      </c>
      <c r="Z270" s="20">
        <f ca="1">OFFSET(환산공식!FX$15,$F270,0)</f>
        <v>0.44</v>
      </c>
      <c r="AA270" s="179">
        <f ca="1">OFFSET(환산공식!FY$15,$F270,0)</f>
        <v>0.19</v>
      </c>
      <c r="AB270" s="3"/>
      <c r="AD270">
        <f t="shared" ca="1" si="9"/>
        <v>6</v>
      </c>
      <c r="AF270" s="3"/>
      <c r="AG270" s="3"/>
      <c r="AH270" s="3"/>
    </row>
    <row r="271" spans="1:34">
      <c r="A271" s="198"/>
      <c r="B271" s="198"/>
      <c r="C271" s="198" t="s">
        <v>2592</v>
      </c>
      <c r="D271" s="235">
        <v>2162</v>
      </c>
      <c r="E271" s="195">
        <v>246</v>
      </c>
      <c r="F271" s="195">
        <v>246</v>
      </c>
      <c r="G271" s="239">
        <v>264</v>
      </c>
      <c r="H271" s="197" t="s">
        <v>81</v>
      </c>
      <c r="I271" s="242" t="s">
        <v>485</v>
      </c>
      <c r="J271" s="242" t="s">
        <v>486</v>
      </c>
      <c r="K271" s="195" t="s">
        <v>70</v>
      </c>
      <c r="L271" s="20" t="str">
        <f ca="1">IF(OFFSET(환산공식!$ED$15,$F271,0)=1,"O","X")</f>
        <v>X</v>
      </c>
      <c r="M271" s="188">
        <f ca="1">IFERROR(OFFSET(환산공식!DJ$15,$F271,0),"")</f>
        <v>20</v>
      </c>
      <c r="N271" s="20" t="str">
        <f ca="1">IFERROR(CONCATENATE(ROUND(OFFSET(환산공식!DK$15,$F271,0),1),"%"),"")</f>
        <v>100%</v>
      </c>
      <c r="O271" s="20">
        <f ca="1">IFERROR(OFFSET(환산공식!DL$15,$F271,0),"")</f>
        <v>0</v>
      </c>
      <c r="P271" s="188" t="str">
        <f t="shared" ca="1" si="8"/>
        <v>3% 이하</v>
      </c>
      <c r="Q271" s="194">
        <f ca="1">IFERROR(ROUND(OFFSET(환산공식!$FG$15,$F271,0),3),"")</f>
        <v>0</v>
      </c>
      <c r="R271" s="194">
        <f ca="1">OFFSET('배치점수 계산기'!H$10,$D271,0)</f>
        <v>83.6</v>
      </c>
      <c r="S271" s="194">
        <f ca="1">OFFSET('배치점수 계산기'!I$10,$D271,0)</f>
        <v>83.001000000000005</v>
      </c>
      <c r="T271" s="194">
        <f ca="1">OFFSET('배치점수 계산기'!J$10,$D271,0)</f>
        <v>82.082999999999998</v>
      </c>
      <c r="U271" s="194">
        <f ca="1">OFFSET('배치점수 계산기'!K$10,$D271,0)</f>
        <v>81.33</v>
      </c>
      <c r="V271" s="194">
        <f ca="1">OFFSET('배치점수 계산기'!L$10,$D271,0)</f>
        <v>80.334000000000003</v>
      </c>
      <c r="W271" s="186" t="str">
        <f ca="1">OFFSET('배치점수 계산기'!M$10,$D271,0)</f>
        <v>백분위</v>
      </c>
      <c r="X271" s="184" t="str">
        <f ca="1">OFFSET('배치점수 계산기'!N$10,$D271,0)</f>
        <v>백분위</v>
      </c>
      <c r="Y271" s="188">
        <f ca="1">OFFSET(환산공식!FW$15,$F271,0)</f>
        <v>0.38</v>
      </c>
      <c r="Z271" s="20">
        <f ca="1">OFFSET(환산공식!FX$15,$F271,0)</f>
        <v>0.44</v>
      </c>
      <c r="AA271" s="179">
        <f ca="1">OFFSET(환산공식!FY$15,$F271,0)</f>
        <v>0.19</v>
      </c>
      <c r="AB271" s="3"/>
      <c r="AD271">
        <f t="shared" ca="1" si="9"/>
        <v>6</v>
      </c>
      <c r="AF271" s="3"/>
      <c r="AG271" s="3"/>
      <c r="AH271" s="3"/>
    </row>
    <row r="272" spans="1:34">
      <c r="A272" s="198"/>
      <c r="B272" s="198"/>
      <c r="C272" s="198" t="s">
        <v>2593</v>
      </c>
      <c r="D272" s="235">
        <v>2163</v>
      </c>
      <c r="E272" s="195">
        <v>246</v>
      </c>
      <c r="F272" s="195">
        <v>246</v>
      </c>
      <c r="G272" s="239">
        <v>265</v>
      </c>
      <c r="H272" s="197" t="s">
        <v>81</v>
      </c>
      <c r="I272" s="242" t="s">
        <v>485</v>
      </c>
      <c r="J272" s="242" t="s">
        <v>11846</v>
      </c>
      <c r="K272" s="195" t="s">
        <v>70</v>
      </c>
      <c r="L272" s="20" t="str">
        <f ca="1">IF(OFFSET(환산공식!$ED$15,$F272,0)=1,"O","X")</f>
        <v>X</v>
      </c>
      <c r="M272" s="188">
        <f ca="1">IFERROR(OFFSET(환산공식!DJ$15,$F272,0),"")</f>
        <v>20</v>
      </c>
      <c r="N272" s="20" t="str">
        <f ca="1">IFERROR(CONCATENATE(ROUND(OFFSET(환산공식!DK$15,$F272,0),1),"%"),"")</f>
        <v>100%</v>
      </c>
      <c r="O272" s="20">
        <f ca="1">IFERROR(OFFSET(환산공식!DL$15,$F272,0),"")</f>
        <v>0</v>
      </c>
      <c r="P272" s="188" t="str">
        <f t="shared" ca="1" si="8"/>
        <v>3% 이하</v>
      </c>
      <c r="Q272" s="194">
        <f ca="1">IFERROR(ROUND(OFFSET(환산공식!$FG$15,$F272,0),3),"")</f>
        <v>0</v>
      </c>
      <c r="R272" s="194">
        <f ca="1">OFFSET('배치점수 계산기'!H$10,$D272,0)</f>
        <v>83.210999999999999</v>
      </c>
      <c r="S272" s="194">
        <f ca="1">OFFSET('배치점수 계산기'!I$10,$D272,0)</f>
        <v>82.677999999999997</v>
      </c>
      <c r="T272" s="194">
        <f ca="1">OFFSET('배치점수 계산기'!J$10,$D272,0)</f>
        <v>81.734999999999999</v>
      </c>
      <c r="U272" s="194">
        <f ca="1">OFFSET('배치점수 계산기'!K$10,$D272,0)</f>
        <v>80.997</v>
      </c>
      <c r="V272" s="194">
        <f ca="1">OFFSET('배치점수 계산기'!L$10,$D272,0)</f>
        <v>79.465000000000003</v>
      </c>
      <c r="W272" s="186" t="str">
        <f ca="1">OFFSET('배치점수 계산기'!M$10,$D272,0)</f>
        <v>백분위</v>
      </c>
      <c r="X272" s="184" t="str">
        <f ca="1">OFFSET('배치점수 계산기'!N$10,$D272,0)</f>
        <v>백분위</v>
      </c>
      <c r="Y272" s="188">
        <f ca="1">OFFSET(환산공식!FW$15,$F272,0)</f>
        <v>0.38</v>
      </c>
      <c r="Z272" s="20">
        <f ca="1">OFFSET(환산공식!FX$15,$F272,0)</f>
        <v>0.44</v>
      </c>
      <c r="AA272" s="179">
        <f ca="1">OFFSET(환산공식!FY$15,$F272,0)</f>
        <v>0.19</v>
      </c>
      <c r="AB272" s="3"/>
      <c r="AD272">
        <f t="shared" ca="1" si="9"/>
        <v>6</v>
      </c>
      <c r="AF272" s="3"/>
      <c r="AG272" s="3"/>
      <c r="AH272" s="3"/>
    </row>
    <row r="273" spans="1:34">
      <c r="A273" s="198"/>
      <c r="B273" s="198"/>
      <c r="C273" s="198" t="s">
        <v>2594</v>
      </c>
      <c r="D273" s="235">
        <v>2164</v>
      </c>
      <c r="E273" s="195">
        <v>246</v>
      </c>
      <c r="F273" s="195">
        <v>246</v>
      </c>
      <c r="G273" s="239">
        <v>266</v>
      </c>
      <c r="H273" s="197" t="s">
        <v>81</v>
      </c>
      <c r="I273" s="242" t="s">
        <v>485</v>
      </c>
      <c r="J273" s="242" t="s">
        <v>551</v>
      </c>
      <c r="K273" s="195" t="s">
        <v>70</v>
      </c>
      <c r="L273" s="20" t="str">
        <f ca="1">IF(OFFSET(환산공식!$ED$15,$F273,0)=1,"O","X")</f>
        <v>X</v>
      </c>
      <c r="M273" s="188">
        <f ca="1">IFERROR(OFFSET(환산공식!DJ$15,$F273,0),"")</f>
        <v>20</v>
      </c>
      <c r="N273" s="20" t="str">
        <f ca="1">IFERROR(CONCATENATE(ROUND(OFFSET(환산공식!DK$15,$F273,0),1),"%"),"")</f>
        <v>100%</v>
      </c>
      <c r="O273" s="20">
        <f ca="1">IFERROR(OFFSET(환산공식!DL$15,$F273,0),"")</f>
        <v>0</v>
      </c>
      <c r="P273" s="188" t="str">
        <f t="shared" ca="1" si="8"/>
        <v>3% 이하</v>
      </c>
      <c r="Q273" s="194">
        <f ca="1">IFERROR(ROUND(OFFSET(환산공식!$FG$15,$F273,0),3),"")</f>
        <v>0</v>
      </c>
      <c r="R273" s="194">
        <f ca="1">OFFSET('배치점수 계산기'!H$10,$D273,0)</f>
        <v>83.052000000000007</v>
      </c>
      <c r="S273" s="194">
        <f ca="1">OFFSET('배치점수 계산기'!I$10,$D273,0)</f>
        <v>82.573999999999998</v>
      </c>
      <c r="T273" s="194">
        <f ca="1">OFFSET('배치점수 계산기'!J$10,$D273,0)</f>
        <v>81.620999999999995</v>
      </c>
      <c r="U273" s="194">
        <f ca="1">OFFSET('배치점수 계산기'!K$10,$D273,0)</f>
        <v>80.811999999999998</v>
      </c>
      <c r="V273" s="194">
        <f ca="1">OFFSET('배치점수 계산기'!L$10,$D273,0)</f>
        <v>79.766999999999996</v>
      </c>
      <c r="W273" s="186" t="str">
        <f ca="1">OFFSET('배치점수 계산기'!M$10,$D273,0)</f>
        <v>백분위</v>
      </c>
      <c r="X273" s="184" t="str">
        <f ca="1">OFFSET('배치점수 계산기'!N$10,$D273,0)</f>
        <v>백분위</v>
      </c>
      <c r="Y273" s="188">
        <f ca="1">OFFSET(환산공식!FW$15,$F273,0)</f>
        <v>0.38</v>
      </c>
      <c r="Z273" s="20">
        <f ca="1">OFFSET(환산공식!FX$15,$F273,0)</f>
        <v>0.44</v>
      </c>
      <c r="AA273" s="179">
        <f ca="1">OFFSET(환산공식!FY$15,$F273,0)</f>
        <v>0.19</v>
      </c>
      <c r="AB273" s="3"/>
      <c r="AD273">
        <f t="shared" ca="1" si="9"/>
        <v>6</v>
      </c>
      <c r="AF273" s="3"/>
      <c r="AG273" s="3"/>
      <c r="AH273" s="3"/>
    </row>
    <row r="274" spans="1:34">
      <c r="A274" s="198"/>
      <c r="B274" s="198"/>
      <c r="C274" s="198" t="s">
        <v>2595</v>
      </c>
      <c r="D274" s="235">
        <v>2165</v>
      </c>
      <c r="E274" s="195">
        <v>246</v>
      </c>
      <c r="F274" s="195">
        <v>246</v>
      </c>
      <c r="G274" s="239">
        <v>267</v>
      </c>
      <c r="H274" s="197" t="s">
        <v>81</v>
      </c>
      <c r="I274" s="242" t="s">
        <v>485</v>
      </c>
      <c r="J274" s="242" t="s">
        <v>11901</v>
      </c>
      <c r="K274" s="195" t="s">
        <v>70</v>
      </c>
      <c r="L274" s="20" t="str">
        <f ca="1">IF(OFFSET(환산공식!$ED$15,$F274,0)=1,"O","X")</f>
        <v>X</v>
      </c>
      <c r="M274" s="188">
        <f ca="1">IFERROR(OFFSET(환산공식!DJ$15,$F274,0),"")</f>
        <v>20</v>
      </c>
      <c r="N274" s="20" t="str">
        <f ca="1">IFERROR(CONCATENATE(ROUND(OFFSET(환산공식!DK$15,$F274,0),1),"%"),"")</f>
        <v>100%</v>
      </c>
      <c r="O274" s="20">
        <f ca="1">IFERROR(OFFSET(환산공식!DL$15,$F274,0),"")</f>
        <v>0</v>
      </c>
      <c r="P274" s="188" t="str">
        <f t="shared" ca="1" si="8"/>
        <v>3% 이하</v>
      </c>
      <c r="Q274" s="194">
        <f ca="1">IFERROR(ROUND(OFFSET(환산공식!$FG$15,$F274,0),3),"")</f>
        <v>0</v>
      </c>
      <c r="R274" s="194">
        <f ca="1">OFFSET('배치점수 계산기'!H$10,$D274,0)</f>
        <v>83.001000000000005</v>
      </c>
      <c r="S274" s="194">
        <f ca="1">OFFSET('배치점수 계산기'!I$10,$D274,0)</f>
        <v>82.429000000000002</v>
      </c>
      <c r="T274" s="194">
        <f ca="1">OFFSET('배치점수 계산기'!J$10,$D274,0)</f>
        <v>81.584000000000003</v>
      </c>
      <c r="U274" s="194">
        <f ca="1">OFFSET('배치점수 계산기'!K$10,$D274,0)</f>
        <v>80.73</v>
      </c>
      <c r="V274" s="194">
        <f ca="1">OFFSET('배치점수 계산기'!L$10,$D274,0)</f>
        <v>79.760000000000005</v>
      </c>
      <c r="W274" s="186" t="str">
        <f ca="1">OFFSET('배치점수 계산기'!M$10,$D274,0)</f>
        <v>백분위</v>
      </c>
      <c r="X274" s="184" t="str">
        <f ca="1">OFFSET('배치점수 계산기'!N$10,$D274,0)</f>
        <v>백분위</v>
      </c>
      <c r="Y274" s="188">
        <f ca="1">OFFSET(환산공식!FW$15,$F274,0)</f>
        <v>0.38</v>
      </c>
      <c r="Z274" s="20">
        <f ca="1">OFFSET(환산공식!FX$15,$F274,0)</f>
        <v>0.44</v>
      </c>
      <c r="AA274" s="179">
        <f ca="1">OFFSET(환산공식!FY$15,$F274,0)</f>
        <v>0.19</v>
      </c>
      <c r="AB274" s="3"/>
      <c r="AD274">
        <f t="shared" ca="1" si="9"/>
        <v>6</v>
      </c>
      <c r="AF274" s="3"/>
      <c r="AG274" s="3"/>
      <c r="AH274" s="3"/>
    </row>
    <row r="275" spans="1:34">
      <c r="A275" s="198"/>
      <c r="B275" s="198"/>
      <c r="C275" s="198" t="s">
        <v>2596</v>
      </c>
      <c r="D275" s="235">
        <v>2166</v>
      </c>
      <c r="E275" s="195">
        <v>246</v>
      </c>
      <c r="F275" s="195">
        <v>246</v>
      </c>
      <c r="G275" s="239">
        <v>268</v>
      </c>
      <c r="H275" s="197" t="s">
        <v>81</v>
      </c>
      <c r="I275" s="242" t="s">
        <v>485</v>
      </c>
      <c r="J275" s="242" t="s">
        <v>11919</v>
      </c>
      <c r="K275" s="195" t="s">
        <v>70</v>
      </c>
      <c r="L275" s="20" t="str">
        <f ca="1">IF(OFFSET(환산공식!$ED$15,$F275,0)=1,"O","X")</f>
        <v>X</v>
      </c>
      <c r="M275" s="188">
        <f ca="1">IFERROR(OFFSET(환산공식!DJ$15,$F275,0),"")</f>
        <v>20</v>
      </c>
      <c r="N275" s="20" t="str">
        <f ca="1">IFERROR(CONCATENATE(ROUND(OFFSET(환산공식!DK$15,$F275,0),1),"%"),"")</f>
        <v>100%</v>
      </c>
      <c r="O275" s="20">
        <f ca="1">IFERROR(OFFSET(환산공식!DL$15,$F275,0),"")</f>
        <v>0</v>
      </c>
      <c r="P275" s="188" t="str">
        <f t="shared" ca="1" si="8"/>
        <v>3% 이하</v>
      </c>
      <c r="Q275" s="194">
        <f ca="1">IFERROR(ROUND(OFFSET(환산공식!$FG$15,$F275,0),3),"")</f>
        <v>0</v>
      </c>
      <c r="R275" s="194">
        <f ca="1">OFFSET('배치점수 계산기'!H$10,$D275,0)</f>
        <v>82.933000000000007</v>
      </c>
      <c r="S275" s="194">
        <f ca="1">OFFSET('배치점수 계산기'!I$10,$D275,0)</f>
        <v>82.355999999999995</v>
      </c>
      <c r="T275" s="194">
        <f ca="1">OFFSET('배치점수 계산기'!J$10,$D275,0)</f>
        <v>81.447000000000003</v>
      </c>
      <c r="U275" s="194">
        <f ca="1">OFFSET('배치점수 계산기'!K$10,$D275,0)</f>
        <v>80.637</v>
      </c>
      <c r="V275" s="194">
        <f ca="1">OFFSET('배치점수 계산기'!L$10,$D275,0)</f>
        <v>78.692999999999998</v>
      </c>
      <c r="W275" s="186" t="str">
        <f ca="1">OFFSET('배치점수 계산기'!M$10,$D275,0)</f>
        <v>백분위</v>
      </c>
      <c r="X275" s="184" t="str">
        <f ca="1">OFFSET('배치점수 계산기'!N$10,$D275,0)</f>
        <v>백분위</v>
      </c>
      <c r="Y275" s="188">
        <f ca="1">OFFSET(환산공식!FW$15,$F275,0)</f>
        <v>0.38</v>
      </c>
      <c r="Z275" s="20">
        <f ca="1">OFFSET(환산공식!FX$15,$F275,0)</f>
        <v>0.44</v>
      </c>
      <c r="AA275" s="179">
        <f ca="1">OFFSET(환산공식!FY$15,$F275,0)</f>
        <v>0.19</v>
      </c>
      <c r="AB275" s="3"/>
      <c r="AD275">
        <f t="shared" ca="1" si="9"/>
        <v>6</v>
      </c>
      <c r="AF275" s="3"/>
      <c r="AG275" s="3"/>
      <c r="AH275" s="3"/>
    </row>
    <row r="276" spans="1:34">
      <c r="A276" s="198"/>
      <c r="B276" s="198"/>
      <c r="C276" s="198" t="s">
        <v>2597</v>
      </c>
      <c r="D276" s="235">
        <v>2167</v>
      </c>
      <c r="E276" s="195">
        <v>246</v>
      </c>
      <c r="F276" s="195">
        <v>246</v>
      </c>
      <c r="G276" s="239">
        <v>269</v>
      </c>
      <c r="H276" s="197" t="s">
        <v>81</v>
      </c>
      <c r="I276" s="242" t="s">
        <v>485</v>
      </c>
      <c r="J276" s="242" t="s">
        <v>487</v>
      </c>
      <c r="K276" s="195" t="s">
        <v>70</v>
      </c>
      <c r="L276" s="20" t="str">
        <f ca="1">IF(OFFSET(환산공식!$ED$15,$F276,0)=1,"O","X")</f>
        <v>X</v>
      </c>
      <c r="M276" s="188">
        <f ca="1">IFERROR(OFFSET(환산공식!DJ$15,$F276,0),"")</f>
        <v>20</v>
      </c>
      <c r="N276" s="20" t="str">
        <f ca="1">IFERROR(CONCATENATE(ROUND(OFFSET(환산공식!DK$15,$F276,0),1),"%"),"")</f>
        <v>100%</v>
      </c>
      <c r="O276" s="20">
        <f ca="1">IFERROR(OFFSET(환산공식!DL$15,$F276,0),"")</f>
        <v>0</v>
      </c>
      <c r="P276" s="188" t="str">
        <f t="shared" ca="1" si="8"/>
        <v>3% 이하</v>
      </c>
      <c r="Q276" s="194">
        <f ca="1">IFERROR(ROUND(OFFSET(환산공식!$FG$15,$F276,0),3),"")</f>
        <v>0</v>
      </c>
      <c r="R276" s="194">
        <f ca="1">OFFSET('배치점수 계산기'!H$10,$D276,0)</f>
        <v>82.805999999999997</v>
      </c>
      <c r="S276" s="194">
        <f ca="1">OFFSET('배치점수 계산기'!I$10,$D276,0)</f>
        <v>82.210999999999999</v>
      </c>
      <c r="T276" s="194">
        <f ca="1">OFFSET('배치점수 계산기'!J$10,$D276,0)</f>
        <v>81.393000000000001</v>
      </c>
      <c r="U276" s="194">
        <f ca="1">OFFSET('배치점수 계산기'!K$10,$D276,0)</f>
        <v>80.623999999999995</v>
      </c>
      <c r="V276" s="194">
        <f ca="1">OFFSET('배치점수 계산기'!L$10,$D276,0)</f>
        <v>79.471999999999994</v>
      </c>
      <c r="W276" s="186" t="str">
        <f ca="1">OFFSET('배치점수 계산기'!M$10,$D276,0)</f>
        <v>백분위</v>
      </c>
      <c r="X276" s="184" t="str">
        <f ca="1">OFFSET('배치점수 계산기'!N$10,$D276,0)</f>
        <v>백분위</v>
      </c>
      <c r="Y276" s="188">
        <f ca="1">OFFSET(환산공식!FW$15,$F276,0)</f>
        <v>0.38</v>
      </c>
      <c r="Z276" s="20">
        <f ca="1">OFFSET(환산공식!FX$15,$F276,0)</f>
        <v>0.44</v>
      </c>
      <c r="AA276" s="179">
        <f ca="1">OFFSET(환산공식!FY$15,$F276,0)</f>
        <v>0.19</v>
      </c>
      <c r="AB276" s="3"/>
      <c r="AD276">
        <f t="shared" ca="1" si="9"/>
        <v>6</v>
      </c>
      <c r="AF276" s="3"/>
      <c r="AG276" s="3"/>
      <c r="AH276" s="3"/>
    </row>
    <row r="277" spans="1:34">
      <c r="A277" s="198"/>
      <c r="B277" s="198"/>
      <c r="C277" s="198" t="s">
        <v>2598</v>
      </c>
      <c r="D277" s="235">
        <v>2168</v>
      </c>
      <c r="E277" s="195">
        <v>246</v>
      </c>
      <c r="F277" s="195">
        <v>246</v>
      </c>
      <c r="G277" s="239">
        <v>270</v>
      </c>
      <c r="H277" s="197" t="s">
        <v>81</v>
      </c>
      <c r="I277" s="242" t="s">
        <v>485</v>
      </c>
      <c r="J277" s="242" t="s">
        <v>566</v>
      </c>
      <c r="K277" s="195" t="s">
        <v>70</v>
      </c>
      <c r="L277" s="20" t="str">
        <f ca="1">IF(OFFSET(환산공식!$ED$15,$F277,0)=1,"O","X")</f>
        <v>X</v>
      </c>
      <c r="M277" s="188">
        <f ca="1">IFERROR(OFFSET(환산공식!DJ$15,$F277,0),"")</f>
        <v>20</v>
      </c>
      <c r="N277" s="20" t="str">
        <f ca="1">IFERROR(CONCATENATE(ROUND(OFFSET(환산공식!DK$15,$F277,0),1),"%"),"")</f>
        <v>100%</v>
      </c>
      <c r="O277" s="20">
        <f ca="1">IFERROR(OFFSET(환산공식!DL$15,$F277,0),"")</f>
        <v>0</v>
      </c>
      <c r="P277" s="188" t="str">
        <f t="shared" ca="1" si="8"/>
        <v>3% 이하</v>
      </c>
      <c r="Q277" s="194">
        <f ca="1">IFERROR(ROUND(OFFSET(환산공식!$FG$15,$F277,0),3),"")</f>
        <v>0</v>
      </c>
      <c r="R277" s="194">
        <f ca="1">OFFSET('배치점수 계산기'!H$10,$D277,0)</f>
        <v>82.835999999999999</v>
      </c>
      <c r="S277" s="194">
        <f ca="1">OFFSET('배치점수 계산기'!I$10,$D277,0)</f>
        <v>82.188999999999993</v>
      </c>
      <c r="T277" s="194">
        <f ca="1">OFFSET('배치점수 계산기'!J$10,$D277,0)</f>
        <v>81.275999999999996</v>
      </c>
      <c r="U277" s="194">
        <f ca="1">OFFSET('배치점수 계산기'!K$10,$D277,0)</f>
        <v>80.623999999999995</v>
      </c>
      <c r="V277" s="194">
        <f ca="1">OFFSET('배치점수 계산기'!L$10,$D277,0)</f>
        <v>79.992000000000004</v>
      </c>
      <c r="W277" s="186" t="str">
        <f ca="1">OFFSET('배치점수 계산기'!M$10,$D277,0)</f>
        <v>백분위</v>
      </c>
      <c r="X277" s="184" t="str">
        <f ca="1">OFFSET('배치점수 계산기'!N$10,$D277,0)</f>
        <v>백분위</v>
      </c>
      <c r="Y277" s="188">
        <f ca="1">OFFSET(환산공식!FW$15,$F277,0)</f>
        <v>0.38</v>
      </c>
      <c r="Z277" s="20">
        <f ca="1">OFFSET(환산공식!FX$15,$F277,0)</f>
        <v>0.44</v>
      </c>
      <c r="AA277" s="179">
        <f ca="1">OFFSET(환산공식!FY$15,$F277,0)</f>
        <v>0.19</v>
      </c>
      <c r="AB277" s="3"/>
      <c r="AD277">
        <f t="shared" ca="1" si="9"/>
        <v>6</v>
      </c>
      <c r="AF277" s="3"/>
      <c r="AG277" s="3"/>
      <c r="AH277" s="3"/>
    </row>
    <row r="278" spans="1:34">
      <c r="A278" s="198"/>
      <c r="B278" s="198"/>
      <c r="C278" s="198" t="s">
        <v>2599</v>
      </c>
      <c r="D278" s="235">
        <v>2169</v>
      </c>
      <c r="E278" s="195">
        <v>246</v>
      </c>
      <c r="F278" s="195">
        <v>246</v>
      </c>
      <c r="G278" s="239">
        <v>271</v>
      </c>
      <c r="H278" s="197" t="s">
        <v>81</v>
      </c>
      <c r="I278" s="242" t="s">
        <v>485</v>
      </c>
      <c r="J278" s="242" t="s">
        <v>9439</v>
      </c>
      <c r="K278" s="195" t="s">
        <v>70</v>
      </c>
      <c r="L278" s="20" t="str">
        <f ca="1">IF(OFFSET(환산공식!$ED$15,$F278,0)=1,"O","X")</f>
        <v>X</v>
      </c>
      <c r="M278" s="188">
        <f ca="1">IFERROR(OFFSET(환산공식!DJ$15,$F278,0),"")</f>
        <v>20</v>
      </c>
      <c r="N278" s="20" t="str">
        <f ca="1">IFERROR(CONCATENATE(ROUND(OFFSET(환산공식!DK$15,$F278,0),1),"%"),"")</f>
        <v>100%</v>
      </c>
      <c r="O278" s="20">
        <f ca="1">IFERROR(OFFSET(환산공식!DL$15,$F278,0),"")</f>
        <v>0</v>
      </c>
      <c r="P278" s="188" t="str">
        <f t="shared" ca="1" si="8"/>
        <v>3% 이하</v>
      </c>
      <c r="Q278" s="194">
        <f ca="1">IFERROR(ROUND(OFFSET(환산공식!$FG$15,$F278,0),3),"")</f>
        <v>0</v>
      </c>
      <c r="R278" s="194">
        <f ca="1">OFFSET('배치점수 계산기'!H$10,$D278,0)</f>
        <v>82.483000000000004</v>
      </c>
      <c r="S278" s="194">
        <f ca="1">OFFSET('배치점수 계산기'!I$10,$D278,0)</f>
        <v>81.87</v>
      </c>
      <c r="T278" s="194">
        <f ca="1">OFFSET('배치점수 계산기'!J$10,$D278,0)</f>
        <v>81.078000000000003</v>
      </c>
      <c r="U278" s="194">
        <f ca="1">OFFSET('배치점수 계산기'!K$10,$D278,0)</f>
        <v>80.334000000000003</v>
      </c>
      <c r="V278" s="194">
        <f ca="1">OFFSET('배치점수 계산기'!L$10,$D278,0)</f>
        <v>79.200999999999993</v>
      </c>
      <c r="W278" s="186" t="str">
        <f ca="1">OFFSET('배치점수 계산기'!M$10,$D278,0)</f>
        <v>백분위</v>
      </c>
      <c r="X278" s="184" t="str">
        <f ca="1">OFFSET('배치점수 계산기'!N$10,$D278,0)</f>
        <v>백분위</v>
      </c>
      <c r="Y278" s="188">
        <f ca="1">OFFSET(환산공식!FW$15,$F278,0)</f>
        <v>0.38</v>
      </c>
      <c r="Z278" s="20">
        <f ca="1">OFFSET(환산공식!FX$15,$F278,0)</f>
        <v>0.44</v>
      </c>
      <c r="AA278" s="179">
        <f ca="1">OFFSET(환산공식!FY$15,$F278,0)</f>
        <v>0.19</v>
      </c>
      <c r="AB278" s="3"/>
      <c r="AD278">
        <f t="shared" ca="1" si="9"/>
        <v>6</v>
      </c>
      <c r="AF278" s="3"/>
      <c r="AG278" s="3"/>
      <c r="AH278" s="3"/>
    </row>
    <row r="279" spans="1:34">
      <c r="A279" s="198"/>
      <c r="B279" s="198"/>
      <c r="C279" s="198" t="s">
        <v>2600</v>
      </c>
      <c r="D279" s="235">
        <v>2170</v>
      </c>
      <c r="E279" s="195">
        <v>246</v>
      </c>
      <c r="F279" s="195">
        <v>246</v>
      </c>
      <c r="G279" s="239">
        <v>272</v>
      </c>
      <c r="H279" s="197" t="s">
        <v>81</v>
      </c>
      <c r="I279" s="242" t="s">
        <v>485</v>
      </c>
      <c r="J279" s="242" t="s">
        <v>548</v>
      </c>
      <c r="K279" s="195" t="s">
        <v>70</v>
      </c>
      <c r="L279" s="20" t="str">
        <f ca="1">IF(OFFSET(환산공식!$ED$15,$F279,0)=1,"O","X")</f>
        <v>X</v>
      </c>
      <c r="M279" s="188">
        <f ca="1">IFERROR(OFFSET(환산공식!DJ$15,$F279,0),"")</f>
        <v>20</v>
      </c>
      <c r="N279" s="20" t="str">
        <f ca="1">IFERROR(CONCATENATE(ROUND(OFFSET(환산공식!DK$15,$F279,0),1),"%"),"")</f>
        <v>100%</v>
      </c>
      <c r="O279" s="20">
        <f ca="1">IFERROR(OFFSET(환산공식!DL$15,$F279,0),"")</f>
        <v>0</v>
      </c>
      <c r="P279" s="188" t="str">
        <f t="shared" ca="1" si="8"/>
        <v>3% 이하</v>
      </c>
      <c r="Q279" s="194">
        <f ca="1">IFERROR(ROUND(OFFSET(환산공식!$FG$15,$F279,0),3),"")</f>
        <v>0</v>
      </c>
      <c r="R279" s="194">
        <f ca="1">OFFSET('배치점수 계산기'!H$10,$D279,0)</f>
        <v>82.355999999999995</v>
      </c>
      <c r="S279" s="194">
        <f ca="1">OFFSET('배치점수 계산기'!I$10,$D279,0)</f>
        <v>81.734999999999999</v>
      </c>
      <c r="T279" s="194">
        <f ca="1">OFFSET('배치점수 계산기'!J$10,$D279,0)</f>
        <v>80.903999999999996</v>
      </c>
      <c r="U279" s="194">
        <f ca="1">OFFSET('배치점수 계산기'!K$10,$D279,0)</f>
        <v>80.132000000000005</v>
      </c>
      <c r="V279" s="194">
        <f ca="1">OFFSET('배치점수 계산기'!L$10,$D279,0)</f>
        <v>79.010000000000005</v>
      </c>
      <c r="W279" s="186" t="str">
        <f ca="1">OFFSET('배치점수 계산기'!M$10,$D279,0)</f>
        <v>백분위</v>
      </c>
      <c r="X279" s="184" t="str">
        <f ca="1">OFFSET('배치점수 계산기'!N$10,$D279,0)</f>
        <v>백분위</v>
      </c>
      <c r="Y279" s="188">
        <f ca="1">OFFSET(환산공식!FW$15,$F279,0)</f>
        <v>0.38</v>
      </c>
      <c r="Z279" s="20">
        <f ca="1">OFFSET(환산공식!FX$15,$F279,0)</f>
        <v>0.44</v>
      </c>
      <c r="AA279" s="179">
        <f ca="1">OFFSET(환산공식!FY$15,$F279,0)</f>
        <v>0.19</v>
      </c>
      <c r="AB279" s="3"/>
      <c r="AD279">
        <f t="shared" ca="1" si="9"/>
        <v>6</v>
      </c>
      <c r="AF279" s="3"/>
      <c r="AG279" s="3"/>
      <c r="AH279" s="3"/>
    </row>
    <row r="280" spans="1:34">
      <c r="A280" s="198"/>
      <c r="B280" s="198"/>
      <c r="C280" s="198" t="s">
        <v>2601</v>
      </c>
      <c r="D280" s="235">
        <v>2171</v>
      </c>
      <c r="E280" s="195">
        <v>246</v>
      </c>
      <c r="F280" s="195">
        <v>246</v>
      </c>
      <c r="G280" s="239">
        <v>273</v>
      </c>
      <c r="H280" s="197" t="s">
        <v>81</v>
      </c>
      <c r="I280" s="242" t="s">
        <v>485</v>
      </c>
      <c r="J280" s="242" t="s">
        <v>555</v>
      </c>
      <c r="K280" s="195" t="s">
        <v>70</v>
      </c>
      <c r="L280" s="20" t="str">
        <f ca="1">IF(OFFSET(환산공식!$ED$15,$F280,0)=1,"O","X")</f>
        <v>X</v>
      </c>
      <c r="M280" s="188">
        <f ca="1">IFERROR(OFFSET(환산공식!DJ$15,$F280,0),"")</f>
        <v>20</v>
      </c>
      <c r="N280" s="20" t="str">
        <f ca="1">IFERROR(CONCATENATE(ROUND(OFFSET(환산공식!DK$15,$F280,0),1),"%"),"")</f>
        <v>100%</v>
      </c>
      <c r="O280" s="20">
        <f ca="1">IFERROR(OFFSET(환산공식!DL$15,$F280,0),"")</f>
        <v>0</v>
      </c>
      <c r="P280" s="188" t="str">
        <f t="shared" ca="1" si="8"/>
        <v>3% 이하</v>
      </c>
      <c r="Q280" s="194">
        <f ca="1">IFERROR(ROUND(OFFSET(환산공식!$FG$15,$F280,0),3),"")</f>
        <v>0</v>
      </c>
      <c r="R280" s="194">
        <f ca="1">OFFSET('배치점수 계산기'!H$10,$D280,0)</f>
        <v>82.210999999999999</v>
      </c>
      <c r="S280" s="194">
        <f ca="1">OFFSET('배치점수 계산기'!I$10,$D280,0)</f>
        <v>81.665999999999997</v>
      </c>
      <c r="T280" s="194">
        <f ca="1">OFFSET('배치점수 계산기'!J$10,$D280,0)</f>
        <v>80.903999999999996</v>
      </c>
      <c r="U280" s="194">
        <f ca="1">OFFSET('배치점수 계산기'!K$10,$D280,0)</f>
        <v>80.245000000000005</v>
      </c>
      <c r="V280" s="194">
        <f ca="1">OFFSET('배치점수 계산기'!L$10,$D280,0)</f>
        <v>79.207999999999998</v>
      </c>
      <c r="W280" s="186" t="str">
        <f ca="1">OFFSET('배치점수 계산기'!M$10,$D280,0)</f>
        <v>백분위</v>
      </c>
      <c r="X280" s="184" t="str">
        <f ca="1">OFFSET('배치점수 계산기'!N$10,$D280,0)</f>
        <v>백분위</v>
      </c>
      <c r="Y280" s="188">
        <f ca="1">OFFSET(환산공식!FW$15,$F280,0)</f>
        <v>0.38</v>
      </c>
      <c r="Z280" s="20">
        <f ca="1">OFFSET(환산공식!FX$15,$F280,0)</f>
        <v>0.44</v>
      </c>
      <c r="AA280" s="179">
        <f ca="1">OFFSET(환산공식!FY$15,$F280,0)</f>
        <v>0.19</v>
      </c>
      <c r="AB280" s="3"/>
      <c r="AD280">
        <f t="shared" ca="1" si="9"/>
        <v>6</v>
      </c>
      <c r="AF280" s="3"/>
      <c r="AG280" s="3"/>
      <c r="AH280" s="3"/>
    </row>
    <row r="281" spans="1:34">
      <c r="A281" s="198"/>
      <c r="B281" s="198"/>
      <c r="C281" s="198" t="s">
        <v>2602</v>
      </c>
      <c r="D281" s="235">
        <v>2172</v>
      </c>
      <c r="E281" s="195">
        <v>246</v>
      </c>
      <c r="F281" s="195">
        <v>246</v>
      </c>
      <c r="G281" s="239">
        <v>274</v>
      </c>
      <c r="H281" s="197" t="s">
        <v>81</v>
      </c>
      <c r="I281" s="242" t="s">
        <v>485</v>
      </c>
      <c r="J281" s="242" t="s">
        <v>12065</v>
      </c>
      <c r="K281" s="195" t="s">
        <v>70</v>
      </c>
      <c r="L281" s="20" t="str">
        <f ca="1">IF(OFFSET(환산공식!$ED$15,$F281,0)=1,"O","X")</f>
        <v>X</v>
      </c>
      <c r="M281" s="188">
        <f ca="1">IFERROR(OFFSET(환산공식!DJ$15,$F281,0),"")</f>
        <v>20</v>
      </c>
      <c r="N281" s="20" t="str">
        <f ca="1">IFERROR(CONCATENATE(ROUND(OFFSET(환산공식!DK$15,$F281,0),1),"%"),"")</f>
        <v>100%</v>
      </c>
      <c r="O281" s="20">
        <f ca="1">IFERROR(OFFSET(환산공식!DL$15,$F281,0),"")</f>
        <v>0</v>
      </c>
      <c r="P281" s="188" t="str">
        <f t="shared" ca="1" si="8"/>
        <v>3% 이하</v>
      </c>
      <c r="Q281" s="194">
        <f ca="1">IFERROR(ROUND(OFFSET(환산공식!$FG$15,$F281,0),3),"")</f>
        <v>0</v>
      </c>
      <c r="R281" s="194">
        <f ca="1">OFFSET('배치점수 계산기'!H$10,$D281,0)</f>
        <v>82.137</v>
      </c>
      <c r="S281" s="194">
        <f ca="1">OFFSET('배치점수 계산기'!I$10,$D281,0)</f>
        <v>81.590999999999994</v>
      </c>
      <c r="T281" s="194">
        <f ca="1">OFFSET('배치점수 계산기'!J$10,$D281,0)</f>
        <v>80.811999999999998</v>
      </c>
      <c r="U281" s="194">
        <f ca="1">OFFSET('배치점수 계산기'!K$10,$D281,0)</f>
        <v>79.900999999999996</v>
      </c>
      <c r="V281" s="194">
        <f ca="1">OFFSET('배치점수 계산기'!L$10,$D281,0)</f>
        <v>78.596000000000004</v>
      </c>
      <c r="W281" s="186" t="str">
        <f ca="1">OFFSET('배치점수 계산기'!M$10,$D281,0)</f>
        <v>백분위</v>
      </c>
      <c r="X281" s="184" t="str">
        <f ca="1">OFFSET('배치점수 계산기'!N$10,$D281,0)</f>
        <v>백분위</v>
      </c>
      <c r="Y281" s="188">
        <f ca="1">OFFSET(환산공식!FW$15,$F281,0)</f>
        <v>0.38</v>
      </c>
      <c r="Z281" s="20">
        <f ca="1">OFFSET(환산공식!FX$15,$F281,0)</f>
        <v>0.44</v>
      </c>
      <c r="AA281" s="179">
        <f ca="1">OFFSET(환산공식!FY$15,$F281,0)</f>
        <v>0.19</v>
      </c>
      <c r="AB281" s="3"/>
      <c r="AD281">
        <f t="shared" ca="1" si="9"/>
        <v>6</v>
      </c>
      <c r="AF281" s="3"/>
      <c r="AG281" s="3"/>
      <c r="AH281" s="3"/>
    </row>
    <row r="282" spans="1:34">
      <c r="A282" s="198"/>
      <c r="B282" s="198"/>
      <c r="C282" s="198" t="s">
        <v>2603</v>
      </c>
      <c r="D282" s="235">
        <v>2173</v>
      </c>
      <c r="E282" s="195">
        <v>247</v>
      </c>
      <c r="F282" s="195">
        <v>247</v>
      </c>
      <c r="G282" s="239">
        <v>275</v>
      </c>
      <c r="H282" s="197" t="s">
        <v>81</v>
      </c>
      <c r="I282" s="242" t="s">
        <v>485</v>
      </c>
      <c r="J282" s="242" t="s">
        <v>488</v>
      </c>
      <c r="K282" s="195" t="s">
        <v>71</v>
      </c>
      <c r="L282" s="20" t="str">
        <f ca="1">IF(OFFSET(환산공식!$ED$15,$F282,0)=1,"O","X")</f>
        <v>X</v>
      </c>
      <c r="M282" s="188">
        <f ca="1">IFERROR(OFFSET(환산공식!DJ$15,$F282,0),"")</f>
        <v>20</v>
      </c>
      <c r="N282" s="20" t="str">
        <f ca="1">IFERROR(CONCATENATE(ROUND(OFFSET(환산공식!DK$15,$F282,0),1),"%"),"")</f>
        <v>100%</v>
      </c>
      <c r="O282" s="20">
        <f ca="1">IFERROR(OFFSET(환산공식!DL$15,$F282,0),"")</f>
        <v>0</v>
      </c>
      <c r="P282" s="188" t="str">
        <f t="shared" ca="1" si="8"/>
        <v>3% 이하</v>
      </c>
      <c r="Q282" s="194">
        <f ca="1">IFERROR(ROUND(OFFSET(환산공식!$FG$15,$F282,0),3),"")</f>
        <v>0</v>
      </c>
      <c r="R282" s="194">
        <f ca="1">OFFSET('배치점수 계산기'!H$10,$D282,0)</f>
        <v>83.759</v>
      </c>
      <c r="S282" s="194">
        <f ca="1">OFFSET('배치점수 계산기'!I$10,$D282,0)</f>
        <v>83.278000000000006</v>
      </c>
      <c r="T282" s="194">
        <f ca="1">OFFSET('배치점수 계산기'!J$10,$D282,0)</f>
        <v>82.596000000000004</v>
      </c>
      <c r="U282" s="194">
        <f ca="1">OFFSET('배치점수 계산기'!K$10,$D282,0)</f>
        <v>81.822999999999993</v>
      </c>
      <c r="V282" s="194">
        <f ca="1">OFFSET('배치점수 계산기'!L$10,$D282,0)</f>
        <v>80.841999999999999</v>
      </c>
      <c r="W282" s="186" t="str">
        <f ca="1">OFFSET('배치점수 계산기'!M$10,$D282,0)</f>
        <v>백분위</v>
      </c>
      <c r="X282" s="184" t="str">
        <f ca="1">OFFSET('배치점수 계산기'!N$10,$D282,0)</f>
        <v>백분위</v>
      </c>
      <c r="Y282" s="188">
        <f ca="1">OFFSET(환산공식!FW$15,$F282,0)</f>
        <v>0.44</v>
      </c>
      <c r="Z282" s="20">
        <f ca="1">OFFSET(환산공식!FX$15,$F282,0)</f>
        <v>0.38</v>
      </c>
      <c r="AA282" s="179">
        <f ca="1">OFFSET(환산공식!FY$15,$F282,0)</f>
        <v>0.19</v>
      </c>
      <c r="AB282" s="3"/>
      <c r="AD282">
        <f t="shared" ca="1" si="9"/>
        <v>6</v>
      </c>
      <c r="AF282" s="3"/>
      <c r="AG282" s="3"/>
      <c r="AH282" s="3"/>
    </row>
    <row r="283" spans="1:34">
      <c r="A283" s="198"/>
      <c r="B283" s="198"/>
      <c r="C283" s="198" t="s">
        <v>2604</v>
      </c>
      <c r="D283" s="235">
        <v>2174</v>
      </c>
      <c r="E283" s="195">
        <v>247</v>
      </c>
      <c r="F283" s="195">
        <v>247</v>
      </c>
      <c r="G283" s="239">
        <v>276</v>
      </c>
      <c r="H283" s="197" t="s">
        <v>81</v>
      </c>
      <c r="I283" s="242" t="s">
        <v>485</v>
      </c>
      <c r="J283" s="242" t="s">
        <v>11796</v>
      </c>
      <c r="K283" s="195" t="s">
        <v>71</v>
      </c>
      <c r="L283" s="20" t="str">
        <f ca="1">IF(OFFSET(환산공식!$ED$15,$F283,0)=1,"O","X")</f>
        <v>X</v>
      </c>
      <c r="M283" s="188">
        <f ca="1">IFERROR(OFFSET(환산공식!DJ$15,$F283,0),"")</f>
        <v>20</v>
      </c>
      <c r="N283" s="20" t="str">
        <f ca="1">IFERROR(CONCATENATE(ROUND(OFFSET(환산공식!DK$15,$F283,0),1),"%"),"")</f>
        <v>100%</v>
      </c>
      <c r="O283" s="20">
        <f ca="1">IFERROR(OFFSET(환산공식!DL$15,$F283,0),"")</f>
        <v>0</v>
      </c>
      <c r="P283" s="188" t="str">
        <f t="shared" ca="1" si="8"/>
        <v>3% 이하</v>
      </c>
      <c r="Q283" s="194">
        <f ca="1">IFERROR(ROUND(OFFSET(환산공식!$FG$15,$F283,0),3),"")</f>
        <v>0</v>
      </c>
      <c r="R283" s="194">
        <f ca="1">OFFSET('배치점수 계산기'!H$10,$D283,0)</f>
        <v>83.519000000000005</v>
      </c>
      <c r="S283" s="194">
        <f ca="1">OFFSET('배치점수 계산기'!I$10,$D283,0)</f>
        <v>82.899000000000001</v>
      </c>
      <c r="T283" s="194">
        <f ca="1">OFFSET('배치점수 계산기'!J$10,$D283,0)</f>
        <v>82.111000000000004</v>
      </c>
      <c r="U283" s="194">
        <f ca="1">OFFSET('배치점수 계산기'!K$10,$D283,0)</f>
        <v>81.373999999999995</v>
      </c>
      <c r="V283" s="194">
        <f ca="1">OFFSET('배치점수 계산기'!L$10,$D283,0)</f>
        <v>80.456000000000003</v>
      </c>
      <c r="W283" s="186" t="str">
        <f ca="1">OFFSET('배치점수 계산기'!M$10,$D283,0)</f>
        <v>백분위</v>
      </c>
      <c r="X283" s="184" t="str">
        <f ca="1">OFFSET('배치점수 계산기'!N$10,$D283,0)</f>
        <v>백분위</v>
      </c>
      <c r="Y283" s="188">
        <f ca="1">OFFSET(환산공식!FW$15,$F283,0)</f>
        <v>0.44</v>
      </c>
      <c r="Z283" s="20">
        <f ca="1">OFFSET(환산공식!FX$15,$F283,0)</f>
        <v>0.38</v>
      </c>
      <c r="AA283" s="179">
        <f ca="1">OFFSET(환산공식!FY$15,$F283,0)</f>
        <v>0.19</v>
      </c>
      <c r="AB283" s="3"/>
      <c r="AD283">
        <f t="shared" ca="1" si="9"/>
        <v>6</v>
      </c>
      <c r="AF283" s="3"/>
      <c r="AG283" s="3"/>
      <c r="AH283" s="3"/>
    </row>
    <row r="284" spans="1:34">
      <c r="A284" s="198"/>
      <c r="B284" s="198"/>
      <c r="C284" s="198" t="s">
        <v>2605</v>
      </c>
      <c r="D284" s="235">
        <v>2175</v>
      </c>
      <c r="E284" s="195">
        <v>247</v>
      </c>
      <c r="F284" s="195">
        <v>247</v>
      </c>
      <c r="G284" s="239">
        <v>277</v>
      </c>
      <c r="H284" s="197" t="s">
        <v>81</v>
      </c>
      <c r="I284" s="242" t="s">
        <v>485</v>
      </c>
      <c r="J284" s="242" t="s">
        <v>11830</v>
      </c>
      <c r="K284" s="195" t="s">
        <v>71</v>
      </c>
      <c r="L284" s="20" t="str">
        <f ca="1">IF(OFFSET(환산공식!$ED$15,$F284,0)=1,"O","X")</f>
        <v>X</v>
      </c>
      <c r="M284" s="188">
        <f ca="1">IFERROR(OFFSET(환산공식!DJ$15,$F284,0),"")</f>
        <v>20</v>
      </c>
      <c r="N284" s="20" t="str">
        <f ca="1">IFERROR(CONCATENATE(ROUND(OFFSET(환산공식!DK$15,$F284,0),1),"%"),"")</f>
        <v>100%</v>
      </c>
      <c r="O284" s="20">
        <f ca="1">IFERROR(OFFSET(환산공식!DL$15,$F284,0),"")</f>
        <v>0</v>
      </c>
      <c r="P284" s="188" t="str">
        <f t="shared" ca="1" si="8"/>
        <v>3% 이하</v>
      </c>
      <c r="Q284" s="194">
        <f ca="1">IFERROR(ROUND(OFFSET(환산공식!$FG$15,$F284,0),3),"")</f>
        <v>0</v>
      </c>
      <c r="R284" s="194">
        <f ca="1">OFFSET('배치점수 계산기'!H$10,$D284,0)</f>
        <v>83.278000000000006</v>
      </c>
      <c r="S284" s="194">
        <f ca="1">OFFSET('배치점수 계산기'!I$10,$D284,0)</f>
        <v>82.738</v>
      </c>
      <c r="T284" s="194">
        <f ca="1">OFFSET('배치점수 계산기'!J$10,$D284,0)</f>
        <v>81.936000000000007</v>
      </c>
      <c r="U284" s="194">
        <f ca="1">OFFSET('배치점수 계산기'!K$10,$D284,0)</f>
        <v>81.063000000000002</v>
      </c>
      <c r="V284" s="194">
        <f ca="1">OFFSET('배치점수 계산기'!L$10,$D284,0)</f>
        <v>80.078000000000003</v>
      </c>
      <c r="W284" s="186" t="str">
        <f ca="1">OFFSET('배치점수 계산기'!M$10,$D284,0)</f>
        <v>백분위</v>
      </c>
      <c r="X284" s="184" t="str">
        <f ca="1">OFFSET('배치점수 계산기'!N$10,$D284,0)</f>
        <v>백분위</v>
      </c>
      <c r="Y284" s="188">
        <f ca="1">OFFSET(환산공식!FW$15,$F284,0)</f>
        <v>0.44</v>
      </c>
      <c r="Z284" s="20">
        <f ca="1">OFFSET(환산공식!FX$15,$F284,0)</f>
        <v>0.38</v>
      </c>
      <c r="AA284" s="179">
        <f ca="1">OFFSET(환산공식!FY$15,$F284,0)</f>
        <v>0.19</v>
      </c>
      <c r="AB284" s="3"/>
      <c r="AD284">
        <f t="shared" ca="1" si="9"/>
        <v>6</v>
      </c>
      <c r="AF284" s="3"/>
      <c r="AG284" s="3"/>
      <c r="AH284" s="3"/>
    </row>
    <row r="285" spans="1:34">
      <c r="A285" s="198"/>
      <c r="B285" s="198"/>
      <c r="C285" s="198" t="s">
        <v>2606</v>
      </c>
      <c r="D285" s="235">
        <v>2176</v>
      </c>
      <c r="E285" s="195">
        <v>247</v>
      </c>
      <c r="F285" s="195">
        <v>247</v>
      </c>
      <c r="G285" s="239">
        <v>278</v>
      </c>
      <c r="H285" s="197" t="s">
        <v>81</v>
      </c>
      <c r="I285" s="242" t="s">
        <v>485</v>
      </c>
      <c r="J285" s="242" t="s">
        <v>11859</v>
      </c>
      <c r="K285" s="195" t="s">
        <v>71</v>
      </c>
      <c r="L285" s="20" t="str">
        <f ca="1">IF(OFFSET(환산공식!$ED$15,$F285,0)=1,"O","X")</f>
        <v>X</v>
      </c>
      <c r="M285" s="188">
        <f ca="1">IFERROR(OFFSET(환산공식!DJ$15,$F285,0),"")</f>
        <v>20</v>
      </c>
      <c r="N285" s="20" t="str">
        <f ca="1">IFERROR(CONCATENATE(ROUND(OFFSET(환산공식!DK$15,$F285,0),1),"%"),"")</f>
        <v>100%</v>
      </c>
      <c r="O285" s="20">
        <f ca="1">IFERROR(OFFSET(환산공식!DL$15,$F285,0),"")</f>
        <v>0</v>
      </c>
      <c r="P285" s="188" t="str">
        <f t="shared" ca="1" si="8"/>
        <v>3% 이하</v>
      </c>
      <c r="Q285" s="194">
        <f ca="1">IFERROR(ROUND(OFFSET(환산공식!$FG$15,$F285,0),3),"")</f>
        <v>0</v>
      </c>
      <c r="R285" s="194">
        <f ca="1">OFFSET('배치점수 계산기'!H$10,$D285,0)</f>
        <v>83.072000000000003</v>
      </c>
      <c r="S285" s="194">
        <f ca="1">OFFSET('배치점수 계산기'!I$10,$D285,0)</f>
        <v>82.596000000000004</v>
      </c>
      <c r="T285" s="194">
        <f ca="1">OFFSET('배치점수 계산기'!J$10,$D285,0)</f>
        <v>81.77</v>
      </c>
      <c r="U285" s="194">
        <f ca="1">OFFSET('배치점수 계산기'!K$10,$D285,0)</f>
        <v>80.986000000000004</v>
      </c>
      <c r="V285" s="194">
        <f ca="1">OFFSET('배치점수 계산기'!L$10,$D285,0)</f>
        <v>79.95</v>
      </c>
      <c r="W285" s="186" t="str">
        <f ca="1">OFFSET('배치점수 계산기'!M$10,$D285,0)</f>
        <v>백분위</v>
      </c>
      <c r="X285" s="184" t="str">
        <f ca="1">OFFSET('배치점수 계산기'!N$10,$D285,0)</f>
        <v>백분위</v>
      </c>
      <c r="Y285" s="188">
        <f ca="1">OFFSET(환산공식!FW$15,$F285,0)</f>
        <v>0.44</v>
      </c>
      <c r="Z285" s="20">
        <f ca="1">OFFSET(환산공식!FX$15,$F285,0)</f>
        <v>0.38</v>
      </c>
      <c r="AA285" s="179">
        <f ca="1">OFFSET(환산공식!FY$15,$F285,0)</f>
        <v>0.19</v>
      </c>
      <c r="AB285" s="3"/>
      <c r="AD285">
        <f t="shared" ca="1" si="9"/>
        <v>6</v>
      </c>
      <c r="AF285" s="3"/>
      <c r="AG285" s="3"/>
      <c r="AH285" s="3"/>
    </row>
    <row r="286" spans="1:34">
      <c r="A286" s="198"/>
      <c r="B286" s="198"/>
      <c r="C286" s="198" t="s">
        <v>2607</v>
      </c>
      <c r="D286" s="235">
        <v>2177</v>
      </c>
      <c r="E286" s="195">
        <v>247</v>
      </c>
      <c r="F286" s="195">
        <v>247</v>
      </c>
      <c r="G286" s="239">
        <v>279</v>
      </c>
      <c r="H286" s="197" t="s">
        <v>81</v>
      </c>
      <c r="I286" s="242" t="s">
        <v>485</v>
      </c>
      <c r="J286" s="242" t="s">
        <v>9835</v>
      </c>
      <c r="K286" s="195" t="s">
        <v>71</v>
      </c>
      <c r="L286" s="20" t="str">
        <f ca="1">IF(OFFSET(환산공식!$ED$15,$F286,0)=1,"O","X")</f>
        <v>X</v>
      </c>
      <c r="M286" s="188">
        <f ca="1">IFERROR(OFFSET(환산공식!DJ$15,$F286,0),"")</f>
        <v>20</v>
      </c>
      <c r="N286" s="20" t="str">
        <f ca="1">IFERROR(CONCATENATE(ROUND(OFFSET(환산공식!DK$15,$F286,0),1),"%"),"")</f>
        <v>100%</v>
      </c>
      <c r="O286" s="20">
        <f ca="1">IFERROR(OFFSET(환산공식!DL$15,$F286,0),"")</f>
        <v>0</v>
      </c>
      <c r="P286" s="188" t="str">
        <f t="shared" ca="1" si="8"/>
        <v>3% 이하</v>
      </c>
      <c r="Q286" s="194">
        <f ca="1">IFERROR(ROUND(OFFSET(환산공식!$FG$15,$F286,0),3),"")</f>
        <v>0</v>
      </c>
      <c r="R286" s="194">
        <f ca="1">OFFSET('배치점수 계산기'!H$10,$D286,0)</f>
        <v>82.596000000000004</v>
      </c>
      <c r="S286" s="194">
        <f ca="1">OFFSET('배치점수 계산기'!I$10,$D286,0)</f>
        <v>82.078999999999994</v>
      </c>
      <c r="T286" s="194">
        <f ca="1">OFFSET('배치점수 계산기'!J$10,$D286,0)</f>
        <v>81.322000000000003</v>
      </c>
      <c r="U286" s="194">
        <f ca="1">OFFSET('배치점수 계산기'!K$10,$D286,0)</f>
        <v>80.635000000000005</v>
      </c>
      <c r="V286" s="194">
        <f ca="1">OFFSET('배치점수 계산기'!L$10,$D286,0)</f>
        <v>79.575999999999993</v>
      </c>
      <c r="W286" s="186" t="str">
        <f ca="1">OFFSET('배치점수 계산기'!M$10,$D286,0)</f>
        <v>백분위</v>
      </c>
      <c r="X286" s="184" t="str">
        <f ca="1">OFFSET('배치점수 계산기'!N$10,$D286,0)</f>
        <v>백분위</v>
      </c>
      <c r="Y286" s="188">
        <f ca="1">OFFSET(환산공식!FW$15,$F286,0)</f>
        <v>0.44</v>
      </c>
      <c r="Z286" s="20">
        <f ca="1">OFFSET(환산공식!FX$15,$F286,0)</f>
        <v>0.38</v>
      </c>
      <c r="AA286" s="179">
        <f ca="1">OFFSET(환산공식!FY$15,$F286,0)</f>
        <v>0.19</v>
      </c>
      <c r="AB286" s="3"/>
      <c r="AD286">
        <f t="shared" ca="1" si="9"/>
        <v>6</v>
      </c>
      <c r="AF286" s="3"/>
      <c r="AG286" s="3"/>
      <c r="AH286" s="3"/>
    </row>
    <row r="287" spans="1:34">
      <c r="A287" s="198"/>
      <c r="B287" s="198"/>
      <c r="C287" s="198" t="s">
        <v>2608</v>
      </c>
      <c r="D287" s="235">
        <v>2178</v>
      </c>
      <c r="E287" s="195">
        <v>247</v>
      </c>
      <c r="F287" s="195">
        <v>247</v>
      </c>
      <c r="G287" s="239">
        <v>280</v>
      </c>
      <c r="H287" s="197" t="s">
        <v>81</v>
      </c>
      <c r="I287" s="242" t="s">
        <v>485</v>
      </c>
      <c r="J287" s="242" t="s">
        <v>11989</v>
      </c>
      <c r="K287" s="195" t="s">
        <v>71</v>
      </c>
      <c r="L287" s="20" t="str">
        <f ca="1">IF(OFFSET(환산공식!$ED$15,$F287,0)=1,"O","X")</f>
        <v>X</v>
      </c>
      <c r="M287" s="188">
        <f ca="1">IFERROR(OFFSET(환산공식!DJ$15,$F287,0),"")</f>
        <v>20</v>
      </c>
      <c r="N287" s="20" t="str">
        <f ca="1">IFERROR(CONCATENATE(ROUND(OFFSET(환산공식!DK$15,$F287,0),1),"%"),"")</f>
        <v>100%</v>
      </c>
      <c r="O287" s="20">
        <f ca="1">IFERROR(OFFSET(환산공식!DL$15,$F287,0),"")</f>
        <v>0</v>
      </c>
      <c r="P287" s="188" t="str">
        <f t="shared" ca="1" si="8"/>
        <v>3% 이하</v>
      </c>
      <c r="Q287" s="194">
        <f ca="1">IFERROR(ROUND(OFFSET(환산공식!$FG$15,$F287,0),3),"")</f>
        <v>0</v>
      </c>
      <c r="R287" s="194">
        <f ca="1">OFFSET('배치점수 계산기'!H$10,$D287,0)</f>
        <v>82.545000000000002</v>
      </c>
      <c r="S287" s="194">
        <f ca="1">OFFSET('배치점수 계산기'!I$10,$D287,0)</f>
        <v>82.049000000000007</v>
      </c>
      <c r="T287" s="194">
        <f ca="1">OFFSET('배치점수 계산기'!J$10,$D287,0)</f>
        <v>81.224000000000004</v>
      </c>
      <c r="U287" s="194">
        <f ca="1">OFFSET('배치점수 계산기'!K$10,$D287,0)</f>
        <v>80.506</v>
      </c>
      <c r="V287" s="194">
        <f ca="1">OFFSET('배치점수 계산기'!L$10,$D287,0)</f>
        <v>79.436000000000007</v>
      </c>
      <c r="W287" s="186" t="str">
        <f ca="1">OFFSET('배치점수 계산기'!M$10,$D287,0)</f>
        <v>백분위</v>
      </c>
      <c r="X287" s="184" t="str">
        <f ca="1">OFFSET('배치점수 계산기'!N$10,$D287,0)</f>
        <v>백분위</v>
      </c>
      <c r="Y287" s="188">
        <f ca="1">OFFSET(환산공식!FW$15,$F287,0)</f>
        <v>0.44</v>
      </c>
      <c r="Z287" s="20">
        <f ca="1">OFFSET(환산공식!FX$15,$F287,0)</f>
        <v>0.38</v>
      </c>
      <c r="AA287" s="179">
        <f ca="1">OFFSET(환산공식!FY$15,$F287,0)</f>
        <v>0.19</v>
      </c>
      <c r="AB287" s="3"/>
      <c r="AD287">
        <f t="shared" ca="1" si="9"/>
        <v>6</v>
      </c>
      <c r="AF287" s="3"/>
      <c r="AG287" s="3"/>
      <c r="AH287" s="3"/>
    </row>
    <row r="288" spans="1:34">
      <c r="A288" s="198"/>
      <c r="B288" s="198"/>
      <c r="C288" s="198" t="s">
        <v>2609</v>
      </c>
      <c r="D288" s="235">
        <v>2179</v>
      </c>
      <c r="E288" s="195">
        <v>247</v>
      </c>
      <c r="F288" s="195">
        <v>247</v>
      </c>
      <c r="G288" s="239">
        <v>281</v>
      </c>
      <c r="H288" s="197" t="s">
        <v>81</v>
      </c>
      <c r="I288" s="242" t="s">
        <v>485</v>
      </c>
      <c r="J288" s="242" t="s">
        <v>491</v>
      </c>
      <c r="K288" s="195" t="s">
        <v>71</v>
      </c>
      <c r="L288" s="20" t="str">
        <f ca="1">IF(OFFSET(환산공식!$ED$15,$F288,0)=1,"O","X")</f>
        <v>X</v>
      </c>
      <c r="M288" s="188">
        <f ca="1">IFERROR(OFFSET(환산공식!DJ$15,$F288,0),"")</f>
        <v>20</v>
      </c>
      <c r="N288" s="20" t="str">
        <f ca="1">IFERROR(CONCATENATE(ROUND(OFFSET(환산공식!DK$15,$F288,0),1),"%"),"")</f>
        <v>100%</v>
      </c>
      <c r="O288" s="20">
        <f ca="1">IFERROR(OFFSET(환산공식!DL$15,$F288,0),"")</f>
        <v>0</v>
      </c>
      <c r="P288" s="188" t="str">
        <f t="shared" ca="1" si="8"/>
        <v>3% 이하</v>
      </c>
      <c r="Q288" s="194">
        <f ca="1">IFERROR(ROUND(OFFSET(환산공식!$FG$15,$F288,0),3),"")</f>
        <v>0</v>
      </c>
      <c r="R288" s="194">
        <f ca="1">OFFSET('배치점수 계산기'!H$10,$D288,0)</f>
        <v>82.45</v>
      </c>
      <c r="S288" s="194">
        <f ca="1">OFFSET('배치점수 계산기'!I$10,$D288,0)</f>
        <v>81.980999999999995</v>
      </c>
      <c r="T288" s="194">
        <f ca="1">OFFSET('배치점수 계산기'!J$10,$D288,0)</f>
        <v>81.192999999999998</v>
      </c>
      <c r="U288" s="194">
        <f ca="1">OFFSET('배치점수 계산기'!K$10,$D288,0)</f>
        <v>80.456000000000003</v>
      </c>
      <c r="V288" s="194">
        <f ca="1">OFFSET('배치점수 계산기'!L$10,$D288,0)</f>
        <v>79.369</v>
      </c>
      <c r="W288" s="186" t="str">
        <f ca="1">OFFSET('배치점수 계산기'!M$10,$D288,0)</f>
        <v>백분위</v>
      </c>
      <c r="X288" s="184" t="str">
        <f ca="1">OFFSET('배치점수 계산기'!N$10,$D288,0)</f>
        <v>백분위</v>
      </c>
      <c r="Y288" s="188">
        <f ca="1">OFFSET(환산공식!FW$15,$F288,0)</f>
        <v>0.44</v>
      </c>
      <c r="Z288" s="20">
        <f ca="1">OFFSET(환산공식!FX$15,$F288,0)</f>
        <v>0.38</v>
      </c>
      <c r="AA288" s="179">
        <f ca="1">OFFSET(환산공식!FY$15,$F288,0)</f>
        <v>0.19</v>
      </c>
      <c r="AB288" s="3"/>
      <c r="AD288">
        <f t="shared" ca="1" si="9"/>
        <v>6</v>
      </c>
      <c r="AF288" s="3"/>
      <c r="AG288" s="3"/>
      <c r="AH288" s="3"/>
    </row>
    <row r="289" spans="1:34">
      <c r="A289" s="198"/>
      <c r="B289" s="198"/>
      <c r="C289" s="198" t="s">
        <v>2610</v>
      </c>
      <c r="D289" s="235">
        <v>2180</v>
      </c>
      <c r="E289" s="195">
        <v>247</v>
      </c>
      <c r="F289" s="195">
        <v>247</v>
      </c>
      <c r="G289" s="239">
        <v>282</v>
      </c>
      <c r="H289" s="197" t="s">
        <v>81</v>
      </c>
      <c r="I289" s="242" t="s">
        <v>485</v>
      </c>
      <c r="J289" s="242" t="s">
        <v>489</v>
      </c>
      <c r="K289" s="195" t="s">
        <v>71</v>
      </c>
      <c r="L289" s="20" t="str">
        <f ca="1">IF(OFFSET(환산공식!$ED$15,$F289,0)=1,"O","X")</f>
        <v>X</v>
      </c>
      <c r="M289" s="188">
        <f ca="1">IFERROR(OFFSET(환산공식!DJ$15,$F289,0),"")</f>
        <v>20</v>
      </c>
      <c r="N289" s="20" t="str">
        <f ca="1">IFERROR(CONCATENATE(ROUND(OFFSET(환산공식!DK$15,$F289,0),1),"%"),"")</f>
        <v>100%</v>
      </c>
      <c r="O289" s="20">
        <f ca="1">IFERROR(OFFSET(환산공식!DL$15,$F289,0),"")</f>
        <v>0</v>
      </c>
      <c r="P289" s="188" t="str">
        <f t="shared" ca="1" si="8"/>
        <v>3% 이하</v>
      </c>
      <c r="Q289" s="194">
        <f ca="1">IFERROR(ROUND(OFFSET(환산공식!$FG$15,$F289,0),3),"")</f>
        <v>0</v>
      </c>
      <c r="R289" s="194">
        <f ca="1">OFFSET('배치점수 계산기'!H$10,$D289,0)</f>
        <v>82.372</v>
      </c>
      <c r="S289" s="194">
        <f ca="1">OFFSET('배치점수 계산기'!I$10,$D289,0)</f>
        <v>81.837999999999994</v>
      </c>
      <c r="T289" s="194">
        <f ca="1">OFFSET('배치점수 계산기'!J$10,$D289,0)</f>
        <v>81.063000000000002</v>
      </c>
      <c r="U289" s="194">
        <f ca="1">OFFSET('배치점수 계산기'!K$10,$D289,0)</f>
        <v>80.456000000000003</v>
      </c>
      <c r="V289" s="194">
        <f ca="1">OFFSET('배치점수 계산기'!L$10,$D289,0)</f>
        <v>79.984999999999999</v>
      </c>
      <c r="W289" s="186" t="str">
        <f ca="1">OFFSET('배치점수 계산기'!M$10,$D289,0)</f>
        <v>백분위</v>
      </c>
      <c r="X289" s="184" t="str">
        <f ca="1">OFFSET('배치점수 계산기'!N$10,$D289,0)</f>
        <v>백분위</v>
      </c>
      <c r="Y289" s="188">
        <f ca="1">OFFSET(환산공식!FW$15,$F289,0)</f>
        <v>0.44</v>
      </c>
      <c r="Z289" s="20">
        <f ca="1">OFFSET(환산공식!FX$15,$F289,0)</f>
        <v>0.38</v>
      </c>
      <c r="AA289" s="179">
        <f ca="1">OFFSET(환산공식!FY$15,$F289,0)</f>
        <v>0.19</v>
      </c>
      <c r="AB289" s="3"/>
      <c r="AD289">
        <f t="shared" ca="1" si="9"/>
        <v>6</v>
      </c>
      <c r="AF289" s="3"/>
      <c r="AG289" s="3"/>
      <c r="AH289" s="3"/>
    </row>
    <row r="290" spans="1:34">
      <c r="A290" s="198"/>
      <c r="B290" s="198"/>
      <c r="C290" s="198" t="s">
        <v>2611</v>
      </c>
      <c r="D290" s="235">
        <v>2181</v>
      </c>
      <c r="E290" s="195">
        <v>247</v>
      </c>
      <c r="F290" s="195">
        <v>247</v>
      </c>
      <c r="G290" s="239">
        <v>283</v>
      </c>
      <c r="H290" s="197" t="s">
        <v>81</v>
      </c>
      <c r="I290" s="242" t="s">
        <v>485</v>
      </c>
      <c r="J290" s="242" t="s">
        <v>490</v>
      </c>
      <c r="K290" s="195" t="s">
        <v>71</v>
      </c>
      <c r="L290" s="20" t="str">
        <f ca="1">IF(OFFSET(환산공식!$ED$15,$F290,0)=1,"O","X")</f>
        <v>X</v>
      </c>
      <c r="M290" s="188">
        <f ca="1">IFERROR(OFFSET(환산공식!DJ$15,$F290,0),"")</f>
        <v>20</v>
      </c>
      <c r="N290" s="20" t="str">
        <f ca="1">IFERROR(CONCATENATE(ROUND(OFFSET(환산공식!DK$15,$F290,0),1),"%"),"")</f>
        <v>100%</v>
      </c>
      <c r="O290" s="20">
        <f ca="1">IFERROR(OFFSET(환산공식!DL$15,$F290,0),"")</f>
        <v>0</v>
      </c>
      <c r="P290" s="188" t="str">
        <f t="shared" ca="1" si="8"/>
        <v>3% 이하</v>
      </c>
      <c r="Q290" s="194">
        <f ca="1">IFERROR(ROUND(OFFSET(환산공식!$FG$15,$F290,0),3),"")</f>
        <v>0</v>
      </c>
      <c r="R290" s="194">
        <f ca="1">OFFSET('배치점수 계산기'!H$10,$D290,0)</f>
        <v>81.822999999999993</v>
      </c>
      <c r="S290" s="194">
        <f ca="1">OFFSET('배치점수 계산기'!I$10,$D290,0)</f>
        <v>81.373999999999995</v>
      </c>
      <c r="T290" s="194">
        <f ca="1">OFFSET('배치점수 계산기'!J$10,$D290,0)</f>
        <v>80.635000000000005</v>
      </c>
      <c r="U290" s="194">
        <f ca="1">OFFSET('배치점수 계산기'!K$10,$D290,0)</f>
        <v>79.935000000000002</v>
      </c>
      <c r="V290" s="194">
        <f ca="1">OFFSET('배치점수 계산기'!L$10,$D290,0)</f>
        <v>78.805999999999997</v>
      </c>
      <c r="W290" s="186" t="str">
        <f ca="1">OFFSET('배치점수 계산기'!M$10,$D290,0)</f>
        <v>백분위</v>
      </c>
      <c r="X290" s="184" t="str">
        <f ca="1">OFFSET('배치점수 계산기'!N$10,$D290,0)</f>
        <v>백분위</v>
      </c>
      <c r="Y290" s="188">
        <f ca="1">OFFSET(환산공식!FW$15,$F290,0)</f>
        <v>0.44</v>
      </c>
      <c r="Z290" s="20">
        <f ca="1">OFFSET(환산공식!FX$15,$F290,0)</f>
        <v>0.38</v>
      </c>
      <c r="AA290" s="179">
        <f ca="1">OFFSET(환산공식!FY$15,$F290,0)</f>
        <v>0.19</v>
      </c>
      <c r="AB290" s="3"/>
      <c r="AD290">
        <f t="shared" ca="1" si="9"/>
        <v>6</v>
      </c>
      <c r="AF290" s="3"/>
      <c r="AG290" s="3"/>
      <c r="AH290" s="3"/>
    </row>
    <row r="291" spans="1:34">
      <c r="A291" s="198"/>
      <c r="B291" s="198"/>
      <c r="C291" s="198" t="s">
        <v>2612</v>
      </c>
      <c r="D291" s="235">
        <v>2182</v>
      </c>
      <c r="E291" s="195">
        <v>247</v>
      </c>
      <c r="F291" s="195">
        <v>247</v>
      </c>
      <c r="G291" s="239">
        <v>284</v>
      </c>
      <c r="H291" s="197" t="s">
        <v>81</v>
      </c>
      <c r="I291" s="242" t="s">
        <v>485</v>
      </c>
      <c r="J291" s="242" t="s">
        <v>492</v>
      </c>
      <c r="K291" s="195" t="s">
        <v>71</v>
      </c>
      <c r="L291" s="20" t="str">
        <f ca="1">IF(OFFSET(환산공식!$ED$15,$F291,0)=1,"O","X")</f>
        <v>X</v>
      </c>
      <c r="M291" s="188">
        <f ca="1">IFERROR(OFFSET(환산공식!DJ$15,$F291,0),"")</f>
        <v>20</v>
      </c>
      <c r="N291" s="20" t="str">
        <f ca="1">IFERROR(CONCATENATE(ROUND(OFFSET(환산공식!DK$15,$F291,0),1),"%"),"")</f>
        <v>100%</v>
      </c>
      <c r="O291" s="20">
        <f ca="1">IFERROR(OFFSET(환산공식!DL$15,$F291,0),"")</f>
        <v>0</v>
      </c>
      <c r="P291" s="188" t="str">
        <f t="shared" ca="1" si="8"/>
        <v>3% 이하</v>
      </c>
      <c r="Q291" s="194">
        <f ca="1">IFERROR(ROUND(OFFSET(환산공식!$FG$15,$F291,0),3),"")</f>
        <v>0</v>
      </c>
      <c r="R291" s="194">
        <f ca="1">OFFSET('배치점수 계산기'!H$10,$D291,0)</f>
        <v>81.563999999999993</v>
      </c>
      <c r="S291" s="194">
        <f ca="1">OFFSET('배치점수 계산기'!I$10,$D291,0)</f>
        <v>81.001000000000005</v>
      </c>
      <c r="T291" s="194">
        <f ca="1">OFFSET('배치점수 계산기'!J$10,$D291,0)</f>
        <v>80.381</v>
      </c>
      <c r="U291" s="194">
        <f ca="1">OFFSET('배치점수 계산기'!K$10,$D291,0)</f>
        <v>79.575999999999993</v>
      </c>
      <c r="V291" s="194">
        <f ca="1">OFFSET('배치점수 계산기'!L$10,$D291,0)</f>
        <v>78.441000000000003</v>
      </c>
      <c r="W291" s="186" t="str">
        <f ca="1">OFFSET('배치점수 계산기'!M$10,$D291,0)</f>
        <v>백분위</v>
      </c>
      <c r="X291" s="184" t="str">
        <f ca="1">OFFSET('배치점수 계산기'!N$10,$D291,0)</f>
        <v>백분위</v>
      </c>
      <c r="Y291" s="188">
        <f ca="1">OFFSET(환산공식!FW$15,$F291,0)</f>
        <v>0.44</v>
      </c>
      <c r="Z291" s="20">
        <f ca="1">OFFSET(환산공식!FX$15,$F291,0)</f>
        <v>0.38</v>
      </c>
      <c r="AA291" s="179">
        <f ca="1">OFFSET(환산공식!FY$15,$F291,0)</f>
        <v>0.19</v>
      </c>
      <c r="AB291" s="3"/>
      <c r="AD291">
        <f t="shared" ca="1" si="9"/>
        <v>6</v>
      </c>
      <c r="AF291" s="3"/>
      <c r="AG291" s="3"/>
      <c r="AH291" s="3"/>
    </row>
    <row r="292" spans="1:34">
      <c r="A292" s="198"/>
      <c r="B292" s="198"/>
      <c r="C292" s="198" t="s">
        <v>2613</v>
      </c>
      <c r="D292" s="235">
        <v>2183</v>
      </c>
      <c r="E292" s="195">
        <v>247</v>
      </c>
      <c r="F292" s="195">
        <v>247</v>
      </c>
      <c r="G292" s="239">
        <v>285</v>
      </c>
      <c r="H292" s="197" t="s">
        <v>81</v>
      </c>
      <c r="I292" s="242" t="s">
        <v>485</v>
      </c>
      <c r="J292" s="242" t="s">
        <v>8654</v>
      </c>
      <c r="K292" s="195" t="s">
        <v>71</v>
      </c>
      <c r="L292" s="20" t="str">
        <f ca="1">IF(OFFSET(환산공식!$ED$15,$F292,0)=1,"O","X")</f>
        <v>X</v>
      </c>
      <c r="M292" s="188">
        <f ca="1">IFERROR(OFFSET(환산공식!DJ$15,$F292,0),"")</f>
        <v>20</v>
      </c>
      <c r="N292" s="20" t="str">
        <f ca="1">IFERROR(CONCATENATE(ROUND(OFFSET(환산공식!DK$15,$F292,0),1),"%"),"")</f>
        <v>100%</v>
      </c>
      <c r="O292" s="20">
        <f ca="1">IFERROR(OFFSET(환산공식!DL$15,$F292,0),"")</f>
        <v>0</v>
      </c>
      <c r="P292" s="188" t="str">
        <f t="shared" ca="1" si="8"/>
        <v>3% 이하</v>
      </c>
      <c r="Q292" s="194">
        <f ca="1">IFERROR(ROUND(OFFSET(환산공식!$FG$15,$F292,0),3),"")</f>
        <v>0</v>
      </c>
      <c r="R292" s="194">
        <f ca="1">OFFSET('배치점수 계산기'!H$10,$D292,0)</f>
        <v>81.433999999999997</v>
      </c>
      <c r="S292" s="194">
        <f ca="1">OFFSET('배치점수 계산기'!I$10,$D292,0)</f>
        <v>80.968000000000004</v>
      </c>
      <c r="T292" s="194">
        <f ca="1">OFFSET('배치점수 계산기'!J$10,$D292,0)</f>
        <v>80.298000000000002</v>
      </c>
      <c r="U292" s="194">
        <f ca="1">OFFSET('배치점수 계산기'!K$10,$D292,0)</f>
        <v>79.516000000000005</v>
      </c>
      <c r="V292" s="194">
        <f ca="1">OFFSET('배치점수 계산기'!L$10,$D292,0)</f>
        <v>78.406000000000006</v>
      </c>
      <c r="W292" s="186" t="str">
        <f ca="1">OFFSET('배치점수 계산기'!M$10,$D292,0)</f>
        <v>백분위</v>
      </c>
      <c r="X292" s="184" t="str">
        <f ca="1">OFFSET('배치점수 계산기'!N$10,$D292,0)</f>
        <v>백분위</v>
      </c>
      <c r="Y292" s="188">
        <f ca="1">OFFSET(환산공식!FW$15,$F292,0)</f>
        <v>0.44</v>
      </c>
      <c r="Z292" s="20">
        <f ca="1">OFFSET(환산공식!FX$15,$F292,0)</f>
        <v>0.38</v>
      </c>
      <c r="AA292" s="179">
        <f ca="1">OFFSET(환산공식!FY$15,$F292,0)</f>
        <v>0.19</v>
      </c>
      <c r="AB292" s="3"/>
      <c r="AD292">
        <f t="shared" ca="1" si="9"/>
        <v>6</v>
      </c>
      <c r="AF292" s="3"/>
      <c r="AG292" s="3"/>
      <c r="AH292" s="3"/>
    </row>
    <row r="293" spans="1:34">
      <c r="A293" s="198"/>
      <c r="B293" s="198"/>
      <c r="C293" s="198" t="s">
        <v>2614</v>
      </c>
      <c r="D293" s="235">
        <v>2184</v>
      </c>
      <c r="E293" s="195">
        <v>247</v>
      </c>
      <c r="F293" s="195">
        <v>247</v>
      </c>
      <c r="G293" s="239">
        <v>286</v>
      </c>
      <c r="H293" s="197" t="s">
        <v>81</v>
      </c>
      <c r="I293" s="242" t="s">
        <v>485</v>
      </c>
      <c r="J293" s="242" t="s">
        <v>9396</v>
      </c>
      <c r="K293" s="195" t="s">
        <v>71</v>
      </c>
      <c r="L293" s="20" t="str">
        <f ca="1">IF(OFFSET(환산공식!$ED$15,$F293,0)=1,"O","X")</f>
        <v>X</v>
      </c>
      <c r="M293" s="188">
        <f ca="1">IFERROR(OFFSET(환산공식!DJ$15,$F293,0),"")</f>
        <v>20</v>
      </c>
      <c r="N293" s="20" t="str">
        <f ca="1">IFERROR(CONCATENATE(ROUND(OFFSET(환산공식!DK$15,$F293,0),1),"%"),"")</f>
        <v>100%</v>
      </c>
      <c r="O293" s="20">
        <f ca="1">IFERROR(OFFSET(환산공식!DL$15,$F293,0),"")</f>
        <v>0</v>
      </c>
      <c r="P293" s="188" t="str">
        <f t="shared" ca="1" si="8"/>
        <v>3% 이하</v>
      </c>
      <c r="Q293" s="194">
        <f ca="1">IFERROR(ROUND(OFFSET(환산공식!$FG$15,$F293,0),3),"")</f>
        <v>0</v>
      </c>
      <c r="R293" s="194">
        <f ca="1">OFFSET('배치점수 계산기'!H$10,$D293,0)</f>
        <v>81.373999999999995</v>
      </c>
      <c r="S293" s="194">
        <f ca="1">OFFSET('배치점수 계산기'!I$10,$D293,0)</f>
        <v>80.841999999999999</v>
      </c>
      <c r="T293" s="194">
        <f ca="1">OFFSET('배치점수 계산기'!J$10,$D293,0)</f>
        <v>80.173000000000002</v>
      </c>
      <c r="U293" s="194">
        <f ca="1">OFFSET('배치점수 계산기'!K$10,$D293,0)</f>
        <v>79.382999999999996</v>
      </c>
      <c r="V293" s="194">
        <f ca="1">OFFSET('배치점수 계산기'!L$10,$D293,0)</f>
        <v>78.311000000000007</v>
      </c>
      <c r="W293" s="186" t="str">
        <f ca="1">OFFSET('배치점수 계산기'!M$10,$D293,0)</f>
        <v>백분위</v>
      </c>
      <c r="X293" s="184" t="str">
        <f ca="1">OFFSET('배치점수 계산기'!N$10,$D293,0)</f>
        <v>백분위</v>
      </c>
      <c r="Y293" s="188">
        <f ca="1">OFFSET(환산공식!FW$15,$F293,0)</f>
        <v>0.44</v>
      </c>
      <c r="Z293" s="20">
        <f ca="1">OFFSET(환산공식!FX$15,$F293,0)</f>
        <v>0.38</v>
      </c>
      <c r="AA293" s="179">
        <f ca="1">OFFSET(환산공식!FY$15,$F293,0)</f>
        <v>0.19</v>
      </c>
      <c r="AB293" s="3"/>
      <c r="AD293">
        <f t="shared" ca="1" si="9"/>
        <v>6</v>
      </c>
      <c r="AF293" s="3"/>
      <c r="AG293" s="3"/>
      <c r="AH293" s="3"/>
    </row>
    <row r="294" spans="1:34">
      <c r="A294" s="198"/>
      <c r="B294" s="198"/>
      <c r="C294" s="198" t="s">
        <v>2615</v>
      </c>
      <c r="D294" s="235">
        <v>2185</v>
      </c>
      <c r="E294" s="195">
        <v>247</v>
      </c>
      <c r="F294" s="195">
        <v>247</v>
      </c>
      <c r="G294" s="239">
        <v>287</v>
      </c>
      <c r="H294" s="197" t="s">
        <v>81</v>
      </c>
      <c r="I294" s="242" t="s">
        <v>485</v>
      </c>
      <c r="J294" s="242" t="s">
        <v>8953</v>
      </c>
      <c r="K294" s="195" t="s">
        <v>71</v>
      </c>
      <c r="L294" s="20" t="str">
        <f ca="1">IF(OFFSET(환산공식!$ED$15,$F294,0)=1,"O","X")</f>
        <v>X</v>
      </c>
      <c r="M294" s="188">
        <f ca="1">IFERROR(OFFSET(환산공식!DJ$15,$F294,0),"")</f>
        <v>20</v>
      </c>
      <c r="N294" s="20" t="str">
        <f ca="1">IFERROR(CONCATENATE(ROUND(OFFSET(환산공식!DK$15,$F294,0),1),"%"),"")</f>
        <v>100%</v>
      </c>
      <c r="O294" s="20">
        <f ca="1">IFERROR(OFFSET(환산공식!DL$15,$F294,0),"")</f>
        <v>0</v>
      </c>
      <c r="P294" s="188" t="str">
        <f t="shared" ca="1" si="8"/>
        <v>3% 이하</v>
      </c>
      <c r="Q294" s="194">
        <f ca="1">IFERROR(ROUND(OFFSET(환산공식!$FG$15,$F294,0),3),"")</f>
        <v>0</v>
      </c>
      <c r="R294" s="194">
        <f ca="1">OFFSET('배치점수 계산기'!H$10,$D294,0)</f>
        <v>81.322000000000003</v>
      </c>
      <c r="S294" s="194">
        <f ca="1">OFFSET('배치점수 계산기'!I$10,$D294,0)</f>
        <v>80.841999999999999</v>
      </c>
      <c r="T294" s="194">
        <f ca="1">OFFSET('배치점수 계산기'!J$10,$D294,0)</f>
        <v>80.158000000000001</v>
      </c>
      <c r="U294" s="194">
        <f ca="1">OFFSET('배치점수 계산기'!K$10,$D294,0)</f>
        <v>79.369</v>
      </c>
      <c r="V294" s="194">
        <f ca="1">OFFSET('배치점수 계산기'!L$10,$D294,0)</f>
        <v>78.278999999999996</v>
      </c>
      <c r="W294" s="186" t="str">
        <f ca="1">OFFSET('배치점수 계산기'!M$10,$D294,0)</f>
        <v>백분위</v>
      </c>
      <c r="X294" s="184" t="str">
        <f ca="1">OFFSET('배치점수 계산기'!N$10,$D294,0)</f>
        <v>백분위</v>
      </c>
      <c r="Y294" s="188">
        <f ca="1">OFFSET(환산공식!FW$15,$F294,0)</f>
        <v>0.44</v>
      </c>
      <c r="Z294" s="20">
        <f ca="1">OFFSET(환산공식!FX$15,$F294,0)</f>
        <v>0.38</v>
      </c>
      <c r="AA294" s="179">
        <f ca="1">OFFSET(환산공식!FY$15,$F294,0)</f>
        <v>0.19</v>
      </c>
      <c r="AB294" s="3"/>
      <c r="AD294">
        <f t="shared" ca="1" si="9"/>
        <v>6</v>
      </c>
      <c r="AF294" s="3"/>
      <c r="AG294" s="3"/>
      <c r="AH294" s="3"/>
    </row>
    <row r="295" spans="1:34">
      <c r="A295" s="198"/>
      <c r="B295" s="198"/>
      <c r="C295" s="198" t="s">
        <v>2616</v>
      </c>
      <c r="D295" s="235">
        <v>2186</v>
      </c>
      <c r="E295" s="195">
        <v>247</v>
      </c>
      <c r="F295" s="195">
        <v>247</v>
      </c>
      <c r="G295" s="239">
        <v>288</v>
      </c>
      <c r="H295" s="197" t="s">
        <v>81</v>
      </c>
      <c r="I295" s="242" t="s">
        <v>485</v>
      </c>
      <c r="J295" s="242" t="s">
        <v>8618</v>
      </c>
      <c r="K295" s="195" t="s">
        <v>71</v>
      </c>
      <c r="L295" s="20" t="str">
        <f ca="1">IF(OFFSET(환산공식!$ED$15,$F295,0)=1,"O","X")</f>
        <v>X</v>
      </c>
      <c r="M295" s="188">
        <f ca="1">IFERROR(OFFSET(환산공식!DJ$15,$F295,0),"")</f>
        <v>20</v>
      </c>
      <c r="N295" s="20" t="str">
        <f ca="1">IFERROR(CONCATENATE(ROUND(OFFSET(환산공식!DK$15,$F295,0),1),"%"),"")</f>
        <v>100%</v>
      </c>
      <c r="O295" s="20">
        <f ca="1">IFERROR(OFFSET(환산공식!DL$15,$F295,0),"")</f>
        <v>0</v>
      </c>
      <c r="P295" s="188" t="str">
        <f t="shared" ca="1" si="8"/>
        <v>3% 이하</v>
      </c>
      <c r="Q295" s="194">
        <f ca="1">IFERROR(ROUND(OFFSET(환산공식!$FG$15,$F295,0),3),"")</f>
        <v>0</v>
      </c>
      <c r="R295" s="194">
        <f ca="1">OFFSET('배치점수 계산기'!H$10,$D295,0)</f>
        <v>81.161000000000001</v>
      </c>
      <c r="S295" s="194">
        <f ca="1">OFFSET('배치점수 계산기'!I$10,$D295,0)</f>
        <v>80.760000000000005</v>
      </c>
      <c r="T295" s="194">
        <f ca="1">OFFSET('배치점수 계산기'!J$10,$D295,0)</f>
        <v>80.03</v>
      </c>
      <c r="U295" s="194">
        <f ca="1">OFFSET('배치점수 계산기'!K$10,$D295,0)</f>
        <v>79.260000000000005</v>
      </c>
      <c r="V295" s="194">
        <f ca="1">OFFSET('배치점수 계산기'!L$10,$D295,0)</f>
        <v>78.123999999999995</v>
      </c>
      <c r="W295" s="186" t="str">
        <f ca="1">OFFSET('배치점수 계산기'!M$10,$D295,0)</f>
        <v>백분위</v>
      </c>
      <c r="X295" s="184" t="str">
        <f ca="1">OFFSET('배치점수 계산기'!N$10,$D295,0)</f>
        <v>백분위</v>
      </c>
      <c r="Y295" s="188">
        <f ca="1">OFFSET(환산공식!FW$15,$F295,0)</f>
        <v>0.44</v>
      </c>
      <c r="Z295" s="20">
        <f ca="1">OFFSET(환산공식!FX$15,$F295,0)</f>
        <v>0.38</v>
      </c>
      <c r="AA295" s="179">
        <f ca="1">OFFSET(환산공식!FY$15,$F295,0)</f>
        <v>0.19</v>
      </c>
      <c r="AB295" s="3"/>
      <c r="AD295">
        <f t="shared" ca="1" si="9"/>
        <v>6</v>
      </c>
      <c r="AF295" s="3"/>
      <c r="AG295" s="3"/>
      <c r="AH295" s="3"/>
    </row>
    <row r="296" spans="1:34">
      <c r="A296" s="198"/>
      <c r="B296" s="198"/>
      <c r="C296" s="198" t="s">
        <v>2617</v>
      </c>
      <c r="D296" s="235">
        <v>2187</v>
      </c>
      <c r="E296" s="195">
        <v>247</v>
      </c>
      <c r="F296" s="195">
        <v>247</v>
      </c>
      <c r="G296" s="239">
        <v>289</v>
      </c>
      <c r="H296" s="197" t="s">
        <v>81</v>
      </c>
      <c r="I296" s="242" t="s">
        <v>485</v>
      </c>
      <c r="J296" s="242" t="s">
        <v>493</v>
      </c>
      <c r="K296" s="195" t="s">
        <v>71</v>
      </c>
      <c r="L296" s="20" t="str">
        <f ca="1">IF(OFFSET(환산공식!$ED$15,$F296,0)=1,"O","X")</f>
        <v>X</v>
      </c>
      <c r="M296" s="188">
        <f ca="1">IFERROR(OFFSET(환산공식!DJ$15,$F296,0),"")</f>
        <v>20</v>
      </c>
      <c r="N296" s="20" t="str">
        <f ca="1">IFERROR(CONCATENATE(ROUND(OFFSET(환산공식!DK$15,$F296,0),1),"%"),"")</f>
        <v>100%</v>
      </c>
      <c r="O296" s="20">
        <f ca="1">IFERROR(OFFSET(환산공식!DL$15,$F296,0),"")</f>
        <v>0</v>
      </c>
      <c r="P296" s="188" t="str">
        <f t="shared" ca="1" si="8"/>
        <v>3% 이하</v>
      </c>
      <c r="Q296" s="194">
        <f ca="1">IFERROR(ROUND(OFFSET(환산공식!$FG$15,$F296,0),3),"")</f>
        <v>0</v>
      </c>
      <c r="R296" s="194">
        <f ca="1">OFFSET('배치점수 계산기'!H$10,$D296,0)</f>
        <v>81.116</v>
      </c>
      <c r="S296" s="194">
        <f ca="1">OFFSET('배치점수 계산기'!I$10,$D296,0)</f>
        <v>80.635000000000005</v>
      </c>
      <c r="T296" s="194">
        <f ca="1">OFFSET('배치점수 계산기'!J$10,$D296,0)</f>
        <v>79.837000000000003</v>
      </c>
      <c r="U296" s="194">
        <f ca="1">OFFSET('배치점수 계산기'!K$10,$D296,0)</f>
        <v>79.08</v>
      </c>
      <c r="V296" s="194">
        <f ca="1">OFFSET('배치점수 계산기'!L$10,$D296,0)</f>
        <v>77.98</v>
      </c>
      <c r="W296" s="186" t="str">
        <f ca="1">OFFSET('배치점수 계산기'!M$10,$D296,0)</f>
        <v>백분위</v>
      </c>
      <c r="X296" s="184" t="str">
        <f ca="1">OFFSET('배치점수 계산기'!N$10,$D296,0)</f>
        <v>백분위</v>
      </c>
      <c r="Y296" s="188">
        <f ca="1">OFFSET(환산공식!FW$15,$F296,0)</f>
        <v>0.44</v>
      </c>
      <c r="Z296" s="20">
        <f ca="1">OFFSET(환산공식!FX$15,$F296,0)</f>
        <v>0.38</v>
      </c>
      <c r="AA296" s="179">
        <f ca="1">OFFSET(환산공식!FY$15,$F296,0)</f>
        <v>0.19</v>
      </c>
      <c r="AB296" s="3"/>
      <c r="AD296">
        <f t="shared" ca="1" si="9"/>
        <v>6</v>
      </c>
      <c r="AF296" s="3"/>
      <c r="AG296" s="3"/>
      <c r="AH296" s="3"/>
    </row>
    <row r="297" spans="1:34">
      <c r="A297" s="198"/>
      <c r="B297" s="198"/>
      <c r="C297" s="198" t="s">
        <v>2618</v>
      </c>
      <c r="D297" s="235">
        <v>2188</v>
      </c>
      <c r="E297" s="195">
        <v>247</v>
      </c>
      <c r="F297" s="195">
        <v>247</v>
      </c>
      <c r="G297" s="239">
        <v>290</v>
      </c>
      <c r="H297" s="197" t="s">
        <v>81</v>
      </c>
      <c r="I297" s="242" t="s">
        <v>485</v>
      </c>
      <c r="J297" s="242" t="s">
        <v>8863</v>
      </c>
      <c r="K297" s="195" t="s">
        <v>71</v>
      </c>
      <c r="L297" s="20" t="str">
        <f ca="1">IF(OFFSET(환산공식!$ED$15,$F297,0)=1,"O","X")</f>
        <v>X</v>
      </c>
      <c r="M297" s="188">
        <f ca="1">IFERROR(OFFSET(환산공식!DJ$15,$F297,0),"")</f>
        <v>20</v>
      </c>
      <c r="N297" s="20" t="str">
        <f ca="1">IFERROR(CONCATENATE(ROUND(OFFSET(환산공식!DK$15,$F297,0),1),"%"),"")</f>
        <v>100%</v>
      </c>
      <c r="O297" s="20">
        <f ca="1">IFERROR(OFFSET(환산공식!DL$15,$F297,0),"")</f>
        <v>0</v>
      </c>
      <c r="P297" s="188" t="str">
        <f t="shared" ca="1" si="8"/>
        <v>3% 이하</v>
      </c>
      <c r="Q297" s="194">
        <f ca="1">IFERROR(ROUND(OFFSET(환산공식!$FG$15,$F297,0),3),"")</f>
        <v>0</v>
      </c>
      <c r="R297" s="194">
        <f ca="1">OFFSET('배치점수 계산기'!H$10,$D297,0)</f>
        <v>80.680000000000007</v>
      </c>
      <c r="S297" s="194">
        <f ca="1">OFFSET('배치점수 계산기'!I$10,$D297,0)</f>
        <v>80.253</v>
      </c>
      <c r="T297" s="194">
        <f ca="1">OFFSET('배치점수 계산기'!J$10,$D297,0)</f>
        <v>79.480999999999995</v>
      </c>
      <c r="U297" s="194">
        <f ca="1">OFFSET('배치점수 계산기'!K$10,$D297,0)</f>
        <v>78.727999999999994</v>
      </c>
      <c r="V297" s="194">
        <f ca="1">OFFSET('배치점수 계산기'!L$10,$D297,0)</f>
        <v>77.599999999999994</v>
      </c>
      <c r="W297" s="186" t="str">
        <f ca="1">OFFSET('배치점수 계산기'!M$10,$D297,0)</f>
        <v>백분위</v>
      </c>
      <c r="X297" s="184" t="str">
        <f ca="1">OFFSET('배치점수 계산기'!N$10,$D297,0)</f>
        <v>백분위</v>
      </c>
      <c r="Y297" s="188">
        <f ca="1">OFFSET(환산공식!FW$15,$F297,0)</f>
        <v>0.44</v>
      </c>
      <c r="Z297" s="20">
        <f ca="1">OFFSET(환산공식!FX$15,$F297,0)</f>
        <v>0.38</v>
      </c>
      <c r="AA297" s="179">
        <f ca="1">OFFSET(환산공식!FY$15,$F297,0)</f>
        <v>0.19</v>
      </c>
      <c r="AB297" s="3"/>
      <c r="AD297">
        <f t="shared" ca="1" si="9"/>
        <v>6</v>
      </c>
      <c r="AF297" s="3"/>
      <c r="AG297" s="3"/>
      <c r="AH297" s="3"/>
    </row>
    <row r="298" spans="1:34">
      <c r="A298" s="198"/>
      <c r="B298" s="198"/>
      <c r="C298" s="198" t="s">
        <v>2619</v>
      </c>
      <c r="D298" s="235">
        <v>2189</v>
      </c>
      <c r="E298" s="195">
        <v>247</v>
      </c>
      <c r="F298" s="195">
        <v>247</v>
      </c>
      <c r="G298" s="239">
        <v>291</v>
      </c>
      <c r="H298" s="197" t="s">
        <v>81</v>
      </c>
      <c r="I298" s="242" t="s">
        <v>485</v>
      </c>
      <c r="J298" s="242" t="s">
        <v>501</v>
      </c>
      <c r="K298" s="195" t="s">
        <v>71</v>
      </c>
      <c r="L298" s="20" t="str">
        <f ca="1">IF(OFFSET(환산공식!$ED$15,$F298,0)=1,"O","X")</f>
        <v>X</v>
      </c>
      <c r="M298" s="188">
        <f ca="1">IFERROR(OFFSET(환산공식!DJ$15,$F298,0),"")</f>
        <v>20</v>
      </c>
      <c r="N298" s="20" t="str">
        <f ca="1">IFERROR(CONCATENATE(ROUND(OFFSET(환산공식!DK$15,$F298,0),1),"%"),"")</f>
        <v>100%</v>
      </c>
      <c r="O298" s="20">
        <f ca="1">IFERROR(OFFSET(환산공식!DL$15,$F298,0),"")</f>
        <v>0</v>
      </c>
      <c r="P298" s="188" t="str">
        <f t="shared" ca="1" si="8"/>
        <v>3% 이하</v>
      </c>
      <c r="Q298" s="194">
        <f ca="1">IFERROR(ROUND(OFFSET(환산공식!$FG$15,$F298,0),3),"")</f>
        <v>0</v>
      </c>
      <c r="R298" s="194">
        <f ca="1">OFFSET('배치점수 계산기'!H$10,$D298,0)</f>
        <v>80.253</v>
      </c>
      <c r="S298" s="194">
        <f ca="1">OFFSET('배치점수 계산기'!I$10,$D298,0)</f>
        <v>79.691000000000003</v>
      </c>
      <c r="T298" s="194">
        <f ca="1">OFFSET('배치점수 계산기'!J$10,$D298,0)</f>
        <v>78.805999999999997</v>
      </c>
      <c r="U298" s="194">
        <f ca="1">OFFSET('배치점수 계산기'!K$10,$D298,0)</f>
        <v>77.930000000000007</v>
      </c>
      <c r="V298" s="194">
        <f ca="1">OFFSET('배치점수 계산기'!L$10,$D298,0)</f>
        <v>76.953000000000003</v>
      </c>
      <c r="W298" s="186" t="str">
        <f ca="1">OFFSET('배치점수 계산기'!M$10,$D298,0)</f>
        <v>백분위</v>
      </c>
      <c r="X298" s="184" t="str">
        <f ca="1">OFFSET('배치점수 계산기'!N$10,$D298,0)</f>
        <v>백분위</v>
      </c>
      <c r="Y298" s="188">
        <f ca="1">OFFSET(환산공식!FW$15,$F298,0)</f>
        <v>0.44</v>
      </c>
      <c r="Z298" s="20">
        <f ca="1">OFFSET(환산공식!FX$15,$F298,0)</f>
        <v>0.38</v>
      </c>
      <c r="AA298" s="179">
        <f ca="1">OFFSET(환산공식!FY$15,$F298,0)</f>
        <v>0.19</v>
      </c>
      <c r="AB298" s="3"/>
      <c r="AD298">
        <f t="shared" ca="1" si="9"/>
        <v>6</v>
      </c>
      <c r="AF298" s="3"/>
      <c r="AG298" s="3"/>
      <c r="AH298" s="3"/>
    </row>
    <row r="299" spans="1:34">
      <c r="A299" s="198"/>
      <c r="B299" s="198"/>
      <c r="C299" s="198" t="s">
        <v>2620</v>
      </c>
      <c r="D299" s="235">
        <v>2190</v>
      </c>
      <c r="E299" s="195">
        <v>136</v>
      </c>
      <c r="F299" s="195">
        <v>136</v>
      </c>
      <c r="G299" s="239">
        <v>292</v>
      </c>
      <c r="H299" s="197" t="s">
        <v>81</v>
      </c>
      <c r="I299" s="242" t="s">
        <v>494</v>
      </c>
      <c r="J299" s="242" t="s">
        <v>12731</v>
      </c>
      <c r="K299" s="195" t="s">
        <v>70</v>
      </c>
      <c r="L299" s="20" t="str">
        <f ca="1">IF(OFFSET(환산공식!$ED$15,$F299,0)=1,"O","X")</f>
        <v>X</v>
      </c>
      <c r="M299" s="188">
        <f ca="1">IFERROR(OFFSET(환산공식!DJ$15,$F299,0),"")</f>
        <v>200</v>
      </c>
      <c r="N299" s="20" t="str">
        <f ca="1">IFERROR(CONCATENATE(ROUND(OFFSET(환산공식!DK$15,$F299,0),1),"%"),"")</f>
        <v>100%</v>
      </c>
      <c r="O299" s="20">
        <f ca="1">IFERROR(OFFSET(환산공식!DL$15,$F299,0),"")</f>
        <v>0</v>
      </c>
      <c r="P299" s="188" t="str">
        <f t="shared" ca="1" si="8"/>
        <v>3% 이하</v>
      </c>
      <c r="Q299" s="194">
        <f ca="1">IFERROR(ROUND(OFFSET(환산공식!$FG$15,$F299,0),3),"")</f>
        <v>0</v>
      </c>
      <c r="R299" s="194">
        <f ca="1">OFFSET('배치점수 계산기'!H$10,$D299,0)</f>
        <v>840.27700000000004</v>
      </c>
      <c r="S299" s="194">
        <f ca="1">OFFSET('배치점수 계산기'!I$10,$D299,0)</f>
        <v>837.83299999999997</v>
      </c>
      <c r="T299" s="194">
        <f ca="1">OFFSET('배치점수 계산기'!J$10,$D299,0)</f>
        <v>833.97299999999996</v>
      </c>
      <c r="U299" s="194">
        <f ca="1">OFFSET('배치점수 계산기'!K$10,$D299,0)</f>
        <v>830.60900000000004</v>
      </c>
      <c r="V299" s="194">
        <f ca="1">OFFSET('배치점수 계산기'!L$10,$D299,0)</f>
        <v>827.54200000000003</v>
      </c>
      <c r="W299" s="186" t="str">
        <f ca="1">OFFSET('배치점수 계산기'!M$10,$D299,0)</f>
        <v>표점/만점</v>
      </c>
      <c r="X299" s="184" t="str">
        <f ca="1">OFFSET('배치점수 계산기'!N$10,$D299,0)</f>
        <v>변표/만점</v>
      </c>
      <c r="Y299" s="188">
        <f ca="1">OFFSET(환산공식!FW$15,$F299,0)</f>
        <v>0.25</v>
      </c>
      <c r="Z299" s="20">
        <f ca="1">OFFSET(환산공식!FX$15,$F299,0)</f>
        <v>0.44</v>
      </c>
      <c r="AA299" s="179">
        <f ca="1">OFFSET(환산공식!FY$15,$F299,0)</f>
        <v>0.31</v>
      </c>
      <c r="AB299" s="3"/>
      <c r="AD299">
        <f t="shared" ca="1" si="9"/>
        <v>6</v>
      </c>
      <c r="AF299" s="3"/>
      <c r="AG299" s="3"/>
      <c r="AH299" s="3"/>
    </row>
    <row r="300" spans="1:34">
      <c r="A300" s="198"/>
      <c r="B300" s="198"/>
      <c r="C300" s="198" t="s">
        <v>2621</v>
      </c>
      <c r="D300" s="235">
        <v>2191</v>
      </c>
      <c r="E300" s="195">
        <v>134</v>
      </c>
      <c r="F300" s="195">
        <v>134</v>
      </c>
      <c r="G300" s="239">
        <v>293</v>
      </c>
      <c r="H300" s="197" t="s">
        <v>81</v>
      </c>
      <c r="I300" s="242" t="s">
        <v>494</v>
      </c>
      <c r="J300" s="242" t="s">
        <v>13551</v>
      </c>
      <c r="K300" s="195" t="s">
        <v>70</v>
      </c>
      <c r="L300" s="20" t="str">
        <f ca="1">IF(OFFSET(환산공식!$ED$15,$F300,0)=1,"O","X")</f>
        <v>X</v>
      </c>
      <c r="M300" s="188">
        <f ca="1">IFERROR(OFFSET(환산공식!DJ$15,$F300,0),"")</f>
        <v>200</v>
      </c>
      <c r="N300" s="20" t="str">
        <f ca="1">IFERROR(CONCATENATE(ROUND(OFFSET(환산공식!DK$15,$F300,0),1),"%"),"")</f>
        <v>100%</v>
      </c>
      <c r="O300" s="20">
        <f ca="1">IFERROR(OFFSET(환산공식!DL$15,$F300,0),"")</f>
        <v>0</v>
      </c>
      <c r="P300" s="188" t="str">
        <f t="shared" ca="1" si="8"/>
        <v>3% 이하</v>
      </c>
      <c r="Q300" s="194">
        <f ca="1">IFERROR(ROUND(OFFSET(환산공식!$FG$15,$F300,0),3),"")</f>
        <v>0</v>
      </c>
      <c r="R300" s="194">
        <f ca="1">OFFSET('배치점수 계산기'!H$10,$D300,0)</f>
        <v>812.38800000000003</v>
      </c>
      <c r="S300" s="194">
        <f ca="1">OFFSET('배치점수 계산기'!I$10,$D300,0)</f>
        <v>809.928</v>
      </c>
      <c r="T300" s="194">
        <f ca="1">OFFSET('배치점수 계산기'!J$10,$D300,0)</f>
        <v>806.38300000000004</v>
      </c>
      <c r="U300" s="194">
        <f ca="1">OFFSET('배치점수 계산기'!K$10,$D300,0)</f>
        <v>803.07299999999998</v>
      </c>
      <c r="V300" s="194">
        <f ca="1">OFFSET('배치점수 계산기'!L$10,$D300,0)</f>
        <v>801.05499999999995</v>
      </c>
      <c r="W300" s="186" t="str">
        <f ca="1">OFFSET('배치점수 계산기'!M$10,$D300,0)</f>
        <v>표점/만점</v>
      </c>
      <c r="X300" s="184" t="str">
        <f ca="1">OFFSET('배치점수 계산기'!N$10,$D300,0)</f>
        <v>변표/만점</v>
      </c>
      <c r="Y300" s="188">
        <f ca="1">OFFSET(환산공식!FW$15,$F300,0)</f>
        <v>0.25</v>
      </c>
      <c r="Z300" s="20">
        <f ca="1">OFFSET(환산공식!FX$15,$F300,0)</f>
        <v>0.44</v>
      </c>
      <c r="AA300" s="179">
        <f ca="1">OFFSET(환산공식!FY$15,$F300,0)</f>
        <v>0.31</v>
      </c>
      <c r="AB300" s="3"/>
      <c r="AD300">
        <f t="shared" ca="1" si="9"/>
        <v>6</v>
      </c>
      <c r="AF300" s="3"/>
      <c r="AG300" s="3"/>
      <c r="AH300" s="3"/>
    </row>
    <row r="301" spans="1:34">
      <c r="A301" s="198"/>
      <c r="B301" s="198"/>
      <c r="C301" s="198" t="s">
        <v>2622</v>
      </c>
      <c r="D301" s="235">
        <v>2192</v>
      </c>
      <c r="E301" s="195">
        <v>134</v>
      </c>
      <c r="F301" s="195">
        <v>134</v>
      </c>
      <c r="G301" s="239">
        <v>294</v>
      </c>
      <c r="H301" s="197" t="s">
        <v>81</v>
      </c>
      <c r="I301" s="242" t="s">
        <v>494</v>
      </c>
      <c r="J301" s="242" t="s">
        <v>9544</v>
      </c>
      <c r="K301" s="195" t="s">
        <v>70</v>
      </c>
      <c r="L301" s="20" t="str">
        <f ca="1">IF(OFFSET(환산공식!$ED$15,$F301,0)=1,"O","X")</f>
        <v>X</v>
      </c>
      <c r="M301" s="188">
        <f ca="1">IFERROR(OFFSET(환산공식!DJ$15,$F301,0),"")</f>
        <v>200</v>
      </c>
      <c r="N301" s="20" t="str">
        <f ca="1">IFERROR(CONCATENATE(ROUND(OFFSET(환산공식!DK$15,$F301,0),1),"%"),"")</f>
        <v>100%</v>
      </c>
      <c r="O301" s="20">
        <f ca="1">IFERROR(OFFSET(환산공식!DL$15,$F301,0),"")</f>
        <v>0</v>
      </c>
      <c r="P301" s="188" t="str">
        <f t="shared" ca="1" si="8"/>
        <v>3% 이하</v>
      </c>
      <c r="Q301" s="194">
        <f ca="1">IFERROR(ROUND(OFFSET(환산공식!$FG$15,$F301,0),3),"")</f>
        <v>0</v>
      </c>
      <c r="R301" s="194">
        <f ca="1">OFFSET('배치점수 계산기'!H$10,$D301,0)</f>
        <v>810.16800000000001</v>
      </c>
      <c r="S301" s="194">
        <f ca="1">OFFSET('배치점수 계산기'!I$10,$D301,0)</f>
        <v>808.05399999999997</v>
      </c>
      <c r="T301" s="194">
        <f ca="1">OFFSET('배치점수 계산기'!J$10,$D301,0)</f>
        <v>804.327</v>
      </c>
      <c r="U301" s="194">
        <f ca="1">OFFSET('배치점수 계산기'!K$10,$D301,0)</f>
        <v>800.26700000000005</v>
      </c>
      <c r="V301" s="194">
        <f ca="1">OFFSET('배치점수 계산기'!L$10,$D301,0)</f>
        <v>797.41300000000001</v>
      </c>
      <c r="W301" s="186" t="str">
        <f ca="1">OFFSET('배치점수 계산기'!M$10,$D301,0)</f>
        <v>표점/만점</v>
      </c>
      <c r="X301" s="184" t="str">
        <f ca="1">OFFSET('배치점수 계산기'!N$10,$D301,0)</f>
        <v>변표/만점</v>
      </c>
      <c r="Y301" s="188">
        <f ca="1">OFFSET(환산공식!FW$15,$F301,0)</f>
        <v>0.25</v>
      </c>
      <c r="Z301" s="20">
        <f ca="1">OFFSET(환산공식!FX$15,$F301,0)</f>
        <v>0.44</v>
      </c>
      <c r="AA301" s="179">
        <f ca="1">OFFSET(환산공식!FY$15,$F301,0)</f>
        <v>0.31</v>
      </c>
      <c r="AB301" s="3"/>
      <c r="AD301">
        <f t="shared" ca="1" si="9"/>
        <v>6</v>
      </c>
      <c r="AF301" s="3"/>
      <c r="AG301" s="3"/>
      <c r="AH301" s="3"/>
    </row>
    <row r="302" spans="1:34">
      <c r="A302" s="198"/>
      <c r="B302" s="198"/>
      <c r="C302" s="198" t="s">
        <v>7342</v>
      </c>
      <c r="D302" s="235">
        <v>2193</v>
      </c>
      <c r="E302" s="195">
        <v>134</v>
      </c>
      <c r="F302" s="195">
        <v>134</v>
      </c>
      <c r="G302" s="239">
        <v>295</v>
      </c>
      <c r="H302" s="197" t="s">
        <v>81</v>
      </c>
      <c r="I302" s="242" t="s">
        <v>494</v>
      </c>
      <c r="J302" s="242" t="s">
        <v>13622</v>
      </c>
      <c r="K302" s="195" t="s">
        <v>70</v>
      </c>
      <c r="L302" s="20" t="str">
        <f ca="1">IF(OFFSET(환산공식!$ED$15,$F302,0)=1,"O","X")</f>
        <v>X</v>
      </c>
      <c r="M302" s="188">
        <f ca="1">IFERROR(OFFSET(환산공식!DJ$15,$F302,0),"")</f>
        <v>200</v>
      </c>
      <c r="N302" s="20" t="str">
        <f ca="1">IFERROR(CONCATENATE(ROUND(OFFSET(환산공식!DK$15,$F302,0),1),"%"),"")</f>
        <v>100%</v>
      </c>
      <c r="O302" s="20">
        <f ca="1">IFERROR(OFFSET(환산공식!DL$15,$F302,0),"")</f>
        <v>0</v>
      </c>
      <c r="P302" s="188" t="str">
        <f t="shared" ca="1" si="8"/>
        <v>3% 이하</v>
      </c>
      <c r="Q302" s="194">
        <f ca="1">IFERROR(ROUND(OFFSET(환산공식!$FG$15,$F302,0),3),"")</f>
        <v>0</v>
      </c>
      <c r="R302" s="194">
        <f ca="1">OFFSET('배치점수 계산기'!H$10,$D302,0)</f>
        <v>809.27</v>
      </c>
      <c r="S302" s="194">
        <f ca="1">OFFSET('배치점수 계산기'!I$10,$D302,0)</f>
        <v>806.51700000000005</v>
      </c>
      <c r="T302" s="194">
        <f ca="1">OFFSET('배치점수 계산기'!J$10,$D302,0)</f>
        <v>802.93899999999996</v>
      </c>
      <c r="U302" s="194">
        <f ca="1">OFFSET('배치점수 계산기'!K$10,$D302,0)</f>
        <v>799.221</v>
      </c>
      <c r="V302" s="194">
        <f ca="1">OFFSET('배치점수 계산기'!L$10,$D302,0)</f>
        <v>796.625</v>
      </c>
      <c r="W302" s="186" t="str">
        <f ca="1">OFFSET('배치점수 계산기'!M$10,$D302,0)</f>
        <v>표점/만점</v>
      </c>
      <c r="X302" s="184" t="str">
        <f ca="1">OFFSET('배치점수 계산기'!N$10,$D302,0)</f>
        <v>변표/만점</v>
      </c>
      <c r="Y302" s="188">
        <f ca="1">OFFSET(환산공식!FW$15,$F302,0)</f>
        <v>0.25</v>
      </c>
      <c r="Z302" s="20">
        <f ca="1">OFFSET(환산공식!FX$15,$F302,0)</f>
        <v>0.44</v>
      </c>
      <c r="AA302" s="179">
        <f ca="1">OFFSET(환산공식!FY$15,$F302,0)</f>
        <v>0.31</v>
      </c>
      <c r="AB302" s="3"/>
      <c r="AD302">
        <f t="shared" ca="1" si="9"/>
        <v>6</v>
      </c>
      <c r="AF302" s="3"/>
      <c r="AG302" s="3"/>
      <c r="AH302" s="3"/>
    </row>
    <row r="303" spans="1:34">
      <c r="A303" s="198"/>
      <c r="B303" s="198"/>
      <c r="C303" s="198" t="s">
        <v>7343</v>
      </c>
      <c r="D303" s="235">
        <v>2194</v>
      </c>
      <c r="E303" s="195">
        <v>134</v>
      </c>
      <c r="F303" s="195">
        <v>134</v>
      </c>
      <c r="G303" s="239">
        <v>296</v>
      </c>
      <c r="H303" s="197" t="s">
        <v>81</v>
      </c>
      <c r="I303" s="242" t="s">
        <v>494</v>
      </c>
      <c r="J303" s="242" t="s">
        <v>13717</v>
      </c>
      <c r="K303" s="195" t="s">
        <v>70</v>
      </c>
      <c r="L303" s="20" t="str">
        <f ca="1">IF(OFFSET(환산공식!$ED$15,$F303,0)=1,"O","X")</f>
        <v>X</v>
      </c>
      <c r="M303" s="188">
        <f ca="1">IFERROR(OFFSET(환산공식!DJ$15,$F303,0),"")</f>
        <v>200</v>
      </c>
      <c r="N303" s="20" t="str">
        <f ca="1">IFERROR(CONCATENATE(ROUND(OFFSET(환산공식!DK$15,$F303,0),1),"%"),"")</f>
        <v>100%</v>
      </c>
      <c r="O303" s="20">
        <f ca="1">IFERROR(OFFSET(환산공식!DL$15,$F303,0),"")</f>
        <v>0</v>
      </c>
      <c r="P303" s="188" t="str">
        <f t="shared" ca="1" si="8"/>
        <v>3% 이하</v>
      </c>
      <c r="Q303" s="194">
        <f ca="1">IFERROR(ROUND(OFFSET(환산공식!$FG$15,$F303,0),3),"")</f>
        <v>0</v>
      </c>
      <c r="R303" s="194">
        <f ca="1">OFFSET('배치점수 계산기'!H$10,$D303,0)</f>
        <v>803.44399999999996</v>
      </c>
      <c r="S303" s="194">
        <f ca="1">OFFSET('배치점수 계산기'!I$10,$D303,0)</f>
        <v>801.36500000000001</v>
      </c>
      <c r="T303" s="194">
        <f ca="1">OFFSET('배치점수 계산기'!J$10,$D303,0)</f>
        <v>797.27800000000002</v>
      </c>
      <c r="U303" s="194">
        <f ca="1">OFFSET('배치점수 계산기'!K$10,$D303,0)</f>
        <v>793.50300000000004</v>
      </c>
      <c r="V303" s="194">
        <f ca="1">OFFSET('배치점수 계산기'!L$10,$D303,0)</f>
        <v>791.024</v>
      </c>
      <c r="W303" s="186" t="str">
        <f ca="1">OFFSET('배치점수 계산기'!M$10,$D303,0)</f>
        <v>표점/만점</v>
      </c>
      <c r="X303" s="184" t="str">
        <f ca="1">OFFSET('배치점수 계산기'!N$10,$D303,0)</f>
        <v>변표/만점</v>
      </c>
      <c r="Y303" s="188">
        <f ca="1">OFFSET(환산공식!FW$15,$F303,0)</f>
        <v>0.25</v>
      </c>
      <c r="Z303" s="20">
        <f ca="1">OFFSET(환산공식!FX$15,$F303,0)</f>
        <v>0.44</v>
      </c>
      <c r="AA303" s="179">
        <f ca="1">OFFSET(환산공식!FY$15,$F303,0)</f>
        <v>0.31</v>
      </c>
      <c r="AB303" s="3"/>
      <c r="AD303">
        <f t="shared" ca="1" si="9"/>
        <v>6</v>
      </c>
    </row>
    <row r="304" spans="1:34">
      <c r="A304" s="198"/>
      <c r="B304" s="198"/>
      <c r="C304" s="198" t="s">
        <v>7344</v>
      </c>
      <c r="D304" s="235">
        <v>2195</v>
      </c>
      <c r="E304" s="195">
        <v>134</v>
      </c>
      <c r="F304" s="195">
        <v>134</v>
      </c>
      <c r="G304" s="239">
        <v>297</v>
      </c>
      <c r="H304" s="197" t="s">
        <v>81</v>
      </c>
      <c r="I304" s="242" t="s">
        <v>494</v>
      </c>
      <c r="J304" s="242" t="s">
        <v>13739</v>
      </c>
      <c r="K304" s="195" t="s">
        <v>70</v>
      </c>
      <c r="L304" s="20" t="str">
        <f ca="1">IF(OFFSET(환산공식!$ED$15,$F304,0)=1,"O","X")</f>
        <v>X</v>
      </c>
      <c r="M304" s="188">
        <f ca="1">IFERROR(OFFSET(환산공식!DJ$15,$F304,0),"")</f>
        <v>200</v>
      </c>
      <c r="N304" s="20" t="str">
        <f ca="1">IFERROR(CONCATENATE(ROUND(OFFSET(환산공식!DK$15,$F304,0),1),"%"),"")</f>
        <v>100%</v>
      </c>
      <c r="O304" s="20">
        <f ca="1">IFERROR(OFFSET(환산공식!DL$15,$F304,0),"")</f>
        <v>0</v>
      </c>
      <c r="P304" s="188" t="str">
        <f t="shared" ca="1" si="8"/>
        <v>3% 이하</v>
      </c>
      <c r="Q304" s="194">
        <f ca="1">IFERROR(ROUND(OFFSET(환산공식!$FG$15,$F304,0),3),"")</f>
        <v>0</v>
      </c>
      <c r="R304" s="194">
        <f ca="1">OFFSET('배치점수 계산기'!H$10,$D304,0)</f>
        <v>803.07299999999998</v>
      </c>
      <c r="S304" s="194">
        <f ca="1">OFFSET('배치점수 계산기'!I$10,$D304,0)</f>
        <v>800.91899999999998</v>
      </c>
      <c r="T304" s="194">
        <f ca="1">OFFSET('배치점수 계산기'!J$10,$D304,0)</f>
        <v>797.14200000000005</v>
      </c>
      <c r="U304" s="194">
        <f ca="1">OFFSET('배치점수 계산기'!K$10,$D304,0)</f>
        <v>793.50300000000004</v>
      </c>
      <c r="V304" s="194">
        <f ca="1">OFFSET('배치점수 계산기'!L$10,$D304,0)</f>
        <v>790.82100000000003</v>
      </c>
      <c r="W304" s="186" t="str">
        <f ca="1">OFFSET('배치점수 계산기'!M$10,$D304,0)</f>
        <v>표점/만점</v>
      </c>
      <c r="X304" s="184" t="str">
        <f ca="1">OFFSET('배치점수 계산기'!N$10,$D304,0)</f>
        <v>변표/만점</v>
      </c>
      <c r="Y304" s="188">
        <f ca="1">OFFSET(환산공식!FW$15,$F304,0)</f>
        <v>0.25</v>
      </c>
      <c r="Z304" s="20">
        <f ca="1">OFFSET(환산공식!FX$15,$F304,0)</f>
        <v>0.44</v>
      </c>
      <c r="AA304" s="179">
        <f ca="1">OFFSET(환산공식!FY$15,$F304,0)</f>
        <v>0.31</v>
      </c>
      <c r="AB304" s="3"/>
      <c r="AD304">
        <f t="shared" ca="1" si="9"/>
        <v>6</v>
      </c>
    </row>
    <row r="305" spans="1:30">
      <c r="A305" s="198"/>
      <c r="B305" s="198"/>
      <c r="C305" s="198" t="s">
        <v>7345</v>
      </c>
      <c r="D305" s="235">
        <v>2196</v>
      </c>
      <c r="E305" s="195">
        <v>134</v>
      </c>
      <c r="F305" s="195">
        <v>134</v>
      </c>
      <c r="G305" s="239">
        <v>298</v>
      </c>
      <c r="H305" s="197" t="s">
        <v>81</v>
      </c>
      <c r="I305" s="242" t="s">
        <v>494</v>
      </c>
      <c r="J305" s="242" t="s">
        <v>13805</v>
      </c>
      <c r="K305" s="195" t="s">
        <v>70</v>
      </c>
      <c r="L305" s="20" t="str">
        <f ca="1">IF(OFFSET(환산공식!$ED$15,$F305,0)=1,"O","X")</f>
        <v>X</v>
      </c>
      <c r="M305" s="188">
        <f ca="1">IFERROR(OFFSET(환산공식!DJ$15,$F305,0),"")</f>
        <v>200</v>
      </c>
      <c r="N305" s="20" t="str">
        <f ca="1">IFERROR(CONCATENATE(ROUND(OFFSET(환산공식!DK$15,$F305,0),1),"%"),"")</f>
        <v>100%</v>
      </c>
      <c r="O305" s="20">
        <f ca="1">IFERROR(OFFSET(환산공식!DL$15,$F305,0),"")</f>
        <v>0</v>
      </c>
      <c r="P305" s="188" t="str">
        <f t="shared" ca="1" si="8"/>
        <v>3% 이하</v>
      </c>
      <c r="Q305" s="194">
        <f ca="1">IFERROR(ROUND(OFFSET(환산공식!$FG$15,$F305,0),3),"")</f>
        <v>0</v>
      </c>
      <c r="R305" s="194">
        <f ca="1">OFFSET('배치점수 계산기'!H$10,$D305,0)</f>
        <v>796.04</v>
      </c>
      <c r="S305" s="194">
        <f ca="1">OFFSET('배치점수 계산기'!I$10,$D305,0)</f>
        <v>793.50300000000004</v>
      </c>
      <c r="T305" s="194">
        <f ca="1">OFFSET('배치점수 계산기'!J$10,$D305,0)</f>
        <v>789.68799999999999</v>
      </c>
      <c r="U305" s="194">
        <f ca="1">OFFSET('배치점수 계산기'!K$10,$D305,0)</f>
        <v>785.52800000000002</v>
      </c>
      <c r="V305" s="194">
        <f ca="1">OFFSET('배치점수 계산기'!L$10,$D305,0)</f>
        <v>783.56700000000001</v>
      </c>
      <c r="W305" s="186" t="str">
        <f ca="1">OFFSET('배치점수 계산기'!M$10,$D305,0)</f>
        <v>표점/만점</v>
      </c>
      <c r="X305" s="184" t="str">
        <f ca="1">OFFSET('배치점수 계산기'!N$10,$D305,0)</f>
        <v>변표/만점</v>
      </c>
      <c r="Y305" s="188">
        <f ca="1">OFFSET(환산공식!FW$15,$F305,0)</f>
        <v>0.25</v>
      </c>
      <c r="Z305" s="20">
        <f ca="1">OFFSET(환산공식!FX$15,$F305,0)</f>
        <v>0.44</v>
      </c>
      <c r="AA305" s="179">
        <f ca="1">OFFSET(환산공식!FY$15,$F305,0)</f>
        <v>0.31</v>
      </c>
      <c r="AB305" s="3"/>
      <c r="AD305">
        <f t="shared" ca="1" si="9"/>
        <v>6</v>
      </c>
    </row>
    <row r="306" spans="1:30">
      <c r="A306" s="198"/>
      <c r="B306" s="198"/>
      <c r="C306" s="198" t="s">
        <v>7346</v>
      </c>
      <c r="D306" s="235">
        <v>2197</v>
      </c>
      <c r="E306" s="195">
        <v>137</v>
      </c>
      <c r="F306" s="195">
        <v>137</v>
      </c>
      <c r="G306" s="239">
        <v>299</v>
      </c>
      <c r="H306" s="197" t="s">
        <v>81</v>
      </c>
      <c r="I306" s="242" t="s">
        <v>494</v>
      </c>
      <c r="J306" s="242" t="s">
        <v>13008</v>
      </c>
      <c r="K306" s="195" t="s">
        <v>71</v>
      </c>
      <c r="L306" s="20" t="str">
        <f ca="1">IF(OFFSET(환산공식!$ED$15,$F306,0)=1,"O","X")</f>
        <v>X</v>
      </c>
      <c r="M306" s="188">
        <f ca="1">IFERROR(OFFSET(환산공식!DJ$15,$F306,0),"")</f>
        <v>200</v>
      </c>
      <c r="N306" s="20" t="str">
        <f ca="1">IFERROR(CONCATENATE(ROUND(OFFSET(환산공식!DK$15,$F306,0),1),"%"),"")</f>
        <v>100%</v>
      </c>
      <c r="O306" s="20">
        <f ca="1">IFERROR(OFFSET(환산공식!DL$15,$F306,0),"")</f>
        <v>0</v>
      </c>
      <c r="P306" s="188" t="str">
        <f t="shared" ca="1" si="8"/>
        <v>3% 이하</v>
      </c>
      <c r="Q306" s="194">
        <f ca="1">IFERROR(ROUND(OFFSET(환산공식!$FG$15,$F306,0),3),"")</f>
        <v>0</v>
      </c>
      <c r="R306" s="194">
        <f ca="1">OFFSET('배치점수 계산기'!H$10,$D306,0)</f>
        <v>832.42100000000005</v>
      </c>
      <c r="S306" s="194">
        <f ca="1">OFFSET('배치점수 계산기'!I$10,$D306,0)</f>
        <v>829.74800000000005</v>
      </c>
      <c r="T306" s="194">
        <f ca="1">OFFSET('배치점수 계산기'!J$10,$D306,0)</f>
        <v>826.50900000000001</v>
      </c>
      <c r="U306" s="194">
        <f ca="1">OFFSET('배치점수 계산기'!K$10,$D306,0)</f>
        <v>823.774</v>
      </c>
      <c r="V306" s="194">
        <f ca="1">OFFSET('배치점수 계산기'!L$10,$D306,0)</f>
        <v>821.01499999999999</v>
      </c>
      <c r="W306" s="186" t="str">
        <f ca="1">OFFSET('배치점수 계산기'!M$10,$D306,0)</f>
        <v>표점/만점</v>
      </c>
      <c r="X306" s="184" t="str">
        <f ca="1">OFFSET('배치점수 계산기'!N$10,$D306,0)</f>
        <v>변표/만점</v>
      </c>
      <c r="Y306" s="188">
        <f ca="1">OFFSET(환산공식!FW$15,$F306,0)</f>
        <v>0.44</v>
      </c>
      <c r="Z306" s="20">
        <f ca="1">OFFSET(환산공식!FX$15,$F306,0)</f>
        <v>0.25</v>
      </c>
      <c r="AA306" s="179">
        <f ca="1">OFFSET(환산공식!FY$15,$F306,0)</f>
        <v>0.31</v>
      </c>
      <c r="AB306" s="3"/>
      <c r="AD306">
        <f t="shared" ca="1" si="9"/>
        <v>6</v>
      </c>
    </row>
    <row r="307" spans="1:30">
      <c r="A307" s="198"/>
      <c r="B307" s="198"/>
      <c r="C307" s="198" t="s">
        <v>7347</v>
      </c>
      <c r="D307" s="235">
        <v>2198</v>
      </c>
      <c r="E307" s="195">
        <v>138</v>
      </c>
      <c r="F307" s="195">
        <v>138</v>
      </c>
      <c r="G307" s="239">
        <v>300</v>
      </c>
      <c r="H307" s="197" t="s">
        <v>81</v>
      </c>
      <c r="I307" s="242" t="s">
        <v>494</v>
      </c>
      <c r="J307" s="242" t="s">
        <v>13101</v>
      </c>
      <c r="K307" s="195" t="s">
        <v>71</v>
      </c>
      <c r="L307" s="20" t="str">
        <f ca="1">IF(OFFSET(환산공식!$ED$15,$F307,0)=1,"O","X")</f>
        <v>X</v>
      </c>
      <c r="M307" s="188">
        <f ca="1">IFERROR(OFFSET(환산공식!DJ$15,$F307,0),"")</f>
        <v>200</v>
      </c>
      <c r="N307" s="20" t="str">
        <f ca="1">IFERROR(CONCATENATE(ROUND(OFFSET(환산공식!DK$15,$F307,0),1),"%"),"")</f>
        <v>100%</v>
      </c>
      <c r="O307" s="20">
        <f ca="1">IFERROR(OFFSET(환산공식!DL$15,$F307,0),"")</f>
        <v>0</v>
      </c>
      <c r="P307" s="188" t="str">
        <f t="shared" ca="1" si="8"/>
        <v>3% 이하</v>
      </c>
      <c r="Q307" s="194">
        <f ca="1">IFERROR(ROUND(OFFSET(환산공식!$FG$15,$F307,0),3),"")</f>
        <v>0</v>
      </c>
      <c r="R307" s="194">
        <f ca="1">OFFSET('배치점수 계산기'!H$10,$D307,0)</f>
        <v>832.86900000000003</v>
      </c>
      <c r="S307" s="194">
        <f ca="1">OFFSET('배치점수 계산기'!I$10,$D307,0)</f>
        <v>829.96299999999997</v>
      </c>
      <c r="T307" s="194">
        <f ca="1">OFFSET('배치점수 계산기'!J$10,$D307,0)</f>
        <v>825.97</v>
      </c>
      <c r="U307" s="194">
        <f ca="1">OFFSET('배치점수 계산기'!K$10,$D307,0)</f>
        <v>821.20500000000004</v>
      </c>
      <c r="V307" s="194">
        <f ca="1">OFFSET('배치점수 계산기'!L$10,$D307,0)</f>
        <v>818.34299999999996</v>
      </c>
      <c r="W307" s="186" t="str">
        <f ca="1">OFFSET('배치점수 계산기'!M$10,$D307,0)</f>
        <v>표점/만점</v>
      </c>
      <c r="X307" s="184" t="str">
        <f ca="1">OFFSET('배치점수 계산기'!N$10,$D307,0)</f>
        <v>변표/만점</v>
      </c>
      <c r="Y307" s="188">
        <f ca="1">OFFSET(환산공식!FW$15,$F307,0)</f>
        <v>0.38</v>
      </c>
      <c r="Z307" s="20">
        <f ca="1">OFFSET(환산공식!FX$15,$F307,0)</f>
        <v>0.37</v>
      </c>
      <c r="AA307" s="179">
        <f ca="1">OFFSET(환산공식!FY$15,$F307,0)</f>
        <v>0.25</v>
      </c>
      <c r="AB307" s="3"/>
      <c r="AD307">
        <f t="shared" ca="1" si="9"/>
        <v>6</v>
      </c>
    </row>
    <row r="308" spans="1:30">
      <c r="A308" s="198"/>
      <c r="B308" s="198"/>
      <c r="C308" s="198" t="s">
        <v>7348</v>
      </c>
      <c r="D308" s="235">
        <v>2199</v>
      </c>
      <c r="E308" s="195">
        <v>137</v>
      </c>
      <c r="F308" s="195">
        <v>137</v>
      </c>
      <c r="G308" s="239">
        <v>301</v>
      </c>
      <c r="H308" s="197" t="s">
        <v>81</v>
      </c>
      <c r="I308" s="242" t="s">
        <v>494</v>
      </c>
      <c r="J308" s="242" t="s">
        <v>13267</v>
      </c>
      <c r="K308" s="195" t="s">
        <v>71</v>
      </c>
      <c r="L308" s="20" t="str">
        <f ca="1">IF(OFFSET(환산공식!$ED$15,$F308,0)=1,"O","X")</f>
        <v>X</v>
      </c>
      <c r="M308" s="188">
        <f ca="1">IFERROR(OFFSET(환산공식!DJ$15,$F308,0),"")</f>
        <v>200</v>
      </c>
      <c r="N308" s="20" t="str">
        <f ca="1">IFERROR(CONCATENATE(ROUND(OFFSET(환산공식!DK$15,$F308,0),1),"%"),"")</f>
        <v>100%</v>
      </c>
      <c r="O308" s="20">
        <f ca="1">IFERROR(OFFSET(환산공식!DL$15,$F308,0),"")</f>
        <v>0</v>
      </c>
      <c r="P308" s="188" t="str">
        <f t="shared" ca="1" si="8"/>
        <v>3% 이하</v>
      </c>
      <c r="Q308" s="194">
        <f ca="1">IFERROR(ROUND(OFFSET(환산공식!$FG$15,$F308,0),3),"")</f>
        <v>0</v>
      </c>
      <c r="R308" s="194">
        <f ca="1">OFFSET('배치점수 계산기'!H$10,$D308,0)</f>
        <v>825.79300000000001</v>
      </c>
      <c r="S308" s="194">
        <f ca="1">OFFSET('배치점수 계산기'!I$10,$D308,0)</f>
        <v>822.86599999999999</v>
      </c>
      <c r="T308" s="194">
        <f ca="1">OFFSET('배치점수 계산기'!J$10,$D308,0)</f>
        <v>818.70500000000004</v>
      </c>
      <c r="U308" s="194">
        <f ca="1">OFFSET('배치점수 계산기'!K$10,$D308,0)</f>
        <v>815.00099999999998</v>
      </c>
      <c r="V308" s="194">
        <f ca="1">OFFSET('배치점수 계산기'!L$10,$D308,0)</f>
        <v>812.71199999999999</v>
      </c>
      <c r="W308" s="186" t="str">
        <f ca="1">OFFSET('배치점수 계산기'!M$10,$D308,0)</f>
        <v>표점/만점</v>
      </c>
      <c r="X308" s="184" t="str">
        <f ca="1">OFFSET('배치점수 계산기'!N$10,$D308,0)</f>
        <v>변표/만점</v>
      </c>
      <c r="Y308" s="188">
        <f ca="1">OFFSET(환산공식!FW$15,$F308,0)</f>
        <v>0.44</v>
      </c>
      <c r="Z308" s="20">
        <f ca="1">OFFSET(환산공식!FX$15,$F308,0)</f>
        <v>0.25</v>
      </c>
      <c r="AA308" s="179">
        <f ca="1">OFFSET(환산공식!FY$15,$F308,0)</f>
        <v>0.31</v>
      </c>
      <c r="AB308" s="3"/>
      <c r="AD308">
        <f t="shared" ca="1" si="9"/>
        <v>6</v>
      </c>
    </row>
    <row r="309" spans="1:30">
      <c r="A309" s="198"/>
      <c r="B309" s="198"/>
      <c r="C309" s="198" t="s">
        <v>7349</v>
      </c>
      <c r="D309" s="235">
        <v>2200</v>
      </c>
      <c r="E309" s="195">
        <v>138</v>
      </c>
      <c r="F309" s="195">
        <v>138</v>
      </c>
      <c r="G309" s="239">
        <v>302</v>
      </c>
      <c r="H309" s="197" t="s">
        <v>81</v>
      </c>
      <c r="I309" s="242" t="s">
        <v>494</v>
      </c>
      <c r="J309" s="242" t="s">
        <v>16752</v>
      </c>
      <c r="K309" s="195" t="s">
        <v>71</v>
      </c>
      <c r="L309" s="20" t="str">
        <f ca="1">IF(OFFSET(환산공식!$ED$15,$F309,0)=1,"O","X")</f>
        <v>X</v>
      </c>
      <c r="M309" s="188">
        <f ca="1">IFERROR(OFFSET(환산공식!DJ$15,$F309,0),"")</f>
        <v>200</v>
      </c>
      <c r="N309" s="20" t="str">
        <f ca="1">IFERROR(CONCATENATE(ROUND(OFFSET(환산공식!DK$15,$F309,0),1),"%"),"")</f>
        <v>100%</v>
      </c>
      <c r="O309" s="20">
        <f ca="1">IFERROR(OFFSET(환산공식!DL$15,$F309,0),"")</f>
        <v>0</v>
      </c>
      <c r="P309" s="188" t="str">
        <f t="shared" ca="1" si="8"/>
        <v>3% 이하</v>
      </c>
      <c r="Q309" s="194">
        <f ca="1">IFERROR(ROUND(OFFSET(환산공식!$FG$15,$F309,0),3),"")</f>
        <v>0</v>
      </c>
      <c r="R309" s="194">
        <f ca="1">OFFSET('배치점수 계산기'!H$10,$D309,0)</f>
        <v>825.97</v>
      </c>
      <c r="S309" s="194">
        <f ca="1">OFFSET('배치점수 계산기'!I$10,$D309,0)</f>
        <v>822.58699999999999</v>
      </c>
      <c r="T309" s="194">
        <f ca="1">OFFSET('배치점수 계산기'!J$10,$D309,0)</f>
        <v>818.76300000000003</v>
      </c>
      <c r="U309" s="194">
        <f ca="1">OFFSET('배치점수 계산기'!K$10,$D309,0)</f>
        <v>814.44100000000003</v>
      </c>
      <c r="V309" s="194">
        <f ca="1">OFFSET('배치점수 계산기'!L$10,$D309,0)</f>
        <v>811.64700000000005</v>
      </c>
      <c r="W309" s="186" t="str">
        <f ca="1">OFFSET('배치점수 계산기'!M$10,$D309,0)</f>
        <v>표점/만점</v>
      </c>
      <c r="X309" s="184" t="str">
        <f ca="1">OFFSET('배치점수 계산기'!N$10,$D309,0)</f>
        <v>변표/만점</v>
      </c>
      <c r="Y309" s="188">
        <f ca="1">OFFSET(환산공식!FW$15,$F309,0)</f>
        <v>0.38</v>
      </c>
      <c r="Z309" s="20">
        <f ca="1">OFFSET(환산공식!FX$15,$F309,0)</f>
        <v>0.37</v>
      </c>
      <c r="AA309" s="179">
        <f ca="1">OFFSET(환산공식!FY$15,$F309,0)</f>
        <v>0.25</v>
      </c>
      <c r="AB309" s="3"/>
      <c r="AD309">
        <f t="shared" ca="1" si="9"/>
        <v>6</v>
      </c>
    </row>
    <row r="310" spans="1:30">
      <c r="A310" s="198"/>
      <c r="B310" s="198"/>
      <c r="C310" s="198" t="s">
        <v>7350</v>
      </c>
      <c r="D310" s="235">
        <v>2201</v>
      </c>
      <c r="E310" s="195">
        <v>138</v>
      </c>
      <c r="F310" s="195">
        <v>138</v>
      </c>
      <c r="G310" s="239">
        <v>303</v>
      </c>
      <c r="H310" s="197" t="s">
        <v>81</v>
      </c>
      <c r="I310" s="242" t="s">
        <v>494</v>
      </c>
      <c r="J310" s="242" t="s">
        <v>13414</v>
      </c>
      <c r="K310" s="195" t="s">
        <v>71</v>
      </c>
      <c r="L310" s="20" t="str">
        <f ca="1">IF(OFFSET(환산공식!$ED$15,$F310,0)=1,"O","X")</f>
        <v>X</v>
      </c>
      <c r="M310" s="188">
        <f ca="1">IFERROR(OFFSET(환산공식!DJ$15,$F310,0),"")</f>
        <v>200</v>
      </c>
      <c r="N310" s="20" t="str">
        <f ca="1">IFERROR(CONCATENATE(ROUND(OFFSET(환산공식!DK$15,$F310,0),1),"%"),"")</f>
        <v>100%</v>
      </c>
      <c r="O310" s="20">
        <f ca="1">IFERROR(OFFSET(환산공식!DL$15,$F310,0),"")</f>
        <v>0</v>
      </c>
      <c r="P310" s="188" t="str">
        <f t="shared" ca="1" si="8"/>
        <v>3% 이하</v>
      </c>
      <c r="Q310" s="194">
        <f ca="1">IFERROR(ROUND(OFFSET(환산공식!$FG$15,$F310,0),3),"")</f>
        <v>0</v>
      </c>
      <c r="R310" s="194">
        <f ca="1">OFFSET('배치점수 계산기'!H$10,$D310,0)</f>
        <v>821.74699999999996</v>
      </c>
      <c r="S310" s="194">
        <f ca="1">OFFSET('배치점수 계산기'!I$10,$D310,0)</f>
        <v>818.41700000000003</v>
      </c>
      <c r="T310" s="194">
        <f ca="1">OFFSET('배치점수 계산기'!J$10,$D310,0)</f>
        <v>814.44100000000003</v>
      </c>
      <c r="U310" s="194">
        <f ca="1">OFFSET('배치점수 계산기'!K$10,$D310,0)</f>
        <v>810.99599999999998</v>
      </c>
      <c r="V310" s="194">
        <f ca="1">OFFSET('배치점수 계산기'!L$10,$D310,0)</f>
        <v>808.11199999999997</v>
      </c>
      <c r="W310" s="186" t="str">
        <f ca="1">OFFSET('배치점수 계산기'!M$10,$D310,0)</f>
        <v>표점/만점</v>
      </c>
      <c r="X310" s="184" t="str">
        <f ca="1">OFFSET('배치점수 계산기'!N$10,$D310,0)</f>
        <v>변표/만점</v>
      </c>
      <c r="Y310" s="188">
        <f ca="1">OFFSET(환산공식!FW$15,$F310,0)</f>
        <v>0.38</v>
      </c>
      <c r="Z310" s="20">
        <f ca="1">OFFSET(환산공식!FX$15,$F310,0)</f>
        <v>0.37</v>
      </c>
      <c r="AA310" s="179">
        <f ca="1">OFFSET(환산공식!FY$15,$F310,0)</f>
        <v>0.25</v>
      </c>
      <c r="AB310" s="3"/>
      <c r="AD310">
        <f t="shared" ca="1" si="9"/>
        <v>6</v>
      </c>
    </row>
    <row r="311" spans="1:30">
      <c r="A311" s="198"/>
      <c r="B311" s="198"/>
      <c r="C311" s="198" t="s">
        <v>7379</v>
      </c>
      <c r="D311" s="235">
        <v>2202</v>
      </c>
      <c r="E311" s="195">
        <v>292</v>
      </c>
      <c r="F311" s="195">
        <v>292</v>
      </c>
      <c r="G311" s="239">
        <v>304</v>
      </c>
      <c r="H311" s="197" t="s">
        <v>81</v>
      </c>
      <c r="I311" s="242" t="s">
        <v>497</v>
      </c>
      <c r="J311" s="242" t="s">
        <v>9611</v>
      </c>
      <c r="K311" s="195" t="s">
        <v>71</v>
      </c>
      <c r="L311" s="20" t="str">
        <f ca="1">IF(OFFSET(환산공식!$ED$15,$F311,0)=1,"O","X")</f>
        <v>X</v>
      </c>
      <c r="M311" s="188">
        <f ca="1">IFERROR(OFFSET(환산공식!DJ$15,$F311,0),"")</f>
        <v>100</v>
      </c>
      <c r="N311" s="20" t="str">
        <f ca="1">IFERROR(CONCATENATE(ROUND(OFFSET(환산공식!DK$15,$F311,0),1),"%"),"")</f>
        <v>100%</v>
      </c>
      <c r="O311" s="20">
        <f ca="1">IFERROR(OFFSET(환산공식!DL$15,$F311,0),"")</f>
        <v>1.5</v>
      </c>
      <c r="P311" s="188" t="str">
        <f t="shared" ca="1" si="8"/>
        <v>3% 이하</v>
      </c>
      <c r="Q311" s="194">
        <f ca="1">IFERROR(ROUND(OFFSET(환산공식!$FG$15,$F311,0),3),"")</f>
        <v>0</v>
      </c>
      <c r="R311" s="194">
        <f ca="1">OFFSET('배치점수 계산기'!H$10,$D311,0)</f>
        <v>264.98</v>
      </c>
      <c r="S311" s="194">
        <f ca="1">OFFSET('배치점수 계산기'!I$10,$D311,0)</f>
        <v>259.86</v>
      </c>
      <c r="T311" s="194">
        <f ca="1">OFFSET('배치점수 계산기'!J$10,$D311,0)</f>
        <v>256.07</v>
      </c>
      <c r="U311" s="194">
        <f ca="1">OFFSET('배치점수 계산기'!K$10,$D311,0)</f>
        <v>248.83</v>
      </c>
      <c r="V311" s="194">
        <f ca="1">OFFSET('배치점수 계산기'!L$10,$D311,0)</f>
        <v>240.02</v>
      </c>
      <c r="W311" s="186" t="str">
        <f ca="1">OFFSET('배치점수 계산기'!M$10,$D311,0)</f>
        <v>백분위</v>
      </c>
      <c r="X311" s="184" t="str">
        <f ca="1">OFFSET('배치점수 계산기'!N$10,$D311,0)</f>
        <v>백분위</v>
      </c>
      <c r="Y311" s="188">
        <f ca="1">OFFSET(환산공식!FW$15,$F311,0)</f>
        <v>0.33</v>
      </c>
      <c r="Z311" s="20">
        <f ca="1">OFFSET(환산공식!FX$15,$F311,0)</f>
        <v>0.33</v>
      </c>
      <c r="AA311" s="179">
        <f ca="1">OFFSET(환산공식!FY$15,$F311,0)</f>
        <v>0.33</v>
      </c>
      <c r="AB311" s="3"/>
      <c r="AD311">
        <f t="shared" ca="1" si="9"/>
        <v>6</v>
      </c>
    </row>
    <row r="312" spans="1:30">
      <c r="A312" s="198"/>
      <c r="B312" s="198"/>
      <c r="C312" s="198" t="s">
        <v>7380</v>
      </c>
      <c r="D312" s="235">
        <v>2203</v>
      </c>
      <c r="E312" s="195">
        <v>293</v>
      </c>
      <c r="F312" s="195">
        <v>293</v>
      </c>
      <c r="G312" s="239">
        <v>305</v>
      </c>
      <c r="H312" s="197" t="s">
        <v>81</v>
      </c>
      <c r="I312" s="242" t="s">
        <v>497</v>
      </c>
      <c r="J312" s="242" t="s">
        <v>501</v>
      </c>
      <c r="K312" s="195" t="s">
        <v>71</v>
      </c>
      <c r="L312" s="20" t="str">
        <f ca="1">IF(OFFSET(환산공식!$ED$15,$F312,0)=1,"O","X")</f>
        <v>X</v>
      </c>
      <c r="M312" s="188">
        <f ca="1">IFERROR(OFFSET(환산공식!DJ$15,$F312,0),"")</f>
        <v>100</v>
      </c>
      <c r="N312" s="20" t="str">
        <f ca="1">IFERROR(CONCATENATE(ROUND(OFFSET(환산공식!DK$15,$F312,0),1),"%"),"")</f>
        <v>100%</v>
      </c>
      <c r="O312" s="20">
        <f ca="1">IFERROR(OFFSET(환산공식!DL$15,$F312,0),"")</f>
        <v>1.5</v>
      </c>
      <c r="P312" s="188" t="str">
        <f t="shared" ca="1" si="8"/>
        <v>3% 이하</v>
      </c>
      <c r="Q312" s="194">
        <f ca="1">IFERROR(ROUND(OFFSET(환산공식!$FG$15,$F312,0),3),"")</f>
        <v>0</v>
      </c>
      <c r="R312" s="194">
        <f ca="1">OFFSET('배치점수 계산기'!H$10,$D312,0)</f>
        <v>238.05</v>
      </c>
      <c r="S312" s="194">
        <f ca="1">OFFSET('배치점수 계산기'!I$10,$D312,0)</f>
        <v>233.8</v>
      </c>
      <c r="T312" s="194">
        <f ca="1">OFFSET('배치점수 계산기'!J$10,$D312,0)</f>
        <v>231.21</v>
      </c>
      <c r="U312" s="194">
        <f ca="1">OFFSET('배치점수 계산기'!K$10,$D312,0)</f>
        <v>225.7</v>
      </c>
      <c r="V312" s="194">
        <f ca="1">OFFSET('배치점수 계산기'!L$10,$D312,0)</f>
        <v>219.32</v>
      </c>
      <c r="W312" s="186" t="str">
        <f ca="1">OFFSET('배치점수 계산기'!M$10,$D312,0)</f>
        <v>백분위</v>
      </c>
      <c r="X312" s="184" t="str">
        <f ca="1">OFFSET('배치점수 계산기'!N$10,$D312,0)</f>
        <v>백분위</v>
      </c>
      <c r="Y312" s="188">
        <f ca="1">OFFSET(환산공식!FW$15,$F312,0)</f>
        <v>0.33</v>
      </c>
      <c r="Z312" s="20">
        <f ca="1">OFFSET(환산공식!FX$15,$F312,0)</f>
        <v>0.33</v>
      </c>
      <c r="AA312" s="179">
        <f ca="1">OFFSET(환산공식!FY$15,$F312,0)</f>
        <v>0.33</v>
      </c>
      <c r="AB312" s="3"/>
      <c r="AD312">
        <f t="shared" ca="1" si="9"/>
        <v>6</v>
      </c>
    </row>
    <row r="313" spans="1:30">
      <c r="A313" s="198"/>
      <c r="B313" s="198"/>
      <c r="C313" s="198" t="s">
        <v>7381</v>
      </c>
      <c r="D313" s="235">
        <v>2204</v>
      </c>
      <c r="E313" s="195">
        <v>292</v>
      </c>
      <c r="F313" s="195">
        <v>292</v>
      </c>
      <c r="G313" s="239">
        <v>306</v>
      </c>
      <c r="H313" s="197" t="s">
        <v>81</v>
      </c>
      <c r="I313" s="242" t="s">
        <v>497</v>
      </c>
      <c r="J313" s="242" t="s">
        <v>502</v>
      </c>
      <c r="K313" s="195" t="s">
        <v>71</v>
      </c>
      <c r="L313" s="20" t="str">
        <f ca="1">IF(OFFSET(환산공식!$ED$15,$F313,0)=1,"O","X")</f>
        <v>X</v>
      </c>
      <c r="M313" s="188">
        <f ca="1">IFERROR(OFFSET(환산공식!DJ$15,$F313,0),"")</f>
        <v>100</v>
      </c>
      <c r="N313" s="20" t="str">
        <f ca="1">IFERROR(CONCATENATE(ROUND(OFFSET(환산공식!DK$15,$F313,0),1),"%"),"")</f>
        <v>100%</v>
      </c>
      <c r="O313" s="20">
        <f ca="1">IFERROR(OFFSET(환산공식!DL$15,$F313,0),"")</f>
        <v>1.5</v>
      </c>
      <c r="P313" s="188" t="str">
        <f t="shared" ca="1" si="8"/>
        <v>3% 이하</v>
      </c>
      <c r="Q313" s="194">
        <f ca="1">IFERROR(ROUND(OFFSET(환산공식!$FG$15,$F313,0),3),"")</f>
        <v>0</v>
      </c>
      <c r="R313" s="194">
        <f ca="1">OFFSET('배치점수 계산기'!H$10,$D313,0)</f>
        <v>229.9</v>
      </c>
      <c r="S313" s="194">
        <f ca="1">OFFSET('배치점수 계산기'!I$10,$D313,0)</f>
        <v>225.9</v>
      </c>
      <c r="T313" s="194">
        <f ca="1">OFFSET('배치점수 계산기'!J$10,$D313,0)</f>
        <v>223.52</v>
      </c>
      <c r="U313" s="194">
        <f ca="1">OFFSET('배치점수 계산기'!K$10,$D313,0)</f>
        <v>218.46</v>
      </c>
      <c r="V313" s="194">
        <f ca="1">OFFSET('배치점수 계산기'!L$10,$D313,0)</f>
        <v>211.64</v>
      </c>
      <c r="W313" s="186" t="str">
        <f ca="1">OFFSET('배치점수 계산기'!M$10,$D313,0)</f>
        <v>백분위</v>
      </c>
      <c r="X313" s="184" t="str">
        <f ca="1">OFFSET('배치점수 계산기'!N$10,$D313,0)</f>
        <v>백분위</v>
      </c>
      <c r="Y313" s="188">
        <f ca="1">OFFSET(환산공식!FW$15,$F313,0)</f>
        <v>0.33</v>
      </c>
      <c r="Z313" s="20">
        <f ca="1">OFFSET(환산공식!FX$15,$F313,0)</f>
        <v>0.33</v>
      </c>
      <c r="AA313" s="179">
        <f ca="1">OFFSET(환산공식!FY$15,$F313,0)</f>
        <v>0.33</v>
      </c>
      <c r="AB313" s="3"/>
      <c r="AD313">
        <f t="shared" ca="1" si="9"/>
        <v>6</v>
      </c>
    </row>
    <row r="314" spans="1:30">
      <c r="A314" s="198"/>
      <c r="B314" s="198"/>
      <c r="C314" s="198" t="s">
        <v>7382</v>
      </c>
      <c r="D314" s="235">
        <v>2205</v>
      </c>
      <c r="E314" s="195">
        <v>293</v>
      </c>
      <c r="F314" s="195">
        <v>293</v>
      </c>
      <c r="G314" s="239">
        <v>307</v>
      </c>
      <c r="H314" s="197" t="s">
        <v>81</v>
      </c>
      <c r="I314" s="242" t="s">
        <v>497</v>
      </c>
      <c r="J314" s="242" t="s">
        <v>499</v>
      </c>
      <c r="K314" s="195" t="s">
        <v>71</v>
      </c>
      <c r="L314" s="20" t="str">
        <f ca="1">IF(OFFSET(환산공식!$ED$15,$F314,0)=1,"O","X")</f>
        <v>X</v>
      </c>
      <c r="M314" s="188">
        <f ca="1">IFERROR(OFFSET(환산공식!DJ$15,$F314,0),"")</f>
        <v>100</v>
      </c>
      <c r="N314" s="20" t="str">
        <f ca="1">IFERROR(CONCATENATE(ROUND(OFFSET(환산공식!DK$15,$F314,0),1),"%"),"")</f>
        <v>100%</v>
      </c>
      <c r="O314" s="20">
        <f ca="1">IFERROR(OFFSET(환산공식!DL$15,$F314,0),"")</f>
        <v>1.5</v>
      </c>
      <c r="P314" s="188" t="str">
        <f t="shared" ca="1" si="8"/>
        <v>3% 이하</v>
      </c>
      <c r="Q314" s="194">
        <f ca="1">IFERROR(ROUND(OFFSET(환산공식!$FG$15,$F314,0),3),"")</f>
        <v>0</v>
      </c>
      <c r="R314" s="194">
        <f ca="1">OFFSET('배치점수 계산기'!H$10,$D314,0)</f>
        <v>227.01</v>
      </c>
      <c r="S314" s="194">
        <f ca="1">OFFSET('배치점수 계산기'!I$10,$D314,0)</f>
        <v>224.58</v>
      </c>
      <c r="T314" s="194">
        <f ca="1">OFFSET('배치점수 계산기'!J$10,$D314,0)</f>
        <v>221.04</v>
      </c>
      <c r="U314" s="194">
        <f ca="1">OFFSET('배치점수 계산기'!K$10,$D314,0)</f>
        <v>217.96</v>
      </c>
      <c r="V314" s="194">
        <f ca="1">OFFSET('배치점수 계산기'!L$10,$D314,0)</f>
        <v>216.59</v>
      </c>
      <c r="W314" s="186" t="str">
        <f ca="1">OFFSET('배치점수 계산기'!M$10,$D314,0)</f>
        <v>백분위</v>
      </c>
      <c r="X314" s="184" t="str">
        <f ca="1">OFFSET('배치점수 계산기'!N$10,$D314,0)</f>
        <v>백분위</v>
      </c>
      <c r="Y314" s="188">
        <f ca="1">OFFSET(환산공식!FW$15,$F314,0)</f>
        <v>0.33</v>
      </c>
      <c r="Z314" s="20">
        <f ca="1">OFFSET(환산공식!FX$15,$F314,0)</f>
        <v>0.33</v>
      </c>
      <c r="AA314" s="179">
        <f ca="1">OFFSET(환산공식!FY$15,$F314,0)</f>
        <v>0.33</v>
      </c>
      <c r="AB314" s="3"/>
      <c r="AD314">
        <f t="shared" ca="1" si="9"/>
        <v>6</v>
      </c>
    </row>
    <row r="315" spans="1:30">
      <c r="A315" s="198"/>
      <c r="B315" s="198"/>
      <c r="C315" s="198" t="s">
        <v>7383</v>
      </c>
      <c r="D315" s="235">
        <v>2206</v>
      </c>
      <c r="E315" s="195">
        <v>292</v>
      </c>
      <c r="F315" s="195">
        <v>292</v>
      </c>
      <c r="G315" s="239">
        <v>308</v>
      </c>
      <c r="H315" s="197" t="s">
        <v>81</v>
      </c>
      <c r="I315" s="242" t="s">
        <v>497</v>
      </c>
      <c r="J315" s="242" t="s">
        <v>13638</v>
      </c>
      <c r="K315" s="195" t="s">
        <v>71</v>
      </c>
      <c r="L315" s="20" t="str">
        <f ca="1">IF(OFFSET(환산공식!$ED$15,$F315,0)=1,"O","X")</f>
        <v>X</v>
      </c>
      <c r="M315" s="188">
        <f ca="1">IFERROR(OFFSET(환산공식!DJ$15,$F315,0),"")</f>
        <v>100</v>
      </c>
      <c r="N315" s="20" t="str">
        <f ca="1">IFERROR(CONCATENATE(ROUND(OFFSET(환산공식!DK$15,$F315,0),1),"%"),"")</f>
        <v>100%</v>
      </c>
      <c r="O315" s="20">
        <f ca="1">IFERROR(OFFSET(환산공식!DL$15,$F315,0),"")</f>
        <v>1.5</v>
      </c>
      <c r="P315" s="188" t="str">
        <f t="shared" ca="1" si="8"/>
        <v>3% 이하</v>
      </c>
      <c r="Q315" s="194">
        <f ca="1">IFERROR(ROUND(OFFSET(환산공식!$FG$15,$F315,0),3),"")</f>
        <v>0</v>
      </c>
      <c r="R315" s="194">
        <f ca="1">OFFSET('배치점수 계산기'!H$10,$D315,0)</f>
        <v>224.28</v>
      </c>
      <c r="S315" s="194">
        <f ca="1">OFFSET('배치점수 계산기'!I$10,$D315,0)</f>
        <v>221.04</v>
      </c>
      <c r="T315" s="194">
        <f ca="1">OFFSET('배치점수 계산기'!J$10,$D315,0)</f>
        <v>219.12</v>
      </c>
      <c r="U315" s="194">
        <f ca="1">OFFSET('배치점수 계산기'!K$10,$D315,0)</f>
        <v>212.86</v>
      </c>
      <c r="V315" s="194">
        <f ca="1">OFFSET('배치점수 계산기'!L$10,$D315,0)</f>
        <v>207.24</v>
      </c>
      <c r="W315" s="186" t="str">
        <f ca="1">OFFSET('배치점수 계산기'!M$10,$D315,0)</f>
        <v>백분위</v>
      </c>
      <c r="X315" s="184" t="str">
        <f ca="1">OFFSET('배치점수 계산기'!N$10,$D315,0)</f>
        <v>백분위</v>
      </c>
      <c r="Y315" s="188">
        <f ca="1">OFFSET(환산공식!FW$15,$F315,0)</f>
        <v>0.33</v>
      </c>
      <c r="Z315" s="20">
        <f ca="1">OFFSET(환산공식!FX$15,$F315,0)</f>
        <v>0.33</v>
      </c>
      <c r="AA315" s="179">
        <f ca="1">OFFSET(환산공식!FY$15,$F315,0)</f>
        <v>0.33</v>
      </c>
      <c r="AB315" s="3"/>
      <c r="AD315">
        <f t="shared" ca="1" si="9"/>
        <v>6</v>
      </c>
    </row>
    <row r="316" spans="1:30">
      <c r="A316" s="198"/>
      <c r="B316" s="198"/>
      <c r="C316" s="198" t="s">
        <v>7384</v>
      </c>
      <c r="D316" s="235">
        <v>2207</v>
      </c>
      <c r="E316" s="195">
        <v>292</v>
      </c>
      <c r="F316" s="195">
        <v>292</v>
      </c>
      <c r="G316" s="239">
        <v>309</v>
      </c>
      <c r="H316" s="197" t="s">
        <v>81</v>
      </c>
      <c r="I316" s="242" t="s">
        <v>497</v>
      </c>
      <c r="J316" s="242" t="s">
        <v>13794</v>
      </c>
      <c r="K316" s="195" t="s">
        <v>71</v>
      </c>
      <c r="L316" s="20" t="str">
        <f ca="1">IF(OFFSET(환산공식!$ED$15,$F316,0)=1,"O","X")</f>
        <v>X</v>
      </c>
      <c r="M316" s="188">
        <f ca="1">IFERROR(OFFSET(환산공식!DJ$15,$F316,0),"")</f>
        <v>100</v>
      </c>
      <c r="N316" s="20" t="str">
        <f ca="1">IFERROR(CONCATENATE(ROUND(OFFSET(환산공식!DK$15,$F316,0),1),"%"),"")</f>
        <v>100%</v>
      </c>
      <c r="O316" s="20">
        <f ca="1">IFERROR(OFFSET(환산공식!DL$15,$F316,0),"")</f>
        <v>1.5</v>
      </c>
      <c r="P316" s="188" t="str">
        <f t="shared" ca="1" si="8"/>
        <v>3% 이하</v>
      </c>
      <c r="Q316" s="194">
        <f ca="1">IFERROR(ROUND(OFFSET(환산공식!$FG$15,$F316,0),3),"")</f>
        <v>0</v>
      </c>
      <c r="R316" s="194">
        <f ca="1">OFFSET('배치점수 계산기'!H$10,$D316,0)</f>
        <v>220.48</v>
      </c>
      <c r="S316" s="194">
        <f ca="1">OFFSET('배치점수 계산기'!I$10,$D316,0)</f>
        <v>217.09</v>
      </c>
      <c r="T316" s="194">
        <f ca="1">OFFSET('배치점수 계산기'!J$10,$D316,0)</f>
        <v>213.72</v>
      </c>
      <c r="U316" s="194">
        <f ca="1">OFFSET('배치점수 계산기'!K$10,$D316,0)</f>
        <v>209.57</v>
      </c>
      <c r="V316" s="194">
        <f ca="1">OFFSET('배치점수 계산기'!L$10,$D316,0)</f>
        <v>202.39</v>
      </c>
      <c r="W316" s="186" t="str">
        <f ca="1">OFFSET('배치점수 계산기'!M$10,$D316,0)</f>
        <v>백분위</v>
      </c>
      <c r="X316" s="184" t="str">
        <f ca="1">OFFSET('배치점수 계산기'!N$10,$D316,0)</f>
        <v>백분위</v>
      </c>
      <c r="Y316" s="188">
        <f ca="1">OFFSET(환산공식!FW$15,$F316,0)</f>
        <v>0.33</v>
      </c>
      <c r="Z316" s="20">
        <f ca="1">OFFSET(환산공식!FX$15,$F316,0)</f>
        <v>0.33</v>
      </c>
      <c r="AA316" s="179">
        <f ca="1">OFFSET(환산공식!FY$15,$F316,0)</f>
        <v>0.33</v>
      </c>
      <c r="AB316" s="3"/>
      <c r="AD316">
        <f t="shared" ca="1" si="9"/>
        <v>6</v>
      </c>
    </row>
    <row r="317" spans="1:30">
      <c r="A317" s="198"/>
      <c r="B317" s="198"/>
      <c r="C317" s="198" t="s">
        <v>7385</v>
      </c>
      <c r="D317" s="235">
        <v>2208</v>
      </c>
      <c r="E317" s="195">
        <v>293</v>
      </c>
      <c r="F317" s="195">
        <v>293</v>
      </c>
      <c r="G317" s="239">
        <v>310</v>
      </c>
      <c r="H317" s="197" t="s">
        <v>81</v>
      </c>
      <c r="I317" s="242" t="s">
        <v>497</v>
      </c>
      <c r="J317" s="242" t="s">
        <v>503</v>
      </c>
      <c r="K317" s="195" t="s">
        <v>71</v>
      </c>
      <c r="L317" s="20" t="str">
        <f ca="1">IF(OFFSET(환산공식!$ED$15,$F317,0)=1,"O","X")</f>
        <v>X</v>
      </c>
      <c r="M317" s="188">
        <f ca="1">IFERROR(OFFSET(환산공식!DJ$15,$F317,0),"")</f>
        <v>100</v>
      </c>
      <c r="N317" s="20" t="str">
        <f ca="1">IFERROR(CONCATENATE(ROUND(OFFSET(환산공식!DK$15,$F317,0),1),"%"),"")</f>
        <v>100%</v>
      </c>
      <c r="O317" s="20">
        <f ca="1">IFERROR(OFFSET(환산공식!DL$15,$F317,0),"")</f>
        <v>1.5</v>
      </c>
      <c r="P317" s="188" t="str">
        <f t="shared" ca="1" si="8"/>
        <v>3% 이하</v>
      </c>
      <c r="Q317" s="194">
        <f ca="1">IFERROR(ROUND(OFFSET(환산공식!$FG$15,$F317,0),3),"")</f>
        <v>0</v>
      </c>
      <c r="R317" s="194">
        <f ca="1">OFFSET('배치점수 계산기'!H$10,$D317,0)</f>
        <v>217.9</v>
      </c>
      <c r="S317" s="194">
        <f ca="1">OFFSET('배치점수 계산기'!I$10,$D317,0)</f>
        <v>213.46</v>
      </c>
      <c r="T317" s="194">
        <f ca="1">OFFSET('배치점수 계산기'!J$10,$D317,0)</f>
        <v>211.64</v>
      </c>
      <c r="U317" s="194">
        <f ca="1">OFFSET('배치점수 계산기'!K$10,$D317,0)</f>
        <v>206.68</v>
      </c>
      <c r="V317" s="194">
        <f ca="1">OFFSET('배치점수 계산기'!L$10,$D317,0)</f>
        <v>198.9</v>
      </c>
      <c r="W317" s="186" t="str">
        <f ca="1">OFFSET('배치점수 계산기'!M$10,$D317,0)</f>
        <v>백분위</v>
      </c>
      <c r="X317" s="184" t="str">
        <f ca="1">OFFSET('배치점수 계산기'!N$10,$D317,0)</f>
        <v>백분위</v>
      </c>
      <c r="Y317" s="188">
        <f ca="1">OFFSET(환산공식!FW$15,$F317,0)</f>
        <v>0.33</v>
      </c>
      <c r="Z317" s="20">
        <f ca="1">OFFSET(환산공식!FX$15,$F317,0)</f>
        <v>0.33</v>
      </c>
      <c r="AA317" s="179">
        <f ca="1">OFFSET(환산공식!FY$15,$F317,0)</f>
        <v>0.33</v>
      </c>
      <c r="AB317" s="3"/>
      <c r="AD317">
        <f t="shared" ca="1" si="9"/>
        <v>6</v>
      </c>
    </row>
    <row r="318" spans="1:30">
      <c r="A318" s="198"/>
      <c r="B318" s="198"/>
      <c r="C318" s="198" t="s">
        <v>7386</v>
      </c>
      <c r="D318" s="235">
        <v>2209</v>
      </c>
      <c r="E318" s="195">
        <v>190</v>
      </c>
      <c r="F318" s="195">
        <v>190</v>
      </c>
      <c r="G318" s="239">
        <v>311</v>
      </c>
      <c r="H318" s="197" t="s">
        <v>81</v>
      </c>
      <c r="I318" s="242" t="s">
        <v>8000</v>
      </c>
      <c r="J318" s="242" t="s">
        <v>13913</v>
      </c>
      <c r="K318" s="195" t="s">
        <v>70</v>
      </c>
      <c r="L318" s="20" t="str">
        <f ca="1">IF(OFFSET(환산공식!$ED$15,$F318,0)=1,"O","X")</f>
        <v>X</v>
      </c>
      <c r="M318" s="188">
        <f ca="1">IFERROR(OFFSET(환산공식!DJ$15,$F318,0),"")</f>
        <v>200</v>
      </c>
      <c r="N318" s="20" t="str">
        <f ca="1">IFERROR(CONCATENATE(ROUND(OFFSET(환산공식!DK$15,$F318,0),1),"%"),"")</f>
        <v>100%</v>
      </c>
      <c r="O318" s="20">
        <f ca="1">IFERROR(OFFSET(환산공식!DL$15,$F318,0),"")</f>
        <v>0</v>
      </c>
      <c r="P318" s="188" t="str">
        <f t="shared" ca="1" si="8"/>
        <v>3% 이하</v>
      </c>
      <c r="Q318" s="194">
        <f ca="1">IFERROR(ROUND(OFFSET(환산공식!$FG$15,$F318,0),3),"")</f>
        <v>0</v>
      </c>
      <c r="R318" s="194">
        <f ca="1">OFFSET('배치점수 계산기'!H$10,$D318,0)</f>
        <v>836.64599999999996</v>
      </c>
      <c r="S318" s="194">
        <f ca="1">OFFSET('배치점수 계산기'!I$10,$D318,0)</f>
        <v>834.38900000000001</v>
      </c>
      <c r="T318" s="194">
        <f ca="1">OFFSET('배치점수 계산기'!J$10,$D318,0)</f>
        <v>829.64099999999996</v>
      </c>
      <c r="U318" s="194">
        <f ca="1">OFFSET('배치점수 계산기'!K$10,$D318,0)</f>
        <v>824.65599999999995</v>
      </c>
      <c r="V318" s="194">
        <f ca="1">OFFSET('배치점수 계산기'!L$10,$D318,0)</f>
        <v>818.50199999999995</v>
      </c>
      <c r="W318" s="186" t="str">
        <f ca="1">OFFSET('배치점수 계산기'!M$10,$D318,0)</f>
        <v>표점/만점</v>
      </c>
      <c r="X318" s="184" t="str">
        <f ca="1">OFFSET('배치점수 계산기'!N$10,$D318,0)</f>
        <v>표점/만점</v>
      </c>
      <c r="Y318" s="188">
        <f ca="1">OFFSET(환산공식!FW$15,$F318,0)</f>
        <v>0.31</v>
      </c>
      <c r="Z318" s="20">
        <f ca="1">OFFSET(환산공식!FX$15,$F318,0)</f>
        <v>0.37</v>
      </c>
      <c r="AA318" s="179">
        <f ca="1">OFFSET(환산공식!FY$15,$F318,0)</f>
        <v>0.31</v>
      </c>
      <c r="AB318" s="3"/>
      <c r="AD318">
        <f t="shared" ca="1" si="9"/>
        <v>6</v>
      </c>
    </row>
    <row r="319" spans="1:30">
      <c r="A319" s="198"/>
      <c r="B319" s="198"/>
      <c r="C319" s="198" t="s">
        <v>7387</v>
      </c>
      <c r="D319" s="235">
        <v>2218</v>
      </c>
      <c r="E319" s="195">
        <v>287</v>
      </c>
      <c r="F319" s="195">
        <v>287</v>
      </c>
      <c r="G319" s="239">
        <v>312</v>
      </c>
      <c r="H319" s="197" t="s">
        <v>81</v>
      </c>
      <c r="I319" s="242" t="s">
        <v>209</v>
      </c>
      <c r="J319" s="242" t="s">
        <v>10208</v>
      </c>
      <c r="K319" s="195" t="s">
        <v>70</v>
      </c>
      <c r="L319" s="20" t="str">
        <f ca="1">IF(OFFSET(환산공식!$ED$15,$F319,0)=1,"O","X")</f>
        <v>X</v>
      </c>
      <c r="M319" s="188">
        <f ca="1">IFERROR(OFFSET(환산공식!DJ$15,$F319,0),"")</f>
        <v>200</v>
      </c>
      <c r="N319" s="20" t="str">
        <f ca="1">IFERROR(CONCATENATE(ROUND(OFFSET(환산공식!DK$15,$F319,0),1),"%"),"")</f>
        <v>100%</v>
      </c>
      <c r="O319" s="20">
        <f ca="1">IFERROR(OFFSET(환산공식!DL$15,$F319,0),"")</f>
        <v>10</v>
      </c>
      <c r="P319" s="188" t="str">
        <f t="shared" ca="1" si="8"/>
        <v>3% 이하</v>
      </c>
      <c r="Q319" s="194">
        <f ca="1">IFERROR(ROUND(OFFSET(환산공식!$FG$15,$F319,0),3),"")</f>
        <v>0</v>
      </c>
      <c r="R319" s="194">
        <f ca="1">OFFSET('배치점수 계산기'!H$10,$D319,0)</f>
        <v>705.077</v>
      </c>
      <c r="S319" s="194">
        <f ca="1">OFFSET('배치점수 계산기'!I$10,$D319,0)</f>
        <v>703.61699999999996</v>
      </c>
      <c r="T319" s="194">
        <f ca="1">OFFSET('배치점수 계산기'!J$10,$D319,0)</f>
        <v>701.02</v>
      </c>
      <c r="U319" s="194">
        <f ca="1">OFFSET('배치점수 계산기'!K$10,$D319,0)</f>
        <v>699</v>
      </c>
      <c r="V319" s="194">
        <f ca="1">OFFSET('배치점수 계산기'!L$10,$D319,0)</f>
        <v>695.21</v>
      </c>
      <c r="W319" s="186" t="str">
        <f ca="1">OFFSET('배치점수 계산기'!M$10,$D319,0)</f>
        <v>표점</v>
      </c>
      <c r="X319" s="184" t="str">
        <f ca="1">OFFSET('배치점수 계산기'!N$10,$D319,0)</f>
        <v>표점</v>
      </c>
      <c r="Y319" s="188">
        <f ca="1">OFFSET(환산공식!FW$15,$F319,0)</f>
        <v>0.25</v>
      </c>
      <c r="Z319" s="20">
        <f ca="1">OFFSET(환산공식!FX$15,$F319,0)</f>
        <v>0.38</v>
      </c>
      <c r="AA319" s="179">
        <f ca="1">OFFSET(환산공식!FY$15,$F319,0)</f>
        <v>0.38</v>
      </c>
      <c r="AB319" s="3"/>
      <c r="AD319">
        <f t="shared" ca="1" si="9"/>
        <v>6</v>
      </c>
    </row>
    <row r="320" spans="1:30">
      <c r="A320" s="198"/>
      <c r="B320" s="198"/>
      <c r="C320" s="198" t="s">
        <v>7388</v>
      </c>
      <c r="D320" s="235">
        <v>2219</v>
      </c>
      <c r="E320" s="195">
        <v>287</v>
      </c>
      <c r="F320" s="195">
        <v>287</v>
      </c>
      <c r="G320" s="239">
        <v>313</v>
      </c>
      <c r="H320" s="197" t="s">
        <v>81</v>
      </c>
      <c r="I320" s="242" t="s">
        <v>209</v>
      </c>
      <c r="J320" s="242" t="s">
        <v>10728</v>
      </c>
      <c r="K320" s="195" t="s">
        <v>70</v>
      </c>
      <c r="L320" s="20" t="str">
        <f ca="1">IF(OFFSET(환산공식!$ED$15,$F320,0)=1,"O","X")</f>
        <v>X</v>
      </c>
      <c r="M320" s="188">
        <f ca="1">IFERROR(OFFSET(환산공식!DJ$15,$F320,0),"")</f>
        <v>200</v>
      </c>
      <c r="N320" s="20" t="str">
        <f ca="1">IFERROR(CONCATENATE(ROUND(OFFSET(환산공식!DK$15,$F320,0),1),"%"),"")</f>
        <v>100%</v>
      </c>
      <c r="O320" s="20">
        <f ca="1">IFERROR(OFFSET(환산공식!DL$15,$F320,0),"")</f>
        <v>10</v>
      </c>
      <c r="P320" s="188" t="str">
        <f t="shared" ca="1" si="8"/>
        <v>3% 이하</v>
      </c>
      <c r="Q320" s="194">
        <f ca="1">IFERROR(ROUND(OFFSET(환산공식!$FG$15,$F320,0),3),"")</f>
        <v>0</v>
      </c>
      <c r="R320" s="194">
        <f ca="1">OFFSET('배치점수 계산기'!H$10,$D320,0)</f>
        <v>697.08</v>
      </c>
      <c r="S320" s="194">
        <f ca="1">OFFSET('배치점수 계산기'!I$10,$D320,0)</f>
        <v>695.34400000000005</v>
      </c>
      <c r="T320" s="194">
        <f ca="1">OFFSET('배치점수 계산기'!J$10,$D320,0)</f>
        <v>693.39</v>
      </c>
      <c r="U320" s="194">
        <f ca="1">OFFSET('배치점수 계산기'!K$10,$D320,0)</f>
        <v>692.00400000000002</v>
      </c>
      <c r="V320" s="194">
        <f ca="1">OFFSET('배치점수 계산기'!L$10,$D320,0)</f>
        <v>689.41399999999999</v>
      </c>
      <c r="W320" s="186" t="str">
        <f ca="1">OFFSET('배치점수 계산기'!M$10,$D320,0)</f>
        <v>표점</v>
      </c>
      <c r="X320" s="184" t="str">
        <f ca="1">OFFSET('배치점수 계산기'!N$10,$D320,0)</f>
        <v>표점</v>
      </c>
      <c r="Y320" s="188">
        <f ca="1">OFFSET(환산공식!FW$15,$F320,0)</f>
        <v>0.25</v>
      </c>
      <c r="Z320" s="20">
        <f ca="1">OFFSET(환산공식!FX$15,$F320,0)</f>
        <v>0.38</v>
      </c>
      <c r="AA320" s="179">
        <f ca="1">OFFSET(환산공식!FY$15,$F320,0)</f>
        <v>0.38</v>
      </c>
      <c r="AB320" s="3"/>
      <c r="AD320">
        <f t="shared" ca="1" si="9"/>
        <v>6</v>
      </c>
    </row>
    <row r="321" spans="1:30">
      <c r="A321" s="198"/>
      <c r="B321" s="198"/>
      <c r="C321" s="198" t="s">
        <v>7389</v>
      </c>
      <c r="D321" s="235">
        <v>2220</v>
      </c>
      <c r="E321" s="195">
        <v>287</v>
      </c>
      <c r="F321" s="195">
        <v>287</v>
      </c>
      <c r="G321" s="239">
        <v>314</v>
      </c>
      <c r="H321" s="197" t="s">
        <v>81</v>
      </c>
      <c r="I321" s="242" t="s">
        <v>209</v>
      </c>
      <c r="J321" s="242" t="s">
        <v>11225</v>
      </c>
      <c r="K321" s="195" t="s">
        <v>70</v>
      </c>
      <c r="L321" s="20" t="str">
        <f ca="1">IF(OFFSET(환산공식!$ED$15,$F321,0)=1,"O","X")</f>
        <v>X</v>
      </c>
      <c r="M321" s="188">
        <f ca="1">IFERROR(OFFSET(환산공식!DJ$15,$F321,0),"")</f>
        <v>200</v>
      </c>
      <c r="N321" s="20" t="str">
        <f ca="1">IFERROR(CONCATENATE(ROUND(OFFSET(환산공식!DK$15,$F321,0),1),"%"),"")</f>
        <v>100%</v>
      </c>
      <c r="O321" s="20">
        <f ca="1">IFERROR(OFFSET(환산공식!DL$15,$F321,0),"")</f>
        <v>10</v>
      </c>
      <c r="P321" s="188" t="str">
        <f t="shared" ca="1" si="8"/>
        <v>3% 이하</v>
      </c>
      <c r="Q321" s="194">
        <f ca="1">IFERROR(ROUND(OFFSET(환산공식!$FG$15,$F321,0),3),"")</f>
        <v>0</v>
      </c>
      <c r="R321" s="194">
        <f ca="1">OFFSET('배치점수 계산기'!H$10,$D321,0)</f>
        <v>692.10400000000004</v>
      </c>
      <c r="S321" s="194">
        <f ca="1">OFFSET('배치점수 계산기'!I$10,$D321,0)</f>
        <v>690.24</v>
      </c>
      <c r="T321" s="194">
        <f ca="1">OFFSET('배치점수 계산기'!J$10,$D321,0)</f>
        <v>687.83600000000001</v>
      </c>
      <c r="U321" s="194">
        <f ca="1">OFFSET('배치점수 계산기'!K$10,$D321,0)</f>
        <v>685.65599999999995</v>
      </c>
      <c r="V321" s="194">
        <f ca="1">OFFSET('배치점수 계산기'!L$10,$D321,0)</f>
        <v>682.07600000000002</v>
      </c>
      <c r="W321" s="186" t="str">
        <f ca="1">OFFSET('배치점수 계산기'!M$10,$D321,0)</f>
        <v>표점</v>
      </c>
      <c r="X321" s="184" t="str">
        <f ca="1">OFFSET('배치점수 계산기'!N$10,$D321,0)</f>
        <v>표점</v>
      </c>
      <c r="Y321" s="188">
        <f ca="1">OFFSET(환산공식!FW$15,$F321,0)</f>
        <v>0.25</v>
      </c>
      <c r="Z321" s="20">
        <f ca="1">OFFSET(환산공식!FX$15,$F321,0)</f>
        <v>0.38</v>
      </c>
      <c r="AA321" s="179">
        <f ca="1">OFFSET(환산공식!FY$15,$F321,0)</f>
        <v>0.38</v>
      </c>
      <c r="AB321" s="3"/>
      <c r="AD321">
        <f t="shared" ca="1" si="9"/>
        <v>6</v>
      </c>
    </row>
    <row r="322" spans="1:30">
      <c r="A322" s="198"/>
      <c r="B322" s="198"/>
      <c r="C322" s="198" t="s">
        <v>7390</v>
      </c>
      <c r="D322" s="235">
        <v>2221</v>
      </c>
      <c r="E322" s="195">
        <v>216</v>
      </c>
      <c r="F322" s="195">
        <v>216</v>
      </c>
      <c r="G322" s="239">
        <v>315</v>
      </c>
      <c r="H322" s="197" t="s">
        <v>81</v>
      </c>
      <c r="I322" s="242" t="s">
        <v>213</v>
      </c>
      <c r="J322" s="242" t="s">
        <v>8283</v>
      </c>
      <c r="K322" s="195" t="s">
        <v>70</v>
      </c>
      <c r="L322" s="20" t="str">
        <f ca="1">IF(OFFSET(환산공식!$ED$15,$F322,0)=1,"O","X")</f>
        <v>X</v>
      </c>
      <c r="M322" s="188">
        <f ca="1">IFERROR(OFFSET(환산공식!DJ$15,$F322,0),"")</f>
        <v>200</v>
      </c>
      <c r="N322" s="20" t="str">
        <f ca="1">IFERROR(CONCATENATE(ROUND(OFFSET(환산공식!DK$15,$F322,0),1),"%"),"")</f>
        <v>100%</v>
      </c>
      <c r="O322" s="20">
        <f ca="1">IFERROR(OFFSET(환산공식!DL$15,$F322,0),"")</f>
        <v>10</v>
      </c>
      <c r="P322" s="188" t="str">
        <f t="shared" ca="1" si="8"/>
        <v>3% 이하</v>
      </c>
      <c r="Q322" s="194">
        <f ca="1">IFERROR(ROUND(OFFSET(환산공식!$FG$15,$F322,0),3),"")</f>
        <v>0</v>
      </c>
      <c r="R322" s="194">
        <f ca="1">OFFSET('배치점수 계산기'!H$10,$D322,0)</f>
        <v>829.36</v>
      </c>
      <c r="S322" s="194">
        <f ca="1">OFFSET('배치점수 계산기'!I$10,$D322,0)</f>
        <v>824.08</v>
      </c>
      <c r="T322" s="194">
        <f ca="1">OFFSET('배치점수 계산기'!J$10,$D322,0)</f>
        <v>813.52</v>
      </c>
      <c r="U322" s="194">
        <f ca="1">OFFSET('배치점수 계산기'!K$10,$D322,0)</f>
        <v>799.46</v>
      </c>
      <c r="V322" s="194">
        <f ca="1">OFFSET('배치점수 계산기'!L$10,$D322,0)</f>
        <v>782.36500000000001</v>
      </c>
      <c r="W322" s="186" t="str">
        <f ca="1">OFFSET('배치점수 계산기'!M$10,$D322,0)</f>
        <v>백분위</v>
      </c>
      <c r="X322" s="184" t="str">
        <f ca="1">OFFSET('배치점수 계산기'!N$10,$D322,0)</f>
        <v>백분위</v>
      </c>
      <c r="Y322" s="188">
        <f ca="1">OFFSET(환산공식!FW$15,$F322,0)</f>
        <v>0.25</v>
      </c>
      <c r="Z322" s="20">
        <f ca="1">OFFSET(환산공식!FX$15,$F322,0)</f>
        <v>0.38</v>
      </c>
      <c r="AA322" s="179">
        <f ca="1">OFFSET(환산공식!FY$15,$F322,0)</f>
        <v>0.38</v>
      </c>
      <c r="AB322" s="3"/>
      <c r="AD322">
        <f t="shared" ca="1" si="9"/>
        <v>6</v>
      </c>
    </row>
    <row r="323" spans="1:30">
      <c r="A323" s="198"/>
      <c r="B323" s="198"/>
      <c r="C323" s="198" t="s">
        <v>7391</v>
      </c>
      <c r="D323" s="235">
        <v>2222</v>
      </c>
      <c r="E323" s="195">
        <v>213</v>
      </c>
      <c r="F323" s="195">
        <v>213</v>
      </c>
      <c r="G323" s="239">
        <v>316</v>
      </c>
      <c r="H323" s="197" t="s">
        <v>81</v>
      </c>
      <c r="I323" s="242" t="s">
        <v>213</v>
      </c>
      <c r="J323" s="242" t="s">
        <v>8633</v>
      </c>
      <c r="K323" s="195" t="s">
        <v>70</v>
      </c>
      <c r="L323" s="20" t="str">
        <f ca="1">IF(OFFSET(환산공식!$ED$15,$F323,0)=1,"O","X")</f>
        <v>X</v>
      </c>
      <c r="M323" s="188">
        <f ca="1">IFERROR(OFFSET(환산공식!DJ$15,$F323,0),"")</f>
        <v>200</v>
      </c>
      <c r="N323" s="20" t="str">
        <f ca="1">IFERROR(CONCATENATE(ROUND(OFFSET(환산공식!DK$15,$F323,0),1),"%"),"")</f>
        <v>100%</v>
      </c>
      <c r="O323" s="20">
        <f ca="1">IFERROR(OFFSET(환산공식!DL$15,$F323,0),"")</f>
        <v>10</v>
      </c>
      <c r="P323" s="188" t="str">
        <f t="shared" ca="1" si="8"/>
        <v>3% 이하</v>
      </c>
      <c r="Q323" s="194">
        <f ca="1">IFERROR(ROUND(OFFSET(환산공식!$FG$15,$F323,0),3),"")</f>
        <v>0</v>
      </c>
      <c r="R323" s="194">
        <f ca="1">OFFSET('배치점수 계산기'!H$10,$D323,0)</f>
        <v>813.59299999999996</v>
      </c>
      <c r="S323" s="194">
        <f ca="1">OFFSET('배치점수 계산기'!I$10,$D323,0)</f>
        <v>809.09100000000001</v>
      </c>
      <c r="T323" s="194">
        <f ca="1">OFFSET('배치점수 계산기'!J$10,$D323,0)</f>
        <v>798.07899999999995</v>
      </c>
      <c r="U323" s="194">
        <f ca="1">OFFSET('배치점수 계산기'!K$10,$D323,0)</f>
        <v>782.85599999999999</v>
      </c>
      <c r="V323" s="194">
        <f ca="1">OFFSET('배치점수 계산기'!L$10,$D323,0)</f>
        <v>765.16899999999998</v>
      </c>
      <c r="W323" s="186" t="str">
        <f ca="1">OFFSET('배치점수 계산기'!M$10,$D323,0)</f>
        <v>백분위</v>
      </c>
      <c r="X323" s="184" t="str">
        <f ca="1">OFFSET('배치점수 계산기'!N$10,$D323,0)</f>
        <v>백분위</v>
      </c>
      <c r="Y323" s="188">
        <f ca="1">OFFSET(환산공식!FW$15,$F323,0)</f>
        <v>0.25</v>
      </c>
      <c r="Z323" s="20">
        <f ca="1">OFFSET(환산공식!FX$15,$F323,0)</f>
        <v>0.38</v>
      </c>
      <c r="AA323" s="179">
        <f ca="1">OFFSET(환산공식!FY$15,$F323,0)</f>
        <v>0.38</v>
      </c>
      <c r="AB323" s="3"/>
      <c r="AD323">
        <f t="shared" ca="1" si="9"/>
        <v>6</v>
      </c>
    </row>
    <row r="324" spans="1:30">
      <c r="A324" s="198"/>
      <c r="B324" s="198"/>
      <c r="C324" s="198" t="s">
        <v>7392</v>
      </c>
      <c r="D324" s="235">
        <v>2223</v>
      </c>
      <c r="E324" s="195">
        <v>214</v>
      </c>
      <c r="F324" s="195">
        <v>214</v>
      </c>
      <c r="G324" s="239">
        <v>317</v>
      </c>
      <c r="H324" s="197" t="s">
        <v>81</v>
      </c>
      <c r="I324" s="242" t="s">
        <v>213</v>
      </c>
      <c r="J324" s="242" t="s">
        <v>8835</v>
      </c>
      <c r="K324" s="195" t="s">
        <v>70</v>
      </c>
      <c r="L324" s="20" t="str">
        <f ca="1">IF(OFFSET(환산공식!$ED$15,$F324,0)=1,"O","X")</f>
        <v>X</v>
      </c>
      <c r="M324" s="188">
        <f ca="1">IFERROR(OFFSET(환산공식!DJ$15,$F324,0),"")</f>
        <v>200</v>
      </c>
      <c r="N324" s="20" t="str">
        <f ca="1">IFERROR(CONCATENATE(ROUND(OFFSET(환산공식!DK$15,$F324,0),1),"%"),"")</f>
        <v>100%</v>
      </c>
      <c r="O324" s="20">
        <f ca="1">IFERROR(OFFSET(환산공식!DL$15,$F324,0),"")</f>
        <v>10</v>
      </c>
      <c r="P324" s="188" t="str">
        <f t="shared" ca="1" si="8"/>
        <v>3% 이하</v>
      </c>
      <c r="Q324" s="194">
        <f ca="1">IFERROR(ROUND(OFFSET(환산공식!$FG$15,$F324,0),3),"")</f>
        <v>0</v>
      </c>
      <c r="R324" s="194">
        <f ca="1">OFFSET('배치점수 계산기'!H$10,$D324,0)</f>
        <v>810.15700000000004</v>
      </c>
      <c r="S324" s="194">
        <f ca="1">OFFSET('배치점수 계산기'!I$10,$D324,0)</f>
        <v>804.827</v>
      </c>
      <c r="T324" s="194">
        <f ca="1">OFFSET('배치점수 계산기'!J$10,$D324,0)</f>
        <v>795.39800000000002</v>
      </c>
      <c r="U324" s="194">
        <f ca="1">OFFSET('배치점수 계산기'!K$10,$D324,0)</f>
        <v>777.39499999999998</v>
      </c>
      <c r="V324" s="194">
        <f ca="1">OFFSET('배치점수 계산기'!L$10,$D324,0)</f>
        <v>762.64</v>
      </c>
      <c r="W324" s="186" t="str">
        <f ca="1">OFFSET('배치점수 계산기'!M$10,$D324,0)</f>
        <v>백분위</v>
      </c>
      <c r="X324" s="184" t="str">
        <f ca="1">OFFSET('배치점수 계산기'!N$10,$D324,0)</f>
        <v>백분위</v>
      </c>
      <c r="Y324" s="188">
        <f ca="1">OFFSET(환산공식!FW$15,$F324,0)</f>
        <v>0.25</v>
      </c>
      <c r="Z324" s="20">
        <f ca="1">OFFSET(환산공식!FX$15,$F324,0)</f>
        <v>0.38</v>
      </c>
      <c r="AA324" s="179">
        <f ca="1">OFFSET(환산공식!FY$15,$F324,0)</f>
        <v>0.38</v>
      </c>
      <c r="AB324" s="3"/>
      <c r="AD324">
        <f t="shared" ca="1" si="9"/>
        <v>6</v>
      </c>
    </row>
    <row r="325" spans="1:30">
      <c r="A325" s="198"/>
      <c r="B325" s="198"/>
      <c r="C325" s="198" t="s">
        <v>7393</v>
      </c>
      <c r="D325" s="235">
        <v>2224</v>
      </c>
      <c r="E325" s="195">
        <v>215</v>
      </c>
      <c r="F325" s="195">
        <v>215</v>
      </c>
      <c r="G325" s="239">
        <v>318</v>
      </c>
      <c r="H325" s="197" t="s">
        <v>81</v>
      </c>
      <c r="I325" s="242" t="s">
        <v>213</v>
      </c>
      <c r="J325" s="242" t="s">
        <v>13677</v>
      </c>
      <c r="K325" s="195" t="s">
        <v>70</v>
      </c>
      <c r="L325" s="20" t="str">
        <f ca="1">IF(OFFSET(환산공식!$ED$15,$F325,0)=1,"O","X")</f>
        <v>X</v>
      </c>
      <c r="M325" s="188">
        <f ca="1">IFERROR(OFFSET(환산공식!DJ$15,$F325,0),"")</f>
        <v>200</v>
      </c>
      <c r="N325" s="20" t="str">
        <f ca="1">IFERROR(CONCATENATE(ROUND(OFFSET(환산공식!DK$15,$F325,0),1),"%"),"")</f>
        <v>100%</v>
      </c>
      <c r="O325" s="20">
        <f ca="1">IFERROR(OFFSET(환산공식!DL$15,$F325,0),"")</f>
        <v>10</v>
      </c>
      <c r="P325" s="188" t="str">
        <f t="shared" ca="1" si="8"/>
        <v>3% 이하</v>
      </c>
      <c r="Q325" s="194">
        <f ca="1">IFERROR(ROUND(OFFSET(환산공식!$FG$15,$F325,0),3),"")</f>
        <v>0</v>
      </c>
      <c r="R325" s="194">
        <f ca="1">OFFSET('배치점수 계산기'!H$10,$D325,0)</f>
        <v>760.36800000000005</v>
      </c>
      <c r="S325" s="194">
        <f ca="1">OFFSET('배치점수 계산기'!I$10,$D325,0)</f>
        <v>753.78399999999999</v>
      </c>
      <c r="T325" s="194">
        <f ca="1">OFFSET('배치점수 계산기'!J$10,$D325,0)</f>
        <v>743.86</v>
      </c>
      <c r="U325" s="194">
        <f ca="1">OFFSET('배치점수 계산기'!K$10,$D325,0)</f>
        <v>724.14599999999996</v>
      </c>
      <c r="V325" s="194">
        <f ca="1">OFFSET('배치점수 계산기'!L$10,$D325,0)</f>
        <v>701.61400000000003</v>
      </c>
      <c r="W325" s="186" t="str">
        <f ca="1">OFFSET('배치점수 계산기'!M$10,$D325,0)</f>
        <v>백분위</v>
      </c>
      <c r="X325" s="184" t="str">
        <f ca="1">OFFSET('배치점수 계산기'!N$10,$D325,0)</f>
        <v>백분위</v>
      </c>
      <c r="Y325" s="188">
        <f ca="1">OFFSET(환산공식!FW$15,$F325,0)</f>
        <v>0.25</v>
      </c>
      <c r="Z325" s="20">
        <f ca="1">OFFSET(환산공식!FX$15,$F325,0)</f>
        <v>0.38</v>
      </c>
      <c r="AA325" s="179">
        <f ca="1">OFFSET(환산공식!FY$15,$F325,0)</f>
        <v>0.38</v>
      </c>
      <c r="AB325" s="3"/>
      <c r="AD325">
        <f t="shared" ca="1" si="9"/>
        <v>6</v>
      </c>
    </row>
    <row r="326" spans="1:30">
      <c r="A326" s="198"/>
      <c r="B326" s="198"/>
      <c r="C326" s="198" t="s">
        <v>7394</v>
      </c>
      <c r="D326" s="235">
        <v>2225</v>
      </c>
      <c r="E326" s="195">
        <v>213</v>
      </c>
      <c r="F326" s="195">
        <v>213</v>
      </c>
      <c r="G326" s="239">
        <v>319</v>
      </c>
      <c r="H326" s="197" t="s">
        <v>81</v>
      </c>
      <c r="I326" s="242" t="s">
        <v>213</v>
      </c>
      <c r="J326" s="242" t="s">
        <v>8872</v>
      </c>
      <c r="K326" s="195" t="s">
        <v>70</v>
      </c>
      <c r="L326" s="20" t="str">
        <f ca="1">IF(OFFSET(환산공식!$ED$15,$F326,0)=1,"O","X")</f>
        <v>X</v>
      </c>
      <c r="M326" s="188">
        <f ca="1">IFERROR(OFFSET(환산공식!DJ$15,$F326,0),"")</f>
        <v>200</v>
      </c>
      <c r="N326" s="20" t="str">
        <f ca="1">IFERROR(CONCATENATE(ROUND(OFFSET(환산공식!DK$15,$F326,0),1),"%"),"")</f>
        <v>100%</v>
      </c>
      <c r="O326" s="20">
        <f ca="1">IFERROR(OFFSET(환산공식!DL$15,$F326,0),"")</f>
        <v>10</v>
      </c>
      <c r="P326" s="188" t="str">
        <f t="shared" ca="1" si="8"/>
        <v>3% 이하</v>
      </c>
      <c r="Q326" s="194">
        <f ca="1">IFERROR(ROUND(OFFSET(환산공식!$FG$15,$F326,0),3),"")</f>
        <v>0</v>
      </c>
      <c r="R326" s="194">
        <f ca="1">OFFSET('배치점수 계산기'!H$10,$D326,0)</f>
        <v>767.68299999999999</v>
      </c>
      <c r="S326" s="194">
        <f ca="1">OFFSET('배치점수 계산기'!I$10,$D326,0)</f>
        <v>761.67499999999995</v>
      </c>
      <c r="T326" s="194">
        <f ca="1">OFFSET('배치점수 계산기'!J$10,$D326,0)</f>
        <v>753.56100000000004</v>
      </c>
      <c r="U326" s="194">
        <f ca="1">OFFSET('배치점수 계산기'!K$10,$D326,0)</f>
        <v>742.71799999999996</v>
      </c>
      <c r="V326" s="194">
        <f ca="1">OFFSET('배치점수 계산기'!L$10,$D326,0)</f>
        <v>729.221</v>
      </c>
      <c r="W326" s="186" t="str">
        <f ca="1">OFFSET('배치점수 계산기'!M$10,$D326,0)</f>
        <v>백분위</v>
      </c>
      <c r="X326" s="184" t="str">
        <f ca="1">OFFSET('배치점수 계산기'!N$10,$D326,0)</f>
        <v>백분위</v>
      </c>
      <c r="Y326" s="188">
        <f ca="1">OFFSET(환산공식!FW$15,$F326,0)</f>
        <v>0.25</v>
      </c>
      <c r="Z326" s="20">
        <f ca="1">OFFSET(환산공식!FX$15,$F326,0)</f>
        <v>0.38</v>
      </c>
      <c r="AA326" s="179">
        <f ca="1">OFFSET(환산공식!FY$15,$F326,0)</f>
        <v>0.38</v>
      </c>
      <c r="AB326" s="3"/>
      <c r="AD326">
        <f t="shared" ca="1" si="9"/>
        <v>6</v>
      </c>
    </row>
    <row r="327" spans="1:30">
      <c r="A327" s="198"/>
      <c r="B327" s="198"/>
      <c r="C327" s="198" t="s">
        <v>7395</v>
      </c>
      <c r="D327" s="235">
        <v>2226</v>
      </c>
      <c r="E327" s="195">
        <v>214</v>
      </c>
      <c r="F327" s="195">
        <v>214</v>
      </c>
      <c r="G327" s="239">
        <v>320</v>
      </c>
      <c r="H327" s="197" t="s">
        <v>81</v>
      </c>
      <c r="I327" s="242" t="s">
        <v>213</v>
      </c>
      <c r="J327" s="242" t="s">
        <v>8856</v>
      </c>
      <c r="K327" s="195" t="s">
        <v>70</v>
      </c>
      <c r="L327" s="20" t="str">
        <f ca="1">IF(OFFSET(환산공식!$ED$15,$F327,0)=1,"O","X")</f>
        <v>X</v>
      </c>
      <c r="M327" s="188">
        <f ca="1">IFERROR(OFFSET(환산공식!DJ$15,$F327,0),"")</f>
        <v>200</v>
      </c>
      <c r="N327" s="20" t="str">
        <f ca="1">IFERROR(CONCATENATE(ROUND(OFFSET(환산공식!DK$15,$F327,0),1),"%"),"")</f>
        <v>100%</v>
      </c>
      <c r="O327" s="20">
        <f ca="1">IFERROR(OFFSET(환산공식!DL$15,$F327,0),"")</f>
        <v>10</v>
      </c>
      <c r="P327" s="188" t="str">
        <f t="shared" ca="1" si="8"/>
        <v>3% 이하</v>
      </c>
      <c r="Q327" s="194">
        <f ca="1">IFERROR(ROUND(OFFSET(환산공식!$FG$15,$F327,0),3),"")</f>
        <v>0</v>
      </c>
      <c r="R327" s="194">
        <f ca="1">OFFSET('배치점수 계산기'!H$10,$D327,0)</f>
        <v>769.03200000000004</v>
      </c>
      <c r="S327" s="194">
        <f ca="1">OFFSET('배치점수 계산기'!I$10,$D327,0)</f>
        <v>765.35400000000004</v>
      </c>
      <c r="T327" s="194">
        <f ca="1">OFFSET('배치점수 계산기'!J$10,$D327,0)</f>
        <v>757.11099999999999</v>
      </c>
      <c r="U327" s="194">
        <f ca="1">OFFSET('배치점수 계산기'!K$10,$D327,0)</f>
        <v>743.39300000000003</v>
      </c>
      <c r="V327" s="194">
        <f ca="1">OFFSET('배치점수 계산기'!L$10,$D327,0)</f>
        <v>729.23</v>
      </c>
      <c r="W327" s="186" t="str">
        <f ca="1">OFFSET('배치점수 계산기'!M$10,$D327,0)</f>
        <v>백분위</v>
      </c>
      <c r="X327" s="184" t="str">
        <f ca="1">OFFSET('배치점수 계산기'!N$10,$D327,0)</f>
        <v>백분위</v>
      </c>
      <c r="Y327" s="188">
        <f ca="1">OFFSET(환산공식!FW$15,$F327,0)</f>
        <v>0.25</v>
      </c>
      <c r="Z327" s="20">
        <f ca="1">OFFSET(환산공식!FX$15,$F327,0)</f>
        <v>0.38</v>
      </c>
      <c r="AA327" s="179">
        <f ca="1">OFFSET(환산공식!FY$15,$F327,0)</f>
        <v>0.38</v>
      </c>
      <c r="AB327" s="3"/>
      <c r="AD327">
        <f t="shared" ca="1" si="9"/>
        <v>6</v>
      </c>
    </row>
    <row r="328" spans="1:30">
      <c r="A328" s="198"/>
      <c r="B328" s="198"/>
      <c r="C328" s="198" t="s">
        <v>7396</v>
      </c>
      <c r="D328" s="235">
        <v>2227</v>
      </c>
      <c r="E328" s="195">
        <v>214</v>
      </c>
      <c r="F328" s="195">
        <v>214</v>
      </c>
      <c r="G328" s="239">
        <v>321</v>
      </c>
      <c r="H328" s="197" t="s">
        <v>81</v>
      </c>
      <c r="I328" s="242" t="s">
        <v>213</v>
      </c>
      <c r="J328" s="242" t="s">
        <v>9611</v>
      </c>
      <c r="K328" s="195" t="s">
        <v>70</v>
      </c>
      <c r="L328" s="20" t="str">
        <f ca="1">IF(OFFSET(환산공식!$ED$15,$F328,0)=1,"O","X")</f>
        <v>X</v>
      </c>
      <c r="M328" s="188">
        <f ca="1">IFERROR(OFFSET(환산공식!DJ$15,$F328,0),"")</f>
        <v>200</v>
      </c>
      <c r="N328" s="20" t="str">
        <f ca="1">IFERROR(CONCATENATE(ROUND(OFFSET(환산공식!DK$15,$F328,0),1),"%"),"")</f>
        <v>100%</v>
      </c>
      <c r="O328" s="20">
        <f ca="1">IFERROR(OFFSET(환산공식!DL$15,$F328,0),"")</f>
        <v>10</v>
      </c>
      <c r="P328" s="188" t="str">
        <f t="shared" ca="1" si="8"/>
        <v>3% 이하</v>
      </c>
      <c r="Q328" s="194">
        <f ca="1">IFERROR(ROUND(OFFSET(환산공식!$FG$15,$F328,0),3),"")</f>
        <v>0</v>
      </c>
      <c r="R328" s="194">
        <f ca="1">OFFSET('배치점수 계산기'!H$10,$D328,0)</f>
        <v>754.99099999999999</v>
      </c>
      <c r="S328" s="194">
        <f ca="1">OFFSET('배치점수 계산기'!I$10,$D328,0)</f>
        <v>748.60799999999995</v>
      </c>
      <c r="T328" s="194">
        <f ca="1">OFFSET('배치점수 계산기'!J$10,$D328,0)</f>
        <v>732.21500000000003</v>
      </c>
      <c r="U328" s="194">
        <f ca="1">OFFSET('배치점수 계산기'!K$10,$D328,0)</f>
        <v>713.08799999999997</v>
      </c>
      <c r="V328" s="194">
        <f ca="1">OFFSET('배치점수 계산기'!L$10,$D328,0)</f>
        <v>699.46799999999996</v>
      </c>
      <c r="W328" s="186" t="str">
        <f ca="1">OFFSET('배치점수 계산기'!M$10,$D328,0)</f>
        <v>백분위</v>
      </c>
      <c r="X328" s="184" t="str">
        <f ca="1">OFFSET('배치점수 계산기'!N$10,$D328,0)</f>
        <v>백분위</v>
      </c>
      <c r="Y328" s="188">
        <f ca="1">OFFSET(환산공식!FW$15,$F328,0)</f>
        <v>0.25</v>
      </c>
      <c r="Z328" s="20">
        <f ca="1">OFFSET(환산공식!FX$15,$F328,0)</f>
        <v>0.38</v>
      </c>
      <c r="AA328" s="179">
        <f ca="1">OFFSET(환산공식!FY$15,$F328,0)</f>
        <v>0.38</v>
      </c>
      <c r="AB328" s="3"/>
      <c r="AD328">
        <f t="shared" ca="1" si="9"/>
        <v>6</v>
      </c>
    </row>
    <row r="329" spans="1:30">
      <c r="A329" s="198"/>
      <c r="B329" s="198"/>
      <c r="C329" s="198" t="s">
        <v>7397</v>
      </c>
      <c r="D329" s="235">
        <v>2228</v>
      </c>
      <c r="E329" s="195">
        <v>214</v>
      </c>
      <c r="F329" s="195">
        <v>214</v>
      </c>
      <c r="G329" s="239">
        <v>322</v>
      </c>
      <c r="H329" s="197" t="s">
        <v>81</v>
      </c>
      <c r="I329" s="242" t="s">
        <v>213</v>
      </c>
      <c r="J329" s="242" t="s">
        <v>8744</v>
      </c>
      <c r="K329" s="195" t="s">
        <v>70</v>
      </c>
      <c r="L329" s="20" t="str">
        <f ca="1">IF(OFFSET(환산공식!$ED$15,$F329,0)=1,"O","X")</f>
        <v>X</v>
      </c>
      <c r="M329" s="188">
        <f ca="1">IFERROR(OFFSET(환산공식!DJ$15,$F329,0),"")</f>
        <v>200</v>
      </c>
      <c r="N329" s="20" t="str">
        <f ca="1">IFERROR(CONCATENATE(ROUND(OFFSET(환산공식!DK$15,$F329,0),1),"%"),"")</f>
        <v>100%</v>
      </c>
      <c r="O329" s="20">
        <f ca="1">IFERROR(OFFSET(환산공식!DL$15,$F329,0),"")</f>
        <v>10</v>
      </c>
      <c r="P329" s="188" t="str">
        <f t="shared" ref="P329:P371" ca="1" si="10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3% 이하</v>
      </c>
      <c r="Q329" s="194">
        <f ca="1">IFERROR(ROUND(OFFSET(환산공식!$FG$15,$F329,0),3),"")</f>
        <v>0</v>
      </c>
      <c r="R329" s="194">
        <f ca="1">OFFSET('배치점수 계산기'!H$10,$D329,0)</f>
        <v>735.53</v>
      </c>
      <c r="S329" s="194">
        <f ca="1">OFFSET('배치점수 계산기'!I$10,$D329,0)</f>
        <v>726.87400000000002</v>
      </c>
      <c r="T329" s="194">
        <f ca="1">OFFSET('배치점수 계산기'!J$10,$D329,0)</f>
        <v>712.91</v>
      </c>
      <c r="U329" s="194">
        <f ca="1">OFFSET('배치점수 계산기'!K$10,$D329,0)</f>
        <v>695.72699999999998</v>
      </c>
      <c r="V329" s="194">
        <f ca="1">OFFSET('배치점수 계산기'!L$10,$D329,0)</f>
        <v>675.76300000000003</v>
      </c>
      <c r="W329" s="186" t="str">
        <f ca="1">OFFSET('배치점수 계산기'!M$10,$D329,0)</f>
        <v>백분위</v>
      </c>
      <c r="X329" s="184" t="str">
        <f ca="1">OFFSET('배치점수 계산기'!N$10,$D329,0)</f>
        <v>백분위</v>
      </c>
      <c r="Y329" s="188">
        <f ca="1">OFFSET(환산공식!FW$15,$F329,0)</f>
        <v>0.25</v>
      </c>
      <c r="Z329" s="20">
        <f ca="1">OFFSET(환산공식!FX$15,$F329,0)</f>
        <v>0.38</v>
      </c>
      <c r="AA329" s="179">
        <f ca="1">OFFSET(환산공식!FY$15,$F329,0)</f>
        <v>0.38</v>
      </c>
      <c r="AB329" s="3"/>
      <c r="AD329">
        <f t="shared" ref="AD329:AD371" ca="1" si="11">IF(L329="X",6,IF(Q329&gt;R329,1,IF(Q329&gt;S329,2,IF(Q329&gt;T329,3,IF(Q329&gt;U329,4,IF(Q329&gt;=V329,5,IF(Q329&lt;V329,6,"")))))))</f>
        <v>6</v>
      </c>
    </row>
    <row r="330" spans="1:30">
      <c r="A330" s="198"/>
      <c r="B330" s="198"/>
      <c r="C330" s="198" t="s">
        <v>7398</v>
      </c>
      <c r="D330" s="235">
        <v>2229</v>
      </c>
      <c r="E330" s="195">
        <v>213</v>
      </c>
      <c r="F330" s="195">
        <v>213</v>
      </c>
      <c r="G330" s="239">
        <v>323</v>
      </c>
      <c r="H330" s="197" t="s">
        <v>81</v>
      </c>
      <c r="I330" s="242" t="s">
        <v>213</v>
      </c>
      <c r="J330" s="242" t="s">
        <v>8307</v>
      </c>
      <c r="K330" s="195" t="s">
        <v>70</v>
      </c>
      <c r="L330" s="20" t="str">
        <f ca="1">IF(OFFSET(환산공식!$ED$15,$F330,0)=1,"O","X")</f>
        <v>X</v>
      </c>
      <c r="M330" s="188">
        <f ca="1">IFERROR(OFFSET(환산공식!DJ$15,$F330,0),"")</f>
        <v>200</v>
      </c>
      <c r="N330" s="20" t="str">
        <f ca="1">IFERROR(CONCATENATE(ROUND(OFFSET(환산공식!DK$15,$F330,0),1),"%"),"")</f>
        <v>100%</v>
      </c>
      <c r="O330" s="20">
        <f ca="1">IFERROR(OFFSET(환산공식!DL$15,$F330,0),"")</f>
        <v>10</v>
      </c>
      <c r="P330" s="188" t="str">
        <f t="shared" ca="1" si="10"/>
        <v>3% 이하</v>
      </c>
      <c r="Q330" s="194">
        <f ca="1">IFERROR(ROUND(OFFSET(환산공식!$FG$15,$F330,0),3),"")</f>
        <v>0</v>
      </c>
      <c r="R330" s="194">
        <f ca="1">OFFSET('배치점수 계산기'!H$10,$D330,0)</f>
        <v>690.952</v>
      </c>
      <c r="S330" s="194">
        <f ca="1">OFFSET('배치점수 계산기'!I$10,$D330,0)</f>
        <v>686.81399999999996</v>
      </c>
      <c r="T330" s="194">
        <f ca="1">OFFSET('배치점수 계산기'!J$10,$D330,0)</f>
        <v>677.28300000000002</v>
      </c>
      <c r="U330" s="194">
        <f ca="1">OFFSET('배치점수 계산기'!K$10,$D330,0)</f>
        <v>663.82299999999998</v>
      </c>
      <c r="V330" s="194">
        <f ca="1">OFFSET('배치점수 계산기'!L$10,$D330,0)</f>
        <v>652.41</v>
      </c>
      <c r="W330" s="186" t="str">
        <f ca="1">OFFSET('배치점수 계산기'!M$10,$D330,0)</f>
        <v>백분위</v>
      </c>
      <c r="X330" s="184" t="str">
        <f ca="1">OFFSET('배치점수 계산기'!N$10,$D330,0)</f>
        <v>백분위</v>
      </c>
      <c r="Y330" s="188">
        <f ca="1">OFFSET(환산공식!FW$15,$F330,0)</f>
        <v>0.25</v>
      </c>
      <c r="Z330" s="20">
        <f ca="1">OFFSET(환산공식!FX$15,$F330,0)</f>
        <v>0.38</v>
      </c>
      <c r="AA330" s="179">
        <f ca="1">OFFSET(환산공식!FY$15,$F330,0)</f>
        <v>0.38</v>
      </c>
      <c r="AB330" s="3"/>
      <c r="AD330">
        <f t="shared" ca="1" si="11"/>
        <v>6</v>
      </c>
    </row>
    <row r="331" spans="1:30">
      <c r="A331" s="198"/>
      <c r="B331" s="198"/>
      <c r="C331" s="198" t="s">
        <v>7647</v>
      </c>
      <c r="D331" s="235">
        <v>2230</v>
      </c>
      <c r="E331" s="195">
        <v>214</v>
      </c>
      <c r="F331" s="195">
        <v>214</v>
      </c>
      <c r="G331" s="239">
        <v>324</v>
      </c>
      <c r="H331" s="197" t="s">
        <v>81</v>
      </c>
      <c r="I331" s="242" t="s">
        <v>213</v>
      </c>
      <c r="J331" s="242" t="s">
        <v>9339</v>
      </c>
      <c r="K331" s="195" t="s">
        <v>70</v>
      </c>
      <c r="L331" s="20" t="str">
        <f ca="1">IF(OFFSET(환산공식!$ED$15,$F331,0)=1,"O","X")</f>
        <v>X</v>
      </c>
      <c r="M331" s="188">
        <f ca="1">IFERROR(OFFSET(환산공식!DJ$15,$F331,0),"")</f>
        <v>200</v>
      </c>
      <c r="N331" s="20" t="str">
        <f ca="1">IFERROR(CONCATENATE(ROUND(OFFSET(환산공식!DK$15,$F331,0),1),"%"),"")</f>
        <v>100%</v>
      </c>
      <c r="O331" s="20">
        <f ca="1">IFERROR(OFFSET(환산공식!DL$15,$F331,0),"")</f>
        <v>10</v>
      </c>
      <c r="P331" s="188" t="str">
        <f t="shared" ca="1" si="10"/>
        <v>3% 이하</v>
      </c>
      <c r="Q331" s="194">
        <f ca="1">IFERROR(ROUND(OFFSET(환산공식!$FG$15,$F331,0),3),"")</f>
        <v>0</v>
      </c>
      <c r="R331" s="194">
        <f ca="1">OFFSET('배치점수 계산기'!H$10,$D331,0)</f>
        <v>720.33399999999995</v>
      </c>
      <c r="S331" s="194">
        <f ca="1">OFFSET('배치점수 계산기'!I$10,$D331,0)</f>
        <v>704.524</v>
      </c>
      <c r="T331" s="194">
        <f ca="1">OFFSET('배치점수 계산기'!J$10,$D331,0)</f>
        <v>683.05700000000002</v>
      </c>
      <c r="U331" s="194">
        <f ca="1">OFFSET('배치점수 계산기'!K$10,$D331,0)</f>
        <v>660.21</v>
      </c>
      <c r="V331" s="194">
        <f ca="1">OFFSET('배치점수 계산기'!L$10,$D331,0)</f>
        <v>634.53800000000001</v>
      </c>
      <c r="W331" s="186" t="str">
        <f ca="1">OFFSET('배치점수 계산기'!M$10,$D331,0)</f>
        <v>백분위</v>
      </c>
      <c r="X331" s="184" t="str">
        <f ca="1">OFFSET('배치점수 계산기'!N$10,$D331,0)</f>
        <v>백분위</v>
      </c>
      <c r="Y331" s="188">
        <f ca="1">OFFSET(환산공식!FW$15,$F331,0)</f>
        <v>0.25</v>
      </c>
      <c r="Z331" s="20">
        <f ca="1">OFFSET(환산공식!FX$15,$F331,0)</f>
        <v>0.38</v>
      </c>
      <c r="AA331" s="179">
        <f ca="1">OFFSET(환산공식!FY$15,$F331,0)</f>
        <v>0.38</v>
      </c>
      <c r="AB331" s="3"/>
      <c r="AD331">
        <f t="shared" ca="1" si="11"/>
        <v>6</v>
      </c>
    </row>
    <row r="332" spans="1:30">
      <c r="A332" s="198"/>
      <c r="B332" s="198"/>
      <c r="C332" s="198" t="s">
        <v>16753</v>
      </c>
      <c r="D332" s="235">
        <v>2231</v>
      </c>
      <c r="E332" s="195">
        <v>213</v>
      </c>
      <c r="F332" s="195">
        <v>213</v>
      </c>
      <c r="G332" s="239">
        <v>325</v>
      </c>
      <c r="H332" s="197" t="s">
        <v>81</v>
      </c>
      <c r="I332" s="242" t="s">
        <v>213</v>
      </c>
      <c r="J332" s="242" t="s">
        <v>13875</v>
      </c>
      <c r="K332" s="195" t="s">
        <v>70</v>
      </c>
      <c r="L332" s="20" t="str">
        <f ca="1">IF(OFFSET(환산공식!$ED$15,$F332,0)=1,"O","X")</f>
        <v>X</v>
      </c>
      <c r="M332" s="188">
        <f ca="1">IFERROR(OFFSET(환산공식!DJ$15,$F332,0),"")</f>
        <v>200</v>
      </c>
      <c r="N332" s="20" t="str">
        <f ca="1">IFERROR(CONCATENATE(ROUND(OFFSET(환산공식!DK$15,$F332,0),1),"%"),"")</f>
        <v>100%</v>
      </c>
      <c r="O332" s="20">
        <f ca="1">IFERROR(OFFSET(환산공식!DL$15,$F332,0),"")</f>
        <v>10</v>
      </c>
      <c r="P332" s="188" t="str">
        <f t="shared" ca="1" si="10"/>
        <v>3% 이하</v>
      </c>
      <c r="Q332" s="194">
        <f ca="1">IFERROR(ROUND(OFFSET(환산공식!$FG$15,$F332,0),3),"")</f>
        <v>0</v>
      </c>
      <c r="R332" s="194">
        <f ca="1">OFFSET('배치점수 계산기'!H$10,$D332,0)</f>
        <v>697.92200000000003</v>
      </c>
      <c r="S332" s="194">
        <f ca="1">OFFSET('배치점수 계산기'!I$10,$D332,0)</f>
        <v>691.01800000000003</v>
      </c>
      <c r="T332" s="194">
        <f ca="1">OFFSET('배치점수 계산기'!J$10,$D332,0)</f>
        <v>671.76300000000003</v>
      </c>
      <c r="U332" s="194">
        <f ca="1">OFFSET('배치점수 계산기'!K$10,$D332,0)</f>
        <v>659.726</v>
      </c>
      <c r="V332" s="194">
        <f ca="1">OFFSET('배치점수 계산기'!L$10,$D332,0)</f>
        <v>649.95000000000005</v>
      </c>
      <c r="W332" s="186" t="str">
        <f ca="1">OFFSET('배치점수 계산기'!M$10,$D332,0)</f>
        <v>백분위</v>
      </c>
      <c r="X332" s="184" t="str">
        <f ca="1">OFFSET('배치점수 계산기'!N$10,$D332,0)</f>
        <v>백분위</v>
      </c>
      <c r="Y332" s="188">
        <f ca="1">OFFSET(환산공식!FW$15,$F332,0)</f>
        <v>0.25</v>
      </c>
      <c r="Z332" s="20">
        <f ca="1">OFFSET(환산공식!FX$15,$F332,0)</f>
        <v>0.38</v>
      </c>
      <c r="AA332" s="179">
        <f ca="1">OFFSET(환산공식!FY$15,$F332,0)</f>
        <v>0.38</v>
      </c>
      <c r="AB332" s="3"/>
      <c r="AD332">
        <f t="shared" ca="1" si="11"/>
        <v>6</v>
      </c>
    </row>
    <row r="333" spans="1:30">
      <c r="A333" s="198"/>
      <c r="B333" s="198"/>
      <c r="C333" s="198" t="s">
        <v>16754</v>
      </c>
      <c r="D333" s="235">
        <v>2232</v>
      </c>
      <c r="E333" s="195">
        <v>213</v>
      </c>
      <c r="F333" s="195">
        <v>213</v>
      </c>
      <c r="G333" s="239">
        <v>326</v>
      </c>
      <c r="H333" s="197" t="s">
        <v>81</v>
      </c>
      <c r="I333" s="242" t="s">
        <v>213</v>
      </c>
      <c r="J333" s="242" t="s">
        <v>13927</v>
      </c>
      <c r="K333" s="195" t="s">
        <v>70</v>
      </c>
      <c r="L333" s="20" t="str">
        <f ca="1">IF(OFFSET(환산공식!$ED$15,$F333,0)=1,"O","X")</f>
        <v>X</v>
      </c>
      <c r="M333" s="188">
        <f ca="1">IFERROR(OFFSET(환산공식!DJ$15,$F333,0),"")</f>
        <v>200</v>
      </c>
      <c r="N333" s="20" t="str">
        <f ca="1">IFERROR(CONCATENATE(ROUND(OFFSET(환산공식!DK$15,$F333,0),1),"%"),"")</f>
        <v>100%</v>
      </c>
      <c r="O333" s="20">
        <f ca="1">IFERROR(OFFSET(환산공식!DL$15,$F333,0),"")</f>
        <v>10</v>
      </c>
      <c r="P333" s="188" t="str">
        <f t="shared" ca="1" si="10"/>
        <v>3% 이하</v>
      </c>
      <c r="Q333" s="194">
        <f ca="1">IFERROR(ROUND(OFFSET(환산공식!$FG$15,$F333,0),3),"")</f>
        <v>0</v>
      </c>
      <c r="R333" s="194">
        <f ca="1">OFFSET('배치점수 계산기'!H$10,$D333,0)</f>
        <v>699.68200000000002</v>
      </c>
      <c r="S333" s="194">
        <f ca="1">OFFSET('배치점수 계산기'!I$10,$D333,0)</f>
        <v>685.39800000000002</v>
      </c>
      <c r="T333" s="194">
        <f ca="1">OFFSET('배치점수 계산기'!J$10,$D333,0)</f>
        <v>662.59799999999996</v>
      </c>
      <c r="U333" s="194">
        <f ca="1">OFFSET('배치점수 계산기'!K$10,$D333,0)</f>
        <v>643.11900000000003</v>
      </c>
      <c r="V333" s="194">
        <f ca="1">OFFSET('배치점수 계산기'!L$10,$D333,0)</f>
        <v>613.42600000000004</v>
      </c>
      <c r="W333" s="186" t="str">
        <f ca="1">OFFSET('배치점수 계산기'!M$10,$D333,0)</f>
        <v>백분위</v>
      </c>
      <c r="X333" s="184" t="str">
        <f ca="1">OFFSET('배치점수 계산기'!N$10,$D333,0)</f>
        <v>백분위</v>
      </c>
      <c r="Y333" s="188">
        <f ca="1">OFFSET(환산공식!FW$15,$F333,0)</f>
        <v>0.25</v>
      </c>
      <c r="Z333" s="20">
        <f ca="1">OFFSET(환산공식!FX$15,$F333,0)</f>
        <v>0.38</v>
      </c>
      <c r="AA333" s="179">
        <f ca="1">OFFSET(환산공식!FY$15,$F333,0)</f>
        <v>0.38</v>
      </c>
      <c r="AB333" s="3"/>
      <c r="AD333">
        <f t="shared" ca="1" si="11"/>
        <v>6</v>
      </c>
    </row>
    <row r="334" spans="1:30">
      <c r="A334" s="198"/>
      <c r="B334" s="198"/>
      <c r="C334" s="198" t="s">
        <v>16755</v>
      </c>
      <c r="D334" s="235">
        <v>2233</v>
      </c>
      <c r="E334" s="195">
        <v>214</v>
      </c>
      <c r="F334" s="195">
        <v>214</v>
      </c>
      <c r="G334" s="239">
        <v>327</v>
      </c>
      <c r="H334" s="197" t="s">
        <v>81</v>
      </c>
      <c r="I334" s="242" t="s">
        <v>213</v>
      </c>
      <c r="J334" s="242" t="s">
        <v>8478</v>
      </c>
      <c r="K334" s="195" t="s">
        <v>70</v>
      </c>
      <c r="L334" s="20" t="str">
        <f ca="1">IF(OFFSET(환산공식!$ED$15,$F334,0)=1,"O","X")</f>
        <v>X</v>
      </c>
      <c r="M334" s="188">
        <f ca="1">IFERROR(OFFSET(환산공식!DJ$15,$F334,0),"")</f>
        <v>200</v>
      </c>
      <c r="N334" s="20" t="str">
        <f ca="1">IFERROR(CONCATENATE(ROUND(OFFSET(환산공식!DK$15,$F334,0),1),"%"),"")</f>
        <v>100%</v>
      </c>
      <c r="O334" s="20">
        <f ca="1">IFERROR(OFFSET(환산공식!DL$15,$F334,0),"")</f>
        <v>10</v>
      </c>
      <c r="P334" s="188" t="str">
        <f t="shared" ca="1" si="10"/>
        <v>3% 이하</v>
      </c>
      <c r="Q334" s="194">
        <f ca="1">IFERROR(ROUND(OFFSET(환산공식!$FG$15,$F334,0),3),"")</f>
        <v>0</v>
      </c>
      <c r="R334" s="194">
        <f ca="1">OFFSET('배치점수 계산기'!H$10,$D334,0)</f>
        <v>710.053</v>
      </c>
      <c r="S334" s="194">
        <f ca="1">OFFSET('배치점수 계산기'!I$10,$D334,0)</f>
        <v>695.41800000000001</v>
      </c>
      <c r="T334" s="194">
        <f ca="1">OFFSET('배치점수 계산기'!J$10,$D334,0)</f>
        <v>672.423</v>
      </c>
      <c r="U334" s="194">
        <f ca="1">OFFSET('배치점수 계산기'!K$10,$D334,0)</f>
        <v>652.60199999999998</v>
      </c>
      <c r="V334" s="194">
        <f ca="1">OFFSET('배치점수 계산기'!L$10,$D334,0)</f>
        <v>621.77300000000002</v>
      </c>
      <c r="W334" s="186" t="str">
        <f ca="1">OFFSET('배치점수 계산기'!M$10,$D334,0)</f>
        <v>백분위</v>
      </c>
      <c r="X334" s="184" t="str">
        <f ca="1">OFFSET('배치점수 계산기'!N$10,$D334,0)</f>
        <v>백분위</v>
      </c>
      <c r="Y334" s="188">
        <f ca="1">OFFSET(환산공식!FW$15,$F334,0)</f>
        <v>0.25</v>
      </c>
      <c r="Z334" s="20">
        <f ca="1">OFFSET(환산공식!FX$15,$F334,0)</f>
        <v>0.38</v>
      </c>
      <c r="AA334" s="179">
        <f ca="1">OFFSET(환산공식!FY$15,$F334,0)</f>
        <v>0.38</v>
      </c>
      <c r="AB334" s="3"/>
      <c r="AD334">
        <f t="shared" ca="1" si="11"/>
        <v>6</v>
      </c>
    </row>
    <row r="335" spans="1:30">
      <c r="A335" s="198"/>
      <c r="B335" s="198"/>
      <c r="C335" s="198" t="s">
        <v>16756</v>
      </c>
      <c r="D335" s="235">
        <v>2234</v>
      </c>
      <c r="E335" s="195">
        <v>213</v>
      </c>
      <c r="F335" s="195">
        <v>213</v>
      </c>
      <c r="G335" s="239">
        <v>328</v>
      </c>
      <c r="H335" s="197" t="s">
        <v>81</v>
      </c>
      <c r="I335" s="242" t="s">
        <v>213</v>
      </c>
      <c r="J335" s="242" t="s">
        <v>9544</v>
      </c>
      <c r="K335" s="195" t="s">
        <v>70</v>
      </c>
      <c r="L335" s="20" t="str">
        <f ca="1">IF(OFFSET(환산공식!$ED$15,$F335,0)=1,"O","X")</f>
        <v>X</v>
      </c>
      <c r="M335" s="188">
        <f ca="1">IFERROR(OFFSET(환산공식!DJ$15,$F335,0),"")</f>
        <v>200</v>
      </c>
      <c r="N335" s="20" t="str">
        <f ca="1">IFERROR(CONCATENATE(ROUND(OFFSET(환산공식!DK$15,$F335,0),1),"%"),"")</f>
        <v>100%</v>
      </c>
      <c r="O335" s="20">
        <f ca="1">IFERROR(OFFSET(환산공식!DL$15,$F335,0),"")</f>
        <v>10</v>
      </c>
      <c r="P335" s="188" t="str">
        <f t="shared" ca="1" si="10"/>
        <v>3% 이하</v>
      </c>
      <c r="Q335" s="194">
        <f ca="1">IFERROR(ROUND(OFFSET(환산공식!$FG$15,$F335,0),3),"")</f>
        <v>0</v>
      </c>
      <c r="R335" s="194">
        <f ca="1">OFFSET('배치점수 계산기'!H$10,$D335,0)</f>
        <v>688.47299999999996</v>
      </c>
      <c r="S335" s="194">
        <f ca="1">OFFSET('배치점수 계산기'!I$10,$D335,0)</f>
        <v>681.548</v>
      </c>
      <c r="T335" s="194">
        <f ca="1">OFFSET('배치점수 계산기'!J$10,$D335,0)</f>
        <v>660.41800000000001</v>
      </c>
      <c r="U335" s="194">
        <f ca="1">OFFSET('배치점수 계산기'!K$10,$D335,0)</f>
        <v>654.36099999999999</v>
      </c>
      <c r="V335" s="194">
        <f ca="1">OFFSET('배치점수 계산기'!L$10,$D335,0)</f>
        <v>639.57000000000005</v>
      </c>
      <c r="W335" s="186" t="str">
        <f ca="1">OFFSET('배치점수 계산기'!M$10,$D335,0)</f>
        <v>백분위</v>
      </c>
      <c r="X335" s="184" t="str">
        <f ca="1">OFFSET('배치점수 계산기'!N$10,$D335,0)</f>
        <v>백분위</v>
      </c>
      <c r="Y335" s="188">
        <f ca="1">OFFSET(환산공식!FW$15,$F335,0)</f>
        <v>0.25</v>
      </c>
      <c r="Z335" s="20">
        <f ca="1">OFFSET(환산공식!FX$15,$F335,0)</f>
        <v>0.38</v>
      </c>
      <c r="AA335" s="179">
        <f ca="1">OFFSET(환산공식!FY$15,$F335,0)</f>
        <v>0.38</v>
      </c>
      <c r="AB335" s="3"/>
      <c r="AD335">
        <f t="shared" ca="1" si="11"/>
        <v>6</v>
      </c>
    </row>
    <row r="336" spans="1:30">
      <c r="A336" s="198"/>
      <c r="B336" s="198"/>
      <c r="C336" s="198" t="s">
        <v>16757</v>
      </c>
      <c r="D336" s="235">
        <v>2235</v>
      </c>
      <c r="E336" s="195">
        <v>213</v>
      </c>
      <c r="F336" s="195">
        <v>213</v>
      </c>
      <c r="G336" s="239">
        <v>329</v>
      </c>
      <c r="H336" s="197" t="s">
        <v>81</v>
      </c>
      <c r="I336" s="242" t="s">
        <v>213</v>
      </c>
      <c r="J336" s="242" t="s">
        <v>13987</v>
      </c>
      <c r="K336" s="195" t="s">
        <v>70</v>
      </c>
      <c r="L336" s="20" t="str">
        <f ca="1">IF(OFFSET(환산공식!$ED$15,$F336,0)=1,"O","X")</f>
        <v>X</v>
      </c>
      <c r="M336" s="188">
        <f ca="1">IFERROR(OFFSET(환산공식!DJ$15,$F336,0),"")</f>
        <v>200</v>
      </c>
      <c r="N336" s="20" t="str">
        <f ca="1">IFERROR(CONCATENATE(ROUND(OFFSET(환산공식!DK$15,$F336,0),1),"%"),"")</f>
        <v>100%</v>
      </c>
      <c r="O336" s="20">
        <f ca="1">IFERROR(OFFSET(환산공식!DL$15,$F336,0),"")</f>
        <v>10</v>
      </c>
      <c r="P336" s="188" t="str">
        <f t="shared" ca="1" si="10"/>
        <v>3% 이하</v>
      </c>
      <c r="Q336" s="194">
        <f ca="1">IFERROR(ROUND(OFFSET(환산공식!$FG$15,$F336,0),3),"")</f>
        <v>0</v>
      </c>
      <c r="R336" s="194">
        <f ca="1">OFFSET('배치점수 계산기'!H$10,$D336,0)</f>
        <v>689.92200000000003</v>
      </c>
      <c r="S336" s="194">
        <f ca="1">OFFSET('배치점수 계산기'!I$10,$D336,0)</f>
        <v>669.77200000000005</v>
      </c>
      <c r="T336" s="194">
        <f ca="1">OFFSET('배치점수 계산기'!J$10,$D336,0)</f>
        <v>652.41</v>
      </c>
      <c r="U336" s="194">
        <f ca="1">OFFSET('배치점수 계산기'!K$10,$D336,0)</f>
        <v>630.024</v>
      </c>
      <c r="V336" s="194">
        <f ca="1">OFFSET('배치점수 계산기'!L$10,$D336,0)</f>
        <v>599.08600000000001</v>
      </c>
      <c r="W336" s="186" t="str">
        <f ca="1">OFFSET('배치점수 계산기'!M$10,$D336,0)</f>
        <v>백분위</v>
      </c>
      <c r="X336" s="184" t="str">
        <f ca="1">OFFSET('배치점수 계산기'!N$10,$D336,0)</f>
        <v>백분위</v>
      </c>
      <c r="Y336" s="188">
        <f ca="1">OFFSET(환산공식!FW$15,$F336,0)</f>
        <v>0.25</v>
      </c>
      <c r="Z336" s="20">
        <f ca="1">OFFSET(환산공식!FX$15,$F336,0)</f>
        <v>0.38</v>
      </c>
      <c r="AA336" s="179">
        <f ca="1">OFFSET(환산공식!FY$15,$F336,0)</f>
        <v>0.38</v>
      </c>
      <c r="AB336" s="3"/>
      <c r="AD336">
        <f t="shared" ca="1" si="11"/>
        <v>6</v>
      </c>
    </row>
    <row r="337" spans="1:30">
      <c r="A337" s="198"/>
      <c r="B337" s="198"/>
      <c r="C337" s="198" t="s">
        <v>16758</v>
      </c>
      <c r="D337" s="235">
        <v>2241</v>
      </c>
      <c r="E337" s="195">
        <v>212</v>
      </c>
      <c r="F337" s="195">
        <v>212</v>
      </c>
      <c r="G337" s="239">
        <v>330</v>
      </c>
      <c r="H337" s="197" t="s">
        <v>81</v>
      </c>
      <c r="I337" s="242" t="s">
        <v>213</v>
      </c>
      <c r="J337" s="242" t="s">
        <v>8216</v>
      </c>
      <c r="K337" s="195" t="s">
        <v>71</v>
      </c>
      <c r="L337" s="20" t="str">
        <f ca="1">IF(OFFSET(환산공식!$ED$15,$F337,0)=1,"O","X")</f>
        <v>X</v>
      </c>
      <c r="M337" s="188">
        <f ca="1">IFERROR(OFFSET(환산공식!DJ$15,$F337,0),"")</f>
        <v>200</v>
      </c>
      <c r="N337" s="20" t="str">
        <f ca="1">IFERROR(CONCATENATE(ROUND(OFFSET(환산공식!DK$15,$F337,0),1),"%"),"")</f>
        <v>100%</v>
      </c>
      <c r="O337" s="20">
        <f ca="1">IFERROR(OFFSET(환산공식!DL$15,$F337,0),"")</f>
        <v>10</v>
      </c>
      <c r="P337" s="188" t="str">
        <f t="shared" ca="1" si="10"/>
        <v>3% 이하</v>
      </c>
      <c r="Q337" s="194">
        <f ca="1">IFERROR(ROUND(OFFSET(환산공식!$FG$15,$F337,0),3),"")</f>
        <v>0</v>
      </c>
      <c r="R337" s="194">
        <f ca="1">OFFSET('배치점수 계산기'!H$10,$D337,0)</f>
        <v>807.8</v>
      </c>
      <c r="S337" s="194">
        <f ca="1">OFFSET('배치점수 계산기'!I$10,$D337,0)</f>
        <v>798.2</v>
      </c>
      <c r="T337" s="194">
        <f ca="1">OFFSET('배치점수 계산기'!J$10,$D337,0)</f>
        <v>788.25</v>
      </c>
      <c r="U337" s="194">
        <f ca="1">OFFSET('배치점수 계산기'!K$10,$D337,0)</f>
        <v>768.1</v>
      </c>
      <c r="V337" s="194">
        <f ca="1">OFFSET('배치점수 계산기'!L$10,$D337,0)</f>
        <v>738.5</v>
      </c>
      <c r="W337" s="186" t="str">
        <f ca="1">OFFSET('배치점수 계산기'!M$10,$D337,0)</f>
        <v>백분위</v>
      </c>
      <c r="X337" s="184" t="str">
        <f ca="1">OFFSET('배치점수 계산기'!N$10,$D337,0)</f>
        <v>백분위</v>
      </c>
      <c r="Y337" s="188">
        <f ca="1">OFFSET(환산공식!FW$15,$F337,0)</f>
        <v>0.38</v>
      </c>
      <c r="Z337" s="20">
        <f ca="1">OFFSET(환산공식!FX$15,$F337,0)</f>
        <v>0.25</v>
      </c>
      <c r="AA337" s="179">
        <f ca="1">OFFSET(환산공식!FY$15,$F337,0)</f>
        <v>0.38</v>
      </c>
      <c r="AB337" s="3"/>
      <c r="AD337">
        <f t="shared" ca="1" si="11"/>
        <v>6</v>
      </c>
    </row>
    <row r="338" spans="1:30">
      <c r="A338" s="198"/>
      <c r="B338" s="198"/>
      <c r="C338" s="198" t="s">
        <v>16759</v>
      </c>
      <c r="D338" s="235">
        <v>2242</v>
      </c>
      <c r="E338" s="195">
        <v>212</v>
      </c>
      <c r="F338" s="195">
        <v>212</v>
      </c>
      <c r="G338" s="239">
        <v>331</v>
      </c>
      <c r="H338" s="197" t="s">
        <v>81</v>
      </c>
      <c r="I338" s="242" t="s">
        <v>213</v>
      </c>
      <c r="J338" s="242" t="s">
        <v>8269</v>
      </c>
      <c r="K338" s="195" t="s">
        <v>71</v>
      </c>
      <c r="L338" s="20" t="str">
        <f ca="1">IF(OFFSET(환산공식!$ED$15,$F338,0)=1,"O","X")</f>
        <v>X</v>
      </c>
      <c r="M338" s="188">
        <f ca="1">IFERROR(OFFSET(환산공식!DJ$15,$F338,0),"")</f>
        <v>200</v>
      </c>
      <c r="N338" s="20" t="str">
        <f ca="1">IFERROR(CONCATENATE(ROUND(OFFSET(환산공식!DK$15,$F338,0),1),"%"),"")</f>
        <v>100%</v>
      </c>
      <c r="O338" s="20">
        <f ca="1">IFERROR(OFFSET(환산공식!DL$15,$F338,0),"")</f>
        <v>10</v>
      </c>
      <c r="P338" s="188" t="str">
        <f t="shared" ca="1" si="10"/>
        <v>3% 이하</v>
      </c>
      <c r="Q338" s="194">
        <f ca="1">IFERROR(ROUND(OFFSET(환산공식!$FG$15,$F338,0),3),"")</f>
        <v>0</v>
      </c>
      <c r="R338" s="194">
        <f ca="1">OFFSET('배치점수 계산기'!H$10,$D338,0)</f>
        <v>807.8</v>
      </c>
      <c r="S338" s="194">
        <f ca="1">OFFSET('배치점수 계산기'!I$10,$D338,0)</f>
        <v>798.2</v>
      </c>
      <c r="T338" s="194">
        <f ca="1">OFFSET('배치점수 계산기'!J$10,$D338,0)</f>
        <v>788.25</v>
      </c>
      <c r="U338" s="194">
        <f ca="1">OFFSET('배치점수 계산기'!K$10,$D338,0)</f>
        <v>768.1</v>
      </c>
      <c r="V338" s="194">
        <f ca="1">OFFSET('배치점수 계산기'!L$10,$D338,0)</f>
        <v>738.5</v>
      </c>
      <c r="W338" s="186" t="str">
        <f ca="1">OFFSET('배치점수 계산기'!M$10,$D338,0)</f>
        <v>백분위</v>
      </c>
      <c r="X338" s="184" t="str">
        <f ca="1">OFFSET('배치점수 계산기'!N$10,$D338,0)</f>
        <v>백분위</v>
      </c>
      <c r="Y338" s="188">
        <f ca="1">OFFSET(환산공식!FW$15,$F338,0)</f>
        <v>0.38</v>
      </c>
      <c r="Z338" s="20">
        <f ca="1">OFFSET(환산공식!FX$15,$F338,0)</f>
        <v>0.25</v>
      </c>
      <c r="AA338" s="179">
        <f ca="1">OFFSET(환산공식!FY$15,$F338,0)</f>
        <v>0.38</v>
      </c>
      <c r="AB338" s="3"/>
      <c r="AD338">
        <f t="shared" ca="1" si="11"/>
        <v>6</v>
      </c>
    </row>
    <row r="339" spans="1:30">
      <c r="A339" s="198"/>
      <c r="B339" s="198"/>
      <c r="C339" s="198" t="s">
        <v>16760</v>
      </c>
      <c r="D339" s="235">
        <v>2243</v>
      </c>
      <c r="E339" s="195">
        <v>212</v>
      </c>
      <c r="F339" s="195">
        <v>212</v>
      </c>
      <c r="G339" s="239">
        <v>332</v>
      </c>
      <c r="H339" s="197" t="s">
        <v>81</v>
      </c>
      <c r="I339" s="242" t="s">
        <v>213</v>
      </c>
      <c r="J339" s="242" t="s">
        <v>8190</v>
      </c>
      <c r="K339" s="195" t="s">
        <v>71</v>
      </c>
      <c r="L339" s="20" t="str">
        <f ca="1">IF(OFFSET(환산공식!$ED$15,$F339,0)=1,"O","X")</f>
        <v>X</v>
      </c>
      <c r="M339" s="188">
        <f ca="1">IFERROR(OFFSET(환산공식!DJ$15,$F339,0),"")</f>
        <v>200</v>
      </c>
      <c r="N339" s="20" t="str">
        <f ca="1">IFERROR(CONCATENATE(ROUND(OFFSET(환산공식!DK$15,$F339,0),1),"%"),"")</f>
        <v>100%</v>
      </c>
      <c r="O339" s="20">
        <f ca="1">IFERROR(OFFSET(환산공식!DL$15,$F339,0),"")</f>
        <v>10</v>
      </c>
      <c r="P339" s="188" t="str">
        <f t="shared" ca="1" si="10"/>
        <v>3% 이하</v>
      </c>
      <c r="Q339" s="194">
        <f ca="1">IFERROR(ROUND(OFFSET(환산공식!$FG$15,$F339,0),3),"")</f>
        <v>0</v>
      </c>
      <c r="R339" s="194">
        <f ca="1">OFFSET('배치점수 계산기'!H$10,$D339,0)</f>
        <v>807.8</v>
      </c>
      <c r="S339" s="194">
        <f ca="1">OFFSET('배치점수 계산기'!I$10,$D339,0)</f>
        <v>798.2</v>
      </c>
      <c r="T339" s="194">
        <f ca="1">OFFSET('배치점수 계산기'!J$10,$D339,0)</f>
        <v>788.25</v>
      </c>
      <c r="U339" s="194">
        <f ca="1">OFFSET('배치점수 계산기'!K$10,$D339,0)</f>
        <v>768.1</v>
      </c>
      <c r="V339" s="194">
        <f ca="1">OFFSET('배치점수 계산기'!L$10,$D339,0)</f>
        <v>738.5</v>
      </c>
      <c r="W339" s="186" t="str">
        <f ca="1">OFFSET('배치점수 계산기'!M$10,$D339,0)</f>
        <v>백분위</v>
      </c>
      <c r="X339" s="184" t="str">
        <f ca="1">OFFSET('배치점수 계산기'!N$10,$D339,0)</f>
        <v>백분위</v>
      </c>
      <c r="Y339" s="188">
        <f ca="1">OFFSET(환산공식!FW$15,$F339,0)</f>
        <v>0.38</v>
      </c>
      <c r="Z339" s="20">
        <f ca="1">OFFSET(환산공식!FX$15,$F339,0)</f>
        <v>0.25</v>
      </c>
      <c r="AA339" s="179">
        <f ca="1">OFFSET(환산공식!FY$15,$F339,0)</f>
        <v>0.38</v>
      </c>
      <c r="AB339" s="3"/>
      <c r="AD339">
        <f t="shared" ca="1" si="11"/>
        <v>6</v>
      </c>
    </row>
    <row r="340" spans="1:30">
      <c r="A340" s="198"/>
      <c r="B340" s="198"/>
      <c r="C340" s="198" t="s">
        <v>16761</v>
      </c>
      <c r="D340" s="235">
        <v>2244</v>
      </c>
      <c r="E340" s="195">
        <v>212</v>
      </c>
      <c r="F340" s="195">
        <v>212</v>
      </c>
      <c r="G340" s="239">
        <v>333</v>
      </c>
      <c r="H340" s="197" t="s">
        <v>81</v>
      </c>
      <c r="I340" s="242" t="s">
        <v>213</v>
      </c>
      <c r="J340" s="242" t="s">
        <v>542</v>
      </c>
      <c r="K340" s="195" t="s">
        <v>71</v>
      </c>
      <c r="L340" s="20" t="str">
        <f ca="1">IF(OFFSET(환산공식!$ED$15,$F340,0)=1,"O","X")</f>
        <v>X</v>
      </c>
      <c r="M340" s="188">
        <f ca="1">IFERROR(OFFSET(환산공식!DJ$15,$F340,0),"")</f>
        <v>200</v>
      </c>
      <c r="N340" s="20" t="str">
        <f ca="1">IFERROR(CONCATENATE(ROUND(OFFSET(환산공식!DK$15,$F340,0),1),"%"),"")</f>
        <v>100%</v>
      </c>
      <c r="O340" s="20">
        <f ca="1">IFERROR(OFFSET(환산공식!DL$15,$F340,0),"")</f>
        <v>10</v>
      </c>
      <c r="P340" s="188" t="str">
        <f t="shared" ca="1" si="10"/>
        <v>3% 이하</v>
      </c>
      <c r="Q340" s="194">
        <f ca="1">IFERROR(ROUND(OFFSET(환산공식!$FG$15,$F340,0),3),"")</f>
        <v>0</v>
      </c>
      <c r="R340" s="194">
        <f ca="1">OFFSET('배치점수 계산기'!H$10,$D340,0)</f>
        <v>755.2</v>
      </c>
      <c r="S340" s="194">
        <f ca="1">OFFSET('배치점수 계산기'!I$10,$D340,0)</f>
        <v>751.6</v>
      </c>
      <c r="T340" s="194">
        <f ca="1">OFFSET('배치점수 계산기'!J$10,$D340,0)</f>
        <v>742.85</v>
      </c>
      <c r="U340" s="194">
        <f ca="1">OFFSET('배치점수 계산기'!K$10,$D340,0)</f>
        <v>730.55</v>
      </c>
      <c r="V340" s="194">
        <f ca="1">OFFSET('배치점수 계산기'!L$10,$D340,0)</f>
        <v>719.05</v>
      </c>
      <c r="W340" s="186" t="str">
        <f ca="1">OFFSET('배치점수 계산기'!M$10,$D340,0)</f>
        <v>백분위</v>
      </c>
      <c r="X340" s="184" t="str">
        <f ca="1">OFFSET('배치점수 계산기'!N$10,$D340,0)</f>
        <v>백분위</v>
      </c>
      <c r="Y340" s="188">
        <f ca="1">OFFSET(환산공식!FW$15,$F340,0)</f>
        <v>0.38</v>
      </c>
      <c r="Z340" s="20">
        <f ca="1">OFFSET(환산공식!FX$15,$F340,0)</f>
        <v>0.25</v>
      </c>
      <c r="AA340" s="179">
        <f ca="1">OFFSET(환산공식!FY$15,$F340,0)</f>
        <v>0.38</v>
      </c>
      <c r="AB340" s="3"/>
      <c r="AD340">
        <f t="shared" ca="1" si="11"/>
        <v>6</v>
      </c>
    </row>
    <row r="341" spans="1:30">
      <c r="A341" s="198"/>
      <c r="B341" s="198"/>
      <c r="C341" s="198" t="s">
        <v>16762</v>
      </c>
      <c r="D341" s="235">
        <v>2245</v>
      </c>
      <c r="E341" s="195">
        <v>212</v>
      </c>
      <c r="F341" s="195">
        <v>212</v>
      </c>
      <c r="G341" s="239">
        <v>334</v>
      </c>
      <c r="H341" s="197" t="s">
        <v>81</v>
      </c>
      <c r="I341" s="242" t="s">
        <v>213</v>
      </c>
      <c r="J341" s="242" t="s">
        <v>8696</v>
      </c>
      <c r="K341" s="195" t="s">
        <v>71</v>
      </c>
      <c r="L341" s="20" t="str">
        <f ca="1">IF(OFFSET(환산공식!$ED$15,$F341,0)=1,"O","X")</f>
        <v>X</v>
      </c>
      <c r="M341" s="188">
        <f ca="1">IFERROR(OFFSET(환산공식!DJ$15,$F341,0),"")</f>
        <v>200</v>
      </c>
      <c r="N341" s="20" t="str">
        <f ca="1">IFERROR(CONCATENATE(ROUND(OFFSET(환산공식!DK$15,$F341,0),1),"%"),"")</f>
        <v>100%</v>
      </c>
      <c r="O341" s="20">
        <f ca="1">IFERROR(OFFSET(환산공식!DL$15,$F341,0),"")</f>
        <v>10</v>
      </c>
      <c r="P341" s="188" t="str">
        <f t="shared" ca="1" si="10"/>
        <v>3% 이하</v>
      </c>
      <c r="Q341" s="194">
        <f ca="1">IFERROR(ROUND(OFFSET(환산공식!$FG$15,$F341,0),3),"")</f>
        <v>0</v>
      </c>
      <c r="R341" s="194">
        <f ca="1">OFFSET('배치점수 계산기'!H$10,$D341,0)</f>
        <v>741.85</v>
      </c>
      <c r="S341" s="194">
        <f ca="1">OFFSET('배치점수 계산기'!I$10,$D341,0)</f>
        <v>737.8</v>
      </c>
      <c r="T341" s="194">
        <f ca="1">OFFSET('배치점수 계산기'!J$10,$D341,0)</f>
        <v>729.5</v>
      </c>
      <c r="U341" s="194">
        <f ca="1">OFFSET('배치점수 계산기'!K$10,$D341,0)</f>
        <v>719.05</v>
      </c>
      <c r="V341" s="194">
        <f ca="1">OFFSET('배치점수 계산기'!L$10,$D341,0)</f>
        <v>706.15</v>
      </c>
      <c r="W341" s="186" t="str">
        <f ca="1">OFFSET('배치점수 계산기'!M$10,$D341,0)</f>
        <v>백분위</v>
      </c>
      <c r="X341" s="184" t="str">
        <f ca="1">OFFSET('배치점수 계산기'!N$10,$D341,0)</f>
        <v>백분위</v>
      </c>
      <c r="Y341" s="188">
        <f ca="1">OFFSET(환산공식!FW$15,$F341,0)</f>
        <v>0.38</v>
      </c>
      <c r="Z341" s="20">
        <f ca="1">OFFSET(환산공식!FX$15,$F341,0)</f>
        <v>0.25</v>
      </c>
      <c r="AA341" s="179">
        <f ca="1">OFFSET(환산공식!FY$15,$F341,0)</f>
        <v>0.38</v>
      </c>
      <c r="AB341" s="3"/>
      <c r="AD341">
        <f t="shared" ca="1" si="11"/>
        <v>6</v>
      </c>
    </row>
    <row r="342" spans="1:30">
      <c r="A342" s="198"/>
      <c r="B342" s="198"/>
      <c r="C342" s="198" t="s">
        <v>16763</v>
      </c>
      <c r="D342" s="235">
        <v>2246</v>
      </c>
      <c r="E342" s="195">
        <v>212</v>
      </c>
      <c r="F342" s="195">
        <v>212</v>
      </c>
      <c r="G342" s="239">
        <v>335</v>
      </c>
      <c r="H342" s="197" t="s">
        <v>81</v>
      </c>
      <c r="I342" s="242" t="s">
        <v>213</v>
      </c>
      <c r="J342" s="242" t="s">
        <v>10555</v>
      </c>
      <c r="K342" s="195" t="s">
        <v>71</v>
      </c>
      <c r="L342" s="20" t="str">
        <f ca="1">IF(OFFSET(환산공식!$ED$15,$F342,0)=1,"O","X")</f>
        <v>X</v>
      </c>
      <c r="M342" s="188">
        <f ca="1">IFERROR(OFFSET(환산공식!DJ$15,$F342,0),"")</f>
        <v>200</v>
      </c>
      <c r="N342" s="20" t="str">
        <f ca="1">IFERROR(CONCATENATE(ROUND(OFFSET(환산공식!DK$15,$F342,0),1),"%"),"")</f>
        <v>100%</v>
      </c>
      <c r="O342" s="20">
        <f ca="1">IFERROR(OFFSET(환산공식!DL$15,$F342,0),"")</f>
        <v>10</v>
      </c>
      <c r="P342" s="188" t="str">
        <f t="shared" ca="1" si="10"/>
        <v>3% 이하</v>
      </c>
      <c r="Q342" s="194">
        <f ca="1">IFERROR(ROUND(OFFSET(환산공식!$FG$15,$F342,0),3),"")</f>
        <v>0</v>
      </c>
      <c r="R342" s="194">
        <f ca="1">OFFSET('배치점수 계산기'!H$10,$D342,0)</f>
        <v>732.6</v>
      </c>
      <c r="S342" s="194">
        <f ca="1">OFFSET('배치점수 계산기'!I$10,$D342,0)</f>
        <v>728.45</v>
      </c>
      <c r="T342" s="194">
        <f ca="1">OFFSET('배치점수 계산기'!J$10,$D342,0)</f>
        <v>722</v>
      </c>
      <c r="U342" s="194">
        <f ca="1">OFFSET('배치점수 계산기'!K$10,$D342,0)</f>
        <v>709.1</v>
      </c>
      <c r="V342" s="194">
        <f ca="1">OFFSET('배치점수 계산기'!L$10,$D342,0)</f>
        <v>696.7</v>
      </c>
      <c r="W342" s="186" t="str">
        <f ca="1">OFFSET('배치점수 계산기'!M$10,$D342,0)</f>
        <v>백분위</v>
      </c>
      <c r="X342" s="184" t="str">
        <f ca="1">OFFSET('배치점수 계산기'!N$10,$D342,0)</f>
        <v>백분위</v>
      </c>
      <c r="Y342" s="188">
        <f ca="1">OFFSET(환산공식!FW$15,$F342,0)</f>
        <v>0.38</v>
      </c>
      <c r="Z342" s="20">
        <f ca="1">OFFSET(환산공식!FX$15,$F342,0)</f>
        <v>0.25</v>
      </c>
      <c r="AA342" s="179">
        <f ca="1">OFFSET(환산공식!FY$15,$F342,0)</f>
        <v>0.38</v>
      </c>
      <c r="AB342" s="3"/>
      <c r="AD342">
        <f t="shared" ca="1" si="11"/>
        <v>6</v>
      </c>
    </row>
    <row r="343" spans="1:30">
      <c r="A343" s="198"/>
      <c r="B343" s="198"/>
      <c r="C343" s="198" t="s">
        <v>16764</v>
      </c>
      <c r="D343" s="235">
        <v>2247</v>
      </c>
      <c r="E343" s="195">
        <v>212</v>
      </c>
      <c r="F343" s="195">
        <v>212</v>
      </c>
      <c r="G343" s="239">
        <v>336</v>
      </c>
      <c r="H343" s="197" t="s">
        <v>81</v>
      </c>
      <c r="I343" s="242" t="s">
        <v>213</v>
      </c>
      <c r="J343" s="242" t="s">
        <v>9757</v>
      </c>
      <c r="K343" s="195" t="s">
        <v>71</v>
      </c>
      <c r="L343" s="20" t="str">
        <f ca="1">IF(OFFSET(환산공식!$ED$15,$F343,0)=1,"O","X")</f>
        <v>X</v>
      </c>
      <c r="M343" s="188">
        <f ca="1">IFERROR(OFFSET(환산공식!DJ$15,$F343,0),"")</f>
        <v>200</v>
      </c>
      <c r="N343" s="20" t="str">
        <f ca="1">IFERROR(CONCATENATE(ROUND(OFFSET(환산공식!DK$15,$F343,0),1),"%"),"")</f>
        <v>100%</v>
      </c>
      <c r="O343" s="20">
        <f ca="1">IFERROR(OFFSET(환산공식!DL$15,$F343,0),"")</f>
        <v>10</v>
      </c>
      <c r="P343" s="188" t="str">
        <f t="shared" ca="1" si="10"/>
        <v>3% 이하</v>
      </c>
      <c r="Q343" s="194">
        <f ca="1">IFERROR(ROUND(OFFSET(환산공식!$FG$15,$F343,0),3),"")</f>
        <v>0</v>
      </c>
      <c r="R343" s="194">
        <f ca="1">OFFSET('배치점수 계산기'!H$10,$D343,0)</f>
        <v>725.5</v>
      </c>
      <c r="S343" s="194">
        <f ca="1">OFFSET('배치점수 계산기'!I$10,$D343,0)</f>
        <v>722</v>
      </c>
      <c r="T343" s="194">
        <f ca="1">OFFSET('배치점수 계산기'!J$10,$D343,0)</f>
        <v>714.25</v>
      </c>
      <c r="U343" s="194">
        <f ca="1">OFFSET('배치점수 계산기'!K$10,$D343,0)</f>
        <v>701.95</v>
      </c>
      <c r="V343" s="194">
        <f ca="1">OFFSET('배치점수 계산기'!L$10,$D343,0)</f>
        <v>690.05</v>
      </c>
      <c r="W343" s="186" t="str">
        <f ca="1">OFFSET('배치점수 계산기'!M$10,$D343,0)</f>
        <v>백분위</v>
      </c>
      <c r="X343" s="184" t="str">
        <f ca="1">OFFSET('배치점수 계산기'!N$10,$D343,0)</f>
        <v>백분위</v>
      </c>
      <c r="Y343" s="188">
        <f ca="1">OFFSET(환산공식!FW$15,$F343,0)</f>
        <v>0.38</v>
      </c>
      <c r="Z343" s="20">
        <f ca="1">OFFSET(환산공식!FX$15,$F343,0)</f>
        <v>0.25</v>
      </c>
      <c r="AA343" s="179">
        <f ca="1">OFFSET(환산공식!FY$15,$F343,0)</f>
        <v>0.38</v>
      </c>
      <c r="AB343" s="3"/>
      <c r="AD343">
        <f t="shared" ca="1" si="11"/>
        <v>6</v>
      </c>
    </row>
    <row r="344" spans="1:30">
      <c r="A344" s="198"/>
      <c r="B344" s="198"/>
      <c r="C344" s="198" t="s">
        <v>16765</v>
      </c>
      <c r="D344" s="235">
        <v>2248</v>
      </c>
      <c r="E344" s="195">
        <v>212</v>
      </c>
      <c r="F344" s="195">
        <v>212</v>
      </c>
      <c r="G344" s="239">
        <v>337</v>
      </c>
      <c r="H344" s="197" t="s">
        <v>81</v>
      </c>
      <c r="I344" s="242" t="s">
        <v>213</v>
      </c>
      <c r="J344" s="242" t="s">
        <v>8618</v>
      </c>
      <c r="K344" s="195" t="s">
        <v>71</v>
      </c>
      <c r="L344" s="20" t="str">
        <f ca="1">IF(OFFSET(환산공식!$ED$15,$F344,0)=1,"O","X")</f>
        <v>X</v>
      </c>
      <c r="M344" s="188">
        <f ca="1">IFERROR(OFFSET(환산공식!DJ$15,$F344,0),"")</f>
        <v>200</v>
      </c>
      <c r="N344" s="20" t="str">
        <f ca="1">IFERROR(CONCATENATE(ROUND(OFFSET(환산공식!DK$15,$F344,0),1),"%"),"")</f>
        <v>100%</v>
      </c>
      <c r="O344" s="20">
        <f ca="1">IFERROR(OFFSET(환산공식!DL$15,$F344,0),"")</f>
        <v>10</v>
      </c>
      <c r="P344" s="188" t="str">
        <f t="shared" ca="1" si="10"/>
        <v>3% 이하</v>
      </c>
      <c r="Q344" s="194">
        <f ca="1">IFERROR(ROUND(OFFSET(환산공식!$FG$15,$F344,0),3),"")</f>
        <v>0</v>
      </c>
      <c r="R344" s="194">
        <f ca="1">OFFSET('배치점수 계산기'!H$10,$D344,0)</f>
        <v>721.2</v>
      </c>
      <c r="S344" s="194">
        <f ca="1">OFFSET('배치점수 계산기'!I$10,$D344,0)</f>
        <v>716.95</v>
      </c>
      <c r="T344" s="194">
        <f ca="1">OFFSET('배치점수 계산기'!J$10,$D344,0)</f>
        <v>710.65</v>
      </c>
      <c r="U344" s="194">
        <f ca="1">OFFSET('배치점수 계산기'!K$10,$D344,0)</f>
        <v>697.25</v>
      </c>
      <c r="V344" s="194">
        <f ca="1">OFFSET('배치점수 계산기'!L$10,$D344,0)</f>
        <v>686.55</v>
      </c>
      <c r="W344" s="186" t="str">
        <f ca="1">OFFSET('배치점수 계산기'!M$10,$D344,0)</f>
        <v>백분위</v>
      </c>
      <c r="X344" s="184" t="str">
        <f ca="1">OFFSET('배치점수 계산기'!N$10,$D344,0)</f>
        <v>백분위</v>
      </c>
      <c r="Y344" s="188">
        <f ca="1">OFFSET(환산공식!FW$15,$F344,0)</f>
        <v>0.38</v>
      </c>
      <c r="Z344" s="20">
        <f ca="1">OFFSET(환산공식!FX$15,$F344,0)</f>
        <v>0.25</v>
      </c>
      <c r="AA344" s="179">
        <f ca="1">OFFSET(환산공식!FY$15,$F344,0)</f>
        <v>0.38</v>
      </c>
      <c r="AB344" s="3"/>
      <c r="AD344">
        <f t="shared" ca="1" si="11"/>
        <v>6</v>
      </c>
    </row>
    <row r="345" spans="1:30">
      <c r="A345" s="198"/>
      <c r="B345" s="198"/>
      <c r="C345" s="198" t="s">
        <v>16766</v>
      </c>
      <c r="D345" s="235">
        <v>2249</v>
      </c>
      <c r="E345" s="195">
        <v>212</v>
      </c>
      <c r="F345" s="195">
        <v>212</v>
      </c>
      <c r="G345" s="239">
        <v>338</v>
      </c>
      <c r="H345" s="197" t="s">
        <v>81</v>
      </c>
      <c r="I345" s="242" t="s">
        <v>213</v>
      </c>
      <c r="J345" s="242" t="s">
        <v>8217</v>
      </c>
      <c r="K345" s="195" t="s">
        <v>71</v>
      </c>
      <c r="L345" s="20" t="str">
        <f ca="1">IF(OFFSET(환산공식!$ED$15,$F345,0)=1,"O","X")</f>
        <v>X</v>
      </c>
      <c r="M345" s="188">
        <f ca="1">IFERROR(OFFSET(환산공식!DJ$15,$F345,0),"")</f>
        <v>200</v>
      </c>
      <c r="N345" s="20" t="str">
        <f ca="1">IFERROR(CONCATENATE(ROUND(OFFSET(환산공식!DK$15,$F345,0),1),"%"),"")</f>
        <v>100%</v>
      </c>
      <c r="O345" s="20">
        <f ca="1">IFERROR(OFFSET(환산공식!DL$15,$F345,0),"")</f>
        <v>10</v>
      </c>
      <c r="P345" s="188" t="str">
        <f t="shared" ca="1" si="10"/>
        <v>3% 이하</v>
      </c>
      <c r="Q345" s="194">
        <f ca="1">IFERROR(ROUND(OFFSET(환산공식!$FG$15,$F345,0),3),"")</f>
        <v>0</v>
      </c>
      <c r="R345" s="194">
        <f ca="1">OFFSET('배치점수 계산기'!H$10,$D345,0)</f>
        <v>725.5</v>
      </c>
      <c r="S345" s="194">
        <f ca="1">OFFSET('배치점수 계산기'!I$10,$D345,0)</f>
        <v>717.6</v>
      </c>
      <c r="T345" s="194">
        <f ca="1">OFFSET('배치점수 계산기'!J$10,$D345,0)</f>
        <v>706.15</v>
      </c>
      <c r="U345" s="194">
        <f ca="1">OFFSET('배치점수 계산기'!K$10,$D345,0)</f>
        <v>693.2</v>
      </c>
      <c r="V345" s="194">
        <f ca="1">OFFSET('배치점수 계산기'!L$10,$D345,0)</f>
        <v>685.75</v>
      </c>
      <c r="W345" s="186" t="str">
        <f ca="1">OFFSET('배치점수 계산기'!M$10,$D345,0)</f>
        <v>백분위</v>
      </c>
      <c r="X345" s="184" t="str">
        <f ca="1">OFFSET('배치점수 계산기'!N$10,$D345,0)</f>
        <v>백분위</v>
      </c>
      <c r="Y345" s="188">
        <f ca="1">OFFSET(환산공식!FW$15,$F345,0)</f>
        <v>0.38</v>
      </c>
      <c r="Z345" s="20">
        <f ca="1">OFFSET(환산공식!FX$15,$F345,0)</f>
        <v>0.25</v>
      </c>
      <c r="AA345" s="179">
        <f ca="1">OFFSET(환산공식!FY$15,$F345,0)</f>
        <v>0.38</v>
      </c>
      <c r="AB345" s="3"/>
      <c r="AD345">
        <f t="shared" ca="1" si="11"/>
        <v>6</v>
      </c>
    </row>
    <row r="346" spans="1:30">
      <c r="A346" s="198"/>
      <c r="B346" s="198"/>
      <c r="C346" s="198" t="s">
        <v>16767</v>
      </c>
      <c r="D346" s="235">
        <v>2250</v>
      </c>
      <c r="E346" s="195">
        <v>212</v>
      </c>
      <c r="F346" s="195">
        <v>212</v>
      </c>
      <c r="G346" s="239">
        <v>339</v>
      </c>
      <c r="H346" s="197" t="s">
        <v>81</v>
      </c>
      <c r="I346" s="242" t="s">
        <v>213</v>
      </c>
      <c r="J346" s="242" t="s">
        <v>9396</v>
      </c>
      <c r="K346" s="195" t="s">
        <v>71</v>
      </c>
      <c r="L346" s="20" t="str">
        <f ca="1">IF(OFFSET(환산공식!$ED$15,$F346,0)=1,"O","X")</f>
        <v>X</v>
      </c>
      <c r="M346" s="188">
        <f ca="1">IFERROR(OFFSET(환산공식!DJ$15,$F346,0),"")</f>
        <v>200</v>
      </c>
      <c r="N346" s="20" t="str">
        <f ca="1">IFERROR(CONCATENATE(ROUND(OFFSET(환산공식!DK$15,$F346,0),1),"%"),"")</f>
        <v>100%</v>
      </c>
      <c r="O346" s="20">
        <f ca="1">IFERROR(OFFSET(환산공식!DL$15,$F346,0),"")</f>
        <v>10</v>
      </c>
      <c r="P346" s="188" t="str">
        <f t="shared" ca="1" si="10"/>
        <v>3% 이하</v>
      </c>
      <c r="Q346" s="194">
        <f ca="1">IFERROR(ROUND(OFFSET(환산공식!$FG$15,$F346,0),3),"")</f>
        <v>0</v>
      </c>
      <c r="R346" s="194">
        <f ca="1">OFFSET('배치점수 계산기'!H$10,$D346,0)</f>
        <v>703.55</v>
      </c>
      <c r="S346" s="194">
        <f ca="1">OFFSET('배치점수 계산기'!I$10,$D346,0)</f>
        <v>697.25</v>
      </c>
      <c r="T346" s="194">
        <f ca="1">OFFSET('배치점수 계산기'!J$10,$D346,0)</f>
        <v>686.5</v>
      </c>
      <c r="U346" s="194">
        <f ca="1">OFFSET('배치점수 계산기'!K$10,$D346,0)</f>
        <v>676.95</v>
      </c>
      <c r="V346" s="194">
        <f ca="1">OFFSET('배치점수 계산기'!L$10,$D346,0)</f>
        <v>665.9</v>
      </c>
      <c r="W346" s="186" t="str">
        <f ca="1">OFFSET('배치점수 계산기'!M$10,$D346,0)</f>
        <v>백분위</v>
      </c>
      <c r="X346" s="184" t="str">
        <f ca="1">OFFSET('배치점수 계산기'!N$10,$D346,0)</f>
        <v>백분위</v>
      </c>
      <c r="Y346" s="188">
        <f ca="1">OFFSET(환산공식!FW$15,$F346,0)</f>
        <v>0.38</v>
      </c>
      <c r="Z346" s="20">
        <f ca="1">OFFSET(환산공식!FX$15,$F346,0)</f>
        <v>0.25</v>
      </c>
      <c r="AA346" s="179">
        <f ca="1">OFFSET(환산공식!FY$15,$F346,0)</f>
        <v>0.38</v>
      </c>
      <c r="AB346" s="3"/>
      <c r="AD346">
        <f t="shared" ca="1" si="11"/>
        <v>6</v>
      </c>
    </row>
    <row r="347" spans="1:30">
      <c r="A347" s="198"/>
      <c r="B347" s="198"/>
      <c r="C347" s="198" t="s">
        <v>16768</v>
      </c>
      <c r="D347" s="235">
        <v>2251</v>
      </c>
      <c r="E347" s="195">
        <v>212</v>
      </c>
      <c r="F347" s="195">
        <v>212</v>
      </c>
      <c r="G347" s="239">
        <v>340</v>
      </c>
      <c r="H347" s="197" t="s">
        <v>81</v>
      </c>
      <c r="I347" s="242" t="s">
        <v>213</v>
      </c>
      <c r="J347" s="242" t="s">
        <v>8534</v>
      </c>
      <c r="K347" s="195" t="s">
        <v>71</v>
      </c>
      <c r="L347" s="20" t="str">
        <f ca="1">IF(OFFSET(환산공식!$ED$15,$F347,0)=1,"O","X")</f>
        <v>X</v>
      </c>
      <c r="M347" s="188">
        <f ca="1">IFERROR(OFFSET(환산공식!DJ$15,$F347,0),"")</f>
        <v>200</v>
      </c>
      <c r="N347" s="20" t="str">
        <f ca="1">IFERROR(CONCATENATE(ROUND(OFFSET(환산공식!DK$15,$F347,0),1),"%"),"")</f>
        <v>100%</v>
      </c>
      <c r="O347" s="20">
        <f ca="1">IFERROR(OFFSET(환산공식!DL$15,$F347,0),"")</f>
        <v>10</v>
      </c>
      <c r="P347" s="188" t="str">
        <f t="shared" ca="1" si="10"/>
        <v>3% 이하</v>
      </c>
      <c r="Q347" s="194">
        <f ca="1">IFERROR(ROUND(OFFSET(환산공식!$FG$15,$F347,0),3),"")</f>
        <v>0</v>
      </c>
      <c r="R347" s="194">
        <f ca="1">OFFSET('배치점수 계산기'!H$10,$D347,0)</f>
        <v>703.4</v>
      </c>
      <c r="S347" s="194">
        <f ca="1">OFFSET('배치점수 계산기'!I$10,$D347,0)</f>
        <v>697.1</v>
      </c>
      <c r="T347" s="194">
        <f ca="1">OFFSET('배치점수 계산기'!J$10,$D347,0)</f>
        <v>686.5</v>
      </c>
      <c r="U347" s="194">
        <f ca="1">OFFSET('배치점수 계산기'!K$10,$D347,0)</f>
        <v>676.95</v>
      </c>
      <c r="V347" s="194">
        <f ca="1">OFFSET('배치점수 계산기'!L$10,$D347,0)</f>
        <v>665.8</v>
      </c>
      <c r="W347" s="186" t="str">
        <f ca="1">OFFSET('배치점수 계산기'!M$10,$D347,0)</f>
        <v>백분위</v>
      </c>
      <c r="X347" s="184" t="str">
        <f ca="1">OFFSET('배치점수 계산기'!N$10,$D347,0)</f>
        <v>백분위</v>
      </c>
      <c r="Y347" s="188">
        <f ca="1">OFFSET(환산공식!FW$15,$F347,0)</f>
        <v>0.38</v>
      </c>
      <c r="Z347" s="20">
        <f ca="1">OFFSET(환산공식!FX$15,$F347,0)</f>
        <v>0.25</v>
      </c>
      <c r="AA347" s="179">
        <f ca="1">OFFSET(환산공식!FY$15,$F347,0)</f>
        <v>0.38</v>
      </c>
      <c r="AB347" s="3"/>
      <c r="AD347">
        <f t="shared" ca="1" si="11"/>
        <v>6</v>
      </c>
    </row>
    <row r="348" spans="1:30">
      <c r="A348" s="198"/>
      <c r="B348" s="198"/>
      <c r="C348" s="198" t="s">
        <v>16769</v>
      </c>
      <c r="D348" s="235">
        <v>2252</v>
      </c>
      <c r="E348" s="195">
        <v>220</v>
      </c>
      <c r="F348" s="195">
        <v>220</v>
      </c>
      <c r="G348" s="239">
        <v>341</v>
      </c>
      <c r="H348" s="197" t="s">
        <v>81</v>
      </c>
      <c r="I348" s="242" t="s">
        <v>213</v>
      </c>
      <c r="J348" s="242" t="s">
        <v>85</v>
      </c>
      <c r="K348" s="195" t="s">
        <v>71</v>
      </c>
      <c r="L348" s="20" t="str">
        <f ca="1">IF(OFFSET(환산공식!$ED$15,$F348,0)=1,"O","X")</f>
        <v>X</v>
      </c>
      <c r="M348" s="188">
        <f ca="1">IFERROR(OFFSET(환산공식!DJ$15,$F348,0),"")</f>
        <v>250</v>
      </c>
      <c r="N348" s="20" t="str">
        <f ca="1">IFERROR(CONCATENATE(ROUND(OFFSET(환산공식!DK$15,$F348,0),1),"%"),"")</f>
        <v>100%</v>
      </c>
      <c r="O348" s="20">
        <f ca="1">IFERROR(OFFSET(환산공식!DL$15,$F348,0),"")</f>
        <v>10</v>
      </c>
      <c r="P348" s="188" t="str">
        <f t="shared" ca="1" si="10"/>
        <v>3% 이하</v>
      </c>
      <c r="Q348" s="194">
        <f ca="1">IFERROR(ROUND(OFFSET(환산공식!$FG$15,$F348,0),3),"")</f>
        <v>0</v>
      </c>
      <c r="R348" s="194">
        <f ca="1">OFFSET('배치점수 계산기'!H$10,$D348,0)</f>
        <v>678.85</v>
      </c>
      <c r="S348" s="194">
        <f ca="1">OFFSET('배치점수 계산기'!I$10,$D348,0)</f>
        <v>674.8</v>
      </c>
      <c r="T348" s="194">
        <f ca="1">OFFSET('배치점수 계산기'!J$10,$D348,0)</f>
        <v>668.4</v>
      </c>
      <c r="U348" s="194">
        <f ca="1">OFFSET('배치점수 계산기'!K$10,$D348,0)</f>
        <v>656.875</v>
      </c>
      <c r="V348" s="194">
        <f ca="1">OFFSET('배치점수 계산기'!L$10,$D348,0)</f>
        <v>644.25</v>
      </c>
      <c r="W348" s="186" t="str">
        <f ca="1">OFFSET('배치점수 계산기'!M$10,$D348,0)</f>
        <v>백분위</v>
      </c>
      <c r="X348" s="184" t="str">
        <f ca="1">OFFSET('배치점수 계산기'!N$10,$D348,0)</f>
        <v>백분위</v>
      </c>
      <c r="Y348" s="188">
        <f ca="1">OFFSET(환산공식!FW$15,$F348,0)</f>
        <v>0.33</v>
      </c>
      <c r="Z348" s="20">
        <f ca="1">OFFSET(환산공식!FX$15,$F348,0)</f>
        <v>0.33</v>
      </c>
      <c r="AA348" s="179">
        <f ca="1">OFFSET(환산공식!FY$15,$F348,0)</f>
        <v>0.33</v>
      </c>
      <c r="AB348" s="3"/>
      <c r="AD348">
        <f t="shared" ca="1" si="11"/>
        <v>6</v>
      </c>
    </row>
    <row r="349" spans="1:30">
      <c r="A349" s="198"/>
      <c r="B349" s="198"/>
      <c r="C349" s="198" t="s">
        <v>16770</v>
      </c>
      <c r="D349" s="235">
        <v>2253</v>
      </c>
      <c r="E349" s="195">
        <v>212</v>
      </c>
      <c r="F349" s="195">
        <v>212</v>
      </c>
      <c r="G349" s="239">
        <v>342</v>
      </c>
      <c r="H349" s="197" t="s">
        <v>81</v>
      </c>
      <c r="I349" s="242" t="s">
        <v>213</v>
      </c>
      <c r="J349" s="242" t="s">
        <v>8804</v>
      </c>
      <c r="K349" s="195" t="s">
        <v>71</v>
      </c>
      <c r="L349" s="20" t="str">
        <f ca="1">IF(OFFSET(환산공식!$ED$15,$F349,0)=1,"O","X")</f>
        <v>X</v>
      </c>
      <c r="M349" s="188">
        <f ca="1">IFERROR(OFFSET(환산공식!DJ$15,$F349,0),"")</f>
        <v>200</v>
      </c>
      <c r="N349" s="20" t="str">
        <f ca="1">IFERROR(CONCATENATE(ROUND(OFFSET(환산공식!DK$15,$F349,0),1),"%"),"")</f>
        <v>100%</v>
      </c>
      <c r="O349" s="20">
        <f ca="1">IFERROR(OFFSET(환산공식!DL$15,$F349,0),"")</f>
        <v>10</v>
      </c>
      <c r="P349" s="188" t="str">
        <f t="shared" ca="1" si="10"/>
        <v>3% 이하</v>
      </c>
      <c r="Q349" s="194">
        <f ca="1">IFERROR(ROUND(OFFSET(환산공식!$FG$15,$F349,0),3),"")</f>
        <v>0</v>
      </c>
      <c r="R349" s="194">
        <f ca="1">OFFSET('배치점수 계산기'!H$10,$D349,0)</f>
        <v>692.15</v>
      </c>
      <c r="S349" s="194">
        <f ca="1">OFFSET('배치점수 계산기'!I$10,$D349,0)</f>
        <v>686.55</v>
      </c>
      <c r="T349" s="194">
        <f ca="1">OFFSET('배치점수 계산기'!J$10,$D349,0)</f>
        <v>676.95</v>
      </c>
      <c r="U349" s="194">
        <f ca="1">OFFSET('배치점수 계산기'!K$10,$D349,0)</f>
        <v>662.8</v>
      </c>
      <c r="V349" s="194">
        <f ca="1">OFFSET('배치점수 계산기'!L$10,$D349,0)</f>
        <v>652.70000000000005</v>
      </c>
      <c r="W349" s="186" t="str">
        <f ca="1">OFFSET('배치점수 계산기'!M$10,$D349,0)</f>
        <v>백분위</v>
      </c>
      <c r="X349" s="184" t="str">
        <f ca="1">OFFSET('배치점수 계산기'!N$10,$D349,0)</f>
        <v>백분위</v>
      </c>
      <c r="Y349" s="188">
        <f ca="1">OFFSET(환산공식!FW$15,$F349,0)</f>
        <v>0.38</v>
      </c>
      <c r="Z349" s="20">
        <f ca="1">OFFSET(환산공식!FX$15,$F349,0)</f>
        <v>0.25</v>
      </c>
      <c r="AA349" s="179">
        <f ca="1">OFFSET(환산공식!FY$15,$F349,0)</f>
        <v>0.38</v>
      </c>
      <c r="AB349" s="3"/>
      <c r="AD349">
        <f t="shared" ca="1" si="11"/>
        <v>6</v>
      </c>
    </row>
    <row r="350" spans="1:30">
      <c r="A350" s="198"/>
      <c r="B350" s="198"/>
      <c r="C350" s="198" t="s">
        <v>16771</v>
      </c>
      <c r="D350" s="235">
        <v>2254</v>
      </c>
      <c r="E350" s="195">
        <v>212</v>
      </c>
      <c r="F350" s="195">
        <v>212</v>
      </c>
      <c r="G350" s="239">
        <v>343</v>
      </c>
      <c r="H350" s="197" t="s">
        <v>81</v>
      </c>
      <c r="I350" s="242" t="s">
        <v>213</v>
      </c>
      <c r="J350" s="242" t="s">
        <v>13863</v>
      </c>
      <c r="K350" s="195" t="s">
        <v>71</v>
      </c>
      <c r="L350" s="20" t="str">
        <f ca="1">IF(OFFSET(환산공식!$ED$15,$F350,0)=1,"O","X")</f>
        <v>X</v>
      </c>
      <c r="M350" s="188">
        <f ca="1">IFERROR(OFFSET(환산공식!DJ$15,$F350,0),"")</f>
        <v>200</v>
      </c>
      <c r="N350" s="20" t="str">
        <f ca="1">IFERROR(CONCATENATE(ROUND(OFFSET(환산공식!DK$15,$F350,0),1),"%"),"")</f>
        <v>100%</v>
      </c>
      <c r="O350" s="20">
        <f ca="1">IFERROR(OFFSET(환산공식!DL$15,$F350,0),"")</f>
        <v>10</v>
      </c>
      <c r="P350" s="188" t="str">
        <f t="shared" ca="1" si="10"/>
        <v>3% 이하</v>
      </c>
      <c r="Q350" s="194">
        <f ca="1">IFERROR(ROUND(OFFSET(환산공식!$FG$15,$F350,0),3),"")</f>
        <v>0</v>
      </c>
      <c r="R350" s="194">
        <f ca="1">OFFSET('배치점수 계산기'!H$10,$D350,0)</f>
        <v>683.25</v>
      </c>
      <c r="S350" s="194">
        <f ca="1">OFFSET('배치점수 계산기'!I$10,$D350,0)</f>
        <v>677.6</v>
      </c>
      <c r="T350" s="194">
        <f ca="1">OFFSET('배치점수 계산기'!J$10,$D350,0)</f>
        <v>665.35</v>
      </c>
      <c r="U350" s="194">
        <f ca="1">OFFSET('배치점수 계산기'!K$10,$D350,0)</f>
        <v>652.25</v>
      </c>
      <c r="V350" s="194">
        <f ca="1">OFFSET('배치점수 계산기'!L$10,$D350,0)</f>
        <v>644.29999999999995</v>
      </c>
      <c r="W350" s="186" t="str">
        <f ca="1">OFFSET('배치점수 계산기'!M$10,$D350,0)</f>
        <v>백분위</v>
      </c>
      <c r="X350" s="184" t="str">
        <f ca="1">OFFSET('배치점수 계산기'!N$10,$D350,0)</f>
        <v>백분위</v>
      </c>
      <c r="Y350" s="188">
        <f ca="1">OFFSET(환산공식!FW$15,$F350,0)</f>
        <v>0.38</v>
      </c>
      <c r="Z350" s="20">
        <f ca="1">OFFSET(환산공식!FX$15,$F350,0)</f>
        <v>0.25</v>
      </c>
      <c r="AA350" s="179">
        <f ca="1">OFFSET(환산공식!FY$15,$F350,0)</f>
        <v>0.38</v>
      </c>
      <c r="AB350" s="3"/>
      <c r="AD350">
        <f t="shared" ca="1" si="11"/>
        <v>6</v>
      </c>
    </row>
    <row r="351" spans="1:30">
      <c r="A351" s="198"/>
      <c r="B351" s="198"/>
      <c r="C351" s="198" t="s">
        <v>16772</v>
      </c>
      <c r="D351" s="235">
        <v>2255</v>
      </c>
      <c r="E351" s="195">
        <v>212</v>
      </c>
      <c r="F351" s="195">
        <v>212</v>
      </c>
      <c r="G351" s="239">
        <v>344</v>
      </c>
      <c r="H351" s="197" t="s">
        <v>81</v>
      </c>
      <c r="I351" s="242" t="s">
        <v>213</v>
      </c>
      <c r="J351" s="242" t="s">
        <v>13873</v>
      </c>
      <c r="K351" s="195" t="s">
        <v>71</v>
      </c>
      <c r="L351" s="20" t="str">
        <f ca="1">IF(OFFSET(환산공식!$ED$15,$F351,0)=1,"O","X")</f>
        <v>X</v>
      </c>
      <c r="M351" s="188">
        <f ca="1">IFERROR(OFFSET(환산공식!DJ$15,$F351,0),"")</f>
        <v>200</v>
      </c>
      <c r="N351" s="20" t="str">
        <f ca="1">IFERROR(CONCATENATE(ROUND(OFFSET(환산공식!DK$15,$F351,0),1),"%"),"")</f>
        <v>100%</v>
      </c>
      <c r="O351" s="20">
        <f ca="1">IFERROR(OFFSET(환산공식!DL$15,$F351,0),"")</f>
        <v>10</v>
      </c>
      <c r="P351" s="188" t="str">
        <f t="shared" ca="1" si="10"/>
        <v>3% 이하</v>
      </c>
      <c r="Q351" s="194">
        <f ca="1">IFERROR(ROUND(OFFSET(환산공식!$FG$15,$F351,0),3),"")</f>
        <v>0</v>
      </c>
      <c r="R351" s="194">
        <f ca="1">OFFSET('배치점수 계산기'!H$10,$D351,0)</f>
        <v>682.85</v>
      </c>
      <c r="S351" s="194">
        <f ca="1">OFFSET('배치점수 계산기'!I$10,$D351,0)</f>
        <v>676.95</v>
      </c>
      <c r="T351" s="194">
        <f ca="1">OFFSET('배치점수 계산기'!J$10,$D351,0)</f>
        <v>663.35</v>
      </c>
      <c r="U351" s="194">
        <f ca="1">OFFSET('배치점수 계산기'!K$10,$D351,0)</f>
        <v>651.04999999999995</v>
      </c>
      <c r="V351" s="194">
        <f ca="1">OFFSET('배치점수 계산기'!L$10,$D351,0)</f>
        <v>643.25</v>
      </c>
      <c r="W351" s="186" t="str">
        <f ca="1">OFFSET('배치점수 계산기'!M$10,$D351,0)</f>
        <v>백분위</v>
      </c>
      <c r="X351" s="184" t="str">
        <f ca="1">OFFSET('배치점수 계산기'!N$10,$D351,0)</f>
        <v>백분위</v>
      </c>
      <c r="Y351" s="188">
        <f ca="1">OFFSET(환산공식!FW$15,$F351,0)</f>
        <v>0.38</v>
      </c>
      <c r="Z351" s="20">
        <f ca="1">OFFSET(환산공식!FX$15,$F351,0)</f>
        <v>0.25</v>
      </c>
      <c r="AA351" s="179">
        <f ca="1">OFFSET(환산공식!FY$15,$F351,0)</f>
        <v>0.38</v>
      </c>
      <c r="AB351" s="3"/>
      <c r="AD351">
        <f t="shared" ca="1" si="11"/>
        <v>6</v>
      </c>
    </row>
    <row r="352" spans="1:30">
      <c r="A352" s="198"/>
      <c r="B352" s="198"/>
      <c r="C352" s="198" t="s">
        <v>16773</v>
      </c>
      <c r="D352" s="235">
        <v>2257</v>
      </c>
      <c r="E352" s="195">
        <v>115</v>
      </c>
      <c r="F352" s="195">
        <v>115</v>
      </c>
      <c r="G352" s="239">
        <v>345</v>
      </c>
      <c r="H352" s="197" t="s">
        <v>81</v>
      </c>
      <c r="I352" s="242" t="s">
        <v>238</v>
      </c>
      <c r="J352" s="242" t="s">
        <v>240</v>
      </c>
      <c r="K352" s="195" t="s">
        <v>70</v>
      </c>
      <c r="L352" s="20" t="str">
        <f ca="1">IF(OFFSET(환산공식!$ED$15,$F352,0)=1,"O","X")</f>
        <v>X</v>
      </c>
      <c r="M352" s="188">
        <f ca="1">IFERROR(OFFSET(환산공식!DJ$15,$F352,0),"")</f>
        <v>100</v>
      </c>
      <c r="N352" s="20" t="str">
        <f ca="1">IFERROR(CONCATENATE(ROUND(OFFSET(환산공식!DK$15,$F352,0),1),"%"),"")</f>
        <v>100%</v>
      </c>
      <c r="O352" s="20">
        <f ca="1">IFERROR(OFFSET(환산공식!DL$15,$F352,0),"")</f>
        <v>0</v>
      </c>
      <c r="P352" s="188" t="str">
        <f t="shared" ca="1" si="10"/>
        <v>3% 이하</v>
      </c>
      <c r="Q352" s="194">
        <f ca="1">IFERROR(ROUND(OFFSET(환산공식!$FG$15,$F352,0),3),"")</f>
        <v>0</v>
      </c>
      <c r="R352" s="194">
        <f ca="1">OFFSET('배치점수 계산기'!H$10,$D352,0)</f>
        <v>981.20299999999997</v>
      </c>
      <c r="S352" s="194">
        <f ca="1">OFFSET('배치점수 계산기'!I$10,$D352,0)</f>
        <v>979.07100000000003</v>
      </c>
      <c r="T352" s="194">
        <f ca="1">OFFSET('배치점수 계산기'!J$10,$D352,0)</f>
        <v>978.30399999999997</v>
      </c>
      <c r="U352" s="194">
        <f ca="1">OFFSET('배치점수 계산기'!K$10,$D352,0)</f>
        <v>977.01400000000001</v>
      </c>
      <c r="V352" s="194">
        <f ca="1">OFFSET('배치점수 계산기'!L$10,$D352,0)</f>
        <v>974.90700000000004</v>
      </c>
      <c r="W352" s="186" t="str">
        <f ca="1">OFFSET('배치점수 계산기'!M$10,$D352,0)</f>
        <v>표점/만점</v>
      </c>
      <c r="X352" s="184" t="str">
        <f ca="1">OFFSET('배치점수 계산기'!N$10,$D352,0)</f>
        <v>변표/만점</v>
      </c>
      <c r="Y352" s="188">
        <f ca="1">OFFSET(환산공식!FW$15,$F352,0)</f>
        <v>0.28000000000000003</v>
      </c>
      <c r="Z352" s="20">
        <f ca="1">OFFSET(환산공식!FX$15,$F352,0)</f>
        <v>0.39</v>
      </c>
      <c r="AA352" s="179">
        <f ca="1">OFFSET(환산공식!FY$15,$F352,0)</f>
        <v>0.33</v>
      </c>
      <c r="AB352" s="3"/>
      <c r="AD352">
        <f t="shared" ca="1" si="11"/>
        <v>6</v>
      </c>
    </row>
    <row r="353" spans="1:30">
      <c r="A353" s="198"/>
      <c r="B353" s="198"/>
      <c r="C353" s="198" t="s">
        <v>16774</v>
      </c>
      <c r="D353" s="235">
        <v>2258</v>
      </c>
      <c r="E353" s="195">
        <v>169</v>
      </c>
      <c r="F353" s="195">
        <v>169</v>
      </c>
      <c r="G353" s="239">
        <v>346</v>
      </c>
      <c r="H353" s="197" t="s">
        <v>81</v>
      </c>
      <c r="I353" s="242" t="s">
        <v>250</v>
      </c>
      <c r="J353" s="242" t="s">
        <v>240</v>
      </c>
      <c r="K353" s="195" t="s">
        <v>70</v>
      </c>
      <c r="L353" s="20" t="str">
        <f ca="1">IF(OFFSET(환산공식!$ED$15,$F353,0)=1,"O","X")</f>
        <v>X</v>
      </c>
      <c r="M353" s="188">
        <f ca="1">IFERROR(OFFSET(환산공식!DJ$15,$F353,0),"")</f>
        <v>57.6</v>
      </c>
      <c r="N353" s="20" t="str">
        <f ca="1">IFERROR(CONCATENATE(ROUND(OFFSET(환산공식!DK$15,$F353,0),1),"%"),"")</f>
        <v>100%</v>
      </c>
      <c r="O353" s="20">
        <f ca="1">IFERROR(OFFSET(환산공식!DL$15,$F353,0),"")</f>
        <v>0</v>
      </c>
      <c r="P353" s="188" t="str">
        <f t="shared" ca="1" si="10"/>
        <v>3% 이하</v>
      </c>
      <c r="Q353" s="194">
        <f ca="1">IFERROR(ROUND(OFFSET(환산공식!$FG$15,$F353,0),3),"")</f>
        <v>800</v>
      </c>
      <c r="R353" s="194">
        <f ca="1">OFFSET('배치점수 계산기'!H$10,$D353,0)</f>
        <v>1004.59</v>
      </c>
      <c r="S353" s="194">
        <f ca="1">OFFSET('배치점수 계산기'!I$10,$D353,0)</f>
        <v>1004.336</v>
      </c>
      <c r="T353" s="194">
        <f ca="1">OFFSET('배치점수 계산기'!J$10,$D353,0)</f>
        <v>1004.0410000000001</v>
      </c>
      <c r="U353" s="194">
        <f ca="1">OFFSET('배치점수 계산기'!K$10,$D353,0)</f>
        <v>1003.813</v>
      </c>
      <c r="V353" s="194">
        <f ca="1">OFFSET('배치점수 계산기'!L$10,$D353,0)</f>
        <v>1003.61</v>
      </c>
      <c r="W353" s="186" t="str">
        <f ca="1">OFFSET('배치점수 계산기'!M$10,$D353,0)</f>
        <v>백분위</v>
      </c>
      <c r="X353" s="184" t="str">
        <f ca="1">OFFSET('배치점수 계산기'!N$10,$D353,0)</f>
        <v>백분위</v>
      </c>
      <c r="Y353" s="188">
        <f ca="1">OFFSET(환산공식!FW$15,$F353,0)</f>
        <v>0.28999999999999998</v>
      </c>
      <c r="Z353" s="20">
        <f ca="1">OFFSET(환산공식!FX$15,$F353,0)</f>
        <v>0.43</v>
      </c>
      <c r="AA353" s="179">
        <f ca="1">OFFSET(환산공식!FY$15,$F353,0)</f>
        <v>0.28999999999999998</v>
      </c>
      <c r="AB353" s="3"/>
      <c r="AD353">
        <f t="shared" ca="1" si="11"/>
        <v>6</v>
      </c>
    </row>
    <row r="354" spans="1:30">
      <c r="A354" s="198"/>
      <c r="B354" s="198"/>
      <c r="C354" s="198" t="s">
        <v>16775</v>
      </c>
      <c r="D354" s="235">
        <v>2259</v>
      </c>
      <c r="E354" s="195">
        <v>145</v>
      </c>
      <c r="F354" s="195">
        <v>145</v>
      </c>
      <c r="G354" s="239">
        <v>347</v>
      </c>
      <c r="H354" s="197" t="s">
        <v>81</v>
      </c>
      <c r="I354" s="242" t="s">
        <v>219</v>
      </c>
      <c r="J354" s="242" t="s">
        <v>240</v>
      </c>
      <c r="K354" s="195" t="s">
        <v>70</v>
      </c>
      <c r="L354" s="20" t="str">
        <f ca="1">IF(OFFSET(환산공식!$ED$15,$F354,0)=1,"O","X")</f>
        <v>X</v>
      </c>
      <c r="M354" s="188">
        <f ca="1">IFERROR(OFFSET(환산공식!DJ$15,$F354,0),"")</f>
        <v>100</v>
      </c>
      <c r="N354" s="20" t="str">
        <f ca="1">IFERROR(CONCATENATE(ROUND(OFFSET(환산공식!DK$15,$F354,0),1),"%"),"")</f>
        <v>100%</v>
      </c>
      <c r="O354" s="20">
        <f ca="1">IFERROR(OFFSET(환산공식!DL$15,$F354,0),"")</f>
        <v>5</v>
      </c>
      <c r="P354" s="188" t="str">
        <f t="shared" ca="1" si="10"/>
        <v>3% 이하</v>
      </c>
      <c r="Q354" s="194">
        <f ca="1">IFERROR(ROUND(OFFSET(환산공식!$FG$15,$F354,0),3),"")</f>
        <v>0</v>
      </c>
      <c r="R354" s="194">
        <f ca="1">OFFSET('배치점수 계산기'!H$10,$D354,0)</f>
        <v>417.30599999999998</v>
      </c>
      <c r="S354" s="194">
        <f ca="1">OFFSET('배치점수 계산기'!I$10,$D354,0)</f>
        <v>416.62599999999998</v>
      </c>
      <c r="T354" s="194">
        <f ca="1">OFFSET('배치점수 계산기'!J$10,$D354,0)</f>
        <v>416.298</v>
      </c>
      <c r="U354" s="194">
        <f ca="1">OFFSET('배치점수 계산기'!K$10,$D354,0)</f>
        <v>416.13799999999998</v>
      </c>
      <c r="V354" s="194">
        <f ca="1">OFFSET('배치점수 계산기'!L$10,$D354,0)</f>
        <v>415.87799999999999</v>
      </c>
      <c r="W354" s="186" t="str">
        <f ca="1">OFFSET('배치점수 계산기'!M$10,$D354,0)</f>
        <v>백분위</v>
      </c>
      <c r="X354" s="184" t="str">
        <f ca="1">OFFSET('배치점수 계산기'!N$10,$D354,0)</f>
        <v>백분위</v>
      </c>
      <c r="Y354" s="188">
        <f ca="1">OFFSET(환산공식!FW$15,$F354,0)</f>
        <v>0.31</v>
      </c>
      <c r="Z354" s="20">
        <f ca="1">OFFSET(환산공식!FX$15,$F354,0)</f>
        <v>0.38</v>
      </c>
      <c r="AA354" s="179">
        <f ca="1">OFFSET(환산공식!FY$15,$F354,0)</f>
        <v>0.31</v>
      </c>
      <c r="AB354" s="3"/>
      <c r="AD354">
        <f t="shared" ca="1" si="11"/>
        <v>6</v>
      </c>
    </row>
    <row r="355" spans="1:30">
      <c r="A355" s="198"/>
      <c r="B355" s="198"/>
      <c r="C355" s="198" t="s">
        <v>16776</v>
      </c>
      <c r="D355" s="235">
        <v>2260</v>
      </c>
      <c r="E355" s="195">
        <v>148</v>
      </c>
      <c r="F355" s="195">
        <v>148</v>
      </c>
      <c r="G355" s="239">
        <v>348</v>
      </c>
      <c r="H355" s="197" t="s">
        <v>81</v>
      </c>
      <c r="I355" s="242" t="s">
        <v>251</v>
      </c>
      <c r="J355" s="242" t="s">
        <v>240</v>
      </c>
      <c r="K355" s="195" t="s">
        <v>70</v>
      </c>
      <c r="L355" s="20" t="str">
        <f ca="1">IF(OFFSET(환산공식!$ED$15,$F355,0)=1,"O","X")</f>
        <v>X</v>
      </c>
      <c r="M355" s="188">
        <f ca="1">IFERROR(OFFSET(환산공식!DJ$15,$F355,0),"")</f>
        <v>150</v>
      </c>
      <c r="N355" s="20" t="str">
        <f ca="1">IFERROR(CONCATENATE(ROUND(OFFSET(환산공식!DK$15,$F355,0),1),"%"),"")</f>
        <v>100%</v>
      </c>
      <c r="O355" s="20">
        <f ca="1">IFERROR(OFFSET(환산공식!DL$15,$F355,0),"")</f>
        <v>5</v>
      </c>
      <c r="P355" s="188" t="str">
        <f t="shared" ca="1" si="10"/>
        <v>3% 이하</v>
      </c>
      <c r="Q355" s="194">
        <f ca="1">IFERROR(ROUND(OFFSET(환산공식!$FG$15,$F355,0),3),"")</f>
        <v>0</v>
      </c>
      <c r="R355" s="194">
        <f ca="1">OFFSET('배치점수 계산기'!H$10,$D355,0)</f>
        <v>962.56600000000003</v>
      </c>
      <c r="S355" s="194">
        <f ca="1">OFFSET('배치점수 계산기'!I$10,$D355,0)</f>
        <v>959.96900000000005</v>
      </c>
      <c r="T355" s="194">
        <f ca="1">OFFSET('배치점수 계산기'!J$10,$D355,0)</f>
        <v>957.83100000000002</v>
      </c>
      <c r="U355" s="194">
        <f ca="1">OFFSET('배치점수 계산기'!K$10,$D355,0)</f>
        <v>951.64</v>
      </c>
      <c r="V355" s="194">
        <f ca="1">OFFSET('배치점수 계산기'!L$10,$D355,0)</f>
        <v>949.11099999999999</v>
      </c>
      <c r="W355" s="186" t="str">
        <f ca="1">OFFSET('배치점수 계산기'!M$10,$D355,0)</f>
        <v>표점/만점</v>
      </c>
      <c r="X355" s="184" t="str">
        <f ca="1">OFFSET('배치점수 계산기'!N$10,$D355,0)</f>
        <v>백분위</v>
      </c>
      <c r="Y355" s="188">
        <f ca="1">OFFSET(환산공식!FW$15,$F355,0)</f>
        <v>0.26</v>
      </c>
      <c r="Z355" s="20">
        <f ca="1">OFFSET(환산공식!FX$15,$F355,0)</f>
        <v>0.37</v>
      </c>
      <c r="AA355" s="179">
        <f ca="1">OFFSET(환산공식!FY$15,$F355,0)</f>
        <v>0.37</v>
      </c>
      <c r="AB355" s="3"/>
      <c r="AD355">
        <f t="shared" ca="1" si="11"/>
        <v>6</v>
      </c>
    </row>
    <row r="356" spans="1:30">
      <c r="A356" s="198"/>
      <c r="B356" s="198"/>
      <c r="C356" s="198" t="s">
        <v>16777</v>
      </c>
      <c r="D356" s="235">
        <v>2261</v>
      </c>
      <c r="E356" s="195">
        <v>146</v>
      </c>
      <c r="F356" s="195">
        <v>146</v>
      </c>
      <c r="G356" s="239">
        <v>349</v>
      </c>
      <c r="H356" s="197" t="s">
        <v>81</v>
      </c>
      <c r="I356" s="242" t="s">
        <v>252</v>
      </c>
      <c r="J356" s="242" t="s">
        <v>240</v>
      </c>
      <c r="K356" s="195" t="s">
        <v>70</v>
      </c>
      <c r="L356" s="20" t="str">
        <f ca="1">IF(OFFSET(환산공식!$ED$15,$F356,0)=1,"O","X")</f>
        <v>X</v>
      </c>
      <c r="M356" s="188">
        <f ca="1">IFERROR(OFFSET(환산공식!DJ$15,$F356,0),"")</f>
        <v>202.5</v>
      </c>
      <c r="N356" s="20" t="str">
        <f ca="1">IFERROR(CONCATENATE(ROUND(OFFSET(환산공식!DK$15,$F356,0),1),"%"),"")</f>
        <v>100%</v>
      </c>
      <c r="O356" s="20">
        <f ca="1">IFERROR(OFFSET(환산공식!DL$15,$F356,0),"")</f>
        <v>0</v>
      </c>
      <c r="P356" s="188" t="str">
        <f t="shared" ca="1" si="10"/>
        <v>3% 이하</v>
      </c>
      <c r="Q356" s="194">
        <f ca="1">IFERROR(ROUND(OFFSET(환산공식!$FG$15,$F356,0),3),"")</f>
        <v>0</v>
      </c>
      <c r="R356" s="194">
        <f ca="1">OFFSET('배치점수 계산기'!H$10,$D356,0)</f>
        <v>674.11</v>
      </c>
      <c r="S356" s="194">
        <f ca="1">OFFSET('배치점수 계산기'!I$10,$D356,0)</f>
        <v>673.45</v>
      </c>
      <c r="T356" s="194">
        <f ca="1">OFFSET('배치점수 계산기'!J$10,$D356,0)</f>
        <v>671.94</v>
      </c>
      <c r="U356" s="194">
        <f ca="1">OFFSET('배치점수 계산기'!K$10,$D356,0)</f>
        <v>671.43</v>
      </c>
      <c r="V356" s="194">
        <f ca="1">OFFSET('배치점수 계산기'!L$10,$D356,0)</f>
        <v>671.12</v>
      </c>
      <c r="W356" s="186" t="str">
        <f ca="1">OFFSET('배치점수 계산기'!M$10,$D356,0)</f>
        <v>표점</v>
      </c>
      <c r="X356" s="184" t="str">
        <f ca="1">OFFSET('배치점수 계산기'!N$10,$D356,0)</f>
        <v>표점</v>
      </c>
      <c r="Y356" s="188">
        <f ca="1">OFFSET(환산공식!FW$15,$F356,0)</f>
        <v>0.28999999999999998</v>
      </c>
      <c r="Z356" s="20">
        <f ca="1">OFFSET(환산공식!FX$15,$F356,0)</f>
        <v>0.43</v>
      </c>
      <c r="AA356" s="179">
        <f ca="1">OFFSET(환산공식!FY$15,$F356,0)</f>
        <v>0.28999999999999998</v>
      </c>
      <c r="AB356" s="3"/>
      <c r="AD356">
        <f t="shared" ca="1" si="11"/>
        <v>6</v>
      </c>
    </row>
    <row r="357" spans="1:30">
      <c r="A357" s="198"/>
      <c r="B357" s="198"/>
      <c r="C357" s="198" t="s">
        <v>16778</v>
      </c>
      <c r="D357" s="235">
        <v>2262</v>
      </c>
      <c r="E357" s="195">
        <v>146</v>
      </c>
      <c r="F357" s="195">
        <v>146</v>
      </c>
      <c r="G357" s="239">
        <v>350</v>
      </c>
      <c r="H357" s="197" t="s">
        <v>81</v>
      </c>
      <c r="I357" s="242" t="s">
        <v>252</v>
      </c>
      <c r="J357" s="242" t="s">
        <v>427</v>
      </c>
      <c r="K357" s="195" t="s">
        <v>70</v>
      </c>
      <c r="L357" s="20" t="str">
        <f ca="1">IF(OFFSET(환산공식!$ED$15,$F357,0)=1,"O","X")</f>
        <v>X</v>
      </c>
      <c r="M357" s="188">
        <f ca="1">IFERROR(OFFSET(환산공식!DJ$15,$F357,0),"")</f>
        <v>202.5</v>
      </c>
      <c r="N357" s="20" t="str">
        <f ca="1">IFERROR(CONCATENATE(ROUND(OFFSET(환산공식!DK$15,$F357,0),1),"%"),"")</f>
        <v>100%</v>
      </c>
      <c r="O357" s="20">
        <f ca="1">IFERROR(OFFSET(환산공식!DL$15,$F357,0),"")</f>
        <v>0</v>
      </c>
      <c r="P357" s="188" t="str">
        <f t="shared" ca="1" si="10"/>
        <v>3% 이하</v>
      </c>
      <c r="Q357" s="194">
        <f ca="1">IFERROR(ROUND(OFFSET(환산공식!$FG$15,$F357,0),3),"")</f>
        <v>0</v>
      </c>
      <c r="R357" s="194">
        <f ca="1">OFFSET('배치점수 계산기'!H$10,$D357,0)</f>
        <v>670.36</v>
      </c>
      <c r="S357" s="194">
        <f ca="1">OFFSET('배치점수 계산기'!I$10,$D357,0)</f>
        <v>669.44</v>
      </c>
      <c r="T357" s="194">
        <f ca="1">OFFSET('배치점수 계산기'!J$10,$D357,0)</f>
        <v>668.48</v>
      </c>
      <c r="U357" s="194">
        <f ca="1">OFFSET('배치점수 계산기'!K$10,$D357,0)</f>
        <v>666.24</v>
      </c>
      <c r="V357" s="194">
        <f ca="1">OFFSET('배치점수 계산기'!L$10,$D357,0)</f>
        <v>661.16</v>
      </c>
      <c r="W357" s="186" t="str">
        <f ca="1">OFFSET('배치점수 계산기'!M$10,$D357,0)</f>
        <v>표점</v>
      </c>
      <c r="X357" s="184" t="str">
        <f ca="1">OFFSET('배치점수 계산기'!N$10,$D357,0)</f>
        <v>표점</v>
      </c>
      <c r="Y357" s="188">
        <f ca="1">OFFSET(환산공식!FW$15,$F357,0)</f>
        <v>0.28999999999999998</v>
      </c>
      <c r="Z357" s="20">
        <f ca="1">OFFSET(환산공식!FX$15,$F357,0)</f>
        <v>0.43</v>
      </c>
      <c r="AA357" s="179">
        <f ca="1">OFFSET(환산공식!FY$15,$F357,0)</f>
        <v>0.28999999999999998</v>
      </c>
      <c r="AB357" s="3"/>
      <c r="AD357">
        <f t="shared" ca="1" si="11"/>
        <v>6</v>
      </c>
    </row>
    <row r="358" spans="1:30">
      <c r="A358" s="198"/>
      <c r="B358" s="198"/>
      <c r="C358" s="198" t="s">
        <v>16779</v>
      </c>
      <c r="D358" s="235">
        <v>2263</v>
      </c>
      <c r="E358" s="195">
        <v>147</v>
      </c>
      <c r="F358" s="195">
        <v>147</v>
      </c>
      <c r="G358" s="239">
        <v>351</v>
      </c>
      <c r="H358" s="197" t="s">
        <v>81</v>
      </c>
      <c r="I358" s="242" t="s">
        <v>249</v>
      </c>
      <c r="J358" s="242" t="s">
        <v>240</v>
      </c>
      <c r="K358" s="195" t="s">
        <v>70</v>
      </c>
      <c r="L358" s="20" t="str">
        <f ca="1">IF(OFFSET(환산공식!$ED$15,$F358,0)=1,"O","X")</f>
        <v>X</v>
      </c>
      <c r="M358" s="188">
        <f ca="1">IFERROR(OFFSET(환산공식!DJ$15,$F358,0),"")</f>
        <v>200</v>
      </c>
      <c r="N358" s="20" t="str">
        <f ca="1">IFERROR(CONCATENATE(ROUND(OFFSET(환산공식!DK$15,$F358,0),1),"%"),"")</f>
        <v>100%</v>
      </c>
      <c r="O358" s="20">
        <f ca="1">IFERROR(OFFSET(환산공식!DL$15,$F358,0),"")</f>
        <v>10</v>
      </c>
      <c r="P358" s="188" t="str">
        <f t="shared" ca="1" si="10"/>
        <v>3% 이하</v>
      </c>
      <c r="Q358" s="194">
        <f ca="1">IFERROR(ROUND(OFFSET(환산공식!$FG$15,$F358,0),3),"")</f>
        <v>0</v>
      </c>
      <c r="R358" s="194">
        <f ca="1">OFFSET('배치점수 계산기'!H$10,$D358,0)</f>
        <v>1004.814</v>
      </c>
      <c r="S358" s="194">
        <f ca="1">OFFSET('배치점수 계산기'!I$10,$D358,0)</f>
        <v>1004.96</v>
      </c>
      <c r="T358" s="194">
        <f ca="1">OFFSET('배치점수 계산기'!J$10,$D358,0)</f>
        <v>1003.71</v>
      </c>
      <c r="U358" s="194">
        <f ca="1">OFFSET('배치점수 계산기'!K$10,$D358,0)</f>
        <v>1002.692</v>
      </c>
      <c r="V358" s="194">
        <f ca="1">OFFSET('배치점수 계산기'!L$10,$D358,0)</f>
        <v>1001.17</v>
      </c>
      <c r="W358" s="186" t="str">
        <f ca="1">OFFSET('배치점수 계산기'!M$10,$D358,0)</f>
        <v>백분위</v>
      </c>
      <c r="X358" s="184" t="str">
        <f ca="1">OFFSET('배치점수 계산기'!N$10,$D358,0)</f>
        <v>백분위</v>
      </c>
      <c r="Y358" s="188">
        <f ca="1">OFFSET(환산공식!FW$15,$F358,0)</f>
        <v>0.25</v>
      </c>
      <c r="Z358" s="20">
        <f ca="1">OFFSET(환산공식!FX$15,$F358,0)</f>
        <v>0.38</v>
      </c>
      <c r="AA358" s="179">
        <f ca="1">OFFSET(환산공식!FY$15,$F358,0)</f>
        <v>0.38</v>
      </c>
      <c r="AB358" s="3"/>
      <c r="AD358">
        <f t="shared" ca="1" si="11"/>
        <v>6</v>
      </c>
    </row>
    <row r="359" spans="1:30">
      <c r="A359" s="198"/>
      <c r="B359" s="198"/>
      <c r="C359" s="198" t="s">
        <v>16780</v>
      </c>
      <c r="D359" s="235">
        <v>2264</v>
      </c>
      <c r="E359" s="195">
        <v>155</v>
      </c>
      <c r="F359" s="195">
        <v>155</v>
      </c>
      <c r="G359" s="239">
        <v>352</v>
      </c>
      <c r="H359" s="197" t="s">
        <v>81</v>
      </c>
      <c r="I359" s="242" t="s">
        <v>7970</v>
      </c>
      <c r="J359" s="242" t="s">
        <v>240</v>
      </c>
      <c r="K359" s="195" t="s">
        <v>70</v>
      </c>
      <c r="L359" s="20" t="str">
        <f ca="1">IF(OFFSET(환산공식!$ED$15,$F359,0)=1,"O","X")</f>
        <v>X</v>
      </c>
      <c r="M359" s="188">
        <f ca="1">IFERROR(OFFSET(환산공식!DJ$15,$F359,0),"")</f>
        <v>200</v>
      </c>
      <c r="N359" s="20" t="str">
        <f ca="1">IFERROR(CONCATENATE(ROUND(OFFSET(환산공식!DK$15,$F359,0),1),"%"),"")</f>
        <v>100%</v>
      </c>
      <c r="O359" s="20">
        <f ca="1">IFERROR(OFFSET(환산공식!DL$15,$F359,0),"")</f>
        <v>10</v>
      </c>
      <c r="P359" s="188" t="str">
        <f t="shared" ca="1" si="10"/>
        <v>3% 이하</v>
      </c>
      <c r="Q359" s="194">
        <f ca="1">IFERROR(ROUND(OFFSET(환산공식!$FG$15,$F359,0),3),"")</f>
        <v>0</v>
      </c>
      <c r="R359" s="194">
        <f ca="1">OFFSET('배치점수 계산기'!H$10,$D359,0)</f>
        <v>990.82299999999998</v>
      </c>
      <c r="S359" s="194">
        <f ca="1">OFFSET('배치점수 계산기'!I$10,$D359,0)</f>
        <v>986.74400000000003</v>
      </c>
      <c r="T359" s="194">
        <f ca="1">OFFSET('배치점수 계산기'!J$10,$D359,0)</f>
        <v>985.21699999999998</v>
      </c>
      <c r="U359" s="194">
        <f ca="1">OFFSET('배치점수 계산기'!K$10,$D359,0)</f>
        <v>983.93799999999999</v>
      </c>
      <c r="V359" s="194">
        <f ca="1">OFFSET('배치점수 계산기'!L$10,$D359,0)</f>
        <v>980.846</v>
      </c>
      <c r="W359" s="186" t="str">
        <f ca="1">OFFSET('배치점수 계산기'!M$10,$D359,0)</f>
        <v>백분위</v>
      </c>
      <c r="X359" s="184" t="str">
        <f ca="1">OFFSET('배치점수 계산기'!N$10,$D359,0)</f>
        <v>백분위</v>
      </c>
      <c r="Y359" s="188">
        <f ca="1">OFFSET(환산공식!FW$15,$F359,0)</f>
        <v>0.31</v>
      </c>
      <c r="Z359" s="20">
        <f ca="1">OFFSET(환산공식!FX$15,$F359,0)</f>
        <v>0.44</v>
      </c>
      <c r="AA359" s="179">
        <f ca="1">OFFSET(환산공식!FY$15,$F359,0)</f>
        <v>0.25</v>
      </c>
      <c r="AB359" s="3"/>
      <c r="AD359">
        <f t="shared" ca="1" si="11"/>
        <v>6</v>
      </c>
    </row>
    <row r="360" spans="1:30">
      <c r="A360" s="198"/>
      <c r="B360" s="198"/>
      <c r="C360" s="198" t="s">
        <v>16781</v>
      </c>
      <c r="D360" s="235">
        <v>2265</v>
      </c>
      <c r="E360" s="195">
        <v>150</v>
      </c>
      <c r="F360" s="195">
        <v>150</v>
      </c>
      <c r="G360" s="239">
        <v>353</v>
      </c>
      <c r="H360" s="197" t="s">
        <v>81</v>
      </c>
      <c r="I360" s="242" t="s">
        <v>222</v>
      </c>
      <c r="J360" s="242" t="s">
        <v>240</v>
      </c>
      <c r="K360" s="195" t="s">
        <v>70</v>
      </c>
      <c r="L360" s="20" t="str">
        <f ca="1">IF(OFFSET(환산공식!$ED$15,$F360,0)=1,"O","X")</f>
        <v>X</v>
      </c>
      <c r="M360" s="188">
        <f ca="1">IFERROR(OFFSET(환산공식!DJ$15,$F360,0),"")</f>
        <v>80</v>
      </c>
      <c r="N360" s="20" t="str">
        <f ca="1">IFERROR(CONCATENATE(ROUND(OFFSET(환산공식!DK$15,$F360,0),1),"%"),"")</f>
        <v>100%</v>
      </c>
      <c r="O360" s="20">
        <f ca="1">IFERROR(OFFSET(환산공식!DL$15,$F360,0),"")</f>
        <v>6</v>
      </c>
      <c r="P360" s="188" t="str">
        <f t="shared" ca="1" si="10"/>
        <v>3% 이하</v>
      </c>
      <c r="Q360" s="194">
        <f ca="1">IFERROR(ROUND(OFFSET(환산공식!$FG$15,$F360,0),3),"")</f>
        <v>0</v>
      </c>
      <c r="R360" s="194">
        <f ca="1">OFFSET('배치점수 계산기'!H$10,$D360,0)</f>
        <v>521.69799999999998</v>
      </c>
      <c r="S360" s="194">
        <f ca="1">OFFSET('배치점수 계산기'!I$10,$D360,0)</f>
        <v>520.88699999999994</v>
      </c>
      <c r="T360" s="194">
        <f ca="1">OFFSET('배치점수 계산기'!J$10,$D360,0)</f>
        <v>519.95600000000002</v>
      </c>
      <c r="U360" s="194">
        <f ca="1">OFFSET('배치점수 계산기'!K$10,$D360,0)</f>
        <v>518.69399999999996</v>
      </c>
      <c r="V360" s="194">
        <f ca="1">OFFSET('배치점수 계산기'!L$10,$D360,0)</f>
        <v>515.44200000000001</v>
      </c>
      <c r="W360" s="186" t="str">
        <f ca="1">OFFSET('배치점수 계산기'!M$10,$D360,0)</f>
        <v>표점</v>
      </c>
      <c r="X360" s="184" t="str">
        <f ca="1">OFFSET('배치점수 계산기'!N$10,$D360,0)</f>
        <v>표점/만점</v>
      </c>
      <c r="Y360" s="188">
        <f ca="1">OFFSET(환산공식!FW$15,$F360,0)</f>
        <v>0.37</v>
      </c>
      <c r="Z360" s="20">
        <f ca="1">OFFSET(환산공식!FX$15,$F360,0)</f>
        <v>0.37</v>
      </c>
      <c r="AA360" s="179">
        <f ca="1">OFFSET(환산공식!FY$15,$F360,0)</f>
        <v>0.26</v>
      </c>
      <c r="AB360" s="3"/>
      <c r="AD360">
        <f t="shared" ca="1" si="11"/>
        <v>6</v>
      </c>
    </row>
    <row r="361" spans="1:30">
      <c r="A361" s="198"/>
      <c r="B361" s="198"/>
      <c r="C361" s="198" t="s">
        <v>16782</v>
      </c>
      <c r="D361" s="235">
        <v>2266</v>
      </c>
      <c r="E361" s="195">
        <v>141</v>
      </c>
      <c r="F361" s="195">
        <v>141</v>
      </c>
      <c r="G361" s="239">
        <v>354</v>
      </c>
      <c r="H361" s="197" t="s">
        <v>81</v>
      </c>
      <c r="I361" s="242" t="s">
        <v>8163</v>
      </c>
      <c r="J361" s="242" t="s">
        <v>253</v>
      </c>
      <c r="K361" s="195" t="s">
        <v>70</v>
      </c>
      <c r="L361" s="20" t="str">
        <f ca="1">IF(OFFSET(환산공식!$ED$15,$F361,0)=1,"O","X")</f>
        <v>X</v>
      </c>
      <c r="M361" s="188">
        <f ca="1">IFERROR(OFFSET(환산공식!DJ$15,$F361,0),"")</f>
        <v>200</v>
      </c>
      <c r="N361" s="20" t="str">
        <f ca="1">IFERROR(CONCATENATE(ROUND(OFFSET(환산공식!DK$15,$F361,0),1),"%"),"")</f>
        <v>100%</v>
      </c>
      <c r="O361" s="20">
        <f ca="1">IFERROR(OFFSET(환산공식!DL$15,$F361,0),"")</f>
        <v>3</v>
      </c>
      <c r="P361" s="188" t="str">
        <f t="shared" ca="1" si="10"/>
        <v>3% 이하</v>
      </c>
      <c r="Q361" s="194">
        <f ca="1">IFERROR(ROUND(OFFSET(환산공식!$FG$15,$F361,0),3),"")</f>
        <v>0</v>
      </c>
      <c r="R361" s="194">
        <f ca="1">OFFSET('배치점수 계산기'!H$10,$D361,0)</f>
        <v>981.48500000000001</v>
      </c>
      <c r="S361" s="194">
        <f ca="1">OFFSET('배치점수 계산기'!I$10,$D361,0)</f>
        <v>979.92499999999995</v>
      </c>
      <c r="T361" s="194">
        <f ca="1">OFFSET('배치점수 계산기'!J$10,$D361,0)</f>
        <v>978.99</v>
      </c>
      <c r="U361" s="194">
        <f ca="1">OFFSET('배치점수 계산기'!K$10,$D361,0)</f>
        <v>977.83500000000004</v>
      </c>
      <c r="V361" s="194">
        <f ca="1">OFFSET('배치점수 계산기'!L$10,$D361,0)</f>
        <v>971.6</v>
      </c>
      <c r="W361" s="186" t="str">
        <f ca="1">OFFSET('배치점수 계산기'!M$10,$D361,0)</f>
        <v>백분위</v>
      </c>
      <c r="X361" s="184" t="str">
        <f ca="1">OFFSET('배치점수 계산기'!N$10,$D361,0)</f>
        <v>백분위</v>
      </c>
      <c r="Y361" s="188">
        <f ca="1">OFFSET(환산공식!FW$15,$F361,0)</f>
        <v>0.25</v>
      </c>
      <c r="Z361" s="20">
        <f ca="1">OFFSET(환산공식!FX$15,$F361,0)</f>
        <v>0.44</v>
      </c>
      <c r="AA361" s="179">
        <f ca="1">OFFSET(환산공식!FY$15,$F361,0)</f>
        <v>0.31</v>
      </c>
      <c r="AB361" s="3"/>
      <c r="AD361">
        <f t="shared" ca="1" si="11"/>
        <v>6</v>
      </c>
    </row>
    <row r="362" spans="1:30">
      <c r="A362" s="198"/>
      <c r="B362" s="198"/>
      <c r="C362" s="198" t="s">
        <v>16783</v>
      </c>
      <c r="D362" s="235">
        <v>2267</v>
      </c>
      <c r="E362" s="195">
        <v>141</v>
      </c>
      <c r="F362" s="195">
        <v>141</v>
      </c>
      <c r="G362" s="239">
        <v>355</v>
      </c>
      <c r="H362" s="197" t="s">
        <v>81</v>
      </c>
      <c r="I362" s="242" t="s">
        <v>8163</v>
      </c>
      <c r="J362" s="242" t="s">
        <v>429</v>
      </c>
      <c r="K362" s="195" t="s">
        <v>70</v>
      </c>
      <c r="L362" s="20" t="str">
        <f ca="1">IF(OFFSET(환산공식!$ED$15,$F362,0)=1,"O","X")</f>
        <v>X</v>
      </c>
      <c r="M362" s="188">
        <f ca="1">IFERROR(OFFSET(환산공식!DJ$15,$F362,0),"")</f>
        <v>200</v>
      </c>
      <c r="N362" s="20" t="str">
        <f ca="1">IFERROR(CONCATENATE(ROUND(OFFSET(환산공식!DK$15,$F362,0),1),"%"),"")</f>
        <v>100%</v>
      </c>
      <c r="O362" s="20">
        <f ca="1">IFERROR(OFFSET(환산공식!DL$15,$F362,0),"")</f>
        <v>3</v>
      </c>
      <c r="P362" s="188" t="str">
        <f t="shared" ca="1" si="10"/>
        <v>3% 이하</v>
      </c>
      <c r="Q362" s="194">
        <f ca="1">IFERROR(ROUND(OFFSET(환산공식!$FG$15,$F362,0),3),"")</f>
        <v>0</v>
      </c>
      <c r="R362" s="194">
        <f ca="1">OFFSET('배치점수 계산기'!H$10,$D362,0)</f>
        <v>936.08500000000004</v>
      </c>
      <c r="S362" s="194">
        <f ca="1">OFFSET('배치점수 계산기'!I$10,$D362,0)</f>
        <v>935.53499999999997</v>
      </c>
      <c r="T362" s="194">
        <f ca="1">OFFSET('배치점수 계산기'!J$10,$D362,0)</f>
        <v>934.96</v>
      </c>
      <c r="U362" s="194">
        <f ca="1">OFFSET('배치점수 계산기'!K$10,$D362,0)</f>
        <v>926.67499999999995</v>
      </c>
      <c r="V362" s="194">
        <f ca="1">OFFSET('배치점수 계산기'!L$10,$D362,0)</f>
        <v>914.55499999999995</v>
      </c>
      <c r="W362" s="186" t="str">
        <f ca="1">OFFSET('배치점수 계산기'!M$10,$D362,0)</f>
        <v>백분위</v>
      </c>
      <c r="X362" s="184" t="str">
        <f ca="1">OFFSET('배치점수 계산기'!N$10,$D362,0)</f>
        <v>백분위</v>
      </c>
      <c r="Y362" s="188">
        <f ca="1">OFFSET(환산공식!FW$15,$F362,0)</f>
        <v>0.25</v>
      </c>
      <c r="Z362" s="20">
        <f ca="1">OFFSET(환산공식!FX$15,$F362,0)</f>
        <v>0.44</v>
      </c>
      <c r="AA362" s="179">
        <f ca="1">OFFSET(환산공식!FY$15,$F362,0)</f>
        <v>0.31</v>
      </c>
      <c r="AB362" s="3"/>
      <c r="AD362">
        <f t="shared" ca="1" si="11"/>
        <v>6</v>
      </c>
    </row>
    <row r="363" spans="1:30">
      <c r="A363" s="198"/>
      <c r="B363" s="198"/>
      <c r="C363" s="198" t="s">
        <v>16784</v>
      </c>
      <c r="D363" s="235">
        <v>2268</v>
      </c>
      <c r="E363" s="195">
        <v>145</v>
      </c>
      <c r="F363" s="195">
        <v>145</v>
      </c>
      <c r="G363" s="239">
        <v>356</v>
      </c>
      <c r="H363" s="197" t="s">
        <v>81</v>
      </c>
      <c r="I363" s="242" t="s">
        <v>219</v>
      </c>
      <c r="J363" s="242" t="s">
        <v>198</v>
      </c>
      <c r="K363" s="195" t="s">
        <v>70</v>
      </c>
      <c r="L363" s="20" t="str">
        <f ca="1">IF(OFFSET(환산공식!$ED$15,$F363,0)=1,"O","X")</f>
        <v>X</v>
      </c>
      <c r="M363" s="188">
        <f ca="1">IFERROR(OFFSET(환산공식!DJ$15,$F363,0),"")</f>
        <v>100</v>
      </c>
      <c r="N363" s="20" t="str">
        <f ca="1">IFERROR(CONCATENATE(ROUND(OFFSET(환산공식!DK$15,$F363,0),1),"%"),"")</f>
        <v>100%</v>
      </c>
      <c r="O363" s="20">
        <f ca="1">IFERROR(OFFSET(환산공식!DL$15,$F363,0),"")</f>
        <v>5</v>
      </c>
      <c r="P363" s="188" t="str">
        <f t="shared" ca="1" si="10"/>
        <v>3% 이하</v>
      </c>
      <c r="Q363" s="194">
        <f ca="1">IFERROR(ROUND(OFFSET(환산공식!$FG$15,$F363,0),3),"")</f>
        <v>0</v>
      </c>
      <c r="R363" s="194">
        <f ca="1">OFFSET('배치점수 계산기'!H$10,$D363,0)</f>
        <v>413.57</v>
      </c>
      <c r="S363" s="194">
        <f ca="1">OFFSET('배치점수 계산기'!I$10,$D363,0)</f>
        <v>412.726</v>
      </c>
      <c r="T363" s="194">
        <f ca="1">OFFSET('배치점수 계산기'!J$10,$D363,0)</f>
        <v>411.90199999999999</v>
      </c>
      <c r="U363" s="194">
        <f ca="1">OFFSET('배치점수 계산기'!K$10,$D363,0)</f>
        <v>410.42599999999999</v>
      </c>
      <c r="V363" s="194">
        <f ca="1">OFFSET('배치점수 계산기'!L$10,$D363,0)</f>
        <v>409.51</v>
      </c>
      <c r="W363" s="186" t="str">
        <f ca="1">OFFSET('배치점수 계산기'!M$10,$D363,0)</f>
        <v>백분위</v>
      </c>
      <c r="X363" s="184" t="str">
        <f ca="1">OFFSET('배치점수 계산기'!N$10,$D363,0)</f>
        <v>백분위</v>
      </c>
      <c r="Y363" s="188">
        <f ca="1">OFFSET(환산공식!FW$15,$F363,0)</f>
        <v>0.31</v>
      </c>
      <c r="Z363" s="20">
        <f ca="1">OFFSET(환산공식!FX$15,$F363,0)</f>
        <v>0.38</v>
      </c>
      <c r="AA363" s="179">
        <f ca="1">OFFSET(환산공식!FY$15,$F363,0)</f>
        <v>0.31</v>
      </c>
      <c r="AB363" s="3"/>
      <c r="AD363">
        <f t="shared" ca="1" si="11"/>
        <v>6</v>
      </c>
    </row>
    <row r="364" spans="1:30">
      <c r="A364" s="198"/>
      <c r="B364" s="198"/>
      <c r="C364" s="198" t="s">
        <v>16785</v>
      </c>
      <c r="D364" s="235">
        <v>2269</v>
      </c>
      <c r="E364" s="195">
        <v>168</v>
      </c>
      <c r="F364" s="195">
        <v>168</v>
      </c>
      <c r="G364" s="239">
        <v>357</v>
      </c>
      <c r="H364" s="197" t="s">
        <v>81</v>
      </c>
      <c r="I364" s="242" t="s">
        <v>218</v>
      </c>
      <c r="J364" s="242" t="s">
        <v>198</v>
      </c>
      <c r="K364" s="195" t="s">
        <v>70</v>
      </c>
      <c r="L364" s="20" t="str">
        <f ca="1">IF(OFFSET(환산공식!$ED$15,$F364,0)=1,"O","X")</f>
        <v>X</v>
      </c>
      <c r="M364" s="188">
        <f ca="1">IFERROR(OFFSET(환산공식!DJ$15,$F364,0),"")</f>
        <v>100</v>
      </c>
      <c r="N364" s="20" t="str">
        <f ca="1">IFERROR(CONCATENATE(ROUND(OFFSET(환산공식!DK$15,$F364,0),1),"%"),"")</f>
        <v>100%</v>
      </c>
      <c r="O364" s="20">
        <f ca="1">IFERROR(OFFSET(환산공식!DL$15,$F364,0),"")</f>
        <v>0</v>
      </c>
      <c r="P364" s="188" t="str">
        <f t="shared" ca="1" si="10"/>
        <v>3% 이하</v>
      </c>
      <c r="Q364" s="194">
        <f ca="1">IFERROR(ROUND(OFFSET(환산공식!$FG$15,$F364,0),3),"")</f>
        <v>0</v>
      </c>
      <c r="R364" s="194">
        <f ca="1">OFFSET('배치점수 계산기'!H$10,$D364,0)</f>
        <v>293.89999999999998</v>
      </c>
      <c r="S364" s="194">
        <f ca="1">OFFSET('배치점수 계산기'!I$10,$D364,0)</f>
        <v>293.52999999999997</v>
      </c>
      <c r="T364" s="194">
        <f ca="1">OFFSET('배치점수 계산기'!J$10,$D364,0)</f>
        <v>292.79000000000002</v>
      </c>
      <c r="U364" s="194">
        <f ca="1">OFFSET('배치점수 계산기'!K$10,$D364,0)</f>
        <v>291.77</v>
      </c>
      <c r="V364" s="194">
        <f ca="1">OFFSET('배치점수 계산기'!L$10,$D364,0)</f>
        <v>289.35000000000002</v>
      </c>
      <c r="W364" s="186" t="str">
        <f ca="1">OFFSET('배치점수 계산기'!M$10,$D364,0)</f>
        <v>백분위</v>
      </c>
      <c r="X364" s="184" t="str">
        <f ca="1">OFFSET('배치점수 계산기'!N$10,$D364,0)</f>
        <v>백분위</v>
      </c>
      <c r="Y364" s="188">
        <f ca="1">OFFSET(환산공식!FW$15,$F364,0)</f>
        <v>0.33</v>
      </c>
      <c r="Z364" s="20">
        <f ca="1">OFFSET(환산공식!FX$15,$F364,0)</f>
        <v>0.33</v>
      </c>
      <c r="AA364" s="179">
        <f ca="1">OFFSET(환산공식!FY$15,$F364,0)</f>
        <v>0.33</v>
      </c>
      <c r="AB364" s="3"/>
      <c r="AD364">
        <f t="shared" ca="1" si="11"/>
        <v>6</v>
      </c>
    </row>
    <row r="365" spans="1:30">
      <c r="A365" s="198"/>
      <c r="B365" s="198"/>
      <c r="C365" s="198" t="s">
        <v>16786</v>
      </c>
      <c r="D365" s="235">
        <v>2270</v>
      </c>
      <c r="E365" s="195">
        <v>168</v>
      </c>
      <c r="F365" s="195">
        <v>168</v>
      </c>
      <c r="G365" s="239">
        <v>358</v>
      </c>
      <c r="H365" s="197" t="s">
        <v>81</v>
      </c>
      <c r="I365" s="242" t="s">
        <v>218</v>
      </c>
      <c r="J365" s="242" t="s">
        <v>432</v>
      </c>
      <c r="K365" s="195" t="s">
        <v>70</v>
      </c>
      <c r="L365" s="20" t="str">
        <f ca="1">IF(OFFSET(환산공식!$ED$15,$F365,0)=1,"O","X")</f>
        <v>X</v>
      </c>
      <c r="M365" s="188">
        <f ca="1">IFERROR(OFFSET(환산공식!DJ$15,$F365,0),"")</f>
        <v>100</v>
      </c>
      <c r="N365" s="20" t="str">
        <f ca="1">IFERROR(CONCATENATE(ROUND(OFFSET(환산공식!DK$15,$F365,0),1),"%"),"")</f>
        <v>100%</v>
      </c>
      <c r="O365" s="20">
        <f ca="1">IFERROR(OFFSET(환산공식!DL$15,$F365,0),"")</f>
        <v>0</v>
      </c>
      <c r="P365" s="188" t="str">
        <f t="shared" ca="1" si="10"/>
        <v>3% 이하</v>
      </c>
      <c r="Q365" s="194">
        <f ca="1">IFERROR(ROUND(OFFSET(환산공식!$FG$15,$F365,0),3),"")</f>
        <v>0</v>
      </c>
      <c r="R365" s="194">
        <f ca="1">OFFSET('배치점수 계산기'!H$10,$D365,0)</f>
        <v>292.61</v>
      </c>
      <c r="S365" s="194">
        <f ca="1">OFFSET('배치점수 계산기'!I$10,$D365,0)</f>
        <v>292.49</v>
      </c>
      <c r="T365" s="194">
        <f ca="1">OFFSET('배치점수 계산기'!J$10,$D365,0)</f>
        <v>291.47000000000003</v>
      </c>
      <c r="U365" s="194">
        <f ca="1">OFFSET('배치점수 계산기'!K$10,$D365,0)</f>
        <v>288.77999999999997</v>
      </c>
      <c r="V365" s="194">
        <f ca="1">OFFSET('배치점수 계산기'!L$10,$D365,0)</f>
        <v>284.74</v>
      </c>
      <c r="W365" s="186" t="str">
        <f ca="1">OFFSET('배치점수 계산기'!M$10,$D365,0)</f>
        <v>백분위</v>
      </c>
      <c r="X365" s="184" t="str">
        <f ca="1">OFFSET('배치점수 계산기'!N$10,$D365,0)</f>
        <v>백분위</v>
      </c>
      <c r="Y365" s="188">
        <f ca="1">OFFSET(환산공식!FW$15,$F365,0)</f>
        <v>0.33</v>
      </c>
      <c r="Z365" s="20">
        <f ca="1">OFFSET(환산공식!FX$15,$F365,0)</f>
        <v>0.33</v>
      </c>
      <c r="AA365" s="179">
        <f ca="1">OFFSET(환산공식!FY$15,$F365,0)</f>
        <v>0.33</v>
      </c>
      <c r="AB365" s="3"/>
      <c r="AD365">
        <f t="shared" ca="1" si="11"/>
        <v>6</v>
      </c>
    </row>
    <row r="366" spans="1:30">
      <c r="A366" s="198"/>
      <c r="B366" s="198"/>
      <c r="C366" s="198" t="s">
        <v>16787</v>
      </c>
      <c r="D366" s="235">
        <v>2271</v>
      </c>
      <c r="E366" s="195">
        <v>217</v>
      </c>
      <c r="F366" s="195">
        <v>217</v>
      </c>
      <c r="G366" s="239">
        <v>359</v>
      </c>
      <c r="H366" s="197" t="s">
        <v>81</v>
      </c>
      <c r="I366" s="242" t="s">
        <v>213</v>
      </c>
      <c r="J366" s="242" t="s">
        <v>198</v>
      </c>
      <c r="K366" s="195" t="s">
        <v>70</v>
      </c>
      <c r="L366" s="20" t="str">
        <f ca="1">IF(OFFSET(환산공식!$ED$15,$F366,0)=1,"O","X")</f>
        <v>X</v>
      </c>
      <c r="M366" s="188">
        <f ca="1">IFERROR(OFFSET(환산공식!DJ$15,$F366,0),"")</f>
        <v>200</v>
      </c>
      <c r="N366" s="20" t="str">
        <f ca="1">IFERROR(CONCATENATE(ROUND(OFFSET(환산공식!DK$15,$F366,0),1),"%"),"")</f>
        <v>100%</v>
      </c>
      <c r="O366" s="20">
        <f ca="1">IFERROR(OFFSET(환산공식!DL$15,$F366,0),"")</f>
        <v>10</v>
      </c>
      <c r="P366" s="188" t="str">
        <f t="shared" ca="1" si="10"/>
        <v>3% 이하</v>
      </c>
      <c r="Q366" s="194">
        <f ca="1">IFERROR(ROUND(OFFSET(환산공식!$FG$15,$F366,0),3),"")</f>
        <v>0</v>
      </c>
      <c r="R366" s="194">
        <f ca="1">OFFSET('배치점수 계산기'!H$10,$D366,0)</f>
        <v>969.48</v>
      </c>
      <c r="S366" s="194">
        <f ca="1">OFFSET('배치점수 계산기'!I$10,$D366,0)</f>
        <v>967.68</v>
      </c>
      <c r="T366" s="194">
        <f ca="1">OFFSET('배치점수 계산기'!J$10,$D366,0)</f>
        <v>966.5</v>
      </c>
      <c r="U366" s="194">
        <f ca="1">OFFSET('배치점수 계산기'!K$10,$D366,0)</f>
        <v>964.59</v>
      </c>
      <c r="V366" s="194">
        <f ca="1">OFFSET('배치점수 계산기'!L$10,$D366,0)</f>
        <v>962.07</v>
      </c>
      <c r="W366" s="186" t="str">
        <f ca="1">OFFSET('배치점수 계산기'!M$10,$D366,0)</f>
        <v>백분위</v>
      </c>
      <c r="X366" s="184" t="str">
        <f ca="1">OFFSET('배치점수 계산기'!N$10,$D366,0)</f>
        <v>백분위</v>
      </c>
      <c r="Y366" s="188">
        <f ca="1">OFFSET(환산공식!FW$15,$F366,0)</f>
        <v>0.25</v>
      </c>
      <c r="Z366" s="20">
        <f ca="1">OFFSET(환산공식!FX$15,$F366,0)</f>
        <v>0.38</v>
      </c>
      <c r="AA366" s="179">
        <f ca="1">OFFSET(환산공식!FY$15,$F366,0)</f>
        <v>0.38</v>
      </c>
      <c r="AB366" s="3"/>
      <c r="AD366">
        <f t="shared" ca="1" si="11"/>
        <v>6</v>
      </c>
    </row>
    <row r="367" spans="1:30">
      <c r="A367" s="198"/>
      <c r="B367" s="198"/>
      <c r="C367" s="198" t="s">
        <v>16788</v>
      </c>
      <c r="D367" s="235">
        <v>2272</v>
      </c>
      <c r="E367" s="195">
        <v>156</v>
      </c>
      <c r="F367" s="195">
        <v>156</v>
      </c>
      <c r="G367" s="239">
        <v>360</v>
      </c>
      <c r="H367" s="197" t="s">
        <v>81</v>
      </c>
      <c r="I367" s="242" t="s">
        <v>7970</v>
      </c>
      <c r="J367" s="242" t="s">
        <v>8252</v>
      </c>
      <c r="K367" s="195" t="s">
        <v>70</v>
      </c>
      <c r="L367" s="20" t="str">
        <f ca="1">IF(OFFSET(환산공식!$ED$15,$F367,0)=1,"O","X")</f>
        <v>X</v>
      </c>
      <c r="M367" s="188">
        <f ca="1">IFERROR(OFFSET(환산공식!DJ$15,$F367,0),"")</f>
        <v>200</v>
      </c>
      <c r="N367" s="20" t="str">
        <f ca="1">IFERROR(CONCATENATE(ROUND(OFFSET(환산공식!DK$15,$F367,0),1),"%"),"")</f>
        <v>100%</v>
      </c>
      <c r="O367" s="20">
        <f ca="1">IFERROR(OFFSET(환산공식!DL$15,$F367,0),"")</f>
        <v>10</v>
      </c>
      <c r="P367" s="188" t="str">
        <f t="shared" ca="1" si="10"/>
        <v>3% 이하</v>
      </c>
      <c r="Q367" s="194">
        <f ca="1">IFERROR(ROUND(OFFSET(환산공식!$FG$15,$F367,0),3),"")</f>
        <v>0</v>
      </c>
      <c r="R367" s="194">
        <f ca="1">OFFSET('배치점수 계산기'!H$10,$D367,0)</f>
        <v>982.55</v>
      </c>
      <c r="S367" s="194">
        <f ca="1">OFFSET('배치점수 계산기'!I$10,$D367,0)</f>
        <v>981.05</v>
      </c>
      <c r="T367" s="194">
        <f ca="1">OFFSET('배치점수 계산기'!J$10,$D367,0)</f>
        <v>979.78</v>
      </c>
      <c r="U367" s="194">
        <f ca="1">OFFSET('배치점수 계산기'!K$10,$D367,0)</f>
        <v>975.33</v>
      </c>
      <c r="V367" s="194">
        <f ca="1">OFFSET('배치점수 계산기'!L$10,$D367,0)</f>
        <v>966.11</v>
      </c>
      <c r="W367" s="186" t="str">
        <f ca="1">OFFSET('배치점수 계산기'!M$10,$D367,0)</f>
        <v>백분위</v>
      </c>
      <c r="X367" s="184" t="str">
        <f ca="1">OFFSET('배치점수 계산기'!N$10,$D367,0)</f>
        <v>백분위</v>
      </c>
      <c r="Y367" s="188">
        <f ca="1">OFFSET(환산공식!FW$15,$F367,0)</f>
        <v>0.31</v>
      </c>
      <c r="Z367" s="20">
        <f ca="1">OFFSET(환산공식!FX$15,$F367,0)</f>
        <v>0.44</v>
      </c>
      <c r="AA367" s="179">
        <f ca="1">OFFSET(환산공식!FY$15,$F367,0)</f>
        <v>0.25</v>
      </c>
      <c r="AB367" s="3"/>
      <c r="AD367">
        <f t="shared" ca="1" si="11"/>
        <v>6</v>
      </c>
    </row>
    <row r="368" spans="1:30">
      <c r="A368" s="198"/>
      <c r="B368" s="198"/>
      <c r="C368" s="198" t="s">
        <v>16789</v>
      </c>
      <c r="D368" s="235">
        <v>2273</v>
      </c>
      <c r="E368" s="195">
        <v>157</v>
      </c>
      <c r="F368" s="195">
        <v>157</v>
      </c>
      <c r="G368" s="239">
        <v>361</v>
      </c>
      <c r="H368" s="197" t="s">
        <v>81</v>
      </c>
      <c r="I368" s="242" t="s">
        <v>7970</v>
      </c>
      <c r="J368" s="242" t="s">
        <v>7971</v>
      </c>
      <c r="K368" s="195" t="s">
        <v>71</v>
      </c>
      <c r="L368" s="20" t="str">
        <f ca="1">IF(OFFSET(환산공식!$ED$15,$F368,0)=1,"O","X")</f>
        <v>X</v>
      </c>
      <c r="M368" s="188">
        <f ca="1">IFERROR(OFFSET(환산공식!DJ$15,$F368,0),"")</f>
        <v>200</v>
      </c>
      <c r="N368" s="20" t="str">
        <f ca="1">IFERROR(CONCATENATE(ROUND(OFFSET(환산공식!DK$15,$F368,0),1),"%"),"")</f>
        <v>100%</v>
      </c>
      <c r="O368" s="20">
        <f ca="1">IFERROR(OFFSET(환산공식!DL$15,$F368,0),"")</f>
        <v>10</v>
      </c>
      <c r="P368" s="188" t="str">
        <f t="shared" ca="1" si="10"/>
        <v>3% 이하</v>
      </c>
      <c r="Q368" s="194">
        <f ca="1">IFERROR(ROUND(OFFSET(환산공식!$FG$15,$F368,0),3),"")</f>
        <v>0</v>
      </c>
      <c r="R368" s="194">
        <f ca="1">OFFSET('배치점수 계산기'!H$10,$D368,0)</f>
        <v>991.28</v>
      </c>
      <c r="S368" s="194">
        <f ca="1">OFFSET('배치점수 계산기'!I$10,$D368,0)</f>
        <v>989.99</v>
      </c>
      <c r="T368" s="194">
        <f ca="1">OFFSET('배치점수 계산기'!J$10,$D368,0)</f>
        <v>989.14</v>
      </c>
      <c r="U368" s="194">
        <f ca="1">OFFSET('배치점수 계산기'!K$10,$D368,0)</f>
        <v>987.07</v>
      </c>
      <c r="V368" s="194">
        <f ca="1">OFFSET('배치점수 계산기'!L$10,$D368,0)</f>
        <v>973.88</v>
      </c>
      <c r="W368" s="186" t="str">
        <f ca="1">OFFSET('배치점수 계산기'!M$10,$D368,0)</f>
        <v>백분위</v>
      </c>
      <c r="X368" s="184" t="str">
        <f ca="1">OFFSET('배치점수 계산기'!N$10,$D368,0)</f>
        <v>백분위</v>
      </c>
      <c r="Y368" s="188">
        <f ca="1">OFFSET(환산공식!FW$15,$F368,0)</f>
        <v>0.31</v>
      </c>
      <c r="Z368" s="20">
        <f ca="1">OFFSET(환산공식!FX$15,$F368,0)</f>
        <v>0.44</v>
      </c>
      <c r="AA368" s="179">
        <f ca="1">OFFSET(환산공식!FY$15,$F368,0)</f>
        <v>0.25</v>
      </c>
      <c r="AB368" s="3"/>
      <c r="AD368">
        <f t="shared" ca="1" si="11"/>
        <v>6</v>
      </c>
    </row>
    <row r="369" spans="1:30">
      <c r="A369" s="198"/>
      <c r="B369" s="198"/>
      <c r="C369" s="198" t="s">
        <v>16790</v>
      </c>
      <c r="D369" s="235">
        <v>2274</v>
      </c>
      <c r="E369" s="195">
        <v>165</v>
      </c>
      <c r="F369" s="195">
        <v>165</v>
      </c>
      <c r="G369" s="239">
        <v>362</v>
      </c>
      <c r="H369" s="197" t="s">
        <v>81</v>
      </c>
      <c r="I369" s="242" t="s">
        <v>204</v>
      </c>
      <c r="J369" s="242" t="s">
        <v>8433</v>
      </c>
      <c r="K369" s="195" t="s">
        <v>70</v>
      </c>
      <c r="L369" s="20" t="str">
        <f ca="1">IF(OFFSET(환산공식!$ED$15,$F369,0)=1,"O","X")</f>
        <v>X</v>
      </c>
      <c r="M369" s="188">
        <f ca="1">IFERROR(OFFSET(환산공식!DJ$15,$F369,0),"")</f>
        <v>200</v>
      </c>
      <c r="N369" s="20" t="str">
        <f ca="1">IFERROR(CONCATENATE(ROUND(OFFSET(환산공식!DK$15,$F369,0),1),"%"),"")</f>
        <v>100%</v>
      </c>
      <c r="O369" s="20">
        <f ca="1">IFERROR(OFFSET(환산공식!DL$15,$F369,0),"")</f>
        <v>3</v>
      </c>
      <c r="P369" s="188" t="str">
        <f t="shared" ca="1" si="10"/>
        <v>3% 이하</v>
      </c>
      <c r="Q369" s="194">
        <f ca="1">IFERROR(ROUND(OFFSET(환산공식!$FG$15,$F369,0),3),"")</f>
        <v>0</v>
      </c>
      <c r="R369" s="194">
        <f ca="1">OFFSET('배치점수 계산기'!H$10,$D369,0)</f>
        <v>968.94</v>
      </c>
      <c r="S369" s="194">
        <f ca="1">OFFSET('배치점수 계산기'!I$10,$D369,0)</f>
        <v>966.74</v>
      </c>
      <c r="T369" s="194">
        <f ca="1">OFFSET('배치점수 계산기'!J$10,$D369,0)</f>
        <v>964.16</v>
      </c>
      <c r="U369" s="194">
        <f ca="1">OFFSET('배치점수 계산기'!K$10,$D369,0)</f>
        <v>959.12</v>
      </c>
      <c r="V369" s="194">
        <f ca="1">OFFSET('배치점수 계산기'!L$10,$D369,0)</f>
        <v>949.38</v>
      </c>
      <c r="W369" s="186" t="str">
        <f ca="1">OFFSET('배치점수 계산기'!M$10,$D369,0)</f>
        <v>백분위</v>
      </c>
      <c r="X369" s="184" t="str">
        <f ca="1">OFFSET('배치점수 계산기'!N$10,$D369,0)</f>
        <v>백분위</v>
      </c>
      <c r="Y369" s="188">
        <f ca="1">OFFSET(환산공식!FW$15,$F369,0)</f>
        <v>0.25</v>
      </c>
      <c r="Z369" s="20">
        <f ca="1">OFFSET(환산공식!FX$15,$F369,0)</f>
        <v>0.5</v>
      </c>
      <c r="AA369" s="179">
        <f ca="1">OFFSET(환산공식!FY$15,$F369,0)</f>
        <v>0.25</v>
      </c>
      <c r="AB369" s="3"/>
      <c r="AD369">
        <f t="shared" ca="1" si="11"/>
        <v>6</v>
      </c>
    </row>
    <row r="370" spans="1:30">
      <c r="A370" s="198"/>
      <c r="B370" s="198"/>
      <c r="C370" s="198" t="s">
        <v>16791</v>
      </c>
      <c r="D370" s="235">
        <v>2275</v>
      </c>
      <c r="E370" s="195">
        <v>166</v>
      </c>
      <c r="F370" s="195">
        <v>166</v>
      </c>
      <c r="G370" s="239">
        <v>363</v>
      </c>
      <c r="H370" s="197" t="s">
        <v>81</v>
      </c>
      <c r="I370" s="242" t="s">
        <v>204</v>
      </c>
      <c r="J370" s="242" t="s">
        <v>8380</v>
      </c>
      <c r="K370" s="195" t="s">
        <v>71</v>
      </c>
      <c r="L370" s="20" t="str">
        <f ca="1">IF(OFFSET(환산공식!$ED$15,$F370,0)=1,"O","X")</f>
        <v>X</v>
      </c>
      <c r="M370" s="188">
        <f ca="1">IFERROR(OFFSET(환산공식!DJ$15,$F370,0),"")</f>
        <v>200</v>
      </c>
      <c r="N370" s="20" t="str">
        <f ca="1">IFERROR(CONCATENATE(ROUND(OFFSET(환산공식!DK$15,$F370,0),1),"%"),"")</f>
        <v>100%</v>
      </c>
      <c r="O370" s="20">
        <f ca="1">IFERROR(OFFSET(환산공식!DL$15,$F370,0),"")</f>
        <v>3</v>
      </c>
      <c r="P370" s="188" t="str">
        <f t="shared" ca="1" si="10"/>
        <v>3% 이하</v>
      </c>
      <c r="Q370" s="194">
        <f ca="1">IFERROR(ROUND(OFFSET(환산공식!$FG$15,$F370,0),3),"")</f>
        <v>0</v>
      </c>
      <c r="R370" s="194">
        <f ca="1">OFFSET('배치점수 계산기'!H$10,$D370,0)</f>
        <v>968.66</v>
      </c>
      <c r="S370" s="194">
        <f ca="1">OFFSET('배치점수 계산기'!I$10,$D370,0)</f>
        <v>966.66</v>
      </c>
      <c r="T370" s="194">
        <f ca="1">OFFSET('배치점수 계산기'!J$10,$D370,0)</f>
        <v>963.1</v>
      </c>
      <c r="U370" s="194">
        <f ca="1">OFFSET('배치점수 계산기'!K$10,$D370,0)</f>
        <v>960.26</v>
      </c>
      <c r="V370" s="194">
        <f ca="1">OFFSET('배치점수 계산기'!L$10,$D370,0)</f>
        <v>955.24</v>
      </c>
      <c r="W370" s="186" t="str">
        <f ca="1">OFFSET('배치점수 계산기'!M$10,$D370,0)</f>
        <v>백분위</v>
      </c>
      <c r="X370" s="184" t="str">
        <f ca="1">OFFSET('배치점수 계산기'!N$10,$D370,0)</f>
        <v>백분위</v>
      </c>
      <c r="Y370" s="188">
        <f ca="1">OFFSET(환산공식!FW$15,$F370,0)</f>
        <v>0.25</v>
      </c>
      <c r="Z370" s="20">
        <f ca="1">OFFSET(환산공식!FX$15,$F370,0)</f>
        <v>0.5</v>
      </c>
      <c r="AA370" s="179">
        <f ca="1">OFFSET(환산공식!FY$15,$F370,0)</f>
        <v>0.25</v>
      </c>
      <c r="AB370" s="3"/>
      <c r="AD370">
        <f t="shared" ca="1" si="11"/>
        <v>6</v>
      </c>
    </row>
    <row r="371" spans="1:30">
      <c r="A371" s="198"/>
      <c r="B371" s="198"/>
      <c r="C371" s="198" t="s">
        <v>19423</v>
      </c>
      <c r="D371" s="235">
        <v>2276</v>
      </c>
      <c r="E371" s="195">
        <v>217</v>
      </c>
      <c r="F371" s="195">
        <v>217</v>
      </c>
      <c r="G371" s="239">
        <v>364</v>
      </c>
      <c r="H371" s="197" t="s">
        <v>81</v>
      </c>
      <c r="I371" s="242" t="s">
        <v>213</v>
      </c>
      <c r="J371" s="242" t="s">
        <v>210</v>
      </c>
      <c r="K371" s="195" t="s">
        <v>70</v>
      </c>
      <c r="L371" s="20" t="str">
        <f ca="1">IF(OFFSET(환산공식!$ED$15,$F371,0)=1,"O","X")</f>
        <v>X</v>
      </c>
      <c r="M371" s="188">
        <f ca="1">IFERROR(OFFSET(환산공식!DJ$15,$F371,0),"")</f>
        <v>200</v>
      </c>
      <c r="N371" s="20" t="str">
        <f ca="1">IFERROR(CONCATENATE(ROUND(OFFSET(환산공식!DK$15,$F371,0),1),"%"),"")</f>
        <v>100%</v>
      </c>
      <c r="O371" s="20">
        <f ca="1">IFERROR(OFFSET(환산공식!DL$15,$F371,0),"")</f>
        <v>10</v>
      </c>
      <c r="P371" s="188" t="str">
        <f t="shared" ca="1" si="10"/>
        <v>3% 이하</v>
      </c>
      <c r="Q371" s="194">
        <f ca="1">IFERROR(ROUND(OFFSET(환산공식!$FG$15,$F371,0),3),"")</f>
        <v>0</v>
      </c>
      <c r="R371" s="194">
        <f ca="1">OFFSET('배치점수 계산기'!H$10,$D371,0)</f>
        <v>970.83</v>
      </c>
      <c r="S371" s="194">
        <f ca="1">OFFSET('배치점수 계산기'!I$10,$D371,0)</f>
        <v>967.72</v>
      </c>
      <c r="T371" s="194">
        <f ca="1">OFFSET('배치점수 계산기'!J$10,$D371,0)</f>
        <v>965.81</v>
      </c>
      <c r="U371" s="194">
        <f ca="1">OFFSET('배치점수 계산기'!K$10,$D371,0)</f>
        <v>962.81</v>
      </c>
      <c r="V371" s="194">
        <f ca="1">OFFSET('배치점수 계산기'!L$10,$D371,0)</f>
        <v>962.07</v>
      </c>
      <c r="W371" s="186" t="str">
        <f ca="1">OFFSET('배치점수 계산기'!M$10,$D371,0)</f>
        <v>백분위</v>
      </c>
      <c r="X371" s="184" t="str">
        <f ca="1">OFFSET('배치점수 계산기'!N$10,$D371,0)</f>
        <v>백분위</v>
      </c>
      <c r="Y371" s="188">
        <f ca="1">OFFSET(환산공식!FW$15,$F371,0)</f>
        <v>0.25</v>
      </c>
      <c r="Z371" s="20">
        <f ca="1">OFFSET(환산공식!FX$15,$F371,0)</f>
        <v>0.38</v>
      </c>
      <c r="AA371" s="179">
        <f ca="1">OFFSET(환산공식!FY$15,$F371,0)</f>
        <v>0.38</v>
      </c>
      <c r="AB371" s="3"/>
      <c r="AD371">
        <f t="shared" ca="1" si="11"/>
        <v>6</v>
      </c>
    </row>
    <row r="372" spans="1:30">
      <c r="A372" s="198"/>
      <c r="B372" s="198"/>
      <c r="C372" s="198"/>
      <c r="D372" s="235"/>
      <c r="E372" s="195"/>
      <c r="F372" s="195"/>
      <c r="G372" s="239"/>
      <c r="H372" s="197"/>
      <c r="I372" s="242"/>
      <c r="J372" s="242"/>
      <c r="K372" s="195"/>
      <c r="L372" s="20"/>
      <c r="M372" s="188"/>
      <c r="N372" s="20"/>
      <c r="O372" s="20"/>
      <c r="P372" s="188"/>
      <c r="Q372" s="194"/>
      <c r="R372" s="194"/>
      <c r="S372" s="194"/>
      <c r="T372" s="194"/>
      <c r="U372" s="194"/>
      <c r="V372" s="194"/>
      <c r="W372" s="186"/>
      <c r="X372" s="184"/>
      <c r="Y372" s="188"/>
      <c r="Z372" s="20"/>
      <c r="AA372" s="179"/>
      <c r="AB372" s="3"/>
    </row>
    <row r="373" spans="1:30">
      <c r="A373" s="198"/>
      <c r="B373" s="198"/>
      <c r="C373" s="198"/>
      <c r="D373" s="235"/>
      <c r="E373" s="195"/>
      <c r="F373" s="195"/>
      <c r="G373" s="239"/>
      <c r="H373" s="644"/>
      <c r="I373" s="546"/>
      <c r="J373" s="546"/>
      <c r="K373" s="545"/>
      <c r="L373" s="547"/>
      <c r="M373" s="548"/>
      <c r="N373" s="547"/>
      <c r="O373" s="547"/>
      <c r="P373" s="548"/>
      <c r="Q373" s="549"/>
      <c r="R373" s="549"/>
      <c r="S373" s="549"/>
      <c r="T373" s="549"/>
      <c r="U373" s="549"/>
      <c r="V373" s="549"/>
      <c r="W373" s="550"/>
      <c r="X373" s="551"/>
      <c r="Y373" s="548"/>
      <c r="Z373" s="547"/>
      <c r="AA373" s="552"/>
      <c r="AB373" s="3"/>
    </row>
  </sheetData>
  <sheetProtection algorithmName="SHA-512" hashValue="uKtOqwFACwxsLzg0MfzymFblklbXJeLZVeIS1EFdBU7jC1bWYqlXQOBq0CCEmlthn4uZmA8WUQ7xhUq3LC4rFw==" saltValue="h1I+nQMikoJZanK01hniiA==" spinCount="100000" sheet="1" sort="0" autoFilter="0"/>
  <autoFilter ref="C7:K7" xr:uid="{E6F614A7-ADE3-404A-B8F8-89774669E398}"/>
  <mergeCells count="7">
    <mergeCell ref="Y6:AA6"/>
    <mergeCell ref="R2:V3"/>
    <mergeCell ref="I1:Q3"/>
    <mergeCell ref="R5:V5"/>
    <mergeCell ref="M6:O6"/>
    <mergeCell ref="P6:Q6"/>
    <mergeCell ref="W6:X6"/>
  </mergeCells>
  <phoneticPr fontId="3" type="noConversion"/>
  <conditionalFormatting sqref="H8:Q373">
    <cfRule type="expression" dxfId="23" priority="1">
      <formula>$AD8=6</formula>
    </cfRule>
    <cfRule type="expression" dxfId="22" priority="2">
      <formula>$AD8=5</formula>
    </cfRule>
    <cfRule type="expression" dxfId="21" priority="3">
      <formula>$AD8=4</formula>
    </cfRule>
    <cfRule type="expression" dxfId="20" priority="4">
      <formula>$AD8=3</formula>
    </cfRule>
    <cfRule type="expression" dxfId="19" priority="5">
      <formula>$AD8=2</formula>
    </cfRule>
    <cfRule type="expression" dxfId="18" priority="6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8FB2-2949-4321-BADF-EED899528298}">
  <dimension ref="A1:FF201"/>
  <sheetViews>
    <sheetView zoomScaleNormal="100" workbookViewId="0">
      <pane xSplit="2" ySplit="4" topLeftCell="C5" activePane="bottomRight" state="frozen"/>
      <selection activeCell="I1" sqref="I1:Q3"/>
      <selection pane="topRight" activeCell="I1" sqref="I1:Q3"/>
      <selection pane="bottomLeft" activeCell="I1" sqref="I1:Q3"/>
      <selection pane="bottomRight" activeCell="I1" sqref="I1:Q3"/>
    </sheetView>
  </sheetViews>
  <sheetFormatPr baseColWidth="10" defaultColWidth="8.83203125" defaultRowHeight="17"/>
  <cols>
    <col min="1" max="1" width="13.6640625" customWidth="1"/>
    <col min="2" max="2" width="9.6640625" customWidth="1"/>
  </cols>
  <sheetData>
    <row r="1" spans="1:162">
      <c r="A1" s="170" t="s">
        <v>16536</v>
      </c>
    </row>
    <row r="2" spans="1:162" s="175" customFormat="1">
      <c r="A2" s="170" t="s">
        <v>16537</v>
      </c>
      <c r="B2"/>
      <c r="C2" s="643" t="s">
        <v>16793</v>
      </c>
      <c r="G2" s="641" t="s">
        <v>16792</v>
      </c>
      <c r="H2" s="641"/>
      <c r="I2" s="641" t="s">
        <v>16792</v>
      </c>
      <c r="J2" s="641"/>
      <c r="K2" s="641" t="s">
        <v>16792</v>
      </c>
      <c r="L2" s="641"/>
      <c r="M2" s="641" t="s">
        <v>16792</v>
      </c>
      <c r="N2" s="641"/>
      <c r="O2" s="641" t="s">
        <v>16792</v>
      </c>
      <c r="P2" s="641"/>
      <c r="Q2" s="641"/>
      <c r="R2" s="641"/>
      <c r="S2" s="641" t="s">
        <v>16792</v>
      </c>
      <c r="T2" s="641"/>
      <c r="U2" s="641"/>
      <c r="V2" s="641"/>
      <c r="W2" s="641" t="s">
        <v>16792</v>
      </c>
      <c r="X2" s="641"/>
      <c r="Y2" s="641"/>
      <c r="Z2" s="641"/>
      <c r="AA2" s="641" t="s">
        <v>16792</v>
      </c>
      <c r="AB2" s="641"/>
      <c r="AC2" s="641"/>
      <c r="AD2" s="641"/>
      <c r="AE2" s="641" t="s">
        <v>16792</v>
      </c>
      <c r="AF2" s="641"/>
      <c r="AG2" s="641"/>
      <c r="AH2" s="641"/>
      <c r="AI2" s="641" t="s">
        <v>16792</v>
      </c>
      <c r="AJ2" s="641"/>
      <c r="AK2" s="641"/>
      <c r="AL2" s="641"/>
      <c r="AM2" s="641" t="s">
        <v>16792</v>
      </c>
      <c r="AN2" s="641"/>
      <c r="AO2" s="641"/>
      <c r="AP2" s="641"/>
      <c r="AQ2" s="641" t="s">
        <v>16792</v>
      </c>
      <c r="AR2" s="641"/>
      <c r="AS2" s="641"/>
      <c r="AT2" s="641"/>
      <c r="AU2" s="641" t="s">
        <v>16792</v>
      </c>
      <c r="AV2" s="641"/>
      <c r="AW2" s="641"/>
      <c r="AX2" s="641"/>
      <c r="AY2" s="641" t="s">
        <v>16792</v>
      </c>
      <c r="AZ2" s="641"/>
      <c r="BA2" s="641"/>
      <c r="BB2" s="641"/>
      <c r="BC2" s="643" t="s">
        <v>16793</v>
      </c>
      <c r="BD2" s="641"/>
      <c r="BE2" s="641"/>
      <c r="BF2" s="641"/>
      <c r="BG2" s="641" t="s">
        <v>16792</v>
      </c>
      <c r="BH2" s="641"/>
      <c r="BI2" s="641"/>
      <c r="BJ2" s="641"/>
      <c r="BK2" s="641" t="s">
        <v>16792</v>
      </c>
      <c r="BL2" s="641"/>
      <c r="BM2" s="642"/>
      <c r="BN2" s="641"/>
      <c r="BO2" s="641" t="s">
        <v>16792</v>
      </c>
      <c r="BP2" s="641"/>
      <c r="BQ2" s="641" t="s">
        <v>16792</v>
      </c>
      <c r="BR2" s="641"/>
      <c r="BS2" s="641"/>
      <c r="BT2" s="641"/>
      <c r="BU2" s="641" t="s">
        <v>16792</v>
      </c>
      <c r="BV2" s="641"/>
      <c r="BW2" s="641"/>
      <c r="BX2" s="641"/>
      <c r="BY2" s="641"/>
      <c r="BZ2" s="641"/>
      <c r="CA2" s="641"/>
      <c r="CB2" s="641"/>
      <c r="CC2" s="641" t="s">
        <v>16792</v>
      </c>
      <c r="CD2" s="641"/>
      <c r="CE2" s="641"/>
      <c r="CF2" s="641"/>
      <c r="CG2" s="641" t="s">
        <v>16792</v>
      </c>
      <c r="CH2" s="641"/>
      <c r="CI2" s="641"/>
      <c r="CJ2" s="641"/>
      <c r="CK2" s="643" t="s">
        <v>16793</v>
      </c>
      <c r="CL2" s="641"/>
      <c r="CM2" s="641"/>
      <c r="CN2" s="641"/>
      <c r="CO2" s="641" t="s">
        <v>16792</v>
      </c>
      <c r="CP2" s="641"/>
      <c r="CQ2" s="641"/>
      <c r="CR2" s="641"/>
      <c r="CS2" s="643" t="s">
        <v>16793</v>
      </c>
      <c r="CT2" s="641"/>
      <c r="CU2" s="641"/>
      <c r="CV2" s="641"/>
      <c r="CW2" s="641" t="s">
        <v>16792</v>
      </c>
      <c r="CX2" s="641"/>
      <c r="CY2" s="641"/>
      <c r="CZ2" s="641"/>
      <c r="DA2" s="641" t="s">
        <v>16792</v>
      </c>
    </row>
    <row r="3" spans="1:162">
      <c r="C3" s="531" t="s">
        <v>73</v>
      </c>
      <c r="D3" s="532"/>
      <c r="E3" s="533"/>
      <c r="F3" s="534"/>
      <c r="G3" s="533" t="s">
        <v>75</v>
      </c>
      <c r="H3" s="534"/>
      <c r="I3" s="533" t="s">
        <v>323</v>
      </c>
      <c r="J3" s="534"/>
      <c r="K3" s="533" t="s">
        <v>453</v>
      </c>
      <c r="L3" s="534"/>
      <c r="M3" s="533" t="s">
        <v>7412</v>
      </c>
      <c r="N3" s="534"/>
      <c r="O3" s="533" t="s">
        <v>77</v>
      </c>
      <c r="P3" s="534"/>
      <c r="Q3" s="533"/>
      <c r="R3" s="534"/>
      <c r="S3" s="533" t="s">
        <v>80</v>
      </c>
      <c r="T3" s="534"/>
      <c r="U3" s="533"/>
      <c r="V3" s="534"/>
      <c r="W3" s="533" t="s">
        <v>7676</v>
      </c>
      <c r="X3" s="534"/>
      <c r="Y3" s="533"/>
      <c r="Z3" s="534"/>
      <c r="AA3" s="533" t="s">
        <v>82</v>
      </c>
      <c r="AB3" s="534"/>
      <c r="AC3" s="533"/>
      <c r="AD3" s="534"/>
      <c r="AE3" s="533" t="s">
        <v>231</v>
      </c>
      <c r="AF3" s="534"/>
      <c r="AG3" s="533"/>
      <c r="AH3" s="534"/>
      <c r="AI3" s="533" t="s">
        <v>83</v>
      </c>
      <c r="AJ3" s="534"/>
      <c r="AK3" s="533"/>
      <c r="AL3" s="534"/>
      <c r="AM3" s="533" t="s">
        <v>217</v>
      </c>
      <c r="AN3" s="534"/>
      <c r="AO3" s="533"/>
      <c r="AP3" s="534"/>
      <c r="AQ3" s="533" t="s">
        <v>233</v>
      </c>
      <c r="AR3" s="534"/>
      <c r="AS3" s="533"/>
      <c r="AT3" s="534"/>
      <c r="AU3" s="533" t="s">
        <v>254</v>
      </c>
      <c r="AV3" s="534"/>
      <c r="AW3" s="533"/>
      <c r="AX3" s="534"/>
      <c r="AY3" s="533" t="s">
        <v>236</v>
      </c>
      <c r="AZ3" s="534"/>
      <c r="BA3" s="533"/>
      <c r="BB3" s="534"/>
      <c r="BC3" s="533" t="s">
        <v>301</v>
      </c>
      <c r="BD3" s="534"/>
      <c r="BE3" s="533"/>
      <c r="BF3" s="534"/>
      <c r="BG3" s="533" t="s">
        <v>224</v>
      </c>
      <c r="BH3" s="534"/>
      <c r="BI3" s="533"/>
      <c r="BJ3" s="534"/>
      <c r="BK3" s="533" t="s">
        <v>423</v>
      </c>
      <c r="BL3" s="534"/>
      <c r="BM3" s="533"/>
      <c r="BN3" s="534"/>
      <c r="BO3" s="533" t="s">
        <v>7414</v>
      </c>
      <c r="BP3" s="534"/>
      <c r="BQ3" s="533" t="s">
        <v>7307</v>
      </c>
      <c r="BR3" s="534"/>
      <c r="BS3" s="535"/>
      <c r="BT3" s="534"/>
      <c r="BU3" s="535" t="s">
        <v>221</v>
      </c>
      <c r="BV3" s="534"/>
      <c r="BW3" s="535"/>
      <c r="BX3" s="534"/>
      <c r="BY3" s="535" t="s">
        <v>7415</v>
      </c>
      <c r="BZ3" s="534"/>
      <c r="CA3" s="535" t="s">
        <v>362</v>
      </c>
      <c r="CB3" s="534"/>
      <c r="CC3" s="535" t="s">
        <v>7416</v>
      </c>
      <c r="CD3" s="534"/>
      <c r="CE3" s="534"/>
      <c r="CF3" s="534"/>
      <c r="CG3" s="536" t="s">
        <v>7417</v>
      </c>
      <c r="CH3" s="534"/>
      <c r="CI3" s="534"/>
      <c r="CJ3" s="534"/>
      <c r="CK3" s="536" t="s">
        <v>201</v>
      </c>
      <c r="CL3" s="534"/>
      <c r="CM3" s="534"/>
      <c r="CN3" s="534"/>
      <c r="CO3" s="536" t="s">
        <v>7418</v>
      </c>
      <c r="CP3" s="534"/>
      <c r="CQ3" s="534"/>
      <c r="CR3" s="534"/>
      <c r="CS3" s="536" t="s">
        <v>226</v>
      </c>
      <c r="CT3" s="534"/>
      <c r="CU3" s="534"/>
      <c r="CV3" s="534"/>
      <c r="CW3" s="536" t="s">
        <v>215</v>
      </c>
      <c r="CX3" s="534"/>
      <c r="CY3" s="534"/>
      <c r="CZ3" s="534"/>
      <c r="DA3" s="536" t="s">
        <v>211</v>
      </c>
      <c r="DB3" s="534"/>
      <c r="DC3" s="536"/>
      <c r="DD3" s="534"/>
      <c r="DE3" s="536"/>
      <c r="DF3" s="534"/>
      <c r="DG3" s="536"/>
      <c r="DH3" s="534"/>
      <c r="DI3" s="536"/>
      <c r="DJ3" s="534"/>
      <c r="DK3" s="536"/>
      <c r="DL3" s="534"/>
      <c r="DM3" s="537"/>
    </row>
    <row r="4" spans="1:162">
      <c r="B4" t="s">
        <v>454</v>
      </c>
      <c r="C4" s="529" t="s">
        <v>329</v>
      </c>
      <c r="D4" s="529" t="s">
        <v>328</v>
      </c>
      <c r="E4" s="529" t="s">
        <v>103</v>
      </c>
      <c r="F4" s="529" t="s">
        <v>102</v>
      </c>
      <c r="G4" s="529" t="s">
        <v>105</v>
      </c>
      <c r="H4" s="529" t="s">
        <v>104</v>
      </c>
      <c r="I4" s="529" t="s">
        <v>107</v>
      </c>
      <c r="J4" s="529" t="s">
        <v>106</v>
      </c>
      <c r="K4" s="529" t="s">
        <v>109</v>
      </c>
      <c r="L4" s="529" t="s">
        <v>108</v>
      </c>
      <c r="M4" s="529" t="s">
        <v>111</v>
      </c>
      <c r="N4" s="529" t="s">
        <v>110</v>
      </c>
      <c r="O4" s="529" t="s">
        <v>113</v>
      </c>
      <c r="P4" s="529" t="s">
        <v>112</v>
      </c>
      <c r="Q4" s="529" t="s">
        <v>115</v>
      </c>
      <c r="R4" s="529" t="s">
        <v>114</v>
      </c>
      <c r="S4" s="529" t="s">
        <v>117</v>
      </c>
      <c r="T4" s="529" t="s">
        <v>116</v>
      </c>
      <c r="U4" s="529" t="s">
        <v>119</v>
      </c>
      <c r="V4" s="529" t="s">
        <v>118</v>
      </c>
      <c r="W4" s="529" t="s">
        <v>121</v>
      </c>
      <c r="X4" s="529" t="s">
        <v>120</v>
      </c>
      <c r="Y4" s="529" t="s">
        <v>123</v>
      </c>
      <c r="Z4" s="529" t="s">
        <v>122</v>
      </c>
      <c r="AA4" s="529" t="s">
        <v>125</v>
      </c>
      <c r="AB4" s="529" t="s">
        <v>124</v>
      </c>
      <c r="AC4" s="529" t="s">
        <v>127</v>
      </c>
      <c r="AD4" s="529" t="s">
        <v>126</v>
      </c>
      <c r="AE4" s="529" t="s">
        <v>129</v>
      </c>
      <c r="AF4" s="529" t="s">
        <v>128</v>
      </c>
      <c r="AG4" s="529" t="s">
        <v>131</v>
      </c>
      <c r="AH4" s="529" t="s">
        <v>130</v>
      </c>
      <c r="AI4" s="529" t="s">
        <v>133</v>
      </c>
      <c r="AJ4" s="529" t="s">
        <v>132</v>
      </c>
      <c r="AK4" s="529" t="s">
        <v>135</v>
      </c>
      <c r="AL4" s="529" t="s">
        <v>134</v>
      </c>
      <c r="AM4" s="529" t="s">
        <v>137</v>
      </c>
      <c r="AN4" s="529" t="s">
        <v>136</v>
      </c>
      <c r="AO4" s="529" t="s">
        <v>139</v>
      </c>
      <c r="AP4" s="529" t="s">
        <v>138</v>
      </c>
      <c r="AQ4" s="529" t="s">
        <v>141</v>
      </c>
      <c r="AR4" s="529" t="s">
        <v>140</v>
      </c>
      <c r="AS4" s="529" t="s">
        <v>143</v>
      </c>
      <c r="AT4" s="529" t="s">
        <v>142</v>
      </c>
      <c r="AU4" s="529" t="s">
        <v>145</v>
      </c>
      <c r="AV4" s="529" t="s">
        <v>144</v>
      </c>
      <c r="AW4" s="529" t="s">
        <v>147</v>
      </c>
      <c r="AX4" s="529" t="s">
        <v>146</v>
      </c>
      <c r="AY4" s="529" t="s">
        <v>149</v>
      </c>
      <c r="AZ4" s="529" t="s">
        <v>148</v>
      </c>
      <c r="BA4" s="529" t="s">
        <v>151</v>
      </c>
      <c r="BB4" s="529" t="s">
        <v>150</v>
      </c>
      <c r="BC4" s="529" t="s">
        <v>153</v>
      </c>
      <c r="BD4" s="529" t="s">
        <v>152</v>
      </c>
      <c r="BE4" s="529" t="s">
        <v>155</v>
      </c>
      <c r="BF4" s="529" t="s">
        <v>154</v>
      </c>
      <c r="BG4" s="529" t="s">
        <v>157</v>
      </c>
      <c r="BH4" s="529" t="s">
        <v>156</v>
      </c>
      <c r="BI4" s="529" t="s">
        <v>159</v>
      </c>
      <c r="BJ4" s="529" t="s">
        <v>158</v>
      </c>
      <c r="BK4" s="529" t="s">
        <v>161</v>
      </c>
      <c r="BL4" s="529" t="s">
        <v>160</v>
      </c>
      <c r="BM4" s="529" t="s">
        <v>163</v>
      </c>
      <c r="BN4" s="529" t="s">
        <v>162</v>
      </c>
      <c r="BO4" s="529" t="s">
        <v>165</v>
      </c>
      <c r="BP4" s="529" t="s">
        <v>164</v>
      </c>
      <c r="BQ4" s="529" t="s">
        <v>167</v>
      </c>
      <c r="BR4" s="529" t="s">
        <v>166</v>
      </c>
      <c r="BS4" s="529" t="s">
        <v>169</v>
      </c>
      <c r="BT4" s="529" t="s">
        <v>168</v>
      </c>
      <c r="BU4" s="529" t="s">
        <v>7648</v>
      </c>
      <c r="BV4" s="529" t="s">
        <v>7649</v>
      </c>
      <c r="BW4" s="529" t="s">
        <v>171</v>
      </c>
      <c r="BX4" s="529" t="s">
        <v>170</v>
      </c>
      <c r="BY4" s="529" t="s">
        <v>173</v>
      </c>
      <c r="BZ4" s="529" t="s">
        <v>172</v>
      </c>
      <c r="CA4" s="529" t="s">
        <v>175</v>
      </c>
      <c r="CB4" s="529" t="s">
        <v>174</v>
      </c>
      <c r="CC4" s="529" t="s">
        <v>177</v>
      </c>
      <c r="CD4" s="529" t="s">
        <v>176</v>
      </c>
      <c r="CE4" s="529" t="s">
        <v>179</v>
      </c>
      <c r="CF4" s="529" t="s">
        <v>178</v>
      </c>
      <c r="CG4" s="529" t="s">
        <v>181</v>
      </c>
      <c r="CH4" s="529" t="s">
        <v>180</v>
      </c>
      <c r="CI4" s="529" t="s">
        <v>183</v>
      </c>
      <c r="CJ4" s="529" t="s">
        <v>182</v>
      </c>
      <c r="CK4" s="529" t="s">
        <v>185</v>
      </c>
      <c r="CL4" s="529" t="s">
        <v>184</v>
      </c>
      <c r="CM4" s="529" t="s">
        <v>187</v>
      </c>
      <c r="CN4" s="529" t="s">
        <v>186</v>
      </c>
      <c r="CO4" s="530" t="s">
        <v>7650</v>
      </c>
      <c r="CP4" s="530" t="s">
        <v>7651</v>
      </c>
      <c r="CQ4" s="530" t="s">
        <v>7652</v>
      </c>
      <c r="CR4" s="530" t="s">
        <v>7653</v>
      </c>
      <c r="CS4" s="530" t="s">
        <v>7654</v>
      </c>
      <c r="CT4" s="530" t="s">
        <v>7655</v>
      </c>
      <c r="CU4" s="530" t="s">
        <v>7656</v>
      </c>
      <c r="CV4" s="530" t="s">
        <v>7657</v>
      </c>
      <c r="CW4" s="530" t="s">
        <v>7658</v>
      </c>
      <c r="CX4" s="530" t="s">
        <v>7659</v>
      </c>
      <c r="CY4" s="530" t="s">
        <v>7660</v>
      </c>
      <c r="CZ4" s="530" t="s">
        <v>7661</v>
      </c>
      <c r="DA4" s="530" t="s">
        <v>7662</v>
      </c>
      <c r="DB4" s="530" t="s">
        <v>7663</v>
      </c>
      <c r="DC4" s="530" t="s">
        <v>7664</v>
      </c>
      <c r="DD4" s="530" t="s">
        <v>7665</v>
      </c>
      <c r="DE4" s="530" t="s">
        <v>7666</v>
      </c>
      <c r="DF4" s="530" t="s">
        <v>7667</v>
      </c>
      <c r="DG4" s="530" t="s">
        <v>7668</v>
      </c>
      <c r="DH4" s="530" t="s">
        <v>7669</v>
      </c>
      <c r="DI4" s="530" t="s">
        <v>7670</v>
      </c>
      <c r="DJ4" s="530" t="s">
        <v>7671</v>
      </c>
      <c r="DK4" s="530" t="s">
        <v>7672</v>
      </c>
      <c r="DL4" s="530" t="s">
        <v>7673</v>
      </c>
      <c r="DM4" s="530" t="s">
        <v>7674</v>
      </c>
      <c r="DN4" s="528" t="s">
        <v>7675</v>
      </c>
      <c r="DO4" s="528"/>
      <c r="DP4" s="528"/>
      <c r="DQ4" s="528"/>
      <c r="DR4" s="528"/>
      <c r="DS4" s="528"/>
      <c r="DT4" s="528"/>
      <c r="DU4" s="528"/>
      <c r="DV4" s="528"/>
      <c r="DW4" s="528"/>
      <c r="DX4" s="528"/>
      <c r="DY4" s="528"/>
      <c r="DZ4" s="528"/>
      <c r="EA4" s="528"/>
      <c r="EB4" s="528"/>
      <c r="EC4" s="528"/>
      <c r="ED4" s="527"/>
      <c r="EE4" s="527"/>
      <c r="EF4" s="527"/>
      <c r="EG4" s="527"/>
      <c r="EH4" s="527"/>
      <c r="EI4" s="527"/>
      <c r="EJ4" s="527"/>
      <c r="EK4" s="527"/>
      <c r="EL4" s="527"/>
      <c r="EM4" s="527"/>
      <c r="EN4" s="527"/>
      <c r="EO4" s="527"/>
      <c r="EP4" s="527"/>
      <c r="EQ4" s="527"/>
      <c r="ER4" s="527"/>
      <c r="ES4" s="527"/>
      <c r="ET4" s="527"/>
      <c r="EU4" s="527"/>
      <c r="EV4" s="527"/>
      <c r="EW4" s="527"/>
      <c r="EX4" s="527"/>
      <c r="EY4" s="527"/>
      <c r="EZ4" s="527"/>
      <c r="FA4" s="527"/>
      <c r="FB4" s="527"/>
      <c r="FC4" s="527"/>
      <c r="FD4" s="527"/>
      <c r="FE4" s="527"/>
      <c r="FF4" s="527"/>
    </row>
    <row r="5" spans="1:162">
      <c r="B5">
        <v>100</v>
      </c>
      <c r="C5">
        <v>70.12</v>
      </c>
      <c r="D5">
        <v>70.12</v>
      </c>
      <c r="E5" s="171"/>
      <c r="G5" s="171">
        <v>70</v>
      </c>
      <c r="H5">
        <v>70.12</v>
      </c>
      <c r="I5" s="171" t="s">
        <v>7419</v>
      </c>
      <c r="J5" t="s">
        <v>7419</v>
      </c>
      <c r="K5" s="171" t="s">
        <v>7420</v>
      </c>
      <c r="L5" t="s">
        <v>7420</v>
      </c>
      <c r="M5" s="171" t="s">
        <v>7419</v>
      </c>
      <c r="N5" t="s">
        <v>7419</v>
      </c>
      <c r="O5" s="171">
        <v>68.73</v>
      </c>
      <c r="P5">
        <v>68.73</v>
      </c>
      <c r="S5" s="171">
        <v>70</v>
      </c>
      <c r="T5">
        <v>70</v>
      </c>
      <c r="U5" s="171"/>
      <c r="W5" s="171">
        <v>70</v>
      </c>
      <c r="X5">
        <v>70</v>
      </c>
      <c r="Y5" s="171"/>
      <c r="AA5">
        <v>70</v>
      </c>
      <c r="AB5">
        <v>70</v>
      </c>
      <c r="AC5" s="171"/>
      <c r="AE5" s="171">
        <v>70</v>
      </c>
      <c r="AF5">
        <v>70</v>
      </c>
      <c r="AG5" s="171"/>
      <c r="AI5" s="171">
        <v>69.89</v>
      </c>
      <c r="AJ5">
        <v>70.13</v>
      </c>
      <c r="AK5" s="171"/>
      <c r="AM5" s="171">
        <v>70</v>
      </c>
      <c r="AN5">
        <v>70</v>
      </c>
      <c r="AO5" s="171"/>
      <c r="AQ5" s="171">
        <v>70</v>
      </c>
      <c r="AR5">
        <v>70</v>
      </c>
      <c r="AS5" s="171"/>
      <c r="AU5">
        <v>70</v>
      </c>
      <c r="AV5">
        <v>70</v>
      </c>
      <c r="AW5" s="171"/>
      <c r="AY5" s="171">
        <v>70</v>
      </c>
      <c r="AZ5">
        <v>70</v>
      </c>
      <c r="BA5" s="171"/>
      <c r="BC5" s="171">
        <v>70.12</v>
      </c>
      <c r="BD5">
        <v>70.12</v>
      </c>
      <c r="BE5" s="171"/>
      <c r="BG5" s="171">
        <v>69.89</v>
      </c>
      <c r="BH5">
        <v>70.13</v>
      </c>
      <c r="BI5" s="171"/>
      <c r="BK5" s="171">
        <v>70</v>
      </c>
      <c r="BL5">
        <v>70</v>
      </c>
      <c r="BM5" s="171"/>
      <c r="BO5" s="171">
        <v>70.13</v>
      </c>
      <c r="BP5">
        <v>70.13</v>
      </c>
      <c r="BQ5" s="171">
        <v>70</v>
      </c>
      <c r="BR5">
        <v>70</v>
      </c>
      <c r="BS5" s="171"/>
      <c r="BU5" s="171">
        <v>69.64</v>
      </c>
      <c r="BV5">
        <v>70.06</v>
      </c>
      <c r="BW5" s="171"/>
      <c r="BY5" s="171">
        <v>72.290000000000006</v>
      </c>
      <c r="BZ5">
        <v>72.290000000000006</v>
      </c>
      <c r="CA5" s="171">
        <v>69.959999999999994</v>
      </c>
      <c r="CB5">
        <v>69.959999999999994</v>
      </c>
      <c r="CC5" s="171">
        <v>70</v>
      </c>
      <c r="CD5">
        <v>70</v>
      </c>
      <c r="CG5">
        <v>70</v>
      </c>
      <c r="CH5">
        <v>70.12</v>
      </c>
      <c r="CK5">
        <v>70.12</v>
      </c>
      <c r="CL5">
        <v>70.12</v>
      </c>
      <c r="CO5">
        <v>70</v>
      </c>
      <c r="CP5">
        <v>70</v>
      </c>
      <c r="CS5">
        <v>69.87</v>
      </c>
      <c r="CT5">
        <v>69.87</v>
      </c>
      <c r="CW5">
        <v>69.89</v>
      </c>
      <c r="CX5">
        <v>70.13</v>
      </c>
      <c r="DA5">
        <v>69.888999999999996</v>
      </c>
      <c r="DB5">
        <v>70.125</v>
      </c>
    </row>
    <row r="6" spans="1:162">
      <c r="B6">
        <v>99</v>
      </c>
      <c r="C6">
        <v>69.13</v>
      </c>
      <c r="D6">
        <v>69.13</v>
      </c>
      <c r="E6" s="171"/>
      <c r="G6" s="171">
        <v>69.070000000000007</v>
      </c>
      <c r="H6">
        <v>69.37</v>
      </c>
      <c r="I6" s="171" t="s">
        <v>6639</v>
      </c>
      <c r="J6" t="s">
        <v>6639</v>
      </c>
      <c r="K6" s="171" t="s">
        <v>7421</v>
      </c>
      <c r="L6" t="s">
        <v>7421</v>
      </c>
      <c r="M6" s="171" t="s">
        <v>7422</v>
      </c>
      <c r="N6" t="s">
        <v>7422</v>
      </c>
      <c r="O6" s="171">
        <v>68.14</v>
      </c>
      <c r="P6">
        <v>68.14</v>
      </c>
      <c r="S6" s="171">
        <v>69.39</v>
      </c>
      <c r="T6">
        <v>69.39</v>
      </c>
      <c r="U6" s="171"/>
      <c r="W6" s="171">
        <v>69.400000000000006</v>
      </c>
      <c r="X6">
        <v>69.400000000000006</v>
      </c>
      <c r="Y6" s="171"/>
      <c r="AA6">
        <v>69.08</v>
      </c>
      <c r="AB6">
        <v>69.08</v>
      </c>
      <c r="AC6" s="171"/>
      <c r="AE6" s="171">
        <v>69.81</v>
      </c>
      <c r="AF6">
        <v>69.81</v>
      </c>
      <c r="AG6" s="171"/>
      <c r="AI6" s="171">
        <v>68.45</v>
      </c>
      <c r="AJ6">
        <v>68.84</v>
      </c>
      <c r="AK6" s="171"/>
      <c r="AM6" s="171">
        <v>69.069999999999993</v>
      </c>
      <c r="AN6">
        <v>69.069999999999993</v>
      </c>
      <c r="AO6" s="171"/>
      <c r="AQ6" s="171">
        <v>69.08</v>
      </c>
      <c r="AR6">
        <v>69.08</v>
      </c>
      <c r="AS6" s="171"/>
      <c r="AU6">
        <v>69.069999999999993</v>
      </c>
      <c r="AV6">
        <v>69.069999999999993</v>
      </c>
      <c r="AW6" s="171"/>
      <c r="AY6" s="171">
        <v>69.08</v>
      </c>
      <c r="AZ6">
        <v>69.08</v>
      </c>
      <c r="BA6" s="171"/>
      <c r="BC6" s="171">
        <v>69.180000000000007</v>
      </c>
      <c r="BD6">
        <v>69.180000000000007</v>
      </c>
      <c r="BE6" s="171"/>
      <c r="BG6" s="171">
        <v>68.81</v>
      </c>
      <c r="BH6">
        <v>69.38</v>
      </c>
      <c r="BI6" s="171"/>
      <c r="BK6" s="171">
        <v>69.08</v>
      </c>
      <c r="BL6">
        <v>69.08</v>
      </c>
      <c r="BM6" s="171"/>
      <c r="BO6" s="171">
        <v>69.38</v>
      </c>
      <c r="BP6">
        <v>69.38</v>
      </c>
      <c r="BQ6" s="171">
        <v>69.08</v>
      </c>
      <c r="BR6">
        <v>69.08</v>
      </c>
      <c r="BS6" s="171"/>
      <c r="BU6" s="171">
        <v>68.7</v>
      </c>
      <c r="BV6">
        <v>69.38</v>
      </c>
      <c r="BW6" s="171"/>
      <c r="BY6" s="171">
        <v>71</v>
      </c>
      <c r="BZ6">
        <v>71</v>
      </c>
      <c r="CA6" s="171">
        <v>68.819999999999993</v>
      </c>
      <c r="CB6">
        <v>68.819999999999993</v>
      </c>
      <c r="CC6" s="171">
        <v>69.08</v>
      </c>
      <c r="CD6">
        <v>69.08</v>
      </c>
      <c r="CG6">
        <v>69.070000000000007</v>
      </c>
      <c r="CH6">
        <v>69.37</v>
      </c>
      <c r="CK6">
        <v>69.180000000000007</v>
      </c>
      <c r="CL6">
        <v>69.180000000000007</v>
      </c>
      <c r="CO6">
        <v>68.78</v>
      </c>
      <c r="CP6">
        <v>68.78</v>
      </c>
      <c r="CS6">
        <v>69.12</v>
      </c>
      <c r="CT6">
        <v>69.12</v>
      </c>
      <c r="CW6">
        <v>68.81</v>
      </c>
      <c r="CX6">
        <v>69.38</v>
      </c>
      <c r="DA6">
        <v>68.814999999999998</v>
      </c>
      <c r="DB6">
        <v>69.375</v>
      </c>
    </row>
    <row r="7" spans="1:162">
      <c r="B7">
        <v>98</v>
      </c>
      <c r="C7">
        <v>68.09</v>
      </c>
      <c r="D7">
        <v>68.09</v>
      </c>
      <c r="E7" s="171"/>
      <c r="G7" s="171">
        <v>68.09</v>
      </c>
      <c r="H7">
        <v>68.540000000000006</v>
      </c>
      <c r="I7" s="171" t="s">
        <v>6678</v>
      </c>
      <c r="J7" t="s">
        <v>6678</v>
      </c>
      <c r="K7" s="171" t="s">
        <v>6722</v>
      </c>
      <c r="L7" t="s">
        <v>6722</v>
      </c>
      <c r="M7" s="171" t="s">
        <v>7423</v>
      </c>
      <c r="N7" t="s">
        <v>7423</v>
      </c>
      <c r="O7" s="171">
        <v>67.680000000000007</v>
      </c>
      <c r="P7">
        <v>67.680000000000007</v>
      </c>
      <c r="S7" s="171">
        <v>68.73</v>
      </c>
      <c r="T7">
        <v>68.73</v>
      </c>
      <c r="U7" s="171"/>
      <c r="W7" s="171">
        <v>68.84</v>
      </c>
      <c r="X7">
        <v>68.84</v>
      </c>
      <c r="Y7" s="171"/>
      <c r="AA7">
        <v>68.099999999999994</v>
      </c>
      <c r="AB7">
        <v>68.099999999999994</v>
      </c>
      <c r="AC7" s="171"/>
      <c r="AE7" s="171">
        <v>69.400000000000006</v>
      </c>
      <c r="AF7">
        <v>69.400000000000006</v>
      </c>
      <c r="AG7" s="171"/>
      <c r="AI7" s="171">
        <v>67.349999999999994</v>
      </c>
      <c r="AJ7">
        <v>67.92</v>
      </c>
      <c r="AK7" s="171"/>
      <c r="AM7" s="171">
        <v>68.09</v>
      </c>
      <c r="AN7">
        <v>68.09</v>
      </c>
      <c r="AO7" s="171"/>
      <c r="AQ7" s="171">
        <v>68.099999999999994</v>
      </c>
      <c r="AR7">
        <v>68.099999999999994</v>
      </c>
      <c r="AS7" s="171"/>
      <c r="AU7">
        <v>68.09</v>
      </c>
      <c r="AV7">
        <v>68.09</v>
      </c>
      <c r="AW7" s="171"/>
      <c r="AY7" s="171">
        <v>68.099999999999994</v>
      </c>
      <c r="AZ7">
        <v>68.099999999999994</v>
      </c>
      <c r="BA7" s="171"/>
      <c r="BC7" s="171">
        <v>68.09</v>
      </c>
      <c r="BD7">
        <v>68.09</v>
      </c>
      <c r="BE7" s="171"/>
      <c r="BG7" s="171">
        <v>67.7</v>
      </c>
      <c r="BH7">
        <v>68.540000000000006</v>
      </c>
      <c r="BI7" s="171"/>
      <c r="BK7" s="171">
        <v>68.099999999999994</v>
      </c>
      <c r="BL7">
        <v>68.099999999999994</v>
      </c>
      <c r="BM7" s="171"/>
      <c r="BO7" s="171">
        <v>68.540000000000006</v>
      </c>
      <c r="BP7">
        <v>68.540000000000006</v>
      </c>
      <c r="BQ7" s="171">
        <v>68.099999999999994</v>
      </c>
      <c r="BR7">
        <v>68.099999999999994</v>
      </c>
      <c r="BS7" s="171"/>
      <c r="BU7" s="171">
        <v>67.7</v>
      </c>
      <c r="BV7">
        <v>68.48</v>
      </c>
      <c r="BW7" s="171"/>
      <c r="BY7" s="171">
        <v>69.75</v>
      </c>
      <c r="BZ7">
        <v>69.75</v>
      </c>
      <c r="CA7" s="171">
        <v>67.89</v>
      </c>
      <c r="CB7">
        <v>67.89</v>
      </c>
      <c r="CC7" s="171">
        <v>68.099999999999994</v>
      </c>
      <c r="CD7">
        <v>68.099999999999994</v>
      </c>
      <c r="CG7">
        <v>68.09</v>
      </c>
      <c r="CH7">
        <v>68.540000000000006</v>
      </c>
      <c r="CK7">
        <v>68.09</v>
      </c>
      <c r="CL7">
        <v>68.09</v>
      </c>
      <c r="CO7">
        <v>68.099999999999994</v>
      </c>
      <c r="CP7">
        <v>68.099999999999994</v>
      </c>
      <c r="CS7">
        <v>68.06</v>
      </c>
      <c r="CT7">
        <v>68.06</v>
      </c>
      <c r="CW7">
        <v>67.7</v>
      </c>
      <c r="CX7">
        <v>68.540000000000006</v>
      </c>
      <c r="DA7">
        <v>67.703999999999994</v>
      </c>
      <c r="DB7">
        <v>68.542000000000002</v>
      </c>
    </row>
    <row r="8" spans="1:162">
      <c r="B8">
        <v>97</v>
      </c>
      <c r="C8">
        <v>67.36</v>
      </c>
      <c r="D8">
        <v>67.36</v>
      </c>
      <c r="E8" s="171"/>
      <c r="G8" s="171">
        <v>67.36</v>
      </c>
      <c r="H8">
        <v>67.77</v>
      </c>
      <c r="I8" s="171" t="s">
        <v>7424</v>
      </c>
      <c r="J8" t="s">
        <v>7424</v>
      </c>
      <c r="K8" s="171" t="s">
        <v>7425</v>
      </c>
      <c r="L8" t="s">
        <v>7425</v>
      </c>
      <c r="M8" s="171" t="s">
        <v>6701</v>
      </c>
      <c r="N8" t="s">
        <v>6701</v>
      </c>
      <c r="O8" s="171">
        <v>67.11</v>
      </c>
      <c r="P8">
        <v>67.11</v>
      </c>
      <c r="S8" s="171">
        <v>68.239999999999995</v>
      </c>
      <c r="T8">
        <v>68.239999999999995</v>
      </c>
      <c r="U8" s="171"/>
      <c r="W8" s="171">
        <v>68.319999999999993</v>
      </c>
      <c r="X8">
        <v>68.319999999999993</v>
      </c>
      <c r="Y8" s="171"/>
      <c r="AA8">
        <v>67.36</v>
      </c>
      <c r="AB8">
        <v>67.36</v>
      </c>
      <c r="AC8" s="171"/>
      <c r="AE8" s="171">
        <v>69.02</v>
      </c>
      <c r="AF8">
        <v>69.02</v>
      </c>
      <c r="AG8" s="171"/>
      <c r="AI8" s="171">
        <v>66.650000000000006</v>
      </c>
      <c r="AJ8">
        <v>67.13</v>
      </c>
      <c r="AK8" s="171"/>
      <c r="AM8" s="171">
        <v>67.36</v>
      </c>
      <c r="AN8">
        <v>67.36</v>
      </c>
      <c r="AO8" s="171"/>
      <c r="AQ8" s="171">
        <v>67.36</v>
      </c>
      <c r="AR8">
        <v>67.36</v>
      </c>
      <c r="AS8" s="171"/>
      <c r="AU8">
        <v>67.36</v>
      </c>
      <c r="AV8">
        <v>67.36</v>
      </c>
      <c r="AW8" s="171"/>
      <c r="AY8" s="171">
        <v>67.36</v>
      </c>
      <c r="AZ8">
        <v>67.36</v>
      </c>
      <c r="BA8" s="171"/>
      <c r="BC8" s="171">
        <v>67.36</v>
      </c>
      <c r="BD8">
        <v>67.36</v>
      </c>
      <c r="BE8" s="171"/>
      <c r="BG8" s="171">
        <v>67</v>
      </c>
      <c r="BH8">
        <v>67.77</v>
      </c>
      <c r="BI8" s="171"/>
      <c r="BK8" s="171">
        <v>67.36</v>
      </c>
      <c r="BL8">
        <v>67.36</v>
      </c>
      <c r="BM8" s="171"/>
      <c r="BO8" s="171">
        <v>67.77</v>
      </c>
      <c r="BP8">
        <v>67.77</v>
      </c>
      <c r="BQ8" s="171">
        <v>67.36</v>
      </c>
      <c r="BR8">
        <v>67.36</v>
      </c>
      <c r="BS8" s="171"/>
      <c r="BU8" s="171">
        <v>67</v>
      </c>
      <c r="BV8">
        <v>67.709999999999994</v>
      </c>
      <c r="BW8" s="171"/>
      <c r="BY8" s="171">
        <v>68.63</v>
      </c>
      <c r="BZ8">
        <v>68.63</v>
      </c>
      <c r="CA8" s="171">
        <v>67.13</v>
      </c>
      <c r="CB8">
        <v>67.13</v>
      </c>
      <c r="CC8" s="171">
        <v>67.36</v>
      </c>
      <c r="CD8">
        <v>67.36</v>
      </c>
      <c r="CG8">
        <v>67.36</v>
      </c>
      <c r="CH8">
        <v>67.77</v>
      </c>
      <c r="CK8">
        <v>67.36</v>
      </c>
      <c r="CL8">
        <v>67.36</v>
      </c>
      <c r="CO8">
        <v>67.36</v>
      </c>
      <c r="CP8">
        <v>67.36</v>
      </c>
      <c r="CS8">
        <v>67.39</v>
      </c>
      <c r="CT8">
        <v>67.39</v>
      </c>
      <c r="CW8">
        <v>67</v>
      </c>
      <c r="CX8">
        <v>67.77</v>
      </c>
      <c r="DA8">
        <v>67</v>
      </c>
      <c r="DB8">
        <v>67.771000000000001</v>
      </c>
    </row>
    <row r="9" spans="1:162">
      <c r="B9">
        <v>96</v>
      </c>
      <c r="C9">
        <v>66.760000000000005</v>
      </c>
      <c r="D9">
        <v>66.760000000000005</v>
      </c>
      <c r="E9" s="171"/>
      <c r="G9" s="171">
        <v>66.69</v>
      </c>
      <c r="H9">
        <v>66.960000000000008</v>
      </c>
      <c r="I9" s="171" t="s">
        <v>6703</v>
      </c>
      <c r="J9" t="s">
        <v>6703</v>
      </c>
      <c r="K9" s="171" t="s">
        <v>7426</v>
      </c>
      <c r="L9" t="s">
        <v>7426</v>
      </c>
      <c r="M9" s="171" t="s">
        <v>7427</v>
      </c>
      <c r="N9" t="s">
        <v>7427</v>
      </c>
      <c r="O9" s="171">
        <v>66.63</v>
      </c>
      <c r="P9">
        <v>66.63</v>
      </c>
      <c r="S9" s="171">
        <v>67.790000000000006</v>
      </c>
      <c r="T9">
        <v>67.790000000000006</v>
      </c>
      <c r="U9" s="171"/>
      <c r="W9" s="171">
        <v>67.81</v>
      </c>
      <c r="X9">
        <v>67.81</v>
      </c>
      <c r="Y9" s="171"/>
      <c r="AA9">
        <v>66.69</v>
      </c>
      <c r="AB9">
        <v>66.69</v>
      </c>
      <c r="AC9" s="171"/>
      <c r="AE9" s="171">
        <v>68.59</v>
      </c>
      <c r="AF9">
        <v>68.59</v>
      </c>
      <c r="AG9" s="171"/>
      <c r="AI9" s="171">
        <v>66.099999999999994</v>
      </c>
      <c r="AJ9">
        <v>66.33</v>
      </c>
      <c r="AK9" s="171"/>
      <c r="AM9" s="171">
        <v>66.69</v>
      </c>
      <c r="AN9">
        <v>66.69</v>
      </c>
      <c r="AO9" s="171"/>
      <c r="AQ9" s="171">
        <v>66.69</v>
      </c>
      <c r="AR9">
        <v>66.69</v>
      </c>
      <c r="AS9" s="171"/>
      <c r="AU9">
        <v>66.69</v>
      </c>
      <c r="AV9">
        <v>66.69</v>
      </c>
      <c r="AW9" s="171"/>
      <c r="AY9" s="171">
        <v>66.69</v>
      </c>
      <c r="AZ9">
        <v>66.69</v>
      </c>
      <c r="BA9" s="171"/>
      <c r="BC9" s="171">
        <v>66.760000000000005</v>
      </c>
      <c r="BD9">
        <v>66.760000000000005</v>
      </c>
      <c r="BE9" s="171"/>
      <c r="BG9" s="171">
        <v>66.44</v>
      </c>
      <c r="BH9">
        <v>66.97</v>
      </c>
      <c r="BI9" s="171"/>
      <c r="BK9" s="171">
        <v>66.69</v>
      </c>
      <c r="BL9">
        <v>66.69</v>
      </c>
      <c r="BM9" s="171"/>
      <c r="BO9" s="171">
        <v>66.97</v>
      </c>
      <c r="BP9">
        <v>66.97</v>
      </c>
      <c r="BQ9" s="171">
        <v>66.69</v>
      </c>
      <c r="BR9">
        <v>66.69</v>
      </c>
      <c r="BS9" s="171"/>
      <c r="BU9" s="171">
        <v>66.44</v>
      </c>
      <c r="BV9">
        <v>66.91</v>
      </c>
      <c r="BW9" s="171"/>
      <c r="BY9" s="171">
        <v>68.06</v>
      </c>
      <c r="BZ9">
        <v>68.06</v>
      </c>
      <c r="CA9" s="171">
        <v>66.63</v>
      </c>
      <c r="CB9">
        <v>66.63</v>
      </c>
      <c r="CC9" s="171">
        <v>66.69</v>
      </c>
      <c r="CD9">
        <v>66.69</v>
      </c>
      <c r="CG9">
        <v>66.69</v>
      </c>
      <c r="CH9">
        <v>66.960000000000008</v>
      </c>
      <c r="CK9">
        <v>66.760000000000005</v>
      </c>
      <c r="CL9">
        <v>66.760000000000005</v>
      </c>
      <c r="CO9">
        <v>66.69</v>
      </c>
      <c r="CP9">
        <v>66.69</v>
      </c>
      <c r="CS9">
        <v>66.849999999999994</v>
      </c>
      <c r="CT9">
        <v>66.849999999999994</v>
      </c>
      <c r="CW9">
        <v>66.44</v>
      </c>
      <c r="CX9">
        <v>66.97</v>
      </c>
      <c r="DA9">
        <v>66.444000000000003</v>
      </c>
      <c r="DB9">
        <v>66.968999999999994</v>
      </c>
    </row>
    <row r="10" spans="1:162">
      <c r="B10">
        <v>95</v>
      </c>
      <c r="C10">
        <v>66.16</v>
      </c>
      <c r="D10">
        <v>66.16</v>
      </c>
      <c r="E10" s="171"/>
      <c r="G10" s="171">
        <v>66.040000000000006</v>
      </c>
      <c r="H10">
        <v>66.25</v>
      </c>
      <c r="I10" s="171" t="s">
        <v>7428</v>
      </c>
      <c r="J10" t="s">
        <v>7428</v>
      </c>
      <c r="K10" s="171" t="s">
        <v>7429</v>
      </c>
      <c r="L10" t="s">
        <v>7429</v>
      </c>
      <c r="M10" s="171" t="s">
        <v>7430</v>
      </c>
      <c r="N10" t="s">
        <v>7430</v>
      </c>
      <c r="O10" s="171">
        <v>66.02</v>
      </c>
      <c r="P10">
        <v>66.02</v>
      </c>
      <c r="S10" s="171">
        <v>67.37</v>
      </c>
      <c r="T10">
        <v>67.37</v>
      </c>
      <c r="U10" s="171"/>
      <c r="W10" s="171">
        <v>67.25</v>
      </c>
      <c r="X10">
        <v>67.25</v>
      </c>
      <c r="Y10" s="171"/>
      <c r="AA10">
        <v>66.05</v>
      </c>
      <c r="AB10">
        <v>66.05</v>
      </c>
      <c r="AC10" s="171"/>
      <c r="AE10" s="171">
        <v>68.25</v>
      </c>
      <c r="AF10">
        <v>68.25</v>
      </c>
      <c r="AG10" s="171"/>
      <c r="AI10" s="171">
        <v>65.52</v>
      </c>
      <c r="AJ10">
        <v>65.62</v>
      </c>
      <c r="AK10" s="171"/>
      <c r="AM10" s="171">
        <v>66.040000000000006</v>
      </c>
      <c r="AN10">
        <v>66.040000000000006</v>
      </c>
      <c r="AO10" s="171"/>
      <c r="AQ10" s="171">
        <v>66.05</v>
      </c>
      <c r="AR10">
        <v>66.05</v>
      </c>
      <c r="AS10" s="171"/>
      <c r="AU10">
        <v>66.040000000000006</v>
      </c>
      <c r="AV10">
        <v>66.040000000000006</v>
      </c>
      <c r="AW10" s="171"/>
      <c r="AY10" s="171">
        <v>66.05</v>
      </c>
      <c r="AZ10">
        <v>66.05</v>
      </c>
      <c r="BA10" s="171"/>
      <c r="BC10" s="171">
        <v>66.16</v>
      </c>
      <c r="BD10">
        <v>66.16</v>
      </c>
      <c r="BE10" s="171"/>
      <c r="BG10" s="171">
        <v>65.87</v>
      </c>
      <c r="BH10">
        <v>66.25</v>
      </c>
      <c r="BI10" s="171"/>
      <c r="BK10" s="171">
        <v>66.05</v>
      </c>
      <c r="BL10">
        <v>66.05</v>
      </c>
      <c r="BM10" s="171"/>
      <c r="BO10" s="171">
        <v>66.25</v>
      </c>
      <c r="BP10">
        <v>66.25</v>
      </c>
      <c r="BQ10" s="171">
        <v>66.05</v>
      </c>
      <c r="BR10">
        <v>66.05</v>
      </c>
      <c r="BS10" s="171"/>
      <c r="BU10" s="171">
        <v>65.87</v>
      </c>
      <c r="BV10">
        <v>66.22</v>
      </c>
      <c r="BW10" s="171"/>
      <c r="BY10" s="171">
        <v>67.31</v>
      </c>
      <c r="BZ10">
        <v>67.31</v>
      </c>
      <c r="CA10" s="171">
        <v>66</v>
      </c>
      <c r="CB10">
        <v>66</v>
      </c>
      <c r="CC10" s="171">
        <v>66.05</v>
      </c>
      <c r="CD10">
        <v>66.05</v>
      </c>
      <c r="CG10">
        <v>66.040000000000006</v>
      </c>
      <c r="CH10">
        <v>66.25</v>
      </c>
      <c r="CK10">
        <v>66.16</v>
      </c>
      <c r="CL10">
        <v>66.16</v>
      </c>
      <c r="CO10">
        <v>66.05</v>
      </c>
      <c r="CP10">
        <v>66.05</v>
      </c>
      <c r="CS10">
        <v>66.2</v>
      </c>
      <c r="CT10">
        <v>66.2</v>
      </c>
      <c r="CW10">
        <v>65.87</v>
      </c>
      <c r="CX10">
        <v>66.25</v>
      </c>
      <c r="DA10">
        <v>65.87</v>
      </c>
      <c r="DB10">
        <v>66.25</v>
      </c>
    </row>
    <row r="11" spans="1:162">
      <c r="B11">
        <v>94</v>
      </c>
      <c r="C11">
        <v>65.66</v>
      </c>
      <c r="D11">
        <v>65.66</v>
      </c>
      <c r="E11" s="171"/>
      <c r="G11" s="171">
        <v>65.510000000000005</v>
      </c>
      <c r="H11">
        <v>65.650000000000006</v>
      </c>
      <c r="I11" s="171" t="s">
        <v>7431</v>
      </c>
      <c r="J11" t="s">
        <v>7431</v>
      </c>
      <c r="K11" s="171" t="s">
        <v>7432</v>
      </c>
      <c r="L11" t="s">
        <v>7432</v>
      </c>
      <c r="M11" s="171" t="s">
        <v>7433</v>
      </c>
      <c r="N11" t="s">
        <v>7433</v>
      </c>
      <c r="O11" s="171">
        <v>65.790000000000006</v>
      </c>
      <c r="P11">
        <v>65.790000000000006</v>
      </c>
      <c r="S11" s="171">
        <v>67.010000000000005</v>
      </c>
      <c r="T11">
        <v>67.010000000000005</v>
      </c>
      <c r="U11" s="171"/>
      <c r="W11" s="171">
        <v>66.900000000000006</v>
      </c>
      <c r="X11">
        <v>66.900000000000006</v>
      </c>
      <c r="Y11" s="171"/>
      <c r="AA11">
        <v>65.510000000000005</v>
      </c>
      <c r="AB11">
        <v>65.510000000000005</v>
      </c>
      <c r="AC11" s="171"/>
      <c r="AE11" s="171">
        <v>67.849999999999994</v>
      </c>
      <c r="AF11">
        <v>67.849999999999994</v>
      </c>
      <c r="AG11" s="171"/>
      <c r="AI11" s="171">
        <v>65.05</v>
      </c>
      <c r="AJ11">
        <v>65.03</v>
      </c>
      <c r="AK11" s="171"/>
      <c r="AM11" s="171">
        <v>65.510000000000005</v>
      </c>
      <c r="AN11">
        <v>65.510000000000005</v>
      </c>
      <c r="AO11" s="171"/>
      <c r="AQ11" s="171">
        <v>65.52</v>
      </c>
      <c r="AR11">
        <v>65.52</v>
      </c>
      <c r="AS11" s="171"/>
      <c r="AU11">
        <v>65.510000000000005</v>
      </c>
      <c r="AV11">
        <v>65.510000000000005</v>
      </c>
      <c r="AW11" s="171"/>
      <c r="AY11" s="171">
        <v>65.52</v>
      </c>
      <c r="AZ11">
        <v>65.52</v>
      </c>
      <c r="BA11" s="171"/>
      <c r="BC11" s="171">
        <v>65.66</v>
      </c>
      <c r="BD11">
        <v>65.66</v>
      </c>
      <c r="BE11" s="171"/>
      <c r="BG11" s="171">
        <v>65.39</v>
      </c>
      <c r="BH11">
        <v>65.66</v>
      </c>
      <c r="BI11" s="171"/>
      <c r="BK11" s="171">
        <v>65.510000000000005</v>
      </c>
      <c r="BL11">
        <v>65.510000000000005</v>
      </c>
      <c r="BM11" s="171"/>
      <c r="BO11" s="171">
        <v>65.66</v>
      </c>
      <c r="BP11">
        <v>65.66</v>
      </c>
      <c r="BQ11" s="171">
        <v>65.52</v>
      </c>
      <c r="BR11">
        <v>65.52</v>
      </c>
      <c r="BS11" s="171"/>
      <c r="BU11" s="171">
        <v>65.39</v>
      </c>
      <c r="BV11">
        <v>65.66</v>
      </c>
      <c r="BW11" s="171"/>
      <c r="BY11" s="171">
        <v>66.63</v>
      </c>
      <c r="BZ11">
        <v>66.63</v>
      </c>
      <c r="CA11" s="171">
        <v>65.510000000000005</v>
      </c>
      <c r="CB11">
        <v>65.510000000000005</v>
      </c>
      <c r="CC11" s="171">
        <v>65.52</v>
      </c>
      <c r="CD11">
        <v>65.52</v>
      </c>
      <c r="CG11">
        <v>65.510000000000005</v>
      </c>
      <c r="CH11">
        <v>65.650000000000006</v>
      </c>
      <c r="CK11">
        <v>65.66</v>
      </c>
      <c r="CL11">
        <v>65.66</v>
      </c>
      <c r="CO11">
        <v>65.52</v>
      </c>
      <c r="CP11">
        <v>65.52</v>
      </c>
      <c r="CS11">
        <v>65.78</v>
      </c>
      <c r="CT11">
        <v>65.78</v>
      </c>
      <c r="CW11">
        <v>65.39</v>
      </c>
      <c r="CX11">
        <v>65.66</v>
      </c>
      <c r="DA11">
        <v>65.388999999999996</v>
      </c>
      <c r="DB11">
        <v>65.656000000000006</v>
      </c>
    </row>
    <row r="12" spans="1:162">
      <c r="B12">
        <v>93</v>
      </c>
      <c r="C12">
        <v>65.19</v>
      </c>
      <c r="D12">
        <v>65.19</v>
      </c>
      <c r="E12" s="171"/>
      <c r="G12" s="171">
        <v>65.06</v>
      </c>
      <c r="H12">
        <v>65.17</v>
      </c>
      <c r="I12" s="171" t="s">
        <v>6732</v>
      </c>
      <c r="J12" t="s">
        <v>6732</v>
      </c>
      <c r="K12" s="171" t="s">
        <v>6815</v>
      </c>
      <c r="L12" t="s">
        <v>6815</v>
      </c>
      <c r="M12" s="171" t="s">
        <v>7434</v>
      </c>
      <c r="N12" t="s">
        <v>7434</v>
      </c>
      <c r="O12" s="171">
        <v>65.52</v>
      </c>
      <c r="P12">
        <v>65.52</v>
      </c>
      <c r="S12" s="171">
        <v>66.709999999999994</v>
      </c>
      <c r="T12">
        <v>66.709999999999994</v>
      </c>
      <c r="U12" s="171"/>
      <c r="W12" s="171">
        <v>66.5</v>
      </c>
      <c r="X12">
        <v>66.5</v>
      </c>
      <c r="Y12" s="171"/>
      <c r="AA12">
        <v>65.069999999999993</v>
      </c>
      <c r="AB12">
        <v>65.069999999999993</v>
      </c>
      <c r="AC12" s="171"/>
      <c r="AE12" s="171">
        <v>67.260000000000005</v>
      </c>
      <c r="AF12">
        <v>67.260000000000005</v>
      </c>
      <c r="AG12" s="171"/>
      <c r="AI12" s="171">
        <v>64.63</v>
      </c>
      <c r="AJ12">
        <v>64.56</v>
      </c>
      <c r="AK12" s="171"/>
      <c r="AM12" s="171">
        <v>65.06</v>
      </c>
      <c r="AN12">
        <v>65.06</v>
      </c>
      <c r="AO12" s="171"/>
      <c r="AQ12" s="171">
        <v>65.069999999999993</v>
      </c>
      <c r="AR12">
        <v>65.069999999999993</v>
      </c>
      <c r="AS12" s="171"/>
      <c r="AU12">
        <v>65.06</v>
      </c>
      <c r="AV12">
        <v>65.06</v>
      </c>
      <c r="AW12" s="171"/>
      <c r="AY12" s="171">
        <v>65.069999999999993</v>
      </c>
      <c r="AZ12">
        <v>65.069999999999993</v>
      </c>
      <c r="BA12" s="171"/>
      <c r="BC12" s="171">
        <v>65.19</v>
      </c>
      <c r="BD12">
        <v>65.19</v>
      </c>
      <c r="BE12" s="171"/>
      <c r="BG12" s="171">
        <v>64.97</v>
      </c>
      <c r="BH12">
        <v>65.180000000000007</v>
      </c>
      <c r="BI12" s="171"/>
      <c r="BK12" s="171">
        <v>65.069999999999993</v>
      </c>
      <c r="BL12">
        <v>65.069999999999993</v>
      </c>
      <c r="BM12" s="171"/>
      <c r="BO12" s="171">
        <v>65.180000000000007</v>
      </c>
      <c r="BP12">
        <v>65.180000000000007</v>
      </c>
      <c r="BQ12" s="171">
        <v>65.069999999999993</v>
      </c>
      <c r="BR12">
        <v>65.069999999999993</v>
      </c>
      <c r="BS12" s="171"/>
      <c r="BU12" s="171">
        <v>64.97</v>
      </c>
      <c r="BV12">
        <v>65.180000000000007</v>
      </c>
      <c r="BW12" s="171"/>
      <c r="BY12" s="171">
        <v>66.25</v>
      </c>
      <c r="BZ12">
        <v>66.25</v>
      </c>
      <c r="CA12" s="171">
        <v>65.19</v>
      </c>
      <c r="CB12">
        <v>65.19</v>
      </c>
      <c r="CC12" s="171">
        <v>65.069999999999993</v>
      </c>
      <c r="CD12">
        <v>65.069999999999993</v>
      </c>
      <c r="CG12">
        <v>65.06</v>
      </c>
      <c r="CH12">
        <v>65.17</v>
      </c>
      <c r="CK12">
        <v>65.19</v>
      </c>
      <c r="CL12">
        <v>65.19</v>
      </c>
      <c r="CO12">
        <v>65.069999999999993</v>
      </c>
      <c r="CP12">
        <v>65.069999999999993</v>
      </c>
      <c r="CS12">
        <v>65.349999999999994</v>
      </c>
      <c r="CT12">
        <v>65.349999999999994</v>
      </c>
      <c r="CW12">
        <v>64.97</v>
      </c>
      <c r="CX12">
        <v>65.180000000000007</v>
      </c>
      <c r="DA12">
        <v>64.971999999999994</v>
      </c>
      <c r="DB12">
        <v>65.177000000000007</v>
      </c>
    </row>
    <row r="13" spans="1:162">
      <c r="B13">
        <v>92</v>
      </c>
      <c r="C13">
        <v>64.739999999999995</v>
      </c>
      <c r="D13">
        <v>64.739999999999995</v>
      </c>
      <c r="E13" s="171"/>
      <c r="G13" s="171">
        <v>64.53</v>
      </c>
      <c r="H13">
        <v>64.7</v>
      </c>
      <c r="I13" s="171" t="s">
        <v>7435</v>
      </c>
      <c r="J13" t="s">
        <v>7435</v>
      </c>
      <c r="K13" s="171" t="s">
        <v>6836</v>
      </c>
      <c r="L13" t="s">
        <v>6836</v>
      </c>
      <c r="M13" s="171" t="s">
        <v>6799</v>
      </c>
      <c r="N13" t="s">
        <v>6799</v>
      </c>
      <c r="O13" s="171">
        <v>65.33</v>
      </c>
      <c r="P13">
        <v>65.33</v>
      </c>
      <c r="S13" s="171">
        <v>66.36</v>
      </c>
      <c r="T13">
        <v>66.36</v>
      </c>
      <c r="U13" s="171"/>
      <c r="W13" s="171">
        <v>66.12</v>
      </c>
      <c r="X13">
        <v>66.12</v>
      </c>
      <c r="Y13" s="171"/>
      <c r="AA13">
        <v>64.540000000000006</v>
      </c>
      <c r="AB13">
        <v>64.540000000000006</v>
      </c>
      <c r="AC13" s="171"/>
      <c r="AE13" s="171">
        <v>67.010000000000005</v>
      </c>
      <c r="AF13">
        <v>67.010000000000005</v>
      </c>
      <c r="AG13" s="171"/>
      <c r="AI13" s="171">
        <v>64.05</v>
      </c>
      <c r="AJ13">
        <v>64.09</v>
      </c>
      <c r="AK13" s="171"/>
      <c r="AM13" s="171">
        <v>64.53</v>
      </c>
      <c r="AN13">
        <v>64.53</v>
      </c>
      <c r="AO13" s="171"/>
      <c r="AQ13" s="171">
        <v>64.540000000000006</v>
      </c>
      <c r="AR13">
        <v>64.540000000000006</v>
      </c>
      <c r="AS13" s="171"/>
      <c r="AU13">
        <v>64.53</v>
      </c>
      <c r="AV13">
        <v>64.53</v>
      </c>
      <c r="AW13" s="171"/>
      <c r="AY13" s="171">
        <v>64.540000000000006</v>
      </c>
      <c r="AZ13">
        <v>64.540000000000006</v>
      </c>
      <c r="BA13" s="171"/>
      <c r="BC13" s="171">
        <v>64.739999999999995</v>
      </c>
      <c r="BD13">
        <v>64.739999999999995</v>
      </c>
      <c r="BE13" s="171"/>
      <c r="BG13" s="171">
        <v>64.39</v>
      </c>
      <c r="BH13">
        <v>64.709999999999994</v>
      </c>
      <c r="BI13" s="171"/>
      <c r="BK13" s="171">
        <v>64.540000000000006</v>
      </c>
      <c r="BL13">
        <v>64.540000000000006</v>
      </c>
      <c r="BM13" s="171"/>
      <c r="BO13" s="171">
        <v>64.709999999999994</v>
      </c>
      <c r="BP13">
        <v>64.709999999999994</v>
      </c>
      <c r="BQ13" s="171">
        <v>64.540000000000006</v>
      </c>
      <c r="BR13">
        <v>64.540000000000006</v>
      </c>
      <c r="BS13" s="171"/>
      <c r="BU13" s="171">
        <v>64.39</v>
      </c>
      <c r="BV13">
        <v>64.709999999999994</v>
      </c>
      <c r="BW13" s="171"/>
      <c r="BY13" s="171">
        <v>65.36</v>
      </c>
      <c r="BZ13">
        <v>65.36</v>
      </c>
      <c r="CA13" s="171">
        <v>64.59</v>
      </c>
      <c r="CB13">
        <v>64.59</v>
      </c>
      <c r="CC13" s="171">
        <v>64.540000000000006</v>
      </c>
      <c r="CD13">
        <v>64.540000000000006</v>
      </c>
      <c r="CG13">
        <v>64.53</v>
      </c>
      <c r="CH13">
        <v>64.7</v>
      </c>
      <c r="CK13">
        <v>64.739999999999995</v>
      </c>
      <c r="CL13">
        <v>64.739999999999995</v>
      </c>
      <c r="CO13">
        <v>64.540000000000006</v>
      </c>
      <c r="CP13">
        <v>64.540000000000006</v>
      </c>
      <c r="CS13">
        <v>64.86</v>
      </c>
      <c r="CT13">
        <v>64.86</v>
      </c>
      <c r="CW13">
        <v>64.39</v>
      </c>
      <c r="CX13">
        <v>64.709999999999994</v>
      </c>
      <c r="DA13">
        <v>64.388999999999996</v>
      </c>
      <c r="DB13">
        <v>64.707999999999998</v>
      </c>
    </row>
    <row r="14" spans="1:162">
      <c r="B14">
        <v>91</v>
      </c>
      <c r="C14">
        <v>64.349999999999994</v>
      </c>
      <c r="D14">
        <v>64.349999999999994</v>
      </c>
      <c r="E14" s="171"/>
      <c r="G14" s="171">
        <v>64.17</v>
      </c>
      <c r="H14">
        <v>64.33</v>
      </c>
      <c r="I14" s="171" t="s">
        <v>7436</v>
      </c>
      <c r="J14" t="s">
        <v>7436</v>
      </c>
      <c r="K14" s="171" t="s">
        <v>7437</v>
      </c>
      <c r="L14" t="s">
        <v>7437</v>
      </c>
      <c r="M14" s="171" t="s">
        <v>6758</v>
      </c>
      <c r="N14" t="s">
        <v>6758</v>
      </c>
      <c r="O14" s="171">
        <v>65.02</v>
      </c>
      <c r="P14">
        <v>65.02</v>
      </c>
      <c r="S14" s="171">
        <v>66.12</v>
      </c>
      <c r="T14">
        <v>66.12</v>
      </c>
      <c r="U14" s="171"/>
      <c r="W14" s="171">
        <v>65.84</v>
      </c>
      <c r="X14">
        <v>65.84</v>
      </c>
      <c r="Y14" s="171"/>
      <c r="AA14">
        <v>64.180000000000007</v>
      </c>
      <c r="AB14">
        <v>64.180000000000007</v>
      </c>
      <c r="AC14" s="171"/>
      <c r="AE14" s="171">
        <v>66.540000000000006</v>
      </c>
      <c r="AF14">
        <v>66.540000000000006</v>
      </c>
      <c r="AG14" s="171"/>
      <c r="AI14" s="171">
        <v>63.7</v>
      </c>
      <c r="AJ14">
        <v>63.72</v>
      </c>
      <c r="AK14" s="171"/>
      <c r="AM14" s="171">
        <v>64.17</v>
      </c>
      <c r="AN14">
        <v>64.17</v>
      </c>
      <c r="AO14" s="171"/>
      <c r="AQ14" s="171">
        <v>64.180000000000007</v>
      </c>
      <c r="AR14">
        <v>64.180000000000007</v>
      </c>
      <c r="AS14" s="171"/>
      <c r="AU14">
        <v>64.17</v>
      </c>
      <c r="AV14">
        <v>64.17</v>
      </c>
      <c r="AW14" s="171"/>
      <c r="AY14" s="171">
        <v>64.180000000000007</v>
      </c>
      <c r="AZ14">
        <v>64.180000000000007</v>
      </c>
      <c r="BA14" s="171"/>
      <c r="BC14" s="171">
        <v>64.349999999999994</v>
      </c>
      <c r="BD14">
        <v>64.349999999999994</v>
      </c>
      <c r="BE14" s="171"/>
      <c r="BG14" s="171">
        <v>64.040000000000006</v>
      </c>
      <c r="BH14">
        <v>64.33</v>
      </c>
      <c r="BI14" s="171"/>
      <c r="BK14" s="171">
        <v>64.180000000000007</v>
      </c>
      <c r="BL14">
        <v>64.180000000000007</v>
      </c>
      <c r="BM14" s="171"/>
      <c r="BO14" s="171">
        <v>64.33</v>
      </c>
      <c r="BP14">
        <v>64.33</v>
      </c>
      <c r="BQ14" s="171">
        <v>64.180000000000007</v>
      </c>
      <c r="BR14">
        <v>64.180000000000007</v>
      </c>
      <c r="BS14" s="171"/>
      <c r="BU14" s="171">
        <v>64.040000000000006</v>
      </c>
      <c r="BV14">
        <v>64.33</v>
      </c>
      <c r="BW14" s="171"/>
      <c r="BY14" s="171">
        <v>64.790000000000006</v>
      </c>
      <c r="BZ14">
        <v>64.790000000000006</v>
      </c>
      <c r="CA14" s="171">
        <v>64.180000000000007</v>
      </c>
      <c r="CB14">
        <v>64.180000000000007</v>
      </c>
      <c r="CC14" s="171">
        <v>64.180000000000007</v>
      </c>
      <c r="CD14">
        <v>64.180000000000007</v>
      </c>
      <c r="CG14">
        <v>64.17</v>
      </c>
      <c r="CH14">
        <v>64.33</v>
      </c>
      <c r="CK14">
        <v>64.349999999999994</v>
      </c>
      <c r="CL14">
        <v>64.349999999999994</v>
      </c>
      <c r="CO14">
        <v>64.180000000000007</v>
      </c>
      <c r="CP14">
        <v>64.180000000000007</v>
      </c>
      <c r="CS14">
        <v>64.459999999999994</v>
      </c>
      <c r="CT14">
        <v>64.459999999999994</v>
      </c>
      <c r="CW14">
        <v>64.040000000000006</v>
      </c>
      <c r="CX14">
        <v>64.33</v>
      </c>
      <c r="DA14">
        <v>64.037000000000006</v>
      </c>
      <c r="DB14">
        <v>64.332999999999998</v>
      </c>
    </row>
    <row r="15" spans="1:162">
      <c r="B15">
        <v>90</v>
      </c>
      <c r="C15">
        <v>63.97</v>
      </c>
      <c r="D15">
        <v>63.97</v>
      </c>
      <c r="E15" s="171"/>
      <c r="G15" s="171">
        <v>63.82</v>
      </c>
      <c r="H15">
        <v>63.97</v>
      </c>
      <c r="I15" s="171" t="s">
        <v>7438</v>
      </c>
      <c r="J15" t="s">
        <v>7438</v>
      </c>
      <c r="K15" s="171" t="s">
        <v>7439</v>
      </c>
      <c r="L15" t="s">
        <v>7439</v>
      </c>
      <c r="M15" s="171" t="s">
        <v>6840</v>
      </c>
      <c r="N15" t="s">
        <v>6840</v>
      </c>
      <c r="O15" s="171">
        <v>64.77</v>
      </c>
      <c r="P15">
        <v>64.77</v>
      </c>
      <c r="S15" s="171">
        <v>65.88</v>
      </c>
      <c r="T15">
        <v>65.88</v>
      </c>
      <c r="U15" s="171"/>
      <c r="W15" s="171">
        <v>65.55</v>
      </c>
      <c r="X15">
        <v>65.55</v>
      </c>
      <c r="Y15" s="171"/>
      <c r="AA15">
        <v>63.82</v>
      </c>
      <c r="AB15">
        <v>63.82</v>
      </c>
      <c r="AC15" s="171"/>
      <c r="AE15" s="171">
        <v>66.33</v>
      </c>
      <c r="AF15">
        <v>66.33</v>
      </c>
      <c r="AG15" s="171"/>
      <c r="AI15" s="171">
        <v>63.35</v>
      </c>
      <c r="AJ15">
        <v>63.37</v>
      </c>
      <c r="AK15" s="171"/>
      <c r="AM15" s="171">
        <v>63.82</v>
      </c>
      <c r="AN15">
        <v>63.82</v>
      </c>
      <c r="AO15" s="171"/>
      <c r="AQ15" s="171">
        <v>63.82</v>
      </c>
      <c r="AR15">
        <v>63.82</v>
      </c>
      <c r="AS15" s="171"/>
      <c r="AU15">
        <v>63.82</v>
      </c>
      <c r="AV15">
        <v>63.82</v>
      </c>
      <c r="AW15" s="171"/>
      <c r="AY15" s="171">
        <v>63.82</v>
      </c>
      <c r="AZ15">
        <v>63.82</v>
      </c>
      <c r="BA15" s="171"/>
      <c r="BC15" s="171">
        <v>63.97</v>
      </c>
      <c r="BD15">
        <v>63.97</v>
      </c>
      <c r="BE15" s="171"/>
      <c r="BG15" s="171">
        <v>63.68</v>
      </c>
      <c r="BH15">
        <v>63.98</v>
      </c>
      <c r="BI15" s="171"/>
      <c r="BK15" s="171">
        <v>63.82</v>
      </c>
      <c r="BL15">
        <v>63.82</v>
      </c>
      <c r="BM15" s="171"/>
      <c r="BO15" s="171">
        <v>63.98</v>
      </c>
      <c r="BP15">
        <v>63.98</v>
      </c>
      <c r="BQ15" s="171">
        <v>63.82</v>
      </c>
      <c r="BR15">
        <v>63.82</v>
      </c>
      <c r="BS15" s="171"/>
      <c r="BU15" s="171">
        <v>63.69</v>
      </c>
      <c r="BV15">
        <v>63.98</v>
      </c>
      <c r="BW15" s="171"/>
      <c r="BY15" s="171">
        <v>64.34</v>
      </c>
      <c r="BZ15">
        <v>64.34</v>
      </c>
      <c r="CA15" s="171">
        <v>63.78</v>
      </c>
      <c r="CB15">
        <v>63.78</v>
      </c>
      <c r="CC15" s="171">
        <v>63.82</v>
      </c>
      <c r="CD15">
        <v>63.82</v>
      </c>
      <c r="CG15">
        <v>63.82</v>
      </c>
      <c r="CH15">
        <v>63.97</v>
      </c>
      <c r="CK15">
        <v>63.97</v>
      </c>
      <c r="CL15">
        <v>63.97</v>
      </c>
      <c r="CO15">
        <v>63.82</v>
      </c>
      <c r="CP15">
        <v>63.82</v>
      </c>
      <c r="CS15">
        <v>64.08</v>
      </c>
      <c r="CT15">
        <v>64.08</v>
      </c>
      <c r="CW15">
        <v>63.69</v>
      </c>
      <c r="CX15">
        <v>63.98</v>
      </c>
      <c r="DA15">
        <v>63.685000000000002</v>
      </c>
      <c r="DB15">
        <v>63.978999999999999</v>
      </c>
    </row>
    <row r="16" spans="1:162">
      <c r="B16">
        <v>89</v>
      </c>
      <c r="C16">
        <v>63.57</v>
      </c>
      <c r="D16">
        <v>63.57</v>
      </c>
      <c r="E16" s="171"/>
      <c r="G16" s="171">
        <v>63.43</v>
      </c>
      <c r="H16">
        <v>63.480000000000004</v>
      </c>
      <c r="I16" s="171" t="s">
        <v>7440</v>
      </c>
      <c r="J16" t="s">
        <v>7440</v>
      </c>
      <c r="K16" s="171" t="s">
        <v>7441</v>
      </c>
      <c r="L16" t="s">
        <v>7441</v>
      </c>
      <c r="M16" s="171" t="s">
        <v>7442</v>
      </c>
      <c r="N16" t="s">
        <v>7442</v>
      </c>
      <c r="O16" s="171">
        <v>64.53</v>
      </c>
      <c r="P16">
        <v>64.53</v>
      </c>
      <c r="S16" s="171">
        <v>65.62</v>
      </c>
      <c r="T16">
        <v>65.62</v>
      </c>
      <c r="U16" s="171"/>
      <c r="W16" s="171">
        <v>65.3</v>
      </c>
      <c r="X16">
        <v>65.3</v>
      </c>
      <c r="Y16" s="171"/>
      <c r="AA16">
        <v>63.43</v>
      </c>
      <c r="AB16">
        <v>63.43</v>
      </c>
      <c r="AC16" s="171"/>
      <c r="AE16" s="171">
        <v>65.66</v>
      </c>
      <c r="AF16">
        <v>65.66</v>
      </c>
      <c r="AG16" s="171"/>
      <c r="AI16" s="171">
        <v>63.06</v>
      </c>
      <c r="AJ16">
        <v>62.88</v>
      </c>
      <c r="AK16" s="171"/>
      <c r="AM16" s="171">
        <v>63.43</v>
      </c>
      <c r="AN16">
        <v>63.43</v>
      </c>
      <c r="AO16" s="171"/>
      <c r="AQ16" s="171">
        <v>63.43</v>
      </c>
      <c r="AR16">
        <v>63.43</v>
      </c>
      <c r="AS16" s="171"/>
      <c r="AU16">
        <v>63.43</v>
      </c>
      <c r="AV16">
        <v>63.43</v>
      </c>
      <c r="AW16" s="171"/>
      <c r="AY16" s="171">
        <v>63.43</v>
      </c>
      <c r="AZ16">
        <v>63.43</v>
      </c>
      <c r="BA16" s="171"/>
      <c r="BC16" s="171">
        <v>63.57</v>
      </c>
      <c r="BD16">
        <v>63.57</v>
      </c>
      <c r="BE16" s="171"/>
      <c r="BG16" s="171">
        <v>63.39</v>
      </c>
      <c r="BH16">
        <v>63.49</v>
      </c>
      <c r="BI16" s="171"/>
      <c r="BK16" s="171">
        <v>63.43</v>
      </c>
      <c r="BL16">
        <v>63.43</v>
      </c>
      <c r="BM16" s="171"/>
      <c r="BO16" s="171">
        <v>63.49</v>
      </c>
      <c r="BP16">
        <v>63.49</v>
      </c>
      <c r="BQ16" s="171">
        <v>63.43</v>
      </c>
      <c r="BR16">
        <v>63.43</v>
      </c>
      <c r="BS16" s="171"/>
      <c r="BU16" s="171">
        <v>63.39</v>
      </c>
      <c r="BV16">
        <v>63.49</v>
      </c>
      <c r="BW16" s="171"/>
      <c r="BY16" s="171">
        <v>63.89</v>
      </c>
      <c r="BZ16">
        <v>63.89</v>
      </c>
      <c r="CA16" s="171">
        <v>63.4</v>
      </c>
      <c r="CB16">
        <v>63.4</v>
      </c>
      <c r="CC16" s="171">
        <v>63.43</v>
      </c>
      <c r="CD16">
        <v>63.43</v>
      </c>
      <c r="CG16">
        <v>63.43</v>
      </c>
      <c r="CH16">
        <v>63.480000000000004</v>
      </c>
      <c r="CK16">
        <v>63.57</v>
      </c>
      <c r="CL16">
        <v>63.57</v>
      </c>
      <c r="CO16">
        <v>63.43</v>
      </c>
      <c r="CP16">
        <v>63.43</v>
      </c>
      <c r="CS16">
        <v>63.67</v>
      </c>
      <c r="CT16">
        <v>63.67</v>
      </c>
      <c r="CW16">
        <v>63.39</v>
      </c>
      <c r="CX16">
        <v>63.49</v>
      </c>
      <c r="DA16">
        <v>63.389000000000003</v>
      </c>
      <c r="DB16">
        <v>63.484999999999999</v>
      </c>
    </row>
    <row r="17" spans="2:106">
      <c r="B17">
        <v>88</v>
      </c>
      <c r="C17">
        <v>63.19</v>
      </c>
      <c r="D17">
        <v>63.19</v>
      </c>
      <c r="E17" s="171"/>
      <c r="G17" s="171">
        <v>63.09</v>
      </c>
      <c r="H17">
        <v>63.11</v>
      </c>
      <c r="I17" s="171" t="s">
        <v>7443</v>
      </c>
      <c r="J17" t="s">
        <v>7443</v>
      </c>
      <c r="K17" s="171" t="s">
        <v>7444</v>
      </c>
      <c r="L17" t="s">
        <v>7444</v>
      </c>
      <c r="M17" s="171" t="s">
        <v>7445</v>
      </c>
      <c r="N17" t="s">
        <v>7445</v>
      </c>
      <c r="O17" s="171">
        <v>64.2</v>
      </c>
      <c r="P17">
        <v>64.2</v>
      </c>
      <c r="S17" s="171">
        <v>65.400000000000006</v>
      </c>
      <c r="T17">
        <v>65.400000000000006</v>
      </c>
      <c r="U17" s="171"/>
      <c r="W17" s="171">
        <v>65.03</v>
      </c>
      <c r="X17">
        <v>65.03</v>
      </c>
      <c r="Y17" s="171"/>
      <c r="AA17">
        <v>63.1</v>
      </c>
      <c r="AB17">
        <v>63.1</v>
      </c>
      <c r="AC17" s="171"/>
      <c r="AE17" s="171">
        <v>65.45</v>
      </c>
      <c r="AF17">
        <v>65.45</v>
      </c>
      <c r="AG17" s="171"/>
      <c r="AI17" s="171">
        <v>62.75</v>
      </c>
      <c r="AJ17">
        <v>62.52</v>
      </c>
      <c r="AK17" s="171"/>
      <c r="AM17" s="171">
        <v>63.09</v>
      </c>
      <c r="AN17">
        <v>63.09</v>
      </c>
      <c r="AO17" s="171"/>
      <c r="AQ17" s="171">
        <v>63.1</v>
      </c>
      <c r="AR17">
        <v>63.1</v>
      </c>
      <c r="AS17" s="171"/>
      <c r="AU17">
        <v>63.09</v>
      </c>
      <c r="AV17">
        <v>63.09</v>
      </c>
      <c r="AW17" s="171"/>
      <c r="AY17" s="171">
        <v>63.1</v>
      </c>
      <c r="AZ17">
        <v>63.1</v>
      </c>
      <c r="BA17" s="171"/>
      <c r="BC17" s="171">
        <v>63.19</v>
      </c>
      <c r="BD17">
        <v>63.19</v>
      </c>
      <c r="BE17" s="171"/>
      <c r="BG17" s="171">
        <v>63.08</v>
      </c>
      <c r="BH17">
        <v>63.12</v>
      </c>
      <c r="BI17" s="171"/>
      <c r="BK17" s="171">
        <v>63.1</v>
      </c>
      <c r="BL17">
        <v>63.1</v>
      </c>
      <c r="BM17" s="171"/>
      <c r="BO17" s="171">
        <v>63.12</v>
      </c>
      <c r="BP17">
        <v>63.12</v>
      </c>
      <c r="BQ17" s="171">
        <v>63.1</v>
      </c>
      <c r="BR17">
        <v>63.1</v>
      </c>
      <c r="BS17" s="171"/>
      <c r="BU17" s="171">
        <v>63.08</v>
      </c>
      <c r="BV17">
        <v>63.12</v>
      </c>
      <c r="BW17" s="171"/>
      <c r="BY17" s="171">
        <v>63.42</v>
      </c>
      <c r="BZ17">
        <v>63.42</v>
      </c>
      <c r="CA17" s="171">
        <v>63</v>
      </c>
      <c r="CB17">
        <v>63</v>
      </c>
      <c r="CC17" s="171">
        <v>63.1</v>
      </c>
      <c r="CD17">
        <v>63.1</v>
      </c>
      <c r="CG17">
        <v>63.09</v>
      </c>
      <c r="CH17">
        <v>63.11</v>
      </c>
      <c r="CK17">
        <v>63.19</v>
      </c>
      <c r="CL17">
        <v>63.19</v>
      </c>
      <c r="CO17">
        <v>63.1</v>
      </c>
      <c r="CP17">
        <v>63.1</v>
      </c>
      <c r="CS17">
        <v>63.32</v>
      </c>
      <c r="CT17">
        <v>63.32</v>
      </c>
      <c r="CW17">
        <v>63.08</v>
      </c>
      <c r="CX17">
        <v>63.12</v>
      </c>
      <c r="DA17">
        <v>63.082999999999998</v>
      </c>
      <c r="DB17">
        <v>63.116999999999997</v>
      </c>
    </row>
    <row r="18" spans="2:106">
      <c r="B18">
        <v>87</v>
      </c>
      <c r="C18">
        <v>62.79</v>
      </c>
      <c r="D18">
        <v>62.79</v>
      </c>
      <c r="E18" s="171"/>
      <c r="G18" s="171">
        <v>62.730000000000004</v>
      </c>
      <c r="H18">
        <v>62.690000000000005</v>
      </c>
      <c r="I18" s="171" t="s">
        <v>7444</v>
      </c>
      <c r="J18" t="s">
        <v>7444</v>
      </c>
      <c r="K18" s="171" t="s">
        <v>7446</v>
      </c>
      <c r="L18" t="s">
        <v>7446</v>
      </c>
      <c r="M18" s="171" t="s">
        <v>7447</v>
      </c>
      <c r="N18" t="s">
        <v>7447</v>
      </c>
      <c r="O18" s="171">
        <v>63.91</v>
      </c>
      <c r="P18">
        <v>63.91</v>
      </c>
      <c r="S18" s="171">
        <v>65.16</v>
      </c>
      <c r="T18">
        <v>65.16</v>
      </c>
      <c r="U18" s="171"/>
      <c r="W18" s="171">
        <v>64.680000000000007</v>
      </c>
      <c r="X18">
        <v>64.680000000000007</v>
      </c>
      <c r="Y18" s="171"/>
      <c r="AA18">
        <v>62.74</v>
      </c>
      <c r="AB18">
        <v>62.74</v>
      </c>
      <c r="AC18" s="171"/>
      <c r="AE18" s="171">
        <v>64.89</v>
      </c>
      <c r="AF18">
        <v>64.89</v>
      </c>
      <c r="AG18" s="171"/>
      <c r="AI18" s="171">
        <v>62.44</v>
      </c>
      <c r="AJ18">
        <v>62.1</v>
      </c>
      <c r="AK18" s="171"/>
      <c r="AM18" s="171">
        <v>62.73</v>
      </c>
      <c r="AN18">
        <v>62.73</v>
      </c>
      <c r="AO18" s="171"/>
      <c r="AQ18" s="171">
        <v>62.74</v>
      </c>
      <c r="AR18">
        <v>62.74</v>
      </c>
      <c r="AS18" s="171"/>
      <c r="AU18">
        <v>62.73</v>
      </c>
      <c r="AV18">
        <v>62.73</v>
      </c>
      <c r="AW18" s="171"/>
      <c r="AY18" s="171">
        <v>62.74</v>
      </c>
      <c r="AZ18">
        <v>62.74</v>
      </c>
      <c r="BA18" s="171"/>
      <c r="BC18" s="171">
        <v>62.79</v>
      </c>
      <c r="BD18">
        <v>62.79</v>
      </c>
      <c r="BE18" s="171"/>
      <c r="BG18" s="171">
        <v>62.77</v>
      </c>
      <c r="BH18">
        <v>62.69</v>
      </c>
      <c r="BI18" s="171"/>
      <c r="BK18" s="171">
        <v>62.74</v>
      </c>
      <c r="BL18">
        <v>62.74</v>
      </c>
      <c r="BM18" s="171"/>
      <c r="BO18" s="171">
        <v>62.69</v>
      </c>
      <c r="BP18">
        <v>62.69</v>
      </c>
      <c r="BQ18" s="171">
        <v>62.74</v>
      </c>
      <c r="BR18">
        <v>62.74</v>
      </c>
      <c r="BS18" s="171"/>
      <c r="BU18" s="171">
        <v>62.77</v>
      </c>
      <c r="BV18">
        <v>62.69</v>
      </c>
      <c r="BW18" s="171"/>
      <c r="BY18" s="171">
        <v>62.96</v>
      </c>
      <c r="BZ18">
        <v>62.96</v>
      </c>
      <c r="CA18" s="171">
        <v>62.63</v>
      </c>
      <c r="CB18">
        <v>62.63</v>
      </c>
      <c r="CC18" s="171">
        <v>62.74</v>
      </c>
      <c r="CD18">
        <v>62.74</v>
      </c>
      <c r="CG18">
        <v>62.730000000000004</v>
      </c>
      <c r="CH18">
        <v>62.690000000000005</v>
      </c>
      <c r="CK18">
        <v>62.79</v>
      </c>
      <c r="CL18">
        <v>62.79</v>
      </c>
      <c r="CO18">
        <v>62.74</v>
      </c>
      <c r="CP18">
        <v>62.74</v>
      </c>
      <c r="CS18">
        <v>62.96</v>
      </c>
      <c r="CT18">
        <v>62.96</v>
      </c>
      <c r="CW18">
        <v>62.77</v>
      </c>
      <c r="CX18">
        <v>62.69</v>
      </c>
      <c r="DA18">
        <v>62.774000000000001</v>
      </c>
      <c r="DB18">
        <v>62.692</v>
      </c>
    </row>
    <row r="19" spans="2:106">
      <c r="B19">
        <v>86</v>
      </c>
      <c r="C19">
        <v>62.44</v>
      </c>
      <c r="D19">
        <v>62.44</v>
      </c>
      <c r="E19" s="171"/>
      <c r="G19" s="171">
        <v>62.39</v>
      </c>
      <c r="H19">
        <v>62.32</v>
      </c>
      <c r="I19" s="171" t="s">
        <v>7448</v>
      </c>
      <c r="J19" t="s">
        <v>7448</v>
      </c>
      <c r="K19" s="171" t="s">
        <v>7449</v>
      </c>
      <c r="L19" t="s">
        <v>7449</v>
      </c>
      <c r="M19" s="171" t="s">
        <v>7450</v>
      </c>
      <c r="N19" t="s">
        <v>7450</v>
      </c>
      <c r="O19" s="171">
        <v>63.72</v>
      </c>
      <c r="P19">
        <v>63.72</v>
      </c>
      <c r="S19" s="171">
        <v>64.930000000000007</v>
      </c>
      <c r="T19">
        <v>64.930000000000007</v>
      </c>
      <c r="U19" s="171"/>
      <c r="W19" s="171">
        <v>64.34</v>
      </c>
      <c r="X19">
        <v>64.34</v>
      </c>
      <c r="Y19" s="171"/>
      <c r="AA19">
        <v>62.4</v>
      </c>
      <c r="AB19">
        <v>62.4</v>
      </c>
      <c r="AC19" s="171"/>
      <c r="AE19" s="171">
        <v>64.5</v>
      </c>
      <c r="AF19">
        <v>64.5</v>
      </c>
      <c r="AG19" s="171"/>
      <c r="AI19" s="171">
        <v>62.13</v>
      </c>
      <c r="AJ19">
        <v>61.74</v>
      </c>
      <c r="AK19" s="171"/>
      <c r="AM19" s="171">
        <v>62.39</v>
      </c>
      <c r="AN19">
        <v>62.39</v>
      </c>
      <c r="AO19" s="171"/>
      <c r="AQ19" s="171">
        <v>62.4</v>
      </c>
      <c r="AR19">
        <v>62.4</v>
      </c>
      <c r="AS19" s="171"/>
      <c r="AU19">
        <v>62.39</v>
      </c>
      <c r="AV19">
        <v>62.39</v>
      </c>
      <c r="AW19" s="171"/>
      <c r="AY19" s="171">
        <v>62.4</v>
      </c>
      <c r="AZ19">
        <v>62.4</v>
      </c>
      <c r="BA19" s="171"/>
      <c r="BC19" s="171">
        <v>62.44</v>
      </c>
      <c r="BD19">
        <v>62.44</v>
      </c>
      <c r="BE19" s="171"/>
      <c r="BG19" s="171">
        <v>62.46</v>
      </c>
      <c r="BH19">
        <v>62.33</v>
      </c>
      <c r="BI19" s="171"/>
      <c r="BK19" s="171">
        <v>62.4</v>
      </c>
      <c r="BL19">
        <v>62.4</v>
      </c>
      <c r="BM19" s="171"/>
      <c r="BO19" s="171">
        <v>62.33</v>
      </c>
      <c r="BP19">
        <v>62.33</v>
      </c>
      <c r="BQ19" s="171">
        <v>62.4</v>
      </c>
      <c r="BR19">
        <v>62.4</v>
      </c>
      <c r="BS19" s="171"/>
      <c r="BU19" s="171">
        <v>62.46</v>
      </c>
      <c r="BV19">
        <v>62.33</v>
      </c>
      <c r="BW19" s="171"/>
      <c r="BY19" s="171">
        <v>62.56</v>
      </c>
      <c r="BZ19">
        <v>62.56</v>
      </c>
      <c r="CA19" s="171">
        <v>62.31</v>
      </c>
      <c r="CB19">
        <v>62.31</v>
      </c>
      <c r="CC19" s="171">
        <v>62.4</v>
      </c>
      <c r="CD19">
        <v>62.4</v>
      </c>
      <c r="CG19">
        <v>62.39</v>
      </c>
      <c r="CH19">
        <v>62.32</v>
      </c>
      <c r="CK19">
        <v>62.44</v>
      </c>
      <c r="CL19">
        <v>62.44</v>
      </c>
      <c r="CO19">
        <v>62.4</v>
      </c>
      <c r="CP19">
        <v>62.4</v>
      </c>
      <c r="CS19">
        <v>62.63</v>
      </c>
      <c r="CT19">
        <v>62.63</v>
      </c>
      <c r="CW19">
        <v>62.46</v>
      </c>
      <c r="CX19">
        <v>62.33</v>
      </c>
      <c r="DA19">
        <v>62.456000000000003</v>
      </c>
      <c r="DB19">
        <v>62.329000000000001</v>
      </c>
    </row>
    <row r="20" spans="2:106">
      <c r="B20">
        <v>85</v>
      </c>
      <c r="C20">
        <v>62.08</v>
      </c>
      <c r="D20">
        <v>62.08</v>
      </c>
      <c r="E20" s="171"/>
      <c r="G20" s="171">
        <v>62.050000000000004</v>
      </c>
      <c r="H20">
        <v>61.96</v>
      </c>
      <c r="I20" s="171" t="s">
        <v>6902</v>
      </c>
      <c r="J20" t="s">
        <v>6902</v>
      </c>
      <c r="K20" s="171" t="s">
        <v>7451</v>
      </c>
      <c r="L20" t="s">
        <v>7451</v>
      </c>
      <c r="M20" s="171" t="s">
        <v>7452</v>
      </c>
      <c r="N20" t="s">
        <v>7452</v>
      </c>
      <c r="O20" s="171">
        <v>63.48</v>
      </c>
      <c r="P20">
        <v>63.48</v>
      </c>
      <c r="S20" s="171">
        <v>64.7</v>
      </c>
      <c r="T20">
        <v>64.7</v>
      </c>
      <c r="U20" s="171"/>
      <c r="W20" s="171">
        <v>64.02</v>
      </c>
      <c r="X20">
        <v>64.02</v>
      </c>
      <c r="Y20" s="171"/>
      <c r="AA20">
        <v>62.06</v>
      </c>
      <c r="AB20">
        <v>62.06</v>
      </c>
      <c r="AC20" s="171"/>
      <c r="AE20" s="171">
        <v>64.42</v>
      </c>
      <c r="AF20">
        <v>64.42</v>
      </c>
      <c r="AG20" s="171"/>
      <c r="AI20" s="171">
        <v>61.81</v>
      </c>
      <c r="AJ20">
        <v>61.38</v>
      </c>
      <c r="AK20" s="171"/>
      <c r="AM20" s="171">
        <v>62.05</v>
      </c>
      <c r="AN20">
        <v>62.05</v>
      </c>
      <c r="AO20" s="171"/>
      <c r="AQ20" s="171">
        <v>62.06</v>
      </c>
      <c r="AR20">
        <v>62.06</v>
      </c>
      <c r="AS20" s="171"/>
      <c r="AU20">
        <v>62.05</v>
      </c>
      <c r="AV20">
        <v>62.05</v>
      </c>
      <c r="AW20" s="171"/>
      <c r="AY20" s="171">
        <v>62.06</v>
      </c>
      <c r="AZ20">
        <v>62.06</v>
      </c>
      <c r="BA20" s="171"/>
      <c r="BC20" s="171">
        <v>62.08</v>
      </c>
      <c r="BD20">
        <v>62.08</v>
      </c>
      <c r="BE20" s="171"/>
      <c r="BG20" s="171">
        <v>62.14</v>
      </c>
      <c r="BH20">
        <v>61.97</v>
      </c>
      <c r="BI20" s="171"/>
      <c r="BK20" s="171">
        <v>62.06</v>
      </c>
      <c r="BL20">
        <v>62.06</v>
      </c>
      <c r="BM20" s="171"/>
      <c r="BO20" s="171">
        <v>61.97</v>
      </c>
      <c r="BP20">
        <v>61.97</v>
      </c>
      <c r="BQ20" s="171">
        <v>62.06</v>
      </c>
      <c r="BR20">
        <v>62.06</v>
      </c>
      <c r="BS20" s="171"/>
      <c r="BU20" s="171">
        <v>62.14</v>
      </c>
      <c r="BV20">
        <v>61.97</v>
      </c>
      <c r="BW20" s="171"/>
      <c r="BY20" s="171">
        <v>62.07</v>
      </c>
      <c r="BZ20">
        <v>62.07</v>
      </c>
      <c r="CA20" s="171">
        <v>61.94</v>
      </c>
      <c r="CB20">
        <v>61.94</v>
      </c>
      <c r="CC20" s="171">
        <v>62.06</v>
      </c>
      <c r="CD20">
        <v>62.06</v>
      </c>
      <c r="CG20">
        <v>62.050000000000004</v>
      </c>
      <c r="CH20">
        <v>61.96</v>
      </c>
      <c r="CK20">
        <v>62.08</v>
      </c>
      <c r="CL20">
        <v>62.08</v>
      </c>
      <c r="CO20">
        <v>62.06</v>
      </c>
      <c r="CP20">
        <v>62.06</v>
      </c>
      <c r="CS20">
        <v>62.3</v>
      </c>
      <c r="CT20">
        <v>62.3</v>
      </c>
      <c r="CW20">
        <v>62.14</v>
      </c>
      <c r="CX20">
        <v>61.97</v>
      </c>
      <c r="DA20">
        <v>62.137</v>
      </c>
      <c r="DB20">
        <v>61.966999999999999</v>
      </c>
    </row>
    <row r="21" spans="2:106">
      <c r="B21">
        <v>84</v>
      </c>
      <c r="C21">
        <v>61.73</v>
      </c>
      <c r="D21">
        <v>61.73</v>
      </c>
      <c r="E21" s="171"/>
      <c r="G21" s="171">
        <v>61.7</v>
      </c>
      <c r="H21">
        <v>61.59</v>
      </c>
      <c r="I21" s="171" t="s">
        <v>7453</v>
      </c>
      <c r="J21" t="s">
        <v>7453</v>
      </c>
      <c r="K21" s="171" t="s">
        <v>7454</v>
      </c>
      <c r="L21" t="s">
        <v>7454</v>
      </c>
      <c r="M21" s="171" t="s">
        <v>7455</v>
      </c>
      <c r="N21" t="s">
        <v>7455</v>
      </c>
      <c r="O21" s="171">
        <v>63.14</v>
      </c>
      <c r="P21">
        <v>63.14</v>
      </c>
      <c r="S21" s="171">
        <v>64.47</v>
      </c>
      <c r="T21">
        <v>64.47</v>
      </c>
      <c r="U21" s="171"/>
      <c r="W21" s="171">
        <v>63.68</v>
      </c>
      <c r="X21">
        <v>63.68</v>
      </c>
      <c r="Y21" s="171"/>
      <c r="AA21">
        <v>61.7</v>
      </c>
      <c r="AB21">
        <v>61.7</v>
      </c>
      <c r="AC21" s="171"/>
      <c r="AE21" s="171">
        <v>63.58</v>
      </c>
      <c r="AF21">
        <v>63.58</v>
      </c>
      <c r="AG21" s="171"/>
      <c r="AI21" s="171">
        <v>61.48</v>
      </c>
      <c r="AJ21">
        <v>61.01</v>
      </c>
      <c r="AK21" s="171"/>
      <c r="AM21" s="171">
        <v>61.7</v>
      </c>
      <c r="AN21">
        <v>61.7</v>
      </c>
      <c r="AO21" s="171"/>
      <c r="AQ21" s="171">
        <v>61.71</v>
      </c>
      <c r="AR21">
        <v>61.71</v>
      </c>
      <c r="AS21" s="171"/>
      <c r="AU21">
        <v>61.7</v>
      </c>
      <c r="AV21">
        <v>61.7</v>
      </c>
      <c r="AW21" s="171"/>
      <c r="AY21" s="171">
        <v>61.71</v>
      </c>
      <c r="AZ21">
        <v>61.71</v>
      </c>
      <c r="BA21" s="171"/>
      <c r="BC21" s="171">
        <v>61.73</v>
      </c>
      <c r="BD21">
        <v>61.73</v>
      </c>
      <c r="BE21" s="171"/>
      <c r="BG21" s="171">
        <v>61.8</v>
      </c>
      <c r="BH21">
        <v>61.6</v>
      </c>
      <c r="BI21" s="171"/>
      <c r="BK21" s="171">
        <v>61.7</v>
      </c>
      <c r="BL21">
        <v>61.7</v>
      </c>
      <c r="BM21" s="171"/>
      <c r="BO21" s="171">
        <v>61.6</v>
      </c>
      <c r="BP21">
        <v>61.6</v>
      </c>
      <c r="BQ21" s="171">
        <v>61.71</v>
      </c>
      <c r="BR21">
        <v>61.71</v>
      </c>
      <c r="BS21" s="171"/>
      <c r="BU21" s="171">
        <v>61.8</v>
      </c>
      <c r="BV21">
        <v>61.6</v>
      </c>
      <c r="BW21" s="171"/>
      <c r="BY21" s="171">
        <v>61.56</v>
      </c>
      <c r="BZ21">
        <v>61.56</v>
      </c>
      <c r="CA21" s="171">
        <v>61.55</v>
      </c>
      <c r="CB21">
        <v>61.55</v>
      </c>
      <c r="CC21" s="171">
        <v>61.71</v>
      </c>
      <c r="CD21">
        <v>61.71</v>
      </c>
      <c r="CG21">
        <v>61.7</v>
      </c>
      <c r="CH21">
        <v>61.59</v>
      </c>
      <c r="CK21">
        <v>61.73</v>
      </c>
      <c r="CL21">
        <v>61.73</v>
      </c>
      <c r="CO21">
        <v>61.71</v>
      </c>
      <c r="CP21">
        <v>61.71</v>
      </c>
      <c r="CS21">
        <v>61.96</v>
      </c>
      <c r="CT21">
        <v>61.96</v>
      </c>
      <c r="CW21">
        <v>61.8</v>
      </c>
      <c r="CX21">
        <v>61.6</v>
      </c>
      <c r="DA21">
        <v>61.8</v>
      </c>
      <c r="DB21">
        <v>61.597999999999999</v>
      </c>
    </row>
    <row r="22" spans="2:106">
      <c r="B22">
        <v>83</v>
      </c>
      <c r="C22">
        <v>61.38</v>
      </c>
      <c r="D22">
        <v>61.38</v>
      </c>
      <c r="E22" s="171"/>
      <c r="G22" s="171">
        <v>61.34</v>
      </c>
      <c r="H22">
        <v>61.22</v>
      </c>
      <c r="I22" s="171" t="s">
        <v>7456</v>
      </c>
      <c r="J22" t="s">
        <v>7456</v>
      </c>
      <c r="K22" s="171" t="s">
        <v>7457</v>
      </c>
      <c r="L22" t="s">
        <v>7457</v>
      </c>
      <c r="M22" s="171" t="s">
        <v>7458</v>
      </c>
      <c r="N22" t="s">
        <v>7458</v>
      </c>
      <c r="O22" s="171">
        <v>62.83</v>
      </c>
      <c r="P22">
        <v>62.83</v>
      </c>
      <c r="S22" s="171">
        <v>64.23</v>
      </c>
      <c r="T22">
        <v>64.23</v>
      </c>
      <c r="U22" s="171"/>
      <c r="W22" s="171">
        <v>63.3</v>
      </c>
      <c r="X22">
        <v>63.3</v>
      </c>
      <c r="Y22" s="171"/>
      <c r="AA22">
        <v>61.34</v>
      </c>
      <c r="AB22">
        <v>61.34</v>
      </c>
      <c r="AC22" s="171"/>
      <c r="AE22" s="171">
        <v>63.37</v>
      </c>
      <c r="AF22">
        <v>63.37</v>
      </c>
      <c r="AG22" s="171"/>
      <c r="AI22" s="171">
        <v>61.12</v>
      </c>
      <c r="AJ22">
        <v>60.65</v>
      </c>
      <c r="AK22" s="171"/>
      <c r="AM22" s="171">
        <v>61.34</v>
      </c>
      <c r="AN22">
        <v>61.34</v>
      </c>
      <c r="AO22" s="171"/>
      <c r="AQ22" s="171">
        <v>61.34</v>
      </c>
      <c r="AR22">
        <v>61.34</v>
      </c>
      <c r="AS22" s="171"/>
      <c r="AU22">
        <v>61.34</v>
      </c>
      <c r="AV22">
        <v>61.34</v>
      </c>
      <c r="AW22" s="171"/>
      <c r="AY22" s="171">
        <v>61.34</v>
      </c>
      <c r="AZ22">
        <v>61.34</v>
      </c>
      <c r="BA22" s="171"/>
      <c r="BC22" s="171">
        <v>61.38</v>
      </c>
      <c r="BD22">
        <v>61.38</v>
      </c>
      <c r="BE22" s="171"/>
      <c r="BG22" s="171">
        <v>61.44</v>
      </c>
      <c r="BH22">
        <v>61.23</v>
      </c>
      <c r="BI22" s="171"/>
      <c r="BK22" s="171">
        <v>61.34</v>
      </c>
      <c r="BL22">
        <v>61.34</v>
      </c>
      <c r="BM22" s="171"/>
      <c r="BO22" s="171">
        <v>61.23</v>
      </c>
      <c r="BP22">
        <v>61.23</v>
      </c>
      <c r="BQ22" s="171">
        <v>61.34</v>
      </c>
      <c r="BR22">
        <v>61.34</v>
      </c>
      <c r="BS22" s="171"/>
      <c r="BU22" s="171">
        <v>61.44</v>
      </c>
      <c r="BV22">
        <v>61.23</v>
      </c>
      <c r="BW22" s="171"/>
      <c r="BY22" s="171">
        <v>60.98</v>
      </c>
      <c r="BZ22">
        <v>60.98</v>
      </c>
      <c r="CA22" s="171">
        <v>61.13</v>
      </c>
      <c r="CB22">
        <v>61.13</v>
      </c>
      <c r="CC22" s="171">
        <v>61.34</v>
      </c>
      <c r="CD22">
        <v>61.34</v>
      </c>
      <c r="CG22">
        <v>61.34</v>
      </c>
      <c r="CH22">
        <v>61.22</v>
      </c>
      <c r="CK22">
        <v>61.38</v>
      </c>
      <c r="CL22">
        <v>61.38</v>
      </c>
      <c r="CO22">
        <v>61.34</v>
      </c>
      <c r="CP22">
        <v>61.34</v>
      </c>
      <c r="CS22">
        <v>61.59</v>
      </c>
      <c r="CT22">
        <v>61.59</v>
      </c>
      <c r="CW22">
        <v>61.44</v>
      </c>
      <c r="CX22">
        <v>61.23</v>
      </c>
      <c r="DA22">
        <v>61.444000000000003</v>
      </c>
      <c r="DB22">
        <v>61.228999999999999</v>
      </c>
    </row>
    <row r="23" spans="2:106">
      <c r="B23">
        <v>82</v>
      </c>
      <c r="C23">
        <v>61.05</v>
      </c>
      <c r="D23">
        <v>61.05</v>
      </c>
      <c r="E23" s="171"/>
      <c r="G23" s="171">
        <v>61</v>
      </c>
      <c r="H23">
        <v>60.89</v>
      </c>
      <c r="I23" s="171" t="s">
        <v>7459</v>
      </c>
      <c r="J23" t="s">
        <v>7459</v>
      </c>
      <c r="K23" s="171" t="s">
        <v>7460</v>
      </c>
      <c r="L23" t="s">
        <v>7460</v>
      </c>
      <c r="M23" s="171" t="s">
        <v>7461</v>
      </c>
      <c r="N23" t="s">
        <v>7461</v>
      </c>
      <c r="O23" s="171">
        <v>62.43</v>
      </c>
      <c r="P23">
        <v>62.43</v>
      </c>
      <c r="S23" s="171">
        <v>64</v>
      </c>
      <c r="T23">
        <v>64</v>
      </c>
      <c r="U23" s="171"/>
      <c r="W23" s="171">
        <v>62.97</v>
      </c>
      <c r="X23">
        <v>62.97</v>
      </c>
      <c r="Y23" s="171"/>
      <c r="AA23">
        <v>61</v>
      </c>
      <c r="AB23">
        <v>61</v>
      </c>
      <c r="AC23" s="171"/>
      <c r="AE23" s="171">
        <v>62.72</v>
      </c>
      <c r="AF23">
        <v>62.72</v>
      </c>
      <c r="AG23" s="171"/>
      <c r="AI23" s="171">
        <v>60.78</v>
      </c>
      <c r="AJ23">
        <v>60.32</v>
      </c>
      <c r="AK23" s="171"/>
      <c r="AM23" s="171">
        <v>61</v>
      </c>
      <c r="AN23">
        <v>61</v>
      </c>
      <c r="AO23" s="171"/>
      <c r="AQ23" s="171">
        <v>61.01</v>
      </c>
      <c r="AR23">
        <v>61.01</v>
      </c>
      <c r="AS23" s="171"/>
      <c r="AU23">
        <v>61</v>
      </c>
      <c r="AV23">
        <v>61</v>
      </c>
      <c r="AW23" s="171"/>
      <c r="AY23" s="171">
        <v>61.01</v>
      </c>
      <c r="AZ23">
        <v>61.01</v>
      </c>
      <c r="BA23" s="171"/>
      <c r="BC23" s="171">
        <v>61.05</v>
      </c>
      <c r="BD23">
        <v>61.05</v>
      </c>
      <c r="BE23" s="171"/>
      <c r="BG23" s="171">
        <v>61.1</v>
      </c>
      <c r="BH23">
        <v>60.9</v>
      </c>
      <c r="BI23" s="171"/>
      <c r="BK23" s="171">
        <v>61.01</v>
      </c>
      <c r="BL23">
        <v>61.01</v>
      </c>
      <c r="BM23" s="171"/>
      <c r="BO23" s="171">
        <v>60.9</v>
      </c>
      <c r="BP23">
        <v>60.9</v>
      </c>
      <c r="BQ23" s="171">
        <v>61.01</v>
      </c>
      <c r="BR23">
        <v>61.01</v>
      </c>
      <c r="BS23" s="171"/>
      <c r="BU23" s="171">
        <v>61.1</v>
      </c>
      <c r="BV23">
        <v>60.9</v>
      </c>
      <c r="BW23" s="171"/>
      <c r="BY23" s="171">
        <v>60.43</v>
      </c>
      <c r="BZ23">
        <v>60.43</v>
      </c>
      <c r="CA23" s="171">
        <v>60.75</v>
      </c>
      <c r="CB23">
        <v>60.75</v>
      </c>
      <c r="CC23" s="171">
        <v>61.01</v>
      </c>
      <c r="CD23">
        <v>61.01</v>
      </c>
      <c r="CG23">
        <v>61</v>
      </c>
      <c r="CH23">
        <v>60.89</v>
      </c>
      <c r="CK23">
        <v>61.05</v>
      </c>
      <c r="CL23">
        <v>61.05</v>
      </c>
      <c r="CO23">
        <v>61.01</v>
      </c>
      <c r="CP23">
        <v>61.01</v>
      </c>
      <c r="CS23">
        <v>61.23</v>
      </c>
      <c r="CT23">
        <v>61.23</v>
      </c>
      <c r="CW23">
        <v>61.1</v>
      </c>
      <c r="CX23">
        <v>60.9</v>
      </c>
      <c r="DA23">
        <v>61.101999999999997</v>
      </c>
      <c r="DB23">
        <v>60.896000000000001</v>
      </c>
    </row>
    <row r="24" spans="2:106">
      <c r="B24">
        <v>81</v>
      </c>
      <c r="C24">
        <v>60.72</v>
      </c>
      <c r="D24">
        <v>60.72</v>
      </c>
      <c r="E24" s="171"/>
      <c r="G24" s="171">
        <v>60.63</v>
      </c>
      <c r="H24">
        <v>60.47</v>
      </c>
      <c r="I24" s="171" t="s">
        <v>7462</v>
      </c>
      <c r="J24" t="s">
        <v>7462</v>
      </c>
      <c r="K24" s="171" t="s">
        <v>7463</v>
      </c>
      <c r="L24" t="s">
        <v>7463</v>
      </c>
      <c r="M24" s="171" t="s">
        <v>7464</v>
      </c>
      <c r="N24" t="s">
        <v>7464</v>
      </c>
      <c r="O24" s="171">
        <v>62.07</v>
      </c>
      <c r="P24">
        <v>62.07</v>
      </c>
      <c r="S24" s="171">
        <v>63.76</v>
      </c>
      <c r="T24">
        <v>63.76</v>
      </c>
      <c r="U24" s="171"/>
      <c r="W24" s="171">
        <v>62.6</v>
      </c>
      <c r="X24">
        <v>62.6</v>
      </c>
      <c r="Y24" s="171"/>
      <c r="AA24">
        <v>60.64</v>
      </c>
      <c r="AB24">
        <v>60.64</v>
      </c>
      <c r="AC24" s="171"/>
      <c r="AE24" s="171">
        <v>62.61</v>
      </c>
      <c r="AF24">
        <v>62.61</v>
      </c>
      <c r="AG24" s="171"/>
      <c r="AI24" s="171">
        <v>60.46</v>
      </c>
      <c r="AJ24">
        <v>59.9</v>
      </c>
      <c r="AK24" s="171"/>
      <c r="AM24" s="171">
        <v>60.63</v>
      </c>
      <c r="AN24">
        <v>60.63</v>
      </c>
      <c r="AO24" s="171"/>
      <c r="AQ24" s="171">
        <v>60.64</v>
      </c>
      <c r="AR24">
        <v>60.64</v>
      </c>
      <c r="AS24" s="171"/>
      <c r="AU24">
        <v>60.63</v>
      </c>
      <c r="AV24">
        <v>60.63</v>
      </c>
      <c r="AW24" s="171"/>
      <c r="AY24" s="171">
        <v>60.64</v>
      </c>
      <c r="AZ24">
        <v>60.64</v>
      </c>
      <c r="BA24" s="171"/>
      <c r="BC24" s="171">
        <v>60.72</v>
      </c>
      <c r="BD24">
        <v>60.72</v>
      </c>
      <c r="BE24" s="171"/>
      <c r="BG24" s="171">
        <v>60.78</v>
      </c>
      <c r="BH24">
        <v>60.48</v>
      </c>
      <c r="BI24" s="171"/>
      <c r="BK24" s="171">
        <v>60.64</v>
      </c>
      <c r="BL24">
        <v>60.64</v>
      </c>
      <c r="BM24" s="171"/>
      <c r="BO24" s="171">
        <v>60.48</v>
      </c>
      <c r="BP24">
        <v>60.48</v>
      </c>
      <c r="BQ24" s="171">
        <v>60.64</v>
      </c>
      <c r="BR24">
        <v>60.64</v>
      </c>
      <c r="BS24" s="171"/>
      <c r="BU24" s="171">
        <v>60.78</v>
      </c>
      <c r="BV24">
        <v>60.48</v>
      </c>
      <c r="BW24" s="171"/>
      <c r="BY24" s="171">
        <v>60.03</v>
      </c>
      <c r="BZ24">
        <v>60.03</v>
      </c>
      <c r="CA24" s="171">
        <v>60.43</v>
      </c>
      <c r="CB24">
        <v>60.43</v>
      </c>
      <c r="CC24" s="171">
        <v>60.64</v>
      </c>
      <c r="CD24">
        <v>60.64</v>
      </c>
      <c r="CG24">
        <v>60.63</v>
      </c>
      <c r="CH24">
        <v>60.47</v>
      </c>
      <c r="CK24">
        <v>60.72</v>
      </c>
      <c r="CL24">
        <v>60.72</v>
      </c>
      <c r="CO24">
        <v>60.64</v>
      </c>
      <c r="CP24">
        <v>60.64</v>
      </c>
      <c r="CS24">
        <v>60.9</v>
      </c>
      <c r="CT24">
        <v>60.9</v>
      </c>
      <c r="CW24">
        <v>60.78</v>
      </c>
      <c r="CX24">
        <v>60.48</v>
      </c>
      <c r="DA24">
        <v>60.777999999999999</v>
      </c>
      <c r="DB24">
        <v>60.478999999999999</v>
      </c>
    </row>
    <row r="25" spans="2:106">
      <c r="B25">
        <v>80</v>
      </c>
      <c r="C25">
        <v>60.36</v>
      </c>
      <c r="D25">
        <v>60.36</v>
      </c>
      <c r="E25" s="171"/>
      <c r="G25" s="171">
        <v>60.29</v>
      </c>
      <c r="H25">
        <v>60.13</v>
      </c>
      <c r="I25" s="171" t="s">
        <v>7465</v>
      </c>
      <c r="J25" t="s">
        <v>7465</v>
      </c>
      <c r="K25" s="171" t="s">
        <v>7466</v>
      </c>
      <c r="L25" t="s">
        <v>7466</v>
      </c>
      <c r="M25" s="171" t="s">
        <v>7467</v>
      </c>
      <c r="N25" t="s">
        <v>7467</v>
      </c>
      <c r="O25" s="171">
        <v>61.72</v>
      </c>
      <c r="P25">
        <v>61.72</v>
      </c>
      <c r="S25" s="171">
        <v>63.53</v>
      </c>
      <c r="T25">
        <v>63.53</v>
      </c>
      <c r="U25" s="171"/>
      <c r="W25" s="171">
        <v>62.26</v>
      </c>
      <c r="X25">
        <v>62.26</v>
      </c>
      <c r="Y25" s="171"/>
      <c r="AA25">
        <v>60.3</v>
      </c>
      <c r="AB25">
        <v>60.3</v>
      </c>
      <c r="AC25" s="171"/>
      <c r="AE25" s="171">
        <v>62.09</v>
      </c>
      <c r="AF25">
        <v>62.09</v>
      </c>
      <c r="AG25" s="171"/>
      <c r="AI25" s="171">
        <v>60.13</v>
      </c>
      <c r="AJ25">
        <v>59.56</v>
      </c>
      <c r="AK25" s="171"/>
      <c r="AM25" s="171">
        <v>60.29</v>
      </c>
      <c r="AN25">
        <v>60.29</v>
      </c>
      <c r="AO25" s="171"/>
      <c r="AQ25" s="171">
        <v>60.3</v>
      </c>
      <c r="AR25">
        <v>60.3</v>
      </c>
      <c r="AS25" s="171"/>
      <c r="AU25">
        <v>60.29</v>
      </c>
      <c r="AV25">
        <v>60.29</v>
      </c>
      <c r="AW25" s="171"/>
      <c r="AY25" s="171">
        <v>60.3</v>
      </c>
      <c r="AZ25">
        <v>60.3</v>
      </c>
      <c r="BA25" s="171"/>
      <c r="BC25" s="171">
        <v>60.36</v>
      </c>
      <c r="BD25">
        <v>60.36</v>
      </c>
      <c r="BE25" s="171"/>
      <c r="BG25" s="171">
        <v>60.44</v>
      </c>
      <c r="BH25">
        <v>60.14</v>
      </c>
      <c r="BI25" s="171"/>
      <c r="BK25" s="171">
        <v>60.3</v>
      </c>
      <c r="BL25">
        <v>60.3</v>
      </c>
      <c r="BM25" s="171"/>
      <c r="BO25" s="171">
        <v>60.14</v>
      </c>
      <c r="BP25">
        <v>60.14</v>
      </c>
      <c r="BQ25" s="171">
        <v>60.3</v>
      </c>
      <c r="BR25">
        <v>60.3</v>
      </c>
      <c r="BS25" s="171"/>
      <c r="BU25" s="171">
        <v>60.44</v>
      </c>
      <c r="BV25">
        <v>60.14</v>
      </c>
      <c r="BW25" s="171"/>
      <c r="BY25" s="171">
        <v>59.66</v>
      </c>
      <c r="BZ25">
        <v>59.66</v>
      </c>
      <c r="CA25" s="171">
        <v>60.13</v>
      </c>
      <c r="CB25">
        <v>60.13</v>
      </c>
      <c r="CC25" s="171">
        <v>60.3</v>
      </c>
      <c r="CD25">
        <v>60.3</v>
      </c>
      <c r="CG25">
        <v>60.29</v>
      </c>
      <c r="CH25">
        <v>60.13</v>
      </c>
      <c r="CK25">
        <v>60.36</v>
      </c>
      <c r="CL25">
        <v>60.36</v>
      </c>
      <c r="CO25">
        <v>60.3</v>
      </c>
      <c r="CP25">
        <v>60.3</v>
      </c>
      <c r="CS25">
        <v>60.51</v>
      </c>
      <c r="CT25">
        <v>60.51</v>
      </c>
      <c r="CW25">
        <v>60.44</v>
      </c>
      <c r="CX25">
        <v>60.14</v>
      </c>
      <c r="DA25">
        <v>60.444000000000003</v>
      </c>
      <c r="DB25">
        <v>60.134999999999998</v>
      </c>
    </row>
    <row r="26" spans="2:106">
      <c r="B26">
        <v>79</v>
      </c>
      <c r="C26">
        <v>60.01</v>
      </c>
      <c r="D26">
        <v>60.01</v>
      </c>
      <c r="E26" s="171"/>
      <c r="G26" s="171">
        <v>59.94</v>
      </c>
      <c r="H26">
        <v>59.77</v>
      </c>
      <c r="I26" s="171" t="s">
        <v>7468</v>
      </c>
      <c r="J26" t="s">
        <v>7468</v>
      </c>
      <c r="K26" s="171" t="s">
        <v>7469</v>
      </c>
      <c r="L26" t="s">
        <v>7469</v>
      </c>
      <c r="M26" s="171" t="s">
        <v>7465</v>
      </c>
      <c r="N26" t="s">
        <v>7465</v>
      </c>
      <c r="O26" s="171">
        <v>61.34</v>
      </c>
      <c r="P26">
        <v>61.34</v>
      </c>
      <c r="S26" s="171">
        <v>63.3</v>
      </c>
      <c r="T26">
        <v>63.3</v>
      </c>
      <c r="U26" s="171"/>
      <c r="W26" s="171">
        <v>61.9</v>
      </c>
      <c r="X26">
        <v>61.9</v>
      </c>
      <c r="Y26" s="171"/>
      <c r="AA26">
        <v>59.94</v>
      </c>
      <c r="AB26">
        <v>59.94</v>
      </c>
      <c r="AC26" s="171"/>
      <c r="AE26" s="171">
        <v>61.52</v>
      </c>
      <c r="AF26">
        <v>61.52</v>
      </c>
      <c r="AG26" s="171"/>
      <c r="AI26" s="171">
        <v>59.78</v>
      </c>
      <c r="AJ26">
        <v>59.2</v>
      </c>
      <c r="AK26" s="171"/>
      <c r="AM26" s="171">
        <v>59.94</v>
      </c>
      <c r="AN26">
        <v>59.94</v>
      </c>
      <c r="AO26" s="171"/>
      <c r="AQ26" s="171">
        <v>59.94</v>
      </c>
      <c r="AR26">
        <v>59.94</v>
      </c>
      <c r="AS26" s="171"/>
      <c r="AU26">
        <v>59.94</v>
      </c>
      <c r="AV26">
        <v>59.94</v>
      </c>
      <c r="AW26" s="171"/>
      <c r="AY26" s="171">
        <v>59.94</v>
      </c>
      <c r="AZ26">
        <v>59.94</v>
      </c>
      <c r="BA26" s="171"/>
      <c r="BC26" s="171">
        <v>60.01</v>
      </c>
      <c r="BD26">
        <v>60.01</v>
      </c>
      <c r="BE26" s="171"/>
      <c r="BG26" s="171">
        <v>60.1</v>
      </c>
      <c r="BH26">
        <v>59.77</v>
      </c>
      <c r="BI26" s="171"/>
      <c r="BK26" s="171">
        <v>59.94</v>
      </c>
      <c r="BL26">
        <v>59.94</v>
      </c>
      <c r="BM26" s="171"/>
      <c r="BO26" s="171">
        <v>59.77</v>
      </c>
      <c r="BP26">
        <v>59.77</v>
      </c>
      <c r="BQ26" s="171">
        <v>59.94</v>
      </c>
      <c r="BR26">
        <v>59.94</v>
      </c>
      <c r="BS26" s="171"/>
      <c r="BU26" s="171">
        <v>60.1</v>
      </c>
      <c r="BV26">
        <v>59.77</v>
      </c>
      <c r="BW26" s="171"/>
      <c r="BY26" s="171">
        <v>59.24</v>
      </c>
      <c r="BZ26">
        <v>59.24</v>
      </c>
      <c r="CA26" s="171">
        <v>59.79</v>
      </c>
      <c r="CB26">
        <v>59.79</v>
      </c>
      <c r="CC26" s="171">
        <v>59.94</v>
      </c>
      <c r="CD26">
        <v>59.94</v>
      </c>
      <c r="CG26">
        <v>59.94</v>
      </c>
      <c r="CH26">
        <v>59.77</v>
      </c>
      <c r="CK26">
        <v>60</v>
      </c>
      <c r="CL26">
        <v>60</v>
      </c>
      <c r="CO26">
        <v>59.94</v>
      </c>
      <c r="CP26">
        <v>59.94</v>
      </c>
      <c r="CS26">
        <v>60.13</v>
      </c>
      <c r="CT26">
        <v>60.13</v>
      </c>
      <c r="CW26">
        <v>60.1</v>
      </c>
      <c r="CX26">
        <v>59.77</v>
      </c>
      <c r="DA26">
        <v>60.097999999999999</v>
      </c>
      <c r="DB26">
        <v>59.771000000000001</v>
      </c>
    </row>
    <row r="27" spans="2:106">
      <c r="B27">
        <v>78</v>
      </c>
      <c r="C27">
        <v>59.65</v>
      </c>
      <c r="D27">
        <v>59.65</v>
      </c>
      <c r="E27" s="171"/>
      <c r="G27" s="171">
        <v>59.56</v>
      </c>
      <c r="H27">
        <v>59.38</v>
      </c>
      <c r="I27" s="171" t="s">
        <v>7470</v>
      </c>
      <c r="J27" t="s">
        <v>7470</v>
      </c>
      <c r="K27" s="171" t="s">
        <v>7471</v>
      </c>
      <c r="L27" t="s">
        <v>7471</v>
      </c>
      <c r="M27" s="171" t="s">
        <v>7468</v>
      </c>
      <c r="N27" t="s">
        <v>7468</v>
      </c>
      <c r="O27" s="171">
        <v>60.9</v>
      </c>
      <c r="P27">
        <v>60.9</v>
      </c>
      <c r="S27" s="171">
        <v>63.05</v>
      </c>
      <c r="T27">
        <v>63.05</v>
      </c>
      <c r="U27" s="171"/>
      <c r="W27" s="171">
        <v>61.53</v>
      </c>
      <c r="X27">
        <v>61.53</v>
      </c>
      <c r="Y27" s="171"/>
      <c r="AA27">
        <v>59.57</v>
      </c>
      <c r="AB27">
        <v>59.57</v>
      </c>
      <c r="AC27" s="171"/>
      <c r="AE27" s="171">
        <v>61.36</v>
      </c>
      <c r="AF27">
        <v>61.36</v>
      </c>
      <c r="AG27" s="171"/>
      <c r="AI27" s="171">
        <v>59.42</v>
      </c>
      <c r="AJ27">
        <v>58.82</v>
      </c>
      <c r="AK27" s="171"/>
      <c r="AM27" s="171">
        <v>59.56</v>
      </c>
      <c r="AN27">
        <v>59.56</v>
      </c>
      <c r="AO27" s="171"/>
      <c r="AQ27" s="171">
        <v>59.57</v>
      </c>
      <c r="AR27">
        <v>59.57</v>
      </c>
      <c r="AS27" s="171"/>
      <c r="AU27">
        <v>59.56</v>
      </c>
      <c r="AV27">
        <v>59.56</v>
      </c>
      <c r="AW27" s="171"/>
      <c r="AY27" s="171">
        <v>59.57</v>
      </c>
      <c r="AZ27">
        <v>59.57</v>
      </c>
      <c r="BA27" s="171"/>
      <c r="BC27" s="171">
        <v>59.65</v>
      </c>
      <c r="BD27">
        <v>59.65</v>
      </c>
      <c r="BE27" s="171"/>
      <c r="BG27" s="171">
        <v>59.73</v>
      </c>
      <c r="BH27">
        <v>59.39</v>
      </c>
      <c r="BI27" s="171"/>
      <c r="BK27" s="171">
        <v>59.57</v>
      </c>
      <c r="BL27">
        <v>59.57</v>
      </c>
      <c r="BM27" s="171"/>
      <c r="BO27" s="171">
        <v>59.39</v>
      </c>
      <c r="BP27">
        <v>59.39</v>
      </c>
      <c r="BQ27" s="171">
        <v>59.57</v>
      </c>
      <c r="BR27">
        <v>59.57</v>
      </c>
      <c r="BS27" s="171"/>
      <c r="BU27" s="171">
        <v>59.73</v>
      </c>
      <c r="BV27">
        <v>59.39</v>
      </c>
      <c r="BW27" s="171"/>
      <c r="BY27" s="171">
        <v>58.82</v>
      </c>
      <c r="BZ27">
        <v>58.82</v>
      </c>
      <c r="CA27" s="171">
        <v>59.44</v>
      </c>
      <c r="CB27">
        <v>59.44</v>
      </c>
      <c r="CC27" s="171">
        <v>59.57</v>
      </c>
      <c r="CD27">
        <v>59.57</v>
      </c>
      <c r="CG27">
        <v>59.56</v>
      </c>
      <c r="CH27">
        <v>59.38</v>
      </c>
      <c r="CK27">
        <v>59.65</v>
      </c>
      <c r="CL27">
        <v>59.65</v>
      </c>
      <c r="CO27">
        <v>59.57</v>
      </c>
      <c r="CP27">
        <v>59.57</v>
      </c>
      <c r="CS27">
        <v>59.78</v>
      </c>
      <c r="CT27">
        <v>59.78</v>
      </c>
      <c r="CW27">
        <v>59.73</v>
      </c>
      <c r="CX27">
        <v>59.39</v>
      </c>
      <c r="DA27">
        <v>59.732999999999997</v>
      </c>
      <c r="DB27">
        <v>59.384999999999998</v>
      </c>
    </row>
    <row r="28" spans="2:106">
      <c r="B28">
        <v>77</v>
      </c>
      <c r="C28">
        <v>59.3</v>
      </c>
      <c r="D28">
        <v>59.3</v>
      </c>
      <c r="E28" s="171"/>
      <c r="G28" s="171">
        <v>59.19</v>
      </c>
      <c r="H28">
        <v>58.97</v>
      </c>
      <c r="I28" s="171" t="s">
        <v>6968</v>
      </c>
      <c r="J28" t="s">
        <v>6968</v>
      </c>
      <c r="K28" s="171" t="s">
        <v>7472</v>
      </c>
      <c r="L28" t="s">
        <v>7472</v>
      </c>
      <c r="M28" s="171" t="s">
        <v>6960</v>
      </c>
      <c r="N28" t="s">
        <v>6960</v>
      </c>
      <c r="O28" s="171">
        <v>60.58</v>
      </c>
      <c r="P28">
        <v>60.58</v>
      </c>
      <c r="S28" s="171">
        <v>62.79</v>
      </c>
      <c r="T28">
        <v>62.79</v>
      </c>
      <c r="U28" s="171"/>
      <c r="W28" s="171">
        <v>61.15</v>
      </c>
      <c r="X28">
        <v>61.15</v>
      </c>
      <c r="Y28" s="171"/>
      <c r="AA28">
        <v>59.19</v>
      </c>
      <c r="AB28">
        <v>59.19</v>
      </c>
      <c r="AC28" s="171"/>
      <c r="AE28" s="171">
        <v>61.02</v>
      </c>
      <c r="AF28">
        <v>61.02</v>
      </c>
      <c r="AG28" s="171"/>
      <c r="AI28" s="171">
        <v>59.07</v>
      </c>
      <c r="AJ28">
        <v>58.42</v>
      </c>
      <c r="AK28" s="171"/>
      <c r="AM28" s="171">
        <v>59.19</v>
      </c>
      <c r="AN28">
        <v>59.19</v>
      </c>
      <c r="AO28" s="171"/>
      <c r="AQ28" s="171">
        <v>59.19</v>
      </c>
      <c r="AR28">
        <v>59.19</v>
      </c>
      <c r="AS28" s="171"/>
      <c r="AU28">
        <v>59.19</v>
      </c>
      <c r="AV28">
        <v>59.19</v>
      </c>
      <c r="AW28" s="171"/>
      <c r="AY28" s="171">
        <v>59.19</v>
      </c>
      <c r="AZ28">
        <v>59.19</v>
      </c>
      <c r="BA28" s="171"/>
      <c r="BC28" s="171">
        <v>59.3</v>
      </c>
      <c r="BD28">
        <v>59.3</v>
      </c>
      <c r="BE28" s="171"/>
      <c r="BG28" s="171">
        <v>59.38</v>
      </c>
      <c r="BH28">
        <v>58.98</v>
      </c>
      <c r="BI28" s="171"/>
      <c r="BK28" s="171">
        <v>59.19</v>
      </c>
      <c r="BL28">
        <v>59.19</v>
      </c>
      <c r="BM28" s="171"/>
      <c r="BO28" s="171">
        <v>58.98</v>
      </c>
      <c r="BP28">
        <v>58.98</v>
      </c>
      <c r="BQ28" s="171">
        <v>59.19</v>
      </c>
      <c r="BR28">
        <v>59.19</v>
      </c>
      <c r="BS28" s="171"/>
      <c r="BU28" s="171">
        <v>59.38</v>
      </c>
      <c r="BV28">
        <v>58.98</v>
      </c>
      <c r="BW28" s="171"/>
      <c r="BY28" s="171">
        <v>58.47</v>
      </c>
      <c r="BZ28">
        <v>58.47</v>
      </c>
      <c r="CA28" s="171">
        <v>59.12</v>
      </c>
      <c r="CB28">
        <v>59.12</v>
      </c>
      <c r="CC28" s="171">
        <v>59.19</v>
      </c>
      <c r="CD28">
        <v>59.19</v>
      </c>
      <c r="CG28">
        <v>59.19</v>
      </c>
      <c r="CH28">
        <v>58.97</v>
      </c>
      <c r="CK28">
        <v>59.3</v>
      </c>
      <c r="CL28">
        <v>59.3</v>
      </c>
      <c r="CO28">
        <v>59.19</v>
      </c>
      <c r="CP28">
        <v>59.19</v>
      </c>
      <c r="CS28">
        <v>59.42</v>
      </c>
      <c r="CT28">
        <v>59.42</v>
      </c>
      <c r="CW28">
        <v>59.38</v>
      </c>
      <c r="CX28">
        <v>58.98</v>
      </c>
      <c r="DA28">
        <v>59.378</v>
      </c>
      <c r="DB28">
        <v>58.978999999999999</v>
      </c>
    </row>
    <row r="29" spans="2:106">
      <c r="B29">
        <v>76</v>
      </c>
      <c r="C29">
        <v>58.97</v>
      </c>
      <c r="D29">
        <v>58.97</v>
      </c>
      <c r="E29" s="171"/>
      <c r="G29" s="171">
        <v>58.85</v>
      </c>
      <c r="H29">
        <v>58.63</v>
      </c>
      <c r="I29" s="171" t="s">
        <v>7473</v>
      </c>
      <c r="J29" t="s">
        <v>7473</v>
      </c>
      <c r="K29" s="171" t="s">
        <v>7474</v>
      </c>
      <c r="L29" t="s">
        <v>7474</v>
      </c>
      <c r="M29" s="171" t="s">
        <v>7475</v>
      </c>
      <c r="N29" t="s">
        <v>7475</v>
      </c>
      <c r="O29" s="171">
        <v>60.21</v>
      </c>
      <c r="P29">
        <v>60.21</v>
      </c>
      <c r="S29" s="171">
        <v>62.57</v>
      </c>
      <c r="T29">
        <v>62.57</v>
      </c>
      <c r="U29" s="171"/>
      <c r="W29" s="171">
        <v>60.81</v>
      </c>
      <c r="X29">
        <v>60.81</v>
      </c>
      <c r="Y29" s="171"/>
      <c r="AA29">
        <v>58.85</v>
      </c>
      <c r="AB29">
        <v>58.85</v>
      </c>
      <c r="AC29" s="171"/>
      <c r="AE29" s="171">
        <v>60.47</v>
      </c>
      <c r="AF29">
        <v>60.47</v>
      </c>
      <c r="AG29" s="171"/>
      <c r="AI29" s="171">
        <v>58.74</v>
      </c>
      <c r="AJ29">
        <v>58.08</v>
      </c>
      <c r="AK29" s="171"/>
      <c r="AM29" s="171">
        <v>58.85</v>
      </c>
      <c r="AN29">
        <v>58.85</v>
      </c>
      <c r="AO29" s="171"/>
      <c r="AQ29" s="171">
        <v>58.85</v>
      </c>
      <c r="AR29">
        <v>58.85</v>
      </c>
      <c r="AS29" s="171"/>
      <c r="AU29">
        <v>58.85</v>
      </c>
      <c r="AV29">
        <v>58.85</v>
      </c>
      <c r="AW29" s="171"/>
      <c r="AY29" s="171">
        <v>58.85</v>
      </c>
      <c r="AZ29">
        <v>58.85</v>
      </c>
      <c r="BA29" s="171"/>
      <c r="BC29" s="171">
        <v>58.97</v>
      </c>
      <c r="BD29">
        <v>58.97</v>
      </c>
      <c r="BE29" s="171"/>
      <c r="BG29" s="171">
        <v>59.05</v>
      </c>
      <c r="BH29">
        <v>58.63</v>
      </c>
      <c r="BI29" s="171"/>
      <c r="BK29" s="171">
        <v>58.85</v>
      </c>
      <c r="BL29">
        <v>58.85</v>
      </c>
      <c r="BM29" s="171"/>
      <c r="BO29" s="171">
        <v>58.63</v>
      </c>
      <c r="BP29">
        <v>58.63</v>
      </c>
      <c r="BQ29" s="171">
        <v>58.85</v>
      </c>
      <c r="BR29">
        <v>58.85</v>
      </c>
      <c r="BS29" s="171"/>
      <c r="BU29" s="171">
        <v>59.05</v>
      </c>
      <c r="BV29">
        <v>58.63</v>
      </c>
      <c r="BW29" s="171"/>
      <c r="BY29" s="171">
        <v>58.03</v>
      </c>
      <c r="BZ29">
        <v>58.03</v>
      </c>
      <c r="CA29" s="171">
        <v>58.78</v>
      </c>
      <c r="CB29">
        <v>58.78</v>
      </c>
      <c r="CC29" s="171">
        <v>58.85</v>
      </c>
      <c r="CD29">
        <v>58.85</v>
      </c>
      <c r="CG29">
        <v>58.85</v>
      </c>
      <c r="CH29">
        <v>58.63</v>
      </c>
      <c r="CK29">
        <v>58.97</v>
      </c>
      <c r="CL29">
        <v>58.97</v>
      </c>
      <c r="CO29">
        <v>58.85</v>
      </c>
      <c r="CP29">
        <v>58.85</v>
      </c>
      <c r="CS29">
        <v>59.1</v>
      </c>
      <c r="CT29">
        <v>59.1</v>
      </c>
      <c r="CW29">
        <v>59.05</v>
      </c>
      <c r="CX29">
        <v>58.63</v>
      </c>
      <c r="DA29">
        <v>59.05</v>
      </c>
      <c r="DB29">
        <v>58.631</v>
      </c>
    </row>
    <row r="30" spans="2:106">
      <c r="B30">
        <v>75</v>
      </c>
      <c r="C30">
        <v>58.62</v>
      </c>
      <c r="D30">
        <v>58.62</v>
      </c>
      <c r="E30" s="171"/>
      <c r="G30" s="171">
        <v>58.49</v>
      </c>
      <c r="H30">
        <v>58.22</v>
      </c>
      <c r="I30" s="171" t="s">
        <v>7476</v>
      </c>
      <c r="J30" t="s">
        <v>7476</v>
      </c>
      <c r="K30" s="171" t="s">
        <v>7477</v>
      </c>
      <c r="L30" t="s">
        <v>7477</v>
      </c>
      <c r="M30" s="171" t="s">
        <v>7478</v>
      </c>
      <c r="N30" t="s">
        <v>7478</v>
      </c>
      <c r="O30" s="171">
        <v>59.92</v>
      </c>
      <c r="P30">
        <v>59.92</v>
      </c>
      <c r="S30" s="171">
        <v>62.33</v>
      </c>
      <c r="T30">
        <v>62.33</v>
      </c>
      <c r="U30" s="171"/>
      <c r="W30" s="171">
        <v>60.46</v>
      </c>
      <c r="X30">
        <v>60.46</v>
      </c>
      <c r="Y30" s="171"/>
      <c r="AA30">
        <v>58.5</v>
      </c>
      <c r="AB30">
        <v>58.5</v>
      </c>
      <c r="AC30" s="171"/>
      <c r="AE30" s="171">
        <v>60.45</v>
      </c>
      <c r="AF30">
        <v>60.45</v>
      </c>
      <c r="AG30" s="171"/>
      <c r="AI30" s="171">
        <v>58.43</v>
      </c>
      <c r="AJ30">
        <v>57.67</v>
      </c>
      <c r="AK30" s="171"/>
      <c r="AM30" s="171">
        <v>58.49</v>
      </c>
      <c r="AN30">
        <v>58.49</v>
      </c>
      <c r="AO30" s="171"/>
      <c r="AQ30" s="171">
        <v>58.5</v>
      </c>
      <c r="AR30">
        <v>58.5</v>
      </c>
      <c r="AS30" s="171"/>
      <c r="AU30">
        <v>58.49</v>
      </c>
      <c r="AV30">
        <v>58.49</v>
      </c>
      <c r="AW30" s="171"/>
      <c r="AY30" s="171">
        <v>58.5</v>
      </c>
      <c r="AZ30">
        <v>58.5</v>
      </c>
      <c r="BA30" s="171"/>
      <c r="BC30" s="171">
        <v>58.62</v>
      </c>
      <c r="BD30">
        <v>58.62</v>
      </c>
      <c r="BE30" s="171"/>
      <c r="BG30" s="171">
        <v>58.74</v>
      </c>
      <c r="BH30">
        <v>58.22</v>
      </c>
      <c r="BI30" s="171"/>
      <c r="BK30" s="171">
        <v>58.5</v>
      </c>
      <c r="BL30">
        <v>58.5</v>
      </c>
      <c r="BM30" s="171"/>
      <c r="BO30" s="171">
        <v>58.22</v>
      </c>
      <c r="BP30">
        <v>58.22</v>
      </c>
      <c r="BQ30" s="171">
        <v>58.5</v>
      </c>
      <c r="BR30">
        <v>58.5</v>
      </c>
      <c r="BS30" s="171"/>
      <c r="BU30" s="171">
        <v>58.74</v>
      </c>
      <c r="BV30">
        <v>58.22</v>
      </c>
      <c r="BW30" s="171"/>
      <c r="BY30" s="171">
        <v>57.66</v>
      </c>
      <c r="BZ30">
        <v>57.66</v>
      </c>
      <c r="CA30" s="171">
        <v>58.45</v>
      </c>
      <c r="CB30">
        <v>58.45</v>
      </c>
      <c r="CC30" s="171">
        <v>58.5</v>
      </c>
      <c r="CD30">
        <v>58.5</v>
      </c>
      <c r="CG30">
        <v>58.49</v>
      </c>
      <c r="CH30">
        <v>58.22</v>
      </c>
      <c r="CK30">
        <v>58.62</v>
      </c>
      <c r="CL30">
        <v>58.62</v>
      </c>
      <c r="CO30">
        <v>58.5</v>
      </c>
      <c r="CP30">
        <v>58.5</v>
      </c>
      <c r="CS30">
        <v>58.75</v>
      </c>
      <c r="CT30">
        <v>58.75</v>
      </c>
      <c r="CW30">
        <v>58.74</v>
      </c>
      <c r="CX30">
        <v>58.22</v>
      </c>
      <c r="DA30">
        <v>58.741</v>
      </c>
      <c r="DB30">
        <v>58.220999999999997</v>
      </c>
    </row>
    <row r="31" spans="2:106">
      <c r="B31">
        <v>74</v>
      </c>
      <c r="C31">
        <v>58.22</v>
      </c>
      <c r="D31">
        <v>58.22</v>
      </c>
      <c r="E31" s="171"/>
      <c r="G31" s="171">
        <v>58.18</v>
      </c>
      <c r="H31">
        <v>57.9</v>
      </c>
      <c r="I31" s="171" t="s">
        <v>7479</v>
      </c>
      <c r="J31" t="s">
        <v>7479</v>
      </c>
      <c r="K31" s="171" t="s">
        <v>7480</v>
      </c>
      <c r="L31" t="s">
        <v>7480</v>
      </c>
      <c r="M31" s="171" t="s">
        <v>7481</v>
      </c>
      <c r="N31" t="s">
        <v>7481</v>
      </c>
      <c r="O31" s="171">
        <v>59.44</v>
      </c>
      <c r="P31">
        <v>59.44</v>
      </c>
      <c r="S31" s="171">
        <v>62.12</v>
      </c>
      <c r="T31">
        <v>62.12</v>
      </c>
      <c r="U31" s="171"/>
      <c r="W31" s="171">
        <v>60.14</v>
      </c>
      <c r="X31">
        <v>60.14</v>
      </c>
      <c r="Y31" s="171"/>
      <c r="AA31">
        <v>58.18</v>
      </c>
      <c r="AB31">
        <v>58.18</v>
      </c>
      <c r="AC31" s="171"/>
      <c r="AE31" s="171">
        <v>59.66</v>
      </c>
      <c r="AF31">
        <v>59.66</v>
      </c>
      <c r="AG31" s="171"/>
      <c r="AI31" s="171">
        <v>58.12</v>
      </c>
      <c r="AJ31">
        <v>57.35</v>
      </c>
      <c r="AK31" s="171"/>
      <c r="AM31" s="171">
        <v>58.18</v>
      </c>
      <c r="AN31">
        <v>58.18</v>
      </c>
      <c r="AO31" s="171"/>
      <c r="AQ31" s="171">
        <v>58.18</v>
      </c>
      <c r="AR31">
        <v>58.18</v>
      </c>
      <c r="AS31" s="171"/>
      <c r="AU31">
        <v>58.18</v>
      </c>
      <c r="AV31">
        <v>58.18</v>
      </c>
      <c r="AW31" s="171"/>
      <c r="AY31" s="171">
        <v>58.18</v>
      </c>
      <c r="AZ31">
        <v>58.18</v>
      </c>
      <c r="BA31" s="171"/>
      <c r="BC31" s="171">
        <v>58.22</v>
      </c>
      <c r="BD31">
        <v>58.22</v>
      </c>
      <c r="BE31" s="171"/>
      <c r="BG31" s="171">
        <v>58.43</v>
      </c>
      <c r="BH31">
        <v>57.9</v>
      </c>
      <c r="BI31" s="171"/>
      <c r="BK31" s="171">
        <v>58.18</v>
      </c>
      <c r="BL31">
        <v>58.18</v>
      </c>
      <c r="BM31" s="171"/>
      <c r="BO31" s="171">
        <v>57.9</v>
      </c>
      <c r="BP31">
        <v>57.9</v>
      </c>
      <c r="BQ31" s="171">
        <v>58.18</v>
      </c>
      <c r="BR31">
        <v>58.18</v>
      </c>
      <c r="BS31" s="171"/>
      <c r="BU31" s="171">
        <v>58.43</v>
      </c>
      <c r="BV31">
        <v>57.9</v>
      </c>
      <c r="BW31" s="171"/>
      <c r="BY31" s="171">
        <v>57.24</v>
      </c>
      <c r="BZ31">
        <v>57.24</v>
      </c>
      <c r="CA31" s="171">
        <v>58.1</v>
      </c>
      <c r="CB31">
        <v>58.1</v>
      </c>
      <c r="CC31" s="171">
        <v>58.18</v>
      </c>
      <c r="CD31">
        <v>58.18</v>
      </c>
      <c r="CG31">
        <v>58.18</v>
      </c>
      <c r="CH31">
        <v>57.9</v>
      </c>
      <c r="CK31">
        <v>58.22</v>
      </c>
      <c r="CL31">
        <v>58.22</v>
      </c>
      <c r="CO31">
        <v>58.18</v>
      </c>
      <c r="CP31">
        <v>58.18</v>
      </c>
      <c r="CS31">
        <v>58.32</v>
      </c>
      <c r="CT31">
        <v>58.32</v>
      </c>
      <c r="CW31">
        <v>58.43</v>
      </c>
      <c r="CX31">
        <v>57.9</v>
      </c>
      <c r="DA31">
        <v>58.426000000000002</v>
      </c>
      <c r="DB31">
        <v>57.904000000000003</v>
      </c>
    </row>
    <row r="32" spans="2:106">
      <c r="B32">
        <v>73</v>
      </c>
      <c r="C32">
        <v>57.86</v>
      </c>
      <c r="D32">
        <v>57.86</v>
      </c>
      <c r="E32" s="171"/>
      <c r="G32" s="171">
        <v>57.77</v>
      </c>
      <c r="H32">
        <v>57.53</v>
      </c>
      <c r="I32" s="171" t="s">
        <v>7482</v>
      </c>
      <c r="J32" t="s">
        <v>7482</v>
      </c>
      <c r="K32" s="171" t="s">
        <v>7483</v>
      </c>
      <c r="L32" t="s">
        <v>7483</v>
      </c>
      <c r="M32" s="171" t="s">
        <v>7484</v>
      </c>
      <c r="N32" t="s">
        <v>7484</v>
      </c>
      <c r="O32" s="171">
        <v>59.07</v>
      </c>
      <c r="P32">
        <v>59.07</v>
      </c>
      <c r="S32" s="171">
        <v>61.85</v>
      </c>
      <c r="T32">
        <v>61.85</v>
      </c>
      <c r="U32" s="171"/>
      <c r="W32" s="171">
        <v>59.73</v>
      </c>
      <c r="X32">
        <v>59.73</v>
      </c>
      <c r="Y32" s="171"/>
      <c r="AA32">
        <v>57.77</v>
      </c>
      <c r="AB32">
        <v>57.77</v>
      </c>
      <c r="AC32" s="171"/>
      <c r="AE32" s="171">
        <v>59.01</v>
      </c>
      <c r="AF32">
        <v>59.01</v>
      </c>
      <c r="AG32" s="171"/>
      <c r="AI32" s="171">
        <v>57.68</v>
      </c>
      <c r="AJ32">
        <v>56.99</v>
      </c>
      <c r="AK32" s="171"/>
      <c r="AM32" s="171">
        <v>57.77</v>
      </c>
      <c r="AN32">
        <v>57.77</v>
      </c>
      <c r="AO32" s="171"/>
      <c r="AQ32" s="171">
        <v>57.77</v>
      </c>
      <c r="AR32">
        <v>57.77</v>
      </c>
      <c r="AS32" s="171"/>
      <c r="AU32">
        <v>57.77</v>
      </c>
      <c r="AV32">
        <v>57.77</v>
      </c>
      <c r="AW32" s="171"/>
      <c r="AY32" s="171">
        <v>57.77</v>
      </c>
      <c r="AZ32">
        <v>57.77</v>
      </c>
      <c r="BA32" s="171"/>
      <c r="BC32" s="171">
        <v>57.86</v>
      </c>
      <c r="BD32">
        <v>57.86</v>
      </c>
      <c r="BE32" s="171"/>
      <c r="BG32" s="171">
        <v>57.98</v>
      </c>
      <c r="BH32">
        <v>57.54</v>
      </c>
      <c r="BI32" s="171"/>
      <c r="BK32" s="171">
        <v>57.77</v>
      </c>
      <c r="BL32">
        <v>57.77</v>
      </c>
      <c r="BM32" s="171"/>
      <c r="BO32" s="171">
        <v>57.54</v>
      </c>
      <c r="BP32">
        <v>57.54</v>
      </c>
      <c r="BQ32" s="171">
        <v>57.77</v>
      </c>
      <c r="BR32">
        <v>57.77</v>
      </c>
      <c r="BS32" s="171"/>
      <c r="BU32" s="171">
        <v>57.98</v>
      </c>
      <c r="BV32">
        <v>57.54</v>
      </c>
      <c r="BW32" s="171"/>
      <c r="BY32" s="171">
        <v>56.76</v>
      </c>
      <c r="BZ32">
        <v>56.76</v>
      </c>
      <c r="CA32" s="171">
        <v>57.72</v>
      </c>
      <c r="CB32">
        <v>57.72</v>
      </c>
      <c r="CC32" s="171">
        <v>57.77</v>
      </c>
      <c r="CD32">
        <v>57.77</v>
      </c>
      <c r="CG32">
        <v>57.77</v>
      </c>
      <c r="CH32">
        <v>57.53</v>
      </c>
      <c r="CK32">
        <v>57.86</v>
      </c>
      <c r="CL32">
        <v>57.86</v>
      </c>
      <c r="CO32">
        <v>57.77</v>
      </c>
      <c r="CP32">
        <v>57.77</v>
      </c>
      <c r="CS32">
        <v>57.95</v>
      </c>
      <c r="CT32">
        <v>57.95</v>
      </c>
      <c r="CW32">
        <v>57.98</v>
      </c>
      <c r="CX32">
        <v>57.54</v>
      </c>
      <c r="DA32">
        <v>57.981000000000002</v>
      </c>
      <c r="DB32">
        <v>57.534999999999997</v>
      </c>
    </row>
    <row r="33" spans="2:106">
      <c r="B33">
        <v>72</v>
      </c>
      <c r="C33">
        <v>57.5</v>
      </c>
      <c r="D33">
        <v>57.5</v>
      </c>
      <c r="E33" s="171"/>
      <c r="G33" s="171">
        <v>57.39</v>
      </c>
      <c r="H33">
        <v>57.25</v>
      </c>
      <c r="I33" s="171" t="s">
        <v>7485</v>
      </c>
      <c r="J33" t="s">
        <v>7485</v>
      </c>
      <c r="K33" s="171" t="s">
        <v>7486</v>
      </c>
      <c r="L33" t="s">
        <v>7486</v>
      </c>
      <c r="M33" s="171" t="s">
        <v>7487</v>
      </c>
      <c r="N33" t="s">
        <v>7487</v>
      </c>
      <c r="O33" s="171">
        <v>58.68</v>
      </c>
      <c r="P33">
        <v>58.68</v>
      </c>
      <c r="S33" s="171">
        <v>61.59</v>
      </c>
      <c r="T33">
        <v>61.59</v>
      </c>
      <c r="U33" s="171"/>
      <c r="W33" s="171">
        <v>59.35</v>
      </c>
      <c r="X33">
        <v>59.35</v>
      </c>
      <c r="Y33" s="171"/>
      <c r="AA33">
        <v>57.39</v>
      </c>
      <c r="AB33">
        <v>57.39</v>
      </c>
      <c r="AC33" s="171"/>
      <c r="AE33" s="171">
        <v>58.91</v>
      </c>
      <c r="AF33">
        <v>58.91</v>
      </c>
      <c r="AG33" s="171"/>
      <c r="AI33" s="171">
        <v>57.22</v>
      </c>
      <c r="AJ33">
        <v>56.71</v>
      </c>
      <c r="AK33" s="171"/>
      <c r="AM33" s="171">
        <v>57.39</v>
      </c>
      <c r="AN33">
        <v>57.39</v>
      </c>
      <c r="AO33" s="171"/>
      <c r="AQ33" s="171">
        <v>57.39</v>
      </c>
      <c r="AR33">
        <v>57.39</v>
      </c>
      <c r="AS33" s="171"/>
      <c r="AU33">
        <v>57.39</v>
      </c>
      <c r="AV33">
        <v>57.39</v>
      </c>
      <c r="AW33" s="171"/>
      <c r="AY33" s="171">
        <v>57.39</v>
      </c>
      <c r="AZ33">
        <v>57.39</v>
      </c>
      <c r="BA33" s="171"/>
      <c r="BC33" s="171">
        <v>57.5</v>
      </c>
      <c r="BD33">
        <v>57.5</v>
      </c>
      <c r="BE33" s="171"/>
      <c r="BG33" s="171">
        <v>57.52</v>
      </c>
      <c r="BH33">
        <v>57.25</v>
      </c>
      <c r="BI33" s="171"/>
      <c r="BK33" s="171">
        <v>57.39</v>
      </c>
      <c r="BL33">
        <v>57.39</v>
      </c>
      <c r="BM33" s="171"/>
      <c r="BO33" s="171">
        <v>57.25</v>
      </c>
      <c r="BP33">
        <v>57.25</v>
      </c>
      <c r="BQ33" s="171">
        <v>57.39</v>
      </c>
      <c r="BR33">
        <v>57.39</v>
      </c>
      <c r="BS33" s="171"/>
      <c r="BU33" s="171">
        <v>57.52</v>
      </c>
      <c r="BV33">
        <v>57.25</v>
      </c>
      <c r="BW33" s="171"/>
      <c r="BY33" s="171">
        <v>56.4</v>
      </c>
      <c r="BZ33">
        <v>56.4</v>
      </c>
      <c r="CA33" s="171">
        <v>57.39</v>
      </c>
      <c r="CB33">
        <v>57.39</v>
      </c>
      <c r="CC33" s="171">
        <v>57.39</v>
      </c>
      <c r="CD33">
        <v>57.39</v>
      </c>
      <c r="CG33">
        <v>57.39</v>
      </c>
      <c r="CH33">
        <v>57.25</v>
      </c>
      <c r="CK33">
        <v>57.5</v>
      </c>
      <c r="CL33">
        <v>57.5</v>
      </c>
      <c r="CO33">
        <v>57.39</v>
      </c>
      <c r="CP33">
        <v>57.39</v>
      </c>
      <c r="CS33">
        <v>57.57</v>
      </c>
      <c r="CT33">
        <v>57.57</v>
      </c>
      <c r="CW33">
        <v>57.52</v>
      </c>
      <c r="CX33">
        <v>57.25</v>
      </c>
      <c r="DA33">
        <v>57.518999999999998</v>
      </c>
      <c r="DB33">
        <v>57.25</v>
      </c>
    </row>
    <row r="34" spans="2:106">
      <c r="B34">
        <v>71</v>
      </c>
      <c r="C34">
        <v>57.16</v>
      </c>
      <c r="D34">
        <v>57.16</v>
      </c>
      <c r="E34" s="171"/>
      <c r="G34" s="171">
        <v>57.06</v>
      </c>
      <c r="H34">
        <v>56.95</v>
      </c>
      <c r="I34" s="171" t="s">
        <v>7488</v>
      </c>
      <c r="J34" t="s">
        <v>7488</v>
      </c>
      <c r="K34" s="171" t="s">
        <v>7489</v>
      </c>
      <c r="L34" t="s">
        <v>7489</v>
      </c>
      <c r="M34" s="171" t="s">
        <v>7490</v>
      </c>
      <c r="N34" t="s">
        <v>7490</v>
      </c>
      <c r="O34" s="171">
        <v>58.3</v>
      </c>
      <c r="P34">
        <v>58.3</v>
      </c>
      <c r="S34" s="171">
        <v>61.38</v>
      </c>
      <c r="T34">
        <v>61.38</v>
      </c>
      <c r="U34" s="171"/>
      <c r="W34" s="171">
        <v>59.03</v>
      </c>
      <c r="X34">
        <v>59.03</v>
      </c>
      <c r="Y34" s="171"/>
      <c r="AA34">
        <v>57.07</v>
      </c>
      <c r="AB34">
        <v>57.07</v>
      </c>
      <c r="AC34" s="171"/>
      <c r="AE34" s="171">
        <v>58.51</v>
      </c>
      <c r="AF34">
        <v>58.51</v>
      </c>
      <c r="AG34" s="171"/>
      <c r="AI34" s="171">
        <v>56.87</v>
      </c>
      <c r="AJ34">
        <v>56.42</v>
      </c>
      <c r="AK34" s="171"/>
      <c r="AM34" s="171">
        <v>57.06</v>
      </c>
      <c r="AN34">
        <v>57.06</v>
      </c>
      <c r="AO34" s="171"/>
      <c r="AQ34" s="171">
        <v>57.07</v>
      </c>
      <c r="AR34">
        <v>57.07</v>
      </c>
      <c r="AS34" s="171"/>
      <c r="AU34">
        <v>57.06</v>
      </c>
      <c r="AV34">
        <v>57.06</v>
      </c>
      <c r="AW34" s="171"/>
      <c r="AY34" s="171">
        <v>57.07</v>
      </c>
      <c r="AZ34">
        <v>57.07</v>
      </c>
      <c r="BA34" s="171"/>
      <c r="BC34" s="171">
        <v>57.16</v>
      </c>
      <c r="BD34">
        <v>57.16</v>
      </c>
      <c r="BE34" s="171"/>
      <c r="BG34" s="171">
        <v>57.17</v>
      </c>
      <c r="BH34">
        <v>56.96</v>
      </c>
      <c r="BI34" s="171"/>
      <c r="BK34" s="171">
        <v>57.07</v>
      </c>
      <c r="BL34">
        <v>57.07</v>
      </c>
      <c r="BM34" s="171"/>
      <c r="BO34" s="171">
        <v>56.96</v>
      </c>
      <c r="BP34">
        <v>56.96</v>
      </c>
      <c r="BQ34" s="171">
        <v>57.07</v>
      </c>
      <c r="BR34">
        <v>57.07</v>
      </c>
      <c r="BS34" s="171"/>
      <c r="BU34" s="171">
        <v>57.17</v>
      </c>
      <c r="BV34">
        <v>56.96</v>
      </c>
      <c r="BW34" s="171"/>
      <c r="BY34" s="171">
        <v>56.01</v>
      </c>
      <c r="BZ34">
        <v>56.01</v>
      </c>
      <c r="CA34" s="171">
        <v>57.05</v>
      </c>
      <c r="CB34">
        <v>57.05</v>
      </c>
      <c r="CC34" s="171">
        <v>57.07</v>
      </c>
      <c r="CD34">
        <v>57.07</v>
      </c>
      <c r="CG34">
        <v>57.06</v>
      </c>
      <c r="CH34">
        <v>56.95</v>
      </c>
      <c r="CK34">
        <v>57.16</v>
      </c>
      <c r="CL34">
        <v>57.16</v>
      </c>
      <c r="CO34">
        <v>57.07</v>
      </c>
      <c r="CP34">
        <v>57.07</v>
      </c>
      <c r="CS34">
        <v>57.2</v>
      </c>
      <c r="CT34">
        <v>57.2</v>
      </c>
      <c r="CW34">
        <v>57.17</v>
      </c>
      <c r="CX34">
        <v>56.96</v>
      </c>
      <c r="DA34">
        <v>57.167000000000002</v>
      </c>
      <c r="DB34">
        <v>56.957999999999998</v>
      </c>
    </row>
    <row r="35" spans="2:106">
      <c r="B35">
        <v>70</v>
      </c>
      <c r="C35">
        <v>56.81</v>
      </c>
      <c r="D35">
        <v>56.81</v>
      </c>
      <c r="E35" s="171"/>
      <c r="G35" s="171">
        <v>56.74</v>
      </c>
      <c r="H35">
        <v>56.65</v>
      </c>
      <c r="I35" s="171" t="s">
        <v>7491</v>
      </c>
      <c r="J35" t="s">
        <v>7491</v>
      </c>
      <c r="K35" s="171" t="s">
        <v>7492</v>
      </c>
      <c r="L35" t="s">
        <v>7492</v>
      </c>
      <c r="M35" s="171" t="s">
        <v>7493</v>
      </c>
      <c r="N35" t="s">
        <v>7493</v>
      </c>
      <c r="O35" s="171">
        <v>57.72</v>
      </c>
      <c r="P35">
        <v>57.72</v>
      </c>
      <c r="S35" s="171">
        <v>61.16</v>
      </c>
      <c r="T35">
        <v>61.16</v>
      </c>
      <c r="U35" s="171"/>
      <c r="W35" s="171">
        <v>58.71</v>
      </c>
      <c r="X35">
        <v>58.71</v>
      </c>
      <c r="Y35" s="171"/>
      <c r="AA35">
        <v>56.75</v>
      </c>
      <c r="AB35">
        <v>56.75</v>
      </c>
      <c r="AC35" s="171"/>
      <c r="AE35" s="171">
        <v>57.78</v>
      </c>
      <c r="AF35">
        <v>57.78</v>
      </c>
      <c r="AG35" s="171"/>
      <c r="AI35" s="171">
        <v>56.53</v>
      </c>
      <c r="AJ35">
        <v>56.12</v>
      </c>
      <c r="AK35" s="171"/>
      <c r="AM35" s="171">
        <v>56.74</v>
      </c>
      <c r="AN35">
        <v>56.74</v>
      </c>
      <c r="AO35" s="171"/>
      <c r="AQ35" s="171">
        <v>56.75</v>
      </c>
      <c r="AR35">
        <v>56.75</v>
      </c>
      <c r="AS35" s="171"/>
      <c r="AU35">
        <v>56.74</v>
      </c>
      <c r="AV35">
        <v>56.74</v>
      </c>
      <c r="AW35" s="171"/>
      <c r="AY35" s="171">
        <v>56.75</v>
      </c>
      <c r="AZ35">
        <v>56.75</v>
      </c>
      <c r="BA35" s="171"/>
      <c r="BC35" s="171">
        <v>56.81</v>
      </c>
      <c r="BD35">
        <v>56.81</v>
      </c>
      <c r="BE35" s="171"/>
      <c r="BG35" s="171">
        <v>56.82</v>
      </c>
      <c r="BH35">
        <v>56.66</v>
      </c>
      <c r="BI35" s="171"/>
      <c r="BK35" s="171">
        <v>56.75</v>
      </c>
      <c r="BL35">
        <v>56.75</v>
      </c>
      <c r="BM35" s="171"/>
      <c r="BO35" s="171">
        <v>56.66</v>
      </c>
      <c r="BP35">
        <v>56.66</v>
      </c>
      <c r="BQ35" s="171">
        <v>56.75</v>
      </c>
      <c r="BR35">
        <v>56.75</v>
      </c>
      <c r="BS35" s="171"/>
      <c r="BU35" s="171">
        <v>56.82</v>
      </c>
      <c r="BV35">
        <v>56.66</v>
      </c>
      <c r="BW35" s="171"/>
      <c r="BY35" s="171">
        <v>55.65</v>
      </c>
      <c r="BZ35">
        <v>55.65</v>
      </c>
      <c r="CA35" s="171">
        <v>56.7</v>
      </c>
      <c r="CB35">
        <v>56.7</v>
      </c>
      <c r="CC35" s="171">
        <v>56.75</v>
      </c>
      <c r="CD35">
        <v>56.75</v>
      </c>
      <c r="CG35">
        <v>56.74</v>
      </c>
      <c r="CH35">
        <v>56.65</v>
      </c>
      <c r="CK35">
        <v>56.81</v>
      </c>
      <c r="CL35">
        <v>56.81</v>
      </c>
      <c r="CO35">
        <v>56.75</v>
      </c>
      <c r="CP35">
        <v>56.75</v>
      </c>
      <c r="CS35">
        <v>56.85</v>
      </c>
      <c r="CT35">
        <v>56.85</v>
      </c>
      <c r="CW35">
        <v>56.82</v>
      </c>
      <c r="CX35">
        <v>56.66</v>
      </c>
      <c r="DA35">
        <v>56.823999999999998</v>
      </c>
      <c r="DB35">
        <v>56.655999999999999</v>
      </c>
    </row>
    <row r="36" spans="2:106">
      <c r="B36">
        <v>69</v>
      </c>
      <c r="C36">
        <v>56.46</v>
      </c>
      <c r="D36">
        <v>56.46</v>
      </c>
      <c r="E36" s="171"/>
      <c r="G36" s="171">
        <v>56.4</v>
      </c>
      <c r="H36">
        <v>56.32</v>
      </c>
      <c r="I36" s="171" t="s">
        <v>7494</v>
      </c>
      <c r="J36" t="s">
        <v>7494</v>
      </c>
      <c r="K36" s="171" t="s">
        <v>7495</v>
      </c>
      <c r="L36" t="s">
        <v>7495</v>
      </c>
      <c r="M36" s="171" t="s">
        <v>7496</v>
      </c>
      <c r="N36" t="s">
        <v>7496</v>
      </c>
      <c r="O36" s="171">
        <v>56.97</v>
      </c>
      <c r="P36">
        <v>56.97</v>
      </c>
      <c r="S36" s="171">
        <v>60.94</v>
      </c>
      <c r="T36">
        <v>60.94</v>
      </c>
      <c r="U36" s="171"/>
      <c r="W36" s="171">
        <v>58.37</v>
      </c>
      <c r="X36">
        <v>58.37</v>
      </c>
      <c r="Y36" s="171"/>
      <c r="AA36">
        <v>56.41</v>
      </c>
      <c r="AB36">
        <v>56.41</v>
      </c>
      <c r="AC36" s="171"/>
      <c r="AE36" s="171">
        <v>57.76</v>
      </c>
      <c r="AF36">
        <v>57.76</v>
      </c>
      <c r="AG36" s="171"/>
      <c r="AI36" s="171">
        <v>56.18</v>
      </c>
      <c r="AJ36">
        <v>55.79</v>
      </c>
      <c r="AK36" s="171"/>
      <c r="AM36" s="171">
        <v>56.4</v>
      </c>
      <c r="AN36">
        <v>56.4</v>
      </c>
      <c r="AO36" s="171"/>
      <c r="AQ36" s="171">
        <v>56.41</v>
      </c>
      <c r="AR36">
        <v>56.41</v>
      </c>
      <c r="AS36" s="171"/>
      <c r="AU36">
        <v>56.4</v>
      </c>
      <c r="AV36">
        <v>56.4</v>
      </c>
      <c r="AW36" s="171"/>
      <c r="AY36" s="171">
        <v>56.41</v>
      </c>
      <c r="AZ36">
        <v>56.41</v>
      </c>
      <c r="BA36" s="171"/>
      <c r="BC36" s="171">
        <v>56.46</v>
      </c>
      <c r="BD36">
        <v>56.46</v>
      </c>
      <c r="BE36" s="171"/>
      <c r="BG36" s="171">
        <v>56.48</v>
      </c>
      <c r="BH36">
        <v>56.32</v>
      </c>
      <c r="BI36" s="171"/>
      <c r="BK36" s="171">
        <v>56.41</v>
      </c>
      <c r="BL36">
        <v>56.41</v>
      </c>
      <c r="BM36" s="171"/>
      <c r="BO36" s="171">
        <v>56.32</v>
      </c>
      <c r="BP36">
        <v>56.32</v>
      </c>
      <c r="BQ36" s="171">
        <v>56.41</v>
      </c>
      <c r="BR36">
        <v>56.41</v>
      </c>
      <c r="BS36" s="171"/>
      <c r="BU36" s="171">
        <v>56.48</v>
      </c>
      <c r="BV36">
        <v>56.32</v>
      </c>
      <c r="BW36" s="171"/>
      <c r="BY36" s="171">
        <v>55.29</v>
      </c>
      <c r="BZ36">
        <v>55.29</v>
      </c>
      <c r="CA36" s="171">
        <v>56.37</v>
      </c>
      <c r="CB36">
        <v>56.37</v>
      </c>
      <c r="CC36" s="171">
        <v>56.41</v>
      </c>
      <c r="CD36">
        <v>56.41</v>
      </c>
      <c r="CG36">
        <v>56.4</v>
      </c>
      <c r="CH36">
        <v>56.32</v>
      </c>
      <c r="CK36">
        <v>56.46</v>
      </c>
      <c r="CL36">
        <v>56.46</v>
      </c>
      <c r="CO36">
        <v>56.41</v>
      </c>
      <c r="CP36">
        <v>56.41</v>
      </c>
      <c r="CS36">
        <v>56.5</v>
      </c>
      <c r="CT36">
        <v>56.5</v>
      </c>
      <c r="CW36">
        <v>56.48</v>
      </c>
      <c r="CX36">
        <v>56.32</v>
      </c>
      <c r="DA36">
        <v>56.481000000000002</v>
      </c>
      <c r="DB36">
        <v>56.323</v>
      </c>
    </row>
    <row r="37" spans="2:106">
      <c r="B37">
        <v>68</v>
      </c>
      <c r="C37">
        <v>56.12</v>
      </c>
      <c r="D37">
        <v>56.12</v>
      </c>
      <c r="E37" s="171"/>
      <c r="G37" s="171">
        <v>56.01</v>
      </c>
      <c r="H37">
        <v>55.9</v>
      </c>
      <c r="I37" s="171" t="s">
        <v>7497</v>
      </c>
      <c r="J37" t="s">
        <v>7497</v>
      </c>
      <c r="K37" s="171" t="s">
        <v>7498</v>
      </c>
      <c r="L37" t="s">
        <v>7498</v>
      </c>
      <c r="M37" s="171" t="s">
        <v>7499</v>
      </c>
      <c r="N37" t="s">
        <v>7499</v>
      </c>
      <c r="O37" s="171">
        <v>56.57</v>
      </c>
      <c r="P37">
        <v>56.57</v>
      </c>
      <c r="S37" s="171">
        <v>60.68</v>
      </c>
      <c r="T37">
        <v>60.68</v>
      </c>
      <c r="U37" s="171"/>
      <c r="W37" s="171">
        <v>57.98</v>
      </c>
      <c r="X37">
        <v>57.98</v>
      </c>
      <c r="Y37" s="171"/>
      <c r="AA37">
        <v>56.01</v>
      </c>
      <c r="AB37">
        <v>56.01</v>
      </c>
      <c r="AC37" s="171"/>
      <c r="AE37" s="171">
        <v>57.21</v>
      </c>
      <c r="AF37">
        <v>57.21</v>
      </c>
      <c r="AG37" s="171"/>
      <c r="AI37" s="171">
        <v>55.82</v>
      </c>
      <c r="AJ37">
        <v>55.38</v>
      </c>
      <c r="AK37" s="171"/>
      <c r="AM37" s="171">
        <v>56.01</v>
      </c>
      <c r="AN37">
        <v>56.01</v>
      </c>
      <c r="AO37" s="171"/>
      <c r="AQ37" s="171">
        <v>56.02</v>
      </c>
      <c r="AR37">
        <v>56.02</v>
      </c>
      <c r="AS37" s="171"/>
      <c r="AU37">
        <v>56.01</v>
      </c>
      <c r="AV37">
        <v>56.01</v>
      </c>
      <c r="AW37" s="171"/>
      <c r="AY37" s="171">
        <v>56.02</v>
      </c>
      <c r="AZ37">
        <v>56.02</v>
      </c>
      <c r="BA37" s="171"/>
      <c r="BC37" s="171">
        <v>56.12</v>
      </c>
      <c r="BD37">
        <v>56.12</v>
      </c>
      <c r="BE37" s="171"/>
      <c r="BG37" s="171">
        <v>56.11</v>
      </c>
      <c r="BH37">
        <v>55.91</v>
      </c>
      <c r="BI37" s="171"/>
      <c r="BK37" s="171">
        <v>56.01</v>
      </c>
      <c r="BL37">
        <v>56.01</v>
      </c>
      <c r="BM37" s="171"/>
      <c r="BO37" s="171">
        <v>55.91</v>
      </c>
      <c r="BP37">
        <v>55.91</v>
      </c>
      <c r="BQ37" s="171">
        <v>56.02</v>
      </c>
      <c r="BR37">
        <v>56.02</v>
      </c>
      <c r="BS37" s="171"/>
      <c r="BU37" s="171">
        <v>56.11</v>
      </c>
      <c r="BV37">
        <v>55.91</v>
      </c>
      <c r="BW37" s="171"/>
      <c r="BY37" s="171">
        <v>54.93</v>
      </c>
      <c r="BZ37">
        <v>54.93</v>
      </c>
      <c r="CA37" s="171">
        <v>55.98</v>
      </c>
      <c r="CB37">
        <v>55.98</v>
      </c>
      <c r="CC37" s="171">
        <v>56.02</v>
      </c>
      <c r="CD37">
        <v>56.02</v>
      </c>
      <c r="CG37">
        <v>56.01</v>
      </c>
      <c r="CH37">
        <v>55.9</v>
      </c>
      <c r="CK37">
        <v>56.12</v>
      </c>
      <c r="CL37">
        <v>56.12</v>
      </c>
      <c r="CO37">
        <v>56.02</v>
      </c>
      <c r="CP37">
        <v>56.02</v>
      </c>
      <c r="CS37">
        <v>56.14</v>
      </c>
      <c r="CT37">
        <v>56.14</v>
      </c>
      <c r="CW37">
        <v>56.11</v>
      </c>
      <c r="CX37">
        <v>55.91</v>
      </c>
      <c r="DA37">
        <v>56.110999999999997</v>
      </c>
      <c r="DB37">
        <v>55.905999999999999</v>
      </c>
    </row>
    <row r="38" spans="2:106">
      <c r="B38">
        <v>67</v>
      </c>
      <c r="C38">
        <v>55.75</v>
      </c>
      <c r="D38">
        <v>55.75</v>
      </c>
      <c r="E38" s="171"/>
      <c r="G38" s="171">
        <v>55.61</v>
      </c>
      <c r="H38">
        <v>55.46</v>
      </c>
      <c r="I38" s="171" t="s">
        <v>7500</v>
      </c>
      <c r="J38" t="s">
        <v>7500</v>
      </c>
      <c r="K38" s="171" t="s">
        <v>7501</v>
      </c>
      <c r="L38" t="s">
        <v>7501</v>
      </c>
      <c r="M38" s="171" t="s">
        <v>7502</v>
      </c>
      <c r="N38" t="s">
        <v>7502</v>
      </c>
      <c r="O38" s="171">
        <v>56.17</v>
      </c>
      <c r="P38">
        <v>56.17</v>
      </c>
      <c r="S38" s="171">
        <v>60.41</v>
      </c>
      <c r="T38">
        <v>60.41</v>
      </c>
      <c r="U38" s="171"/>
      <c r="W38" s="171">
        <v>57.57</v>
      </c>
      <c r="X38">
        <v>57.57</v>
      </c>
      <c r="Y38" s="171"/>
      <c r="AA38">
        <v>55.61</v>
      </c>
      <c r="AB38">
        <v>55.61</v>
      </c>
      <c r="AC38" s="171"/>
      <c r="AE38" s="171">
        <v>56.63</v>
      </c>
      <c r="AF38">
        <v>56.63</v>
      </c>
      <c r="AG38" s="171"/>
      <c r="AI38" s="171">
        <v>55.45</v>
      </c>
      <c r="AJ38">
        <v>54.94</v>
      </c>
      <c r="AK38" s="171"/>
      <c r="AM38" s="171">
        <v>55.61</v>
      </c>
      <c r="AN38">
        <v>55.61</v>
      </c>
      <c r="AO38" s="171"/>
      <c r="AQ38" s="171">
        <v>55.61</v>
      </c>
      <c r="AR38">
        <v>55.61</v>
      </c>
      <c r="AS38" s="171"/>
      <c r="AU38">
        <v>55.61</v>
      </c>
      <c r="AV38">
        <v>55.61</v>
      </c>
      <c r="AW38" s="171"/>
      <c r="AY38" s="171">
        <v>55.61</v>
      </c>
      <c r="AZ38">
        <v>55.61</v>
      </c>
      <c r="BA38" s="171"/>
      <c r="BC38" s="171">
        <v>55.75</v>
      </c>
      <c r="BD38">
        <v>55.75</v>
      </c>
      <c r="BE38" s="171"/>
      <c r="BG38" s="171">
        <v>55.74</v>
      </c>
      <c r="BH38">
        <v>55.53</v>
      </c>
      <c r="BI38" s="171"/>
      <c r="BK38" s="171">
        <v>55.61</v>
      </c>
      <c r="BL38">
        <v>55.61</v>
      </c>
      <c r="BM38" s="171"/>
      <c r="BO38" s="171">
        <v>55.47</v>
      </c>
      <c r="BP38">
        <v>55.47</v>
      </c>
      <c r="BQ38" s="171">
        <v>55.61</v>
      </c>
      <c r="BR38">
        <v>55.61</v>
      </c>
      <c r="BS38" s="171"/>
      <c r="BU38" s="171">
        <v>55.74</v>
      </c>
      <c r="BV38">
        <v>55.47</v>
      </c>
      <c r="BW38" s="171"/>
      <c r="BY38" s="171">
        <v>54.59</v>
      </c>
      <c r="BZ38">
        <v>54.59</v>
      </c>
      <c r="CA38" s="171">
        <v>55.62</v>
      </c>
      <c r="CB38">
        <v>55.62</v>
      </c>
      <c r="CC38" s="171">
        <v>55.61</v>
      </c>
      <c r="CD38">
        <v>55.61</v>
      </c>
      <c r="CG38">
        <v>55.61</v>
      </c>
      <c r="CH38">
        <v>55.46</v>
      </c>
      <c r="CK38">
        <v>55.75</v>
      </c>
      <c r="CL38">
        <v>55.75</v>
      </c>
      <c r="CO38">
        <v>55.61</v>
      </c>
      <c r="CP38">
        <v>55.61</v>
      </c>
      <c r="CS38">
        <v>55.72</v>
      </c>
      <c r="CT38">
        <v>55.72</v>
      </c>
      <c r="CW38">
        <v>55.74</v>
      </c>
      <c r="CX38">
        <v>55.47</v>
      </c>
      <c r="DA38">
        <v>55.741</v>
      </c>
      <c r="DB38">
        <v>55.469000000000001</v>
      </c>
    </row>
    <row r="39" spans="2:106">
      <c r="B39">
        <v>66</v>
      </c>
      <c r="C39">
        <v>55.43</v>
      </c>
      <c r="D39">
        <v>55.43</v>
      </c>
      <c r="E39" s="171"/>
      <c r="G39" s="171">
        <v>55.24</v>
      </c>
      <c r="H39">
        <v>55.08</v>
      </c>
      <c r="I39" s="171" t="s">
        <v>7503</v>
      </c>
      <c r="J39" t="s">
        <v>7503</v>
      </c>
      <c r="K39" s="171" t="s">
        <v>7504</v>
      </c>
      <c r="L39" t="s">
        <v>7504</v>
      </c>
      <c r="M39" s="171" t="s">
        <v>7505</v>
      </c>
      <c r="N39" t="s">
        <v>7505</v>
      </c>
      <c r="O39" s="171">
        <v>55.8</v>
      </c>
      <c r="P39">
        <v>55.8</v>
      </c>
      <c r="S39" s="171">
        <v>60.16</v>
      </c>
      <c r="T39">
        <v>60.16</v>
      </c>
      <c r="U39" s="171"/>
      <c r="W39" s="171">
        <v>57.21</v>
      </c>
      <c r="X39">
        <v>57.21</v>
      </c>
      <c r="Y39" s="171"/>
      <c r="AA39">
        <v>55.25</v>
      </c>
      <c r="AB39">
        <v>55.25</v>
      </c>
      <c r="AC39" s="171"/>
      <c r="AE39" s="171">
        <v>56.39</v>
      </c>
      <c r="AF39">
        <v>56.39</v>
      </c>
      <c r="AG39" s="171"/>
      <c r="AI39" s="171">
        <v>55.1</v>
      </c>
      <c r="AJ39">
        <v>54.56</v>
      </c>
      <c r="AK39" s="171"/>
      <c r="AM39" s="171">
        <v>55.24</v>
      </c>
      <c r="AN39">
        <v>55.24</v>
      </c>
      <c r="AO39" s="171"/>
      <c r="AQ39" s="171">
        <v>55.25</v>
      </c>
      <c r="AR39">
        <v>55.25</v>
      </c>
      <c r="AS39" s="171"/>
      <c r="AU39">
        <v>55.24</v>
      </c>
      <c r="AV39">
        <v>55.24</v>
      </c>
      <c r="AW39" s="171"/>
      <c r="AY39" s="171">
        <v>55.25</v>
      </c>
      <c r="AZ39">
        <v>55.25</v>
      </c>
      <c r="BA39" s="171"/>
      <c r="BC39" s="171">
        <v>55.43</v>
      </c>
      <c r="BD39">
        <v>55.43</v>
      </c>
      <c r="BE39" s="171"/>
      <c r="BG39" s="171">
        <v>55.39</v>
      </c>
      <c r="BH39">
        <v>55.13</v>
      </c>
      <c r="BI39" s="171"/>
      <c r="BK39" s="171">
        <v>55.25</v>
      </c>
      <c r="BL39">
        <v>55.25</v>
      </c>
      <c r="BM39" s="171"/>
      <c r="BO39" s="171">
        <v>55.08</v>
      </c>
      <c r="BP39">
        <v>55.08</v>
      </c>
      <c r="BQ39" s="171">
        <v>55.25</v>
      </c>
      <c r="BR39">
        <v>55.25</v>
      </c>
      <c r="BS39" s="171"/>
      <c r="BU39" s="171">
        <v>55.39</v>
      </c>
      <c r="BV39">
        <v>55.08</v>
      </c>
      <c r="BW39" s="171"/>
      <c r="BY39" s="171">
        <v>54.17</v>
      </c>
      <c r="BZ39">
        <v>54.17</v>
      </c>
      <c r="CA39" s="171">
        <v>55.25</v>
      </c>
      <c r="CB39">
        <v>55.25</v>
      </c>
      <c r="CC39" s="171">
        <v>55.25</v>
      </c>
      <c r="CD39">
        <v>55.25</v>
      </c>
      <c r="CG39">
        <v>55.24</v>
      </c>
      <c r="CH39">
        <v>55.08</v>
      </c>
      <c r="CK39">
        <v>55.43</v>
      </c>
      <c r="CL39">
        <v>55.43</v>
      </c>
      <c r="CO39">
        <v>55.25</v>
      </c>
      <c r="CP39">
        <v>55.25</v>
      </c>
      <c r="CS39">
        <v>55.39</v>
      </c>
      <c r="CT39">
        <v>55.39</v>
      </c>
      <c r="CW39">
        <v>55.39</v>
      </c>
      <c r="CX39">
        <v>55.08</v>
      </c>
      <c r="DA39">
        <v>55.389000000000003</v>
      </c>
      <c r="DB39">
        <v>55.082999999999998</v>
      </c>
    </row>
    <row r="40" spans="2:106">
      <c r="B40">
        <v>65</v>
      </c>
      <c r="C40">
        <v>55.06</v>
      </c>
      <c r="D40">
        <v>55.06</v>
      </c>
      <c r="E40" s="171"/>
      <c r="G40" s="171">
        <v>54.89</v>
      </c>
      <c r="H40">
        <v>54.72</v>
      </c>
      <c r="I40" s="171" t="s">
        <v>7506</v>
      </c>
      <c r="J40" t="s">
        <v>7506</v>
      </c>
      <c r="K40" s="171" t="s">
        <v>7507</v>
      </c>
      <c r="L40" t="s">
        <v>7507</v>
      </c>
      <c r="M40" s="171" t="s">
        <v>7504</v>
      </c>
      <c r="N40" t="s">
        <v>7504</v>
      </c>
      <c r="O40" s="171">
        <v>55.44</v>
      </c>
      <c r="P40">
        <v>55.44</v>
      </c>
      <c r="S40" s="171">
        <v>59.93</v>
      </c>
      <c r="T40">
        <v>59.93</v>
      </c>
      <c r="U40" s="171"/>
      <c r="W40" s="171">
        <v>56.85</v>
      </c>
      <c r="X40">
        <v>56.85</v>
      </c>
      <c r="Y40" s="171"/>
      <c r="AA40">
        <v>54.89</v>
      </c>
      <c r="AB40">
        <v>54.89</v>
      </c>
      <c r="AC40" s="171"/>
      <c r="AE40" s="171">
        <v>55.9</v>
      </c>
      <c r="AF40">
        <v>55.9</v>
      </c>
      <c r="AG40" s="171"/>
      <c r="AI40" s="171">
        <v>54.75</v>
      </c>
      <c r="AJ40">
        <v>54.21</v>
      </c>
      <c r="AK40" s="171"/>
      <c r="AM40" s="171">
        <v>54.89</v>
      </c>
      <c r="AN40">
        <v>54.89</v>
      </c>
      <c r="AO40" s="171"/>
      <c r="AQ40" s="171">
        <v>54.89</v>
      </c>
      <c r="AR40">
        <v>54.89</v>
      </c>
      <c r="AS40" s="171"/>
      <c r="AU40">
        <v>54.89</v>
      </c>
      <c r="AV40">
        <v>54.89</v>
      </c>
      <c r="AW40" s="171"/>
      <c r="AY40" s="171">
        <v>54.89</v>
      </c>
      <c r="AZ40">
        <v>54.89</v>
      </c>
      <c r="BA40" s="171"/>
      <c r="BC40" s="171">
        <v>55.06</v>
      </c>
      <c r="BD40">
        <v>55.06</v>
      </c>
      <c r="BE40" s="171"/>
      <c r="BG40" s="171">
        <v>55.04</v>
      </c>
      <c r="BH40">
        <v>54.75</v>
      </c>
      <c r="BI40" s="171"/>
      <c r="BK40" s="171">
        <v>54.89</v>
      </c>
      <c r="BL40">
        <v>54.89</v>
      </c>
      <c r="BM40" s="171"/>
      <c r="BO40" s="171">
        <v>54.73</v>
      </c>
      <c r="BP40">
        <v>54.73</v>
      </c>
      <c r="BQ40" s="171">
        <v>54.89</v>
      </c>
      <c r="BR40">
        <v>54.89</v>
      </c>
      <c r="BS40" s="171"/>
      <c r="BU40" s="171">
        <v>55.04</v>
      </c>
      <c r="BV40">
        <v>54.73</v>
      </c>
      <c r="BW40" s="171"/>
      <c r="BY40" s="171">
        <v>53.85</v>
      </c>
      <c r="BZ40">
        <v>53.85</v>
      </c>
      <c r="CA40" s="171">
        <v>54.93</v>
      </c>
      <c r="CB40">
        <v>54.93</v>
      </c>
      <c r="CC40" s="171">
        <v>54.89</v>
      </c>
      <c r="CD40">
        <v>54.89</v>
      </c>
      <c r="CG40">
        <v>54.89</v>
      </c>
      <c r="CH40">
        <v>54.72</v>
      </c>
      <c r="CK40">
        <v>55.06</v>
      </c>
      <c r="CL40">
        <v>55.06</v>
      </c>
      <c r="CO40">
        <v>54.89</v>
      </c>
      <c r="CP40">
        <v>54.89</v>
      </c>
      <c r="CS40">
        <v>55.02</v>
      </c>
      <c r="CT40">
        <v>55.02</v>
      </c>
      <c r="CW40">
        <v>55.04</v>
      </c>
      <c r="CX40">
        <v>54.73</v>
      </c>
      <c r="DA40">
        <v>55.036999999999999</v>
      </c>
      <c r="DB40">
        <v>54.728999999999999</v>
      </c>
    </row>
    <row r="41" spans="2:106">
      <c r="B41">
        <v>64</v>
      </c>
      <c r="C41">
        <v>54.67</v>
      </c>
      <c r="D41">
        <v>54.67</v>
      </c>
      <c r="E41" s="171"/>
      <c r="G41" s="171">
        <v>54.52</v>
      </c>
      <c r="H41">
        <v>54.370000000000005</v>
      </c>
      <c r="I41" s="171" t="s">
        <v>7508</v>
      </c>
      <c r="J41" t="s">
        <v>7508</v>
      </c>
      <c r="K41" s="171" t="s">
        <v>7509</v>
      </c>
      <c r="L41" t="s">
        <v>7509</v>
      </c>
      <c r="M41" s="171" t="s">
        <v>7510</v>
      </c>
      <c r="N41" t="s">
        <v>7510</v>
      </c>
      <c r="O41" s="171">
        <v>55.08</v>
      </c>
      <c r="P41">
        <v>55.08</v>
      </c>
      <c r="S41" s="171">
        <v>59.69</v>
      </c>
      <c r="T41">
        <v>59.69</v>
      </c>
      <c r="U41" s="171"/>
      <c r="W41" s="171">
        <v>56.49</v>
      </c>
      <c r="X41">
        <v>56.49</v>
      </c>
      <c r="Y41" s="171"/>
      <c r="AA41">
        <v>54.53</v>
      </c>
      <c r="AB41">
        <v>54.53</v>
      </c>
      <c r="AC41" s="171"/>
      <c r="AE41" s="171">
        <v>55.74</v>
      </c>
      <c r="AF41">
        <v>55.74</v>
      </c>
      <c r="AG41" s="171"/>
      <c r="AI41" s="171">
        <v>54.38</v>
      </c>
      <c r="AJ41">
        <v>53.86</v>
      </c>
      <c r="AK41" s="171"/>
      <c r="AM41" s="171">
        <v>54.52</v>
      </c>
      <c r="AN41">
        <v>54.52</v>
      </c>
      <c r="AO41" s="171"/>
      <c r="AQ41" s="171">
        <v>54.53</v>
      </c>
      <c r="AR41">
        <v>54.53</v>
      </c>
      <c r="AS41" s="171"/>
      <c r="AU41">
        <v>54.52</v>
      </c>
      <c r="AV41">
        <v>54.52</v>
      </c>
      <c r="AW41" s="171"/>
      <c r="AY41" s="171">
        <v>54.53</v>
      </c>
      <c r="AZ41">
        <v>54.53</v>
      </c>
      <c r="BA41" s="171"/>
      <c r="BC41" s="171">
        <v>54.67</v>
      </c>
      <c r="BD41">
        <v>54.67</v>
      </c>
      <c r="BE41" s="171"/>
      <c r="BG41" s="171">
        <v>54.67</v>
      </c>
      <c r="BH41">
        <v>54.38</v>
      </c>
      <c r="BI41" s="171"/>
      <c r="BK41" s="171">
        <v>54.53</v>
      </c>
      <c r="BL41">
        <v>54.53</v>
      </c>
      <c r="BM41" s="171"/>
      <c r="BO41" s="171">
        <v>54.38</v>
      </c>
      <c r="BP41">
        <v>54.38</v>
      </c>
      <c r="BQ41" s="171">
        <v>54.53</v>
      </c>
      <c r="BR41">
        <v>54.53</v>
      </c>
      <c r="BS41" s="171"/>
      <c r="BU41" s="171">
        <v>54.67</v>
      </c>
      <c r="BV41">
        <v>54.38</v>
      </c>
      <c r="BW41" s="171"/>
      <c r="BY41" s="171">
        <v>53.53</v>
      </c>
      <c r="BZ41">
        <v>53.53</v>
      </c>
      <c r="CA41" s="171">
        <v>54.6</v>
      </c>
      <c r="CB41">
        <v>54.6</v>
      </c>
      <c r="CC41" s="171">
        <v>54.53</v>
      </c>
      <c r="CD41">
        <v>54.53</v>
      </c>
      <c r="CG41">
        <v>54.52</v>
      </c>
      <c r="CH41">
        <v>54.370000000000005</v>
      </c>
      <c r="CK41">
        <v>54.67</v>
      </c>
      <c r="CL41">
        <v>54.67</v>
      </c>
      <c r="CO41">
        <v>54.53</v>
      </c>
      <c r="CP41">
        <v>54.53</v>
      </c>
      <c r="CS41">
        <v>54.61</v>
      </c>
      <c r="CT41">
        <v>54.61</v>
      </c>
      <c r="CW41">
        <v>54.67</v>
      </c>
      <c r="CX41">
        <v>54.38</v>
      </c>
      <c r="DA41">
        <v>54.667000000000002</v>
      </c>
      <c r="DB41">
        <v>54.375</v>
      </c>
    </row>
    <row r="42" spans="2:106">
      <c r="B42">
        <v>63</v>
      </c>
      <c r="C42">
        <v>54.3</v>
      </c>
      <c r="D42">
        <v>54.3</v>
      </c>
      <c r="E42" s="171"/>
      <c r="G42" s="171">
        <v>54.15</v>
      </c>
      <c r="H42">
        <v>53.96</v>
      </c>
      <c r="I42" s="171" t="s">
        <v>7511</v>
      </c>
      <c r="J42" t="s">
        <v>7511</v>
      </c>
      <c r="K42" s="171" t="s">
        <v>7512</v>
      </c>
      <c r="L42" t="s">
        <v>7512</v>
      </c>
      <c r="M42" s="171" t="s">
        <v>7032</v>
      </c>
      <c r="N42" t="s">
        <v>7032</v>
      </c>
      <c r="O42" s="171">
        <v>54.69</v>
      </c>
      <c r="P42">
        <v>54.69</v>
      </c>
      <c r="S42" s="171">
        <v>59.44</v>
      </c>
      <c r="T42">
        <v>59.44</v>
      </c>
      <c r="U42" s="171"/>
      <c r="W42" s="171">
        <v>56.12</v>
      </c>
      <c r="X42">
        <v>56.12</v>
      </c>
      <c r="Y42" s="171"/>
      <c r="AA42">
        <v>54.15</v>
      </c>
      <c r="AB42">
        <v>54.15</v>
      </c>
      <c r="AC42" s="171"/>
      <c r="AE42" s="171">
        <v>55.18</v>
      </c>
      <c r="AF42">
        <v>55.18</v>
      </c>
      <c r="AG42" s="171"/>
      <c r="AI42" s="171">
        <v>54.04</v>
      </c>
      <c r="AJ42">
        <v>53.46</v>
      </c>
      <c r="AK42" s="171"/>
      <c r="AM42" s="171">
        <v>54.15</v>
      </c>
      <c r="AN42">
        <v>54.15</v>
      </c>
      <c r="AO42" s="171"/>
      <c r="AQ42" s="171">
        <v>54.16</v>
      </c>
      <c r="AR42">
        <v>54.16</v>
      </c>
      <c r="AS42" s="171"/>
      <c r="AU42">
        <v>54.15</v>
      </c>
      <c r="AV42">
        <v>54.15</v>
      </c>
      <c r="AW42" s="171"/>
      <c r="AY42" s="171">
        <v>54.16</v>
      </c>
      <c r="AZ42">
        <v>54.16</v>
      </c>
      <c r="BA42" s="171"/>
      <c r="BC42" s="171">
        <v>54.3</v>
      </c>
      <c r="BD42">
        <v>54.3</v>
      </c>
      <c r="BE42" s="171"/>
      <c r="BG42" s="171">
        <v>54.32</v>
      </c>
      <c r="BH42">
        <v>53.97</v>
      </c>
      <c r="BI42" s="171"/>
      <c r="BK42" s="171">
        <v>54.15</v>
      </c>
      <c r="BL42">
        <v>54.15</v>
      </c>
      <c r="BM42" s="171"/>
      <c r="BO42" s="171">
        <v>53.97</v>
      </c>
      <c r="BP42">
        <v>53.97</v>
      </c>
      <c r="BQ42" s="171">
        <v>54.16</v>
      </c>
      <c r="BR42">
        <v>54.16</v>
      </c>
      <c r="BS42" s="171"/>
      <c r="BU42" s="171">
        <v>54.32</v>
      </c>
      <c r="BV42">
        <v>53.97</v>
      </c>
      <c r="BW42" s="171"/>
      <c r="BY42" s="171">
        <v>53.23</v>
      </c>
      <c r="BZ42">
        <v>53.23</v>
      </c>
      <c r="CA42" s="171">
        <v>54.27</v>
      </c>
      <c r="CB42">
        <v>54.27</v>
      </c>
      <c r="CC42" s="171">
        <v>54.16</v>
      </c>
      <c r="CD42">
        <v>54.16</v>
      </c>
      <c r="CG42">
        <v>54.15</v>
      </c>
      <c r="CH42">
        <v>53.96</v>
      </c>
      <c r="CK42">
        <v>54.3</v>
      </c>
      <c r="CL42">
        <v>54.3</v>
      </c>
      <c r="CO42">
        <v>54.16</v>
      </c>
      <c r="CP42">
        <v>54.16</v>
      </c>
      <c r="CS42">
        <v>54.23</v>
      </c>
      <c r="CT42">
        <v>54.23</v>
      </c>
      <c r="CW42">
        <v>54.32</v>
      </c>
      <c r="CX42">
        <v>53.97</v>
      </c>
      <c r="DA42">
        <v>54.32</v>
      </c>
      <c r="DB42">
        <v>53.969000000000001</v>
      </c>
    </row>
    <row r="43" spans="2:106">
      <c r="B43">
        <v>62</v>
      </c>
      <c r="C43">
        <v>53.92</v>
      </c>
      <c r="D43">
        <v>53.92</v>
      </c>
      <c r="E43" s="171"/>
      <c r="G43" s="171">
        <v>53.77</v>
      </c>
      <c r="H43">
        <v>53.54</v>
      </c>
      <c r="I43" s="171" t="s">
        <v>7513</v>
      </c>
      <c r="J43" t="s">
        <v>7513</v>
      </c>
      <c r="K43" s="171" t="s">
        <v>7514</v>
      </c>
      <c r="L43" t="s">
        <v>7514</v>
      </c>
      <c r="M43" s="171" t="s">
        <v>7515</v>
      </c>
      <c r="N43" t="s">
        <v>7515</v>
      </c>
      <c r="O43" s="171">
        <v>54.31</v>
      </c>
      <c r="P43">
        <v>54.31</v>
      </c>
      <c r="S43" s="171">
        <v>59.18</v>
      </c>
      <c r="T43">
        <v>59.18</v>
      </c>
      <c r="U43" s="171"/>
      <c r="W43" s="171">
        <v>55.73</v>
      </c>
      <c r="X43">
        <v>55.73</v>
      </c>
      <c r="Y43" s="171"/>
      <c r="AA43">
        <v>53.77</v>
      </c>
      <c r="AB43">
        <v>53.77</v>
      </c>
      <c r="AC43" s="171"/>
      <c r="AE43" s="171">
        <v>54.83</v>
      </c>
      <c r="AF43">
        <v>54.83</v>
      </c>
      <c r="AG43" s="171"/>
      <c r="AI43" s="171">
        <v>53.69</v>
      </c>
      <c r="AJ43">
        <v>53.03</v>
      </c>
      <c r="AK43" s="171"/>
      <c r="AM43" s="171">
        <v>53.77</v>
      </c>
      <c r="AN43">
        <v>53.77</v>
      </c>
      <c r="AO43" s="171"/>
      <c r="AQ43" s="171">
        <v>53.77</v>
      </c>
      <c r="AR43">
        <v>53.77</v>
      </c>
      <c r="AS43" s="171"/>
      <c r="AU43">
        <v>53.77</v>
      </c>
      <c r="AV43">
        <v>53.77</v>
      </c>
      <c r="AW43" s="171"/>
      <c r="AY43" s="171">
        <v>53.77</v>
      </c>
      <c r="AZ43">
        <v>53.77</v>
      </c>
      <c r="BA43" s="171"/>
      <c r="BC43" s="171">
        <v>53.92</v>
      </c>
      <c r="BD43">
        <v>53.92</v>
      </c>
      <c r="BE43" s="171"/>
      <c r="BG43" s="171">
        <v>53.97</v>
      </c>
      <c r="BH43">
        <v>53.54</v>
      </c>
      <c r="BI43" s="171"/>
      <c r="BK43" s="171">
        <v>53.77</v>
      </c>
      <c r="BL43">
        <v>53.77</v>
      </c>
      <c r="BM43" s="171"/>
      <c r="BO43" s="171">
        <v>53.54</v>
      </c>
      <c r="BP43">
        <v>53.54</v>
      </c>
      <c r="BQ43" s="171">
        <v>53.77</v>
      </c>
      <c r="BR43">
        <v>53.77</v>
      </c>
      <c r="BS43" s="171"/>
      <c r="BU43" s="171">
        <v>53.97</v>
      </c>
      <c r="BV43">
        <v>53.54</v>
      </c>
      <c r="BW43" s="171"/>
      <c r="BY43" s="171">
        <v>52.95</v>
      </c>
      <c r="BZ43">
        <v>52.95</v>
      </c>
      <c r="CA43" s="171">
        <v>53.94</v>
      </c>
      <c r="CB43">
        <v>53.94</v>
      </c>
      <c r="CC43" s="171">
        <v>53.77</v>
      </c>
      <c r="CD43">
        <v>53.77</v>
      </c>
      <c r="CG43">
        <v>53.77</v>
      </c>
      <c r="CH43">
        <v>53.54</v>
      </c>
      <c r="CK43">
        <v>53.92</v>
      </c>
      <c r="CL43">
        <v>53.92</v>
      </c>
      <c r="CO43">
        <v>53.77</v>
      </c>
      <c r="CP43">
        <v>53.77</v>
      </c>
      <c r="CS43">
        <v>53.85</v>
      </c>
      <c r="CT43">
        <v>53.85</v>
      </c>
      <c r="CW43">
        <v>53.97</v>
      </c>
      <c r="CX43">
        <v>53.54</v>
      </c>
      <c r="DA43">
        <v>53.973999999999997</v>
      </c>
      <c r="DB43">
        <v>53.542000000000002</v>
      </c>
    </row>
    <row r="44" spans="2:106">
      <c r="B44">
        <v>61</v>
      </c>
      <c r="C44">
        <v>53.53</v>
      </c>
      <c r="D44">
        <v>53.53</v>
      </c>
      <c r="E44" s="171"/>
      <c r="G44" s="171">
        <v>53.36</v>
      </c>
      <c r="H44">
        <v>53.07</v>
      </c>
      <c r="I44" s="171" t="s">
        <v>7516</v>
      </c>
      <c r="J44" t="s">
        <v>7516</v>
      </c>
      <c r="K44" s="171" t="s">
        <v>7517</v>
      </c>
      <c r="L44" t="s">
        <v>7517</v>
      </c>
      <c r="M44" s="171" t="s">
        <v>7518</v>
      </c>
      <c r="N44" t="s">
        <v>7518</v>
      </c>
      <c r="O44" s="171">
        <v>53.9</v>
      </c>
      <c r="P44">
        <v>53.9</v>
      </c>
      <c r="S44" s="171">
        <v>58.91</v>
      </c>
      <c r="T44">
        <v>58.91</v>
      </c>
      <c r="U44" s="171"/>
      <c r="W44" s="171">
        <v>55.33</v>
      </c>
      <c r="X44">
        <v>55.33</v>
      </c>
      <c r="Y44" s="171"/>
      <c r="AA44">
        <v>53.37</v>
      </c>
      <c r="AB44">
        <v>53.37</v>
      </c>
      <c r="AC44" s="171"/>
      <c r="AE44" s="171">
        <v>54.44</v>
      </c>
      <c r="AF44">
        <v>54.44</v>
      </c>
      <c r="AG44" s="171"/>
      <c r="AI44" s="171">
        <v>53.35</v>
      </c>
      <c r="AJ44">
        <v>52.57</v>
      </c>
      <c r="AK44" s="171"/>
      <c r="AM44" s="171">
        <v>53.36</v>
      </c>
      <c r="AN44">
        <v>53.36</v>
      </c>
      <c r="AO44" s="171"/>
      <c r="AQ44" s="171">
        <v>53.37</v>
      </c>
      <c r="AR44">
        <v>53.37</v>
      </c>
      <c r="AS44" s="171"/>
      <c r="AU44">
        <v>53.36</v>
      </c>
      <c r="AV44">
        <v>53.36</v>
      </c>
      <c r="AW44" s="171"/>
      <c r="AY44" s="171">
        <v>53.37</v>
      </c>
      <c r="AZ44">
        <v>53.37</v>
      </c>
      <c r="BA44" s="171"/>
      <c r="BC44" s="171">
        <v>53.53</v>
      </c>
      <c r="BD44">
        <v>53.53</v>
      </c>
      <c r="BE44" s="171"/>
      <c r="BG44" s="171">
        <v>53.63</v>
      </c>
      <c r="BH44">
        <v>53.1</v>
      </c>
      <c r="BI44" s="171"/>
      <c r="BK44" s="171">
        <v>53.37</v>
      </c>
      <c r="BL44">
        <v>53.37</v>
      </c>
      <c r="BM44" s="171"/>
      <c r="BO44" s="171">
        <v>53.07</v>
      </c>
      <c r="BP44">
        <v>53.07</v>
      </c>
      <c r="BQ44" s="171">
        <v>53.37</v>
      </c>
      <c r="BR44">
        <v>53.37</v>
      </c>
      <c r="BS44" s="171"/>
      <c r="BU44" s="171">
        <v>53.63</v>
      </c>
      <c r="BV44">
        <v>53.07</v>
      </c>
      <c r="BW44" s="171"/>
      <c r="BY44" s="171">
        <v>52.63</v>
      </c>
      <c r="BZ44">
        <v>52.63</v>
      </c>
      <c r="CA44" s="171">
        <v>53.6</v>
      </c>
      <c r="CB44">
        <v>53.6</v>
      </c>
      <c r="CC44" s="171">
        <v>53.37</v>
      </c>
      <c r="CD44">
        <v>53.37</v>
      </c>
      <c r="CG44">
        <v>53.36</v>
      </c>
      <c r="CH44">
        <v>53.07</v>
      </c>
      <c r="CK44">
        <v>53.53</v>
      </c>
      <c r="CL44">
        <v>53.53</v>
      </c>
      <c r="CO44">
        <v>53.37</v>
      </c>
      <c r="CP44">
        <v>53.37</v>
      </c>
      <c r="CS44">
        <v>53.44</v>
      </c>
      <c r="CT44">
        <v>53.44</v>
      </c>
      <c r="CW44">
        <v>53.63</v>
      </c>
      <c r="CX44">
        <v>53.07</v>
      </c>
      <c r="DA44">
        <v>53.628</v>
      </c>
      <c r="DB44">
        <v>53.073</v>
      </c>
    </row>
    <row r="45" spans="2:106">
      <c r="B45">
        <v>60</v>
      </c>
      <c r="C45">
        <v>53.13</v>
      </c>
      <c r="D45">
        <v>53.13</v>
      </c>
      <c r="E45" s="171"/>
      <c r="G45" s="171">
        <v>52.99</v>
      </c>
      <c r="H45">
        <v>52.71</v>
      </c>
      <c r="I45" s="171" t="s">
        <v>7519</v>
      </c>
      <c r="J45" t="s">
        <v>7519</v>
      </c>
      <c r="K45" s="171" t="s">
        <v>7520</v>
      </c>
      <c r="L45" t="s">
        <v>7520</v>
      </c>
      <c r="M45" s="171" t="s">
        <v>7043</v>
      </c>
      <c r="N45" t="s">
        <v>7043</v>
      </c>
      <c r="O45" s="171">
        <v>53.53</v>
      </c>
      <c r="P45">
        <v>53.53</v>
      </c>
      <c r="S45" s="171">
        <v>58.67</v>
      </c>
      <c r="T45">
        <v>58.67</v>
      </c>
      <c r="U45" s="171"/>
      <c r="W45" s="171">
        <v>54.96</v>
      </c>
      <c r="X45">
        <v>54.96</v>
      </c>
      <c r="Y45" s="171"/>
      <c r="AA45">
        <v>53</v>
      </c>
      <c r="AB45">
        <v>53</v>
      </c>
      <c r="AC45" s="171"/>
      <c r="AE45" s="171">
        <v>54.14</v>
      </c>
      <c r="AF45">
        <v>54.14</v>
      </c>
      <c r="AG45" s="171"/>
      <c r="AI45" s="171">
        <v>52.97</v>
      </c>
      <c r="AJ45">
        <v>52.22</v>
      </c>
      <c r="AK45" s="171"/>
      <c r="AM45" s="171">
        <v>52.99</v>
      </c>
      <c r="AN45">
        <v>52.99</v>
      </c>
      <c r="AO45" s="171"/>
      <c r="AQ45" s="171">
        <v>53</v>
      </c>
      <c r="AR45">
        <v>53</v>
      </c>
      <c r="AS45" s="171"/>
      <c r="AU45">
        <v>52.99</v>
      </c>
      <c r="AV45">
        <v>52.99</v>
      </c>
      <c r="AW45" s="171"/>
      <c r="AY45" s="171">
        <v>53</v>
      </c>
      <c r="AZ45">
        <v>53</v>
      </c>
      <c r="BA45" s="171"/>
      <c r="BC45" s="171">
        <v>53.13</v>
      </c>
      <c r="BD45">
        <v>53.13</v>
      </c>
      <c r="BE45" s="171"/>
      <c r="BG45" s="171">
        <v>53.25</v>
      </c>
      <c r="BH45">
        <v>52.76</v>
      </c>
      <c r="BI45" s="171"/>
      <c r="BK45" s="171">
        <v>53</v>
      </c>
      <c r="BL45">
        <v>53</v>
      </c>
      <c r="BM45" s="171"/>
      <c r="BO45" s="171">
        <v>52.72</v>
      </c>
      <c r="BP45">
        <v>52.72</v>
      </c>
      <c r="BQ45" s="171">
        <v>53</v>
      </c>
      <c r="BR45">
        <v>53</v>
      </c>
      <c r="BS45" s="171"/>
      <c r="BU45" s="171">
        <v>53.24</v>
      </c>
      <c r="BV45">
        <v>52.72</v>
      </c>
      <c r="BW45" s="171"/>
      <c r="BY45" s="171">
        <v>52.27</v>
      </c>
      <c r="BZ45">
        <v>52.27</v>
      </c>
      <c r="CA45" s="171">
        <v>53.23</v>
      </c>
      <c r="CB45">
        <v>53.23</v>
      </c>
      <c r="CC45" s="171">
        <v>53</v>
      </c>
      <c r="CD45">
        <v>53</v>
      </c>
      <c r="CG45">
        <v>52.99</v>
      </c>
      <c r="CH45">
        <v>52.71</v>
      </c>
      <c r="CK45">
        <v>53.13</v>
      </c>
      <c r="CL45">
        <v>53.13</v>
      </c>
      <c r="CO45">
        <v>53</v>
      </c>
      <c r="CP45">
        <v>53</v>
      </c>
      <c r="CS45">
        <v>53</v>
      </c>
      <c r="CT45">
        <v>53</v>
      </c>
      <c r="CW45">
        <v>53.24</v>
      </c>
      <c r="CX45">
        <v>52.72</v>
      </c>
      <c r="DA45">
        <v>53.244</v>
      </c>
      <c r="DB45">
        <v>52.719000000000001</v>
      </c>
    </row>
    <row r="46" spans="2:106">
      <c r="B46">
        <v>59</v>
      </c>
      <c r="C46">
        <v>52.72</v>
      </c>
      <c r="D46">
        <v>52.72</v>
      </c>
      <c r="E46" s="171"/>
      <c r="G46" s="171">
        <v>52.660000000000004</v>
      </c>
      <c r="H46">
        <v>52.38</v>
      </c>
      <c r="I46" s="171" t="s">
        <v>7521</v>
      </c>
      <c r="J46" t="s">
        <v>7521</v>
      </c>
      <c r="K46" s="171" t="s">
        <v>7522</v>
      </c>
      <c r="L46" t="s">
        <v>7522</v>
      </c>
      <c r="M46" s="171" t="s">
        <v>7523</v>
      </c>
      <c r="N46" t="s">
        <v>7523</v>
      </c>
      <c r="O46" s="171">
        <v>53.19</v>
      </c>
      <c r="P46">
        <v>53.19</v>
      </c>
      <c r="S46" s="171">
        <v>58.44</v>
      </c>
      <c r="T46">
        <v>58.44</v>
      </c>
      <c r="U46" s="171"/>
      <c r="W46" s="171">
        <v>54.62</v>
      </c>
      <c r="X46">
        <v>54.62</v>
      </c>
      <c r="Y46" s="171"/>
      <c r="AA46">
        <v>52.66</v>
      </c>
      <c r="AB46">
        <v>52.66</v>
      </c>
      <c r="AC46" s="171"/>
      <c r="AE46" s="171">
        <v>54.09</v>
      </c>
      <c r="AF46">
        <v>54.09</v>
      </c>
      <c r="AG46" s="171"/>
      <c r="AI46" s="171">
        <v>52.63</v>
      </c>
      <c r="AJ46">
        <v>51.89</v>
      </c>
      <c r="AK46" s="171"/>
      <c r="AM46" s="171">
        <v>52.66</v>
      </c>
      <c r="AN46">
        <v>52.66</v>
      </c>
      <c r="AO46" s="171"/>
      <c r="AQ46" s="171">
        <v>52.66</v>
      </c>
      <c r="AR46">
        <v>52.66</v>
      </c>
      <c r="AS46" s="171"/>
      <c r="AU46">
        <v>52.66</v>
      </c>
      <c r="AV46">
        <v>52.66</v>
      </c>
      <c r="AW46" s="171"/>
      <c r="AY46" s="171">
        <v>52.66</v>
      </c>
      <c r="AZ46">
        <v>52.66</v>
      </c>
      <c r="BA46" s="171"/>
      <c r="BC46" s="171">
        <v>52.72</v>
      </c>
      <c r="BD46">
        <v>52.72</v>
      </c>
      <c r="BE46" s="171"/>
      <c r="BG46" s="171">
        <v>52.91</v>
      </c>
      <c r="BH46">
        <v>52.43</v>
      </c>
      <c r="BI46" s="171"/>
      <c r="BK46" s="171">
        <v>52.66</v>
      </c>
      <c r="BL46">
        <v>52.66</v>
      </c>
      <c r="BM46" s="171"/>
      <c r="BO46" s="171">
        <v>52.39</v>
      </c>
      <c r="BP46">
        <v>52.39</v>
      </c>
      <c r="BQ46" s="171">
        <v>52.66</v>
      </c>
      <c r="BR46">
        <v>52.66</v>
      </c>
      <c r="BS46" s="171"/>
      <c r="BU46" s="171">
        <v>52.91</v>
      </c>
      <c r="BV46">
        <v>52.39</v>
      </c>
      <c r="BW46" s="171"/>
      <c r="BY46" s="171">
        <v>51.93</v>
      </c>
      <c r="BZ46">
        <v>51.93</v>
      </c>
      <c r="CA46" s="171">
        <v>52.84</v>
      </c>
      <c r="CB46">
        <v>52.84</v>
      </c>
      <c r="CC46" s="171">
        <v>52.66</v>
      </c>
      <c r="CD46">
        <v>52.66</v>
      </c>
      <c r="CG46">
        <v>52.660000000000004</v>
      </c>
      <c r="CH46">
        <v>52.38</v>
      </c>
      <c r="CK46">
        <v>52.72</v>
      </c>
      <c r="CL46">
        <v>52.72</v>
      </c>
      <c r="CO46">
        <v>52.66</v>
      </c>
      <c r="CP46">
        <v>52.66</v>
      </c>
      <c r="CS46">
        <v>52.54</v>
      </c>
      <c r="CT46">
        <v>52.54</v>
      </c>
      <c r="CW46">
        <v>52.91</v>
      </c>
      <c r="CX46">
        <v>52.39</v>
      </c>
      <c r="DA46">
        <v>52.906999999999996</v>
      </c>
      <c r="DB46">
        <v>52.384999999999998</v>
      </c>
    </row>
    <row r="47" spans="2:106">
      <c r="B47">
        <v>58</v>
      </c>
      <c r="C47">
        <v>52.31</v>
      </c>
      <c r="D47">
        <v>52.31</v>
      </c>
      <c r="E47" s="171"/>
      <c r="G47" s="171">
        <v>52.33</v>
      </c>
      <c r="H47">
        <v>52.08</v>
      </c>
      <c r="I47" s="171" t="s">
        <v>7524</v>
      </c>
      <c r="J47" t="s">
        <v>7524</v>
      </c>
      <c r="K47" s="171" t="s">
        <v>7525</v>
      </c>
      <c r="L47" t="s">
        <v>7525</v>
      </c>
      <c r="M47" s="171" t="s">
        <v>7526</v>
      </c>
      <c r="N47" t="s">
        <v>7526</v>
      </c>
      <c r="O47" s="171">
        <v>52.85</v>
      </c>
      <c r="P47">
        <v>52.85</v>
      </c>
      <c r="S47" s="171">
        <v>58.22</v>
      </c>
      <c r="T47">
        <v>58.22</v>
      </c>
      <c r="U47" s="171"/>
      <c r="W47" s="171">
        <v>54.29</v>
      </c>
      <c r="X47">
        <v>54.29</v>
      </c>
      <c r="Y47" s="171"/>
      <c r="AA47">
        <v>52.33</v>
      </c>
      <c r="AB47">
        <v>52.33</v>
      </c>
      <c r="AC47" s="171"/>
      <c r="AE47" s="171">
        <v>52.88</v>
      </c>
      <c r="AF47">
        <v>52.88</v>
      </c>
      <c r="AG47" s="171"/>
      <c r="AI47" s="171">
        <v>52.28</v>
      </c>
      <c r="AJ47">
        <v>51.59</v>
      </c>
      <c r="AK47" s="171"/>
      <c r="AM47" s="171">
        <v>52.33</v>
      </c>
      <c r="AN47">
        <v>52.33</v>
      </c>
      <c r="AO47" s="171"/>
      <c r="AQ47" s="171">
        <v>52.33</v>
      </c>
      <c r="AR47">
        <v>52.33</v>
      </c>
      <c r="AS47" s="171"/>
      <c r="AU47">
        <v>52.33</v>
      </c>
      <c r="AV47">
        <v>52.33</v>
      </c>
      <c r="AW47" s="171"/>
      <c r="AY47" s="171">
        <v>52.33</v>
      </c>
      <c r="AZ47">
        <v>52.33</v>
      </c>
      <c r="BA47" s="171"/>
      <c r="BC47" s="171">
        <v>52.31</v>
      </c>
      <c r="BD47">
        <v>52.31</v>
      </c>
      <c r="BE47" s="171"/>
      <c r="BG47" s="171">
        <v>52.56</v>
      </c>
      <c r="BH47">
        <v>52.11</v>
      </c>
      <c r="BI47" s="171"/>
      <c r="BK47" s="171">
        <v>52.33</v>
      </c>
      <c r="BL47">
        <v>52.33</v>
      </c>
      <c r="BM47" s="171"/>
      <c r="BO47" s="171">
        <v>52.08</v>
      </c>
      <c r="BP47">
        <v>52.08</v>
      </c>
      <c r="BQ47" s="171">
        <v>52.33</v>
      </c>
      <c r="BR47">
        <v>52.33</v>
      </c>
      <c r="BS47" s="171"/>
      <c r="BU47" s="171">
        <v>52.56</v>
      </c>
      <c r="BV47">
        <v>52.08</v>
      </c>
      <c r="BW47" s="171"/>
      <c r="BY47" s="171">
        <v>51.63</v>
      </c>
      <c r="BZ47">
        <v>51.63</v>
      </c>
      <c r="CA47" s="171">
        <v>52.51</v>
      </c>
      <c r="CB47">
        <v>52.51</v>
      </c>
      <c r="CC47" s="171">
        <v>52.33</v>
      </c>
      <c r="CD47">
        <v>52.33</v>
      </c>
      <c r="CG47">
        <v>52.33</v>
      </c>
      <c r="CH47">
        <v>52.08</v>
      </c>
      <c r="CK47">
        <v>52.31</v>
      </c>
      <c r="CL47">
        <v>52.31</v>
      </c>
      <c r="CO47">
        <v>52.33</v>
      </c>
      <c r="CP47">
        <v>52.33</v>
      </c>
      <c r="CS47">
        <v>52.12</v>
      </c>
      <c r="CT47">
        <v>52.12</v>
      </c>
      <c r="CW47">
        <v>52.56</v>
      </c>
      <c r="CX47">
        <v>52.08</v>
      </c>
      <c r="DA47">
        <v>52.555999999999997</v>
      </c>
      <c r="DB47">
        <v>52.082999999999998</v>
      </c>
    </row>
    <row r="48" spans="2:106">
      <c r="B48">
        <v>57</v>
      </c>
      <c r="C48">
        <v>51.93</v>
      </c>
      <c r="D48">
        <v>51.93</v>
      </c>
      <c r="E48" s="171"/>
      <c r="G48" s="171">
        <v>51.96</v>
      </c>
      <c r="H48">
        <v>51.77</v>
      </c>
      <c r="I48" s="171" t="s">
        <v>7527</v>
      </c>
      <c r="J48" t="s">
        <v>7527</v>
      </c>
      <c r="K48" s="171" t="s">
        <v>7528</v>
      </c>
      <c r="L48" t="s">
        <v>7528</v>
      </c>
      <c r="M48" s="171" t="s">
        <v>7529</v>
      </c>
      <c r="N48" t="s">
        <v>7529</v>
      </c>
      <c r="O48" s="171">
        <v>52.48</v>
      </c>
      <c r="P48">
        <v>52.48</v>
      </c>
      <c r="S48" s="171">
        <v>57.97</v>
      </c>
      <c r="T48">
        <v>57.97</v>
      </c>
      <c r="U48" s="171"/>
      <c r="W48" s="171">
        <v>53.92</v>
      </c>
      <c r="X48">
        <v>53.92</v>
      </c>
      <c r="Y48" s="171"/>
      <c r="AA48">
        <v>51.96</v>
      </c>
      <c r="AB48">
        <v>51.96</v>
      </c>
      <c r="AC48" s="171"/>
      <c r="AE48" s="171">
        <v>52.59</v>
      </c>
      <c r="AF48">
        <v>52.59</v>
      </c>
      <c r="AG48" s="171"/>
      <c r="AI48" s="171">
        <v>51.86</v>
      </c>
      <c r="AJ48">
        <v>51.28</v>
      </c>
      <c r="AK48" s="171"/>
      <c r="AM48" s="171">
        <v>51.96</v>
      </c>
      <c r="AN48">
        <v>51.96</v>
      </c>
      <c r="AO48" s="171"/>
      <c r="AQ48" s="171">
        <v>51.96</v>
      </c>
      <c r="AR48">
        <v>51.96</v>
      </c>
      <c r="AS48" s="171"/>
      <c r="AU48">
        <v>51.96</v>
      </c>
      <c r="AV48">
        <v>51.96</v>
      </c>
      <c r="AW48" s="171"/>
      <c r="AY48" s="171">
        <v>51.96</v>
      </c>
      <c r="AZ48">
        <v>51.96</v>
      </c>
      <c r="BA48" s="171"/>
      <c r="BC48" s="171">
        <v>51.93</v>
      </c>
      <c r="BD48">
        <v>51.93</v>
      </c>
      <c r="BE48" s="171"/>
      <c r="BG48" s="171">
        <v>52.13</v>
      </c>
      <c r="BH48">
        <v>51.77</v>
      </c>
      <c r="BI48" s="171"/>
      <c r="BK48" s="171">
        <v>51.96</v>
      </c>
      <c r="BL48">
        <v>51.96</v>
      </c>
      <c r="BM48" s="171"/>
      <c r="BO48" s="171">
        <v>51.77</v>
      </c>
      <c r="BP48">
        <v>51.77</v>
      </c>
      <c r="BQ48" s="171">
        <v>51.96</v>
      </c>
      <c r="BR48">
        <v>51.96</v>
      </c>
      <c r="BS48" s="171"/>
      <c r="BU48" s="171">
        <v>52.13</v>
      </c>
      <c r="BV48">
        <v>51.77</v>
      </c>
      <c r="BW48" s="171"/>
      <c r="BY48" s="171">
        <v>51.32</v>
      </c>
      <c r="BZ48">
        <v>51.32</v>
      </c>
      <c r="CA48" s="171">
        <v>52.17</v>
      </c>
      <c r="CB48">
        <v>52.17</v>
      </c>
      <c r="CC48" s="171">
        <v>51.96</v>
      </c>
      <c r="CD48">
        <v>51.96</v>
      </c>
      <c r="CG48">
        <v>51.96</v>
      </c>
      <c r="CH48">
        <v>51.77</v>
      </c>
      <c r="CK48">
        <v>51.93</v>
      </c>
      <c r="CL48">
        <v>51.93</v>
      </c>
      <c r="CO48">
        <v>51.96</v>
      </c>
      <c r="CP48">
        <v>51.96</v>
      </c>
      <c r="CS48">
        <v>51.72</v>
      </c>
      <c r="CT48">
        <v>51.72</v>
      </c>
      <c r="CW48">
        <v>52.13</v>
      </c>
      <c r="CX48">
        <v>51.77</v>
      </c>
      <c r="DA48">
        <v>52.13</v>
      </c>
      <c r="DB48">
        <v>51.771000000000001</v>
      </c>
    </row>
    <row r="49" spans="2:106">
      <c r="B49">
        <v>56</v>
      </c>
      <c r="C49">
        <v>51.57</v>
      </c>
      <c r="D49">
        <v>51.57</v>
      </c>
      <c r="E49" s="171"/>
      <c r="G49" s="171">
        <v>51.61</v>
      </c>
      <c r="H49">
        <v>51.44</v>
      </c>
      <c r="I49" s="171" t="s">
        <v>7530</v>
      </c>
      <c r="J49" t="s">
        <v>7530</v>
      </c>
      <c r="K49" s="171" t="s">
        <v>7531</v>
      </c>
      <c r="L49" t="s">
        <v>7531</v>
      </c>
      <c r="M49" s="171" t="s">
        <v>7532</v>
      </c>
      <c r="N49" t="s">
        <v>7532</v>
      </c>
      <c r="O49" s="171">
        <v>52.13</v>
      </c>
      <c r="P49">
        <v>52.13</v>
      </c>
      <c r="S49" s="171">
        <v>57.74</v>
      </c>
      <c r="T49">
        <v>57.74</v>
      </c>
      <c r="U49" s="171"/>
      <c r="W49" s="171">
        <v>53.57</v>
      </c>
      <c r="X49">
        <v>53.57</v>
      </c>
      <c r="Y49" s="171"/>
      <c r="AA49">
        <v>51.61</v>
      </c>
      <c r="AB49">
        <v>51.61</v>
      </c>
      <c r="AC49" s="171"/>
      <c r="AE49" s="171">
        <v>52.51</v>
      </c>
      <c r="AF49">
        <v>52.51</v>
      </c>
      <c r="AG49" s="171"/>
      <c r="AI49" s="171">
        <v>51.49</v>
      </c>
      <c r="AJ49">
        <v>50.96</v>
      </c>
      <c r="AK49" s="171"/>
      <c r="AM49" s="171">
        <v>51.61</v>
      </c>
      <c r="AN49">
        <v>51.61</v>
      </c>
      <c r="AO49" s="171"/>
      <c r="AQ49" s="171">
        <v>51.61</v>
      </c>
      <c r="AR49">
        <v>51.61</v>
      </c>
      <c r="AS49" s="171"/>
      <c r="AU49">
        <v>51.61</v>
      </c>
      <c r="AV49">
        <v>51.61</v>
      </c>
      <c r="AW49" s="171"/>
      <c r="AY49" s="171">
        <v>51.61</v>
      </c>
      <c r="AZ49">
        <v>51.61</v>
      </c>
      <c r="BA49" s="171"/>
      <c r="BC49" s="171">
        <v>51.57</v>
      </c>
      <c r="BD49">
        <v>51.57</v>
      </c>
      <c r="BE49" s="171"/>
      <c r="BG49" s="171">
        <v>51.76</v>
      </c>
      <c r="BH49">
        <v>51.45</v>
      </c>
      <c r="BI49" s="171"/>
      <c r="BK49" s="171">
        <v>51.61</v>
      </c>
      <c r="BL49">
        <v>51.61</v>
      </c>
      <c r="BM49" s="171"/>
      <c r="BO49" s="171">
        <v>51.45</v>
      </c>
      <c r="BP49">
        <v>51.45</v>
      </c>
      <c r="BQ49" s="171">
        <v>51.61</v>
      </c>
      <c r="BR49">
        <v>51.61</v>
      </c>
      <c r="BS49" s="171"/>
      <c r="BU49" s="171">
        <v>51.76</v>
      </c>
      <c r="BV49">
        <v>51.45</v>
      </c>
      <c r="BW49" s="171"/>
      <c r="BY49" s="171">
        <v>51.05</v>
      </c>
      <c r="BZ49">
        <v>51.05</v>
      </c>
      <c r="CA49" s="171">
        <v>51.83</v>
      </c>
      <c r="CB49">
        <v>51.83</v>
      </c>
      <c r="CC49" s="171">
        <v>51.61</v>
      </c>
      <c r="CD49">
        <v>51.61</v>
      </c>
      <c r="CG49">
        <v>51.61</v>
      </c>
      <c r="CH49">
        <v>51.44</v>
      </c>
      <c r="CK49">
        <v>51.57</v>
      </c>
      <c r="CL49">
        <v>51.57</v>
      </c>
      <c r="CO49">
        <v>51.61</v>
      </c>
      <c r="CP49">
        <v>51.61</v>
      </c>
      <c r="CS49">
        <v>51.38</v>
      </c>
      <c r="CT49">
        <v>51.38</v>
      </c>
      <c r="CW49">
        <v>51.76</v>
      </c>
      <c r="CX49">
        <v>51.45</v>
      </c>
      <c r="DA49">
        <v>51.759</v>
      </c>
      <c r="DB49">
        <v>51.448</v>
      </c>
    </row>
    <row r="50" spans="2:106">
      <c r="B50">
        <v>55</v>
      </c>
      <c r="C50">
        <v>51.21</v>
      </c>
      <c r="D50">
        <v>51.21</v>
      </c>
      <c r="E50" s="171"/>
      <c r="G50" s="171">
        <v>51.21</v>
      </c>
      <c r="H50">
        <v>51.02</v>
      </c>
      <c r="I50" s="171" t="s">
        <v>7533</v>
      </c>
      <c r="J50" t="s">
        <v>7533</v>
      </c>
      <c r="K50" s="171" t="s">
        <v>7534</v>
      </c>
      <c r="L50" t="s">
        <v>7534</v>
      </c>
      <c r="M50" s="171" t="s">
        <v>7535</v>
      </c>
      <c r="N50" t="s">
        <v>7535</v>
      </c>
      <c r="O50" s="171">
        <v>51.73</v>
      </c>
      <c r="P50">
        <v>51.73</v>
      </c>
      <c r="S50" s="171">
        <v>57.48</v>
      </c>
      <c r="T50">
        <v>57.48</v>
      </c>
      <c r="U50" s="171"/>
      <c r="W50" s="171">
        <v>53.18</v>
      </c>
      <c r="X50">
        <v>53.18</v>
      </c>
      <c r="Y50" s="171"/>
      <c r="AA50">
        <v>51.22</v>
      </c>
      <c r="AB50">
        <v>51.22</v>
      </c>
      <c r="AC50" s="171"/>
      <c r="AE50" s="171">
        <v>52.12</v>
      </c>
      <c r="AF50">
        <v>52.12</v>
      </c>
      <c r="AG50" s="171"/>
      <c r="AI50" s="171">
        <v>51.12</v>
      </c>
      <c r="AJ50">
        <v>50.54</v>
      </c>
      <c r="AK50" s="171"/>
      <c r="AM50" s="171">
        <v>51.21</v>
      </c>
      <c r="AN50">
        <v>51.21</v>
      </c>
      <c r="AO50" s="171"/>
      <c r="AQ50" s="171">
        <v>51.22</v>
      </c>
      <c r="AR50">
        <v>51.22</v>
      </c>
      <c r="AS50" s="171"/>
      <c r="AU50">
        <v>51.21</v>
      </c>
      <c r="AV50">
        <v>51.21</v>
      </c>
      <c r="AW50" s="171"/>
      <c r="AY50" s="171">
        <v>51.22</v>
      </c>
      <c r="AZ50">
        <v>51.22</v>
      </c>
      <c r="BA50" s="171"/>
      <c r="BC50" s="171">
        <v>51.21</v>
      </c>
      <c r="BD50">
        <v>51.21</v>
      </c>
      <c r="BE50" s="171"/>
      <c r="BG50" s="171">
        <v>51.39</v>
      </c>
      <c r="BH50">
        <v>51.02</v>
      </c>
      <c r="BI50" s="171"/>
      <c r="BK50" s="171">
        <v>51.22</v>
      </c>
      <c r="BL50">
        <v>51.22</v>
      </c>
      <c r="BM50" s="171"/>
      <c r="BO50" s="171">
        <v>51.02</v>
      </c>
      <c r="BP50">
        <v>51.02</v>
      </c>
      <c r="BQ50" s="171">
        <v>51.22</v>
      </c>
      <c r="BR50">
        <v>51.22</v>
      </c>
      <c r="BS50" s="171"/>
      <c r="BU50" s="171">
        <v>51.39</v>
      </c>
      <c r="BV50">
        <v>51.02</v>
      </c>
      <c r="BW50" s="171"/>
      <c r="BY50" s="171">
        <v>50.76</v>
      </c>
      <c r="BZ50">
        <v>50.76</v>
      </c>
      <c r="CA50" s="171">
        <v>51.44</v>
      </c>
      <c r="CB50">
        <v>51.44</v>
      </c>
      <c r="CC50" s="171">
        <v>51.22</v>
      </c>
      <c r="CD50">
        <v>51.22</v>
      </c>
      <c r="CG50">
        <v>51.21</v>
      </c>
      <c r="CH50">
        <v>51.02</v>
      </c>
      <c r="CK50">
        <v>51.21</v>
      </c>
      <c r="CL50">
        <v>51.21</v>
      </c>
      <c r="CO50">
        <v>51.22</v>
      </c>
      <c r="CP50">
        <v>51.22</v>
      </c>
      <c r="CS50">
        <v>51.04</v>
      </c>
      <c r="CT50">
        <v>51.04</v>
      </c>
      <c r="CW50">
        <v>51.39</v>
      </c>
      <c r="CX50">
        <v>51.02</v>
      </c>
      <c r="DA50">
        <v>51.389000000000003</v>
      </c>
      <c r="DB50">
        <v>51.021000000000001</v>
      </c>
    </row>
    <row r="51" spans="2:106">
      <c r="B51">
        <v>54</v>
      </c>
      <c r="C51">
        <v>50.8</v>
      </c>
      <c r="D51">
        <v>50.8</v>
      </c>
      <c r="E51" s="171"/>
      <c r="G51" s="171">
        <v>50.800000000000004</v>
      </c>
      <c r="H51">
        <v>50.6</v>
      </c>
      <c r="I51" s="171" t="s">
        <v>7536</v>
      </c>
      <c r="J51" t="s">
        <v>7536</v>
      </c>
      <c r="K51" s="171" t="s">
        <v>7537</v>
      </c>
      <c r="L51" t="s">
        <v>7537</v>
      </c>
      <c r="M51" s="171" t="s">
        <v>7538</v>
      </c>
      <c r="N51" t="s">
        <v>7538</v>
      </c>
      <c r="O51" s="171">
        <v>51.31</v>
      </c>
      <c r="P51">
        <v>51.31</v>
      </c>
      <c r="S51" s="171">
        <v>57.2</v>
      </c>
      <c r="T51">
        <v>57.2</v>
      </c>
      <c r="U51" s="171"/>
      <c r="W51" s="171">
        <v>52.76</v>
      </c>
      <c r="X51">
        <v>52.76</v>
      </c>
      <c r="Y51" s="171"/>
      <c r="AA51">
        <v>50.8</v>
      </c>
      <c r="AB51">
        <v>50.8</v>
      </c>
      <c r="AC51" s="171"/>
      <c r="AE51" s="171">
        <v>51.44</v>
      </c>
      <c r="AF51">
        <v>51.44</v>
      </c>
      <c r="AG51" s="171"/>
      <c r="AI51" s="171">
        <v>50.71</v>
      </c>
      <c r="AJ51">
        <v>50.12</v>
      </c>
      <c r="AK51" s="171"/>
      <c r="AM51" s="171">
        <v>50.8</v>
      </c>
      <c r="AN51">
        <v>50.8</v>
      </c>
      <c r="AO51" s="171"/>
      <c r="AQ51" s="171">
        <v>50.8</v>
      </c>
      <c r="AR51">
        <v>50.8</v>
      </c>
      <c r="AS51" s="171"/>
      <c r="AU51">
        <v>50.8</v>
      </c>
      <c r="AV51">
        <v>50.8</v>
      </c>
      <c r="AW51" s="171"/>
      <c r="AY51" s="171">
        <v>50.8</v>
      </c>
      <c r="AZ51">
        <v>50.8</v>
      </c>
      <c r="BA51" s="171"/>
      <c r="BC51" s="171">
        <v>50.8</v>
      </c>
      <c r="BD51">
        <v>50.8</v>
      </c>
      <c r="BE51" s="171"/>
      <c r="BG51" s="171">
        <v>50.98</v>
      </c>
      <c r="BH51">
        <v>50.61</v>
      </c>
      <c r="BI51" s="171"/>
      <c r="BK51" s="171">
        <v>50.8</v>
      </c>
      <c r="BL51">
        <v>50.8</v>
      </c>
      <c r="BM51" s="171"/>
      <c r="BO51" s="171">
        <v>50.61</v>
      </c>
      <c r="BP51">
        <v>50.61</v>
      </c>
      <c r="BQ51" s="171">
        <v>50.8</v>
      </c>
      <c r="BR51">
        <v>50.8</v>
      </c>
      <c r="BS51" s="171"/>
      <c r="BU51" s="171">
        <v>50.98</v>
      </c>
      <c r="BV51">
        <v>50.6</v>
      </c>
      <c r="BW51" s="171"/>
      <c r="BY51" s="171">
        <v>50.44</v>
      </c>
      <c r="BZ51">
        <v>50.44</v>
      </c>
      <c r="CA51" s="171">
        <v>51.04</v>
      </c>
      <c r="CB51">
        <v>51.04</v>
      </c>
      <c r="CC51" s="171">
        <v>50.8</v>
      </c>
      <c r="CD51">
        <v>50.8</v>
      </c>
      <c r="CG51">
        <v>50.800000000000004</v>
      </c>
      <c r="CH51">
        <v>50.6</v>
      </c>
      <c r="CK51">
        <v>50.8</v>
      </c>
      <c r="CL51">
        <v>50.8</v>
      </c>
      <c r="CO51">
        <v>50.8</v>
      </c>
      <c r="CP51">
        <v>50.8</v>
      </c>
      <c r="CS51">
        <v>50.69</v>
      </c>
      <c r="CT51">
        <v>50.69</v>
      </c>
      <c r="CW51">
        <v>50.98</v>
      </c>
      <c r="CX51">
        <v>50.6</v>
      </c>
      <c r="DA51">
        <v>50.981000000000002</v>
      </c>
      <c r="DB51">
        <v>50.603999999999999</v>
      </c>
    </row>
    <row r="52" spans="2:106">
      <c r="B52">
        <v>53</v>
      </c>
      <c r="C52">
        <v>50.44</v>
      </c>
      <c r="D52">
        <v>50.44</v>
      </c>
      <c r="E52" s="171"/>
      <c r="G52" s="171">
        <v>50.410000000000004</v>
      </c>
      <c r="H52">
        <v>50.22</v>
      </c>
      <c r="I52" s="171" t="s">
        <v>7539</v>
      </c>
      <c r="J52" t="s">
        <v>7539</v>
      </c>
      <c r="K52" s="171" t="s">
        <v>7540</v>
      </c>
      <c r="L52" t="s">
        <v>7540</v>
      </c>
      <c r="M52" s="171" t="s">
        <v>7541</v>
      </c>
      <c r="N52" t="s">
        <v>7541</v>
      </c>
      <c r="O52" s="171">
        <v>50.91</v>
      </c>
      <c r="P52">
        <v>50.91</v>
      </c>
      <c r="S52" s="171">
        <v>56.94</v>
      </c>
      <c r="T52">
        <v>56.94</v>
      </c>
      <c r="U52" s="171"/>
      <c r="W52" s="171">
        <v>52.37</v>
      </c>
      <c r="X52">
        <v>52.37</v>
      </c>
      <c r="Y52" s="171"/>
      <c r="AA52">
        <v>50.41</v>
      </c>
      <c r="AB52">
        <v>50.41</v>
      </c>
      <c r="AC52" s="171"/>
      <c r="AE52" s="171">
        <v>51.21</v>
      </c>
      <c r="AF52">
        <v>51.21</v>
      </c>
      <c r="AG52" s="171"/>
      <c r="AI52" s="171">
        <v>50.32</v>
      </c>
      <c r="AJ52">
        <v>49.75</v>
      </c>
      <c r="AK52" s="171"/>
      <c r="AM52" s="171">
        <v>50.41</v>
      </c>
      <c r="AN52">
        <v>50.41</v>
      </c>
      <c r="AO52" s="171"/>
      <c r="AQ52" s="171">
        <v>50.41</v>
      </c>
      <c r="AR52">
        <v>50.41</v>
      </c>
      <c r="AS52" s="171"/>
      <c r="AU52">
        <v>50.41</v>
      </c>
      <c r="AV52">
        <v>50.41</v>
      </c>
      <c r="AW52" s="171"/>
      <c r="AY52" s="171">
        <v>50.41</v>
      </c>
      <c r="AZ52">
        <v>50.41</v>
      </c>
      <c r="BA52" s="171"/>
      <c r="BC52" s="171">
        <v>50.44</v>
      </c>
      <c r="BD52">
        <v>50.44</v>
      </c>
      <c r="BE52" s="171"/>
      <c r="BG52" s="171">
        <v>50.58</v>
      </c>
      <c r="BH52">
        <v>50.23</v>
      </c>
      <c r="BI52" s="171"/>
      <c r="BK52" s="171">
        <v>50.41</v>
      </c>
      <c r="BL52">
        <v>50.41</v>
      </c>
      <c r="BM52" s="171"/>
      <c r="BO52" s="171">
        <v>50.23</v>
      </c>
      <c r="BP52">
        <v>50.23</v>
      </c>
      <c r="BQ52" s="171">
        <v>50.41</v>
      </c>
      <c r="BR52">
        <v>50.41</v>
      </c>
      <c r="BS52" s="171"/>
      <c r="BU52" s="171">
        <v>50.58</v>
      </c>
      <c r="BV52">
        <v>50.23</v>
      </c>
      <c r="BW52" s="171"/>
      <c r="BY52" s="171">
        <v>50.14</v>
      </c>
      <c r="BZ52">
        <v>50.14</v>
      </c>
      <c r="CA52" s="171">
        <v>50.66</v>
      </c>
      <c r="CB52">
        <v>50.66</v>
      </c>
      <c r="CC52" s="171">
        <v>50.41</v>
      </c>
      <c r="CD52">
        <v>50.41</v>
      </c>
      <c r="CG52">
        <v>50.410000000000004</v>
      </c>
      <c r="CH52">
        <v>50.22</v>
      </c>
      <c r="CK52">
        <v>50.44</v>
      </c>
      <c r="CL52">
        <v>50.44</v>
      </c>
      <c r="CO52">
        <v>50.41</v>
      </c>
      <c r="CP52">
        <v>50.41</v>
      </c>
      <c r="CS52">
        <v>50.36</v>
      </c>
      <c r="CT52">
        <v>50.36</v>
      </c>
      <c r="CW52">
        <v>50.58</v>
      </c>
      <c r="CX52">
        <v>50.23</v>
      </c>
      <c r="DA52">
        <v>50.582999999999998</v>
      </c>
      <c r="DB52">
        <v>50.225000000000001</v>
      </c>
    </row>
    <row r="53" spans="2:106">
      <c r="B53">
        <v>52</v>
      </c>
      <c r="C53">
        <v>50.07</v>
      </c>
      <c r="D53">
        <v>50.07</v>
      </c>
      <c r="E53" s="171"/>
      <c r="G53" s="171">
        <v>50.07</v>
      </c>
      <c r="H53">
        <v>49.910000000000004</v>
      </c>
      <c r="I53" s="171" t="s">
        <v>7542</v>
      </c>
      <c r="J53" t="s">
        <v>7542</v>
      </c>
      <c r="K53" s="171" t="s">
        <v>7543</v>
      </c>
      <c r="L53" t="s">
        <v>7543</v>
      </c>
      <c r="M53" s="171" t="s">
        <v>7540</v>
      </c>
      <c r="N53" t="s">
        <v>7540</v>
      </c>
      <c r="O53" s="171">
        <v>50.58</v>
      </c>
      <c r="P53">
        <v>50.58</v>
      </c>
      <c r="S53" s="171">
        <v>56.72</v>
      </c>
      <c r="T53">
        <v>56.72</v>
      </c>
      <c r="U53" s="171"/>
      <c r="W53" s="171">
        <v>52.04</v>
      </c>
      <c r="X53">
        <v>52.04</v>
      </c>
      <c r="Y53" s="171"/>
      <c r="AA53">
        <v>50.08</v>
      </c>
      <c r="AB53">
        <v>50.08</v>
      </c>
      <c r="AC53" s="171"/>
      <c r="AE53" s="171">
        <v>50.81</v>
      </c>
      <c r="AF53">
        <v>50.81</v>
      </c>
      <c r="AG53" s="171"/>
      <c r="AI53" s="171">
        <v>49.96</v>
      </c>
      <c r="AJ53">
        <v>49.44</v>
      </c>
      <c r="AK53" s="171"/>
      <c r="AM53" s="171">
        <v>50.07</v>
      </c>
      <c r="AN53">
        <v>50.07</v>
      </c>
      <c r="AO53" s="171"/>
      <c r="AQ53" s="171">
        <v>50.08</v>
      </c>
      <c r="AR53">
        <v>50.08</v>
      </c>
      <c r="AS53" s="171"/>
      <c r="AU53">
        <v>50.07</v>
      </c>
      <c r="AV53">
        <v>50.07</v>
      </c>
      <c r="AW53" s="171"/>
      <c r="AY53" s="171">
        <v>50.08</v>
      </c>
      <c r="AZ53">
        <v>50.08</v>
      </c>
      <c r="BA53" s="171"/>
      <c r="BC53" s="171">
        <v>50.07</v>
      </c>
      <c r="BD53">
        <v>50.07</v>
      </c>
      <c r="BE53" s="171"/>
      <c r="BG53" s="171">
        <v>50.22</v>
      </c>
      <c r="BH53">
        <v>49.92</v>
      </c>
      <c r="BI53" s="171"/>
      <c r="BK53" s="171">
        <v>50.08</v>
      </c>
      <c r="BL53">
        <v>50.08</v>
      </c>
      <c r="BM53" s="171"/>
      <c r="BO53" s="171">
        <v>49.92</v>
      </c>
      <c r="BP53">
        <v>49.92</v>
      </c>
      <c r="BQ53" s="171">
        <v>50.08</v>
      </c>
      <c r="BR53">
        <v>50.08</v>
      </c>
      <c r="BS53" s="171"/>
      <c r="BU53" s="171">
        <v>50.22</v>
      </c>
      <c r="BV53">
        <v>49.92</v>
      </c>
      <c r="BW53" s="171"/>
      <c r="BY53" s="171">
        <v>49.79</v>
      </c>
      <c r="BZ53">
        <v>49.79</v>
      </c>
      <c r="CA53" s="171">
        <v>50.27</v>
      </c>
      <c r="CB53">
        <v>50.27</v>
      </c>
      <c r="CC53" s="171">
        <v>50.08</v>
      </c>
      <c r="CD53">
        <v>50.08</v>
      </c>
      <c r="CG53">
        <v>50.07</v>
      </c>
      <c r="CH53">
        <v>49.910000000000004</v>
      </c>
      <c r="CK53">
        <v>50.07</v>
      </c>
      <c r="CL53">
        <v>50.07</v>
      </c>
      <c r="CO53">
        <v>50.08</v>
      </c>
      <c r="CP53">
        <v>50.08</v>
      </c>
      <c r="CS53">
        <v>49.95</v>
      </c>
      <c r="CT53">
        <v>49.95</v>
      </c>
      <c r="CW53">
        <v>50.22</v>
      </c>
      <c r="CX53">
        <v>49.92</v>
      </c>
      <c r="DA53">
        <v>50.222000000000001</v>
      </c>
      <c r="DB53">
        <v>49.918999999999997</v>
      </c>
    </row>
    <row r="54" spans="2:106">
      <c r="B54">
        <v>51</v>
      </c>
      <c r="C54">
        <v>49.68</v>
      </c>
      <c r="D54">
        <v>49.68</v>
      </c>
      <c r="E54" s="171"/>
      <c r="G54" s="171">
        <v>49.69</v>
      </c>
      <c r="H54">
        <v>49.61</v>
      </c>
      <c r="I54" s="171" t="s">
        <v>7544</v>
      </c>
      <c r="J54" t="s">
        <v>7544</v>
      </c>
      <c r="K54" s="171" t="s">
        <v>7545</v>
      </c>
      <c r="L54" t="s">
        <v>7545</v>
      </c>
      <c r="M54" s="171" t="s">
        <v>7546</v>
      </c>
      <c r="N54" t="s">
        <v>7546</v>
      </c>
      <c r="O54" s="171">
        <v>50.2</v>
      </c>
      <c r="P54">
        <v>50.2</v>
      </c>
      <c r="S54" s="171">
        <v>56.46</v>
      </c>
      <c r="T54">
        <v>56.46</v>
      </c>
      <c r="U54" s="171"/>
      <c r="W54" s="171">
        <v>51.65</v>
      </c>
      <c r="X54">
        <v>51.65</v>
      </c>
      <c r="Y54" s="171"/>
      <c r="AA54">
        <v>49.7</v>
      </c>
      <c r="AB54">
        <v>49.7</v>
      </c>
      <c r="AC54" s="171"/>
      <c r="AE54" s="171">
        <v>50.22</v>
      </c>
      <c r="AF54">
        <v>50.22</v>
      </c>
      <c r="AG54" s="171"/>
      <c r="AI54" s="171">
        <v>49.51</v>
      </c>
      <c r="AJ54">
        <v>49.14</v>
      </c>
      <c r="AK54" s="171"/>
      <c r="AM54" s="171">
        <v>49.69</v>
      </c>
      <c r="AN54">
        <v>49.69</v>
      </c>
      <c r="AO54" s="171"/>
      <c r="AQ54" s="171">
        <v>49.69</v>
      </c>
      <c r="AR54">
        <v>49.69</v>
      </c>
      <c r="AS54" s="171"/>
      <c r="AU54">
        <v>49.69</v>
      </c>
      <c r="AV54">
        <v>49.69</v>
      </c>
      <c r="AW54" s="171"/>
      <c r="AY54" s="171">
        <v>49.69</v>
      </c>
      <c r="AZ54">
        <v>49.69</v>
      </c>
      <c r="BA54" s="171"/>
      <c r="BC54" s="171">
        <v>49.68</v>
      </c>
      <c r="BD54">
        <v>49.68</v>
      </c>
      <c r="BE54" s="171"/>
      <c r="BG54" s="171">
        <v>49.77</v>
      </c>
      <c r="BH54">
        <v>49.61</v>
      </c>
      <c r="BI54" s="171"/>
      <c r="BK54" s="171">
        <v>49.7</v>
      </c>
      <c r="BL54">
        <v>49.7</v>
      </c>
      <c r="BM54" s="171"/>
      <c r="BO54" s="171">
        <v>49.61</v>
      </c>
      <c r="BP54">
        <v>49.61</v>
      </c>
      <c r="BQ54" s="171">
        <v>49.69</v>
      </c>
      <c r="BR54">
        <v>49.69</v>
      </c>
      <c r="BS54" s="171"/>
      <c r="BU54" s="171">
        <v>49.77</v>
      </c>
      <c r="BV54">
        <v>49.61</v>
      </c>
      <c r="BW54" s="171"/>
      <c r="BY54" s="171">
        <v>49.46</v>
      </c>
      <c r="BZ54">
        <v>49.46</v>
      </c>
      <c r="CA54" s="171">
        <v>49.9</v>
      </c>
      <c r="CB54">
        <v>49.9</v>
      </c>
      <c r="CC54" s="171">
        <v>49.69</v>
      </c>
      <c r="CD54">
        <v>49.69</v>
      </c>
      <c r="CG54">
        <v>49.69</v>
      </c>
      <c r="CH54">
        <v>49.61</v>
      </c>
      <c r="CK54">
        <v>49.68</v>
      </c>
      <c r="CL54">
        <v>49.68</v>
      </c>
      <c r="CO54">
        <v>49.69</v>
      </c>
      <c r="CP54">
        <v>49.69</v>
      </c>
      <c r="CS54">
        <v>49.53</v>
      </c>
      <c r="CT54">
        <v>49.53</v>
      </c>
      <c r="CW54">
        <v>49.77</v>
      </c>
      <c r="CX54">
        <v>49.61</v>
      </c>
      <c r="DA54">
        <v>49.768999999999998</v>
      </c>
      <c r="DB54">
        <v>49.613</v>
      </c>
    </row>
    <row r="55" spans="2:106">
      <c r="B55">
        <v>50</v>
      </c>
      <c r="C55">
        <v>49.27</v>
      </c>
      <c r="D55">
        <v>49.27</v>
      </c>
      <c r="E55" s="171"/>
      <c r="G55" s="171">
        <v>49.35</v>
      </c>
      <c r="H55">
        <v>49.29</v>
      </c>
      <c r="I55" s="171" t="s">
        <v>7547</v>
      </c>
      <c r="J55" t="s">
        <v>7547</v>
      </c>
      <c r="K55" s="171" t="s">
        <v>7548</v>
      </c>
      <c r="L55" t="s">
        <v>7548</v>
      </c>
      <c r="M55" s="171" t="s">
        <v>7549</v>
      </c>
      <c r="N55" t="s">
        <v>7549</v>
      </c>
      <c r="O55" s="171">
        <v>49.84</v>
      </c>
      <c r="P55">
        <v>49.84</v>
      </c>
      <c r="S55" s="171">
        <v>56.24</v>
      </c>
      <c r="T55">
        <v>56.24</v>
      </c>
      <c r="U55" s="171"/>
      <c r="W55" s="171">
        <v>51.31</v>
      </c>
      <c r="X55">
        <v>51.31</v>
      </c>
      <c r="Y55" s="171"/>
      <c r="AA55">
        <v>49.35</v>
      </c>
      <c r="AB55">
        <v>49.35</v>
      </c>
      <c r="AC55" s="171"/>
      <c r="AE55" s="171">
        <v>49.85</v>
      </c>
      <c r="AF55">
        <v>49.85</v>
      </c>
      <c r="AG55" s="171"/>
      <c r="AI55" s="171">
        <v>49.15</v>
      </c>
      <c r="AJ55">
        <v>48.83</v>
      </c>
      <c r="AK55" s="171"/>
      <c r="AM55" s="171">
        <v>49.35</v>
      </c>
      <c r="AN55">
        <v>49.35</v>
      </c>
      <c r="AO55" s="171"/>
      <c r="AQ55" s="171">
        <v>49.35</v>
      </c>
      <c r="AR55">
        <v>49.35</v>
      </c>
      <c r="AS55" s="171"/>
      <c r="AU55">
        <v>49.35</v>
      </c>
      <c r="AV55">
        <v>49.35</v>
      </c>
      <c r="AW55" s="171"/>
      <c r="AY55" s="171">
        <v>49.35</v>
      </c>
      <c r="AZ55">
        <v>49.35</v>
      </c>
      <c r="BA55" s="171"/>
      <c r="BC55" s="171">
        <v>49.27</v>
      </c>
      <c r="BD55">
        <v>49.27</v>
      </c>
      <c r="BE55" s="171"/>
      <c r="BG55" s="171">
        <v>49.41</v>
      </c>
      <c r="BH55">
        <v>49.3</v>
      </c>
      <c r="BI55" s="171"/>
      <c r="BK55" s="171">
        <v>49.35</v>
      </c>
      <c r="BL55">
        <v>49.35</v>
      </c>
      <c r="BM55" s="171"/>
      <c r="BO55" s="171">
        <v>49.3</v>
      </c>
      <c r="BP55">
        <v>49.3</v>
      </c>
      <c r="BQ55" s="171">
        <v>49.35</v>
      </c>
      <c r="BR55">
        <v>49.35</v>
      </c>
      <c r="BS55" s="171"/>
      <c r="BU55" s="171">
        <v>49.41</v>
      </c>
      <c r="BV55">
        <v>49.3</v>
      </c>
      <c r="BW55" s="171"/>
      <c r="BY55" s="171">
        <v>49.15</v>
      </c>
      <c r="BZ55">
        <v>49.15</v>
      </c>
      <c r="CA55" s="171">
        <v>49.51</v>
      </c>
      <c r="CB55">
        <v>49.51</v>
      </c>
      <c r="CC55" s="171">
        <v>49.35</v>
      </c>
      <c r="CD55">
        <v>49.35</v>
      </c>
      <c r="CG55">
        <v>49.35</v>
      </c>
      <c r="CH55">
        <v>49.29</v>
      </c>
      <c r="CK55">
        <v>49.26</v>
      </c>
      <c r="CL55">
        <v>49.26</v>
      </c>
      <c r="CO55">
        <v>49.35</v>
      </c>
      <c r="CP55">
        <v>49.35</v>
      </c>
      <c r="CS55">
        <v>49.07</v>
      </c>
      <c r="CT55">
        <v>49.07</v>
      </c>
      <c r="CW55">
        <v>49.41</v>
      </c>
      <c r="CX55">
        <v>49.3</v>
      </c>
      <c r="DA55">
        <v>49.406999999999996</v>
      </c>
      <c r="DB55">
        <v>49.295999999999999</v>
      </c>
    </row>
    <row r="56" spans="2:106">
      <c r="B56">
        <v>49</v>
      </c>
      <c r="C56">
        <v>48.88</v>
      </c>
      <c r="D56">
        <v>48.88</v>
      </c>
      <c r="E56" s="171"/>
      <c r="G56" s="171">
        <v>49</v>
      </c>
      <c r="H56">
        <v>48.95</v>
      </c>
      <c r="I56" s="171" t="s">
        <v>7089</v>
      </c>
      <c r="J56" t="s">
        <v>7089</v>
      </c>
      <c r="K56" s="171" t="s">
        <v>7089</v>
      </c>
      <c r="L56" t="s">
        <v>7089</v>
      </c>
      <c r="M56" s="171" t="s">
        <v>7550</v>
      </c>
      <c r="N56" t="s">
        <v>7550</v>
      </c>
      <c r="O56" s="171">
        <v>49.5</v>
      </c>
      <c r="P56">
        <v>49.5</v>
      </c>
      <c r="S56" s="171">
        <v>56.01</v>
      </c>
      <c r="T56">
        <v>56.01</v>
      </c>
      <c r="U56" s="171"/>
      <c r="W56" s="171">
        <v>50.97</v>
      </c>
      <c r="X56">
        <v>50.97</v>
      </c>
      <c r="Y56" s="171"/>
      <c r="AA56">
        <v>49.01</v>
      </c>
      <c r="AB56">
        <v>49.01</v>
      </c>
      <c r="AC56" s="171"/>
      <c r="AE56" s="171">
        <v>49.37</v>
      </c>
      <c r="AF56">
        <v>49.37</v>
      </c>
      <c r="AG56" s="171"/>
      <c r="AI56" s="171">
        <v>48.8</v>
      </c>
      <c r="AJ56">
        <v>48.49</v>
      </c>
      <c r="AK56" s="171"/>
      <c r="AM56" s="171">
        <v>49</v>
      </c>
      <c r="AN56">
        <v>49</v>
      </c>
      <c r="AO56" s="171"/>
      <c r="AQ56" s="171">
        <v>49.01</v>
      </c>
      <c r="AR56">
        <v>49.01</v>
      </c>
      <c r="AS56" s="171"/>
      <c r="AU56">
        <v>49</v>
      </c>
      <c r="AV56">
        <v>49</v>
      </c>
      <c r="AW56" s="171"/>
      <c r="AY56" s="171">
        <v>49.01</v>
      </c>
      <c r="AZ56">
        <v>49.01</v>
      </c>
      <c r="BA56" s="171"/>
      <c r="BC56" s="171">
        <v>48.88</v>
      </c>
      <c r="BD56">
        <v>48.88</v>
      </c>
      <c r="BE56" s="171"/>
      <c r="BG56" s="171">
        <v>49.06</v>
      </c>
      <c r="BH56">
        <v>48.96</v>
      </c>
      <c r="BI56" s="171"/>
      <c r="BK56" s="171">
        <v>49.01</v>
      </c>
      <c r="BL56">
        <v>49.01</v>
      </c>
      <c r="BM56" s="171"/>
      <c r="BO56" s="171">
        <v>48.96</v>
      </c>
      <c r="BP56">
        <v>48.96</v>
      </c>
      <c r="BQ56" s="171">
        <v>49.01</v>
      </c>
      <c r="BR56">
        <v>49.01</v>
      </c>
      <c r="BS56" s="171"/>
      <c r="BU56" s="171">
        <v>49.06</v>
      </c>
      <c r="BV56">
        <v>48.96</v>
      </c>
      <c r="BW56" s="171"/>
      <c r="BY56" s="171">
        <v>48.84</v>
      </c>
      <c r="BZ56">
        <v>48.84</v>
      </c>
      <c r="CA56" s="171">
        <v>49.13</v>
      </c>
      <c r="CB56">
        <v>49.13</v>
      </c>
      <c r="CC56" s="171">
        <v>49.01</v>
      </c>
      <c r="CD56">
        <v>49.01</v>
      </c>
      <c r="CG56">
        <v>49</v>
      </c>
      <c r="CH56">
        <v>48.95</v>
      </c>
      <c r="CK56">
        <v>48.88</v>
      </c>
      <c r="CL56">
        <v>48.88</v>
      </c>
      <c r="CO56">
        <v>49.01</v>
      </c>
      <c r="CP56">
        <v>49.01</v>
      </c>
      <c r="CS56">
        <v>48.66</v>
      </c>
      <c r="CT56">
        <v>48.66</v>
      </c>
      <c r="CW56">
        <v>49.06</v>
      </c>
      <c r="CX56">
        <v>48.96</v>
      </c>
      <c r="DA56">
        <v>49.055999999999997</v>
      </c>
      <c r="DB56">
        <v>48.957999999999998</v>
      </c>
    </row>
    <row r="57" spans="2:106">
      <c r="B57">
        <v>48</v>
      </c>
      <c r="C57">
        <v>48.5</v>
      </c>
      <c r="D57">
        <v>48.5</v>
      </c>
      <c r="E57" s="171"/>
      <c r="G57" s="171">
        <v>48.65</v>
      </c>
      <c r="H57">
        <v>48.6</v>
      </c>
      <c r="I57" s="171" t="s">
        <v>7551</v>
      </c>
      <c r="J57" t="s">
        <v>7551</v>
      </c>
      <c r="K57" s="171" t="s">
        <v>7551</v>
      </c>
      <c r="L57" t="s">
        <v>7551</v>
      </c>
      <c r="M57" s="171" t="s">
        <v>7552</v>
      </c>
      <c r="N57" t="s">
        <v>7552</v>
      </c>
      <c r="O57" s="171">
        <v>49.15</v>
      </c>
      <c r="P57">
        <v>49.15</v>
      </c>
      <c r="S57" s="171">
        <v>55.77</v>
      </c>
      <c r="T57">
        <v>55.77</v>
      </c>
      <c r="U57" s="171"/>
      <c r="W57" s="171">
        <v>50.62</v>
      </c>
      <c r="X57">
        <v>50.62</v>
      </c>
      <c r="Y57" s="171"/>
      <c r="AA57">
        <v>48.66</v>
      </c>
      <c r="AB57">
        <v>48.66</v>
      </c>
      <c r="AC57" s="171"/>
      <c r="AE57" s="171">
        <v>48.96</v>
      </c>
      <c r="AF57">
        <v>48.96</v>
      </c>
      <c r="AG57" s="171"/>
      <c r="AI57" s="171">
        <v>48.45</v>
      </c>
      <c r="AJ57">
        <v>48.14</v>
      </c>
      <c r="AK57" s="171"/>
      <c r="AM57" s="171">
        <v>48.65</v>
      </c>
      <c r="AN57">
        <v>48.65</v>
      </c>
      <c r="AO57" s="171"/>
      <c r="AQ57" s="171">
        <v>48.66</v>
      </c>
      <c r="AR57">
        <v>48.66</v>
      </c>
      <c r="AS57" s="171"/>
      <c r="AU57">
        <v>48.65</v>
      </c>
      <c r="AV57">
        <v>48.65</v>
      </c>
      <c r="AW57" s="171"/>
      <c r="AY57" s="171">
        <v>48.66</v>
      </c>
      <c r="AZ57">
        <v>48.66</v>
      </c>
      <c r="BA57" s="171"/>
      <c r="BC57" s="171">
        <v>48.5</v>
      </c>
      <c r="BD57">
        <v>48.5</v>
      </c>
      <c r="BE57" s="171"/>
      <c r="BG57" s="171">
        <v>48.7</v>
      </c>
      <c r="BH57">
        <v>48.61</v>
      </c>
      <c r="BI57" s="171"/>
      <c r="BK57" s="171">
        <v>48.66</v>
      </c>
      <c r="BL57">
        <v>48.66</v>
      </c>
      <c r="BM57" s="171"/>
      <c r="BO57" s="171">
        <v>48.61</v>
      </c>
      <c r="BP57">
        <v>48.61</v>
      </c>
      <c r="BQ57" s="171">
        <v>48.66</v>
      </c>
      <c r="BR57">
        <v>48.66</v>
      </c>
      <c r="BS57" s="171"/>
      <c r="BU57" s="171">
        <v>48.7</v>
      </c>
      <c r="BV57">
        <v>48.6</v>
      </c>
      <c r="BW57" s="171"/>
      <c r="BY57" s="171">
        <v>48.56</v>
      </c>
      <c r="BZ57">
        <v>48.56</v>
      </c>
      <c r="CA57" s="171">
        <v>48.75</v>
      </c>
      <c r="CB57">
        <v>48.75</v>
      </c>
      <c r="CC57" s="171">
        <v>48.66</v>
      </c>
      <c r="CD57">
        <v>48.66</v>
      </c>
      <c r="CG57">
        <v>48.65</v>
      </c>
      <c r="CH57">
        <v>48.6</v>
      </c>
      <c r="CK57">
        <v>48.5</v>
      </c>
      <c r="CL57">
        <v>48.5</v>
      </c>
      <c r="CO57">
        <v>48.66</v>
      </c>
      <c r="CP57">
        <v>48.66</v>
      </c>
      <c r="CS57">
        <v>48.29</v>
      </c>
      <c r="CT57">
        <v>48.29</v>
      </c>
      <c r="CW57">
        <v>48.7</v>
      </c>
      <c r="CX57">
        <v>48.6</v>
      </c>
      <c r="DA57">
        <v>48.704000000000001</v>
      </c>
      <c r="DB57">
        <v>48.603999999999999</v>
      </c>
    </row>
    <row r="58" spans="2:106">
      <c r="B58">
        <v>47</v>
      </c>
      <c r="C58">
        <v>48.15</v>
      </c>
      <c r="D58">
        <v>48.15</v>
      </c>
      <c r="E58" s="171"/>
      <c r="G58" s="171">
        <v>48.29</v>
      </c>
      <c r="H58">
        <v>48.27</v>
      </c>
      <c r="I58" s="171" t="s">
        <v>7553</v>
      </c>
      <c r="J58" t="s">
        <v>7553</v>
      </c>
      <c r="K58" s="171" t="s">
        <v>7553</v>
      </c>
      <c r="L58" t="s">
        <v>7553</v>
      </c>
      <c r="M58" s="171" t="s">
        <v>7076</v>
      </c>
      <c r="N58" t="s">
        <v>7076</v>
      </c>
      <c r="O58" s="171">
        <v>48.77</v>
      </c>
      <c r="P58">
        <v>48.77</v>
      </c>
      <c r="S58" s="171">
        <v>55.53</v>
      </c>
      <c r="T58">
        <v>55.53</v>
      </c>
      <c r="U58" s="171"/>
      <c r="W58" s="171">
        <v>50.25</v>
      </c>
      <c r="X58">
        <v>50.25</v>
      </c>
      <c r="Y58" s="171"/>
      <c r="AA58">
        <v>48.29</v>
      </c>
      <c r="AB58">
        <v>48.29</v>
      </c>
      <c r="AC58" s="171"/>
      <c r="AE58" s="171">
        <v>48.82</v>
      </c>
      <c r="AF58">
        <v>48.82</v>
      </c>
      <c r="AG58" s="171"/>
      <c r="AI58" s="171">
        <v>48.06</v>
      </c>
      <c r="AJ58">
        <v>47.81</v>
      </c>
      <c r="AK58" s="171"/>
      <c r="AM58" s="171">
        <v>48.29</v>
      </c>
      <c r="AN58">
        <v>48.29</v>
      </c>
      <c r="AO58" s="171"/>
      <c r="AQ58" s="171">
        <v>48.29</v>
      </c>
      <c r="AR58">
        <v>48.29</v>
      </c>
      <c r="AS58" s="171"/>
      <c r="AU58">
        <v>48.29</v>
      </c>
      <c r="AV58">
        <v>48.29</v>
      </c>
      <c r="AW58" s="171"/>
      <c r="AY58" s="171">
        <v>48.29</v>
      </c>
      <c r="AZ58">
        <v>48.29</v>
      </c>
      <c r="BA58" s="171"/>
      <c r="BC58" s="171">
        <v>48.15</v>
      </c>
      <c r="BD58">
        <v>48.15</v>
      </c>
      <c r="BE58" s="171"/>
      <c r="BG58" s="171">
        <v>48.31</v>
      </c>
      <c r="BH58">
        <v>48.27</v>
      </c>
      <c r="BI58" s="171"/>
      <c r="BK58" s="171">
        <v>48.29</v>
      </c>
      <c r="BL58">
        <v>48.29</v>
      </c>
      <c r="BM58" s="171"/>
      <c r="BO58" s="171">
        <v>48.27</v>
      </c>
      <c r="BP58">
        <v>48.27</v>
      </c>
      <c r="BQ58" s="171">
        <v>48.29</v>
      </c>
      <c r="BR58">
        <v>48.29</v>
      </c>
      <c r="BS58" s="171"/>
      <c r="BU58" s="171">
        <v>48.31</v>
      </c>
      <c r="BV58">
        <v>48.27</v>
      </c>
      <c r="BW58" s="171"/>
      <c r="BY58" s="171">
        <v>48.24</v>
      </c>
      <c r="BZ58">
        <v>48.24</v>
      </c>
      <c r="CA58" s="171">
        <v>48.38</v>
      </c>
      <c r="CB58">
        <v>48.38</v>
      </c>
      <c r="CC58" s="171">
        <v>48.29</v>
      </c>
      <c r="CD58">
        <v>48.29</v>
      </c>
      <c r="CG58">
        <v>48.29</v>
      </c>
      <c r="CH58">
        <v>48.27</v>
      </c>
      <c r="CK58">
        <v>48.15</v>
      </c>
      <c r="CL58">
        <v>48.15</v>
      </c>
      <c r="CO58">
        <v>48.29</v>
      </c>
      <c r="CP58">
        <v>48.29</v>
      </c>
      <c r="CS58">
        <v>47.95</v>
      </c>
      <c r="CT58">
        <v>47.95</v>
      </c>
      <c r="CW58">
        <v>48.31</v>
      </c>
      <c r="CX58">
        <v>48.27</v>
      </c>
      <c r="DA58">
        <v>48.314999999999998</v>
      </c>
      <c r="DB58">
        <v>48.271000000000001</v>
      </c>
    </row>
    <row r="59" spans="2:106">
      <c r="B59">
        <v>46</v>
      </c>
      <c r="C59">
        <v>47.79</v>
      </c>
      <c r="D59">
        <v>47.79</v>
      </c>
      <c r="E59" s="171"/>
      <c r="G59" s="171">
        <v>47.86</v>
      </c>
      <c r="H59">
        <v>47.88</v>
      </c>
      <c r="I59" s="171" t="s">
        <v>7099</v>
      </c>
      <c r="J59" t="s">
        <v>7099</v>
      </c>
      <c r="K59" s="171" t="s">
        <v>7099</v>
      </c>
      <c r="L59" t="s">
        <v>7099</v>
      </c>
      <c r="M59" s="171" t="s">
        <v>7554</v>
      </c>
      <c r="N59" t="s">
        <v>7554</v>
      </c>
      <c r="O59" s="171">
        <v>48.35</v>
      </c>
      <c r="P59">
        <v>48.35</v>
      </c>
      <c r="S59" s="171">
        <v>55.25</v>
      </c>
      <c r="T59">
        <v>55.25</v>
      </c>
      <c r="U59" s="171"/>
      <c r="W59" s="171">
        <v>49.83</v>
      </c>
      <c r="X59">
        <v>49.83</v>
      </c>
      <c r="Y59" s="171"/>
      <c r="AA59">
        <v>47.87</v>
      </c>
      <c r="AB59">
        <v>47.87</v>
      </c>
      <c r="AC59" s="171"/>
      <c r="AE59" s="171">
        <v>48.5</v>
      </c>
      <c r="AF59">
        <v>48.5</v>
      </c>
      <c r="AG59" s="171"/>
      <c r="AI59" s="171">
        <v>47.6</v>
      </c>
      <c r="AJ59">
        <v>47.43</v>
      </c>
      <c r="AK59" s="171"/>
      <c r="AM59" s="171">
        <v>47.86</v>
      </c>
      <c r="AN59">
        <v>47.86</v>
      </c>
      <c r="AO59" s="171"/>
      <c r="AQ59" s="171">
        <v>47.87</v>
      </c>
      <c r="AR59">
        <v>47.87</v>
      </c>
      <c r="AS59" s="171"/>
      <c r="AU59">
        <v>47.86</v>
      </c>
      <c r="AV59">
        <v>47.86</v>
      </c>
      <c r="AW59" s="171"/>
      <c r="AY59" s="171">
        <v>47.87</v>
      </c>
      <c r="AZ59">
        <v>47.87</v>
      </c>
      <c r="BA59" s="171"/>
      <c r="BC59" s="171">
        <v>47.79</v>
      </c>
      <c r="BD59">
        <v>47.79</v>
      </c>
      <c r="BE59" s="171"/>
      <c r="BG59" s="171">
        <v>47.85</v>
      </c>
      <c r="BH59">
        <v>47.89</v>
      </c>
      <c r="BI59" s="171"/>
      <c r="BK59" s="171">
        <v>47.87</v>
      </c>
      <c r="BL59">
        <v>47.87</v>
      </c>
      <c r="BM59" s="171"/>
      <c r="BO59" s="171">
        <v>47.89</v>
      </c>
      <c r="BP59">
        <v>47.89</v>
      </c>
      <c r="BQ59" s="171">
        <v>47.87</v>
      </c>
      <c r="BR59">
        <v>47.87</v>
      </c>
      <c r="BS59" s="171"/>
      <c r="BU59" s="171">
        <v>47.85</v>
      </c>
      <c r="BV59">
        <v>47.89</v>
      </c>
      <c r="BW59" s="171"/>
      <c r="BY59" s="171">
        <v>47.91</v>
      </c>
      <c r="BZ59">
        <v>47.91</v>
      </c>
      <c r="CA59" s="171">
        <v>48.04</v>
      </c>
      <c r="CB59">
        <v>48.04</v>
      </c>
      <c r="CC59" s="171">
        <v>47.87</v>
      </c>
      <c r="CD59">
        <v>47.87</v>
      </c>
      <c r="CG59">
        <v>47.86</v>
      </c>
      <c r="CH59">
        <v>47.88</v>
      </c>
      <c r="CK59">
        <v>47.79</v>
      </c>
      <c r="CL59">
        <v>47.79</v>
      </c>
      <c r="CO59">
        <v>47.87</v>
      </c>
      <c r="CP59">
        <v>47.87</v>
      </c>
      <c r="CS59">
        <v>47.63</v>
      </c>
      <c r="CT59">
        <v>47.63</v>
      </c>
      <c r="CW59">
        <v>47.85</v>
      </c>
      <c r="CX59">
        <v>47.89</v>
      </c>
      <c r="DA59">
        <v>47.851999999999997</v>
      </c>
      <c r="DB59">
        <v>47.884999999999998</v>
      </c>
    </row>
    <row r="60" spans="2:106">
      <c r="B60">
        <v>45</v>
      </c>
      <c r="C60">
        <v>47.47</v>
      </c>
      <c r="D60">
        <v>47.47</v>
      </c>
      <c r="E60" s="171"/>
      <c r="G60" s="171">
        <v>47.5</v>
      </c>
      <c r="H60">
        <v>47.51</v>
      </c>
      <c r="I60" s="171" t="s">
        <v>7555</v>
      </c>
      <c r="J60" t="s">
        <v>7555</v>
      </c>
      <c r="K60" s="171" t="s">
        <v>7555</v>
      </c>
      <c r="L60" t="s">
        <v>7555</v>
      </c>
      <c r="M60" s="171" t="s">
        <v>7556</v>
      </c>
      <c r="N60" t="s">
        <v>7556</v>
      </c>
      <c r="O60" s="171">
        <v>47.99</v>
      </c>
      <c r="P60">
        <v>47.99</v>
      </c>
      <c r="S60" s="171">
        <v>55.01</v>
      </c>
      <c r="T60">
        <v>55.01</v>
      </c>
      <c r="U60" s="171"/>
      <c r="W60" s="171">
        <v>49.47</v>
      </c>
      <c r="X60">
        <v>49.47</v>
      </c>
      <c r="Y60" s="171"/>
      <c r="AA60">
        <v>47.51</v>
      </c>
      <c r="AB60">
        <v>47.51</v>
      </c>
      <c r="AC60" s="171"/>
      <c r="AE60" s="171">
        <v>47.71</v>
      </c>
      <c r="AF60">
        <v>47.71</v>
      </c>
      <c r="AG60" s="171"/>
      <c r="AI60" s="171">
        <v>47.25</v>
      </c>
      <c r="AJ60">
        <v>47.07</v>
      </c>
      <c r="AK60" s="171"/>
      <c r="AM60" s="171">
        <v>47.5</v>
      </c>
      <c r="AN60">
        <v>47.5</v>
      </c>
      <c r="AO60" s="171"/>
      <c r="AQ60" s="171">
        <v>47.51</v>
      </c>
      <c r="AR60">
        <v>47.51</v>
      </c>
      <c r="AS60" s="171"/>
      <c r="AU60">
        <v>47.5</v>
      </c>
      <c r="AV60">
        <v>47.5</v>
      </c>
      <c r="AW60" s="171"/>
      <c r="AY60" s="171">
        <v>47.51</v>
      </c>
      <c r="AZ60">
        <v>47.51</v>
      </c>
      <c r="BA60" s="171"/>
      <c r="BC60" s="171">
        <v>47.47</v>
      </c>
      <c r="BD60">
        <v>47.47</v>
      </c>
      <c r="BE60" s="171"/>
      <c r="BG60" s="171">
        <v>47.5</v>
      </c>
      <c r="BH60">
        <v>47.52</v>
      </c>
      <c r="BI60" s="171"/>
      <c r="BK60" s="171">
        <v>47.51</v>
      </c>
      <c r="BL60">
        <v>47.51</v>
      </c>
      <c r="BM60" s="171"/>
      <c r="BO60" s="171">
        <v>47.52</v>
      </c>
      <c r="BP60">
        <v>47.52</v>
      </c>
      <c r="BQ60" s="171">
        <v>47.51</v>
      </c>
      <c r="BR60">
        <v>47.51</v>
      </c>
      <c r="BS60" s="171"/>
      <c r="BU60" s="171">
        <v>47.5</v>
      </c>
      <c r="BV60">
        <v>47.52</v>
      </c>
      <c r="BW60" s="171"/>
      <c r="BY60" s="171">
        <v>47.6</v>
      </c>
      <c r="BZ60">
        <v>47.6</v>
      </c>
      <c r="CA60" s="171">
        <v>47.7</v>
      </c>
      <c r="CB60">
        <v>47.7</v>
      </c>
      <c r="CC60" s="171">
        <v>47.51</v>
      </c>
      <c r="CD60">
        <v>47.51</v>
      </c>
      <c r="CG60">
        <v>47.5</v>
      </c>
      <c r="CH60">
        <v>47.51</v>
      </c>
      <c r="CK60">
        <v>47.47</v>
      </c>
      <c r="CL60">
        <v>47.47</v>
      </c>
      <c r="CO60">
        <v>47.51</v>
      </c>
      <c r="CP60">
        <v>47.51</v>
      </c>
      <c r="CS60">
        <v>47.32</v>
      </c>
      <c r="CT60">
        <v>47.32</v>
      </c>
      <c r="CW60">
        <v>47.5</v>
      </c>
      <c r="CX60">
        <v>47.52</v>
      </c>
      <c r="DA60">
        <v>47.5</v>
      </c>
      <c r="DB60">
        <v>47.517000000000003</v>
      </c>
    </row>
    <row r="61" spans="2:106">
      <c r="B61">
        <v>44</v>
      </c>
      <c r="C61">
        <v>47.15</v>
      </c>
      <c r="D61">
        <v>47.15</v>
      </c>
      <c r="E61" s="171"/>
      <c r="G61" s="171">
        <v>47.13</v>
      </c>
      <c r="H61">
        <v>47.12</v>
      </c>
      <c r="I61" s="171" t="s">
        <v>7557</v>
      </c>
      <c r="J61" t="s">
        <v>7557</v>
      </c>
      <c r="K61" s="171" t="s">
        <v>7557</v>
      </c>
      <c r="L61" t="s">
        <v>7557</v>
      </c>
      <c r="M61" s="171" t="s">
        <v>7558</v>
      </c>
      <c r="N61" t="s">
        <v>7558</v>
      </c>
      <c r="O61" s="171">
        <v>47.61</v>
      </c>
      <c r="P61">
        <v>47.61</v>
      </c>
      <c r="S61" s="171">
        <v>54.76</v>
      </c>
      <c r="T61">
        <v>54.76</v>
      </c>
      <c r="U61" s="171"/>
      <c r="W61" s="171">
        <v>49.1</v>
      </c>
      <c r="X61">
        <v>49.1</v>
      </c>
      <c r="Y61" s="171"/>
      <c r="AA61">
        <v>47.14</v>
      </c>
      <c r="AB61">
        <v>47.14</v>
      </c>
      <c r="AC61" s="171"/>
      <c r="AE61" s="171">
        <v>47.43</v>
      </c>
      <c r="AF61">
        <v>47.43</v>
      </c>
      <c r="AG61" s="171"/>
      <c r="AI61" s="171">
        <v>46.9</v>
      </c>
      <c r="AJ61">
        <v>46.68</v>
      </c>
      <c r="AK61" s="171"/>
      <c r="AM61" s="171">
        <v>47.13</v>
      </c>
      <c r="AN61">
        <v>47.13</v>
      </c>
      <c r="AO61" s="171"/>
      <c r="AQ61" s="171">
        <v>47.14</v>
      </c>
      <c r="AR61">
        <v>47.14</v>
      </c>
      <c r="AS61" s="171"/>
      <c r="AU61">
        <v>47.13</v>
      </c>
      <c r="AV61">
        <v>47.13</v>
      </c>
      <c r="AW61" s="171"/>
      <c r="AY61" s="171">
        <v>47.14</v>
      </c>
      <c r="AZ61">
        <v>47.14</v>
      </c>
      <c r="BA61" s="171"/>
      <c r="BC61" s="171">
        <v>47.15</v>
      </c>
      <c r="BD61">
        <v>47.15</v>
      </c>
      <c r="BE61" s="171"/>
      <c r="BG61" s="171">
        <v>47.15</v>
      </c>
      <c r="BH61">
        <v>47.13</v>
      </c>
      <c r="BI61" s="171"/>
      <c r="BK61" s="171">
        <v>47.14</v>
      </c>
      <c r="BL61">
        <v>47.14</v>
      </c>
      <c r="BM61" s="171"/>
      <c r="BO61" s="171">
        <v>47.13</v>
      </c>
      <c r="BP61">
        <v>47.13</v>
      </c>
      <c r="BQ61" s="171">
        <v>47.14</v>
      </c>
      <c r="BR61">
        <v>47.14</v>
      </c>
      <c r="BS61" s="171"/>
      <c r="BU61" s="171">
        <v>47.15</v>
      </c>
      <c r="BV61">
        <v>47.13</v>
      </c>
      <c r="BW61" s="171"/>
      <c r="BY61" s="171">
        <v>47.29</v>
      </c>
      <c r="BZ61">
        <v>47.29</v>
      </c>
      <c r="CA61" s="171">
        <v>47.37</v>
      </c>
      <c r="CB61">
        <v>47.37</v>
      </c>
      <c r="CC61" s="171">
        <v>47.14</v>
      </c>
      <c r="CD61">
        <v>47.14</v>
      </c>
      <c r="CG61">
        <v>47.13</v>
      </c>
      <c r="CH61">
        <v>47.12</v>
      </c>
      <c r="CK61">
        <v>47.15</v>
      </c>
      <c r="CL61">
        <v>47.15</v>
      </c>
      <c r="CO61">
        <v>47.14</v>
      </c>
      <c r="CP61">
        <v>47.14</v>
      </c>
      <c r="CS61">
        <v>46.99</v>
      </c>
      <c r="CT61">
        <v>46.99</v>
      </c>
      <c r="CW61">
        <v>47.15</v>
      </c>
      <c r="CX61">
        <v>47.13</v>
      </c>
      <c r="DA61">
        <v>47.148000000000003</v>
      </c>
      <c r="DB61">
        <v>47.127000000000002</v>
      </c>
    </row>
    <row r="62" spans="2:106">
      <c r="B62">
        <v>43</v>
      </c>
      <c r="C62">
        <v>46.76</v>
      </c>
      <c r="D62">
        <v>46.76</v>
      </c>
      <c r="E62" s="171"/>
      <c r="G62" s="171">
        <v>46.800000000000004</v>
      </c>
      <c r="H62">
        <v>46.82</v>
      </c>
      <c r="I62" s="171" t="s">
        <v>7559</v>
      </c>
      <c r="J62" t="s">
        <v>7559</v>
      </c>
      <c r="K62" s="171" t="s">
        <v>7559</v>
      </c>
      <c r="L62" t="s">
        <v>7559</v>
      </c>
      <c r="M62" s="171" t="s">
        <v>7560</v>
      </c>
      <c r="N62" t="s">
        <v>7560</v>
      </c>
      <c r="O62" s="171">
        <v>47.28</v>
      </c>
      <c r="P62">
        <v>47.28</v>
      </c>
      <c r="S62" s="171">
        <v>54.54</v>
      </c>
      <c r="T62">
        <v>54.54</v>
      </c>
      <c r="U62" s="171"/>
      <c r="W62" s="171">
        <v>48.77</v>
      </c>
      <c r="X62">
        <v>48.77</v>
      </c>
      <c r="Y62" s="171"/>
      <c r="AA62">
        <v>46.81</v>
      </c>
      <c r="AB62">
        <v>46.81</v>
      </c>
      <c r="AC62" s="171"/>
      <c r="AE62" s="171">
        <v>47.32</v>
      </c>
      <c r="AF62">
        <v>47.32</v>
      </c>
      <c r="AG62" s="171"/>
      <c r="AI62" s="171">
        <v>46.55</v>
      </c>
      <c r="AJ62">
        <v>46.38</v>
      </c>
      <c r="AK62" s="171"/>
      <c r="AM62" s="171">
        <v>46.8</v>
      </c>
      <c r="AN62">
        <v>46.8</v>
      </c>
      <c r="AO62" s="171"/>
      <c r="AQ62" s="171">
        <v>46.81</v>
      </c>
      <c r="AR62">
        <v>46.81</v>
      </c>
      <c r="AS62" s="171"/>
      <c r="AU62">
        <v>46.8</v>
      </c>
      <c r="AV62">
        <v>46.8</v>
      </c>
      <c r="AW62" s="171"/>
      <c r="AY62" s="171">
        <v>46.81</v>
      </c>
      <c r="AZ62">
        <v>46.81</v>
      </c>
      <c r="BA62" s="171"/>
      <c r="BC62" s="171">
        <v>46.76</v>
      </c>
      <c r="BD62">
        <v>46.76</v>
      </c>
      <c r="BE62" s="171"/>
      <c r="BG62" s="171">
        <v>46.8</v>
      </c>
      <c r="BH62">
        <v>46.82</v>
      </c>
      <c r="BI62" s="171"/>
      <c r="BK62" s="171">
        <v>46.81</v>
      </c>
      <c r="BL62">
        <v>46.81</v>
      </c>
      <c r="BM62" s="171"/>
      <c r="BO62" s="171">
        <v>46.82</v>
      </c>
      <c r="BP62">
        <v>46.82</v>
      </c>
      <c r="BQ62" s="171">
        <v>46.81</v>
      </c>
      <c r="BR62">
        <v>46.81</v>
      </c>
      <c r="BS62" s="171"/>
      <c r="BU62" s="171">
        <v>46.8</v>
      </c>
      <c r="BV62">
        <v>46.82</v>
      </c>
      <c r="BW62" s="171"/>
      <c r="BY62" s="171">
        <v>47.01</v>
      </c>
      <c r="BZ62">
        <v>47.01</v>
      </c>
      <c r="CA62" s="171">
        <v>47.05</v>
      </c>
      <c r="CB62">
        <v>47.05</v>
      </c>
      <c r="CC62" s="171">
        <v>46.81</v>
      </c>
      <c r="CD62">
        <v>46.81</v>
      </c>
      <c r="CG62">
        <v>46.800000000000004</v>
      </c>
      <c r="CH62">
        <v>46.82</v>
      </c>
      <c r="CK62">
        <v>46.76</v>
      </c>
      <c r="CL62">
        <v>46.76</v>
      </c>
      <c r="CO62">
        <v>46.81</v>
      </c>
      <c r="CP62">
        <v>46.81</v>
      </c>
      <c r="CS62">
        <v>46.65</v>
      </c>
      <c r="CT62">
        <v>46.65</v>
      </c>
      <c r="CW62">
        <v>46.8</v>
      </c>
      <c r="CX62">
        <v>46.82</v>
      </c>
      <c r="DA62">
        <v>46.795999999999999</v>
      </c>
      <c r="DB62">
        <v>46.820999999999998</v>
      </c>
    </row>
    <row r="63" spans="2:106">
      <c r="B63">
        <v>42</v>
      </c>
      <c r="C63">
        <v>46.39</v>
      </c>
      <c r="D63">
        <v>46.39</v>
      </c>
      <c r="E63" s="171"/>
      <c r="G63" s="171">
        <v>46.46</v>
      </c>
      <c r="H63">
        <v>46.51</v>
      </c>
      <c r="I63" s="171" t="s">
        <v>7561</v>
      </c>
      <c r="J63" t="s">
        <v>7561</v>
      </c>
      <c r="K63" s="171" t="s">
        <v>7561</v>
      </c>
      <c r="L63" t="s">
        <v>7561</v>
      </c>
      <c r="M63" s="171" t="s">
        <v>7562</v>
      </c>
      <c r="N63" t="s">
        <v>7562</v>
      </c>
      <c r="O63" s="171">
        <v>46.93</v>
      </c>
      <c r="P63">
        <v>46.93</v>
      </c>
      <c r="S63" s="171">
        <v>54.31</v>
      </c>
      <c r="T63">
        <v>54.31</v>
      </c>
      <c r="U63" s="171"/>
      <c r="W63" s="171">
        <v>48.43</v>
      </c>
      <c r="X63">
        <v>48.43</v>
      </c>
      <c r="Y63" s="171"/>
      <c r="AA63">
        <v>46.47</v>
      </c>
      <c r="AB63">
        <v>46.47</v>
      </c>
      <c r="AC63" s="171"/>
      <c r="AE63" s="171">
        <v>46.53</v>
      </c>
      <c r="AF63">
        <v>46.53</v>
      </c>
      <c r="AG63" s="171"/>
      <c r="AI63" s="171">
        <v>46.18</v>
      </c>
      <c r="AJ63">
        <v>46.07</v>
      </c>
      <c r="AK63" s="171"/>
      <c r="AM63" s="171">
        <v>46.46</v>
      </c>
      <c r="AN63">
        <v>46.46</v>
      </c>
      <c r="AO63" s="171"/>
      <c r="AQ63" s="171">
        <v>46.47</v>
      </c>
      <c r="AR63">
        <v>46.47</v>
      </c>
      <c r="AS63" s="171"/>
      <c r="AU63">
        <v>46.46</v>
      </c>
      <c r="AV63">
        <v>46.46</v>
      </c>
      <c r="AW63" s="171"/>
      <c r="AY63" s="171">
        <v>46.47</v>
      </c>
      <c r="AZ63">
        <v>46.47</v>
      </c>
      <c r="BA63" s="171"/>
      <c r="BC63" s="171">
        <v>46.39</v>
      </c>
      <c r="BD63">
        <v>46.39</v>
      </c>
      <c r="BE63" s="171"/>
      <c r="BG63" s="171">
        <v>46.43</v>
      </c>
      <c r="BH63">
        <v>46.51</v>
      </c>
      <c r="BI63" s="171"/>
      <c r="BK63" s="171">
        <v>46.47</v>
      </c>
      <c r="BL63">
        <v>46.47</v>
      </c>
      <c r="BM63" s="171"/>
      <c r="BO63" s="171">
        <v>46.51</v>
      </c>
      <c r="BP63">
        <v>46.51</v>
      </c>
      <c r="BQ63" s="171">
        <v>46.47</v>
      </c>
      <c r="BR63">
        <v>46.47</v>
      </c>
      <c r="BS63" s="171"/>
      <c r="BU63" s="171">
        <v>46.43</v>
      </c>
      <c r="BV63">
        <v>46.51</v>
      </c>
      <c r="BW63" s="171"/>
      <c r="BY63" s="171">
        <v>46.73</v>
      </c>
      <c r="BZ63">
        <v>46.73</v>
      </c>
      <c r="CA63" s="171">
        <v>46.72</v>
      </c>
      <c r="CB63">
        <v>46.72</v>
      </c>
      <c r="CC63" s="171">
        <v>46.47</v>
      </c>
      <c r="CD63">
        <v>46.47</v>
      </c>
      <c r="CG63">
        <v>46.46</v>
      </c>
      <c r="CH63">
        <v>46.51</v>
      </c>
      <c r="CK63">
        <v>46.39</v>
      </c>
      <c r="CL63">
        <v>46.39</v>
      </c>
      <c r="CO63">
        <v>46.47</v>
      </c>
      <c r="CP63">
        <v>46.47</v>
      </c>
      <c r="CS63">
        <v>46.33</v>
      </c>
      <c r="CT63">
        <v>46.33</v>
      </c>
      <c r="CW63">
        <v>46.43</v>
      </c>
      <c r="CX63">
        <v>46.51</v>
      </c>
      <c r="DA63">
        <v>46.426000000000002</v>
      </c>
      <c r="DB63">
        <v>46.515000000000001</v>
      </c>
    </row>
    <row r="64" spans="2:106">
      <c r="B64">
        <v>41</v>
      </c>
      <c r="C64">
        <v>46.03</v>
      </c>
      <c r="D64">
        <v>46.03</v>
      </c>
      <c r="E64" s="171"/>
      <c r="G64" s="171">
        <v>46.13</v>
      </c>
      <c r="H64">
        <v>46.18</v>
      </c>
      <c r="I64" s="171" t="s">
        <v>7563</v>
      </c>
      <c r="J64" t="s">
        <v>7563</v>
      </c>
      <c r="K64" s="171" t="s">
        <v>7563</v>
      </c>
      <c r="L64" t="s">
        <v>7563</v>
      </c>
      <c r="M64" s="171" t="s">
        <v>7564</v>
      </c>
      <c r="N64" t="s">
        <v>7564</v>
      </c>
      <c r="O64" s="171">
        <v>46.59</v>
      </c>
      <c r="P64">
        <v>46.59</v>
      </c>
      <c r="S64" s="171">
        <v>54.09</v>
      </c>
      <c r="T64">
        <v>54.09</v>
      </c>
      <c r="U64" s="171"/>
      <c r="W64" s="171">
        <v>48.09</v>
      </c>
      <c r="X64">
        <v>48.09</v>
      </c>
      <c r="Y64" s="171"/>
      <c r="AA64">
        <v>46.13</v>
      </c>
      <c r="AB64">
        <v>46.13</v>
      </c>
      <c r="AC64" s="171"/>
      <c r="AE64" s="171">
        <v>46.29</v>
      </c>
      <c r="AF64">
        <v>46.29</v>
      </c>
      <c r="AG64" s="171"/>
      <c r="AI64" s="171">
        <v>45.84</v>
      </c>
      <c r="AJ64">
        <v>45.75</v>
      </c>
      <c r="AK64" s="171"/>
      <c r="AM64" s="171">
        <v>46.13</v>
      </c>
      <c r="AN64">
        <v>46.13</v>
      </c>
      <c r="AO64" s="171"/>
      <c r="AQ64" s="171">
        <v>46.13</v>
      </c>
      <c r="AR64">
        <v>46.13</v>
      </c>
      <c r="AS64" s="171"/>
      <c r="AU64">
        <v>46.13</v>
      </c>
      <c r="AV64">
        <v>46.13</v>
      </c>
      <c r="AW64" s="171"/>
      <c r="AY64" s="171">
        <v>46.13</v>
      </c>
      <c r="AZ64">
        <v>46.13</v>
      </c>
      <c r="BA64" s="171"/>
      <c r="BC64" s="171">
        <v>46.03</v>
      </c>
      <c r="BD64">
        <v>46.03</v>
      </c>
      <c r="BE64" s="171"/>
      <c r="BG64" s="171">
        <v>46.08</v>
      </c>
      <c r="BH64">
        <v>46.19</v>
      </c>
      <c r="BI64" s="171"/>
      <c r="BK64" s="171">
        <v>46.13</v>
      </c>
      <c r="BL64">
        <v>46.13</v>
      </c>
      <c r="BM64" s="171"/>
      <c r="BO64" s="171">
        <v>46.18</v>
      </c>
      <c r="BP64">
        <v>46.18</v>
      </c>
      <c r="BQ64" s="171">
        <v>46.13</v>
      </c>
      <c r="BR64">
        <v>46.13</v>
      </c>
      <c r="BS64" s="171"/>
      <c r="BU64" s="171">
        <v>46.08</v>
      </c>
      <c r="BV64">
        <v>46.18</v>
      </c>
      <c r="BW64" s="171"/>
      <c r="BY64" s="171">
        <v>46.43</v>
      </c>
      <c r="BZ64">
        <v>46.43</v>
      </c>
      <c r="CA64" s="171">
        <v>46.39</v>
      </c>
      <c r="CB64">
        <v>46.39</v>
      </c>
      <c r="CC64" s="171">
        <v>46.13</v>
      </c>
      <c r="CD64">
        <v>46.13</v>
      </c>
      <c r="CG64">
        <v>46.13</v>
      </c>
      <c r="CH64">
        <v>46.18</v>
      </c>
      <c r="CK64">
        <v>46.03</v>
      </c>
      <c r="CL64">
        <v>46.03</v>
      </c>
      <c r="CO64">
        <v>46.13</v>
      </c>
      <c r="CP64">
        <v>46.13</v>
      </c>
      <c r="CS64">
        <v>45.97</v>
      </c>
      <c r="CT64">
        <v>45.97</v>
      </c>
      <c r="CW64">
        <v>46.08</v>
      </c>
      <c r="CX64">
        <v>46.18</v>
      </c>
      <c r="DA64">
        <v>46.082999999999998</v>
      </c>
      <c r="DB64">
        <v>46.183</v>
      </c>
    </row>
    <row r="65" spans="2:106">
      <c r="B65">
        <v>40</v>
      </c>
      <c r="C65">
        <v>45.68</v>
      </c>
      <c r="D65">
        <v>45.68</v>
      </c>
      <c r="E65" s="171"/>
      <c r="G65" s="171">
        <v>45.81</v>
      </c>
      <c r="H65">
        <v>45.86</v>
      </c>
      <c r="I65" s="171" t="s">
        <v>7565</v>
      </c>
      <c r="J65" t="s">
        <v>7565</v>
      </c>
      <c r="K65" s="171" t="s">
        <v>7565</v>
      </c>
      <c r="L65" t="s">
        <v>7565</v>
      </c>
      <c r="M65" s="171" t="s">
        <v>7566</v>
      </c>
      <c r="N65" t="s">
        <v>7566</v>
      </c>
      <c r="O65" s="171">
        <v>46.28</v>
      </c>
      <c r="P65">
        <v>46.28</v>
      </c>
      <c r="S65" s="171">
        <v>53.88</v>
      </c>
      <c r="T65">
        <v>53.88</v>
      </c>
      <c r="U65" s="171"/>
      <c r="W65" s="171">
        <v>47.78</v>
      </c>
      <c r="X65">
        <v>47.78</v>
      </c>
      <c r="Y65" s="171"/>
      <c r="AA65">
        <v>45.82</v>
      </c>
      <c r="AB65">
        <v>45.82</v>
      </c>
      <c r="AC65" s="171"/>
      <c r="AE65" s="171">
        <v>45.75</v>
      </c>
      <c r="AF65">
        <v>45.75</v>
      </c>
      <c r="AG65" s="171"/>
      <c r="AI65" s="171">
        <v>45.54</v>
      </c>
      <c r="AJ65">
        <v>45.43</v>
      </c>
      <c r="AK65" s="171"/>
      <c r="AM65" s="171">
        <v>45.81</v>
      </c>
      <c r="AN65">
        <v>45.81</v>
      </c>
      <c r="AO65" s="171"/>
      <c r="AQ65" s="171">
        <v>45.82</v>
      </c>
      <c r="AR65">
        <v>45.82</v>
      </c>
      <c r="AS65" s="171"/>
      <c r="AU65">
        <v>45.81</v>
      </c>
      <c r="AV65">
        <v>45.81</v>
      </c>
      <c r="AW65" s="171"/>
      <c r="AY65" s="171">
        <v>45.82</v>
      </c>
      <c r="AZ65">
        <v>45.82</v>
      </c>
      <c r="BA65" s="171"/>
      <c r="BC65" s="171">
        <v>45.68</v>
      </c>
      <c r="BD65">
        <v>45.68</v>
      </c>
      <c r="BE65" s="171"/>
      <c r="BG65" s="171">
        <v>45.78</v>
      </c>
      <c r="BH65">
        <v>45.88</v>
      </c>
      <c r="BI65" s="171"/>
      <c r="BK65" s="171">
        <v>45.82</v>
      </c>
      <c r="BL65">
        <v>45.82</v>
      </c>
      <c r="BM65" s="171"/>
      <c r="BO65" s="171">
        <v>45.87</v>
      </c>
      <c r="BP65">
        <v>45.87</v>
      </c>
      <c r="BQ65" s="171">
        <v>45.82</v>
      </c>
      <c r="BR65">
        <v>45.82</v>
      </c>
      <c r="BS65" s="171"/>
      <c r="BU65" s="171">
        <v>45.78</v>
      </c>
      <c r="BV65">
        <v>45.87</v>
      </c>
      <c r="BW65" s="171"/>
      <c r="BY65" s="171">
        <v>46.1</v>
      </c>
      <c r="BZ65">
        <v>46.1</v>
      </c>
      <c r="CA65" s="171">
        <v>46.06</v>
      </c>
      <c r="CB65">
        <v>46.06</v>
      </c>
      <c r="CC65" s="171">
        <v>45.82</v>
      </c>
      <c r="CD65">
        <v>45.82</v>
      </c>
      <c r="CG65">
        <v>45.81</v>
      </c>
      <c r="CH65">
        <v>45.86</v>
      </c>
      <c r="CK65">
        <v>45.68</v>
      </c>
      <c r="CL65">
        <v>45.68</v>
      </c>
      <c r="CO65">
        <v>45.82</v>
      </c>
      <c r="CP65">
        <v>45.82</v>
      </c>
      <c r="CS65">
        <v>45.61</v>
      </c>
      <c r="CT65">
        <v>45.61</v>
      </c>
      <c r="CW65">
        <v>45.78</v>
      </c>
      <c r="CX65">
        <v>45.87</v>
      </c>
      <c r="DA65">
        <v>45.777999999999999</v>
      </c>
      <c r="DB65">
        <v>45.866999999999997</v>
      </c>
    </row>
    <row r="66" spans="2:106">
      <c r="B66">
        <v>39</v>
      </c>
      <c r="C66">
        <v>45.35</v>
      </c>
      <c r="D66">
        <v>45.35</v>
      </c>
      <c r="E66" s="171"/>
      <c r="G66" s="171">
        <v>45.53</v>
      </c>
      <c r="H66">
        <v>45.59</v>
      </c>
      <c r="I66" s="171" t="s">
        <v>7567</v>
      </c>
      <c r="J66" t="s">
        <v>7567</v>
      </c>
      <c r="K66" s="171" t="s">
        <v>7567</v>
      </c>
      <c r="L66" t="s">
        <v>7567</v>
      </c>
      <c r="M66" s="171" t="s">
        <v>7568</v>
      </c>
      <c r="N66" t="s">
        <v>7568</v>
      </c>
      <c r="O66" s="171">
        <v>46</v>
      </c>
      <c r="P66">
        <v>46</v>
      </c>
      <c r="S66" s="171">
        <v>53.69</v>
      </c>
      <c r="T66">
        <v>53.69</v>
      </c>
      <c r="U66" s="171"/>
      <c r="W66" s="171">
        <v>47.5</v>
      </c>
      <c r="X66">
        <v>47.5</v>
      </c>
      <c r="Y66" s="171"/>
      <c r="AA66">
        <v>45.54</v>
      </c>
      <c r="AB66">
        <v>45.54</v>
      </c>
      <c r="AC66" s="171"/>
      <c r="AE66" s="171">
        <v>45.49</v>
      </c>
      <c r="AF66">
        <v>45.49</v>
      </c>
      <c r="AG66" s="171"/>
      <c r="AI66" s="171">
        <v>45.25</v>
      </c>
      <c r="AJ66">
        <v>45.16</v>
      </c>
      <c r="AK66" s="171"/>
      <c r="AM66" s="171">
        <v>45.53</v>
      </c>
      <c r="AN66">
        <v>45.53</v>
      </c>
      <c r="AO66" s="171"/>
      <c r="AQ66" s="171">
        <v>45.54</v>
      </c>
      <c r="AR66">
        <v>45.54</v>
      </c>
      <c r="AS66" s="171"/>
      <c r="AU66">
        <v>45.53</v>
      </c>
      <c r="AV66">
        <v>45.53</v>
      </c>
      <c r="AW66" s="171"/>
      <c r="AY66" s="171">
        <v>45.54</v>
      </c>
      <c r="AZ66">
        <v>45.54</v>
      </c>
      <c r="BA66" s="171"/>
      <c r="BC66" s="171">
        <v>45.35</v>
      </c>
      <c r="BD66">
        <v>45.35</v>
      </c>
      <c r="BE66" s="171"/>
      <c r="BG66" s="171">
        <v>45.49</v>
      </c>
      <c r="BH66">
        <v>45.6</v>
      </c>
      <c r="BI66" s="171"/>
      <c r="BK66" s="171">
        <v>45.54</v>
      </c>
      <c r="BL66">
        <v>45.54</v>
      </c>
      <c r="BM66" s="171"/>
      <c r="BO66" s="171">
        <v>45.59</v>
      </c>
      <c r="BP66">
        <v>45.59</v>
      </c>
      <c r="BQ66" s="171">
        <v>45.54</v>
      </c>
      <c r="BR66">
        <v>45.54</v>
      </c>
      <c r="BS66" s="171"/>
      <c r="BU66" s="171">
        <v>45.49</v>
      </c>
      <c r="BV66">
        <v>45.59</v>
      </c>
      <c r="BW66" s="171"/>
      <c r="BY66" s="171">
        <v>45.81</v>
      </c>
      <c r="BZ66">
        <v>45.81</v>
      </c>
      <c r="CA66" s="171">
        <v>45.71</v>
      </c>
      <c r="CB66">
        <v>45.71</v>
      </c>
      <c r="CC66" s="171">
        <v>45.54</v>
      </c>
      <c r="CD66">
        <v>45.54</v>
      </c>
      <c r="CG66">
        <v>45.53</v>
      </c>
      <c r="CH66">
        <v>45.59</v>
      </c>
      <c r="CK66">
        <v>45.35</v>
      </c>
      <c r="CL66">
        <v>45.35</v>
      </c>
      <c r="CO66">
        <v>45.54</v>
      </c>
      <c r="CP66">
        <v>45.54</v>
      </c>
      <c r="CS66">
        <v>45.3</v>
      </c>
      <c r="CT66">
        <v>45.3</v>
      </c>
      <c r="CW66">
        <v>45.49</v>
      </c>
      <c r="CX66">
        <v>45.59</v>
      </c>
      <c r="DA66">
        <v>45.487000000000002</v>
      </c>
      <c r="DB66">
        <v>45.591999999999999</v>
      </c>
    </row>
    <row r="67" spans="2:106">
      <c r="B67">
        <v>38</v>
      </c>
      <c r="C67">
        <v>44.99</v>
      </c>
      <c r="D67">
        <v>44.99</v>
      </c>
      <c r="E67" s="171"/>
      <c r="G67" s="171">
        <v>45.230000000000004</v>
      </c>
      <c r="H67">
        <v>45.31</v>
      </c>
      <c r="I67" s="171" t="s">
        <v>7569</v>
      </c>
      <c r="J67" t="s">
        <v>7569</v>
      </c>
      <c r="K67" s="171" t="s">
        <v>7569</v>
      </c>
      <c r="L67" t="s">
        <v>7569</v>
      </c>
      <c r="M67" s="171" t="s">
        <v>7570</v>
      </c>
      <c r="N67" t="s">
        <v>7570</v>
      </c>
      <c r="O67" s="171">
        <v>45.69</v>
      </c>
      <c r="P67">
        <v>45.69</v>
      </c>
      <c r="S67" s="171">
        <v>53.49</v>
      </c>
      <c r="T67">
        <v>53.49</v>
      </c>
      <c r="U67" s="171"/>
      <c r="W67" s="171">
        <v>47.2</v>
      </c>
      <c r="X67">
        <v>47.2</v>
      </c>
      <c r="Y67" s="171"/>
      <c r="AA67">
        <v>45.24</v>
      </c>
      <c r="AB67">
        <v>45.24</v>
      </c>
      <c r="AC67" s="171"/>
      <c r="AE67" s="171">
        <v>45.21</v>
      </c>
      <c r="AF67">
        <v>45.21</v>
      </c>
      <c r="AG67" s="171"/>
      <c r="AI67" s="171">
        <v>44.93</v>
      </c>
      <c r="AJ67">
        <v>44.89</v>
      </c>
      <c r="AK67" s="171"/>
      <c r="AM67" s="171">
        <v>45.23</v>
      </c>
      <c r="AN67">
        <v>45.23</v>
      </c>
      <c r="AO67" s="171"/>
      <c r="AQ67" s="171">
        <v>45.24</v>
      </c>
      <c r="AR67">
        <v>45.24</v>
      </c>
      <c r="AS67" s="171"/>
      <c r="AU67">
        <v>45.23</v>
      </c>
      <c r="AV67">
        <v>45.23</v>
      </c>
      <c r="AW67" s="171"/>
      <c r="AY67" s="171">
        <v>45.24</v>
      </c>
      <c r="AZ67">
        <v>45.24</v>
      </c>
      <c r="BA67" s="171"/>
      <c r="BC67" s="171">
        <v>44.99</v>
      </c>
      <c r="BD67">
        <v>44.99</v>
      </c>
      <c r="BE67" s="171"/>
      <c r="BG67" s="171">
        <v>45.17</v>
      </c>
      <c r="BH67">
        <v>45.33</v>
      </c>
      <c r="BI67" s="171"/>
      <c r="BK67" s="171">
        <v>45.24</v>
      </c>
      <c r="BL67">
        <v>45.24</v>
      </c>
      <c r="BM67" s="171"/>
      <c r="BO67" s="171">
        <v>45.32</v>
      </c>
      <c r="BP67">
        <v>45.32</v>
      </c>
      <c r="BQ67" s="171">
        <v>45.24</v>
      </c>
      <c r="BR67">
        <v>45.24</v>
      </c>
      <c r="BS67" s="171"/>
      <c r="BU67" s="171">
        <v>45.17</v>
      </c>
      <c r="BV67">
        <v>45.32</v>
      </c>
      <c r="BW67" s="171"/>
      <c r="BY67" s="171">
        <v>45.5</v>
      </c>
      <c r="BZ67">
        <v>45.5</v>
      </c>
      <c r="CA67" s="171">
        <v>45.36</v>
      </c>
      <c r="CB67">
        <v>45.36</v>
      </c>
      <c r="CC67" s="171">
        <v>45.24</v>
      </c>
      <c r="CD67">
        <v>45.24</v>
      </c>
      <c r="CG67">
        <v>45.230000000000004</v>
      </c>
      <c r="CH67">
        <v>45.31</v>
      </c>
      <c r="CK67">
        <v>44.99</v>
      </c>
      <c r="CL67">
        <v>44.99</v>
      </c>
      <c r="CO67">
        <v>45.24</v>
      </c>
      <c r="CP67">
        <v>45.24</v>
      </c>
      <c r="CS67">
        <v>44.98</v>
      </c>
      <c r="CT67">
        <v>44.98</v>
      </c>
      <c r="CW67">
        <v>45.17</v>
      </c>
      <c r="CX67">
        <v>45.32</v>
      </c>
      <c r="DA67">
        <v>45.168999999999997</v>
      </c>
      <c r="DB67">
        <v>45.317</v>
      </c>
    </row>
    <row r="68" spans="2:106">
      <c r="B68">
        <v>37</v>
      </c>
      <c r="C68">
        <v>44.65</v>
      </c>
      <c r="D68">
        <v>44.65</v>
      </c>
      <c r="E68" s="171"/>
      <c r="G68" s="171">
        <v>44.93</v>
      </c>
      <c r="H68">
        <v>45.02</v>
      </c>
      <c r="I68" s="171" t="s">
        <v>7571</v>
      </c>
      <c r="J68" t="s">
        <v>7571</v>
      </c>
      <c r="K68" s="171" t="s">
        <v>7571</v>
      </c>
      <c r="L68" t="s">
        <v>7571</v>
      </c>
      <c r="M68" s="171" t="s">
        <v>7572</v>
      </c>
      <c r="N68" t="s">
        <v>7572</v>
      </c>
      <c r="O68" s="171">
        <v>45.38</v>
      </c>
      <c r="P68">
        <v>45.38</v>
      </c>
      <c r="S68" s="171">
        <v>53.29</v>
      </c>
      <c r="T68">
        <v>53.29</v>
      </c>
      <c r="U68" s="171"/>
      <c r="W68" s="171">
        <v>46.89</v>
      </c>
      <c r="X68">
        <v>46.89</v>
      </c>
      <c r="Y68" s="171"/>
      <c r="AA68">
        <v>44.93</v>
      </c>
      <c r="AB68">
        <v>44.93</v>
      </c>
      <c r="AC68" s="171"/>
      <c r="AE68" s="171">
        <v>44.91</v>
      </c>
      <c r="AF68">
        <v>44.91</v>
      </c>
      <c r="AG68" s="171"/>
      <c r="AI68" s="171">
        <v>44.62</v>
      </c>
      <c r="AJ68">
        <v>44.59</v>
      </c>
      <c r="AK68" s="171"/>
      <c r="AM68" s="171">
        <v>44.93</v>
      </c>
      <c r="AN68">
        <v>44.93</v>
      </c>
      <c r="AO68" s="171"/>
      <c r="AQ68" s="171">
        <v>44.93</v>
      </c>
      <c r="AR68">
        <v>44.93</v>
      </c>
      <c r="AS68" s="171"/>
      <c r="AU68">
        <v>44.93</v>
      </c>
      <c r="AV68">
        <v>44.93</v>
      </c>
      <c r="AW68" s="171"/>
      <c r="AY68" s="171">
        <v>44.93</v>
      </c>
      <c r="AZ68">
        <v>44.93</v>
      </c>
      <c r="BA68" s="171"/>
      <c r="BC68" s="171">
        <v>44.65</v>
      </c>
      <c r="BD68">
        <v>44.65</v>
      </c>
      <c r="BE68" s="171"/>
      <c r="BG68" s="171">
        <v>44.86</v>
      </c>
      <c r="BH68">
        <v>45.04</v>
      </c>
      <c r="BI68" s="171"/>
      <c r="BK68" s="171">
        <v>44.93</v>
      </c>
      <c r="BL68">
        <v>44.93</v>
      </c>
      <c r="BM68" s="171"/>
      <c r="BO68" s="171">
        <v>45.02</v>
      </c>
      <c r="BP68">
        <v>45.02</v>
      </c>
      <c r="BQ68" s="171">
        <v>44.93</v>
      </c>
      <c r="BR68">
        <v>44.93</v>
      </c>
      <c r="BS68" s="171"/>
      <c r="BU68" s="171">
        <v>44.86</v>
      </c>
      <c r="BV68">
        <v>45.02</v>
      </c>
      <c r="BW68" s="171"/>
      <c r="BY68" s="171">
        <v>45.18</v>
      </c>
      <c r="BZ68">
        <v>45.18</v>
      </c>
      <c r="CA68" s="171">
        <v>45.02</v>
      </c>
      <c r="CB68">
        <v>45.02</v>
      </c>
      <c r="CC68" s="171">
        <v>44.93</v>
      </c>
      <c r="CD68">
        <v>44.93</v>
      </c>
      <c r="CG68">
        <v>44.93</v>
      </c>
      <c r="CH68">
        <v>45.02</v>
      </c>
      <c r="CK68">
        <v>44.65</v>
      </c>
      <c r="CL68">
        <v>44.65</v>
      </c>
      <c r="CO68">
        <v>44.93</v>
      </c>
      <c r="CP68">
        <v>44.93</v>
      </c>
      <c r="CS68">
        <v>44.65</v>
      </c>
      <c r="CT68">
        <v>44.65</v>
      </c>
      <c r="CW68">
        <v>44.86</v>
      </c>
      <c r="CX68">
        <v>45.02</v>
      </c>
      <c r="DA68">
        <v>44.856000000000002</v>
      </c>
      <c r="DB68">
        <v>45.021000000000001</v>
      </c>
    </row>
    <row r="69" spans="2:106">
      <c r="B69">
        <v>36</v>
      </c>
      <c r="C69">
        <v>44.35</v>
      </c>
      <c r="D69">
        <v>44.35</v>
      </c>
      <c r="E69" s="171"/>
      <c r="G69" s="171">
        <v>44.62</v>
      </c>
      <c r="H69">
        <v>44.68</v>
      </c>
      <c r="I69" s="171" t="s">
        <v>7573</v>
      </c>
      <c r="J69" t="s">
        <v>7573</v>
      </c>
      <c r="K69" s="171" t="s">
        <v>7573</v>
      </c>
      <c r="L69" t="s">
        <v>7573</v>
      </c>
      <c r="M69" s="171" t="s">
        <v>7574</v>
      </c>
      <c r="N69" t="s">
        <v>7574</v>
      </c>
      <c r="O69" s="171">
        <v>45.07</v>
      </c>
      <c r="P69">
        <v>45.07</v>
      </c>
      <c r="S69" s="171">
        <v>53.08</v>
      </c>
      <c r="T69">
        <v>53.08</v>
      </c>
      <c r="U69" s="171"/>
      <c r="W69" s="171">
        <v>46.58</v>
      </c>
      <c r="X69">
        <v>46.58</v>
      </c>
      <c r="Y69" s="171"/>
      <c r="AA69">
        <v>44.62</v>
      </c>
      <c r="AB69">
        <v>44.62</v>
      </c>
      <c r="AC69" s="171"/>
      <c r="AE69" s="171">
        <v>44.07</v>
      </c>
      <c r="AF69">
        <v>44.07</v>
      </c>
      <c r="AG69" s="171"/>
      <c r="AI69" s="171">
        <v>44.33</v>
      </c>
      <c r="AJ69">
        <v>44.26</v>
      </c>
      <c r="AK69" s="171"/>
      <c r="AM69" s="171">
        <v>44.62</v>
      </c>
      <c r="AN69">
        <v>44.62</v>
      </c>
      <c r="AO69" s="171"/>
      <c r="AQ69" s="171">
        <v>44.62</v>
      </c>
      <c r="AR69">
        <v>44.62</v>
      </c>
      <c r="AS69" s="171"/>
      <c r="AU69">
        <v>44.62</v>
      </c>
      <c r="AV69">
        <v>44.62</v>
      </c>
      <c r="AW69" s="171"/>
      <c r="AY69" s="171">
        <v>44.62</v>
      </c>
      <c r="AZ69">
        <v>44.62</v>
      </c>
      <c r="BA69" s="171"/>
      <c r="BC69" s="171">
        <v>44.35</v>
      </c>
      <c r="BD69">
        <v>44.35</v>
      </c>
      <c r="BE69" s="171"/>
      <c r="BG69" s="171">
        <v>44.56</v>
      </c>
      <c r="BH69">
        <v>44.71</v>
      </c>
      <c r="BI69" s="171"/>
      <c r="BK69" s="171">
        <v>44.62</v>
      </c>
      <c r="BL69">
        <v>44.62</v>
      </c>
      <c r="BM69" s="171"/>
      <c r="BO69" s="171">
        <v>44.69</v>
      </c>
      <c r="BP69">
        <v>44.69</v>
      </c>
      <c r="BQ69" s="171">
        <v>44.62</v>
      </c>
      <c r="BR69">
        <v>44.62</v>
      </c>
      <c r="BS69" s="171"/>
      <c r="BU69" s="171">
        <v>44.56</v>
      </c>
      <c r="BV69">
        <v>44.69</v>
      </c>
      <c r="BW69" s="171"/>
      <c r="BY69" s="171">
        <v>44.84</v>
      </c>
      <c r="BZ69">
        <v>44.84</v>
      </c>
      <c r="CA69" s="171">
        <v>44.69</v>
      </c>
      <c r="CB69">
        <v>44.69</v>
      </c>
      <c r="CC69" s="171">
        <v>44.62</v>
      </c>
      <c r="CD69">
        <v>44.62</v>
      </c>
      <c r="CG69">
        <v>44.62</v>
      </c>
      <c r="CH69">
        <v>44.68</v>
      </c>
      <c r="CK69">
        <v>44.35</v>
      </c>
      <c r="CL69">
        <v>44.35</v>
      </c>
      <c r="CO69">
        <v>44.62</v>
      </c>
      <c r="CP69">
        <v>44.62</v>
      </c>
      <c r="CS69">
        <v>44.33</v>
      </c>
      <c r="CT69">
        <v>44.33</v>
      </c>
      <c r="CW69">
        <v>44.56</v>
      </c>
      <c r="CX69">
        <v>44.69</v>
      </c>
      <c r="DA69">
        <v>44.561</v>
      </c>
      <c r="DB69">
        <v>44.688000000000002</v>
      </c>
    </row>
    <row r="70" spans="2:106">
      <c r="B70">
        <v>35</v>
      </c>
      <c r="C70">
        <v>44.07</v>
      </c>
      <c r="D70">
        <v>44.07</v>
      </c>
      <c r="E70" s="171"/>
      <c r="G70" s="171">
        <v>44.31</v>
      </c>
      <c r="H70">
        <v>44.37</v>
      </c>
      <c r="I70" s="171" t="s">
        <v>7575</v>
      </c>
      <c r="J70" t="s">
        <v>7575</v>
      </c>
      <c r="K70" s="171" t="s">
        <v>7575</v>
      </c>
      <c r="L70" t="s">
        <v>7575</v>
      </c>
      <c r="M70" s="171" t="s">
        <v>7576</v>
      </c>
      <c r="N70" t="s">
        <v>7576</v>
      </c>
      <c r="O70" s="171">
        <v>44.76</v>
      </c>
      <c r="P70">
        <v>44.76</v>
      </c>
      <c r="S70" s="171">
        <v>52.88</v>
      </c>
      <c r="T70">
        <v>52.88</v>
      </c>
      <c r="U70" s="171"/>
      <c r="W70" s="171">
        <v>46.28</v>
      </c>
      <c r="X70">
        <v>46.28</v>
      </c>
      <c r="Y70" s="171"/>
      <c r="AA70">
        <v>44.32</v>
      </c>
      <c r="AB70">
        <v>44.32</v>
      </c>
      <c r="AC70" s="171"/>
      <c r="AE70" s="171">
        <v>44.02</v>
      </c>
      <c r="AF70">
        <v>44.02</v>
      </c>
      <c r="AG70" s="171"/>
      <c r="AI70" s="171">
        <v>44.03</v>
      </c>
      <c r="AJ70">
        <v>43.95</v>
      </c>
      <c r="AK70" s="171"/>
      <c r="AM70" s="171">
        <v>44.31</v>
      </c>
      <c r="AN70">
        <v>44.31</v>
      </c>
      <c r="AO70" s="171"/>
      <c r="AQ70" s="171">
        <v>44.32</v>
      </c>
      <c r="AR70">
        <v>44.32</v>
      </c>
      <c r="AS70" s="171"/>
      <c r="AU70">
        <v>44.31</v>
      </c>
      <c r="AV70">
        <v>44.31</v>
      </c>
      <c r="AW70" s="171"/>
      <c r="AY70" s="171">
        <v>44.32</v>
      </c>
      <c r="AZ70">
        <v>44.32</v>
      </c>
      <c r="BA70" s="171"/>
      <c r="BC70" s="171">
        <v>44.07</v>
      </c>
      <c r="BD70">
        <v>44.07</v>
      </c>
      <c r="BE70" s="171"/>
      <c r="BG70" s="171">
        <v>44.27</v>
      </c>
      <c r="BH70">
        <v>44.39</v>
      </c>
      <c r="BI70" s="171"/>
      <c r="BK70" s="171">
        <v>44.32</v>
      </c>
      <c r="BL70">
        <v>44.32</v>
      </c>
      <c r="BM70" s="171"/>
      <c r="BO70" s="171">
        <v>44.38</v>
      </c>
      <c r="BP70">
        <v>44.38</v>
      </c>
      <c r="BQ70" s="171">
        <v>44.32</v>
      </c>
      <c r="BR70">
        <v>44.32</v>
      </c>
      <c r="BS70" s="171"/>
      <c r="BU70" s="171">
        <v>44.27</v>
      </c>
      <c r="BV70">
        <v>44.38</v>
      </c>
      <c r="BW70" s="171"/>
      <c r="BY70" s="171">
        <v>44.54</v>
      </c>
      <c r="BZ70">
        <v>44.54</v>
      </c>
      <c r="CA70" s="171">
        <v>44.38</v>
      </c>
      <c r="CB70">
        <v>44.38</v>
      </c>
      <c r="CC70" s="171">
        <v>44.32</v>
      </c>
      <c r="CD70">
        <v>44.32</v>
      </c>
      <c r="CG70">
        <v>44.31</v>
      </c>
      <c r="CH70">
        <v>44.37</v>
      </c>
      <c r="CK70">
        <v>44.07</v>
      </c>
      <c r="CL70">
        <v>44.07</v>
      </c>
      <c r="CO70">
        <v>44.32</v>
      </c>
      <c r="CP70">
        <v>44.32</v>
      </c>
      <c r="CS70">
        <v>44.06</v>
      </c>
      <c r="CT70">
        <v>44.06</v>
      </c>
      <c r="CW70">
        <v>44.27</v>
      </c>
      <c r="CX70">
        <v>44.38</v>
      </c>
      <c r="DA70">
        <v>44.267000000000003</v>
      </c>
      <c r="DB70">
        <v>44.375</v>
      </c>
    </row>
    <row r="71" spans="2:106">
      <c r="B71">
        <v>34</v>
      </c>
      <c r="C71">
        <v>43.78</v>
      </c>
      <c r="D71">
        <v>43.78</v>
      </c>
      <c r="E71" s="171"/>
      <c r="G71" s="171">
        <v>44.02</v>
      </c>
      <c r="H71">
        <v>44.07</v>
      </c>
      <c r="I71" s="171" t="s">
        <v>7041</v>
      </c>
      <c r="J71" t="s">
        <v>7041</v>
      </c>
      <c r="K71" s="171" t="s">
        <v>7041</v>
      </c>
      <c r="L71" t="s">
        <v>7041</v>
      </c>
      <c r="M71" s="171" t="s">
        <v>7577</v>
      </c>
      <c r="N71" t="s">
        <v>7577</v>
      </c>
      <c r="O71" s="171">
        <v>44.46</v>
      </c>
      <c r="P71">
        <v>44.46</v>
      </c>
      <c r="S71" s="171">
        <v>52.68</v>
      </c>
      <c r="T71">
        <v>52.68</v>
      </c>
      <c r="U71" s="171"/>
      <c r="W71" s="171">
        <v>45.98</v>
      </c>
      <c r="X71">
        <v>45.98</v>
      </c>
      <c r="Y71" s="171"/>
      <c r="AA71">
        <v>44.02</v>
      </c>
      <c r="AB71">
        <v>44.02</v>
      </c>
      <c r="AC71" s="171"/>
      <c r="AE71" s="171">
        <v>43.38</v>
      </c>
      <c r="AF71">
        <v>43.38</v>
      </c>
      <c r="AG71" s="171"/>
      <c r="AI71" s="171">
        <v>43.75</v>
      </c>
      <c r="AJ71">
        <v>43.65</v>
      </c>
      <c r="AK71" s="171"/>
      <c r="AM71" s="171">
        <v>44.02</v>
      </c>
      <c r="AN71">
        <v>44.02</v>
      </c>
      <c r="AO71" s="171"/>
      <c r="AQ71" s="171">
        <v>44.02</v>
      </c>
      <c r="AR71">
        <v>44.02</v>
      </c>
      <c r="AS71" s="171"/>
      <c r="AU71">
        <v>44.02</v>
      </c>
      <c r="AV71">
        <v>44.02</v>
      </c>
      <c r="AW71" s="171"/>
      <c r="AY71" s="171">
        <v>44.02</v>
      </c>
      <c r="AZ71">
        <v>44.02</v>
      </c>
      <c r="BA71" s="171"/>
      <c r="BC71" s="171">
        <v>43.78</v>
      </c>
      <c r="BD71">
        <v>43.78</v>
      </c>
      <c r="BE71" s="171"/>
      <c r="BG71" s="171">
        <v>43.98</v>
      </c>
      <c r="BH71">
        <v>44.09</v>
      </c>
      <c r="BI71" s="171"/>
      <c r="BK71" s="171">
        <v>44.02</v>
      </c>
      <c r="BL71">
        <v>44.02</v>
      </c>
      <c r="BM71" s="171"/>
      <c r="BO71" s="171">
        <v>44.07</v>
      </c>
      <c r="BP71">
        <v>44.07</v>
      </c>
      <c r="BQ71" s="171">
        <v>44.02</v>
      </c>
      <c r="BR71">
        <v>44.02</v>
      </c>
      <c r="BS71" s="171"/>
      <c r="BU71" s="171">
        <v>43.98</v>
      </c>
      <c r="BV71">
        <v>44.07</v>
      </c>
      <c r="BW71" s="171"/>
      <c r="BY71" s="171">
        <v>44.27</v>
      </c>
      <c r="BZ71">
        <v>44.27</v>
      </c>
      <c r="CA71" s="171">
        <v>44.07</v>
      </c>
      <c r="CB71">
        <v>44.07</v>
      </c>
      <c r="CC71" s="171">
        <v>44.02</v>
      </c>
      <c r="CD71">
        <v>44.02</v>
      </c>
      <c r="CG71">
        <v>44.02</v>
      </c>
      <c r="CH71">
        <v>44.07</v>
      </c>
      <c r="CK71">
        <v>43.78</v>
      </c>
      <c r="CL71">
        <v>43.78</v>
      </c>
      <c r="CO71">
        <v>44.02</v>
      </c>
      <c r="CP71">
        <v>44.02</v>
      </c>
      <c r="CS71">
        <v>43.77</v>
      </c>
      <c r="CT71">
        <v>43.77</v>
      </c>
      <c r="CW71">
        <v>43.98</v>
      </c>
      <c r="CX71">
        <v>44.07</v>
      </c>
      <c r="DA71">
        <v>43.981000000000002</v>
      </c>
      <c r="DB71">
        <v>44.073</v>
      </c>
    </row>
    <row r="72" spans="2:106">
      <c r="B72">
        <v>33</v>
      </c>
      <c r="C72">
        <v>43.47</v>
      </c>
      <c r="D72">
        <v>43.47</v>
      </c>
      <c r="E72" s="171"/>
      <c r="G72" s="171">
        <v>43.730000000000004</v>
      </c>
      <c r="H72">
        <v>43.78</v>
      </c>
      <c r="I72" s="171" t="s">
        <v>7578</v>
      </c>
      <c r="J72" t="s">
        <v>7578</v>
      </c>
      <c r="K72" s="171" t="s">
        <v>7578</v>
      </c>
      <c r="L72" t="s">
        <v>7578</v>
      </c>
      <c r="M72" s="171" t="s">
        <v>7579</v>
      </c>
      <c r="N72" t="s">
        <v>7579</v>
      </c>
      <c r="O72" s="171">
        <v>44.17</v>
      </c>
      <c r="P72">
        <v>44.17</v>
      </c>
      <c r="S72" s="171">
        <v>52.49</v>
      </c>
      <c r="T72">
        <v>52.49</v>
      </c>
      <c r="U72" s="171"/>
      <c r="W72" s="171">
        <v>45.69</v>
      </c>
      <c r="X72">
        <v>45.69</v>
      </c>
      <c r="Y72" s="171"/>
      <c r="AA72">
        <v>43.73</v>
      </c>
      <c r="AB72">
        <v>43.73</v>
      </c>
      <c r="AC72" s="171"/>
      <c r="AE72" s="171">
        <v>43.08</v>
      </c>
      <c r="AF72">
        <v>43.08</v>
      </c>
      <c r="AG72" s="171"/>
      <c r="AI72" s="171">
        <v>43.46</v>
      </c>
      <c r="AJ72">
        <v>43.37</v>
      </c>
      <c r="AK72" s="171"/>
      <c r="AM72" s="171">
        <v>43.73</v>
      </c>
      <c r="AN72">
        <v>43.73</v>
      </c>
      <c r="AO72" s="171"/>
      <c r="AQ72" s="171">
        <v>43.73</v>
      </c>
      <c r="AR72">
        <v>43.73</v>
      </c>
      <c r="AS72" s="171"/>
      <c r="AU72">
        <v>43.73</v>
      </c>
      <c r="AV72">
        <v>43.73</v>
      </c>
      <c r="AW72" s="171"/>
      <c r="AY72" s="171">
        <v>43.73</v>
      </c>
      <c r="AZ72">
        <v>43.73</v>
      </c>
      <c r="BA72" s="171"/>
      <c r="BC72" s="171">
        <v>43.47</v>
      </c>
      <c r="BD72">
        <v>43.47</v>
      </c>
      <c r="BE72" s="171"/>
      <c r="BG72" s="171">
        <v>43.69</v>
      </c>
      <c r="BH72">
        <v>43.79</v>
      </c>
      <c r="BI72" s="171"/>
      <c r="BK72" s="171">
        <v>43.73</v>
      </c>
      <c r="BL72">
        <v>43.73</v>
      </c>
      <c r="BM72" s="171"/>
      <c r="BO72" s="171">
        <v>43.78</v>
      </c>
      <c r="BP72">
        <v>43.78</v>
      </c>
      <c r="BQ72" s="171">
        <v>43.73</v>
      </c>
      <c r="BR72">
        <v>43.73</v>
      </c>
      <c r="BS72" s="171"/>
      <c r="BU72" s="171">
        <v>43.69</v>
      </c>
      <c r="BV72">
        <v>43.78</v>
      </c>
      <c r="BW72" s="171"/>
      <c r="BY72" s="171">
        <v>44</v>
      </c>
      <c r="BZ72">
        <v>44</v>
      </c>
      <c r="CA72" s="171">
        <v>43.77</v>
      </c>
      <c r="CB72">
        <v>43.77</v>
      </c>
      <c r="CC72" s="171">
        <v>43.73</v>
      </c>
      <c r="CD72">
        <v>43.73</v>
      </c>
      <c r="CG72">
        <v>43.730000000000004</v>
      </c>
      <c r="CH72">
        <v>43.78</v>
      </c>
      <c r="CK72">
        <v>43.47</v>
      </c>
      <c r="CL72">
        <v>43.47</v>
      </c>
      <c r="CO72">
        <v>43.73</v>
      </c>
      <c r="CP72">
        <v>43.73</v>
      </c>
      <c r="CS72">
        <v>43.46</v>
      </c>
      <c r="CT72">
        <v>43.46</v>
      </c>
      <c r="CW72">
        <v>43.69</v>
      </c>
      <c r="CX72">
        <v>43.78</v>
      </c>
      <c r="DA72">
        <v>43.692999999999998</v>
      </c>
      <c r="DB72">
        <v>43.780999999999999</v>
      </c>
    </row>
    <row r="73" spans="2:106">
      <c r="B73">
        <v>32</v>
      </c>
      <c r="C73">
        <v>43.21</v>
      </c>
      <c r="D73">
        <v>43.21</v>
      </c>
      <c r="E73" s="171"/>
      <c r="G73" s="171">
        <v>43.44</v>
      </c>
      <c r="H73">
        <v>43.51</v>
      </c>
      <c r="I73" s="171" t="s">
        <v>7580</v>
      </c>
      <c r="J73" t="s">
        <v>7580</v>
      </c>
      <c r="K73" s="171" t="s">
        <v>7580</v>
      </c>
      <c r="L73" t="s">
        <v>7580</v>
      </c>
      <c r="M73" s="171" t="s">
        <v>7581</v>
      </c>
      <c r="N73" t="s">
        <v>7581</v>
      </c>
      <c r="O73" s="171">
        <v>43.87</v>
      </c>
      <c r="P73">
        <v>43.87</v>
      </c>
      <c r="S73" s="171">
        <v>52.29</v>
      </c>
      <c r="T73">
        <v>52.29</v>
      </c>
      <c r="U73" s="171"/>
      <c r="W73" s="171">
        <v>45.4</v>
      </c>
      <c r="X73">
        <v>45.4</v>
      </c>
      <c r="Y73" s="171"/>
      <c r="AA73">
        <v>43.44</v>
      </c>
      <c r="AB73">
        <v>43.44</v>
      </c>
      <c r="AC73" s="171"/>
      <c r="AE73" s="171">
        <v>42.66</v>
      </c>
      <c r="AF73">
        <v>42.66</v>
      </c>
      <c r="AG73" s="171"/>
      <c r="AI73" s="171">
        <v>43.15</v>
      </c>
      <c r="AJ73">
        <v>43.1</v>
      </c>
      <c r="AK73" s="171"/>
      <c r="AM73" s="171">
        <v>43.44</v>
      </c>
      <c r="AN73">
        <v>43.44</v>
      </c>
      <c r="AO73" s="171"/>
      <c r="AQ73" s="171">
        <v>43.44</v>
      </c>
      <c r="AR73">
        <v>43.44</v>
      </c>
      <c r="AS73" s="171"/>
      <c r="AU73">
        <v>43.44</v>
      </c>
      <c r="AV73">
        <v>43.44</v>
      </c>
      <c r="AW73" s="171"/>
      <c r="AY73" s="171">
        <v>43.44</v>
      </c>
      <c r="AZ73">
        <v>43.44</v>
      </c>
      <c r="BA73" s="171"/>
      <c r="BC73" s="171">
        <v>43.21</v>
      </c>
      <c r="BD73">
        <v>43.21</v>
      </c>
      <c r="BE73" s="171"/>
      <c r="BG73" s="171">
        <v>43.38</v>
      </c>
      <c r="BH73">
        <v>43.52</v>
      </c>
      <c r="BI73" s="171"/>
      <c r="BK73" s="171">
        <v>43.44</v>
      </c>
      <c r="BL73">
        <v>43.44</v>
      </c>
      <c r="BM73" s="171"/>
      <c r="BO73" s="171">
        <v>43.51</v>
      </c>
      <c r="BP73">
        <v>43.51</v>
      </c>
      <c r="BQ73" s="171">
        <v>43.44</v>
      </c>
      <c r="BR73">
        <v>43.44</v>
      </c>
      <c r="BS73" s="171"/>
      <c r="BU73" s="171">
        <v>43.38</v>
      </c>
      <c r="BV73">
        <v>43.51</v>
      </c>
      <c r="BW73" s="171"/>
      <c r="BY73" s="171">
        <v>43.74</v>
      </c>
      <c r="BZ73">
        <v>43.74</v>
      </c>
      <c r="CA73" s="171">
        <v>43.49</v>
      </c>
      <c r="CB73">
        <v>43.49</v>
      </c>
      <c r="CC73" s="171">
        <v>43.44</v>
      </c>
      <c r="CD73">
        <v>43.44</v>
      </c>
      <c r="CG73">
        <v>43.44</v>
      </c>
      <c r="CH73">
        <v>43.51</v>
      </c>
      <c r="CK73">
        <v>43.21</v>
      </c>
      <c r="CL73">
        <v>43.21</v>
      </c>
      <c r="CO73">
        <v>43.44</v>
      </c>
      <c r="CP73">
        <v>43.44</v>
      </c>
      <c r="CS73">
        <v>43.18</v>
      </c>
      <c r="CT73">
        <v>43.18</v>
      </c>
      <c r="CW73">
        <v>43.38</v>
      </c>
      <c r="CX73">
        <v>43.51</v>
      </c>
      <c r="DA73">
        <v>43.38</v>
      </c>
      <c r="DB73">
        <v>43.51</v>
      </c>
    </row>
    <row r="74" spans="2:106">
      <c r="B74">
        <v>31</v>
      </c>
      <c r="C74">
        <v>42.96</v>
      </c>
      <c r="D74">
        <v>42.96</v>
      </c>
      <c r="E74" s="171"/>
      <c r="G74" s="171">
        <v>43.15</v>
      </c>
      <c r="H74">
        <v>43.230000000000004</v>
      </c>
      <c r="I74" s="171" t="s">
        <v>7582</v>
      </c>
      <c r="J74" t="s">
        <v>7582</v>
      </c>
      <c r="K74" s="171" t="s">
        <v>7582</v>
      </c>
      <c r="L74" t="s">
        <v>7582</v>
      </c>
      <c r="M74" s="171" t="s">
        <v>7583</v>
      </c>
      <c r="N74" t="s">
        <v>7583</v>
      </c>
      <c r="O74" s="171">
        <v>43.59</v>
      </c>
      <c r="P74">
        <v>43.59</v>
      </c>
      <c r="S74" s="171">
        <v>52.1</v>
      </c>
      <c r="T74">
        <v>52.1</v>
      </c>
      <c r="U74" s="171"/>
      <c r="W74" s="171">
        <v>45.12</v>
      </c>
      <c r="X74">
        <v>45.12</v>
      </c>
      <c r="Y74" s="171"/>
      <c r="AA74">
        <v>43.16</v>
      </c>
      <c r="AB74">
        <v>43.16</v>
      </c>
      <c r="AC74" s="171"/>
      <c r="AE74" s="171">
        <v>42.18</v>
      </c>
      <c r="AF74">
        <v>42.18</v>
      </c>
      <c r="AG74" s="171"/>
      <c r="AI74" s="171">
        <v>42.86</v>
      </c>
      <c r="AJ74">
        <v>42.83</v>
      </c>
      <c r="AK74" s="171"/>
      <c r="AM74" s="171">
        <v>43.15</v>
      </c>
      <c r="AN74">
        <v>43.15</v>
      </c>
      <c r="AO74" s="171"/>
      <c r="AQ74" s="171">
        <v>43.16</v>
      </c>
      <c r="AR74">
        <v>43.16</v>
      </c>
      <c r="AS74" s="171"/>
      <c r="AU74">
        <v>43.15</v>
      </c>
      <c r="AV74">
        <v>43.15</v>
      </c>
      <c r="AW74" s="171"/>
      <c r="AY74" s="171">
        <v>43.16</v>
      </c>
      <c r="AZ74">
        <v>43.16</v>
      </c>
      <c r="BA74" s="171"/>
      <c r="BC74" s="171">
        <v>42.96</v>
      </c>
      <c r="BD74">
        <v>42.96</v>
      </c>
      <c r="BE74" s="171"/>
      <c r="BG74" s="171">
        <v>43.08</v>
      </c>
      <c r="BH74">
        <v>43.24</v>
      </c>
      <c r="BI74" s="171"/>
      <c r="BK74" s="171">
        <v>43.16</v>
      </c>
      <c r="BL74">
        <v>43.16</v>
      </c>
      <c r="BM74" s="171"/>
      <c r="BO74" s="171">
        <v>43.24</v>
      </c>
      <c r="BP74">
        <v>43.24</v>
      </c>
      <c r="BQ74" s="171">
        <v>43.16</v>
      </c>
      <c r="BR74">
        <v>43.16</v>
      </c>
      <c r="BS74" s="171"/>
      <c r="BU74" s="171">
        <v>43.09</v>
      </c>
      <c r="BV74">
        <v>43.24</v>
      </c>
      <c r="BW74" s="171"/>
      <c r="BY74" s="171">
        <v>43.47</v>
      </c>
      <c r="BZ74">
        <v>43.47</v>
      </c>
      <c r="CA74" s="171">
        <v>43.2</v>
      </c>
      <c r="CB74">
        <v>43.2</v>
      </c>
      <c r="CC74" s="171">
        <v>43.16</v>
      </c>
      <c r="CD74">
        <v>43.16</v>
      </c>
      <c r="CG74">
        <v>43.15</v>
      </c>
      <c r="CH74">
        <v>43.230000000000004</v>
      </c>
      <c r="CK74">
        <v>42.96</v>
      </c>
      <c r="CL74">
        <v>42.96</v>
      </c>
      <c r="CO74">
        <v>43.16</v>
      </c>
      <c r="CP74">
        <v>43.16</v>
      </c>
      <c r="CS74">
        <v>42.93</v>
      </c>
      <c r="CT74">
        <v>42.93</v>
      </c>
      <c r="CW74">
        <v>43.09</v>
      </c>
      <c r="CX74">
        <v>43.24</v>
      </c>
      <c r="DA74">
        <v>43.085000000000001</v>
      </c>
      <c r="DB74">
        <v>43.24</v>
      </c>
    </row>
    <row r="75" spans="2:106">
      <c r="B75">
        <v>30</v>
      </c>
      <c r="C75">
        <v>42.71</v>
      </c>
      <c r="D75">
        <v>42.71</v>
      </c>
      <c r="E75" s="171"/>
      <c r="G75" s="171">
        <v>42.86</v>
      </c>
      <c r="H75">
        <v>42.97</v>
      </c>
      <c r="I75" s="171" t="s">
        <v>7584</v>
      </c>
      <c r="J75" t="s">
        <v>7584</v>
      </c>
      <c r="K75" s="171" t="s">
        <v>7584</v>
      </c>
      <c r="L75" t="s">
        <v>7584</v>
      </c>
      <c r="M75" s="171" t="s">
        <v>7585</v>
      </c>
      <c r="N75" t="s">
        <v>7585</v>
      </c>
      <c r="O75" s="171">
        <v>43.3</v>
      </c>
      <c r="P75">
        <v>43.3</v>
      </c>
      <c r="S75" s="171">
        <v>51.91</v>
      </c>
      <c r="T75">
        <v>51.91</v>
      </c>
      <c r="U75" s="171"/>
      <c r="W75" s="171">
        <v>44.83</v>
      </c>
      <c r="X75">
        <v>44.83</v>
      </c>
      <c r="Y75" s="171"/>
      <c r="AA75">
        <v>42.87</v>
      </c>
      <c r="AB75">
        <v>42.87</v>
      </c>
      <c r="AC75" s="171"/>
      <c r="AE75" s="171">
        <v>41.69</v>
      </c>
      <c r="AF75">
        <v>41.69</v>
      </c>
      <c r="AG75" s="171"/>
      <c r="AI75" s="171">
        <v>42.55</v>
      </c>
      <c r="AJ75">
        <v>42.56</v>
      </c>
      <c r="AK75" s="171"/>
      <c r="AM75" s="171">
        <v>42.86</v>
      </c>
      <c r="AN75">
        <v>42.86</v>
      </c>
      <c r="AO75" s="171"/>
      <c r="AQ75" s="171">
        <v>42.87</v>
      </c>
      <c r="AR75">
        <v>42.87</v>
      </c>
      <c r="AS75" s="171"/>
      <c r="AU75">
        <v>42.86</v>
      </c>
      <c r="AV75">
        <v>42.86</v>
      </c>
      <c r="AW75" s="171"/>
      <c r="AY75" s="171">
        <v>42.87</v>
      </c>
      <c r="AZ75">
        <v>42.87</v>
      </c>
      <c r="BA75" s="171"/>
      <c r="BC75" s="171">
        <v>42.71</v>
      </c>
      <c r="BD75">
        <v>42.71</v>
      </c>
      <c r="BE75" s="171"/>
      <c r="BG75" s="171">
        <v>42.77</v>
      </c>
      <c r="BH75">
        <v>42.97</v>
      </c>
      <c r="BI75" s="171"/>
      <c r="BK75" s="171">
        <v>42.87</v>
      </c>
      <c r="BL75">
        <v>42.87</v>
      </c>
      <c r="BM75" s="171"/>
      <c r="BO75" s="171">
        <v>42.97</v>
      </c>
      <c r="BP75">
        <v>42.97</v>
      </c>
      <c r="BQ75" s="171">
        <v>42.87</v>
      </c>
      <c r="BR75">
        <v>42.87</v>
      </c>
      <c r="BS75" s="171"/>
      <c r="BU75" s="171">
        <v>42.77</v>
      </c>
      <c r="BV75">
        <v>42.97</v>
      </c>
      <c r="BW75" s="171"/>
      <c r="BY75" s="171">
        <v>43.22</v>
      </c>
      <c r="BZ75">
        <v>43.22</v>
      </c>
      <c r="CA75" s="171">
        <v>42.93</v>
      </c>
      <c r="CB75">
        <v>42.93</v>
      </c>
      <c r="CC75" s="171">
        <v>42.87</v>
      </c>
      <c r="CD75">
        <v>42.87</v>
      </c>
      <c r="CG75">
        <v>42.86</v>
      </c>
      <c r="CH75">
        <v>42.97</v>
      </c>
      <c r="CK75">
        <v>42.71</v>
      </c>
      <c r="CL75">
        <v>42.71</v>
      </c>
      <c r="CO75">
        <v>42.87</v>
      </c>
      <c r="CP75">
        <v>42.87</v>
      </c>
      <c r="CS75">
        <v>42.68</v>
      </c>
      <c r="CT75">
        <v>42.68</v>
      </c>
      <c r="CW75">
        <v>42.77</v>
      </c>
      <c r="CX75">
        <v>42.97</v>
      </c>
      <c r="DA75">
        <v>42.771999999999998</v>
      </c>
      <c r="DB75">
        <v>42.970999999999997</v>
      </c>
    </row>
    <row r="76" spans="2:106">
      <c r="B76">
        <v>29</v>
      </c>
      <c r="C76">
        <v>42.47</v>
      </c>
      <c r="D76">
        <v>42.47</v>
      </c>
      <c r="G76">
        <v>42.56</v>
      </c>
      <c r="H76">
        <v>42.65</v>
      </c>
      <c r="I76" t="s">
        <v>7586</v>
      </c>
      <c r="J76" t="s">
        <v>7586</v>
      </c>
      <c r="K76" t="s">
        <v>7587</v>
      </c>
      <c r="L76" t="s">
        <v>7587</v>
      </c>
      <c r="M76" t="s">
        <v>7588</v>
      </c>
      <c r="N76" t="s">
        <v>7588</v>
      </c>
      <c r="O76">
        <v>42.99</v>
      </c>
      <c r="P76">
        <v>42.99</v>
      </c>
      <c r="S76">
        <v>51.71</v>
      </c>
      <c r="T76">
        <v>51.71</v>
      </c>
      <c r="W76">
        <v>44.52</v>
      </c>
      <c r="X76">
        <v>44.52</v>
      </c>
      <c r="AA76">
        <v>42.56</v>
      </c>
      <c r="AB76">
        <v>42.56</v>
      </c>
      <c r="AE76">
        <v>41.22</v>
      </c>
      <c r="AF76">
        <v>41.22</v>
      </c>
      <c r="AI76">
        <v>42.26</v>
      </c>
      <c r="AJ76">
        <v>42.24</v>
      </c>
      <c r="AM76">
        <v>42.56</v>
      </c>
      <c r="AN76">
        <v>42.56</v>
      </c>
      <c r="AQ76">
        <v>42.56</v>
      </c>
      <c r="AR76">
        <v>42.56</v>
      </c>
      <c r="AU76">
        <v>42.56</v>
      </c>
      <c r="AV76">
        <v>42.56</v>
      </c>
      <c r="AY76">
        <v>42.56</v>
      </c>
      <c r="AZ76">
        <v>42.56</v>
      </c>
      <c r="BC76">
        <v>42.47</v>
      </c>
      <c r="BD76">
        <v>42.47</v>
      </c>
      <c r="BG76">
        <v>42.49</v>
      </c>
      <c r="BH76">
        <v>42.65</v>
      </c>
      <c r="BK76">
        <v>42.56</v>
      </c>
      <c r="BL76">
        <v>42.56</v>
      </c>
      <c r="BO76">
        <v>42.65</v>
      </c>
      <c r="BP76">
        <v>42.65</v>
      </c>
      <c r="BQ76">
        <v>42.56</v>
      </c>
      <c r="BR76">
        <v>42.56</v>
      </c>
      <c r="BU76">
        <v>42.49</v>
      </c>
      <c r="BV76">
        <v>42.65</v>
      </c>
      <c r="CC76">
        <v>42.56</v>
      </c>
      <c r="CD76">
        <v>42.56</v>
      </c>
      <c r="CG76">
        <v>42.56</v>
      </c>
      <c r="CH76">
        <v>42.65</v>
      </c>
      <c r="CK76">
        <v>42.47</v>
      </c>
      <c r="CL76">
        <v>42.47</v>
      </c>
      <c r="CO76">
        <v>42.56</v>
      </c>
      <c r="CP76">
        <v>42.56</v>
      </c>
      <c r="CS76">
        <v>42.43</v>
      </c>
      <c r="CT76">
        <v>42.43</v>
      </c>
      <c r="CW76">
        <v>42.49</v>
      </c>
      <c r="CX76">
        <v>42.65</v>
      </c>
      <c r="DA76">
        <v>42.487000000000002</v>
      </c>
      <c r="DB76">
        <v>42.65</v>
      </c>
    </row>
    <row r="77" spans="2:106">
      <c r="B77">
        <v>28</v>
      </c>
      <c r="C77">
        <v>42.24</v>
      </c>
      <c r="D77">
        <v>42.24</v>
      </c>
      <c r="G77">
        <v>42.27</v>
      </c>
      <c r="H77">
        <v>42.32</v>
      </c>
      <c r="I77" t="s">
        <v>7589</v>
      </c>
      <c r="J77" t="s">
        <v>7589</v>
      </c>
      <c r="K77" t="s">
        <v>7590</v>
      </c>
      <c r="L77" t="s">
        <v>7590</v>
      </c>
      <c r="M77" t="s">
        <v>7591</v>
      </c>
      <c r="N77" t="s">
        <v>7591</v>
      </c>
      <c r="O77">
        <v>42.69</v>
      </c>
      <c r="P77">
        <v>42.69</v>
      </c>
      <c r="S77">
        <v>51.51</v>
      </c>
      <c r="T77">
        <v>51.51</v>
      </c>
      <c r="W77">
        <v>44.23</v>
      </c>
      <c r="X77">
        <v>44.23</v>
      </c>
      <c r="AA77">
        <v>42.27</v>
      </c>
      <c r="AB77">
        <v>42.27</v>
      </c>
      <c r="AE77">
        <v>41.12</v>
      </c>
      <c r="AF77">
        <v>41.12</v>
      </c>
      <c r="AI77">
        <v>42</v>
      </c>
      <c r="AJ77">
        <v>41.93</v>
      </c>
      <c r="AM77">
        <v>42.27</v>
      </c>
      <c r="AN77">
        <v>42.27</v>
      </c>
      <c r="AQ77">
        <v>42.27</v>
      </c>
      <c r="AR77">
        <v>42.27</v>
      </c>
      <c r="AU77">
        <v>42.27</v>
      </c>
      <c r="AV77">
        <v>42.27</v>
      </c>
      <c r="AY77">
        <v>42.27</v>
      </c>
      <c r="AZ77">
        <v>42.27</v>
      </c>
      <c r="BC77">
        <v>42.24</v>
      </c>
      <c r="BD77">
        <v>42.24</v>
      </c>
      <c r="BG77">
        <v>42.22</v>
      </c>
      <c r="BH77">
        <v>42.33</v>
      </c>
      <c r="BK77">
        <v>42.27</v>
      </c>
      <c r="BL77">
        <v>42.27</v>
      </c>
      <c r="BO77">
        <v>42.33</v>
      </c>
      <c r="BP77">
        <v>42.33</v>
      </c>
      <c r="BQ77">
        <v>42.27</v>
      </c>
      <c r="BR77">
        <v>42.27</v>
      </c>
      <c r="BU77">
        <v>42.22</v>
      </c>
      <c r="BV77">
        <v>42.33</v>
      </c>
      <c r="CC77">
        <v>42.27</v>
      </c>
      <c r="CD77">
        <v>42.27</v>
      </c>
      <c r="CG77">
        <v>42.27</v>
      </c>
      <c r="CH77">
        <v>42.32</v>
      </c>
      <c r="CK77">
        <v>42.24</v>
      </c>
      <c r="CL77">
        <v>42.24</v>
      </c>
      <c r="CO77">
        <v>42.27</v>
      </c>
      <c r="CP77">
        <v>42.27</v>
      </c>
      <c r="CS77">
        <v>42.19</v>
      </c>
      <c r="CT77">
        <v>42.19</v>
      </c>
      <c r="CW77">
        <v>42.22</v>
      </c>
      <c r="CX77">
        <v>42.33</v>
      </c>
      <c r="DA77">
        <v>42.22</v>
      </c>
      <c r="DB77">
        <v>42.329000000000001</v>
      </c>
    </row>
    <row r="78" spans="2:106">
      <c r="B78">
        <v>27</v>
      </c>
      <c r="C78">
        <v>41.99</v>
      </c>
      <c r="D78">
        <v>41.99</v>
      </c>
      <c r="G78">
        <v>41.980000000000004</v>
      </c>
      <c r="H78">
        <v>42.050000000000004</v>
      </c>
      <c r="I78" t="s">
        <v>7592</v>
      </c>
      <c r="J78" t="s">
        <v>7592</v>
      </c>
      <c r="K78" t="s">
        <v>7593</v>
      </c>
      <c r="L78" t="s">
        <v>7593</v>
      </c>
      <c r="M78" t="s">
        <v>7594</v>
      </c>
      <c r="N78" t="s">
        <v>7594</v>
      </c>
      <c r="O78">
        <v>42.41</v>
      </c>
      <c r="P78">
        <v>42.41</v>
      </c>
      <c r="S78">
        <v>51.33</v>
      </c>
      <c r="T78">
        <v>51.33</v>
      </c>
      <c r="W78">
        <v>43.95</v>
      </c>
      <c r="X78">
        <v>43.95</v>
      </c>
      <c r="AA78">
        <v>41.99</v>
      </c>
      <c r="AB78">
        <v>41.99</v>
      </c>
      <c r="AE78">
        <v>40.58</v>
      </c>
      <c r="AF78">
        <v>40.58</v>
      </c>
      <c r="AI78">
        <v>41.72</v>
      </c>
      <c r="AJ78">
        <v>41.65</v>
      </c>
      <c r="AM78">
        <v>41.98</v>
      </c>
      <c r="AN78">
        <v>41.98</v>
      </c>
      <c r="AQ78">
        <v>41.99</v>
      </c>
      <c r="AR78">
        <v>41.99</v>
      </c>
      <c r="AU78">
        <v>41.98</v>
      </c>
      <c r="AV78">
        <v>41.98</v>
      </c>
      <c r="AY78">
        <v>41.99</v>
      </c>
      <c r="AZ78">
        <v>41.99</v>
      </c>
      <c r="BC78">
        <v>41.99</v>
      </c>
      <c r="BD78">
        <v>41.99</v>
      </c>
      <c r="BG78">
        <v>41.94</v>
      </c>
      <c r="BH78">
        <v>42.05</v>
      </c>
      <c r="BK78">
        <v>41.99</v>
      </c>
      <c r="BL78">
        <v>41.99</v>
      </c>
      <c r="BO78">
        <v>42.05</v>
      </c>
      <c r="BP78">
        <v>42.05</v>
      </c>
      <c r="BQ78">
        <v>41.99</v>
      </c>
      <c r="BR78">
        <v>41.99</v>
      </c>
      <c r="BU78">
        <v>41.94</v>
      </c>
      <c r="BV78">
        <v>42.05</v>
      </c>
      <c r="CC78">
        <v>41.99</v>
      </c>
      <c r="CD78">
        <v>41.99</v>
      </c>
      <c r="CG78">
        <v>41.980000000000004</v>
      </c>
      <c r="CH78">
        <v>42.050000000000004</v>
      </c>
      <c r="CK78">
        <v>41.99</v>
      </c>
      <c r="CL78">
        <v>41.99</v>
      </c>
      <c r="CO78">
        <v>41.99</v>
      </c>
      <c r="CP78">
        <v>41.99</v>
      </c>
      <c r="CS78">
        <v>41.9</v>
      </c>
      <c r="CT78">
        <v>41.9</v>
      </c>
      <c r="CW78">
        <v>41.94</v>
      </c>
      <c r="CX78">
        <v>42.05</v>
      </c>
      <c r="DA78">
        <v>41.935000000000002</v>
      </c>
      <c r="DB78">
        <v>42.05</v>
      </c>
    </row>
    <row r="79" spans="2:106">
      <c r="B79">
        <v>26</v>
      </c>
      <c r="C79">
        <v>41.71</v>
      </c>
      <c r="D79">
        <v>41.71</v>
      </c>
      <c r="G79">
        <v>41.7</v>
      </c>
      <c r="H79">
        <v>41.78</v>
      </c>
      <c r="I79" t="s">
        <v>7595</v>
      </c>
      <c r="J79" t="s">
        <v>7595</v>
      </c>
      <c r="K79" t="s">
        <v>7596</v>
      </c>
      <c r="L79" t="s">
        <v>7596</v>
      </c>
      <c r="M79" t="s">
        <v>7597</v>
      </c>
      <c r="N79" t="s">
        <v>7597</v>
      </c>
      <c r="O79">
        <v>42.12</v>
      </c>
      <c r="P79">
        <v>42.12</v>
      </c>
      <c r="S79">
        <v>51.13</v>
      </c>
      <c r="T79">
        <v>51.13</v>
      </c>
      <c r="W79">
        <v>43.66</v>
      </c>
      <c r="X79">
        <v>43.66</v>
      </c>
      <c r="AA79">
        <v>41.7</v>
      </c>
      <c r="AB79">
        <v>41.7</v>
      </c>
      <c r="AE79">
        <v>40.32</v>
      </c>
      <c r="AF79">
        <v>40.32</v>
      </c>
      <c r="AI79">
        <v>41.41</v>
      </c>
      <c r="AJ79">
        <v>41.38</v>
      </c>
      <c r="AM79">
        <v>41.7</v>
      </c>
      <c r="AN79">
        <v>41.7</v>
      </c>
      <c r="AQ79">
        <v>41.7</v>
      </c>
      <c r="AR79">
        <v>41.7</v>
      </c>
      <c r="AU79">
        <v>41.7</v>
      </c>
      <c r="AV79">
        <v>41.7</v>
      </c>
      <c r="AY79">
        <v>41.7</v>
      </c>
      <c r="AZ79">
        <v>41.7</v>
      </c>
      <c r="BC79">
        <v>41.71</v>
      </c>
      <c r="BD79">
        <v>41.71</v>
      </c>
      <c r="BG79">
        <v>41.63</v>
      </c>
      <c r="BH79">
        <v>41.78</v>
      </c>
      <c r="BK79">
        <v>41.7</v>
      </c>
      <c r="BL79">
        <v>41.7</v>
      </c>
      <c r="BO79">
        <v>41.78</v>
      </c>
      <c r="BP79">
        <v>41.78</v>
      </c>
      <c r="BQ79">
        <v>41.7</v>
      </c>
      <c r="BR79">
        <v>41.7</v>
      </c>
      <c r="BU79">
        <v>41.63</v>
      </c>
      <c r="BV79">
        <v>41.78</v>
      </c>
      <c r="CC79">
        <v>41.7</v>
      </c>
      <c r="CD79">
        <v>41.7</v>
      </c>
      <c r="CG79">
        <v>41.7</v>
      </c>
      <c r="CH79">
        <v>41.78</v>
      </c>
      <c r="CK79">
        <v>41.71</v>
      </c>
      <c r="CL79">
        <v>41.71</v>
      </c>
      <c r="CO79">
        <v>41.7</v>
      </c>
      <c r="CP79">
        <v>41.7</v>
      </c>
      <c r="CS79">
        <v>41.61</v>
      </c>
      <c r="CT79">
        <v>41.61</v>
      </c>
      <c r="CW79">
        <v>41.63</v>
      </c>
      <c r="CX79">
        <v>41.78</v>
      </c>
      <c r="DA79">
        <v>41.631</v>
      </c>
      <c r="DB79">
        <v>41.780999999999999</v>
      </c>
    </row>
    <row r="80" spans="2:106">
      <c r="B80">
        <v>25</v>
      </c>
      <c r="C80">
        <v>41.42</v>
      </c>
      <c r="D80">
        <v>41.42</v>
      </c>
      <c r="G80">
        <v>41.410000000000004</v>
      </c>
      <c r="H80">
        <v>41.5</v>
      </c>
      <c r="I80" t="s">
        <v>7598</v>
      </c>
      <c r="J80" t="s">
        <v>7598</v>
      </c>
      <c r="K80" t="s">
        <v>7599</v>
      </c>
      <c r="L80" t="s">
        <v>7599</v>
      </c>
      <c r="M80" t="s">
        <v>7600</v>
      </c>
      <c r="N80" t="s">
        <v>7600</v>
      </c>
      <c r="O80">
        <v>41.82</v>
      </c>
      <c r="P80">
        <v>41.82</v>
      </c>
      <c r="S80">
        <v>50.94</v>
      </c>
      <c r="T80">
        <v>50.94</v>
      </c>
      <c r="W80">
        <v>43.37</v>
      </c>
      <c r="X80">
        <v>43.37</v>
      </c>
      <c r="AA80">
        <v>41.41</v>
      </c>
      <c r="AB80">
        <v>41.41</v>
      </c>
      <c r="AE80">
        <v>40.090000000000003</v>
      </c>
      <c r="AF80">
        <v>40.090000000000003</v>
      </c>
      <c r="AI80">
        <v>41.12</v>
      </c>
      <c r="AJ80">
        <v>41.11</v>
      </c>
      <c r="AM80">
        <v>41.41</v>
      </c>
      <c r="AN80">
        <v>41.41</v>
      </c>
      <c r="AQ80">
        <v>41.41</v>
      </c>
      <c r="AR80">
        <v>41.41</v>
      </c>
      <c r="AU80">
        <v>41.41</v>
      </c>
      <c r="AV80">
        <v>41.41</v>
      </c>
      <c r="AY80">
        <v>41.41</v>
      </c>
      <c r="AZ80">
        <v>41.41</v>
      </c>
      <c r="BC80">
        <v>41.42</v>
      </c>
      <c r="BD80">
        <v>41.42</v>
      </c>
      <c r="BG80">
        <v>41.33</v>
      </c>
      <c r="BH80">
        <v>41.5</v>
      </c>
      <c r="BK80">
        <v>41.41</v>
      </c>
      <c r="BL80">
        <v>41.41</v>
      </c>
      <c r="BO80">
        <v>41.5</v>
      </c>
      <c r="BP80">
        <v>41.5</v>
      </c>
      <c r="BQ80">
        <v>41.41</v>
      </c>
      <c r="BR80">
        <v>41.41</v>
      </c>
      <c r="BU80">
        <v>41.33</v>
      </c>
      <c r="BV80">
        <v>41.5</v>
      </c>
      <c r="CC80">
        <v>41.41</v>
      </c>
      <c r="CD80">
        <v>41.41</v>
      </c>
      <c r="CG80">
        <v>41.410000000000004</v>
      </c>
      <c r="CH80">
        <v>41.5</v>
      </c>
      <c r="CK80">
        <v>41.42</v>
      </c>
      <c r="CL80">
        <v>41.42</v>
      </c>
      <c r="CO80">
        <v>41.41</v>
      </c>
      <c r="CP80">
        <v>41.41</v>
      </c>
      <c r="CS80">
        <v>41.35</v>
      </c>
      <c r="CT80">
        <v>41.35</v>
      </c>
      <c r="CW80">
        <v>41.33</v>
      </c>
      <c r="CX80">
        <v>41.5</v>
      </c>
      <c r="DA80">
        <v>41.332999999999998</v>
      </c>
      <c r="DB80">
        <v>41.503</v>
      </c>
    </row>
    <row r="81" spans="2:106" ht="19.5" customHeight="1">
      <c r="B81">
        <v>24</v>
      </c>
      <c r="C81">
        <v>41.13</v>
      </c>
      <c r="D81">
        <v>41.13</v>
      </c>
      <c r="G81">
        <v>41.11</v>
      </c>
      <c r="H81">
        <v>41.2</v>
      </c>
      <c r="I81" t="s">
        <v>7601</v>
      </c>
      <c r="J81" t="s">
        <v>7601</v>
      </c>
      <c r="K81" t="s">
        <v>7602</v>
      </c>
      <c r="L81" t="s">
        <v>7602</v>
      </c>
      <c r="M81" t="s">
        <v>7603</v>
      </c>
      <c r="N81" t="s">
        <v>7603</v>
      </c>
      <c r="O81">
        <v>41.53</v>
      </c>
      <c r="P81">
        <v>41.53</v>
      </c>
      <c r="S81">
        <v>50.75</v>
      </c>
      <c r="T81">
        <v>50.75</v>
      </c>
      <c r="W81">
        <v>43.08</v>
      </c>
      <c r="X81">
        <v>43.08</v>
      </c>
      <c r="AA81">
        <v>41.12</v>
      </c>
      <c r="AB81">
        <v>41.12</v>
      </c>
      <c r="AE81">
        <v>39.17</v>
      </c>
      <c r="AF81">
        <v>39.17</v>
      </c>
      <c r="AI81">
        <v>40.83</v>
      </c>
      <c r="AJ81">
        <v>40.81</v>
      </c>
      <c r="AM81">
        <v>41.11</v>
      </c>
      <c r="AN81">
        <v>41.11</v>
      </c>
      <c r="AQ81">
        <v>41.12</v>
      </c>
      <c r="AR81">
        <v>41.12</v>
      </c>
      <c r="AU81">
        <v>41.11</v>
      </c>
      <c r="AV81">
        <v>41.11</v>
      </c>
      <c r="AY81">
        <v>41.12</v>
      </c>
      <c r="AZ81">
        <v>41.12</v>
      </c>
      <c r="BC81">
        <v>41.13</v>
      </c>
      <c r="BD81">
        <v>41.13</v>
      </c>
      <c r="BG81">
        <v>41.04</v>
      </c>
      <c r="BH81">
        <v>41.2</v>
      </c>
      <c r="BK81">
        <v>41.12</v>
      </c>
      <c r="BL81">
        <v>41.12</v>
      </c>
      <c r="BO81">
        <v>41.2</v>
      </c>
      <c r="BP81">
        <v>41.2</v>
      </c>
      <c r="BQ81">
        <v>41.12</v>
      </c>
      <c r="BR81">
        <v>41.12</v>
      </c>
      <c r="BU81">
        <v>41.04</v>
      </c>
      <c r="BV81">
        <v>41.2</v>
      </c>
      <c r="CC81">
        <v>41.12</v>
      </c>
      <c r="CD81">
        <v>41.12</v>
      </c>
      <c r="CG81">
        <v>41.11</v>
      </c>
      <c r="CH81">
        <v>41.2</v>
      </c>
      <c r="CK81">
        <v>41.13</v>
      </c>
      <c r="CL81">
        <v>41.13</v>
      </c>
      <c r="CO81">
        <v>41.12</v>
      </c>
      <c r="CP81">
        <v>41.12</v>
      </c>
      <c r="CS81">
        <v>41.09</v>
      </c>
      <c r="CT81">
        <v>41.09</v>
      </c>
      <c r="CW81">
        <v>41.04</v>
      </c>
      <c r="CX81">
        <v>41.2</v>
      </c>
      <c r="DA81">
        <v>41.043999999999997</v>
      </c>
      <c r="DB81">
        <v>41.204000000000001</v>
      </c>
    </row>
    <row r="82" spans="2:106" ht="15.75" customHeight="1">
      <c r="B82">
        <v>23</v>
      </c>
      <c r="C82">
        <v>40.85</v>
      </c>
      <c r="D82">
        <v>40.85</v>
      </c>
      <c r="G82">
        <v>40.83</v>
      </c>
      <c r="H82">
        <v>40.92</v>
      </c>
      <c r="I82" t="s">
        <v>7604</v>
      </c>
      <c r="J82" t="s">
        <v>7604</v>
      </c>
      <c r="K82" t="s">
        <v>7605</v>
      </c>
      <c r="L82" t="s">
        <v>7605</v>
      </c>
      <c r="M82" t="s">
        <v>7606</v>
      </c>
      <c r="N82" t="s">
        <v>7606</v>
      </c>
      <c r="O82">
        <v>41.24</v>
      </c>
      <c r="P82">
        <v>41.24</v>
      </c>
      <c r="S82">
        <v>50.55</v>
      </c>
      <c r="T82">
        <v>50.55</v>
      </c>
      <c r="W82">
        <v>42.79</v>
      </c>
      <c r="X82">
        <v>42.79</v>
      </c>
      <c r="AA82">
        <v>40.83</v>
      </c>
      <c r="AB82">
        <v>40.83</v>
      </c>
      <c r="AE82">
        <v>39.090000000000003</v>
      </c>
      <c r="AF82">
        <v>39.090000000000003</v>
      </c>
      <c r="AI82">
        <v>40.54</v>
      </c>
      <c r="AJ82">
        <v>40.53</v>
      </c>
      <c r="AM82">
        <v>40.83</v>
      </c>
      <c r="AN82">
        <v>40.83</v>
      </c>
      <c r="AQ82">
        <v>40.83</v>
      </c>
      <c r="AR82">
        <v>40.83</v>
      </c>
      <c r="AU82">
        <v>40.83</v>
      </c>
      <c r="AV82">
        <v>40.83</v>
      </c>
      <c r="AY82">
        <v>40.83</v>
      </c>
      <c r="AZ82">
        <v>40.83</v>
      </c>
      <c r="BC82">
        <v>40.85</v>
      </c>
      <c r="BD82">
        <v>40.85</v>
      </c>
      <c r="BG82">
        <v>40.75</v>
      </c>
      <c r="BH82">
        <v>40.92</v>
      </c>
      <c r="BK82">
        <v>40.83</v>
      </c>
      <c r="BL82">
        <v>40.83</v>
      </c>
      <c r="BO82">
        <v>40.92</v>
      </c>
      <c r="BP82">
        <v>40.92</v>
      </c>
      <c r="BQ82">
        <v>40.83</v>
      </c>
      <c r="BR82">
        <v>40.83</v>
      </c>
      <c r="BU82">
        <v>40.75</v>
      </c>
      <c r="BV82">
        <v>40.92</v>
      </c>
      <c r="CC82">
        <v>40.83</v>
      </c>
      <c r="CD82">
        <v>40.83</v>
      </c>
      <c r="CG82">
        <v>40.83</v>
      </c>
      <c r="CH82">
        <v>40.92</v>
      </c>
      <c r="CK82">
        <v>40.85</v>
      </c>
      <c r="CL82">
        <v>40.85</v>
      </c>
      <c r="CO82">
        <v>40.83</v>
      </c>
      <c r="CP82">
        <v>40.83</v>
      </c>
      <c r="CS82">
        <v>40.82</v>
      </c>
      <c r="CT82">
        <v>40.82</v>
      </c>
      <c r="CW82">
        <v>40.75</v>
      </c>
      <c r="CX82">
        <v>40.92</v>
      </c>
      <c r="DA82">
        <v>40.75</v>
      </c>
      <c r="DB82">
        <v>40.920999999999999</v>
      </c>
    </row>
    <row r="83" spans="2:106" ht="15.75" customHeight="1">
      <c r="B83">
        <v>22</v>
      </c>
      <c r="C83">
        <v>40.58</v>
      </c>
      <c r="D83">
        <v>40.58</v>
      </c>
      <c r="G83">
        <v>40.56</v>
      </c>
      <c r="H83">
        <v>40.68</v>
      </c>
      <c r="I83" t="s">
        <v>7607</v>
      </c>
      <c r="J83" t="s">
        <v>7607</v>
      </c>
      <c r="K83" t="s">
        <v>7608</v>
      </c>
      <c r="L83" t="s">
        <v>7608</v>
      </c>
      <c r="M83" t="s">
        <v>7609</v>
      </c>
      <c r="N83" t="s">
        <v>7609</v>
      </c>
      <c r="O83">
        <v>40.98</v>
      </c>
      <c r="P83">
        <v>40.98</v>
      </c>
      <c r="S83">
        <v>50.38</v>
      </c>
      <c r="T83">
        <v>50.38</v>
      </c>
      <c r="W83">
        <v>42.53</v>
      </c>
      <c r="X83">
        <v>42.53</v>
      </c>
      <c r="AA83">
        <v>40.57</v>
      </c>
      <c r="AB83">
        <v>40.57</v>
      </c>
      <c r="AE83">
        <v>38.6</v>
      </c>
      <c r="AF83">
        <v>38.6</v>
      </c>
      <c r="AI83">
        <v>40.26</v>
      </c>
      <c r="AJ83">
        <v>40.29</v>
      </c>
      <c r="AM83">
        <v>40.56</v>
      </c>
      <c r="AN83">
        <v>40.56</v>
      </c>
      <c r="AQ83">
        <v>40.57</v>
      </c>
      <c r="AR83">
        <v>40.57</v>
      </c>
      <c r="AU83">
        <v>40.56</v>
      </c>
      <c r="AV83">
        <v>40.56</v>
      </c>
      <c r="AY83">
        <v>40.57</v>
      </c>
      <c r="AZ83">
        <v>40.57</v>
      </c>
      <c r="BC83">
        <v>40.58</v>
      </c>
      <c r="BD83">
        <v>40.58</v>
      </c>
      <c r="BG83">
        <v>40.47</v>
      </c>
      <c r="BH83">
        <v>40.68</v>
      </c>
      <c r="BK83">
        <v>40.57</v>
      </c>
      <c r="BL83">
        <v>40.57</v>
      </c>
      <c r="BO83">
        <v>40.68</v>
      </c>
      <c r="BP83">
        <v>40.68</v>
      </c>
      <c r="BQ83">
        <v>40.57</v>
      </c>
      <c r="BR83">
        <v>40.57</v>
      </c>
      <c r="BU83">
        <v>40.47</v>
      </c>
      <c r="BV83">
        <v>40.68</v>
      </c>
      <c r="CC83">
        <v>40.57</v>
      </c>
      <c r="CD83">
        <v>40.57</v>
      </c>
      <c r="CG83">
        <v>40.56</v>
      </c>
      <c r="CH83">
        <v>40.68</v>
      </c>
      <c r="CK83">
        <v>40.58</v>
      </c>
      <c r="CL83">
        <v>40.58</v>
      </c>
      <c r="CO83">
        <v>40.57</v>
      </c>
      <c r="CP83">
        <v>40.57</v>
      </c>
      <c r="CS83">
        <v>40.549999999999997</v>
      </c>
      <c r="CT83">
        <v>40.549999999999997</v>
      </c>
      <c r="CW83">
        <v>40.47</v>
      </c>
      <c r="CX83">
        <v>40.68</v>
      </c>
      <c r="DA83">
        <v>40.47</v>
      </c>
      <c r="DB83">
        <v>40.680999999999997</v>
      </c>
    </row>
    <row r="84" spans="2:106" ht="15.75" customHeight="1">
      <c r="B84">
        <v>21</v>
      </c>
      <c r="C84">
        <v>40.31</v>
      </c>
      <c r="D84">
        <v>40.31</v>
      </c>
      <c r="G84">
        <v>40.29</v>
      </c>
      <c r="H84">
        <v>40.43</v>
      </c>
      <c r="I84" t="s">
        <v>7610</v>
      </c>
      <c r="J84" t="s">
        <v>7610</v>
      </c>
      <c r="K84" t="s">
        <v>7611</v>
      </c>
      <c r="L84" t="s">
        <v>7611</v>
      </c>
      <c r="M84" t="s">
        <v>7612</v>
      </c>
      <c r="N84" t="s">
        <v>7612</v>
      </c>
      <c r="O84">
        <v>40.700000000000003</v>
      </c>
      <c r="P84">
        <v>40.700000000000003</v>
      </c>
      <c r="S84">
        <v>50.2</v>
      </c>
      <c r="T84">
        <v>50.2</v>
      </c>
      <c r="W84">
        <v>42.26</v>
      </c>
      <c r="X84">
        <v>42.26</v>
      </c>
      <c r="AA84">
        <v>40.299999999999997</v>
      </c>
      <c r="AB84">
        <v>40.299999999999997</v>
      </c>
      <c r="AE84">
        <v>38.4</v>
      </c>
      <c r="AF84">
        <v>38.4</v>
      </c>
      <c r="AI84">
        <v>39.96</v>
      </c>
      <c r="AJ84">
        <v>40.06</v>
      </c>
      <c r="AM84">
        <v>40.29</v>
      </c>
      <c r="AN84">
        <v>40.29</v>
      </c>
      <c r="AQ84">
        <v>40.299999999999997</v>
      </c>
      <c r="AR84">
        <v>40.299999999999997</v>
      </c>
      <c r="AU84">
        <v>40.29</v>
      </c>
      <c r="AV84">
        <v>40.29</v>
      </c>
      <c r="AY84">
        <v>40.299999999999997</v>
      </c>
      <c r="AZ84">
        <v>40.299999999999997</v>
      </c>
      <c r="BC84">
        <v>40.31</v>
      </c>
      <c r="BD84">
        <v>40.31</v>
      </c>
      <c r="BG84">
        <v>40.17</v>
      </c>
      <c r="BH84">
        <v>40.44</v>
      </c>
      <c r="BK84">
        <v>40.299999999999997</v>
      </c>
      <c r="BL84">
        <v>40.299999999999997</v>
      </c>
      <c r="BO84">
        <v>40.44</v>
      </c>
      <c r="BP84">
        <v>40.44</v>
      </c>
      <c r="BQ84">
        <v>40.299999999999997</v>
      </c>
      <c r="BR84">
        <v>40.299999999999997</v>
      </c>
      <c r="BU84">
        <v>40.17</v>
      </c>
      <c r="BV84">
        <v>40.44</v>
      </c>
      <c r="CC84">
        <v>40.299999999999997</v>
      </c>
      <c r="CD84">
        <v>40.299999999999997</v>
      </c>
      <c r="CG84">
        <v>40.29</v>
      </c>
      <c r="CH84">
        <v>40.43</v>
      </c>
      <c r="CK84">
        <v>40.31</v>
      </c>
      <c r="CL84">
        <v>40.31</v>
      </c>
      <c r="CO84">
        <v>40.299999999999997</v>
      </c>
      <c r="CP84">
        <v>40.299999999999997</v>
      </c>
      <c r="CS84">
        <v>40.299999999999997</v>
      </c>
      <c r="CT84">
        <v>40.299999999999997</v>
      </c>
      <c r="CW84">
        <v>40.17</v>
      </c>
      <c r="CX84">
        <v>40.44</v>
      </c>
      <c r="DA84">
        <v>40.171999999999997</v>
      </c>
      <c r="DB84">
        <v>40.44</v>
      </c>
    </row>
    <row r="85" spans="2:106" ht="15.75" customHeight="1">
      <c r="B85">
        <v>20</v>
      </c>
      <c r="C85">
        <v>40.049999999999997</v>
      </c>
      <c r="D85">
        <v>40.049999999999997</v>
      </c>
      <c r="G85">
        <v>40.04</v>
      </c>
      <c r="H85">
        <v>40.200000000000003</v>
      </c>
      <c r="I85" t="s">
        <v>7613</v>
      </c>
      <c r="J85" t="s">
        <v>7613</v>
      </c>
      <c r="K85" t="s">
        <v>7614</v>
      </c>
      <c r="L85" t="s">
        <v>7614</v>
      </c>
      <c r="M85" t="s">
        <v>7615</v>
      </c>
      <c r="N85" t="s">
        <v>7615</v>
      </c>
      <c r="O85">
        <v>40.44</v>
      </c>
      <c r="P85">
        <v>40.44</v>
      </c>
      <c r="S85">
        <v>50.03</v>
      </c>
      <c r="T85">
        <v>50.03</v>
      </c>
      <c r="W85">
        <v>42</v>
      </c>
      <c r="X85">
        <v>42</v>
      </c>
      <c r="AA85">
        <v>40.04</v>
      </c>
      <c r="AB85">
        <v>40.04</v>
      </c>
      <c r="AE85">
        <v>37.880000000000003</v>
      </c>
      <c r="AF85">
        <v>37.880000000000003</v>
      </c>
      <c r="AI85">
        <v>39.69</v>
      </c>
      <c r="AJ85">
        <v>39.82</v>
      </c>
      <c r="AM85">
        <v>40.04</v>
      </c>
      <c r="AN85">
        <v>40.04</v>
      </c>
      <c r="AQ85">
        <v>40.04</v>
      </c>
      <c r="AR85">
        <v>40.04</v>
      </c>
      <c r="AU85">
        <v>40.04</v>
      </c>
      <c r="AV85">
        <v>40.04</v>
      </c>
      <c r="AY85">
        <v>40.04</v>
      </c>
      <c r="AZ85">
        <v>40.04</v>
      </c>
      <c r="BC85">
        <v>40.049999999999997</v>
      </c>
      <c r="BD85">
        <v>40.049999999999997</v>
      </c>
      <c r="BG85">
        <v>39.9</v>
      </c>
      <c r="BH85">
        <v>40.200000000000003</v>
      </c>
      <c r="BK85">
        <v>40.04</v>
      </c>
      <c r="BL85">
        <v>40.04</v>
      </c>
      <c r="BO85">
        <v>40.200000000000003</v>
      </c>
      <c r="BP85">
        <v>40.200000000000003</v>
      </c>
      <c r="BQ85">
        <v>40.04</v>
      </c>
      <c r="BR85">
        <v>40.04</v>
      </c>
      <c r="BU85">
        <v>39.9</v>
      </c>
      <c r="BV85">
        <v>40.200000000000003</v>
      </c>
      <c r="CC85">
        <v>40.04</v>
      </c>
      <c r="CD85">
        <v>40.04</v>
      </c>
      <c r="CG85">
        <v>40.04</v>
      </c>
      <c r="CH85">
        <v>40.200000000000003</v>
      </c>
      <c r="CK85">
        <v>40.049999999999997</v>
      </c>
      <c r="CL85">
        <v>40.049999999999997</v>
      </c>
      <c r="CO85">
        <v>40.04</v>
      </c>
      <c r="CP85">
        <v>40.04</v>
      </c>
      <c r="CS85">
        <v>40.03</v>
      </c>
      <c r="CT85">
        <v>40.03</v>
      </c>
      <c r="CW85">
        <v>39.9</v>
      </c>
      <c r="CX85">
        <v>40.200000000000003</v>
      </c>
      <c r="DA85">
        <v>39.898000000000003</v>
      </c>
      <c r="DB85">
        <v>40.201999999999998</v>
      </c>
    </row>
    <row r="86" spans="2:106" ht="15.75" customHeight="1">
      <c r="B86">
        <v>19</v>
      </c>
      <c r="C86">
        <v>39.78</v>
      </c>
      <c r="D86">
        <v>39.78</v>
      </c>
      <c r="G86">
        <v>39.79</v>
      </c>
      <c r="H86">
        <v>39.96</v>
      </c>
      <c r="I86" t="s">
        <v>7616</v>
      </c>
      <c r="J86" t="s">
        <v>7616</v>
      </c>
      <c r="K86" t="s">
        <v>7617</v>
      </c>
      <c r="L86" t="s">
        <v>7617</v>
      </c>
      <c r="M86" t="s">
        <v>7618</v>
      </c>
      <c r="N86" t="s">
        <v>7618</v>
      </c>
      <c r="O86">
        <v>40.200000000000003</v>
      </c>
      <c r="P86">
        <v>40.200000000000003</v>
      </c>
      <c r="S86">
        <v>49.86</v>
      </c>
      <c r="T86">
        <v>49.86</v>
      </c>
      <c r="W86">
        <v>41.76</v>
      </c>
      <c r="X86">
        <v>41.76</v>
      </c>
      <c r="AA86">
        <v>39.799999999999997</v>
      </c>
      <c r="AB86">
        <v>39.799999999999997</v>
      </c>
      <c r="AE86">
        <v>37.51</v>
      </c>
      <c r="AF86">
        <v>37.51</v>
      </c>
      <c r="AI86">
        <v>39.44</v>
      </c>
      <c r="AJ86">
        <v>39.58</v>
      </c>
      <c r="AM86">
        <v>39.79</v>
      </c>
      <c r="AN86">
        <v>39.79</v>
      </c>
      <c r="AQ86">
        <v>39.799999999999997</v>
      </c>
      <c r="AR86">
        <v>39.799999999999997</v>
      </c>
      <c r="AU86">
        <v>39.79</v>
      </c>
      <c r="AV86">
        <v>39.79</v>
      </c>
      <c r="AY86">
        <v>39.799999999999997</v>
      </c>
      <c r="AZ86">
        <v>39.799999999999997</v>
      </c>
      <c r="BC86">
        <v>39.78</v>
      </c>
      <c r="BD86">
        <v>39.78</v>
      </c>
      <c r="BG86">
        <v>39.65</v>
      </c>
      <c r="BH86">
        <v>39.96</v>
      </c>
      <c r="BK86">
        <v>39.799999999999997</v>
      </c>
      <c r="BL86">
        <v>39.799999999999997</v>
      </c>
      <c r="BO86">
        <v>39.96</v>
      </c>
      <c r="BP86">
        <v>39.96</v>
      </c>
      <c r="BQ86">
        <v>39.799999999999997</v>
      </c>
      <c r="BR86">
        <v>39.799999999999997</v>
      </c>
      <c r="BU86">
        <v>39.65</v>
      </c>
      <c r="BV86">
        <v>39.96</v>
      </c>
      <c r="CC86">
        <v>39.799999999999997</v>
      </c>
      <c r="CD86">
        <v>39.799999999999997</v>
      </c>
      <c r="CG86">
        <v>39.79</v>
      </c>
      <c r="CH86">
        <v>39.96</v>
      </c>
      <c r="CK86">
        <v>39.78</v>
      </c>
      <c r="CL86">
        <v>39.78</v>
      </c>
      <c r="CO86">
        <v>39.799999999999997</v>
      </c>
      <c r="CP86">
        <v>39.799999999999997</v>
      </c>
      <c r="CS86">
        <v>39.75</v>
      </c>
      <c r="CT86">
        <v>39.75</v>
      </c>
      <c r="CW86">
        <v>39.65</v>
      </c>
      <c r="CX86">
        <v>39.96</v>
      </c>
      <c r="DA86">
        <v>39.648000000000003</v>
      </c>
      <c r="DB86">
        <v>39.963999999999999</v>
      </c>
    </row>
    <row r="87" spans="2:106" ht="15.75" customHeight="1">
      <c r="B87">
        <v>18</v>
      </c>
      <c r="C87">
        <v>39.520000000000003</v>
      </c>
      <c r="D87">
        <v>39.520000000000003</v>
      </c>
      <c r="G87">
        <v>39.53</v>
      </c>
      <c r="H87">
        <v>39.68</v>
      </c>
      <c r="I87" t="s">
        <v>7619</v>
      </c>
      <c r="J87" t="s">
        <v>7619</v>
      </c>
      <c r="K87" t="s">
        <v>7620</v>
      </c>
      <c r="L87" t="s">
        <v>7620</v>
      </c>
      <c r="M87" t="s">
        <v>7621</v>
      </c>
      <c r="N87" t="s">
        <v>7621</v>
      </c>
      <c r="O87">
        <v>39.94</v>
      </c>
      <c r="P87">
        <v>39.94</v>
      </c>
      <c r="S87">
        <v>49.69</v>
      </c>
      <c r="T87">
        <v>49.69</v>
      </c>
      <c r="W87">
        <v>41.5</v>
      </c>
      <c r="X87">
        <v>41.5</v>
      </c>
      <c r="AA87">
        <v>39.54</v>
      </c>
      <c r="AB87">
        <v>39.54</v>
      </c>
      <c r="AE87">
        <v>37.1</v>
      </c>
      <c r="AF87">
        <v>37.1</v>
      </c>
      <c r="AI87">
        <v>39.19</v>
      </c>
      <c r="AJ87">
        <v>39.31</v>
      </c>
      <c r="AM87">
        <v>39.53</v>
      </c>
      <c r="AN87">
        <v>39.53</v>
      </c>
      <c r="AQ87">
        <v>39.54</v>
      </c>
      <c r="AR87">
        <v>39.54</v>
      </c>
      <c r="AU87">
        <v>39.53</v>
      </c>
      <c r="AV87">
        <v>39.53</v>
      </c>
      <c r="AY87">
        <v>39.54</v>
      </c>
      <c r="AZ87">
        <v>39.54</v>
      </c>
      <c r="BC87">
        <v>39.520000000000003</v>
      </c>
      <c r="BD87">
        <v>39.520000000000003</v>
      </c>
      <c r="BG87">
        <v>39.4</v>
      </c>
      <c r="BH87">
        <v>39.69</v>
      </c>
      <c r="BK87">
        <v>39.54</v>
      </c>
      <c r="BL87">
        <v>39.54</v>
      </c>
      <c r="BO87">
        <v>39.69</v>
      </c>
      <c r="BP87">
        <v>39.69</v>
      </c>
      <c r="BQ87">
        <v>39.54</v>
      </c>
      <c r="BR87">
        <v>39.54</v>
      </c>
      <c r="BU87">
        <v>39.4</v>
      </c>
      <c r="BV87">
        <v>39.69</v>
      </c>
      <c r="CC87">
        <v>39.54</v>
      </c>
      <c r="CD87">
        <v>39.54</v>
      </c>
      <c r="CG87">
        <v>39.53</v>
      </c>
      <c r="CH87">
        <v>39.68</v>
      </c>
      <c r="CK87">
        <v>39.520000000000003</v>
      </c>
      <c r="CL87">
        <v>39.520000000000003</v>
      </c>
      <c r="CO87">
        <v>39.54</v>
      </c>
      <c r="CP87">
        <v>39.54</v>
      </c>
      <c r="CS87">
        <v>39.49</v>
      </c>
      <c r="CT87">
        <v>39.49</v>
      </c>
      <c r="CW87">
        <v>39.4</v>
      </c>
      <c r="CX87">
        <v>39.69</v>
      </c>
      <c r="DA87">
        <v>39.398000000000003</v>
      </c>
      <c r="DB87">
        <v>39.689</v>
      </c>
    </row>
    <row r="88" spans="2:106" ht="15.75" customHeight="1">
      <c r="B88">
        <v>17</v>
      </c>
      <c r="C88">
        <v>39.24</v>
      </c>
      <c r="D88">
        <v>39.24</v>
      </c>
      <c r="G88">
        <v>39.26</v>
      </c>
      <c r="H88">
        <v>39.410000000000004</v>
      </c>
      <c r="I88" t="s">
        <v>7622</v>
      </c>
      <c r="J88" t="s">
        <v>7622</v>
      </c>
      <c r="K88" t="s">
        <v>7623</v>
      </c>
      <c r="L88" t="s">
        <v>7623</v>
      </c>
      <c r="M88" t="s">
        <v>7624</v>
      </c>
      <c r="N88" t="s">
        <v>7624</v>
      </c>
      <c r="O88">
        <v>39.659999999999997</v>
      </c>
      <c r="P88">
        <v>39.659999999999997</v>
      </c>
      <c r="S88">
        <v>49.51</v>
      </c>
      <c r="T88">
        <v>49.51</v>
      </c>
      <c r="W88">
        <v>41.22</v>
      </c>
      <c r="X88">
        <v>41.22</v>
      </c>
      <c r="AA88">
        <v>39.270000000000003</v>
      </c>
      <c r="AB88">
        <v>39.270000000000003</v>
      </c>
      <c r="AE88">
        <v>36.58</v>
      </c>
      <c r="AF88">
        <v>36.58</v>
      </c>
      <c r="AI88">
        <v>38.93</v>
      </c>
      <c r="AJ88">
        <v>39.04</v>
      </c>
      <c r="AM88">
        <v>39.26</v>
      </c>
      <c r="AN88">
        <v>39.26</v>
      </c>
      <c r="AQ88">
        <v>39.26</v>
      </c>
      <c r="AR88">
        <v>39.26</v>
      </c>
      <c r="AU88">
        <v>39.26</v>
      </c>
      <c r="AV88">
        <v>39.26</v>
      </c>
      <c r="AY88">
        <v>39.26</v>
      </c>
      <c r="AZ88">
        <v>39.26</v>
      </c>
      <c r="BC88">
        <v>39.24</v>
      </c>
      <c r="BD88">
        <v>39.24</v>
      </c>
      <c r="BG88">
        <v>39.130000000000003</v>
      </c>
      <c r="BH88">
        <v>39.409999999999997</v>
      </c>
      <c r="BK88">
        <v>39.270000000000003</v>
      </c>
      <c r="BL88">
        <v>39.270000000000003</v>
      </c>
      <c r="BO88">
        <v>39.409999999999997</v>
      </c>
      <c r="BP88">
        <v>39.409999999999997</v>
      </c>
      <c r="BQ88">
        <v>39.26</v>
      </c>
      <c r="BR88">
        <v>39.26</v>
      </c>
      <c r="BU88">
        <v>39.130000000000003</v>
      </c>
      <c r="BV88">
        <v>39.409999999999997</v>
      </c>
      <c r="CC88">
        <v>39.26</v>
      </c>
      <c r="CD88">
        <v>39.26</v>
      </c>
      <c r="CG88">
        <v>39.26</v>
      </c>
      <c r="CH88">
        <v>39.410000000000004</v>
      </c>
      <c r="CK88">
        <v>39.24</v>
      </c>
      <c r="CL88">
        <v>39.24</v>
      </c>
      <c r="CO88">
        <v>39.26</v>
      </c>
      <c r="CP88">
        <v>39.26</v>
      </c>
      <c r="CS88">
        <v>39.229999999999997</v>
      </c>
      <c r="CT88">
        <v>39.229999999999997</v>
      </c>
      <c r="CW88">
        <v>39.130000000000003</v>
      </c>
      <c r="CX88">
        <v>39.409999999999997</v>
      </c>
      <c r="DA88">
        <v>39.133000000000003</v>
      </c>
      <c r="DB88">
        <v>39.414000000000001</v>
      </c>
    </row>
    <row r="89" spans="2:106" ht="15.75" customHeight="1">
      <c r="B89">
        <v>16</v>
      </c>
      <c r="C89">
        <v>38.96</v>
      </c>
      <c r="D89">
        <v>38.96</v>
      </c>
      <c r="G89">
        <v>38.97</v>
      </c>
      <c r="H89">
        <v>39.119999999999997</v>
      </c>
      <c r="I89" t="s">
        <v>7625</v>
      </c>
      <c r="J89" t="s">
        <v>7625</v>
      </c>
      <c r="K89" t="s">
        <v>7626</v>
      </c>
      <c r="L89" t="s">
        <v>7626</v>
      </c>
      <c r="M89" t="s">
        <v>7627</v>
      </c>
      <c r="N89" t="s">
        <v>7627</v>
      </c>
      <c r="O89">
        <v>39.369999999999997</v>
      </c>
      <c r="P89">
        <v>39.369999999999997</v>
      </c>
      <c r="S89">
        <v>49.32</v>
      </c>
      <c r="T89">
        <v>49.32</v>
      </c>
      <c r="W89">
        <v>40.94</v>
      </c>
      <c r="X89">
        <v>40.94</v>
      </c>
      <c r="AA89">
        <v>38.979999999999997</v>
      </c>
      <c r="AB89">
        <v>38.979999999999997</v>
      </c>
      <c r="AE89">
        <v>36.19</v>
      </c>
      <c r="AF89">
        <v>36.19</v>
      </c>
      <c r="AI89">
        <v>38.64</v>
      </c>
      <c r="AJ89">
        <v>38.76</v>
      </c>
      <c r="AM89">
        <v>38.97</v>
      </c>
      <c r="AN89">
        <v>38.97</v>
      </c>
      <c r="AQ89">
        <v>38.979999999999997</v>
      </c>
      <c r="AR89">
        <v>38.979999999999997</v>
      </c>
      <c r="AU89">
        <v>38.97</v>
      </c>
      <c r="AV89">
        <v>38.97</v>
      </c>
      <c r="AY89">
        <v>38.979999999999997</v>
      </c>
      <c r="AZ89">
        <v>38.979999999999997</v>
      </c>
      <c r="BC89">
        <v>38.96</v>
      </c>
      <c r="BD89">
        <v>38.96</v>
      </c>
      <c r="BG89">
        <v>38.840000000000003</v>
      </c>
      <c r="BH89">
        <v>39.130000000000003</v>
      </c>
      <c r="BK89">
        <v>38.979999999999997</v>
      </c>
      <c r="BL89">
        <v>38.979999999999997</v>
      </c>
      <c r="BO89">
        <v>39.130000000000003</v>
      </c>
      <c r="BP89">
        <v>39.130000000000003</v>
      </c>
      <c r="BQ89">
        <v>38.979999999999997</v>
      </c>
      <c r="BR89">
        <v>38.979999999999997</v>
      </c>
      <c r="BU89">
        <v>38.840000000000003</v>
      </c>
      <c r="BV89">
        <v>39.130000000000003</v>
      </c>
      <c r="CC89">
        <v>38.979999999999997</v>
      </c>
      <c r="CD89">
        <v>38.979999999999997</v>
      </c>
      <c r="CG89">
        <v>38.97</v>
      </c>
      <c r="CH89">
        <v>39.119999999999997</v>
      </c>
      <c r="CK89">
        <v>38.96</v>
      </c>
      <c r="CL89">
        <v>38.96</v>
      </c>
      <c r="CO89">
        <v>38.979999999999997</v>
      </c>
      <c r="CP89">
        <v>38.979999999999997</v>
      </c>
      <c r="CS89">
        <v>38.97</v>
      </c>
      <c r="CT89">
        <v>38.97</v>
      </c>
      <c r="CW89">
        <v>38.840000000000003</v>
      </c>
      <c r="CX89">
        <v>39.130000000000003</v>
      </c>
      <c r="DA89">
        <v>38.841000000000001</v>
      </c>
      <c r="DB89">
        <v>39.128</v>
      </c>
    </row>
    <row r="90" spans="2:106" ht="15.75" customHeight="1">
      <c r="B90">
        <v>15</v>
      </c>
      <c r="C90">
        <v>38.68</v>
      </c>
      <c r="D90">
        <v>38.68</v>
      </c>
      <c r="G90">
        <v>38.69</v>
      </c>
      <c r="H90">
        <v>38.83</v>
      </c>
      <c r="I90" t="s">
        <v>7628</v>
      </c>
      <c r="J90" t="s">
        <v>7628</v>
      </c>
      <c r="K90" t="s">
        <v>7629</v>
      </c>
      <c r="L90" t="s">
        <v>7629</v>
      </c>
      <c r="M90" t="s">
        <v>7630</v>
      </c>
      <c r="N90" t="s">
        <v>7630</v>
      </c>
      <c r="O90">
        <v>39.08</v>
      </c>
      <c r="P90">
        <v>39.08</v>
      </c>
      <c r="S90">
        <v>49.13</v>
      </c>
      <c r="T90">
        <v>49.13</v>
      </c>
      <c r="W90">
        <v>40.65</v>
      </c>
      <c r="X90">
        <v>40.65</v>
      </c>
      <c r="AA90">
        <v>38.69</v>
      </c>
      <c r="AB90">
        <v>38.69</v>
      </c>
      <c r="AE90">
        <v>35.81</v>
      </c>
      <c r="AF90">
        <v>35.81</v>
      </c>
      <c r="AI90">
        <v>38.36</v>
      </c>
      <c r="AJ90">
        <v>38.46</v>
      </c>
      <c r="AM90">
        <v>38.69</v>
      </c>
      <c r="AN90">
        <v>38.69</v>
      </c>
      <c r="AQ90">
        <v>38.69</v>
      </c>
      <c r="AR90">
        <v>38.69</v>
      </c>
      <c r="AU90">
        <v>38.69</v>
      </c>
      <c r="AV90">
        <v>38.69</v>
      </c>
      <c r="AY90">
        <v>38.69</v>
      </c>
      <c r="AZ90">
        <v>38.69</v>
      </c>
      <c r="BC90">
        <v>38.68</v>
      </c>
      <c r="BD90">
        <v>38.68</v>
      </c>
      <c r="BG90">
        <v>38.57</v>
      </c>
      <c r="BH90">
        <v>38.83</v>
      </c>
      <c r="BK90">
        <v>38.69</v>
      </c>
      <c r="BL90">
        <v>38.69</v>
      </c>
      <c r="BO90">
        <v>38.83</v>
      </c>
      <c r="BP90">
        <v>38.83</v>
      </c>
      <c r="BQ90">
        <v>38.69</v>
      </c>
      <c r="BR90">
        <v>38.69</v>
      </c>
      <c r="BU90">
        <v>38.57</v>
      </c>
      <c r="BV90">
        <v>38.83</v>
      </c>
      <c r="CC90">
        <v>38.69</v>
      </c>
      <c r="CD90">
        <v>38.69</v>
      </c>
      <c r="CG90">
        <v>38.69</v>
      </c>
      <c r="CH90">
        <v>38.83</v>
      </c>
      <c r="CK90">
        <v>38.68</v>
      </c>
      <c r="CL90">
        <v>38.68</v>
      </c>
      <c r="CO90">
        <v>38.69</v>
      </c>
      <c r="CP90">
        <v>38.69</v>
      </c>
      <c r="CS90">
        <v>38.700000000000003</v>
      </c>
      <c r="CT90">
        <v>38.700000000000003</v>
      </c>
      <c r="CW90">
        <v>38.57</v>
      </c>
      <c r="CX90">
        <v>38.83</v>
      </c>
      <c r="DA90">
        <v>38.567</v>
      </c>
      <c r="DB90">
        <v>38.832000000000001</v>
      </c>
    </row>
    <row r="91" spans="2:106" ht="15.75" customHeight="1">
      <c r="B91">
        <v>14</v>
      </c>
      <c r="C91">
        <v>38.409999999999997</v>
      </c>
      <c r="D91">
        <v>38.409999999999997</v>
      </c>
      <c r="G91">
        <v>38.42</v>
      </c>
      <c r="H91">
        <v>38.54</v>
      </c>
      <c r="I91" t="s">
        <v>7631</v>
      </c>
      <c r="J91" t="s">
        <v>7631</v>
      </c>
      <c r="K91" t="s">
        <v>6988</v>
      </c>
      <c r="L91" t="s">
        <v>6988</v>
      </c>
      <c r="M91" t="s">
        <v>7005</v>
      </c>
      <c r="N91" t="s">
        <v>7005</v>
      </c>
      <c r="O91">
        <v>38.799999999999997</v>
      </c>
      <c r="P91">
        <v>38.799999999999997</v>
      </c>
      <c r="S91">
        <v>48.95</v>
      </c>
      <c r="T91">
        <v>48.95</v>
      </c>
      <c r="W91">
        <v>40.380000000000003</v>
      </c>
      <c r="X91">
        <v>40.380000000000003</v>
      </c>
      <c r="AA91">
        <v>38.42</v>
      </c>
      <c r="AB91">
        <v>38.42</v>
      </c>
      <c r="AE91">
        <v>35.19</v>
      </c>
      <c r="AF91">
        <v>35.19</v>
      </c>
      <c r="AI91">
        <v>38.11</v>
      </c>
      <c r="AJ91">
        <v>38.18</v>
      </c>
      <c r="AM91">
        <v>38.42</v>
      </c>
      <c r="AN91">
        <v>38.42</v>
      </c>
      <c r="AQ91">
        <v>38.42</v>
      </c>
      <c r="AR91">
        <v>38.42</v>
      </c>
      <c r="AU91">
        <v>38.42</v>
      </c>
      <c r="AV91">
        <v>38.42</v>
      </c>
      <c r="AY91">
        <v>38.42</v>
      </c>
      <c r="AZ91">
        <v>38.42</v>
      </c>
      <c r="BC91">
        <v>38.409999999999997</v>
      </c>
      <c r="BD91">
        <v>38.409999999999997</v>
      </c>
      <c r="BG91">
        <v>38.31</v>
      </c>
      <c r="BH91">
        <v>38.549999999999997</v>
      </c>
      <c r="BK91">
        <v>38.42</v>
      </c>
      <c r="BL91">
        <v>38.42</v>
      </c>
      <c r="BO91">
        <v>38.549999999999997</v>
      </c>
      <c r="BP91">
        <v>38.549999999999997</v>
      </c>
      <c r="BQ91">
        <v>38.42</v>
      </c>
      <c r="BR91">
        <v>38.42</v>
      </c>
      <c r="BU91">
        <v>38.31</v>
      </c>
      <c r="BV91">
        <v>38.549999999999997</v>
      </c>
      <c r="CC91">
        <v>38.42</v>
      </c>
      <c r="CD91">
        <v>38.42</v>
      </c>
      <c r="CG91">
        <v>38.42</v>
      </c>
      <c r="CH91">
        <v>38.54</v>
      </c>
      <c r="CK91">
        <v>38.409999999999997</v>
      </c>
      <c r="CL91">
        <v>38.409999999999997</v>
      </c>
      <c r="CO91">
        <v>38.42</v>
      </c>
      <c r="CP91">
        <v>38.42</v>
      </c>
      <c r="CS91">
        <v>38.44</v>
      </c>
      <c r="CT91">
        <v>38.44</v>
      </c>
      <c r="CW91">
        <v>38.31</v>
      </c>
      <c r="CX91">
        <v>38.549999999999997</v>
      </c>
      <c r="DA91">
        <v>38.314999999999998</v>
      </c>
      <c r="DB91">
        <v>38.545999999999999</v>
      </c>
    </row>
    <row r="92" spans="2:106" ht="15.75" customHeight="1">
      <c r="B92">
        <v>13</v>
      </c>
      <c r="C92">
        <v>38.14</v>
      </c>
      <c r="D92">
        <v>38.14</v>
      </c>
      <c r="G92">
        <v>38.15</v>
      </c>
      <c r="H92">
        <v>38.25</v>
      </c>
      <c r="I92" t="s">
        <v>7632</v>
      </c>
      <c r="J92" t="s">
        <v>7632</v>
      </c>
      <c r="K92" t="s">
        <v>7633</v>
      </c>
      <c r="L92" t="s">
        <v>7633</v>
      </c>
      <c r="M92" t="s">
        <v>6996</v>
      </c>
      <c r="N92" t="s">
        <v>6996</v>
      </c>
      <c r="O92">
        <v>38.53</v>
      </c>
      <c r="P92">
        <v>38.53</v>
      </c>
      <c r="S92">
        <v>48.77</v>
      </c>
      <c r="T92">
        <v>48.77</v>
      </c>
      <c r="W92">
        <v>40.11</v>
      </c>
      <c r="X92">
        <v>40.11</v>
      </c>
      <c r="AA92">
        <v>38.15</v>
      </c>
      <c r="AB92">
        <v>38.15</v>
      </c>
      <c r="AE92">
        <v>35.01</v>
      </c>
      <c r="AF92">
        <v>35.01</v>
      </c>
      <c r="AI92">
        <v>37.86</v>
      </c>
      <c r="AJ92">
        <v>37.89</v>
      </c>
      <c r="AM92">
        <v>38.15</v>
      </c>
      <c r="AN92">
        <v>38.15</v>
      </c>
      <c r="AQ92">
        <v>38.15</v>
      </c>
      <c r="AR92">
        <v>38.15</v>
      </c>
      <c r="AU92">
        <v>38.15</v>
      </c>
      <c r="AV92">
        <v>38.15</v>
      </c>
      <c r="AY92">
        <v>38.15</v>
      </c>
      <c r="AZ92">
        <v>38.15</v>
      </c>
      <c r="BC92">
        <v>38.14</v>
      </c>
      <c r="BD92">
        <v>38.14</v>
      </c>
      <c r="BG92">
        <v>38.06</v>
      </c>
      <c r="BH92">
        <v>38.25</v>
      </c>
      <c r="BK92">
        <v>38.15</v>
      </c>
      <c r="BL92">
        <v>38.15</v>
      </c>
      <c r="BO92">
        <v>38.25</v>
      </c>
      <c r="BP92">
        <v>38.25</v>
      </c>
      <c r="BQ92">
        <v>38.15</v>
      </c>
      <c r="BR92">
        <v>38.15</v>
      </c>
      <c r="BU92">
        <v>38.06</v>
      </c>
      <c r="BV92">
        <v>38.25</v>
      </c>
      <c r="CC92">
        <v>38.15</v>
      </c>
      <c r="CD92">
        <v>38.15</v>
      </c>
      <c r="CG92">
        <v>38.15</v>
      </c>
      <c r="CH92">
        <v>38.25</v>
      </c>
      <c r="CK92">
        <v>38.14</v>
      </c>
      <c r="CL92">
        <v>38.14</v>
      </c>
      <c r="CO92">
        <v>38.15</v>
      </c>
      <c r="CP92">
        <v>38.15</v>
      </c>
      <c r="CS92">
        <v>38.21</v>
      </c>
      <c r="CT92">
        <v>38.21</v>
      </c>
      <c r="CW92">
        <v>38.06</v>
      </c>
      <c r="CX92">
        <v>38.25</v>
      </c>
      <c r="DA92">
        <v>38.063000000000002</v>
      </c>
      <c r="DB92">
        <v>38.253</v>
      </c>
    </row>
    <row r="93" spans="2:106" ht="15.75" customHeight="1">
      <c r="B93">
        <v>12</v>
      </c>
      <c r="C93">
        <v>37.869999999999997</v>
      </c>
      <c r="D93">
        <v>37.869999999999997</v>
      </c>
      <c r="G93">
        <v>37.869999999999997</v>
      </c>
      <c r="H93">
        <v>37.96</v>
      </c>
      <c r="I93" t="s">
        <v>6985</v>
      </c>
      <c r="J93" t="s">
        <v>6985</v>
      </c>
      <c r="K93" t="s">
        <v>7634</v>
      </c>
      <c r="L93" t="s">
        <v>7634</v>
      </c>
      <c r="M93" t="s">
        <v>7635</v>
      </c>
      <c r="N93" t="s">
        <v>7635</v>
      </c>
      <c r="O93">
        <v>38.25</v>
      </c>
      <c r="P93">
        <v>38.25</v>
      </c>
      <c r="S93">
        <v>48.58</v>
      </c>
      <c r="T93">
        <v>48.58</v>
      </c>
      <c r="W93">
        <v>39.83</v>
      </c>
      <c r="X93">
        <v>39.83</v>
      </c>
      <c r="AA93">
        <v>37.869999999999997</v>
      </c>
      <c r="AB93">
        <v>37.869999999999997</v>
      </c>
      <c r="AE93">
        <v>34.619999999999997</v>
      </c>
      <c r="AF93">
        <v>34.619999999999997</v>
      </c>
      <c r="AI93">
        <v>37.590000000000003</v>
      </c>
      <c r="AJ93">
        <v>37.6</v>
      </c>
      <c r="AM93">
        <v>37.869999999999997</v>
      </c>
      <c r="AN93">
        <v>37.869999999999997</v>
      </c>
      <c r="AQ93">
        <v>37.869999999999997</v>
      </c>
      <c r="AR93">
        <v>37.869999999999997</v>
      </c>
      <c r="AU93">
        <v>37.869999999999997</v>
      </c>
      <c r="AV93">
        <v>37.869999999999997</v>
      </c>
      <c r="AY93">
        <v>37.869999999999997</v>
      </c>
      <c r="AZ93">
        <v>37.869999999999997</v>
      </c>
      <c r="BC93">
        <v>37.869999999999997</v>
      </c>
      <c r="BD93">
        <v>37.869999999999997</v>
      </c>
      <c r="BG93">
        <v>37.79</v>
      </c>
      <c r="BH93">
        <v>37.96</v>
      </c>
      <c r="BK93">
        <v>37.869999999999997</v>
      </c>
      <c r="BL93">
        <v>37.869999999999997</v>
      </c>
      <c r="BO93">
        <v>37.96</v>
      </c>
      <c r="BP93">
        <v>37.96</v>
      </c>
      <c r="BQ93">
        <v>37.869999999999997</v>
      </c>
      <c r="BR93">
        <v>37.869999999999997</v>
      </c>
      <c r="BU93">
        <v>37.79</v>
      </c>
      <c r="BV93">
        <v>37.96</v>
      </c>
      <c r="CC93">
        <v>37.869999999999997</v>
      </c>
      <c r="CD93">
        <v>37.869999999999997</v>
      </c>
      <c r="CG93">
        <v>37.869999999999997</v>
      </c>
      <c r="CH93">
        <v>37.96</v>
      </c>
      <c r="CK93">
        <v>37.869999999999997</v>
      </c>
      <c r="CL93">
        <v>37.869999999999997</v>
      </c>
      <c r="CO93">
        <v>37.869999999999997</v>
      </c>
      <c r="CP93">
        <v>37.869999999999997</v>
      </c>
      <c r="CS93">
        <v>37.979999999999997</v>
      </c>
      <c r="CT93">
        <v>37.979999999999997</v>
      </c>
      <c r="CW93">
        <v>37.79</v>
      </c>
      <c r="CX93">
        <v>37.96</v>
      </c>
      <c r="DA93">
        <v>37.792999999999999</v>
      </c>
      <c r="DB93">
        <v>37.96</v>
      </c>
    </row>
    <row r="94" spans="2:106" ht="15.75" customHeight="1">
      <c r="B94">
        <v>11</v>
      </c>
      <c r="C94">
        <v>37.61</v>
      </c>
      <c r="D94">
        <v>37.61</v>
      </c>
      <c r="G94">
        <v>37.57</v>
      </c>
      <c r="H94">
        <v>37.65</v>
      </c>
      <c r="I94" t="s">
        <v>7636</v>
      </c>
      <c r="J94" t="s">
        <v>7636</v>
      </c>
      <c r="K94" t="s">
        <v>7637</v>
      </c>
      <c r="L94" t="s">
        <v>7637</v>
      </c>
      <c r="M94" t="s">
        <v>7638</v>
      </c>
      <c r="N94" t="s">
        <v>7638</v>
      </c>
      <c r="O94">
        <v>37.96</v>
      </c>
      <c r="P94">
        <v>37.96</v>
      </c>
      <c r="S94">
        <v>48.39</v>
      </c>
      <c r="T94">
        <v>48.39</v>
      </c>
      <c r="W94">
        <v>39.54</v>
      </c>
      <c r="X94">
        <v>39.54</v>
      </c>
      <c r="AA94">
        <v>37.58</v>
      </c>
      <c r="AB94">
        <v>37.58</v>
      </c>
      <c r="AE94">
        <v>34.020000000000003</v>
      </c>
      <c r="AF94">
        <v>34.020000000000003</v>
      </c>
      <c r="AI94">
        <v>37.32</v>
      </c>
      <c r="AJ94">
        <v>37.299999999999997</v>
      </c>
      <c r="AM94">
        <v>37.57</v>
      </c>
      <c r="AN94">
        <v>37.57</v>
      </c>
      <c r="AQ94">
        <v>37.58</v>
      </c>
      <c r="AR94">
        <v>37.58</v>
      </c>
      <c r="AU94">
        <v>37.57</v>
      </c>
      <c r="AV94">
        <v>37.57</v>
      </c>
      <c r="AY94">
        <v>37.58</v>
      </c>
      <c r="AZ94">
        <v>37.58</v>
      </c>
      <c r="BC94">
        <v>37.61</v>
      </c>
      <c r="BD94">
        <v>37.61</v>
      </c>
      <c r="BG94">
        <v>37.51</v>
      </c>
      <c r="BH94">
        <v>37.67</v>
      </c>
      <c r="BK94">
        <v>37.58</v>
      </c>
      <c r="BL94">
        <v>37.58</v>
      </c>
      <c r="BO94">
        <v>37.659999999999997</v>
      </c>
      <c r="BP94">
        <v>37.659999999999997</v>
      </c>
      <c r="BQ94">
        <v>37.58</v>
      </c>
      <c r="BR94">
        <v>37.58</v>
      </c>
      <c r="BU94">
        <v>37.51</v>
      </c>
      <c r="BV94">
        <v>37.65</v>
      </c>
      <c r="CC94">
        <v>37.58</v>
      </c>
      <c r="CD94">
        <v>37.58</v>
      </c>
      <c r="CG94">
        <v>37.57</v>
      </c>
      <c r="CH94">
        <v>37.65</v>
      </c>
      <c r="CK94">
        <v>37.61</v>
      </c>
      <c r="CL94">
        <v>37.61</v>
      </c>
      <c r="CO94">
        <v>37.58</v>
      </c>
      <c r="CP94">
        <v>37.58</v>
      </c>
      <c r="CS94">
        <v>37.71</v>
      </c>
      <c r="CT94">
        <v>37.71</v>
      </c>
      <c r="CW94">
        <v>37.51</v>
      </c>
      <c r="CX94">
        <v>37.65</v>
      </c>
      <c r="DA94">
        <v>37.512999999999998</v>
      </c>
      <c r="DB94">
        <v>37.654000000000003</v>
      </c>
    </row>
    <row r="95" spans="2:106" ht="15.75" customHeight="1">
      <c r="B95">
        <v>10</v>
      </c>
      <c r="C95">
        <v>37.32</v>
      </c>
      <c r="D95">
        <v>37.32</v>
      </c>
      <c r="G95">
        <v>37.230000000000004</v>
      </c>
      <c r="H95">
        <v>37.340000000000003</v>
      </c>
      <c r="I95" t="s">
        <v>7639</v>
      </c>
      <c r="J95" t="s">
        <v>7639</v>
      </c>
      <c r="K95" t="s">
        <v>7640</v>
      </c>
      <c r="L95" t="s">
        <v>7640</v>
      </c>
      <c r="M95" t="s">
        <v>7641</v>
      </c>
      <c r="N95" t="s">
        <v>7641</v>
      </c>
      <c r="O95">
        <v>37.6</v>
      </c>
      <c r="P95">
        <v>37.6</v>
      </c>
      <c r="S95">
        <v>48.15</v>
      </c>
      <c r="T95">
        <v>48.15</v>
      </c>
      <c r="W95">
        <v>39.19</v>
      </c>
      <c r="X95">
        <v>39.19</v>
      </c>
      <c r="AA95">
        <v>37.229999999999997</v>
      </c>
      <c r="AB95">
        <v>37.229999999999997</v>
      </c>
      <c r="AE95">
        <v>33.69</v>
      </c>
      <c r="AF95">
        <v>33.69</v>
      </c>
      <c r="AI95">
        <v>36.94</v>
      </c>
      <c r="AJ95">
        <v>36.99</v>
      </c>
      <c r="AM95">
        <v>37.229999999999997</v>
      </c>
      <c r="AN95">
        <v>37.229999999999997</v>
      </c>
      <c r="AQ95">
        <v>37.229999999999997</v>
      </c>
      <c r="AR95">
        <v>37.229999999999997</v>
      </c>
      <c r="AU95">
        <v>37.229999999999997</v>
      </c>
      <c r="AV95">
        <v>37.229999999999997</v>
      </c>
      <c r="AY95">
        <v>37.229999999999997</v>
      </c>
      <c r="AZ95">
        <v>37.229999999999997</v>
      </c>
      <c r="BC95">
        <v>37.32</v>
      </c>
      <c r="BD95">
        <v>37.32</v>
      </c>
      <c r="BG95">
        <v>37.130000000000003</v>
      </c>
      <c r="BH95">
        <v>37.369999999999997</v>
      </c>
      <c r="BK95">
        <v>37.229999999999997</v>
      </c>
      <c r="BL95">
        <v>37.229999999999997</v>
      </c>
      <c r="BO95">
        <v>37.35</v>
      </c>
      <c r="BP95">
        <v>37.35</v>
      </c>
      <c r="BQ95">
        <v>37.229999999999997</v>
      </c>
      <c r="BR95">
        <v>37.229999999999997</v>
      </c>
      <c r="BU95">
        <v>37.130000000000003</v>
      </c>
      <c r="BV95">
        <v>37.35</v>
      </c>
      <c r="CC95">
        <v>37.229999999999997</v>
      </c>
      <c r="CD95">
        <v>37.229999999999997</v>
      </c>
      <c r="CG95">
        <v>37.230000000000004</v>
      </c>
      <c r="CH95">
        <v>37.340000000000003</v>
      </c>
      <c r="CK95">
        <v>37.32</v>
      </c>
      <c r="CL95">
        <v>37.32</v>
      </c>
      <c r="CO95">
        <v>37.229999999999997</v>
      </c>
      <c r="CP95">
        <v>37.229999999999997</v>
      </c>
      <c r="CS95">
        <v>37.42</v>
      </c>
      <c r="CT95">
        <v>37.42</v>
      </c>
      <c r="CW95">
        <v>37.130000000000003</v>
      </c>
      <c r="CX95">
        <v>37.35</v>
      </c>
      <c r="DA95">
        <v>37.130000000000003</v>
      </c>
      <c r="DB95">
        <v>37.347999999999999</v>
      </c>
    </row>
    <row r="96" spans="2:10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8" customHeight="1"/>
    <row r="113" spans="2:17" ht="18" hidden="1" customHeight="1">
      <c r="H113" s="557" t="e">
        <f>MATCH(H$116,변환표준점수!$B$5:$B$110,0)</f>
        <v>#N/A</v>
      </c>
      <c r="I113" s="558" t="e">
        <f>MATCH(I$116,변환표준점수!$B$5:$B$110,0)</f>
        <v>#N/A</v>
      </c>
      <c r="J113" s="558" t="e">
        <f>MATCH(J$116,변환표준점수!$B$5:$B$110,0)</f>
        <v>#N/A</v>
      </c>
      <c r="K113" s="559" t="e">
        <f>MATCH(K$116,변환표준점수!$B$5:$B$110,0)</f>
        <v>#N/A</v>
      </c>
    </row>
    <row r="114" spans="2:17" ht="18" hidden="1" customHeight="1">
      <c r="H114" s="9" t="s">
        <v>188</v>
      </c>
      <c r="I114" s="10"/>
      <c r="J114" s="10"/>
      <c r="K114" s="11"/>
    </row>
    <row r="115" spans="2:17" ht="18" hidden="1" customHeight="1">
      <c r="C115" s="1"/>
      <c r="H115" s="2" t="s">
        <v>93</v>
      </c>
      <c r="I115" t="s">
        <v>94</v>
      </c>
      <c r="J115" t="s">
        <v>95</v>
      </c>
      <c r="K115" s="12" t="s">
        <v>96</v>
      </c>
    </row>
    <row r="116" spans="2:17" ht="18" hidden="1" customHeight="1" thickBot="1">
      <c r="H116" s="2">
        <f>환산공식!EH6</f>
        <v>0</v>
      </c>
      <c r="I116">
        <f>환산공식!EI6</f>
        <v>0</v>
      </c>
      <c r="J116">
        <f>환산공식!EJ6</f>
        <v>0</v>
      </c>
      <c r="K116" s="12">
        <f>환산공식!EK6</f>
        <v>0</v>
      </c>
      <c r="L116" s="17"/>
      <c r="M116" s="7"/>
    </row>
    <row r="117" spans="2:17" ht="18" hidden="1" customHeight="1" thickBot="1">
      <c r="B117" s="561" t="s">
        <v>189</v>
      </c>
      <c r="C117" s="562"/>
      <c r="D117" s="563"/>
      <c r="E117" s="564"/>
      <c r="F117" s="565"/>
      <c r="G117" s="562"/>
      <c r="H117" s="562" t="s">
        <v>66</v>
      </c>
      <c r="I117" s="562" t="s">
        <v>66</v>
      </c>
      <c r="J117" s="562" t="s">
        <v>67</v>
      </c>
      <c r="K117" s="566" t="s">
        <v>67</v>
      </c>
      <c r="L117" t="s">
        <v>101</v>
      </c>
      <c r="M117" s="271"/>
      <c r="N117" s="10"/>
      <c r="O117" s="10"/>
      <c r="P117" s="10"/>
      <c r="Q117" s="11"/>
    </row>
    <row r="118" spans="2:17" ht="18" hidden="1" customHeight="1">
      <c r="B118" s="14" t="s">
        <v>89</v>
      </c>
      <c r="C118" s="157" t="s">
        <v>7677</v>
      </c>
      <c r="D118" s="232" t="s">
        <v>7678</v>
      </c>
      <c r="E118" t="s">
        <v>90</v>
      </c>
      <c r="F118" s="567" t="s">
        <v>91</v>
      </c>
      <c r="G118" s="568" t="s">
        <v>92</v>
      </c>
      <c r="H118" s="569" t="s">
        <v>97</v>
      </c>
      <c r="I118" s="570" t="s">
        <v>98</v>
      </c>
      <c r="J118" s="570" t="s">
        <v>99</v>
      </c>
      <c r="K118" s="571" t="s">
        <v>100</v>
      </c>
      <c r="L118" s="560" t="str">
        <f>H118</f>
        <v>과1 점수</v>
      </c>
      <c r="M118" s="560" t="str">
        <f>I118</f>
        <v>과2 점수</v>
      </c>
      <c r="N118" s="560" t="str">
        <f>J118</f>
        <v>사1 점수</v>
      </c>
      <c r="O118" s="560" t="str">
        <f>K118</f>
        <v>사2 점수</v>
      </c>
      <c r="Q118" s="12"/>
    </row>
    <row r="119" spans="2:17" ht="18" hidden="1" customHeight="1">
      <c r="B119" s="14">
        <v>1</v>
      </c>
      <c r="C119">
        <f t="shared" ref="C119:C150" ca="1" si="0">OFFSET($C$5,0,M119-1,1,1)+0</f>
        <v>70.12</v>
      </c>
      <c r="D119">
        <f t="shared" ref="D119:D150" ca="1" si="1">OFFSET($C$5,0,N119-1,1,1)+0</f>
        <v>70.12</v>
      </c>
      <c r="E119" t="s">
        <v>191</v>
      </c>
      <c r="F119" s="14">
        <f t="shared" ref="F119:F150" ca="1" si="2">LARGE(H119:K119,1)</f>
        <v>0</v>
      </c>
      <c r="G119" s="13">
        <f t="shared" ref="G119:G150" ca="1" si="3">LARGE(H119:K119,2)</f>
        <v>0</v>
      </c>
      <c r="H119">
        <f t="shared" ref="H119:H150" ca="1" si="4">IFERROR(OFFSET($C$5,H$113-1,L119-1)+0,0)</f>
        <v>0</v>
      </c>
      <c r="I119">
        <f t="shared" ref="I119:I150" ca="1" si="5">IFERROR(OFFSET($C$5,I$113-1,M119-1)+0,0)</f>
        <v>0</v>
      </c>
      <c r="J119">
        <f t="shared" ref="J119:J150" ca="1" si="6">IFERROR(OFFSET($C$5,J$113-1,N119-1)+0,0)</f>
        <v>0</v>
      </c>
      <c r="K119" s="13">
        <f t="shared" ref="K119:K150" ca="1" si="7">IFERROR(OFFSET($C$5,K$113-1,O119-1)+0,0)</f>
        <v>0</v>
      </c>
      <c r="L119">
        <f>MATCH(_xlfn.CONCAT($B119,H$117),변환표준점수!$C$4:$ZZ$4,0)</f>
        <v>2</v>
      </c>
      <c r="M119">
        <f>MATCH(_xlfn.CONCAT($B119,I$117),변환표준점수!$C$4:$ZZ$4,0)</f>
        <v>2</v>
      </c>
      <c r="N119">
        <f>MATCH(_xlfn.CONCAT($B119,J$117),변환표준점수!$C$4:$ZZ$4,0)</f>
        <v>1</v>
      </c>
      <c r="O119">
        <f>MATCH(_xlfn.CONCAT($B119,K$117),변환표준점수!$C$4:$ZZ$4,0)</f>
        <v>1</v>
      </c>
      <c r="Q119" s="12"/>
    </row>
    <row r="120" spans="2:17" ht="18" hidden="1" customHeight="1">
      <c r="B120" s="14">
        <v>2</v>
      </c>
      <c r="C120">
        <f t="shared" ca="1" si="0"/>
        <v>0</v>
      </c>
      <c r="D120">
        <f t="shared" ca="1" si="1"/>
        <v>0</v>
      </c>
      <c r="F120" s="14">
        <f t="shared" ca="1" si="2"/>
        <v>0</v>
      </c>
      <c r="G120" s="13">
        <f t="shared" ca="1" si="3"/>
        <v>0</v>
      </c>
      <c r="H120">
        <f t="shared" ca="1" si="4"/>
        <v>0</v>
      </c>
      <c r="I120">
        <f t="shared" ca="1" si="5"/>
        <v>0</v>
      </c>
      <c r="J120">
        <f t="shared" ca="1" si="6"/>
        <v>0</v>
      </c>
      <c r="K120" s="13">
        <f t="shared" ca="1" si="7"/>
        <v>0</v>
      </c>
      <c r="L120">
        <f>MATCH(_xlfn.CONCAT($B120,H$117),변환표준점수!$C$4:$ZZ$4,0)</f>
        <v>4</v>
      </c>
      <c r="M120">
        <f>MATCH(_xlfn.CONCAT($B120,I$117),변환표준점수!$C$4:$ZZ$4,0)</f>
        <v>4</v>
      </c>
      <c r="N120">
        <f>MATCH(_xlfn.CONCAT($B120,J$117),변환표준점수!$C$4:$ZZ$4,0)</f>
        <v>3</v>
      </c>
      <c r="O120">
        <f>MATCH(_xlfn.CONCAT($B120,K$117),변환표준점수!$C$4:$ZZ$4,0)</f>
        <v>3</v>
      </c>
      <c r="Q120" s="12"/>
    </row>
    <row r="121" spans="2:17" ht="18" hidden="1" customHeight="1">
      <c r="B121" s="14">
        <v>3</v>
      </c>
      <c r="C121">
        <f t="shared" ca="1" si="0"/>
        <v>70.12</v>
      </c>
      <c r="D121">
        <f t="shared" ca="1" si="1"/>
        <v>70</v>
      </c>
      <c r="F121" s="14">
        <f t="shared" ca="1" si="2"/>
        <v>0</v>
      </c>
      <c r="G121" s="13">
        <f t="shared" ca="1" si="3"/>
        <v>0</v>
      </c>
      <c r="H121">
        <f t="shared" ca="1" si="4"/>
        <v>0</v>
      </c>
      <c r="I121">
        <f t="shared" ca="1" si="5"/>
        <v>0</v>
      </c>
      <c r="J121">
        <f t="shared" ca="1" si="6"/>
        <v>0</v>
      </c>
      <c r="K121" s="13">
        <f t="shared" ca="1" si="7"/>
        <v>0</v>
      </c>
      <c r="L121">
        <f>MATCH(_xlfn.CONCAT($B121,H$117),변환표준점수!$C$4:$ZZ$4,0)</f>
        <v>6</v>
      </c>
      <c r="M121">
        <f>MATCH(_xlfn.CONCAT($B121,I$117),변환표준점수!$C$4:$ZZ$4,0)</f>
        <v>6</v>
      </c>
      <c r="N121">
        <f>MATCH(_xlfn.CONCAT($B121,J$117),변환표준점수!$C$4:$ZZ$4,0)</f>
        <v>5</v>
      </c>
      <c r="O121">
        <f>MATCH(_xlfn.CONCAT($B121,K$117),변환표준점수!$C$4:$ZZ$4,0)</f>
        <v>5</v>
      </c>
      <c r="Q121" s="12"/>
    </row>
    <row r="122" spans="2:17" ht="18" hidden="1" customHeight="1">
      <c r="B122" s="14">
        <v>4</v>
      </c>
      <c r="C122">
        <f t="shared" ca="1" si="0"/>
        <v>70.13</v>
      </c>
      <c r="D122">
        <f t="shared" ca="1" si="1"/>
        <v>70.13</v>
      </c>
      <c r="F122" s="14">
        <f t="shared" ca="1" si="2"/>
        <v>0</v>
      </c>
      <c r="G122" s="13">
        <f t="shared" ca="1" si="3"/>
        <v>0</v>
      </c>
      <c r="H122">
        <f t="shared" ca="1" si="4"/>
        <v>0</v>
      </c>
      <c r="I122">
        <f t="shared" ca="1" si="5"/>
        <v>0</v>
      </c>
      <c r="J122">
        <f t="shared" ca="1" si="6"/>
        <v>0</v>
      </c>
      <c r="K122" s="13">
        <f t="shared" ca="1" si="7"/>
        <v>0</v>
      </c>
      <c r="L122">
        <f>MATCH(_xlfn.CONCAT($B122,H$117),변환표준점수!$C$4:$ZZ$4,0)</f>
        <v>8</v>
      </c>
      <c r="M122">
        <f>MATCH(_xlfn.CONCAT($B122,I$117),변환표준점수!$C$4:$ZZ$4,0)</f>
        <v>8</v>
      </c>
      <c r="N122">
        <f>MATCH(_xlfn.CONCAT($B122,J$117),변환표준점수!$C$4:$ZZ$4,0)</f>
        <v>7</v>
      </c>
      <c r="O122">
        <f>MATCH(_xlfn.CONCAT($B122,K$117),변환표준점수!$C$4:$ZZ$4,0)</f>
        <v>7</v>
      </c>
      <c r="Q122" s="12"/>
    </row>
    <row r="123" spans="2:17" ht="18" hidden="1" customHeight="1">
      <c r="B123" s="14">
        <v>5</v>
      </c>
      <c r="C123">
        <f t="shared" ca="1" si="0"/>
        <v>69.89</v>
      </c>
      <c r="D123">
        <f t="shared" ca="1" si="1"/>
        <v>69.89</v>
      </c>
      <c r="F123" s="14">
        <f t="shared" ca="1" si="2"/>
        <v>0</v>
      </c>
      <c r="G123" s="13">
        <f t="shared" ca="1" si="3"/>
        <v>0</v>
      </c>
      <c r="H123">
        <f t="shared" ca="1" si="4"/>
        <v>0</v>
      </c>
      <c r="I123">
        <f t="shared" ca="1" si="5"/>
        <v>0</v>
      </c>
      <c r="J123">
        <f t="shared" ca="1" si="6"/>
        <v>0</v>
      </c>
      <c r="K123" s="13">
        <f t="shared" ca="1" si="7"/>
        <v>0</v>
      </c>
      <c r="L123">
        <f>MATCH(_xlfn.CONCAT($B123,H$117),변환표준점수!$C$4:$ZZ$4,0)</f>
        <v>10</v>
      </c>
      <c r="M123">
        <f>MATCH(_xlfn.CONCAT($B123,I$117),변환표준점수!$C$4:$ZZ$4,0)</f>
        <v>10</v>
      </c>
      <c r="N123">
        <f>MATCH(_xlfn.CONCAT($B123,J$117),변환표준점수!$C$4:$ZZ$4,0)</f>
        <v>9</v>
      </c>
      <c r="O123">
        <f>MATCH(_xlfn.CONCAT($B123,K$117),변환표준점수!$C$4:$ZZ$4,0)</f>
        <v>9</v>
      </c>
      <c r="Q123" s="12"/>
    </row>
    <row r="124" spans="2:17" ht="18" hidden="1" customHeight="1">
      <c r="B124" s="14">
        <v>6</v>
      </c>
      <c r="C124">
        <f t="shared" ca="1" si="0"/>
        <v>70.13</v>
      </c>
      <c r="D124">
        <f t="shared" ca="1" si="1"/>
        <v>70.13</v>
      </c>
      <c r="F124" s="14">
        <f t="shared" ca="1" si="2"/>
        <v>0</v>
      </c>
      <c r="G124" s="13">
        <f t="shared" ca="1" si="3"/>
        <v>0</v>
      </c>
      <c r="H124">
        <f t="shared" ca="1" si="4"/>
        <v>0</v>
      </c>
      <c r="I124">
        <f t="shared" ca="1" si="5"/>
        <v>0</v>
      </c>
      <c r="J124">
        <f t="shared" ca="1" si="6"/>
        <v>0</v>
      </c>
      <c r="K124" s="13">
        <f t="shared" ca="1" si="7"/>
        <v>0</v>
      </c>
      <c r="L124">
        <f>MATCH(_xlfn.CONCAT($B124,H$117),변환표준점수!$C$4:$ZZ$4,0)</f>
        <v>12</v>
      </c>
      <c r="M124">
        <f>MATCH(_xlfn.CONCAT($B124,I$117),변환표준점수!$C$4:$ZZ$4,0)</f>
        <v>12</v>
      </c>
      <c r="N124">
        <f>MATCH(_xlfn.CONCAT($B124,J$117),변환표준점수!$C$4:$ZZ$4,0)</f>
        <v>11</v>
      </c>
      <c r="O124">
        <f>MATCH(_xlfn.CONCAT($B124,K$117),변환표준점수!$C$4:$ZZ$4,0)</f>
        <v>11</v>
      </c>
      <c r="Q124" s="12"/>
    </row>
    <row r="125" spans="2:17" ht="18" hidden="1" customHeight="1">
      <c r="B125" s="14">
        <v>7</v>
      </c>
      <c r="C125">
        <f t="shared" ca="1" si="0"/>
        <v>68.73</v>
      </c>
      <c r="D125">
        <f t="shared" ca="1" si="1"/>
        <v>68.73</v>
      </c>
      <c r="F125" s="14">
        <f t="shared" ca="1" si="2"/>
        <v>0</v>
      </c>
      <c r="G125" s="13">
        <f t="shared" ca="1" si="3"/>
        <v>0</v>
      </c>
      <c r="H125">
        <f t="shared" ca="1" si="4"/>
        <v>0</v>
      </c>
      <c r="I125">
        <f t="shared" ca="1" si="5"/>
        <v>0</v>
      </c>
      <c r="J125">
        <f t="shared" ca="1" si="6"/>
        <v>0</v>
      </c>
      <c r="K125" s="13">
        <f t="shared" ca="1" si="7"/>
        <v>0</v>
      </c>
      <c r="L125">
        <f>MATCH(_xlfn.CONCAT($B125,H$117),변환표준점수!$C$4:$ZZ$4,0)</f>
        <v>14</v>
      </c>
      <c r="M125">
        <f>MATCH(_xlfn.CONCAT($B125,I$117),변환표준점수!$C$4:$ZZ$4,0)</f>
        <v>14</v>
      </c>
      <c r="N125">
        <f>MATCH(_xlfn.CONCAT($B125,J$117),변환표준점수!$C$4:$ZZ$4,0)</f>
        <v>13</v>
      </c>
      <c r="O125">
        <f>MATCH(_xlfn.CONCAT($B125,K$117),변환표준점수!$C$4:$ZZ$4,0)</f>
        <v>13</v>
      </c>
      <c r="Q125" s="12"/>
    </row>
    <row r="126" spans="2:17" ht="18" hidden="1" customHeight="1">
      <c r="B126" s="14">
        <v>8</v>
      </c>
      <c r="C126">
        <f t="shared" ca="1" si="0"/>
        <v>0</v>
      </c>
      <c r="D126">
        <f t="shared" ca="1" si="1"/>
        <v>0</v>
      </c>
      <c r="F126" s="14">
        <f t="shared" ca="1" si="2"/>
        <v>0</v>
      </c>
      <c r="G126" s="13">
        <f t="shared" ca="1" si="3"/>
        <v>0</v>
      </c>
      <c r="H126">
        <f t="shared" ca="1" si="4"/>
        <v>0</v>
      </c>
      <c r="I126">
        <f t="shared" ca="1" si="5"/>
        <v>0</v>
      </c>
      <c r="J126">
        <f t="shared" ca="1" si="6"/>
        <v>0</v>
      </c>
      <c r="K126" s="13">
        <f t="shared" ca="1" si="7"/>
        <v>0</v>
      </c>
      <c r="L126">
        <f>MATCH(_xlfn.CONCAT($B126,H$117),변환표준점수!$C$4:$ZZ$4,0)</f>
        <v>16</v>
      </c>
      <c r="M126">
        <f>MATCH(_xlfn.CONCAT($B126,I$117),변환표준점수!$C$4:$ZZ$4,0)</f>
        <v>16</v>
      </c>
      <c r="N126">
        <f>MATCH(_xlfn.CONCAT($B126,J$117),변환표준점수!$C$4:$ZZ$4,0)</f>
        <v>15</v>
      </c>
      <c r="O126">
        <f>MATCH(_xlfn.CONCAT($B126,K$117),변환표준점수!$C$4:$ZZ$4,0)</f>
        <v>15</v>
      </c>
      <c r="Q126" s="12"/>
    </row>
    <row r="127" spans="2:17" ht="18" hidden="1" customHeight="1">
      <c r="B127" s="14">
        <v>9</v>
      </c>
      <c r="C127">
        <f t="shared" ca="1" si="0"/>
        <v>70</v>
      </c>
      <c r="D127">
        <f t="shared" ca="1" si="1"/>
        <v>70</v>
      </c>
      <c r="F127" s="14">
        <f t="shared" ca="1" si="2"/>
        <v>0</v>
      </c>
      <c r="G127" s="13">
        <f t="shared" ca="1" si="3"/>
        <v>0</v>
      </c>
      <c r="H127">
        <f t="shared" ca="1" si="4"/>
        <v>0</v>
      </c>
      <c r="I127">
        <f t="shared" ca="1" si="5"/>
        <v>0</v>
      </c>
      <c r="J127">
        <f t="shared" ca="1" si="6"/>
        <v>0</v>
      </c>
      <c r="K127" s="13">
        <f t="shared" ca="1" si="7"/>
        <v>0</v>
      </c>
      <c r="L127">
        <f>MATCH(_xlfn.CONCAT($B127,H$117),변환표준점수!$C$4:$ZZ$4,0)</f>
        <v>18</v>
      </c>
      <c r="M127">
        <f>MATCH(_xlfn.CONCAT($B127,I$117),변환표준점수!$C$4:$ZZ$4,0)</f>
        <v>18</v>
      </c>
      <c r="N127">
        <f>MATCH(_xlfn.CONCAT($B127,J$117),변환표준점수!$C$4:$ZZ$4,0)</f>
        <v>17</v>
      </c>
      <c r="O127">
        <f>MATCH(_xlfn.CONCAT($B127,K$117),변환표준점수!$C$4:$ZZ$4,0)</f>
        <v>17</v>
      </c>
      <c r="Q127" s="12"/>
    </row>
    <row r="128" spans="2:17" ht="18" hidden="1" customHeight="1">
      <c r="B128" s="14">
        <v>10</v>
      </c>
      <c r="C128">
        <f t="shared" ca="1" si="0"/>
        <v>0</v>
      </c>
      <c r="D128">
        <f t="shared" ca="1" si="1"/>
        <v>0</v>
      </c>
      <c r="F128" s="14">
        <f t="shared" ca="1" si="2"/>
        <v>0</v>
      </c>
      <c r="G128" s="13">
        <f t="shared" ca="1" si="3"/>
        <v>0</v>
      </c>
      <c r="H128">
        <f t="shared" ca="1" si="4"/>
        <v>0</v>
      </c>
      <c r="I128">
        <f t="shared" ca="1" si="5"/>
        <v>0</v>
      </c>
      <c r="J128">
        <f t="shared" ca="1" si="6"/>
        <v>0</v>
      </c>
      <c r="K128" s="13">
        <f t="shared" ca="1" si="7"/>
        <v>0</v>
      </c>
      <c r="L128">
        <f>MATCH(_xlfn.CONCAT($B128,H$117),변환표준점수!$C$4:$ZZ$4,0)</f>
        <v>20</v>
      </c>
      <c r="M128">
        <f>MATCH(_xlfn.CONCAT($B128,I$117),변환표준점수!$C$4:$ZZ$4,0)</f>
        <v>20</v>
      </c>
      <c r="N128">
        <f>MATCH(_xlfn.CONCAT($B128,J$117),변환표준점수!$C$4:$ZZ$4,0)</f>
        <v>19</v>
      </c>
      <c r="O128">
        <f>MATCH(_xlfn.CONCAT($B128,K$117),변환표준점수!$C$4:$ZZ$4,0)</f>
        <v>19</v>
      </c>
      <c r="Q128" s="12"/>
    </row>
    <row r="129" spans="2:17" ht="18" hidden="1" customHeight="1">
      <c r="B129" s="14">
        <v>11</v>
      </c>
      <c r="C129">
        <f t="shared" ca="1" si="0"/>
        <v>70</v>
      </c>
      <c r="D129">
        <f t="shared" ca="1" si="1"/>
        <v>70</v>
      </c>
      <c r="F129" s="14">
        <f t="shared" ca="1" si="2"/>
        <v>0</v>
      </c>
      <c r="G129" s="13">
        <f t="shared" ca="1" si="3"/>
        <v>0</v>
      </c>
      <c r="H129">
        <f t="shared" ca="1" si="4"/>
        <v>0</v>
      </c>
      <c r="I129">
        <f t="shared" ca="1" si="5"/>
        <v>0</v>
      </c>
      <c r="J129">
        <f t="shared" ca="1" si="6"/>
        <v>0</v>
      </c>
      <c r="K129" s="13">
        <f t="shared" ca="1" si="7"/>
        <v>0</v>
      </c>
      <c r="L129">
        <f>MATCH(_xlfn.CONCAT($B129,H$117),변환표준점수!$C$4:$ZZ$4,0)</f>
        <v>22</v>
      </c>
      <c r="M129">
        <f>MATCH(_xlfn.CONCAT($B129,I$117),변환표준점수!$C$4:$ZZ$4,0)</f>
        <v>22</v>
      </c>
      <c r="N129">
        <f>MATCH(_xlfn.CONCAT($B129,J$117),변환표준점수!$C$4:$ZZ$4,0)</f>
        <v>21</v>
      </c>
      <c r="O129">
        <f>MATCH(_xlfn.CONCAT($B129,K$117),변환표준점수!$C$4:$ZZ$4,0)</f>
        <v>21</v>
      </c>
      <c r="Q129" s="12"/>
    </row>
    <row r="130" spans="2:17" ht="18" hidden="1" customHeight="1">
      <c r="B130" s="14">
        <v>12</v>
      </c>
      <c r="C130">
        <f t="shared" ca="1" si="0"/>
        <v>0</v>
      </c>
      <c r="D130">
        <f t="shared" ca="1" si="1"/>
        <v>0</v>
      </c>
      <c r="F130" s="14">
        <f t="shared" ca="1" si="2"/>
        <v>0</v>
      </c>
      <c r="G130" s="13">
        <f t="shared" ca="1" si="3"/>
        <v>0</v>
      </c>
      <c r="H130">
        <f t="shared" ca="1" si="4"/>
        <v>0</v>
      </c>
      <c r="I130">
        <f t="shared" ca="1" si="5"/>
        <v>0</v>
      </c>
      <c r="J130">
        <f t="shared" ca="1" si="6"/>
        <v>0</v>
      </c>
      <c r="K130" s="13">
        <f t="shared" ca="1" si="7"/>
        <v>0</v>
      </c>
      <c r="L130">
        <f>MATCH(_xlfn.CONCAT($B130,H$117),변환표준점수!$C$4:$ZZ$4,0)</f>
        <v>24</v>
      </c>
      <c r="M130">
        <f>MATCH(_xlfn.CONCAT($B130,I$117),변환표준점수!$C$4:$ZZ$4,0)</f>
        <v>24</v>
      </c>
      <c r="N130">
        <f>MATCH(_xlfn.CONCAT($B130,J$117),변환표준점수!$C$4:$ZZ$4,0)</f>
        <v>23</v>
      </c>
      <c r="O130">
        <f>MATCH(_xlfn.CONCAT($B130,K$117),변환표준점수!$C$4:$ZZ$4,0)</f>
        <v>23</v>
      </c>
      <c r="Q130" s="12"/>
    </row>
    <row r="131" spans="2:17" ht="18" hidden="1" customHeight="1">
      <c r="B131" s="14">
        <v>13</v>
      </c>
      <c r="C131">
        <f t="shared" ca="1" si="0"/>
        <v>70</v>
      </c>
      <c r="D131">
        <f t="shared" ca="1" si="1"/>
        <v>70</v>
      </c>
      <c r="F131" s="14">
        <f t="shared" ca="1" si="2"/>
        <v>0</v>
      </c>
      <c r="G131" s="13">
        <f t="shared" ca="1" si="3"/>
        <v>0</v>
      </c>
      <c r="H131">
        <f t="shared" ca="1" si="4"/>
        <v>0</v>
      </c>
      <c r="I131">
        <f t="shared" ca="1" si="5"/>
        <v>0</v>
      </c>
      <c r="J131">
        <f t="shared" ca="1" si="6"/>
        <v>0</v>
      </c>
      <c r="K131" s="13">
        <f t="shared" ca="1" si="7"/>
        <v>0</v>
      </c>
      <c r="L131">
        <f>MATCH(_xlfn.CONCAT($B131,H$117),변환표준점수!$C$4:$ZZ$4,0)</f>
        <v>26</v>
      </c>
      <c r="M131">
        <f>MATCH(_xlfn.CONCAT($B131,I$117),변환표준점수!$C$4:$ZZ$4,0)</f>
        <v>26</v>
      </c>
      <c r="N131">
        <f>MATCH(_xlfn.CONCAT($B131,J$117),변환표준점수!$C$4:$ZZ$4,0)</f>
        <v>25</v>
      </c>
      <c r="O131">
        <f>MATCH(_xlfn.CONCAT($B131,K$117),변환표준점수!$C$4:$ZZ$4,0)</f>
        <v>25</v>
      </c>
      <c r="Q131" s="12"/>
    </row>
    <row r="132" spans="2:17" ht="18" hidden="1" customHeight="1">
      <c r="B132" s="14">
        <v>14</v>
      </c>
      <c r="C132">
        <f t="shared" ca="1" si="0"/>
        <v>0</v>
      </c>
      <c r="D132">
        <f t="shared" ca="1" si="1"/>
        <v>0</v>
      </c>
      <c r="F132" s="14">
        <f t="shared" ca="1" si="2"/>
        <v>0</v>
      </c>
      <c r="G132" s="13">
        <f t="shared" ca="1" si="3"/>
        <v>0</v>
      </c>
      <c r="H132">
        <f t="shared" ca="1" si="4"/>
        <v>0</v>
      </c>
      <c r="I132">
        <f t="shared" ca="1" si="5"/>
        <v>0</v>
      </c>
      <c r="J132">
        <f t="shared" ca="1" si="6"/>
        <v>0</v>
      </c>
      <c r="K132" s="13">
        <f t="shared" ca="1" si="7"/>
        <v>0</v>
      </c>
      <c r="L132">
        <f>MATCH(_xlfn.CONCAT($B132,H$117),변환표준점수!$C$4:$ZZ$4,0)</f>
        <v>28</v>
      </c>
      <c r="M132">
        <f>MATCH(_xlfn.CONCAT($B132,I$117),변환표준점수!$C$4:$ZZ$4,0)</f>
        <v>28</v>
      </c>
      <c r="N132">
        <f>MATCH(_xlfn.CONCAT($B132,J$117),변환표준점수!$C$4:$ZZ$4,0)</f>
        <v>27</v>
      </c>
      <c r="O132">
        <f>MATCH(_xlfn.CONCAT($B132,K$117),변환표준점수!$C$4:$ZZ$4,0)</f>
        <v>27</v>
      </c>
      <c r="Q132" s="12"/>
    </row>
    <row r="133" spans="2:17" ht="18" hidden="1" customHeight="1">
      <c r="B133" s="14">
        <v>15</v>
      </c>
      <c r="C133">
        <f t="shared" ca="1" si="0"/>
        <v>70</v>
      </c>
      <c r="D133">
        <f t="shared" ca="1" si="1"/>
        <v>70</v>
      </c>
      <c r="F133" s="14">
        <f t="shared" ca="1" si="2"/>
        <v>0</v>
      </c>
      <c r="G133" s="13">
        <f t="shared" ca="1" si="3"/>
        <v>0</v>
      </c>
      <c r="H133">
        <f t="shared" ca="1" si="4"/>
        <v>0</v>
      </c>
      <c r="I133">
        <f t="shared" ca="1" si="5"/>
        <v>0</v>
      </c>
      <c r="J133">
        <f t="shared" ca="1" si="6"/>
        <v>0</v>
      </c>
      <c r="K133" s="13">
        <f t="shared" ca="1" si="7"/>
        <v>0</v>
      </c>
      <c r="L133">
        <f>MATCH(_xlfn.CONCAT($B133,H$117),변환표준점수!$C$4:$ZZ$4,0)</f>
        <v>30</v>
      </c>
      <c r="M133">
        <f>MATCH(_xlfn.CONCAT($B133,I$117),변환표준점수!$C$4:$ZZ$4,0)</f>
        <v>30</v>
      </c>
      <c r="N133">
        <f>MATCH(_xlfn.CONCAT($B133,J$117),변환표준점수!$C$4:$ZZ$4,0)</f>
        <v>29</v>
      </c>
      <c r="O133">
        <f>MATCH(_xlfn.CONCAT($B133,K$117),변환표준점수!$C$4:$ZZ$4,0)</f>
        <v>29</v>
      </c>
      <c r="Q133" s="12"/>
    </row>
    <row r="134" spans="2:17" ht="18" hidden="1" customHeight="1">
      <c r="B134" s="14">
        <v>16</v>
      </c>
      <c r="C134">
        <f t="shared" ca="1" si="0"/>
        <v>0</v>
      </c>
      <c r="D134">
        <f t="shared" ca="1" si="1"/>
        <v>0</v>
      </c>
      <c r="F134" s="14">
        <f t="shared" ca="1" si="2"/>
        <v>0</v>
      </c>
      <c r="G134" s="13">
        <f t="shared" ca="1" si="3"/>
        <v>0</v>
      </c>
      <c r="H134">
        <f t="shared" ca="1" si="4"/>
        <v>0</v>
      </c>
      <c r="I134">
        <f t="shared" ca="1" si="5"/>
        <v>0</v>
      </c>
      <c r="J134">
        <f t="shared" ca="1" si="6"/>
        <v>0</v>
      </c>
      <c r="K134" s="13">
        <f t="shared" ca="1" si="7"/>
        <v>0</v>
      </c>
      <c r="L134">
        <f>MATCH(_xlfn.CONCAT($B134,H$117),변환표준점수!$C$4:$ZZ$4,0)</f>
        <v>32</v>
      </c>
      <c r="M134">
        <f>MATCH(_xlfn.CONCAT($B134,I$117),변환표준점수!$C$4:$ZZ$4,0)</f>
        <v>32</v>
      </c>
      <c r="N134">
        <f>MATCH(_xlfn.CONCAT($B134,J$117),변환표준점수!$C$4:$ZZ$4,0)</f>
        <v>31</v>
      </c>
      <c r="O134">
        <f>MATCH(_xlfn.CONCAT($B134,K$117),변환표준점수!$C$4:$ZZ$4,0)</f>
        <v>31</v>
      </c>
      <c r="Q134" s="12"/>
    </row>
    <row r="135" spans="2:17" ht="18" hidden="1" customHeight="1">
      <c r="B135" s="14">
        <v>17</v>
      </c>
      <c r="C135">
        <f t="shared" ca="1" si="0"/>
        <v>70.13</v>
      </c>
      <c r="D135">
        <f t="shared" ca="1" si="1"/>
        <v>69.89</v>
      </c>
      <c r="F135" s="14">
        <f t="shared" ca="1" si="2"/>
        <v>0</v>
      </c>
      <c r="G135" s="13">
        <f t="shared" ca="1" si="3"/>
        <v>0</v>
      </c>
      <c r="H135">
        <f t="shared" ca="1" si="4"/>
        <v>0</v>
      </c>
      <c r="I135">
        <f t="shared" ca="1" si="5"/>
        <v>0</v>
      </c>
      <c r="J135">
        <f t="shared" ca="1" si="6"/>
        <v>0</v>
      </c>
      <c r="K135" s="13">
        <f t="shared" ca="1" si="7"/>
        <v>0</v>
      </c>
      <c r="L135">
        <f>MATCH(_xlfn.CONCAT($B135,H$117),변환표준점수!$C$4:$ZZ$4,0)</f>
        <v>34</v>
      </c>
      <c r="M135">
        <f>MATCH(_xlfn.CONCAT($B135,I$117),변환표준점수!$C$4:$ZZ$4,0)</f>
        <v>34</v>
      </c>
      <c r="N135">
        <f>MATCH(_xlfn.CONCAT($B135,J$117),변환표준점수!$C$4:$ZZ$4,0)</f>
        <v>33</v>
      </c>
      <c r="O135">
        <f>MATCH(_xlfn.CONCAT($B135,K$117),변환표준점수!$C$4:$ZZ$4,0)</f>
        <v>33</v>
      </c>
      <c r="Q135" s="12"/>
    </row>
    <row r="136" spans="2:17" ht="18" hidden="1" customHeight="1">
      <c r="B136" s="14">
        <v>18</v>
      </c>
      <c r="C136">
        <f t="shared" ca="1" si="0"/>
        <v>0</v>
      </c>
      <c r="D136">
        <f t="shared" ca="1" si="1"/>
        <v>0</v>
      </c>
      <c r="F136" s="14">
        <f t="shared" ca="1" si="2"/>
        <v>0</v>
      </c>
      <c r="G136" s="13">
        <f t="shared" ca="1" si="3"/>
        <v>0</v>
      </c>
      <c r="H136">
        <f t="shared" ca="1" si="4"/>
        <v>0</v>
      </c>
      <c r="I136">
        <f t="shared" ca="1" si="5"/>
        <v>0</v>
      </c>
      <c r="J136">
        <f t="shared" ca="1" si="6"/>
        <v>0</v>
      </c>
      <c r="K136" s="13">
        <f t="shared" ca="1" si="7"/>
        <v>0</v>
      </c>
      <c r="L136">
        <f>MATCH(_xlfn.CONCAT($B136,H$117),변환표준점수!$C$4:$ZZ$4,0)</f>
        <v>36</v>
      </c>
      <c r="M136">
        <f>MATCH(_xlfn.CONCAT($B136,I$117),변환표준점수!$C$4:$ZZ$4,0)</f>
        <v>36</v>
      </c>
      <c r="N136">
        <f>MATCH(_xlfn.CONCAT($B136,J$117),변환표준점수!$C$4:$ZZ$4,0)</f>
        <v>35</v>
      </c>
      <c r="O136">
        <f>MATCH(_xlfn.CONCAT($B136,K$117),변환표준점수!$C$4:$ZZ$4,0)</f>
        <v>35</v>
      </c>
      <c r="Q136" s="12"/>
    </row>
    <row r="137" spans="2:17" ht="18" hidden="1" customHeight="1">
      <c r="B137" s="14">
        <v>19</v>
      </c>
      <c r="C137">
        <f t="shared" ca="1" si="0"/>
        <v>70</v>
      </c>
      <c r="D137">
        <f t="shared" ca="1" si="1"/>
        <v>70</v>
      </c>
      <c r="F137" s="14">
        <f t="shared" ca="1" si="2"/>
        <v>0</v>
      </c>
      <c r="G137" s="13">
        <f t="shared" ca="1" si="3"/>
        <v>0</v>
      </c>
      <c r="H137">
        <f t="shared" ca="1" si="4"/>
        <v>0</v>
      </c>
      <c r="I137">
        <f t="shared" ca="1" si="5"/>
        <v>0</v>
      </c>
      <c r="J137">
        <f t="shared" ca="1" si="6"/>
        <v>0</v>
      </c>
      <c r="K137" s="13">
        <f t="shared" ca="1" si="7"/>
        <v>0</v>
      </c>
      <c r="L137">
        <f>MATCH(_xlfn.CONCAT($B137,H$117),변환표준점수!$C$4:$ZZ$4,0)</f>
        <v>38</v>
      </c>
      <c r="M137">
        <f>MATCH(_xlfn.CONCAT($B137,I$117),변환표준점수!$C$4:$ZZ$4,0)</f>
        <v>38</v>
      </c>
      <c r="N137">
        <f>MATCH(_xlfn.CONCAT($B137,J$117),변환표준점수!$C$4:$ZZ$4,0)</f>
        <v>37</v>
      </c>
      <c r="O137">
        <f>MATCH(_xlfn.CONCAT($B137,K$117),변환표준점수!$C$4:$ZZ$4,0)</f>
        <v>37</v>
      </c>
      <c r="Q137" s="12"/>
    </row>
    <row r="138" spans="2:17" ht="18" hidden="1" customHeight="1">
      <c r="B138" s="14">
        <v>20</v>
      </c>
      <c r="C138">
        <f t="shared" ca="1" si="0"/>
        <v>0</v>
      </c>
      <c r="D138">
        <f t="shared" ca="1" si="1"/>
        <v>0</v>
      </c>
      <c r="F138" s="14">
        <f t="shared" ca="1" si="2"/>
        <v>0</v>
      </c>
      <c r="G138" s="13">
        <f t="shared" ca="1" si="3"/>
        <v>0</v>
      </c>
      <c r="H138">
        <f t="shared" ca="1" si="4"/>
        <v>0</v>
      </c>
      <c r="I138">
        <f t="shared" ca="1" si="5"/>
        <v>0</v>
      </c>
      <c r="J138">
        <f t="shared" ca="1" si="6"/>
        <v>0</v>
      </c>
      <c r="K138" s="13">
        <f t="shared" ca="1" si="7"/>
        <v>0</v>
      </c>
      <c r="L138">
        <f>MATCH(_xlfn.CONCAT($B138,H$117),변환표준점수!$C$4:$ZZ$4,0)</f>
        <v>40</v>
      </c>
      <c r="M138">
        <f>MATCH(_xlfn.CONCAT($B138,I$117),변환표준점수!$C$4:$ZZ$4,0)</f>
        <v>40</v>
      </c>
      <c r="N138">
        <f>MATCH(_xlfn.CONCAT($B138,J$117),변환표준점수!$C$4:$ZZ$4,0)</f>
        <v>39</v>
      </c>
      <c r="O138">
        <f>MATCH(_xlfn.CONCAT($B138,K$117),변환표준점수!$C$4:$ZZ$4,0)</f>
        <v>39</v>
      </c>
      <c r="Q138" s="12"/>
    </row>
    <row r="139" spans="2:17" ht="18" hidden="1" customHeight="1">
      <c r="B139" s="14">
        <v>21</v>
      </c>
      <c r="C139">
        <f t="shared" ca="1" si="0"/>
        <v>70</v>
      </c>
      <c r="D139">
        <f t="shared" ca="1" si="1"/>
        <v>70</v>
      </c>
      <c r="F139" s="14">
        <f t="shared" ca="1" si="2"/>
        <v>0</v>
      </c>
      <c r="G139" s="13">
        <f t="shared" ca="1" si="3"/>
        <v>0</v>
      </c>
      <c r="H139">
        <f t="shared" ca="1" si="4"/>
        <v>0</v>
      </c>
      <c r="I139">
        <f t="shared" ca="1" si="5"/>
        <v>0</v>
      </c>
      <c r="J139">
        <f t="shared" ca="1" si="6"/>
        <v>0</v>
      </c>
      <c r="K139" s="13">
        <f t="shared" ca="1" si="7"/>
        <v>0</v>
      </c>
      <c r="L139">
        <f>MATCH(_xlfn.CONCAT($B139,H$117),변환표준점수!$C$4:$ZZ$4,0)</f>
        <v>42</v>
      </c>
      <c r="M139">
        <f>MATCH(_xlfn.CONCAT($B139,I$117),변환표준점수!$C$4:$ZZ$4,0)</f>
        <v>42</v>
      </c>
      <c r="N139">
        <f>MATCH(_xlfn.CONCAT($B139,J$117),변환표준점수!$C$4:$ZZ$4,0)</f>
        <v>41</v>
      </c>
      <c r="O139">
        <f>MATCH(_xlfn.CONCAT($B139,K$117),변환표준점수!$C$4:$ZZ$4,0)</f>
        <v>41</v>
      </c>
      <c r="Q139" s="12"/>
    </row>
    <row r="140" spans="2:17" ht="18" hidden="1" customHeight="1">
      <c r="B140" s="14">
        <v>22</v>
      </c>
      <c r="C140">
        <f t="shared" ca="1" si="0"/>
        <v>0</v>
      </c>
      <c r="D140">
        <f t="shared" ca="1" si="1"/>
        <v>0</v>
      </c>
      <c r="F140" s="14">
        <f t="shared" ca="1" si="2"/>
        <v>0</v>
      </c>
      <c r="G140" s="13">
        <f t="shared" ca="1" si="3"/>
        <v>0</v>
      </c>
      <c r="H140">
        <f t="shared" ca="1" si="4"/>
        <v>0</v>
      </c>
      <c r="I140">
        <f t="shared" ca="1" si="5"/>
        <v>0</v>
      </c>
      <c r="J140">
        <f t="shared" ca="1" si="6"/>
        <v>0</v>
      </c>
      <c r="K140" s="13">
        <f t="shared" ca="1" si="7"/>
        <v>0</v>
      </c>
      <c r="L140">
        <f>MATCH(_xlfn.CONCAT($B140,H$117),변환표준점수!$C$4:$ZZ$4,0)</f>
        <v>44</v>
      </c>
      <c r="M140">
        <f>MATCH(_xlfn.CONCAT($B140,I$117),변환표준점수!$C$4:$ZZ$4,0)</f>
        <v>44</v>
      </c>
      <c r="N140">
        <f>MATCH(_xlfn.CONCAT($B140,J$117),변환표준점수!$C$4:$ZZ$4,0)</f>
        <v>43</v>
      </c>
      <c r="O140">
        <f>MATCH(_xlfn.CONCAT($B140,K$117),변환표준점수!$C$4:$ZZ$4,0)</f>
        <v>43</v>
      </c>
      <c r="Q140" s="12"/>
    </row>
    <row r="141" spans="2:17" ht="18" hidden="1" customHeight="1">
      <c r="B141" s="14">
        <v>23</v>
      </c>
      <c r="C141">
        <f t="shared" ca="1" si="0"/>
        <v>70</v>
      </c>
      <c r="D141">
        <f t="shared" ca="1" si="1"/>
        <v>70</v>
      </c>
      <c r="F141" s="14">
        <f t="shared" ca="1" si="2"/>
        <v>0</v>
      </c>
      <c r="G141" s="13">
        <f t="shared" ca="1" si="3"/>
        <v>0</v>
      </c>
      <c r="H141">
        <f t="shared" ca="1" si="4"/>
        <v>0</v>
      </c>
      <c r="I141">
        <f t="shared" ca="1" si="5"/>
        <v>0</v>
      </c>
      <c r="J141">
        <f t="shared" ca="1" si="6"/>
        <v>0</v>
      </c>
      <c r="K141" s="13">
        <f t="shared" ca="1" si="7"/>
        <v>0</v>
      </c>
      <c r="L141">
        <f>MATCH(_xlfn.CONCAT($B141,H$117),변환표준점수!$C$4:$ZZ$4,0)</f>
        <v>46</v>
      </c>
      <c r="M141">
        <f>MATCH(_xlfn.CONCAT($B141,I$117),변환표준점수!$C$4:$ZZ$4,0)</f>
        <v>46</v>
      </c>
      <c r="N141">
        <f>MATCH(_xlfn.CONCAT($B141,J$117),변환표준점수!$C$4:$ZZ$4,0)</f>
        <v>45</v>
      </c>
      <c r="O141">
        <f>MATCH(_xlfn.CONCAT($B141,K$117),변환표준점수!$C$4:$ZZ$4,0)</f>
        <v>45</v>
      </c>
      <c r="Q141" s="12"/>
    </row>
    <row r="142" spans="2:17" ht="18" hidden="1" customHeight="1">
      <c r="B142" s="14">
        <v>24</v>
      </c>
      <c r="C142">
        <f t="shared" ca="1" si="0"/>
        <v>0</v>
      </c>
      <c r="D142">
        <f t="shared" ca="1" si="1"/>
        <v>0</v>
      </c>
      <c r="F142" s="14">
        <f t="shared" ca="1" si="2"/>
        <v>0</v>
      </c>
      <c r="G142" s="13">
        <f t="shared" ca="1" si="3"/>
        <v>0</v>
      </c>
      <c r="H142">
        <f t="shared" ca="1" si="4"/>
        <v>0</v>
      </c>
      <c r="I142">
        <f t="shared" ca="1" si="5"/>
        <v>0</v>
      </c>
      <c r="J142">
        <f t="shared" ca="1" si="6"/>
        <v>0</v>
      </c>
      <c r="K142" s="13">
        <f t="shared" ca="1" si="7"/>
        <v>0</v>
      </c>
      <c r="L142">
        <f>MATCH(_xlfn.CONCAT($B142,H$117),변환표준점수!$C$4:$ZZ$4,0)</f>
        <v>48</v>
      </c>
      <c r="M142">
        <f>MATCH(_xlfn.CONCAT($B142,I$117),변환표준점수!$C$4:$ZZ$4,0)</f>
        <v>48</v>
      </c>
      <c r="N142">
        <f>MATCH(_xlfn.CONCAT($B142,J$117),변환표준점수!$C$4:$ZZ$4,0)</f>
        <v>47</v>
      </c>
      <c r="O142">
        <f>MATCH(_xlfn.CONCAT($B142,K$117),변환표준점수!$C$4:$ZZ$4,0)</f>
        <v>47</v>
      </c>
      <c r="Q142" s="12"/>
    </row>
    <row r="143" spans="2:17" ht="18" hidden="1" customHeight="1">
      <c r="B143" s="14">
        <v>25</v>
      </c>
      <c r="C143">
        <f t="shared" ca="1" si="0"/>
        <v>70</v>
      </c>
      <c r="D143">
        <f t="shared" ca="1" si="1"/>
        <v>70</v>
      </c>
      <c r="F143" s="14">
        <f t="shared" ca="1" si="2"/>
        <v>0</v>
      </c>
      <c r="G143" s="13">
        <f t="shared" ca="1" si="3"/>
        <v>0</v>
      </c>
      <c r="H143">
        <f t="shared" ca="1" si="4"/>
        <v>0</v>
      </c>
      <c r="I143">
        <f t="shared" ca="1" si="5"/>
        <v>0</v>
      </c>
      <c r="J143">
        <f t="shared" ca="1" si="6"/>
        <v>0</v>
      </c>
      <c r="K143" s="13">
        <f t="shared" ca="1" si="7"/>
        <v>0</v>
      </c>
      <c r="L143">
        <f>MATCH(_xlfn.CONCAT($B143,H$117),변환표준점수!$C$4:$ZZ$4,0)</f>
        <v>50</v>
      </c>
      <c r="M143">
        <f>MATCH(_xlfn.CONCAT($B143,I$117),변환표준점수!$C$4:$ZZ$4,0)</f>
        <v>50</v>
      </c>
      <c r="N143">
        <f>MATCH(_xlfn.CONCAT($B143,J$117),변환표준점수!$C$4:$ZZ$4,0)</f>
        <v>49</v>
      </c>
      <c r="O143">
        <f>MATCH(_xlfn.CONCAT($B143,K$117),변환표준점수!$C$4:$ZZ$4,0)</f>
        <v>49</v>
      </c>
      <c r="Q143" s="12"/>
    </row>
    <row r="144" spans="2:17" ht="18" hidden="1" customHeight="1">
      <c r="B144" s="14">
        <v>26</v>
      </c>
      <c r="C144">
        <f t="shared" ca="1" si="0"/>
        <v>0</v>
      </c>
      <c r="D144">
        <f t="shared" ca="1" si="1"/>
        <v>0</v>
      </c>
      <c r="F144" s="14">
        <f t="shared" ca="1" si="2"/>
        <v>0</v>
      </c>
      <c r="G144" s="13">
        <f t="shared" ca="1" si="3"/>
        <v>0</v>
      </c>
      <c r="H144">
        <f t="shared" ca="1" si="4"/>
        <v>0</v>
      </c>
      <c r="I144">
        <f t="shared" ca="1" si="5"/>
        <v>0</v>
      </c>
      <c r="J144">
        <f t="shared" ca="1" si="6"/>
        <v>0</v>
      </c>
      <c r="K144" s="13">
        <f t="shared" ca="1" si="7"/>
        <v>0</v>
      </c>
      <c r="L144">
        <f>MATCH(_xlfn.CONCAT($B144,H$117),변환표준점수!$C$4:$ZZ$4,0)</f>
        <v>52</v>
      </c>
      <c r="M144">
        <f>MATCH(_xlfn.CONCAT($B144,I$117),변환표준점수!$C$4:$ZZ$4,0)</f>
        <v>52</v>
      </c>
      <c r="N144">
        <f>MATCH(_xlfn.CONCAT($B144,J$117),변환표준점수!$C$4:$ZZ$4,0)</f>
        <v>51</v>
      </c>
      <c r="O144">
        <f>MATCH(_xlfn.CONCAT($B144,K$117),변환표준점수!$C$4:$ZZ$4,0)</f>
        <v>51</v>
      </c>
      <c r="Q144" s="12"/>
    </row>
    <row r="145" spans="2:17" ht="18" hidden="1" customHeight="1">
      <c r="B145" s="14">
        <v>27</v>
      </c>
      <c r="C145">
        <f t="shared" ca="1" si="0"/>
        <v>70.12</v>
      </c>
      <c r="D145">
        <f t="shared" ca="1" si="1"/>
        <v>70.12</v>
      </c>
      <c r="F145" s="14">
        <f t="shared" ca="1" si="2"/>
        <v>0</v>
      </c>
      <c r="G145" s="13">
        <f t="shared" ca="1" si="3"/>
        <v>0</v>
      </c>
      <c r="H145">
        <f t="shared" ca="1" si="4"/>
        <v>0</v>
      </c>
      <c r="I145">
        <f t="shared" ca="1" si="5"/>
        <v>0</v>
      </c>
      <c r="J145">
        <f t="shared" ca="1" si="6"/>
        <v>0</v>
      </c>
      <c r="K145" s="13">
        <f t="shared" ca="1" si="7"/>
        <v>0</v>
      </c>
      <c r="L145">
        <f>MATCH(_xlfn.CONCAT($B145,H$117),변환표준점수!$C$4:$ZZ$4,0)</f>
        <v>54</v>
      </c>
      <c r="M145">
        <f>MATCH(_xlfn.CONCAT($B145,I$117),변환표준점수!$C$4:$ZZ$4,0)</f>
        <v>54</v>
      </c>
      <c r="N145">
        <f>MATCH(_xlfn.CONCAT($B145,J$117),변환표준점수!$C$4:$ZZ$4,0)</f>
        <v>53</v>
      </c>
      <c r="O145">
        <f>MATCH(_xlfn.CONCAT($B145,K$117),변환표준점수!$C$4:$ZZ$4,0)</f>
        <v>53</v>
      </c>
      <c r="Q145" s="12"/>
    </row>
    <row r="146" spans="2:17" ht="18" hidden="1" customHeight="1">
      <c r="B146" s="14">
        <v>28</v>
      </c>
      <c r="C146">
        <f t="shared" ca="1" si="0"/>
        <v>0</v>
      </c>
      <c r="D146">
        <f t="shared" ca="1" si="1"/>
        <v>0</v>
      </c>
      <c r="F146" s="14">
        <f t="shared" ca="1" si="2"/>
        <v>0</v>
      </c>
      <c r="G146" s="13">
        <f t="shared" ca="1" si="3"/>
        <v>0</v>
      </c>
      <c r="H146">
        <f t="shared" ca="1" si="4"/>
        <v>0</v>
      </c>
      <c r="I146">
        <f t="shared" ca="1" si="5"/>
        <v>0</v>
      </c>
      <c r="J146">
        <f t="shared" ca="1" si="6"/>
        <v>0</v>
      </c>
      <c r="K146" s="13">
        <f t="shared" ca="1" si="7"/>
        <v>0</v>
      </c>
      <c r="L146">
        <f>MATCH(_xlfn.CONCAT($B146,H$117),변환표준점수!$C$4:$ZZ$4,0)</f>
        <v>56</v>
      </c>
      <c r="M146">
        <f>MATCH(_xlfn.CONCAT($B146,I$117),변환표준점수!$C$4:$ZZ$4,0)</f>
        <v>56</v>
      </c>
      <c r="N146">
        <f>MATCH(_xlfn.CONCAT($B146,J$117),변환표준점수!$C$4:$ZZ$4,0)</f>
        <v>55</v>
      </c>
      <c r="O146">
        <f>MATCH(_xlfn.CONCAT($B146,K$117),변환표준점수!$C$4:$ZZ$4,0)</f>
        <v>55</v>
      </c>
      <c r="Q146" s="12"/>
    </row>
    <row r="147" spans="2:17" ht="18" hidden="1" customHeight="1">
      <c r="B147" s="14">
        <v>29</v>
      </c>
      <c r="C147">
        <f t="shared" ca="1" si="0"/>
        <v>70.13</v>
      </c>
      <c r="D147">
        <f t="shared" ca="1" si="1"/>
        <v>69.89</v>
      </c>
      <c r="F147" s="14">
        <f t="shared" ca="1" si="2"/>
        <v>0</v>
      </c>
      <c r="G147" s="13">
        <f t="shared" ca="1" si="3"/>
        <v>0</v>
      </c>
      <c r="H147">
        <f t="shared" ca="1" si="4"/>
        <v>0</v>
      </c>
      <c r="I147">
        <f t="shared" ca="1" si="5"/>
        <v>0</v>
      </c>
      <c r="J147">
        <f t="shared" ca="1" si="6"/>
        <v>0</v>
      </c>
      <c r="K147" s="13">
        <f t="shared" ca="1" si="7"/>
        <v>0</v>
      </c>
      <c r="L147">
        <f>MATCH(_xlfn.CONCAT($B147,H$117),변환표준점수!$C$4:$ZZ$4,0)</f>
        <v>58</v>
      </c>
      <c r="M147">
        <f>MATCH(_xlfn.CONCAT($B147,I$117),변환표준점수!$C$4:$ZZ$4,0)</f>
        <v>58</v>
      </c>
      <c r="N147">
        <f>MATCH(_xlfn.CONCAT($B147,J$117),변환표준점수!$C$4:$ZZ$4,0)</f>
        <v>57</v>
      </c>
      <c r="O147">
        <f>MATCH(_xlfn.CONCAT($B147,K$117),변환표준점수!$C$4:$ZZ$4,0)</f>
        <v>57</v>
      </c>
      <c r="Q147" s="12"/>
    </row>
    <row r="148" spans="2:17" ht="18" hidden="1" customHeight="1">
      <c r="B148" s="14">
        <v>30</v>
      </c>
      <c r="C148">
        <f t="shared" ca="1" si="0"/>
        <v>0</v>
      </c>
      <c r="D148">
        <f t="shared" ca="1" si="1"/>
        <v>0</v>
      </c>
      <c r="F148" s="14">
        <f t="shared" ca="1" si="2"/>
        <v>0</v>
      </c>
      <c r="G148" s="13">
        <f t="shared" ca="1" si="3"/>
        <v>0</v>
      </c>
      <c r="H148">
        <f t="shared" ca="1" si="4"/>
        <v>0</v>
      </c>
      <c r="I148">
        <f t="shared" ca="1" si="5"/>
        <v>0</v>
      </c>
      <c r="J148">
        <f t="shared" ca="1" si="6"/>
        <v>0</v>
      </c>
      <c r="K148" s="13">
        <f t="shared" ca="1" si="7"/>
        <v>0</v>
      </c>
      <c r="L148">
        <f>MATCH(_xlfn.CONCAT($B148,H$117),변환표준점수!$C$4:$ZZ$4,0)</f>
        <v>60</v>
      </c>
      <c r="M148">
        <f>MATCH(_xlfn.CONCAT($B148,I$117),변환표준점수!$C$4:$ZZ$4,0)</f>
        <v>60</v>
      </c>
      <c r="N148">
        <f>MATCH(_xlfn.CONCAT($B148,J$117),변환표준점수!$C$4:$ZZ$4,0)</f>
        <v>59</v>
      </c>
      <c r="O148">
        <f>MATCH(_xlfn.CONCAT($B148,K$117),변환표준점수!$C$4:$ZZ$4,0)</f>
        <v>59</v>
      </c>
      <c r="Q148" s="12"/>
    </row>
    <row r="149" spans="2:17" ht="18" hidden="1" customHeight="1">
      <c r="B149" s="14">
        <v>31</v>
      </c>
      <c r="C149">
        <f t="shared" ca="1" si="0"/>
        <v>70</v>
      </c>
      <c r="D149">
        <f t="shared" ca="1" si="1"/>
        <v>70</v>
      </c>
      <c r="F149" s="14">
        <f t="shared" ca="1" si="2"/>
        <v>0</v>
      </c>
      <c r="G149" s="13">
        <f t="shared" ca="1" si="3"/>
        <v>0</v>
      </c>
      <c r="H149">
        <f t="shared" ca="1" si="4"/>
        <v>0</v>
      </c>
      <c r="I149">
        <f t="shared" ca="1" si="5"/>
        <v>0</v>
      </c>
      <c r="J149">
        <f t="shared" ca="1" si="6"/>
        <v>0</v>
      </c>
      <c r="K149" s="13">
        <f t="shared" ca="1" si="7"/>
        <v>0</v>
      </c>
      <c r="L149">
        <f>MATCH(_xlfn.CONCAT($B149,H$117),변환표준점수!$C$4:$ZZ$4,0)</f>
        <v>62</v>
      </c>
      <c r="M149">
        <f>MATCH(_xlfn.CONCAT($B149,I$117),변환표준점수!$C$4:$ZZ$4,0)</f>
        <v>62</v>
      </c>
      <c r="N149">
        <f>MATCH(_xlfn.CONCAT($B149,J$117),변환표준점수!$C$4:$ZZ$4,0)</f>
        <v>61</v>
      </c>
      <c r="O149">
        <f>MATCH(_xlfn.CONCAT($B149,K$117),변환표준점수!$C$4:$ZZ$4,0)</f>
        <v>61</v>
      </c>
      <c r="Q149" s="12"/>
    </row>
    <row r="150" spans="2:17" ht="18" hidden="1" customHeight="1">
      <c r="B150" s="14">
        <v>32</v>
      </c>
      <c r="C150">
        <f t="shared" ca="1" si="0"/>
        <v>0</v>
      </c>
      <c r="D150">
        <f t="shared" ca="1" si="1"/>
        <v>0</v>
      </c>
      <c r="F150" s="14">
        <f t="shared" ca="1" si="2"/>
        <v>0</v>
      </c>
      <c r="G150" s="13">
        <f t="shared" ca="1" si="3"/>
        <v>0</v>
      </c>
      <c r="H150">
        <f t="shared" ca="1" si="4"/>
        <v>0</v>
      </c>
      <c r="I150">
        <f t="shared" ca="1" si="5"/>
        <v>0</v>
      </c>
      <c r="J150">
        <f t="shared" ca="1" si="6"/>
        <v>0</v>
      </c>
      <c r="K150" s="13">
        <f t="shared" ca="1" si="7"/>
        <v>0</v>
      </c>
      <c r="L150">
        <f>MATCH(_xlfn.CONCAT($B150,H$117),변환표준점수!$C$4:$ZZ$4,0)</f>
        <v>64</v>
      </c>
      <c r="M150">
        <f>MATCH(_xlfn.CONCAT($B150,I$117),변환표준점수!$C$4:$ZZ$4,0)</f>
        <v>64</v>
      </c>
      <c r="N150">
        <f>MATCH(_xlfn.CONCAT($B150,J$117),변환표준점수!$C$4:$ZZ$4,0)</f>
        <v>63</v>
      </c>
      <c r="O150">
        <f>MATCH(_xlfn.CONCAT($B150,K$117),변환표준점수!$C$4:$ZZ$4,0)</f>
        <v>63</v>
      </c>
      <c r="Q150" s="12"/>
    </row>
    <row r="151" spans="2:17" ht="18" hidden="1" customHeight="1">
      <c r="B151" s="14">
        <v>33</v>
      </c>
      <c r="C151">
        <f t="shared" ref="C151:C182" ca="1" si="8">OFFSET($C$5,0,M151-1,1,1)+0</f>
        <v>70.13</v>
      </c>
      <c r="D151">
        <f t="shared" ref="D151:D182" ca="1" si="9">OFFSET($C$5,0,N151-1,1,1)+0</f>
        <v>70.13</v>
      </c>
      <c r="F151" s="14">
        <f t="shared" ref="F151:F182" ca="1" si="10">LARGE(H151:K151,1)</f>
        <v>0</v>
      </c>
      <c r="G151" s="13">
        <f t="shared" ref="G151:G182" ca="1" si="11">LARGE(H151:K151,2)</f>
        <v>0</v>
      </c>
      <c r="H151">
        <f t="shared" ref="H151:H182" ca="1" si="12">IFERROR(OFFSET($C$5,H$113-1,L151-1)+0,0)</f>
        <v>0</v>
      </c>
      <c r="I151">
        <f t="shared" ref="I151:I182" ca="1" si="13">IFERROR(OFFSET($C$5,I$113-1,M151-1)+0,0)</f>
        <v>0</v>
      </c>
      <c r="J151">
        <f t="shared" ref="J151:J182" ca="1" si="14">IFERROR(OFFSET($C$5,J$113-1,N151-1)+0,0)</f>
        <v>0</v>
      </c>
      <c r="K151" s="13">
        <f t="shared" ref="K151:K182" ca="1" si="15">IFERROR(OFFSET($C$5,K$113-1,O151-1)+0,0)</f>
        <v>0</v>
      </c>
      <c r="L151">
        <f>MATCH(_xlfn.CONCAT($B151,H$117),변환표준점수!$C$4:$ZZ$4,0)</f>
        <v>66</v>
      </c>
      <c r="M151">
        <f>MATCH(_xlfn.CONCAT($B151,I$117),변환표준점수!$C$4:$ZZ$4,0)</f>
        <v>66</v>
      </c>
      <c r="N151">
        <f>MATCH(_xlfn.CONCAT($B151,J$117),변환표준점수!$C$4:$ZZ$4,0)</f>
        <v>65</v>
      </c>
      <c r="O151">
        <f>MATCH(_xlfn.CONCAT($B151,K$117),변환표준점수!$C$4:$ZZ$4,0)</f>
        <v>65</v>
      </c>
      <c r="Q151" s="12"/>
    </row>
    <row r="152" spans="2:17" ht="18" hidden="1" customHeight="1">
      <c r="B152" s="14">
        <v>34</v>
      </c>
      <c r="C152">
        <f t="shared" ca="1" si="8"/>
        <v>70</v>
      </c>
      <c r="D152">
        <f t="shared" ca="1" si="9"/>
        <v>70</v>
      </c>
      <c r="F152" s="14">
        <f t="shared" ca="1" si="10"/>
        <v>0</v>
      </c>
      <c r="G152" s="13">
        <f t="shared" ca="1" si="11"/>
        <v>0</v>
      </c>
      <c r="H152">
        <f t="shared" ca="1" si="12"/>
        <v>0</v>
      </c>
      <c r="I152">
        <f t="shared" ca="1" si="13"/>
        <v>0</v>
      </c>
      <c r="J152">
        <f t="shared" ca="1" si="14"/>
        <v>0</v>
      </c>
      <c r="K152" s="13">
        <f t="shared" ca="1" si="15"/>
        <v>0</v>
      </c>
      <c r="L152">
        <f>MATCH(_xlfn.CONCAT($B152,H$117),변환표준점수!$C$4:$ZZ$4,0)</f>
        <v>68</v>
      </c>
      <c r="M152">
        <f>MATCH(_xlfn.CONCAT($B152,I$117),변환표준점수!$C$4:$ZZ$4,0)</f>
        <v>68</v>
      </c>
      <c r="N152">
        <f>MATCH(_xlfn.CONCAT($B152,J$117),변환표준점수!$C$4:$ZZ$4,0)</f>
        <v>67</v>
      </c>
      <c r="O152">
        <f>MATCH(_xlfn.CONCAT($B152,K$117),변환표준점수!$C$4:$ZZ$4,0)</f>
        <v>67</v>
      </c>
      <c r="Q152" s="12"/>
    </row>
    <row r="153" spans="2:17" ht="18" hidden="1" customHeight="1">
      <c r="B153" s="14">
        <v>35</v>
      </c>
      <c r="C153">
        <f t="shared" ca="1" si="8"/>
        <v>0</v>
      </c>
      <c r="D153">
        <f t="shared" ca="1" si="9"/>
        <v>0</v>
      </c>
      <c r="F153" s="14">
        <f t="shared" ca="1" si="10"/>
        <v>0</v>
      </c>
      <c r="G153" s="13">
        <f t="shared" ca="1" si="11"/>
        <v>0</v>
      </c>
      <c r="H153">
        <f t="shared" ca="1" si="12"/>
        <v>0</v>
      </c>
      <c r="I153">
        <f t="shared" ca="1" si="13"/>
        <v>0</v>
      </c>
      <c r="J153">
        <f t="shared" ca="1" si="14"/>
        <v>0</v>
      </c>
      <c r="K153" s="13">
        <f t="shared" ca="1" si="15"/>
        <v>0</v>
      </c>
      <c r="L153">
        <f>MATCH(_xlfn.CONCAT($B153,H$117),변환표준점수!$C$4:$ZZ$4,0)</f>
        <v>70</v>
      </c>
      <c r="M153">
        <f>MATCH(_xlfn.CONCAT($B153,I$117),변환표준점수!$C$4:$ZZ$4,0)</f>
        <v>70</v>
      </c>
      <c r="N153">
        <f>MATCH(_xlfn.CONCAT($B153,J$117),변환표준점수!$C$4:$ZZ$4,0)</f>
        <v>69</v>
      </c>
      <c r="O153">
        <f>MATCH(_xlfn.CONCAT($B153,K$117),변환표준점수!$C$4:$ZZ$4,0)</f>
        <v>69</v>
      </c>
      <c r="Q153" s="12"/>
    </row>
    <row r="154" spans="2:17" ht="18" hidden="1" customHeight="1">
      <c r="B154" s="14">
        <v>36</v>
      </c>
      <c r="C154">
        <f t="shared" ca="1" si="8"/>
        <v>70.06</v>
      </c>
      <c r="D154">
        <f t="shared" ca="1" si="9"/>
        <v>69.64</v>
      </c>
      <c r="F154" s="14">
        <f t="shared" ca="1" si="10"/>
        <v>0</v>
      </c>
      <c r="G154" s="13">
        <f t="shared" ca="1" si="11"/>
        <v>0</v>
      </c>
      <c r="H154">
        <f t="shared" ca="1" si="12"/>
        <v>0</v>
      </c>
      <c r="I154">
        <f t="shared" ca="1" si="13"/>
        <v>0</v>
      </c>
      <c r="J154">
        <f t="shared" ca="1" si="14"/>
        <v>0</v>
      </c>
      <c r="K154" s="13">
        <f t="shared" ca="1" si="15"/>
        <v>0</v>
      </c>
      <c r="L154">
        <f>MATCH(_xlfn.CONCAT($B154,H$117),변환표준점수!$C$4:$ZZ$4,0)</f>
        <v>72</v>
      </c>
      <c r="M154">
        <f>MATCH(_xlfn.CONCAT($B154,I$117),변환표준점수!$C$4:$ZZ$4,0)</f>
        <v>72</v>
      </c>
      <c r="N154">
        <f>MATCH(_xlfn.CONCAT($B154,J$117),변환표준점수!$C$4:$ZZ$4,0)</f>
        <v>71</v>
      </c>
      <c r="O154">
        <f>MATCH(_xlfn.CONCAT($B154,K$117),변환표준점수!$C$4:$ZZ$4,0)</f>
        <v>71</v>
      </c>
      <c r="Q154" s="12"/>
    </row>
    <row r="155" spans="2:17" ht="18" hidden="1" customHeight="1">
      <c r="B155" s="14">
        <v>37</v>
      </c>
      <c r="C155">
        <f t="shared" ca="1" si="8"/>
        <v>0</v>
      </c>
      <c r="D155">
        <f t="shared" ca="1" si="9"/>
        <v>0</v>
      </c>
      <c r="F155" s="14">
        <f t="shared" ca="1" si="10"/>
        <v>0</v>
      </c>
      <c r="G155" s="13">
        <f t="shared" ca="1" si="11"/>
        <v>0</v>
      </c>
      <c r="H155">
        <f t="shared" ca="1" si="12"/>
        <v>0</v>
      </c>
      <c r="I155">
        <f t="shared" ca="1" si="13"/>
        <v>0</v>
      </c>
      <c r="J155">
        <f t="shared" ca="1" si="14"/>
        <v>0</v>
      </c>
      <c r="K155" s="13">
        <f t="shared" ca="1" si="15"/>
        <v>0</v>
      </c>
      <c r="L155">
        <f>MATCH(_xlfn.CONCAT($B155,H$117),변환표준점수!$C$4:$ZZ$4,0)</f>
        <v>74</v>
      </c>
      <c r="M155">
        <f>MATCH(_xlfn.CONCAT($B155,I$117),변환표준점수!$C$4:$ZZ$4,0)</f>
        <v>74</v>
      </c>
      <c r="N155">
        <f>MATCH(_xlfn.CONCAT($B155,J$117),변환표준점수!$C$4:$ZZ$4,0)</f>
        <v>73</v>
      </c>
      <c r="O155">
        <f>MATCH(_xlfn.CONCAT($B155,K$117),변환표준점수!$C$4:$ZZ$4,0)</f>
        <v>73</v>
      </c>
      <c r="Q155" s="12"/>
    </row>
    <row r="156" spans="2:17" ht="18" hidden="1" customHeight="1">
      <c r="B156" s="14">
        <v>38</v>
      </c>
      <c r="C156">
        <f t="shared" ca="1" si="8"/>
        <v>72.290000000000006</v>
      </c>
      <c r="D156">
        <f t="shared" ca="1" si="9"/>
        <v>72.290000000000006</v>
      </c>
      <c r="F156" s="14">
        <f t="shared" ca="1" si="10"/>
        <v>0</v>
      </c>
      <c r="G156" s="13">
        <f t="shared" ca="1" si="11"/>
        <v>0</v>
      </c>
      <c r="H156">
        <f t="shared" ca="1" si="12"/>
        <v>0</v>
      </c>
      <c r="I156">
        <f t="shared" ca="1" si="13"/>
        <v>0</v>
      </c>
      <c r="J156">
        <f t="shared" ca="1" si="14"/>
        <v>0</v>
      </c>
      <c r="K156" s="13">
        <f t="shared" ca="1" si="15"/>
        <v>0</v>
      </c>
      <c r="L156">
        <f>MATCH(_xlfn.CONCAT($B156,H$117),변환표준점수!$C$4:$ZZ$4,0)</f>
        <v>76</v>
      </c>
      <c r="M156">
        <f>MATCH(_xlfn.CONCAT($B156,I$117),변환표준점수!$C$4:$ZZ$4,0)</f>
        <v>76</v>
      </c>
      <c r="N156">
        <f>MATCH(_xlfn.CONCAT($B156,J$117),변환표준점수!$C$4:$ZZ$4,0)</f>
        <v>75</v>
      </c>
      <c r="O156">
        <f>MATCH(_xlfn.CONCAT($B156,K$117),변환표준점수!$C$4:$ZZ$4,0)</f>
        <v>75</v>
      </c>
      <c r="Q156" s="12"/>
    </row>
    <row r="157" spans="2:17" ht="18" hidden="1" customHeight="1">
      <c r="B157" s="14">
        <v>39</v>
      </c>
      <c r="C157">
        <f t="shared" ca="1" si="8"/>
        <v>69.959999999999994</v>
      </c>
      <c r="D157">
        <f t="shared" ca="1" si="9"/>
        <v>69.959999999999994</v>
      </c>
      <c r="F157" s="14">
        <f t="shared" ca="1" si="10"/>
        <v>0</v>
      </c>
      <c r="G157" s="13">
        <f t="shared" ca="1" si="11"/>
        <v>0</v>
      </c>
      <c r="H157">
        <f t="shared" ca="1" si="12"/>
        <v>0</v>
      </c>
      <c r="I157">
        <f t="shared" ca="1" si="13"/>
        <v>0</v>
      </c>
      <c r="J157">
        <f t="shared" ca="1" si="14"/>
        <v>0</v>
      </c>
      <c r="K157" s="13">
        <f t="shared" ca="1" si="15"/>
        <v>0</v>
      </c>
      <c r="L157">
        <f>MATCH(_xlfn.CONCAT($B157,H$117),변환표준점수!$C$4:$ZZ$4,0)</f>
        <v>78</v>
      </c>
      <c r="M157">
        <f>MATCH(_xlfn.CONCAT($B157,I$117),변환표준점수!$C$4:$ZZ$4,0)</f>
        <v>78</v>
      </c>
      <c r="N157">
        <f>MATCH(_xlfn.CONCAT($B157,J$117),변환표준점수!$C$4:$ZZ$4,0)</f>
        <v>77</v>
      </c>
      <c r="O157">
        <f>MATCH(_xlfn.CONCAT($B157,K$117),변환표준점수!$C$4:$ZZ$4,0)</f>
        <v>77</v>
      </c>
      <c r="Q157" s="12"/>
    </row>
    <row r="158" spans="2:17" ht="18" hidden="1" customHeight="1">
      <c r="B158" s="14">
        <v>40</v>
      </c>
      <c r="C158">
        <f t="shared" ca="1" si="8"/>
        <v>70</v>
      </c>
      <c r="D158">
        <f t="shared" ca="1" si="9"/>
        <v>70</v>
      </c>
      <c r="F158" s="14">
        <f t="shared" ca="1" si="10"/>
        <v>0</v>
      </c>
      <c r="G158" s="13">
        <f t="shared" ca="1" si="11"/>
        <v>0</v>
      </c>
      <c r="H158">
        <f t="shared" ca="1" si="12"/>
        <v>0</v>
      </c>
      <c r="I158">
        <f t="shared" ca="1" si="13"/>
        <v>0</v>
      </c>
      <c r="J158">
        <f t="shared" ca="1" si="14"/>
        <v>0</v>
      </c>
      <c r="K158" s="13">
        <f t="shared" ca="1" si="15"/>
        <v>0</v>
      </c>
      <c r="L158">
        <f>MATCH(_xlfn.CONCAT($B158,H$117),변환표준점수!$C$4:$ZZ$4,0)</f>
        <v>80</v>
      </c>
      <c r="M158">
        <f>MATCH(_xlfn.CONCAT($B158,I$117),변환표준점수!$C$4:$ZZ$4,0)</f>
        <v>80</v>
      </c>
      <c r="N158">
        <f>MATCH(_xlfn.CONCAT($B158,J$117),변환표준점수!$C$4:$ZZ$4,0)</f>
        <v>79</v>
      </c>
      <c r="O158">
        <f>MATCH(_xlfn.CONCAT($B158,K$117),변환표준점수!$C$4:$ZZ$4,0)</f>
        <v>79</v>
      </c>
      <c r="Q158" s="12"/>
    </row>
    <row r="159" spans="2:17" ht="18" hidden="1" customHeight="1">
      <c r="B159" s="14">
        <v>41</v>
      </c>
      <c r="C159">
        <f t="shared" ca="1" si="8"/>
        <v>0</v>
      </c>
      <c r="D159">
        <f t="shared" ca="1" si="9"/>
        <v>0</v>
      </c>
      <c r="F159" s="14">
        <f t="shared" ca="1" si="10"/>
        <v>0</v>
      </c>
      <c r="G159" s="13">
        <f t="shared" ca="1" si="11"/>
        <v>0</v>
      </c>
      <c r="H159">
        <f t="shared" ca="1" si="12"/>
        <v>0</v>
      </c>
      <c r="I159">
        <f t="shared" ca="1" si="13"/>
        <v>0</v>
      </c>
      <c r="J159">
        <f t="shared" ca="1" si="14"/>
        <v>0</v>
      </c>
      <c r="K159" s="13">
        <f t="shared" ca="1" si="15"/>
        <v>0</v>
      </c>
      <c r="L159">
        <f>MATCH(_xlfn.CONCAT($B159,H$117),변환표준점수!$C$4:$ZZ$4,0)</f>
        <v>82</v>
      </c>
      <c r="M159">
        <f>MATCH(_xlfn.CONCAT($B159,I$117),변환표준점수!$C$4:$ZZ$4,0)</f>
        <v>82</v>
      </c>
      <c r="N159">
        <f>MATCH(_xlfn.CONCAT($B159,J$117),변환표준점수!$C$4:$ZZ$4,0)</f>
        <v>81</v>
      </c>
      <c r="O159">
        <f>MATCH(_xlfn.CONCAT($B159,K$117),변환표준점수!$C$4:$ZZ$4,0)</f>
        <v>81</v>
      </c>
      <c r="Q159" s="12"/>
    </row>
    <row r="160" spans="2:17" ht="18" hidden="1" customHeight="1">
      <c r="B160" s="14">
        <v>42</v>
      </c>
      <c r="C160">
        <f t="shared" ca="1" si="8"/>
        <v>70.12</v>
      </c>
      <c r="D160">
        <f t="shared" ca="1" si="9"/>
        <v>70</v>
      </c>
      <c r="F160" s="14">
        <f t="shared" ca="1" si="10"/>
        <v>0</v>
      </c>
      <c r="G160" s="13">
        <f t="shared" ca="1" si="11"/>
        <v>0</v>
      </c>
      <c r="H160">
        <f t="shared" ca="1" si="12"/>
        <v>0</v>
      </c>
      <c r="I160">
        <f t="shared" ca="1" si="13"/>
        <v>0</v>
      </c>
      <c r="J160">
        <f t="shared" ca="1" si="14"/>
        <v>0</v>
      </c>
      <c r="K160" s="13">
        <f t="shared" ca="1" si="15"/>
        <v>0</v>
      </c>
      <c r="L160">
        <f>MATCH(_xlfn.CONCAT($B160,H$117),변환표준점수!$C$4:$ZZ$4,0)</f>
        <v>84</v>
      </c>
      <c r="M160">
        <f>MATCH(_xlfn.CONCAT($B160,I$117),변환표준점수!$C$4:$ZZ$4,0)</f>
        <v>84</v>
      </c>
      <c r="N160">
        <f>MATCH(_xlfn.CONCAT($B160,J$117),변환표준점수!$C$4:$ZZ$4,0)</f>
        <v>83</v>
      </c>
      <c r="O160">
        <f>MATCH(_xlfn.CONCAT($B160,K$117),변환표준점수!$C$4:$ZZ$4,0)</f>
        <v>83</v>
      </c>
      <c r="Q160" s="12"/>
    </row>
    <row r="161" spans="2:17" ht="18" hidden="1" customHeight="1">
      <c r="B161" s="14">
        <v>43</v>
      </c>
      <c r="C161">
        <f t="shared" ca="1" si="8"/>
        <v>0</v>
      </c>
      <c r="D161">
        <f t="shared" ca="1" si="9"/>
        <v>0</v>
      </c>
      <c r="F161" s="14">
        <f t="shared" ca="1" si="10"/>
        <v>0</v>
      </c>
      <c r="G161" s="13">
        <f t="shared" ca="1" si="11"/>
        <v>0</v>
      </c>
      <c r="H161">
        <f t="shared" ca="1" si="12"/>
        <v>0</v>
      </c>
      <c r="I161">
        <f t="shared" ca="1" si="13"/>
        <v>0</v>
      </c>
      <c r="J161">
        <f t="shared" ca="1" si="14"/>
        <v>0</v>
      </c>
      <c r="K161" s="13">
        <f t="shared" ca="1" si="15"/>
        <v>0</v>
      </c>
      <c r="L161">
        <f>MATCH(_xlfn.CONCAT($B161,H$117),변환표준점수!$C$4:$ZZ$4,0)</f>
        <v>86</v>
      </c>
      <c r="M161">
        <f>MATCH(_xlfn.CONCAT($B161,I$117),변환표준점수!$C$4:$ZZ$4,0)</f>
        <v>86</v>
      </c>
      <c r="N161">
        <f>MATCH(_xlfn.CONCAT($B161,J$117),변환표준점수!$C$4:$ZZ$4,0)</f>
        <v>85</v>
      </c>
      <c r="O161">
        <f>MATCH(_xlfn.CONCAT($B161,K$117),변환표준점수!$C$4:$ZZ$4,0)</f>
        <v>85</v>
      </c>
      <c r="Q161" s="12"/>
    </row>
    <row r="162" spans="2:17" ht="18" hidden="1" customHeight="1">
      <c r="B162" s="14">
        <v>44</v>
      </c>
      <c r="C162">
        <f t="shared" ca="1" si="8"/>
        <v>70.12</v>
      </c>
      <c r="D162">
        <f t="shared" ca="1" si="9"/>
        <v>70.12</v>
      </c>
      <c r="F162" s="14">
        <f t="shared" ca="1" si="10"/>
        <v>0</v>
      </c>
      <c r="G162" s="13">
        <f t="shared" ca="1" si="11"/>
        <v>0</v>
      </c>
      <c r="H162">
        <f t="shared" ca="1" si="12"/>
        <v>0</v>
      </c>
      <c r="I162">
        <f t="shared" ca="1" si="13"/>
        <v>0</v>
      </c>
      <c r="J162">
        <f t="shared" ca="1" si="14"/>
        <v>0</v>
      </c>
      <c r="K162" s="13">
        <f t="shared" ca="1" si="15"/>
        <v>0</v>
      </c>
      <c r="L162">
        <f>MATCH(_xlfn.CONCAT($B162,H$117),변환표준점수!$C$4:$ZZ$4,0)</f>
        <v>88</v>
      </c>
      <c r="M162">
        <f>MATCH(_xlfn.CONCAT($B162,I$117),변환표준점수!$C$4:$ZZ$4,0)</f>
        <v>88</v>
      </c>
      <c r="N162">
        <f>MATCH(_xlfn.CONCAT($B162,J$117),변환표준점수!$C$4:$ZZ$4,0)</f>
        <v>87</v>
      </c>
      <c r="O162">
        <f>MATCH(_xlfn.CONCAT($B162,K$117),변환표준점수!$C$4:$ZZ$4,0)</f>
        <v>87</v>
      </c>
      <c r="Q162" s="12"/>
    </row>
    <row r="163" spans="2:17" ht="18" hidden="1" customHeight="1">
      <c r="B163" s="14">
        <v>45</v>
      </c>
      <c r="C163">
        <f t="shared" ca="1" si="8"/>
        <v>0</v>
      </c>
      <c r="D163">
        <f t="shared" ca="1" si="9"/>
        <v>0</v>
      </c>
      <c r="F163" s="14">
        <f t="shared" ca="1" si="10"/>
        <v>0</v>
      </c>
      <c r="G163" s="13">
        <f t="shared" ca="1" si="11"/>
        <v>0</v>
      </c>
      <c r="H163">
        <f t="shared" ca="1" si="12"/>
        <v>0</v>
      </c>
      <c r="I163">
        <f t="shared" ca="1" si="13"/>
        <v>0</v>
      </c>
      <c r="J163">
        <f t="shared" ca="1" si="14"/>
        <v>0</v>
      </c>
      <c r="K163" s="13">
        <f t="shared" ca="1" si="15"/>
        <v>0</v>
      </c>
      <c r="L163">
        <f>MATCH(_xlfn.CONCAT($B163,H$117),변환표준점수!$C$4:$ZZ$4,0)</f>
        <v>90</v>
      </c>
      <c r="M163">
        <f>MATCH(_xlfn.CONCAT($B163,I$117),변환표준점수!$C$4:$ZZ$4,0)</f>
        <v>90</v>
      </c>
      <c r="N163">
        <f>MATCH(_xlfn.CONCAT($B163,J$117),변환표준점수!$C$4:$ZZ$4,0)</f>
        <v>89</v>
      </c>
      <c r="O163">
        <f>MATCH(_xlfn.CONCAT($B163,K$117),변환표준점수!$C$4:$ZZ$4,0)</f>
        <v>89</v>
      </c>
      <c r="Q163" s="12"/>
    </row>
    <row r="164" spans="2:17" ht="18" hidden="1" customHeight="1">
      <c r="B164" s="14">
        <v>46</v>
      </c>
      <c r="C164">
        <f t="shared" ca="1" si="8"/>
        <v>70</v>
      </c>
      <c r="D164">
        <f t="shared" ca="1" si="9"/>
        <v>70</v>
      </c>
      <c r="F164" s="14">
        <f t="shared" ca="1" si="10"/>
        <v>0</v>
      </c>
      <c r="G164" s="13">
        <f t="shared" ca="1" si="11"/>
        <v>0</v>
      </c>
      <c r="H164">
        <f t="shared" ca="1" si="12"/>
        <v>0</v>
      </c>
      <c r="I164">
        <f t="shared" ca="1" si="13"/>
        <v>0</v>
      </c>
      <c r="J164">
        <f t="shared" ca="1" si="14"/>
        <v>0</v>
      </c>
      <c r="K164" s="13">
        <f t="shared" ca="1" si="15"/>
        <v>0</v>
      </c>
      <c r="L164">
        <f>MATCH(_xlfn.CONCAT($B164,H$117),변환표준점수!$C$4:$ZZ$4,0)</f>
        <v>92</v>
      </c>
      <c r="M164">
        <f>MATCH(_xlfn.CONCAT($B164,I$117),변환표준점수!$C$4:$ZZ$4,0)</f>
        <v>92</v>
      </c>
      <c r="N164">
        <f>MATCH(_xlfn.CONCAT($B164,J$117),변환표준점수!$C$4:$ZZ$4,0)</f>
        <v>91</v>
      </c>
      <c r="O164">
        <f>MATCH(_xlfn.CONCAT($B164,K$117),변환표준점수!$C$4:$ZZ$4,0)</f>
        <v>91</v>
      </c>
      <c r="Q164" s="12"/>
    </row>
    <row r="165" spans="2:17" ht="18" hidden="1" customHeight="1">
      <c r="B165" s="14">
        <v>47</v>
      </c>
      <c r="C165">
        <f t="shared" ca="1" si="8"/>
        <v>0</v>
      </c>
      <c r="D165">
        <f t="shared" ca="1" si="9"/>
        <v>0</v>
      </c>
      <c r="F165" s="14">
        <f t="shared" ca="1" si="10"/>
        <v>0</v>
      </c>
      <c r="G165" s="13">
        <f t="shared" ca="1" si="11"/>
        <v>0</v>
      </c>
      <c r="H165">
        <f t="shared" ca="1" si="12"/>
        <v>0</v>
      </c>
      <c r="I165">
        <f t="shared" ca="1" si="13"/>
        <v>0</v>
      </c>
      <c r="J165">
        <f t="shared" ca="1" si="14"/>
        <v>0</v>
      </c>
      <c r="K165" s="13">
        <f t="shared" ca="1" si="15"/>
        <v>0</v>
      </c>
      <c r="L165">
        <f>MATCH(_xlfn.CONCAT($B165,H$117),변환표준점수!$C$4:$ZZ$4,0)</f>
        <v>94</v>
      </c>
      <c r="M165">
        <f>MATCH(_xlfn.CONCAT($B165,I$117),변환표준점수!$C$4:$ZZ$4,0)</f>
        <v>94</v>
      </c>
      <c r="N165">
        <f>MATCH(_xlfn.CONCAT($B165,J$117),변환표준점수!$C$4:$ZZ$4,0)</f>
        <v>93</v>
      </c>
      <c r="O165">
        <f>MATCH(_xlfn.CONCAT($B165,K$117),변환표준점수!$C$4:$ZZ$4,0)</f>
        <v>93</v>
      </c>
      <c r="Q165" s="12"/>
    </row>
    <row r="166" spans="2:17" ht="18" hidden="1" customHeight="1">
      <c r="B166" s="14">
        <v>48</v>
      </c>
      <c r="C166">
        <f t="shared" ca="1" si="8"/>
        <v>69.87</v>
      </c>
      <c r="D166">
        <f t="shared" ca="1" si="9"/>
        <v>69.87</v>
      </c>
      <c r="F166" s="14">
        <f t="shared" ca="1" si="10"/>
        <v>0</v>
      </c>
      <c r="G166" s="13">
        <f t="shared" ca="1" si="11"/>
        <v>0</v>
      </c>
      <c r="H166">
        <f t="shared" ca="1" si="12"/>
        <v>0</v>
      </c>
      <c r="I166">
        <f t="shared" ca="1" si="13"/>
        <v>0</v>
      </c>
      <c r="J166">
        <f t="shared" ca="1" si="14"/>
        <v>0</v>
      </c>
      <c r="K166" s="13">
        <f t="shared" ca="1" si="15"/>
        <v>0</v>
      </c>
      <c r="L166">
        <f>MATCH(_xlfn.CONCAT($B166,H$117),변환표준점수!$C$4:$ZZ$4,0)</f>
        <v>96</v>
      </c>
      <c r="M166">
        <f>MATCH(_xlfn.CONCAT($B166,I$117),변환표준점수!$C$4:$ZZ$4,0)</f>
        <v>96</v>
      </c>
      <c r="N166">
        <f>MATCH(_xlfn.CONCAT($B166,J$117),변환표준점수!$C$4:$ZZ$4,0)</f>
        <v>95</v>
      </c>
      <c r="O166">
        <f>MATCH(_xlfn.CONCAT($B166,K$117),변환표준점수!$C$4:$ZZ$4,0)</f>
        <v>95</v>
      </c>
      <c r="Q166" s="12"/>
    </row>
    <row r="167" spans="2:17" ht="18" hidden="1" customHeight="1">
      <c r="B167" s="14">
        <v>49</v>
      </c>
      <c r="C167">
        <f t="shared" ca="1" si="8"/>
        <v>0</v>
      </c>
      <c r="D167">
        <f t="shared" ca="1" si="9"/>
        <v>0</v>
      </c>
      <c r="F167" s="14">
        <f t="shared" ca="1" si="10"/>
        <v>0</v>
      </c>
      <c r="G167" s="13">
        <f t="shared" ca="1" si="11"/>
        <v>0</v>
      </c>
      <c r="H167">
        <f t="shared" ca="1" si="12"/>
        <v>0</v>
      </c>
      <c r="I167">
        <f t="shared" ca="1" si="13"/>
        <v>0</v>
      </c>
      <c r="J167">
        <f t="shared" ca="1" si="14"/>
        <v>0</v>
      </c>
      <c r="K167" s="13">
        <f t="shared" ca="1" si="15"/>
        <v>0</v>
      </c>
      <c r="L167">
        <f>MATCH(_xlfn.CONCAT($B167,H$117),변환표준점수!$C$4:$ZZ$4,0)</f>
        <v>98</v>
      </c>
      <c r="M167">
        <f>MATCH(_xlfn.CONCAT($B167,I$117),변환표준점수!$C$4:$ZZ$4,0)</f>
        <v>98</v>
      </c>
      <c r="N167">
        <f>MATCH(_xlfn.CONCAT($B167,J$117),변환표준점수!$C$4:$ZZ$4,0)</f>
        <v>97</v>
      </c>
      <c r="O167">
        <f>MATCH(_xlfn.CONCAT($B167,K$117),변환표준점수!$C$4:$ZZ$4,0)</f>
        <v>97</v>
      </c>
      <c r="Q167" s="12"/>
    </row>
    <row r="168" spans="2:17" ht="18" hidden="1" customHeight="1">
      <c r="B168" s="14">
        <v>50</v>
      </c>
      <c r="C168">
        <f t="shared" ca="1" si="8"/>
        <v>70.13</v>
      </c>
      <c r="D168">
        <f t="shared" ca="1" si="9"/>
        <v>69.89</v>
      </c>
      <c r="F168" s="14">
        <f t="shared" ca="1" si="10"/>
        <v>0</v>
      </c>
      <c r="G168" s="13">
        <f t="shared" ca="1" si="11"/>
        <v>0</v>
      </c>
      <c r="H168">
        <f t="shared" ca="1" si="12"/>
        <v>0</v>
      </c>
      <c r="I168">
        <f t="shared" ca="1" si="13"/>
        <v>0</v>
      </c>
      <c r="J168">
        <f t="shared" ca="1" si="14"/>
        <v>0</v>
      </c>
      <c r="K168" s="13">
        <f t="shared" ca="1" si="15"/>
        <v>0</v>
      </c>
      <c r="L168">
        <f>MATCH(_xlfn.CONCAT($B168,H$117),변환표준점수!$C$4:$ZZ$4,0)</f>
        <v>100</v>
      </c>
      <c r="M168">
        <f>MATCH(_xlfn.CONCAT($B168,I$117),변환표준점수!$C$4:$ZZ$4,0)</f>
        <v>100</v>
      </c>
      <c r="N168">
        <f>MATCH(_xlfn.CONCAT($B168,J$117),변환표준점수!$C$4:$ZZ$4,0)</f>
        <v>99</v>
      </c>
      <c r="O168">
        <f>MATCH(_xlfn.CONCAT($B168,K$117),변환표준점수!$C$4:$ZZ$4,0)</f>
        <v>99</v>
      </c>
      <c r="Q168" s="12"/>
    </row>
    <row r="169" spans="2:17" ht="18" hidden="1" customHeight="1">
      <c r="B169" s="14">
        <v>51</v>
      </c>
      <c r="C169">
        <f t="shared" ca="1" si="8"/>
        <v>0</v>
      </c>
      <c r="D169">
        <f t="shared" ca="1" si="9"/>
        <v>0</v>
      </c>
      <c r="F169" s="14">
        <f t="shared" ca="1" si="10"/>
        <v>0</v>
      </c>
      <c r="G169" s="13">
        <f t="shared" ca="1" si="11"/>
        <v>0</v>
      </c>
      <c r="H169">
        <f t="shared" ca="1" si="12"/>
        <v>0</v>
      </c>
      <c r="I169">
        <f t="shared" ca="1" si="13"/>
        <v>0</v>
      </c>
      <c r="J169">
        <f t="shared" ca="1" si="14"/>
        <v>0</v>
      </c>
      <c r="K169" s="13">
        <f t="shared" ca="1" si="15"/>
        <v>0</v>
      </c>
      <c r="L169">
        <f>MATCH(_xlfn.CONCAT($B169,H$117),변환표준점수!$C$4:$ZZ$4,0)</f>
        <v>102</v>
      </c>
      <c r="M169">
        <f>MATCH(_xlfn.CONCAT($B169,I$117),변환표준점수!$C$4:$ZZ$4,0)</f>
        <v>102</v>
      </c>
      <c r="N169">
        <f>MATCH(_xlfn.CONCAT($B169,J$117),변환표준점수!$C$4:$ZZ$4,0)</f>
        <v>101</v>
      </c>
      <c r="O169">
        <f>MATCH(_xlfn.CONCAT($B169,K$117),변환표준점수!$C$4:$ZZ$4,0)</f>
        <v>101</v>
      </c>
      <c r="Q169" s="12"/>
    </row>
    <row r="170" spans="2:17" ht="18" hidden="1" customHeight="1">
      <c r="B170" s="14">
        <v>52</v>
      </c>
      <c r="C170">
        <f t="shared" ca="1" si="8"/>
        <v>70.125</v>
      </c>
      <c r="D170">
        <f t="shared" ca="1" si="9"/>
        <v>69.888999999999996</v>
      </c>
      <c r="F170" s="14">
        <f t="shared" ca="1" si="10"/>
        <v>0</v>
      </c>
      <c r="G170" s="13">
        <f t="shared" ca="1" si="11"/>
        <v>0</v>
      </c>
      <c r="H170">
        <f t="shared" ca="1" si="12"/>
        <v>0</v>
      </c>
      <c r="I170">
        <f t="shared" ca="1" si="13"/>
        <v>0</v>
      </c>
      <c r="J170">
        <f t="shared" ca="1" si="14"/>
        <v>0</v>
      </c>
      <c r="K170" s="13">
        <f t="shared" ca="1" si="15"/>
        <v>0</v>
      </c>
      <c r="L170">
        <f>MATCH(_xlfn.CONCAT($B170,H$117),변환표준점수!$C$4:$ZZ$4,0)</f>
        <v>104</v>
      </c>
      <c r="M170">
        <f>MATCH(_xlfn.CONCAT($B170,I$117),변환표준점수!$C$4:$ZZ$4,0)</f>
        <v>104</v>
      </c>
      <c r="N170">
        <f>MATCH(_xlfn.CONCAT($B170,J$117),변환표준점수!$C$4:$ZZ$4,0)</f>
        <v>103</v>
      </c>
      <c r="O170">
        <f>MATCH(_xlfn.CONCAT($B170,K$117),변환표준점수!$C$4:$ZZ$4,0)</f>
        <v>103</v>
      </c>
      <c r="Q170" s="12"/>
    </row>
    <row r="171" spans="2:17" ht="18" hidden="1" customHeight="1">
      <c r="B171" s="14">
        <v>53</v>
      </c>
      <c r="C171">
        <f t="shared" ca="1" si="8"/>
        <v>0</v>
      </c>
      <c r="D171">
        <f t="shared" ca="1" si="9"/>
        <v>0</v>
      </c>
      <c r="F171" s="14">
        <f t="shared" ca="1" si="10"/>
        <v>0</v>
      </c>
      <c r="G171" s="13">
        <f t="shared" ca="1" si="11"/>
        <v>0</v>
      </c>
      <c r="H171">
        <f t="shared" ca="1" si="12"/>
        <v>0</v>
      </c>
      <c r="I171">
        <f t="shared" ca="1" si="13"/>
        <v>0</v>
      </c>
      <c r="J171">
        <f t="shared" ca="1" si="14"/>
        <v>0</v>
      </c>
      <c r="K171" s="13">
        <f t="shared" ca="1" si="15"/>
        <v>0</v>
      </c>
      <c r="L171">
        <f>MATCH(_xlfn.CONCAT($B171,H$117),변환표준점수!$C$4:$ZZ$4,0)</f>
        <v>106</v>
      </c>
      <c r="M171">
        <f>MATCH(_xlfn.CONCAT($B171,I$117),변환표준점수!$C$4:$ZZ$4,0)</f>
        <v>106</v>
      </c>
      <c r="N171">
        <f>MATCH(_xlfn.CONCAT($B171,J$117),변환표준점수!$C$4:$ZZ$4,0)</f>
        <v>105</v>
      </c>
      <c r="O171">
        <f>MATCH(_xlfn.CONCAT($B171,K$117),변환표준점수!$C$4:$ZZ$4,0)</f>
        <v>105</v>
      </c>
      <c r="Q171" s="12"/>
    </row>
    <row r="172" spans="2:17" ht="18" hidden="1" customHeight="1">
      <c r="B172" s="14">
        <v>54</v>
      </c>
      <c r="C172">
        <f t="shared" ca="1" si="8"/>
        <v>0</v>
      </c>
      <c r="D172">
        <f t="shared" ca="1" si="9"/>
        <v>0</v>
      </c>
      <c r="F172" s="14">
        <f t="shared" ca="1" si="10"/>
        <v>0</v>
      </c>
      <c r="G172" s="13">
        <f t="shared" ca="1" si="11"/>
        <v>0</v>
      </c>
      <c r="H172">
        <f t="shared" ca="1" si="12"/>
        <v>0</v>
      </c>
      <c r="I172">
        <f t="shared" ca="1" si="13"/>
        <v>0</v>
      </c>
      <c r="J172">
        <f t="shared" ca="1" si="14"/>
        <v>0</v>
      </c>
      <c r="K172" s="13">
        <f t="shared" ca="1" si="15"/>
        <v>0</v>
      </c>
      <c r="L172">
        <f>MATCH(_xlfn.CONCAT($B172,H$117),변환표준점수!$C$4:$ZZ$4,0)</f>
        <v>108</v>
      </c>
      <c r="M172">
        <f>MATCH(_xlfn.CONCAT($B172,I$117),변환표준점수!$C$4:$ZZ$4,0)</f>
        <v>108</v>
      </c>
      <c r="N172">
        <f>MATCH(_xlfn.CONCAT($B172,J$117),변환표준점수!$C$4:$ZZ$4,0)</f>
        <v>107</v>
      </c>
      <c r="O172">
        <f>MATCH(_xlfn.CONCAT($B172,K$117),변환표준점수!$C$4:$ZZ$4,0)</f>
        <v>107</v>
      </c>
      <c r="Q172" s="12"/>
    </row>
    <row r="173" spans="2:17" ht="18" hidden="1" customHeight="1">
      <c r="B173" s="14">
        <v>55</v>
      </c>
      <c r="C173">
        <f t="shared" ca="1" si="8"/>
        <v>0</v>
      </c>
      <c r="D173">
        <f t="shared" ca="1" si="9"/>
        <v>0</v>
      </c>
      <c r="F173" s="14">
        <f t="shared" ca="1" si="10"/>
        <v>0</v>
      </c>
      <c r="G173" s="13">
        <f t="shared" ca="1" si="11"/>
        <v>0</v>
      </c>
      <c r="H173">
        <f t="shared" ca="1" si="12"/>
        <v>0</v>
      </c>
      <c r="I173">
        <f t="shared" ca="1" si="13"/>
        <v>0</v>
      </c>
      <c r="J173">
        <f t="shared" ca="1" si="14"/>
        <v>0</v>
      </c>
      <c r="K173" s="13">
        <f t="shared" ca="1" si="15"/>
        <v>0</v>
      </c>
      <c r="L173">
        <f>MATCH(_xlfn.CONCAT($B173,H$117),변환표준점수!$C$4:$ZZ$4,0)</f>
        <v>110</v>
      </c>
      <c r="M173">
        <f>MATCH(_xlfn.CONCAT($B173,I$117),변환표준점수!$C$4:$ZZ$4,0)</f>
        <v>110</v>
      </c>
      <c r="N173">
        <f>MATCH(_xlfn.CONCAT($B173,J$117),변환표준점수!$C$4:$ZZ$4,0)</f>
        <v>109</v>
      </c>
      <c r="O173">
        <f>MATCH(_xlfn.CONCAT($B173,K$117),변환표준점수!$C$4:$ZZ$4,0)</f>
        <v>109</v>
      </c>
      <c r="Q173" s="12"/>
    </row>
    <row r="174" spans="2:17" ht="18" hidden="1" customHeight="1">
      <c r="B174" s="14">
        <v>56</v>
      </c>
      <c r="C174">
        <f t="shared" ca="1" si="8"/>
        <v>0</v>
      </c>
      <c r="D174">
        <f t="shared" ca="1" si="9"/>
        <v>0</v>
      </c>
      <c r="F174" s="14">
        <f t="shared" ca="1" si="10"/>
        <v>0</v>
      </c>
      <c r="G174" s="13">
        <f t="shared" ca="1" si="11"/>
        <v>0</v>
      </c>
      <c r="H174">
        <f t="shared" ca="1" si="12"/>
        <v>0</v>
      </c>
      <c r="I174">
        <f t="shared" ca="1" si="13"/>
        <v>0</v>
      </c>
      <c r="J174">
        <f t="shared" ca="1" si="14"/>
        <v>0</v>
      </c>
      <c r="K174" s="13">
        <f t="shared" ca="1" si="15"/>
        <v>0</v>
      </c>
      <c r="L174">
        <f>MATCH(_xlfn.CONCAT($B174,H$117),변환표준점수!$C$4:$ZZ$4,0)</f>
        <v>112</v>
      </c>
      <c r="M174">
        <f>MATCH(_xlfn.CONCAT($B174,I$117),변환표준점수!$C$4:$ZZ$4,0)</f>
        <v>112</v>
      </c>
      <c r="N174">
        <f>MATCH(_xlfn.CONCAT($B174,J$117),변환표준점수!$C$4:$ZZ$4,0)</f>
        <v>111</v>
      </c>
      <c r="O174">
        <f>MATCH(_xlfn.CONCAT($B174,K$117),변환표준점수!$C$4:$ZZ$4,0)</f>
        <v>111</v>
      </c>
      <c r="Q174" s="12"/>
    </row>
    <row r="175" spans="2:17" ht="18" hidden="1" customHeight="1">
      <c r="B175" s="14">
        <v>57</v>
      </c>
      <c r="C175">
        <f t="shared" ca="1" si="8"/>
        <v>0</v>
      </c>
      <c r="D175">
        <f t="shared" ca="1" si="9"/>
        <v>0</v>
      </c>
      <c r="F175" s="14">
        <f t="shared" ca="1" si="10"/>
        <v>0</v>
      </c>
      <c r="G175" s="13">
        <f t="shared" ca="1" si="11"/>
        <v>0</v>
      </c>
      <c r="H175">
        <f t="shared" ca="1" si="12"/>
        <v>0</v>
      </c>
      <c r="I175">
        <f t="shared" ca="1" si="13"/>
        <v>0</v>
      </c>
      <c r="J175">
        <f t="shared" ca="1" si="14"/>
        <v>0</v>
      </c>
      <c r="K175" s="13">
        <f t="shared" ca="1" si="15"/>
        <v>0</v>
      </c>
      <c r="L175">
        <f>MATCH(_xlfn.CONCAT($B175,H$117),변환표준점수!$C$4:$ZZ$4,0)</f>
        <v>114</v>
      </c>
      <c r="M175">
        <f>MATCH(_xlfn.CONCAT($B175,I$117),변환표준점수!$C$4:$ZZ$4,0)</f>
        <v>114</v>
      </c>
      <c r="N175">
        <f>MATCH(_xlfn.CONCAT($B175,J$117),변환표준점수!$C$4:$ZZ$4,0)</f>
        <v>113</v>
      </c>
      <c r="O175">
        <f>MATCH(_xlfn.CONCAT($B175,K$117),변환표준점수!$C$4:$ZZ$4,0)</f>
        <v>113</v>
      </c>
      <c r="Q175" s="12"/>
    </row>
    <row r="176" spans="2:17" ht="18" hidden="1" customHeight="1">
      <c r="B176" s="14">
        <v>58</v>
      </c>
      <c r="C176">
        <f t="shared" ca="1" si="8"/>
        <v>0</v>
      </c>
      <c r="D176">
        <f t="shared" ca="1" si="9"/>
        <v>0</v>
      </c>
      <c r="F176" s="14">
        <f t="shared" ca="1" si="10"/>
        <v>0</v>
      </c>
      <c r="G176" s="13">
        <f t="shared" ca="1" si="11"/>
        <v>0</v>
      </c>
      <c r="H176">
        <f t="shared" ca="1" si="12"/>
        <v>0</v>
      </c>
      <c r="I176">
        <f t="shared" ca="1" si="13"/>
        <v>0</v>
      </c>
      <c r="J176">
        <f t="shared" ca="1" si="14"/>
        <v>0</v>
      </c>
      <c r="K176" s="13">
        <f t="shared" ca="1" si="15"/>
        <v>0</v>
      </c>
      <c r="L176">
        <f>MATCH(_xlfn.CONCAT($B176,H$117),변환표준점수!$C$4:$ZZ$4,0)</f>
        <v>116</v>
      </c>
      <c r="M176">
        <f>MATCH(_xlfn.CONCAT($B176,I$117),변환표준점수!$C$4:$ZZ$4,0)</f>
        <v>116</v>
      </c>
      <c r="N176">
        <f>MATCH(_xlfn.CONCAT($B176,J$117),변환표준점수!$C$4:$ZZ$4,0)</f>
        <v>115</v>
      </c>
      <c r="O176">
        <f>MATCH(_xlfn.CONCAT($B176,K$117),변환표준점수!$C$4:$ZZ$4,0)</f>
        <v>115</v>
      </c>
      <c r="Q176" s="12"/>
    </row>
    <row r="177" spans="2:17" ht="18" hidden="1" customHeight="1">
      <c r="B177" s="14">
        <v>59</v>
      </c>
      <c r="C177" t="e">
        <f t="shared" ca="1" si="8"/>
        <v>#N/A</v>
      </c>
      <c r="D177" t="e">
        <f t="shared" ca="1" si="9"/>
        <v>#N/A</v>
      </c>
      <c r="F177" s="14">
        <f t="shared" ca="1" si="10"/>
        <v>0</v>
      </c>
      <c r="G177" s="13">
        <f t="shared" ca="1" si="11"/>
        <v>0</v>
      </c>
      <c r="H177">
        <f t="shared" ca="1" si="12"/>
        <v>0</v>
      </c>
      <c r="I177">
        <f t="shared" ca="1" si="13"/>
        <v>0</v>
      </c>
      <c r="J177">
        <f t="shared" ca="1" si="14"/>
        <v>0</v>
      </c>
      <c r="K177" s="13">
        <f t="shared" ca="1" si="15"/>
        <v>0</v>
      </c>
      <c r="L177" t="e">
        <f>MATCH(_xlfn.CONCAT($B177,H$117),변환표준점수!$C$4:$ZZ$4,0)</f>
        <v>#N/A</v>
      </c>
      <c r="M177" t="e">
        <f>MATCH(_xlfn.CONCAT($B177,I$117),변환표준점수!$C$4:$ZZ$4,0)</f>
        <v>#N/A</v>
      </c>
      <c r="N177" t="e">
        <f>MATCH(_xlfn.CONCAT($B177,J$117),변환표준점수!$C$4:$ZZ$4,0)</f>
        <v>#N/A</v>
      </c>
      <c r="O177" t="e">
        <f>MATCH(_xlfn.CONCAT($B177,K$117),변환표준점수!$C$4:$ZZ$4,0)</f>
        <v>#N/A</v>
      </c>
      <c r="Q177" s="12"/>
    </row>
    <row r="178" spans="2:17" ht="18" hidden="1" customHeight="1">
      <c r="B178" s="14">
        <v>60</v>
      </c>
      <c r="C178" t="e">
        <f t="shared" ca="1" si="8"/>
        <v>#N/A</v>
      </c>
      <c r="D178" t="e">
        <f t="shared" ca="1" si="9"/>
        <v>#N/A</v>
      </c>
      <c r="F178" s="14">
        <f t="shared" ca="1" si="10"/>
        <v>0</v>
      </c>
      <c r="G178" s="13">
        <f t="shared" ca="1" si="11"/>
        <v>0</v>
      </c>
      <c r="H178">
        <f t="shared" ca="1" si="12"/>
        <v>0</v>
      </c>
      <c r="I178">
        <f t="shared" ca="1" si="13"/>
        <v>0</v>
      </c>
      <c r="J178">
        <f t="shared" ca="1" si="14"/>
        <v>0</v>
      </c>
      <c r="K178" s="13">
        <f t="shared" ca="1" si="15"/>
        <v>0</v>
      </c>
      <c r="L178" t="e">
        <f>MATCH(_xlfn.CONCAT($B178,H$117),변환표준점수!$C$4:$ZZ$4,0)</f>
        <v>#N/A</v>
      </c>
      <c r="M178" t="e">
        <f>MATCH(_xlfn.CONCAT($B178,I$117),변환표준점수!$C$4:$ZZ$4,0)</f>
        <v>#N/A</v>
      </c>
      <c r="N178" t="e">
        <f>MATCH(_xlfn.CONCAT($B178,J$117),변환표준점수!$C$4:$ZZ$4,0)</f>
        <v>#N/A</v>
      </c>
      <c r="O178" t="e">
        <f>MATCH(_xlfn.CONCAT($B178,K$117),변환표준점수!$C$4:$ZZ$4,0)</f>
        <v>#N/A</v>
      </c>
      <c r="Q178" s="12"/>
    </row>
    <row r="179" spans="2:17" ht="18" hidden="1" customHeight="1">
      <c r="B179" s="14">
        <v>61</v>
      </c>
      <c r="C179" t="e">
        <f t="shared" ca="1" si="8"/>
        <v>#N/A</v>
      </c>
      <c r="D179" t="e">
        <f t="shared" ca="1" si="9"/>
        <v>#N/A</v>
      </c>
      <c r="F179" s="14">
        <f t="shared" ca="1" si="10"/>
        <v>0</v>
      </c>
      <c r="G179" s="13">
        <f t="shared" ca="1" si="11"/>
        <v>0</v>
      </c>
      <c r="H179">
        <f t="shared" ca="1" si="12"/>
        <v>0</v>
      </c>
      <c r="I179">
        <f t="shared" ca="1" si="13"/>
        <v>0</v>
      </c>
      <c r="J179">
        <f t="shared" ca="1" si="14"/>
        <v>0</v>
      </c>
      <c r="K179" s="13">
        <f t="shared" ca="1" si="15"/>
        <v>0</v>
      </c>
      <c r="L179" t="e">
        <f>MATCH(_xlfn.CONCAT($B179,H$117),변환표준점수!$C$4:$ZZ$4,0)</f>
        <v>#N/A</v>
      </c>
      <c r="M179" t="e">
        <f>MATCH(_xlfn.CONCAT($B179,I$117),변환표준점수!$C$4:$ZZ$4,0)</f>
        <v>#N/A</v>
      </c>
      <c r="N179" t="e">
        <f>MATCH(_xlfn.CONCAT($B179,J$117),변환표준점수!$C$4:$ZZ$4,0)</f>
        <v>#N/A</v>
      </c>
      <c r="O179" t="e">
        <f>MATCH(_xlfn.CONCAT($B179,K$117),변환표준점수!$C$4:$ZZ$4,0)</f>
        <v>#N/A</v>
      </c>
      <c r="Q179" s="12"/>
    </row>
    <row r="180" spans="2:17" ht="18" hidden="1" customHeight="1">
      <c r="B180" s="14">
        <v>62</v>
      </c>
      <c r="C180" t="e">
        <f t="shared" ca="1" si="8"/>
        <v>#N/A</v>
      </c>
      <c r="D180" t="e">
        <f t="shared" ca="1" si="9"/>
        <v>#N/A</v>
      </c>
      <c r="F180" s="14">
        <f t="shared" ca="1" si="10"/>
        <v>0</v>
      </c>
      <c r="G180" s="13">
        <f t="shared" ca="1" si="11"/>
        <v>0</v>
      </c>
      <c r="H180">
        <f t="shared" ca="1" si="12"/>
        <v>0</v>
      </c>
      <c r="I180">
        <f t="shared" ca="1" si="13"/>
        <v>0</v>
      </c>
      <c r="J180">
        <f t="shared" ca="1" si="14"/>
        <v>0</v>
      </c>
      <c r="K180" s="13">
        <f t="shared" ca="1" si="15"/>
        <v>0</v>
      </c>
      <c r="L180" t="e">
        <f>MATCH(_xlfn.CONCAT($B180,H$117),변환표준점수!$C$4:$ZZ$4,0)</f>
        <v>#N/A</v>
      </c>
      <c r="M180" t="e">
        <f>MATCH(_xlfn.CONCAT($B180,I$117),변환표준점수!$C$4:$ZZ$4,0)</f>
        <v>#N/A</v>
      </c>
      <c r="N180" t="e">
        <f>MATCH(_xlfn.CONCAT($B180,J$117),변환표준점수!$C$4:$ZZ$4,0)</f>
        <v>#N/A</v>
      </c>
      <c r="O180" t="e">
        <f>MATCH(_xlfn.CONCAT($B180,K$117),변환표준점수!$C$4:$ZZ$4,0)</f>
        <v>#N/A</v>
      </c>
      <c r="Q180" s="12"/>
    </row>
    <row r="181" spans="2:17" ht="18" hidden="1" customHeight="1">
      <c r="B181" s="14">
        <v>63</v>
      </c>
      <c r="C181" t="e">
        <f t="shared" ca="1" si="8"/>
        <v>#N/A</v>
      </c>
      <c r="D181" t="e">
        <f t="shared" ca="1" si="9"/>
        <v>#N/A</v>
      </c>
      <c r="F181" s="14">
        <f t="shared" ca="1" si="10"/>
        <v>0</v>
      </c>
      <c r="G181" s="13">
        <f t="shared" ca="1" si="11"/>
        <v>0</v>
      </c>
      <c r="H181">
        <f t="shared" ca="1" si="12"/>
        <v>0</v>
      </c>
      <c r="I181">
        <f t="shared" ca="1" si="13"/>
        <v>0</v>
      </c>
      <c r="J181">
        <f t="shared" ca="1" si="14"/>
        <v>0</v>
      </c>
      <c r="K181" s="13">
        <f t="shared" ca="1" si="15"/>
        <v>0</v>
      </c>
      <c r="L181" t="e">
        <f>MATCH(_xlfn.CONCAT($B181,H$117),변환표준점수!$C$4:$ZZ$4,0)</f>
        <v>#N/A</v>
      </c>
      <c r="M181" t="e">
        <f>MATCH(_xlfn.CONCAT($B181,I$117),변환표준점수!$C$4:$ZZ$4,0)</f>
        <v>#N/A</v>
      </c>
      <c r="N181" t="e">
        <f>MATCH(_xlfn.CONCAT($B181,J$117),변환표준점수!$C$4:$ZZ$4,0)</f>
        <v>#N/A</v>
      </c>
      <c r="O181" t="e">
        <f>MATCH(_xlfn.CONCAT($B181,K$117),변환표준점수!$C$4:$ZZ$4,0)</f>
        <v>#N/A</v>
      </c>
      <c r="Q181" s="12"/>
    </row>
    <row r="182" spans="2:17" ht="18" hidden="1" customHeight="1">
      <c r="B182" s="14">
        <v>64</v>
      </c>
      <c r="C182" t="e">
        <f t="shared" ca="1" si="8"/>
        <v>#N/A</v>
      </c>
      <c r="D182" t="e">
        <f t="shared" ca="1" si="9"/>
        <v>#N/A</v>
      </c>
      <c r="F182" s="14">
        <f t="shared" ca="1" si="10"/>
        <v>0</v>
      </c>
      <c r="G182" s="13">
        <f t="shared" ca="1" si="11"/>
        <v>0</v>
      </c>
      <c r="H182">
        <f t="shared" ca="1" si="12"/>
        <v>0</v>
      </c>
      <c r="I182">
        <f t="shared" ca="1" si="13"/>
        <v>0</v>
      </c>
      <c r="J182">
        <f t="shared" ca="1" si="14"/>
        <v>0</v>
      </c>
      <c r="K182" s="13">
        <f t="shared" ca="1" si="15"/>
        <v>0</v>
      </c>
      <c r="L182" t="e">
        <f>MATCH(_xlfn.CONCAT($B182,H$117),변환표준점수!$C$4:$ZZ$4,0)</f>
        <v>#N/A</v>
      </c>
      <c r="M182" t="e">
        <f>MATCH(_xlfn.CONCAT($B182,I$117),변환표준점수!$C$4:$ZZ$4,0)</f>
        <v>#N/A</v>
      </c>
      <c r="N182" t="e">
        <f>MATCH(_xlfn.CONCAT($B182,J$117),변환표준점수!$C$4:$ZZ$4,0)</f>
        <v>#N/A</v>
      </c>
      <c r="O182" t="e">
        <f>MATCH(_xlfn.CONCAT($B182,K$117),변환표준점수!$C$4:$ZZ$4,0)</f>
        <v>#N/A</v>
      </c>
      <c r="Q182" s="12"/>
    </row>
    <row r="183" spans="2:17" ht="18" hidden="1" customHeight="1">
      <c r="B183" s="14">
        <v>65</v>
      </c>
      <c r="C183" t="e">
        <f t="shared" ref="C183:C198" ca="1" si="16">OFFSET($C$5,0,M183-1,1,1)+0</f>
        <v>#N/A</v>
      </c>
      <c r="D183" t="e">
        <f t="shared" ref="D183:D198" ca="1" si="17">OFFSET($C$5,0,N183-1,1,1)+0</f>
        <v>#N/A</v>
      </c>
      <c r="F183" s="14">
        <f t="shared" ref="F183:F198" ca="1" si="18">LARGE(H183:K183,1)</f>
        <v>0</v>
      </c>
      <c r="G183" s="13">
        <f t="shared" ref="G183:G198" ca="1" si="19">LARGE(H183:K183,2)</f>
        <v>0</v>
      </c>
      <c r="H183">
        <f t="shared" ref="H183:H198" ca="1" si="20">IFERROR(OFFSET($C$5,H$113-1,L183-1)+0,0)</f>
        <v>0</v>
      </c>
      <c r="I183">
        <f t="shared" ref="I183:I198" ca="1" si="21">IFERROR(OFFSET($C$5,I$113-1,M183-1)+0,0)</f>
        <v>0</v>
      </c>
      <c r="J183">
        <f t="shared" ref="J183:J198" ca="1" si="22">IFERROR(OFFSET($C$5,J$113-1,N183-1)+0,0)</f>
        <v>0</v>
      </c>
      <c r="K183" s="13">
        <f t="shared" ref="K183:K198" ca="1" si="23">IFERROR(OFFSET($C$5,K$113-1,O183-1)+0,0)</f>
        <v>0</v>
      </c>
      <c r="L183" t="e">
        <f>MATCH(_xlfn.CONCAT($B183,H$117),변환표준점수!$C$4:$ZZ$4,0)</f>
        <v>#N/A</v>
      </c>
      <c r="M183" t="e">
        <f>MATCH(_xlfn.CONCAT($B183,I$117),변환표준점수!$C$4:$ZZ$4,0)</f>
        <v>#N/A</v>
      </c>
      <c r="N183" t="e">
        <f>MATCH(_xlfn.CONCAT($B183,J$117),변환표준점수!$C$4:$ZZ$4,0)</f>
        <v>#N/A</v>
      </c>
      <c r="O183" t="e">
        <f>MATCH(_xlfn.CONCAT($B183,K$117),변환표준점수!$C$4:$ZZ$4,0)</f>
        <v>#N/A</v>
      </c>
      <c r="Q183" s="12"/>
    </row>
    <row r="184" spans="2:17" ht="18" hidden="1" customHeight="1">
      <c r="B184" s="14">
        <v>66</v>
      </c>
      <c r="C184" t="e">
        <f t="shared" ca="1" si="16"/>
        <v>#N/A</v>
      </c>
      <c r="D184" t="e">
        <f t="shared" ca="1" si="17"/>
        <v>#N/A</v>
      </c>
      <c r="F184" s="14">
        <f t="shared" ca="1" si="18"/>
        <v>0</v>
      </c>
      <c r="G184" s="13">
        <f t="shared" ca="1" si="19"/>
        <v>0</v>
      </c>
      <c r="H184">
        <f t="shared" ca="1" si="20"/>
        <v>0</v>
      </c>
      <c r="I184">
        <f t="shared" ca="1" si="21"/>
        <v>0</v>
      </c>
      <c r="J184">
        <f t="shared" ca="1" si="22"/>
        <v>0</v>
      </c>
      <c r="K184" s="13">
        <f t="shared" ca="1" si="23"/>
        <v>0</v>
      </c>
      <c r="L184" t="e">
        <f>MATCH(_xlfn.CONCAT($B184,H$117),변환표준점수!$C$4:$ZZ$4,0)</f>
        <v>#N/A</v>
      </c>
      <c r="M184" t="e">
        <f>MATCH(_xlfn.CONCAT($B184,I$117),변환표준점수!$C$4:$ZZ$4,0)</f>
        <v>#N/A</v>
      </c>
      <c r="N184" t="e">
        <f>MATCH(_xlfn.CONCAT($B184,J$117),변환표준점수!$C$4:$ZZ$4,0)</f>
        <v>#N/A</v>
      </c>
      <c r="O184" t="e">
        <f>MATCH(_xlfn.CONCAT($B184,K$117),변환표준점수!$C$4:$ZZ$4,0)</f>
        <v>#N/A</v>
      </c>
      <c r="Q184" s="12"/>
    </row>
    <row r="185" spans="2:17" ht="18" hidden="1" customHeight="1">
      <c r="B185" s="14">
        <v>67</v>
      </c>
      <c r="C185" t="e">
        <f t="shared" ca="1" si="16"/>
        <v>#N/A</v>
      </c>
      <c r="D185" t="e">
        <f t="shared" ca="1" si="17"/>
        <v>#N/A</v>
      </c>
      <c r="F185" s="14">
        <f t="shared" ca="1" si="18"/>
        <v>0</v>
      </c>
      <c r="G185" s="13">
        <f t="shared" ca="1" si="19"/>
        <v>0</v>
      </c>
      <c r="H185">
        <f t="shared" ca="1" si="20"/>
        <v>0</v>
      </c>
      <c r="I185">
        <f t="shared" ca="1" si="21"/>
        <v>0</v>
      </c>
      <c r="J185">
        <f t="shared" ca="1" si="22"/>
        <v>0</v>
      </c>
      <c r="K185" s="13">
        <f t="shared" ca="1" si="23"/>
        <v>0</v>
      </c>
      <c r="L185" t="e">
        <f>MATCH(_xlfn.CONCAT($B185,H$117),변환표준점수!$C$4:$ZZ$4,0)</f>
        <v>#N/A</v>
      </c>
      <c r="M185" t="e">
        <f>MATCH(_xlfn.CONCAT($B185,I$117),변환표준점수!$C$4:$ZZ$4,0)</f>
        <v>#N/A</v>
      </c>
      <c r="N185" t="e">
        <f>MATCH(_xlfn.CONCAT($B185,J$117),변환표준점수!$C$4:$ZZ$4,0)</f>
        <v>#N/A</v>
      </c>
      <c r="O185" t="e">
        <f>MATCH(_xlfn.CONCAT($B185,K$117),변환표준점수!$C$4:$ZZ$4,0)</f>
        <v>#N/A</v>
      </c>
      <c r="Q185" s="12"/>
    </row>
    <row r="186" spans="2:17" ht="18" hidden="1" customHeight="1">
      <c r="B186" s="14">
        <v>68</v>
      </c>
      <c r="C186" t="e">
        <f t="shared" ca="1" si="16"/>
        <v>#N/A</v>
      </c>
      <c r="D186" t="e">
        <f t="shared" ca="1" si="17"/>
        <v>#N/A</v>
      </c>
      <c r="F186" s="14">
        <f t="shared" ca="1" si="18"/>
        <v>0</v>
      </c>
      <c r="G186" s="13">
        <f t="shared" ca="1" si="19"/>
        <v>0</v>
      </c>
      <c r="H186">
        <f t="shared" ca="1" si="20"/>
        <v>0</v>
      </c>
      <c r="I186">
        <f t="shared" ca="1" si="21"/>
        <v>0</v>
      </c>
      <c r="J186">
        <f t="shared" ca="1" si="22"/>
        <v>0</v>
      </c>
      <c r="K186" s="13">
        <f t="shared" ca="1" si="23"/>
        <v>0</v>
      </c>
      <c r="L186" t="e">
        <f>MATCH(_xlfn.CONCAT($B186,H$117),변환표준점수!$C$4:$ZZ$4,0)</f>
        <v>#N/A</v>
      </c>
      <c r="M186" t="e">
        <f>MATCH(_xlfn.CONCAT($B186,I$117),변환표준점수!$C$4:$ZZ$4,0)</f>
        <v>#N/A</v>
      </c>
      <c r="N186" t="e">
        <f>MATCH(_xlfn.CONCAT($B186,J$117),변환표준점수!$C$4:$ZZ$4,0)</f>
        <v>#N/A</v>
      </c>
      <c r="O186" t="e">
        <f>MATCH(_xlfn.CONCAT($B186,K$117),변환표준점수!$C$4:$ZZ$4,0)</f>
        <v>#N/A</v>
      </c>
      <c r="Q186" s="12"/>
    </row>
    <row r="187" spans="2:17" ht="18" hidden="1" customHeight="1">
      <c r="B187" s="14">
        <v>69</v>
      </c>
      <c r="C187" t="e">
        <f t="shared" ca="1" si="16"/>
        <v>#N/A</v>
      </c>
      <c r="D187" t="e">
        <f t="shared" ca="1" si="17"/>
        <v>#N/A</v>
      </c>
      <c r="F187" s="14">
        <f t="shared" ca="1" si="18"/>
        <v>0</v>
      </c>
      <c r="G187" s="13">
        <f t="shared" ca="1" si="19"/>
        <v>0</v>
      </c>
      <c r="H187">
        <f t="shared" ca="1" si="20"/>
        <v>0</v>
      </c>
      <c r="I187">
        <f t="shared" ca="1" si="21"/>
        <v>0</v>
      </c>
      <c r="J187">
        <f t="shared" ca="1" si="22"/>
        <v>0</v>
      </c>
      <c r="K187" s="13">
        <f t="shared" ca="1" si="23"/>
        <v>0</v>
      </c>
      <c r="L187" t="e">
        <f>MATCH(_xlfn.CONCAT($B187,H$117),변환표준점수!$C$4:$ZZ$4,0)</f>
        <v>#N/A</v>
      </c>
      <c r="M187" t="e">
        <f>MATCH(_xlfn.CONCAT($B187,I$117),변환표준점수!$C$4:$ZZ$4,0)</f>
        <v>#N/A</v>
      </c>
      <c r="N187" t="e">
        <f>MATCH(_xlfn.CONCAT($B187,J$117),변환표준점수!$C$4:$ZZ$4,0)</f>
        <v>#N/A</v>
      </c>
      <c r="O187" t="e">
        <f>MATCH(_xlfn.CONCAT($B187,K$117),변환표준점수!$C$4:$ZZ$4,0)</f>
        <v>#N/A</v>
      </c>
      <c r="Q187" s="12"/>
    </row>
    <row r="188" spans="2:17" ht="18" hidden="1" customHeight="1">
      <c r="B188" s="14">
        <v>70</v>
      </c>
      <c r="C188" t="e">
        <f t="shared" ca="1" si="16"/>
        <v>#N/A</v>
      </c>
      <c r="D188" t="e">
        <f t="shared" ca="1" si="17"/>
        <v>#N/A</v>
      </c>
      <c r="F188" s="14">
        <f t="shared" ca="1" si="18"/>
        <v>0</v>
      </c>
      <c r="G188" s="13">
        <f t="shared" ca="1" si="19"/>
        <v>0</v>
      </c>
      <c r="H188">
        <f t="shared" ca="1" si="20"/>
        <v>0</v>
      </c>
      <c r="I188">
        <f t="shared" ca="1" si="21"/>
        <v>0</v>
      </c>
      <c r="J188">
        <f t="shared" ca="1" si="22"/>
        <v>0</v>
      </c>
      <c r="K188" s="13">
        <f t="shared" ca="1" si="23"/>
        <v>0</v>
      </c>
      <c r="L188" t="e">
        <f>MATCH(_xlfn.CONCAT($B188,H$117),변환표준점수!$C$4:$ZZ$4,0)</f>
        <v>#N/A</v>
      </c>
      <c r="M188" t="e">
        <f>MATCH(_xlfn.CONCAT($B188,I$117),변환표준점수!$C$4:$ZZ$4,0)</f>
        <v>#N/A</v>
      </c>
      <c r="N188" t="e">
        <f>MATCH(_xlfn.CONCAT($B188,J$117),변환표준점수!$C$4:$ZZ$4,0)</f>
        <v>#N/A</v>
      </c>
      <c r="O188" t="e">
        <f>MATCH(_xlfn.CONCAT($B188,K$117),변환표준점수!$C$4:$ZZ$4,0)</f>
        <v>#N/A</v>
      </c>
      <c r="Q188" s="12"/>
    </row>
    <row r="189" spans="2:17" ht="18" hidden="1" customHeight="1">
      <c r="B189" s="14">
        <v>71</v>
      </c>
      <c r="C189" t="e">
        <f t="shared" ca="1" si="16"/>
        <v>#N/A</v>
      </c>
      <c r="D189" t="e">
        <f t="shared" ca="1" si="17"/>
        <v>#N/A</v>
      </c>
      <c r="F189" s="14">
        <f t="shared" ca="1" si="18"/>
        <v>0</v>
      </c>
      <c r="G189" s="13">
        <f t="shared" ca="1" si="19"/>
        <v>0</v>
      </c>
      <c r="H189">
        <f t="shared" ca="1" si="20"/>
        <v>0</v>
      </c>
      <c r="I189">
        <f t="shared" ca="1" si="21"/>
        <v>0</v>
      </c>
      <c r="J189">
        <f t="shared" ca="1" si="22"/>
        <v>0</v>
      </c>
      <c r="K189" s="13">
        <f t="shared" ca="1" si="23"/>
        <v>0</v>
      </c>
      <c r="L189" t="e">
        <f>MATCH(_xlfn.CONCAT($B189,H$117),변환표준점수!$C$4:$ZZ$4,0)</f>
        <v>#N/A</v>
      </c>
      <c r="M189" t="e">
        <f>MATCH(_xlfn.CONCAT($B189,I$117),변환표준점수!$C$4:$ZZ$4,0)</f>
        <v>#N/A</v>
      </c>
      <c r="N189" t="e">
        <f>MATCH(_xlfn.CONCAT($B189,J$117),변환표준점수!$C$4:$ZZ$4,0)</f>
        <v>#N/A</v>
      </c>
      <c r="O189" t="e">
        <f>MATCH(_xlfn.CONCAT($B189,K$117),변환표준점수!$C$4:$ZZ$4,0)</f>
        <v>#N/A</v>
      </c>
      <c r="Q189" s="12"/>
    </row>
    <row r="190" spans="2:17" ht="18" hidden="1" customHeight="1">
      <c r="B190" s="14">
        <v>72</v>
      </c>
      <c r="C190" t="e">
        <f t="shared" ca="1" si="16"/>
        <v>#N/A</v>
      </c>
      <c r="D190" t="e">
        <f t="shared" ca="1" si="17"/>
        <v>#N/A</v>
      </c>
      <c r="F190" s="14">
        <f t="shared" ca="1" si="18"/>
        <v>0</v>
      </c>
      <c r="G190" s="13">
        <f t="shared" ca="1" si="19"/>
        <v>0</v>
      </c>
      <c r="H190">
        <f t="shared" ca="1" si="20"/>
        <v>0</v>
      </c>
      <c r="I190">
        <f t="shared" ca="1" si="21"/>
        <v>0</v>
      </c>
      <c r="J190">
        <f t="shared" ca="1" si="22"/>
        <v>0</v>
      </c>
      <c r="K190" s="13">
        <f t="shared" ca="1" si="23"/>
        <v>0</v>
      </c>
      <c r="L190" t="e">
        <f>MATCH(_xlfn.CONCAT($B190,H$117),변환표준점수!$C$4:$ZZ$4,0)</f>
        <v>#N/A</v>
      </c>
      <c r="M190" t="e">
        <f>MATCH(_xlfn.CONCAT($B190,I$117),변환표준점수!$C$4:$ZZ$4,0)</f>
        <v>#N/A</v>
      </c>
      <c r="N190" t="e">
        <f>MATCH(_xlfn.CONCAT($B190,J$117),변환표준점수!$C$4:$ZZ$4,0)</f>
        <v>#N/A</v>
      </c>
      <c r="O190" t="e">
        <f>MATCH(_xlfn.CONCAT($B190,K$117),변환표준점수!$C$4:$ZZ$4,0)</f>
        <v>#N/A</v>
      </c>
      <c r="Q190" s="12"/>
    </row>
    <row r="191" spans="2:17" ht="18" hidden="1" customHeight="1">
      <c r="B191" s="14">
        <v>73</v>
      </c>
      <c r="C191" t="e">
        <f t="shared" ca="1" si="16"/>
        <v>#N/A</v>
      </c>
      <c r="D191" t="e">
        <f t="shared" ca="1" si="17"/>
        <v>#N/A</v>
      </c>
      <c r="F191" s="14">
        <f t="shared" ca="1" si="18"/>
        <v>0</v>
      </c>
      <c r="G191" s="13">
        <f t="shared" ca="1" si="19"/>
        <v>0</v>
      </c>
      <c r="H191">
        <f t="shared" ca="1" si="20"/>
        <v>0</v>
      </c>
      <c r="I191">
        <f t="shared" ca="1" si="21"/>
        <v>0</v>
      </c>
      <c r="J191">
        <f t="shared" ca="1" si="22"/>
        <v>0</v>
      </c>
      <c r="K191" s="13">
        <f t="shared" ca="1" si="23"/>
        <v>0</v>
      </c>
      <c r="L191" t="e">
        <f>MATCH(_xlfn.CONCAT($B191,H$117),변환표준점수!$C$4:$ZZ$4,0)</f>
        <v>#N/A</v>
      </c>
      <c r="M191" t="e">
        <f>MATCH(_xlfn.CONCAT($B191,I$117),변환표준점수!$C$4:$ZZ$4,0)</f>
        <v>#N/A</v>
      </c>
      <c r="N191" t="e">
        <f>MATCH(_xlfn.CONCAT($B191,J$117),변환표준점수!$C$4:$ZZ$4,0)</f>
        <v>#N/A</v>
      </c>
      <c r="O191" t="e">
        <f>MATCH(_xlfn.CONCAT($B191,K$117),변환표준점수!$C$4:$ZZ$4,0)</f>
        <v>#N/A</v>
      </c>
      <c r="Q191" s="12"/>
    </row>
    <row r="192" spans="2:17" ht="18" hidden="1" customHeight="1">
      <c r="B192" s="14">
        <v>74</v>
      </c>
      <c r="C192" t="e">
        <f t="shared" ca="1" si="16"/>
        <v>#N/A</v>
      </c>
      <c r="D192" t="e">
        <f t="shared" ca="1" si="17"/>
        <v>#N/A</v>
      </c>
      <c r="F192" s="14">
        <f t="shared" ca="1" si="18"/>
        <v>0</v>
      </c>
      <c r="G192" s="13">
        <f t="shared" ca="1" si="19"/>
        <v>0</v>
      </c>
      <c r="H192">
        <f t="shared" ca="1" si="20"/>
        <v>0</v>
      </c>
      <c r="I192">
        <f t="shared" ca="1" si="21"/>
        <v>0</v>
      </c>
      <c r="J192">
        <f t="shared" ca="1" si="22"/>
        <v>0</v>
      </c>
      <c r="K192" s="13">
        <f t="shared" ca="1" si="23"/>
        <v>0</v>
      </c>
      <c r="L192" t="e">
        <f>MATCH(_xlfn.CONCAT($B192,H$117),변환표준점수!$C$4:$ZZ$4,0)</f>
        <v>#N/A</v>
      </c>
      <c r="M192" t="e">
        <f>MATCH(_xlfn.CONCAT($B192,I$117),변환표준점수!$C$4:$ZZ$4,0)</f>
        <v>#N/A</v>
      </c>
      <c r="N192" t="e">
        <f>MATCH(_xlfn.CONCAT($B192,J$117),변환표준점수!$C$4:$ZZ$4,0)</f>
        <v>#N/A</v>
      </c>
      <c r="O192" t="e">
        <f>MATCH(_xlfn.CONCAT($B192,K$117),변환표준점수!$C$4:$ZZ$4,0)</f>
        <v>#N/A</v>
      </c>
      <c r="Q192" s="12"/>
    </row>
    <row r="193" spans="2:17" ht="18" hidden="1" customHeight="1">
      <c r="B193" s="14">
        <v>75</v>
      </c>
      <c r="C193" t="e">
        <f t="shared" ca="1" si="16"/>
        <v>#N/A</v>
      </c>
      <c r="D193" t="e">
        <f t="shared" ca="1" si="17"/>
        <v>#N/A</v>
      </c>
      <c r="F193" s="14">
        <f t="shared" ca="1" si="18"/>
        <v>0</v>
      </c>
      <c r="G193" s="13">
        <f t="shared" ca="1" si="19"/>
        <v>0</v>
      </c>
      <c r="H193">
        <f t="shared" ca="1" si="20"/>
        <v>0</v>
      </c>
      <c r="I193">
        <f t="shared" ca="1" si="21"/>
        <v>0</v>
      </c>
      <c r="J193">
        <f t="shared" ca="1" si="22"/>
        <v>0</v>
      </c>
      <c r="K193" s="13">
        <f t="shared" ca="1" si="23"/>
        <v>0</v>
      </c>
      <c r="L193" t="e">
        <f>MATCH(_xlfn.CONCAT($B193,H$117),변환표준점수!$C$4:$ZZ$4,0)</f>
        <v>#N/A</v>
      </c>
      <c r="M193" t="e">
        <f>MATCH(_xlfn.CONCAT($B193,I$117),변환표준점수!$C$4:$ZZ$4,0)</f>
        <v>#N/A</v>
      </c>
      <c r="N193" t="e">
        <f>MATCH(_xlfn.CONCAT($B193,J$117),변환표준점수!$C$4:$ZZ$4,0)</f>
        <v>#N/A</v>
      </c>
      <c r="O193" t="e">
        <f>MATCH(_xlfn.CONCAT($B193,K$117),변환표준점수!$C$4:$ZZ$4,0)</f>
        <v>#N/A</v>
      </c>
      <c r="Q193" s="12"/>
    </row>
    <row r="194" spans="2:17" ht="18" hidden="1" customHeight="1">
      <c r="B194" s="14">
        <v>76</v>
      </c>
      <c r="C194" t="e">
        <f t="shared" ca="1" si="16"/>
        <v>#N/A</v>
      </c>
      <c r="D194" t="e">
        <f t="shared" ca="1" si="17"/>
        <v>#N/A</v>
      </c>
      <c r="F194" s="14">
        <f t="shared" ca="1" si="18"/>
        <v>0</v>
      </c>
      <c r="G194" s="13">
        <f t="shared" ca="1" si="19"/>
        <v>0</v>
      </c>
      <c r="H194">
        <f t="shared" ca="1" si="20"/>
        <v>0</v>
      </c>
      <c r="I194">
        <f t="shared" ca="1" si="21"/>
        <v>0</v>
      </c>
      <c r="J194">
        <f t="shared" ca="1" si="22"/>
        <v>0</v>
      </c>
      <c r="K194" s="13">
        <f t="shared" ca="1" si="23"/>
        <v>0</v>
      </c>
      <c r="L194" t="e">
        <f>MATCH(_xlfn.CONCAT($B194,H$117),변환표준점수!$C$4:$ZZ$4,0)</f>
        <v>#N/A</v>
      </c>
      <c r="M194" t="e">
        <f>MATCH(_xlfn.CONCAT($B194,I$117),변환표준점수!$C$4:$ZZ$4,0)</f>
        <v>#N/A</v>
      </c>
      <c r="N194" t="e">
        <f>MATCH(_xlfn.CONCAT($B194,J$117),변환표준점수!$C$4:$ZZ$4,0)</f>
        <v>#N/A</v>
      </c>
      <c r="O194" t="e">
        <f>MATCH(_xlfn.CONCAT($B194,K$117),변환표준점수!$C$4:$ZZ$4,0)</f>
        <v>#N/A</v>
      </c>
      <c r="Q194" s="12"/>
    </row>
    <row r="195" spans="2:17" ht="18" hidden="1" customHeight="1">
      <c r="B195" s="14">
        <v>77</v>
      </c>
      <c r="C195" t="e">
        <f t="shared" ca="1" si="16"/>
        <v>#N/A</v>
      </c>
      <c r="D195" t="e">
        <f t="shared" ca="1" si="17"/>
        <v>#N/A</v>
      </c>
      <c r="F195" s="14">
        <f t="shared" ca="1" si="18"/>
        <v>0</v>
      </c>
      <c r="G195" s="13">
        <f t="shared" ca="1" si="19"/>
        <v>0</v>
      </c>
      <c r="H195">
        <f t="shared" ca="1" si="20"/>
        <v>0</v>
      </c>
      <c r="I195">
        <f t="shared" ca="1" si="21"/>
        <v>0</v>
      </c>
      <c r="J195">
        <f t="shared" ca="1" si="22"/>
        <v>0</v>
      </c>
      <c r="K195" s="13">
        <f t="shared" ca="1" si="23"/>
        <v>0</v>
      </c>
      <c r="L195" t="e">
        <f>MATCH(_xlfn.CONCAT($B195,H$117),변환표준점수!$C$4:$ZZ$4,0)</f>
        <v>#N/A</v>
      </c>
      <c r="M195" t="e">
        <f>MATCH(_xlfn.CONCAT($B195,I$117),변환표준점수!$C$4:$ZZ$4,0)</f>
        <v>#N/A</v>
      </c>
      <c r="N195" t="e">
        <f>MATCH(_xlfn.CONCAT($B195,J$117),변환표준점수!$C$4:$ZZ$4,0)</f>
        <v>#N/A</v>
      </c>
      <c r="O195" t="e">
        <f>MATCH(_xlfn.CONCAT($B195,K$117),변환표준점수!$C$4:$ZZ$4,0)</f>
        <v>#N/A</v>
      </c>
      <c r="Q195" s="12"/>
    </row>
    <row r="196" spans="2:17" ht="18" hidden="1" customHeight="1">
      <c r="B196" s="14">
        <v>78</v>
      </c>
      <c r="C196" t="e">
        <f t="shared" ca="1" si="16"/>
        <v>#N/A</v>
      </c>
      <c r="D196" t="e">
        <f t="shared" ca="1" si="17"/>
        <v>#N/A</v>
      </c>
      <c r="F196" s="14">
        <f t="shared" ca="1" si="18"/>
        <v>0</v>
      </c>
      <c r="G196" s="13">
        <f t="shared" ca="1" si="19"/>
        <v>0</v>
      </c>
      <c r="H196">
        <f t="shared" ca="1" si="20"/>
        <v>0</v>
      </c>
      <c r="I196">
        <f t="shared" ca="1" si="21"/>
        <v>0</v>
      </c>
      <c r="J196">
        <f t="shared" ca="1" si="22"/>
        <v>0</v>
      </c>
      <c r="K196" s="13">
        <f t="shared" ca="1" si="23"/>
        <v>0</v>
      </c>
      <c r="L196" t="e">
        <f>MATCH(_xlfn.CONCAT($B196,H$117),변환표준점수!$C$4:$ZZ$4,0)</f>
        <v>#N/A</v>
      </c>
      <c r="M196" t="e">
        <f>MATCH(_xlfn.CONCAT($B196,I$117),변환표준점수!$C$4:$ZZ$4,0)</f>
        <v>#N/A</v>
      </c>
      <c r="N196" t="e">
        <f>MATCH(_xlfn.CONCAT($B196,J$117),변환표준점수!$C$4:$ZZ$4,0)</f>
        <v>#N/A</v>
      </c>
      <c r="O196" t="e">
        <f>MATCH(_xlfn.CONCAT($B196,K$117),변환표준점수!$C$4:$ZZ$4,0)</f>
        <v>#N/A</v>
      </c>
      <c r="Q196" s="12"/>
    </row>
    <row r="197" spans="2:17" ht="18" hidden="1" customHeight="1">
      <c r="B197" s="14">
        <v>79</v>
      </c>
      <c r="C197" t="e">
        <f t="shared" ca="1" si="16"/>
        <v>#N/A</v>
      </c>
      <c r="D197" t="e">
        <f t="shared" ca="1" si="17"/>
        <v>#N/A</v>
      </c>
      <c r="F197" s="14">
        <f t="shared" ca="1" si="18"/>
        <v>0</v>
      </c>
      <c r="G197" s="13">
        <f t="shared" ca="1" si="19"/>
        <v>0</v>
      </c>
      <c r="H197">
        <f t="shared" ca="1" si="20"/>
        <v>0</v>
      </c>
      <c r="I197">
        <f t="shared" ca="1" si="21"/>
        <v>0</v>
      </c>
      <c r="J197">
        <f t="shared" ca="1" si="22"/>
        <v>0</v>
      </c>
      <c r="K197" s="13">
        <f t="shared" ca="1" si="23"/>
        <v>0</v>
      </c>
      <c r="L197" t="e">
        <f>MATCH(_xlfn.CONCAT($B197,H$117),변환표준점수!$C$4:$ZZ$4,0)</f>
        <v>#N/A</v>
      </c>
      <c r="M197" t="e">
        <f>MATCH(_xlfn.CONCAT($B197,I$117),변환표준점수!$C$4:$ZZ$4,0)</f>
        <v>#N/A</v>
      </c>
      <c r="N197" t="e">
        <f>MATCH(_xlfn.CONCAT($B197,J$117),변환표준점수!$C$4:$ZZ$4,0)</f>
        <v>#N/A</v>
      </c>
      <c r="O197" t="e">
        <f>MATCH(_xlfn.CONCAT($B197,K$117),변환표준점수!$C$4:$ZZ$4,0)</f>
        <v>#N/A</v>
      </c>
      <c r="Q197" s="12"/>
    </row>
    <row r="198" spans="2:17" ht="18" hidden="1" customHeight="1" thickBot="1">
      <c r="B198" s="5">
        <v>80</v>
      </c>
      <c r="C198" s="4" t="e">
        <f t="shared" ca="1" si="16"/>
        <v>#N/A</v>
      </c>
      <c r="D198" s="4" t="e">
        <f t="shared" ca="1" si="17"/>
        <v>#N/A</v>
      </c>
      <c r="E198" s="4"/>
      <c r="F198" s="5">
        <f t="shared" ca="1" si="18"/>
        <v>0</v>
      </c>
      <c r="G198" s="15">
        <f t="shared" ca="1" si="19"/>
        <v>0</v>
      </c>
      <c r="H198" s="4">
        <f t="shared" ca="1" si="20"/>
        <v>0</v>
      </c>
      <c r="I198" s="4">
        <f t="shared" ca="1" si="21"/>
        <v>0</v>
      </c>
      <c r="J198" s="4">
        <f t="shared" ca="1" si="22"/>
        <v>0</v>
      </c>
      <c r="K198" s="15">
        <f t="shared" ca="1" si="23"/>
        <v>0</v>
      </c>
      <c r="L198" s="18" t="e">
        <f>MATCH(_xlfn.CONCAT($B198,H$117),변환표준점수!$C$4:$ZZ$4,0)</f>
        <v>#N/A</v>
      </c>
      <c r="M198" s="7" t="e">
        <f>MATCH(_xlfn.CONCAT($B198,I$117),변환표준점수!$C$4:$ZZ$4,0)</f>
        <v>#N/A</v>
      </c>
      <c r="N198" s="553" t="e">
        <f>MATCH(_xlfn.CONCAT($B198,J$117),변환표준점수!$C$4:$ZZ$4,0)</f>
        <v>#N/A</v>
      </c>
      <c r="O198" s="553" t="e">
        <f>MATCH(_xlfn.CONCAT($B198,K$117),변환표준점수!$C$4:$ZZ$4,0)</f>
        <v>#N/A</v>
      </c>
      <c r="P198" s="553"/>
      <c r="Q198" s="554"/>
    </row>
    <row r="199" spans="2:17" ht="18" customHeight="1"/>
    <row r="200" spans="2:17" ht="15.75" customHeight="1"/>
    <row r="201" spans="2:17" ht="15.75" customHeight="1"/>
  </sheetData>
  <sheetProtection algorithmName="SHA-512" hashValue="nP0CLhecNCo1LlEa7g5Hf63r6aFzYcBWqclLsyXRC6vXPoL+6iEeltCS43ntAUK7AATSs0YmhZDisTzt5uceeg==" saltValue="YClb2mfMB0rwRAH6yG9R/Q==" spinCount="100000" sheet="1" objects="1" scenarios="1"/>
  <phoneticPr fontId="3" type="noConversion"/>
  <conditionalFormatting sqref="C5:Z75 AC5:BR75">
    <cfRule type="expression" dxfId="17" priority="2">
      <formula>C5&lt;C6</formula>
    </cfRule>
  </conditionalFormatting>
  <conditionalFormatting sqref="C75:Z75 AC75:BR75">
    <cfRule type="expression" dxfId="16" priority="3">
      <formula>C75&lt;C77</formula>
    </cfRule>
  </conditionalFormatting>
  <conditionalFormatting sqref="C3:CD3">
    <cfRule type="duplicateValues" dxfId="15" priority="1"/>
  </conditionalFormatting>
  <conditionalFormatting sqref="CE5:FF75">
    <cfRule type="expression" dxfId="14" priority="7">
      <formula>CE5&lt;CE6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8E17-CF19-45F1-9D95-12ED4ACD46EB}">
  <dimension ref="A1:RJ2286"/>
  <sheetViews>
    <sheetView zoomScale="85" zoomScaleNormal="85" workbookViewId="0">
      <pane ySplit="11" topLeftCell="A2261" activePane="bottomLeft" state="frozen"/>
      <selection activeCell="I1" sqref="I1:Q3"/>
      <selection pane="bottomLeft" activeCell="A8" sqref="A8:O2286"/>
    </sheetView>
  </sheetViews>
  <sheetFormatPr baseColWidth="10" defaultColWidth="9" defaultRowHeight="17"/>
  <cols>
    <col min="1" max="1" width="7.5" style="3" customWidth="1"/>
    <col min="2" max="2" width="9.1640625" style="3" customWidth="1"/>
    <col min="3" max="3" width="5.5" style="3" customWidth="1"/>
    <col min="4" max="4" width="9" style="3"/>
    <col min="5" max="5" width="11.1640625" style="3" customWidth="1"/>
    <col min="6" max="6" width="5.5" style="3" customWidth="1"/>
    <col min="7" max="7" width="8" style="20" customWidth="1"/>
    <col min="8" max="12" width="10.33203125" style="3" customWidth="1"/>
    <col min="13" max="14" width="7.5" style="232" customWidth="1"/>
    <col min="15" max="16" width="8.6640625" style="3" customWidth="1"/>
    <col min="17" max="17" width="6.83203125" style="56" customWidth="1"/>
    <col min="18" max="18" width="6.83203125" style="3" customWidth="1"/>
    <col min="19" max="19" width="8.83203125"/>
    <col min="20" max="20" width="18.33203125" style="3" customWidth="1"/>
    <col min="21" max="21" width="10.6640625" style="3" customWidth="1"/>
    <col min="22" max="31" width="5.5" style="3" customWidth="1"/>
    <col min="32" max="32" width="7.1640625" style="3" customWidth="1"/>
    <col min="33" max="33" width="7.83203125" style="3" customWidth="1"/>
    <col min="34" max="34" width="13.5" style="56" customWidth="1"/>
    <col min="35" max="35" width="12.1640625" style="3" customWidth="1"/>
    <col min="36" max="36" width="10.1640625" style="3" customWidth="1"/>
    <col min="37" max="37" width="8.1640625" style="3" customWidth="1"/>
    <col min="38" max="38" width="12.1640625" style="3" customWidth="1"/>
    <col min="39" max="58" width="9" style="3"/>
    <col min="59" max="60" width="9.6640625" style="3" customWidth="1"/>
    <col min="61" max="61" width="9" style="3"/>
    <col min="62" max="62" width="10" style="3" customWidth="1"/>
    <col min="63" max="138" width="9" style="3"/>
    <col min="139" max="139" width="11.5" style="3" customWidth="1"/>
    <col min="140" max="148" width="9" style="3"/>
    <col min="149" max="150" width="14" style="3" customWidth="1"/>
    <col min="151" max="163" width="11.6640625" style="3" customWidth="1"/>
    <col min="164" max="169" width="9" style="3"/>
    <col min="170" max="170" width="16.33203125" style="3" customWidth="1"/>
    <col min="171" max="171" width="18.33203125" style="3" customWidth="1"/>
    <col min="172" max="174" width="9" style="3"/>
    <col min="175" max="198" width="9.83203125" style="3" customWidth="1"/>
    <col min="199" max="426" width="9" style="3"/>
    <col min="427" max="429" width="9" style="3" customWidth="1"/>
    <col min="430" max="16384" width="9" style="3"/>
  </cols>
  <sheetData>
    <row r="1" spans="1:478">
      <c r="G1" s="3"/>
      <c r="H1" s="33"/>
      <c r="O1"/>
      <c r="P1"/>
      <c r="Q1"/>
      <c r="R1"/>
      <c r="AH1" s="3"/>
    </row>
    <row r="2" spans="1:478" ht="18" thickBot="1">
      <c r="G2" s="3"/>
      <c r="O2"/>
      <c r="P2"/>
      <c r="Q2"/>
      <c r="R2"/>
      <c r="T2" s="29"/>
      <c r="AH2" s="3"/>
    </row>
    <row r="3" spans="1:478">
      <c r="A3" s="96"/>
      <c r="B3" s="97"/>
      <c r="C3" s="97"/>
      <c r="D3" s="98"/>
      <c r="E3" s="99"/>
      <c r="G3" s="3"/>
      <c r="H3" s="144"/>
      <c r="I3"/>
      <c r="J3"/>
      <c r="K3"/>
      <c r="O3"/>
      <c r="P3"/>
      <c r="Q3"/>
      <c r="R3"/>
      <c r="AH3" s="3"/>
    </row>
    <row r="4" spans="1:478" ht="18" thickBot="1">
      <c r="A4" s="39"/>
      <c r="B4" s="100"/>
      <c r="C4" s="100"/>
      <c r="D4" s="101"/>
      <c r="E4" s="102">
        <v>1</v>
      </c>
      <c r="G4" s="3"/>
      <c r="H4"/>
      <c r="I4"/>
      <c r="J4"/>
      <c r="K4"/>
      <c r="O4"/>
      <c r="P4"/>
      <c r="Q4"/>
      <c r="R4"/>
      <c r="AH4" s="95"/>
    </row>
    <row r="5" spans="1:478" ht="18" thickBot="1">
      <c r="D5" s="103" t="str">
        <f>IF(E4=1,"표준점수 기준",IF(E4=9,"원점수 기준"))</f>
        <v>표준점수 기준</v>
      </c>
      <c r="E5" s="104"/>
      <c r="H5"/>
      <c r="I5"/>
      <c r="J5"/>
      <c r="K5"/>
      <c r="O5"/>
      <c r="P5"/>
      <c r="Q5"/>
      <c r="R5"/>
    </row>
    <row r="6" spans="1:478">
      <c r="O6"/>
      <c r="P6"/>
      <c r="Q6"/>
      <c r="R6"/>
      <c r="AM6" s="30"/>
      <c r="BJ6" s="30"/>
      <c r="DJ6" s="95"/>
      <c r="EO6" s="30"/>
      <c r="GO6" s="95"/>
      <c r="HT6" s="30"/>
      <c r="JT6" s="95"/>
      <c r="KY6" s="30"/>
      <c r="MY6" s="95"/>
      <c r="OD6" s="30"/>
      <c r="QD6" s="95"/>
    </row>
    <row r="7" spans="1:478" ht="18" thickBot="1">
      <c r="A7" s="236" t="s">
        <v>536</v>
      </c>
      <c r="B7" s="237" t="s">
        <v>537</v>
      </c>
      <c r="C7" s="238"/>
      <c r="H7" s="105"/>
      <c r="L7" s="25" t="s">
        <v>7404</v>
      </c>
      <c r="Q7" s="3"/>
      <c r="T7" s="161" t="s">
        <v>504</v>
      </c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BT7" s="30"/>
      <c r="BU7" s="30"/>
      <c r="CC7" s="68"/>
      <c r="CL7" s="68"/>
      <c r="CS7" s="64"/>
      <c r="CT7" s="106"/>
      <c r="CU7" s="106"/>
      <c r="CV7" s="107"/>
      <c r="CW7" s="30"/>
      <c r="DM7" s="30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L7" s="108"/>
      <c r="EM7" s="108"/>
      <c r="EY7" s="30"/>
      <c r="EZ7" s="30"/>
      <c r="FQ7" s="68"/>
      <c r="FX7" s="64"/>
      <c r="FY7" s="106"/>
      <c r="FZ7" s="106"/>
      <c r="GA7" s="107"/>
      <c r="GB7" s="30"/>
      <c r="GR7" s="30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Q7" s="108"/>
      <c r="HR7" s="108"/>
      <c r="ID7" s="30"/>
      <c r="IE7" s="30"/>
      <c r="IV7" s="68"/>
      <c r="JC7" s="64"/>
      <c r="JD7" s="106"/>
      <c r="JE7" s="106"/>
      <c r="JF7" s="107"/>
      <c r="JG7" s="30"/>
      <c r="JW7" s="30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V7" s="108"/>
      <c r="KW7" s="108"/>
      <c r="LI7" s="30"/>
      <c r="LJ7" s="30"/>
      <c r="MA7" s="68"/>
      <c r="MH7" s="64"/>
      <c r="MI7" s="106"/>
      <c r="MJ7" s="106"/>
      <c r="MK7" s="107"/>
      <c r="ML7" s="30"/>
      <c r="NB7" s="30"/>
      <c r="NK7" s="62"/>
      <c r="NL7" s="62"/>
      <c r="NM7" s="62"/>
      <c r="NN7" s="62"/>
      <c r="NO7" s="62"/>
      <c r="NP7" s="62"/>
      <c r="NQ7" s="62"/>
      <c r="NR7" s="62"/>
      <c r="NS7" s="62"/>
      <c r="NT7" s="62"/>
      <c r="NU7" s="62"/>
      <c r="NV7" s="62"/>
      <c r="NW7" s="62"/>
      <c r="OA7" s="108"/>
      <c r="OB7" s="108"/>
      <c r="ON7" s="30"/>
      <c r="OO7" s="30"/>
      <c r="PF7" s="68"/>
      <c r="PM7" s="64"/>
      <c r="PN7" s="106"/>
      <c r="PO7" s="106"/>
      <c r="PP7" s="107"/>
      <c r="PQ7" s="30"/>
      <c r="QG7" s="30"/>
      <c r="QP7" s="62"/>
      <c r="QQ7" s="62"/>
      <c r="QR7" s="62"/>
      <c r="QS7" s="62"/>
      <c r="QT7" s="62"/>
      <c r="QU7" s="62"/>
      <c r="QV7" s="62"/>
      <c r="QW7" s="62"/>
      <c r="QX7" s="62"/>
      <c r="QY7" s="62"/>
      <c r="QZ7" s="62"/>
      <c r="RA7" s="62"/>
      <c r="RB7" s="62"/>
      <c r="RF7" s="108"/>
      <c r="RG7" s="108"/>
      <c r="RJ7" s="3" t="s">
        <v>190</v>
      </c>
    </row>
    <row r="8" spans="1:478" ht="18" thickBot="1">
      <c r="A8" s="510"/>
      <c r="B8" s="511"/>
      <c r="C8" s="511"/>
      <c r="D8" s="511"/>
      <c r="E8" s="511"/>
      <c r="F8" s="511"/>
      <c r="G8" s="511"/>
      <c r="H8" s="512" t="s">
        <v>7403</v>
      </c>
      <c r="I8" s="513"/>
      <c r="J8" s="513" t="s">
        <v>7642</v>
      </c>
      <c r="K8" s="513" t="s">
        <v>7643</v>
      </c>
      <c r="L8" s="514" t="s">
        <v>16538</v>
      </c>
      <c r="M8" s="233"/>
      <c r="N8" s="233"/>
      <c r="Q8" s="3"/>
      <c r="AL8" s="25"/>
      <c r="AM8" s="22"/>
      <c r="AN8" s="22"/>
      <c r="AO8" s="22"/>
      <c r="AP8" s="22"/>
      <c r="AQ8" s="22"/>
      <c r="BJ8" s="30"/>
      <c r="BK8" s="109"/>
      <c r="BL8" s="109"/>
      <c r="BM8" s="109"/>
      <c r="CL8" s="57"/>
      <c r="CO8" s="79"/>
      <c r="CS8" s="77"/>
      <c r="CT8" s="61"/>
      <c r="CU8" s="61"/>
      <c r="CV8" s="110"/>
      <c r="CW8" s="57"/>
      <c r="DG8" s="111"/>
      <c r="DH8" s="68"/>
      <c r="DJ8" s="68"/>
      <c r="DL8" s="112"/>
      <c r="DM8" s="57"/>
      <c r="DQ8" s="57"/>
      <c r="EA8" s="113"/>
      <c r="EK8" s="29"/>
      <c r="EO8" s="30"/>
      <c r="EP8" s="109"/>
      <c r="EQ8" s="109"/>
      <c r="ER8" s="109"/>
      <c r="FQ8" s="57"/>
      <c r="FT8" s="79"/>
      <c r="FX8" s="77"/>
      <c r="FY8" s="61"/>
      <c r="FZ8" s="61"/>
      <c r="GA8" s="110"/>
      <c r="GB8" s="57"/>
      <c r="GL8" s="111"/>
      <c r="GM8" s="68"/>
      <c r="GO8" s="68"/>
      <c r="GQ8" s="112"/>
      <c r="GR8" s="57"/>
      <c r="GV8" s="57"/>
      <c r="HF8" s="113"/>
      <c r="HP8" s="29"/>
      <c r="HT8" s="30"/>
      <c r="HU8" s="109"/>
      <c r="HV8" s="109"/>
      <c r="HW8" s="109"/>
      <c r="IV8" s="57"/>
      <c r="IY8" s="79"/>
      <c r="JC8" s="77"/>
      <c r="JD8" s="61"/>
      <c r="JE8" s="61"/>
      <c r="JF8" s="110"/>
      <c r="JG8" s="57"/>
      <c r="JQ8" s="111"/>
      <c r="JR8" s="68"/>
      <c r="JT8" s="68"/>
      <c r="JV8" s="112"/>
      <c r="JW8" s="57"/>
      <c r="KA8" s="57"/>
      <c r="KK8" s="113"/>
      <c r="KU8" s="29"/>
      <c r="KY8" s="30"/>
      <c r="KZ8" s="109"/>
      <c r="LA8" s="109"/>
      <c r="LB8" s="109"/>
      <c r="MA8" s="57"/>
      <c r="MD8" s="79"/>
      <c r="MH8" s="77"/>
      <c r="MI8" s="61"/>
      <c r="MJ8" s="61"/>
      <c r="MK8" s="110"/>
      <c r="ML8" s="57"/>
      <c r="MV8" s="111"/>
      <c r="MW8" s="68"/>
      <c r="MY8" s="68"/>
      <c r="NA8" s="112"/>
      <c r="NB8" s="57"/>
      <c r="NF8" s="57"/>
      <c r="NP8" s="113"/>
      <c r="NZ8" s="29"/>
      <c r="OD8" s="30"/>
      <c r="OE8" s="109"/>
      <c r="OF8" s="109"/>
      <c r="OG8" s="109"/>
      <c r="PF8" s="57"/>
      <c r="PI8" s="79"/>
      <c r="PM8" s="77"/>
      <c r="PN8" s="61"/>
      <c r="PO8" s="61"/>
      <c r="PP8" s="110"/>
      <c r="PQ8" s="57"/>
      <c r="QA8" s="111"/>
      <c r="QB8" s="68"/>
      <c r="QD8" s="68"/>
      <c r="QF8" s="112"/>
      <c r="QG8" s="57"/>
      <c r="QK8" s="57"/>
      <c r="QU8" s="113"/>
      <c r="RE8" s="29"/>
    </row>
    <row r="9" spans="1:478">
      <c r="A9" s="515">
        <v>992</v>
      </c>
      <c r="B9" s="516">
        <v>1890</v>
      </c>
      <c r="C9" s="517">
        <v>2275</v>
      </c>
      <c r="D9" s="511"/>
      <c r="E9" s="511"/>
      <c r="F9" s="511"/>
      <c r="G9" s="509" t="s">
        <v>7402</v>
      </c>
      <c r="H9" s="518" t="s">
        <v>16539</v>
      </c>
      <c r="I9" s="519"/>
      <c r="J9" s="519"/>
      <c r="K9" s="519"/>
      <c r="L9" s="520" t="s">
        <v>7644</v>
      </c>
      <c r="M9" s="234" t="s">
        <v>534</v>
      </c>
      <c r="N9" s="234"/>
      <c r="Q9" s="72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114"/>
      <c r="AK9" s="72"/>
      <c r="AL9" s="72"/>
      <c r="AM9" s="19"/>
      <c r="AN9" s="19"/>
      <c r="AO9" s="19"/>
      <c r="AP9" s="19"/>
      <c r="AQ9" s="19"/>
      <c r="AR9" s="19"/>
      <c r="AS9" s="19"/>
      <c r="AT9" s="19"/>
      <c r="AU9" s="19"/>
      <c r="AV9" s="19"/>
      <c r="AX9" s="19"/>
      <c r="AY9" s="19"/>
      <c r="AZ9" s="19"/>
      <c r="BA9" s="19"/>
      <c r="BI9" s="19"/>
      <c r="BJ9" s="19"/>
      <c r="BL9" s="34"/>
      <c r="BM9" s="19"/>
      <c r="BN9" s="19"/>
      <c r="BO9" s="19"/>
      <c r="BP9" s="19"/>
      <c r="BQ9" s="19"/>
      <c r="BR9" s="19"/>
      <c r="BS9" s="19"/>
      <c r="CA9" s="68"/>
      <c r="CK9" s="68"/>
      <c r="CL9" s="57"/>
      <c r="CO9" s="25"/>
      <c r="CP9" s="21"/>
      <c r="CQ9" s="21"/>
      <c r="CR9" s="68"/>
      <c r="CS9" s="115"/>
      <c r="CT9" s="68"/>
      <c r="CU9" s="68"/>
      <c r="CV9" s="68"/>
      <c r="CW9" s="25"/>
      <c r="CX9" s="68"/>
      <c r="CY9" s="68"/>
      <c r="DC9" s="29"/>
      <c r="DF9" s="68"/>
      <c r="DL9" s="116"/>
      <c r="DS9" s="117"/>
      <c r="DT9" s="117"/>
      <c r="DU9" s="74"/>
      <c r="DV9" s="57"/>
      <c r="DW9" s="57"/>
      <c r="DX9" s="57"/>
      <c r="DY9" s="57"/>
      <c r="DZ9" s="57"/>
      <c r="EB9" s="57"/>
      <c r="EC9" s="57"/>
      <c r="ED9" s="57"/>
      <c r="EE9" s="118"/>
      <c r="EF9" s="118"/>
      <c r="EG9" s="57"/>
      <c r="EH9" s="57"/>
      <c r="EI9" s="57"/>
      <c r="EJ9" s="57"/>
      <c r="EK9" s="119"/>
      <c r="EN9" s="19"/>
      <c r="EO9" s="19"/>
      <c r="EQ9" s="34"/>
      <c r="ER9" s="19"/>
      <c r="ES9" s="19"/>
      <c r="ET9" s="19"/>
      <c r="EU9" s="19"/>
      <c r="EV9" s="19"/>
      <c r="EW9" s="19"/>
      <c r="EX9" s="19"/>
      <c r="FF9" s="68"/>
      <c r="FP9" s="68"/>
      <c r="FQ9" s="57"/>
      <c r="FT9" s="25"/>
      <c r="FU9" s="21"/>
      <c r="FV9" s="21"/>
      <c r="FW9" s="68"/>
      <c r="FX9" s="115"/>
      <c r="FY9" s="68"/>
      <c r="FZ9" s="68"/>
      <c r="GA9" s="68"/>
      <c r="GB9" s="25"/>
      <c r="GC9" s="68"/>
      <c r="GD9" s="68"/>
      <c r="GH9" s="29"/>
      <c r="GK9" s="68"/>
      <c r="GQ9" s="116"/>
      <c r="HA9" s="57"/>
      <c r="HB9" s="57"/>
      <c r="HC9" s="57"/>
      <c r="HD9" s="57"/>
      <c r="HE9" s="57"/>
      <c r="HG9" s="57"/>
      <c r="HH9" s="57"/>
      <c r="HI9" s="57"/>
      <c r="HJ9" s="118"/>
      <c r="HK9" s="118"/>
      <c r="HL9" s="57"/>
      <c r="HM9" s="57"/>
      <c r="HN9" s="57"/>
      <c r="HO9" s="57"/>
      <c r="HP9" s="119"/>
      <c r="HS9" s="19"/>
      <c r="HT9" s="19"/>
      <c r="HV9" s="34"/>
      <c r="HW9" s="19"/>
      <c r="HX9" s="19"/>
      <c r="HY9" s="19"/>
      <c r="HZ9" s="19"/>
      <c r="IA9" s="19"/>
      <c r="IB9" s="19"/>
      <c r="IC9" s="19"/>
      <c r="IK9" s="68"/>
      <c r="IU9" s="68"/>
      <c r="IV9" s="57"/>
      <c r="IY9" s="25"/>
      <c r="IZ9" s="21"/>
      <c r="JA9" s="21"/>
      <c r="JB9" s="68"/>
      <c r="JC9" s="115"/>
      <c r="JD9" s="68"/>
      <c r="JE9" s="68"/>
      <c r="JF9" s="68"/>
      <c r="JG9" s="25"/>
      <c r="JH9" s="68"/>
      <c r="JI9" s="68"/>
      <c r="JM9" s="29"/>
      <c r="JP9" s="68"/>
      <c r="JV9" s="116"/>
      <c r="KF9" s="57"/>
      <c r="KG9" s="57"/>
      <c r="KH9" s="57"/>
      <c r="KI9" s="57"/>
      <c r="KJ9" s="57"/>
      <c r="KL9" s="57"/>
      <c r="KM9" s="57"/>
      <c r="KN9" s="57"/>
      <c r="KO9" s="118"/>
      <c r="KP9" s="118"/>
      <c r="KQ9" s="57"/>
      <c r="KR9" s="57"/>
      <c r="KS9" s="57"/>
      <c r="KT9" s="57"/>
      <c r="KU9" s="119"/>
      <c r="KX9" s="19"/>
      <c r="KY9" s="19"/>
      <c r="LA9" s="34"/>
      <c r="LB9" s="19"/>
      <c r="LC9" s="19"/>
      <c r="LD9" s="19"/>
      <c r="LE9" s="19"/>
      <c r="LF9" s="19"/>
      <c r="LG9" s="19"/>
      <c r="LH9" s="19"/>
      <c r="LP9" s="68"/>
      <c r="LZ9" s="68"/>
      <c r="MA9" s="57"/>
      <c r="MD9" s="25"/>
      <c r="ME9" s="21"/>
      <c r="MF9" s="21"/>
      <c r="MG9" s="68"/>
      <c r="MH9" s="115"/>
      <c r="MI9" s="68"/>
      <c r="MJ9" s="68"/>
      <c r="MK9" s="68"/>
      <c r="ML9" s="25"/>
      <c r="MM9" s="68"/>
      <c r="MN9" s="68"/>
      <c r="MR9" s="29"/>
      <c r="MU9" s="68"/>
      <c r="NA9" s="116"/>
      <c r="NK9" s="57"/>
      <c r="NL9" s="57"/>
      <c r="NM9" s="57"/>
      <c r="NN9" s="57"/>
      <c r="NO9" s="57"/>
      <c r="NQ9" s="57"/>
      <c r="NR9" s="57"/>
      <c r="NS9" s="57"/>
      <c r="NT9" s="118"/>
      <c r="NU9" s="118"/>
      <c r="NV9" s="57"/>
      <c r="NW9" s="57"/>
      <c r="NX9" s="57"/>
      <c r="NY9" s="57"/>
      <c r="NZ9" s="119"/>
      <c r="OC9" s="19"/>
      <c r="OD9" s="19"/>
      <c r="OF9" s="34"/>
      <c r="OG9" s="19"/>
      <c r="OH9" s="19"/>
      <c r="OI9" s="19"/>
      <c r="OJ9" s="19"/>
      <c r="OK9" s="19"/>
      <c r="OL9" s="19"/>
      <c r="OM9" s="19"/>
      <c r="OU9" s="68"/>
      <c r="PE9" s="68"/>
      <c r="PF9" s="57"/>
      <c r="PI9" s="25"/>
      <c r="PJ9" s="21"/>
      <c r="PK9" s="21"/>
      <c r="PL9" s="68"/>
      <c r="PM9" s="115"/>
      <c r="PN9" s="68"/>
      <c r="PO9" s="68"/>
      <c r="PP9" s="68"/>
      <c r="PQ9" s="25"/>
      <c r="PR9" s="68"/>
      <c r="PS9" s="68"/>
      <c r="PW9" s="29"/>
      <c r="PZ9" s="68"/>
      <c r="QF9" s="116"/>
      <c r="QP9" s="57"/>
      <c r="QQ9" s="57"/>
      <c r="QR9" s="57"/>
      <c r="QS9" s="57"/>
      <c r="QT9" s="57"/>
      <c r="QV9" s="57"/>
      <c r="QW9" s="57"/>
      <c r="QX9" s="57"/>
      <c r="QY9" s="118"/>
      <c r="QZ9" s="118"/>
      <c r="RA9" s="57"/>
      <c r="RB9" s="57"/>
      <c r="RC9" s="57"/>
      <c r="RD9" s="57"/>
      <c r="RE9" s="119"/>
    </row>
    <row r="10" spans="1:478">
      <c r="A10" s="521" t="s">
        <v>457</v>
      </c>
      <c r="B10" s="522" t="s">
        <v>409</v>
      </c>
      <c r="C10" s="522" t="s">
        <v>410</v>
      </c>
      <c r="D10" s="523" t="s">
        <v>411</v>
      </c>
      <c r="E10" s="523" t="s">
        <v>412</v>
      </c>
      <c r="F10" s="523" t="s">
        <v>413</v>
      </c>
      <c r="G10" s="524" t="s">
        <v>7405</v>
      </c>
      <c r="H10" s="525" t="s">
        <v>7406</v>
      </c>
      <c r="I10" s="526" t="s">
        <v>7407</v>
      </c>
      <c r="J10" s="526" t="s">
        <v>7408</v>
      </c>
      <c r="K10" s="526" t="s">
        <v>7409</v>
      </c>
      <c r="L10" s="526" t="s">
        <v>7410</v>
      </c>
      <c r="M10" s="234" t="s">
        <v>535</v>
      </c>
      <c r="N10" s="234" t="s">
        <v>297</v>
      </c>
      <c r="O10" s="21"/>
      <c r="P10" s="21"/>
      <c r="Q10" s="72"/>
      <c r="R10" s="21"/>
      <c r="T10" s="57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I10" s="72"/>
      <c r="AJ10" s="72"/>
      <c r="AK10" s="72"/>
      <c r="AL10" s="25"/>
      <c r="BC10" s="19"/>
      <c r="BD10" s="19"/>
      <c r="BE10" s="19"/>
      <c r="BF10" s="19"/>
      <c r="BG10" s="19"/>
      <c r="BH10" s="19"/>
      <c r="BI10" s="121"/>
      <c r="BJ10" s="121"/>
      <c r="BK10" s="121"/>
      <c r="BL10" s="121"/>
      <c r="BM10" s="122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DG10" s="112"/>
      <c r="DH10" s="112"/>
      <c r="DI10" s="112"/>
      <c r="DJ10" s="116"/>
      <c r="DK10" s="116"/>
      <c r="DL10" s="116"/>
      <c r="EI10" s="120"/>
      <c r="EJ10" s="123"/>
      <c r="EK10" s="119"/>
      <c r="EL10" s="22"/>
      <c r="EM10" s="22"/>
      <c r="EN10" s="121"/>
      <c r="EO10" s="121"/>
      <c r="EP10" s="121"/>
      <c r="EQ10" s="121"/>
      <c r="ER10" s="122"/>
      <c r="ES10" s="121"/>
      <c r="ET10" s="121"/>
      <c r="EU10" s="121"/>
      <c r="EV10" s="121"/>
      <c r="EW10" s="121"/>
      <c r="EX10" s="121"/>
      <c r="EY10" s="121"/>
      <c r="EZ10" s="121"/>
      <c r="FA10" s="121"/>
      <c r="FB10" s="121"/>
      <c r="FC10" s="121"/>
      <c r="FD10" s="121"/>
      <c r="FE10" s="121"/>
      <c r="FF10" s="121"/>
      <c r="GL10" s="112"/>
      <c r="GM10" s="112"/>
      <c r="GN10" s="112"/>
      <c r="GO10" s="116"/>
      <c r="GP10" s="116"/>
      <c r="GQ10" s="116"/>
      <c r="HN10" s="120"/>
      <c r="HO10" s="123"/>
      <c r="HP10" s="119"/>
      <c r="HQ10" s="22"/>
      <c r="HR10" s="22"/>
      <c r="HS10" s="121"/>
      <c r="HT10" s="121"/>
      <c r="HU10" s="121"/>
      <c r="HV10" s="121"/>
      <c r="HW10" s="122"/>
      <c r="HX10" s="121"/>
      <c r="HY10" s="121"/>
      <c r="HZ10" s="121"/>
      <c r="IA10" s="121"/>
      <c r="IB10" s="121"/>
      <c r="IC10" s="121"/>
      <c r="ID10" s="121"/>
      <c r="IE10" s="121"/>
      <c r="IF10" s="121"/>
      <c r="IG10" s="121"/>
      <c r="IH10" s="121"/>
      <c r="II10" s="121"/>
      <c r="IJ10" s="121"/>
      <c r="IK10" s="121"/>
      <c r="JQ10" s="112"/>
      <c r="JR10" s="112"/>
      <c r="JS10" s="112"/>
      <c r="JT10" s="116"/>
      <c r="JU10" s="116"/>
      <c r="JV10" s="116"/>
      <c r="KS10" s="120"/>
      <c r="KT10" s="123"/>
      <c r="KU10" s="119"/>
      <c r="KV10" s="22"/>
      <c r="KW10" s="22"/>
      <c r="KX10" s="121"/>
      <c r="KY10" s="121"/>
      <c r="KZ10" s="121"/>
      <c r="LA10" s="121"/>
      <c r="LB10" s="122"/>
      <c r="LC10" s="121"/>
      <c r="LD10" s="121"/>
      <c r="LE10" s="121"/>
      <c r="LF10" s="121"/>
      <c r="LG10" s="121"/>
      <c r="LH10" s="121"/>
      <c r="LI10" s="121"/>
      <c r="LJ10" s="121"/>
      <c r="LK10" s="121"/>
      <c r="LL10" s="121"/>
      <c r="LM10" s="121"/>
      <c r="LN10" s="121"/>
      <c r="LO10" s="121"/>
      <c r="LP10" s="121"/>
      <c r="MV10" s="112"/>
      <c r="MW10" s="112"/>
      <c r="MX10" s="112"/>
      <c r="MY10" s="116"/>
      <c r="MZ10" s="116"/>
      <c r="NA10" s="116"/>
      <c r="NX10" s="120"/>
      <c r="NY10" s="123"/>
      <c r="NZ10" s="119"/>
      <c r="OA10" s="22"/>
      <c r="OB10" s="22"/>
      <c r="OC10" s="121"/>
      <c r="OD10" s="121"/>
      <c r="OE10" s="121"/>
      <c r="OF10" s="121"/>
      <c r="OG10" s="122"/>
      <c r="OH10" s="121"/>
      <c r="OI10" s="121"/>
      <c r="OJ10" s="121"/>
      <c r="OK10" s="121"/>
      <c r="OL10" s="121"/>
      <c r="OM10" s="121"/>
      <c r="ON10" s="121"/>
      <c r="OO10" s="121"/>
      <c r="OP10" s="121"/>
      <c r="OQ10" s="121"/>
      <c r="OR10" s="121"/>
      <c r="OS10" s="121"/>
      <c r="OT10" s="121"/>
      <c r="OU10" s="121"/>
      <c r="QA10" s="112"/>
      <c r="QB10" s="112"/>
      <c r="QC10" s="112"/>
      <c r="QD10" s="116"/>
      <c r="QE10" s="116"/>
      <c r="QF10" s="116"/>
      <c r="RC10" s="120"/>
      <c r="RD10" s="123"/>
      <c r="RE10" s="119"/>
      <c r="RF10" s="22"/>
      <c r="RG10" s="22"/>
    </row>
    <row r="11" spans="1:478" s="124" customFormat="1">
      <c r="A11" s="230">
        <v>5</v>
      </c>
      <c r="B11" s="230">
        <v>60</v>
      </c>
      <c r="C11" s="230" t="s">
        <v>72</v>
      </c>
      <c r="D11" s="230" t="s">
        <v>73</v>
      </c>
      <c r="E11" s="508" t="s">
        <v>8019</v>
      </c>
      <c r="F11" s="230" t="s">
        <v>70</v>
      </c>
      <c r="G11" s="230">
        <v>1</v>
      </c>
      <c r="H11" s="231">
        <v>670.25900000000001</v>
      </c>
      <c r="I11" s="230">
        <v>669.46299999999997</v>
      </c>
      <c r="J11" s="230">
        <v>668.39</v>
      </c>
      <c r="K11" s="230">
        <v>663.41899999999998</v>
      </c>
      <c r="L11" s="230">
        <v>657.803</v>
      </c>
      <c r="M11" s="233" t="s">
        <v>530</v>
      </c>
      <c r="N11" s="233" t="s">
        <v>531</v>
      </c>
      <c r="O11" s="124" t="s">
        <v>569</v>
      </c>
      <c r="Q11" s="125"/>
      <c r="T11" s="124" t="str">
        <f>INDEX(환산공식!$E$16:$E$303,MATCH('배치점수 계산기'!A11,환산공식!$C$16:$C$303,0))</f>
        <v>연세대 자연</v>
      </c>
      <c r="U11" s="124">
        <f>A11</f>
        <v>5</v>
      </c>
      <c r="V11" s="124">
        <f>IF(OR(D11=0,D11=""),"",IF(LEFT(D11,1)=LEFT(T11,1),1,2))</f>
        <v>1</v>
      </c>
      <c r="W11" s="124">
        <f>IFERROR(INDEX(환산공식!Y$16:Y$302,MATCH($A11,환산공식!$C$16:$C$302,0)),"")</f>
        <v>1.0555555555555554</v>
      </c>
      <c r="X11" s="124">
        <f>IFERROR(INDEX(환산공식!Z$16:Z$302,MATCH($A11,환산공식!$C$16:$C$302,0)),"")</f>
        <v>1.583333333333333</v>
      </c>
      <c r="Y11" s="124">
        <f>IFERROR(INDEX(환산공식!AC$16:AC$302,MATCH($A11,환산공식!$C$16:$C$302,0)),"")</f>
        <v>1.583333333333333</v>
      </c>
      <c r="Z11" s="124">
        <f>W11/($W11+$X11+$Y11)</f>
        <v>0.25</v>
      </c>
      <c r="AA11" s="124">
        <f t="shared" ref="AA11:AB11" si="0">X11/($W11+$X11+$Y11)</f>
        <v>0.375</v>
      </c>
      <c r="AB11" s="124">
        <f t="shared" si="0"/>
        <v>0.375</v>
      </c>
      <c r="AC11" s="124">
        <f>INDEX(환산공식!$AQ$16:$AQ$303,MATCH('배치점수 계산기'!U11,환산공식!$C$16:$C$303,0))</f>
        <v>1</v>
      </c>
      <c r="AD11" s="124">
        <f>INDEX(환산공식!$BA$16:$BA$303,MATCH('배치점수 계산기'!U11,환산공식!$C$16:$C$303,0))</f>
        <v>4</v>
      </c>
      <c r="AE11" s="124" t="str">
        <f>IF(AC11=1,"표점",IF(AC11=12,"표점/만점",IF(AC11=2,"백분위")))</f>
        <v>표점</v>
      </c>
      <c r="AF11" s="124" t="str">
        <f>IF(AD11=1,"표점",IF(AD11=12,"표점/만점",IF(AD11=2,"백분위",IF(AD11=4,"변표",IF(AD11=42,"변표/만점")))))</f>
        <v>변표</v>
      </c>
      <c r="AH11" s="125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ER11" s="126"/>
      <c r="ES11" s="126"/>
      <c r="ET11" s="126"/>
      <c r="EU11" s="126"/>
      <c r="EV11" s="126"/>
      <c r="EW11" s="126"/>
      <c r="EX11" s="126"/>
      <c r="EY11" s="126"/>
      <c r="EZ11" s="126"/>
      <c r="FA11" s="126"/>
      <c r="FB11" s="126"/>
      <c r="FC11" s="126"/>
      <c r="FD11" s="126"/>
      <c r="FE11" s="126"/>
      <c r="FF11" s="126"/>
      <c r="HW11" s="126"/>
      <c r="HX11" s="126"/>
      <c r="HY11" s="126"/>
      <c r="HZ11" s="126"/>
      <c r="IA11" s="126"/>
      <c r="IB11" s="126"/>
      <c r="IC11" s="126"/>
      <c r="ID11" s="126"/>
      <c r="IE11" s="126"/>
      <c r="IF11" s="126"/>
      <c r="IG11" s="126"/>
      <c r="IH11" s="126"/>
      <c r="II11" s="126"/>
      <c r="IJ11" s="126"/>
      <c r="IK11" s="126"/>
      <c r="LB11" s="126"/>
      <c r="LC11" s="126"/>
      <c r="LD11" s="126"/>
      <c r="LE11" s="126"/>
      <c r="LF11" s="126"/>
      <c r="LG11" s="126"/>
      <c r="LH11" s="126"/>
      <c r="LI11" s="126"/>
      <c r="LJ11" s="126"/>
      <c r="LK11" s="126"/>
      <c r="LL11" s="126"/>
      <c r="LM11" s="126"/>
      <c r="LN11" s="126"/>
      <c r="LO11" s="126"/>
      <c r="LP11" s="126"/>
      <c r="OG11" s="126"/>
      <c r="OH11" s="126"/>
      <c r="OI11" s="126"/>
      <c r="OJ11" s="126"/>
      <c r="OK11" s="126"/>
      <c r="OL11" s="126"/>
      <c r="OM11" s="126"/>
      <c r="ON11" s="126"/>
      <c r="OO11" s="126"/>
      <c r="OP11" s="126"/>
      <c r="OQ11" s="126"/>
      <c r="OR11" s="126"/>
      <c r="OS11" s="126"/>
      <c r="OT11" s="126"/>
      <c r="OU11" s="126"/>
    </row>
    <row r="12" spans="1:478">
      <c r="A12">
        <v>5</v>
      </c>
      <c r="B12">
        <v>59</v>
      </c>
      <c r="C12" t="s">
        <v>72</v>
      </c>
      <c r="D12" t="s">
        <v>73</v>
      </c>
      <c r="E12" s="232" t="s">
        <v>7250</v>
      </c>
      <c r="F12" t="s">
        <v>70</v>
      </c>
      <c r="G12">
        <v>1</v>
      </c>
      <c r="H12">
        <v>665.02599999999995</v>
      </c>
      <c r="I12">
        <v>664.51400000000001</v>
      </c>
      <c r="J12">
        <v>662.35</v>
      </c>
      <c r="K12">
        <v>661.072</v>
      </c>
      <c r="L12">
        <v>656.12</v>
      </c>
      <c r="M12" s="233" t="s">
        <v>530</v>
      </c>
      <c r="N12" s="233" t="s">
        <v>531</v>
      </c>
      <c r="O12" s="3" t="s">
        <v>570</v>
      </c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ER12" s="127"/>
      <c r="ES12" s="127"/>
      <c r="ET12" s="127"/>
      <c r="EU12" s="127"/>
      <c r="EV12" s="127"/>
      <c r="EW12" s="127"/>
      <c r="EX12" s="127"/>
      <c r="EY12" s="127"/>
      <c r="EZ12" s="127"/>
      <c r="FA12" s="127"/>
      <c r="FB12" s="127"/>
      <c r="FC12" s="127"/>
      <c r="FD12" s="127"/>
      <c r="FE12" s="127"/>
      <c r="FF12" s="127"/>
      <c r="HW12" s="127"/>
      <c r="HX12" s="127"/>
      <c r="HY12" s="127"/>
      <c r="HZ12" s="127"/>
      <c r="IA12" s="127"/>
      <c r="IB12" s="127"/>
      <c r="IC12" s="127"/>
      <c r="ID12" s="127"/>
      <c r="IE12" s="127"/>
      <c r="IF12" s="127"/>
      <c r="IG12" s="127"/>
      <c r="IH12" s="127"/>
      <c r="II12" s="127"/>
      <c r="IJ12" s="127"/>
      <c r="IK12" s="127"/>
      <c r="LB12" s="127"/>
      <c r="LC12" s="127"/>
      <c r="LD12" s="127"/>
      <c r="LE12" s="127"/>
      <c r="LF12" s="127"/>
      <c r="LG12" s="127"/>
      <c r="LH12" s="127"/>
      <c r="LI12" s="127"/>
      <c r="LJ12" s="127"/>
      <c r="LK12" s="127"/>
      <c r="LL12" s="127"/>
      <c r="LM12" s="127"/>
      <c r="LN12" s="127"/>
      <c r="LO12" s="127"/>
      <c r="LP12" s="127"/>
      <c r="OG12" s="127"/>
      <c r="OH12" s="127"/>
      <c r="OI12" s="127"/>
      <c r="OJ12" s="127"/>
      <c r="OK12" s="127"/>
      <c r="OL12" s="127"/>
      <c r="OM12" s="127"/>
      <c r="ON12" s="127"/>
      <c r="OO12" s="127"/>
      <c r="OP12" s="127"/>
      <c r="OQ12" s="127"/>
      <c r="OR12" s="127"/>
      <c r="OS12" s="127"/>
      <c r="OT12" s="127"/>
      <c r="OU12" s="127"/>
    </row>
    <row r="13" spans="1:478">
      <c r="A13">
        <v>5</v>
      </c>
      <c r="B13">
        <v>58</v>
      </c>
      <c r="C13" t="s">
        <v>72</v>
      </c>
      <c r="D13" t="s">
        <v>73</v>
      </c>
      <c r="E13" s="232" t="s">
        <v>8548</v>
      </c>
      <c r="F13" t="s">
        <v>70</v>
      </c>
      <c r="G13">
        <v>1</v>
      </c>
      <c r="H13">
        <v>666.6</v>
      </c>
      <c r="I13">
        <v>665.02599999999995</v>
      </c>
      <c r="J13">
        <v>661.68799999999999</v>
      </c>
      <c r="K13">
        <v>657.59199999999998</v>
      </c>
      <c r="L13">
        <v>654.38400000000001</v>
      </c>
      <c r="M13" s="233" t="s">
        <v>530</v>
      </c>
      <c r="N13" s="233" t="s">
        <v>531</v>
      </c>
      <c r="O13" s="3" t="s">
        <v>571</v>
      </c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ER13" s="127"/>
      <c r="ES13" s="127"/>
      <c r="ET13" s="127"/>
      <c r="EU13" s="127"/>
      <c r="EV13" s="127"/>
      <c r="EW13" s="127"/>
      <c r="EX13" s="127"/>
      <c r="EY13" s="127"/>
      <c r="EZ13" s="127"/>
      <c r="FA13" s="127"/>
      <c r="FB13" s="127"/>
      <c r="FC13" s="127"/>
      <c r="FD13" s="127"/>
      <c r="FE13" s="127"/>
      <c r="FF13" s="127"/>
      <c r="HW13" s="127"/>
      <c r="HX13" s="127"/>
      <c r="HY13" s="127"/>
      <c r="HZ13" s="127"/>
      <c r="IA13" s="127"/>
      <c r="IB13" s="127"/>
      <c r="IC13" s="127"/>
      <c r="ID13" s="127"/>
      <c r="IE13" s="127"/>
      <c r="IF13" s="127"/>
      <c r="IG13" s="127"/>
      <c r="IH13" s="127"/>
      <c r="II13" s="127"/>
      <c r="IJ13" s="127"/>
      <c r="IK13" s="127"/>
      <c r="LB13" s="127"/>
      <c r="LC13" s="127"/>
      <c r="LD13" s="127"/>
      <c r="LE13" s="127"/>
      <c r="LF13" s="127"/>
      <c r="LG13" s="127"/>
      <c r="LH13" s="127"/>
      <c r="LI13" s="127"/>
      <c r="LJ13" s="127"/>
      <c r="LK13" s="127"/>
      <c r="LL13" s="127"/>
      <c r="LM13" s="127"/>
      <c r="LN13" s="127"/>
      <c r="LO13" s="127"/>
      <c r="LP13" s="127"/>
      <c r="OG13" s="127"/>
      <c r="OH13" s="127"/>
      <c r="OI13" s="127"/>
      <c r="OJ13" s="127"/>
      <c r="OK13" s="127"/>
      <c r="OL13" s="127"/>
      <c r="OM13" s="127"/>
      <c r="ON13" s="127"/>
      <c r="OO13" s="127"/>
      <c r="OP13" s="127"/>
      <c r="OQ13" s="127"/>
      <c r="OR13" s="127"/>
      <c r="OS13" s="127"/>
      <c r="OT13" s="127"/>
      <c r="OU13" s="127"/>
    </row>
    <row r="14" spans="1:478">
      <c r="A14">
        <v>5</v>
      </c>
      <c r="B14">
        <v>64</v>
      </c>
      <c r="C14" t="s">
        <v>72</v>
      </c>
      <c r="D14" t="s">
        <v>73</v>
      </c>
      <c r="E14" s="232" t="s">
        <v>8168</v>
      </c>
      <c r="F14" t="s">
        <v>70</v>
      </c>
      <c r="G14">
        <v>1</v>
      </c>
      <c r="H14">
        <v>663.82</v>
      </c>
      <c r="I14">
        <v>663.16899999999998</v>
      </c>
      <c r="J14">
        <v>661.68799999999999</v>
      </c>
      <c r="K14">
        <v>660.14700000000005</v>
      </c>
      <c r="L14">
        <v>657.02700000000004</v>
      </c>
      <c r="M14" s="233" t="s">
        <v>530</v>
      </c>
      <c r="N14" s="233" t="s">
        <v>531</v>
      </c>
      <c r="O14" s="3" t="s">
        <v>572</v>
      </c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ER14" s="127"/>
      <c r="ES14" s="127"/>
      <c r="ET14" s="127"/>
      <c r="EU14" s="127"/>
      <c r="EV14" s="127"/>
      <c r="EW14" s="127"/>
      <c r="EX14" s="127"/>
      <c r="EY14" s="127"/>
      <c r="EZ14" s="127"/>
      <c r="FA14" s="127"/>
      <c r="FB14" s="127"/>
      <c r="FC14" s="127"/>
      <c r="FD14" s="127"/>
      <c r="FE14" s="127"/>
      <c r="FF14" s="127"/>
      <c r="HW14" s="127"/>
      <c r="HX14" s="127"/>
      <c r="HY14" s="127"/>
      <c r="HZ14" s="127"/>
      <c r="IA14" s="127"/>
      <c r="IB14" s="127"/>
      <c r="IC14" s="127"/>
      <c r="ID14" s="127"/>
      <c r="IE14" s="127"/>
      <c r="IF14" s="127"/>
      <c r="IG14" s="127"/>
      <c r="IH14" s="127"/>
      <c r="II14" s="127"/>
      <c r="IJ14" s="127"/>
      <c r="IK14" s="127"/>
      <c r="LB14" s="127"/>
      <c r="LC14" s="127"/>
      <c r="LD14" s="127"/>
      <c r="LE14" s="127"/>
      <c r="LF14" s="127"/>
      <c r="LG14" s="127"/>
      <c r="LH14" s="127"/>
      <c r="LI14" s="127"/>
      <c r="LJ14" s="127"/>
      <c r="LK14" s="127"/>
      <c r="LL14" s="127"/>
      <c r="LM14" s="127"/>
      <c r="LN14" s="127"/>
      <c r="LO14" s="127"/>
      <c r="LP14" s="127"/>
      <c r="OG14" s="127"/>
      <c r="OH14" s="127"/>
      <c r="OI14" s="127"/>
      <c r="OJ14" s="127"/>
      <c r="OK14" s="127"/>
      <c r="OL14" s="127"/>
      <c r="OM14" s="127"/>
      <c r="ON14" s="127"/>
      <c r="OO14" s="127"/>
      <c r="OP14" s="127"/>
      <c r="OQ14" s="127"/>
      <c r="OR14" s="127"/>
      <c r="OS14" s="127"/>
      <c r="OT14" s="127"/>
      <c r="OU14" s="127"/>
    </row>
    <row r="15" spans="1:478">
      <c r="A15">
        <v>5</v>
      </c>
      <c r="B15">
        <v>65</v>
      </c>
      <c r="C15" t="s">
        <v>72</v>
      </c>
      <c r="D15" t="s">
        <v>73</v>
      </c>
      <c r="E15" s="232" t="s">
        <v>8384</v>
      </c>
      <c r="F15" t="s">
        <v>70</v>
      </c>
      <c r="G15">
        <v>1</v>
      </c>
      <c r="H15">
        <v>663.41899999999998</v>
      </c>
      <c r="I15">
        <v>663.16899999999998</v>
      </c>
      <c r="J15">
        <v>661.68799999999999</v>
      </c>
      <c r="K15">
        <v>660.14700000000005</v>
      </c>
      <c r="L15">
        <v>656.62</v>
      </c>
      <c r="M15" s="233" t="s">
        <v>530</v>
      </c>
      <c r="N15" s="233" t="s">
        <v>531</v>
      </c>
      <c r="O15" s="3" t="s">
        <v>573</v>
      </c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ER15" s="127"/>
      <c r="ES15" s="127"/>
      <c r="ET15" s="127"/>
      <c r="EU15" s="127"/>
      <c r="EV15" s="127"/>
      <c r="EW15" s="127"/>
      <c r="EX15" s="127"/>
      <c r="EY15" s="127"/>
      <c r="EZ15" s="127"/>
      <c r="FA15" s="127"/>
      <c r="FB15" s="127"/>
      <c r="FC15" s="127"/>
      <c r="FD15" s="127"/>
      <c r="FE15" s="127"/>
      <c r="FF15" s="127"/>
      <c r="HW15" s="127"/>
      <c r="HX15" s="127"/>
      <c r="HY15" s="127"/>
      <c r="HZ15" s="127"/>
      <c r="IA15" s="127"/>
      <c r="IB15" s="127"/>
      <c r="IC15" s="127"/>
      <c r="ID15" s="127"/>
      <c r="IE15" s="127"/>
      <c r="IF15" s="127"/>
      <c r="IG15" s="127"/>
      <c r="IH15" s="127"/>
      <c r="II15" s="127"/>
      <c r="IJ15" s="127"/>
      <c r="IK15" s="127"/>
      <c r="LB15" s="127"/>
      <c r="LC15" s="127"/>
      <c r="LD15" s="127"/>
      <c r="LE15" s="127"/>
      <c r="LF15" s="127"/>
      <c r="LG15" s="127"/>
      <c r="LH15" s="127"/>
      <c r="LI15" s="127"/>
      <c r="LJ15" s="127"/>
      <c r="LK15" s="127"/>
      <c r="LL15" s="127"/>
      <c r="LM15" s="127"/>
      <c r="LN15" s="127"/>
      <c r="LO15" s="127"/>
      <c r="LP15" s="127"/>
      <c r="OG15" s="127"/>
      <c r="OH15" s="127"/>
      <c r="OI15" s="127"/>
      <c r="OJ15" s="127"/>
      <c r="OK15" s="127"/>
      <c r="OL15" s="127"/>
      <c r="OM15" s="127"/>
      <c r="ON15" s="127"/>
      <c r="OO15" s="127"/>
      <c r="OP15" s="127"/>
      <c r="OQ15" s="127"/>
      <c r="OR15" s="127"/>
      <c r="OS15" s="127"/>
      <c r="OT15" s="127"/>
      <c r="OU15" s="127"/>
    </row>
    <row r="16" spans="1:478">
      <c r="A16">
        <v>5</v>
      </c>
      <c r="B16">
        <v>70</v>
      </c>
      <c r="C16" t="s">
        <v>72</v>
      </c>
      <c r="D16" t="s">
        <v>73</v>
      </c>
      <c r="E16" s="232" t="s">
        <v>8443</v>
      </c>
      <c r="F16" t="s">
        <v>70</v>
      </c>
      <c r="G16">
        <v>1</v>
      </c>
      <c r="H16">
        <v>663.82</v>
      </c>
      <c r="I16">
        <v>663.16899999999998</v>
      </c>
      <c r="J16">
        <v>661.68799999999999</v>
      </c>
      <c r="K16">
        <v>656.726</v>
      </c>
      <c r="L16">
        <v>653.33900000000006</v>
      </c>
      <c r="M16" s="233" t="s">
        <v>530</v>
      </c>
      <c r="N16" s="233" t="s">
        <v>531</v>
      </c>
      <c r="O16" s="3" t="s">
        <v>574</v>
      </c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ER16" s="127"/>
      <c r="ES16" s="127"/>
      <c r="ET16" s="127"/>
      <c r="EU16" s="127"/>
      <c r="EV16" s="127"/>
      <c r="EW16" s="127"/>
      <c r="EX16" s="127"/>
      <c r="EY16" s="127"/>
      <c r="EZ16" s="127"/>
      <c r="FA16" s="127"/>
      <c r="FB16" s="127"/>
      <c r="FC16" s="127"/>
      <c r="FD16" s="127"/>
      <c r="FE16" s="127"/>
      <c r="FF16" s="127"/>
      <c r="HW16" s="127"/>
      <c r="HX16" s="127"/>
      <c r="HY16" s="127"/>
      <c r="HZ16" s="127"/>
      <c r="IA16" s="127"/>
      <c r="IB16" s="127"/>
      <c r="IC16" s="127"/>
      <c r="ID16" s="127"/>
      <c r="IE16" s="127"/>
      <c r="IF16" s="127"/>
      <c r="IG16" s="127"/>
      <c r="IH16" s="127"/>
      <c r="II16" s="127"/>
      <c r="IJ16" s="127"/>
      <c r="IK16" s="127"/>
      <c r="LB16" s="127"/>
      <c r="LC16" s="127"/>
      <c r="LD16" s="127"/>
      <c r="LE16" s="127"/>
      <c r="LF16" s="127"/>
      <c r="LG16" s="127"/>
      <c r="LH16" s="127"/>
      <c r="LI16" s="127"/>
      <c r="LJ16" s="127"/>
      <c r="LK16" s="127"/>
      <c r="LL16" s="127"/>
      <c r="LM16" s="127"/>
      <c r="LN16" s="127"/>
      <c r="LO16" s="127"/>
      <c r="LP16" s="127"/>
      <c r="OG16" s="127"/>
      <c r="OH16" s="127"/>
      <c r="OI16" s="127"/>
      <c r="OJ16" s="127"/>
      <c r="OK16" s="127"/>
      <c r="OL16" s="127"/>
      <c r="OM16" s="127"/>
      <c r="ON16" s="127"/>
      <c r="OO16" s="127"/>
      <c r="OP16" s="127"/>
      <c r="OQ16" s="127"/>
      <c r="OR16" s="127"/>
      <c r="OS16" s="127"/>
      <c r="OT16" s="127"/>
      <c r="OU16" s="127"/>
    </row>
    <row r="17" spans="1:411">
      <c r="A17">
        <v>5</v>
      </c>
      <c r="B17">
        <v>66</v>
      </c>
      <c r="C17" t="s">
        <v>72</v>
      </c>
      <c r="D17" t="s">
        <v>73</v>
      </c>
      <c r="E17" s="232" t="s">
        <v>8011</v>
      </c>
      <c r="F17" t="s">
        <v>70</v>
      </c>
      <c r="G17">
        <v>1</v>
      </c>
      <c r="H17">
        <v>664.39200000000005</v>
      </c>
      <c r="I17">
        <v>663.16899999999998</v>
      </c>
      <c r="J17">
        <v>661.49400000000003</v>
      </c>
      <c r="K17">
        <v>657.29100000000005</v>
      </c>
      <c r="L17">
        <v>654.49</v>
      </c>
      <c r="M17" s="233" t="s">
        <v>530</v>
      </c>
      <c r="N17" s="233" t="s">
        <v>531</v>
      </c>
      <c r="O17" s="3" t="s">
        <v>575</v>
      </c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LB17" s="127"/>
      <c r="LC17" s="127"/>
      <c r="LD17" s="127"/>
      <c r="LE17" s="127"/>
      <c r="LF17" s="127"/>
      <c r="LG17" s="127"/>
      <c r="LH17" s="127"/>
      <c r="LI17" s="127"/>
      <c r="LJ17" s="127"/>
      <c r="LK17" s="127"/>
      <c r="LL17" s="127"/>
      <c r="LM17" s="127"/>
      <c r="LN17" s="127"/>
      <c r="LO17" s="127"/>
      <c r="LP17" s="127"/>
      <c r="OG17" s="127"/>
      <c r="OH17" s="127"/>
      <c r="OI17" s="127"/>
      <c r="OJ17" s="127"/>
      <c r="OK17" s="127"/>
      <c r="OL17" s="127"/>
      <c r="OM17" s="127"/>
      <c r="ON17" s="127"/>
      <c r="OO17" s="127"/>
      <c r="OP17" s="127"/>
      <c r="OQ17" s="127"/>
      <c r="OR17" s="127"/>
      <c r="OS17" s="127"/>
      <c r="OT17" s="127"/>
      <c r="OU17" s="127"/>
    </row>
    <row r="18" spans="1:411">
      <c r="A18">
        <v>5</v>
      </c>
      <c r="B18">
        <v>67</v>
      </c>
      <c r="C18" t="s">
        <v>72</v>
      </c>
      <c r="D18" t="s">
        <v>73</v>
      </c>
      <c r="E18" s="232" t="s">
        <v>8496</v>
      </c>
      <c r="F18" t="s">
        <v>70</v>
      </c>
      <c r="G18">
        <v>1</v>
      </c>
      <c r="H18">
        <v>663.16899999999998</v>
      </c>
      <c r="I18">
        <v>662.53599999999994</v>
      </c>
      <c r="J18">
        <v>661.072</v>
      </c>
      <c r="K18">
        <v>656.726</v>
      </c>
      <c r="L18">
        <v>652.75900000000001</v>
      </c>
      <c r="M18" s="233" t="s">
        <v>530</v>
      </c>
      <c r="N18" s="233" t="s">
        <v>531</v>
      </c>
      <c r="O18" s="3" t="s">
        <v>576</v>
      </c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ER18" s="127"/>
      <c r="ES18" s="127"/>
      <c r="ET18" s="127"/>
      <c r="EU18" s="127"/>
      <c r="EV18" s="127"/>
      <c r="EW18" s="127"/>
      <c r="EX18" s="127"/>
      <c r="EY18" s="127"/>
      <c r="EZ18" s="127"/>
      <c r="FA18" s="127"/>
      <c r="FB18" s="127"/>
      <c r="FC18" s="127"/>
      <c r="FD18" s="127"/>
      <c r="FE18" s="127"/>
      <c r="FF18" s="127"/>
      <c r="HW18" s="127"/>
      <c r="HX18" s="127"/>
      <c r="HY18" s="127"/>
      <c r="HZ18" s="127"/>
      <c r="IA18" s="127"/>
      <c r="IB18" s="127"/>
      <c r="IC18" s="127"/>
      <c r="ID18" s="127"/>
      <c r="IE18" s="127"/>
      <c r="IF18" s="127"/>
      <c r="IG18" s="127"/>
      <c r="IH18" s="127"/>
      <c r="II18" s="127"/>
      <c r="IJ18" s="127"/>
      <c r="IK18" s="127"/>
      <c r="LB18" s="127"/>
      <c r="LC18" s="127"/>
      <c r="LD18" s="127"/>
      <c r="LE18" s="127"/>
      <c r="LF18" s="127"/>
      <c r="LG18" s="127"/>
      <c r="LH18" s="127"/>
      <c r="LI18" s="127"/>
      <c r="LJ18" s="127"/>
      <c r="LK18" s="127"/>
      <c r="LL18" s="127"/>
      <c r="LM18" s="127"/>
      <c r="LN18" s="127"/>
      <c r="LO18" s="127"/>
      <c r="LP18" s="127"/>
      <c r="OG18" s="127"/>
      <c r="OH18" s="127"/>
      <c r="OI18" s="127"/>
      <c r="OJ18" s="127"/>
      <c r="OK18" s="127"/>
      <c r="OL18" s="127"/>
      <c r="OM18" s="127"/>
      <c r="ON18" s="127"/>
      <c r="OO18" s="127"/>
      <c r="OP18" s="127"/>
      <c r="OQ18" s="127"/>
      <c r="OR18" s="127"/>
      <c r="OS18" s="127"/>
      <c r="OT18" s="127"/>
      <c r="OU18" s="127"/>
    </row>
    <row r="19" spans="1:411">
      <c r="A19">
        <v>5</v>
      </c>
      <c r="B19">
        <v>68</v>
      </c>
      <c r="C19" t="s">
        <v>72</v>
      </c>
      <c r="D19" t="s">
        <v>73</v>
      </c>
      <c r="E19" s="232" t="s">
        <v>13107</v>
      </c>
      <c r="F19" t="s">
        <v>70</v>
      </c>
      <c r="G19">
        <v>1</v>
      </c>
      <c r="H19">
        <v>664.51400000000001</v>
      </c>
      <c r="I19">
        <v>663.04700000000003</v>
      </c>
      <c r="J19">
        <v>661.072</v>
      </c>
      <c r="K19">
        <v>659.58100000000002</v>
      </c>
      <c r="L19">
        <v>656.33900000000006</v>
      </c>
      <c r="M19" s="233" t="s">
        <v>530</v>
      </c>
      <c r="N19" s="233" t="s">
        <v>531</v>
      </c>
      <c r="O19" s="3" t="s">
        <v>577</v>
      </c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ER19" s="127"/>
      <c r="ES19" s="127"/>
      <c r="ET19" s="127"/>
      <c r="EU19" s="127"/>
      <c r="EV19" s="127"/>
      <c r="EW19" s="127"/>
      <c r="EX19" s="127"/>
      <c r="EY19" s="127"/>
      <c r="EZ19" s="127"/>
      <c r="FA19" s="127"/>
      <c r="FB19" s="127"/>
      <c r="FC19" s="127"/>
      <c r="FD19" s="127"/>
      <c r="FE19" s="127"/>
      <c r="FF19" s="127"/>
      <c r="HW19" s="127"/>
      <c r="HX19" s="127"/>
      <c r="HY19" s="127"/>
      <c r="HZ19" s="127"/>
      <c r="IA19" s="127"/>
      <c r="IB19" s="127"/>
      <c r="IC19" s="127"/>
      <c r="ID19" s="127"/>
      <c r="IE19" s="127"/>
      <c r="IF19" s="127"/>
      <c r="IG19" s="127"/>
      <c r="IH19" s="127"/>
      <c r="II19" s="127"/>
      <c r="IJ19" s="127"/>
      <c r="IK19" s="127"/>
      <c r="LB19" s="127"/>
      <c r="LC19" s="127"/>
      <c r="LD19" s="127"/>
      <c r="LE19" s="127"/>
      <c r="LF19" s="127"/>
      <c r="LG19" s="127"/>
      <c r="LH19" s="127"/>
      <c r="LI19" s="127"/>
      <c r="LJ19" s="127"/>
      <c r="LK19" s="127"/>
      <c r="LL19" s="127"/>
      <c r="LM19" s="127"/>
      <c r="LN19" s="127"/>
      <c r="LO19" s="127"/>
      <c r="LP19" s="127"/>
      <c r="OG19" s="127"/>
      <c r="OH19" s="127"/>
      <c r="OI19" s="127"/>
      <c r="OJ19" s="127"/>
      <c r="OK19" s="127"/>
      <c r="OL19" s="127"/>
      <c r="OM19" s="127"/>
      <c r="ON19" s="127"/>
      <c r="OO19" s="127"/>
      <c r="OP19" s="127"/>
      <c r="OQ19" s="127"/>
      <c r="OR19" s="127"/>
      <c r="OS19" s="127"/>
      <c r="OT19" s="127"/>
      <c r="OU19" s="127"/>
    </row>
    <row r="20" spans="1:411">
      <c r="A20">
        <v>5</v>
      </c>
      <c r="B20">
        <v>75</v>
      </c>
      <c r="C20" t="s">
        <v>72</v>
      </c>
      <c r="D20" t="s">
        <v>73</v>
      </c>
      <c r="E20" s="232" t="s">
        <v>555</v>
      </c>
      <c r="F20" t="s">
        <v>70</v>
      </c>
      <c r="G20">
        <v>1</v>
      </c>
      <c r="H20">
        <v>663.41899999999998</v>
      </c>
      <c r="I20">
        <v>662.53599999999994</v>
      </c>
      <c r="J20">
        <v>661.072</v>
      </c>
      <c r="K20">
        <v>659.38599999999997</v>
      </c>
      <c r="L20">
        <v>656.726</v>
      </c>
      <c r="M20" s="233" t="s">
        <v>530</v>
      </c>
      <c r="N20" s="233" t="s">
        <v>531</v>
      </c>
      <c r="O20" s="3" t="s">
        <v>578</v>
      </c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ER20" s="127"/>
      <c r="ES20" s="127"/>
      <c r="ET20" s="127"/>
      <c r="EU20" s="127"/>
      <c r="EV20" s="127"/>
      <c r="EW20" s="127"/>
      <c r="EX20" s="127"/>
      <c r="EY20" s="127"/>
      <c r="EZ20" s="127"/>
      <c r="FA20" s="127"/>
      <c r="FB20" s="127"/>
      <c r="FC20" s="127"/>
      <c r="FD20" s="127"/>
      <c r="FE20" s="127"/>
      <c r="FF20" s="127"/>
      <c r="HW20" s="127"/>
      <c r="HX20" s="127"/>
      <c r="HY20" s="127"/>
      <c r="HZ20" s="127"/>
      <c r="IA20" s="127"/>
      <c r="IB20" s="127"/>
      <c r="IC20" s="127"/>
      <c r="ID20" s="127"/>
      <c r="IE20" s="127"/>
      <c r="IF20" s="127"/>
      <c r="IG20" s="127"/>
      <c r="IH20" s="127"/>
      <c r="II20" s="127"/>
      <c r="IJ20" s="127"/>
      <c r="IK20" s="127"/>
      <c r="LB20" s="127"/>
      <c r="LC20" s="127"/>
      <c r="LD20" s="127"/>
      <c r="LE20" s="127"/>
      <c r="LF20" s="127"/>
      <c r="LG20" s="127"/>
      <c r="LH20" s="127"/>
      <c r="LI20" s="127"/>
      <c r="LJ20" s="127"/>
      <c r="LK20" s="127"/>
      <c r="LL20" s="127"/>
      <c r="LM20" s="127"/>
      <c r="LN20" s="127"/>
      <c r="LO20" s="127"/>
      <c r="LP20" s="127"/>
      <c r="OG20" s="127"/>
      <c r="OH20" s="127"/>
      <c r="OI20" s="127"/>
      <c r="OJ20" s="127"/>
      <c r="OK20" s="127"/>
      <c r="OL20" s="127"/>
      <c r="OM20" s="127"/>
      <c r="ON20" s="127"/>
      <c r="OO20" s="127"/>
      <c r="OP20" s="127"/>
      <c r="OQ20" s="127"/>
      <c r="OR20" s="127"/>
      <c r="OS20" s="127"/>
      <c r="OT20" s="127"/>
      <c r="OU20" s="127"/>
    </row>
    <row r="21" spans="1:411">
      <c r="A21">
        <v>5</v>
      </c>
      <c r="B21">
        <v>73</v>
      </c>
      <c r="C21" t="s">
        <v>72</v>
      </c>
      <c r="D21" t="s">
        <v>73</v>
      </c>
      <c r="E21" s="232" t="s">
        <v>551</v>
      </c>
      <c r="F21" t="s">
        <v>70</v>
      </c>
      <c r="G21">
        <v>1</v>
      </c>
      <c r="H21">
        <v>663.41899999999998</v>
      </c>
      <c r="I21">
        <v>662.35</v>
      </c>
      <c r="J21">
        <v>660.67399999999998</v>
      </c>
      <c r="K21">
        <v>659.38599999999997</v>
      </c>
      <c r="L21">
        <v>656.62</v>
      </c>
      <c r="M21" s="233" t="s">
        <v>530</v>
      </c>
      <c r="N21" s="233" t="s">
        <v>531</v>
      </c>
      <c r="O21" s="3" t="s">
        <v>579</v>
      </c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ER21" s="127"/>
      <c r="ES21" s="127"/>
      <c r="ET21" s="127"/>
      <c r="EU21" s="127"/>
      <c r="EV21" s="127"/>
      <c r="EW21" s="127"/>
      <c r="EX21" s="127"/>
      <c r="EY21" s="127"/>
      <c r="EZ21" s="127"/>
      <c r="FA21" s="127"/>
      <c r="FB21" s="127"/>
      <c r="FC21" s="127"/>
      <c r="FD21" s="127"/>
      <c r="FE21" s="127"/>
      <c r="FF21" s="127"/>
      <c r="HW21" s="127"/>
      <c r="HX21" s="127"/>
      <c r="HY21" s="127"/>
      <c r="HZ21" s="127"/>
      <c r="IA21" s="127"/>
      <c r="IB21" s="127"/>
      <c r="IC21" s="127"/>
      <c r="ID21" s="127"/>
      <c r="IE21" s="127"/>
      <c r="IF21" s="127"/>
      <c r="IG21" s="127"/>
      <c r="IH21" s="127"/>
      <c r="II21" s="127"/>
      <c r="IJ21" s="127"/>
      <c r="IK21" s="127"/>
      <c r="LB21" s="127"/>
      <c r="LC21" s="127"/>
      <c r="LD21" s="127"/>
      <c r="LE21" s="127"/>
      <c r="LF21" s="127"/>
      <c r="LG21" s="127"/>
      <c r="LH21" s="127"/>
      <c r="LI21" s="127"/>
      <c r="LJ21" s="127"/>
      <c r="LK21" s="127"/>
      <c r="LL21" s="127"/>
      <c r="LM21" s="127"/>
      <c r="LN21" s="127"/>
      <c r="LO21" s="127"/>
      <c r="LP21" s="127"/>
      <c r="OG21" s="127"/>
      <c r="OH21" s="127"/>
      <c r="OI21" s="127"/>
      <c r="OJ21" s="127"/>
      <c r="OK21" s="127"/>
      <c r="OL21" s="127"/>
      <c r="OM21" s="127"/>
      <c r="ON21" s="127"/>
      <c r="OO21" s="127"/>
      <c r="OP21" s="127"/>
      <c r="OQ21" s="127"/>
      <c r="OR21" s="127"/>
      <c r="OS21" s="127"/>
      <c r="OT21" s="127"/>
      <c r="OU21" s="127"/>
    </row>
    <row r="22" spans="1:411">
      <c r="A22">
        <v>5</v>
      </c>
      <c r="B22">
        <v>61</v>
      </c>
      <c r="C22" t="s">
        <v>72</v>
      </c>
      <c r="D22" t="s">
        <v>73</v>
      </c>
      <c r="E22" s="232" t="s">
        <v>8555</v>
      </c>
      <c r="F22" t="s">
        <v>70</v>
      </c>
      <c r="G22">
        <v>1</v>
      </c>
      <c r="H22">
        <v>663.16899999999998</v>
      </c>
      <c r="I22">
        <v>662.53599999999994</v>
      </c>
      <c r="J22">
        <v>660.14700000000005</v>
      </c>
      <c r="K22">
        <v>657.29100000000005</v>
      </c>
      <c r="L22">
        <v>654.49</v>
      </c>
      <c r="M22" s="233" t="s">
        <v>530</v>
      </c>
      <c r="N22" s="233" t="s">
        <v>531</v>
      </c>
      <c r="O22" s="3" t="s">
        <v>580</v>
      </c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ER22" s="127"/>
      <c r="ES22" s="127"/>
      <c r="ET22" s="127"/>
      <c r="EU22" s="127"/>
      <c r="EV22" s="127"/>
      <c r="EW22" s="127"/>
      <c r="EX22" s="127"/>
      <c r="EY22" s="127"/>
      <c r="EZ22" s="127"/>
      <c r="FA22" s="127"/>
      <c r="FB22" s="127"/>
      <c r="FC22" s="127"/>
      <c r="FD22" s="127"/>
      <c r="FE22" s="127"/>
      <c r="FF22" s="127"/>
      <c r="HW22" s="127"/>
      <c r="HX22" s="127"/>
      <c r="HY22" s="127"/>
      <c r="HZ22" s="127"/>
      <c r="IA22" s="127"/>
      <c r="IB22" s="127"/>
      <c r="IC22" s="127"/>
      <c r="ID22" s="127"/>
      <c r="IE22" s="127"/>
      <c r="IF22" s="127"/>
      <c r="IG22" s="127"/>
      <c r="IH22" s="127"/>
      <c r="II22" s="127"/>
      <c r="IJ22" s="127"/>
      <c r="IK22" s="127"/>
      <c r="LB22" s="127"/>
      <c r="LC22" s="127"/>
      <c r="LD22" s="127"/>
      <c r="LE22" s="127"/>
      <c r="LF22" s="127"/>
      <c r="LG22" s="127"/>
      <c r="LH22" s="127"/>
      <c r="LI22" s="127"/>
      <c r="LJ22" s="127"/>
      <c r="LK22" s="127"/>
      <c r="LL22" s="127"/>
      <c r="LM22" s="127"/>
      <c r="LN22" s="127"/>
      <c r="LO22" s="127"/>
      <c r="LP22" s="127"/>
      <c r="OG22" s="127"/>
      <c r="OH22" s="127"/>
      <c r="OI22" s="127"/>
      <c r="OJ22" s="127"/>
      <c r="OK22" s="127"/>
      <c r="OL22" s="127"/>
      <c r="OM22" s="127"/>
      <c r="ON22" s="127"/>
      <c r="OO22" s="127"/>
      <c r="OP22" s="127"/>
      <c r="OQ22" s="127"/>
      <c r="OR22" s="127"/>
      <c r="OS22" s="127"/>
      <c r="OT22" s="127"/>
      <c r="OU22" s="127"/>
    </row>
    <row r="23" spans="1:411">
      <c r="A23">
        <v>5</v>
      </c>
      <c r="B23">
        <v>62</v>
      </c>
      <c r="C23" t="s">
        <v>72</v>
      </c>
      <c r="D23" t="s">
        <v>73</v>
      </c>
      <c r="E23" s="232" t="s">
        <v>8664</v>
      </c>
      <c r="F23" t="s">
        <v>70</v>
      </c>
      <c r="G23">
        <v>1</v>
      </c>
      <c r="H23">
        <v>661.68799999999999</v>
      </c>
      <c r="I23">
        <v>660.67399999999998</v>
      </c>
      <c r="J23">
        <v>657.803</v>
      </c>
      <c r="K23">
        <v>657.02700000000004</v>
      </c>
      <c r="L23">
        <v>652.84699999999998</v>
      </c>
      <c r="M23" s="233" t="s">
        <v>530</v>
      </c>
      <c r="N23" s="233" t="s">
        <v>531</v>
      </c>
      <c r="O23" s="3" t="s">
        <v>581</v>
      </c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ER23" s="127"/>
      <c r="ES23" s="127"/>
      <c r="ET23" s="127"/>
      <c r="EU23" s="127"/>
      <c r="EV23" s="127"/>
      <c r="EW23" s="127"/>
      <c r="EX23" s="127"/>
      <c r="EY23" s="127"/>
      <c r="EZ23" s="127"/>
      <c r="FA23" s="127"/>
      <c r="FB23" s="127"/>
      <c r="FC23" s="127"/>
      <c r="FD23" s="127"/>
      <c r="FE23" s="127"/>
      <c r="FF23" s="127"/>
      <c r="HW23" s="127"/>
      <c r="HX23" s="127"/>
      <c r="HY23" s="127"/>
      <c r="HZ23" s="127"/>
      <c r="IA23" s="127"/>
      <c r="IB23" s="127"/>
      <c r="IC23" s="127"/>
      <c r="ID23" s="127"/>
      <c r="IE23" s="127"/>
      <c r="IF23" s="127"/>
      <c r="IG23" s="127"/>
      <c r="IH23" s="127"/>
      <c r="II23" s="127"/>
      <c r="IJ23" s="127"/>
      <c r="IK23" s="127"/>
      <c r="LB23" s="127"/>
      <c r="LC23" s="127"/>
      <c r="LD23" s="127"/>
      <c r="LE23" s="127"/>
      <c r="LF23" s="127"/>
      <c r="LG23" s="127"/>
      <c r="LH23" s="127"/>
      <c r="LI23" s="127"/>
      <c r="LJ23" s="127"/>
      <c r="LK23" s="127"/>
      <c r="LL23" s="127"/>
      <c r="LM23" s="127"/>
      <c r="LN23" s="127"/>
      <c r="LO23" s="127"/>
      <c r="LP23" s="127"/>
      <c r="OG23" s="127"/>
      <c r="OH23" s="127"/>
      <c r="OI23" s="127"/>
      <c r="OJ23" s="127"/>
      <c r="OK23" s="127"/>
      <c r="OL23" s="127"/>
      <c r="OM23" s="127"/>
      <c r="ON23" s="127"/>
      <c r="OO23" s="127"/>
      <c r="OP23" s="127"/>
      <c r="OQ23" s="127"/>
      <c r="OR23" s="127"/>
      <c r="OS23" s="127"/>
      <c r="OT23" s="127"/>
      <c r="OU23" s="127"/>
    </row>
    <row r="24" spans="1:411">
      <c r="A24">
        <v>5</v>
      </c>
      <c r="B24">
        <v>63</v>
      </c>
      <c r="C24" t="s">
        <v>72</v>
      </c>
      <c r="D24" t="s">
        <v>73</v>
      </c>
      <c r="E24" s="232" t="s">
        <v>8630</v>
      </c>
      <c r="F24" t="s">
        <v>70</v>
      </c>
      <c r="G24">
        <v>1</v>
      </c>
      <c r="H24">
        <v>662.35</v>
      </c>
      <c r="I24">
        <v>661.072</v>
      </c>
      <c r="J24">
        <v>657.803</v>
      </c>
      <c r="K24">
        <v>657.02700000000004</v>
      </c>
      <c r="L24">
        <v>653.60400000000004</v>
      </c>
      <c r="M24" s="233" t="s">
        <v>530</v>
      </c>
      <c r="N24" s="233" t="s">
        <v>531</v>
      </c>
      <c r="O24" s="3" t="s">
        <v>582</v>
      </c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ER24" s="127"/>
      <c r="ES24" s="127"/>
      <c r="ET24" s="127"/>
      <c r="EU24" s="127"/>
      <c r="EV24" s="127"/>
      <c r="EW24" s="127"/>
      <c r="EX24" s="127"/>
      <c r="EY24" s="127"/>
      <c r="EZ24" s="127"/>
      <c r="FA24" s="127"/>
      <c r="FB24" s="127"/>
      <c r="FC24" s="127"/>
      <c r="FD24" s="127"/>
      <c r="FE24" s="127"/>
      <c r="FF24" s="127"/>
      <c r="HW24" s="127"/>
      <c r="HX24" s="127"/>
      <c r="HY24" s="127"/>
      <c r="HZ24" s="127"/>
      <c r="IA24" s="127"/>
      <c r="IB24" s="127"/>
      <c r="IC24" s="127"/>
      <c r="ID24" s="127"/>
      <c r="IE24" s="127"/>
      <c r="IF24" s="127"/>
      <c r="IG24" s="127"/>
      <c r="IH24" s="127"/>
      <c r="II24" s="127"/>
      <c r="IJ24" s="127"/>
      <c r="IK24" s="127"/>
      <c r="LB24" s="127"/>
      <c r="LC24" s="127"/>
      <c r="LD24" s="127"/>
      <c r="LE24" s="127"/>
      <c r="LF24" s="127"/>
      <c r="LG24" s="127"/>
      <c r="LH24" s="127"/>
      <c r="LI24" s="127"/>
      <c r="LJ24" s="127"/>
      <c r="LK24" s="127"/>
      <c r="LL24" s="127"/>
      <c r="LM24" s="127"/>
      <c r="LN24" s="127"/>
      <c r="LO24" s="127"/>
      <c r="LP24" s="127"/>
      <c r="OG24" s="127"/>
      <c r="OH24" s="127"/>
      <c r="OI24" s="127"/>
      <c r="OJ24" s="127"/>
      <c r="OK24" s="127"/>
      <c r="OL24" s="127"/>
      <c r="OM24" s="127"/>
      <c r="ON24" s="127"/>
      <c r="OO24" s="127"/>
      <c r="OP24" s="127"/>
      <c r="OQ24" s="127"/>
      <c r="OR24" s="127"/>
      <c r="OS24" s="127"/>
      <c r="OT24" s="127"/>
      <c r="OU24" s="127"/>
    </row>
    <row r="25" spans="1:411">
      <c r="A25">
        <v>5</v>
      </c>
      <c r="B25">
        <v>72</v>
      </c>
      <c r="C25" t="s">
        <v>72</v>
      </c>
      <c r="D25" t="s">
        <v>73</v>
      </c>
      <c r="E25" s="232" t="s">
        <v>8744</v>
      </c>
      <c r="F25" t="s">
        <v>70</v>
      </c>
      <c r="G25">
        <v>1</v>
      </c>
      <c r="H25">
        <v>661.49400000000003</v>
      </c>
      <c r="I25">
        <v>660.14700000000005</v>
      </c>
      <c r="J25">
        <v>657.803</v>
      </c>
      <c r="K25">
        <v>656.726</v>
      </c>
      <c r="L25">
        <v>654.99</v>
      </c>
      <c r="M25" s="233" t="s">
        <v>530</v>
      </c>
      <c r="N25" s="233" t="s">
        <v>531</v>
      </c>
      <c r="O25" s="3" t="s">
        <v>583</v>
      </c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ER25" s="127"/>
      <c r="ES25" s="127"/>
      <c r="ET25" s="127"/>
      <c r="EU25" s="127"/>
      <c r="EV25" s="127"/>
      <c r="EW25" s="127"/>
      <c r="EX25" s="127"/>
      <c r="EY25" s="127"/>
      <c r="EZ25" s="127"/>
      <c r="FA25" s="127"/>
      <c r="FB25" s="127"/>
      <c r="FC25" s="127"/>
      <c r="FD25" s="127"/>
      <c r="FE25" s="127"/>
      <c r="FF25" s="127"/>
      <c r="HW25" s="127"/>
      <c r="HX25" s="127"/>
      <c r="HY25" s="127"/>
      <c r="HZ25" s="127"/>
      <c r="IA25" s="127"/>
      <c r="IB25" s="127"/>
      <c r="IC25" s="127"/>
      <c r="ID25" s="127"/>
      <c r="IE25" s="127"/>
      <c r="IF25" s="127"/>
      <c r="IG25" s="127"/>
      <c r="IH25" s="127"/>
      <c r="II25" s="127"/>
      <c r="IJ25" s="127"/>
      <c r="IK25" s="127"/>
      <c r="LB25" s="127"/>
      <c r="LC25" s="127"/>
      <c r="LD25" s="127"/>
      <c r="LE25" s="127"/>
      <c r="LF25" s="127"/>
      <c r="LG25" s="127"/>
      <c r="LH25" s="127"/>
      <c r="LI25" s="127"/>
      <c r="LJ25" s="127"/>
      <c r="LK25" s="127"/>
      <c r="LL25" s="127"/>
      <c r="LM25" s="127"/>
      <c r="LN25" s="127"/>
      <c r="LO25" s="127"/>
      <c r="LP25" s="127"/>
      <c r="OG25" s="127"/>
      <c r="OH25" s="127"/>
      <c r="OI25" s="127"/>
      <c r="OJ25" s="127"/>
      <c r="OK25" s="127"/>
      <c r="OL25" s="127"/>
      <c r="OM25" s="127"/>
      <c r="ON25" s="127"/>
      <c r="OO25" s="127"/>
      <c r="OP25" s="127"/>
      <c r="OQ25" s="127"/>
      <c r="OR25" s="127"/>
      <c r="OS25" s="127"/>
      <c r="OT25" s="127"/>
      <c r="OU25" s="127"/>
    </row>
    <row r="26" spans="1:411">
      <c r="A26">
        <v>5</v>
      </c>
      <c r="B26">
        <v>74</v>
      </c>
      <c r="C26" t="s">
        <v>72</v>
      </c>
      <c r="D26" t="s">
        <v>73</v>
      </c>
      <c r="E26" s="232" t="s">
        <v>8640</v>
      </c>
      <c r="F26" t="s">
        <v>70</v>
      </c>
      <c r="G26">
        <v>1</v>
      </c>
      <c r="H26">
        <v>661.072</v>
      </c>
      <c r="I26">
        <v>660.14700000000005</v>
      </c>
      <c r="J26">
        <v>657.803</v>
      </c>
      <c r="K26">
        <v>656.62</v>
      </c>
      <c r="L26">
        <v>654.77099999999996</v>
      </c>
      <c r="M26" s="233" t="s">
        <v>530</v>
      </c>
      <c r="N26" s="233" t="s">
        <v>531</v>
      </c>
      <c r="O26" s="3" t="s">
        <v>584</v>
      </c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ER26" s="127"/>
      <c r="ES26" s="127"/>
      <c r="ET26" s="127"/>
      <c r="EU26" s="127"/>
      <c r="EV26" s="127"/>
      <c r="EW26" s="127"/>
      <c r="EX26" s="127"/>
      <c r="EY26" s="127"/>
      <c r="EZ26" s="127"/>
      <c r="FA26" s="127"/>
      <c r="FB26" s="127"/>
      <c r="FC26" s="127"/>
      <c r="FD26" s="127"/>
      <c r="FE26" s="127"/>
      <c r="FF26" s="127"/>
      <c r="HW26" s="127"/>
      <c r="HX26" s="127"/>
      <c r="HY26" s="127"/>
      <c r="HZ26" s="127"/>
      <c r="IA26" s="127"/>
      <c r="IB26" s="127"/>
      <c r="IC26" s="127"/>
      <c r="ID26" s="127"/>
      <c r="IE26" s="127"/>
      <c r="IF26" s="127"/>
      <c r="IG26" s="127"/>
      <c r="IH26" s="127"/>
      <c r="II26" s="127"/>
      <c r="IJ26" s="127"/>
      <c r="IK26" s="127"/>
      <c r="LB26" s="127"/>
      <c r="LC26" s="127"/>
      <c r="LD26" s="127"/>
      <c r="LE26" s="127"/>
      <c r="LF26" s="127"/>
      <c r="LG26" s="127"/>
      <c r="LH26" s="127"/>
      <c r="LI26" s="127"/>
      <c r="LJ26" s="127"/>
      <c r="LK26" s="127"/>
      <c r="LL26" s="127"/>
      <c r="LM26" s="127"/>
      <c r="LN26" s="127"/>
      <c r="LO26" s="127"/>
      <c r="LP26" s="127"/>
      <c r="OG26" s="127"/>
      <c r="OH26" s="127"/>
      <c r="OI26" s="127"/>
      <c r="OJ26" s="127"/>
      <c r="OK26" s="127"/>
      <c r="OL26" s="127"/>
      <c r="OM26" s="127"/>
      <c r="ON26" s="127"/>
      <c r="OO26" s="127"/>
      <c r="OP26" s="127"/>
      <c r="OQ26" s="127"/>
      <c r="OR26" s="127"/>
      <c r="OS26" s="127"/>
      <c r="OT26" s="127"/>
      <c r="OU26" s="127"/>
    </row>
    <row r="27" spans="1:411">
      <c r="A27">
        <v>5</v>
      </c>
      <c r="B27">
        <v>77</v>
      </c>
      <c r="C27" t="s">
        <v>72</v>
      </c>
      <c r="D27" t="s">
        <v>73</v>
      </c>
      <c r="E27" s="232" t="s">
        <v>550</v>
      </c>
      <c r="F27" t="s">
        <v>70</v>
      </c>
      <c r="G27">
        <v>1</v>
      </c>
      <c r="H27">
        <v>661.68799999999999</v>
      </c>
      <c r="I27">
        <v>660.14700000000005</v>
      </c>
      <c r="J27">
        <v>657.803</v>
      </c>
      <c r="K27">
        <v>656.726</v>
      </c>
      <c r="L27">
        <v>655.64499999999998</v>
      </c>
      <c r="M27" s="233" t="s">
        <v>530</v>
      </c>
      <c r="N27" s="233" t="s">
        <v>531</v>
      </c>
      <c r="O27" s="3" t="s">
        <v>585</v>
      </c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LB27" s="127"/>
      <c r="LC27" s="127"/>
      <c r="LD27" s="127"/>
      <c r="LE27" s="127"/>
      <c r="LF27" s="127"/>
      <c r="LG27" s="127"/>
      <c r="LH27" s="127"/>
      <c r="LI27" s="127"/>
      <c r="LJ27" s="127"/>
      <c r="LK27" s="127"/>
      <c r="LL27" s="127"/>
      <c r="LM27" s="127"/>
      <c r="LN27" s="127"/>
      <c r="LO27" s="127"/>
      <c r="LP27" s="127"/>
      <c r="OG27" s="127"/>
      <c r="OH27" s="127"/>
      <c r="OI27" s="127"/>
      <c r="OJ27" s="127"/>
      <c r="OK27" s="127"/>
      <c r="OL27" s="127"/>
      <c r="OM27" s="127"/>
      <c r="ON27" s="127"/>
      <c r="OO27" s="127"/>
      <c r="OP27" s="127"/>
      <c r="OQ27" s="127"/>
      <c r="OR27" s="127"/>
      <c r="OS27" s="127"/>
      <c r="OT27" s="127"/>
      <c r="OU27" s="127"/>
    </row>
    <row r="28" spans="1:411">
      <c r="A28">
        <v>5</v>
      </c>
      <c r="B28">
        <v>76</v>
      </c>
      <c r="C28" t="s">
        <v>72</v>
      </c>
      <c r="D28" t="s">
        <v>73</v>
      </c>
      <c r="E28" s="232" t="s">
        <v>8691</v>
      </c>
      <c r="F28" t="s">
        <v>70</v>
      </c>
      <c r="G28">
        <v>1</v>
      </c>
      <c r="H28">
        <v>660.98299999999995</v>
      </c>
      <c r="I28">
        <v>659.58100000000002</v>
      </c>
      <c r="J28">
        <v>657.29100000000005</v>
      </c>
      <c r="K28">
        <v>656.33900000000006</v>
      </c>
      <c r="L28">
        <v>654.99</v>
      </c>
      <c r="M28" s="233" t="s">
        <v>530</v>
      </c>
      <c r="N28" s="233" t="s">
        <v>531</v>
      </c>
      <c r="O28" s="3" t="s">
        <v>586</v>
      </c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ER28" s="127"/>
      <c r="ES28" s="127"/>
      <c r="ET28" s="127"/>
      <c r="EU28" s="127"/>
      <c r="EV28" s="127"/>
      <c r="EW28" s="127"/>
      <c r="EX28" s="127"/>
      <c r="EY28" s="127"/>
      <c r="EZ28" s="127"/>
      <c r="FA28" s="127"/>
      <c r="FB28" s="127"/>
      <c r="FC28" s="127"/>
      <c r="FD28" s="127"/>
      <c r="FE28" s="127"/>
      <c r="FF28" s="127"/>
      <c r="HW28" s="127"/>
      <c r="HX28" s="127"/>
      <c r="HY28" s="127"/>
      <c r="HZ28" s="127"/>
      <c r="IA28" s="127"/>
      <c r="IB28" s="127"/>
      <c r="IC28" s="127"/>
      <c r="ID28" s="127"/>
      <c r="IE28" s="127"/>
      <c r="IF28" s="127"/>
      <c r="IG28" s="127"/>
      <c r="IH28" s="127"/>
      <c r="II28" s="127"/>
      <c r="IJ28" s="127"/>
      <c r="IK28" s="127"/>
      <c r="LB28" s="127"/>
      <c r="LC28" s="127"/>
      <c r="LD28" s="127"/>
      <c r="LE28" s="127"/>
      <c r="LF28" s="127"/>
      <c r="LG28" s="127"/>
      <c r="LH28" s="127"/>
      <c r="LI28" s="127"/>
      <c r="LJ28" s="127"/>
      <c r="LK28" s="127"/>
      <c r="LL28" s="127"/>
      <c r="LM28" s="127"/>
      <c r="LN28" s="127"/>
      <c r="LO28" s="127"/>
      <c r="LP28" s="127"/>
      <c r="OG28" s="127"/>
      <c r="OH28" s="127"/>
      <c r="OI28" s="127"/>
      <c r="OJ28" s="127"/>
      <c r="OK28" s="127"/>
      <c r="OL28" s="127"/>
      <c r="OM28" s="127"/>
      <c r="ON28" s="127"/>
      <c r="OO28" s="127"/>
      <c r="OP28" s="127"/>
      <c r="OQ28" s="127"/>
      <c r="OR28" s="127"/>
      <c r="OS28" s="127"/>
      <c r="OT28" s="127"/>
      <c r="OU28" s="127"/>
    </row>
    <row r="29" spans="1:411">
      <c r="A29">
        <v>5</v>
      </c>
      <c r="B29">
        <v>78</v>
      </c>
      <c r="C29" t="s">
        <v>72</v>
      </c>
      <c r="D29" t="s">
        <v>73</v>
      </c>
      <c r="E29" s="232" t="s">
        <v>8552</v>
      </c>
      <c r="F29" t="s">
        <v>70</v>
      </c>
      <c r="G29">
        <v>1</v>
      </c>
      <c r="H29">
        <v>659.58100000000002</v>
      </c>
      <c r="I29">
        <v>657.803</v>
      </c>
      <c r="J29">
        <v>657.02700000000004</v>
      </c>
      <c r="K29">
        <v>656.20899999999995</v>
      </c>
      <c r="L29">
        <v>653.98400000000004</v>
      </c>
      <c r="M29" s="233" t="s">
        <v>530</v>
      </c>
      <c r="N29" s="233" t="s">
        <v>531</v>
      </c>
      <c r="O29" s="3" t="s">
        <v>587</v>
      </c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ER29" s="127"/>
      <c r="ES29" s="127"/>
      <c r="ET29" s="127"/>
      <c r="EU29" s="127"/>
      <c r="EV29" s="127"/>
      <c r="EW29" s="127"/>
      <c r="EX29" s="127"/>
      <c r="EY29" s="127"/>
      <c r="EZ29" s="127"/>
      <c r="FA29" s="127"/>
      <c r="FB29" s="127"/>
      <c r="FC29" s="127"/>
      <c r="FD29" s="127"/>
      <c r="FE29" s="127"/>
      <c r="FF29" s="127"/>
      <c r="HW29" s="127"/>
      <c r="HX29" s="127"/>
      <c r="HY29" s="127"/>
      <c r="HZ29" s="127"/>
      <c r="IA29" s="127"/>
      <c r="IB29" s="127"/>
      <c r="IC29" s="127"/>
      <c r="ID29" s="127"/>
      <c r="IE29" s="127"/>
      <c r="IF29" s="127"/>
      <c r="IG29" s="127"/>
      <c r="IH29" s="127"/>
      <c r="II29" s="127"/>
      <c r="IJ29" s="127"/>
      <c r="IK29" s="127"/>
      <c r="LB29" s="127"/>
      <c r="LC29" s="127"/>
      <c r="LD29" s="127"/>
      <c r="LE29" s="127"/>
      <c r="LF29" s="127"/>
      <c r="LG29" s="127"/>
      <c r="LH29" s="127"/>
      <c r="LI29" s="127"/>
      <c r="LJ29" s="127"/>
      <c r="LK29" s="127"/>
      <c r="LL29" s="127"/>
      <c r="LM29" s="127"/>
      <c r="LN29" s="127"/>
      <c r="LO29" s="127"/>
      <c r="LP29" s="127"/>
      <c r="OG29" s="127"/>
      <c r="OH29" s="127"/>
      <c r="OI29" s="127"/>
      <c r="OJ29" s="127"/>
      <c r="OK29" s="127"/>
      <c r="OL29" s="127"/>
      <c r="OM29" s="127"/>
      <c r="ON29" s="127"/>
      <c r="OO29" s="127"/>
      <c r="OP29" s="127"/>
      <c r="OQ29" s="127"/>
      <c r="OR29" s="127"/>
      <c r="OS29" s="127"/>
      <c r="OT29" s="127"/>
      <c r="OU29" s="127"/>
    </row>
    <row r="30" spans="1:411">
      <c r="A30">
        <v>268</v>
      </c>
      <c r="B30">
        <v>81</v>
      </c>
      <c r="C30" t="s">
        <v>72</v>
      </c>
      <c r="D30" t="s">
        <v>73</v>
      </c>
      <c r="E30" s="232" t="s">
        <v>8633</v>
      </c>
      <c r="F30" t="s">
        <v>70</v>
      </c>
      <c r="G30">
        <v>1</v>
      </c>
      <c r="H30">
        <v>674.41399999999999</v>
      </c>
      <c r="I30">
        <v>673.09100000000001</v>
      </c>
      <c r="J30">
        <v>670.62099999999998</v>
      </c>
      <c r="K30">
        <v>669.03700000000003</v>
      </c>
      <c r="L30">
        <v>667.11699999999996</v>
      </c>
      <c r="M30" s="233" t="s">
        <v>530</v>
      </c>
      <c r="N30" s="233" t="s">
        <v>531</v>
      </c>
      <c r="O30" s="3" t="s">
        <v>588</v>
      </c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ER30" s="127"/>
      <c r="ES30" s="127"/>
      <c r="ET30" s="127"/>
      <c r="EU30" s="127"/>
      <c r="EV30" s="127"/>
      <c r="EW30" s="127"/>
      <c r="EX30" s="127"/>
      <c r="EY30" s="127"/>
      <c r="EZ30" s="127"/>
      <c r="FA30" s="127"/>
      <c r="FB30" s="127"/>
      <c r="FC30" s="127"/>
      <c r="FD30" s="127"/>
      <c r="FE30" s="127"/>
      <c r="FF30" s="127"/>
      <c r="HW30" s="127"/>
      <c r="HX30" s="127"/>
      <c r="HY30" s="127"/>
      <c r="HZ30" s="127"/>
      <c r="IA30" s="127"/>
      <c r="IB30" s="127"/>
      <c r="IC30" s="127"/>
      <c r="ID30" s="127"/>
      <c r="IE30" s="127"/>
      <c r="IF30" s="127"/>
      <c r="IG30" s="127"/>
      <c r="IH30" s="127"/>
      <c r="II30" s="127"/>
      <c r="IJ30" s="127"/>
      <c r="IK30" s="127"/>
      <c r="LB30" s="127"/>
      <c r="LC30" s="127"/>
      <c r="LD30" s="127"/>
      <c r="LE30" s="127"/>
      <c r="LF30" s="127"/>
      <c r="LG30" s="127"/>
      <c r="LH30" s="127"/>
      <c r="LI30" s="127"/>
      <c r="LJ30" s="127"/>
      <c r="LK30" s="127"/>
      <c r="LL30" s="127"/>
      <c r="LM30" s="127"/>
      <c r="LN30" s="127"/>
      <c r="LO30" s="127"/>
      <c r="LP30" s="127"/>
      <c r="OG30" s="127"/>
      <c r="OH30" s="127"/>
      <c r="OI30" s="127"/>
      <c r="OJ30" s="127"/>
      <c r="OK30" s="127"/>
      <c r="OL30" s="127"/>
      <c r="OM30" s="127"/>
      <c r="ON30" s="127"/>
      <c r="OO30" s="127"/>
      <c r="OP30" s="127"/>
      <c r="OQ30" s="127"/>
      <c r="OR30" s="127"/>
      <c r="OS30" s="127"/>
      <c r="OT30" s="127"/>
      <c r="OU30" s="127"/>
    </row>
    <row r="31" spans="1:411">
      <c r="A31">
        <v>5</v>
      </c>
      <c r="B31">
        <v>71</v>
      </c>
      <c r="C31" t="s">
        <v>72</v>
      </c>
      <c r="D31" t="s">
        <v>73</v>
      </c>
      <c r="E31" s="232" t="s">
        <v>8033</v>
      </c>
      <c r="F31" t="s">
        <v>70</v>
      </c>
      <c r="G31">
        <v>1</v>
      </c>
      <c r="H31">
        <v>660.14700000000005</v>
      </c>
      <c r="I31">
        <v>659.38599999999997</v>
      </c>
      <c r="J31">
        <v>656.726</v>
      </c>
      <c r="K31">
        <v>653.98400000000004</v>
      </c>
      <c r="L31">
        <v>650.697</v>
      </c>
      <c r="M31" s="233" t="s">
        <v>530</v>
      </c>
      <c r="N31" s="233" t="s">
        <v>531</v>
      </c>
      <c r="O31" s="3" t="s">
        <v>589</v>
      </c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ER31" s="127"/>
      <c r="ES31" s="127"/>
      <c r="ET31" s="127"/>
      <c r="EU31" s="127"/>
      <c r="EV31" s="127"/>
      <c r="EW31" s="127"/>
      <c r="EX31" s="127"/>
      <c r="EY31" s="127"/>
      <c r="EZ31" s="127"/>
      <c r="FA31" s="127"/>
      <c r="FB31" s="127"/>
      <c r="FC31" s="127"/>
      <c r="FD31" s="127"/>
      <c r="FE31" s="127"/>
      <c r="FF31" s="127"/>
      <c r="HW31" s="127"/>
      <c r="HX31" s="127"/>
      <c r="HY31" s="127"/>
      <c r="HZ31" s="127"/>
      <c r="IA31" s="127"/>
      <c r="IB31" s="127"/>
      <c r="IC31" s="127"/>
      <c r="ID31" s="127"/>
      <c r="IE31" s="127"/>
      <c r="IF31" s="127"/>
      <c r="IG31" s="127"/>
      <c r="IH31" s="127"/>
      <c r="II31" s="127"/>
      <c r="IJ31" s="127"/>
      <c r="IK31" s="127"/>
      <c r="LB31" s="127"/>
      <c r="LC31" s="127"/>
      <c r="LD31" s="127"/>
      <c r="LE31" s="127"/>
      <c r="LF31" s="127"/>
      <c r="LG31" s="127"/>
      <c r="LH31" s="127"/>
      <c r="LI31" s="127"/>
      <c r="LJ31" s="127"/>
      <c r="LK31" s="127"/>
      <c r="LL31" s="127"/>
      <c r="LM31" s="127"/>
      <c r="LN31" s="127"/>
      <c r="LO31" s="127"/>
      <c r="LP31" s="127"/>
      <c r="OG31" s="127"/>
      <c r="OH31" s="127"/>
      <c r="OI31" s="127"/>
      <c r="OJ31" s="127"/>
      <c r="OK31" s="127"/>
      <c r="OL31" s="127"/>
      <c r="OM31" s="127"/>
      <c r="ON31" s="127"/>
      <c r="OO31" s="127"/>
      <c r="OP31" s="127"/>
      <c r="OQ31" s="127"/>
      <c r="OR31" s="127"/>
      <c r="OS31" s="127"/>
      <c r="OT31" s="127"/>
      <c r="OU31" s="127"/>
    </row>
    <row r="32" spans="1:411">
      <c r="A32">
        <v>5</v>
      </c>
      <c r="B32">
        <v>80</v>
      </c>
      <c r="C32" t="s">
        <v>72</v>
      </c>
      <c r="D32" t="s">
        <v>73</v>
      </c>
      <c r="E32" s="232" t="s">
        <v>8813</v>
      </c>
      <c r="F32" t="s">
        <v>70</v>
      </c>
      <c r="G32">
        <v>1</v>
      </c>
      <c r="H32">
        <v>659.58100000000002</v>
      </c>
      <c r="I32">
        <v>657.803</v>
      </c>
      <c r="J32">
        <v>656.726</v>
      </c>
      <c r="K32">
        <v>656.20899999999995</v>
      </c>
      <c r="L32">
        <v>654.38400000000001</v>
      </c>
      <c r="M32" s="233" t="s">
        <v>530</v>
      </c>
      <c r="N32" s="233" t="s">
        <v>531</v>
      </c>
      <c r="O32" s="3" t="s">
        <v>590</v>
      </c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ER32" s="127"/>
      <c r="ES32" s="127"/>
      <c r="ET32" s="127"/>
      <c r="EU32" s="127"/>
      <c r="EV32" s="127"/>
      <c r="EW32" s="127"/>
      <c r="EX32" s="127"/>
      <c r="EY32" s="127"/>
      <c r="EZ32" s="127"/>
      <c r="FA32" s="127"/>
      <c r="FB32" s="127"/>
      <c r="FC32" s="127"/>
      <c r="FD32" s="127"/>
      <c r="FE32" s="127"/>
      <c r="FF32" s="127"/>
      <c r="HW32" s="127"/>
      <c r="HX32" s="127"/>
      <c r="HY32" s="127"/>
      <c r="HZ32" s="127"/>
      <c r="IA32" s="127"/>
      <c r="IB32" s="127"/>
      <c r="IC32" s="127"/>
      <c r="ID32" s="127"/>
      <c r="IE32" s="127"/>
      <c r="IF32" s="127"/>
      <c r="IG32" s="127"/>
      <c r="IH32" s="127"/>
      <c r="II32" s="127"/>
      <c r="IJ32" s="127"/>
      <c r="IK32" s="127"/>
      <c r="LB32" s="127"/>
      <c r="LC32" s="127"/>
      <c r="LD32" s="127"/>
      <c r="LE32" s="127"/>
      <c r="LF32" s="127"/>
      <c r="LG32" s="127"/>
      <c r="LH32" s="127"/>
      <c r="LI32" s="127"/>
      <c r="LJ32" s="127"/>
      <c r="LK32" s="127"/>
      <c r="LL32" s="127"/>
      <c r="LM32" s="127"/>
      <c r="LN32" s="127"/>
      <c r="LO32" s="127"/>
      <c r="LP32" s="127"/>
      <c r="OG32" s="127"/>
      <c r="OH32" s="127"/>
      <c r="OI32" s="127"/>
      <c r="OJ32" s="127"/>
      <c r="OK32" s="127"/>
      <c r="OL32" s="127"/>
      <c r="OM32" s="127"/>
      <c r="ON32" s="127"/>
      <c r="OO32" s="127"/>
      <c r="OP32" s="127"/>
      <c r="OQ32" s="127"/>
      <c r="OR32" s="127"/>
      <c r="OS32" s="127"/>
      <c r="OT32" s="127"/>
      <c r="OU32" s="127"/>
    </row>
    <row r="33" spans="1:411">
      <c r="A33">
        <v>5</v>
      </c>
      <c r="B33">
        <v>69</v>
      </c>
      <c r="C33" t="s">
        <v>72</v>
      </c>
      <c r="D33" t="s">
        <v>73</v>
      </c>
      <c r="E33" s="232" t="s">
        <v>16540</v>
      </c>
      <c r="F33" t="s">
        <v>70</v>
      </c>
      <c r="G33">
        <v>1</v>
      </c>
      <c r="H33">
        <v>659.89599999999996</v>
      </c>
      <c r="I33">
        <v>657.803</v>
      </c>
      <c r="J33">
        <v>656.62</v>
      </c>
      <c r="K33">
        <v>653.798</v>
      </c>
      <c r="L33">
        <v>650.53800000000001</v>
      </c>
      <c r="M33" s="233" t="s">
        <v>530</v>
      </c>
      <c r="N33" s="233" t="s">
        <v>531</v>
      </c>
      <c r="O33" s="3" t="s">
        <v>591</v>
      </c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ER33" s="127"/>
      <c r="ES33" s="127"/>
      <c r="ET33" s="127"/>
      <c r="EU33" s="127"/>
      <c r="EV33" s="127"/>
      <c r="EW33" s="127"/>
      <c r="EX33" s="127"/>
      <c r="EY33" s="127"/>
      <c r="EZ33" s="127"/>
      <c r="FA33" s="127"/>
      <c r="FB33" s="127"/>
      <c r="FC33" s="127"/>
      <c r="FD33" s="127"/>
      <c r="FE33" s="127"/>
      <c r="FF33" s="127"/>
      <c r="HW33" s="127"/>
      <c r="HX33" s="127"/>
      <c r="HY33" s="127"/>
      <c r="HZ33" s="127"/>
      <c r="IA33" s="127"/>
      <c r="IB33" s="127"/>
      <c r="IC33" s="127"/>
      <c r="ID33" s="127"/>
      <c r="IE33" s="127"/>
      <c r="IF33" s="127"/>
      <c r="IG33" s="127"/>
      <c r="IH33" s="127"/>
      <c r="II33" s="127"/>
      <c r="IJ33" s="127"/>
      <c r="IK33" s="127"/>
      <c r="LB33" s="127"/>
      <c r="LC33" s="127"/>
      <c r="LD33" s="127"/>
      <c r="LE33" s="127"/>
      <c r="LF33" s="127"/>
      <c r="LG33" s="127"/>
      <c r="LH33" s="127"/>
      <c r="LI33" s="127"/>
      <c r="LJ33" s="127"/>
      <c r="LK33" s="127"/>
      <c r="LL33" s="127"/>
      <c r="LM33" s="127"/>
      <c r="LN33" s="127"/>
      <c r="LO33" s="127"/>
      <c r="LP33" s="127"/>
      <c r="OG33" s="127"/>
      <c r="OH33" s="127"/>
      <c r="OI33" s="127"/>
      <c r="OJ33" s="127"/>
      <c r="OK33" s="127"/>
      <c r="OL33" s="127"/>
      <c r="OM33" s="127"/>
      <c r="ON33" s="127"/>
      <c r="OO33" s="127"/>
      <c r="OP33" s="127"/>
      <c r="OQ33" s="127"/>
      <c r="OR33" s="127"/>
      <c r="OS33" s="127"/>
      <c r="OT33" s="127"/>
      <c r="OU33" s="127"/>
    </row>
    <row r="34" spans="1:411">
      <c r="A34">
        <v>5</v>
      </c>
      <c r="B34">
        <v>79</v>
      </c>
      <c r="C34" t="s">
        <v>72</v>
      </c>
      <c r="D34" t="s">
        <v>73</v>
      </c>
      <c r="E34" s="232" t="s">
        <v>8649</v>
      </c>
      <c r="F34" t="s">
        <v>70</v>
      </c>
      <c r="G34">
        <v>1</v>
      </c>
      <c r="H34">
        <v>660.14700000000005</v>
      </c>
      <c r="I34">
        <v>659.38599999999997</v>
      </c>
      <c r="J34">
        <v>656.62</v>
      </c>
      <c r="K34">
        <v>655.64499999999998</v>
      </c>
      <c r="L34">
        <v>652.75900000000001</v>
      </c>
      <c r="M34" s="233" t="s">
        <v>530</v>
      </c>
      <c r="N34" s="233" t="s">
        <v>531</v>
      </c>
      <c r="O34" s="3" t="s">
        <v>592</v>
      </c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ER34" s="127"/>
      <c r="ES34" s="127"/>
      <c r="ET34" s="127"/>
      <c r="EU34" s="127"/>
      <c r="EV34" s="127"/>
      <c r="EW34" s="127"/>
      <c r="EX34" s="127"/>
      <c r="EY34" s="127"/>
      <c r="EZ34" s="127"/>
      <c r="FA34" s="127"/>
      <c r="FB34" s="127"/>
      <c r="FC34" s="127"/>
      <c r="FD34" s="127"/>
      <c r="FE34" s="127"/>
      <c r="FF34" s="127"/>
      <c r="HW34" s="127"/>
      <c r="HX34" s="127"/>
      <c r="HY34" s="127"/>
      <c r="HZ34" s="127"/>
      <c r="IA34" s="127"/>
      <c r="IB34" s="127"/>
      <c r="IC34" s="127"/>
      <c r="ID34" s="127"/>
      <c r="IE34" s="127"/>
      <c r="IF34" s="127"/>
      <c r="IG34" s="127"/>
      <c r="IH34" s="127"/>
      <c r="II34" s="127"/>
      <c r="IJ34" s="127"/>
      <c r="IK34" s="127"/>
      <c r="LB34" s="127"/>
      <c r="LC34" s="127"/>
      <c r="LD34" s="127"/>
      <c r="LE34" s="127"/>
      <c r="LF34" s="127"/>
      <c r="LG34" s="127"/>
      <c r="LH34" s="127"/>
      <c r="LI34" s="127"/>
      <c r="LJ34" s="127"/>
      <c r="LK34" s="127"/>
      <c r="LL34" s="127"/>
      <c r="LM34" s="127"/>
      <c r="LN34" s="127"/>
      <c r="LO34" s="127"/>
      <c r="LP34" s="127"/>
      <c r="OG34" s="127"/>
      <c r="OH34" s="127"/>
      <c r="OI34" s="127"/>
      <c r="OJ34" s="127"/>
      <c r="OK34" s="127"/>
      <c r="OL34" s="127"/>
      <c r="OM34" s="127"/>
      <c r="ON34" s="127"/>
      <c r="OO34" s="127"/>
      <c r="OP34" s="127"/>
      <c r="OQ34" s="127"/>
      <c r="OR34" s="127"/>
      <c r="OS34" s="127"/>
      <c r="OT34" s="127"/>
      <c r="OU34" s="127"/>
    </row>
    <row r="35" spans="1:411">
      <c r="A35">
        <v>5</v>
      </c>
      <c r="B35">
        <v>88</v>
      </c>
      <c r="C35" t="s">
        <v>72</v>
      </c>
      <c r="D35" t="s">
        <v>73</v>
      </c>
      <c r="E35" s="232" t="s">
        <v>9323</v>
      </c>
      <c r="F35" t="s">
        <v>70</v>
      </c>
      <c r="G35">
        <v>1</v>
      </c>
      <c r="H35">
        <v>647.02099999999996</v>
      </c>
      <c r="I35">
        <v>645.99199999999996</v>
      </c>
      <c r="J35">
        <v>644.64700000000005</v>
      </c>
      <c r="K35">
        <v>640.72199999999998</v>
      </c>
      <c r="L35">
        <v>638.01599999999996</v>
      </c>
      <c r="M35" s="233" t="s">
        <v>530</v>
      </c>
      <c r="N35" s="233" t="s">
        <v>531</v>
      </c>
      <c r="O35" s="3" t="s">
        <v>593</v>
      </c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ER35" s="127"/>
      <c r="ES35" s="127"/>
      <c r="ET35" s="127"/>
      <c r="EU35" s="127"/>
      <c r="EV35" s="127"/>
      <c r="EW35" s="127"/>
      <c r="EX35" s="127"/>
      <c r="EY35" s="127"/>
      <c r="EZ35" s="127"/>
      <c r="FA35" s="127"/>
      <c r="FB35" s="127"/>
      <c r="FC35" s="127"/>
      <c r="FD35" s="127"/>
      <c r="FE35" s="127"/>
      <c r="FF35" s="127"/>
      <c r="HW35" s="127"/>
      <c r="HX35" s="127"/>
      <c r="HY35" s="127"/>
      <c r="HZ35" s="127"/>
      <c r="IA35" s="127"/>
      <c r="IB35" s="127"/>
      <c r="IC35" s="127"/>
      <c r="ID35" s="127"/>
      <c r="IE35" s="127"/>
      <c r="IF35" s="127"/>
      <c r="IG35" s="127"/>
      <c r="IH35" s="127"/>
      <c r="II35" s="127"/>
      <c r="IJ35" s="127"/>
      <c r="IK35" s="127"/>
      <c r="LB35" s="127"/>
      <c r="LC35" s="127"/>
      <c r="LD35" s="127"/>
      <c r="LE35" s="127"/>
      <c r="LF35" s="127"/>
      <c r="LG35" s="127"/>
      <c r="LH35" s="127"/>
      <c r="LI35" s="127"/>
      <c r="LJ35" s="127"/>
      <c r="LK35" s="127"/>
      <c r="LL35" s="127"/>
      <c r="LM35" s="127"/>
      <c r="LN35" s="127"/>
      <c r="LO35" s="127"/>
      <c r="LP35" s="127"/>
      <c r="OG35" s="127"/>
      <c r="OH35" s="127"/>
      <c r="OI35" s="127"/>
      <c r="OJ35" s="127"/>
      <c r="OK35" s="127"/>
      <c r="OL35" s="127"/>
      <c r="OM35" s="127"/>
      <c r="ON35" s="127"/>
      <c r="OO35" s="127"/>
      <c r="OP35" s="127"/>
      <c r="OQ35" s="127"/>
      <c r="OR35" s="127"/>
      <c r="OS35" s="127"/>
      <c r="OT35" s="127"/>
      <c r="OU35" s="127"/>
    </row>
    <row r="36" spans="1:411">
      <c r="A36">
        <v>5</v>
      </c>
      <c r="B36">
        <v>89</v>
      </c>
      <c r="C36" t="s">
        <v>72</v>
      </c>
      <c r="D36" t="s">
        <v>73</v>
      </c>
      <c r="E36" s="232" t="s">
        <v>9342</v>
      </c>
      <c r="F36" t="s">
        <v>70</v>
      </c>
      <c r="G36">
        <v>1</v>
      </c>
      <c r="H36">
        <v>646.85</v>
      </c>
      <c r="I36">
        <v>645.66300000000001</v>
      </c>
      <c r="J36">
        <v>644.18899999999996</v>
      </c>
      <c r="K36">
        <v>640.61599999999999</v>
      </c>
      <c r="L36">
        <v>637.75199999999995</v>
      </c>
      <c r="M36" s="233" t="s">
        <v>530</v>
      </c>
      <c r="N36" s="233" t="s">
        <v>531</v>
      </c>
      <c r="O36" s="3" t="s">
        <v>594</v>
      </c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ER36" s="127"/>
      <c r="ES36" s="127"/>
      <c r="ET36" s="127"/>
      <c r="EU36" s="127"/>
      <c r="EV36" s="127"/>
      <c r="EW36" s="127"/>
      <c r="EX36" s="127"/>
      <c r="EY36" s="127"/>
      <c r="EZ36" s="127"/>
      <c r="FA36" s="127"/>
      <c r="FB36" s="127"/>
      <c r="FC36" s="127"/>
      <c r="FD36" s="127"/>
      <c r="FE36" s="127"/>
      <c r="FF36" s="127"/>
      <c r="HW36" s="127"/>
      <c r="HX36" s="127"/>
      <c r="HY36" s="127"/>
      <c r="HZ36" s="127"/>
      <c r="IA36" s="127"/>
      <c r="IB36" s="127"/>
      <c r="IC36" s="127"/>
      <c r="ID36" s="127"/>
      <c r="IE36" s="127"/>
      <c r="IF36" s="127"/>
      <c r="IG36" s="127"/>
      <c r="IH36" s="127"/>
      <c r="II36" s="127"/>
      <c r="IJ36" s="127"/>
      <c r="IK36" s="127"/>
      <c r="LB36" s="127"/>
      <c r="LC36" s="127"/>
      <c r="LD36" s="127"/>
      <c r="LE36" s="127"/>
      <c r="LF36" s="127"/>
      <c r="LG36" s="127"/>
      <c r="LH36" s="127"/>
      <c r="LI36" s="127"/>
      <c r="LJ36" s="127"/>
      <c r="LK36" s="127"/>
      <c r="LL36" s="127"/>
      <c r="LM36" s="127"/>
      <c r="LN36" s="127"/>
      <c r="LO36" s="127"/>
      <c r="LP36" s="127"/>
      <c r="OG36" s="127"/>
      <c r="OH36" s="127"/>
      <c r="OI36" s="127"/>
      <c r="OJ36" s="127"/>
      <c r="OK36" s="127"/>
      <c r="OL36" s="127"/>
      <c r="OM36" s="127"/>
      <c r="ON36" s="127"/>
      <c r="OO36" s="127"/>
      <c r="OP36" s="127"/>
      <c r="OQ36" s="127"/>
      <c r="OR36" s="127"/>
      <c r="OS36" s="127"/>
      <c r="OT36" s="127"/>
      <c r="OU36" s="127"/>
    </row>
    <row r="37" spans="1:411">
      <c r="A37">
        <v>5</v>
      </c>
      <c r="B37">
        <v>87</v>
      </c>
      <c r="C37" t="s">
        <v>72</v>
      </c>
      <c r="D37" t="s">
        <v>73</v>
      </c>
      <c r="E37" s="232" t="s">
        <v>9811</v>
      </c>
      <c r="F37" t="s">
        <v>70</v>
      </c>
      <c r="G37">
        <v>1</v>
      </c>
      <c r="H37">
        <v>640.29999999999995</v>
      </c>
      <c r="I37">
        <v>638.69799999999998</v>
      </c>
      <c r="J37">
        <v>637.24699999999996</v>
      </c>
      <c r="K37">
        <v>634.47799999999995</v>
      </c>
      <c r="L37">
        <v>632.23199999999997</v>
      </c>
      <c r="M37" s="233" t="s">
        <v>530</v>
      </c>
      <c r="N37" s="233" t="s">
        <v>531</v>
      </c>
      <c r="O37" s="3" t="s">
        <v>595</v>
      </c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LB37" s="127"/>
      <c r="LC37" s="127"/>
      <c r="LD37" s="127"/>
      <c r="LE37" s="127"/>
      <c r="LF37" s="127"/>
      <c r="LG37" s="127"/>
      <c r="LH37" s="127"/>
      <c r="LI37" s="127"/>
      <c r="LJ37" s="127"/>
      <c r="LK37" s="127"/>
      <c r="LL37" s="127"/>
      <c r="LM37" s="127"/>
      <c r="LN37" s="127"/>
      <c r="LO37" s="127"/>
      <c r="LP37" s="127"/>
      <c r="OG37" s="127"/>
      <c r="OH37" s="127"/>
      <c r="OI37" s="127"/>
      <c r="OJ37" s="127"/>
      <c r="OK37" s="127"/>
      <c r="OL37" s="127"/>
      <c r="OM37" s="127"/>
      <c r="ON37" s="127"/>
      <c r="OO37" s="127"/>
      <c r="OP37" s="127"/>
      <c r="OQ37" s="127"/>
      <c r="OR37" s="127"/>
      <c r="OS37" s="127"/>
      <c r="OT37" s="127"/>
      <c r="OU37" s="127"/>
    </row>
    <row r="38" spans="1:411">
      <c r="A38">
        <v>5</v>
      </c>
      <c r="B38">
        <v>86</v>
      </c>
      <c r="C38" t="s">
        <v>72</v>
      </c>
      <c r="D38" t="s">
        <v>73</v>
      </c>
      <c r="E38" s="232" t="s">
        <v>10195</v>
      </c>
      <c r="F38" t="s">
        <v>70</v>
      </c>
      <c r="G38">
        <v>1</v>
      </c>
      <c r="H38">
        <v>634.096</v>
      </c>
      <c r="I38">
        <v>632.71</v>
      </c>
      <c r="J38">
        <v>631.55600000000004</v>
      </c>
      <c r="K38">
        <v>628.29700000000003</v>
      </c>
      <c r="L38">
        <v>625.72900000000004</v>
      </c>
      <c r="M38" s="233" t="s">
        <v>530</v>
      </c>
      <c r="N38" s="233" t="s">
        <v>531</v>
      </c>
      <c r="O38" s="3" t="s">
        <v>596</v>
      </c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ER38" s="127"/>
      <c r="ES38" s="127"/>
      <c r="ET38" s="127"/>
      <c r="EU38" s="127"/>
      <c r="EV38" s="127"/>
      <c r="EW38" s="127"/>
      <c r="EX38" s="127"/>
      <c r="EY38" s="127"/>
      <c r="EZ38" s="127"/>
      <c r="FA38" s="127"/>
      <c r="FB38" s="127"/>
      <c r="FC38" s="127"/>
      <c r="FD38" s="127"/>
      <c r="FE38" s="127"/>
      <c r="FF38" s="127"/>
      <c r="HW38" s="127"/>
      <c r="HX38" s="127"/>
      <c r="HY38" s="127"/>
      <c r="HZ38" s="127"/>
      <c r="IA38" s="127"/>
      <c r="IB38" s="127"/>
      <c r="IC38" s="127"/>
      <c r="ID38" s="127"/>
      <c r="IE38" s="127"/>
      <c r="IF38" s="127"/>
      <c r="IG38" s="127"/>
      <c r="IH38" s="127"/>
      <c r="II38" s="127"/>
      <c r="IJ38" s="127"/>
      <c r="IK38" s="127"/>
      <c r="LB38" s="127"/>
      <c r="LC38" s="127"/>
      <c r="LD38" s="127"/>
      <c r="LE38" s="127"/>
      <c r="LF38" s="127"/>
      <c r="LG38" s="127"/>
      <c r="LH38" s="127"/>
      <c r="LI38" s="127"/>
      <c r="LJ38" s="127"/>
      <c r="LK38" s="127"/>
      <c r="LL38" s="127"/>
      <c r="LM38" s="127"/>
      <c r="LN38" s="127"/>
      <c r="LO38" s="127"/>
      <c r="LP38" s="127"/>
      <c r="OG38" s="127"/>
      <c r="OH38" s="127"/>
      <c r="OI38" s="127"/>
      <c r="OJ38" s="127"/>
      <c r="OK38" s="127"/>
      <c r="OL38" s="127"/>
      <c r="OM38" s="127"/>
      <c r="ON38" s="127"/>
      <c r="OO38" s="127"/>
      <c r="OP38" s="127"/>
      <c r="OQ38" s="127"/>
      <c r="OR38" s="127"/>
      <c r="OS38" s="127"/>
      <c r="OT38" s="127"/>
      <c r="OU38" s="127"/>
    </row>
    <row r="39" spans="1:411">
      <c r="A39">
        <v>5</v>
      </c>
      <c r="B39">
        <v>90</v>
      </c>
      <c r="C39" t="s">
        <v>72</v>
      </c>
      <c r="D39" t="s">
        <v>73</v>
      </c>
      <c r="E39" s="232" t="s">
        <v>10204</v>
      </c>
      <c r="F39" t="s">
        <v>70</v>
      </c>
      <c r="G39">
        <v>1</v>
      </c>
      <c r="H39">
        <v>634.096</v>
      </c>
      <c r="I39">
        <v>632.71</v>
      </c>
      <c r="J39">
        <v>631.55600000000004</v>
      </c>
      <c r="K39">
        <v>628.29700000000003</v>
      </c>
      <c r="L39">
        <v>625.72900000000004</v>
      </c>
      <c r="M39" s="233" t="s">
        <v>530</v>
      </c>
      <c r="N39" s="233" t="s">
        <v>531</v>
      </c>
      <c r="O39" s="3" t="s">
        <v>597</v>
      </c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ER39" s="127"/>
      <c r="ES39" s="127"/>
      <c r="ET39" s="127"/>
      <c r="EU39" s="127"/>
      <c r="EV39" s="127"/>
      <c r="EW39" s="127"/>
      <c r="EX39" s="127"/>
      <c r="EY39" s="127"/>
      <c r="EZ39" s="127"/>
      <c r="FA39" s="127"/>
      <c r="FB39" s="127"/>
      <c r="FC39" s="127"/>
      <c r="FD39" s="127"/>
      <c r="FE39" s="127"/>
      <c r="FF39" s="127"/>
      <c r="HW39" s="127"/>
      <c r="HX39" s="127"/>
      <c r="HY39" s="127"/>
      <c r="HZ39" s="127"/>
      <c r="IA39" s="127"/>
      <c r="IB39" s="127"/>
      <c r="IC39" s="127"/>
      <c r="ID39" s="127"/>
      <c r="IE39" s="127"/>
      <c r="IF39" s="127"/>
      <c r="IG39" s="127"/>
      <c r="IH39" s="127"/>
      <c r="II39" s="127"/>
      <c r="IJ39" s="127"/>
      <c r="IK39" s="127"/>
      <c r="LB39" s="127"/>
      <c r="LC39" s="127"/>
      <c r="LD39" s="127"/>
      <c r="LE39" s="127"/>
      <c r="LF39" s="127"/>
      <c r="LG39" s="127"/>
      <c r="LH39" s="127"/>
      <c r="LI39" s="127"/>
      <c r="LJ39" s="127"/>
      <c r="LK39" s="127"/>
      <c r="LL39" s="127"/>
      <c r="LM39" s="127"/>
      <c r="LN39" s="127"/>
      <c r="LO39" s="127"/>
      <c r="LP39" s="127"/>
      <c r="OG39" s="127"/>
      <c r="OH39" s="127"/>
      <c r="OI39" s="127"/>
      <c r="OJ39" s="127"/>
      <c r="OK39" s="127"/>
      <c r="OL39" s="127"/>
      <c r="OM39" s="127"/>
      <c r="ON39" s="127"/>
      <c r="OO39" s="127"/>
      <c r="OP39" s="127"/>
      <c r="OQ39" s="127"/>
      <c r="OR39" s="127"/>
      <c r="OS39" s="127"/>
      <c r="OT39" s="127"/>
      <c r="OU39" s="127"/>
    </row>
    <row r="40" spans="1:411">
      <c r="A40">
        <v>5</v>
      </c>
      <c r="B40">
        <v>84</v>
      </c>
      <c r="C40" t="s">
        <v>72</v>
      </c>
      <c r="D40" t="s">
        <v>73</v>
      </c>
      <c r="E40" s="232" t="s">
        <v>10873</v>
      </c>
      <c r="F40" t="s">
        <v>70</v>
      </c>
      <c r="G40">
        <v>1</v>
      </c>
      <c r="H40">
        <v>618.524</v>
      </c>
      <c r="I40">
        <v>616.39800000000002</v>
      </c>
      <c r="J40">
        <v>615.12400000000002</v>
      </c>
      <c r="K40">
        <v>610.88</v>
      </c>
      <c r="L40">
        <v>606.78399999999999</v>
      </c>
      <c r="M40" s="233" t="s">
        <v>530</v>
      </c>
      <c r="N40" s="233" t="s">
        <v>531</v>
      </c>
      <c r="O40" s="3" t="s">
        <v>598</v>
      </c>
      <c r="BM40" s="127"/>
      <c r="BN40" s="127"/>
      <c r="BO40" s="127"/>
      <c r="BP40" s="127"/>
      <c r="BQ40" s="127"/>
      <c r="BR40" s="127"/>
      <c r="BS40" s="127"/>
      <c r="BT40" s="127"/>
      <c r="BU40" s="127"/>
      <c r="BV40" s="127"/>
      <c r="BW40" s="127"/>
      <c r="BX40" s="127"/>
      <c r="BY40" s="127"/>
      <c r="BZ40" s="127"/>
      <c r="CA40" s="127"/>
      <c r="ER40" s="127"/>
      <c r="ES40" s="127"/>
      <c r="ET40" s="127"/>
      <c r="EU40" s="127"/>
      <c r="EV40" s="127"/>
      <c r="EW40" s="127"/>
      <c r="EX40" s="127"/>
      <c r="EY40" s="127"/>
      <c r="EZ40" s="127"/>
      <c r="FA40" s="127"/>
      <c r="FB40" s="127"/>
      <c r="FC40" s="127"/>
      <c r="FD40" s="127"/>
      <c r="FE40" s="127"/>
      <c r="FF40" s="127"/>
      <c r="HW40" s="127"/>
      <c r="HX40" s="127"/>
      <c r="HY40" s="127"/>
      <c r="HZ40" s="127"/>
      <c r="IA40" s="127"/>
      <c r="IB40" s="127"/>
      <c r="IC40" s="127"/>
      <c r="ID40" s="127"/>
      <c r="IE40" s="127"/>
      <c r="IF40" s="127"/>
      <c r="IG40" s="127"/>
      <c r="IH40" s="127"/>
      <c r="II40" s="127"/>
      <c r="IJ40" s="127"/>
      <c r="IK40" s="127"/>
      <c r="LB40" s="127"/>
      <c r="LC40" s="127"/>
      <c r="LD40" s="127"/>
      <c r="LE40" s="127"/>
      <c r="LF40" s="127"/>
      <c r="LG40" s="127"/>
      <c r="LH40" s="127"/>
      <c r="LI40" s="127"/>
      <c r="LJ40" s="127"/>
      <c r="LK40" s="127"/>
      <c r="LL40" s="127"/>
      <c r="LM40" s="127"/>
      <c r="LN40" s="127"/>
      <c r="LO40" s="127"/>
      <c r="LP40" s="127"/>
      <c r="OG40" s="127"/>
      <c r="OH40" s="127"/>
      <c r="OI40" s="127"/>
      <c r="OJ40" s="127"/>
      <c r="OK40" s="127"/>
      <c r="OL40" s="127"/>
      <c r="OM40" s="127"/>
      <c r="ON40" s="127"/>
      <c r="OO40" s="127"/>
      <c r="OP40" s="127"/>
      <c r="OQ40" s="127"/>
      <c r="OR40" s="127"/>
      <c r="OS40" s="127"/>
      <c r="OT40" s="127"/>
      <c r="OU40" s="127"/>
    </row>
    <row r="41" spans="1:411">
      <c r="A41">
        <v>5</v>
      </c>
      <c r="B41">
        <v>83</v>
      </c>
      <c r="C41" t="s">
        <v>72</v>
      </c>
      <c r="D41" t="s">
        <v>73</v>
      </c>
      <c r="E41" s="232" t="s">
        <v>10963</v>
      </c>
      <c r="F41" t="s">
        <v>70</v>
      </c>
      <c r="G41">
        <v>1</v>
      </c>
      <c r="H41">
        <v>617.06700000000001</v>
      </c>
      <c r="I41">
        <v>615.12400000000002</v>
      </c>
      <c r="J41">
        <v>614.13800000000003</v>
      </c>
      <c r="K41">
        <v>609.70000000000005</v>
      </c>
      <c r="L41">
        <v>605.86500000000001</v>
      </c>
      <c r="M41" s="233" t="s">
        <v>530</v>
      </c>
      <c r="N41" s="233" t="s">
        <v>531</v>
      </c>
      <c r="O41" s="3" t="s">
        <v>599</v>
      </c>
      <c r="BM41" s="127"/>
      <c r="BN41" s="127"/>
      <c r="BO41" s="127"/>
      <c r="BP41" s="127"/>
      <c r="BQ41" s="127"/>
      <c r="BR41" s="127"/>
      <c r="BS41" s="127"/>
      <c r="BT41" s="127"/>
      <c r="BU41" s="127"/>
      <c r="BV41" s="127"/>
      <c r="BW41" s="127"/>
      <c r="BX41" s="127"/>
      <c r="BY41" s="127"/>
      <c r="BZ41" s="127"/>
      <c r="CA41" s="127"/>
      <c r="ER41" s="127"/>
      <c r="ES41" s="127"/>
      <c r="ET41" s="127"/>
      <c r="EU41" s="127"/>
      <c r="EV41" s="127"/>
      <c r="EW41" s="127"/>
      <c r="EX41" s="127"/>
      <c r="EY41" s="127"/>
      <c r="EZ41" s="127"/>
      <c r="FA41" s="127"/>
      <c r="FB41" s="127"/>
      <c r="FC41" s="127"/>
      <c r="FD41" s="127"/>
      <c r="FE41" s="127"/>
      <c r="FF41" s="127"/>
      <c r="HW41" s="127"/>
      <c r="HX41" s="127"/>
      <c r="HY41" s="127"/>
      <c r="HZ41" s="127"/>
      <c r="IA41" s="127"/>
      <c r="IB41" s="127"/>
      <c r="IC41" s="127"/>
      <c r="ID41" s="127"/>
      <c r="IE41" s="127"/>
      <c r="IF41" s="127"/>
      <c r="IG41" s="127"/>
      <c r="IH41" s="127"/>
      <c r="II41" s="127"/>
      <c r="IJ41" s="127"/>
      <c r="IK41" s="127"/>
      <c r="LB41" s="127"/>
      <c r="LC41" s="127"/>
      <c r="LD41" s="127"/>
      <c r="LE41" s="127"/>
      <c r="LF41" s="127"/>
      <c r="LG41" s="127"/>
      <c r="LH41" s="127"/>
      <c r="LI41" s="127"/>
      <c r="LJ41" s="127"/>
      <c r="LK41" s="127"/>
      <c r="LL41" s="127"/>
      <c r="LM41" s="127"/>
      <c r="LN41" s="127"/>
      <c r="LO41" s="127"/>
      <c r="LP41" s="127"/>
      <c r="OG41" s="127"/>
      <c r="OH41" s="127"/>
      <c r="OI41" s="127"/>
      <c r="OJ41" s="127"/>
      <c r="OK41" s="127"/>
      <c r="OL41" s="127"/>
      <c r="OM41" s="127"/>
      <c r="ON41" s="127"/>
      <c r="OO41" s="127"/>
      <c r="OP41" s="127"/>
      <c r="OQ41" s="127"/>
      <c r="OR41" s="127"/>
      <c r="OS41" s="127"/>
      <c r="OT41" s="127"/>
      <c r="OU41" s="127"/>
    </row>
    <row r="42" spans="1:411">
      <c r="A42">
        <v>5</v>
      </c>
      <c r="B42">
        <v>82</v>
      </c>
      <c r="C42" t="s">
        <v>72</v>
      </c>
      <c r="D42" t="s">
        <v>73</v>
      </c>
      <c r="E42" s="232" t="s">
        <v>11282</v>
      </c>
      <c r="F42" t="s">
        <v>70</v>
      </c>
      <c r="G42">
        <v>1</v>
      </c>
      <c r="H42">
        <v>611.428</v>
      </c>
      <c r="I42">
        <v>610.09100000000001</v>
      </c>
      <c r="J42">
        <v>608.87</v>
      </c>
      <c r="K42">
        <v>606.11199999999997</v>
      </c>
      <c r="L42">
        <v>601.87400000000002</v>
      </c>
      <c r="M42" s="233" t="s">
        <v>530</v>
      </c>
      <c r="N42" s="233" t="s">
        <v>531</v>
      </c>
      <c r="O42" s="3" t="s">
        <v>600</v>
      </c>
      <c r="BM42" s="127"/>
      <c r="BN42" s="127"/>
      <c r="BO42" s="127"/>
      <c r="BP42" s="127"/>
      <c r="BQ42" s="127"/>
      <c r="BR42" s="127"/>
      <c r="BS42" s="127"/>
      <c r="BT42" s="127"/>
      <c r="BU42" s="127"/>
      <c r="BV42" s="127"/>
      <c r="BW42" s="127"/>
      <c r="BX42" s="127"/>
      <c r="BY42" s="127"/>
      <c r="BZ42" s="127"/>
      <c r="CA42" s="127"/>
      <c r="ER42" s="127"/>
      <c r="ES42" s="127"/>
      <c r="ET42" s="127"/>
      <c r="EU42" s="127"/>
      <c r="EV42" s="127"/>
      <c r="EW42" s="127"/>
      <c r="EX42" s="127"/>
      <c r="EY42" s="127"/>
      <c r="EZ42" s="127"/>
      <c r="FA42" s="127"/>
      <c r="FB42" s="127"/>
      <c r="FC42" s="127"/>
      <c r="FD42" s="127"/>
      <c r="FE42" s="127"/>
      <c r="FF42" s="127"/>
      <c r="HW42" s="127"/>
      <c r="HX42" s="127"/>
      <c r="HY42" s="127"/>
      <c r="HZ42" s="127"/>
      <c r="IA42" s="127"/>
      <c r="IB42" s="127"/>
      <c r="IC42" s="127"/>
      <c r="ID42" s="127"/>
      <c r="IE42" s="127"/>
      <c r="IF42" s="127"/>
      <c r="IG42" s="127"/>
      <c r="IH42" s="127"/>
      <c r="II42" s="127"/>
      <c r="IJ42" s="127"/>
      <c r="IK42" s="127"/>
      <c r="LB42" s="127"/>
      <c r="LC42" s="127"/>
      <c r="LD42" s="127"/>
      <c r="LE42" s="127"/>
      <c r="LF42" s="127"/>
      <c r="LG42" s="127"/>
      <c r="LH42" s="127"/>
      <c r="LI42" s="127"/>
      <c r="LJ42" s="127"/>
      <c r="LK42" s="127"/>
      <c r="LL42" s="127"/>
      <c r="LM42" s="127"/>
      <c r="LN42" s="127"/>
      <c r="LO42" s="127"/>
      <c r="LP42" s="127"/>
      <c r="OG42" s="127"/>
      <c r="OH42" s="127"/>
      <c r="OI42" s="127"/>
      <c r="OJ42" s="127"/>
      <c r="OK42" s="127"/>
      <c r="OL42" s="127"/>
      <c r="OM42" s="127"/>
      <c r="ON42" s="127"/>
      <c r="OO42" s="127"/>
      <c r="OP42" s="127"/>
      <c r="OQ42" s="127"/>
      <c r="OR42" s="127"/>
      <c r="OS42" s="127"/>
      <c r="OT42" s="127"/>
      <c r="OU42" s="127"/>
    </row>
    <row r="43" spans="1:411">
      <c r="A43">
        <v>5</v>
      </c>
      <c r="B43">
        <v>85</v>
      </c>
      <c r="C43" t="s">
        <v>72</v>
      </c>
      <c r="D43" t="s">
        <v>73</v>
      </c>
      <c r="E43" s="232" t="s">
        <v>11526</v>
      </c>
      <c r="F43" t="s">
        <v>70</v>
      </c>
      <c r="G43">
        <v>1</v>
      </c>
      <c r="H43">
        <v>608.67499999999995</v>
      </c>
      <c r="I43">
        <v>607.29200000000003</v>
      </c>
      <c r="J43">
        <v>606.30799999999999</v>
      </c>
      <c r="K43">
        <v>602.827</v>
      </c>
      <c r="L43">
        <v>598.99300000000005</v>
      </c>
      <c r="M43" s="233" t="s">
        <v>530</v>
      </c>
      <c r="N43" s="233" t="s">
        <v>531</v>
      </c>
      <c r="O43" s="3" t="s">
        <v>601</v>
      </c>
      <c r="BM43" s="127"/>
      <c r="BN43" s="127"/>
      <c r="BO43" s="127"/>
      <c r="BP43" s="127"/>
      <c r="BQ43" s="127"/>
      <c r="BR43" s="127"/>
      <c r="BS43" s="127"/>
      <c r="BT43" s="127"/>
      <c r="BU43" s="127"/>
      <c r="BV43" s="127"/>
      <c r="BW43" s="127"/>
      <c r="BX43" s="127"/>
      <c r="BY43" s="127"/>
      <c r="BZ43" s="127"/>
      <c r="CA43" s="127"/>
      <c r="ER43" s="127"/>
      <c r="ES43" s="127"/>
      <c r="ET43" s="127"/>
      <c r="EU43" s="127"/>
      <c r="EV43" s="127"/>
      <c r="EW43" s="127"/>
      <c r="EX43" s="127"/>
      <c r="EY43" s="127"/>
      <c r="EZ43" s="127"/>
      <c r="FA43" s="127"/>
      <c r="FB43" s="127"/>
      <c r="FC43" s="127"/>
      <c r="FD43" s="127"/>
      <c r="FE43" s="127"/>
      <c r="FF43" s="127"/>
      <c r="HW43" s="127"/>
      <c r="HX43" s="127"/>
      <c r="HY43" s="127"/>
      <c r="HZ43" s="127"/>
      <c r="IA43" s="127"/>
      <c r="IB43" s="127"/>
      <c r="IC43" s="127"/>
      <c r="ID43" s="127"/>
      <c r="IE43" s="127"/>
      <c r="IF43" s="127"/>
      <c r="IG43" s="127"/>
      <c r="IH43" s="127"/>
      <c r="II43" s="127"/>
      <c r="IJ43" s="127"/>
      <c r="IK43" s="127"/>
      <c r="LB43" s="127"/>
      <c r="LC43" s="127"/>
      <c r="LD43" s="127"/>
      <c r="LE43" s="127"/>
      <c r="LF43" s="127"/>
      <c r="LG43" s="127"/>
      <c r="LH43" s="127"/>
      <c r="LI43" s="127"/>
      <c r="LJ43" s="127"/>
      <c r="LK43" s="127"/>
      <c r="LL43" s="127"/>
      <c r="LM43" s="127"/>
      <c r="LN43" s="127"/>
      <c r="LO43" s="127"/>
      <c r="LP43" s="127"/>
      <c r="OG43" s="127"/>
      <c r="OH43" s="127"/>
      <c r="OI43" s="127"/>
      <c r="OJ43" s="127"/>
      <c r="OK43" s="127"/>
      <c r="OL43" s="127"/>
      <c r="OM43" s="127"/>
      <c r="ON43" s="127"/>
      <c r="OO43" s="127"/>
      <c r="OP43" s="127"/>
      <c r="OQ43" s="127"/>
      <c r="OR43" s="127"/>
      <c r="OS43" s="127"/>
      <c r="OT43" s="127"/>
      <c r="OU43" s="127"/>
    </row>
    <row r="44" spans="1:411">
      <c r="A44">
        <v>6</v>
      </c>
      <c r="B44">
        <v>94</v>
      </c>
      <c r="C44" t="s">
        <v>72</v>
      </c>
      <c r="D44" t="s">
        <v>73</v>
      </c>
      <c r="E44" s="232" t="s">
        <v>491</v>
      </c>
      <c r="F44" t="s">
        <v>71</v>
      </c>
      <c r="G44">
        <v>1</v>
      </c>
      <c r="H44">
        <v>669.875</v>
      </c>
      <c r="I44">
        <v>669.00199999999995</v>
      </c>
      <c r="J44">
        <v>667.71500000000003</v>
      </c>
      <c r="K44">
        <v>665.25800000000004</v>
      </c>
      <c r="L44">
        <v>663.74</v>
      </c>
      <c r="M44" s="233" t="s">
        <v>530</v>
      </c>
      <c r="N44" s="233" t="s">
        <v>531</v>
      </c>
      <c r="O44" s="3" t="s">
        <v>602</v>
      </c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ER44" s="127"/>
      <c r="ES44" s="127"/>
      <c r="ET44" s="127"/>
      <c r="EU44" s="127"/>
      <c r="EV44" s="127"/>
      <c r="EW44" s="127"/>
      <c r="EX44" s="127"/>
      <c r="EY44" s="127"/>
      <c r="EZ44" s="127"/>
      <c r="FA44" s="127"/>
      <c r="FB44" s="127"/>
      <c r="FC44" s="127"/>
      <c r="FD44" s="127"/>
      <c r="FE44" s="127"/>
      <c r="FF44" s="127"/>
      <c r="HW44" s="127"/>
      <c r="HX44" s="127"/>
      <c r="HY44" s="127"/>
      <c r="HZ44" s="127"/>
      <c r="IA44" s="127"/>
      <c r="IB44" s="127"/>
      <c r="IC44" s="127"/>
      <c r="ID44" s="127"/>
      <c r="IE44" s="127"/>
      <c r="IF44" s="127"/>
      <c r="IG44" s="127"/>
      <c r="IH44" s="127"/>
      <c r="II44" s="127"/>
      <c r="IJ44" s="127"/>
      <c r="IK44" s="127"/>
      <c r="LB44" s="127"/>
      <c r="LC44" s="127"/>
      <c r="LD44" s="127"/>
      <c r="LE44" s="127"/>
      <c r="LF44" s="127"/>
      <c r="LG44" s="127"/>
      <c r="LH44" s="127"/>
      <c r="LI44" s="127"/>
      <c r="LJ44" s="127"/>
      <c r="LK44" s="127"/>
      <c r="LL44" s="127"/>
      <c r="LM44" s="127"/>
      <c r="LN44" s="127"/>
      <c r="LO44" s="127"/>
      <c r="LP44" s="127"/>
      <c r="OG44" s="127"/>
      <c r="OH44" s="127"/>
      <c r="OI44" s="127"/>
      <c r="OJ44" s="127"/>
      <c r="OK44" s="127"/>
      <c r="OL44" s="127"/>
      <c r="OM44" s="127"/>
      <c r="ON44" s="127"/>
      <c r="OO44" s="127"/>
      <c r="OP44" s="127"/>
      <c r="OQ44" s="127"/>
      <c r="OR44" s="127"/>
      <c r="OS44" s="127"/>
      <c r="OT44" s="127"/>
      <c r="OU44" s="127"/>
    </row>
    <row r="45" spans="1:411">
      <c r="A45">
        <v>6</v>
      </c>
      <c r="B45">
        <v>95</v>
      </c>
      <c r="C45" t="s">
        <v>72</v>
      </c>
      <c r="D45" t="s">
        <v>73</v>
      </c>
      <c r="E45" s="232" t="s">
        <v>8696</v>
      </c>
      <c r="F45" t="s">
        <v>71</v>
      </c>
      <c r="G45">
        <v>1</v>
      </c>
      <c r="H45">
        <v>670.11400000000003</v>
      </c>
      <c r="I45">
        <v>669.10299999999995</v>
      </c>
      <c r="J45">
        <v>667.71500000000003</v>
      </c>
      <c r="K45">
        <v>666.34400000000005</v>
      </c>
      <c r="L45">
        <v>661.86199999999997</v>
      </c>
      <c r="M45" s="233" t="s">
        <v>530</v>
      </c>
      <c r="N45" s="233" t="s">
        <v>531</v>
      </c>
      <c r="O45" s="3" t="s">
        <v>603</v>
      </c>
      <c r="BM45" s="127"/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ER45" s="127"/>
      <c r="ES45" s="127"/>
      <c r="ET45" s="127"/>
      <c r="EU45" s="127"/>
      <c r="EV45" s="127"/>
      <c r="EW45" s="127"/>
      <c r="EX45" s="127"/>
      <c r="EY45" s="127"/>
      <c r="EZ45" s="127"/>
      <c r="FA45" s="127"/>
      <c r="FB45" s="127"/>
      <c r="FC45" s="127"/>
      <c r="FD45" s="127"/>
      <c r="FE45" s="127"/>
      <c r="FF45" s="127"/>
      <c r="HW45" s="127"/>
      <c r="HX45" s="127"/>
      <c r="HY45" s="127"/>
      <c r="HZ45" s="127"/>
      <c r="IA45" s="127"/>
      <c r="IB45" s="127"/>
      <c r="IC45" s="127"/>
      <c r="ID45" s="127"/>
      <c r="IE45" s="127"/>
      <c r="IF45" s="127"/>
      <c r="IG45" s="127"/>
      <c r="IH45" s="127"/>
      <c r="II45" s="127"/>
      <c r="IJ45" s="127"/>
      <c r="IK45" s="127"/>
      <c r="LB45" s="127"/>
      <c r="LC45" s="127"/>
      <c r="LD45" s="127"/>
      <c r="LE45" s="127"/>
      <c r="LF45" s="127"/>
      <c r="LG45" s="127"/>
      <c r="LH45" s="127"/>
      <c r="LI45" s="127"/>
      <c r="LJ45" s="127"/>
      <c r="LK45" s="127"/>
      <c r="LL45" s="127"/>
      <c r="LM45" s="127"/>
      <c r="LN45" s="127"/>
      <c r="LO45" s="127"/>
      <c r="LP45" s="127"/>
      <c r="OG45" s="127"/>
      <c r="OH45" s="127"/>
      <c r="OI45" s="127"/>
      <c r="OJ45" s="127"/>
      <c r="OK45" s="127"/>
      <c r="OL45" s="127"/>
      <c r="OM45" s="127"/>
      <c r="ON45" s="127"/>
      <c r="OO45" s="127"/>
      <c r="OP45" s="127"/>
      <c r="OQ45" s="127"/>
      <c r="OR45" s="127"/>
      <c r="OS45" s="127"/>
      <c r="OT45" s="127"/>
      <c r="OU45" s="127"/>
    </row>
    <row r="46" spans="1:411">
      <c r="A46">
        <v>268</v>
      </c>
      <c r="B46">
        <v>92</v>
      </c>
      <c r="C46" t="s">
        <v>72</v>
      </c>
      <c r="D46" t="s">
        <v>73</v>
      </c>
      <c r="E46" s="232" t="s">
        <v>8307</v>
      </c>
      <c r="F46" t="s">
        <v>71</v>
      </c>
      <c r="G46">
        <v>1</v>
      </c>
      <c r="H46">
        <v>677.99300000000005</v>
      </c>
      <c r="I46">
        <v>676.23099999999999</v>
      </c>
      <c r="J46">
        <v>675.29600000000005</v>
      </c>
      <c r="K46">
        <v>673.78099999999995</v>
      </c>
      <c r="L46">
        <v>666.74</v>
      </c>
      <c r="M46" s="233" t="s">
        <v>530</v>
      </c>
      <c r="N46" s="233" t="s">
        <v>531</v>
      </c>
      <c r="O46" s="3" t="s">
        <v>604</v>
      </c>
      <c r="BM46" s="127"/>
      <c r="BN46" s="127"/>
      <c r="BO46" s="127"/>
      <c r="BP46" s="127"/>
      <c r="BQ46" s="127"/>
      <c r="BR46" s="127"/>
      <c r="BS46" s="127"/>
      <c r="BT46" s="127"/>
      <c r="BU46" s="127"/>
      <c r="BV46" s="127"/>
      <c r="BW46" s="127"/>
      <c r="BX46" s="127"/>
      <c r="BY46" s="127"/>
      <c r="BZ46" s="127"/>
      <c r="CA46" s="127"/>
      <c r="ER46" s="127"/>
      <c r="ES46" s="127"/>
      <c r="ET46" s="127"/>
      <c r="EU46" s="127"/>
      <c r="EV46" s="127"/>
      <c r="EW46" s="127"/>
      <c r="EX46" s="127"/>
      <c r="EY46" s="127"/>
      <c r="EZ46" s="127"/>
      <c r="FA46" s="127"/>
      <c r="FB46" s="127"/>
      <c r="FC46" s="127"/>
      <c r="FD46" s="127"/>
      <c r="FE46" s="127"/>
      <c r="FF46" s="127"/>
      <c r="HW46" s="127"/>
      <c r="HX46" s="127"/>
      <c r="HY46" s="127"/>
      <c r="HZ46" s="127"/>
      <c r="IA46" s="127"/>
      <c r="IB46" s="127"/>
      <c r="IC46" s="127"/>
      <c r="ID46" s="127"/>
      <c r="IE46" s="127"/>
      <c r="IF46" s="127"/>
      <c r="IG46" s="127"/>
      <c r="IH46" s="127"/>
      <c r="II46" s="127"/>
      <c r="IJ46" s="127"/>
      <c r="IK46" s="127"/>
      <c r="LB46" s="127"/>
      <c r="LC46" s="127"/>
      <c r="LD46" s="127"/>
      <c r="LE46" s="127"/>
      <c r="LF46" s="127"/>
      <c r="LG46" s="127"/>
      <c r="LH46" s="127"/>
      <c r="LI46" s="127"/>
      <c r="LJ46" s="127"/>
      <c r="LK46" s="127"/>
      <c r="LL46" s="127"/>
      <c r="LM46" s="127"/>
      <c r="LN46" s="127"/>
      <c r="LO46" s="127"/>
      <c r="LP46" s="127"/>
      <c r="OG46" s="127"/>
      <c r="OH46" s="127"/>
      <c r="OI46" s="127"/>
      <c r="OJ46" s="127"/>
      <c r="OK46" s="127"/>
      <c r="OL46" s="127"/>
      <c r="OM46" s="127"/>
      <c r="ON46" s="127"/>
      <c r="OO46" s="127"/>
      <c r="OP46" s="127"/>
      <c r="OQ46" s="127"/>
      <c r="OR46" s="127"/>
      <c r="OS46" s="127"/>
      <c r="OT46" s="127"/>
      <c r="OU46" s="127"/>
    </row>
    <row r="47" spans="1:411">
      <c r="A47">
        <v>8</v>
      </c>
      <c r="B47">
        <v>118</v>
      </c>
      <c r="C47" t="s">
        <v>72</v>
      </c>
      <c r="D47" t="s">
        <v>73</v>
      </c>
      <c r="E47" s="232" t="s">
        <v>8456</v>
      </c>
      <c r="F47" t="s">
        <v>71</v>
      </c>
      <c r="G47">
        <v>1</v>
      </c>
      <c r="H47">
        <v>643.59</v>
      </c>
      <c r="I47">
        <v>642.44799999999998</v>
      </c>
      <c r="J47">
        <v>641.06700000000001</v>
      </c>
      <c r="K47">
        <v>639.81799999999998</v>
      </c>
      <c r="L47">
        <v>637.44799999999998</v>
      </c>
      <c r="M47" s="233" t="s">
        <v>530</v>
      </c>
      <c r="N47" s="233" t="s">
        <v>531</v>
      </c>
      <c r="O47" s="3" t="s">
        <v>605</v>
      </c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LB47" s="127"/>
      <c r="LC47" s="127"/>
      <c r="LD47" s="127"/>
      <c r="LE47" s="127"/>
      <c r="LF47" s="127"/>
      <c r="LG47" s="127"/>
      <c r="LH47" s="127"/>
      <c r="LI47" s="127"/>
      <c r="LJ47" s="127"/>
      <c r="LK47" s="127"/>
      <c r="LL47" s="127"/>
      <c r="LM47" s="127"/>
      <c r="LN47" s="127"/>
      <c r="LO47" s="127"/>
      <c r="LP47" s="127"/>
      <c r="OG47" s="127"/>
      <c r="OH47" s="127"/>
      <c r="OI47" s="127"/>
      <c r="OJ47" s="127"/>
      <c r="OK47" s="127"/>
      <c r="OL47" s="127"/>
      <c r="OM47" s="127"/>
      <c r="ON47" s="127"/>
      <c r="OO47" s="127"/>
      <c r="OP47" s="127"/>
      <c r="OQ47" s="127"/>
      <c r="OR47" s="127"/>
      <c r="OS47" s="127"/>
      <c r="OT47" s="127"/>
      <c r="OU47" s="127"/>
    </row>
    <row r="48" spans="1:411">
      <c r="A48">
        <v>268</v>
      </c>
      <c r="B48">
        <v>91</v>
      </c>
      <c r="C48" t="s">
        <v>72</v>
      </c>
      <c r="D48" t="s">
        <v>73</v>
      </c>
      <c r="E48" s="232" t="s">
        <v>8627</v>
      </c>
      <c r="F48" t="s">
        <v>71</v>
      </c>
      <c r="G48">
        <v>1</v>
      </c>
      <c r="H48">
        <v>676.14</v>
      </c>
      <c r="I48">
        <v>675.56200000000001</v>
      </c>
      <c r="J48">
        <v>674.71500000000003</v>
      </c>
      <c r="K48">
        <v>671.19100000000003</v>
      </c>
      <c r="L48">
        <v>666.10699999999997</v>
      </c>
      <c r="M48" s="233" t="s">
        <v>530</v>
      </c>
      <c r="N48" s="233" t="s">
        <v>531</v>
      </c>
      <c r="O48" s="3" t="s">
        <v>606</v>
      </c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ER48" s="127"/>
      <c r="ES48" s="127"/>
      <c r="ET48" s="127"/>
      <c r="EU48" s="127"/>
      <c r="EV48" s="127"/>
      <c r="EW48" s="127"/>
      <c r="EX48" s="127"/>
      <c r="EY48" s="127"/>
      <c r="EZ48" s="127"/>
      <c r="FA48" s="127"/>
      <c r="FB48" s="127"/>
      <c r="FC48" s="127"/>
      <c r="FD48" s="127"/>
      <c r="FE48" s="127"/>
      <c r="FF48" s="127"/>
      <c r="HW48" s="127"/>
      <c r="HX48" s="127"/>
      <c r="HY48" s="127"/>
      <c r="HZ48" s="127"/>
      <c r="IA48" s="127"/>
      <c r="IB48" s="127"/>
      <c r="IC48" s="127"/>
      <c r="ID48" s="127"/>
      <c r="IE48" s="127"/>
      <c r="IF48" s="127"/>
      <c r="IG48" s="127"/>
      <c r="IH48" s="127"/>
      <c r="II48" s="127"/>
      <c r="IJ48" s="127"/>
      <c r="IK48" s="127"/>
      <c r="LB48" s="127"/>
      <c r="LC48" s="127"/>
      <c r="LD48" s="127"/>
      <c r="LE48" s="127"/>
      <c r="LF48" s="127"/>
      <c r="LG48" s="127"/>
      <c r="LH48" s="127"/>
      <c r="LI48" s="127"/>
      <c r="LJ48" s="127"/>
      <c r="LK48" s="127"/>
      <c r="LL48" s="127"/>
      <c r="LM48" s="127"/>
      <c r="LN48" s="127"/>
      <c r="LO48" s="127"/>
      <c r="LP48" s="127"/>
      <c r="OG48" s="127"/>
      <c r="OH48" s="127"/>
      <c r="OI48" s="127"/>
      <c r="OJ48" s="127"/>
      <c r="OK48" s="127"/>
      <c r="OL48" s="127"/>
      <c r="OM48" s="127"/>
      <c r="ON48" s="127"/>
      <c r="OO48" s="127"/>
      <c r="OP48" s="127"/>
      <c r="OQ48" s="127"/>
      <c r="OR48" s="127"/>
      <c r="OS48" s="127"/>
      <c r="OT48" s="127"/>
      <c r="OU48" s="127"/>
    </row>
    <row r="49" spans="1:411">
      <c r="A49">
        <v>6</v>
      </c>
      <c r="B49">
        <v>119</v>
      </c>
      <c r="C49" t="s">
        <v>72</v>
      </c>
      <c r="D49" t="s">
        <v>73</v>
      </c>
      <c r="E49" s="232" t="s">
        <v>8763</v>
      </c>
      <c r="F49" t="s">
        <v>71</v>
      </c>
      <c r="G49">
        <v>1</v>
      </c>
      <c r="H49">
        <v>669.00199999999995</v>
      </c>
      <c r="I49">
        <v>668.178</v>
      </c>
      <c r="J49">
        <v>666.93799999999999</v>
      </c>
      <c r="K49">
        <v>664.19299999999998</v>
      </c>
      <c r="L49">
        <v>663.28300000000002</v>
      </c>
      <c r="M49" s="233" t="s">
        <v>530</v>
      </c>
      <c r="N49" s="233" t="s">
        <v>531</v>
      </c>
      <c r="O49" s="3" t="s">
        <v>607</v>
      </c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ER49" s="127"/>
      <c r="ES49" s="127"/>
      <c r="ET49" s="127"/>
      <c r="EU49" s="127"/>
      <c r="EV49" s="127"/>
      <c r="EW49" s="127"/>
      <c r="EX49" s="127"/>
      <c r="EY49" s="127"/>
      <c r="EZ49" s="127"/>
      <c r="FA49" s="127"/>
      <c r="FB49" s="127"/>
      <c r="FC49" s="127"/>
      <c r="FD49" s="127"/>
      <c r="FE49" s="127"/>
      <c r="FF49" s="127"/>
      <c r="HW49" s="127"/>
      <c r="HX49" s="127"/>
      <c r="HY49" s="127"/>
      <c r="HZ49" s="127"/>
      <c r="IA49" s="127"/>
      <c r="IB49" s="127"/>
      <c r="IC49" s="127"/>
      <c r="ID49" s="127"/>
      <c r="IE49" s="127"/>
      <c r="IF49" s="127"/>
      <c r="IG49" s="127"/>
      <c r="IH49" s="127"/>
      <c r="II49" s="127"/>
      <c r="IJ49" s="127"/>
      <c r="IK49" s="127"/>
      <c r="LB49" s="127"/>
      <c r="LC49" s="127"/>
      <c r="LD49" s="127"/>
      <c r="LE49" s="127"/>
      <c r="LF49" s="127"/>
      <c r="LG49" s="127"/>
      <c r="LH49" s="127"/>
      <c r="LI49" s="127"/>
      <c r="LJ49" s="127"/>
      <c r="LK49" s="127"/>
      <c r="LL49" s="127"/>
      <c r="LM49" s="127"/>
      <c r="LN49" s="127"/>
      <c r="LO49" s="127"/>
      <c r="LP49" s="127"/>
      <c r="OG49" s="127"/>
      <c r="OH49" s="127"/>
      <c r="OI49" s="127"/>
      <c r="OJ49" s="127"/>
      <c r="OK49" s="127"/>
      <c r="OL49" s="127"/>
      <c r="OM49" s="127"/>
      <c r="ON49" s="127"/>
      <c r="OO49" s="127"/>
      <c r="OP49" s="127"/>
      <c r="OQ49" s="127"/>
      <c r="OR49" s="127"/>
      <c r="OS49" s="127"/>
      <c r="OT49" s="127"/>
      <c r="OU49" s="127"/>
    </row>
    <row r="50" spans="1:411">
      <c r="A50">
        <v>268</v>
      </c>
      <c r="B50">
        <v>93</v>
      </c>
      <c r="C50" t="s">
        <v>72</v>
      </c>
      <c r="D50" t="s">
        <v>73</v>
      </c>
      <c r="E50" s="232" t="s">
        <v>8473</v>
      </c>
      <c r="F50" t="s">
        <v>71</v>
      </c>
      <c r="G50">
        <v>1</v>
      </c>
      <c r="H50">
        <v>676.81200000000001</v>
      </c>
      <c r="I50">
        <v>675.56200000000001</v>
      </c>
      <c r="J50">
        <v>674.41399999999999</v>
      </c>
      <c r="K50">
        <v>673.09100000000001</v>
      </c>
      <c r="L50">
        <v>665.94799999999998</v>
      </c>
      <c r="M50" s="233" t="s">
        <v>530</v>
      </c>
      <c r="N50" s="233" t="s">
        <v>531</v>
      </c>
      <c r="O50" s="3" t="s">
        <v>608</v>
      </c>
      <c r="BM50" s="127"/>
      <c r="BN50" s="127"/>
      <c r="BO50" s="127"/>
      <c r="BP50" s="127"/>
      <c r="BQ50" s="127"/>
      <c r="BR50" s="127"/>
      <c r="BS50" s="127"/>
      <c r="BT50" s="127"/>
      <c r="BU50" s="127"/>
      <c r="BV50" s="127"/>
      <c r="BW50" s="127"/>
      <c r="BX50" s="127"/>
      <c r="BY50" s="127"/>
      <c r="BZ50" s="127"/>
      <c r="CA50" s="127"/>
      <c r="ER50" s="127"/>
      <c r="ES50" s="127"/>
      <c r="ET50" s="127"/>
      <c r="EU50" s="127"/>
      <c r="EV50" s="127"/>
      <c r="EW50" s="127"/>
      <c r="EX50" s="127"/>
      <c r="EY50" s="127"/>
      <c r="EZ50" s="127"/>
      <c r="FA50" s="127"/>
      <c r="FB50" s="127"/>
      <c r="FC50" s="127"/>
      <c r="FD50" s="127"/>
      <c r="FE50" s="127"/>
      <c r="FF50" s="127"/>
      <c r="HW50" s="127"/>
      <c r="HX50" s="127"/>
      <c r="HY50" s="127"/>
      <c r="HZ50" s="127"/>
      <c r="IA50" s="127"/>
      <c r="IB50" s="127"/>
      <c r="IC50" s="127"/>
      <c r="ID50" s="127"/>
      <c r="IE50" s="127"/>
      <c r="IF50" s="127"/>
      <c r="IG50" s="127"/>
      <c r="IH50" s="127"/>
      <c r="II50" s="127"/>
      <c r="IJ50" s="127"/>
      <c r="IK50" s="127"/>
      <c r="LB50" s="127"/>
      <c r="LC50" s="127"/>
      <c r="LD50" s="127"/>
      <c r="LE50" s="127"/>
      <c r="LF50" s="127"/>
      <c r="LG50" s="127"/>
      <c r="LH50" s="127"/>
      <c r="LI50" s="127"/>
      <c r="LJ50" s="127"/>
      <c r="LK50" s="127"/>
      <c r="LL50" s="127"/>
      <c r="LM50" s="127"/>
      <c r="LN50" s="127"/>
      <c r="LO50" s="127"/>
      <c r="LP50" s="127"/>
      <c r="OG50" s="127"/>
      <c r="OH50" s="127"/>
      <c r="OI50" s="127"/>
      <c r="OJ50" s="127"/>
      <c r="OK50" s="127"/>
      <c r="OL50" s="127"/>
      <c r="OM50" s="127"/>
      <c r="ON50" s="127"/>
      <c r="OO50" s="127"/>
      <c r="OP50" s="127"/>
      <c r="OQ50" s="127"/>
      <c r="OR50" s="127"/>
      <c r="OS50" s="127"/>
      <c r="OT50" s="127"/>
      <c r="OU50" s="127"/>
    </row>
    <row r="51" spans="1:411">
      <c r="A51">
        <v>6</v>
      </c>
      <c r="B51">
        <v>99</v>
      </c>
      <c r="C51" t="s">
        <v>72</v>
      </c>
      <c r="D51" t="s">
        <v>73</v>
      </c>
      <c r="E51" s="232" t="s">
        <v>8775</v>
      </c>
      <c r="F51" t="s">
        <v>71</v>
      </c>
      <c r="G51">
        <v>1</v>
      </c>
      <c r="H51">
        <v>670.31399999999996</v>
      </c>
      <c r="I51">
        <v>669.20299999999997</v>
      </c>
      <c r="J51">
        <v>666.34400000000005</v>
      </c>
      <c r="K51">
        <v>664.80499999999995</v>
      </c>
      <c r="L51">
        <v>663.28300000000002</v>
      </c>
      <c r="M51" s="233" t="s">
        <v>530</v>
      </c>
      <c r="N51" s="233" t="s">
        <v>531</v>
      </c>
      <c r="O51" s="3" t="s">
        <v>609</v>
      </c>
      <c r="BM51" s="127"/>
      <c r="BN51" s="127"/>
      <c r="BO51" s="127"/>
      <c r="BP51" s="127"/>
      <c r="BQ51" s="127"/>
      <c r="BR51" s="127"/>
      <c r="BS51" s="127"/>
      <c r="BT51" s="127"/>
      <c r="BU51" s="127"/>
      <c r="BV51" s="127"/>
      <c r="BW51" s="127"/>
      <c r="BX51" s="127"/>
      <c r="BY51" s="127"/>
      <c r="BZ51" s="127"/>
      <c r="CA51" s="127"/>
      <c r="ER51" s="127"/>
      <c r="ES51" s="127"/>
      <c r="ET51" s="127"/>
      <c r="EU51" s="127"/>
      <c r="EV51" s="127"/>
      <c r="EW51" s="127"/>
      <c r="EX51" s="127"/>
      <c r="EY51" s="127"/>
      <c r="EZ51" s="127"/>
      <c r="FA51" s="127"/>
      <c r="FB51" s="127"/>
      <c r="FC51" s="127"/>
      <c r="FD51" s="127"/>
      <c r="FE51" s="127"/>
      <c r="FF51" s="127"/>
      <c r="HW51" s="127"/>
      <c r="HX51" s="127"/>
      <c r="HY51" s="127"/>
      <c r="HZ51" s="127"/>
      <c r="IA51" s="127"/>
      <c r="IB51" s="127"/>
      <c r="IC51" s="127"/>
      <c r="ID51" s="127"/>
      <c r="IE51" s="127"/>
      <c r="IF51" s="127"/>
      <c r="IG51" s="127"/>
      <c r="IH51" s="127"/>
      <c r="II51" s="127"/>
      <c r="IJ51" s="127"/>
      <c r="IK51" s="127"/>
      <c r="LB51" s="127"/>
      <c r="LC51" s="127"/>
      <c r="LD51" s="127"/>
      <c r="LE51" s="127"/>
      <c r="LF51" s="127"/>
      <c r="LG51" s="127"/>
      <c r="LH51" s="127"/>
      <c r="LI51" s="127"/>
      <c r="LJ51" s="127"/>
      <c r="LK51" s="127"/>
      <c r="LL51" s="127"/>
      <c r="LM51" s="127"/>
      <c r="LN51" s="127"/>
      <c r="LO51" s="127"/>
      <c r="LP51" s="127"/>
      <c r="OG51" s="127"/>
      <c r="OH51" s="127"/>
      <c r="OI51" s="127"/>
      <c r="OJ51" s="127"/>
      <c r="OK51" s="127"/>
      <c r="OL51" s="127"/>
      <c r="OM51" s="127"/>
      <c r="ON51" s="127"/>
      <c r="OO51" s="127"/>
      <c r="OP51" s="127"/>
      <c r="OQ51" s="127"/>
      <c r="OR51" s="127"/>
      <c r="OS51" s="127"/>
      <c r="OT51" s="127"/>
      <c r="OU51" s="127"/>
    </row>
    <row r="52" spans="1:411">
      <c r="A52">
        <v>268</v>
      </c>
      <c r="B52">
        <v>100</v>
      </c>
      <c r="C52" t="s">
        <v>72</v>
      </c>
      <c r="D52" t="s">
        <v>73</v>
      </c>
      <c r="E52" s="232" t="s">
        <v>8561</v>
      </c>
      <c r="F52" t="s">
        <v>71</v>
      </c>
      <c r="G52">
        <v>1</v>
      </c>
      <c r="H52">
        <v>676.14</v>
      </c>
      <c r="I52">
        <v>674.41399999999999</v>
      </c>
      <c r="J52">
        <v>670.62099999999998</v>
      </c>
      <c r="K52">
        <v>669.77700000000004</v>
      </c>
      <c r="L52">
        <v>668.94200000000001</v>
      </c>
      <c r="M52" s="233" t="s">
        <v>530</v>
      </c>
      <c r="N52" s="233" t="s">
        <v>531</v>
      </c>
      <c r="O52" s="3" t="s">
        <v>610</v>
      </c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ER52" s="127"/>
      <c r="ES52" s="127"/>
      <c r="ET52" s="127"/>
      <c r="EU52" s="127"/>
      <c r="EV52" s="127"/>
      <c r="EW52" s="127"/>
      <c r="EX52" s="127"/>
      <c r="EY52" s="127"/>
      <c r="EZ52" s="127"/>
      <c r="FA52" s="127"/>
      <c r="FB52" s="127"/>
      <c r="FC52" s="127"/>
      <c r="FD52" s="127"/>
      <c r="FE52" s="127"/>
      <c r="FF52" s="127"/>
      <c r="HW52" s="127"/>
      <c r="HX52" s="127"/>
      <c r="HY52" s="127"/>
      <c r="HZ52" s="127"/>
      <c r="IA52" s="127"/>
      <c r="IB52" s="127"/>
      <c r="IC52" s="127"/>
      <c r="ID52" s="127"/>
      <c r="IE52" s="127"/>
      <c r="IF52" s="127"/>
      <c r="IG52" s="127"/>
      <c r="IH52" s="127"/>
      <c r="II52" s="127"/>
      <c r="IJ52" s="127"/>
      <c r="IK52" s="127"/>
      <c r="LB52" s="127"/>
      <c r="LC52" s="127"/>
      <c r="LD52" s="127"/>
      <c r="LE52" s="127"/>
      <c r="LF52" s="127"/>
      <c r="LG52" s="127"/>
      <c r="LH52" s="127"/>
      <c r="LI52" s="127"/>
      <c r="LJ52" s="127"/>
      <c r="LK52" s="127"/>
      <c r="LL52" s="127"/>
      <c r="LM52" s="127"/>
      <c r="LN52" s="127"/>
      <c r="LO52" s="127"/>
      <c r="LP52" s="127"/>
      <c r="OG52" s="127"/>
      <c r="OH52" s="127"/>
      <c r="OI52" s="127"/>
      <c r="OJ52" s="127"/>
      <c r="OK52" s="127"/>
      <c r="OL52" s="127"/>
      <c r="OM52" s="127"/>
      <c r="ON52" s="127"/>
      <c r="OO52" s="127"/>
      <c r="OP52" s="127"/>
      <c r="OQ52" s="127"/>
      <c r="OR52" s="127"/>
      <c r="OS52" s="127"/>
      <c r="OT52" s="127"/>
      <c r="OU52" s="127"/>
    </row>
    <row r="53" spans="1:411">
      <c r="A53">
        <v>6</v>
      </c>
      <c r="B53">
        <v>104</v>
      </c>
      <c r="C53" t="s">
        <v>72</v>
      </c>
      <c r="D53" t="s">
        <v>73</v>
      </c>
      <c r="E53" s="232" t="s">
        <v>9083</v>
      </c>
      <c r="F53" t="s">
        <v>71</v>
      </c>
      <c r="G53">
        <v>1</v>
      </c>
      <c r="H53">
        <v>669.00199999999995</v>
      </c>
      <c r="I53">
        <v>667.28099999999995</v>
      </c>
      <c r="J53">
        <v>663.97400000000005</v>
      </c>
      <c r="K53">
        <v>662.54499999999996</v>
      </c>
      <c r="L53">
        <v>662.06200000000001</v>
      </c>
      <c r="M53" s="233" t="s">
        <v>530</v>
      </c>
      <c r="N53" s="233" t="s">
        <v>531</v>
      </c>
      <c r="O53" s="3" t="s">
        <v>611</v>
      </c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ER53" s="127"/>
      <c r="ES53" s="127"/>
      <c r="ET53" s="127"/>
      <c r="EU53" s="127"/>
      <c r="EV53" s="127"/>
      <c r="EW53" s="127"/>
      <c r="EX53" s="127"/>
      <c r="EY53" s="127"/>
      <c r="EZ53" s="127"/>
      <c r="FA53" s="127"/>
      <c r="FB53" s="127"/>
      <c r="FC53" s="127"/>
      <c r="FD53" s="127"/>
      <c r="FE53" s="127"/>
      <c r="FF53" s="127"/>
      <c r="HW53" s="127"/>
      <c r="HX53" s="127"/>
      <c r="HY53" s="127"/>
      <c r="HZ53" s="127"/>
      <c r="IA53" s="127"/>
      <c r="IB53" s="127"/>
      <c r="IC53" s="127"/>
      <c r="ID53" s="127"/>
      <c r="IE53" s="127"/>
      <c r="IF53" s="127"/>
      <c r="IG53" s="127"/>
      <c r="IH53" s="127"/>
      <c r="II53" s="127"/>
      <c r="IJ53" s="127"/>
      <c r="IK53" s="127"/>
      <c r="LB53" s="127"/>
      <c r="LC53" s="127"/>
      <c r="LD53" s="127"/>
      <c r="LE53" s="127"/>
      <c r="LF53" s="127"/>
      <c r="LG53" s="127"/>
      <c r="LH53" s="127"/>
      <c r="LI53" s="127"/>
      <c r="LJ53" s="127"/>
      <c r="LK53" s="127"/>
      <c r="LL53" s="127"/>
      <c r="LM53" s="127"/>
      <c r="LN53" s="127"/>
      <c r="LO53" s="127"/>
      <c r="LP53" s="127"/>
      <c r="OG53" s="127"/>
      <c r="OH53" s="127"/>
      <c r="OI53" s="127"/>
      <c r="OJ53" s="127"/>
      <c r="OK53" s="127"/>
      <c r="OL53" s="127"/>
      <c r="OM53" s="127"/>
      <c r="ON53" s="127"/>
      <c r="OO53" s="127"/>
      <c r="OP53" s="127"/>
      <c r="OQ53" s="127"/>
      <c r="OR53" s="127"/>
      <c r="OS53" s="127"/>
      <c r="OT53" s="127"/>
      <c r="OU53" s="127"/>
    </row>
    <row r="54" spans="1:411">
      <c r="A54">
        <v>6</v>
      </c>
      <c r="B54">
        <v>103</v>
      </c>
      <c r="C54" t="s">
        <v>72</v>
      </c>
      <c r="D54" t="s">
        <v>73</v>
      </c>
      <c r="E54" s="232" t="s">
        <v>8217</v>
      </c>
      <c r="F54" t="s">
        <v>71</v>
      </c>
      <c r="G54">
        <v>1</v>
      </c>
      <c r="H54">
        <v>668.88400000000001</v>
      </c>
      <c r="I54">
        <v>667.71500000000003</v>
      </c>
      <c r="J54">
        <v>663.85900000000004</v>
      </c>
      <c r="K54">
        <v>663.28300000000002</v>
      </c>
      <c r="L54">
        <v>662.44399999999996</v>
      </c>
      <c r="M54" s="233" t="s">
        <v>530</v>
      </c>
      <c r="N54" s="233" t="s">
        <v>531</v>
      </c>
      <c r="O54" s="3" t="s">
        <v>612</v>
      </c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ER54" s="127"/>
      <c r="ES54" s="127"/>
      <c r="ET54" s="127"/>
      <c r="EU54" s="127"/>
      <c r="EV54" s="127"/>
      <c r="EW54" s="127"/>
      <c r="EX54" s="127"/>
      <c r="EY54" s="127"/>
      <c r="EZ54" s="127"/>
      <c r="FA54" s="127"/>
      <c r="FB54" s="127"/>
      <c r="FC54" s="127"/>
      <c r="FD54" s="127"/>
      <c r="FE54" s="127"/>
      <c r="FF54" s="127"/>
      <c r="HW54" s="127"/>
      <c r="HX54" s="127"/>
      <c r="HY54" s="127"/>
      <c r="HZ54" s="127"/>
      <c r="IA54" s="127"/>
      <c r="IB54" s="127"/>
      <c r="IC54" s="127"/>
      <c r="ID54" s="127"/>
      <c r="IE54" s="127"/>
      <c r="IF54" s="127"/>
      <c r="IG54" s="127"/>
      <c r="IH54" s="127"/>
      <c r="II54" s="127"/>
      <c r="IJ54" s="127"/>
      <c r="IK54" s="127"/>
      <c r="LB54" s="127"/>
      <c r="LC54" s="127"/>
      <c r="LD54" s="127"/>
      <c r="LE54" s="127"/>
      <c r="LF54" s="127"/>
      <c r="LG54" s="127"/>
      <c r="LH54" s="127"/>
      <c r="LI54" s="127"/>
      <c r="LJ54" s="127"/>
      <c r="LK54" s="127"/>
      <c r="LL54" s="127"/>
      <c r="LM54" s="127"/>
      <c r="LN54" s="127"/>
      <c r="LO54" s="127"/>
      <c r="LP54" s="127"/>
      <c r="OG54" s="127"/>
      <c r="OH54" s="127"/>
      <c r="OI54" s="127"/>
      <c r="OJ54" s="127"/>
      <c r="OK54" s="127"/>
      <c r="OL54" s="127"/>
      <c r="OM54" s="127"/>
      <c r="ON54" s="127"/>
      <c r="OO54" s="127"/>
      <c r="OP54" s="127"/>
      <c r="OQ54" s="127"/>
      <c r="OR54" s="127"/>
      <c r="OS54" s="127"/>
      <c r="OT54" s="127"/>
      <c r="OU54" s="127"/>
    </row>
    <row r="55" spans="1:411">
      <c r="A55">
        <v>6</v>
      </c>
      <c r="B55">
        <v>101</v>
      </c>
      <c r="C55" t="s">
        <v>72</v>
      </c>
      <c r="D55" t="s">
        <v>73</v>
      </c>
      <c r="E55" s="232" t="s">
        <v>8726</v>
      </c>
      <c r="F55" t="s">
        <v>71</v>
      </c>
      <c r="G55">
        <v>1</v>
      </c>
      <c r="H55">
        <v>668.178</v>
      </c>
      <c r="I55">
        <v>668.05899999999997</v>
      </c>
      <c r="J55">
        <v>663.74</v>
      </c>
      <c r="K55">
        <v>662.78200000000004</v>
      </c>
      <c r="L55">
        <v>662.06200000000001</v>
      </c>
      <c r="M55" s="233" t="s">
        <v>530</v>
      </c>
      <c r="N55" s="233" t="s">
        <v>531</v>
      </c>
      <c r="O55" s="3" t="s">
        <v>613</v>
      </c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ER55" s="127"/>
      <c r="ES55" s="127"/>
      <c r="ET55" s="127"/>
      <c r="EU55" s="127"/>
      <c r="EV55" s="127"/>
      <c r="EW55" s="127"/>
      <c r="EX55" s="127"/>
      <c r="EY55" s="127"/>
      <c r="EZ55" s="127"/>
      <c r="FA55" s="127"/>
      <c r="FB55" s="127"/>
      <c r="FC55" s="127"/>
      <c r="FD55" s="127"/>
      <c r="FE55" s="127"/>
      <c r="FF55" s="127"/>
      <c r="HW55" s="127"/>
      <c r="HX55" s="127"/>
      <c r="HY55" s="127"/>
      <c r="HZ55" s="127"/>
      <c r="IA55" s="127"/>
      <c r="IB55" s="127"/>
      <c r="IC55" s="127"/>
      <c r="ID55" s="127"/>
      <c r="IE55" s="127"/>
      <c r="IF55" s="127"/>
      <c r="IG55" s="127"/>
      <c r="IH55" s="127"/>
      <c r="II55" s="127"/>
      <c r="IJ55" s="127"/>
      <c r="IK55" s="127"/>
      <c r="LB55" s="127"/>
      <c r="LC55" s="127"/>
      <c r="LD55" s="127"/>
      <c r="LE55" s="127"/>
      <c r="LF55" s="127"/>
      <c r="LG55" s="127"/>
      <c r="LH55" s="127"/>
      <c r="LI55" s="127"/>
      <c r="LJ55" s="127"/>
      <c r="LK55" s="127"/>
      <c r="LL55" s="127"/>
      <c r="LM55" s="127"/>
      <c r="LN55" s="127"/>
      <c r="LO55" s="127"/>
      <c r="LP55" s="127"/>
      <c r="OG55" s="127"/>
      <c r="OH55" s="127"/>
      <c r="OI55" s="127"/>
      <c r="OJ55" s="127"/>
      <c r="OK55" s="127"/>
      <c r="OL55" s="127"/>
      <c r="OM55" s="127"/>
      <c r="ON55" s="127"/>
      <c r="OO55" s="127"/>
      <c r="OP55" s="127"/>
      <c r="OQ55" s="127"/>
      <c r="OR55" s="127"/>
      <c r="OS55" s="127"/>
      <c r="OT55" s="127"/>
      <c r="OU55" s="127"/>
    </row>
    <row r="56" spans="1:411">
      <c r="A56">
        <v>6</v>
      </c>
      <c r="B56">
        <v>108</v>
      </c>
      <c r="C56" t="s">
        <v>72</v>
      </c>
      <c r="D56" t="s">
        <v>73</v>
      </c>
      <c r="E56" s="232" t="s">
        <v>8534</v>
      </c>
      <c r="F56" t="s">
        <v>71</v>
      </c>
      <c r="G56">
        <v>1</v>
      </c>
      <c r="H56">
        <v>668.88400000000001</v>
      </c>
      <c r="I56">
        <v>667.71500000000003</v>
      </c>
      <c r="J56">
        <v>663.74</v>
      </c>
      <c r="K56">
        <v>662.54499999999996</v>
      </c>
      <c r="L56">
        <v>660.53099999999995</v>
      </c>
      <c r="M56" s="233" t="s">
        <v>530</v>
      </c>
      <c r="N56" s="233" t="s">
        <v>531</v>
      </c>
      <c r="O56" s="3" t="s">
        <v>614</v>
      </c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ER56" s="127"/>
      <c r="ES56" s="127"/>
      <c r="ET56" s="127"/>
      <c r="EU56" s="127"/>
      <c r="EV56" s="127"/>
      <c r="EW56" s="127"/>
      <c r="EX56" s="127"/>
      <c r="EY56" s="127"/>
      <c r="EZ56" s="127"/>
      <c r="FA56" s="127"/>
      <c r="FB56" s="127"/>
      <c r="FC56" s="127"/>
      <c r="FD56" s="127"/>
      <c r="FE56" s="127"/>
      <c r="FF56" s="127"/>
      <c r="HW56" s="127"/>
      <c r="HX56" s="127"/>
      <c r="HY56" s="127"/>
      <c r="HZ56" s="127"/>
      <c r="IA56" s="127"/>
      <c r="IB56" s="127"/>
      <c r="IC56" s="127"/>
      <c r="ID56" s="127"/>
      <c r="IE56" s="127"/>
      <c r="IF56" s="127"/>
      <c r="IG56" s="127"/>
      <c r="IH56" s="127"/>
      <c r="II56" s="127"/>
      <c r="IJ56" s="127"/>
      <c r="IK56" s="127"/>
      <c r="LB56" s="127"/>
      <c r="LC56" s="127"/>
      <c r="LD56" s="127"/>
      <c r="LE56" s="127"/>
      <c r="LF56" s="127"/>
      <c r="LG56" s="127"/>
      <c r="LH56" s="127"/>
      <c r="LI56" s="127"/>
      <c r="LJ56" s="127"/>
      <c r="LK56" s="127"/>
      <c r="LL56" s="127"/>
      <c r="LM56" s="127"/>
      <c r="LN56" s="127"/>
      <c r="LO56" s="127"/>
      <c r="LP56" s="127"/>
      <c r="OG56" s="127"/>
      <c r="OH56" s="127"/>
      <c r="OI56" s="127"/>
      <c r="OJ56" s="127"/>
      <c r="OK56" s="127"/>
      <c r="OL56" s="127"/>
      <c r="OM56" s="127"/>
      <c r="ON56" s="127"/>
      <c r="OO56" s="127"/>
      <c r="OP56" s="127"/>
      <c r="OQ56" s="127"/>
      <c r="OR56" s="127"/>
      <c r="OS56" s="127"/>
      <c r="OT56" s="127"/>
      <c r="OU56" s="127"/>
    </row>
    <row r="57" spans="1:411">
      <c r="A57">
        <v>6</v>
      </c>
      <c r="B57">
        <v>107</v>
      </c>
      <c r="C57" t="s">
        <v>72</v>
      </c>
      <c r="D57" t="s">
        <v>73</v>
      </c>
      <c r="E57" s="232" t="s">
        <v>8953</v>
      </c>
      <c r="F57" t="s">
        <v>71</v>
      </c>
      <c r="G57">
        <v>1</v>
      </c>
      <c r="H57">
        <v>666.34400000000005</v>
      </c>
      <c r="I57">
        <v>666.02499999999998</v>
      </c>
      <c r="J57">
        <v>663.28300000000002</v>
      </c>
      <c r="K57">
        <v>662.43700000000001</v>
      </c>
      <c r="L57">
        <v>661.17399999999998</v>
      </c>
      <c r="M57" s="233" t="s">
        <v>530</v>
      </c>
      <c r="N57" s="233" t="s">
        <v>531</v>
      </c>
      <c r="O57" s="3" t="s">
        <v>615</v>
      </c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LB57" s="127"/>
      <c r="LC57" s="127"/>
      <c r="LD57" s="127"/>
      <c r="LE57" s="127"/>
      <c r="LF57" s="127"/>
      <c r="LG57" s="127"/>
      <c r="LH57" s="127"/>
      <c r="LI57" s="127"/>
      <c r="LJ57" s="127"/>
      <c r="LK57" s="127"/>
      <c r="LL57" s="127"/>
      <c r="LM57" s="127"/>
      <c r="LN57" s="127"/>
      <c r="LO57" s="127"/>
      <c r="LP57" s="127"/>
      <c r="OG57" s="127"/>
      <c r="OH57" s="127"/>
      <c r="OI57" s="127"/>
      <c r="OJ57" s="127"/>
      <c r="OK57" s="127"/>
      <c r="OL57" s="127"/>
      <c r="OM57" s="127"/>
      <c r="ON57" s="127"/>
      <c r="OO57" s="127"/>
      <c r="OP57" s="127"/>
      <c r="OQ57" s="127"/>
      <c r="OR57" s="127"/>
      <c r="OS57" s="127"/>
      <c r="OT57" s="127"/>
      <c r="OU57" s="127"/>
    </row>
    <row r="58" spans="1:411">
      <c r="A58">
        <v>6</v>
      </c>
      <c r="B58">
        <v>111</v>
      </c>
      <c r="C58" t="s">
        <v>72</v>
      </c>
      <c r="D58" t="s">
        <v>73</v>
      </c>
      <c r="E58" s="232" t="s">
        <v>8883</v>
      </c>
      <c r="F58" t="s">
        <v>71</v>
      </c>
      <c r="G58">
        <v>1</v>
      </c>
      <c r="H58">
        <v>666.34400000000005</v>
      </c>
      <c r="I58">
        <v>664.92</v>
      </c>
      <c r="J58">
        <v>663.28300000000002</v>
      </c>
      <c r="K58">
        <v>662.43700000000001</v>
      </c>
      <c r="L58">
        <v>660.05600000000004</v>
      </c>
      <c r="M58" s="233" t="s">
        <v>530</v>
      </c>
      <c r="N58" s="233" t="s">
        <v>531</v>
      </c>
      <c r="O58" s="3" t="s">
        <v>616</v>
      </c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27"/>
      <c r="CA58" s="127"/>
      <c r="ER58" s="127"/>
      <c r="ES58" s="127"/>
      <c r="ET58" s="127"/>
      <c r="EU58" s="127"/>
      <c r="EV58" s="127"/>
      <c r="EW58" s="127"/>
      <c r="EX58" s="127"/>
      <c r="EY58" s="127"/>
      <c r="EZ58" s="127"/>
      <c r="FA58" s="127"/>
      <c r="FB58" s="127"/>
      <c r="FC58" s="127"/>
      <c r="FD58" s="127"/>
      <c r="FE58" s="127"/>
      <c r="FF58" s="127"/>
      <c r="HW58" s="127"/>
      <c r="HX58" s="127"/>
      <c r="HY58" s="127"/>
      <c r="HZ58" s="127"/>
      <c r="IA58" s="127"/>
      <c r="IB58" s="127"/>
      <c r="IC58" s="127"/>
      <c r="ID58" s="127"/>
      <c r="IE58" s="127"/>
      <c r="IF58" s="127"/>
      <c r="IG58" s="127"/>
      <c r="IH58" s="127"/>
      <c r="II58" s="127"/>
      <c r="IJ58" s="127"/>
      <c r="IK58" s="127"/>
      <c r="LB58" s="127"/>
      <c r="LC58" s="127"/>
      <c r="LD58" s="127"/>
      <c r="LE58" s="127"/>
      <c r="LF58" s="127"/>
      <c r="LG58" s="127"/>
      <c r="LH58" s="127"/>
      <c r="LI58" s="127"/>
      <c r="LJ58" s="127"/>
      <c r="LK58" s="127"/>
      <c r="LL58" s="127"/>
      <c r="LM58" s="127"/>
      <c r="LN58" s="127"/>
      <c r="LO58" s="127"/>
      <c r="LP58" s="127"/>
      <c r="OG58" s="127"/>
      <c r="OH58" s="127"/>
      <c r="OI58" s="127"/>
      <c r="OJ58" s="127"/>
      <c r="OK58" s="127"/>
      <c r="OL58" s="127"/>
      <c r="OM58" s="127"/>
      <c r="ON58" s="127"/>
      <c r="OO58" s="127"/>
      <c r="OP58" s="127"/>
      <c r="OQ58" s="127"/>
      <c r="OR58" s="127"/>
      <c r="OS58" s="127"/>
      <c r="OT58" s="127"/>
      <c r="OU58" s="127"/>
    </row>
    <row r="59" spans="1:411">
      <c r="A59">
        <v>6</v>
      </c>
      <c r="B59">
        <v>106</v>
      </c>
      <c r="C59" t="s">
        <v>72</v>
      </c>
      <c r="D59" t="s">
        <v>73</v>
      </c>
      <c r="E59" s="232" t="s">
        <v>499</v>
      </c>
      <c r="F59" t="s">
        <v>71</v>
      </c>
      <c r="G59">
        <v>1</v>
      </c>
      <c r="H59">
        <v>668.05899999999997</v>
      </c>
      <c r="I59">
        <v>665.25800000000004</v>
      </c>
      <c r="J59">
        <v>663.28300000000002</v>
      </c>
      <c r="K59">
        <v>662.43700000000001</v>
      </c>
      <c r="L59">
        <v>661.50599999999997</v>
      </c>
      <c r="M59" s="233" t="s">
        <v>530</v>
      </c>
      <c r="N59" s="233" t="s">
        <v>531</v>
      </c>
      <c r="O59" s="3" t="s">
        <v>617</v>
      </c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ER59" s="127"/>
      <c r="ES59" s="127"/>
      <c r="ET59" s="127"/>
      <c r="EU59" s="127"/>
      <c r="EV59" s="127"/>
      <c r="EW59" s="127"/>
      <c r="EX59" s="127"/>
      <c r="EY59" s="127"/>
      <c r="EZ59" s="127"/>
      <c r="FA59" s="127"/>
      <c r="FB59" s="127"/>
      <c r="FC59" s="127"/>
      <c r="FD59" s="127"/>
      <c r="FE59" s="127"/>
      <c r="FF59" s="127"/>
      <c r="HW59" s="127"/>
      <c r="HX59" s="127"/>
      <c r="HY59" s="127"/>
      <c r="HZ59" s="127"/>
      <c r="IA59" s="127"/>
      <c r="IB59" s="127"/>
      <c r="IC59" s="127"/>
      <c r="ID59" s="127"/>
      <c r="IE59" s="127"/>
      <c r="IF59" s="127"/>
      <c r="IG59" s="127"/>
      <c r="IH59" s="127"/>
      <c r="II59" s="127"/>
      <c r="IJ59" s="127"/>
      <c r="IK59" s="127"/>
      <c r="LB59" s="127"/>
      <c r="LC59" s="127"/>
      <c r="LD59" s="127"/>
      <c r="LE59" s="127"/>
      <c r="LF59" s="127"/>
      <c r="LG59" s="127"/>
      <c r="LH59" s="127"/>
      <c r="LI59" s="127"/>
      <c r="LJ59" s="127"/>
      <c r="LK59" s="127"/>
      <c r="LL59" s="127"/>
      <c r="LM59" s="127"/>
      <c r="LN59" s="127"/>
      <c r="LO59" s="127"/>
      <c r="LP59" s="127"/>
      <c r="OG59" s="127"/>
      <c r="OH59" s="127"/>
      <c r="OI59" s="127"/>
      <c r="OJ59" s="127"/>
      <c r="OK59" s="127"/>
      <c r="OL59" s="127"/>
      <c r="OM59" s="127"/>
      <c r="ON59" s="127"/>
      <c r="OO59" s="127"/>
      <c r="OP59" s="127"/>
      <c r="OQ59" s="127"/>
      <c r="OR59" s="127"/>
      <c r="OS59" s="127"/>
      <c r="OT59" s="127"/>
      <c r="OU59" s="127"/>
    </row>
    <row r="60" spans="1:411">
      <c r="A60">
        <v>8</v>
      </c>
      <c r="B60">
        <v>120</v>
      </c>
      <c r="C60" t="s">
        <v>72</v>
      </c>
      <c r="D60" t="s">
        <v>73</v>
      </c>
      <c r="E60" s="232" t="s">
        <v>8789</v>
      </c>
      <c r="F60" t="s">
        <v>71</v>
      </c>
      <c r="G60">
        <v>1</v>
      </c>
      <c r="H60">
        <v>638.93299999999999</v>
      </c>
      <c r="I60">
        <v>637.84799999999996</v>
      </c>
      <c r="J60">
        <v>637.09500000000003</v>
      </c>
      <c r="K60">
        <v>636.72799999999995</v>
      </c>
      <c r="L60">
        <v>636.17700000000002</v>
      </c>
      <c r="M60" s="233" t="s">
        <v>530</v>
      </c>
      <c r="N60" s="233" t="s">
        <v>531</v>
      </c>
      <c r="O60" s="3" t="s">
        <v>618</v>
      </c>
      <c r="BM60" s="127"/>
      <c r="BN60" s="127"/>
      <c r="BO60" s="127"/>
      <c r="BP60" s="127"/>
      <c r="BQ60" s="127"/>
      <c r="BR60" s="127"/>
      <c r="BS60" s="127"/>
      <c r="BT60" s="127"/>
      <c r="BU60" s="127"/>
      <c r="BV60" s="127"/>
      <c r="BW60" s="127"/>
      <c r="BX60" s="127"/>
      <c r="BY60" s="127"/>
      <c r="BZ60" s="127"/>
      <c r="CA60" s="127"/>
      <c r="ER60" s="127"/>
      <c r="ES60" s="127"/>
      <c r="ET60" s="127"/>
      <c r="EU60" s="127"/>
      <c r="EV60" s="127"/>
      <c r="EW60" s="127"/>
      <c r="EX60" s="127"/>
      <c r="EY60" s="127"/>
      <c r="EZ60" s="127"/>
      <c r="FA60" s="127"/>
      <c r="FB60" s="127"/>
      <c r="FC60" s="127"/>
      <c r="FD60" s="127"/>
      <c r="FE60" s="127"/>
      <c r="FF60" s="127"/>
      <c r="HW60" s="127"/>
      <c r="HX60" s="127"/>
      <c r="HY60" s="127"/>
      <c r="HZ60" s="127"/>
      <c r="IA60" s="127"/>
      <c r="IB60" s="127"/>
      <c r="IC60" s="127"/>
      <c r="ID60" s="127"/>
      <c r="IE60" s="127"/>
      <c r="IF60" s="127"/>
      <c r="IG60" s="127"/>
      <c r="IH60" s="127"/>
      <c r="II60" s="127"/>
      <c r="IJ60" s="127"/>
      <c r="IK60" s="127"/>
      <c r="LB60" s="127"/>
      <c r="LC60" s="127"/>
      <c r="LD60" s="127"/>
      <c r="LE60" s="127"/>
      <c r="LF60" s="127"/>
      <c r="LG60" s="127"/>
      <c r="LH60" s="127"/>
      <c r="LI60" s="127"/>
      <c r="LJ60" s="127"/>
      <c r="LK60" s="127"/>
      <c r="LL60" s="127"/>
      <c r="LM60" s="127"/>
      <c r="LN60" s="127"/>
      <c r="LO60" s="127"/>
      <c r="LP60" s="127"/>
      <c r="OG60" s="127"/>
      <c r="OH60" s="127"/>
      <c r="OI60" s="127"/>
      <c r="OJ60" s="127"/>
      <c r="OK60" s="127"/>
      <c r="OL60" s="127"/>
      <c r="OM60" s="127"/>
      <c r="ON60" s="127"/>
      <c r="OO60" s="127"/>
      <c r="OP60" s="127"/>
      <c r="OQ60" s="127"/>
      <c r="OR60" s="127"/>
      <c r="OS60" s="127"/>
      <c r="OT60" s="127"/>
      <c r="OU60" s="127"/>
    </row>
    <row r="61" spans="1:411">
      <c r="A61">
        <v>6</v>
      </c>
      <c r="B61">
        <v>97</v>
      </c>
      <c r="C61" t="s">
        <v>72</v>
      </c>
      <c r="D61" t="s">
        <v>73</v>
      </c>
      <c r="E61" s="232" t="s">
        <v>8214</v>
      </c>
      <c r="F61" t="s">
        <v>71</v>
      </c>
      <c r="G61">
        <v>1</v>
      </c>
      <c r="H61">
        <v>667.06200000000001</v>
      </c>
      <c r="I61">
        <v>666.125</v>
      </c>
      <c r="J61">
        <v>662.54499999999996</v>
      </c>
      <c r="K61">
        <v>661.86199999999997</v>
      </c>
      <c r="L61">
        <v>659.36199999999997</v>
      </c>
      <c r="M61" s="233" t="s">
        <v>530</v>
      </c>
      <c r="N61" s="233" t="s">
        <v>531</v>
      </c>
      <c r="O61" s="3" t="s">
        <v>619</v>
      </c>
      <c r="BM61" s="127"/>
      <c r="BN61" s="127"/>
      <c r="BO61" s="127"/>
      <c r="BP61" s="127"/>
      <c r="BQ61" s="127"/>
      <c r="BR61" s="127"/>
      <c r="BS61" s="127"/>
      <c r="BT61" s="127"/>
      <c r="BU61" s="127"/>
      <c r="BV61" s="127"/>
      <c r="BW61" s="127"/>
      <c r="BX61" s="127"/>
      <c r="BY61" s="127"/>
      <c r="BZ61" s="127"/>
      <c r="CA61" s="127"/>
      <c r="ER61" s="127"/>
      <c r="ES61" s="127"/>
      <c r="ET61" s="127"/>
      <c r="EU61" s="127"/>
      <c r="EV61" s="127"/>
      <c r="EW61" s="127"/>
      <c r="EX61" s="127"/>
      <c r="EY61" s="127"/>
      <c r="EZ61" s="127"/>
      <c r="FA61" s="127"/>
      <c r="FB61" s="127"/>
      <c r="FC61" s="127"/>
      <c r="FD61" s="127"/>
      <c r="FE61" s="127"/>
      <c r="FF61" s="127"/>
      <c r="HW61" s="127"/>
      <c r="HX61" s="127"/>
      <c r="HY61" s="127"/>
      <c r="HZ61" s="127"/>
      <c r="IA61" s="127"/>
      <c r="IB61" s="127"/>
      <c r="IC61" s="127"/>
      <c r="ID61" s="127"/>
      <c r="IE61" s="127"/>
      <c r="IF61" s="127"/>
      <c r="IG61" s="127"/>
      <c r="IH61" s="127"/>
      <c r="II61" s="127"/>
      <c r="IJ61" s="127"/>
      <c r="IK61" s="127"/>
      <c r="LB61" s="127"/>
      <c r="LC61" s="127"/>
      <c r="LD61" s="127"/>
      <c r="LE61" s="127"/>
      <c r="LF61" s="127"/>
      <c r="LG61" s="127"/>
      <c r="LH61" s="127"/>
      <c r="LI61" s="127"/>
      <c r="LJ61" s="127"/>
      <c r="LK61" s="127"/>
      <c r="LL61" s="127"/>
      <c r="LM61" s="127"/>
      <c r="LN61" s="127"/>
      <c r="LO61" s="127"/>
      <c r="LP61" s="127"/>
      <c r="OG61" s="127"/>
      <c r="OH61" s="127"/>
      <c r="OI61" s="127"/>
      <c r="OJ61" s="127"/>
      <c r="OK61" s="127"/>
      <c r="OL61" s="127"/>
      <c r="OM61" s="127"/>
      <c r="ON61" s="127"/>
      <c r="OO61" s="127"/>
      <c r="OP61" s="127"/>
      <c r="OQ61" s="127"/>
      <c r="OR61" s="127"/>
      <c r="OS61" s="127"/>
      <c r="OT61" s="127"/>
      <c r="OU61" s="127"/>
    </row>
    <row r="62" spans="1:411">
      <c r="A62">
        <v>6</v>
      </c>
      <c r="B62">
        <v>98</v>
      </c>
      <c r="C62" t="s">
        <v>72</v>
      </c>
      <c r="D62" t="s">
        <v>73</v>
      </c>
      <c r="E62" s="232" t="s">
        <v>8654</v>
      </c>
      <c r="F62" t="s">
        <v>71</v>
      </c>
      <c r="G62">
        <v>1</v>
      </c>
      <c r="H62">
        <v>667.71500000000003</v>
      </c>
      <c r="I62">
        <v>664.92</v>
      </c>
      <c r="J62">
        <v>662.54499999999996</v>
      </c>
      <c r="K62">
        <v>661.86199999999997</v>
      </c>
      <c r="L62">
        <v>660.61800000000005</v>
      </c>
      <c r="M62" s="233" t="s">
        <v>530</v>
      </c>
      <c r="N62" s="233" t="s">
        <v>531</v>
      </c>
      <c r="O62" s="3" t="s">
        <v>620</v>
      </c>
      <c r="BM62" s="127"/>
      <c r="BN62" s="127"/>
      <c r="BO62" s="127"/>
      <c r="BP62" s="127"/>
      <c r="BQ62" s="127"/>
      <c r="BR62" s="127"/>
      <c r="BS62" s="127"/>
      <c r="BT62" s="127"/>
      <c r="BU62" s="127"/>
      <c r="BV62" s="127"/>
      <c r="BW62" s="127"/>
      <c r="BX62" s="127"/>
      <c r="BY62" s="127"/>
      <c r="BZ62" s="127"/>
      <c r="CA62" s="127"/>
      <c r="ER62" s="127"/>
      <c r="ES62" s="127"/>
      <c r="ET62" s="127"/>
      <c r="EU62" s="127"/>
      <c r="EV62" s="127"/>
      <c r="EW62" s="127"/>
      <c r="EX62" s="127"/>
      <c r="EY62" s="127"/>
      <c r="EZ62" s="127"/>
      <c r="FA62" s="127"/>
      <c r="FB62" s="127"/>
      <c r="FC62" s="127"/>
      <c r="FD62" s="127"/>
      <c r="FE62" s="127"/>
      <c r="FF62" s="127"/>
      <c r="HW62" s="127"/>
      <c r="HX62" s="127"/>
      <c r="HY62" s="127"/>
      <c r="HZ62" s="127"/>
      <c r="IA62" s="127"/>
      <c r="IB62" s="127"/>
      <c r="IC62" s="127"/>
      <c r="ID62" s="127"/>
      <c r="IE62" s="127"/>
      <c r="IF62" s="127"/>
      <c r="IG62" s="127"/>
      <c r="IH62" s="127"/>
      <c r="II62" s="127"/>
      <c r="IJ62" s="127"/>
      <c r="IK62" s="127"/>
      <c r="LB62" s="127"/>
      <c r="LC62" s="127"/>
      <c r="LD62" s="127"/>
      <c r="LE62" s="127"/>
      <c r="LF62" s="127"/>
      <c r="LG62" s="127"/>
      <c r="LH62" s="127"/>
      <c r="LI62" s="127"/>
      <c r="LJ62" s="127"/>
      <c r="LK62" s="127"/>
      <c r="LL62" s="127"/>
      <c r="LM62" s="127"/>
      <c r="LN62" s="127"/>
      <c r="LO62" s="127"/>
      <c r="LP62" s="127"/>
      <c r="OG62" s="127"/>
      <c r="OH62" s="127"/>
      <c r="OI62" s="127"/>
      <c r="OJ62" s="127"/>
      <c r="OK62" s="127"/>
      <c r="OL62" s="127"/>
      <c r="OM62" s="127"/>
      <c r="ON62" s="127"/>
      <c r="OO62" s="127"/>
      <c r="OP62" s="127"/>
      <c r="OQ62" s="127"/>
      <c r="OR62" s="127"/>
      <c r="OS62" s="127"/>
      <c r="OT62" s="127"/>
      <c r="OU62" s="127"/>
    </row>
    <row r="63" spans="1:411">
      <c r="A63">
        <v>6</v>
      </c>
      <c r="B63">
        <v>102</v>
      </c>
      <c r="C63" t="s">
        <v>72</v>
      </c>
      <c r="D63" t="s">
        <v>73</v>
      </c>
      <c r="E63" s="232" t="s">
        <v>8787</v>
      </c>
      <c r="F63" t="s">
        <v>71</v>
      </c>
      <c r="G63">
        <v>1</v>
      </c>
      <c r="H63">
        <v>666.93799999999999</v>
      </c>
      <c r="I63">
        <v>664.92</v>
      </c>
      <c r="J63">
        <v>662.54499999999996</v>
      </c>
      <c r="K63">
        <v>661.50599999999997</v>
      </c>
      <c r="L63">
        <v>660.53099999999995</v>
      </c>
      <c r="M63" s="233" t="s">
        <v>530</v>
      </c>
      <c r="N63" s="233" t="s">
        <v>531</v>
      </c>
      <c r="O63" s="3" t="s">
        <v>621</v>
      </c>
      <c r="BM63" s="127"/>
      <c r="BN63" s="127"/>
      <c r="BO63" s="127"/>
      <c r="BP63" s="127"/>
      <c r="BQ63" s="127"/>
      <c r="BR63" s="127"/>
      <c r="BS63" s="127"/>
      <c r="BT63" s="127"/>
      <c r="BU63" s="127"/>
      <c r="BV63" s="127"/>
      <c r="BW63" s="127"/>
      <c r="BX63" s="127"/>
      <c r="BY63" s="127"/>
      <c r="BZ63" s="127"/>
      <c r="CA63" s="127"/>
      <c r="ER63" s="127"/>
      <c r="ES63" s="127"/>
      <c r="ET63" s="127"/>
      <c r="EU63" s="127"/>
      <c r="EV63" s="127"/>
      <c r="EW63" s="127"/>
      <c r="EX63" s="127"/>
      <c r="EY63" s="127"/>
      <c r="EZ63" s="127"/>
      <c r="FA63" s="127"/>
      <c r="FB63" s="127"/>
      <c r="FC63" s="127"/>
      <c r="FD63" s="127"/>
      <c r="FE63" s="127"/>
      <c r="FF63" s="127"/>
      <c r="HW63" s="127"/>
      <c r="HX63" s="127"/>
      <c r="HY63" s="127"/>
      <c r="HZ63" s="127"/>
      <c r="IA63" s="127"/>
      <c r="IB63" s="127"/>
      <c r="IC63" s="127"/>
      <c r="ID63" s="127"/>
      <c r="IE63" s="127"/>
      <c r="IF63" s="127"/>
      <c r="IG63" s="127"/>
      <c r="IH63" s="127"/>
      <c r="II63" s="127"/>
      <c r="IJ63" s="127"/>
      <c r="IK63" s="127"/>
      <c r="LB63" s="127"/>
      <c r="LC63" s="127"/>
      <c r="LD63" s="127"/>
      <c r="LE63" s="127"/>
      <c r="LF63" s="127"/>
      <c r="LG63" s="127"/>
      <c r="LH63" s="127"/>
      <c r="LI63" s="127"/>
      <c r="LJ63" s="127"/>
      <c r="LK63" s="127"/>
      <c r="LL63" s="127"/>
      <c r="LM63" s="127"/>
      <c r="LN63" s="127"/>
      <c r="LO63" s="127"/>
      <c r="LP63" s="127"/>
      <c r="OG63" s="127"/>
      <c r="OH63" s="127"/>
      <c r="OI63" s="127"/>
      <c r="OJ63" s="127"/>
      <c r="OK63" s="127"/>
      <c r="OL63" s="127"/>
      <c r="OM63" s="127"/>
      <c r="ON63" s="127"/>
      <c r="OO63" s="127"/>
      <c r="OP63" s="127"/>
      <c r="OQ63" s="127"/>
      <c r="OR63" s="127"/>
      <c r="OS63" s="127"/>
      <c r="OT63" s="127"/>
      <c r="OU63" s="127"/>
    </row>
    <row r="64" spans="1:411">
      <c r="A64">
        <v>6</v>
      </c>
      <c r="B64">
        <v>105</v>
      </c>
      <c r="C64" t="s">
        <v>72</v>
      </c>
      <c r="D64" t="s">
        <v>73</v>
      </c>
      <c r="E64" s="232" t="s">
        <v>8618</v>
      </c>
      <c r="F64" t="s">
        <v>71</v>
      </c>
      <c r="G64">
        <v>1</v>
      </c>
      <c r="H64">
        <v>666.93799999999999</v>
      </c>
      <c r="I64">
        <v>664.92</v>
      </c>
      <c r="J64">
        <v>662.54499999999996</v>
      </c>
      <c r="K64">
        <v>661.50599999999997</v>
      </c>
      <c r="L64">
        <v>660.05600000000004</v>
      </c>
      <c r="M64" s="233" t="s">
        <v>530</v>
      </c>
      <c r="N64" s="233" t="s">
        <v>531</v>
      </c>
      <c r="O64" s="3" t="s">
        <v>622</v>
      </c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7"/>
      <c r="BZ64" s="127"/>
      <c r="CA64" s="127"/>
      <c r="ER64" s="127"/>
      <c r="ES64" s="127"/>
      <c r="ET64" s="127"/>
      <c r="EU64" s="127"/>
      <c r="EV64" s="127"/>
      <c r="EW64" s="127"/>
      <c r="EX64" s="127"/>
      <c r="EY64" s="127"/>
      <c r="EZ64" s="127"/>
      <c r="FA64" s="127"/>
      <c r="FB64" s="127"/>
      <c r="FC64" s="127"/>
      <c r="FD64" s="127"/>
      <c r="FE64" s="127"/>
      <c r="FF64" s="127"/>
      <c r="HW64" s="127"/>
      <c r="HX64" s="127"/>
      <c r="HY64" s="127"/>
      <c r="HZ64" s="127"/>
      <c r="IA64" s="127"/>
      <c r="IB64" s="127"/>
      <c r="IC64" s="127"/>
      <c r="ID64" s="127"/>
      <c r="IE64" s="127"/>
      <c r="IF64" s="127"/>
      <c r="IG64" s="127"/>
      <c r="IH64" s="127"/>
      <c r="II64" s="127"/>
      <c r="IJ64" s="127"/>
      <c r="IK64" s="127"/>
      <c r="LB64" s="127"/>
      <c r="LC64" s="127"/>
      <c r="LD64" s="127"/>
      <c r="LE64" s="127"/>
      <c r="LF64" s="127"/>
      <c r="LG64" s="127"/>
      <c r="LH64" s="127"/>
      <c r="LI64" s="127"/>
      <c r="LJ64" s="127"/>
      <c r="LK64" s="127"/>
      <c r="LL64" s="127"/>
      <c r="LM64" s="127"/>
      <c r="LN64" s="127"/>
      <c r="LO64" s="127"/>
      <c r="LP64" s="127"/>
      <c r="OG64" s="127"/>
      <c r="OH64" s="127"/>
      <c r="OI64" s="127"/>
      <c r="OJ64" s="127"/>
      <c r="OK64" s="127"/>
      <c r="OL64" s="127"/>
      <c r="OM64" s="127"/>
      <c r="ON64" s="127"/>
      <c r="OO64" s="127"/>
      <c r="OP64" s="127"/>
      <c r="OQ64" s="127"/>
      <c r="OR64" s="127"/>
      <c r="OS64" s="127"/>
      <c r="OT64" s="127"/>
      <c r="OU64" s="127"/>
    </row>
    <row r="65" spans="1:411">
      <c r="A65">
        <v>6</v>
      </c>
      <c r="B65">
        <v>109</v>
      </c>
      <c r="C65" t="s">
        <v>72</v>
      </c>
      <c r="D65" t="s">
        <v>73</v>
      </c>
      <c r="E65" s="232" t="s">
        <v>8863</v>
      </c>
      <c r="F65" t="s">
        <v>71</v>
      </c>
      <c r="G65">
        <v>1</v>
      </c>
      <c r="H65">
        <v>664.19299999999998</v>
      </c>
      <c r="I65">
        <v>663.85900000000004</v>
      </c>
      <c r="J65">
        <v>662.54499999999996</v>
      </c>
      <c r="K65">
        <v>661.96199999999999</v>
      </c>
      <c r="L65">
        <v>660.61800000000005</v>
      </c>
      <c r="M65" s="233" t="s">
        <v>530</v>
      </c>
      <c r="N65" s="233" t="s">
        <v>531</v>
      </c>
      <c r="O65" s="3" t="s">
        <v>623</v>
      </c>
      <c r="BM65" s="127"/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ER65" s="127"/>
      <c r="ES65" s="127"/>
      <c r="ET65" s="127"/>
      <c r="EU65" s="127"/>
      <c r="EV65" s="127"/>
      <c r="EW65" s="127"/>
      <c r="EX65" s="127"/>
      <c r="EY65" s="127"/>
      <c r="EZ65" s="127"/>
      <c r="FA65" s="127"/>
      <c r="FB65" s="127"/>
      <c r="FC65" s="127"/>
      <c r="FD65" s="127"/>
      <c r="FE65" s="127"/>
      <c r="FF65" s="127"/>
      <c r="HW65" s="127"/>
      <c r="HX65" s="127"/>
      <c r="HY65" s="127"/>
      <c r="HZ65" s="127"/>
      <c r="IA65" s="127"/>
      <c r="IB65" s="127"/>
      <c r="IC65" s="127"/>
      <c r="ID65" s="127"/>
      <c r="IE65" s="127"/>
      <c r="IF65" s="127"/>
      <c r="IG65" s="127"/>
      <c r="IH65" s="127"/>
      <c r="II65" s="127"/>
      <c r="IJ65" s="127"/>
      <c r="IK65" s="127"/>
      <c r="LB65" s="127"/>
      <c r="LC65" s="127"/>
      <c r="LD65" s="127"/>
      <c r="LE65" s="127"/>
      <c r="LF65" s="127"/>
      <c r="LG65" s="127"/>
      <c r="LH65" s="127"/>
      <c r="LI65" s="127"/>
      <c r="LJ65" s="127"/>
      <c r="LK65" s="127"/>
      <c r="LL65" s="127"/>
      <c r="LM65" s="127"/>
      <c r="LN65" s="127"/>
      <c r="LO65" s="127"/>
      <c r="LP65" s="127"/>
      <c r="OG65" s="127"/>
      <c r="OH65" s="127"/>
      <c r="OI65" s="127"/>
      <c r="OJ65" s="127"/>
      <c r="OK65" s="127"/>
      <c r="OL65" s="127"/>
      <c r="OM65" s="127"/>
      <c r="ON65" s="127"/>
      <c r="OO65" s="127"/>
      <c r="OP65" s="127"/>
      <c r="OQ65" s="127"/>
      <c r="OR65" s="127"/>
      <c r="OS65" s="127"/>
      <c r="OT65" s="127"/>
      <c r="OU65" s="127"/>
    </row>
    <row r="66" spans="1:411">
      <c r="A66">
        <v>6</v>
      </c>
      <c r="B66">
        <v>114</v>
      </c>
      <c r="C66" t="s">
        <v>72</v>
      </c>
      <c r="D66" t="s">
        <v>73</v>
      </c>
      <c r="E66" s="232" t="s">
        <v>8753</v>
      </c>
      <c r="F66" t="s">
        <v>71</v>
      </c>
      <c r="G66">
        <v>1</v>
      </c>
      <c r="H66">
        <v>663.74</v>
      </c>
      <c r="I66">
        <v>662.78200000000004</v>
      </c>
      <c r="J66">
        <v>662.06200000000001</v>
      </c>
      <c r="K66">
        <v>661.17399999999998</v>
      </c>
      <c r="L66">
        <v>659.08199999999999</v>
      </c>
      <c r="M66" s="233" t="s">
        <v>530</v>
      </c>
      <c r="N66" s="233" t="s">
        <v>531</v>
      </c>
      <c r="O66" s="3" t="s">
        <v>624</v>
      </c>
      <c r="BM66" s="127"/>
      <c r="BN66" s="127"/>
      <c r="BO66" s="127"/>
      <c r="BP66" s="127"/>
      <c r="BQ66" s="127"/>
      <c r="BR66" s="127"/>
      <c r="BS66" s="127"/>
      <c r="BT66" s="127"/>
      <c r="BU66" s="127"/>
      <c r="BV66" s="127"/>
      <c r="BW66" s="127"/>
      <c r="BX66" s="127"/>
      <c r="BY66" s="127"/>
      <c r="BZ66" s="127"/>
      <c r="CA66" s="127"/>
      <c r="ER66" s="127"/>
      <c r="ES66" s="127"/>
      <c r="ET66" s="127"/>
      <c r="EU66" s="127"/>
      <c r="EV66" s="127"/>
      <c r="EW66" s="127"/>
      <c r="EX66" s="127"/>
      <c r="EY66" s="127"/>
      <c r="EZ66" s="127"/>
      <c r="FA66" s="127"/>
      <c r="FB66" s="127"/>
      <c r="FC66" s="127"/>
      <c r="FD66" s="127"/>
      <c r="FE66" s="127"/>
      <c r="FF66" s="127"/>
      <c r="HW66" s="127"/>
      <c r="HX66" s="127"/>
      <c r="HY66" s="127"/>
      <c r="HZ66" s="127"/>
      <c r="IA66" s="127"/>
      <c r="IB66" s="127"/>
      <c r="IC66" s="127"/>
      <c r="ID66" s="127"/>
      <c r="IE66" s="127"/>
      <c r="IF66" s="127"/>
      <c r="IG66" s="127"/>
      <c r="IH66" s="127"/>
      <c r="II66" s="127"/>
      <c r="IJ66" s="127"/>
      <c r="IK66" s="127"/>
      <c r="LB66" s="127"/>
      <c r="LC66" s="127"/>
      <c r="LD66" s="127"/>
      <c r="LE66" s="127"/>
      <c r="LF66" s="127"/>
      <c r="LG66" s="127"/>
      <c r="LH66" s="127"/>
      <c r="LI66" s="127"/>
      <c r="LJ66" s="127"/>
      <c r="LK66" s="127"/>
      <c r="LL66" s="127"/>
      <c r="LM66" s="127"/>
      <c r="LN66" s="127"/>
      <c r="LO66" s="127"/>
      <c r="LP66" s="127"/>
      <c r="OG66" s="127"/>
      <c r="OH66" s="127"/>
      <c r="OI66" s="127"/>
      <c r="OJ66" s="127"/>
      <c r="OK66" s="127"/>
      <c r="OL66" s="127"/>
      <c r="OM66" s="127"/>
      <c r="ON66" s="127"/>
      <c r="OO66" s="127"/>
      <c r="OP66" s="127"/>
      <c r="OQ66" s="127"/>
      <c r="OR66" s="127"/>
      <c r="OS66" s="127"/>
      <c r="OT66" s="127"/>
      <c r="OU66" s="127"/>
    </row>
    <row r="67" spans="1:411">
      <c r="A67">
        <v>268</v>
      </c>
      <c r="B67">
        <v>96</v>
      </c>
      <c r="C67" t="s">
        <v>72</v>
      </c>
      <c r="D67" t="s">
        <v>73</v>
      </c>
      <c r="E67" s="232" t="s">
        <v>8770</v>
      </c>
      <c r="F67" t="s">
        <v>71</v>
      </c>
      <c r="G67">
        <v>1</v>
      </c>
      <c r="H67">
        <v>670.36699999999996</v>
      </c>
      <c r="I67">
        <v>669.35400000000004</v>
      </c>
      <c r="J67">
        <v>668.36099999999999</v>
      </c>
      <c r="K67">
        <v>667.11699999999996</v>
      </c>
      <c r="L67">
        <v>665.42100000000005</v>
      </c>
      <c r="M67" s="233" t="s">
        <v>530</v>
      </c>
      <c r="N67" s="233" t="s">
        <v>531</v>
      </c>
      <c r="O67" s="3" t="s">
        <v>625</v>
      </c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ER67" s="127"/>
      <c r="ES67" s="127"/>
      <c r="ET67" s="127"/>
      <c r="EU67" s="127"/>
      <c r="EV67" s="127"/>
      <c r="EW67" s="127"/>
      <c r="EX67" s="127"/>
      <c r="EY67" s="127"/>
      <c r="EZ67" s="127"/>
      <c r="FA67" s="127"/>
      <c r="FB67" s="127"/>
      <c r="FC67" s="127"/>
      <c r="FD67" s="127"/>
      <c r="FE67" s="127"/>
      <c r="FF67" s="127"/>
      <c r="HW67" s="127"/>
      <c r="HX67" s="127"/>
      <c r="HY67" s="127"/>
      <c r="HZ67" s="127"/>
      <c r="IA67" s="127"/>
      <c r="IB67" s="127"/>
      <c r="IC67" s="127"/>
      <c r="ID67" s="127"/>
      <c r="IE67" s="127"/>
      <c r="IF67" s="127"/>
      <c r="IG67" s="127"/>
      <c r="IH67" s="127"/>
      <c r="II67" s="127"/>
      <c r="IJ67" s="127"/>
      <c r="IK67" s="127"/>
      <c r="LB67" s="127"/>
      <c r="LC67" s="127"/>
      <c r="LD67" s="127"/>
      <c r="LE67" s="127"/>
      <c r="LF67" s="127"/>
      <c r="LG67" s="127"/>
      <c r="LH67" s="127"/>
      <c r="LI67" s="127"/>
      <c r="LJ67" s="127"/>
      <c r="LK67" s="127"/>
      <c r="LL67" s="127"/>
      <c r="LM67" s="127"/>
      <c r="LN67" s="127"/>
      <c r="LO67" s="127"/>
      <c r="LP67" s="127"/>
      <c r="OG67" s="127"/>
      <c r="OH67" s="127"/>
      <c r="OI67" s="127"/>
      <c r="OJ67" s="127"/>
      <c r="OK67" s="127"/>
      <c r="OL67" s="127"/>
      <c r="OM67" s="127"/>
      <c r="ON67" s="127"/>
      <c r="OO67" s="127"/>
      <c r="OP67" s="127"/>
      <c r="OQ67" s="127"/>
      <c r="OR67" s="127"/>
      <c r="OS67" s="127"/>
      <c r="OT67" s="127"/>
      <c r="OU67" s="127"/>
    </row>
    <row r="68" spans="1:411">
      <c r="A68">
        <v>6</v>
      </c>
      <c r="B68">
        <v>110</v>
      </c>
      <c r="C68" t="s">
        <v>72</v>
      </c>
      <c r="D68" t="s">
        <v>73</v>
      </c>
      <c r="E68" s="232" t="s">
        <v>560</v>
      </c>
      <c r="F68" t="s">
        <v>71</v>
      </c>
      <c r="G68">
        <v>1</v>
      </c>
      <c r="H68">
        <v>663.97400000000005</v>
      </c>
      <c r="I68">
        <v>662.78200000000004</v>
      </c>
      <c r="J68">
        <v>661.96199999999999</v>
      </c>
      <c r="K68">
        <v>661.17399999999998</v>
      </c>
      <c r="L68">
        <v>660.05600000000004</v>
      </c>
      <c r="M68" s="233" t="s">
        <v>530</v>
      </c>
      <c r="N68" s="233" t="s">
        <v>531</v>
      </c>
      <c r="O68" s="3" t="s">
        <v>626</v>
      </c>
      <c r="BM68" s="127"/>
      <c r="BN68" s="127"/>
      <c r="BO68" s="127"/>
      <c r="BP68" s="127"/>
      <c r="BQ68" s="127"/>
      <c r="BR68" s="127"/>
      <c r="BS68" s="127"/>
      <c r="BT68" s="127"/>
      <c r="BU68" s="127"/>
      <c r="BV68" s="127"/>
      <c r="BW68" s="127"/>
      <c r="BX68" s="127"/>
      <c r="BY68" s="127"/>
      <c r="BZ68" s="127"/>
      <c r="CA68" s="127"/>
      <c r="ER68" s="127"/>
      <c r="ES68" s="127"/>
      <c r="ET68" s="127"/>
      <c r="EU68" s="127"/>
      <c r="EV68" s="127"/>
      <c r="EW68" s="127"/>
      <c r="EX68" s="127"/>
      <c r="EY68" s="127"/>
      <c r="EZ68" s="127"/>
      <c r="FA68" s="127"/>
      <c r="FB68" s="127"/>
      <c r="FC68" s="127"/>
      <c r="FD68" s="127"/>
      <c r="FE68" s="127"/>
      <c r="FF68" s="127"/>
      <c r="HW68" s="127"/>
      <c r="HX68" s="127"/>
      <c r="HY68" s="127"/>
      <c r="HZ68" s="127"/>
      <c r="IA68" s="127"/>
      <c r="IB68" s="127"/>
      <c r="IC68" s="127"/>
      <c r="ID68" s="127"/>
      <c r="IE68" s="127"/>
      <c r="IF68" s="127"/>
      <c r="IG68" s="127"/>
      <c r="IH68" s="127"/>
      <c r="II68" s="127"/>
      <c r="IJ68" s="127"/>
      <c r="IK68" s="127"/>
      <c r="LB68" s="127"/>
      <c r="LC68" s="127"/>
      <c r="LD68" s="127"/>
      <c r="LE68" s="127"/>
      <c r="LF68" s="127"/>
      <c r="LG68" s="127"/>
      <c r="LH68" s="127"/>
      <c r="LI68" s="127"/>
      <c r="LJ68" s="127"/>
      <c r="LK68" s="127"/>
      <c r="LL68" s="127"/>
      <c r="LM68" s="127"/>
      <c r="LN68" s="127"/>
      <c r="LO68" s="127"/>
      <c r="LP68" s="127"/>
      <c r="OG68" s="127"/>
      <c r="OH68" s="127"/>
      <c r="OI68" s="127"/>
      <c r="OJ68" s="127"/>
      <c r="OK68" s="127"/>
      <c r="OL68" s="127"/>
      <c r="OM68" s="127"/>
      <c r="ON68" s="127"/>
      <c r="OO68" s="127"/>
      <c r="OP68" s="127"/>
      <c r="OQ68" s="127"/>
      <c r="OR68" s="127"/>
      <c r="OS68" s="127"/>
      <c r="OT68" s="127"/>
      <c r="OU68" s="127"/>
    </row>
    <row r="69" spans="1:411">
      <c r="A69">
        <v>6</v>
      </c>
      <c r="B69">
        <v>112</v>
      </c>
      <c r="C69" t="s">
        <v>72</v>
      </c>
      <c r="D69" t="s">
        <v>73</v>
      </c>
      <c r="E69" s="232" t="s">
        <v>8797</v>
      </c>
      <c r="F69" t="s">
        <v>71</v>
      </c>
      <c r="G69">
        <v>1</v>
      </c>
      <c r="H69">
        <v>664.19299999999998</v>
      </c>
      <c r="I69">
        <v>662.78200000000004</v>
      </c>
      <c r="J69">
        <v>661.96199999999999</v>
      </c>
      <c r="K69">
        <v>661.50599999999997</v>
      </c>
      <c r="L69">
        <v>659.71799999999996</v>
      </c>
      <c r="M69" s="233" t="s">
        <v>530</v>
      </c>
      <c r="N69" s="233" t="s">
        <v>531</v>
      </c>
      <c r="O69" s="3" t="s">
        <v>627</v>
      </c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BW69" s="127"/>
      <c r="BX69" s="127"/>
      <c r="BY69" s="127"/>
      <c r="BZ69" s="127"/>
      <c r="CA69" s="127"/>
      <c r="ER69" s="127"/>
      <c r="ES69" s="127"/>
      <c r="ET69" s="127"/>
      <c r="EU69" s="127"/>
      <c r="EV69" s="127"/>
      <c r="EW69" s="127"/>
      <c r="EX69" s="127"/>
      <c r="EY69" s="127"/>
      <c r="EZ69" s="127"/>
      <c r="FA69" s="127"/>
      <c r="FB69" s="127"/>
      <c r="FC69" s="127"/>
      <c r="FD69" s="127"/>
      <c r="FE69" s="127"/>
      <c r="FF69" s="127"/>
      <c r="HW69" s="127"/>
      <c r="HX69" s="127"/>
      <c r="HY69" s="127"/>
      <c r="HZ69" s="127"/>
      <c r="IA69" s="127"/>
      <c r="IB69" s="127"/>
      <c r="IC69" s="127"/>
      <c r="ID69" s="127"/>
      <c r="IE69" s="127"/>
      <c r="IF69" s="127"/>
      <c r="IG69" s="127"/>
      <c r="IH69" s="127"/>
      <c r="II69" s="127"/>
      <c r="IJ69" s="127"/>
      <c r="IK69" s="127"/>
      <c r="LB69" s="127"/>
      <c r="LC69" s="127"/>
      <c r="LD69" s="127"/>
      <c r="LE69" s="127"/>
      <c r="LF69" s="127"/>
      <c r="LG69" s="127"/>
      <c r="LH69" s="127"/>
      <c r="LI69" s="127"/>
      <c r="LJ69" s="127"/>
      <c r="LK69" s="127"/>
      <c r="LL69" s="127"/>
      <c r="LM69" s="127"/>
      <c r="LN69" s="127"/>
      <c r="LO69" s="127"/>
      <c r="LP69" s="127"/>
      <c r="OG69" s="127"/>
      <c r="OH69" s="127"/>
      <c r="OI69" s="127"/>
      <c r="OJ69" s="127"/>
      <c r="OK69" s="127"/>
      <c r="OL69" s="127"/>
      <c r="OM69" s="127"/>
      <c r="ON69" s="127"/>
      <c r="OO69" s="127"/>
      <c r="OP69" s="127"/>
      <c r="OQ69" s="127"/>
      <c r="OR69" s="127"/>
      <c r="OS69" s="127"/>
      <c r="OT69" s="127"/>
      <c r="OU69" s="127"/>
    </row>
    <row r="70" spans="1:411">
      <c r="A70">
        <v>6</v>
      </c>
      <c r="B70">
        <v>113</v>
      </c>
      <c r="C70" t="s">
        <v>72</v>
      </c>
      <c r="D70" t="s">
        <v>73</v>
      </c>
      <c r="E70" s="232" t="s">
        <v>9220</v>
      </c>
      <c r="F70" t="s">
        <v>71</v>
      </c>
      <c r="G70">
        <v>1</v>
      </c>
      <c r="H70">
        <v>664.80499999999995</v>
      </c>
      <c r="I70">
        <v>663.28300000000002</v>
      </c>
      <c r="J70">
        <v>661.96199999999999</v>
      </c>
      <c r="K70">
        <v>661.07399999999996</v>
      </c>
      <c r="L70">
        <v>659.83699999999999</v>
      </c>
      <c r="M70" s="233" t="s">
        <v>530</v>
      </c>
      <c r="N70" s="233" t="s">
        <v>531</v>
      </c>
      <c r="O70" s="3" t="s">
        <v>628</v>
      </c>
      <c r="BM70" s="127"/>
      <c r="BN70" s="127"/>
      <c r="BO70" s="127"/>
      <c r="BP70" s="127"/>
      <c r="BQ70" s="127"/>
      <c r="BR70" s="127"/>
      <c r="BS70" s="127"/>
      <c r="BT70" s="127"/>
      <c r="BU70" s="127"/>
      <c r="BV70" s="127"/>
      <c r="BW70" s="127"/>
      <c r="BX70" s="127"/>
      <c r="BY70" s="127"/>
      <c r="BZ70" s="127"/>
      <c r="CA70" s="127"/>
      <c r="ER70" s="127"/>
      <c r="ES70" s="127"/>
      <c r="ET70" s="127"/>
      <c r="EU70" s="127"/>
      <c r="EV70" s="127"/>
      <c r="EW70" s="127"/>
      <c r="EX70" s="127"/>
      <c r="EY70" s="127"/>
      <c r="EZ70" s="127"/>
      <c r="FA70" s="127"/>
      <c r="FB70" s="127"/>
      <c r="FC70" s="127"/>
      <c r="FD70" s="127"/>
      <c r="FE70" s="127"/>
      <c r="FF70" s="127"/>
      <c r="HW70" s="127"/>
      <c r="HX70" s="127"/>
      <c r="HY70" s="127"/>
      <c r="HZ70" s="127"/>
      <c r="IA70" s="127"/>
      <c r="IB70" s="127"/>
      <c r="IC70" s="127"/>
      <c r="ID70" s="127"/>
      <c r="IE70" s="127"/>
      <c r="IF70" s="127"/>
      <c r="IG70" s="127"/>
      <c r="IH70" s="127"/>
      <c r="II70" s="127"/>
      <c r="IJ70" s="127"/>
      <c r="IK70" s="127"/>
      <c r="LB70" s="127"/>
      <c r="LC70" s="127"/>
      <c r="LD70" s="127"/>
      <c r="LE70" s="127"/>
      <c r="LF70" s="127"/>
      <c r="LG70" s="127"/>
      <c r="LH70" s="127"/>
      <c r="LI70" s="127"/>
      <c r="LJ70" s="127"/>
      <c r="LK70" s="127"/>
      <c r="LL70" s="127"/>
      <c r="LM70" s="127"/>
      <c r="LN70" s="127"/>
      <c r="LO70" s="127"/>
      <c r="LP70" s="127"/>
      <c r="OG70" s="127"/>
      <c r="OH70" s="127"/>
      <c r="OI70" s="127"/>
      <c r="OJ70" s="127"/>
      <c r="OK70" s="127"/>
      <c r="OL70" s="127"/>
      <c r="OM70" s="127"/>
      <c r="ON70" s="127"/>
      <c r="OO70" s="127"/>
      <c r="OP70" s="127"/>
      <c r="OQ70" s="127"/>
      <c r="OR70" s="127"/>
      <c r="OS70" s="127"/>
      <c r="OT70" s="127"/>
      <c r="OU70" s="127"/>
    </row>
    <row r="71" spans="1:411">
      <c r="A71">
        <v>6</v>
      </c>
      <c r="B71">
        <v>115</v>
      </c>
      <c r="C71" t="s">
        <v>72</v>
      </c>
      <c r="D71" t="s">
        <v>73</v>
      </c>
      <c r="E71" s="232" t="s">
        <v>561</v>
      </c>
      <c r="F71" t="s">
        <v>71</v>
      </c>
      <c r="G71">
        <v>1</v>
      </c>
      <c r="H71">
        <v>663.74</v>
      </c>
      <c r="I71">
        <v>662.78200000000004</v>
      </c>
      <c r="J71">
        <v>661.96199999999999</v>
      </c>
      <c r="K71">
        <v>660.61800000000005</v>
      </c>
      <c r="L71">
        <v>658.62099999999998</v>
      </c>
      <c r="M71" s="233" t="s">
        <v>530</v>
      </c>
      <c r="N71" s="233" t="s">
        <v>531</v>
      </c>
      <c r="O71" s="3" t="s">
        <v>629</v>
      </c>
      <c r="BM71" s="127"/>
      <c r="BN71" s="127"/>
      <c r="BO71" s="127"/>
      <c r="BP71" s="127"/>
      <c r="BQ71" s="127"/>
      <c r="BR71" s="127"/>
      <c r="BS71" s="127"/>
      <c r="BT71" s="127"/>
      <c r="BU71" s="127"/>
      <c r="BV71" s="127"/>
      <c r="BW71" s="127"/>
      <c r="BX71" s="127"/>
      <c r="BY71" s="127"/>
      <c r="BZ71" s="127"/>
      <c r="CA71" s="127"/>
      <c r="ER71" s="127"/>
      <c r="ES71" s="127"/>
      <c r="ET71" s="127"/>
      <c r="EU71" s="127"/>
      <c r="EV71" s="127"/>
      <c r="EW71" s="127"/>
      <c r="EX71" s="127"/>
      <c r="EY71" s="127"/>
      <c r="EZ71" s="127"/>
      <c r="FA71" s="127"/>
      <c r="FB71" s="127"/>
      <c r="FC71" s="127"/>
      <c r="FD71" s="127"/>
      <c r="FE71" s="127"/>
      <c r="FF71" s="127"/>
      <c r="HW71" s="127"/>
      <c r="HX71" s="127"/>
      <c r="HY71" s="127"/>
      <c r="HZ71" s="127"/>
      <c r="IA71" s="127"/>
      <c r="IB71" s="127"/>
      <c r="IC71" s="127"/>
      <c r="ID71" s="127"/>
      <c r="IE71" s="127"/>
      <c r="IF71" s="127"/>
      <c r="IG71" s="127"/>
      <c r="IH71" s="127"/>
      <c r="II71" s="127"/>
      <c r="IJ71" s="127"/>
      <c r="IK71" s="127"/>
      <c r="LB71" s="127"/>
      <c r="LC71" s="127"/>
      <c r="LD71" s="127"/>
      <c r="LE71" s="127"/>
      <c r="LF71" s="127"/>
      <c r="LG71" s="127"/>
      <c r="LH71" s="127"/>
      <c r="LI71" s="127"/>
      <c r="LJ71" s="127"/>
      <c r="LK71" s="127"/>
      <c r="LL71" s="127"/>
      <c r="LM71" s="127"/>
      <c r="LN71" s="127"/>
      <c r="LO71" s="127"/>
      <c r="LP71" s="127"/>
      <c r="OG71" s="127"/>
      <c r="OH71" s="127"/>
      <c r="OI71" s="127"/>
      <c r="OJ71" s="127"/>
      <c r="OK71" s="127"/>
      <c r="OL71" s="127"/>
      <c r="OM71" s="127"/>
      <c r="ON71" s="127"/>
      <c r="OO71" s="127"/>
      <c r="OP71" s="127"/>
      <c r="OQ71" s="127"/>
      <c r="OR71" s="127"/>
      <c r="OS71" s="127"/>
      <c r="OT71" s="127"/>
      <c r="OU71" s="127"/>
    </row>
    <row r="72" spans="1:411">
      <c r="A72">
        <v>6</v>
      </c>
      <c r="B72">
        <v>116</v>
      </c>
      <c r="C72" t="s">
        <v>72</v>
      </c>
      <c r="D72" t="s">
        <v>73</v>
      </c>
      <c r="E72" s="232" t="s">
        <v>8925</v>
      </c>
      <c r="F72" t="s">
        <v>71</v>
      </c>
      <c r="G72">
        <v>1</v>
      </c>
      <c r="H72">
        <v>663.85900000000004</v>
      </c>
      <c r="I72">
        <v>663.28300000000002</v>
      </c>
      <c r="J72">
        <v>661.07399999999996</v>
      </c>
      <c r="K72">
        <v>659.08199999999999</v>
      </c>
      <c r="L72">
        <v>656.95799999999997</v>
      </c>
      <c r="M72" s="233" t="s">
        <v>530</v>
      </c>
      <c r="N72" s="233" t="s">
        <v>531</v>
      </c>
      <c r="O72" s="3" t="s">
        <v>630</v>
      </c>
      <c r="BM72" s="127"/>
      <c r="BN72" s="127"/>
      <c r="BO72" s="127"/>
      <c r="BP72" s="127"/>
      <c r="BQ72" s="127"/>
      <c r="BR72" s="127"/>
      <c r="BS72" s="127"/>
      <c r="BT72" s="127"/>
      <c r="BU72" s="127"/>
      <c r="BV72" s="127"/>
      <c r="BW72" s="127"/>
      <c r="BX72" s="127"/>
      <c r="BY72" s="127"/>
      <c r="BZ72" s="127"/>
      <c r="CA72" s="127"/>
      <c r="ER72" s="127"/>
      <c r="ES72" s="127"/>
      <c r="ET72" s="127"/>
      <c r="EU72" s="127"/>
      <c r="EV72" s="127"/>
      <c r="EW72" s="127"/>
      <c r="EX72" s="127"/>
      <c r="EY72" s="127"/>
      <c r="EZ72" s="127"/>
      <c r="FA72" s="127"/>
      <c r="FB72" s="127"/>
      <c r="FC72" s="127"/>
      <c r="FD72" s="127"/>
      <c r="FE72" s="127"/>
      <c r="FF72" s="127"/>
      <c r="HW72" s="127"/>
      <c r="HX72" s="127"/>
      <c r="HY72" s="127"/>
      <c r="HZ72" s="127"/>
      <c r="IA72" s="127"/>
      <c r="IB72" s="127"/>
      <c r="IC72" s="127"/>
      <c r="ID72" s="127"/>
      <c r="IE72" s="127"/>
      <c r="IF72" s="127"/>
      <c r="IG72" s="127"/>
      <c r="IH72" s="127"/>
      <c r="II72" s="127"/>
      <c r="IJ72" s="127"/>
      <c r="IK72" s="127"/>
      <c r="LB72" s="127"/>
      <c r="LC72" s="127"/>
      <c r="LD72" s="127"/>
      <c r="LE72" s="127"/>
      <c r="LF72" s="127"/>
      <c r="LG72" s="127"/>
      <c r="LH72" s="127"/>
      <c r="LI72" s="127"/>
      <c r="LJ72" s="127"/>
      <c r="LK72" s="127"/>
      <c r="LL72" s="127"/>
      <c r="LM72" s="127"/>
      <c r="LN72" s="127"/>
      <c r="LO72" s="127"/>
      <c r="LP72" s="127"/>
      <c r="OG72" s="127"/>
      <c r="OH72" s="127"/>
      <c r="OI72" s="127"/>
      <c r="OJ72" s="127"/>
      <c r="OK72" s="127"/>
      <c r="OL72" s="127"/>
      <c r="OM72" s="127"/>
      <c r="ON72" s="127"/>
      <c r="OO72" s="127"/>
      <c r="OP72" s="127"/>
      <c r="OQ72" s="127"/>
      <c r="OR72" s="127"/>
      <c r="OS72" s="127"/>
      <c r="OT72" s="127"/>
      <c r="OU72" s="127"/>
    </row>
    <row r="73" spans="1:411">
      <c r="A73">
        <v>8</v>
      </c>
      <c r="B73">
        <v>117</v>
      </c>
      <c r="C73" t="s">
        <v>72</v>
      </c>
      <c r="D73" t="s">
        <v>73</v>
      </c>
      <c r="E73" s="232" t="s">
        <v>8905</v>
      </c>
      <c r="F73" t="s">
        <v>71</v>
      </c>
      <c r="G73">
        <v>1</v>
      </c>
      <c r="H73">
        <v>636.79499999999996</v>
      </c>
      <c r="I73">
        <v>636.27800000000002</v>
      </c>
      <c r="J73">
        <v>635.49300000000005</v>
      </c>
      <c r="K73">
        <v>634.72699999999998</v>
      </c>
      <c r="L73">
        <v>634.22500000000002</v>
      </c>
      <c r="M73" s="233" t="s">
        <v>530</v>
      </c>
      <c r="N73" s="233" t="s">
        <v>531</v>
      </c>
      <c r="O73" s="3" t="s">
        <v>631</v>
      </c>
      <c r="BM73" s="127"/>
      <c r="BN73" s="127"/>
      <c r="BO73" s="127"/>
      <c r="BP73" s="127"/>
      <c r="BQ73" s="127"/>
      <c r="BR73" s="127"/>
      <c r="BS73" s="127"/>
      <c r="BT73" s="127"/>
      <c r="BU73" s="127"/>
      <c r="BV73" s="127"/>
      <c r="BW73" s="127"/>
      <c r="BX73" s="127"/>
      <c r="BY73" s="127"/>
      <c r="BZ73" s="127"/>
      <c r="CA73" s="127"/>
      <c r="ER73" s="127"/>
      <c r="ES73" s="127"/>
      <c r="ET73" s="127"/>
      <c r="EU73" s="127"/>
      <c r="EV73" s="127"/>
      <c r="EW73" s="127"/>
      <c r="EX73" s="127"/>
      <c r="EY73" s="127"/>
      <c r="EZ73" s="127"/>
      <c r="FA73" s="127"/>
      <c r="FB73" s="127"/>
      <c r="FC73" s="127"/>
      <c r="FD73" s="127"/>
      <c r="FE73" s="127"/>
      <c r="FF73" s="127"/>
      <c r="HW73" s="127"/>
      <c r="HX73" s="127"/>
      <c r="HY73" s="127"/>
      <c r="HZ73" s="127"/>
      <c r="IA73" s="127"/>
      <c r="IB73" s="127"/>
      <c r="IC73" s="127"/>
      <c r="ID73" s="127"/>
      <c r="IE73" s="127"/>
      <c r="IF73" s="127"/>
      <c r="IG73" s="127"/>
      <c r="IH73" s="127"/>
      <c r="II73" s="127"/>
      <c r="IJ73" s="127"/>
      <c r="IK73" s="127"/>
      <c r="LB73" s="127"/>
      <c r="LC73" s="127"/>
      <c r="LD73" s="127"/>
      <c r="LE73" s="127"/>
      <c r="LF73" s="127"/>
      <c r="LG73" s="127"/>
      <c r="LH73" s="127"/>
      <c r="LI73" s="127"/>
      <c r="LJ73" s="127"/>
      <c r="LK73" s="127"/>
      <c r="LL73" s="127"/>
      <c r="LM73" s="127"/>
      <c r="LN73" s="127"/>
      <c r="LO73" s="127"/>
      <c r="LP73" s="127"/>
      <c r="OG73" s="127"/>
      <c r="OH73" s="127"/>
      <c r="OI73" s="127"/>
      <c r="OJ73" s="127"/>
      <c r="OK73" s="127"/>
      <c r="OL73" s="127"/>
      <c r="OM73" s="127"/>
      <c r="ON73" s="127"/>
      <c r="OO73" s="127"/>
      <c r="OP73" s="127"/>
      <c r="OQ73" s="127"/>
      <c r="OR73" s="127"/>
      <c r="OS73" s="127"/>
      <c r="OT73" s="127"/>
      <c r="OU73" s="127"/>
    </row>
    <row r="74" spans="1:411">
      <c r="A74">
        <v>6</v>
      </c>
      <c r="B74">
        <v>126</v>
      </c>
      <c r="C74" t="s">
        <v>72</v>
      </c>
      <c r="D74" t="s">
        <v>73</v>
      </c>
      <c r="E74" s="232" t="s">
        <v>9061</v>
      </c>
      <c r="F74" t="s">
        <v>71</v>
      </c>
      <c r="G74">
        <v>1</v>
      </c>
      <c r="H74">
        <v>663.74</v>
      </c>
      <c r="I74">
        <v>661.86199999999997</v>
      </c>
      <c r="J74">
        <v>660.05600000000004</v>
      </c>
      <c r="K74">
        <v>657.05799999999999</v>
      </c>
      <c r="L74">
        <v>655.11</v>
      </c>
      <c r="M74" s="233" t="s">
        <v>530</v>
      </c>
      <c r="N74" s="233" t="s">
        <v>531</v>
      </c>
      <c r="O74" s="3" t="s">
        <v>632</v>
      </c>
      <c r="BM74" s="127"/>
      <c r="BN74" s="127"/>
      <c r="BO74" s="127"/>
      <c r="BP74" s="127"/>
      <c r="BQ74" s="127"/>
      <c r="BR74" s="127"/>
      <c r="BS74" s="127"/>
      <c r="BT74" s="127"/>
      <c r="BU74" s="127"/>
      <c r="BV74" s="127"/>
      <c r="BW74" s="127"/>
      <c r="BX74" s="127"/>
      <c r="BY74" s="127"/>
      <c r="BZ74" s="127"/>
      <c r="CA74" s="127"/>
      <c r="ER74" s="127"/>
      <c r="ES74" s="127"/>
      <c r="ET74" s="127"/>
      <c r="EU74" s="127"/>
      <c r="EV74" s="127"/>
      <c r="EW74" s="127"/>
      <c r="EX74" s="127"/>
      <c r="EY74" s="127"/>
      <c r="EZ74" s="127"/>
      <c r="FA74" s="127"/>
      <c r="FB74" s="127"/>
      <c r="FC74" s="127"/>
      <c r="FD74" s="127"/>
      <c r="FE74" s="127"/>
      <c r="FF74" s="127"/>
      <c r="HW74" s="127"/>
      <c r="HX74" s="127"/>
      <c r="HY74" s="127"/>
      <c r="HZ74" s="127"/>
      <c r="IA74" s="127"/>
      <c r="IB74" s="127"/>
      <c r="IC74" s="127"/>
      <c r="ID74" s="127"/>
      <c r="IE74" s="127"/>
      <c r="IF74" s="127"/>
      <c r="IG74" s="127"/>
      <c r="IH74" s="127"/>
      <c r="II74" s="127"/>
      <c r="IJ74" s="127"/>
      <c r="IK74" s="127"/>
      <c r="LB74" s="127"/>
      <c r="LC74" s="127"/>
      <c r="LD74" s="127"/>
      <c r="LE74" s="127"/>
      <c r="LF74" s="127"/>
      <c r="LG74" s="127"/>
      <c r="LH74" s="127"/>
      <c r="LI74" s="127"/>
      <c r="LJ74" s="127"/>
      <c r="LK74" s="127"/>
      <c r="LL74" s="127"/>
      <c r="LM74" s="127"/>
      <c r="LN74" s="127"/>
      <c r="LO74" s="127"/>
      <c r="LP74" s="127"/>
      <c r="OG74" s="127"/>
      <c r="OH74" s="127"/>
      <c r="OI74" s="127"/>
      <c r="OJ74" s="127"/>
      <c r="OK74" s="127"/>
      <c r="OL74" s="127"/>
      <c r="OM74" s="127"/>
      <c r="ON74" s="127"/>
      <c r="OO74" s="127"/>
      <c r="OP74" s="127"/>
      <c r="OQ74" s="127"/>
      <c r="OR74" s="127"/>
      <c r="OS74" s="127"/>
      <c r="OT74" s="127"/>
      <c r="OU74" s="127"/>
    </row>
    <row r="75" spans="1:411">
      <c r="A75">
        <v>6</v>
      </c>
      <c r="B75">
        <v>125</v>
      </c>
      <c r="C75" t="s">
        <v>72</v>
      </c>
      <c r="D75" t="s">
        <v>73</v>
      </c>
      <c r="E75" s="232" t="s">
        <v>9729</v>
      </c>
      <c r="F75" t="s">
        <v>71</v>
      </c>
      <c r="G75">
        <v>1</v>
      </c>
      <c r="H75">
        <v>653.32600000000002</v>
      </c>
      <c r="I75">
        <v>651.55899999999997</v>
      </c>
      <c r="J75">
        <v>649.88900000000001</v>
      </c>
      <c r="K75">
        <v>646.80499999999995</v>
      </c>
      <c r="L75">
        <v>644.30799999999999</v>
      </c>
      <c r="M75" s="233" t="s">
        <v>530</v>
      </c>
      <c r="N75" s="233" t="s">
        <v>531</v>
      </c>
      <c r="O75" s="3" t="s">
        <v>633</v>
      </c>
      <c r="BM75" s="127"/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/>
      <c r="BZ75" s="127"/>
      <c r="CA75" s="127"/>
      <c r="ER75" s="127"/>
      <c r="ES75" s="127"/>
      <c r="ET75" s="127"/>
      <c r="EU75" s="127"/>
      <c r="EV75" s="127"/>
      <c r="EW75" s="127"/>
      <c r="EX75" s="127"/>
      <c r="EY75" s="127"/>
      <c r="EZ75" s="127"/>
      <c r="FA75" s="127"/>
      <c r="FB75" s="127"/>
      <c r="FC75" s="127"/>
      <c r="FD75" s="127"/>
      <c r="FE75" s="127"/>
      <c r="FF75" s="127"/>
      <c r="HW75" s="127"/>
      <c r="HX75" s="127"/>
      <c r="HY75" s="127"/>
      <c r="HZ75" s="127"/>
      <c r="IA75" s="127"/>
      <c r="IB75" s="127"/>
      <c r="IC75" s="127"/>
      <c r="ID75" s="127"/>
      <c r="IE75" s="127"/>
      <c r="IF75" s="127"/>
      <c r="IG75" s="127"/>
      <c r="IH75" s="127"/>
      <c r="II75" s="127"/>
      <c r="IJ75" s="127"/>
      <c r="IK75" s="127"/>
      <c r="LB75" s="127"/>
      <c r="LC75" s="127"/>
      <c r="LD75" s="127"/>
      <c r="LE75" s="127"/>
      <c r="LF75" s="127"/>
      <c r="LG75" s="127"/>
      <c r="LH75" s="127"/>
      <c r="LI75" s="127"/>
      <c r="LJ75" s="127"/>
      <c r="LK75" s="127"/>
      <c r="LL75" s="127"/>
      <c r="LM75" s="127"/>
      <c r="LN75" s="127"/>
      <c r="LO75" s="127"/>
      <c r="LP75" s="127"/>
      <c r="OG75" s="127"/>
      <c r="OH75" s="127"/>
      <c r="OI75" s="127"/>
      <c r="OJ75" s="127"/>
      <c r="OK75" s="127"/>
      <c r="OL75" s="127"/>
      <c r="OM75" s="127"/>
      <c r="ON75" s="127"/>
      <c r="OO75" s="127"/>
      <c r="OP75" s="127"/>
      <c r="OQ75" s="127"/>
      <c r="OR75" s="127"/>
      <c r="OS75" s="127"/>
      <c r="OT75" s="127"/>
      <c r="OU75" s="127"/>
    </row>
    <row r="76" spans="1:411">
      <c r="A76">
        <v>6</v>
      </c>
      <c r="B76">
        <v>121</v>
      </c>
      <c r="C76" t="s">
        <v>72</v>
      </c>
      <c r="D76" t="s">
        <v>73</v>
      </c>
      <c r="E76" s="232" t="s">
        <v>10274</v>
      </c>
      <c r="F76" t="s">
        <v>71</v>
      </c>
      <c r="G76">
        <v>1</v>
      </c>
      <c r="H76">
        <v>645.46799999999996</v>
      </c>
      <c r="I76">
        <v>643.33100000000002</v>
      </c>
      <c r="J76">
        <v>642.21199999999999</v>
      </c>
      <c r="K76">
        <v>637.19600000000003</v>
      </c>
      <c r="L76">
        <v>631.13599999999997</v>
      </c>
      <c r="M76" s="233" t="s">
        <v>530</v>
      </c>
      <c r="N76" s="233" t="s">
        <v>531</v>
      </c>
      <c r="O76" s="3" t="s">
        <v>634</v>
      </c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7"/>
      <c r="BZ76" s="127"/>
      <c r="CA76" s="127"/>
      <c r="ER76" s="127"/>
      <c r="ES76" s="127"/>
      <c r="ET76" s="127"/>
      <c r="EU76" s="127"/>
      <c r="EV76" s="127"/>
      <c r="EW76" s="127"/>
      <c r="EX76" s="127"/>
      <c r="EY76" s="127"/>
      <c r="EZ76" s="127"/>
      <c r="FA76" s="127"/>
      <c r="FB76" s="127"/>
      <c r="FC76" s="127"/>
      <c r="FD76" s="127"/>
      <c r="FE76" s="127"/>
      <c r="FF76" s="127"/>
      <c r="HW76" s="127"/>
      <c r="HX76" s="127"/>
      <c r="HY76" s="127"/>
      <c r="HZ76" s="127"/>
      <c r="IA76" s="127"/>
      <c r="IB76" s="127"/>
      <c r="IC76" s="127"/>
      <c r="ID76" s="127"/>
      <c r="IE76" s="127"/>
      <c r="IF76" s="127"/>
      <c r="IG76" s="127"/>
      <c r="IH76" s="127"/>
      <c r="II76" s="127"/>
      <c r="IJ76" s="127"/>
      <c r="IK76" s="127"/>
      <c r="LB76" s="127"/>
      <c r="LC76" s="127"/>
      <c r="LD76" s="127"/>
      <c r="LE76" s="127"/>
      <c r="LF76" s="127"/>
      <c r="LG76" s="127"/>
      <c r="LH76" s="127"/>
      <c r="LI76" s="127"/>
      <c r="LJ76" s="127"/>
      <c r="LK76" s="127"/>
      <c r="LL76" s="127"/>
      <c r="LM76" s="127"/>
      <c r="LN76" s="127"/>
      <c r="LO76" s="127"/>
      <c r="LP76" s="127"/>
      <c r="OG76" s="127"/>
      <c r="OH76" s="127"/>
      <c r="OI76" s="127"/>
      <c r="OJ76" s="127"/>
      <c r="OK76" s="127"/>
      <c r="OL76" s="127"/>
      <c r="OM76" s="127"/>
      <c r="ON76" s="127"/>
      <c r="OO76" s="127"/>
      <c r="OP76" s="127"/>
      <c r="OQ76" s="127"/>
      <c r="OR76" s="127"/>
      <c r="OS76" s="127"/>
      <c r="OT76" s="127"/>
      <c r="OU76" s="127"/>
    </row>
    <row r="77" spans="1:411">
      <c r="A77">
        <v>6</v>
      </c>
      <c r="B77">
        <v>124</v>
      </c>
      <c r="C77" t="s">
        <v>72</v>
      </c>
      <c r="D77" t="s">
        <v>73</v>
      </c>
      <c r="E77" s="232" t="s">
        <v>10253</v>
      </c>
      <c r="F77" t="s">
        <v>71</v>
      </c>
      <c r="G77">
        <v>1</v>
      </c>
      <c r="H77">
        <v>645.46799999999996</v>
      </c>
      <c r="I77">
        <v>643.33100000000002</v>
      </c>
      <c r="J77">
        <v>642.21199999999999</v>
      </c>
      <c r="K77">
        <v>639.23800000000006</v>
      </c>
      <c r="L77">
        <v>636.649</v>
      </c>
      <c r="M77" s="233" t="s">
        <v>530</v>
      </c>
      <c r="N77" s="233" t="s">
        <v>531</v>
      </c>
      <c r="O77" s="3" t="s">
        <v>635</v>
      </c>
      <c r="BM77" s="127"/>
      <c r="BN77" s="127"/>
      <c r="BO77" s="127"/>
      <c r="BP77" s="127"/>
      <c r="BQ77" s="127"/>
      <c r="BR77" s="127"/>
      <c r="BS77" s="127"/>
      <c r="BT77" s="127"/>
      <c r="BU77" s="127"/>
      <c r="BV77" s="127"/>
      <c r="BW77" s="127"/>
      <c r="BX77" s="127"/>
      <c r="BY77" s="127"/>
      <c r="BZ77" s="127"/>
      <c r="CA77" s="127"/>
      <c r="ER77" s="127"/>
      <c r="ES77" s="127"/>
      <c r="ET77" s="127"/>
      <c r="EU77" s="127"/>
      <c r="EV77" s="127"/>
      <c r="EW77" s="127"/>
      <c r="EX77" s="127"/>
      <c r="EY77" s="127"/>
      <c r="EZ77" s="127"/>
      <c r="FA77" s="127"/>
      <c r="FB77" s="127"/>
      <c r="FC77" s="127"/>
      <c r="FD77" s="127"/>
      <c r="FE77" s="127"/>
      <c r="FF77" s="127"/>
      <c r="HW77" s="127"/>
      <c r="HX77" s="127"/>
      <c r="HY77" s="127"/>
      <c r="HZ77" s="127"/>
      <c r="IA77" s="127"/>
      <c r="IB77" s="127"/>
      <c r="IC77" s="127"/>
      <c r="ID77" s="127"/>
      <c r="IE77" s="127"/>
      <c r="IF77" s="127"/>
      <c r="IG77" s="127"/>
      <c r="IH77" s="127"/>
      <c r="II77" s="127"/>
      <c r="IJ77" s="127"/>
      <c r="IK77" s="127"/>
      <c r="LB77" s="127"/>
      <c r="LC77" s="127"/>
      <c r="LD77" s="127"/>
      <c r="LE77" s="127"/>
      <c r="LF77" s="127"/>
      <c r="LG77" s="127"/>
      <c r="LH77" s="127"/>
      <c r="LI77" s="127"/>
      <c r="LJ77" s="127"/>
      <c r="LK77" s="127"/>
      <c r="LL77" s="127"/>
      <c r="LM77" s="127"/>
      <c r="LN77" s="127"/>
      <c r="LO77" s="127"/>
      <c r="LP77" s="127"/>
      <c r="OG77" s="127"/>
      <c r="OH77" s="127"/>
      <c r="OI77" s="127"/>
      <c r="OJ77" s="127"/>
      <c r="OK77" s="127"/>
      <c r="OL77" s="127"/>
      <c r="OM77" s="127"/>
      <c r="ON77" s="127"/>
      <c r="OO77" s="127"/>
      <c r="OP77" s="127"/>
      <c r="OQ77" s="127"/>
      <c r="OR77" s="127"/>
      <c r="OS77" s="127"/>
      <c r="OT77" s="127"/>
      <c r="OU77" s="127"/>
    </row>
    <row r="78" spans="1:411">
      <c r="A78">
        <v>6</v>
      </c>
      <c r="B78">
        <v>127</v>
      </c>
      <c r="C78" t="s">
        <v>72</v>
      </c>
      <c r="D78" t="s">
        <v>73</v>
      </c>
      <c r="E78" s="232" t="s">
        <v>10286</v>
      </c>
      <c r="F78" t="s">
        <v>71</v>
      </c>
      <c r="G78">
        <v>1</v>
      </c>
      <c r="H78">
        <v>644.86500000000001</v>
      </c>
      <c r="I78">
        <v>642.85500000000002</v>
      </c>
      <c r="J78">
        <v>641.69600000000003</v>
      </c>
      <c r="K78">
        <v>638.68200000000002</v>
      </c>
      <c r="L78">
        <v>636.37099999999998</v>
      </c>
      <c r="M78" s="233" t="s">
        <v>530</v>
      </c>
      <c r="N78" s="233" t="s">
        <v>531</v>
      </c>
      <c r="O78" s="3" t="s">
        <v>636</v>
      </c>
      <c r="BM78" s="127"/>
      <c r="BN78" s="127"/>
      <c r="BO78" s="127"/>
      <c r="BP78" s="127"/>
      <c r="BQ78" s="127"/>
      <c r="BR78" s="127"/>
      <c r="BS78" s="127"/>
      <c r="BT78" s="127"/>
      <c r="BU78" s="127"/>
      <c r="BV78" s="127"/>
      <c r="BW78" s="127"/>
      <c r="BX78" s="127"/>
      <c r="BY78" s="127"/>
      <c r="BZ78" s="127"/>
      <c r="CA78" s="127"/>
      <c r="ER78" s="127"/>
      <c r="ES78" s="127"/>
      <c r="ET78" s="127"/>
      <c r="EU78" s="127"/>
      <c r="EV78" s="127"/>
      <c r="EW78" s="127"/>
      <c r="EX78" s="127"/>
      <c r="EY78" s="127"/>
      <c r="EZ78" s="127"/>
      <c r="FA78" s="127"/>
      <c r="FB78" s="127"/>
      <c r="FC78" s="127"/>
      <c r="FD78" s="127"/>
      <c r="FE78" s="127"/>
      <c r="FF78" s="127"/>
      <c r="HW78" s="127"/>
      <c r="HX78" s="127"/>
      <c r="HY78" s="127"/>
      <c r="HZ78" s="127"/>
      <c r="IA78" s="127"/>
      <c r="IB78" s="127"/>
      <c r="IC78" s="127"/>
      <c r="ID78" s="127"/>
      <c r="IE78" s="127"/>
      <c r="IF78" s="127"/>
      <c r="IG78" s="127"/>
      <c r="IH78" s="127"/>
      <c r="II78" s="127"/>
      <c r="IJ78" s="127"/>
      <c r="IK78" s="127"/>
      <c r="LB78" s="127"/>
      <c r="LC78" s="127"/>
      <c r="LD78" s="127"/>
      <c r="LE78" s="127"/>
      <c r="LF78" s="127"/>
      <c r="LG78" s="127"/>
      <c r="LH78" s="127"/>
      <c r="LI78" s="127"/>
      <c r="LJ78" s="127"/>
      <c r="LK78" s="127"/>
      <c r="LL78" s="127"/>
      <c r="LM78" s="127"/>
      <c r="LN78" s="127"/>
      <c r="LO78" s="127"/>
      <c r="LP78" s="127"/>
      <c r="OG78" s="127"/>
      <c r="OH78" s="127"/>
      <c r="OI78" s="127"/>
      <c r="OJ78" s="127"/>
      <c r="OK78" s="127"/>
      <c r="OL78" s="127"/>
      <c r="OM78" s="127"/>
      <c r="ON78" s="127"/>
      <c r="OO78" s="127"/>
      <c r="OP78" s="127"/>
      <c r="OQ78" s="127"/>
      <c r="OR78" s="127"/>
      <c r="OS78" s="127"/>
      <c r="OT78" s="127"/>
      <c r="OU78" s="127"/>
    </row>
    <row r="79" spans="1:411">
      <c r="A79">
        <v>6</v>
      </c>
      <c r="B79">
        <v>122</v>
      </c>
      <c r="C79" t="s">
        <v>72</v>
      </c>
      <c r="D79" t="s">
        <v>73</v>
      </c>
      <c r="E79" s="232" t="s">
        <v>10758</v>
      </c>
      <c r="F79" t="s">
        <v>71</v>
      </c>
      <c r="G79">
        <v>1</v>
      </c>
      <c r="H79">
        <v>637.59299999999996</v>
      </c>
      <c r="I79">
        <v>635.56700000000001</v>
      </c>
      <c r="J79">
        <v>634.24699999999996</v>
      </c>
      <c r="K79">
        <v>628.73900000000003</v>
      </c>
      <c r="L79">
        <v>623.83299999999997</v>
      </c>
      <c r="M79" s="233" t="s">
        <v>530</v>
      </c>
      <c r="N79" s="233" t="s">
        <v>531</v>
      </c>
      <c r="O79" s="3" t="s">
        <v>637</v>
      </c>
      <c r="BM79" s="127"/>
      <c r="BN79" s="127"/>
      <c r="BO79" s="127"/>
      <c r="BP79" s="127"/>
      <c r="BQ79" s="127"/>
      <c r="BR79" s="127"/>
      <c r="BS79" s="127"/>
      <c r="BT79" s="127"/>
      <c r="BU79" s="127"/>
      <c r="BV79" s="127"/>
      <c r="BW79" s="127"/>
      <c r="BX79" s="127"/>
      <c r="BY79" s="127"/>
      <c r="BZ79" s="127"/>
      <c r="CA79" s="127"/>
      <c r="ER79" s="127"/>
      <c r="ES79" s="127"/>
      <c r="ET79" s="127"/>
      <c r="EU79" s="127"/>
      <c r="EV79" s="127"/>
      <c r="EW79" s="127"/>
      <c r="EX79" s="127"/>
      <c r="EY79" s="127"/>
      <c r="EZ79" s="127"/>
      <c r="FA79" s="127"/>
      <c r="FB79" s="127"/>
      <c r="FC79" s="127"/>
      <c r="FD79" s="127"/>
      <c r="FE79" s="127"/>
      <c r="FF79" s="127"/>
      <c r="HW79" s="127"/>
      <c r="HX79" s="127"/>
      <c r="HY79" s="127"/>
      <c r="HZ79" s="127"/>
      <c r="IA79" s="127"/>
      <c r="IB79" s="127"/>
      <c r="IC79" s="127"/>
      <c r="ID79" s="127"/>
      <c r="IE79" s="127"/>
      <c r="IF79" s="127"/>
      <c r="IG79" s="127"/>
      <c r="IH79" s="127"/>
      <c r="II79" s="127"/>
      <c r="IJ79" s="127"/>
      <c r="IK79" s="127"/>
      <c r="LB79" s="127"/>
      <c r="LC79" s="127"/>
      <c r="LD79" s="127"/>
      <c r="LE79" s="127"/>
      <c r="LF79" s="127"/>
      <c r="LG79" s="127"/>
      <c r="LH79" s="127"/>
      <c r="LI79" s="127"/>
      <c r="LJ79" s="127"/>
      <c r="LK79" s="127"/>
      <c r="LL79" s="127"/>
      <c r="LM79" s="127"/>
      <c r="LN79" s="127"/>
      <c r="LO79" s="127"/>
      <c r="LP79" s="127"/>
      <c r="OG79" s="127"/>
      <c r="OH79" s="127"/>
      <c r="OI79" s="127"/>
      <c r="OJ79" s="127"/>
      <c r="OK79" s="127"/>
      <c r="OL79" s="127"/>
      <c r="OM79" s="127"/>
      <c r="ON79" s="127"/>
      <c r="OO79" s="127"/>
      <c r="OP79" s="127"/>
      <c r="OQ79" s="127"/>
      <c r="OR79" s="127"/>
      <c r="OS79" s="127"/>
      <c r="OT79" s="127"/>
      <c r="OU79" s="127"/>
    </row>
    <row r="80" spans="1:411">
      <c r="A80">
        <v>6</v>
      </c>
      <c r="B80">
        <v>123</v>
      </c>
      <c r="C80" t="s">
        <v>72</v>
      </c>
      <c r="D80" t="s">
        <v>73</v>
      </c>
      <c r="E80" s="232" t="s">
        <v>11138</v>
      </c>
      <c r="F80" t="s">
        <v>71</v>
      </c>
      <c r="G80">
        <v>1</v>
      </c>
      <c r="H80">
        <v>627.83000000000004</v>
      </c>
      <c r="I80">
        <v>625.92999999999995</v>
      </c>
      <c r="J80">
        <v>624.84100000000001</v>
      </c>
      <c r="K80">
        <v>619.96600000000001</v>
      </c>
      <c r="L80">
        <v>616.11300000000006</v>
      </c>
      <c r="M80" s="233" t="s">
        <v>530</v>
      </c>
      <c r="N80" s="233" t="s">
        <v>531</v>
      </c>
      <c r="O80" s="3" t="s">
        <v>638</v>
      </c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7"/>
      <c r="ER80" s="127"/>
      <c r="ES80" s="127"/>
      <c r="ET80" s="127"/>
      <c r="EU80" s="127"/>
      <c r="EV80" s="127"/>
      <c r="EW80" s="127"/>
      <c r="EX80" s="127"/>
      <c r="EY80" s="127"/>
      <c r="EZ80" s="127"/>
      <c r="FA80" s="127"/>
      <c r="FB80" s="127"/>
      <c r="FC80" s="127"/>
      <c r="FD80" s="127"/>
      <c r="FE80" s="127"/>
      <c r="FF80" s="127"/>
      <c r="HW80" s="127"/>
      <c r="HX80" s="127"/>
      <c r="HY80" s="127"/>
      <c r="HZ80" s="127"/>
      <c r="IA80" s="127"/>
      <c r="IB80" s="127"/>
      <c r="IC80" s="127"/>
      <c r="ID80" s="127"/>
      <c r="IE80" s="127"/>
      <c r="IF80" s="127"/>
      <c r="IG80" s="127"/>
      <c r="IH80" s="127"/>
      <c r="II80" s="127"/>
      <c r="IJ80" s="127"/>
      <c r="IK80" s="127"/>
      <c r="LB80" s="127"/>
      <c r="LC80" s="127"/>
      <c r="LD80" s="127"/>
      <c r="LE80" s="127"/>
      <c r="LF80" s="127"/>
      <c r="LG80" s="127"/>
      <c r="LH80" s="127"/>
      <c r="LI80" s="127"/>
      <c r="LJ80" s="127"/>
      <c r="LK80" s="127"/>
      <c r="LL80" s="127"/>
      <c r="LM80" s="127"/>
      <c r="LN80" s="127"/>
      <c r="LO80" s="127"/>
      <c r="LP80" s="127"/>
      <c r="OG80" s="127"/>
      <c r="OH80" s="127"/>
      <c r="OI80" s="127"/>
      <c r="OJ80" s="127"/>
      <c r="OK80" s="127"/>
      <c r="OL80" s="127"/>
      <c r="OM80" s="127"/>
      <c r="ON80" s="127"/>
      <c r="OO80" s="127"/>
      <c r="OP80" s="127"/>
      <c r="OQ80" s="127"/>
      <c r="OR80" s="127"/>
      <c r="OS80" s="127"/>
      <c r="OT80" s="127"/>
      <c r="OU80" s="127"/>
    </row>
    <row r="81" spans="1:411">
      <c r="A81">
        <v>10</v>
      </c>
      <c r="B81">
        <v>182</v>
      </c>
      <c r="C81" t="s">
        <v>72</v>
      </c>
      <c r="D81" t="s">
        <v>75</v>
      </c>
      <c r="E81" s="232" t="s">
        <v>8783</v>
      </c>
      <c r="F81" t="s">
        <v>8784</v>
      </c>
      <c r="G81">
        <v>1</v>
      </c>
      <c r="H81">
        <v>523.33500000000004</v>
      </c>
      <c r="I81">
        <v>522.80899999999997</v>
      </c>
      <c r="J81">
        <v>520.55799999999999</v>
      </c>
      <c r="K81">
        <v>518.82399999999996</v>
      </c>
      <c r="L81">
        <v>515.96699999999998</v>
      </c>
      <c r="M81" s="233" t="s">
        <v>530</v>
      </c>
      <c r="N81" s="233" t="s">
        <v>531</v>
      </c>
      <c r="O81" s="3" t="s">
        <v>639</v>
      </c>
      <c r="BM81" s="127"/>
      <c r="BN81" s="127"/>
      <c r="BO81" s="127"/>
      <c r="BP81" s="127"/>
      <c r="BQ81" s="127"/>
      <c r="BR81" s="127"/>
      <c r="BS81" s="127"/>
      <c r="BT81" s="127"/>
      <c r="BU81" s="127"/>
      <c r="BV81" s="127"/>
      <c r="BW81" s="127"/>
      <c r="BX81" s="127"/>
      <c r="BY81" s="127"/>
      <c r="BZ81" s="127"/>
      <c r="CA81" s="127"/>
      <c r="ER81" s="127"/>
      <c r="ES81" s="127"/>
      <c r="ET81" s="127"/>
      <c r="EU81" s="127"/>
      <c r="EV81" s="127"/>
      <c r="EW81" s="127"/>
      <c r="EX81" s="127"/>
      <c r="EY81" s="127"/>
      <c r="EZ81" s="127"/>
      <c r="FA81" s="127"/>
      <c r="FB81" s="127"/>
      <c r="FC81" s="127"/>
      <c r="FD81" s="127"/>
      <c r="FE81" s="127"/>
      <c r="FF81" s="127"/>
      <c r="HW81" s="127"/>
      <c r="HX81" s="127"/>
      <c r="HY81" s="127"/>
      <c r="HZ81" s="127"/>
      <c r="IA81" s="127"/>
      <c r="IB81" s="127"/>
      <c r="IC81" s="127"/>
      <c r="ID81" s="127"/>
      <c r="IE81" s="127"/>
      <c r="IF81" s="127"/>
      <c r="IG81" s="127"/>
      <c r="IH81" s="127"/>
      <c r="II81" s="127"/>
      <c r="IJ81" s="127"/>
      <c r="IK81" s="127"/>
      <c r="LB81" s="127"/>
      <c r="LC81" s="127"/>
      <c r="LD81" s="127"/>
      <c r="LE81" s="127"/>
      <c r="LF81" s="127"/>
      <c r="LG81" s="127"/>
      <c r="LH81" s="127"/>
      <c r="LI81" s="127"/>
      <c r="LJ81" s="127"/>
      <c r="LK81" s="127"/>
      <c r="LL81" s="127"/>
      <c r="LM81" s="127"/>
      <c r="LN81" s="127"/>
      <c r="LO81" s="127"/>
      <c r="LP81" s="127"/>
      <c r="OG81" s="127"/>
      <c r="OH81" s="127"/>
      <c r="OI81" s="127"/>
      <c r="OJ81" s="127"/>
      <c r="OK81" s="127"/>
      <c r="OL81" s="127"/>
      <c r="OM81" s="127"/>
      <c r="ON81" s="127"/>
      <c r="OO81" s="127"/>
      <c r="OP81" s="127"/>
      <c r="OQ81" s="127"/>
      <c r="OR81" s="127"/>
      <c r="OS81" s="127"/>
      <c r="OT81" s="127"/>
      <c r="OU81" s="127"/>
    </row>
    <row r="82" spans="1:411">
      <c r="A82">
        <v>9</v>
      </c>
      <c r="B82">
        <v>129</v>
      </c>
      <c r="C82" t="s">
        <v>72</v>
      </c>
      <c r="D82" t="s">
        <v>75</v>
      </c>
      <c r="E82" s="232" t="s">
        <v>8327</v>
      </c>
      <c r="F82" t="s">
        <v>70</v>
      </c>
      <c r="G82">
        <v>1</v>
      </c>
      <c r="H82">
        <v>669.596</v>
      </c>
      <c r="I82">
        <v>667.23500000000001</v>
      </c>
      <c r="J82">
        <v>663.15200000000004</v>
      </c>
      <c r="K82">
        <v>655.19799999999998</v>
      </c>
      <c r="L82">
        <v>649.05499999999995</v>
      </c>
      <c r="M82" s="233" t="s">
        <v>530</v>
      </c>
      <c r="N82" s="233" t="s">
        <v>531</v>
      </c>
      <c r="O82" s="3" t="s">
        <v>640</v>
      </c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7"/>
      <c r="BZ82" s="127"/>
      <c r="CA82" s="127"/>
      <c r="ER82" s="127"/>
      <c r="ES82" s="127"/>
      <c r="ET82" s="127"/>
      <c r="EU82" s="127"/>
      <c r="EV82" s="127"/>
      <c r="EW82" s="127"/>
      <c r="EX82" s="127"/>
      <c r="EY82" s="127"/>
      <c r="EZ82" s="127"/>
      <c r="FA82" s="127"/>
      <c r="FB82" s="127"/>
      <c r="FC82" s="127"/>
      <c r="FD82" s="127"/>
      <c r="FE82" s="127"/>
      <c r="FF82" s="127"/>
      <c r="HW82" s="127"/>
      <c r="HX82" s="127"/>
      <c r="HY82" s="127"/>
      <c r="HZ82" s="127"/>
      <c r="IA82" s="127"/>
      <c r="IB82" s="127"/>
      <c r="IC82" s="127"/>
      <c r="ID82" s="127"/>
      <c r="IE82" s="127"/>
      <c r="IF82" s="127"/>
      <c r="IG82" s="127"/>
      <c r="IH82" s="127"/>
      <c r="II82" s="127"/>
      <c r="IJ82" s="127"/>
      <c r="IK82" s="127"/>
      <c r="LB82" s="127"/>
      <c r="LC82" s="127"/>
      <c r="LD82" s="127"/>
      <c r="LE82" s="127"/>
      <c r="LF82" s="127"/>
      <c r="LG82" s="127"/>
      <c r="LH82" s="127"/>
      <c r="LI82" s="127"/>
      <c r="LJ82" s="127"/>
      <c r="LK82" s="127"/>
      <c r="LL82" s="127"/>
      <c r="LM82" s="127"/>
      <c r="LN82" s="127"/>
      <c r="LO82" s="127"/>
      <c r="LP82" s="127"/>
      <c r="OG82" s="127"/>
      <c r="OH82" s="127"/>
      <c r="OI82" s="127"/>
      <c r="OJ82" s="127"/>
      <c r="OK82" s="127"/>
      <c r="OL82" s="127"/>
      <c r="OM82" s="127"/>
      <c r="ON82" s="127"/>
      <c r="OO82" s="127"/>
      <c r="OP82" s="127"/>
      <c r="OQ82" s="127"/>
      <c r="OR82" s="127"/>
      <c r="OS82" s="127"/>
      <c r="OT82" s="127"/>
      <c r="OU82" s="127"/>
    </row>
    <row r="83" spans="1:411">
      <c r="A83">
        <v>9</v>
      </c>
      <c r="B83">
        <v>128</v>
      </c>
      <c r="C83" t="s">
        <v>72</v>
      </c>
      <c r="D83" t="s">
        <v>75</v>
      </c>
      <c r="E83" s="232" t="s">
        <v>8345</v>
      </c>
      <c r="F83" t="s">
        <v>70</v>
      </c>
      <c r="G83">
        <v>1</v>
      </c>
      <c r="H83">
        <v>667.83399999999995</v>
      </c>
      <c r="I83">
        <v>666.39599999999996</v>
      </c>
      <c r="J83">
        <v>662.75699999999995</v>
      </c>
      <c r="K83">
        <v>659.55399999999997</v>
      </c>
      <c r="L83">
        <v>653.43100000000004</v>
      </c>
      <c r="M83" s="233" t="s">
        <v>530</v>
      </c>
      <c r="N83" s="233" t="s">
        <v>531</v>
      </c>
      <c r="O83" s="3" t="s">
        <v>641</v>
      </c>
      <c r="BM83" s="127"/>
      <c r="BN83" s="127"/>
      <c r="BO83" s="127"/>
      <c r="BP83" s="127"/>
      <c r="BQ83" s="127"/>
      <c r="BR83" s="127"/>
      <c r="BS83" s="127"/>
      <c r="BT83" s="127"/>
      <c r="BU83" s="127"/>
      <c r="BV83" s="127"/>
      <c r="BW83" s="127"/>
      <c r="BX83" s="127"/>
      <c r="BY83" s="127"/>
      <c r="BZ83" s="127"/>
      <c r="CA83" s="127"/>
      <c r="ER83" s="127"/>
      <c r="ES83" s="127"/>
      <c r="ET83" s="127"/>
      <c r="EU83" s="127"/>
      <c r="EV83" s="127"/>
      <c r="EW83" s="127"/>
      <c r="EX83" s="127"/>
      <c r="EY83" s="127"/>
      <c r="EZ83" s="127"/>
      <c r="FA83" s="127"/>
      <c r="FB83" s="127"/>
      <c r="FC83" s="127"/>
      <c r="FD83" s="127"/>
      <c r="FE83" s="127"/>
      <c r="FF83" s="127"/>
      <c r="HW83" s="127"/>
      <c r="HX83" s="127"/>
      <c r="HY83" s="127"/>
      <c r="HZ83" s="127"/>
      <c r="IA83" s="127"/>
      <c r="IB83" s="127"/>
      <c r="IC83" s="127"/>
      <c r="ID83" s="127"/>
      <c r="IE83" s="127"/>
      <c r="IF83" s="127"/>
      <c r="IG83" s="127"/>
      <c r="IH83" s="127"/>
      <c r="II83" s="127"/>
      <c r="IJ83" s="127"/>
      <c r="IK83" s="127"/>
      <c r="LB83" s="127"/>
      <c r="LC83" s="127"/>
      <c r="LD83" s="127"/>
      <c r="LE83" s="127"/>
      <c r="LF83" s="127"/>
      <c r="LG83" s="127"/>
      <c r="LH83" s="127"/>
      <c r="LI83" s="127"/>
      <c r="LJ83" s="127"/>
      <c r="LK83" s="127"/>
      <c r="LL83" s="127"/>
      <c r="LM83" s="127"/>
      <c r="LN83" s="127"/>
      <c r="LO83" s="127"/>
      <c r="LP83" s="127"/>
      <c r="OG83" s="127"/>
      <c r="OH83" s="127"/>
      <c r="OI83" s="127"/>
      <c r="OJ83" s="127"/>
      <c r="OK83" s="127"/>
      <c r="OL83" s="127"/>
      <c r="OM83" s="127"/>
      <c r="ON83" s="127"/>
      <c r="OO83" s="127"/>
      <c r="OP83" s="127"/>
      <c r="OQ83" s="127"/>
      <c r="OR83" s="127"/>
      <c r="OS83" s="127"/>
      <c r="OT83" s="127"/>
      <c r="OU83" s="127"/>
    </row>
    <row r="84" spans="1:411">
      <c r="A84">
        <v>9</v>
      </c>
      <c r="B84">
        <v>133</v>
      </c>
      <c r="C84" t="s">
        <v>72</v>
      </c>
      <c r="D84" t="s">
        <v>75</v>
      </c>
      <c r="E84" s="232" t="s">
        <v>7250</v>
      </c>
      <c r="F84" t="s">
        <v>70</v>
      </c>
      <c r="G84">
        <v>1</v>
      </c>
      <c r="H84">
        <v>664.53099999999995</v>
      </c>
      <c r="I84">
        <v>663.15200000000004</v>
      </c>
      <c r="J84">
        <v>661.19299999999998</v>
      </c>
      <c r="K84">
        <v>658.02599999999995</v>
      </c>
      <c r="L84">
        <v>654.10699999999997</v>
      </c>
      <c r="M84" s="233" t="s">
        <v>530</v>
      </c>
      <c r="N84" s="233" t="s">
        <v>531</v>
      </c>
      <c r="O84" s="3" t="s">
        <v>642</v>
      </c>
      <c r="BM84" s="127"/>
      <c r="BN84" s="127"/>
      <c r="BO84" s="127"/>
      <c r="BP84" s="127"/>
      <c r="BQ84" s="127"/>
      <c r="BR84" s="127"/>
      <c r="BS84" s="127"/>
      <c r="BT84" s="127"/>
      <c r="BU84" s="127"/>
      <c r="BV84" s="127"/>
      <c r="BW84" s="127"/>
      <c r="BX84" s="127"/>
      <c r="BY84" s="127"/>
      <c r="BZ84" s="127"/>
      <c r="CA84" s="127"/>
      <c r="ER84" s="127"/>
      <c r="ES84" s="127"/>
      <c r="ET84" s="127"/>
      <c r="EU84" s="127"/>
      <c r="EV84" s="127"/>
      <c r="EW84" s="127"/>
      <c r="EX84" s="127"/>
      <c r="EY84" s="127"/>
      <c r="EZ84" s="127"/>
      <c r="FA84" s="127"/>
      <c r="FB84" s="127"/>
      <c r="FC84" s="127"/>
      <c r="FD84" s="127"/>
      <c r="FE84" s="127"/>
      <c r="FF84" s="127"/>
      <c r="HW84" s="127"/>
      <c r="HX84" s="127"/>
      <c r="HY84" s="127"/>
      <c r="HZ84" s="127"/>
      <c r="IA84" s="127"/>
      <c r="IB84" s="127"/>
      <c r="IC84" s="127"/>
      <c r="ID84" s="127"/>
      <c r="IE84" s="127"/>
      <c r="IF84" s="127"/>
      <c r="IG84" s="127"/>
      <c r="IH84" s="127"/>
      <c r="II84" s="127"/>
      <c r="IJ84" s="127"/>
      <c r="IK84" s="127"/>
      <c r="LB84" s="127"/>
      <c r="LC84" s="127"/>
      <c r="LD84" s="127"/>
      <c r="LE84" s="127"/>
      <c r="LF84" s="127"/>
      <c r="LG84" s="127"/>
      <c r="LH84" s="127"/>
      <c r="LI84" s="127"/>
      <c r="LJ84" s="127"/>
      <c r="LK84" s="127"/>
      <c r="LL84" s="127"/>
      <c r="LM84" s="127"/>
      <c r="LN84" s="127"/>
      <c r="LO84" s="127"/>
      <c r="LP84" s="127"/>
      <c r="OG84" s="127"/>
      <c r="OH84" s="127"/>
      <c r="OI84" s="127"/>
      <c r="OJ84" s="127"/>
      <c r="OK84" s="127"/>
      <c r="OL84" s="127"/>
      <c r="OM84" s="127"/>
      <c r="ON84" s="127"/>
      <c r="OO84" s="127"/>
      <c r="OP84" s="127"/>
      <c r="OQ84" s="127"/>
      <c r="OR84" s="127"/>
      <c r="OS84" s="127"/>
      <c r="OT84" s="127"/>
      <c r="OU84" s="127"/>
    </row>
    <row r="85" spans="1:411">
      <c r="A85">
        <v>9</v>
      </c>
      <c r="B85">
        <v>132</v>
      </c>
      <c r="C85" t="s">
        <v>72</v>
      </c>
      <c r="D85" t="s">
        <v>75</v>
      </c>
      <c r="E85" s="232" t="s">
        <v>8425</v>
      </c>
      <c r="F85" t="s">
        <v>70</v>
      </c>
      <c r="G85">
        <v>1</v>
      </c>
      <c r="H85">
        <v>665.08199999999999</v>
      </c>
      <c r="I85">
        <v>663.15200000000004</v>
      </c>
      <c r="J85">
        <v>660.84400000000005</v>
      </c>
      <c r="K85">
        <v>655.19799999999998</v>
      </c>
      <c r="L85">
        <v>650.05600000000004</v>
      </c>
      <c r="M85" s="233" t="s">
        <v>530</v>
      </c>
      <c r="N85" s="233" t="s">
        <v>531</v>
      </c>
      <c r="O85" s="3" t="s">
        <v>643</v>
      </c>
      <c r="BM85" s="127"/>
      <c r="BN85" s="127"/>
      <c r="BO85" s="127"/>
      <c r="BP85" s="127"/>
      <c r="BQ85" s="127"/>
      <c r="BR85" s="127"/>
      <c r="BS85" s="127"/>
      <c r="BT85" s="127"/>
      <c r="BU85" s="127"/>
      <c r="BV85" s="127"/>
      <c r="BW85" s="127"/>
      <c r="BX85" s="127"/>
      <c r="BY85" s="127"/>
      <c r="BZ85" s="127"/>
      <c r="CA85" s="127"/>
      <c r="ER85" s="127"/>
      <c r="ES85" s="127"/>
      <c r="ET85" s="127"/>
      <c r="EU85" s="127"/>
      <c r="EV85" s="127"/>
      <c r="EW85" s="127"/>
      <c r="EX85" s="127"/>
      <c r="EY85" s="127"/>
      <c r="EZ85" s="127"/>
      <c r="FA85" s="127"/>
      <c r="FB85" s="127"/>
      <c r="FC85" s="127"/>
      <c r="FD85" s="127"/>
      <c r="FE85" s="127"/>
      <c r="FF85" s="127"/>
      <c r="HW85" s="127"/>
      <c r="HX85" s="127"/>
      <c r="HY85" s="127"/>
      <c r="HZ85" s="127"/>
      <c r="IA85" s="127"/>
      <c r="IB85" s="127"/>
      <c r="IC85" s="127"/>
      <c r="ID85" s="127"/>
      <c r="IE85" s="127"/>
      <c r="IF85" s="127"/>
      <c r="IG85" s="127"/>
      <c r="IH85" s="127"/>
      <c r="II85" s="127"/>
      <c r="IJ85" s="127"/>
      <c r="IK85" s="127"/>
      <c r="LB85" s="127"/>
      <c r="LC85" s="127"/>
      <c r="LD85" s="127"/>
      <c r="LE85" s="127"/>
      <c r="LF85" s="127"/>
      <c r="LG85" s="127"/>
      <c r="LH85" s="127"/>
      <c r="LI85" s="127"/>
      <c r="LJ85" s="127"/>
      <c r="LK85" s="127"/>
      <c r="LL85" s="127"/>
      <c r="LM85" s="127"/>
      <c r="LN85" s="127"/>
      <c r="LO85" s="127"/>
      <c r="LP85" s="127"/>
      <c r="OG85" s="127"/>
      <c r="OH85" s="127"/>
      <c r="OI85" s="127"/>
      <c r="OJ85" s="127"/>
      <c r="OK85" s="127"/>
      <c r="OL85" s="127"/>
      <c r="OM85" s="127"/>
      <c r="ON85" s="127"/>
      <c r="OO85" s="127"/>
      <c r="OP85" s="127"/>
      <c r="OQ85" s="127"/>
      <c r="OR85" s="127"/>
      <c r="OS85" s="127"/>
      <c r="OT85" s="127"/>
      <c r="OU85" s="127"/>
    </row>
    <row r="86" spans="1:411">
      <c r="A86">
        <v>9</v>
      </c>
      <c r="B86">
        <v>130</v>
      </c>
      <c r="C86" t="s">
        <v>72</v>
      </c>
      <c r="D86" t="s">
        <v>75</v>
      </c>
      <c r="E86" s="232" t="s">
        <v>8482</v>
      </c>
      <c r="F86" t="s">
        <v>70</v>
      </c>
      <c r="G86">
        <v>1</v>
      </c>
      <c r="H86">
        <v>661.68</v>
      </c>
      <c r="I86">
        <v>660.84400000000005</v>
      </c>
      <c r="J86">
        <v>658.96299999999997</v>
      </c>
      <c r="K86">
        <v>654.26400000000001</v>
      </c>
      <c r="L86">
        <v>651.79999999999995</v>
      </c>
      <c r="M86" s="233" t="s">
        <v>530</v>
      </c>
      <c r="N86" s="233" t="s">
        <v>531</v>
      </c>
      <c r="O86" s="3" t="s">
        <v>644</v>
      </c>
      <c r="BM86" s="127"/>
      <c r="BN86" s="127"/>
      <c r="BO86" s="127"/>
      <c r="BP86" s="127"/>
      <c r="BQ86" s="127"/>
      <c r="BR86" s="127"/>
      <c r="BS86" s="127"/>
      <c r="BT86" s="127"/>
      <c r="BU86" s="127"/>
      <c r="BV86" s="127"/>
      <c r="BW86" s="127"/>
      <c r="BX86" s="127"/>
      <c r="BY86" s="127"/>
      <c r="BZ86" s="127"/>
      <c r="CA86" s="127"/>
      <c r="ER86" s="127"/>
      <c r="ES86" s="127"/>
      <c r="ET86" s="127"/>
      <c r="EU86" s="127"/>
      <c r="EV86" s="127"/>
      <c r="EW86" s="127"/>
      <c r="EX86" s="127"/>
      <c r="EY86" s="127"/>
      <c r="EZ86" s="127"/>
      <c r="FA86" s="127"/>
      <c r="FB86" s="127"/>
      <c r="FC86" s="127"/>
      <c r="FD86" s="127"/>
      <c r="FE86" s="127"/>
      <c r="FF86" s="127"/>
      <c r="HW86" s="127"/>
      <c r="HX86" s="127"/>
      <c r="HY86" s="127"/>
      <c r="HZ86" s="127"/>
      <c r="IA86" s="127"/>
      <c r="IB86" s="127"/>
      <c r="IC86" s="127"/>
      <c r="ID86" s="127"/>
      <c r="IE86" s="127"/>
      <c r="IF86" s="127"/>
      <c r="IG86" s="127"/>
      <c r="IH86" s="127"/>
      <c r="II86" s="127"/>
      <c r="IJ86" s="127"/>
      <c r="IK86" s="127"/>
      <c r="LB86" s="127"/>
      <c r="LC86" s="127"/>
      <c r="LD86" s="127"/>
      <c r="LE86" s="127"/>
      <c r="LF86" s="127"/>
      <c r="LG86" s="127"/>
      <c r="LH86" s="127"/>
      <c r="LI86" s="127"/>
      <c r="LJ86" s="127"/>
      <c r="LK86" s="127"/>
      <c r="LL86" s="127"/>
      <c r="LM86" s="127"/>
      <c r="LN86" s="127"/>
      <c r="LO86" s="127"/>
      <c r="LP86" s="127"/>
      <c r="OG86" s="127"/>
      <c r="OH86" s="127"/>
      <c r="OI86" s="127"/>
      <c r="OJ86" s="127"/>
      <c r="OK86" s="127"/>
      <c r="OL86" s="127"/>
      <c r="OM86" s="127"/>
      <c r="ON86" s="127"/>
      <c r="OO86" s="127"/>
      <c r="OP86" s="127"/>
      <c r="OQ86" s="127"/>
      <c r="OR86" s="127"/>
      <c r="OS86" s="127"/>
      <c r="OT86" s="127"/>
      <c r="OU86" s="127"/>
    </row>
    <row r="87" spans="1:411">
      <c r="A87">
        <v>9</v>
      </c>
      <c r="B87">
        <v>141</v>
      </c>
      <c r="C87" t="s">
        <v>72</v>
      </c>
      <c r="D87" t="s">
        <v>75</v>
      </c>
      <c r="E87" s="232" t="s">
        <v>8384</v>
      </c>
      <c r="F87" t="s">
        <v>70</v>
      </c>
      <c r="G87">
        <v>1</v>
      </c>
      <c r="H87">
        <v>663.15200000000004</v>
      </c>
      <c r="I87">
        <v>661.68</v>
      </c>
      <c r="J87">
        <v>658.96299999999997</v>
      </c>
      <c r="K87">
        <v>655.83799999999997</v>
      </c>
      <c r="L87">
        <v>653.99099999999999</v>
      </c>
      <c r="M87" s="233" t="s">
        <v>530</v>
      </c>
      <c r="N87" s="233" t="s">
        <v>531</v>
      </c>
      <c r="O87" s="3" t="s">
        <v>645</v>
      </c>
      <c r="BM87" s="127"/>
      <c r="BN87" s="127"/>
      <c r="BO87" s="127"/>
      <c r="BP87" s="127"/>
      <c r="BQ87" s="127"/>
      <c r="BR87" s="127"/>
      <c r="BS87" s="127"/>
      <c r="BT87" s="127"/>
      <c r="BU87" s="127"/>
      <c r="BV87" s="127"/>
      <c r="BW87" s="127"/>
      <c r="BX87" s="127"/>
      <c r="BY87" s="127"/>
      <c r="BZ87" s="127"/>
      <c r="CA87" s="127"/>
      <c r="ER87" s="127"/>
      <c r="ES87" s="127"/>
      <c r="ET87" s="127"/>
      <c r="EU87" s="127"/>
      <c r="EV87" s="127"/>
      <c r="EW87" s="127"/>
      <c r="EX87" s="127"/>
      <c r="EY87" s="127"/>
      <c r="EZ87" s="127"/>
      <c r="FA87" s="127"/>
      <c r="FB87" s="127"/>
      <c r="FC87" s="127"/>
      <c r="FD87" s="127"/>
      <c r="FE87" s="127"/>
      <c r="FF87" s="127"/>
      <c r="HW87" s="127"/>
      <c r="HX87" s="127"/>
      <c r="HY87" s="127"/>
      <c r="HZ87" s="127"/>
      <c r="IA87" s="127"/>
      <c r="IB87" s="127"/>
      <c r="IC87" s="127"/>
      <c r="ID87" s="127"/>
      <c r="IE87" s="127"/>
      <c r="IF87" s="127"/>
      <c r="IG87" s="127"/>
      <c r="IH87" s="127"/>
      <c r="II87" s="127"/>
      <c r="IJ87" s="127"/>
      <c r="IK87" s="127"/>
      <c r="LB87" s="127"/>
      <c r="LC87" s="127"/>
      <c r="LD87" s="127"/>
      <c r="LE87" s="127"/>
      <c r="LF87" s="127"/>
      <c r="LG87" s="127"/>
      <c r="LH87" s="127"/>
      <c r="LI87" s="127"/>
      <c r="LJ87" s="127"/>
      <c r="LK87" s="127"/>
      <c r="LL87" s="127"/>
      <c r="LM87" s="127"/>
      <c r="LN87" s="127"/>
      <c r="LO87" s="127"/>
      <c r="LP87" s="127"/>
      <c r="OG87" s="127"/>
      <c r="OH87" s="127"/>
      <c r="OI87" s="127"/>
      <c r="OJ87" s="127"/>
      <c r="OK87" s="127"/>
      <c r="OL87" s="127"/>
      <c r="OM87" s="127"/>
      <c r="ON87" s="127"/>
      <c r="OO87" s="127"/>
      <c r="OP87" s="127"/>
      <c r="OQ87" s="127"/>
      <c r="OR87" s="127"/>
      <c r="OS87" s="127"/>
      <c r="OT87" s="127"/>
      <c r="OU87" s="127"/>
    </row>
    <row r="88" spans="1:411">
      <c r="A88">
        <v>9</v>
      </c>
      <c r="B88">
        <v>135</v>
      </c>
      <c r="C88" t="s">
        <v>72</v>
      </c>
      <c r="D88" t="s">
        <v>75</v>
      </c>
      <c r="E88" s="232" t="s">
        <v>8168</v>
      </c>
      <c r="F88" t="s">
        <v>70</v>
      </c>
      <c r="G88">
        <v>1</v>
      </c>
      <c r="H88">
        <v>662.327</v>
      </c>
      <c r="I88">
        <v>660.84400000000005</v>
      </c>
      <c r="J88">
        <v>658.71</v>
      </c>
      <c r="K88">
        <v>655.44500000000005</v>
      </c>
      <c r="L88">
        <v>654.10699999999997</v>
      </c>
      <c r="M88" s="233" t="s">
        <v>530</v>
      </c>
      <c r="N88" s="233" t="s">
        <v>531</v>
      </c>
      <c r="O88" s="3" t="s">
        <v>646</v>
      </c>
      <c r="BM88" s="127"/>
      <c r="BN88" s="127"/>
      <c r="BO88" s="127"/>
      <c r="BP88" s="127"/>
      <c r="BQ88" s="127"/>
      <c r="BR88" s="127"/>
      <c r="BS88" s="127"/>
      <c r="BT88" s="127"/>
      <c r="BU88" s="127"/>
      <c r="BV88" s="127"/>
      <c r="BW88" s="127"/>
      <c r="BX88" s="127"/>
      <c r="BY88" s="127"/>
      <c r="BZ88" s="127"/>
      <c r="CA88" s="127"/>
      <c r="ER88" s="127"/>
      <c r="ES88" s="127"/>
      <c r="ET88" s="127"/>
      <c r="EU88" s="127"/>
      <c r="EV88" s="127"/>
      <c r="EW88" s="127"/>
      <c r="EX88" s="127"/>
      <c r="EY88" s="127"/>
      <c r="EZ88" s="127"/>
      <c r="FA88" s="127"/>
      <c r="FB88" s="127"/>
      <c r="FC88" s="127"/>
      <c r="FD88" s="127"/>
      <c r="FE88" s="127"/>
      <c r="FF88" s="127"/>
      <c r="HW88" s="127"/>
      <c r="HX88" s="127"/>
      <c r="HY88" s="127"/>
      <c r="HZ88" s="127"/>
      <c r="IA88" s="127"/>
      <c r="IB88" s="127"/>
      <c r="IC88" s="127"/>
      <c r="ID88" s="127"/>
      <c r="IE88" s="127"/>
      <c r="IF88" s="127"/>
      <c r="IG88" s="127"/>
      <c r="IH88" s="127"/>
      <c r="II88" s="127"/>
      <c r="IJ88" s="127"/>
      <c r="IK88" s="127"/>
      <c r="LB88" s="127"/>
      <c r="LC88" s="127"/>
      <c r="LD88" s="127"/>
      <c r="LE88" s="127"/>
      <c r="LF88" s="127"/>
      <c r="LG88" s="127"/>
      <c r="LH88" s="127"/>
      <c r="LI88" s="127"/>
      <c r="LJ88" s="127"/>
      <c r="LK88" s="127"/>
      <c r="LL88" s="127"/>
      <c r="LM88" s="127"/>
      <c r="LN88" s="127"/>
      <c r="LO88" s="127"/>
      <c r="LP88" s="127"/>
      <c r="OG88" s="127"/>
      <c r="OH88" s="127"/>
      <c r="OI88" s="127"/>
      <c r="OJ88" s="127"/>
      <c r="OK88" s="127"/>
      <c r="OL88" s="127"/>
      <c r="OM88" s="127"/>
      <c r="ON88" s="127"/>
      <c r="OO88" s="127"/>
      <c r="OP88" s="127"/>
      <c r="OQ88" s="127"/>
      <c r="OR88" s="127"/>
      <c r="OS88" s="127"/>
      <c r="OT88" s="127"/>
      <c r="OU88" s="127"/>
    </row>
    <row r="89" spans="1:411">
      <c r="A89">
        <v>9</v>
      </c>
      <c r="B89">
        <v>153</v>
      </c>
      <c r="C89" t="s">
        <v>72</v>
      </c>
      <c r="D89" t="s">
        <v>75</v>
      </c>
      <c r="E89" s="232" t="s">
        <v>8478</v>
      </c>
      <c r="F89" t="s">
        <v>70</v>
      </c>
      <c r="G89">
        <v>1</v>
      </c>
      <c r="H89">
        <v>661.50599999999997</v>
      </c>
      <c r="I89">
        <v>660.572</v>
      </c>
      <c r="J89">
        <v>658.71</v>
      </c>
      <c r="K89">
        <v>655.83799999999997</v>
      </c>
      <c r="L89">
        <v>653.19399999999996</v>
      </c>
      <c r="M89" s="233" t="s">
        <v>530</v>
      </c>
      <c r="N89" s="233" t="s">
        <v>531</v>
      </c>
      <c r="O89" s="3" t="s">
        <v>647</v>
      </c>
      <c r="BM89" s="127"/>
      <c r="BN89" s="127"/>
      <c r="BO89" s="127"/>
      <c r="BP89" s="127"/>
      <c r="BQ89" s="127"/>
      <c r="BR89" s="127"/>
      <c r="BS89" s="127"/>
      <c r="BT89" s="127"/>
      <c r="BU89" s="127"/>
      <c r="BV89" s="127"/>
      <c r="BW89" s="127"/>
      <c r="BX89" s="127"/>
      <c r="BY89" s="127"/>
      <c r="BZ89" s="127"/>
      <c r="CA89" s="127"/>
      <c r="ER89" s="127"/>
      <c r="ES89" s="127"/>
      <c r="ET89" s="127"/>
      <c r="EU89" s="127"/>
      <c r="EV89" s="127"/>
      <c r="EW89" s="127"/>
      <c r="EX89" s="127"/>
      <c r="EY89" s="127"/>
      <c r="EZ89" s="127"/>
      <c r="FA89" s="127"/>
      <c r="FB89" s="127"/>
      <c r="FC89" s="127"/>
      <c r="FD89" s="127"/>
      <c r="FE89" s="127"/>
      <c r="FF89" s="127"/>
      <c r="HW89" s="127"/>
      <c r="HX89" s="127"/>
      <c r="HY89" s="127"/>
      <c r="HZ89" s="127"/>
      <c r="IA89" s="127"/>
      <c r="IB89" s="127"/>
      <c r="IC89" s="127"/>
      <c r="ID89" s="127"/>
      <c r="IE89" s="127"/>
      <c r="IF89" s="127"/>
      <c r="IG89" s="127"/>
      <c r="IH89" s="127"/>
      <c r="II89" s="127"/>
      <c r="IJ89" s="127"/>
      <c r="IK89" s="127"/>
      <c r="LB89" s="127"/>
      <c r="LC89" s="127"/>
      <c r="LD89" s="127"/>
      <c r="LE89" s="127"/>
      <c r="LF89" s="127"/>
      <c r="LG89" s="127"/>
      <c r="LH89" s="127"/>
      <c r="LI89" s="127"/>
      <c r="LJ89" s="127"/>
      <c r="LK89" s="127"/>
      <c r="LL89" s="127"/>
      <c r="LM89" s="127"/>
      <c r="LN89" s="127"/>
      <c r="LO89" s="127"/>
      <c r="LP89" s="127"/>
      <c r="OG89" s="127"/>
      <c r="OH89" s="127"/>
      <c r="OI89" s="127"/>
      <c r="OJ89" s="127"/>
      <c r="OK89" s="127"/>
      <c r="OL89" s="127"/>
      <c r="OM89" s="127"/>
      <c r="ON89" s="127"/>
      <c r="OO89" s="127"/>
      <c r="OP89" s="127"/>
      <c r="OQ89" s="127"/>
      <c r="OR89" s="127"/>
      <c r="OS89" s="127"/>
      <c r="OT89" s="127"/>
      <c r="OU89" s="127"/>
    </row>
    <row r="90" spans="1:411">
      <c r="A90">
        <v>9</v>
      </c>
      <c r="B90">
        <v>134</v>
      </c>
      <c r="C90" t="s">
        <v>72</v>
      </c>
      <c r="D90" t="s">
        <v>75</v>
      </c>
      <c r="E90" s="232" t="s">
        <v>9318</v>
      </c>
      <c r="F90" t="s">
        <v>70</v>
      </c>
      <c r="G90">
        <v>1</v>
      </c>
      <c r="H90">
        <v>662.327</v>
      </c>
      <c r="I90">
        <v>660.84400000000005</v>
      </c>
      <c r="J90">
        <v>658.298</v>
      </c>
      <c r="K90">
        <v>654.649</v>
      </c>
      <c r="L90">
        <v>651.20699999999999</v>
      </c>
      <c r="M90" s="233" t="s">
        <v>530</v>
      </c>
      <c r="N90" s="233" t="s">
        <v>531</v>
      </c>
      <c r="O90" s="3" t="s">
        <v>648</v>
      </c>
      <c r="BM90" s="127"/>
      <c r="BN90" s="127"/>
      <c r="BO90" s="127"/>
      <c r="BP90" s="127"/>
      <c r="BQ90" s="127"/>
      <c r="BR90" s="127"/>
      <c r="BS90" s="127"/>
      <c r="BT90" s="127"/>
      <c r="BU90" s="127"/>
      <c r="BV90" s="127"/>
      <c r="BW90" s="127"/>
      <c r="BX90" s="127"/>
      <c r="BY90" s="127"/>
      <c r="BZ90" s="127"/>
      <c r="CA90" s="127"/>
      <c r="ER90" s="127"/>
      <c r="ES90" s="127"/>
      <c r="ET90" s="127"/>
      <c r="EU90" s="127"/>
      <c r="EV90" s="127"/>
      <c r="EW90" s="127"/>
      <c r="EX90" s="127"/>
      <c r="EY90" s="127"/>
      <c r="EZ90" s="127"/>
      <c r="FA90" s="127"/>
      <c r="FB90" s="127"/>
      <c r="FC90" s="127"/>
      <c r="FD90" s="127"/>
      <c r="FE90" s="127"/>
      <c r="FF90" s="127"/>
      <c r="HW90" s="127"/>
      <c r="HX90" s="127"/>
      <c r="HY90" s="127"/>
      <c r="HZ90" s="127"/>
      <c r="IA90" s="127"/>
      <c r="IB90" s="127"/>
      <c r="IC90" s="127"/>
      <c r="ID90" s="127"/>
      <c r="IE90" s="127"/>
      <c r="IF90" s="127"/>
      <c r="IG90" s="127"/>
      <c r="IH90" s="127"/>
      <c r="II90" s="127"/>
      <c r="IJ90" s="127"/>
      <c r="IK90" s="127"/>
      <c r="LB90" s="127"/>
      <c r="LC90" s="127"/>
      <c r="LD90" s="127"/>
      <c r="LE90" s="127"/>
      <c r="LF90" s="127"/>
      <c r="LG90" s="127"/>
      <c r="LH90" s="127"/>
      <c r="LI90" s="127"/>
      <c r="LJ90" s="127"/>
      <c r="LK90" s="127"/>
      <c r="LL90" s="127"/>
      <c r="LM90" s="127"/>
      <c r="LN90" s="127"/>
      <c r="LO90" s="127"/>
      <c r="LP90" s="127"/>
      <c r="OG90" s="127"/>
      <c r="OH90" s="127"/>
      <c r="OI90" s="127"/>
      <c r="OJ90" s="127"/>
      <c r="OK90" s="127"/>
      <c r="OL90" s="127"/>
      <c r="OM90" s="127"/>
      <c r="ON90" s="127"/>
      <c r="OO90" s="127"/>
      <c r="OP90" s="127"/>
      <c r="OQ90" s="127"/>
      <c r="OR90" s="127"/>
      <c r="OS90" s="127"/>
      <c r="OT90" s="127"/>
      <c r="OU90" s="127"/>
    </row>
    <row r="91" spans="1:411">
      <c r="A91">
        <v>9</v>
      </c>
      <c r="B91">
        <v>137</v>
      </c>
      <c r="C91" t="s">
        <v>72</v>
      </c>
      <c r="D91" t="s">
        <v>75</v>
      </c>
      <c r="E91" s="232" t="s">
        <v>8527</v>
      </c>
      <c r="F91" t="s">
        <v>70</v>
      </c>
      <c r="G91">
        <v>1</v>
      </c>
      <c r="H91">
        <v>662.75699999999995</v>
      </c>
      <c r="I91">
        <v>660.84400000000005</v>
      </c>
      <c r="J91">
        <v>658.298</v>
      </c>
      <c r="K91">
        <v>654.649</v>
      </c>
      <c r="L91">
        <v>651.20699999999999</v>
      </c>
      <c r="M91" s="233" t="s">
        <v>530</v>
      </c>
      <c r="N91" s="233" t="s">
        <v>531</v>
      </c>
      <c r="O91" s="3" t="s">
        <v>649</v>
      </c>
      <c r="BM91" s="127"/>
      <c r="BN91" s="127"/>
      <c r="BO91" s="127"/>
      <c r="BP91" s="127"/>
      <c r="BQ91" s="127"/>
      <c r="BR91" s="127"/>
      <c r="BS91" s="127"/>
      <c r="BT91" s="127"/>
      <c r="BU91" s="127"/>
      <c r="BV91" s="127"/>
      <c r="BW91" s="127"/>
      <c r="BX91" s="127"/>
      <c r="BY91" s="127"/>
      <c r="BZ91" s="127"/>
      <c r="CA91" s="127"/>
      <c r="ER91" s="127"/>
      <c r="ES91" s="127"/>
      <c r="ET91" s="127"/>
      <c r="EU91" s="127"/>
      <c r="EV91" s="127"/>
      <c r="EW91" s="127"/>
      <c r="EX91" s="127"/>
      <c r="EY91" s="127"/>
      <c r="EZ91" s="127"/>
      <c r="FA91" s="127"/>
      <c r="FB91" s="127"/>
      <c r="FC91" s="127"/>
      <c r="FD91" s="127"/>
      <c r="FE91" s="127"/>
      <c r="FF91" s="127"/>
      <c r="HW91" s="127"/>
      <c r="HX91" s="127"/>
      <c r="HY91" s="127"/>
      <c r="HZ91" s="127"/>
      <c r="IA91" s="127"/>
      <c r="IB91" s="127"/>
      <c r="IC91" s="127"/>
      <c r="ID91" s="127"/>
      <c r="IE91" s="127"/>
      <c r="IF91" s="127"/>
      <c r="IG91" s="127"/>
      <c r="IH91" s="127"/>
      <c r="II91" s="127"/>
      <c r="IJ91" s="127"/>
      <c r="IK91" s="127"/>
      <c r="LB91" s="127"/>
      <c r="LC91" s="127"/>
      <c r="LD91" s="127"/>
      <c r="LE91" s="127"/>
      <c r="LF91" s="127"/>
      <c r="LG91" s="127"/>
      <c r="LH91" s="127"/>
      <c r="LI91" s="127"/>
      <c r="LJ91" s="127"/>
      <c r="LK91" s="127"/>
      <c r="LL91" s="127"/>
      <c r="LM91" s="127"/>
      <c r="LN91" s="127"/>
      <c r="LO91" s="127"/>
      <c r="LP91" s="127"/>
      <c r="OG91" s="127"/>
      <c r="OH91" s="127"/>
      <c r="OI91" s="127"/>
      <c r="OJ91" s="127"/>
      <c r="OK91" s="127"/>
      <c r="OL91" s="127"/>
      <c r="OM91" s="127"/>
      <c r="ON91" s="127"/>
      <c r="OO91" s="127"/>
      <c r="OP91" s="127"/>
      <c r="OQ91" s="127"/>
      <c r="OR91" s="127"/>
      <c r="OS91" s="127"/>
      <c r="OT91" s="127"/>
      <c r="OU91" s="127"/>
    </row>
    <row r="92" spans="1:411">
      <c r="A92">
        <v>9</v>
      </c>
      <c r="B92">
        <v>136</v>
      </c>
      <c r="C92" t="s">
        <v>72</v>
      </c>
      <c r="D92" t="s">
        <v>75</v>
      </c>
      <c r="E92" s="232" t="s">
        <v>8480</v>
      </c>
      <c r="F92" t="s">
        <v>70</v>
      </c>
      <c r="G92">
        <v>1</v>
      </c>
      <c r="H92">
        <v>662.52300000000002</v>
      </c>
      <c r="I92">
        <v>661.19299999999998</v>
      </c>
      <c r="J92">
        <v>658.02599999999995</v>
      </c>
      <c r="K92">
        <v>654.649</v>
      </c>
      <c r="L92">
        <v>653.64700000000005</v>
      </c>
      <c r="M92" s="233" t="s">
        <v>530</v>
      </c>
      <c r="N92" s="233" t="s">
        <v>531</v>
      </c>
      <c r="O92" s="3" t="s">
        <v>650</v>
      </c>
      <c r="BM92" s="127"/>
      <c r="BN92" s="127"/>
      <c r="BO92" s="127"/>
      <c r="BP92" s="127"/>
      <c r="BQ92" s="127"/>
      <c r="BR92" s="127"/>
      <c r="BS92" s="127"/>
      <c r="BT92" s="127"/>
      <c r="BU92" s="127"/>
      <c r="BV92" s="127"/>
      <c r="BW92" s="127"/>
      <c r="BX92" s="127"/>
      <c r="BY92" s="127"/>
      <c r="BZ92" s="127"/>
      <c r="CA92" s="127"/>
      <c r="ER92" s="127"/>
      <c r="ES92" s="127"/>
      <c r="ET92" s="127"/>
      <c r="EU92" s="127"/>
      <c r="EV92" s="127"/>
      <c r="EW92" s="127"/>
      <c r="EX92" s="127"/>
      <c r="EY92" s="127"/>
      <c r="EZ92" s="127"/>
      <c r="FA92" s="127"/>
      <c r="FB92" s="127"/>
      <c r="FC92" s="127"/>
      <c r="FD92" s="127"/>
      <c r="FE92" s="127"/>
      <c r="FF92" s="127"/>
      <c r="HW92" s="127"/>
      <c r="HX92" s="127"/>
      <c r="HY92" s="127"/>
      <c r="HZ92" s="127"/>
      <c r="IA92" s="127"/>
      <c r="IB92" s="127"/>
      <c r="IC92" s="127"/>
      <c r="ID92" s="127"/>
      <c r="IE92" s="127"/>
      <c r="IF92" s="127"/>
      <c r="IG92" s="127"/>
      <c r="IH92" s="127"/>
      <c r="II92" s="127"/>
      <c r="IJ92" s="127"/>
      <c r="IK92" s="127"/>
      <c r="LB92" s="127"/>
      <c r="LC92" s="127"/>
      <c r="LD92" s="127"/>
      <c r="LE92" s="127"/>
      <c r="LF92" s="127"/>
      <c r="LG92" s="127"/>
      <c r="LH92" s="127"/>
      <c r="LI92" s="127"/>
      <c r="LJ92" s="127"/>
      <c r="LK92" s="127"/>
      <c r="LL92" s="127"/>
      <c r="LM92" s="127"/>
      <c r="LN92" s="127"/>
      <c r="LO92" s="127"/>
      <c r="LP92" s="127"/>
      <c r="OG92" s="127"/>
      <c r="OH92" s="127"/>
      <c r="OI92" s="127"/>
      <c r="OJ92" s="127"/>
      <c r="OK92" s="127"/>
      <c r="OL92" s="127"/>
      <c r="OM92" s="127"/>
      <c r="ON92" s="127"/>
      <c r="OO92" s="127"/>
      <c r="OP92" s="127"/>
      <c r="OQ92" s="127"/>
      <c r="OR92" s="127"/>
      <c r="OS92" s="127"/>
      <c r="OT92" s="127"/>
      <c r="OU92" s="127"/>
    </row>
    <row r="93" spans="1:411">
      <c r="A93">
        <v>9</v>
      </c>
      <c r="B93">
        <v>138</v>
      </c>
      <c r="C93" t="s">
        <v>72</v>
      </c>
      <c r="D93" t="s">
        <v>75</v>
      </c>
      <c r="E93" s="232" t="s">
        <v>8504</v>
      </c>
      <c r="F93" t="s">
        <v>70</v>
      </c>
      <c r="G93">
        <v>1</v>
      </c>
      <c r="H93">
        <v>663.15200000000004</v>
      </c>
      <c r="I93">
        <v>660.84400000000005</v>
      </c>
      <c r="J93">
        <v>658.02599999999995</v>
      </c>
      <c r="K93">
        <v>654.26400000000001</v>
      </c>
      <c r="L93">
        <v>651.38599999999997</v>
      </c>
      <c r="M93" s="233" t="s">
        <v>530</v>
      </c>
      <c r="N93" s="233" t="s">
        <v>531</v>
      </c>
      <c r="O93" s="3" t="s">
        <v>651</v>
      </c>
      <c r="BM93" s="127"/>
      <c r="BN93" s="127"/>
      <c r="BO93" s="127"/>
      <c r="BP93" s="127"/>
      <c r="BQ93" s="127"/>
      <c r="BR93" s="127"/>
      <c r="BS93" s="127"/>
      <c r="BT93" s="127"/>
      <c r="BU93" s="127"/>
      <c r="BV93" s="127"/>
      <c r="BW93" s="127"/>
      <c r="BX93" s="127"/>
      <c r="BY93" s="127"/>
      <c r="BZ93" s="127"/>
      <c r="CA93" s="127"/>
      <c r="ER93" s="127"/>
      <c r="ES93" s="127"/>
      <c r="ET93" s="127"/>
      <c r="EU93" s="127"/>
      <c r="EV93" s="127"/>
      <c r="EW93" s="127"/>
      <c r="EX93" s="127"/>
      <c r="EY93" s="127"/>
      <c r="EZ93" s="127"/>
      <c r="FA93" s="127"/>
      <c r="FB93" s="127"/>
      <c r="FC93" s="127"/>
      <c r="FD93" s="127"/>
      <c r="FE93" s="127"/>
      <c r="FF93" s="127"/>
      <c r="HW93" s="127"/>
      <c r="HX93" s="127"/>
      <c r="HY93" s="127"/>
      <c r="HZ93" s="127"/>
      <c r="IA93" s="127"/>
      <c r="IB93" s="127"/>
      <c r="IC93" s="127"/>
      <c r="ID93" s="127"/>
      <c r="IE93" s="127"/>
      <c r="IF93" s="127"/>
      <c r="IG93" s="127"/>
      <c r="IH93" s="127"/>
      <c r="II93" s="127"/>
      <c r="IJ93" s="127"/>
      <c r="IK93" s="127"/>
      <c r="LB93" s="127"/>
      <c r="LC93" s="127"/>
      <c r="LD93" s="127"/>
      <c r="LE93" s="127"/>
      <c r="LF93" s="127"/>
      <c r="LG93" s="127"/>
      <c r="LH93" s="127"/>
      <c r="LI93" s="127"/>
      <c r="LJ93" s="127"/>
      <c r="LK93" s="127"/>
      <c r="LL93" s="127"/>
      <c r="LM93" s="127"/>
      <c r="LN93" s="127"/>
      <c r="LO93" s="127"/>
      <c r="LP93" s="127"/>
      <c r="OG93" s="127"/>
      <c r="OH93" s="127"/>
      <c r="OI93" s="127"/>
      <c r="OJ93" s="127"/>
      <c r="OK93" s="127"/>
      <c r="OL93" s="127"/>
      <c r="OM93" s="127"/>
      <c r="ON93" s="127"/>
      <c r="OO93" s="127"/>
      <c r="OP93" s="127"/>
      <c r="OQ93" s="127"/>
      <c r="OR93" s="127"/>
      <c r="OS93" s="127"/>
      <c r="OT93" s="127"/>
      <c r="OU93" s="127"/>
    </row>
    <row r="94" spans="1:411">
      <c r="A94">
        <v>9</v>
      </c>
      <c r="B94">
        <v>139</v>
      </c>
      <c r="C94" t="s">
        <v>72</v>
      </c>
      <c r="D94" t="s">
        <v>75</v>
      </c>
      <c r="E94" s="232" t="s">
        <v>8410</v>
      </c>
      <c r="F94" t="s">
        <v>70</v>
      </c>
      <c r="G94">
        <v>1</v>
      </c>
      <c r="H94">
        <v>663.15200000000004</v>
      </c>
      <c r="I94">
        <v>660.84400000000005</v>
      </c>
      <c r="J94">
        <v>658.02599999999995</v>
      </c>
      <c r="K94">
        <v>654.26400000000001</v>
      </c>
      <c r="L94">
        <v>651.38599999999997</v>
      </c>
      <c r="M94" s="233" t="s">
        <v>530</v>
      </c>
      <c r="N94" s="233" t="s">
        <v>531</v>
      </c>
      <c r="O94" s="3" t="s">
        <v>652</v>
      </c>
      <c r="BM94" s="127"/>
      <c r="BN94" s="127"/>
      <c r="BO94" s="127"/>
      <c r="BP94" s="127"/>
      <c r="BQ94" s="127"/>
      <c r="BR94" s="127"/>
      <c r="BS94" s="127"/>
      <c r="BT94" s="127"/>
      <c r="BU94" s="127"/>
      <c r="BV94" s="127"/>
      <c r="BW94" s="127"/>
      <c r="BX94" s="127"/>
      <c r="BY94" s="127"/>
      <c r="BZ94" s="127"/>
      <c r="CA94" s="127"/>
      <c r="ER94" s="127"/>
      <c r="ES94" s="127"/>
      <c r="ET94" s="127"/>
      <c r="EU94" s="127"/>
      <c r="EV94" s="127"/>
      <c r="EW94" s="127"/>
      <c r="EX94" s="127"/>
      <c r="EY94" s="127"/>
      <c r="EZ94" s="127"/>
      <c r="FA94" s="127"/>
      <c r="FB94" s="127"/>
      <c r="FC94" s="127"/>
      <c r="FD94" s="127"/>
      <c r="FE94" s="127"/>
      <c r="FF94" s="127"/>
      <c r="HW94" s="127"/>
      <c r="HX94" s="127"/>
      <c r="HY94" s="127"/>
      <c r="HZ94" s="127"/>
      <c r="IA94" s="127"/>
      <c r="IB94" s="127"/>
      <c r="IC94" s="127"/>
      <c r="ID94" s="127"/>
      <c r="IE94" s="127"/>
      <c r="IF94" s="127"/>
      <c r="IG94" s="127"/>
      <c r="IH94" s="127"/>
      <c r="II94" s="127"/>
      <c r="IJ94" s="127"/>
      <c r="IK94" s="127"/>
      <c r="LB94" s="127"/>
      <c r="LC94" s="127"/>
      <c r="LD94" s="127"/>
      <c r="LE94" s="127"/>
      <c r="LF94" s="127"/>
      <c r="LG94" s="127"/>
      <c r="LH94" s="127"/>
      <c r="LI94" s="127"/>
      <c r="LJ94" s="127"/>
      <c r="LK94" s="127"/>
      <c r="LL94" s="127"/>
      <c r="LM94" s="127"/>
      <c r="LN94" s="127"/>
      <c r="LO94" s="127"/>
      <c r="LP94" s="127"/>
      <c r="OG94" s="127"/>
      <c r="OH94" s="127"/>
      <c r="OI94" s="127"/>
      <c r="OJ94" s="127"/>
      <c r="OK94" s="127"/>
      <c r="OL94" s="127"/>
      <c r="OM94" s="127"/>
      <c r="ON94" s="127"/>
      <c r="OO94" s="127"/>
      <c r="OP94" s="127"/>
      <c r="OQ94" s="127"/>
      <c r="OR94" s="127"/>
      <c r="OS94" s="127"/>
      <c r="OT94" s="127"/>
      <c r="OU94" s="127"/>
    </row>
    <row r="95" spans="1:411">
      <c r="A95">
        <v>9</v>
      </c>
      <c r="B95">
        <v>143</v>
      </c>
      <c r="C95" t="s">
        <v>72</v>
      </c>
      <c r="D95" t="s">
        <v>75</v>
      </c>
      <c r="E95" s="232" t="s">
        <v>551</v>
      </c>
      <c r="F95" t="s">
        <v>70</v>
      </c>
      <c r="G95">
        <v>1</v>
      </c>
      <c r="H95">
        <v>660.84400000000005</v>
      </c>
      <c r="I95">
        <v>659.55399999999997</v>
      </c>
      <c r="J95">
        <v>658.02599999999995</v>
      </c>
      <c r="K95">
        <v>655.19799999999998</v>
      </c>
      <c r="L95">
        <v>653.64700000000005</v>
      </c>
      <c r="M95" s="233" t="s">
        <v>530</v>
      </c>
      <c r="N95" s="233" t="s">
        <v>531</v>
      </c>
      <c r="O95" s="3" t="s">
        <v>653</v>
      </c>
      <c r="BM95" s="127"/>
      <c r="BN95" s="127"/>
      <c r="BO95" s="127"/>
      <c r="BP95" s="127"/>
      <c r="BQ95" s="127"/>
      <c r="BR95" s="127"/>
      <c r="BS95" s="127"/>
      <c r="BT95" s="127"/>
      <c r="BU95" s="127"/>
      <c r="BV95" s="127"/>
      <c r="BW95" s="127"/>
      <c r="BX95" s="127"/>
      <c r="BY95" s="127"/>
      <c r="BZ95" s="127"/>
      <c r="CA95" s="127"/>
      <c r="ER95" s="127"/>
      <c r="ES95" s="127"/>
      <c r="ET95" s="127"/>
      <c r="EU95" s="127"/>
      <c r="EV95" s="127"/>
      <c r="EW95" s="127"/>
      <c r="EX95" s="127"/>
      <c r="EY95" s="127"/>
      <c r="EZ95" s="127"/>
      <c r="FA95" s="127"/>
      <c r="FB95" s="127"/>
      <c r="FC95" s="127"/>
      <c r="FD95" s="127"/>
      <c r="FE95" s="127"/>
      <c r="FF95" s="127"/>
      <c r="HW95" s="127"/>
      <c r="HX95" s="127"/>
      <c r="HY95" s="127"/>
      <c r="HZ95" s="127"/>
      <c r="IA95" s="127"/>
      <c r="IB95" s="127"/>
      <c r="IC95" s="127"/>
      <c r="ID95" s="127"/>
      <c r="IE95" s="127"/>
      <c r="IF95" s="127"/>
      <c r="IG95" s="127"/>
      <c r="IH95" s="127"/>
      <c r="II95" s="127"/>
      <c r="IJ95" s="127"/>
      <c r="IK95" s="127"/>
      <c r="LB95" s="127"/>
      <c r="LC95" s="127"/>
      <c r="LD95" s="127"/>
      <c r="LE95" s="127"/>
      <c r="LF95" s="127"/>
      <c r="LG95" s="127"/>
      <c r="LH95" s="127"/>
      <c r="LI95" s="127"/>
      <c r="LJ95" s="127"/>
      <c r="LK95" s="127"/>
      <c r="LL95" s="127"/>
      <c r="LM95" s="127"/>
      <c r="LN95" s="127"/>
      <c r="LO95" s="127"/>
      <c r="LP95" s="127"/>
      <c r="OG95" s="127"/>
      <c r="OH95" s="127"/>
      <c r="OI95" s="127"/>
      <c r="OJ95" s="127"/>
      <c r="OK95" s="127"/>
      <c r="OL95" s="127"/>
      <c r="OM95" s="127"/>
      <c r="ON95" s="127"/>
      <c r="OO95" s="127"/>
      <c r="OP95" s="127"/>
      <c r="OQ95" s="127"/>
      <c r="OR95" s="127"/>
      <c r="OS95" s="127"/>
      <c r="OT95" s="127"/>
      <c r="OU95" s="127"/>
    </row>
    <row r="96" spans="1:411">
      <c r="A96">
        <v>9</v>
      </c>
      <c r="B96">
        <v>150</v>
      </c>
      <c r="C96" t="s">
        <v>72</v>
      </c>
      <c r="D96" t="s">
        <v>75</v>
      </c>
      <c r="E96" s="232" t="s">
        <v>8450</v>
      </c>
      <c r="F96" t="s">
        <v>70</v>
      </c>
      <c r="G96">
        <v>1</v>
      </c>
      <c r="H96">
        <v>659.92399999999998</v>
      </c>
      <c r="I96">
        <v>658.298</v>
      </c>
      <c r="J96">
        <v>656.15099999999995</v>
      </c>
      <c r="K96">
        <v>654.10699999999997</v>
      </c>
      <c r="L96">
        <v>649.44899999999996</v>
      </c>
      <c r="M96" s="233" t="s">
        <v>530</v>
      </c>
      <c r="N96" s="233" t="s">
        <v>531</v>
      </c>
      <c r="O96" s="3" t="s">
        <v>654</v>
      </c>
      <c r="BM96" s="127"/>
      <c r="BN96" s="127"/>
      <c r="BO96" s="127"/>
      <c r="BP96" s="127"/>
      <c r="BQ96" s="127"/>
      <c r="BR96" s="127"/>
      <c r="BS96" s="127"/>
      <c r="BT96" s="127"/>
      <c r="BU96" s="127"/>
      <c r="BV96" s="127"/>
      <c r="BW96" s="127"/>
      <c r="BX96" s="127"/>
      <c r="BY96" s="127"/>
      <c r="BZ96" s="127"/>
      <c r="CA96" s="127"/>
      <c r="ER96" s="127"/>
      <c r="ES96" s="127"/>
      <c r="ET96" s="127"/>
      <c r="EU96" s="127"/>
      <c r="EV96" s="127"/>
      <c r="EW96" s="127"/>
      <c r="EX96" s="127"/>
      <c r="EY96" s="127"/>
      <c r="EZ96" s="127"/>
      <c r="FA96" s="127"/>
      <c r="FB96" s="127"/>
      <c r="FC96" s="127"/>
      <c r="FD96" s="127"/>
      <c r="FE96" s="127"/>
      <c r="FF96" s="127"/>
      <c r="HW96" s="127"/>
      <c r="HX96" s="127"/>
      <c r="HY96" s="127"/>
      <c r="HZ96" s="127"/>
      <c r="IA96" s="127"/>
      <c r="IB96" s="127"/>
      <c r="IC96" s="127"/>
      <c r="ID96" s="127"/>
      <c r="IE96" s="127"/>
      <c r="IF96" s="127"/>
      <c r="IG96" s="127"/>
      <c r="IH96" s="127"/>
      <c r="II96" s="127"/>
      <c r="IJ96" s="127"/>
      <c r="IK96" s="127"/>
      <c r="LB96" s="127"/>
      <c r="LC96" s="127"/>
      <c r="LD96" s="127"/>
      <c r="LE96" s="127"/>
      <c r="LF96" s="127"/>
      <c r="LG96" s="127"/>
      <c r="LH96" s="127"/>
      <c r="LI96" s="127"/>
      <c r="LJ96" s="127"/>
      <c r="LK96" s="127"/>
      <c r="LL96" s="127"/>
      <c r="LM96" s="127"/>
      <c r="LN96" s="127"/>
      <c r="LO96" s="127"/>
      <c r="LP96" s="127"/>
      <c r="OG96" s="127"/>
      <c r="OH96" s="127"/>
      <c r="OI96" s="127"/>
      <c r="OJ96" s="127"/>
      <c r="OK96" s="127"/>
      <c r="OL96" s="127"/>
      <c r="OM96" s="127"/>
      <c r="ON96" s="127"/>
      <c r="OO96" s="127"/>
      <c r="OP96" s="127"/>
      <c r="OQ96" s="127"/>
      <c r="OR96" s="127"/>
      <c r="OS96" s="127"/>
      <c r="OT96" s="127"/>
      <c r="OU96" s="127"/>
    </row>
    <row r="97" spans="1:411">
      <c r="A97">
        <v>9</v>
      </c>
      <c r="B97">
        <v>144</v>
      </c>
      <c r="C97" t="s">
        <v>72</v>
      </c>
      <c r="D97" t="s">
        <v>75</v>
      </c>
      <c r="E97" s="232" t="s">
        <v>555</v>
      </c>
      <c r="F97" t="s">
        <v>70</v>
      </c>
      <c r="G97">
        <v>1</v>
      </c>
      <c r="H97">
        <v>659.92399999999998</v>
      </c>
      <c r="I97">
        <v>658.71</v>
      </c>
      <c r="J97">
        <v>655.83799999999997</v>
      </c>
      <c r="K97">
        <v>654.649</v>
      </c>
      <c r="L97">
        <v>653.19399999999996</v>
      </c>
      <c r="M97" s="233" t="s">
        <v>530</v>
      </c>
      <c r="N97" s="233" t="s">
        <v>531</v>
      </c>
      <c r="O97" s="3" t="s">
        <v>655</v>
      </c>
      <c r="BM97" s="127"/>
      <c r="BN97" s="127"/>
      <c r="BO97" s="127"/>
      <c r="BP97" s="127"/>
      <c r="BQ97" s="127"/>
      <c r="BR97" s="127"/>
      <c r="BS97" s="127"/>
      <c r="BT97" s="127"/>
      <c r="BU97" s="127"/>
      <c r="BV97" s="127"/>
      <c r="BW97" s="127"/>
      <c r="BX97" s="127"/>
      <c r="BY97" s="127"/>
      <c r="BZ97" s="127"/>
      <c r="CA97" s="127"/>
      <c r="ER97" s="127"/>
      <c r="ES97" s="127"/>
      <c r="ET97" s="127"/>
      <c r="EU97" s="127"/>
      <c r="EV97" s="127"/>
      <c r="EW97" s="127"/>
      <c r="EX97" s="127"/>
      <c r="EY97" s="127"/>
      <c r="EZ97" s="127"/>
      <c r="FA97" s="127"/>
      <c r="FB97" s="127"/>
      <c r="FC97" s="127"/>
      <c r="FD97" s="127"/>
      <c r="FE97" s="127"/>
      <c r="FF97" s="127"/>
      <c r="HW97" s="127"/>
      <c r="HX97" s="127"/>
      <c r="HY97" s="127"/>
      <c r="HZ97" s="127"/>
      <c r="IA97" s="127"/>
      <c r="IB97" s="127"/>
      <c r="IC97" s="127"/>
      <c r="ID97" s="127"/>
      <c r="IE97" s="127"/>
      <c r="IF97" s="127"/>
      <c r="IG97" s="127"/>
      <c r="IH97" s="127"/>
      <c r="II97" s="127"/>
      <c r="IJ97" s="127"/>
      <c r="IK97" s="127"/>
      <c r="LB97" s="127"/>
      <c r="LC97" s="127"/>
      <c r="LD97" s="127"/>
      <c r="LE97" s="127"/>
      <c r="LF97" s="127"/>
      <c r="LG97" s="127"/>
      <c r="LH97" s="127"/>
      <c r="LI97" s="127"/>
      <c r="LJ97" s="127"/>
      <c r="LK97" s="127"/>
      <c r="LL97" s="127"/>
      <c r="LM97" s="127"/>
      <c r="LN97" s="127"/>
      <c r="LO97" s="127"/>
      <c r="LP97" s="127"/>
      <c r="OG97" s="127"/>
      <c r="OH97" s="127"/>
      <c r="OI97" s="127"/>
      <c r="OJ97" s="127"/>
      <c r="OK97" s="127"/>
      <c r="OL97" s="127"/>
      <c r="OM97" s="127"/>
      <c r="ON97" s="127"/>
      <c r="OO97" s="127"/>
      <c r="OP97" s="127"/>
      <c r="OQ97" s="127"/>
      <c r="OR97" s="127"/>
      <c r="OS97" s="127"/>
      <c r="OT97" s="127"/>
      <c r="OU97" s="127"/>
    </row>
    <row r="98" spans="1:411">
      <c r="A98">
        <v>9</v>
      </c>
      <c r="B98">
        <v>152</v>
      </c>
      <c r="C98" t="s">
        <v>72</v>
      </c>
      <c r="D98" t="s">
        <v>75</v>
      </c>
      <c r="E98" s="232" t="s">
        <v>8033</v>
      </c>
      <c r="F98" t="s">
        <v>70</v>
      </c>
      <c r="G98">
        <v>1</v>
      </c>
      <c r="H98">
        <v>660.04</v>
      </c>
      <c r="I98">
        <v>658.96299999999997</v>
      </c>
      <c r="J98">
        <v>655.83799999999997</v>
      </c>
      <c r="K98">
        <v>654.80499999999995</v>
      </c>
      <c r="L98">
        <v>653.00699999999995</v>
      </c>
      <c r="M98" s="233" t="s">
        <v>530</v>
      </c>
      <c r="N98" s="233" t="s">
        <v>531</v>
      </c>
      <c r="O98" s="3" t="s">
        <v>656</v>
      </c>
      <c r="BM98" s="127"/>
      <c r="BN98" s="127"/>
      <c r="BO98" s="127"/>
      <c r="BP98" s="127"/>
      <c r="BQ98" s="127"/>
      <c r="BR98" s="127"/>
      <c r="BS98" s="127"/>
      <c r="BT98" s="127"/>
      <c r="BU98" s="127"/>
      <c r="BV98" s="127"/>
      <c r="BW98" s="127"/>
      <c r="BX98" s="127"/>
      <c r="BY98" s="127"/>
      <c r="BZ98" s="127"/>
      <c r="CA98" s="127"/>
      <c r="ER98" s="127"/>
      <c r="ES98" s="127"/>
      <c r="ET98" s="127"/>
      <c r="EU98" s="127"/>
      <c r="EV98" s="127"/>
      <c r="EW98" s="127"/>
      <c r="EX98" s="127"/>
      <c r="EY98" s="127"/>
      <c r="EZ98" s="127"/>
      <c r="FA98" s="127"/>
      <c r="FB98" s="127"/>
      <c r="FC98" s="127"/>
      <c r="FD98" s="127"/>
      <c r="FE98" s="127"/>
      <c r="FF98" s="127"/>
      <c r="HW98" s="127"/>
      <c r="HX98" s="127"/>
      <c r="HY98" s="127"/>
      <c r="HZ98" s="127"/>
      <c r="IA98" s="127"/>
      <c r="IB98" s="127"/>
      <c r="IC98" s="127"/>
      <c r="ID98" s="127"/>
      <c r="IE98" s="127"/>
      <c r="IF98" s="127"/>
      <c r="IG98" s="127"/>
      <c r="IH98" s="127"/>
      <c r="II98" s="127"/>
      <c r="IJ98" s="127"/>
      <c r="IK98" s="127"/>
      <c r="LB98" s="127"/>
      <c r="LC98" s="127"/>
      <c r="LD98" s="127"/>
      <c r="LE98" s="127"/>
      <c r="LF98" s="127"/>
      <c r="LG98" s="127"/>
      <c r="LH98" s="127"/>
      <c r="LI98" s="127"/>
      <c r="LJ98" s="127"/>
      <c r="LK98" s="127"/>
      <c r="LL98" s="127"/>
      <c r="LM98" s="127"/>
      <c r="LN98" s="127"/>
      <c r="LO98" s="127"/>
      <c r="LP98" s="127"/>
      <c r="OG98" s="127"/>
      <c r="OH98" s="127"/>
      <c r="OI98" s="127"/>
      <c r="OJ98" s="127"/>
      <c r="OK98" s="127"/>
      <c r="OL98" s="127"/>
      <c r="OM98" s="127"/>
      <c r="ON98" s="127"/>
      <c r="OO98" s="127"/>
      <c r="OP98" s="127"/>
      <c r="OQ98" s="127"/>
      <c r="OR98" s="127"/>
      <c r="OS98" s="127"/>
      <c r="OT98" s="127"/>
      <c r="OU98" s="127"/>
    </row>
    <row r="99" spans="1:411">
      <c r="A99">
        <v>9</v>
      </c>
      <c r="B99">
        <v>140</v>
      </c>
      <c r="C99" t="s">
        <v>72</v>
      </c>
      <c r="D99" t="s">
        <v>75</v>
      </c>
      <c r="E99" s="232" t="s">
        <v>8712</v>
      </c>
      <c r="F99" t="s">
        <v>70</v>
      </c>
      <c r="G99">
        <v>1</v>
      </c>
      <c r="H99">
        <v>659.92399999999998</v>
      </c>
      <c r="I99">
        <v>658.71</v>
      </c>
      <c r="J99">
        <v>655.44500000000005</v>
      </c>
      <c r="K99">
        <v>653.00699999999995</v>
      </c>
      <c r="L99">
        <v>650.5</v>
      </c>
      <c r="M99" s="233" t="s">
        <v>530</v>
      </c>
      <c r="N99" s="233" t="s">
        <v>531</v>
      </c>
      <c r="O99" s="3" t="s">
        <v>657</v>
      </c>
      <c r="BM99" s="127"/>
      <c r="BN99" s="127"/>
      <c r="BO99" s="127"/>
      <c r="BP99" s="127"/>
      <c r="BQ99" s="127"/>
      <c r="BR99" s="127"/>
      <c r="BS99" s="127"/>
      <c r="BT99" s="127"/>
      <c r="BU99" s="127"/>
      <c r="BV99" s="127"/>
      <c r="BW99" s="127"/>
      <c r="BX99" s="127"/>
      <c r="BY99" s="127"/>
      <c r="BZ99" s="127"/>
      <c r="CA99" s="127"/>
      <c r="ER99" s="127"/>
      <c r="ES99" s="127"/>
      <c r="ET99" s="127"/>
      <c r="EU99" s="127"/>
      <c r="EV99" s="127"/>
      <c r="EW99" s="127"/>
      <c r="EX99" s="127"/>
      <c r="EY99" s="127"/>
      <c r="EZ99" s="127"/>
      <c r="FA99" s="127"/>
      <c r="FB99" s="127"/>
      <c r="FC99" s="127"/>
      <c r="FD99" s="127"/>
      <c r="FE99" s="127"/>
      <c r="FF99" s="127"/>
      <c r="HW99" s="127"/>
      <c r="HX99" s="127"/>
      <c r="HY99" s="127"/>
      <c r="HZ99" s="127"/>
      <c r="IA99" s="127"/>
      <c r="IB99" s="127"/>
      <c r="IC99" s="127"/>
      <c r="ID99" s="127"/>
      <c r="IE99" s="127"/>
      <c r="IF99" s="127"/>
      <c r="IG99" s="127"/>
      <c r="IH99" s="127"/>
      <c r="II99" s="127"/>
      <c r="IJ99" s="127"/>
      <c r="IK99" s="127"/>
      <c r="LB99" s="127"/>
      <c r="LC99" s="127"/>
      <c r="LD99" s="127"/>
      <c r="LE99" s="127"/>
      <c r="LF99" s="127"/>
      <c r="LG99" s="127"/>
      <c r="LH99" s="127"/>
      <c r="LI99" s="127"/>
      <c r="LJ99" s="127"/>
      <c r="LK99" s="127"/>
      <c r="LL99" s="127"/>
      <c r="LM99" s="127"/>
      <c r="LN99" s="127"/>
      <c r="LO99" s="127"/>
      <c r="LP99" s="127"/>
      <c r="OG99" s="127"/>
      <c r="OH99" s="127"/>
      <c r="OI99" s="127"/>
      <c r="OJ99" s="127"/>
      <c r="OK99" s="127"/>
      <c r="OL99" s="127"/>
      <c r="OM99" s="127"/>
      <c r="ON99" s="127"/>
      <c r="OO99" s="127"/>
      <c r="OP99" s="127"/>
      <c r="OQ99" s="127"/>
      <c r="OR99" s="127"/>
      <c r="OS99" s="127"/>
      <c r="OT99" s="127"/>
      <c r="OU99" s="127"/>
    </row>
    <row r="100" spans="1:411">
      <c r="A100">
        <v>9</v>
      </c>
      <c r="B100">
        <v>146</v>
      </c>
      <c r="C100" t="s">
        <v>72</v>
      </c>
      <c r="D100" t="s">
        <v>75</v>
      </c>
      <c r="E100" s="232" t="s">
        <v>8283</v>
      </c>
      <c r="F100" t="s">
        <v>70</v>
      </c>
      <c r="G100">
        <v>1</v>
      </c>
      <c r="H100">
        <v>659.55399999999997</v>
      </c>
      <c r="I100">
        <v>658.02599999999995</v>
      </c>
      <c r="J100">
        <v>655.19799999999998</v>
      </c>
      <c r="K100">
        <v>653.19399999999996</v>
      </c>
      <c r="L100">
        <v>650.65700000000004</v>
      </c>
      <c r="M100" s="233" t="s">
        <v>530</v>
      </c>
      <c r="N100" s="233" t="s">
        <v>531</v>
      </c>
      <c r="O100" s="3" t="s">
        <v>658</v>
      </c>
      <c r="BM100" s="127"/>
      <c r="BN100" s="127"/>
      <c r="BO100" s="127"/>
      <c r="BP100" s="127"/>
      <c r="BQ100" s="127"/>
      <c r="BR100" s="127"/>
      <c r="BS100" s="127"/>
      <c r="BT100" s="127"/>
      <c r="BU100" s="127"/>
      <c r="BV100" s="127"/>
      <c r="BW100" s="127"/>
      <c r="BX100" s="127"/>
      <c r="BY100" s="127"/>
      <c r="BZ100" s="127"/>
      <c r="CA100" s="127"/>
      <c r="ER100" s="127"/>
      <c r="ES100" s="127"/>
      <c r="ET100" s="127"/>
      <c r="EU100" s="127"/>
      <c r="EV100" s="127"/>
      <c r="EW100" s="127"/>
      <c r="EX100" s="127"/>
      <c r="EY100" s="127"/>
      <c r="EZ100" s="127"/>
      <c r="FA100" s="127"/>
      <c r="FB100" s="127"/>
      <c r="FC100" s="127"/>
      <c r="FD100" s="127"/>
      <c r="FE100" s="127"/>
      <c r="FF100" s="127"/>
      <c r="HW100" s="127"/>
      <c r="HX100" s="127"/>
      <c r="HY100" s="127"/>
      <c r="HZ100" s="127"/>
      <c r="IA100" s="127"/>
      <c r="IB100" s="127"/>
      <c r="IC100" s="127"/>
      <c r="ID100" s="127"/>
      <c r="IE100" s="127"/>
      <c r="IF100" s="127"/>
      <c r="IG100" s="127"/>
      <c r="IH100" s="127"/>
      <c r="II100" s="127"/>
      <c r="IJ100" s="127"/>
      <c r="IK100" s="127"/>
      <c r="LB100" s="127"/>
      <c r="LC100" s="127"/>
      <c r="LD100" s="127"/>
      <c r="LE100" s="127"/>
      <c r="LF100" s="127"/>
      <c r="LG100" s="127"/>
      <c r="LH100" s="127"/>
      <c r="LI100" s="127"/>
      <c r="LJ100" s="127"/>
      <c r="LK100" s="127"/>
      <c r="LL100" s="127"/>
      <c r="LM100" s="127"/>
      <c r="LN100" s="127"/>
      <c r="LO100" s="127"/>
      <c r="LP100" s="127"/>
      <c r="OG100" s="127"/>
      <c r="OH100" s="127"/>
      <c r="OI100" s="127"/>
      <c r="OJ100" s="127"/>
      <c r="OK100" s="127"/>
      <c r="OL100" s="127"/>
      <c r="OM100" s="127"/>
      <c r="ON100" s="127"/>
      <c r="OO100" s="127"/>
      <c r="OP100" s="127"/>
      <c r="OQ100" s="127"/>
      <c r="OR100" s="127"/>
      <c r="OS100" s="127"/>
      <c r="OT100" s="127"/>
      <c r="OU100" s="127"/>
    </row>
    <row r="101" spans="1:411">
      <c r="A101">
        <v>9</v>
      </c>
      <c r="B101">
        <v>151</v>
      </c>
      <c r="C101" t="s">
        <v>72</v>
      </c>
      <c r="D101" t="s">
        <v>75</v>
      </c>
      <c r="E101" s="232" t="s">
        <v>8580</v>
      </c>
      <c r="F101" t="s">
        <v>70</v>
      </c>
      <c r="G101">
        <v>1</v>
      </c>
      <c r="H101">
        <v>660.04</v>
      </c>
      <c r="I101">
        <v>656.15099999999995</v>
      </c>
      <c r="J101">
        <v>655.19799999999998</v>
      </c>
      <c r="K101">
        <v>654.26400000000001</v>
      </c>
      <c r="L101">
        <v>652.61400000000003</v>
      </c>
      <c r="M101" s="233" t="s">
        <v>530</v>
      </c>
      <c r="N101" s="233" t="s">
        <v>531</v>
      </c>
      <c r="O101" s="3" t="s">
        <v>659</v>
      </c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27"/>
      <c r="BZ101" s="127"/>
      <c r="CA101" s="127"/>
      <c r="ER101" s="127"/>
      <c r="ES101" s="127"/>
      <c r="ET101" s="127"/>
      <c r="EU101" s="127"/>
      <c r="EV101" s="127"/>
      <c r="EW101" s="127"/>
      <c r="EX101" s="127"/>
      <c r="EY101" s="127"/>
      <c r="EZ101" s="127"/>
      <c r="FA101" s="127"/>
      <c r="FB101" s="127"/>
      <c r="FC101" s="127"/>
      <c r="FD101" s="127"/>
      <c r="FE101" s="127"/>
      <c r="FF101" s="127"/>
      <c r="HW101" s="127"/>
      <c r="HX101" s="127"/>
      <c r="HY101" s="127"/>
      <c r="HZ101" s="127"/>
      <c r="IA101" s="127"/>
      <c r="IB101" s="127"/>
      <c r="IC101" s="127"/>
      <c r="ID101" s="127"/>
      <c r="IE101" s="127"/>
      <c r="IF101" s="127"/>
      <c r="IG101" s="127"/>
      <c r="IH101" s="127"/>
      <c r="II101" s="127"/>
      <c r="IJ101" s="127"/>
      <c r="IK101" s="127"/>
      <c r="LB101" s="127"/>
      <c r="LC101" s="127"/>
      <c r="LD101" s="127"/>
      <c r="LE101" s="127"/>
      <c r="LF101" s="127"/>
      <c r="LG101" s="127"/>
      <c r="LH101" s="127"/>
      <c r="LI101" s="127"/>
      <c r="LJ101" s="127"/>
      <c r="LK101" s="127"/>
      <c r="LL101" s="127"/>
      <c r="LM101" s="127"/>
      <c r="LN101" s="127"/>
      <c r="LO101" s="127"/>
      <c r="LP101" s="127"/>
      <c r="OG101" s="127"/>
      <c r="OH101" s="127"/>
      <c r="OI101" s="127"/>
      <c r="OJ101" s="127"/>
      <c r="OK101" s="127"/>
      <c r="OL101" s="127"/>
      <c r="OM101" s="127"/>
      <c r="ON101" s="127"/>
      <c r="OO101" s="127"/>
      <c r="OP101" s="127"/>
      <c r="OQ101" s="127"/>
      <c r="OR101" s="127"/>
      <c r="OS101" s="127"/>
      <c r="OT101" s="127"/>
      <c r="OU101" s="127"/>
    </row>
    <row r="102" spans="1:411">
      <c r="A102">
        <v>9</v>
      </c>
      <c r="B102">
        <v>145</v>
      </c>
      <c r="C102" t="s">
        <v>72</v>
      </c>
      <c r="D102" t="s">
        <v>75</v>
      </c>
      <c r="E102" s="232" t="s">
        <v>8540</v>
      </c>
      <c r="F102" t="s">
        <v>70</v>
      </c>
      <c r="G102">
        <v>1</v>
      </c>
      <c r="H102">
        <v>658.96299999999997</v>
      </c>
      <c r="I102">
        <v>656.15099999999995</v>
      </c>
      <c r="J102">
        <v>654.80499999999995</v>
      </c>
      <c r="K102">
        <v>653.99099999999999</v>
      </c>
      <c r="L102">
        <v>652.61400000000003</v>
      </c>
      <c r="M102" s="233" t="s">
        <v>530</v>
      </c>
      <c r="N102" s="233" t="s">
        <v>531</v>
      </c>
      <c r="O102" s="3" t="s">
        <v>660</v>
      </c>
      <c r="BM102" s="127"/>
      <c r="BN102" s="127"/>
      <c r="BO102" s="127"/>
      <c r="BP102" s="127"/>
      <c r="BQ102" s="127"/>
      <c r="BR102" s="127"/>
      <c r="BS102" s="127"/>
      <c r="BT102" s="127"/>
      <c r="BU102" s="127"/>
      <c r="BV102" s="127"/>
      <c r="BW102" s="127"/>
      <c r="BX102" s="127"/>
      <c r="BY102" s="127"/>
      <c r="BZ102" s="127"/>
      <c r="CA102" s="127"/>
      <c r="ER102" s="127"/>
      <c r="ES102" s="127"/>
      <c r="ET102" s="127"/>
      <c r="EU102" s="127"/>
      <c r="EV102" s="127"/>
      <c r="EW102" s="127"/>
      <c r="EX102" s="127"/>
      <c r="EY102" s="127"/>
      <c r="EZ102" s="127"/>
      <c r="FA102" s="127"/>
      <c r="FB102" s="127"/>
      <c r="FC102" s="127"/>
      <c r="FD102" s="127"/>
      <c r="FE102" s="127"/>
      <c r="FF102" s="127"/>
      <c r="HW102" s="127"/>
      <c r="HX102" s="127"/>
      <c r="HY102" s="127"/>
      <c r="HZ102" s="127"/>
      <c r="IA102" s="127"/>
      <c r="IB102" s="127"/>
      <c r="IC102" s="127"/>
      <c r="ID102" s="127"/>
      <c r="IE102" s="127"/>
      <c r="IF102" s="127"/>
      <c r="IG102" s="127"/>
      <c r="IH102" s="127"/>
      <c r="II102" s="127"/>
      <c r="IJ102" s="127"/>
      <c r="IK102" s="127"/>
      <c r="LB102" s="127"/>
      <c r="LC102" s="127"/>
      <c r="LD102" s="127"/>
      <c r="LE102" s="127"/>
      <c r="LF102" s="127"/>
      <c r="LG102" s="127"/>
      <c r="LH102" s="127"/>
      <c r="LI102" s="127"/>
      <c r="LJ102" s="127"/>
      <c r="LK102" s="127"/>
      <c r="LL102" s="127"/>
      <c r="LM102" s="127"/>
      <c r="LN102" s="127"/>
      <c r="LO102" s="127"/>
      <c r="LP102" s="127"/>
      <c r="OG102" s="127"/>
      <c r="OH102" s="127"/>
      <c r="OI102" s="127"/>
      <c r="OJ102" s="127"/>
      <c r="OK102" s="127"/>
      <c r="OL102" s="127"/>
      <c r="OM102" s="127"/>
      <c r="ON102" s="127"/>
      <c r="OO102" s="127"/>
      <c r="OP102" s="127"/>
      <c r="OQ102" s="127"/>
      <c r="OR102" s="127"/>
      <c r="OS102" s="127"/>
      <c r="OT102" s="127"/>
      <c r="OU102" s="127"/>
    </row>
    <row r="103" spans="1:411">
      <c r="A103">
        <v>9</v>
      </c>
      <c r="B103">
        <v>147</v>
      </c>
      <c r="C103" t="s">
        <v>72</v>
      </c>
      <c r="D103" t="s">
        <v>75</v>
      </c>
      <c r="E103" s="232" t="s">
        <v>8669</v>
      </c>
      <c r="F103" t="s">
        <v>70</v>
      </c>
      <c r="G103">
        <v>1</v>
      </c>
      <c r="H103">
        <v>658.96299999999997</v>
      </c>
      <c r="I103">
        <v>656.15099999999995</v>
      </c>
      <c r="J103">
        <v>654.80499999999995</v>
      </c>
      <c r="K103">
        <v>653.64700000000005</v>
      </c>
      <c r="L103">
        <v>653.00699999999995</v>
      </c>
      <c r="M103" s="233" t="s">
        <v>530</v>
      </c>
      <c r="N103" s="233" t="s">
        <v>531</v>
      </c>
      <c r="O103" s="3" t="s">
        <v>661</v>
      </c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27"/>
      <c r="BZ103" s="127"/>
      <c r="CA103" s="127"/>
      <c r="ER103" s="127"/>
      <c r="ES103" s="127"/>
      <c r="ET103" s="127"/>
      <c r="EU103" s="127"/>
      <c r="EV103" s="127"/>
      <c r="EW103" s="127"/>
      <c r="EX103" s="127"/>
      <c r="EY103" s="127"/>
      <c r="EZ103" s="127"/>
      <c r="FA103" s="127"/>
      <c r="FB103" s="127"/>
      <c r="FC103" s="127"/>
      <c r="FD103" s="127"/>
      <c r="FE103" s="127"/>
      <c r="FF103" s="127"/>
      <c r="HW103" s="127"/>
      <c r="HX103" s="127"/>
      <c r="HY103" s="127"/>
      <c r="HZ103" s="127"/>
      <c r="IA103" s="127"/>
      <c r="IB103" s="127"/>
      <c r="IC103" s="127"/>
      <c r="ID103" s="127"/>
      <c r="IE103" s="127"/>
      <c r="IF103" s="127"/>
      <c r="IG103" s="127"/>
      <c r="IH103" s="127"/>
      <c r="II103" s="127"/>
      <c r="IJ103" s="127"/>
      <c r="IK103" s="127"/>
      <c r="LB103" s="127"/>
      <c r="LC103" s="127"/>
      <c r="LD103" s="127"/>
      <c r="LE103" s="127"/>
      <c r="LF103" s="127"/>
      <c r="LG103" s="127"/>
      <c r="LH103" s="127"/>
      <c r="LI103" s="127"/>
      <c r="LJ103" s="127"/>
      <c r="LK103" s="127"/>
      <c r="LL103" s="127"/>
      <c r="LM103" s="127"/>
      <c r="LN103" s="127"/>
      <c r="LO103" s="127"/>
      <c r="LP103" s="127"/>
      <c r="OG103" s="127"/>
      <c r="OH103" s="127"/>
      <c r="OI103" s="127"/>
      <c r="OJ103" s="127"/>
      <c r="OK103" s="127"/>
      <c r="OL103" s="127"/>
      <c r="OM103" s="127"/>
      <c r="ON103" s="127"/>
      <c r="OO103" s="127"/>
      <c r="OP103" s="127"/>
      <c r="OQ103" s="127"/>
      <c r="OR103" s="127"/>
      <c r="OS103" s="127"/>
      <c r="OT103" s="127"/>
      <c r="OU103" s="127"/>
    </row>
    <row r="104" spans="1:411">
      <c r="A104">
        <v>9</v>
      </c>
      <c r="B104">
        <v>148</v>
      </c>
      <c r="C104" t="s">
        <v>72</v>
      </c>
      <c r="D104" t="s">
        <v>75</v>
      </c>
      <c r="E104" s="232" t="s">
        <v>550</v>
      </c>
      <c r="F104" t="s">
        <v>70</v>
      </c>
      <c r="G104">
        <v>1</v>
      </c>
      <c r="H104">
        <v>659.55399999999997</v>
      </c>
      <c r="I104">
        <v>658.02599999999995</v>
      </c>
      <c r="J104">
        <v>654.80499999999995</v>
      </c>
      <c r="K104">
        <v>653.99099999999999</v>
      </c>
      <c r="L104">
        <v>652.34100000000001</v>
      </c>
      <c r="M104" s="233" t="s">
        <v>530</v>
      </c>
      <c r="N104" s="233" t="s">
        <v>531</v>
      </c>
      <c r="O104" s="3" t="s">
        <v>662</v>
      </c>
      <c r="BM104" s="127"/>
      <c r="BN104" s="127"/>
      <c r="BO104" s="127"/>
      <c r="BP104" s="127"/>
      <c r="BQ104" s="127"/>
      <c r="BR104" s="127"/>
      <c r="BS104" s="127"/>
      <c r="BT104" s="127"/>
      <c r="BU104" s="127"/>
      <c r="BV104" s="127"/>
      <c r="BW104" s="127"/>
      <c r="BX104" s="127"/>
      <c r="BY104" s="127"/>
      <c r="BZ104" s="127"/>
      <c r="CA104" s="127"/>
      <c r="ER104" s="127"/>
      <c r="ES104" s="127"/>
      <c r="ET104" s="127"/>
      <c r="EU104" s="127"/>
      <c r="EV104" s="127"/>
      <c r="EW104" s="127"/>
      <c r="EX104" s="127"/>
      <c r="EY104" s="127"/>
      <c r="EZ104" s="127"/>
      <c r="FA104" s="127"/>
      <c r="FB104" s="127"/>
      <c r="FC104" s="127"/>
      <c r="FD104" s="127"/>
      <c r="FE104" s="127"/>
      <c r="FF104" s="127"/>
      <c r="HW104" s="127"/>
      <c r="HX104" s="127"/>
      <c r="HY104" s="127"/>
      <c r="HZ104" s="127"/>
      <c r="IA104" s="127"/>
      <c r="IB104" s="127"/>
      <c r="IC104" s="127"/>
      <c r="ID104" s="127"/>
      <c r="IE104" s="127"/>
      <c r="IF104" s="127"/>
      <c r="IG104" s="127"/>
      <c r="IH104" s="127"/>
      <c r="II104" s="127"/>
      <c r="IJ104" s="127"/>
      <c r="IK104" s="127"/>
      <c r="LB104" s="127"/>
      <c r="LC104" s="127"/>
      <c r="LD104" s="127"/>
      <c r="LE104" s="127"/>
      <c r="LF104" s="127"/>
      <c r="LG104" s="127"/>
      <c r="LH104" s="127"/>
      <c r="LI104" s="127"/>
      <c r="LJ104" s="127"/>
      <c r="LK104" s="127"/>
      <c r="LL104" s="127"/>
      <c r="LM104" s="127"/>
      <c r="LN104" s="127"/>
      <c r="LO104" s="127"/>
      <c r="LP104" s="127"/>
      <c r="OG104" s="127"/>
      <c r="OH104" s="127"/>
      <c r="OI104" s="127"/>
      <c r="OJ104" s="127"/>
      <c r="OK104" s="127"/>
      <c r="OL104" s="127"/>
      <c r="OM104" s="127"/>
      <c r="ON104" s="127"/>
      <c r="OO104" s="127"/>
      <c r="OP104" s="127"/>
      <c r="OQ104" s="127"/>
      <c r="OR104" s="127"/>
      <c r="OS104" s="127"/>
      <c r="OT104" s="127"/>
      <c r="OU104" s="127"/>
    </row>
    <row r="105" spans="1:411">
      <c r="A105">
        <v>9</v>
      </c>
      <c r="B105">
        <v>142</v>
      </c>
      <c r="C105" t="s">
        <v>72</v>
      </c>
      <c r="D105" t="s">
        <v>75</v>
      </c>
      <c r="E105" s="232" t="s">
        <v>8148</v>
      </c>
      <c r="F105" t="s">
        <v>70</v>
      </c>
      <c r="G105">
        <v>1</v>
      </c>
      <c r="H105">
        <v>658.96299999999997</v>
      </c>
      <c r="I105">
        <v>655.83799999999997</v>
      </c>
      <c r="J105">
        <v>654.649</v>
      </c>
      <c r="K105">
        <v>653.64700000000005</v>
      </c>
      <c r="L105">
        <v>651.95600000000002</v>
      </c>
      <c r="M105" s="233" t="s">
        <v>530</v>
      </c>
      <c r="N105" s="233" t="s">
        <v>531</v>
      </c>
      <c r="O105" s="3" t="s">
        <v>663</v>
      </c>
      <c r="BM105" s="127"/>
      <c r="BN105" s="127"/>
      <c r="BO105" s="127"/>
      <c r="BP105" s="127"/>
      <c r="BQ105" s="127"/>
      <c r="BR105" s="127"/>
      <c r="BS105" s="127"/>
      <c r="BT105" s="127"/>
      <c r="BU105" s="127"/>
      <c r="BV105" s="127"/>
      <c r="BW105" s="127"/>
      <c r="BX105" s="127"/>
      <c r="BY105" s="127"/>
      <c r="BZ105" s="127"/>
      <c r="CA105" s="127"/>
      <c r="ER105" s="127"/>
      <c r="ES105" s="127"/>
      <c r="ET105" s="127"/>
      <c r="EU105" s="127"/>
      <c r="EV105" s="127"/>
      <c r="EW105" s="127"/>
      <c r="EX105" s="127"/>
      <c r="EY105" s="127"/>
      <c r="EZ105" s="127"/>
      <c r="FA105" s="127"/>
      <c r="FB105" s="127"/>
      <c r="FC105" s="127"/>
      <c r="FD105" s="127"/>
      <c r="FE105" s="127"/>
      <c r="FF105" s="127"/>
      <c r="HW105" s="127"/>
      <c r="HX105" s="127"/>
      <c r="HY105" s="127"/>
      <c r="HZ105" s="127"/>
      <c r="IA105" s="127"/>
      <c r="IB105" s="127"/>
      <c r="IC105" s="127"/>
      <c r="ID105" s="127"/>
      <c r="IE105" s="127"/>
      <c r="IF105" s="127"/>
      <c r="IG105" s="127"/>
      <c r="IH105" s="127"/>
      <c r="II105" s="127"/>
      <c r="IJ105" s="127"/>
      <c r="IK105" s="127"/>
      <c r="LB105" s="127"/>
      <c r="LC105" s="127"/>
      <c r="LD105" s="127"/>
      <c r="LE105" s="127"/>
      <c r="LF105" s="127"/>
      <c r="LG105" s="127"/>
      <c r="LH105" s="127"/>
      <c r="LI105" s="127"/>
      <c r="LJ105" s="127"/>
      <c r="LK105" s="127"/>
      <c r="LL105" s="127"/>
      <c r="LM105" s="127"/>
      <c r="LN105" s="127"/>
      <c r="LO105" s="127"/>
      <c r="LP105" s="127"/>
      <c r="OG105" s="127"/>
      <c r="OH105" s="127"/>
      <c r="OI105" s="127"/>
      <c r="OJ105" s="127"/>
      <c r="OK105" s="127"/>
      <c r="OL105" s="127"/>
      <c r="OM105" s="127"/>
      <c r="ON105" s="127"/>
      <c r="OO105" s="127"/>
      <c r="OP105" s="127"/>
      <c r="OQ105" s="127"/>
      <c r="OR105" s="127"/>
      <c r="OS105" s="127"/>
      <c r="OT105" s="127"/>
      <c r="OU105" s="127"/>
    </row>
    <row r="106" spans="1:411">
      <c r="A106">
        <v>9</v>
      </c>
      <c r="B106">
        <v>149</v>
      </c>
      <c r="C106" t="s">
        <v>72</v>
      </c>
      <c r="D106" t="s">
        <v>75</v>
      </c>
      <c r="E106" s="232" t="s">
        <v>8778</v>
      </c>
      <c r="F106" t="s">
        <v>70</v>
      </c>
      <c r="G106">
        <v>1</v>
      </c>
      <c r="H106">
        <v>658.02599999999995</v>
      </c>
      <c r="I106">
        <v>654.80499999999995</v>
      </c>
      <c r="J106">
        <v>654.10699999999997</v>
      </c>
      <c r="K106">
        <v>653.19399999999996</v>
      </c>
      <c r="L106">
        <v>652.34100000000001</v>
      </c>
      <c r="M106" s="233" t="s">
        <v>530</v>
      </c>
      <c r="N106" s="233" t="s">
        <v>531</v>
      </c>
      <c r="O106" s="3" t="s">
        <v>664</v>
      </c>
      <c r="BM106" s="127"/>
      <c r="BN106" s="127"/>
      <c r="BO106" s="127"/>
      <c r="BP106" s="127"/>
      <c r="BQ106" s="127"/>
      <c r="BR106" s="127"/>
      <c r="BS106" s="127"/>
      <c r="BT106" s="127"/>
      <c r="BU106" s="127"/>
      <c r="BV106" s="127"/>
      <c r="BW106" s="127"/>
      <c r="BX106" s="127"/>
      <c r="BY106" s="127"/>
      <c r="BZ106" s="127"/>
      <c r="CA106" s="127"/>
      <c r="ER106" s="127"/>
      <c r="ES106" s="127"/>
      <c r="ET106" s="127"/>
      <c r="EU106" s="127"/>
      <c r="EV106" s="127"/>
      <c r="EW106" s="127"/>
      <c r="EX106" s="127"/>
      <c r="EY106" s="127"/>
      <c r="EZ106" s="127"/>
      <c r="FA106" s="127"/>
      <c r="FB106" s="127"/>
      <c r="FC106" s="127"/>
      <c r="FD106" s="127"/>
      <c r="FE106" s="127"/>
      <c r="FF106" s="127"/>
      <c r="HW106" s="127"/>
      <c r="HX106" s="127"/>
      <c r="HY106" s="127"/>
      <c r="HZ106" s="127"/>
      <c r="IA106" s="127"/>
      <c r="IB106" s="127"/>
      <c r="IC106" s="127"/>
      <c r="ID106" s="127"/>
      <c r="IE106" s="127"/>
      <c r="IF106" s="127"/>
      <c r="IG106" s="127"/>
      <c r="IH106" s="127"/>
      <c r="II106" s="127"/>
      <c r="IJ106" s="127"/>
      <c r="IK106" s="127"/>
      <c r="LB106" s="127"/>
      <c r="LC106" s="127"/>
      <c r="LD106" s="127"/>
      <c r="LE106" s="127"/>
      <c r="LF106" s="127"/>
      <c r="LG106" s="127"/>
      <c r="LH106" s="127"/>
      <c r="LI106" s="127"/>
      <c r="LJ106" s="127"/>
      <c r="LK106" s="127"/>
      <c r="LL106" s="127"/>
      <c r="LM106" s="127"/>
      <c r="LN106" s="127"/>
      <c r="LO106" s="127"/>
      <c r="LP106" s="127"/>
      <c r="OG106" s="127"/>
      <c r="OH106" s="127"/>
      <c r="OI106" s="127"/>
      <c r="OJ106" s="127"/>
      <c r="OK106" s="127"/>
      <c r="OL106" s="127"/>
      <c r="OM106" s="127"/>
      <c r="ON106" s="127"/>
      <c r="OO106" s="127"/>
      <c r="OP106" s="127"/>
      <c r="OQ106" s="127"/>
      <c r="OR106" s="127"/>
      <c r="OS106" s="127"/>
      <c r="OT106" s="127"/>
      <c r="OU106" s="127"/>
    </row>
    <row r="107" spans="1:411">
      <c r="A107">
        <v>9</v>
      </c>
      <c r="B107">
        <v>154</v>
      </c>
      <c r="C107" t="s">
        <v>72</v>
      </c>
      <c r="D107" t="s">
        <v>75</v>
      </c>
      <c r="E107" s="232" t="s">
        <v>8590</v>
      </c>
      <c r="F107" t="s">
        <v>70</v>
      </c>
      <c r="G107">
        <v>1</v>
      </c>
      <c r="H107">
        <v>655.83799999999997</v>
      </c>
      <c r="I107">
        <v>654.80499999999995</v>
      </c>
      <c r="J107">
        <v>654.10699999999997</v>
      </c>
      <c r="K107">
        <v>653.19399999999996</v>
      </c>
      <c r="L107">
        <v>652.34100000000001</v>
      </c>
      <c r="M107" s="233" t="s">
        <v>530</v>
      </c>
      <c r="N107" s="233" t="s">
        <v>531</v>
      </c>
      <c r="O107" s="3" t="s">
        <v>665</v>
      </c>
      <c r="BM107" s="127"/>
      <c r="BN107" s="127"/>
      <c r="BO107" s="127"/>
      <c r="BP107" s="127"/>
      <c r="BQ107" s="127"/>
      <c r="BR107" s="127"/>
      <c r="BS107" s="127"/>
      <c r="BT107" s="127"/>
      <c r="BU107" s="127"/>
      <c r="BV107" s="127"/>
      <c r="BW107" s="127"/>
      <c r="BX107" s="127"/>
      <c r="BY107" s="127"/>
      <c r="BZ107" s="127"/>
      <c r="CA107" s="127"/>
      <c r="ER107" s="127"/>
      <c r="ES107" s="127"/>
      <c r="ET107" s="127"/>
      <c r="EU107" s="127"/>
      <c r="EV107" s="127"/>
      <c r="EW107" s="127"/>
      <c r="EX107" s="127"/>
      <c r="EY107" s="127"/>
      <c r="EZ107" s="127"/>
      <c r="FA107" s="127"/>
      <c r="FB107" s="127"/>
      <c r="FC107" s="127"/>
      <c r="FD107" s="127"/>
      <c r="FE107" s="127"/>
      <c r="FF107" s="127"/>
      <c r="HW107" s="127"/>
      <c r="HX107" s="127"/>
      <c r="HY107" s="127"/>
      <c r="HZ107" s="127"/>
      <c r="IA107" s="127"/>
      <c r="IB107" s="127"/>
      <c r="IC107" s="127"/>
      <c r="ID107" s="127"/>
      <c r="IE107" s="127"/>
      <c r="IF107" s="127"/>
      <c r="IG107" s="127"/>
      <c r="IH107" s="127"/>
      <c r="II107" s="127"/>
      <c r="IJ107" s="127"/>
      <c r="IK107" s="127"/>
      <c r="LB107" s="127"/>
      <c r="LC107" s="127"/>
      <c r="LD107" s="127"/>
      <c r="LE107" s="127"/>
      <c r="LF107" s="127"/>
      <c r="LG107" s="127"/>
      <c r="LH107" s="127"/>
      <c r="LI107" s="127"/>
      <c r="LJ107" s="127"/>
      <c r="LK107" s="127"/>
      <c r="LL107" s="127"/>
      <c r="LM107" s="127"/>
      <c r="LN107" s="127"/>
      <c r="LO107" s="127"/>
      <c r="LP107" s="127"/>
      <c r="OG107" s="127"/>
      <c r="OH107" s="127"/>
      <c r="OI107" s="127"/>
      <c r="OJ107" s="127"/>
      <c r="OK107" s="127"/>
      <c r="OL107" s="127"/>
      <c r="OM107" s="127"/>
      <c r="ON107" s="127"/>
      <c r="OO107" s="127"/>
      <c r="OP107" s="127"/>
      <c r="OQ107" s="127"/>
      <c r="OR107" s="127"/>
      <c r="OS107" s="127"/>
      <c r="OT107" s="127"/>
      <c r="OU107" s="127"/>
    </row>
    <row r="108" spans="1:411">
      <c r="A108">
        <v>9</v>
      </c>
      <c r="B108">
        <v>131</v>
      </c>
      <c r="C108" t="s">
        <v>72</v>
      </c>
      <c r="D108" t="s">
        <v>75</v>
      </c>
      <c r="E108" s="232" t="s">
        <v>8007</v>
      </c>
      <c r="F108" t="s">
        <v>70</v>
      </c>
      <c r="G108">
        <v>1</v>
      </c>
      <c r="H108">
        <v>658.71</v>
      </c>
      <c r="I108">
        <v>655.44500000000005</v>
      </c>
      <c r="J108">
        <v>653.00699999999995</v>
      </c>
      <c r="K108">
        <v>647.97199999999998</v>
      </c>
      <c r="L108">
        <v>642.09199999999998</v>
      </c>
      <c r="M108" s="233" t="s">
        <v>530</v>
      </c>
      <c r="N108" s="233" t="s">
        <v>531</v>
      </c>
      <c r="O108" s="3" t="s">
        <v>666</v>
      </c>
      <c r="BM108" s="127"/>
      <c r="BN108" s="127"/>
      <c r="BO108" s="127"/>
      <c r="BP108" s="127"/>
      <c r="BQ108" s="127"/>
      <c r="BR108" s="127"/>
      <c r="BS108" s="127"/>
      <c r="BT108" s="127"/>
      <c r="BU108" s="127"/>
      <c r="BV108" s="127"/>
      <c r="BW108" s="127"/>
      <c r="BX108" s="127"/>
      <c r="BY108" s="127"/>
      <c r="BZ108" s="127"/>
      <c r="CA108" s="127"/>
      <c r="ER108" s="127"/>
      <c r="ES108" s="127"/>
      <c r="ET108" s="127"/>
      <c r="EU108" s="127"/>
      <c r="EV108" s="127"/>
      <c r="EW108" s="127"/>
      <c r="EX108" s="127"/>
      <c r="EY108" s="127"/>
      <c r="EZ108" s="127"/>
      <c r="FA108" s="127"/>
      <c r="FB108" s="127"/>
      <c r="FC108" s="127"/>
      <c r="FD108" s="127"/>
      <c r="FE108" s="127"/>
      <c r="FF108" s="127"/>
      <c r="HW108" s="127"/>
      <c r="HX108" s="127"/>
      <c r="HY108" s="127"/>
      <c r="HZ108" s="127"/>
      <c r="IA108" s="127"/>
      <c r="IB108" s="127"/>
      <c r="IC108" s="127"/>
      <c r="ID108" s="127"/>
      <c r="IE108" s="127"/>
      <c r="IF108" s="127"/>
      <c r="IG108" s="127"/>
      <c r="IH108" s="127"/>
      <c r="II108" s="127"/>
      <c r="IJ108" s="127"/>
      <c r="IK108" s="127"/>
      <c r="LB108" s="127"/>
      <c r="LC108" s="127"/>
      <c r="LD108" s="127"/>
      <c r="LE108" s="127"/>
      <c r="LF108" s="127"/>
      <c r="LG108" s="127"/>
      <c r="LH108" s="127"/>
      <c r="LI108" s="127"/>
      <c r="LJ108" s="127"/>
      <c r="LK108" s="127"/>
      <c r="LL108" s="127"/>
      <c r="LM108" s="127"/>
      <c r="LN108" s="127"/>
      <c r="LO108" s="127"/>
      <c r="LP108" s="127"/>
      <c r="OG108" s="127"/>
      <c r="OH108" s="127"/>
      <c r="OI108" s="127"/>
      <c r="OJ108" s="127"/>
      <c r="OK108" s="127"/>
      <c r="OL108" s="127"/>
      <c r="OM108" s="127"/>
      <c r="ON108" s="127"/>
      <c r="OO108" s="127"/>
      <c r="OP108" s="127"/>
      <c r="OQ108" s="127"/>
      <c r="OR108" s="127"/>
      <c r="OS108" s="127"/>
      <c r="OT108" s="127"/>
      <c r="OU108" s="127"/>
    </row>
    <row r="109" spans="1:411">
      <c r="A109">
        <v>9</v>
      </c>
      <c r="B109">
        <v>156</v>
      </c>
      <c r="C109" t="s">
        <v>72</v>
      </c>
      <c r="D109" t="s">
        <v>75</v>
      </c>
      <c r="E109" s="232" t="s">
        <v>16541</v>
      </c>
      <c r="F109" t="s">
        <v>70</v>
      </c>
      <c r="G109">
        <v>1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s="233" t="s">
        <v>530</v>
      </c>
      <c r="N109" s="233" t="s">
        <v>531</v>
      </c>
      <c r="O109" s="3" t="s">
        <v>2623</v>
      </c>
      <c r="BM109" s="127"/>
      <c r="BN109" s="127"/>
      <c r="BO109" s="127"/>
      <c r="BP109" s="127"/>
      <c r="BQ109" s="127"/>
      <c r="BR109" s="127"/>
      <c r="BS109" s="127"/>
      <c r="BT109" s="127"/>
      <c r="BU109" s="127"/>
      <c r="BV109" s="127"/>
      <c r="BW109" s="127"/>
      <c r="BX109" s="127"/>
      <c r="BY109" s="127"/>
      <c r="BZ109" s="127"/>
      <c r="CA109" s="127"/>
      <c r="ER109" s="127"/>
      <c r="ES109" s="127"/>
      <c r="ET109" s="127"/>
      <c r="EU109" s="127"/>
      <c r="EV109" s="127"/>
      <c r="EW109" s="127"/>
      <c r="EX109" s="127"/>
      <c r="EY109" s="127"/>
      <c r="EZ109" s="127"/>
      <c r="FA109" s="127"/>
      <c r="FB109" s="127"/>
      <c r="FC109" s="127"/>
      <c r="FD109" s="127"/>
      <c r="FE109" s="127"/>
      <c r="FF109" s="127"/>
      <c r="HW109" s="127"/>
      <c r="HX109" s="127"/>
      <c r="HY109" s="127"/>
      <c r="HZ109" s="127"/>
      <c r="IA109" s="127"/>
      <c r="IB109" s="127"/>
      <c r="IC109" s="127"/>
      <c r="ID109" s="127"/>
      <c r="IE109" s="127"/>
      <c r="IF109" s="127"/>
      <c r="IG109" s="127"/>
      <c r="IH109" s="127"/>
      <c r="II109" s="127"/>
      <c r="IJ109" s="127"/>
      <c r="IK109" s="127"/>
      <c r="LB109" s="127"/>
      <c r="LC109" s="127"/>
      <c r="LD109" s="127"/>
      <c r="LE109" s="127"/>
      <c r="LF109" s="127"/>
      <c r="LG109" s="127"/>
      <c r="LH109" s="127"/>
      <c r="LI109" s="127"/>
      <c r="LJ109" s="127"/>
      <c r="LK109" s="127"/>
      <c r="LL109" s="127"/>
      <c r="LM109" s="127"/>
      <c r="LN109" s="127"/>
      <c r="LO109" s="127"/>
      <c r="LP109" s="127"/>
      <c r="OG109" s="127"/>
      <c r="OH109" s="127"/>
      <c r="OI109" s="127"/>
      <c r="OJ109" s="127"/>
      <c r="OK109" s="127"/>
      <c r="OL109" s="127"/>
      <c r="OM109" s="127"/>
      <c r="ON109" s="127"/>
      <c r="OO109" s="127"/>
      <c r="OP109" s="127"/>
      <c r="OQ109" s="127"/>
      <c r="OR109" s="127"/>
      <c r="OS109" s="127"/>
      <c r="OT109" s="127"/>
      <c r="OU109" s="127"/>
    </row>
    <row r="110" spans="1:411">
      <c r="A110">
        <v>9</v>
      </c>
      <c r="B110">
        <v>157</v>
      </c>
      <c r="C110" t="s">
        <v>72</v>
      </c>
      <c r="D110" t="s">
        <v>75</v>
      </c>
      <c r="E110" s="232" t="s">
        <v>16542</v>
      </c>
      <c r="F110" t="s">
        <v>70</v>
      </c>
      <c r="G110">
        <v>1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s="233" t="s">
        <v>530</v>
      </c>
      <c r="N110" s="233" t="s">
        <v>531</v>
      </c>
      <c r="O110" s="3" t="s">
        <v>2623</v>
      </c>
      <c r="BM110" s="127"/>
      <c r="BN110" s="127"/>
      <c r="BO110" s="127"/>
      <c r="BP110" s="127"/>
      <c r="BQ110" s="127"/>
      <c r="BR110" s="127"/>
      <c r="BS110" s="127"/>
      <c r="BT110" s="127"/>
      <c r="BU110" s="127"/>
      <c r="BV110" s="127"/>
      <c r="BW110" s="127"/>
      <c r="BX110" s="127"/>
      <c r="BY110" s="127"/>
      <c r="BZ110" s="127"/>
      <c r="CA110" s="127"/>
      <c r="ER110" s="127"/>
      <c r="ES110" s="127"/>
      <c r="ET110" s="127"/>
      <c r="EU110" s="127"/>
      <c r="EV110" s="127"/>
      <c r="EW110" s="127"/>
      <c r="EX110" s="127"/>
      <c r="EY110" s="127"/>
      <c r="EZ110" s="127"/>
      <c r="FA110" s="127"/>
      <c r="FB110" s="127"/>
      <c r="FC110" s="127"/>
      <c r="FD110" s="127"/>
      <c r="FE110" s="127"/>
      <c r="FF110" s="127"/>
      <c r="HW110" s="127"/>
      <c r="HX110" s="127"/>
      <c r="HY110" s="127"/>
      <c r="HZ110" s="127"/>
      <c r="IA110" s="127"/>
      <c r="IB110" s="127"/>
      <c r="IC110" s="127"/>
      <c r="ID110" s="127"/>
      <c r="IE110" s="127"/>
      <c r="IF110" s="127"/>
      <c r="IG110" s="127"/>
      <c r="IH110" s="127"/>
      <c r="II110" s="127"/>
      <c r="IJ110" s="127"/>
      <c r="IK110" s="127"/>
      <c r="LB110" s="127"/>
      <c r="LC110" s="127"/>
      <c r="LD110" s="127"/>
      <c r="LE110" s="127"/>
      <c r="LF110" s="127"/>
      <c r="LG110" s="127"/>
      <c r="LH110" s="127"/>
      <c r="LI110" s="127"/>
      <c r="LJ110" s="127"/>
      <c r="LK110" s="127"/>
      <c r="LL110" s="127"/>
      <c r="LM110" s="127"/>
      <c r="LN110" s="127"/>
      <c r="LO110" s="127"/>
      <c r="LP110" s="127"/>
      <c r="OG110" s="127"/>
      <c r="OH110" s="127"/>
      <c r="OI110" s="127"/>
      <c r="OJ110" s="127"/>
      <c r="OK110" s="127"/>
      <c r="OL110" s="127"/>
      <c r="OM110" s="127"/>
      <c r="ON110" s="127"/>
      <c r="OO110" s="127"/>
      <c r="OP110" s="127"/>
      <c r="OQ110" s="127"/>
      <c r="OR110" s="127"/>
      <c r="OS110" s="127"/>
      <c r="OT110" s="127"/>
      <c r="OU110" s="127"/>
    </row>
    <row r="111" spans="1:411">
      <c r="A111">
        <v>9</v>
      </c>
      <c r="B111">
        <v>158</v>
      </c>
      <c r="C111" t="s">
        <v>72</v>
      </c>
      <c r="D111" t="s">
        <v>75</v>
      </c>
      <c r="E111" s="232" t="s">
        <v>16543</v>
      </c>
      <c r="F111" t="s">
        <v>70</v>
      </c>
      <c r="G111">
        <v>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s="233" t="s">
        <v>530</v>
      </c>
      <c r="N111" s="233" t="s">
        <v>531</v>
      </c>
      <c r="O111" s="3" t="s">
        <v>2623</v>
      </c>
      <c r="BM111" s="127"/>
      <c r="BN111" s="127"/>
      <c r="BO111" s="127"/>
      <c r="BP111" s="127"/>
      <c r="BQ111" s="127"/>
      <c r="BR111" s="127"/>
      <c r="BS111" s="127"/>
      <c r="BT111" s="127"/>
      <c r="BU111" s="127"/>
      <c r="BV111" s="127"/>
      <c r="BW111" s="127"/>
      <c r="BX111" s="127"/>
      <c r="BY111" s="127"/>
      <c r="BZ111" s="127"/>
      <c r="CA111" s="127"/>
      <c r="ER111" s="127"/>
      <c r="ES111" s="127"/>
      <c r="ET111" s="127"/>
      <c r="EU111" s="127"/>
      <c r="EV111" s="127"/>
      <c r="EW111" s="127"/>
      <c r="EX111" s="127"/>
      <c r="EY111" s="127"/>
      <c r="EZ111" s="127"/>
      <c r="FA111" s="127"/>
      <c r="FB111" s="127"/>
      <c r="FC111" s="127"/>
      <c r="FD111" s="127"/>
      <c r="FE111" s="127"/>
      <c r="FF111" s="127"/>
      <c r="HW111" s="127"/>
      <c r="HX111" s="127"/>
      <c r="HY111" s="127"/>
      <c r="HZ111" s="127"/>
      <c r="IA111" s="127"/>
      <c r="IB111" s="127"/>
      <c r="IC111" s="127"/>
      <c r="ID111" s="127"/>
      <c r="IE111" s="127"/>
      <c r="IF111" s="127"/>
      <c r="IG111" s="127"/>
      <c r="IH111" s="127"/>
      <c r="II111" s="127"/>
      <c r="IJ111" s="127"/>
      <c r="IK111" s="127"/>
      <c r="LB111" s="127"/>
      <c r="LC111" s="127"/>
      <c r="LD111" s="127"/>
      <c r="LE111" s="127"/>
      <c r="LF111" s="127"/>
      <c r="LG111" s="127"/>
      <c r="LH111" s="127"/>
      <c r="LI111" s="127"/>
      <c r="LJ111" s="127"/>
      <c r="LK111" s="127"/>
      <c r="LL111" s="127"/>
      <c r="LM111" s="127"/>
      <c r="LN111" s="127"/>
      <c r="LO111" s="127"/>
      <c r="LP111" s="127"/>
      <c r="OG111" s="127"/>
      <c r="OH111" s="127"/>
      <c r="OI111" s="127"/>
      <c r="OJ111" s="127"/>
      <c r="OK111" s="127"/>
      <c r="OL111" s="127"/>
      <c r="OM111" s="127"/>
      <c r="ON111" s="127"/>
      <c r="OO111" s="127"/>
      <c r="OP111" s="127"/>
      <c r="OQ111" s="127"/>
      <c r="OR111" s="127"/>
      <c r="OS111" s="127"/>
      <c r="OT111" s="127"/>
      <c r="OU111" s="127"/>
    </row>
    <row r="112" spans="1:411">
      <c r="A112">
        <v>9</v>
      </c>
      <c r="B112">
        <v>159</v>
      </c>
      <c r="C112" t="s">
        <v>72</v>
      </c>
      <c r="D112" t="s">
        <v>75</v>
      </c>
      <c r="E112" s="232" t="s">
        <v>16544</v>
      </c>
      <c r="F112" t="s">
        <v>70</v>
      </c>
      <c r="G112">
        <v>1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s="233" t="s">
        <v>530</v>
      </c>
      <c r="N112" s="233" t="s">
        <v>531</v>
      </c>
      <c r="O112" s="3" t="s">
        <v>2623</v>
      </c>
      <c r="BM112" s="127"/>
      <c r="BN112" s="127"/>
      <c r="BO112" s="127"/>
      <c r="BP112" s="127"/>
      <c r="BQ112" s="127"/>
      <c r="BR112" s="127"/>
      <c r="BS112" s="127"/>
      <c r="BT112" s="127"/>
      <c r="BU112" s="127"/>
      <c r="BV112" s="127"/>
      <c r="BW112" s="127"/>
      <c r="BX112" s="127"/>
      <c r="BY112" s="127"/>
      <c r="BZ112" s="127"/>
      <c r="CA112" s="127"/>
      <c r="ER112" s="127"/>
      <c r="ES112" s="127"/>
      <c r="ET112" s="127"/>
      <c r="EU112" s="127"/>
      <c r="EV112" s="127"/>
      <c r="EW112" s="127"/>
      <c r="EX112" s="127"/>
      <c r="EY112" s="127"/>
      <c r="EZ112" s="127"/>
      <c r="FA112" s="127"/>
      <c r="FB112" s="127"/>
      <c r="FC112" s="127"/>
      <c r="FD112" s="127"/>
      <c r="FE112" s="127"/>
      <c r="FF112" s="127"/>
      <c r="HW112" s="127"/>
      <c r="HX112" s="127"/>
      <c r="HY112" s="127"/>
      <c r="HZ112" s="127"/>
      <c r="IA112" s="127"/>
      <c r="IB112" s="127"/>
      <c r="IC112" s="127"/>
      <c r="ID112" s="127"/>
      <c r="IE112" s="127"/>
      <c r="IF112" s="127"/>
      <c r="IG112" s="127"/>
      <c r="IH112" s="127"/>
      <c r="II112" s="127"/>
      <c r="IJ112" s="127"/>
      <c r="IK112" s="127"/>
      <c r="LB112" s="127"/>
      <c r="LC112" s="127"/>
      <c r="LD112" s="127"/>
      <c r="LE112" s="127"/>
      <c r="LF112" s="127"/>
      <c r="LG112" s="127"/>
      <c r="LH112" s="127"/>
      <c r="LI112" s="127"/>
      <c r="LJ112" s="127"/>
      <c r="LK112" s="127"/>
      <c r="LL112" s="127"/>
      <c r="LM112" s="127"/>
      <c r="LN112" s="127"/>
      <c r="LO112" s="127"/>
      <c r="LP112" s="127"/>
      <c r="OG112" s="127"/>
      <c r="OH112" s="127"/>
      <c r="OI112" s="127"/>
      <c r="OJ112" s="127"/>
      <c r="OK112" s="127"/>
      <c r="OL112" s="127"/>
      <c r="OM112" s="127"/>
      <c r="ON112" s="127"/>
      <c r="OO112" s="127"/>
      <c r="OP112" s="127"/>
      <c r="OQ112" s="127"/>
      <c r="OR112" s="127"/>
      <c r="OS112" s="127"/>
      <c r="OT112" s="127"/>
      <c r="OU112" s="127"/>
    </row>
    <row r="113" spans="1:411">
      <c r="A113">
        <v>9</v>
      </c>
      <c r="B113">
        <v>160</v>
      </c>
      <c r="C113" t="s">
        <v>72</v>
      </c>
      <c r="D113" t="s">
        <v>75</v>
      </c>
      <c r="E113" s="232" t="s">
        <v>16545</v>
      </c>
      <c r="F113" t="s">
        <v>70</v>
      </c>
      <c r="G113">
        <v>1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s="233" t="s">
        <v>530</v>
      </c>
      <c r="N113" s="233" t="s">
        <v>531</v>
      </c>
      <c r="O113" s="3" t="s">
        <v>2623</v>
      </c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BY113" s="127"/>
      <c r="BZ113" s="127"/>
      <c r="CA113" s="127"/>
      <c r="ER113" s="127"/>
      <c r="ES113" s="127"/>
      <c r="ET113" s="127"/>
      <c r="EU113" s="127"/>
      <c r="EV113" s="127"/>
      <c r="EW113" s="127"/>
      <c r="EX113" s="127"/>
      <c r="EY113" s="127"/>
      <c r="EZ113" s="127"/>
      <c r="FA113" s="127"/>
      <c r="FB113" s="127"/>
      <c r="FC113" s="127"/>
      <c r="FD113" s="127"/>
      <c r="FE113" s="127"/>
      <c r="FF113" s="127"/>
      <c r="HW113" s="127"/>
      <c r="HX113" s="127"/>
      <c r="HY113" s="127"/>
      <c r="HZ113" s="127"/>
      <c r="IA113" s="127"/>
      <c r="IB113" s="127"/>
      <c r="IC113" s="127"/>
      <c r="ID113" s="127"/>
      <c r="IE113" s="127"/>
      <c r="IF113" s="127"/>
      <c r="IG113" s="127"/>
      <c r="IH113" s="127"/>
      <c r="II113" s="127"/>
      <c r="IJ113" s="127"/>
      <c r="IK113" s="127"/>
      <c r="LB113" s="127"/>
      <c r="LC113" s="127"/>
      <c r="LD113" s="127"/>
      <c r="LE113" s="127"/>
      <c r="LF113" s="127"/>
      <c r="LG113" s="127"/>
      <c r="LH113" s="127"/>
      <c r="LI113" s="127"/>
      <c r="LJ113" s="127"/>
      <c r="LK113" s="127"/>
      <c r="LL113" s="127"/>
      <c r="LM113" s="127"/>
      <c r="LN113" s="127"/>
      <c r="LO113" s="127"/>
      <c r="LP113" s="127"/>
      <c r="OG113" s="127"/>
      <c r="OH113" s="127"/>
      <c r="OI113" s="127"/>
      <c r="OJ113" s="127"/>
      <c r="OK113" s="127"/>
      <c r="OL113" s="127"/>
      <c r="OM113" s="127"/>
      <c r="ON113" s="127"/>
      <c r="OO113" s="127"/>
      <c r="OP113" s="127"/>
      <c r="OQ113" s="127"/>
      <c r="OR113" s="127"/>
      <c r="OS113" s="127"/>
      <c r="OT113" s="127"/>
      <c r="OU113" s="127"/>
    </row>
    <row r="114" spans="1:411">
      <c r="A114">
        <v>9</v>
      </c>
      <c r="B114">
        <v>161</v>
      </c>
      <c r="C114" t="s">
        <v>72</v>
      </c>
      <c r="D114" t="s">
        <v>75</v>
      </c>
      <c r="E114" s="232" t="s">
        <v>16546</v>
      </c>
      <c r="F114" t="s">
        <v>70</v>
      </c>
      <c r="G114">
        <v>1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s="233" t="s">
        <v>530</v>
      </c>
      <c r="N114" s="233" t="s">
        <v>531</v>
      </c>
      <c r="O114" s="3" t="s">
        <v>2623</v>
      </c>
      <c r="BM114" s="127"/>
      <c r="BN114" s="127"/>
      <c r="BO114" s="127"/>
      <c r="BP114" s="127"/>
      <c r="BQ114" s="127"/>
      <c r="BR114" s="127"/>
      <c r="BS114" s="127"/>
      <c r="BT114" s="127"/>
      <c r="BU114" s="127"/>
      <c r="BV114" s="127"/>
      <c r="BW114" s="127"/>
      <c r="BX114" s="127"/>
      <c r="BY114" s="127"/>
      <c r="BZ114" s="127"/>
      <c r="CA114" s="127"/>
      <c r="ER114" s="127"/>
      <c r="ES114" s="127"/>
      <c r="ET114" s="127"/>
      <c r="EU114" s="127"/>
      <c r="EV114" s="127"/>
      <c r="EW114" s="127"/>
      <c r="EX114" s="127"/>
      <c r="EY114" s="127"/>
      <c r="EZ114" s="127"/>
      <c r="FA114" s="127"/>
      <c r="FB114" s="127"/>
      <c r="FC114" s="127"/>
      <c r="FD114" s="127"/>
      <c r="FE114" s="127"/>
      <c r="FF114" s="127"/>
      <c r="HW114" s="127"/>
      <c r="HX114" s="127"/>
      <c r="HY114" s="127"/>
      <c r="HZ114" s="127"/>
      <c r="IA114" s="127"/>
      <c r="IB114" s="127"/>
      <c r="IC114" s="127"/>
      <c r="ID114" s="127"/>
      <c r="IE114" s="127"/>
      <c r="IF114" s="127"/>
      <c r="IG114" s="127"/>
      <c r="IH114" s="127"/>
      <c r="II114" s="127"/>
      <c r="IJ114" s="127"/>
      <c r="IK114" s="127"/>
      <c r="LB114" s="127"/>
      <c r="LC114" s="127"/>
      <c r="LD114" s="127"/>
      <c r="LE114" s="127"/>
      <c r="LF114" s="127"/>
      <c r="LG114" s="127"/>
      <c r="LH114" s="127"/>
      <c r="LI114" s="127"/>
      <c r="LJ114" s="127"/>
      <c r="LK114" s="127"/>
      <c r="LL114" s="127"/>
      <c r="LM114" s="127"/>
      <c r="LN114" s="127"/>
      <c r="LO114" s="127"/>
      <c r="LP114" s="127"/>
      <c r="OG114" s="127"/>
      <c r="OH114" s="127"/>
      <c r="OI114" s="127"/>
      <c r="OJ114" s="127"/>
      <c r="OK114" s="127"/>
      <c r="OL114" s="127"/>
      <c r="OM114" s="127"/>
      <c r="ON114" s="127"/>
      <c r="OO114" s="127"/>
      <c r="OP114" s="127"/>
      <c r="OQ114" s="127"/>
      <c r="OR114" s="127"/>
      <c r="OS114" s="127"/>
      <c r="OT114" s="127"/>
      <c r="OU114" s="127"/>
    </row>
    <row r="115" spans="1:411">
      <c r="A115">
        <v>9</v>
      </c>
      <c r="B115">
        <v>162</v>
      </c>
      <c r="C115" t="s">
        <v>72</v>
      </c>
      <c r="D115" t="s">
        <v>75</v>
      </c>
      <c r="E115" s="232" t="s">
        <v>16547</v>
      </c>
      <c r="F115" t="s">
        <v>70</v>
      </c>
      <c r="G115">
        <v>1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s="233" t="s">
        <v>530</v>
      </c>
      <c r="N115" s="233" t="s">
        <v>531</v>
      </c>
      <c r="O115" s="3" t="s">
        <v>2623</v>
      </c>
      <c r="BM115" s="127"/>
      <c r="BN115" s="127"/>
      <c r="BO115" s="127"/>
      <c r="BP115" s="127"/>
      <c r="BQ115" s="127"/>
      <c r="BR115" s="127"/>
      <c r="BS115" s="127"/>
      <c r="BT115" s="127"/>
      <c r="BU115" s="127"/>
      <c r="BV115" s="127"/>
      <c r="BW115" s="127"/>
      <c r="BX115" s="127"/>
      <c r="BY115" s="127"/>
      <c r="BZ115" s="127"/>
      <c r="CA115" s="127"/>
      <c r="ER115" s="127"/>
      <c r="ES115" s="127"/>
      <c r="ET115" s="127"/>
      <c r="EU115" s="127"/>
      <c r="EV115" s="127"/>
      <c r="EW115" s="127"/>
      <c r="EX115" s="127"/>
      <c r="EY115" s="127"/>
      <c r="EZ115" s="127"/>
      <c r="FA115" s="127"/>
      <c r="FB115" s="127"/>
      <c r="FC115" s="127"/>
      <c r="FD115" s="127"/>
      <c r="FE115" s="127"/>
      <c r="FF115" s="127"/>
      <c r="HW115" s="127"/>
      <c r="HX115" s="127"/>
      <c r="HY115" s="127"/>
      <c r="HZ115" s="127"/>
      <c r="IA115" s="127"/>
      <c r="IB115" s="127"/>
      <c r="IC115" s="127"/>
      <c r="ID115" s="127"/>
      <c r="IE115" s="127"/>
      <c r="IF115" s="127"/>
      <c r="IG115" s="127"/>
      <c r="IH115" s="127"/>
      <c r="II115" s="127"/>
      <c r="IJ115" s="127"/>
      <c r="IK115" s="127"/>
      <c r="LB115" s="127"/>
      <c r="LC115" s="127"/>
      <c r="LD115" s="127"/>
      <c r="LE115" s="127"/>
      <c r="LF115" s="127"/>
      <c r="LG115" s="127"/>
      <c r="LH115" s="127"/>
      <c r="LI115" s="127"/>
      <c r="LJ115" s="127"/>
      <c r="LK115" s="127"/>
      <c r="LL115" s="127"/>
      <c r="LM115" s="127"/>
      <c r="LN115" s="127"/>
      <c r="LO115" s="127"/>
      <c r="LP115" s="127"/>
      <c r="OG115" s="127"/>
      <c r="OH115" s="127"/>
      <c r="OI115" s="127"/>
      <c r="OJ115" s="127"/>
      <c r="OK115" s="127"/>
      <c r="OL115" s="127"/>
      <c r="OM115" s="127"/>
      <c r="ON115" s="127"/>
      <c r="OO115" s="127"/>
      <c r="OP115" s="127"/>
      <c r="OQ115" s="127"/>
      <c r="OR115" s="127"/>
      <c r="OS115" s="127"/>
      <c r="OT115" s="127"/>
      <c r="OU115" s="127"/>
    </row>
    <row r="116" spans="1:411">
      <c r="A116">
        <v>9</v>
      </c>
      <c r="B116">
        <v>163</v>
      </c>
      <c r="C116" t="s">
        <v>72</v>
      </c>
      <c r="D116" t="s">
        <v>75</v>
      </c>
      <c r="E116" s="232" t="s">
        <v>16548</v>
      </c>
      <c r="F116" t="s">
        <v>70</v>
      </c>
      <c r="G116">
        <v>1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s="233" t="s">
        <v>530</v>
      </c>
      <c r="N116" s="233" t="s">
        <v>531</v>
      </c>
      <c r="O116" s="3" t="s">
        <v>2623</v>
      </c>
      <c r="BM116" s="127"/>
      <c r="BN116" s="127"/>
      <c r="BO116" s="127"/>
      <c r="BP116" s="127"/>
      <c r="BQ116" s="127"/>
      <c r="BR116" s="127"/>
      <c r="BS116" s="127"/>
      <c r="BT116" s="127"/>
      <c r="BU116" s="127"/>
      <c r="BV116" s="127"/>
      <c r="BW116" s="127"/>
      <c r="BX116" s="127"/>
      <c r="BY116" s="127"/>
      <c r="BZ116" s="127"/>
      <c r="CA116" s="127"/>
      <c r="ER116" s="127"/>
      <c r="ES116" s="127"/>
      <c r="ET116" s="127"/>
      <c r="EU116" s="127"/>
      <c r="EV116" s="127"/>
      <c r="EW116" s="127"/>
      <c r="EX116" s="127"/>
      <c r="EY116" s="127"/>
      <c r="EZ116" s="127"/>
      <c r="FA116" s="127"/>
      <c r="FB116" s="127"/>
      <c r="FC116" s="127"/>
      <c r="FD116" s="127"/>
      <c r="FE116" s="127"/>
      <c r="FF116" s="127"/>
      <c r="HW116" s="127"/>
      <c r="HX116" s="127"/>
      <c r="HY116" s="127"/>
      <c r="HZ116" s="127"/>
      <c r="IA116" s="127"/>
      <c r="IB116" s="127"/>
      <c r="IC116" s="127"/>
      <c r="ID116" s="127"/>
      <c r="IE116" s="127"/>
      <c r="IF116" s="127"/>
      <c r="IG116" s="127"/>
      <c r="IH116" s="127"/>
      <c r="II116" s="127"/>
      <c r="IJ116" s="127"/>
      <c r="IK116" s="127"/>
      <c r="LB116" s="127"/>
      <c r="LC116" s="127"/>
      <c r="LD116" s="127"/>
      <c r="LE116" s="127"/>
      <c r="LF116" s="127"/>
      <c r="LG116" s="127"/>
      <c r="LH116" s="127"/>
      <c r="LI116" s="127"/>
      <c r="LJ116" s="127"/>
      <c r="LK116" s="127"/>
      <c r="LL116" s="127"/>
      <c r="LM116" s="127"/>
      <c r="LN116" s="127"/>
      <c r="LO116" s="127"/>
      <c r="LP116" s="127"/>
      <c r="OG116" s="127"/>
      <c r="OH116" s="127"/>
      <c r="OI116" s="127"/>
      <c r="OJ116" s="127"/>
      <c r="OK116" s="127"/>
      <c r="OL116" s="127"/>
      <c r="OM116" s="127"/>
      <c r="ON116" s="127"/>
      <c r="OO116" s="127"/>
      <c r="OP116" s="127"/>
      <c r="OQ116" s="127"/>
      <c r="OR116" s="127"/>
      <c r="OS116" s="127"/>
      <c r="OT116" s="127"/>
      <c r="OU116" s="127"/>
    </row>
    <row r="117" spans="1:411">
      <c r="A117">
        <v>9</v>
      </c>
      <c r="B117">
        <v>164</v>
      </c>
      <c r="C117" t="s">
        <v>72</v>
      </c>
      <c r="D117" t="s">
        <v>75</v>
      </c>
      <c r="E117" s="232" t="s">
        <v>16549</v>
      </c>
      <c r="F117" t="s">
        <v>70</v>
      </c>
      <c r="G117">
        <v>1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s="233" t="s">
        <v>530</v>
      </c>
      <c r="N117" s="233" t="s">
        <v>531</v>
      </c>
      <c r="O117" s="3" t="s">
        <v>2623</v>
      </c>
      <c r="BM117" s="127"/>
      <c r="BN117" s="127"/>
      <c r="BO117" s="127"/>
      <c r="BP117" s="127"/>
      <c r="BQ117" s="127"/>
      <c r="BR117" s="127"/>
      <c r="BS117" s="127"/>
      <c r="BT117" s="127"/>
      <c r="BU117" s="127"/>
      <c r="BV117" s="127"/>
      <c r="BW117" s="127"/>
      <c r="BX117" s="127"/>
      <c r="BY117" s="127"/>
      <c r="BZ117" s="127"/>
      <c r="CA117" s="127"/>
      <c r="ER117" s="127"/>
      <c r="ES117" s="127"/>
      <c r="ET117" s="127"/>
      <c r="EU117" s="127"/>
      <c r="EV117" s="127"/>
      <c r="EW117" s="127"/>
      <c r="EX117" s="127"/>
      <c r="EY117" s="127"/>
      <c r="EZ117" s="127"/>
      <c r="FA117" s="127"/>
      <c r="FB117" s="127"/>
      <c r="FC117" s="127"/>
      <c r="FD117" s="127"/>
      <c r="FE117" s="127"/>
      <c r="FF117" s="127"/>
      <c r="HW117" s="127"/>
      <c r="HX117" s="127"/>
      <c r="HY117" s="127"/>
      <c r="HZ117" s="127"/>
      <c r="IA117" s="127"/>
      <c r="IB117" s="127"/>
      <c r="IC117" s="127"/>
      <c r="ID117" s="127"/>
      <c r="IE117" s="127"/>
      <c r="IF117" s="127"/>
      <c r="IG117" s="127"/>
      <c r="IH117" s="127"/>
      <c r="II117" s="127"/>
      <c r="IJ117" s="127"/>
      <c r="IK117" s="127"/>
      <c r="LB117" s="127"/>
      <c r="LC117" s="127"/>
      <c r="LD117" s="127"/>
      <c r="LE117" s="127"/>
      <c r="LF117" s="127"/>
      <c r="LG117" s="127"/>
      <c r="LH117" s="127"/>
      <c r="LI117" s="127"/>
      <c r="LJ117" s="127"/>
      <c r="LK117" s="127"/>
      <c r="LL117" s="127"/>
      <c r="LM117" s="127"/>
      <c r="LN117" s="127"/>
      <c r="LO117" s="127"/>
      <c r="LP117" s="127"/>
      <c r="OG117" s="127"/>
      <c r="OH117" s="127"/>
      <c r="OI117" s="127"/>
      <c r="OJ117" s="127"/>
      <c r="OK117" s="127"/>
      <c r="OL117" s="127"/>
      <c r="OM117" s="127"/>
      <c r="ON117" s="127"/>
      <c r="OO117" s="127"/>
      <c r="OP117" s="127"/>
      <c r="OQ117" s="127"/>
      <c r="OR117" s="127"/>
      <c r="OS117" s="127"/>
      <c r="OT117" s="127"/>
      <c r="OU117" s="127"/>
    </row>
    <row r="118" spans="1:411">
      <c r="A118">
        <v>9</v>
      </c>
      <c r="B118">
        <v>165</v>
      </c>
      <c r="C118" t="s">
        <v>72</v>
      </c>
      <c r="D118" t="s">
        <v>75</v>
      </c>
      <c r="E118" s="232" t="s">
        <v>16550</v>
      </c>
      <c r="F118" t="s">
        <v>70</v>
      </c>
      <c r="G118">
        <v>1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s="233" t="s">
        <v>530</v>
      </c>
      <c r="N118" s="233" t="s">
        <v>531</v>
      </c>
      <c r="O118" s="3" t="s">
        <v>2623</v>
      </c>
      <c r="BM118" s="127"/>
      <c r="BN118" s="127"/>
      <c r="BO118" s="127"/>
      <c r="BP118" s="127"/>
      <c r="BQ118" s="127"/>
      <c r="BR118" s="127"/>
      <c r="BS118" s="127"/>
      <c r="BT118" s="127"/>
      <c r="BU118" s="127"/>
      <c r="BV118" s="127"/>
      <c r="BW118" s="127"/>
      <c r="BX118" s="127"/>
      <c r="BY118" s="127"/>
      <c r="BZ118" s="127"/>
      <c r="CA118" s="127"/>
      <c r="ER118" s="127"/>
      <c r="ES118" s="127"/>
      <c r="ET118" s="127"/>
      <c r="EU118" s="127"/>
      <c r="EV118" s="127"/>
      <c r="EW118" s="127"/>
      <c r="EX118" s="127"/>
      <c r="EY118" s="127"/>
      <c r="EZ118" s="127"/>
      <c r="FA118" s="127"/>
      <c r="FB118" s="127"/>
      <c r="FC118" s="127"/>
      <c r="FD118" s="127"/>
      <c r="FE118" s="127"/>
      <c r="FF118" s="127"/>
      <c r="HW118" s="127"/>
      <c r="HX118" s="127"/>
      <c r="HY118" s="127"/>
      <c r="HZ118" s="127"/>
      <c r="IA118" s="127"/>
      <c r="IB118" s="127"/>
      <c r="IC118" s="127"/>
      <c r="ID118" s="127"/>
      <c r="IE118" s="127"/>
      <c r="IF118" s="127"/>
      <c r="IG118" s="127"/>
      <c r="IH118" s="127"/>
      <c r="II118" s="127"/>
      <c r="IJ118" s="127"/>
      <c r="IK118" s="127"/>
      <c r="LB118" s="127"/>
      <c r="LC118" s="127"/>
      <c r="LD118" s="127"/>
      <c r="LE118" s="127"/>
      <c r="LF118" s="127"/>
      <c r="LG118" s="127"/>
      <c r="LH118" s="127"/>
      <c r="LI118" s="127"/>
      <c r="LJ118" s="127"/>
      <c r="LK118" s="127"/>
      <c r="LL118" s="127"/>
      <c r="LM118" s="127"/>
      <c r="LN118" s="127"/>
      <c r="LO118" s="127"/>
      <c r="LP118" s="127"/>
      <c r="OG118" s="127"/>
      <c r="OH118" s="127"/>
      <c r="OI118" s="127"/>
      <c r="OJ118" s="127"/>
      <c r="OK118" s="127"/>
      <c r="OL118" s="127"/>
      <c r="OM118" s="127"/>
      <c r="ON118" s="127"/>
      <c r="OO118" s="127"/>
      <c r="OP118" s="127"/>
      <c r="OQ118" s="127"/>
      <c r="OR118" s="127"/>
      <c r="OS118" s="127"/>
      <c r="OT118" s="127"/>
      <c r="OU118" s="127"/>
    </row>
    <row r="119" spans="1:411">
      <c r="A119">
        <v>9</v>
      </c>
      <c r="B119">
        <v>166</v>
      </c>
      <c r="C119" t="s">
        <v>72</v>
      </c>
      <c r="D119" t="s">
        <v>75</v>
      </c>
      <c r="E119" s="232" t="s">
        <v>16551</v>
      </c>
      <c r="F119" t="s">
        <v>70</v>
      </c>
      <c r="G119">
        <v>1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s="233" t="s">
        <v>530</v>
      </c>
      <c r="N119" s="233" t="s">
        <v>531</v>
      </c>
      <c r="O119" s="3" t="s">
        <v>2623</v>
      </c>
      <c r="BM119" s="127"/>
      <c r="BN119" s="127"/>
      <c r="BO119" s="127"/>
      <c r="BP119" s="127"/>
      <c r="BQ119" s="127"/>
      <c r="BR119" s="127"/>
      <c r="BS119" s="127"/>
      <c r="BT119" s="127"/>
      <c r="BU119" s="127"/>
      <c r="BV119" s="127"/>
      <c r="BW119" s="127"/>
      <c r="BX119" s="127"/>
      <c r="BY119" s="127"/>
      <c r="BZ119" s="127"/>
      <c r="CA119" s="127"/>
      <c r="ER119" s="127"/>
      <c r="ES119" s="127"/>
      <c r="ET119" s="127"/>
      <c r="EU119" s="127"/>
      <c r="EV119" s="127"/>
      <c r="EW119" s="127"/>
      <c r="EX119" s="127"/>
      <c r="EY119" s="127"/>
      <c r="EZ119" s="127"/>
      <c r="FA119" s="127"/>
      <c r="FB119" s="127"/>
      <c r="FC119" s="127"/>
      <c r="FD119" s="127"/>
      <c r="FE119" s="127"/>
      <c r="FF119" s="127"/>
      <c r="HW119" s="127"/>
      <c r="HX119" s="127"/>
      <c r="HY119" s="127"/>
      <c r="HZ119" s="127"/>
      <c r="IA119" s="127"/>
      <c r="IB119" s="127"/>
      <c r="IC119" s="127"/>
      <c r="ID119" s="127"/>
      <c r="IE119" s="127"/>
      <c r="IF119" s="127"/>
      <c r="IG119" s="127"/>
      <c r="IH119" s="127"/>
      <c r="II119" s="127"/>
      <c r="IJ119" s="127"/>
      <c r="IK119" s="127"/>
      <c r="LB119" s="127"/>
      <c r="LC119" s="127"/>
      <c r="LD119" s="127"/>
      <c r="LE119" s="127"/>
      <c r="LF119" s="127"/>
      <c r="LG119" s="127"/>
      <c r="LH119" s="127"/>
      <c r="LI119" s="127"/>
      <c r="LJ119" s="127"/>
      <c r="LK119" s="127"/>
      <c r="LL119" s="127"/>
      <c r="LM119" s="127"/>
      <c r="LN119" s="127"/>
      <c r="LO119" s="127"/>
      <c r="LP119" s="127"/>
      <c r="OG119" s="127"/>
      <c r="OH119" s="127"/>
      <c r="OI119" s="127"/>
      <c r="OJ119" s="127"/>
      <c r="OK119" s="127"/>
      <c r="OL119" s="127"/>
      <c r="OM119" s="127"/>
      <c r="ON119" s="127"/>
      <c r="OO119" s="127"/>
      <c r="OP119" s="127"/>
      <c r="OQ119" s="127"/>
      <c r="OR119" s="127"/>
      <c r="OS119" s="127"/>
      <c r="OT119" s="127"/>
      <c r="OU119" s="127"/>
    </row>
    <row r="120" spans="1:411">
      <c r="A120">
        <v>9</v>
      </c>
      <c r="B120">
        <v>167</v>
      </c>
      <c r="C120" t="s">
        <v>72</v>
      </c>
      <c r="D120" t="s">
        <v>75</v>
      </c>
      <c r="E120" s="232" t="s">
        <v>16552</v>
      </c>
      <c r="F120" t="s">
        <v>70</v>
      </c>
      <c r="G120">
        <v>1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s="233" t="s">
        <v>530</v>
      </c>
      <c r="N120" s="233" t="s">
        <v>531</v>
      </c>
      <c r="O120" s="3" t="s">
        <v>2623</v>
      </c>
      <c r="BM120" s="127"/>
      <c r="BN120" s="127"/>
      <c r="BO120" s="127"/>
      <c r="BP120" s="127"/>
      <c r="BQ120" s="127"/>
      <c r="BR120" s="127"/>
      <c r="BS120" s="127"/>
      <c r="BT120" s="127"/>
      <c r="BU120" s="127"/>
      <c r="BV120" s="127"/>
      <c r="BW120" s="127"/>
      <c r="BX120" s="127"/>
      <c r="BY120" s="127"/>
      <c r="BZ120" s="127"/>
      <c r="CA120" s="127"/>
      <c r="ER120" s="127"/>
      <c r="ES120" s="127"/>
      <c r="ET120" s="127"/>
      <c r="EU120" s="127"/>
      <c r="EV120" s="127"/>
      <c r="EW120" s="127"/>
      <c r="EX120" s="127"/>
      <c r="EY120" s="127"/>
      <c r="EZ120" s="127"/>
      <c r="FA120" s="127"/>
      <c r="FB120" s="127"/>
      <c r="FC120" s="127"/>
      <c r="FD120" s="127"/>
      <c r="FE120" s="127"/>
      <c r="FF120" s="127"/>
      <c r="HW120" s="127"/>
      <c r="HX120" s="127"/>
      <c r="HY120" s="127"/>
      <c r="HZ120" s="127"/>
      <c r="IA120" s="127"/>
      <c r="IB120" s="127"/>
      <c r="IC120" s="127"/>
      <c r="ID120" s="127"/>
      <c r="IE120" s="127"/>
      <c r="IF120" s="127"/>
      <c r="IG120" s="127"/>
      <c r="IH120" s="127"/>
      <c r="II120" s="127"/>
      <c r="IJ120" s="127"/>
      <c r="IK120" s="127"/>
      <c r="LB120" s="127"/>
      <c r="LC120" s="127"/>
      <c r="LD120" s="127"/>
      <c r="LE120" s="127"/>
      <c r="LF120" s="127"/>
      <c r="LG120" s="127"/>
      <c r="LH120" s="127"/>
      <c r="LI120" s="127"/>
      <c r="LJ120" s="127"/>
      <c r="LK120" s="127"/>
      <c r="LL120" s="127"/>
      <c r="LM120" s="127"/>
      <c r="LN120" s="127"/>
      <c r="LO120" s="127"/>
      <c r="LP120" s="127"/>
      <c r="OG120" s="127"/>
      <c r="OH120" s="127"/>
      <c r="OI120" s="127"/>
      <c r="OJ120" s="127"/>
      <c r="OK120" s="127"/>
      <c r="OL120" s="127"/>
      <c r="OM120" s="127"/>
      <c r="ON120" s="127"/>
      <c r="OO120" s="127"/>
      <c r="OP120" s="127"/>
      <c r="OQ120" s="127"/>
      <c r="OR120" s="127"/>
      <c r="OS120" s="127"/>
      <c r="OT120" s="127"/>
      <c r="OU120" s="127"/>
    </row>
    <row r="121" spans="1:411">
      <c r="A121">
        <v>9</v>
      </c>
      <c r="B121">
        <v>168</v>
      </c>
      <c r="C121" t="s">
        <v>72</v>
      </c>
      <c r="D121" t="s">
        <v>75</v>
      </c>
      <c r="E121" s="232" t="s">
        <v>16553</v>
      </c>
      <c r="F121" t="s">
        <v>70</v>
      </c>
      <c r="G121">
        <v>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s="233" t="s">
        <v>530</v>
      </c>
      <c r="N121" s="233" t="s">
        <v>531</v>
      </c>
      <c r="O121" s="3" t="s">
        <v>2623</v>
      </c>
      <c r="BM121" s="127"/>
      <c r="BN121" s="127"/>
      <c r="BO121" s="127"/>
      <c r="BP121" s="127"/>
      <c r="BQ121" s="127"/>
      <c r="BR121" s="127"/>
      <c r="BS121" s="127"/>
      <c r="BT121" s="127"/>
      <c r="BU121" s="127"/>
      <c r="BV121" s="127"/>
      <c r="BW121" s="127"/>
      <c r="BX121" s="127"/>
      <c r="BY121" s="127"/>
      <c r="BZ121" s="127"/>
      <c r="CA121" s="127"/>
      <c r="ER121" s="127"/>
      <c r="ES121" s="127"/>
      <c r="ET121" s="127"/>
      <c r="EU121" s="127"/>
      <c r="EV121" s="127"/>
      <c r="EW121" s="127"/>
      <c r="EX121" s="127"/>
      <c r="EY121" s="127"/>
      <c r="EZ121" s="127"/>
      <c r="FA121" s="127"/>
      <c r="FB121" s="127"/>
      <c r="FC121" s="127"/>
      <c r="FD121" s="127"/>
      <c r="FE121" s="127"/>
      <c r="FF121" s="127"/>
      <c r="HW121" s="127"/>
      <c r="HX121" s="127"/>
      <c r="HY121" s="127"/>
      <c r="HZ121" s="127"/>
      <c r="IA121" s="127"/>
      <c r="IB121" s="127"/>
      <c r="IC121" s="127"/>
      <c r="ID121" s="127"/>
      <c r="IE121" s="127"/>
      <c r="IF121" s="127"/>
      <c r="IG121" s="127"/>
      <c r="IH121" s="127"/>
      <c r="II121" s="127"/>
      <c r="IJ121" s="127"/>
      <c r="IK121" s="127"/>
      <c r="LB121" s="127"/>
      <c r="LC121" s="127"/>
      <c r="LD121" s="127"/>
      <c r="LE121" s="127"/>
      <c r="LF121" s="127"/>
      <c r="LG121" s="127"/>
      <c r="LH121" s="127"/>
      <c r="LI121" s="127"/>
      <c r="LJ121" s="127"/>
      <c r="LK121" s="127"/>
      <c r="LL121" s="127"/>
      <c r="LM121" s="127"/>
      <c r="LN121" s="127"/>
      <c r="LO121" s="127"/>
      <c r="LP121" s="127"/>
      <c r="OG121" s="127"/>
      <c r="OH121" s="127"/>
      <c r="OI121" s="127"/>
      <c r="OJ121" s="127"/>
      <c r="OK121" s="127"/>
      <c r="OL121" s="127"/>
      <c r="OM121" s="127"/>
      <c r="ON121" s="127"/>
      <c r="OO121" s="127"/>
      <c r="OP121" s="127"/>
      <c r="OQ121" s="127"/>
      <c r="OR121" s="127"/>
      <c r="OS121" s="127"/>
      <c r="OT121" s="127"/>
      <c r="OU121" s="127"/>
    </row>
    <row r="122" spans="1:411">
      <c r="A122">
        <v>9</v>
      </c>
      <c r="B122">
        <v>169</v>
      </c>
      <c r="C122" t="s">
        <v>72</v>
      </c>
      <c r="D122" t="s">
        <v>75</v>
      </c>
      <c r="E122" s="232" t="s">
        <v>16554</v>
      </c>
      <c r="F122" t="s">
        <v>70</v>
      </c>
      <c r="G122">
        <v>1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s="233" t="s">
        <v>530</v>
      </c>
      <c r="N122" s="233" t="s">
        <v>531</v>
      </c>
      <c r="O122" s="3" t="s">
        <v>2623</v>
      </c>
      <c r="BM122" s="127"/>
      <c r="BN122" s="127"/>
      <c r="BO122" s="127"/>
      <c r="BP122" s="127"/>
      <c r="BQ122" s="127"/>
      <c r="BR122" s="127"/>
      <c r="BS122" s="127"/>
      <c r="BT122" s="127"/>
      <c r="BU122" s="127"/>
      <c r="BV122" s="127"/>
      <c r="BW122" s="127"/>
      <c r="BX122" s="127"/>
      <c r="BY122" s="127"/>
      <c r="BZ122" s="127"/>
      <c r="CA122" s="127"/>
      <c r="ER122" s="127"/>
      <c r="ES122" s="127"/>
      <c r="ET122" s="127"/>
      <c r="EU122" s="127"/>
      <c r="EV122" s="127"/>
      <c r="EW122" s="127"/>
      <c r="EX122" s="127"/>
      <c r="EY122" s="127"/>
      <c r="EZ122" s="127"/>
      <c r="FA122" s="127"/>
      <c r="FB122" s="127"/>
      <c r="FC122" s="127"/>
      <c r="FD122" s="127"/>
      <c r="FE122" s="127"/>
      <c r="FF122" s="127"/>
      <c r="HW122" s="127"/>
      <c r="HX122" s="127"/>
      <c r="HY122" s="127"/>
      <c r="HZ122" s="127"/>
      <c r="IA122" s="127"/>
      <c r="IB122" s="127"/>
      <c r="IC122" s="127"/>
      <c r="ID122" s="127"/>
      <c r="IE122" s="127"/>
      <c r="IF122" s="127"/>
      <c r="IG122" s="127"/>
      <c r="IH122" s="127"/>
      <c r="II122" s="127"/>
      <c r="IJ122" s="127"/>
      <c r="IK122" s="127"/>
      <c r="LB122" s="127"/>
      <c r="LC122" s="127"/>
      <c r="LD122" s="127"/>
      <c r="LE122" s="127"/>
      <c r="LF122" s="127"/>
      <c r="LG122" s="127"/>
      <c r="LH122" s="127"/>
      <c r="LI122" s="127"/>
      <c r="LJ122" s="127"/>
      <c r="LK122" s="127"/>
      <c r="LL122" s="127"/>
      <c r="LM122" s="127"/>
      <c r="LN122" s="127"/>
      <c r="LO122" s="127"/>
      <c r="LP122" s="127"/>
      <c r="OG122" s="127"/>
      <c r="OH122" s="127"/>
      <c r="OI122" s="127"/>
      <c r="OJ122" s="127"/>
      <c r="OK122" s="127"/>
      <c r="OL122" s="127"/>
      <c r="OM122" s="127"/>
      <c r="ON122" s="127"/>
      <c r="OO122" s="127"/>
      <c r="OP122" s="127"/>
      <c r="OQ122" s="127"/>
      <c r="OR122" s="127"/>
      <c r="OS122" s="127"/>
      <c r="OT122" s="127"/>
      <c r="OU122" s="127"/>
    </row>
    <row r="123" spans="1:411">
      <c r="A123">
        <v>9</v>
      </c>
      <c r="B123">
        <v>170</v>
      </c>
      <c r="C123" t="s">
        <v>72</v>
      </c>
      <c r="D123" t="s">
        <v>75</v>
      </c>
      <c r="E123" s="232" t="s">
        <v>16555</v>
      </c>
      <c r="F123" t="s">
        <v>70</v>
      </c>
      <c r="G123">
        <v>1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s="233" t="s">
        <v>530</v>
      </c>
      <c r="N123" s="233" t="s">
        <v>531</v>
      </c>
      <c r="O123" s="3" t="s">
        <v>2623</v>
      </c>
      <c r="BM123" s="127"/>
      <c r="BN123" s="127"/>
      <c r="BO123" s="127"/>
      <c r="BP123" s="127"/>
      <c r="BQ123" s="127"/>
      <c r="BR123" s="127"/>
      <c r="BS123" s="127"/>
      <c r="BT123" s="127"/>
      <c r="BU123" s="127"/>
      <c r="BV123" s="127"/>
      <c r="BW123" s="127"/>
      <c r="BX123" s="127"/>
      <c r="BY123" s="127"/>
      <c r="BZ123" s="127"/>
      <c r="CA123" s="127"/>
      <c r="ER123" s="127"/>
      <c r="ES123" s="127"/>
      <c r="ET123" s="127"/>
      <c r="EU123" s="127"/>
      <c r="EV123" s="127"/>
      <c r="EW123" s="127"/>
      <c r="EX123" s="127"/>
      <c r="EY123" s="127"/>
      <c r="EZ123" s="127"/>
      <c r="FA123" s="127"/>
      <c r="FB123" s="127"/>
      <c r="FC123" s="127"/>
      <c r="FD123" s="127"/>
      <c r="FE123" s="127"/>
      <c r="FF123" s="127"/>
      <c r="HW123" s="127"/>
      <c r="HX123" s="127"/>
      <c r="HY123" s="127"/>
      <c r="HZ123" s="127"/>
      <c r="IA123" s="127"/>
      <c r="IB123" s="127"/>
      <c r="IC123" s="127"/>
      <c r="ID123" s="127"/>
      <c r="IE123" s="127"/>
      <c r="IF123" s="127"/>
      <c r="IG123" s="127"/>
      <c r="IH123" s="127"/>
      <c r="II123" s="127"/>
      <c r="IJ123" s="127"/>
      <c r="IK123" s="127"/>
      <c r="LB123" s="127"/>
      <c r="LC123" s="127"/>
      <c r="LD123" s="127"/>
      <c r="LE123" s="127"/>
      <c r="LF123" s="127"/>
      <c r="LG123" s="127"/>
      <c r="LH123" s="127"/>
      <c r="LI123" s="127"/>
      <c r="LJ123" s="127"/>
      <c r="LK123" s="127"/>
      <c r="LL123" s="127"/>
      <c r="LM123" s="127"/>
      <c r="LN123" s="127"/>
      <c r="LO123" s="127"/>
      <c r="LP123" s="127"/>
      <c r="OG123" s="127"/>
      <c r="OH123" s="127"/>
      <c r="OI123" s="127"/>
      <c r="OJ123" s="127"/>
      <c r="OK123" s="127"/>
      <c r="OL123" s="127"/>
      <c r="OM123" s="127"/>
      <c r="ON123" s="127"/>
      <c r="OO123" s="127"/>
      <c r="OP123" s="127"/>
      <c r="OQ123" s="127"/>
      <c r="OR123" s="127"/>
      <c r="OS123" s="127"/>
      <c r="OT123" s="127"/>
      <c r="OU123" s="127"/>
    </row>
    <row r="124" spans="1:411">
      <c r="A124">
        <v>9</v>
      </c>
      <c r="B124">
        <v>171</v>
      </c>
      <c r="C124" t="s">
        <v>72</v>
      </c>
      <c r="D124" t="s">
        <v>75</v>
      </c>
      <c r="E124" s="232" t="s">
        <v>16556</v>
      </c>
      <c r="F124" t="s">
        <v>70</v>
      </c>
      <c r="G124">
        <v>1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s="233" t="s">
        <v>530</v>
      </c>
      <c r="N124" s="233" t="s">
        <v>531</v>
      </c>
      <c r="O124" s="3" t="s">
        <v>2623</v>
      </c>
      <c r="BM124" s="127"/>
      <c r="BN124" s="127"/>
      <c r="BO124" s="127"/>
      <c r="BP124" s="127"/>
      <c r="BQ124" s="127"/>
      <c r="BR124" s="127"/>
      <c r="BS124" s="127"/>
      <c r="BT124" s="127"/>
      <c r="BU124" s="127"/>
      <c r="BV124" s="127"/>
      <c r="BW124" s="127"/>
      <c r="BX124" s="127"/>
      <c r="BY124" s="127"/>
      <c r="BZ124" s="127"/>
      <c r="CA124" s="127"/>
      <c r="ER124" s="127"/>
      <c r="ES124" s="127"/>
      <c r="ET124" s="127"/>
      <c r="EU124" s="127"/>
      <c r="EV124" s="127"/>
      <c r="EW124" s="127"/>
      <c r="EX124" s="127"/>
      <c r="EY124" s="127"/>
      <c r="EZ124" s="127"/>
      <c r="FA124" s="127"/>
      <c r="FB124" s="127"/>
      <c r="FC124" s="127"/>
      <c r="FD124" s="127"/>
      <c r="FE124" s="127"/>
      <c r="FF124" s="127"/>
      <c r="HW124" s="127"/>
      <c r="HX124" s="127"/>
      <c r="HY124" s="127"/>
      <c r="HZ124" s="127"/>
      <c r="IA124" s="127"/>
      <c r="IB124" s="127"/>
      <c r="IC124" s="127"/>
      <c r="ID124" s="127"/>
      <c r="IE124" s="127"/>
      <c r="IF124" s="127"/>
      <c r="IG124" s="127"/>
      <c r="IH124" s="127"/>
      <c r="II124" s="127"/>
      <c r="IJ124" s="127"/>
      <c r="IK124" s="127"/>
      <c r="LB124" s="127"/>
      <c r="LC124" s="127"/>
      <c r="LD124" s="127"/>
      <c r="LE124" s="127"/>
      <c r="LF124" s="127"/>
      <c r="LG124" s="127"/>
      <c r="LH124" s="127"/>
      <c r="LI124" s="127"/>
      <c r="LJ124" s="127"/>
      <c r="LK124" s="127"/>
      <c r="LL124" s="127"/>
      <c r="LM124" s="127"/>
      <c r="LN124" s="127"/>
      <c r="LO124" s="127"/>
      <c r="LP124" s="127"/>
      <c r="OG124" s="127"/>
      <c r="OH124" s="127"/>
      <c r="OI124" s="127"/>
      <c r="OJ124" s="127"/>
      <c r="OK124" s="127"/>
      <c r="OL124" s="127"/>
      <c r="OM124" s="127"/>
      <c r="ON124" s="127"/>
      <c r="OO124" s="127"/>
      <c r="OP124" s="127"/>
      <c r="OQ124" s="127"/>
      <c r="OR124" s="127"/>
      <c r="OS124" s="127"/>
      <c r="OT124" s="127"/>
      <c r="OU124" s="127"/>
    </row>
    <row r="125" spans="1:411">
      <c r="A125">
        <v>9</v>
      </c>
      <c r="B125">
        <v>172</v>
      </c>
      <c r="C125" t="s">
        <v>72</v>
      </c>
      <c r="D125" t="s">
        <v>75</v>
      </c>
      <c r="E125" s="232" t="s">
        <v>16557</v>
      </c>
      <c r="F125" t="s">
        <v>70</v>
      </c>
      <c r="G125">
        <v>1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s="233" t="s">
        <v>530</v>
      </c>
      <c r="N125" s="233" t="s">
        <v>531</v>
      </c>
      <c r="O125" s="3" t="s">
        <v>2623</v>
      </c>
      <c r="BM125" s="127"/>
      <c r="BN125" s="127"/>
      <c r="BO125" s="127"/>
      <c r="BP125" s="127"/>
      <c r="BQ125" s="127"/>
      <c r="BR125" s="127"/>
      <c r="BS125" s="127"/>
      <c r="BT125" s="127"/>
      <c r="BU125" s="127"/>
      <c r="BV125" s="127"/>
      <c r="BW125" s="127"/>
      <c r="BX125" s="127"/>
      <c r="BY125" s="127"/>
      <c r="BZ125" s="127"/>
      <c r="CA125" s="127"/>
      <c r="ER125" s="127"/>
      <c r="ES125" s="127"/>
      <c r="ET125" s="127"/>
      <c r="EU125" s="127"/>
      <c r="EV125" s="127"/>
      <c r="EW125" s="127"/>
      <c r="EX125" s="127"/>
      <c r="EY125" s="127"/>
      <c r="EZ125" s="127"/>
      <c r="FA125" s="127"/>
      <c r="FB125" s="127"/>
      <c r="FC125" s="127"/>
      <c r="FD125" s="127"/>
      <c r="FE125" s="127"/>
      <c r="FF125" s="127"/>
      <c r="HW125" s="127"/>
      <c r="HX125" s="127"/>
      <c r="HY125" s="127"/>
      <c r="HZ125" s="127"/>
      <c r="IA125" s="127"/>
      <c r="IB125" s="127"/>
      <c r="IC125" s="127"/>
      <c r="ID125" s="127"/>
      <c r="IE125" s="127"/>
      <c r="IF125" s="127"/>
      <c r="IG125" s="127"/>
      <c r="IH125" s="127"/>
      <c r="II125" s="127"/>
      <c r="IJ125" s="127"/>
      <c r="IK125" s="127"/>
      <c r="LB125" s="127"/>
      <c r="LC125" s="127"/>
      <c r="LD125" s="127"/>
      <c r="LE125" s="127"/>
      <c r="LF125" s="127"/>
      <c r="LG125" s="127"/>
      <c r="LH125" s="127"/>
      <c r="LI125" s="127"/>
      <c r="LJ125" s="127"/>
      <c r="LK125" s="127"/>
      <c r="LL125" s="127"/>
      <c r="LM125" s="127"/>
      <c r="LN125" s="127"/>
      <c r="LO125" s="127"/>
      <c r="LP125" s="127"/>
      <c r="OG125" s="127"/>
      <c r="OH125" s="127"/>
      <c r="OI125" s="127"/>
      <c r="OJ125" s="127"/>
      <c r="OK125" s="127"/>
      <c r="OL125" s="127"/>
      <c r="OM125" s="127"/>
      <c r="ON125" s="127"/>
      <c r="OO125" s="127"/>
      <c r="OP125" s="127"/>
      <c r="OQ125" s="127"/>
      <c r="OR125" s="127"/>
      <c r="OS125" s="127"/>
      <c r="OT125" s="127"/>
      <c r="OU125" s="127"/>
    </row>
    <row r="126" spans="1:411">
      <c r="A126">
        <v>9</v>
      </c>
      <c r="B126">
        <v>174</v>
      </c>
      <c r="C126" t="s">
        <v>72</v>
      </c>
      <c r="D126" t="s">
        <v>75</v>
      </c>
      <c r="E126" s="232" t="s">
        <v>16559</v>
      </c>
      <c r="F126" t="s">
        <v>70</v>
      </c>
      <c r="G126">
        <v>1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s="233" t="s">
        <v>530</v>
      </c>
      <c r="N126" s="233" t="s">
        <v>531</v>
      </c>
      <c r="O126" s="3" t="s">
        <v>2623</v>
      </c>
      <c r="BM126" s="127"/>
      <c r="BN126" s="127"/>
      <c r="BO126" s="127"/>
      <c r="BP126" s="127"/>
      <c r="BQ126" s="127"/>
      <c r="BR126" s="127"/>
      <c r="BS126" s="127"/>
      <c r="BT126" s="127"/>
      <c r="BU126" s="127"/>
      <c r="BV126" s="127"/>
      <c r="BW126" s="127"/>
      <c r="BX126" s="127"/>
      <c r="BY126" s="127"/>
      <c r="BZ126" s="127"/>
      <c r="CA126" s="127"/>
      <c r="ER126" s="127"/>
      <c r="ES126" s="127"/>
      <c r="ET126" s="127"/>
      <c r="EU126" s="127"/>
      <c r="EV126" s="127"/>
      <c r="EW126" s="127"/>
      <c r="EX126" s="127"/>
      <c r="EY126" s="127"/>
      <c r="EZ126" s="127"/>
      <c r="FA126" s="127"/>
      <c r="FB126" s="127"/>
      <c r="FC126" s="127"/>
      <c r="FD126" s="127"/>
      <c r="FE126" s="127"/>
      <c r="FF126" s="127"/>
      <c r="HW126" s="127"/>
      <c r="HX126" s="127"/>
      <c r="HY126" s="127"/>
      <c r="HZ126" s="127"/>
      <c r="IA126" s="127"/>
      <c r="IB126" s="127"/>
      <c r="IC126" s="127"/>
      <c r="ID126" s="127"/>
      <c r="IE126" s="127"/>
      <c r="IF126" s="127"/>
      <c r="IG126" s="127"/>
      <c r="IH126" s="127"/>
      <c r="II126" s="127"/>
      <c r="IJ126" s="127"/>
      <c r="IK126" s="127"/>
      <c r="LB126" s="127"/>
      <c r="LC126" s="127"/>
      <c r="LD126" s="127"/>
      <c r="LE126" s="127"/>
      <c r="LF126" s="127"/>
      <c r="LG126" s="127"/>
      <c r="LH126" s="127"/>
      <c r="LI126" s="127"/>
      <c r="LJ126" s="127"/>
      <c r="LK126" s="127"/>
      <c r="LL126" s="127"/>
      <c r="LM126" s="127"/>
      <c r="LN126" s="127"/>
      <c r="LO126" s="127"/>
      <c r="LP126" s="127"/>
      <c r="OG126" s="127"/>
      <c r="OH126" s="127"/>
      <c r="OI126" s="127"/>
      <c r="OJ126" s="127"/>
      <c r="OK126" s="127"/>
      <c r="OL126" s="127"/>
      <c r="OM126" s="127"/>
      <c r="ON126" s="127"/>
      <c r="OO126" s="127"/>
      <c r="OP126" s="127"/>
      <c r="OQ126" s="127"/>
      <c r="OR126" s="127"/>
      <c r="OS126" s="127"/>
      <c r="OT126" s="127"/>
      <c r="OU126" s="127"/>
    </row>
    <row r="127" spans="1:411">
      <c r="A127">
        <v>9</v>
      </c>
      <c r="B127">
        <v>175</v>
      </c>
      <c r="C127" t="s">
        <v>72</v>
      </c>
      <c r="D127" t="s">
        <v>75</v>
      </c>
      <c r="E127" s="232" t="s">
        <v>16560</v>
      </c>
      <c r="F127" t="s">
        <v>70</v>
      </c>
      <c r="G127">
        <v>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s="233" t="s">
        <v>530</v>
      </c>
      <c r="N127" s="233" t="s">
        <v>531</v>
      </c>
      <c r="O127" s="3" t="s">
        <v>2623</v>
      </c>
      <c r="BM127" s="127"/>
      <c r="BN127" s="127"/>
      <c r="BO127" s="127"/>
      <c r="BP127" s="127"/>
      <c r="BQ127" s="127"/>
      <c r="BR127" s="127"/>
      <c r="BS127" s="127"/>
      <c r="BT127" s="127"/>
      <c r="BU127" s="127"/>
      <c r="BV127" s="127"/>
      <c r="BW127" s="127"/>
      <c r="BX127" s="127"/>
      <c r="BY127" s="127"/>
      <c r="BZ127" s="127"/>
      <c r="CA127" s="127"/>
      <c r="ER127" s="127"/>
      <c r="ES127" s="127"/>
      <c r="ET127" s="127"/>
      <c r="EU127" s="127"/>
      <c r="EV127" s="127"/>
      <c r="EW127" s="127"/>
      <c r="EX127" s="127"/>
      <c r="EY127" s="127"/>
      <c r="EZ127" s="127"/>
      <c r="FA127" s="127"/>
      <c r="FB127" s="127"/>
      <c r="FC127" s="127"/>
      <c r="FD127" s="127"/>
      <c r="FE127" s="127"/>
      <c r="FF127" s="127"/>
      <c r="HW127" s="127"/>
      <c r="HX127" s="127"/>
      <c r="HY127" s="127"/>
      <c r="HZ127" s="127"/>
      <c r="IA127" s="127"/>
      <c r="IB127" s="127"/>
      <c r="IC127" s="127"/>
      <c r="ID127" s="127"/>
      <c r="IE127" s="127"/>
      <c r="IF127" s="127"/>
      <c r="IG127" s="127"/>
      <c r="IH127" s="127"/>
      <c r="II127" s="127"/>
      <c r="IJ127" s="127"/>
      <c r="IK127" s="127"/>
      <c r="LB127" s="127"/>
      <c r="LC127" s="127"/>
      <c r="LD127" s="127"/>
      <c r="LE127" s="127"/>
      <c r="LF127" s="127"/>
      <c r="LG127" s="127"/>
      <c r="LH127" s="127"/>
      <c r="LI127" s="127"/>
      <c r="LJ127" s="127"/>
      <c r="LK127" s="127"/>
      <c r="LL127" s="127"/>
      <c r="LM127" s="127"/>
      <c r="LN127" s="127"/>
      <c r="LO127" s="127"/>
      <c r="LP127" s="127"/>
      <c r="OG127" s="127"/>
      <c r="OH127" s="127"/>
      <c r="OI127" s="127"/>
      <c r="OJ127" s="127"/>
      <c r="OK127" s="127"/>
      <c r="OL127" s="127"/>
      <c r="OM127" s="127"/>
      <c r="ON127" s="127"/>
      <c r="OO127" s="127"/>
      <c r="OP127" s="127"/>
      <c r="OQ127" s="127"/>
      <c r="OR127" s="127"/>
      <c r="OS127" s="127"/>
      <c r="OT127" s="127"/>
      <c r="OU127" s="127"/>
    </row>
    <row r="128" spans="1:411">
      <c r="A128">
        <v>9</v>
      </c>
      <c r="B128">
        <v>176</v>
      </c>
      <c r="C128" t="s">
        <v>72</v>
      </c>
      <c r="D128" t="s">
        <v>75</v>
      </c>
      <c r="E128" s="232" t="s">
        <v>16561</v>
      </c>
      <c r="F128" t="s">
        <v>70</v>
      </c>
      <c r="G128">
        <v>1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s="233" t="s">
        <v>530</v>
      </c>
      <c r="N128" s="233" t="s">
        <v>531</v>
      </c>
      <c r="O128" s="3" t="s">
        <v>2623</v>
      </c>
      <c r="BM128" s="127"/>
      <c r="BN128" s="127"/>
      <c r="BO128" s="127"/>
      <c r="BP128" s="127"/>
      <c r="BQ128" s="127"/>
      <c r="BR128" s="127"/>
      <c r="BS128" s="127"/>
      <c r="BT128" s="127"/>
      <c r="BU128" s="127"/>
      <c r="BV128" s="127"/>
      <c r="BW128" s="127"/>
      <c r="BX128" s="127"/>
      <c r="BY128" s="127"/>
      <c r="BZ128" s="127"/>
      <c r="CA128" s="127"/>
      <c r="ER128" s="127"/>
      <c r="ES128" s="127"/>
      <c r="ET128" s="127"/>
      <c r="EU128" s="127"/>
      <c r="EV128" s="127"/>
      <c r="EW128" s="127"/>
      <c r="EX128" s="127"/>
      <c r="EY128" s="127"/>
      <c r="EZ128" s="127"/>
      <c r="FA128" s="127"/>
      <c r="FB128" s="127"/>
      <c r="FC128" s="127"/>
      <c r="FD128" s="127"/>
      <c r="FE128" s="127"/>
      <c r="FF128" s="127"/>
      <c r="HW128" s="127"/>
      <c r="HX128" s="127"/>
      <c r="HY128" s="127"/>
      <c r="HZ128" s="127"/>
      <c r="IA128" s="127"/>
      <c r="IB128" s="127"/>
      <c r="IC128" s="127"/>
      <c r="ID128" s="127"/>
      <c r="IE128" s="127"/>
      <c r="IF128" s="127"/>
      <c r="IG128" s="127"/>
      <c r="IH128" s="127"/>
      <c r="II128" s="127"/>
      <c r="IJ128" s="127"/>
      <c r="IK128" s="127"/>
      <c r="LB128" s="127"/>
      <c r="LC128" s="127"/>
      <c r="LD128" s="127"/>
      <c r="LE128" s="127"/>
      <c r="LF128" s="127"/>
      <c r="LG128" s="127"/>
      <c r="LH128" s="127"/>
      <c r="LI128" s="127"/>
      <c r="LJ128" s="127"/>
      <c r="LK128" s="127"/>
      <c r="LL128" s="127"/>
      <c r="LM128" s="127"/>
      <c r="LN128" s="127"/>
      <c r="LO128" s="127"/>
      <c r="LP128" s="127"/>
      <c r="OG128" s="127"/>
      <c r="OH128" s="127"/>
      <c r="OI128" s="127"/>
      <c r="OJ128" s="127"/>
      <c r="OK128" s="127"/>
      <c r="OL128" s="127"/>
      <c r="OM128" s="127"/>
      <c r="ON128" s="127"/>
      <c r="OO128" s="127"/>
      <c r="OP128" s="127"/>
      <c r="OQ128" s="127"/>
      <c r="OR128" s="127"/>
      <c r="OS128" s="127"/>
      <c r="OT128" s="127"/>
      <c r="OU128" s="127"/>
    </row>
    <row r="129" spans="1:411">
      <c r="A129">
        <v>9</v>
      </c>
      <c r="B129">
        <v>177</v>
      </c>
      <c r="C129" t="s">
        <v>72</v>
      </c>
      <c r="D129" t="s">
        <v>75</v>
      </c>
      <c r="E129" s="232" t="s">
        <v>16562</v>
      </c>
      <c r="F129" t="s">
        <v>70</v>
      </c>
      <c r="G129">
        <v>1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s="233" t="s">
        <v>530</v>
      </c>
      <c r="N129" s="233" t="s">
        <v>531</v>
      </c>
      <c r="O129" s="3" t="s">
        <v>2623</v>
      </c>
      <c r="BM129" s="127"/>
      <c r="BN129" s="127"/>
      <c r="BO129" s="127"/>
      <c r="BP129" s="127"/>
      <c r="BQ129" s="127"/>
      <c r="BR129" s="127"/>
      <c r="BS129" s="127"/>
      <c r="BT129" s="127"/>
      <c r="BU129" s="127"/>
      <c r="BV129" s="127"/>
      <c r="BW129" s="127"/>
      <c r="BX129" s="127"/>
      <c r="BY129" s="127"/>
      <c r="BZ129" s="127"/>
      <c r="CA129" s="127"/>
      <c r="ER129" s="127"/>
      <c r="ES129" s="127"/>
      <c r="ET129" s="127"/>
      <c r="EU129" s="127"/>
      <c r="EV129" s="127"/>
      <c r="EW129" s="127"/>
      <c r="EX129" s="127"/>
      <c r="EY129" s="127"/>
      <c r="EZ129" s="127"/>
      <c r="FA129" s="127"/>
      <c r="FB129" s="127"/>
      <c r="FC129" s="127"/>
      <c r="FD129" s="127"/>
      <c r="FE129" s="127"/>
      <c r="FF129" s="127"/>
      <c r="HW129" s="127"/>
      <c r="HX129" s="127"/>
      <c r="HY129" s="127"/>
      <c r="HZ129" s="127"/>
      <c r="IA129" s="127"/>
      <c r="IB129" s="127"/>
      <c r="IC129" s="127"/>
      <c r="ID129" s="127"/>
      <c r="IE129" s="127"/>
      <c r="IF129" s="127"/>
      <c r="IG129" s="127"/>
      <c r="IH129" s="127"/>
      <c r="II129" s="127"/>
      <c r="IJ129" s="127"/>
      <c r="IK129" s="127"/>
      <c r="LB129" s="127"/>
      <c r="LC129" s="127"/>
      <c r="LD129" s="127"/>
      <c r="LE129" s="127"/>
      <c r="LF129" s="127"/>
      <c r="LG129" s="127"/>
      <c r="LH129" s="127"/>
      <c r="LI129" s="127"/>
      <c r="LJ129" s="127"/>
      <c r="LK129" s="127"/>
      <c r="LL129" s="127"/>
      <c r="LM129" s="127"/>
      <c r="LN129" s="127"/>
      <c r="LO129" s="127"/>
      <c r="LP129" s="127"/>
      <c r="OG129" s="127"/>
      <c r="OH129" s="127"/>
      <c r="OI129" s="127"/>
      <c r="OJ129" s="127"/>
      <c r="OK129" s="127"/>
      <c r="OL129" s="127"/>
      <c r="OM129" s="127"/>
      <c r="ON129" s="127"/>
      <c r="OO129" s="127"/>
      <c r="OP129" s="127"/>
      <c r="OQ129" s="127"/>
      <c r="OR129" s="127"/>
      <c r="OS129" s="127"/>
      <c r="OT129" s="127"/>
      <c r="OU129" s="127"/>
    </row>
    <row r="130" spans="1:411">
      <c r="A130">
        <v>9</v>
      </c>
      <c r="B130">
        <v>178</v>
      </c>
      <c r="C130" t="s">
        <v>72</v>
      </c>
      <c r="D130" t="s">
        <v>75</v>
      </c>
      <c r="E130" s="232" t="s">
        <v>16563</v>
      </c>
      <c r="F130" t="s">
        <v>70</v>
      </c>
      <c r="G130">
        <v>1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s="233" t="s">
        <v>530</v>
      </c>
      <c r="N130" s="233" t="s">
        <v>531</v>
      </c>
      <c r="O130" s="3" t="s">
        <v>2623</v>
      </c>
      <c r="BM130" s="127"/>
      <c r="BN130" s="127"/>
      <c r="BO130" s="127"/>
      <c r="BP130" s="127"/>
      <c r="BQ130" s="127"/>
      <c r="BR130" s="127"/>
      <c r="BS130" s="127"/>
      <c r="BT130" s="127"/>
      <c r="BU130" s="127"/>
      <c r="BV130" s="127"/>
      <c r="BW130" s="127"/>
      <c r="BX130" s="127"/>
      <c r="BY130" s="127"/>
      <c r="BZ130" s="127"/>
      <c r="CA130" s="127"/>
      <c r="ER130" s="127"/>
      <c r="ES130" s="127"/>
      <c r="ET130" s="127"/>
      <c r="EU130" s="127"/>
      <c r="EV130" s="127"/>
      <c r="EW130" s="127"/>
      <c r="EX130" s="127"/>
      <c r="EY130" s="127"/>
      <c r="EZ130" s="127"/>
      <c r="FA130" s="127"/>
      <c r="FB130" s="127"/>
      <c r="FC130" s="127"/>
      <c r="FD130" s="127"/>
      <c r="FE130" s="127"/>
      <c r="FF130" s="127"/>
      <c r="HW130" s="127"/>
      <c r="HX130" s="127"/>
      <c r="HY130" s="127"/>
      <c r="HZ130" s="127"/>
      <c r="IA130" s="127"/>
      <c r="IB130" s="127"/>
      <c r="IC130" s="127"/>
      <c r="ID130" s="127"/>
      <c r="IE130" s="127"/>
      <c r="IF130" s="127"/>
      <c r="IG130" s="127"/>
      <c r="IH130" s="127"/>
      <c r="II130" s="127"/>
      <c r="IJ130" s="127"/>
      <c r="IK130" s="127"/>
      <c r="LB130" s="127"/>
      <c r="LC130" s="127"/>
      <c r="LD130" s="127"/>
      <c r="LE130" s="127"/>
      <c r="LF130" s="127"/>
      <c r="LG130" s="127"/>
      <c r="LH130" s="127"/>
      <c r="LI130" s="127"/>
      <c r="LJ130" s="127"/>
      <c r="LK130" s="127"/>
      <c r="LL130" s="127"/>
      <c r="LM130" s="127"/>
      <c r="LN130" s="127"/>
      <c r="LO130" s="127"/>
      <c r="LP130" s="127"/>
      <c r="OG130" s="127"/>
      <c r="OH130" s="127"/>
      <c r="OI130" s="127"/>
      <c r="OJ130" s="127"/>
      <c r="OK130" s="127"/>
      <c r="OL130" s="127"/>
      <c r="OM130" s="127"/>
      <c r="ON130" s="127"/>
      <c r="OO130" s="127"/>
      <c r="OP130" s="127"/>
      <c r="OQ130" s="127"/>
      <c r="OR130" s="127"/>
      <c r="OS130" s="127"/>
      <c r="OT130" s="127"/>
      <c r="OU130" s="127"/>
    </row>
    <row r="131" spans="1:411">
      <c r="A131">
        <v>9</v>
      </c>
      <c r="B131">
        <v>179</v>
      </c>
      <c r="C131" t="s">
        <v>72</v>
      </c>
      <c r="D131" t="s">
        <v>75</v>
      </c>
      <c r="E131" s="232" t="s">
        <v>16564</v>
      </c>
      <c r="F131" t="s">
        <v>70</v>
      </c>
      <c r="G131">
        <v>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s="233" t="s">
        <v>530</v>
      </c>
      <c r="N131" s="233" t="s">
        <v>531</v>
      </c>
      <c r="O131" s="3" t="s">
        <v>2623</v>
      </c>
      <c r="BM131" s="127"/>
      <c r="BN131" s="127"/>
      <c r="BO131" s="127"/>
      <c r="BP131" s="127"/>
      <c r="BQ131" s="127"/>
      <c r="BR131" s="127"/>
      <c r="BS131" s="127"/>
      <c r="BT131" s="127"/>
      <c r="BU131" s="127"/>
      <c r="BV131" s="127"/>
      <c r="BW131" s="127"/>
      <c r="BX131" s="127"/>
      <c r="BY131" s="127"/>
      <c r="BZ131" s="127"/>
      <c r="CA131" s="127"/>
      <c r="ER131" s="127"/>
      <c r="ES131" s="127"/>
      <c r="ET131" s="127"/>
      <c r="EU131" s="127"/>
      <c r="EV131" s="127"/>
      <c r="EW131" s="127"/>
      <c r="EX131" s="127"/>
      <c r="EY131" s="127"/>
      <c r="EZ131" s="127"/>
      <c r="FA131" s="127"/>
      <c r="FB131" s="127"/>
      <c r="FC131" s="127"/>
      <c r="FD131" s="127"/>
      <c r="FE131" s="127"/>
      <c r="FF131" s="127"/>
      <c r="HW131" s="127"/>
      <c r="HX131" s="127"/>
      <c r="HY131" s="127"/>
      <c r="HZ131" s="127"/>
      <c r="IA131" s="127"/>
      <c r="IB131" s="127"/>
      <c r="IC131" s="127"/>
      <c r="ID131" s="127"/>
      <c r="IE131" s="127"/>
      <c r="IF131" s="127"/>
      <c r="IG131" s="127"/>
      <c r="IH131" s="127"/>
      <c r="II131" s="127"/>
      <c r="IJ131" s="127"/>
      <c r="IK131" s="127"/>
      <c r="LB131" s="127"/>
      <c r="LC131" s="127"/>
      <c r="LD131" s="127"/>
      <c r="LE131" s="127"/>
      <c r="LF131" s="127"/>
      <c r="LG131" s="127"/>
      <c r="LH131" s="127"/>
      <c r="LI131" s="127"/>
      <c r="LJ131" s="127"/>
      <c r="LK131" s="127"/>
      <c r="LL131" s="127"/>
      <c r="LM131" s="127"/>
      <c r="LN131" s="127"/>
      <c r="LO131" s="127"/>
      <c r="LP131" s="127"/>
      <c r="OG131" s="127"/>
      <c r="OH131" s="127"/>
      <c r="OI131" s="127"/>
      <c r="OJ131" s="127"/>
      <c r="OK131" s="127"/>
      <c r="OL131" s="127"/>
      <c r="OM131" s="127"/>
      <c r="ON131" s="127"/>
      <c r="OO131" s="127"/>
      <c r="OP131" s="127"/>
      <c r="OQ131" s="127"/>
      <c r="OR131" s="127"/>
      <c r="OS131" s="127"/>
      <c r="OT131" s="127"/>
      <c r="OU131" s="127"/>
    </row>
    <row r="132" spans="1:411">
      <c r="A132">
        <v>9</v>
      </c>
      <c r="B132">
        <v>180</v>
      </c>
      <c r="C132" t="s">
        <v>72</v>
      </c>
      <c r="D132" t="s">
        <v>75</v>
      </c>
      <c r="E132" s="232" t="s">
        <v>16565</v>
      </c>
      <c r="F132" t="s">
        <v>70</v>
      </c>
      <c r="G132">
        <v>1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s="233" t="s">
        <v>530</v>
      </c>
      <c r="N132" s="233" t="s">
        <v>531</v>
      </c>
      <c r="O132" s="3" t="s">
        <v>2623</v>
      </c>
      <c r="BM132" s="127"/>
      <c r="BN132" s="127"/>
      <c r="BO132" s="127"/>
      <c r="BP132" s="127"/>
      <c r="BQ132" s="127"/>
      <c r="BR132" s="127"/>
      <c r="BS132" s="127"/>
      <c r="BT132" s="127"/>
      <c r="BU132" s="127"/>
      <c r="BV132" s="127"/>
      <c r="BW132" s="127"/>
      <c r="BX132" s="127"/>
      <c r="BY132" s="127"/>
      <c r="BZ132" s="127"/>
      <c r="CA132" s="127"/>
      <c r="ER132" s="127"/>
      <c r="ES132" s="127"/>
      <c r="ET132" s="127"/>
      <c r="EU132" s="127"/>
      <c r="EV132" s="127"/>
      <c r="EW132" s="127"/>
      <c r="EX132" s="127"/>
      <c r="EY132" s="127"/>
      <c r="EZ132" s="127"/>
      <c r="FA132" s="127"/>
      <c r="FB132" s="127"/>
      <c r="FC132" s="127"/>
      <c r="FD132" s="127"/>
      <c r="FE132" s="127"/>
      <c r="FF132" s="127"/>
      <c r="HW132" s="127"/>
      <c r="HX132" s="127"/>
      <c r="HY132" s="127"/>
      <c r="HZ132" s="127"/>
      <c r="IA132" s="127"/>
      <c r="IB132" s="127"/>
      <c r="IC132" s="127"/>
      <c r="ID132" s="127"/>
      <c r="IE132" s="127"/>
      <c r="IF132" s="127"/>
      <c r="IG132" s="127"/>
      <c r="IH132" s="127"/>
      <c r="II132" s="127"/>
      <c r="IJ132" s="127"/>
      <c r="IK132" s="127"/>
      <c r="LB132" s="127"/>
      <c r="LC132" s="127"/>
      <c r="LD132" s="127"/>
      <c r="LE132" s="127"/>
      <c r="LF132" s="127"/>
      <c r="LG132" s="127"/>
      <c r="LH132" s="127"/>
      <c r="LI132" s="127"/>
      <c r="LJ132" s="127"/>
      <c r="LK132" s="127"/>
      <c r="LL132" s="127"/>
      <c r="LM132" s="127"/>
      <c r="LN132" s="127"/>
      <c r="LO132" s="127"/>
      <c r="LP132" s="127"/>
      <c r="OG132" s="127"/>
      <c r="OH132" s="127"/>
      <c r="OI132" s="127"/>
      <c r="OJ132" s="127"/>
      <c r="OK132" s="127"/>
      <c r="OL132" s="127"/>
      <c r="OM132" s="127"/>
      <c r="ON132" s="127"/>
      <c r="OO132" s="127"/>
      <c r="OP132" s="127"/>
      <c r="OQ132" s="127"/>
      <c r="OR132" s="127"/>
      <c r="OS132" s="127"/>
      <c r="OT132" s="127"/>
      <c r="OU132" s="127"/>
    </row>
    <row r="133" spans="1:411">
      <c r="A133">
        <v>9</v>
      </c>
      <c r="B133">
        <v>181</v>
      </c>
      <c r="C133" t="s">
        <v>72</v>
      </c>
      <c r="D133" t="s">
        <v>75</v>
      </c>
      <c r="E133" s="232" t="s">
        <v>16566</v>
      </c>
      <c r="F133" t="s">
        <v>70</v>
      </c>
      <c r="G133">
        <v>1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s="233" t="s">
        <v>530</v>
      </c>
      <c r="N133" s="233" t="s">
        <v>531</v>
      </c>
      <c r="O133" s="3" t="s">
        <v>2623</v>
      </c>
      <c r="BM133" s="127"/>
      <c r="BN133" s="127"/>
      <c r="BO133" s="127"/>
      <c r="BP133" s="127"/>
      <c r="BQ133" s="127"/>
      <c r="BR133" s="127"/>
      <c r="BS133" s="127"/>
      <c r="BT133" s="127"/>
      <c r="BU133" s="127"/>
      <c r="BV133" s="127"/>
      <c r="BW133" s="127"/>
      <c r="BX133" s="127"/>
      <c r="BY133" s="127"/>
      <c r="BZ133" s="127"/>
      <c r="CA133" s="127"/>
      <c r="ER133" s="127"/>
      <c r="ES133" s="127"/>
      <c r="ET133" s="127"/>
      <c r="EU133" s="127"/>
      <c r="EV133" s="127"/>
      <c r="EW133" s="127"/>
      <c r="EX133" s="127"/>
      <c r="EY133" s="127"/>
      <c r="EZ133" s="127"/>
      <c r="FA133" s="127"/>
      <c r="FB133" s="127"/>
      <c r="FC133" s="127"/>
      <c r="FD133" s="127"/>
      <c r="FE133" s="127"/>
      <c r="FF133" s="127"/>
      <c r="HW133" s="127"/>
      <c r="HX133" s="127"/>
      <c r="HY133" s="127"/>
      <c r="HZ133" s="127"/>
      <c r="IA133" s="127"/>
      <c r="IB133" s="127"/>
      <c r="IC133" s="127"/>
      <c r="ID133" s="127"/>
      <c r="IE133" s="127"/>
      <c r="IF133" s="127"/>
      <c r="IG133" s="127"/>
      <c r="IH133" s="127"/>
      <c r="II133" s="127"/>
      <c r="IJ133" s="127"/>
      <c r="IK133" s="127"/>
      <c r="LB133" s="127"/>
      <c r="LC133" s="127"/>
      <c r="LD133" s="127"/>
      <c r="LE133" s="127"/>
      <c r="LF133" s="127"/>
      <c r="LG133" s="127"/>
      <c r="LH133" s="127"/>
      <c r="LI133" s="127"/>
      <c r="LJ133" s="127"/>
      <c r="LK133" s="127"/>
      <c r="LL133" s="127"/>
      <c r="LM133" s="127"/>
      <c r="LN133" s="127"/>
      <c r="LO133" s="127"/>
      <c r="LP133" s="127"/>
      <c r="OG133" s="127"/>
      <c r="OH133" s="127"/>
      <c r="OI133" s="127"/>
      <c r="OJ133" s="127"/>
      <c r="OK133" s="127"/>
      <c r="OL133" s="127"/>
      <c r="OM133" s="127"/>
      <c r="ON133" s="127"/>
      <c r="OO133" s="127"/>
      <c r="OP133" s="127"/>
      <c r="OQ133" s="127"/>
      <c r="OR133" s="127"/>
      <c r="OS133" s="127"/>
      <c r="OT133" s="127"/>
      <c r="OU133" s="127"/>
    </row>
    <row r="134" spans="1:411">
      <c r="A134">
        <v>11</v>
      </c>
      <c r="B134">
        <v>184</v>
      </c>
      <c r="C134" t="s">
        <v>72</v>
      </c>
      <c r="D134" t="s">
        <v>75</v>
      </c>
      <c r="E134" s="232" t="s">
        <v>8659</v>
      </c>
      <c r="F134" t="s">
        <v>71</v>
      </c>
      <c r="G134">
        <v>1</v>
      </c>
      <c r="H134">
        <v>660.274</v>
      </c>
      <c r="I134">
        <v>659.71</v>
      </c>
      <c r="J134">
        <v>658.28700000000003</v>
      </c>
      <c r="K134">
        <v>653.40899999999999</v>
      </c>
      <c r="L134">
        <v>649.83600000000001</v>
      </c>
      <c r="M134" s="233" t="s">
        <v>530</v>
      </c>
      <c r="N134" s="233" t="s">
        <v>531</v>
      </c>
      <c r="O134" s="3" t="s">
        <v>667</v>
      </c>
      <c r="BM134" s="127"/>
      <c r="BN134" s="127"/>
      <c r="BO134" s="127"/>
      <c r="BP134" s="127"/>
      <c r="BQ134" s="127"/>
      <c r="BR134" s="127"/>
      <c r="BS134" s="127"/>
      <c r="BT134" s="127"/>
      <c r="BU134" s="127"/>
      <c r="BV134" s="127"/>
      <c r="BW134" s="127"/>
      <c r="BX134" s="127"/>
      <c r="BY134" s="127"/>
      <c r="BZ134" s="127"/>
      <c r="CA134" s="127"/>
      <c r="ER134" s="127"/>
      <c r="ES134" s="127"/>
      <c r="ET134" s="127"/>
      <c r="EU134" s="127"/>
      <c r="EV134" s="127"/>
      <c r="EW134" s="127"/>
      <c r="EX134" s="127"/>
      <c r="EY134" s="127"/>
      <c r="EZ134" s="127"/>
      <c r="FA134" s="127"/>
      <c r="FB134" s="127"/>
      <c r="FC134" s="127"/>
      <c r="FD134" s="127"/>
      <c r="FE134" s="127"/>
      <c r="FF134" s="127"/>
      <c r="HW134" s="127"/>
      <c r="HX134" s="127"/>
      <c r="HY134" s="127"/>
      <c r="HZ134" s="127"/>
      <c r="IA134" s="127"/>
      <c r="IB134" s="127"/>
      <c r="IC134" s="127"/>
      <c r="ID134" s="127"/>
      <c r="IE134" s="127"/>
      <c r="IF134" s="127"/>
      <c r="IG134" s="127"/>
      <c r="IH134" s="127"/>
      <c r="II134" s="127"/>
      <c r="IJ134" s="127"/>
      <c r="IK134" s="127"/>
      <c r="LB134" s="127"/>
      <c r="LC134" s="127"/>
      <c r="LD134" s="127"/>
      <c r="LE134" s="127"/>
      <c r="LF134" s="127"/>
      <c r="LG134" s="127"/>
      <c r="LH134" s="127"/>
      <c r="LI134" s="127"/>
      <c r="LJ134" s="127"/>
      <c r="LK134" s="127"/>
      <c r="LL134" s="127"/>
      <c r="LM134" s="127"/>
      <c r="LN134" s="127"/>
      <c r="LO134" s="127"/>
      <c r="LP134" s="127"/>
      <c r="OG134" s="127"/>
      <c r="OH134" s="127"/>
      <c r="OI134" s="127"/>
      <c r="OJ134" s="127"/>
      <c r="OK134" s="127"/>
      <c r="OL134" s="127"/>
      <c r="OM134" s="127"/>
      <c r="ON134" s="127"/>
      <c r="OO134" s="127"/>
      <c r="OP134" s="127"/>
      <c r="OQ134" s="127"/>
      <c r="OR134" s="127"/>
      <c r="OS134" s="127"/>
      <c r="OT134" s="127"/>
      <c r="OU134" s="127"/>
    </row>
    <row r="135" spans="1:411">
      <c r="A135">
        <v>11</v>
      </c>
      <c r="B135">
        <v>185</v>
      </c>
      <c r="C135" t="s">
        <v>72</v>
      </c>
      <c r="D135" t="s">
        <v>75</v>
      </c>
      <c r="E135" s="232" t="s">
        <v>7984</v>
      </c>
      <c r="F135" t="s">
        <v>71</v>
      </c>
      <c r="G135">
        <v>1</v>
      </c>
      <c r="H135">
        <v>661.04899999999998</v>
      </c>
      <c r="I135">
        <v>659.71</v>
      </c>
      <c r="J135">
        <v>658.28700000000003</v>
      </c>
      <c r="K135">
        <v>654.06399999999996</v>
      </c>
      <c r="L135">
        <v>651.88400000000001</v>
      </c>
      <c r="M135" s="233" t="s">
        <v>530</v>
      </c>
      <c r="N135" s="233" t="s">
        <v>531</v>
      </c>
      <c r="O135" s="3" t="s">
        <v>668</v>
      </c>
      <c r="BM135" s="127"/>
      <c r="BN135" s="127"/>
      <c r="BO135" s="127"/>
      <c r="BP135" s="127"/>
      <c r="BQ135" s="127"/>
      <c r="BR135" s="127"/>
      <c r="BS135" s="127"/>
      <c r="BT135" s="127"/>
      <c r="BU135" s="127"/>
      <c r="BV135" s="127"/>
      <c r="BW135" s="127"/>
      <c r="BX135" s="127"/>
      <c r="BY135" s="127"/>
      <c r="BZ135" s="127"/>
      <c r="CA135" s="127"/>
      <c r="ER135" s="127"/>
      <c r="ES135" s="127"/>
      <c r="ET135" s="127"/>
      <c r="EU135" s="127"/>
      <c r="EV135" s="127"/>
      <c r="EW135" s="127"/>
      <c r="EX135" s="127"/>
      <c r="EY135" s="127"/>
      <c r="EZ135" s="127"/>
      <c r="FA135" s="127"/>
      <c r="FB135" s="127"/>
      <c r="FC135" s="127"/>
      <c r="FD135" s="127"/>
      <c r="FE135" s="127"/>
      <c r="FF135" s="127"/>
      <c r="HW135" s="127"/>
      <c r="HX135" s="127"/>
      <c r="HY135" s="127"/>
      <c r="HZ135" s="127"/>
      <c r="IA135" s="127"/>
      <c r="IB135" s="127"/>
      <c r="IC135" s="127"/>
      <c r="ID135" s="127"/>
      <c r="IE135" s="127"/>
      <c r="IF135" s="127"/>
      <c r="IG135" s="127"/>
      <c r="IH135" s="127"/>
      <c r="II135" s="127"/>
      <c r="IJ135" s="127"/>
      <c r="IK135" s="127"/>
      <c r="LB135" s="127"/>
      <c r="LC135" s="127"/>
      <c r="LD135" s="127"/>
      <c r="LE135" s="127"/>
      <c r="LF135" s="127"/>
      <c r="LG135" s="127"/>
      <c r="LH135" s="127"/>
      <c r="LI135" s="127"/>
      <c r="LJ135" s="127"/>
      <c r="LK135" s="127"/>
      <c r="LL135" s="127"/>
      <c r="LM135" s="127"/>
      <c r="LN135" s="127"/>
      <c r="LO135" s="127"/>
      <c r="LP135" s="127"/>
      <c r="OG135" s="127"/>
      <c r="OH135" s="127"/>
      <c r="OI135" s="127"/>
      <c r="OJ135" s="127"/>
      <c r="OK135" s="127"/>
      <c r="OL135" s="127"/>
      <c r="OM135" s="127"/>
      <c r="ON135" s="127"/>
      <c r="OO135" s="127"/>
      <c r="OP135" s="127"/>
      <c r="OQ135" s="127"/>
      <c r="OR135" s="127"/>
      <c r="OS135" s="127"/>
      <c r="OT135" s="127"/>
      <c r="OU135" s="127"/>
    </row>
    <row r="136" spans="1:411">
      <c r="A136">
        <v>11</v>
      </c>
      <c r="B136">
        <v>187</v>
      </c>
      <c r="C136" t="s">
        <v>72</v>
      </c>
      <c r="D136" t="s">
        <v>75</v>
      </c>
      <c r="E136" s="232" t="s">
        <v>7910</v>
      </c>
      <c r="F136" t="s">
        <v>71</v>
      </c>
      <c r="G136">
        <v>1</v>
      </c>
      <c r="H136">
        <v>661.37099999999998</v>
      </c>
      <c r="I136">
        <v>659.20699999999999</v>
      </c>
      <c r="J136">
        <v>657.84299999999996</v>
      </c>
      <c r="K136">
        <v>655.18299999999999</v>
      </c>
      <c r="L136">
        <v>653.40899999999999</v>
      </c>
      <c r="M136" s="233" t="s">
        <v>530</v>
      </c>
      <c r="N136" s="233" t="s">
        <v>531</v>
      </c>
      <c r="O136" s="3" t="s">
        <v>669</v>
      </c>
      <c r="BM136" s="127"/>
      <c r="BN136" s="127"/>
      <c r="BO136" s="127"/>
      <c r="BP136" s="127"/>
      <c r="BQ136" s="127"/>
      <c r="BR136" s="127"/>
      <c r="BS136" s="127"/>
      <c r="BT136" s="127"/>
      <c r="BU136" s="127"/>
      <c r="BV136" s="127"/>
      <c r="BW136" s="127"/>
      <c r="BX136" s="127"/>
      <c r="BY136" s="127"/>
      <c r="BZ136" s="127"/>
      <c r="CA136" s="127"/>
      <c r="ER136" s="127"/>
      <c r="ES136" s="127"/>
      <c r="ET136" s="127"/>
      <c r="EU136" s="127"/>
      <c r="EV136" s="127"/>
      <c r="EW136" s="127"/>
      <c r="EX136" s="127"/>
      <c r="EY136" s="127"/>
      <c r="EZ136" s="127"/>
      <c r="FA136" s="127"/>
      <c r="FB136" s="127"/>
      <c r="FC136" s="127"/>
      <c r="FD136" s="127"/>
      <c r="FE136" s="127"/>
      <c r="FF136" s="127"/>
      <c r="HW136" s="127"/>
      <c r="HX136" s="127"/>
      <c r="HY136" s="127"/>
      <c r="HZ136" s="127"/>
      <c r="IA136" s="127"/>
      <c r="IB136" s="127"/>
      <c r="IC136" s="127"/>
      <c r="ID136" s="127"/>
      <c r="IE136" s="127"/>
      <c r="IF136" s="127"/>
      <c r="IG136" s="127"/>
      <c r="IH136" s="127"/>
      <c r="II136" s="127"/>
      <c r="IJ136" s="127"/>
      <c r="IK136" s="127"/>
      <c r="LB136" s="127"/>
      <c r="LC136" s="127"/>
      <c r="LD136" s="127"/>
      <c r="LE136" s="127"/>
      <c r="LF136" s="127"/>
      <c r="LG136" s="127"/>
      <c r="LH136" s="127"/>
      <c r="LI136" s="127"/>
      <c r="LJ136" s="127"/>
      <c r="LK136" s="127"/>
      <c r="LL136" s="127"/>
      <c r="LM136" s="127"/>
      <c r="LN136" s="127"/>
      <c r="LO136" s="127"/>
      <c r="LP136" s="127"/>
      <c r="OG136" s="127"/>
      <c r="OH136" s="127"/>
      <c r="OI136" s="127"/>
      <c r="OJ136" s="127"/>
      <c r="OK136" s="127"/>
      <c r="OL136" s="127"/>
      <c r="OM136" s="127"/>
      <c r="ON136" s="127"/>
      <c r="OO136" s="127"/>
      <c r="OP136" s="127"/>
      <c r="OQ136" s="127"/>
      <c r="OR136" s="127"/>
      <c r="OS136" s="127"/>
      <c r="OT136" s="127"/>
      <c r="OU136" s="127"/>
    </row>
    <row r="137" spans="1:411">
      <c r="A137">
        <v>11</v>
      </c>
      <c r="B137">
        <v>183</v>
      </c>
      <c r="C137" t="s">
        <v>72</v>
      </c>
      <c r="D137" t="s">
        <v>75</v>
      </c>
      <c r="E137" s="232" t="s">
        <v>7965</v>
      </c>
      <c r="F137" t="s">
        <v>71</v>
      </c>
      <c r="G137">
        <v>1</v>
      </c>
      <c r="H137">
        <v>659.029</v>
      </c>
      <c r="I137">
        <v>658.28700000000003</v>
      </c>
      <c r="J137">
        <v>656.82899999999995</v>
      </c>
      <c r="K137">
        <v>654.41</v>
      </c>
      <c r="L137">
        <v>652.41999999999996</v>
      </c>
      <c r="M137" s="233" t="s">
        <v>530</v>
      </c>
      <c r="N137" s="233" t="s">
        <v>531</v>
      </c>
      <c r="O137" s="3" t="s">
        <v>670</v>
      </c>
      <c r="BM137" s="127"/>
      <c r="BN137" s="127"/>
      <c r="BO137" s="127"/>
      <c r="BP137" s="127"/>
      <c r="BQ137" s="127"/>
      <c r="BR137" s="127"/>
      <c r="BS137" s="127"/>
      <c r="BT137" s="127"/>
      <c r="BU137" s="127"/>
      <c r="BV137" s="127"/>
      <c r="BW137" s="127"/>
      <c r="BX137" s="127"/>
      <c r="BY137" s="127"/>
      <c r="BZ137" s="127"/>
      <c r="CA137" s="127"/>
      <c r="ER137" s="127"/>
      <c r="ES137" s="127"/>
      <c r="ET137" s="127"/>
      <c r="EU137" s="127"/>
      <c r="EV137" s="127"/>
      <c r="EW137" s="127"/>
      <c r="EX137" s="127"/>
      <c r="EY137" s="127"/>
      <c r="EZ137" s="127"/>
      <c r="FA137" s="127"/>
      <c r="FB137" s="127"/>
      <c r="FC137" s="127"/>
      <c r="FD137" s="127"/>
      <c r="FE137" s="127"/>
      <c r="FF137" s="127"/>
      <c r="HW137" s="127"/>
      <c r="HX137" s="127"/>
      <c r="HY137" s="127"/>
      <c r="HZ137" s="127"/>
      <c r="IA137" s="127"/>
      <c r="IB137" s="127"/>
      <c r="IC137" s="127"/>
      <c r="ID137" s="127"/>
      <c r="IE137" s="127"/>
      <c r="IF137" s="127"/>
      <c r="IG137" s="127"/>
      <c r="IH137" s="127"/>
      <c r="II137" s="127"/>
      <c r="IJ137" s="127"/>
      <c r="IK137" s="127"/>
      <c r="LB137" s="127"/>
      <c r="LC137" s="127"/>
      <c r="LD137" s="127"/>
      <c r="LE137" s="127"/>
      <c r="LF137" s="127"/>
      <c r="LG137" s="127"/>
      <c r="LH137" s="127"/>
      <c r="LI137" s="127"/>
      <c r="LJ137" s="127"/>
      <c r="LK137" s="127"/>
      <c r="LL137" s="127"/>
      <c r="LM137" s="127"/>
      <c r="LN137" s="127"/>
      <c r="LO137" s="127"/>
      <c r="LP137" s="127"/>
      <c r="OG137" s="127"/>
      <c r="OH137" s="127"/>
      <c r="OI137" s="127"/>
      <c r="OJ137" s="127"/>
      <c r="OK137" s="127"/>
      <c r="OL137" s="127"/>
      <c r="OM137" s="127"/>
      <c r="ON137" s="127"/>
      <c r="OO137" s="127"/>
      <c r="OP137" s="127"/>
      <c r="OQ137" s="127"/>
      <c r="OR137" s="127"/>
      <c r="OS137" s="127"/>
      <c r="OT137" s="127"/>
      <c r="OU137" s="127"/>
    </row>
    <row r="138" spans="1:411">
      <c r="A138">
        <v>11</v>
      </c>
      <c r="B138">
        <v>186</v>
      </c>
      <c r="C138" t="s">
        <v>72</v>
      </c>
      <c r="D138" t="s">
        <v>75</v>
      </c>
      <c r="E138" s="232" t="s">
        <v>8877</v>
      </c>
      <c r="F138" t="s">
        <v>71</v>
      </c>
      <c r="G138">
        <v>1</v>
      </c>
      <c r="H138">
        <v>658.70299999999997</v>
      </c>
      <c r="I138">
        <v>657.12900000000002</v>
      </c>
      <c r="J138">
        <v>655.18299999999999</v>
      </c>
      <c r="K138">
        <v>653.529</v>
      </c>
      <c r="L138">
        <v>651.88400000000001</v>
      </c>
      <c r="M138" s="233" t="s">
        <v>530</v>
      </c>
      <c r="N138" s="233" t="s">
        <v>531</v>
      </c>
      <c r="O138" s="3" t="s">
        <v>671</v>
      </c>
      <c r="BM138" s="127"/>
      <c r="BN138" s="127"/>
      <c r="BO138" s="127"/>
      <c r="BP138" s="127"/>
      <c r="BQ138" s="127"/>
      <c r="BR138" s="127"/>
      <c r="BS138" s="127"/>
      <c r="BT138" s="127"/>
      <c r="BU138" s="127"/>
      <c r="BV138" s="127"/>
      <c r="BW138" s="127"/>
      <c r="BX138" s="127"/>
      <c r="BY138" s="127"/>
      <c r="BZ138" s="127"/>
      <c r="CA138" s="127"/>
      <c r="ER138" s="127"/>
      <c r="ES138" s="127"/>
      <c r="ET138" s="127"/>
      <c r="EU138" s="127"/>
      <c r="EV138" s="127"/>
      <c r="EW138" s="127"/>
      <c r="EX138" s="127"/>
      <c r="EY138" s="127"/>
      <c r="EZ138" s="127"/>
      <c r="FA138" s="127"/>
      <c r="FB138" s="127"/>
      <c r="FC138" s="127"/>
      <c r="FD138" s="127"/>
      <c r="FE138" s="127"/>
      <c r="FF138" s="127"/>
      <c r="HW138" s="127"/>
      <c r="HX138" s="127"/>
      <c r="HY138" s="127"/>
      <c r="HZ138" s="127"/>
      <c r="IA138" s="127"/>
      <c r="IB138" s="127"/>
      <c r="IC138" s="127"/>
      <c r="ID138" s="127"/>
      <c r="IE138" s="127"/>
      <c r="IF138" s="127"/>
      <c r="IG138" s="127"/>
      <c r="IH138" s="127"/>
      <c r="II138" s="127"/>
      <c r="IJ138" s="127"/>
      <c r="IK138" s="127"/>
      <c r="LB138" s="127"/>
      <c r="LC138" s="127"/>
      <c r="LD138" s="127"/>
      <c r="LE138" s="127"/>
      <c r="LF138" s="127"/>
      <c r="LG138" s="127"/>
      <c r="LH138" s="127"/>
      <c r="LI138" s="127"/>
      <c r="LJ138" s="127"/>
      <c r="LK138" s="127"/>
      <c r="LL138" s="127"/>
      <c r="LM138" s="127"/>
      <c r="LN138" s="127"/>
      <c r="LO138" s="127"/>
      <c r="LP138" s="127"/>
      <c r="OG138" s="127"/>
      <c r="OH138" s="127"/>
      <c r="OI138" s="127"/>
      <c r="OJ138" s="127"/>
      <c r="OK138" s="127"/>
      <c r="OL138" s="127"/>
      <c r="OM138" s="127"/>
      <c r="ON138" s="127"/>
      <c r="OO138" s="127"/>
      <c r="OP138" s="127"/>
      <c r="OQ138" s="127"/>
      <c r="OR138" s="127"/>
      <c r="OS138" s="127"/>
      <c r="OT138" s="127"/>
      <c r="OU138" s="127"/>
    </row>
    <row r="139" spans="1:411">
      <c r="A139">
        <v>11</v>
      </c>
      <c r="B139">
        <v>190</v>
      </c>
      <c r="C139" t="s">
        <v>72</v>
      </c>
      <c r="D139" t="s">
        <v>75</v>
      </c>
      <c r="E139" s="232" t="s">
        <v>8934</v>
      </c>
      <c r="F139" t="s">
        <v>71</v>
      </c>
      <c r="G139">
        <v>1</v>
      </c>
      <c r="H139">
        <v>659.029</v>
      </c>
      <c r="I139">
        <v>657.12900000000002</v>
      </c>
      <c r="J139">
        <v>654.41</v>
      </c>
      <c r="K139">
        <v>653.40899999999999</v>
      </c>
      <c r="L139">
        <v>652.41999999999996</v>
      </c>
      <c r="M139" s="233" t="s">
        <v>530</v>
      </c>
      <c r="N139" s="233" t="s">
        <v>531</v>
      </c>
      <c r="O139" s="3" t="s">
        <v>672</v>
      </c>
      <c r="BM139" s="127"/>
      <c r="BN139" s="127"/>
      <c r="BO139" s="127"/>
      <c r="BP139" s="127"/>
      <c r="BQ139" s="127"/>
      <c r="BR139" s="127"/>
      <c r="BS139" s="127"/>
      <c r="BT139" s="127"/>
      <c r="BU139" s="127"/>
      <c r="BV139" s="127"/>
      <c r="BW139" s="127"/>
      <c r="BX139" s="127"/>
      <c r="BY139" s="127"/>
      <c r="BZ139" s="127"/>
      <c r="CA139" s="127"/>
      <c r="ER139" s="127"/>
      <c r="ES139" s="127"/>
      <c r="ET139" s="127"/>
      <c r="EU139" s="127"/>
      <c r="EV139" s="127"/>
      <c r="EW139" s="127"/>
      <c r="EX139" s="127"/>
      <c r="EY139" s="127"/>
      <c r="EZ139" s="127"/>
      <c r="FA139" s="127"/>
      <c r="FB139" s="127"/>
      <c r="FC139" s="127"/>
      <c r="FD139" s="127"/>
      <c r="FE139" s="127"/>
      <c r="FF139" s="127"/>
      <c r="HW139" s="127"/>
      <c r="HX139" s="127"/>
      <c r="HY139" s="127"/>
      <c r="HZ139" s="127"/>
      <c r="IA139" s="127"/>
      <c r="IB139" s="127"/>
      <c r="IC139" s="127"/>
      <c r="ID139" s="127"/>
      <c r="IE139" s="127"/>
      <c r="IF139" s="127"/>
      <c r="IG139" s="127"/>
      <c r="IH139" s="127"/>
      <c r="II139" s="127"/>
      <c r="IJ139" s="127"/>
      <c r="IK139" s="127"/>
      <c r="LB139" s="127"/>
      <c r="LC139" s="127"/>
      <c r="LD139" s="127"/>
      <c r="LE139" s="127"/>
      <c r="LF139" s="127"/>
      <c r="LG139" s="127"/>
      <c r="LH139" s="127"/>
      <c r="LI139" s="127"/>
      <c r="LJ139" s="127"/>
      <c r="LK139" s="127"/>
      <c r="LL139" s="127"/>
      <c r="LM139" s="127"/>
      <c r="LN139" s="127"/>
      <c r="LO139" s="127"/>
      <c r="LP139" s="127"/>
      <c r="OG139" s="127"/>
      <c r="OH139" s="127"/>
      <c r="OI139" s="127"/>
      <c r="OJ139" s="127"/>
      <c r="OK139" s="127"/>
      <c r="OL139" s="127"/>
      <c r="OM139" s="127"/>
      <c r="ON139" s="127"/>
      <c r="OO139" s="127"/>
      <c r="OP139" s="127"/>
      <c r="OQ139" s="127"/>
      <c r="OR139" s="127"/>
      <c r="OS139" s="127"/>
      <c r="OT139" s="127"/>
      <c r="OU139" s="127"/>
    </row>
    <row r="140" spans="1:411">
      <c r="A140">
        <v>11</v>
      </c>
      <c r="B140">
        <v>196</v>
      </c>
      <c r="C140" t="s">
        <v>72</v>
      </c>
      <c r="D140" t="s">
        <v>75</v>
      </c>
      <c r="E140" s="232" t="s">
        <v>8726</v>
      </c>
      <c r="F140" t="s">
        <v>71</v>
      </c>
      <c r="G140">
        <v>1</v>
      </c>
      <c r="H140">
        <v>658.70299999999997</v>
      </c>
      <c r="I140">
        <v>657.84299999999996</v>
      </c>
      <c r="J140">
        <v>654.23</v>
      </c>
      <c r="K140">
        <v>653.40899999999999</v>
      </c>
      <c r="L140">
        <v>652.44299999999998</v>
      </c>
      <c r="M140" s="233" t="s">
        <v>530</v>
      </c>
      <c r="N140" s="233" t="s">
        <v>531</v>
      </c>
      <c r="O140" s="3" t="s">
        <v>673</v>
      </c>
      <c r="BM140" s="127"/>
      <c r="BN140" s="127"/>
      <c r="BO140" s="127"/>
      <c r="BP140" s="127"/>
      <c r="BQ140" s="127"/>
      <c r="BR140" s="127"/>
      <c r="BS140" s="127"/>
      <c r="BT140" s="127"/>
      <c r="BU140" s="127"/>
      <c r="BV140" s="127"/>
      <c r="BW140" s="127"/>
      <c r="BX140" s="127"/>
      <c r="BY140" s="127"/>
      <c r="BZ140" s="127"/>
      <c r="CA140" s="127"/>
      <c r="ER140" s="127"/>
      <c r="ES140" s="127"/>
      <c r="ET140" s="127"/>
      <c r="EU140" s="127"/>
      <c r="EV140" s="127"/>
      <c r="EW140" s="127"/>
      <c r="EX140" s="127"/>
      <c r="EY140" s="127"/>
      <c r="EZ140" s="127"/>
      <c r="FA140" s="127"/>
      <c r="FB140" s="127"/>
      <c r="FC140" s="127"/>
      <c r="FD140" s="127"/>
      <c r="FE140" s="127"/>
      <c r="FF140" s="127"/>
      <c r="HW140" s="127"/>
      <c r="HX140" s="127"/>
      <c r="HY140" s="127"/>
      <c r="HZ140" s="127"/>
      <c r="IA140" s="127"/>
      <c r="IB140" s="127"/>
      <c r="IC140" s="127"/>
      <c r="ID140" s="127"/>
      <c r="IE140" s="127"/>
      <c r="IF140" s="127"/>
      <c r="IG140" s="127"/>
      <c r="IH140" s="127"/>
      <c r="II140" s="127"/>
      <c r="IJ140" s="127"/>
      <c r="IK140" s="127"/>
      <c r="LB140" s="127"/>
      <c r="LC140" s="127"/>
      <c r="LD140" s="127"/>
      <c r="LE140" s="127"/>
      <c r="LF140" s="127"/>
      <c r="LG140" s="127"/>
      <c r="LH140" s="127"/>
      <c r="LI140" s="127"/>
      <c r="LJ140" s="127"/>
      <c r="LK140" s="127"/>
      <c r="LL140" s="127"/>
      <c r="LM140" s="127"/>
      <c r="LN140" s="127"/>
      <c r="LO140" s="127"/>
      <c r="LP140" s="127"/>
      <c r="OG140" s="127"/>
      <c r="OH140" s="127"/>
      <c r="OI140" s="127"/>
      <c r="OJ140" s="127"/>
      <c r="OK140" s="127"/>
      <c r="OL140" s="127"/>
      <c r="OM140" s="127"/>
      <c r="ON140" s="127"/>
      <c r="OO140" s="127"/>
      <c r="OP140" s="127"/>
      <c r="OQ140" s="127"/>
      <c r="OR140" s="127"/>
      <c r="OS140" s="127"/>
      <c r="OT140" s="127"/>
      <c r="OU140" s="127"/>
    </row>
    <row r="141" spans="1:411">
      <c r="A141">
        <v>11</v>
      </c>
      <c r="B141">
        <v>188</v>
      </c>
      <c r="C141" t="s">
        <v>72</v>
      </c>
      <c r="D141" t="s">
        <v>75</v>
      </c>
      <c r="E141" s="232" t="s">
        <v>9046</v>
      </c>
      <c r="F141" t="s">
        <v>71</v>
      </c>
      <c r="G141">
        <v>1</v>
      </c>
      <c r="H141">
        <v>658.28700000000003</v>
      </c>
      <c r="I141">
        <v>655.82600000000002</v>
      </c>
      <c r="J141">
        <v>654.06399999999996</v>
      </c>
      <c r="K141">
        <v>652.44299999999998</v>
      </c>
      <c r="L141">
        <v>650.93700000000001</v>
      </c>
      <c r="M141" s="233" t="s">
        <v>530</v>
      </c>
      <c r="N141" s="233" t="s">
        <v>531</v>
      </c>
      <c r="O141" s="3" t="s">
        <v>674</v>
      </c>
      <c r="BM141" s="127"/>
      <c r="BN141" s="127"/>
      <c r="BO141" s="127"/>
      <c r="BP141" s="127"/>
      <c r="BQ141" s="127"/>
      <c r="BR141" s="127"/>
      <c r="BS141" s="127"/>
      <c r="BT141" s="127"/>
      <c r="BU141" s="127"/>
      <c r="BV141" s="127"/>
      <c r="BW141" s="127"/>
      <c r="BX141" s="127"/>
      <c r="BY141" s="127"/>
      <c r="BZ141" s="127"/>
      <c r="CA141" s="127"/>
      <c r="ER141" s="127"/>
      <c r="ES141" s="127"/>
      <c r="ET141" s="127"/>
      <c r="EU141" s="127"/>
      <c r="EV141" s="127"/>
      <c r="EW141" s="127"/>
      <c r="EX141" s="127"/>
      <c r="EY141" s="127"/>
      <c r="EZ141" s="127"/>
      <c r="FA141" s="127"/>
      <c r="FB141" s="127"/>
      <c r="FC141" s="127"/>
      <c r="FD141" s="127"/>
      <c r="FE141" s="127"/>
      <c r="FF141" s="127"/>
      <c r="HW141" s="127"/>
      <c r="HX141" s="127"/>
      <c r="HY141" s="127"/>
      <c r="HZ141" s="127"/>
      <c r="IA141" s="127"/>
      <c r="IB141" s="127"/>
      <c r="IC141" s="127"/>
      <c r="ID141" s="127"/>
      <c r="IE141" s="127"/>
      <c r="IF141" s="127"/>
      <c r="IG141" s="127"/>
      <c r="IH141" s="127"/>
      <c r="II141" s="127"/>
      <c r="IJ141" s="127"/>
      <c r="IK141" s="127"/>
      <c r="LB141" s="127"/>
      <c r="LC141" s="127"/>
      <c r="LD141" s="127"/>
      <c r="LE141" s="127"/>
      <c r="LF141" s="127"/>
      <c r="LG141" s="127"/>
      <c r="LH141" s="127"/>
      <c r="LI141" s="127"/>
      <c r="LJ141" s="127"/>
      <c r="LK141" s="127"/>
      <c r="LL141" s="127"/>
      <c r="LM141" s="127"/>
      <c r="LN141" s="127"/>
      <c r="LO141" s="127"/>
      <c r="LP141" s="127"/>
      <c r="OG141" s="127"/>
      <c r="OH141" s="127"/>
      <c r="OI141" s="127"/>
      <c r="OJ141" s="127"/>
      <c r="OK141" s="127"/>
      <c r="OL141" s="127"/>
      <c r="OM141" s="127"/>
      <c r="ON141" s="127"/>
      <c r="OO141" s="127"/>
      <c r="OP141" s="127"/>
      <c r="OQ141" s="127"/>
      <c r="OR141" s="127"/>
      <c r="OS141" s="127"/>
      <c r="OT141" s="127"/>
      <c r="OU141" s="127"/>
    </row>
    <row r="142" spans="1:411">
      <c r="A142">
        <v>11</v>
      </c>
      <c r="B142">
        <v>201</v>
      </c>
      <c r="C142" t="s">
        <v>72</v>
      </c>
      <c r="D142" t="s">
        <v>75</v>
      </c>
      <c r="E142" s="232" t="s">
        <v>8534</v>
      </c>
      <c r="F142" t="s">
        <v>71</v>
      </c>
      <c r="G142">
        <v>1</v>
      </c>
      <c r="H142">
        <v>657.12900000000002</v>
      </c>
      <c r="I142">
        <v>656.36099999999999</v>
      </c>
      <c r="J142">
        <v>654.06399999999996</v>
      </c>
      <c r="K142">
        <v>652.80100000000004</v>
      </c>
      <c r="L142">
        <v>651.88400000000001</v>
      </c>
      <c r="M142" s="233" t="s">
        <v>530</v>
      </c>
      <c r="N142" s="233" t="s">
        <v>531</v>
      </c>
      <c r="O142" s="3" t="s">
        <v>675</v>
      </c>
      <c r="BM142" s="127"/>
      <c r="BN142" s="127"/>
      <c r="BO142" s="127"/>
      <c r="BP142" s="127"/>
      <c r="BQ142" s="127"/>
      <c r="BR142" s="127"/>
      <c r="BS142" s="127"/>
      <c r="BT142" s="127"/>
      <c r="BU142" s="127"/>
      <c r="BV142" s="127"/>
      <c r="BW142" s="127"/>
      <c r="BX142" s="127"/>
      <c r="BY142" s="127"/>
      <c r="BZ142" s="127"/>
      <c r="CA142" s="127"/>
      <c r="ER142" s="127"/>
      <c r="ES142" s="127"/>
      <c r="ET142" s="127"/>
      <c r="EU142" s="127"/>
      <c r="EV142" s="127"/>
      <c r="EW142" s="127"/>
      <c r="EX142" s="127"/>
      <c r="EY142" s="127"/>
      <c r="EZ142" s="127"/>
      <c r="FA142" s="127"/>
      <c r="FB142" s="127"/>
      <c r="FC142" s="127"/>
      <c r="FD142" s="127"/>
      <c r="FE142" s="127"/>
      <c r="FF142" s="127"/>
      <c r="HW142" s="127"/>
      <c r="HX142" s="127"/>
      <c r="HY142" s="127"/>
      <c r="HZ142" s="127"/>
      <c r="IA142" s="127"/>
      <c r="IB142" s="127"/>
      <c r="IC142" s="127"/>
      <c r="ID142" s="127"/>
      <c r="IE142" s="127"/>
      <c r="IF142" s="127"/>
      <c r="IG142" s="127"/>
      <c r="IH142" s="127"/>
      <c r="II142" s="127"/>
      <c r="IJ142" s="127"/>
      <c r="IK142" s="127"/>
      <c r="LB142" s="127"/>
      <c r="LC142" s="127"/>
      <c r="LD142" s="127"/>
      <c r="LE142" s="127"/>
      <c r="LF142" s="127"/>
      <c r="LG142" s="127"/>
      <c r="LH142" s="127"/>
      <c r="LI142" s="127"/>
      <c r="LJ142" s="127"/>
      <c r="LK142" s="127"/>
      <c r="LL142" s="127"/>
      <c r="LM142" s="127"/>
      <c r="LN142" s="127"/>
      <c r="LO142" s="127"/>
      <c r="LP142" s="127"/>
      <c r="OG142" s="127"/>
      <c r="OH142" s="127"/>
      <c r="OI142" s="127"/>
      <c r="OJ142" s="127"/>
      <c r="OK142" s="127"/>
      <c r="OL142" s="127"/>
      <c r="OM142" s="127"/>
      <c r="ON142" s="127"/>
      <c r="OO142" s="127"/>
      <c r="OP142" s="127"/>
      <c r="OQ142" s="127"/>
      <c r="OR142" s="127"/>
      <c r="OS142" s="127"/>
      <c r="OT142" s="127"/>
      <c r="OU142" s="127"/>
    </row>
    <row r="143" spans="1:411">
      <c r="A143">
        <v>11</v>
      </c>
      <c r="B143">
        <v>200</v>
      </c>
      <c r="C143" t="s">
        <v>72</v>
      </c>
      <c r="D143" t="s">
        <v>75</v>
      </c>
      <c r="E143" s="232" t="s">
        <v>8217</v>
      </c>
      <c r="F143" t="s">
        <v>71</v>
      </c>
      <c r="G143">
        <v>1</v>
      </c>
      <c r="H143">
        <v>655.82600000000002</v>
      </c>
      <c r="I143">
        <v>654.41</v>
      </c>
      <c r="J143">
        <v>653.40899999999999</v>
      </c>
      <c r="K143">
        <v>651.40700000000004</v>
      </c>
      <c r="L143">
        <v>649.83600000000001</v>
      </c>
      <c r="M143" s="233" t="s">
        <v>530</v>
      </c>
      <c r="N143" s="233" t="s">
        <v>531</v>
      </c>
      <c r="O143" s="3" t="s">
        <v>676</v>
      </c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  <c r="ER143" s="127"/>
      <c r="ES143" s="127"/>
      <c r="ET143" s="127"/>
      <c r="EU143" s="127"/>
      <c r="EV143" s="127"/>
      <c r="EW143" s="127"/>
      <c r="EX143" s="127"/>
      <c r="EY143" s="127"/>
      <c r="EZ143" s="127"/>
      <c r="FA143" s="127"/>
      <c r="FB143" s="127"/>
      <c r="FC143" s="127"/>
      <c r="FD143" s="127"/>
      <c r="FE143" s="127"/>
      <c r="FF143" s="127"/>
      <c r="HW143" s="127"/>
      <c r="HX143" s="127"/>
      <c r="HY143" s="127"/>
      <c r="HZ143" s="127"/>
      <c r="IA143" s="127"/>
      <c r="IB143" s="127"/>
      <c r="IC143" s="127"/>
      <c r="ID143" s="127"/>
      <c r="IE143" s="127"/>
      <c r="IF143" s="127"/>
      <c r="IG143" s="127"/>
      <c r="IH143" s="127"/>
      <c r="II143" s="127"/>
      <c r="IJ143" s="127"/>
      <c r="IK143" s="127"/>
      <c r="LB143" s="127"/>
      <c r="LC143" s="127"/>
      <c r="LD143" s="127"/>
      <c r="LE143" s="127"/>
      <c r="LF143" s="127"/>
      <c r="LG143" s="127"/>
      <c r="LH143" s="127"/>
      <c r="LI143" s="127"/>
      <c r="LJ143" s="127"/>
      <c r="LK143" s="127"/>
      <c r="LL143" s="127"/>
      <c r="LM143" s="127"/>
      <c r="LN143" s="127"/>
      <c r="LO143" s="127"/>
      <c r="LP143" s="127"/>
      <c r="OG143" s="127"/>
      <c r="OH143" s="127"/>
      <c r="OI143" s="127"/>
      <c r="OJ143" s="127"/>
      <c r="OK143" s="127"/>
      <c r="OL143" s="127"/>
      <c r="OM143" s="127"/>
      <c r="ON143" s="127"/>
      <c r="OO143" s="127"/>
      <c r="OP143" s="127"/>
      <c r="OQ143" s="127"/>
      <c r="OR143" s="127"/>
      <c r="OS143" s="127"/>
      <c r="OT143" s="127"/>
      <c r="OU143" s="127"/>
    </row>
    <row r="144" spans="1:411">
      <c r="A144">
        <v>11</v>
      </c>
      <c r="B144">
        <v>191</v>
      </c>
      <c r="C144" t="s">
        <v>72</v>
      </c>
      <c r="D144" t="s">
        <v>75</v>
      </c>
      <c r="E144" s="232" t="s">
        <v>8595</v>
      </c>
      <c r="F144" t="s">
        <v>71</v>
      </c>
      <c r="G144">
        <v>1</v>
      </c>
      <c r="H144">
        <v>656.82899999999995</v>
      </c>
      <c r="I144">
        <v>654.41</v>
      </c>
      <c r="J144">
        <v>652.56299999999999</v>
      </c>
      <c r="K144">
        <v>651.76400000000001</v>
      </c>
      <c r="L144">
        <v>650.46</v>
      </c>
      <c r="M144" s="233" t="s">
        <v>530</v>
      </c>
      <c r="N144" s="233" t="s">
        <v>531</v>
      </c>
      <c r="O144" s="3" t="s">
        <v>677</v>
      </c>
      <c r="BM144" s="127"/>
      <c r="BN144" s="127"/>
      <c r="BO144" s="127"/>
      <c r="BP144" s="127"/>
      <c r="BQ144" s="127"/>
      <c r="BR144" s="127"/>
      <c r="BS144" s="127"/>
      <c r="BT144" s="127"/>
      <c r="BU144" s="127"/>
      <c r="BV144" s="127"/>
      <c r="BW144" s="127"/>
      <c r="BX144" s="127"/>
      <c r="BY144" s="127"/>
      <c r="BZ144" s="127"/>
      <c r="CA144" s="127"/>
      <c r="ER144" s="127"/>
      <c r="ES144" s="127"/>
      <c r="ET144" s="127"/>
      <c r="EU144" s="127"/>
      <c r="EV144" s="127"/>
      <c r="EW144" s="127"/>
      <c r="EX144" s="127"/>
      <c r="EY144" s="127"/>
      <c r="EZ144" s="127"/>
      <c r="FA144" s="127"/>
      <c r="FB144" s="127"/>
      <c r="FC144" s="127"/>
      <c r="FD144" s="127"/>
      <c r="FE144" s="127"/>
      <c r="FF144" s="127"/>
      <c r="HW144" s="127"/>
      <c r="HX144" s="127"/>
      <c r="HY144" s="127"/>
      <c r="HZ144" s="127"/>
      <c r="IA144" s="127"/>
      <c r="IB144" s="127"/>
      <c r="IC144" s="127"/>
      <c r="ID144" s="127"/>
      <c r="IE144" s="127"/>
      <c r="IF144" s="127"/>
      <c r="IG144" s="127"/>
      <c r="IH144" s="127"/>
      <c r="II144" s="127"/>
      <c r="IJ144" s="127"/>
      <c r="IK144" s="127"/>
      <c r="LB144" s="127"/>
      <c r="LC144" s="127"/>
      <c r="LD144" s="127"/>
      <c r="LE144" s="127"/>
      <c r="LF144" s="127"/>
      <c r="LG144" s="127"/>
      <c r="LH144" s="127"/>
      <c r="LI144" s="127"/>
      <c r="LJ144" s="127"/>
      <c r="LK144" s="127"/>
      <c r="LL144" s="127"/>
      <c r="LM144" s="127"/>
      <c r="LN144" s="127"/>
      <c r="LO144" s="127"/>
      <c r="LP144" s="127"/>
      <c r="OG144" s="127"/>
      <c r="OH144" s="127"/>
      <c r="OI144" s="127"/>
      <c r="OJ144" s="127"/>
      <c r="OK144" s="127"/>
      <c r="OL144" s="127"/>
      <c r="OM144" s="127"/>
      <c r="ON144" s="127"/>
      <c r="OO144" s="127"/>
      <c r="OP144" s="127"/>
      <c r="OQ144" s="127"/>
      <c r="OR144" s="127"/>
      <c r="OS144" s="127"/>
      <c r="OT144" s="127"/>
      <c r="OU144" s="127"/>
    </row>
    <row r="145" spans="1:411">
      <c r="A145">
        <v>11</v>
      </c>
      <c r="B145">
        <v>195</v>
      </c>
      <c r="C145" t="s">
        <v>72</v>
      </c>
      <c r="D145" t="s">
        <v>75</v>
      </c>
      <c r="E145" s="232" t="s">
        <v>8772</v>
      </c>
      <c r="F145" t="s">
        <v>71</v>
      </c>
      <c r="G145">
        <v>1</v>
      </c>
      <c r="H145">
        <v>655.34900000000005</v>
      </c>
      <c r="I145">
        <v>654.06399999999996</v>
      </c>
      <c r="J145">
        <v>652.56299999999999</v>
      </c>
      <c r="K145">
        <v>652.00400000000002</v>
      </c>
      <c r="L145">
        <v>650.93700000000001</v>
      </c>
      <c r="M145" s="233" t="s">
        <v>530</v>
      </c>
      <c r="N145" s="233" t="s">
        <v>531</v>
      </c>
      <c r="O145" s="3" t="s">
        <v>678</v>
      </c>
      <c r="BM145" s="127"/>
      <c r="BN145" s="127"/>
      <c r="BO145" s="127"/>
      <c r="BP145" s="127"/>
      <c r="BQ145" s="127"/>
      <c r="BR145" s="127"/>
      <c r="BS145" s="127"/>
      <c r="BT145" s="127"/>
      <c r="BU145" s="127"/>
      <c r="BV145" s="127"/>
      <c r="BW145" s="127"/>
      <c r="BX145" s="127"/>
      <c r="BY145" s="127"/>
      <c r="BZ145" s="127"/>
      <c r="CA145" s="127"/>
      <c r="ER145" s="127"/>
      <c r="ES145" s="127"/>
      <c r="ET145" s="127"/>
      <c r="EU145" s="127"/>
      <c r="EV145" s="127"/>
      <c r="EW145" s="127"/>
      <c r="EX145" s="127"/>
      <c r="EY145" s="127"/>
      <c r="EZ145" s="127"/>
      <c r="FA145" s="127"/>
      <c r="FB145" s="127"/>
      <c r="FC145" s="127"/>
      <c r="FD145" s="127"/>
      <c r="FE145" s="127"/>
      <c r="FF145" s="127"/>
      <c r="HW145" s="127"/>
      <c r="HX145" s="127"/>
      <c r="HY145" s="127"/>
      <c r="HZ145" s="127"/>
      <c r="IA145" s="127"/>
      <c r="IB145" s="127"/>
      <c r="IC145" s="127"/>
      <c r="ID145" s="127"/>
      <c r="IE145" s="127"/>
      <c r="IF145" s="127"/>
      <c r="IG145" s="127"/>
      <c r="IH145" s="127"/>
      <c r="II145" s="127"/>
      <c r="IJ145" s="127"/>
      <c r="IK145" s="127"/>
      <c r="LB145" s="127"/>
      <c r="LC145" s="127"/>
      <c r="LD145" s="127"/>
      <c r="LE145" s="127"/>
      <c r="LF145" s="127"/>
      <c r="LG145" s="127"/>
      <c r="LH145" s="127"/>
      <c r="LI145" s="127"/>
      <c r="LJ145" s="127"/>
      <c r="LK145" s="127"/>
      <c r="LL145" s="127"/>
      <c r="LM145" s="127"/>
      <c r="LN145" s="127"/>
      <c r="LO145" s="127"/>
      <c r="LP145" s="127"/>
      <c r="OG145" s="127"/>
      <c r="OH145" s="127"/>
      <c r="OI145" s="127"/>
      <c r="OJ145" s="127"/>
      <c r="OK145" s="127"/>
      <c r="OL145" s="127"/>
      <c r="OM145" s="127"/>
      <c r="ON145" s="127"/>
      <c r="OO145" s="127"/>
      <c r="OP145" s="127"/>
      <c r="OQ145" s="127"/>
      <c r="OR145" s="127"/>
      <c r="OS145" s="127"/>
      <c r="OT145" s="127"/>
      <c r="OU145" s="127"/>
    </row>
    <row r="146" spans="1:411">
      <c r="A146">
        <v>11</v>
      </c>
      <c r="B146">
        <v>205</v>
      </c>
      <c r="C146" t="s">
        <v>72</v>
      </c>
      <c r="D146" t="s">
        <v>75</v>
      </c>
      <c r="E146" s="232" t="s">
        <v>8255</v>
      </c>
      <c r="F146" t="s">
        <v>71</v>
      </c>
      <c r="G146">
        <v>1</v>
      </c>
      <c r="H146">
        <v>653.529</v>
      </c>
      <c r="I146">
        <v>653.40899999999999</v>
      </c>
      <c r="J146">
        <v>652.56299999999999</v>
      </c>
      <c r="K146">
        <v>652.00400000000002</v>
      </c>
      <c r="L146">
        <v>651.05700000000002</v>
      </c>
      <c r="M146" s="233" t="s">
        <v>530</v>
      </c>
      <c r="N146" s="233" t="s">
        <v>531</v>
      </c>
      <c r="O146" s="3" t="s">
        <v>679</v>
      </c>
      <c r="BM146" s="127"/>
      <c r="BN146" s="127"/>
      <c r="BO146" s="127"/>
      <c r="BP146" s="127"/>
      <c r="BQ146" s="127"/>
      <c r="BR146" s="127"/>
      <c r="BS146" s="127"/>
      <c r="BT146" s="127"/>
      <c r="BU146" s="127"/>
      <c r="BV146" s="127"/>
      <c r="BW146" s="127"/>
      <c r="BX146" s="127"/>
      <c r="BY146" s="127"/>
      <c r="BZ146" s="127"/>
      <c r="CA146" s="127"/>
      <c r="ER146" s="127"/>
      <c r="ES146" s="127"/>
      <c r="ET146" s="127"/>
      <c r="EU146" s="127"/>
      <c r="EV146" s="127"/>
      <c r="EW146" s="127"/>
      <c r="EX146" s="127"/>
      <c r="EY146" s="127"/>
      <c r="EZ146" s="127"/>
      <c r="FA146" s="127"/>
      <c r="FB146" s="127"/>
      <c r="FC146" s="127"/>
      <c r="FD146" s="127"/>
      <c r="FE146" s="127"/>
      <c r="FF146" s="127"/>
      <c r="HW146" s="127"/>
      <c r="HX146" s="127"/>
      <c r="HY146" s="127"/>
      <c r="HZ146" s="127"/>
      <c r="IA146" s="127"/>
      <c r="IB146" s="127"/>
      <c r="IC146" s="127"/>
      <c r="ID146" s="127"/>
      <c r="IE146" s="127"/>
      <c r="IF146" s="127"/>
      <c r="IG146" s="127"/>
      <c r="IH146" s="127"/>
      <c r="II146" s="127"/>
      <c r="IJ146" s="127"/>
      <c r="IK146" s="127"/>
      <c r="LB146" s="127"/>
      <c r="LC146" s="127"/>
      <c r="LD146" s="127"/>
      <c r="LE146" s="127"/>
      <c r="LF146" s="127"/>
      <c r="LG146" s="127"/>
      <c r="LH146" s="127"/>
      <c r="LI146" s="127"/>
      <c r="LJ146" s="127"/>
      <c r="LK146" s="127"/>
      <c r="LL146" s="127"/>
      <c r="LM146" s="127"/>
      <c r="LN146" s="127"/>
      <c r="LO146" s="127"/>
      <c r="LP146" s="127"/>
      <c r="OG146" s="127"/>
      <c r="OH146" s="127"/>
      <c r="OI146" s="127"/>
      <c r="OJ146" s="127"/>
      <c r="OK146" s="127"/>
      <c r="OL146" s="127"/>
      <c r="OM146" s="127"/>
      <c r="ON146" s="127"/>
      <c r="OO146" s="127"/>
      <c r="OP146" s="127"/>
      <c r="OQ146" s="127"/>
      <c r="OR146" s="127"/>
      <c r="OS146" s="127"/>
      <c r="OT146" s="127"/>
      <c r="OU146" s="127"/>
    </row>
    <row r="147" spans="1:411">
      <c r="A147">
        <v>11</v>
      </c>
      <c r="B147">
        <v>209</v>
      </c>
      <c r="C147" t="s">
        <v>72</v>
      </c>
      <c r="D147" t="s">
        <v>75</v>
      </c>
      <c r="E147" s="232" t="s">
        <v>8883</v>
      </c>
      <c r="F147" t="s">
        <v>71</v>
      </c>
      <c r="G147">
        <v>1</v>
      </c>
      <c r="H147">
        <v>654.23</v>
      </c>
      <c r="I147">
        <v>653.40899999999999</v>
      </c>
      <c r="J147">
        <v>652.41999999999996</v>
      </c>
      <c r="K147">
        <v>651.76400000000001</v>
      </c>
      <c r="L147">
        <v>650.93700000000001</v>
      </c>
      <c r="M147" s="233" t="s">
        <v>530</v>
      </c>
      <c r="N147" s="233" t="s">
        <v>531</v>
      </c>
      <c r="O147" s="3" t="s">
        <v>680</v>
      </c>
      <c r="BM147" s="127"/>
      <c r="BN147" s="127"/>
      <c r="BO147" s="127"/>
      <c r="BP147" s="127"/>
      <c r="BQ147" s="127"/>
      <c r="BR147" s="127"/>
      <c r="BS147" s="127"/>
      <c r="BT147" s="127"/>
      <c r="BU147" s="127"/>
      <c r="BV147" s="127"/>
      <c r="BW147" s="127"/>
      <c r="BX147" s="127"/>
      <c r="BY147" s="127"/>
      <c r="BZ147" s="127"/>
      <c r="CA147" s="127"/>
      <c r="ER147" s="127"/>
      <c r="ES147" s="127"/>
      <c r="ET147" s="127"/>
      <c r="EU147" s="127"/>
      <c r="EV147" s="127"/>
      <c r="EW147" s="127"/>
      <c r="EX147" s="127"/>
      <c r="EY147" s="127"/>
      <c r="EZ147" s="127"/>
      <c r="FA147" s="127"/>
      <c r="FB147" s="127"/>
      <c r="FC147" s="127"/>
      <c r="FD147" s="127"/>
      <c r="FE147" s="127"/>
      <c r="FF147" s="127"/>
      <c r="HW147" s="127"/>
      <c r="HX147" s="127"/>
      <c r="HY147" s="127"/>
      <c r="HZ147" s="127"/>
      <c r="IA147" s="127"/>
      <c r="IB147" s="127"/>
      <c r="IC147" s="127"/>
      <c r="ID147" s="127"/>
      <c r="IE147" s="127"/>
      <c r="IF147" s="127"/>
      <c r="IG147" s="127"/>
      <c r="IH147" s="127"/>
      <c r="II147" s="127"/>
      <c r="IJ147" s="127"/>
      <c r="IK147" s="127"/>
      <c r="LB147" s="127"/>
      <c r="LC147" s="127"/>
      <c r="LD147" s="127"/>
      <c r="LE147" s="127"/>
      <c r="LF147" s="127"/>
      <c r="LG147" s="127"/>
      <c r="LH147" s="127"/>
      <c r="LI147" s="127"/>
      <c r="LJ147" s="127"/>
      <c r="LK147" s="127"/>
      <c r="LL147" s="127"/>
      <c r="LM147" s="127"/>
      <c r="LN147" s="127"/>
      <c r="LO147" s="127"/>
      <c r="LP147" s="127"/>
      <c r="OG147" s="127"/>
      <c r="OH147" s="127"/>
      <c r="OI147" s="127"/>
      <c r="OJ147" s="127"/>
      <c r="OK147" s="127"/>
      <c r="OL147" s="127"/>
      <c r="OM147" s="127"/>
      <c r="ON147" s="127"/>
      <c r="OO147" s="127"/>
      <c r="OP147" s="127"/>
      <c r="OQ147" s="127"/>
      <c r="OR147" s="127"/>
      <c r="OS147" s="127"/>
      <c r="OT147" s="127"/>
      <c r="OU147" s="127"/>
    </row>
    <row r="148" spans="1:411">
      <c r="A148">
        <v>11</v>
      </c>
      <c r="B148">
        <v>192</v>
      </c>
      <c r="C148" t="s">
        <v>72</v>
      </c>
      <c r="D148" t="s">
        <v>75</v>
      </c>
      <c r="E148" s="232" t="s">
        <v>8654</v>
      </c>
      <c r="F148" t="s">
        <v>71</v>
      </c>
      <c r="G148">
        <v>1</v>
      </c>
      <c r="H148">
        <v>654.41</v>
      </c>
      <c r="I148">
        <v>653.88599999999997</v>
      </c>
      <c r="J148">
        <v>651.88400000000001</v>
      </c>
      <c r="K148">
        <v>650.93700000000001</v>
      </c>
      <c r="L148">
        <v>649.83600000000001</v>
      </c>
      <c r="M148" s="233" t="s">
        <v>530</v>
      </c>
      <c r="N148" s="233" t="s">
        <v>531</v>
      </c>
      <c r="O148" s="3" t="s">
        <v>681</v>
      </c>
      <c r="BM148" s="127"/>
      <c r="BN148" s="127"/>
      <c r="BO148" s="127"/>
      <c r="BP148" s="127"/>
      <c r="BQ148" s="127"/>
      <c r="BR148" s="127"/>
      <c r="BS148" s="127"/>
      <c r="BT148" s="127"/>
      <c r="BU148" s="127"/>
      <c r="BV148" s="127"/>
      <c r="BW148" s="127"/>
      <c r="BX148" s="127"/>
      <c r="BY148" s="127"/>
      <c r="BZ148" s="127"/>
      <c r="CA148" s="127"/>
      <c r="ER148" s="127"/>
      <c r="ES148" s="127"/>
      <c r="ET148" s="127"/>
      <c r="EU148" s="127"/>
      <c r="EV148" s="127"/>
      <c r="EW148" s="127"/>
      <c r="EX148" s="127"/>
      <c r="EY148" s="127"/>
      <c r="EZ148" s="127"/>
      <c r="FA148" s="127"/>
      <c r="FB148" s="127"/>
      <c r="FC148" s="127"/>
      <c r="FD148" s="127"/>
      <c r="FE148" s="127"/>
      <c r="FF148" s="127"/>
      <c r="HW148" s="127"/>
      <c r="HX148" s="127"/>
      <c r="HY148" s="127"/>
      <c r="HZ148" s="127"/>
      <c r="IA148" s="127"/>
      <c r="IB148" s="127"/>
      <c r="IC148" s="127"/>
      <c r="ID148" s="127"/>
      <c r="IE148" s="127"/>
      <c r="IF148" s="127"/>
      <c r="IG148" s="127"/>
      <c r="IH148" s="127"/>
      <c r="II148" s="127"/>
      <c r="IJ148" s="127"/>
      <c r="IK148" s="127"/>
      <c r="LB148" s="127"/>
      <c r="LC148" s="127"/>
      <c r="LD148" s="127"/>
      <c r="LE148" s="127"/>
      <c r="LF148" s="127"/>
      <c r="LG148" s="127"/>
      <c r="LH148" s="127"/>
      <c r="LI148" s="127"/>
      <c r="LJ148" s="127"/>
      <c r="LK148" s="127"/>
      <c r="LL148" s="127"/>
      <c r="LM148" s="127"/>
      <c r="LN148" s="127"/>
      <c r="LO148" s="127"/>
      <c r="LP148" s="127"/>
      <c r="OG148" s="127"/>
      <c r="OH148" s="127"/>
      <c r="OI148" s="127"/>
      <c r="OJ148" s="127"/>
      <c r="OK148" s="127"/>
      <c r="OL148" s="127"/>
      <c r="OM148" s="127"/>
      <c r="ON148" s="127"/>
      <c r="OO148" s="127"/>
      <c r="OP148" s="127"/>
      <c r="OQ148" s="127"/>
      <c r="OR148" s="127"/>
      <c r="OS148" s="127"/>
      <c r="OT148" s="127"/>
      <c r="OU148" s="127"/>
    </row>
    <row r="149" spans="1:411">
      <c r="A149">
        <v>11</v>
      </c>
      <c r="B149">
        <v>194</v>
      </c>
      <c r="C149" t="s">
        <v>72</v>
      </c>
      <c r="D149" t="s">
        <v>75</v>
      </c>
      <c r="E149" s="232" t="s">
        <v>8216</v>
      </c>
      <c r="F149" t="s">
        <v>71</v>
      </c>
      <c r="G149">
        <v>1</v>
      </c>
      <c r="H149">
        <v>654.06399999999996</v>
      </c>
      <c r="I149">
        <v>653.40899999999999</v>
      </c>
      <c r="J149">
        <v>651.88400000000001</v>
      </c>
      <c r="K149">
        <v>651.05700000000002</v>
      </c>
      <c r="L149">
        <v>649.83600000000001</v>
      </c>
      <c r="M149" s="233" t="s">
        <v>530</v>
      </c>
      <c r="N149" s="233" t="s">
        <v>531</v>
      </c>
      <c r="O149" s="3" t="s">
        <v>682</v>
      </c>
      <c r="BM149" s="127"/>
      <c r="BN149" s="127"/>
      <c r="BO149" s="127"/>
      <c r="BP149" s="127"/>
      <c r="BQ149" s="127"/>
      <c r="BR149" s="127"/>
      <c r="BS149" s="127"/>
      <c r="BT149" s="127"/>
      <c r="BU149" s="127"/>
      <c r="BV149" s="127"/>
      <c r="BW149" s="127"/>
      <c r="BX149" s="127"/>
      <c r="BY149" s="127"/>
      <c r="BZ149" s="127"/>
      <c r="CA149" s="127"/>
      <c r="ER149" s="127"/>
      <c r="ES149" s="127"/>
      <c r="ET149" s="127"/>
      <c r="EU149" s="127"/>
      <c r="EV149" s="127"/>
      <c r="EW149" s="127"/>
      <c r="EX149" s="127"/>
      <c r="EY149" s="127"/>
      <c r="EZ149" s="127"/>
      <c r="FA149" s="127"/>
      <c r="FB149" s="127"/>
      <c r="FC149" s="127"/>
      <c r="FD149" s="127"/>
      <c r="FE149" s="127"/>
      <c r="FF149" s="127"/>
      <c r="HW149" s="127"/>
      <c r="HX149" s="127"/>
      <c r="HY149" s="127"/>
      <c r="HZ149" s="127"/>
      <c r="IA149" s="127"/>
      <c r="IB149" s="127"/>
      <c r="IC149" s="127"/>
      <c r="ID149" s="127"/>
      <c r="IE149" s="127"/>
      <c r="IF149" s="127"/>
      <c r="IG149" s="127"/>
      <c r="IH149" s="127"/>
      <c r="II149" s="127"/>
      <c r="IJ149" s="127"/>
      <c r="IK149" s="127"/>
      <c r="LB149" s="127"/>
      <c r="LC149" s="127"/>
      <c r="LD149" s="127"/>
      <c r="LE149" s="127"/>
      <c r="LF149" s="127"/>
      <c r="LG149" s="127"/>
      <c r="LH149" s="127"/>
      <c r="LI149" s="127"/>
      <c r="LJ149" s="127"/>
      <c r="LK149" s="127"/>
      <c r="LL149" s="127"/>
      <c r="LM149" s="127"/>
      <c r="LN149" s="127"/>
      <c r="LO149" s="127"/>
      <c r="LP149" s="127"/>
      <c r="OG149" s="127"/>
      <c r="OH149" s="127"/>
      <c r="OI149" s="127"/>
      <c r="OJ149" s="127"/>
      <c r="OK149" s="127"/>
      <c r="OL149" s="127"/>
      <c r="OM149" s="127"/>
      <c r="ON149" s="127"/>
      <c r="OO149" s="127"/>
      <c r="OP149" s="127"/>
      <c r="OQ149" s="127"/>
      <c r="OR149" s="127"/>
      <c r="OS149" s="127"/>
      <c r="OT149" s="127"/>
      <c r="OU149" s="127"/>
    </row>
    <row r="150" spans="1:411">
      <c r="A150">
        <v>11</v>
      </c>
      <c r="B150">
        <v>197</v>
      </c>
      <c r="C150" t="s">
        <v>72</v>
      </c>
      <c r="D150" t="s">
        <v>75</v>
      </c>
      <c r="E150" s="232" t="s">
        <v>8190</v>
      </c>
      <c r="F150" t="s">
        <v>71</v>
      </c>
      <c r="G150">
        <v>1</v>
      </c>
      <c r="H150">
        <v>654.06399999999996</v>
      </c>
      <c r="I150">
        <v>653.40899999999999</v>
      </c>
      <c r="J150">
        <v>651.88400000000001</v>
      </c>
      <c r="K150">
        <v>651.05700000000002</v>
      </c>
      <c r="L150">
        <v>649.83600000000001</v>
      </c>
      <c r="M150" s="233" t="s">
        <v>530</v>
      </c>
      <c r="N150" s="233" t="s">
        <v>531</v>
      </c>
      <c r="O150" s="3" t="s">
        <v>683</v>
      </c>
      <c r="BM150" s="127"/>
      <c r="BN150" s="127"/>
      <c r="BO150" s="127"/>
      <c r="BP150" s="127"/>
      <c r="BQ150" s="127"/>
      <c r="BR150" s="127"/>
      <c r="BS150" s="127"/>
      <c r="BT150" s="127"/>
      <c r="BU150" s="127"/>
      <c r="BV150" s="127"/>
      <c r="BW150" s="127"/>
      <c r="BX150" s="127"/>
      <c r="BY150" s="127"/>
      <c r="BZ150" s="127"/>
      <c r="CA150" s="127"/>
      <c r="ER150" s="127"/>
      <c r="ES150" s="127"/>
      <c r="ET150" s="127"/>
      <c r="EU150" s="127"/>
      <c r="EV150" s="127"/>
      <c r="EW150" s="127"/>
      <c r="EX150" s="127"/>
      <c r="EY150" s="127"/>
      <c r="EZ150" s="127"/>
      <c r="FA150" s="127"/>
      <c r="FB150" s="127"/>
      <c r="FC150" s="127"/>
      <c r="FD150" s="127"/>
      <c r="FE150" s="127"/>
      <c r="FF150" s="127"/>
      <c r="HW150" s="127"/>
      <c r="HX150" s="127"/>
      <c r="HY150" s="127"/>
      <c r="HZ150" s="127"/>
      <c r="IA150" s="127"/>
      <c r="IB150" s="127"/>
      <c r="IC150" s="127"/>
      <c r="ID150" s="127"/>
      <c r="IE150" s="127"/>
      <c r="IF150" s="127"/>
      <c r="IG150" s="127"/>
      <c r="IH150" s="127"/>
      <c r="II150" s="127"/>
      <c r="IJ150" s="127"/>
      <c r="IK150" s="127"/>
      <c r="LB150" s="127"/>
      <c r="LC150" s="127"/>
      <c r="LD150" s="127"/>
      <c r="LE150" s="127"/>
      <c r="LF150" s="127"/>
      <c r="LG150" s="127"/>
      <c r="LH150" s="127"/>
      <c r="LI150" s="127"/>
      <c r="LJ150" s="127"/>
      <c r="LK150" s="127"/>
      <c r="LL150" s="127"/>
      <c r="LM150" s="127"/>
      <c r="LN150" s="127"/>
      <c r="LO150" s="127"/>
      <c r="LP150" s="127"/>
      <c r="OG150" s="127"/>
      <c r="OH150" s="127"/>
      <c r="OI150" s="127"/>
      <c r="OJ150" s="127"/>
      <c r="OK150" s="127"/>
      <c r="OL150" s="127"/>
      <c r="OM150" s="127"/>
      <c r="ON150" s="127"/>
      <c r="OO150" s="127"/>
      <c r="OP150" s="127"/>
      <c r="OQ150" s="127"/>
      <c r="OR150" s="127"/>
      <c r="OS150" s="127"/>
      <c r="OT150" s="127"/>
      <c r="OU150" s="127"/>
    </row>
    <row r="151" spans="1:411">
      <c r="A151">
        <v>11</v>
      </c>
      <c r="B151">
        <v>199</v>
      </c>
      <c r="C151" t="s">
        <v>72</v>
      </c>
      <c r="D151" t="s">
        <v>75</v>
      </c>
      <c r="E151" s="232" t="s">
        <v>8618</v>
      </c>
      <c r="F151" t="s">
        <v>71</v>
      </c>
      <c r="G151">
        <v>1</v>
      </c>
      <c r="H151">
        <v>654.41</v>
      </c>
      <c r="I151">
        <v>653.88599999999997</v>
      </c>
      <c r="J151">
        <v>651.88400000000001</v>
      </c>
      <c r="K151">
        <v>650.93700000000001</v>
      </c>
      <c r="L151">
        <v>649.83600000000001</v>
      </c>
      <c r="M151" s="233" t="s">
        <v>530</v>
      </c>
      <c r="N151" s="233" t="s">
        <v>531</v>
      </c>
      <c r="O151" s="3" t="s">
        <v>684</v>
      </c>
      <c r="BM151" s="127"/>
      <c r="BN151" s="127"/>
      <c r="BO151" s="127"/>
      <c r="BP151" s="127"/>
      <c r="BQ151" s="127"/>
      <c r="BR151" s="127"/>
      <c r="BS151" s="127"/>
      <c r="BT151" s="127"/>
      <c r="BU151" s="127"/>
      <c r="BV151" s="127"/>
      <c r="BW151" s="127"/>
      <c r="BX151" s="127"/>
      <c r="BY151" s="127"/>
      <c r="BZ151" s="127"/>
      <c r="CA151" s="127"/>
      <c r="ER151" s="127"/>
      <c r="ES151" s="127"/>
      <c r="ET151" s="127"/>
      <c r="EU151" s="127"/>
      <c r="EV151" s="127"/>
      <c r="EW151" s="127"/>
      <c r="EX151" s="127"/>
      <c r="EY151" s="127"/>
      <c r="EZ151" s="127"/>
      <c r="FA151" s="127"/>
      <c r="FB151" s="127"/>
      <c r="FC151" s="127"/>
      <c r="FD151" s="127"/>
      <c r="FE151" s="127"/>
      <c r="FF151" s="127"/>
      <c r="HW151" s="127"/>
      <c r="HX151" s="127"/>
      <c r="HY151" s="127"/>
      <c r="HZ151" s="127"/>
      <c r="IA151" s="127"/>
      <c r="IB151" s="127"/>
      <c r="IC151" s="127"/>
      <c r="ID151" s="127"/>
      <c r="IE151" s="127"/>
      <c r="IF151" s="127"/>
      <c r="IG151" s="127"/>
      <c r="IH151" s="127"/>
      <c r="II151" s="127"/>
      <c r="IJ151" s="127"/>
      <c r="IK151" s="127"/>
      <c r="LB151" s="127"/>
      <c r="LC151" s="127"/>
      <c r="LD151" s="127"/>
      <c r="LE151" s="127"/>
      <c r="LF151" s="127"/>
      <c r="LG151" s="127"/>
      <c r="LH151" s="127"/>
      <c r="LI151" s="127"/>
      <c r="LJ151" s="127"/>
      <c r="LK151" s="127"/>
      <c r="LL151" s="127"/>
      <c r="LM151" s="127"/>
      <c r="LN151" s="127"/>
      <c r="LO151" s="127"/>
      <c r="LP151" s="127"/>
      <c r="OG151" s="127"/>
      <c r="OH151" s="127"/>
      <c r="OI151" s="127"/>
      <c r="OJ151" s="127"/>
      <c r="OK151" s="127"/>
      <c r="OL151" s="127"/>
      <c r="OM151" s="127"/>
      <c r="ON151" s="127"/>
      <c r="OO151" s="127"/>
      <c r="OP151" s="127"/>
      <c r="OQ151" s="127"/>
      <c r="OR151" s="127"/>
      <c r="OS151" s="127"/>
      <c r="OT151" s="127"/>
      <c r="OU151" s="127"/>
    </row>
    <row r="152" spans="1:411">
      <c r="A152">
        <v>11</v>
      </c>
      <c r="B152">
        <v>207</v>
      </c>
      <c r="C152" t="s">
        <v>72</v>
      </c>
      <c r="D152" t="s">
        <v>75</v>
      </c>
      <c r="E152" s="232" t="s">
        <v>8767</v>
      </c>
      <c r="F152" t="s">
        <v>71</v>
      </c>
      <c r="G152">
        <v>1</v>
      </c>
      <c r="H152">
        <v>653.529</v>
      </c>
      <c r="I152">
        <v>652.56299999999999</v>
      </c>
      <c r="J152">
        <v>651.88400000000001</v>
      </c>
      <c r="K152">
        <v>651.05700000000002</v>
      </c>
      <c r="L152">
        <v>650.37099999999998</v>
      </c>
      <c r="M152" s="233" t="s">
        <v>530</v>
      </c>
      <c r="N152" s="233" t="s">
        <v>531</v>
      </c>
      <c r="O152" s="3" t="s">
        <v>685</v>
      </c>
      <c r="BM152" s="127"/>
      <c r="BN152" s="127"/>
      <c r="BO152" s="127"/>
      <c r="BP152" s="127"/>
      <c r="BQ152" s="127"/>
      <c r="BR152" s="127"/>
      <c r="BS152" s="127"/>
      <c r="BT152" s="127"/>
      <c r="BU152" s="127"/>
      <c r="BV152" s="127"/>
      <c r="BW152" s="127"/>
      <c r="BX152" s="127"/>
      <c r="BY152" s="127"/>
      <c r="BZ152" s="127"/>
      <c r="CA152" s="127"/>
      <c r="ER152" s="127"/>
      <c r="ES152" s="127"/>
      <c r="ET152" s="127"/>
      <c r="EU152" s="127"/>
      <c r="EV152" s="127"/>
      <c r="EW152" s="127"/>
      <c r="EX152" s="127"/>
      <c r="EY152" s="127"/>
      <c r="EZ152" s="127"/>
      <c r="FA152" s="127"/>
      <c r="FB152" s="127"/>
      <c r="FC152" s="127"/>
      <c r="FD152" s="127"/>
      <c r="FE152" s="127"/>
      <c r="FF152" s="127"/>
      <c r="HW152" s="127"/>
      <c r="HX152" s="127"/>
      <c r="HY152" s="127"/>
      <c r="HZ152" s="127"/>
      <c r="IA152" s="127"/>
      <c r="IB152" s="127"/>
      <c r="IC152" s="127"/>
      <c r="ID152" s="127"/>
      <c r="IE152" s="127"/>
      <c r="IF152" s="127"/>
      <c r="IG152" s="127"/>
      <c r="IH152" s="127"/>
      <c r="II152" s="127"/>
      <c r="IJ152" s="127"/>
      <c r="IK152" s="127"/>
      <c r="LB152" s="127"/>
      <c r="LC152" s="127"/>
      <c r="LD152" s="127"/>
      <c r="LE152" s="127"/>
      <c r="LF152" s="127"/>
      <c r="LG152" s="127"/>
      <c r="LH152" s="127"/>
      <c r="LI152" s="127"/>
      <c r="LJ152" s="127"/>
      <c r="LK152" s="127"/>
      <c r="LL152" s="127"/>
      <c r="LM152" s="127"/>
      <c r="LN152" s="127"/>
      <c r="LO152" s="127"/>
      <c r="LP152" s="127"/>
      <c r="OG152" s="127"/>
      <c r="OH152" s="127"/>
      <c r="OI152" s="127"/>
      <c r="OJ152" s="127"/>
      <c r="OK152" s="127"/>
      <c r="OL152" s="127"/>
      <c r="OM152" s="127"/>
      <c r="ON152" s="127"/>
      <c r="OO152" s="127"/>
      <c r="OP152" s="127"/>
      <c r="OQ152" s="127"/>
      <c r="OR152" s="127"/>
      <c r="OS152" s="127"/>
      <c r="OT152" s="127"/>
      <c r="OU152" s="127"/>
    </row>
    <row r="153" spans="1:411">
      <c r="A153">
        <v>11</v>
      </c>
      <c r="B153">
        <v>213</v>
      </c>
      <c r="C153" t="s">
        <v>72</v>
      </c>
      <c r="D153" t="s">
        <v>75</v>
      </c>
      <c r="E153" s="232" t="s">
        <v>8753</v>
      </c>
      <c r="F153" t="s">
        <v>71</v>
      </c>
      <c r="G153">
        <v>1</v>
      </c>
      <c r="H153">
        <v>653.88599999999997</v>
      </c>
      <c r="I153">
        <v>652.44299999999998</v>
      </c>
      <c r="J153">
        <v>651.88400000000001</v>
      </c>
      <c r="K153">
        <v>651.05700000000002</v>
      </c>
      <c r="L153">
        <v>649.95600000000002</v>
      </c>
      <c r="M153" s="233" t="s">
        <v>530</v>
      </c>
      <c r="N153" s="233" t="s">
        <v>531</v>
      </c>
      <c r="O153" s="3" t="s">
        <v>686</v>
      </c>
      <c r="BM153" s="127"/>
      <c r="BN153" s="127"/>
      <c r="BO153" s="127"/>
      <c r="BP153" s="127"/>
      <c r="BQ153" s="127"/>
      <c r="BR153" s="127"/>
      <c r="BS153" s="127"/>
      <c r="BT153" s="127"/>
      <c r="BU153" s="127"/>
      <c r="BV153" s="127"/>
      <c r="BW153" s="127"/>
      <c r="BX153" s="127"/>
      <c r="BY153" s="127"/>
      <c r="BZ153" s="127"/>
      <c r="CA153" s="127"/>
      <c r="ER153" s="127"/>
      <c r="ES153" s="127"/>
      <c r="ET153" s="127"/>
      <c r="EU153" s="127"/>
      <c r="EV153" s="127"/>
      <c r="EW153" s="127"/>
      <c r="EX153" s="127"/>
      <c r="EY153" s="127"/>
      <c r="EZ153" s="127"/>
      <c r="FA153" s="127"/>
      <c r="FB153" s="127"/>
      <c r="FC153" s="127"/>
      <c r="FD153" s="127"/>
      <c r="FE153" s="127"/>
      <c r="FF153" s="127"/>
      <c r="HW153" s="127"/>
      <c r="HX153" s="127"/>
      <c r="HY153" s="127"/>
      <c r="HZ153" s="127"/>
      <c r="IA153" s="127"/>
      <c r="IB153" s="127"/>
      <c r="IC153" s="127"/>
      <c r="ID153" s="127"/>
      <c r="IE153" s="127"/>
      <c r="IF153" s="127"/>
      <c r="IG153" s="127"/>
      <c r="IH153" s="127"/>
      <c r="II153" s="127"/>
      <c r="IJ153" s="127"/>
      <c r="IK153" s="127"/>
      <c r="LB153" s="127"/>
      <c r="LC153" s="127"/>
      <c r="LD153" s="127"/>
      <c r="LE153" s="127"/>
      <c r="LF153" s="127"/>
      <c r="LG153" s="127"/>
      <c r="LH153" s="127"/>
      <c r="LI153" s="127"/>
      <c r="LJ153" s="127"/>
      <c r="LK153" s="127"/>
      <c r="LL153" s="127"/>
      <c r="LM153" s="127"/>
      <c r="LN153" s="127"/>
      <c r="LO153" s="127"/>
      <c r="LP153" s="127"/>
      <c r="OG153" s="127"/>
      <c r="OH153" s="127"/>
      <c r="OI153" s="127"/>
      <c r="OJ153" s="127"/>
      <c r="OK153" s="127"/>
      <c r="OL153" s="127"/>
      <c r="OM153" s="127"/>
      <c r="ON153" s="127"/>
      <c r="OO153" s="127"/>
      <c r="OP153" s="127"/>
      <c r="OQ153" s="127"/>
      <c r="OR153" s="127"/>
      <c r="OS153" s="127"/>
      <c r="OT153" s="127"/>
      <c r="OU153" s="127"/>
    </row>
    <row r="154" spans="1:411">
      <c r="A154">
        <v>11</v>
      </c>
      <c r="B154">
        <v>206</v>
      </c>
      <c r="C154" t="s">
        <v>72</v>
      </c>
      <c r="D154" t="s">
        <v>75</v>
      </c>
      <c r="E154" s="232" t="s">
        <v>8863</v>
      </c>
      <c r="F154" t="s">
        <v>71</v>
      </c>
      <c r="G154">
        <v>1</v>
      </c>
      <c r="H154">
        <v>653.529</v>
      </c>
      <c r="I154">
        <v>652.56299999999999</v>
      </c>
      <c r="J154">
        <v>651.76400000000001</v>
      </c>
      <c r="K154">
        <v>650.46</v>
      </c>
      <c r="L154">
        <v>649.65599999999995</v>
      </c>
      <c r="M154" s="233" t="s">
        <v>530</v>
      </c>
      <c r="N154" s="233" t="s">
        <v>531</v>
      </c>
      <c r="O154" s="3" t="s">
        <v>687</v>
      </c>
      <c r="BM154" s="127"/>
      <c r="BN154" s="127"/>
      <c r="BO154" s="127"/>
      <c r="BP154" s="127"/>
      <c r="BQ154" s="127"/>
      <c r="BR154" s="127"/>
      <c r="BS154" s="127"/>
      <c r="BT154" s="127"/>
      <c r="BU154" s="127"/>
      <c r="BV154" s="127"/>
      <c r="BW154" s="127"/>
      <c r="BX154" s="127"/>
      <c r="BY154" s="127"/>
      <c r="BZ154" s="127"/>
      <c r="CA154" s="127"/>
      <c r="ER154" s="127"/>
      <c r="ES154" s="127"/>
      <c r="ET154" s="127"/>
      <c r="EU154" s="127"/>
      <c r="EV154" s="127"/>
      <c r="EW154" s="127"/>
      <c r="EX154" s="127"/>
      <c r="EY154" s="127"/>
      <c r="EZ154" s="127"/>
      <c r="FA154" s="127"/>
      <c r="FB154" s="127"/>
      <c r="FC154" s="127"/>
      <c r="FD154" s="127"/>
      <c r="FE154" s="127"/>
      <c r="FF154" s="127"/>
      <c r="HW154" s="127"/>
      <c r="HX154" s="127"/>
      <c r="HY154" s="127"/>
      <c r="HZ154" s="127"/>
      <c r="IA154" s="127"/>
      <c r="IB154" s="127"/>
      <c r="IC154" s="127"/>
      <c r="ID154" s="127"/>
      <c r="IE154" s="127"/>
      <c r="IF154" s="127"/>
      <c r="IG154" s="127"/>
      <c r="IH154" s="127"/>
      <c r="II154" s="127"/>
      <c r="IJ154" s="127"/>
      <c r="IK154" s="127"/>
      <c r="LB154" s="127"/>
      <c r="LC154" s="127"/>
      <c r="LD154" s="127"/>
      <c r="LE154" s="127"/>
      <c r="LF154" s="127"/>
      <c r="LG154" s="127"/>
      <c r="LH154" s="127"/>
      <c r="LI154" s="127"/>
      <c r="LJ154" s="127"/>
      <c r="LK154" s="127"/>
      <c r="LL154" s="127"/>
      <c r="LM154" s="127"/>
      <c r="LN154" s="127"/>
      <c r="LO154" s="127"/>
      <c r="LP154" s="127"/>
      <c r="OG154" s="127"/>
      <c r="OH154" s="127"/>
      <c r="OI154" s="127"/>
      <c r="OJ154" s="127"/>
      <c r="OK154" s="127"/>
      <c r="OL154" s="127"/>
      <c r="OM154" s="127"/>
      <c r="ON154" s="127"/>
      <c r="OO154" s="127"/>
      <c r="OP154" s="127"/>
      <c r="OQ154" s="127"/>
      <c r="OR154" s="127"/>
      <c r="OS154" s="127"/>
      <c r="OT154" s="127"/>
      <c r="OU154" s="127"/>
    </row>
    <row r="155" spans="1:411">
      <c r="A155">
        <v>11</v>
      </c>
      <c r="B155">
        <v>204</v>
      </c>
      <c r="C155" t="s">
        <v>72</v>
      </c>
      <c r="D155" t="s">
        <v>75</v>
      </c>
      <c r="E155" s="232" t="s">
        <v>8232</v>
      </c>
      <c r="F155" t="s">
        <v>71</v>
      </c>
      <c r="G155">
        <v>1</v>
      </c>
      <c r="H155">
        <v>652.56299999999999</v>
      </c>
      <c r="I155">
        <v>652.00400000000002</v>
      </c>
      <c r="J155">
        <v>651.05700000000002</v>
      </c>
      <c r="K155">
        <v>649.95600000000002</v>
      </c>
      <c r="L155">
        <v>649.12</v>
      </c>
      <c r="M155" s="233" t="s">
        <v>530</v>
      </c>
      <c r="N155" s="233" t="s">
        <v>531</v>
      </c>
      <c r="O155" s="3" t="s">
        <v>688</v>
      </c>
      <c r="BM155" s="127"/>
      <c r="BN155" s="127"/>
      <c r="BO155" s="127"/>
      <c r="BP155" s="127"/>
      <c r="BQ155" s="127"/>
      <c r="BR155" s="127"/>
      <c r="BS155" s="127"/>
      <c r="BT155" s="127"/>
      <c r="BU155" s="127"/>
      <c r="BV155" s="127"/>
      <c r="BW155" s="127"/>
      <c r="BX155" s="127"/>
      <c r="BY155" s="127"/>
      <c r="BZ155" s="127"/>
      <c r="CA155" s="127"/>
      <c r="ER155" s="127"/>
      <c r="ES155" s="127"/>
      <c r="ET155" s="127"/>
      <c r="EU155" s="127"/>
      <c r="EV155" s="127"/>
      <c r="EW155" s="127"/>
      <c r="EX155" s="127"/>
      <c r="EY155" s="127"/>
      <c r="EZ155" s="127"/>
      <c r="FA155" s="127"/>
      <c r="FB155" s="127"/>
      <c r="FC155" s="127"/>
      <c r="FD155" s="127"/>
      <c r="FE155" s="127"/>
      <c r="FF155" s="127"/>
      <c r="HW155" s="127"/>
      <c r="HX155" s="127"/>
      <c r="HY155" s="127"/>
      <c r="HZ155" s="127"/>
      <c r="IA155" s="127"/>
      <c r="IB155" s="127"/>
      <c r="IC155" s="127"/>
      <c r="ID155" s="127"/>
      <c r="IE155" s="127"/>
      <c r="IF155" s="127"/>
      <c r="IG155" s="127"/>
      <c r="IH155" s="127"/>
      <c r="II155" s="127"/>
      <c r="IJ155" s="127"/>
      <c r="IK155" s="127"/>
      <c r="LB155" s="127"/>
      <c r="LC155" s="127"/>
      <c r="LD155" s="127"/>
      <c r="LE155" s="127"/>
      <c r="LF155" s="127"/>
      <c r="LG155" s="127"/>
      <c r="LH155" s="127"/>
      <c r="LI155" s="127"/>
      <c r="LJ155" s="127"/>
      <c r="LK155" s="127"/>
      <c r="LL155" s="127"/>
      <c r="LM155" s="127"/>
      <c r="LN155" s="127"/>
      <c r="LO155" s="127"/>
      <c r="LP155" s="127"/>
      <c r="OG155" s="127"/>
      <c r="OH155" s="127"/>
      <c r="OI155" s="127"/>
      <c r="OJ155" s="127"/>
      <c r="OK155" s="127"/>
      <c r="OL155" s="127"/>
      <c r="OM155" s="127"/>
      <c r="ON155" s="127"/>
      <c r="OO155" s="127"/>
      <c r="OP155" s="127"/>
      <c r="OQ155" s="127"/>
      <c r="OR155" s="127"/>
      <c r="OS155" s="127"/>
      <c r="OT155" s="127"/>
      <c r="OU155" s="127"/>
    </row>
    <row r="156" spans="1:411">
      <c r="A156">
        <v>11</v>
      </c>
      <c r="B156">
        <v>193</v>
      </c>
      <c r="C156" t="s">
        <v>72</v>
      </c>
      <c r="D156" t="s">
        <v>75</v>
      </c>
      <c r="E156" s="232" t="s">
        <v>8804</v>
      </c>
      <c r="F156" t="s">
        <v>71</v>
      </c>
      <c r="G156">
        <v>1</v>
      </c>
      <c r="H156">
        <v>653.529</v>
      </c>
      <c r="I156">
        <v>652.80100000000004</v>
      </c>
      <c r="J156">
        <v>650.93700000000001</v>
      </c>
      <c r="K156">
        <v>649.83600000000001</v>
      </c>
      <c r="L156">
        <v>649.12</v>
      </c>
      <c r="M156" s="233" t="s">
        <v>530</v>
      </c>
      <c r="N156" s="233" t="s">
        <v>531</v>
      </c>
      <c r="O156" s="3" t="s">
        <v>689</v>
      </c>
      <c r="BM156" s="127"/>
      <c r="BN156" s="127"/>
      <c r="BO156" s="127"/>
      <c r="BP156" s="127"/>
      <c r="BQ156" s="127"/>
      <c r="BR156" s="127"/>
      <c r="BS156" s="127"/>
      <c r="BT156" s="127"/>
      <c r="BU156" s="127"/>
      <c r="BV156" s="127"/>
      <c r="BW156" s="127"/>
      <c r="BX156" s="127"/>
      <c r="BY156" s="127"/>
      <c r="BZ156" s="127"/>
      <c r="CA156" s="127"/>
      <c r="ER156" s="127"/>
      <c r="ES156" s="127"/>
      <c r="ET156" s="127"/>
      <c r="EU156" s="127"/>
      <c r="EV156" s="127"/>
      <c r="EW156" s="127"/>
      <c r="EX156" s="127"/>
      <c r="EY156" s="127"/>
      <c r="EZ156" s="127"/>
      <c r="FA156" s="127"/>
      <c r="FB156" s="127"/>
      <c r="FC156" s="127"/>
      <c r="FD156" s="127"/>
      <c r="FE156" s="127"/>
      <c r="FF156" s="127"/>
      <c r="HW156" s="127"/>
      <c r="HX156" s="127"/>
      <c r="HY156" s="127"/>
      <c r="HZ156" s="127"/>
      <c r="IA156" s="127"/>
      <c r="IB156" s="127"/>
      <c r="IC156" s="127"/>
      <c r="ID156" s="127"/>
      <c r="IE156" s="127"/>
      <c r="IF156" s="127"/>
      <c r="IG156" s="127"/>
      <c r="IH156" s="127"/>
      <c r="II156" s="127"/>
      <c r="IJ156" s="127"/>
      <c r="IK156" s="127"/>
      <c r="LB156" s="127"/>
      <c r="LC156" s="127"/>
      <c r="LD156" s="127"/>
      <c r="LE156" s="127"/>
      <c r="LF156" s="127"/>
      <c r="LG156" s="127"/>
      <c r="LH156" s="127"/>
      <c r="LI156" s="127"/>
      <c r="LJ156" s="127"/>
      <c r="LK156" s="127"/>
      <c r="LL156" s="127"/>
      <c r="LM156" s="127"/>
      <c r="LN156" s="127"/>
      <c r="LO156" s="127"/>
      <c r="LP156" s="127"/>
      <c r="OG156" s="127"/>
      <c r="OH156" s="127"/>
      <c r="OI156" s="127"/>
      <c r="OJ156" s="127"/>
      <c r="OK156" s="127"/>
      <c r="OL156" s="127"/>
      <c r="OM156" s="127"/>
      <c r="ON156" s="127"/>
      <c r="OO156" s="127"/>
      <c r="OP156" s="127"/>
      <c r="OQ156" s="127"/>
      <c r="OR156" s="127"/>
      <c r="OS156" s="127"/>
      <c r="OT156" s="127"/>
      <c r="OU156" s="127"/>
    </row>
    <row r="157" spans="1:411">
      <c r="A157">
        <v>11</v>
      </c>
      <c r="B157">
        <v>202</v>
      </c>
      <c r="C157" t="s">
        <v>72</v>
      </c>
      <c r="D157" t="s">
        <v>75</v>
      </c>
      <c r="E157" s="232" t="s">
        <v>542</v>
      </c>
      <c r="F157" t="s">
        <v>71</v>
      </c>
      <c r="G157">
        <v>1</v>
      </c>
      <c r="H157">
        <v>652.80100000000004</v>
      </c>
      <c r="I157">
        <v>652.41999999999996</v>
      </c>
      <c r="J157">
        <v>650.93700000000001</v>
      </c>
      <c r="K157">
        <v>649.83600000000001</v>
      </c>
      <c r="L157">
        <v>648.92700000000002</v>
      </c>
      <c r="M157" s="233" t="s">
        <v>530</v>
      </c>
      <c r="N157" s="233" t="s">
        <v>531</v>
      </c>
      <c r="O157" s="3" t="s">
        <v>690</v>
      </c>
      <c r="BM157" s="127"/>
      <c r="BN157" s="127"/>
      <c r="BO157" s="127"/>
      <c r="BP157" s="127"/>
      <c r="BQ157" s="127"/>
      <c r="BR157" s="127"/>
      <c r="BS157" s="127"/>
      <c r="BT157" s="127"/>
      <c r="BU157" s="127"/>
      <c r="BV157" s="127"/>
      <c r="BW157" s="127"/>
      <c r="BX157" s="127"/>
      <c r="BY157" s="127"/>
      <c r="BZ157" s="127"/>
      <c r="CA157" s="127"/>
      <c r="ER157" s="127"/>
      <c r="ES157" s="127"/>
      <c r="ET157" s="127"/>
      <c r="EU157" s="127"/>
      <c r="EV157" s="127"/>
      <c r="EW157" s="127"/>
      <c r="EX157" s="127"/>
      <c r="EY157" s="127"/>
      <c r="EZ157" s="127"/>
      <c r="FA157" s="127"/>
      <c r="FB157" s="127"/>
      <c r="FC157" s="127"/>
      <c r="FD157" s="127"/>
      <c r="FE157" s="127"/>
      <c r="FF157" s="127"/>
      <c r="HW157" s="127"/>
      <c r="HX157" s="127"/>
      <c r="HY157" s="127"/>
      <c r="HZ157" s="127"/>
      <c r="IA157" s="127"/>
      <c r="IB157" s="127"/>
      <c r="IC157" s="127"/>
      <c r="ID157" s="127"/>
      <c r="IE157" s="127"/>
      <c r="IF157" s="127"/>
      <c r="IG157" s="127"/>
      <c r="IH157" s="127"/>
      <c r="II157" s="127"/>
      <c r="IJ157" s="127"/>
      <c r="IK157" s="127"/>
      <c r="LB157" s="127"/>
      <c r="LC157" s="127"/>
      <c r="LD157" s="127"/>
      <c r="LE157" s="127"/>
      <c r="LF157" s="127"/>
      <c r="LG157" s="127"/>
      <c r="LH157" s="127"/>
      <c r="LI157" s="127"/>
      <c r="LJ157" s="127"/>
      <c r="LK157" s="127"/>
      <c r="LL157" s="127"/>
      <c r="LM157" s="127"/>
      <c r="LN157" s="127"/>
      <c r="LO157" s="127"/>
      <c r="LP157" s="127"/>
      <c r="OG157" s="127"/>
      <c r="OH157" s="127"/>
      <c r="OI157" s="127"/>
      <c r="OJ157" s="127"/>
      <c r="OK157" s="127"/>
      <c r="OL157" s="127"/>
      <c r="OM157" s="127"/>
      <c r="ON157" s="127"/>
      <c r="OO157" s="127"/>
      <c r="OP157" s="127"/>
      <c r="OQ157" s="127"/>
      <c r="OR157" s="127"/>
      <c r="OS157" s="127"/>
      <c r="OT157" s="127"/>
      <c r="OU157" s="127"/>
    </row>
    <row r="158" spans="1:411">
      <c r="A158">
        <v>11</v>
      </c>
      <c r="B158">
        <v>203</v>
      </c>
      <c r="C158" t="s">
        <v>72</v>
      </c>
      <c r="D158" t="s">
        <v>75</v>
      </c>
      <c r="E158" s="232" t="s">
        <v>560</v>
      </c>
      <c r="F158" t="s">
        <v>71</v>
      </c>
      <c r="G158">
        <v>1</v>
      </c>
      <c r="H158">
        <v>652.44299999999998</v>
      </c>
      <c r="I158">
        <v>651.88400000000001</v>
      </c>
      <c r="J158">
        <v>650.93700000000001</v>
      </c>
      <c r="K158">
        <v>649.83600000000001</v>
      </c>
      <c r="L158">
        <v>648.92700000000002</v>
      </c>
      <c r="M158" s="233" t="s">
        <v>530</v>
      </c>
      <c r="N158" s="233" t="s">
        <v>531</v>
      </c>
      <c r="O158" s="3" t="s">
        <v>691</v>
      </c>
      <c r="BM158" s="127"/>
      <c r="BN158" s="127"/>
      <c r="BO158" s="127"/>
      <c r="BP158" s="127"/>
      <c r="BQ158" s="127"/>
      <c r="BR158" s="127"/>
      <c r="BS158" s="127"/>
      <c r="BT158" s="127"/>
      <c r="BU158" s="127"/>
      <c r="BV158" s="127"/>
      <c r="BW158" s="127"/>
      <c r="BX158" s="127"/>
      <c r="BY158" s="127"/>
      <c r="BZ158" s="127"/>
      <c r="CA158" s="127"/>
      <c r="ER158" s="127"/>
      <c r="ES158" s="127"/>
      <c r="ET158" s="127"/>
      <c r="EU158" s="127"/>
      <c r="EV158" s="127"/>
      <c r="EW158" s="127"/>
      <c r="EX158" s="127"/>
      <c r="EY158" s="127"/>
      <c r="EZ158" s="127"/>
      <c r="FA158" s="127"/>
      <c r="FB158" s="127"/>
      <c r="FC158" s="127"/>
      <c r="FD158" s="127"/>
      <c r="FE158" s="127"/>
      <c r="FF158" s="127"/>
      <c r="HW158" s="127"/>
      <c r="HX158" s="127"/>
      <c r="HY158" s="127"/>
      <c r="HZ158" s="127"/>
      <c r="IA158" s="127"/>
      <c r="IB158" s="127"/>
      <c r="IC158" s="127"/>
      <c r="ID158" s="127"/>
      <c r="IE158" s="127"/>
      <c r="IF158" s="127"/>
      <c r="IG158" s="127"/>
      <c r="IH158" s="127"/>
      <c r="II158" s="127"/>
      <c r="IJ158" s="127"/>
      <c r="IK158" s="127"/>
      <c r="LB158" s="127"/>
      <c r="LC158" s="127"/>
      <c r="LD158" s="127"/>
      <c r="LE158" s="127"/>
      <c r="LF158" s="127"/>
      <c r="LG158" s="127"/>
      <c r="LH158" s="127"/>
      <c r="LI158" s="127"/>
      <c r="LJ158" s="127"/>
      <c r="LK158" s="127"/>
      <c r="LL158" s="127"/>
      <c r="LM158" s="127"/>
      <c r="LN158" s="127"/>
      <c r="LO158" s="127"/>
      <c r="LP158" s="127"/>
      <c r="OG158" s="127"/>
      <c r="OH158" s="127"/>
      <c r="OI158" s="127"/>
      <c r="OJ158" s="127"/>
      <c r="OK158" s="127"/>
      <c r="OL158" s="127"/>
      <c r="OM158" s="127"/>
      <c r="ON158" s="127"/>
      <c r="OO158" s="127"/>
      <c r="OP158" s="127"/>
      <c r="OQ158" s="127"/>
      <c r="OR158" s="127"/>
      <c r="OS158" s="127"/>
      <c r="OT158" s="127"/>
      <c r="OU158" s="127"/>
    </row>
    <row r="159" spans="1:411">
      <c r="A159">
        <v>11</v>
      </c>
      <c r="B159">
        <v>214</v>
      </c>
      <c r="C159" t="s">
        <v>72</v>
      </c>
      <c r="D159" t="s">
        <v>75</v>
      </c>
      <c r="E159" s="232" t="s">
        <v>7365</v>
      </c>
      <c r="F159" t="s">
        <v>71</v>
      </c>
      <c r="G159">
        <v>1</v>
      </c>
      <c r="H159">
        <v>652.41999999999996</v>
      </c>
      <c r="I159">
        <v>651.88400000000001</v>
      </c>
      <c r="J159">
        <v>650.46</v>
      </c>
      <c r="K159">
        <v>649.47699999999998</v>
      </c>
      <c r="L159">
        <v>647.40899999999999</v>
      </c>
      <c r="M159" s="233" t="s">
        <v>530</v>
      </c>
      <c r="N159" s="233" t="s">
        <v>531</v>
      </c>
      <c r="O159" s="3" t="s">
        <v>692</v>
      </c>
      <c r="BM159" s="127"/>
      <c r="BN159" s="127"/>
      <c r="BO159" s="127"/>
      <c r="BP159" s="127"/>
      <c r="BQ159" s="127"/>
      <c r="BR159" s="127"/>
      <c r="BS159" s="127"/>
      <c r="BT159" s="127"/>
      <c r="BU159" s="127"/>
      <c r="BV159" s="127"/>
      <c r="BW159" s="127"/>
      <c r="BX159" s="127"/>
      <c r="BY159" s="127"/>
      <c r="BZ159" s="127"/>
      <c r="CA159" s="127"/>
      <c r="ER159" s="127"/>
      <c r="ES159" s="127"/>
      <c r="ET159" s="127"/>
      <c r="EU159" s="127"/>
      <c r="EV159" s="127"/>
      <c r="EW159" s="127"/>
      <c r="EX159" s="127"/>
      <c r="EY159" s="127"/>
      <c r="EZ159" s="127"/>
      <c r="FA159" s="127"/>
      <c r="FB159" s="127"/>
      <c r="FC159" s="127"/>
      <c r="FD159" s="127"/>
      <c r="FE159" s="127"/>
      <c r="FF159" s="127"/>
      <c r="HW159" s="127"/>
      <c r="HX159" s="127"/>
      <c r="HY159" s="127"/>
      <c r="HZ159" s="127"/>
      <c r="IA159" s="127"/>
      <c r="IB159" s="127"/>
      <c r="IC159" s="127"/>
      <c r="ID159" s="127"/>
      <c r="IE159" s="127"/>
      <c r="IF159" s="127"/>
      <c r="IG159" s="127"/>
      <c r="IH159" s="127"/>
      <c r="II159" s="127"/>
      <c r="IJ159" s="127"/>
      <c r="IK159" s="127"/>
      <c r="LB159" s="127"/>
      <c r="LC159" s="127"/>
      <c r="LD159" s="127"/>
      <c r="LE159" s="127"/>
      <c r="LF159" s="127"/>
      <c r="LG159" s="127"/>
      <c r="LH159" s="127"/>
      <c r="LI159" s="127"/>
      <c r="LJ159" s="127"/>
      <c r="LK159" s="127"/>
      <c r="LL159" s="127"/>
      <c r="LM159" s="127"/>
      <c r="LN159" s="127"/>
      <c r="LO159" s="127"/>
      <c r="LP159" s="127"/>
      <c r="OG159" s="127"/>
      <c r="OH159" s="127"/>
      <c r="OI159" s="127"/>
      <c r="OJ159" s="127"/>
      <c r="OK159" s="127"/>
      <c r="OL159" s="127"/>
      <c r="OM159" s="127"/>
      <c r="ON159" s="127"/>
      <c r="OO159" s="127"/>
      <c r="OP159" s="127"/>
      <c r="OQ159" s="127"/>
      <c r="OR159" s="127"/>
      <c r="OS159" s="127"/>
      <c r="OT159" s="127"/>
      <c r="OU159" s="127"/>
    </row>
    <row r="160" spans="1:411">
      <c r="A160">
        <v>11</v>
      </c>
      <c r="B160">
        <v>198</v>
      </c>
      <c r="C160" t="s">
        <v>72</v>
      </c>
      <c r="D160" t="s">
        <v>75</v>
      </c>
      <c r="E160" s="232" t="s">
        <v>8827</v>
      </c>
      <c r="F160" t="s">
        <v>71</v>
      </c>
      <c r="G160">
        <v>1</v>
      </c>
      <c r="H160">
        <v>652.56299999999999</v>
      </c>
      <c r="I160">
        <v>652.00400000000002</v>
      </c>
      <c r="J160">
        <v>650.37099999999998</v>
      </c>
      <c r="K160">
        <v>649.65599999999995</v>
      </c>
      <c r="L160">
        <v>648.92700000000002</v>
      </c>
      <c r="M160" s="233" t="s">
        <v>530</v>
      </c>
      <c r="N160" s="233" t="s">
        <v>531</v>
      </c>
      <c r="O160" s="3" t="s">
        <v>693</v>
      </c>
      <c r="BM160" s="127"/>
      <c r="BN160" s="127"/>
      <c r="BO160" s="127"/>
      <c r="BP160" s="127"/>
      <c r="BQ160" s="127"/>
      <c r="BR160" s="127"/>
      <c r="BS160" s="127"/>
      <c r="BT160" s="127"/>
      <c r="BU160" s="127"/>
      <c r="BV160" s="127"/>
      <c r="BW160" s="127"/>
      <c r="BX160" s="127"/>
      <c r="BY160" s="127"/>
      <c r="BZ160" s="127"/>
      <c r="CA160" s="127"/>
      <c r="ER160" s="127"/>
      <c r="ES160" s="127"/>
      <c r="ET160" s="127"/>
      <c r="EU160" s="127"/>
      <c r="EV160" s="127"/>
      <c r="EW160" s="127"/>
      <c r="EX160" s="127"/>
      <c r="EY160" s="127"/>
      <c r="EZ160" s="127"/>
      <c r="FA160" s="127"/>
      <c r="FB160" s="127"/>
      <c r="FC160" s="127"/>
      <c r="FD160" s="127"/>
      <c r="FE160" s="127"/>
      <c r="FF160" s="127"/>
      <c r="HW160" s="127"/>
      <c r="HX160" s="127"/>
      <c r="HY160" s="127"/>
      <c r="HZ160" s="127"/>
      <c r="IA160" s="127"/>
      <c r="IB160" s="127"/>
      <c r="IC160" s="127"/>
      <c r="ID160" s="127"/>
      <c r="IE160" s="127"/>
      <c r="IF160" s="127"/>
      <c r="IG160" s="127"/>
      <c r="IH160" s="127"/>
      <c r="II160" s="127"/>
      <c r="IJ160" s="127"/>
      <c r="IK160" s="127"/>
      <c r="LB160" s="127"/>
      <c r="LC160" s="127"/>
      <c r="LD160" s="127"/>
      <c r="LE160" s="127"/>
      <c r="LF160" s="127"/>
      <c r="LG160" s="127"/>
      <c r="LH160" s="127"/>
      <c r="LI160" s="127"/>
      <c r="LJ160" s="127"/>
      <c r="LK160" s="127"/>
      <c r="LL160" s="127"/>
      <c r="LM160" s="127"/>
      <c r="LN160" s="127"/>
      <c r="LO160" s="127"/>
      <c r="LP160" s="127"/>
      <c r="OG160" s="127"/>
      <c r="OH160" s="127"/>
      <c r="OI160" s="127"/>
      <c r="OJ160" s="127"/>
      <c r="OK160" s="127"/>
      <c r="OL160" s="127"/>
      <c r="OM160" s="127"/>
      <c r="ON160" s="127"/>
      <c r="OO160" s="127"/>
      <c r="OP160" s="127"/>
      <c r="OQ160" s="127"/>
      <c r="OR160" s="127"/>
      <c r="OS160" s="127"/>
      <c r="OT160" s="127"/>
      <c r="OU160" s="127"/>
    </row>
    <row r="161" spans="1:411">
      <c r="A161">
        <v>11</v>
      </c>
      <c r="B161">
        <v>208</v>
      </c>
      <c r="C161" t="s">
        <v>72</v>
      </c>
      <c r="D161" t="s">
        <v>75</v>
      </c>
      <c r="E161" s="232" t="s">
        <v>8797</v>
      </c>
      <c r="F161" t="s">
        <v>71</v>
      </c>
      <c r="G161">
        <v>1</v>
      </c>
      <c r="H161">
        <v>652.41999999999996</v>
      </c>
      <c r="I161">
        <v>651.40700000000004</v>
      </c>
      <c r="J161">
        <v>650.37099999999998</v>
      </c>
      <c r="K161">
        <v>649.65599999999995</v>
      </c>
      <c r="L161">
        <v>648.92700000000002</v>
      </c>
      <c r="M161" s="233" t="s">
        <v>530</v>
      </c>
      <c r="N161" s="233" t="s">
        <v>531</v>
      </c>
      <c r="O161" s="3" t="s">
        <v>694</v>
      </c>
      <c r="BM161" s="127"/>
      <c r="BN161" s="127"/>
      <c r="BO161" s="127"/>
      <c r="BP161" s="127"/>
      <c r="BQ161" s="127"/>
      <c r="BR161" s="127"/>
      <c r="BS161" s="127"/>
      <c r="BT161" s="127"/>
      <c r="BU161" s="127"/>
      <c r="BV161" s="127"/>
      <c r="BW161" s="127"/>
      <c r="BX161" s="127"/>
      <c r="BY161" s="127"/>
      <c r="BZ161" s="127"/>
      <c r="CA161" s="127"/>
      <c r="ER161" s="127"/>
      <c r="ES161" s="127"/>
      <c r="ET161" s="127"/>
      <c r="EU161" s="127"/>
      <c r="EV161" s="127"/>
      <c r="EW161" s="127"/>
      <c r="EX161" s="127"/>
      <c r="EY161" s="127"/>
      <c r="EZ161" s="127"/>
      <c r="FA161" s="127"/>
      <c r="FB161" s="127"/>
      <c r="FC161" s="127"/>
      <c r="FD161" s="127"/>
      <c r="FE161" s="127"/>
      <c r="FF161" s="127"/>
      <c r="HW161" s="127"/>
      <c r="HX161" s="127"/>
      <c r="HY161" s="127"/>
      <c r="HZ161" s="127"/>
      <c r="IA161" s="127"/>
      <c r="IB161" s="127"/>
      <c r="IC161" s="127"/>
      <c r="ID161" s="127"/>
      <c r="IE161" s="127"/>
      <c r="IF161" s="127"/>
      <c r="IG161" s="127"/>
      <c r="IH161" s="127"/>
      <c r="II161" s="127"/>
      <c r="IJ161" s="127"/>
      <c r="IK161" s="127"/>
      <c r="LB161" s="127"/>
      <c r="LC161" s="127"/>
      <c r="LD161" s="127"/>
      <c r="LE161" s="127"/>
      <c r="LF161" s="127"/>
      <c r="LG161" s="127"/>
      <c r="LH161" s="127"/>
      <c r="LI161" s="127"/>
      <c r="LJ161" s="127"/>
      <c r="LK161" s="127"/>
      <c r="LL161" s="127"/>
      <c r="LM161" s="127"/>
      <c r="LN161" s="127"/>
      <c r="LO161" s="127"/>
      <c r="LP161" s="127"/>
      <c r="OG161" s="127"/>
      <c r="OH161" s="127"/>
      <c r="OI161" s="127"/>
      <c r="OJ161" s="127"/>
      <c r="OK161" s="127"/>
      <c r="OL161" s="127"/>
      <c r="OM161" s="127"/>
      <c r="ON161" s="127"/>
      <c r="OO161" s="127"/>
      <c r="OP161" s="127"/>
      <c r="OQ161" s="127"/>
      <c r="OR161" s="127"/>
      <c r="OS161" s="127"/>
      <c r="OT161" s="127"/>
      <c r="OU161" s="127"/>
    </row>
    <row r="162" spans="1:411">
      <c r="A162">
        <v>11</v>
      </c>
      <c r="B162">
        <v>210</v>
      </c>
      <c r="C162" t="s">
        <v>72</v>
      </c>
      <c r="D162" t="s">
        <v>75</v>
      </c>
      <c r="E162" s="232" t="s">
        <v>561</v>
      </c>
      <c r="F162" t="s">
        <v>71</v>
      </c>
      <c r="G162">
        <v>1</v>
      </c>
      <c r="H162">
        <v>652.41999999999996</v>
      </c>
      <c r="I162">
        <v>651.40700000000004</v>
      </c>
      <c r="J162">
        <v>650.37099999999998</v>
      </c>
      <c r="K162">
        <v>649.65599999999995</v>
      </c>
      <c r="L162">
        <v>648.92700000000002</v>
      </c>
      <c r="M162" s="233" t="s">
        <v>530</v>
      </c>
      <c r="N162" s="233" t="s">
        <v>531</v>
      </c>
      <c r="O162" s="3" t="s">
        <v>695</v>
      </c>
      <c r="BM162" s="127"/>
      <c r="BN162" s="127"/>
      <c r="BO162" s="127"/>
      <c r="BP162" s="127"/>
      <c r="BQ162" s="127"/>
      <c r="BR162" s="127"/>
      <c r="BS162" s="127"/>
      <c r="BT162" s="127"/>
      <c r="BU162" s="127"/>
      <c r="BV162" s="127"/>
      <c r="BW162" s="127"/>
      <c r="BX162" s="127"/>
      <c r="BY162" s="127"/>
      <c r="BZ162" s="127"/>
      <c r="CA162" s="127"/>
      <c r="ER162" s="127"/>
      <c r="ES162" s="127"/>
      <c r="ET162" s="127"/>
      <c r="EU162" s="127"/>
      <c r="EV162" s="127"/>
      <c r="EW162" s="127"/>
      <c r="EX162" s="127"/>
      <c r="EY162" s="127"/>
      <c r="EZ162" s="127"/>
      <c r="FA162" s="127"/>
      <c r="FB162" s="127"/>
      <c r="FC162" s="127"/>
      <c r="FD162" s="127"/>
      <c r="FE162" s="127"/>
      <c r="FF162" s="127"/>
      <c r="HW162" s="127"/>
      <c r="HX162" s="127"/>
      <c r="HY162" s="127"/>
      <c r="HZ162" s="127"/>
      <c r="IA162" s="127"/>
      <c r="IB162" s="127"/>
      <c r="IC162" s="127"/>
      <c r="ID162" s="127"/>
      <c r="IE162" s="127"/>
      <c r="IF162" s="127"/>
      <c r="IG162" s="127"/>
      <c r="IH162" s="127"/>
      <c r="II162" s="127"/>
      <c r="IJ162" s="127"/>
      <c r="IK162" s="127"/>
      <c r="LB162" s="127"/>
      <c r="LC162" s="127"/>
      <c r="LD162" s="127"/>
      <c r="LE162" s="127"/>
      <c r="LF162" s="127"/>
      <c r="LG162" s="127"/>
      <c r="LH162" s="127"/>
      <c r="LI162" s="127"/>
      <c r="LJ162" s="127"/>
      <c r="LK162" s="127"/>
      <c r="LL162" s="127"/>
      <c r="LM162" s="127"/>
      <c r="LN162" s="127"/>
      <c r="LO162" s="127"/>
      <c r="LP162" s="127"/>
      <c r="OG162" s="127"/>
      <c r="OH162" s="127"/>
      <c r="OI162" s="127"/>
      <c r="OJ162" s="127"/>
      <c r="OK162" s="127"/>
      <c r="OL162" s="127"/>
      <c r="OM162" s="127"/>
      <c r="ON162" s="127"/>
      <c r="OO162" s="127"/>
      <c r="OP162" s="127"/>
      <c r="OQ162" s="127"/>
      <c r="OR162" s="127"/>
      <c r="OS162" s="127"/>
      <c r="OT162" s="127"/>
      <c r="OU162" s="127"/>
    </row>
    <row r="163" spans="1:411">
      <c r="A163">
        <v>11</v>
      </c>
      <c r="B163">
        <v>212</v>
      </c>
      <c r="C163" t="s">
        <v>72</v>
      </c>
      <c r="D163" t="s">
        <v>75</v>
      </c>
      <c r="E163" s="232" t="s">
        <v>8820</v>
      </c>
      <c r="F163" t="s">
        <v>71</v>
      </c>
      <c r="G163">
        <v>1</v>
      </c>
      <c r="H163">
        <v>652.44299999999998</v>
      </c>
      <c r="I163">
        <v>651.76400000000001</v>
      </c>
      <c r="J163">
        <v>649.95600000000002</v>
      </c>
      <c r="K163">
        <v>649.47699999999998</v>
      </c>
      <c r="L163">
        <v>648.80700000000002</v>
      </c>
      <c r="M163" s="233" t="s">
        <v>530</v>
      </c>
      <c r="N163" s="233" t="s">
        <v>531</v>
      </c>
      <c r="O163" s="3" t="s">
        <v>696</v>
      </c>
      <c r="BM163" s="127"/>
      <c r="BN163" s="127"/>
      <c r="BO163" s="127"/>
      <c r="BP163" s="127"/>
      <c r="BQ163" s="127"/>
      <c r="BR163" s="127"/>
      <c r="BS163" s="127"/>
      <c r="BT163" s="127"/>
      <c r="BU163" s="127"/>
      <c r="BV163" s="127"/>
      <c r="BW163" s="127"/>
      <c r="BX163" s="127"/>
      <c r="BY163" s="127"/>
      <c r="BZ163" s="127"/>
      <c r="CA163" s="127"/>
      <c r="ER163" s="127"/>
      <c r="ES163" s="127"/>
      <c r="ET163" s="127"/>
      <c r="EU163" s="127"/>
      <c r="EV163" s="127"/>
      <c r="EW163" s="127"/>
      <c r="EX163" s="127"/>
      <c r="EY163" s="127"/>
      <c r="EZ163" s="127"/>
      <c r="FA163" s="127"/>
      <c r="FB163" s="127"/>
      <c r="FC163" s="127"/>
      <c r="FD163" s="127"/>
      <c r="FE163" s="127"/>
      <c r="FF163" s="127"/>
      <c r="HW163" s="127"/>
      <c r="HX163" s="127"/>
      <c r="HY163" s="127"/>
      <c r="HZ163" s="127"/>
      <c r="IA163" s="127"/>
      <c r="IB163" s="127"/>
      <c r="IC163" s="127"/>
      <c r="ID163" s="127"/>
      <c r="IE163" s="127"/>
      <c r="IF163" s="127"/>
      <c r="IG163" s="127"/>
      <c r="IH163" s="127"/>
      <c r="II163" s="127"/>
      <c r="IJ163" s="127"/>
      <c r="IK163" s="127"/>
      <c r="LB163" s="127"/>
      <c r="LC163" s="127"/>
      <c r="LD163" s="127"/>
      <c r="LE163" s="127"/>
      <c r="LF163" s="127"/>
      <c r="LG163" s="127"/>
      <c r="LH163" s="127"/>
      <c r="LI163" s="127"/>
      <c r="LJ163" s="127"/>
      <c r="LK163" s="127"/>
      <c r="LL163" s="127"/>
      <c r="LM163" s="127"/>
      <c r="LN163" s="127"/>
      <c r="LO163" s="127"/>
      <c r="LP163" s="127"/>
      <c r="OG163" s="127"/>
      <c r="OH163" s="127"/>
      <c r="OI163" s="127"/>
      <c r="OJ163" s="127"/>
      <c r="OK163" s="127"/>
      <c r="OL163" s="127"/>
      <c r="OM163" s="127"/>
      <c r="ON163" s="127"/>
      <c r="OO163" s="127"/>
      <c r="OP163" s="127"/>
      <c r="OQ163" s="127"/>
      <c r="OR163" s="127"/>
      <c r="OS163" s="127"/>
      <c r="OT163" s="127"/>
      <c r="OU163" s="127"/>
    </row>
    <row r="164" spans="1:411">
      <c r="A164">
        <v>11</v>
      </c>
      <c r="B164">
        <v>189</v>
      </c>
      <c r="C164" t="s">
        <v>72</v>
      </c>
      <c r="D164" t="s">
        <v>75</v>
      </c>
      <c r="E164" s="232" t="s">
        <v>8742</v>
      </c>
      <c r="F164" t="s">
        <v>71</v>
      </c>
      <c r="G164">
        <v>1</v>
      </c>
      <c r="H164">
        <v>652.56299999999999</v>
      </c>
      <c r="I164">
        <v>651.88400000000001</v>
      </c>
      <c r="J164">
        <v>649.83600000000001</v>
      </c>
      <c r="K164">
        <v>648.92700000000002</v>
      </c>
      <c r="L164">
        <v>647.40899999999999</v>
      </c>
      <c r="M164" s="233" t="s">
        <v>530</v>
      </c>
      <c r="N164" s="233" t="s">
        <v>531</v>
      </c>
      <c r="O164" s="3" t="s">
        <v>697</v>
      </c>
      <c r="BM164" s="127"/>
      <c r="BN164" s="127"/>
      <c r="BO164" s="127"/>
      <c r="BP164" s="127"/>
      <c r="BQ164" s="127"/>
      <c r="BR164" s="127"/>
      <c r="BS164" s="127"/>
      <c r="BT164" s="127"/>
      <c r="BU164" s="127"/>
      <c r="BV164" s="127"/>
      <c r="BW164" s="127"/>
      <c r="BX164" s="127"/>
      <c r="BY164" s="127"/>
      <c r="BZ164" s="127"/>
      <c r="CA164" s="127"/>
      <c r="ER164" s="127"/>
      <c r="ES164" s="127"/>
      <c r="ET164" s="127"/>
      <c r="EU164" s="127"/>
      <c r="EV164" s="127"/>
      <c r="EW164" s="127"/>
      <c r="EX164" s="127"/>
      <c r="EY164" s="127"/>
      <c r="EZ164" s="127"/>
      <c r="FA164" s="127"/>
      <c r="FB164" s="127"/>
      <c r="FC164" s="127"/>
      <c r="FD164" s="127"/>
      <c r="FE164" s="127"/>
      <c r="FF164" s="127"/>
      <c r="HW164" s="127"/>
      <c r="HX164" s="127"/>
      <c r="HY164" s="127"/>
      <c r="HZ164" s="127"/>
      <c r="IA164" s="127"/>
      <c r="IB164" s="127"/>
      <c r="IC164" s="127"/>
      <c r="ID164" s="127"/>
      <c r="IE164" s="127"/>
      <c r="IF164" s="127"/>
      <c r="IG164" s="127"/>
      <c r="IH164" s="127"/>
      <c r="II164" s="127"/>
      <c r="IJ164" s="127"/>
      <c r="IK164" s="127"/>
      <c r="LB164" s="127"/>
      <c r="LC164" s="127"/>
      <c r="LD164" s="127"/>
      <c r="LE164" s="127"/>
      <c r="LF164" s="127"/>
      <c r="LG164" s="127"/>
      <c r="LH164" s="127"/>
      <c r="LI164" s="127"/>
      <c r="LJ164" s="127"/>
      <c r="LK164" s="127"/>
      <c r="LL164" s="127"/>
      <c r="LM164" s="127"/>
      <c r="LN164" s="127"/>
      <c r="LO164" s="127"/>
      <c r="LP164" s="127"/>
      <c r="OG164" s="127"/>
      <c r="OH164" s="127"/>
      <c r="OI164" s="127"/>
      <c r="OJ164" s="127"/>
      <c r="OK164" s="127"/>
      <c r="OL164" s="127"/>
      <c r="OM164" s="127"/>
      <c r="ON164" s="127"/>
      <c r="OO164" s="127"/>
      <c r="OP164" s="127"/>
      <c r="OQ164" s="127"/>
      <c r="OR164" s="127"/>
      <c r="OS164" s="127"/>
      <c r="OT164" s="127"/>
      <c r="OU164" s="127"/>
    </row>
    <row r="165" spans="1:411">
      <c r="A165">
        <v>11</v>
      </c>
      <c r="B165">
        <v>211</v>
      </c>
      <c r="C165" t="s">
        <v>72</v>
      </c>
      <c r="D165" t="s">
        <v>75</v>
      </c>
      <c r="E165" s="232" t="s">
        <v>562</v>
      </c>
      <c r="F165" t="s">
        <v>71</v>
      </c>
      <c r="G165">
        <v>1</v>
      </c>
      <c r="H165">
        <v>652.00400000000002</v>
      </c>
      <c r="I165">
        <v>650.46</v>
      </c>
      <c r="J165">
        <v>649.83600000000001</v>
      </c>
      <c r="K165">
        <v>649.12</v>
      </c>
      <c r="L165">
        <v>648.303</v>
      </c>
      <c r="M165" s="233" t="s">
        <v>530</v>
      </c>
      <c r="N165" s="233" t="s">
        <v>531</v>
      </c>
      <c r="O165" s="3" t="s">
        <v>698</v>
      </c>
      <c r="BM165" s="127"/>
      <c r="BN165" s="127"/>
      <c r="BO165" s="127"/>
      <c r="BP165" s="127"/>
      <c r="BQ165" s="127"/>
      <c r="BR165" s="127"/>
      <c r="BS165" s="127"/>
      <c r="BT165" s="127"/>
      <c r="BU165" s="127"/>
      <c r="BV165" s="127"/>
      <c r="BW165" s="127"/>
      <c r="BX165" s="127"/>
      <c r="BY165" s="127"/>
      <c r="BZ165" s="127"/>
      <c r="CA165" s="127"/>
      <c r="ER165" s="127"/>
      <c r="ES165" s="127"/>
      <c r="ET165" s="127"/>
      <c r="EU165" s="127"/>
      <c r="EV165" s="127"/>
      <c r="EW165" s="127"/>
      <c r="EX165" s="127"/>
      <c r="EY165" s="127"/>
      <c r="EZ165" s="127"/>
      <c r="FA165" s="127"/>
      <c r="FB165" s="127"/>
      <c r="FC165" s="127"/>
      <c r="FD165" s="127"/>
      <c r="FE165" s="127"/>
      <c r="FF165" s="127"/>
      <c r="HW165" s="127"/>
      <c r="HX165" s="127"/>
      <c r="HY165" s="127"/>
      <c r="HZ165" s="127"/>
      <c r="IA165" s="127"/>
      <c r="IB165" s="127"/>
      <c r="IC165" s="127"/>
      <c r="ID165" s="127"/>
      <c r="IE165" s="127"/>
      <c r="IF165" s="127"/>
      <c r="IG165" s="127"/>
      <c r="IH165" s="127"/>
      <c r="II165" s="127"/>
      <c r="IJ165" s="127"/>
      <c r="IK165" s="127"/>
      <c r="LB165" s="127"/>
      <c r="LC165" s="127"/>
      <c r="LD165" s="127"/>
      <c r="LE165" s="127"/>
      <c r="LF165" s="127"/>
      <c r="LG165" s="127"/>
      <c r="LH165" s="127"/>
      <c r="LI165" s="127"/>
      <c r="LJ165" s="127"/>
      <c r="LK165" s="127"/>
      <c r="LL165" s="127"/>
      <c r="LM165" s="127"/>
      <c r="LN165" s="127"/>
      <c r="LO165" s="127"/>
      <c r="LP165" s="127"/>
      <c r="OG165" s="127"/>
      <c r="OH165" s="127"/>
      <c r="OI165" s="127"/>
      <c r="OJ165" s="127"/>
      <c r="OK165" s="127"/>
      <c r="OL165" s="127"/>
      <c r="OM165" s="127"/>
      <c r="ON165" s="127"/>
      <c r="OO165" s="127"/>
      <c r="OP165" s="127"/>
      <c r="OQ165" s="127"/>
      <c r="OR165" s="127"/>
      <c r="OS165" s="127"/>
      <c r="OT165" s="127"/>
      <c r="OU165" s="127"/>
    </row>
    <row r="166" spans="1:411">
      <c r="A166">
        <v>11</v>
      </c>
      <c r="B166">
        <v>216</v>
      </c>
      <c r="C166" t="s">
        <v>72</v>
      </c>
      <c r="D166" t="s">
        <v>75</v>
      </c>
      <c r="E166" s="232" t="s">
        <v>16567</v>
      </c>
      <c r="F166" t="s">
        <v>71</v>
      </c>
      <c r="G166">
        <v>1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s="233" t="s">
        <v>530</v>
      </c>
      <c r="N166" s="233" t="s">
        <v>531</v>
      </c>
      <c r="O166" s="3" t="s">
        <v>2623</v>
      </c>
      <c r="BM166" s="127"/>
      <c r="BN166" s="127"/>
      <c r="BO166" s="127"/>
      <c r="BP166" s="127"/>
      <c r="BQ166" s="127"/>
      <c r="BR166" s="127"/>
      <c r="BS166" s="127"/>
      <c r="BT166" s="127"/>
      <c r="BU166" s="127"/>
      <c r="BV166" s="127"/>
      <c r="BW166" s="127"/>
      <c r="BX166" s="127"/>
      <c r="BY166" s="127"/>
      <c r="BZ166" s="127"/>
      <c r="CA166" s="127"/>
      <c r="ER166" s="127"/>
      <c r="ES166" s="127"/>
      <c r="ET166" s="127"/>
      <c r="EU166" s="127"/>
      <c r="EV166" s="127"/>
      <c r="EW166" s="127"/>
      <c r="EX166" s="127"/>
      <c r="EY166" s="127"/>
      <c r="EZ166" s="127"/>
      <c r="FA166" s="127"/>
      <c r="FB166" s="127"/>
      <c r="FC166" s="127"/>
      <c r="FD166" s="127"/>
      <c r="FE166" s="127"/>
      <c r="FF166" s="127"/>
      <c r="HW166" s="127"/>
      <c r="HX166" s="127"/>
      <c r="HY166" s="127"/>
      <c r="HZ166" s="127"/>
      <c r="IA166" s="127"/>
      <c r="IB166" s="127"/>
      <c r="IC166" s="127"/>
      <c r="ID166" s="127"/>
      <c r="IE166" s="127"/>
      <c r="IF166" s="127"/>
      <c r="IG166" s="127"/>
      <c r="IH166" s="127"/>
      <c r="II166" s="127"/>
      <c r="IJ166" s="127"/>
      <c r="IK166" s="127"/>
      <c r="LB166" s="127"/>
      <c r="LC166" s="127"/>
      <c r="LD166" s="127"/>
      <c r="LE166" s="127"/>
      <c r="LF166" s="127"/>
      <c r="LG166" s="127"/>
      <c r="LH166" s="127"/>
      <c r="LI166" s="127"/>
      <c r="LJ166" s="127"/>
      <c r="LK166" s="127"/>
      <c r="LL166" s="127"/>
      <c r="LM166" s="127"/>
      <c r="LN166" s="127"/>
      <c r="LO166" s="127"/>
      <c r="LP166" s="127"/>
      <c r="OG166" s="127"/>
      <c r="OH166" s="127"/>
      <c r="OI166" s="127"/>
      <c r="OJ166" s="127"/>
      <c r="OK166" s="127"/>
      <c r="OL166" s="127"/>
      <c r="OM166" s="127"/>
      <c r="ON166" s="127"/>
      <c r="OO166" s="127"/>
      <c r="OP166" s="127"/>
      <c r="OQ166" s="127"/>
      <c r="OR166" s="127"/>
      <c r="OS166" s="127"/>
      <c r="OT166" s="127"/>
      <c r="OU166" s="127"/>
    </row>
    <row r="167" spans="1:411">
      <c r="A167">
        <v>11</v>
      </c>
      <c r="B167">
        <v>217</v>
      </c>
      <c r="C167" t="s">
        <v>72</v>
      </c>
      <c r="D167" t="s">
        <v>75</v>
      </c>
      <c r="E167" s="232" t="s">
        <v>16568</v>
      </c>
      <c r="F167" t="s">
        <v>71</v>
      </c>
      <c r="G167">
        <v>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s="233" t="s">
        <v>530</v>
      </c>
      <c r="N167" s="233" t="s">
        <v>531</v>
      </c>
      <c r="O167" s="3" t="s">
        <v>2623</v>
      </c>
      <c r="BM167" s="127"/>
      <c r="BN167" s="127"/>
      <c r="BO167" s="127"/>
      <c r="BP167" s="127"/>
      <c r="BQ167" s="127"/>
      <c r="BR167" s="127"/>
      <c r="BS167" s="127"/>
      <c r="BT167" s="127"/>
      <c r="BU167" s="127"/>
      <c r="BV167" s="127"/>
      <c r="BW167" s="127"/>
      <c r="BX167" s="127"/>
      <c r="BY167" s="127"/>
      <c r="BZ167" s="127"/>
      <c r="CA167" s="127"/>
      <c r="ER167" s="127"/>
      <c r="ES167" s="127"/>
      <c r="ET167" s="127"/>
      <c r="EU167" s="127"/>
      <c r="EV167" s="127"/>
      <c r="EW167" s="127"/>
      <c r="EX167" s="127"/>
      <c r="EY167" s="127"/>
      <c r="EZ167" s="127"/>
      <c r="FA167" s="127"/>
      <c r="FB167" s="127"/>
      <c r="FC167" s="127"/>
      <c r="FD167" s="127"/>
      <c r="FE167" s="127"/>
      <c r="FF167" s="127"/>
      <c r="HW167" s="127"/>
      <c r="HX167" s="127"/>
      <c r="HY167" s="127"/>
      <c r="HZ167" s="127"/>
      <c r="IA167" s="127"/>
      <c r="IB167" s="127"/>
      <c r="IC167" s="127"/>
      <c r="ID167" s="127"/>
      <c r="IE167" s="127"/>
      <c r="IF167" s="127"/>
      <c r="IG167" s="127"/>
      <c r="IH167" s="127"/>
      <c r="II167" s="127"/>
      <c r="IJ167" s="127"/>
      <c r="IK167" s="127"/>
      <c r="LB167" s="127"/>
      <c r="LC167" s="127"/>
      <c r="LD167" s="127"/>
      <c r="LE167" s="127"/>
      <c r="LF167" s="127"/>
      <c r="LG167" s="127"/>
      <c r="LH167" s="127"/>
      <c r="LI167" s="127"/>
      <c r="LJ167" s="127"/>
      <c r="LK167" s="127"/>
      <c r="LL167" s="127"/>
      <c r="LM167" s="127"/>
      <c r="LN167" s="127"/>
      <c r="LO167" s="127"/>
      <c r="LP167" s="127"/>
      <c r="OG167" s="127"/>
      <c r="OH167" s="127"/>
      <c r="OI167" s="127"/>
      <c r="OJ167" s="127"/>
      <c r="OK167" s="127"/>
      <c r="OL167" s="127"/>
      <c r="OM167" s="127"/>
      <c r="ON167" s="127"/>
      <c r="OO167" s="127"/>
      <c r="OP167" s="127"/>
      <c r="OQ167" s="127"/>
      <c r="OR167" s="127"/>
      <c r="OS167" s="127"/>
      <c r="OT167" s="127"/>
      <c r="OU167" s="127"/>
    </row>
    <row r="168" spans="1:411">
      <c r="A168">
        <v>11</v>
      </c>
      <c r="B168">
        <v>218</v>
      </c>
      <c r="C168" t="s">
        <v>72</v>
      </c>
      <c r="D168" t="s">
        <v>75</v>
      </c>
      <c r="E168" s="232" t="s">
        <v>16569</v>
      </c>
      <c r="F168" t="s">
        <v>71</v>
      </c>
      <c r="G168">
        <v>1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s="233" t="s">
        <v>530</v>
      </c>
      <c r="N168" s="233" t="s">
        <v>531</v>
      </c>
      <c r="O168" s="3" t="s">
        <v>2623</v>
      </c>
      <c r="BM168" s="127"/>
      <c r="BN168" s="127"/>
      <c r="BO168" s="127"/>
      <c r="BP168" s="127"/>
      <c r="BQ168" s="127"/>
      <c r="BR168" s="127"/>
      <c r="BS168" s="127"/>
      <c r="BT168" s="127"/>
      <c r="BU168" s="127"/>
      <c r="BV168" s="127"/>
      <c r="BW168" s="127"/>
      <c r="BX168" s="127"/>
      <c r="BY168" s="127"/>
      <c r="BZ168" s="127"/>
      <c r="CA168" s="127"/>
      <c r="ER168" s="127"/>
      <c r="ES168" s="127"/>
      <c r="ET168" s="127"/>
      <c r="EU168" s="127"/>
      <c r="EV168" s="127"/>
      <c r="EW168" s="127"/>
      <c r="EX168" s="127"/>
      <c r="EY168" s="127"/>
      <c r="EZ168" s="127"/>
      <c r="FA168" s="127"/>
      <c r="FB168" s="127"/>
      <c r="FC168" s="127"/>
      <c r="FD168" s="127"/>
      <c r="FE168" s="127"/>
      <c r="FF168" s="127"/>
      <c r="HW168" s="127"/>
      <c r="HX168" s="127"/>
      <c r="HY168" s="127"/>
      <c r="HZ168" s="127"/>
      <c r="IA168" s="127"/>
      <c r="IB168" s="127"/>
      <c r="IC168" s="127"/>
      <c r="ID168" s="127"/>
      <c r="IE168" s="127"/>
      <c r="IF168" s="127"/>
      <c r="IG168" s="127"/>
      <c r="IH168" s="127"/>
      <c r="II168" s="127"/>
      <c r="IJ168" s="127"/>
      <c r="IK168" s="127"/>
      <c r="LB168" s="127"/>
      <c r="LC168" s="127"/>
      <c r="LD168" s="127"/>
      <c r="LE168" s="127"/>
      <c r="LF168" s="127"/>
      <c r="LG168" s="127"/>
      <c r="LH168" s="127"/>
      <c r="LI168" s="127"/>
      <c r="LJ168" s="127"/>
      <c r="LK168" s="127"/>
      <c r="LL168" s="127"/>
      <c r="LM168" s="127"/>
      <c r="LN168" s="127"/>
      <c r="LO168" s="127"/>
      <c r="LP168" s="127"/>
      <c r="OG168" s="127"/>
      <c r="OH168" s="127"/>
      <c r="OI168" s="127"/>
      <c r="OJ168" s="127"/>
      <c r="OK168" s="127"/>
      <c r="OL168" s="127"/>
      <c r="OM168" s="127"/>
      <c r="ON168" s="127"/>
      <c r="OO168" s="127"/>
      <c r="OP168" s="127"/>
      <c r="OQ168" s="127"/>
      <c r="OR168" s="127"/>
      <c r="OS168" s="127"/>
      <c r="OT168" s="127"/>
      <c r="OU168" s="127"/>
    </row>
    <row r="169" spans="1:411">
      <c r="A169">
        <v>11</v>
      </c>
      <c r="B169">
        <v>219</v>
      </c>
      <c r="C169" t="s">
        <v>72</v>
      </c>
      <c r="D169" t="s">
        <v>75</v>
      </c>
      <c r="E169" s="232" t="s">
        <v>16570</v>
      </c>
      <c r="F169" t="s">
        <v>71</v>
      </c>
      <c r="G169">
        <v>1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s="233" t="s">
        <v>530</v>
      </c>
      <c r="N169" s="233" t="s">
        <v>531</v>
      </c>
      <c r="O169" s="3" t="s">
        <v>2623</v>
      </c>
      <c r="BM169" s="127"/>
      <c r="BN169" s="127"/>
      <c r="BO169" s="127"/>
      <c r="BP169" s="127"/>
      <c r="BQ169" s="127"/>
      <c r="BR169" s="127"/>
      <c r="BS169" s="127"/>
      <c r="BT169" s="127"/>
      <c r="BU169" s="127"/>
      <c r="BV169" s="127"/>
      <c r="BW169" s="127"/>
      <c r="BX169" s="127"/>
      <c r="BY169" s="127"/>
      <c r="BZ169" s="127"/>
      <c r="CA169" s="127"/>
      <c r="ER169" s="127"/>
      <c r="ES169" s="127"/>
      <c r="ET169" s="127"/>
      <c r="EU169" s="127"/>
      <c r="EV169" s="127"/>
      <c r="EW169" s="127"/>
      <c r="EX169" s="127"/>
      <c r="EY169" s="127"/>
      <c r="EZ169" s="127"/>
      <c r="FA169" s="127"/>
      <c r="FB169" s="127"/>
      <c r="FC169" s="127"/>
      <c r="FD169" s="127"/>
      <c r="FE169" s="127"/>
      <c r="FF169" s="127"/>
      <c r="HW169" s="127"/>
      <c r="HX169" s="127"/>
      <c r="HY169" s="127"/>
      <c r="HZ169" s="127"/>
      <c r="IA169" s="127"/>
      <c r="IB169" s="127"/>
      <c r="IC169" s="127"/>
      <c r="ID169" s="127"/>
      <c r="IE169" s="127"/>
      <c r="IF169" s="127"/>
      <c r="IG169" s="127"/>
      <c r="IH169" s="127"/>
      <c r="II169" s="127"/>
      <c r="IJ169" s="127"/>
      <c r="IK169" s="127"/>
      <c r="LB169" s="127"/>
      <c r="LC169" s="127"/>
      <c r="LD169" s="127"/>
      <c r="LE169" s="127"/>
      <c r="LF169" s="127"/>
      <c r="LG169" s="127"/>
      <c r="LH169" s="127"/>
      <c r="LI169" s="127"/>
      <c r="LJ169" s="127"/>
      <c r="LK169" s="127"/>
      <c r="LL169" s="127"/>
      <c r="LM169" s="127"/>
      <c r="LN169" s="127"/>
      <c r="LO169" s="127"/>
      <c r="LP169" s="127"/>
      <c r="OG169" s="127"/>
      <c r="OH169" s="127"/>
      <c r="OI169" s="127"/>
      <c r="OJ169" s="127"/>
      <c r="OK169" s="127"/>
      <c r="OL169" s="127"/>
      <c r="OM169" s="127"/>
      <c r="ON169" s="127"/>
      <c r="OO169" s="127"/>
      <c r="OP169" s="127"/>
      <c r="OQ169" s="127"/>
      <c r="OR169" s="127"/>
      <c r="OS169" s="127"/>
      <c r="OT169" s="127"/>
      <c r="OU169" s="127"/>
    </row>
    <row r="170" spans="1:411">
      <c r="A170">
        <v>11</v>
      </c>
      <c r="B170">
        <v>220</v>
      </c>
      <c r="C170" t="s">
        <v>72</v>
      </c>
      <c r="D170" t="s">
        <v>75</v>
      </c>
      <c r="E170" s="232" t="s">
        <v>16571</v>
      </c>
      <c r="F170" t="s">
        <v>71</v>
      </c>
      <c r="G170">
        <v>1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s="233" t="s">
        <v>530</v>
      </c>
      <c r="N170" s="233" t="s">
        <v>531</v>
      </c>
      <c r="O170" s="3" t="s">
        <v>2623</v>
      </c>
      <c r="BM170" s="127"/>
      <c r="BN170" s="127"/>
      <c r="BO170" s="127"/>
      <c r="BP170" s="127"/>
      <c r="BQ170" s="127"/>
      <c r="BR170" s="127"/>
      <c r="BS170" s="127"/>
      <c r="BT170" s="127"/>
      <c r="BU170" s="127"/>
      <c r="BV170" s="127"/>
      <c r="BW170" s="127"/>
      <c r="BX170" s="127"/>
      <c r="BY170" s="127"/>
      <c r="BZ170" s="127"/>
      <c r="CA170" s="127"/>
      <c r="ER170" s="127"/>
      <c r="ES170" s="127"/>
      <c r="ET170" s="127"/>
      <c r="EU170" s="127"/>
      <c r="EV170" s="127"/>
      <c r="EW170" s="127"/>
      <c r="EX170" s="127"/>
      <c r="EY170" s="127"/>
      <c r="EZ170" s="127"/>
      <c r="FA170" s="127"/>
      <c r="FB170" s="127"/>
      <c r="FC170" s="127"/>
      <c r="FD170" s="127"/>
      <c r="FE170" s="127"/>
      <c r="FF170" s="127"/>
      <c r="HW170" s="127"/>
      <c r="HX170" s="127"/>
      <c r="HY170" s="127"/>
      <c r="HZ170" s="127"/>
      <c r="IA170" s="127"/>
      <c r="IB170" s="127"/>
      <c r="IC170" s="127"/>
      <c r="ID170" s="127"/>
      <c r="IE170" s="127"/>
      <c r="IF170" s="127"/>
      <c r="IG170" s="127"/>
      <c r="IH170" s="127"/>
      <c r="II170" s="127"/>
      <c r="IJ170" s="127"/>
      <c r="IK170" s="127"/>
      <c r="LB170" s="127"/>
      <c r="LC170" s="127"/>
      <c r="LD170" s="127"/>
      <c r="LE170" s="127"/>
      <c r="LF170" s="127"/>
      <c r="LG170" s="127"/>
      <c r="LH170" s="127"/>
      <c r="LI170" s="127"/>
      <c r="LJ170" s="127"/>
      <c r="LK170" s="127"/>
      <c r="LL170" s="127"/>
      <c r="LM170" s="127"/>
      <c r="LN170" s="127"/>
      <c r="LO170" s="127"/>
      <c r="LP170" s="127"/>
      <c r="OG170" s="127"/>
      <c r="OH170" s="127"/>
      <c r="OI170" s="127"/>
      <c r="OJ170" s="127"/>
      <c r="OK170" s="127"/>
      <c r="OL170" s="127"/>
      <c r="OM170" s="127"/>
      <c r="ON170" s="127"/>
      <c r="OO170" s="127"/>
      <c r="OP170" s="127"/>
      <c r="OQ170" s="127"/>
      <c r="OR170" s="127"/>
      <c r="OS170" s="127"/>
      <c r="OT170" s="127"/>
      <c r="OU170" s="127"/>
    </row>
    <row r="171" spans="1:411">
      <c r="A171">
        <v>11</v>
      </c>
      <c r="B171">
        <v>221</v>
      </c>
      <c r="C171" t="s">
        <v>72</v>
      </c>
      <c r="D171" t="s">
        <v>75</v>
      </c>
      <c r="E171" s="232" t="s">
        <v>16572</v>
      </c>
      <c r="F171" t="s">
        <v>71</v>
      </c>
      <c r="G171">
        <v>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s="233" t="s">
        <v>530</v>
      </c>
      <c r="N171" s="233" t="s">
        <v>531</v>
      </c>
      <c r="O171" s="3" t="s">
        <v>2623</v>
      </c>
      <c r="BM171" s="127"/>
      <c r="BN171" s="127"/>
      <c r="BO171" s="127"/>
      <c r="BP171" s="127"/>
      <c r="BQ171" s="127"/>
      <c r="BR171" s="127"/>
      <c r="BS171" s="127"/>
      <c r="BT171" s="127"/>
      <c r="BU171" s="127"/>
      <c r="BV171" s="127"/>
      <c r="BW171" s="127"/>
      <c r="BX171" s="127"/>
      <c r="BY171" s="127"/>
      <c r="BZ171" s="127"/>
      <c r="CA171" s="127"/>
      <c r="ER171" s="127"/>
      <c r="ES171" s="127"/>
      <c r="ET171" s="127"/>
      <c r="EU171" s="127"/>
      <c r="EV171" s="127"/>
      <c r="EW171" s="127"/>
      <c r="EX171" s="127"/>
      <c r="EY171" s="127"/>
      <c r="EZ171" s="127"/>
      <c r="FA171" s="127"/>
      <c r="FB171" s="127"/>
      <c r="FC171" s="127"/>
      <c r="FD171" s="127"/>
      <c r="FE171" s="127"/>
      <c r="FF171" s="127"/>
      <c r="HW171" s="127"/>
      <c r="HX171" s="127"/>
      <c r="HY171" s="127"/>
      <c r="HZ171" s="127"/>
      <c r="IA171" s="127"/>
      <c r="IB171" s="127"/>
      <c r="IC171" s="127"/>
      <c r="ID171" s="127"/>
      <c r="IE171" s="127"/>
      <c r="IF171" s="127"/>
      <c r="IG171" s="127"/>
      <c r="IH171" s="127"/>
      <c r="II171" s="127"/>
      <c r="IJ171" s="127"/>
      <c r="IK171" s="127"/>
      <c r="LB171" s="127"/>
      <c r="LC171" s="127"/>
      <c r="LD171" s="127"/>
      <c r="LE171" s="127"/>
      <c r="LF171" s="127"/>
      <c r="LG171" s="127"/>
      <c r="LH171" s="127"/>
      <c r="LI171" s="127"/>
      <c r="LJ171" s="127"/>
      <c r="LK171" s="127"/>
      <c r="LL171" s="127"/>
      <c r="LM171" s="127"/>
      <c r="LN171" s="127"/>
      <c r="LO171" s="127"/>
      <c r="LP171" s="127"/>
      <c r="OG171" s="127"/>
      <c r="OH171" s="127"/>
      <c r="OI171" s="127"/>
      <c r="OJ171" s="127"/>
      <c r="OK171" s="127"/>
      <c r="OL171" s="127"/>
      <c r="OM171" s="127"/>
      <c r="ON171" s="127"/>
      <c r="OO171" s="127"/>
      <c r="OP171" s="127"/>
      <c r="OQ171" s="127"/>
      <c r="OR171" s="127"/>
      <c r="OS171" s="127"/>
      <c r="OT171" s="127"/>
      <c r="OU171" s="127"/>
    </row>
    <row r="172" spans="1:411">
      <c r="A172">
        <v>11</v>
      </c>
      <c r="B172">
        <v>222</v>
      </c>
      <c r="C172" t="s">
        <v>72</v>
      </c>
      <c r="D172" t="s">
        <v>75</v>
      </c>
      <c r="E172" s="232" t="s">
        <v>16573</v>
      </c>
      <c r="F172" t="s">
        <v>71</v>
      </c>
      <c r="G172">
        <v>1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s="233" t="s">
        <v>530</v>
      </c>
      <c r="N172" s="233" t="s">
        <v>531</v>
      </c>
      <c r="O172" s="3" t="s">
        <v>2623</v>
      </c>
      <c r="BM172" s="127"/>
      <c r="BN172" s="127"/>
      <c r="BO172" s="127"/>
      <c r="BP172" s="127"/>
      <c r="BQ172" s="127"/>
      <c r="BR172" s="127"/>
      <c r="BS172" s="127"/>
      <c r="BT172" s="127"/>
      <c r="BU172" s="127"/>
      <c r="BV172" s="127"/>
      <c r="BW172" s="127"/>
      <c r="BX172" s="127"/>
      <c r="BY172" s="127"/>
      <c r="BZ172" s="127"/>
      <c r="CA172" s="127"/>
      <c r="ER172" s="127"/>
      <c r="ES172" s="127"/>
      <c r="ET172" s="127"/>
      <c r="EU172" s="127"/>
      <c r="EV172" s="127"/>
      <c r="EW172" s="127"/>
      <c r="EX172" s="127"/>
      <c r="EY172" s="127"/>
      <c r="EZ172" s="127"/>
      <c r="FA172" s="127"/>
      <c r="FB172" s="127"/>
      <c r="FC172" s="127"/>
      <c r="FD172" s="127"/>
      <c r="FE172" s="127"/>
      <c r="FF172" s="127"/>
      <c r="HW172" s="127"/>
      <c r="HX172" s="127"/>
      <c r="HY172" s="127"/>
      <c r="HZ172" s="127"/>
      <c r="IA172" s="127"/>
      <c r="IB172" s="127"/>
      <c r="IC172" s="127"/>
      <c r="ID172" s="127"/>
      <c r="IE172" s="127"/>
      <c r="IF172" s="127"/>
      <c r="IG172" s="127"/>
      <c r="IH172" s="127"/>
      <c r="II172" s="127"/>
      <c r="IJ172" s="127"/>
      <c r="IK172" s="127"/>
      <c r="LB172" s="127"/>
      <c r="LC172" s="127"/>
      <c r="LD172" s="127"/>
      <c r="LE172" s="127"/>
      <c r="LF172" s="127"/>
      <c r="LG172" s="127"/>
      <c r="LH172" s="127"/>
      <c r="LI172" s="127"/>
      <c r="LJ172" s="127"/>
      <c r="LK172" s="127"/>
      <c r="LL172" s="127"/>
      <c r="LM172" s="127"/>
      <c r="LN172" s="127"/>
      <c r="LO172" s="127"/>
      <c r="LP172" s="127"/>
      <c r="OG172" s="127"/>
      <c r="OH172" s="127"/>
      <c r="OI172" s="127"/>
      <c r="OJ172" s="127"/>
      <c r="OK172" s="127"/>
      <c r="OL172" s="127"/>
      <c r="OM172" s="127"/>
      <c r="ON172" s="127"/>
      <c r="OO172" s="127"/>
      <c r="OP172" s="127"/>
      <c r="OQ172" s="127"/>
      <c r="OR172" s="127"/>
      <c r="OS172" s="127"/>
      <c r="OT172" s="127"/>
      <c r="OU172" s="127"/>
    </row>
    <row r="173" spans="1:411">
      <c r="A173">
        <v>11</v>
      </c>
      <c r="B173">
        <v>223</v>
      </c>
      <c r="C173" t="s">
        <v>72</v>
      </c>
      <c r="D173" t="s">
        <v>75</v>
      </c>
      <c r="E173" s="232" t="s">
        <v>16574</v>
      </c>
      <c r="F173" t="s">
        <v>71</v>
      </c>
      <c r="G173">
        <v>1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s="233" t="s">
        <v>530</v>
      </c>
      <c r="N173" s="233" t="s">
        <v>531</v>
      </c>
      <c r="O173" s="3" t="s">
        <v>2623</v>
      </c>
      <c r="BM173" s="127"/>
      <c r="BN173" s="127"/>
      <c r="BO173" s="127"/>
      <c r="BP173" s="127"/>
      <c r="BQ173" s="127"/>
      <c r="BR173" s="127"/>
      <c r="BS173" s="127"/>
      <c r="BT173" s="127"/>
      <c r="BU173" s="127"/>
      <c r="BV173" s="127"/>
      <c r="BW173" s="127"/>
      <c r="BX173" s="127"/>
      <c r="BY173" s="127"/>
      <c r="BZ173" s="127"/>
      <c r="CA173" s="127"/>
      <c r="ER173" s="127"/>
      <c r="ES173" s="127"/>
      <c r="ET173" s="127"/>
      <c r="EU173" s="127"/>
      <c r="EV173" s="127"/>
      <c r="EW173" s="127"/>
      <c r="EX173" s="127"/>
      <c r="EY173" s="127"/>
      <c r="EZ173" s="127"/>
      <c r="FA173" s="127"/>
      <c r="FB173" s="127"/>
      <c r="FC173" s="127"/>
      <c r="FD173" s="127"/>
      <c r="FE173" s="127"/>
      <c r="FF173" s="127"/>
      <c r="HW173" s="127"/>
      <c r="HX173" s="127"/>
      <c r="HY173" s="127"/>
      <c r="HZ173" s="127"/>
      <c r="IA173" s="127"/>
      <c r="IB173" s="127"/>
      <c r="IC173" s="127"/>
      <c r="ID173" s="127"/>
      <c r="IE173" s="127"/>
      <c r="IF173" s="127"/>
      <c r="IG173" s="127"/>
      <c r="IH173" s="127"/>
      <c r="II173" s="127"/>
      <c r="IJ173" s="127"/>
      <c r="IK173" s="127"/>
      <c r="LB173" s="127"/>
      <c r="LC173" s="127"/>
      <c r="LD173" s="127"/>
      <c r="LE173" s="127"/>
      <c r="LF173" s="127"/>
      <c r="LG173" s="127"/>
      <c r="LH173" s="127"/>
      <c r="LI173" s="127"/>
      <c r="LJ173" s="127"/>
      <c r="LK173" s="127"/>
      <c r="LL173" s="127"/>
      <c r="LM173" s="127"/>
      <c r="LN173" s="127"/>
      <c r="LO173" s="127"/>
      <c r="LP173" s="127"/>
      <c r="OG173" s="127"/>
      <c r="OH173" s="127"/>
      <c r="OI173" s="127"/>
      <c r="OJ173" s="127"/>
      <c r="OK173" s="127"/>
      <c r="OL173" s="127"/>
      <c r="OM173" s="127"/>
      <c r="ON173" s="127"/>
      <c r="OO173" s="127"/>
      <c r="OP173" s="127"/>
      <c r="OQ173" s="127"/>
      <c r="OR173" s="127"/>
      <c r="OS173" s="127"/>
      <c r="OT173" s="127"/>
      <c r="OU173" s="127"/>
    </row>
    <row r="174" spans="1:411">
      <c r="A174">
        <v>11</v>
      </c>
      <c r="B174">
        <v>224</v>
      </c>
      <c r="C174" t="s">
        <v>72</v>
      </c>
      <c r="D174" t="s">
        <v>75</v>
      </c>
      <c r="E174" s="232" t="s">
        <v>16575</v>
      </c>
      <c r="F174" t="s">
        <v>71</v>
      </c>
      <c r="G174">
        <v>1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s="233" t="s">
        <v>530</v>
      </c>
      <c r="N174" s="233" t="s">
        <v>531</v>
      </c>
      <c r="O174" s="3" t="s">
        <v>2623</v>
      </c>
      <c r="BM174" s="127"/>
      <c r="BN174" s="127"/>
      <c r="BO174" s="127"/>
      <c r="BP174" s="127"/>
      <c r="BQ174" s="127"/>
      <c r="BR174" s="127"/>
      <c r="BS174" s="127"/>
      <c r="BT174" s="127"/>
      <c r="BU174" s="127"/>
      <c r="BV174" s="127"/>
      <c r="BW174" s="127"/>
      <c r="BX174" s="127"/>
      <c r="BY174" s="127"/>
      <c r="BZ174" s="127"/>
      <c r="CA174" s="127"/>
      <c r="ER174" s="127"/>
      <c r="ES174" s="127"/>
      <c r="ET174" s="127"/>
      <c r="EU174" s="127"/>
      <c r="EV174" s="127"/>
      <c r="EW174" s="127"/>
      <c r="EX174" s="127"/>
      <c r="EY174" s="127"/>
      <c r="EZ174" s="127"/>
      <c r="FA174" s="127"/>
      <c r="FB174" s="127"/>
      <c r="FC174" s="127"/>
      <c r="FD174" s="127"/>
      <c r="FE174" s="127"/>
      <c r="FF174" s="127"/>
      <c r="HW174" s="127"/>
      <c r="HX174" s="127"/>
      <c r="HY174" s="127"/>
      <c r="HZ174" s="127"/>
      <c r="IA174" s="127"/>
      <c r="IB174" s="127"/>
      <c r="IC174" s="127"/>
      <c r="ID174" s="127"/>
      <c r="IE174" s="127"/>
      <c r="IF174" s="127"/>
      <c r="IG174" s="127"/>
      <c r="IH174" s="127"/>
      <c r="II174" s="127"/>
      <c r="IJ174" s="127"/>
      <c r="IK174" s="127"/>
      <c r="LB174" s="127"/>
      <c r="LC174" s="127"/>
      <c r="LD174" s="127"/>
      <c r="LE174" s="127"/>
      <c r="LF174" s="127"/>
      <c r="LG174" s="127"/>
      <c r="LH174" s="127"/>
      <c r="LI174" s="127"/>
      <c r="LJ174" s="127"/>
      <c r="LK174" s="127"/>
      <c r="LL174" s="127"/>
      <c r="LM174" s="127"/>
      <c r="LN174" s="127"/>
      <c r="LO174" s="127"/>
      <c r="LP174" s="127"/>
      <c r="OG174" s="127"/>
      <c r="OH174" s="127"/>
      <c r="OI174" s="127"/>
      <c r="OJ174" s="127"/>
      <c r="OK174" s="127"/>
      <c r="OL174" s="127"/>
      <c r="OM174" s="127"/>
      <c r="ON174" s="127"/>
      <c r="OO174" s="127"/>
      <c r="OP174" s="127"/>
      <c r="OQ174" s="127"/>
      <c r="OR174" s="127"/>
      <c r="OS174" s="127"/>
      <c r="OT174" s="127"/>
      <c r="OU174" s="127"/>
    </row>
    <row r="175" spans="1:411">
      <c r="A175">
        <v>11</v>
      </c>
      <c r="B175">
        <v>225</v>
      </c>
      <c r="C175" t="s">
        <v>72</v>
      </c>
      <c r="D175" t="s">
        <v>75</v>
      </c>
      <c r="E175" s="232" t="s">
        <v>16576</v>
      </c>
      <c r="F175" t="s">
        <v>71</v>
      </c>
      <c r="G175">
        <v>1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s="233" t="s">
        <v>530</v>
      </c>
      <c r="N175" s="233" t="s">
        <v>531</v>
      </c>
      <c r="O175" s="3" t="s">
        <v>2623</v>
      </c>
      <c r="BM175" s="127"/>
      <c r="BN175" s="127"/>
      <c r="BO175" s="127"/>
      <c r="BP175" s="127"/>
      <c r="BQ175" s="127"/>
      <c r="BR175" s="127"/>
      <c r="BS175" s="127"/>
      <c r="BT175" s="127"/>
      <c r="BU175" s="127"/>
      <c r="BV175" s="127"/>
      <c r="BW175" s="127"/>
      <c r="BX175" s="127"/>
      <c r="BY175" s="127"/>
      <c r="BZ175" s="127"/>
      <c r="CA175" s="127"/>
      <c r="ER175" s="127"/>
      <c r="ES175" s="127"/>
      <c r="ET175" s="127"/>
      <c r="EU175" s="127"/>
      <c r="EV175" s="127"/>
      <c r="EW175" s="127"/>
      <c r="EX175" s="127"/>
      <c r="EY175" s="127"/>
      <c r="EZ175" s="127"/>
      <c r="FA175" s="127"/>
      <c r="FB175" s="127"/>
      <c r="FC175" s="127"/>
      <c r="FD175" s="127"/>
      <c r="FE175" s="127"/>
      <c r="FF175" s="127"/>
      <c r="HW175" s="127"/>
      <c r="HX175" s="127"/>
      <c r="HY175" s="127"/>
      <c r="HZ175" s="127"/>
      <c r="IA175" s="127"/>
      <c r="IB175" s="127"/>
      <c r="IC175" s="127"/>
      <c r="ID175" s="127"/>
      <c r="IE175" s="127"/>
      <c r="IF175" s="127"/>
      <c r="IG175" s="127"/>
      <c r="IH175" s="127"/>
      <c r="II175" s="127"/>
      <c r="IJ175" s="127"/>
      <c r="IK175" s="127"/>
      <c r="LB175" s="127"/>
      <c r="LC175" s="127"/>
      <c r="LD175" s="127"/>
      <c r="LE175" s="127"/>
      <c r="LF175" s="127"/>
      <c r="LG175" s="127"/>
      <c r="LH175" s="127"/>
      <c r="LI175" s="127"/>
      <c r="LJ175" s="127"/>
      <c r="LK175" s="127"/>
      <c r="LL175" s="127"/>
      <c r="LM175" s="127"/>
      <c r="LN175" s="127"/>
      <c r="LO175" s="127"/>
      <c r="LP175" s="127"/>
      <c r="OG175" s="127"/>
      <c r="OH175" s="127"/>
      <c r="OI175" s="127"/>
      <c r="OJ175" s="127"/>
      <c r="OK175" s="127"/>
      <c r="OL175" s="127"/>
      <c r="OM175" s="127"/>
      <c r="ON175" s="127"/>
      <c r="OO175" s="127"/>
      <c r="OP175" s="127"/>
      <c r="OQ175" s="127"/>
      <c r="OR175" s="127"/>
      <c r="OS175" s="127"/>
      <c r="OT175" s="127"/>
      <c r="OU175" s="127"/>
    </row>
    <row r="176" spans="1:411">
      <c r="A176">
        <v>11</v>
      </c>
      <c r="B176">
        <v>226</v>
      </c>
      <c r="C176" t="s">
        <v>72</v>
      </c>
      <c r="D176" t="s">
        <v>75</v>
      </c>
      <c r="E176" s="232" t="s">
        <v>16577</v>
      </c>
      <c r="F176" t="s">
        <v>71</v>
      </c>
      <c r="G176">
        <v>1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s="233" t="s">
        <v>530</v>
      </c>
      <c r="N176" s="233" t="s">
        <v>531</v>
      </c>
      <c r="O176" s="3" t="s">
        <v>2623</v>
      </c>
      <c r="BM176" s="127"/>
      <c r="BN176" s="127"/>
      <c r="BO176" s="127"/>
      <c r="BP176" s="127"/>
      <c r="BQ176" s="127"/>
      <c r="BR176" s="127"/>
      <c r="BS176" s="127"/>
      <c r="BT176" s="127"/>
      <c r="BU176" s="127"/>
      <c r="BV176" s="127"/>
      <c r="BW176" s="127"/>
      <c r="BX176" s="127"/>
      <c r="BY176" s="127"/>
      <c r="BZ176" s="127"/>
      <c r="CA176" s="127"/>
      <c r="ER176" s="127"/>
      <c r="ES176" s="127"/>
      <c r="ET176" s="127"/>
      <c r="EU176" s="127"/>
      <c r="EV176" s="127"/>
      <c r="EW176" s="127"/>
      <c r="EX176" s="127"/>
      <c r="EY176" s="127"/>
      <c r="EZ176" s="127"/>
      <c r="FA176" s="127"/>
      <c r="FB176" s="127"/>
      <c r="FC176" s="127"/>
      <c r="FD176" s="127"/>
      <c r="FE176" s="127"/>
      <c r="FF176" s="127"/>
      <c r="HW176" s="127"/>
      <c r="HX176" s="127"/>
      <c r="HY176" s="127"/>
      <c r="HZ176" s="127"/>
      <c r="IA176" s="127"/>
      <c r="IB176" s="127"/>
      <c r="IC176" s="127"/>
      <c r="ID176" s="127"/>
      <c r="IE176" s="127"/>
      <c r="IF176" s="127"/>
      <c r="IG176" s="127"/>
      <c r="IH176" s="127"/>
      <c r="II176" s="127"/>
      <c r="IJ176" s="127"/>
      <c r="IK176" s="127"/>
      <c r="LB176" s="127"/>
      <c r="LC176" s="127"/>
      <c r="LD176" s="127"/>
      <c r="LE176" s="127"/>
      <c r="LF176" s="127"/>
      <c r="LG176" s="127"/>
      <c r="LH176" s="127"/>
      <c r="LI176" s="127"/>
      <c r="LJ176" s="127"/>
      <c r="LK176" s="127"/>
      <c r="LL176" s="127"/>
      <c r="LM176" s="127"/>
      <c r="LN176" s="127"/>
      <c r="LO176" s="127"/>
      <c r="LP176" s="127"/>
      <c r="OG176" s="127"/>
      <c r="OH176" s="127"/>
      <c r="OI176" s="127"/>
      <c r="OJ176" s="127"/>
      <c r="OK176" s="127"/>
      <c r="OL176" s="127"/>
      <c r="OM176" s="127"/>
      <c r="ON176" s="127"/>
      <c r="OO176" s="127"/>
      <c r="OP176" s="127"/>
      <c r="OQ176" s="127"/>
      <c r="OR176" s="127"/>
      <c r="OS176" s="127"/>
      <c r="OT176" s="127"/>
      <c r="OU176" s="127"/>
    </row>
    <row r="177" spans="1:411">
      <c r="A177">
        <v>11</v>
      </c>
      <c r="B177">
        <v>227</v>
      </c>
      <c r="C177" t="s">
        <v>72</v>
      </c>
      <c r="D177" t="s">
        <v>75</v>
      </c>
      <c r="E177" s="232" t="s">
        <v>16578</v>
      </c>
      <c r="F177" t="s">
        <v>71</v>
      </c>
      <c r="G177">
        <v>1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s="233" t="s">
        <v>530</v>
      </c>
      <c r="N177" s="233" t="s">
        <v>531</v>
      </c>
      <c r="O177" s="3" t="s">
        <v>2623</v>
      </c>
      <c r="BM177" s="127"/>
      <c r="BN177" s="127"/>
      <c r="BO177" s="127"/>
      <c r="BP177" s="127"/>
      <c r="BQ177" s="127"/>
      <c r="BR177" s="127"/>
      <c r="BS177" s="127"/>
      <c r="BT177" s="127"/>
      <c r="BU177" s="127"/>
      <c r="BV177" s="127"/>
      <c r="BW177" s="127"/>
      <c r="BX177" s="127"/>
      <c r="BY177" s="127"/>
      <c r="BZ177" s="127"/>
      <c r="CA177" s="127"/>
      <c r="ER177" s="127"/>
      <c r="ES177" s="127"/>
      <c r="ET177" s="127"/>
      <c r="EU177" s="127"/>
      <c r="EV177" s="127"/>
      <c r="EW177" s="127"/>
      <c r="EX177" s="127"/>
      <c r="EY177" s="127"/>
      <c r="EZ177" s="127"/>
      <c r="FA177" s="127"/>
      <c r="FB177" s="127"/>
      <c r="FC177" s="127"/>
      <c r="FD177" s="127"/>
      <c r="FE177" s="127"/>
      <c r="FF177" s="127"/>
      <c r="HW177" s="127"/>
      <c r="HX177" s="127"/>
      <c r="HY177" s="127"/>
      <c r="HZ177" s="127"/>
      <c r="IA177" s="127"/>
      <c r="IB177" s="127"/>
      <c r="IC177" s="127"/>
      <c r="ID177" s="127"/>
      <c r="IE177" s="127"/>
      <c r="IF177" s="127"/>
      <c r="IG177" s="127"/>
      <c r="IH177" s="127"/>
      <c r="II177" s="127"/>
      <c r="IJ177" s="127"/>
      <c r="IK177" s="127"/>
      <c r="LB177" s="127"/>
      <c r="LC177" s="127"/>
      <c r="LD177" s="127"/>
      <c r="LE177" s="127"/>
      <c r="LF177" s="127"/>
      <c r="LG177" s="127"/>
      <c r="LH177" s="127"/>
      <c r="LI177" s="127"/>
      <c r="LJ177" s="127"/>
      <c r="LK177" s="127"/>
      <c r="LL177" s="127"/>
      <c r="LM177" s="127"/>
      <c r="LN177" s="127"/>
      <c r="LO177" s="127"/>
      <c r="LP177" s="127"/>
      <c r="OG177" s="127"/>
      <c r="OH177" s="127"/>
      <c r="OI177" s="127"/>
      <c r="OJ177" s="127"/>
      <c r="OK177" s="127"/>
      <c r="OL177" s="127"/>
      <c r="OM177" s="127"/>
      <c r="ON177" s="127"/>
      <c r="OO177" s="127"/>
      <c r="OP177" s="127"/>
      <c r="OQ177" s="127"/>
      <c r="OR177" s="127"/>
      <c r="OS177" s="127"/>
      <c r="OT177" s="127"/>
      <c r="OU177" s="127"/>
    </row>
    <row r="178" spans="1:411">
      <c r="A178">
        <v>11</v>
      </c>
      <c r="B178">
        <v>228</v>
      </c>
      <c r="C178" t="s">
        <v>72</v>
      </c>
      <c r="D178" t="s">
        <v>75</v>
      </c>
      <c r="E178" s="232" t="s">
        <v>16579</v>
      </c>
      <c r="F178" t="s">
        <v>71</v>
      </c>
      <c r="G178">
        <v>1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s="233" t="s">
        <v>530</v>
      </c>
      <c r="N178" s="233" t="s">
        <v>531</v>
      </c>
      <c r="O178" s="3" t="s">
        <v>2623</v>
      </c>
      <c r="BM178" s="127"/>
      <c r="BN178" s="127"/>
      <c r="BO178" s="127"/>
      <c r="BP178" s="127"/>
      <c r="BQ178" s="127"/>
      <c r="BR178" s="127"/>
      <c r="BS178" s="127"/>
      <c r="BT178" s="127"/>
      <c r="BU178" s="127"/>
      <c r="BV178" s="127"/>
      <c r="BW178" s="127"/>
      <c r="BX178" s="127"/>
      <c r="BY178" s="127"/>
      <c r="BZ178" s="127"/>
      <c r="CA178" s="127"/>
      <c r="ER178" s="127"/>
      <c r="ES178" s="127"/>
      <c r="ET178" s="127"/>
      <c r="EU178" s="127"/>
      <c r="EV178" s="127"/>
      <c r="EW178" s="127"/>
      <c r="EX178" s="127"/>
      <c r="EY178" s="127"/>
      <c r="EZ178" s="127"/>
      <c r="FA178" s="127"/>
      <c r="FB178" s="127"/>
      <c r="FC178" s="127"/>
      <c r="FD178" s="127"/>
      <c r="FE178" s="127"/>
      <c r="FF178" s="127"/>
      <c r="HW178" s="127"/>
      <c r="HX178" s="127"/>
      <c r="HY178" s="127"/>
      <c r="HZ178" s="127"/>
      <c r="IA178" s="127"/>
      <c r="IB178" s="127"/>
      <c r="IC178" s="127"/>
      <c r="ID178" s="127"/>
      <c r="IE178" s="127"/>
      <c r="IF178" s="127"/>
      <c r="IG178" s="127"/>
      <c r="IH178" s="127"/>
      <c r="II178" s="127"/>
      <c r="IJ178" s="127"/>
      <c r="IK178" s="127"/>
      <c r="LB178" s="127"/>
      <c r="LC178" s="127"/>
      <c r="LD178" s="127"/>
      <c r="LE178" s="127"/>
      <c r="LF178" s="127"/>
      <c r="LG178" s="127"/>
      <c r="LH178" s="127"/>
      <c r="LI178" s="127"/>
      <c r="LJ178" s="127"/>
      <c r="LK178" s="127"/>
      <c r="LL178" s="127"/>
      <c r="LM178" s="127"/>
      <c r="LN178" s="127"/>
      <c r="LO178" s="127"/>
      <c r="LP178" s="127"/>
      <c r="OG178" s="127"/>
      <c r="OH178" s="127"/>
      <c r="OI178" s="127"/>
      <c r="OJ178" s="127"/>
      <c r="OK178" s="127"/>
      <c r="OL178" s="127"/>
      <c r="OM178" s="127"/>
      <c r="ON178" s="127"/>
      <c r="OO178" s="127"/>
      <c r="OP178" s="127"/>
      <c r="OQ178" s="127"/>
      <c r="OR178" s="127"/>
      <c r="OS178" s="127"/>
      <c r="OT178" s="127"/>
      <c r="OU178" s="127"/>
    </row>
    <row r="179" spans="1:411">
      <c r="A179">
        <v>11</v>
      </c>
      <c r="B179">
        <v>229</v>
      </c>
      <c r="C179" t="s">
        <v>72</v>
      </c>
      <c r="D179" t="s">
        <v>75</v>
      </c>
      <c r="E179" s="232" t="s">
        <v>16580</v>
      </c>
      <c r="F179" t="s">
        <v>71</v>
      </c>
      <c r="G179">
        <v>1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s="233" t="s">
        <v>530</v>
      </c>
      <c r="N179" s="233" t="s">
        <v>531</v>
      </c>
      <c r="O179" s="3" t="s">
        <v>2623</v>
      </c>
      <c r="BM179" s="127"/>
      <c r="BN179" s="127"/>
      <c r="BO179" s="127"/>
      <c r="BP179" s="127"/>
      <c r="BQ179" s="127"/>
      <c r="BR179" s="127"/>
      <c r="BS179" s="127"/>
      <c r="BT179" s="127"/>
      <c r="BU179" s="127"/>
      <c r="BV179" s="127"/>
      <c r="BW179" s="127"/>
      <c r="BX179" s="127"/>
      <c r="BY179" s="127"/>
      <c r="BZ179" s="127"/>
      <c r="CA179" s="127"/>
      <c r="ER179" s="127"/>
      <c r="ES179" s="127"/>
      <c r="ET179" s="127"/>
      <c r="EU179" s="127"/>
      <c r="EV179" s="127"/>
      <c r="EW179" s="127"/>
      <c r="EX179" s="127"/>
      <c r="EY179" s="127"/>
      <c r="EZ179" s="127"/>
      <c r="FA179" s="127"/>
      <c r="FB179" s="127"/>
      <c r="FC179" s="127"/>
      <c r="FD179" s="127"/>
      <c r="FE179" s="127"/>
      <c r="FF179" s="127"/>
      <c r="HW179" s="127"/>
      <c r="HX179" s="127"/>
      <c r="HY179" s="127"/>
      <c r="HZ179" s="127"/>
      <c r="IA179" s="127"/>
      <c r="IB179" s="127"/>
      <c r="IC179" s="127"/>
      <c r="ID179" s="127"/>
      <c r="IE179" s="127"/>
      <c r="IF179" s="127"/>
      <c r="IG179" s="127"/>
      <c r="IH179" s="127"/>
      <c r="II179" s="127"/>
      <c r="IJ179" s="127"/>
      <c r="IK179" s="127"/>
      <c r="LB179" s="127"/>
      <c r="LC179" s="127"/>
      <c r="LD179" s="127"/>
      <c r="LE179" s="127"/>
      <c r="LF179" s="127"/>
      <c r="LG179" s="127"/>
      <c r="LH179" s="127"/>
      <c r="LI179" s="127"/>
      <c r="LJ179" s="127"/>
      <c r="LK179" s="127"/>
      <c r="LL179" s="127"/>
      <c r="LM179" s="127"/>
      <c r="LN179" s="127"/>
      <c r="LO179" s="127"/>
      <c r="LP179" s="127"/>
      <c r="OG179" s="127"/>
      <c r="OH179" s="127"/>
      <c r="OI179" s="127"/>
      <c r="OJ179" s="127"/>
      <c r="OK179" s="127"/>
      <c r="OL179" s="127"/>
      <c r="OM179" s="127"/>
      <c r="ON179" s="127"/>
      <c r="OO179" s="127"/>
      <c r="OP179" s="127"/>
      <c r="OQ179" s="127"/>
      <c r="OR179" s="127"/>
      <c r="OS179" s="127"/>
      <c r="OT179" s="127"/>
      <c r="OU179" s="127"/>
    </row>
    <row r="180" spans="1:411">
      <c r="A180">
        <v>11</v>
      </c>
      <c r="B180">
        <v>230</v>
      </c>
      <c r="C180" t="s">
        <v>72</v>
      </c>
      <c r="D180" t="s">
        <v>75</v>
      </c>
      <c r="E180" s="232" t="s">
        <v>16581</v>
      </c>
      <c r="F180" t="s">
        <v>71</v>
      </c>
      <c r="G180">
        <v>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s="233" t="s">
        <v>530</v>
      </c>
      <c r="N180" s="233" t="s">
        <v>531</v>
      </c>
      <c r="O180" s="3" t="s">
        <v>2623</v>
      </c>
      <c r="BM180" s="127"/>
      <c r="BN180" s="127"/>
      <c r="BO180" s="127"/>
      <c r="BP180" s="127"/>
      <c r="BQ180" s="127"/>
      <c r="BR180" s="127"/>
      <c r="BS180" s="127"/>
      <c r="BT180" s="127"/>
      <c r="BU180" s="127"/>
      <c r="BV180" s="127"/>
      <c r="BW180" s="127"/>
      <c r="BX180" s="127"/>
      <c r="BY180" s="127"/>
      <c r="BZ180" s="127"/>
      <c r="CA180" s="127"/>
      <c r="ER180" s="127"/>
      <c r="ES180" s="127"/>
      <c r="ET180" s="127"/>
      <c r="EU180" s="127"/>
      <c r="EV180" s="127"/>
      <c r="EW180" s="127"/>
      <c r="EX180" s="127"/>
      <c r="EY180" s="127"/>
      <c r="EZ180" s="127"/>
      <c r="FA180" s="127"/>
      <c r="FB180" s="127"/>
      <c r="FC180" s="127"/>
      <c r="FD180" s="127"/>
      <c r="FE180" s="127"/>
      <c r="FF180" s="127"/>
      <c r="HW180" s="127"/>
      <c r="HX180" s="127"/>
      <c r="HY180" s="127"/>
      <c r="HZ180" s="127"/>
      <c r="IA180" s="127"/>
      <c r="IB180" s="127"/>
      <c r="IC180" s="127"/>
      <c r="ID180" s="127"/>
      <c r="IE180" s="127"/>
      <c r="IF180" s="127"/>
      <c r="IG180" s="127"/>
      <c r="IH180" s="127"/>
      <c r="II180" s="127"/>
      <c r="IJ180" s="127"/>
      <c r="IK180" s="127"/>
      <c r="LB180" s="127"/>
      <c r="LC180" s="127"/>
      <c r="LD180" s="127"/>
      <c r="LE180" s="127"/>
      <c r="LF180" s="127"/>
      <c r="LG180" s="127"/>
      <c r="LH180" s="127"/>
      <c r="LI180" s="127"/>
      <c r="LJ180" s="127"/>
      <c r="LK180" s="127"/>
      <c r="LL180" s="127"/>
      <c r="LM180" s="127"/>
      <c r="LN180" s="127"/>
      <c r="LO180" s="127"/>
      <c r="LP180" s="127"/>
      <c r="OG180" s="127"/>
      <c r="OH180" s="127"/>
      <c r="OI180" s="127"/>
      <c r="OJ180" s="127"/>
      <c r="OK180" s="127"/>
      <c r="OL180" s="127"/>
      <c r="OM180" s="127"/>
      <c r="ON180" s="127"/>
      <c r="OO180" s="127"/>
      <c r="OP180" s="127"/>
      <c r="OQ180" s="127"/>
      <c r="OR180" s="127"/>
      <c r="OS180" s="127"/>
      <c r="OT180" s="127"/>
      <c r="OU180" s="127"/>
    </row>
    <row r="181" spans="1:411">
      <c r="A181">
        <v>11</v>
      </c>
      <c r="B181">
        <v>231</v>
      </c>
      <c r="C181" t="s">
        <v>72</v>
      </c>
      <c r="D181" t="s">
        <v>75</v>
      </c>
      <c r="E181" s="232" t="s">
        <v>16582</v>
      </c>
      <c r="F181" t="s">
        <v>71</v>
      </c>
      <c r="G181">
        <v>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s="233" t="s">
        <v>530</v>
      </c>
      <c r="N181" s="233" t="s">
        <v>531</v>
      </c>
      <c r="O181" s="3" t="s">
        <v>2623</v>
      </c>
      <c r="BM181" s="127"/>
      <c r="BN181" s="127"/>
      <c r="BO181" s="127"/>
      <c r="BP181" s="127"/>
      <c r="BQ181" s="127"/>
      <c r="BR181" s="127"/>
      <c r="BS181" s="127"/>
      <c r="BT181" s="127"/>
      <c r="BU181" s="127"/>
      <c r="BV181" s="127"/>
      <c r="BW181" s="127"/>
      <c r="BX181" s="127"/>
      <c r="BY181" s="127"/>
      <c r="BZ181" s="127"/>
      <c r="CA181" s="127"/>
      <c r="ER181" s="127"/>
      <c r="ES181" s="127"/>
      <c r="ET181" s="127"/>
      <c r="EU181" s="127"/>
      <c r="EV181" s="127"/>
      <c r="EW181" s="127"/>
      <c r="EX181" s="127"/>
      <c r="EY181" s="127"/>
      <c r="EZ181" s="127"/>
      <c r="FA181" s="127"/>
      <c r="FB181" s="127"/>
      <c r="FC181" s="127"/>
      <c r="FD181" s="127"/>
      <c r="FE181" s="127"/>
      <c r="FF181" s="127"/>
      <c r="HW181" s="127"/>
      <c r="HX181" s="127"/>
      <c r="HY181" s="127"/>
      <c r="HZ181" s="127"/>
      <c r="IA181" s="127"/>
      <c r="IB181" s="127"/>
      <c r="IC181" s="127"/>
      <c r="ID181" s="127"/>
      <c r="IE181" s="127"/>
      <c r="IF181" s="127"/>
      <c r="IG181" s="127"/>
      <c r="IH181" s="127"/>
      <c r="II181" s="127"/>
      <c r="IJ181" s="127"/>
      <c r="IK181" s="127"/>
      <c r="LB181" s="127"/>
      <c r="LC181" s="127"/>
      <c r="LD181" s="127"/>
      <c r="LE181" s="127"/>
      <c r="LF181" s="127"/>
      <c r="LG181" s="127"/>
      <c r="LH181" s="127"/>
      <c r="LI181" s="127"/>
      <c r="LJ181" s="127"/>
      <c r="LK181" s="127"/>
      <c r="LL181" s="127"/>
      <c r="LM181" s="127"/>
      <c r="LN181" s="127"/>
      <c r="LO181" s="127"/>
      <c r="LP181" s="127"/>
      <c r="OG181" s="127"/>
      <c r="OH181" s="127"/>
      <c r="OI181" s="127"/>
      <c r="OJ181" s="127"/>
      <c r="OK181" s="127"/>
      <c r="OL181" s="127"/>
      <c r="OM181" s="127"/>
      <c r="ON181" s="127"/>
      <c r="OO181" s="127"/>
      <c r="OP181" s="127"/>
      <c r="OQ181" s="127"/>
      <c r="OR181" s="127"/>
      <c r="OS181" s="127"/>
      <c r="OT181" s="127"/>
      <c r="OU181" s="127"/>
    </row>
    <row r="182" spans="1:411">
      <c r="A182">
        <v>11</v>
      </c>
      <c r="B182">
        <v>232</v>
      </c>
      <c r="C182" t="s">
        <v>72</v>
      </c>
      <c r="D182" t="s">
        <v>75</v>
      </c>
      <c r="E182" s="232" t="s">
        <v>16583</v>
      </c>
      <c r="F182" t="s">
        <v>71</v>
      </c>
      <c r="G182">
        <v>1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s="233" t="s">
        <v>530</v>
      </c>
      <c r="N182" s="233" t="s">
        <v>531</v>
      </c>
      <c r="O182" s="3" t="s">
        <v>2623</v>
      </c>
      <c r="BM182" s="127"/>
      <c r="BN182" s="127"/>
      <c r="BO182" s="127"/>
      <c r="BP182" s="127"/>
      <c r="BQ182" s="127"/>
      <c r="BR182" s="127"/>
      <c r="BS182" s="127"/>
      <c r="BT182" s="127"/>
      <c r="BU182" s="127"/>
      <c r="BV182" s="127"/>
      <c r="BW182" s="127"/>
      <c r="BX182" s="127"/>
      <c r="BY182" s="127"/>
      <c r="BZ182" s="127"/>
      <c r="CA182" s="127"/>
      <c r="ER182" s="127"/>
      <c r="ES182" s="127"/>
      <c r="ET182" s="127"/>
      <c r="EU182" s="127"/>
      <c r="EV182" s="127"/>
      <c r="EW182" s="127"/>
      <c r="EX182" s="127"/>
      <c r="EY182" s="127"/>
      <c r="EZ182" s="127"/>
      <c r="FA182" s="127"/>
      <c r="FB182" s="127"/>
      <c r="FC182" s="127"/>
      <c r="FD182" s="127"/>
      <c r="FE182" s="127"/>
      <c r="FF182" s="127"/>
      <c r="HW182" s="127"/>
      <c r="HX182" s="127"/>
      <c r="HY182" s="127"/>
      <c r="HZ182" s="127"/>
      <c r="IA182" s="127"/>
      <c r="IB182" s="127"/>
      <c r="IC182" s="127"/>
      <c r="ID182" s="127"/>
      <c r="IE182" s="127"/>
      <c r="IF182" s="127"/>
      <c r="IG182" s="127"/>
      <c r="IH182" s="127"/>
      <c r="II182" s="127"/>
      <c r="IJ182" s="127"/>
      <c r="IK182" s="127"/>
      <c r="LB182" s="127"/>
      <c r="LC182" s="127"/>
      <c r="LD182" s="127"/>
      <c r="LE182" s="127"/>
      <c r="LF182" s="127"/>
      <c r="LG182" s="127"/>
      <c r="LH182" s="127"/>
      <c r="LI182" s="127"/>
      <c r="LJ182" s="127"/>
      <c r="LK182" s="127"/>
      <c r="LL182" s="127"/>
      <c r="LM182" s="127"/>
      <c r="LN182" s="127"/>
      <c r="LO182" s="127"/>
      <c r="LP182" s="127"/>
      <c r="OG182" s="127"/>
      <c r="OH182" s="127"/>
      <c r="OI182" s="127"/>
      <c r="OJ182" s="127"/>
      <c r="OK182" s="127"/>
      <c r="OL182" s="127"/>
      <c r="OM182" s="127"/>
      <c r="ON182" s="127"/>
      <c r="OO182" s="127"/>
      <c r="OP182" s="127"/>
      <c r="OQ182" s="127"/>
      <c r="OR182" s="127"/>
      <c r="OS182" s="127"/>
      <c r="OT182" s="127"/>
      <c r="OU182" s="127"/>
    </row>
    <row r="183" spans="1:411">
      <c r="A183">
        <v>11</v>
      </c>
      <c r="B183">
        <v>233</v>
      </c>
      <c r="C183" t="s">
        <v>72</v>
      </c>
      <c r="D183" t="s">
        <v>75</v>
      </c>
      <c r="E183" s="232" t="s">
        <v>16584</v>
      </c>
      <c r="F183" t="s">
        <v>71</v>
      </c>
      <c r="G183">
        <v>1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s="233" t="s">
        <v>530</v>
      </c>
      <c r="N183" s="233" t="s">
        <v>531</v>
      </c>
      <c r="O183" s="3" t="s">
        <v>2623</v>
      </c>
      <c r="BM183" s="127"/>
      <c r="BN183" s="127"/>
      <c r="BO183" s="127"/>
      <c r="BP183" s="127"/>
      <c r="BQ183" s="127"/>
      <c r="BR183" s="127"/>
      <c r="BS183" s="127"/>
      <c r="BT183" s="127"/>
      <c r="BU183" s="127"/>
      <c r="BV183" s="127"/>
      <c r="BW183" s="127"/>
      <c r="BX183" s="127"/>
      <c r="BY183" s="127"/>
      <c r="BZ183" s="127"/>
      <c r="CA183" s="127"/>
      <c r="ER183" s="127"/>
      <c r="ES183" s="127"/>
      <c r="ET183" s="127"/>
      <c r="EU183" s="127"/>
      <c r="EV183" s="127"/>
      <c r="EW183" s="127"/>
      <c r="EX183" s="127"/>
      <c r="EY183" s="127"/>
      <c r="EZ183" s="127"/>
      <c r="FA183" s="127"/>
      <c r="FB183" s="127"/>
      <c r="FC183" s="127"/>
      <c r="FD183" s="127"/>
      <c r="FE183" s="127"/>
      <c r="FF183" s="127"/>
      <c r="HW183" s="127"/>
      <c r="HX183" s="127"/>
      <c r="HY183" s="127"/>
      <c r="HZ183" s="127"/>
      <c r="IA183" s="127"/>
      <c r="IB183" s="127"/>
      <c r="IC183" s="127"/>
      <c r="ID183" s="127"/>
      <c r="IE183" s="127"/>
      <c r="IF183" s="127"/>
      <c r="IG183" s="127"/>
      <c r="IH183" s="127"/>
      <c r="II183" s="127"/>
      <c r="IJ183" s="127"/>
      <c r="IK183" s="127"/>
      <c r="LB183" s="127"/>
      <c r="LC183" s="127"/>
      <c r="LD183" s="127"/>
      <c r="LE183" s="127"/>
      <c r="LF183" s="127"/>
      <c r="LG183" s="127"/>
      <c r="LH183" s="127"/>
      <c r="LI183" s="127"/>
      <c r="LJ183" s="127"/>
      <c r="LK183" s="127"/>
      <c r="LL183" s="127"/>
      <c r="LM183" s="127"/>
      <c r="LN183" s="127"/>
      <c r="LO183" s="127"/>
      <c r="LP183" s="127"/>
      <c r="OG183" s="127"/>
      <c r="OH183" s="127"/>
      <c r="OI183" s="127"/>
      <c r="OJ183" s="127"/>
      <c r="OK183" s="127"/>
      <c r="OL183" s="127"/>
      <c r="OM183" s="127"/>
      <c r="ON183" s="127"/>
      <c r="OO183" s="127"/>
      <c r="OP183" s="127"/>
      <c r="OQ183" s="127"/>
      <c r="OR183" s="127"/>
      <c r="OS183" s="127"/>
      <c r="OT183" s="127"/>
      <c r="OU183" s="127"/>
    </row>
    <row r="184" spans="1:411">
      <c r="A184">
        <v>11</v>
      </c>
      <c r="B184">
        <v>234</v>
      </c>
      <c r="C184" t="s">
        <v>72</v>
      </c>
      <c r="D184" t="s">
        <v>75</v>
      </c>
      <c r="E184" s="232" t="s">
        <v>16585</v>
      </c>
      <c r="F184" t="s">
        <v>71</v>
      </c>
      <c r="G184">
        <v>1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s="233" t="s">
        <v>530</v>
      </c>
      <c r="N184" s="233" t="s">
        <v>531</v>
      </c>
      <c r="O184" s="3" t="s">
        <v>2623</v>
      </c>
      <c r="BM184" s="127"/>
      <c r="BN184" s="127"/>
      <c r="BO184" s="127"/>
      <c r="BP184" s="127"/>
      <c r="BQ184" s="127"/>
      <c r="BR184" s="127"/>
      <c r="BS184" s="127"/>
      <c r="BT184" s="127"/>
      <c r="BU184" s="127"/>
      <c r="BV184" s="127"/>
      <c r="BW184" s="127"/>
      <c r="BX184" s="127"/>
      <c r="BY184" s="127"/>
      <c r="BZ184" s="127"/>
      <c r="CA184" s="127"/>
      <c r="ER184" s="127"/>
      <c r="ES184" s="127"/>
      <c r="ET184" s="127"/>
      <c r="EU184" s="127"/>
      <c r="EV184" s="127"/>
      <c r="EW184" s="127"/>
      <c r="EX184" s="127"/>
      <c r="EY184" s="127"/>
      <c r="EZ184" s="127"/>
      <c r="FA184" s="127"/>
      <c r="FB184" s="127"/>
      <c r="FC184" s="127"/>
      <c r="FD184" s="127"/>
      <c r="FE184" s="127"/>
      <c r="FF184" s="127"/>
      <c r="HW184" s="127"/>
      <c r="HX184" s="127"/>
      <c r="HY184" s="127"/>
      <c r="HZ184" s="127"/>
      <c r="IA184" s="127"/>
      <c r="IB184" s="127"/>
      <c r="IC184" s="127"/>
      <c r="ID184" s="127"/>
      <c r="IE184" s="127"/>
      <c r="IF184" s="127"/>
      <c r="IG184" s="127"/>
      <c r="IH184" s="127"/>
      <c r="II184" s="127"/>
      <c r="IJ184" s="127"/>
      <c r="IK184" s="127"/>
      <c r="LB184" s="127"/>
      <c r="LC184" s="127"/>
      <c r="LD184" s="127"/>
      <c r="LE184" s="127"/>
      <c r="LF184" s="127"/>
      <c r="LG184" s="127"/>
      <c r="LH184" s="127"/>
      <c r="LI184" s="127"/>
      <c r="LJ184" s="127"/>
      <c r="LK184" s="127"/>
      <c r="LL184" s="127"/>
      <c r="LM184" s="127"/>
      <c r="LN184" s="127"/>
      <c r="LO184" s="127"/>
      <c r="LP184" s="127"/>
      <c r="OG184" s="127"/>
      <c r="OH184" s="127"/>
      <c r="OI184" s="127"/>
      <c r="OJ184" s="127"/>
      <c r="OK184" s="127"/>
      <c r="OL184" s="127"/>
      <c r="OM184" s="127"/>
      <c r="ON184" s="127"/>
      <c r="OO184" s="127"/>
      <c r="OP184" s="127"/>
      <c r="OQ184" s="127"/>
      <c r="OR184" s="127"/>
      <c r="OS184" s="127"/>
      <c r="OT184" s="127"/>
      <c r="OU184" s="127"/>
    </row>
    <row r="185" spans="1:411">
      <c r="A185">
        <v>11</v>
      </c>
      <c r="B185">
        <v>235</v>
      </c>
      <c r="C185" t="s">
        <v>72</v>
      </c>
      <c r="D185" t="s">
        <v>75</v>
      </c>
      <c r="E185" s="232" t="s">
        <v>16586</v>
      </c>
      <c r="F185" t="s">
        <v>71</v>
      </c>
      <c r="G185">
        <v>1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s="233" t="s">
        <v>530</v>
      </c>
      <c r="N185" s="233" t="s">
        <v>531</v>
      </c>
      <c r="O185" s="3" t="s">
        <v>2623</v>
      </c>
      <c r="BM185" s="127"/>
      <c r="BN185" s="127"/>
      <c r="BO185" s="127"/>
      <c r="BP185" s="127"/>
      <c r="BQ185" s="127"/>
      <c r="BR185" s="127"/>
      <c r="BS185" s="127"/>
      <c r="BT185" s="127"/>
      <c r="BU185" s="127"/>
      <c r="BV185" s="127"/>
      <c r="BW185" s="127"/>
      <c r="BX185" s="127"/>
      <c r="BY185" s="127"/>
      <c r="BZ185" s="127"/>
      <c r="CA185" s="127"/>
      <c r="ER185" s="127"/>
      <c r="ES185" s="127"/>
      <c r="ET185" s="127"/>
      <c r="EU185" s="127"/>
      <c r="EV185" s="127"/>
      <c r="EW185" s="127"/>
      <c r="EX185" s="127"/>
      <c r="EY185" s="127"/>
      <c r="EZ185" s="127"/>
      <c r="FA185" s="127"/>
      <c r="FB185" s="127"/>
      <c r="FC185" s="127"/>
      <c r="FD185" s="127"/>
      <c r="FE185" s="127"/>
      <c r="FF185" s="127"/>
      <c r="HW185" s="127"/>
      <c r="HX185" s="127"/>
      <c r="HY185" s="127"/>
      <c r="HZ185" s="127"/>
      <c r="IA185" s="127"/>
      <c r="IB185" s="127"/>
      <c r="IC185" s="127"/>
      <c r="ID185" s="127"/>
      <c r="IE185" s="127"/>
      <c r="IF185" s="127"/>
      <c r="IG185" s="127"/>
      <c r="IH185" s="127"/>
      <c r="II185" s="127"/>
      <c r="IJ185" s="127"/>
      <c r="IK185" s="127"/>
      <c r="LB185" s="127"/>
      <c r="LC185" s="127"/>
      <c r="LD185" s="127"/>
      <c r="LE185" s="127"/>
      <c r="LF185" s="127"/>
      <c r="LG185" s="127"/>
      <c r="LH185" s="127"/>
      <c r="LI185" s="127"/>
      <c r="LJ185" s="127"/>
      <c r="LK185" s="127"/>
      <c r="LL185" s="127"/>
      <c r="LM185" s="127"/>
      <c r="LN185" s="127"/>
      <c r="LO185" s="127"/>
      <c r="LP185" s="127"/>
      <c r="OG185" s="127"/>
      <c r="OH185" s="127"/>
      <c r="OI185" s="127"/>
      <c r="OJ185" s="127"/>
      <c r="OK185" s="127"/>
      <c r="OL185" s="127"/>
      <c r="OM185" s="127"/>
      <c r="ON185" s="127"/>
      <c r="OO185" s="127"/>
      <c r="OP185" s="127"/>
      <c r="OQ185" s="127"/>
      <c r="OR185" s="127"/>
      <c r="OS185" s="127"/>
      <c r="OT185" s="127"/>
      <c r="OU185" s="127"/>
    </row>
    <row r="186" spans="1:411">
      <c r="A186">
        <v>11</v>
      </c>
      <c r="B186">
        <v>236</v>
      </c>
      <c r="C186" t="s">
        <v>72</v>
      </c>
      <c r="D186" t="s">
        <v>75</v>
      </c>
      <c r="E186" s="232" t="s">
        <v>16587</v>
      </c>
      <c r="F186" t="s">
        <v>71</v>
      </c>
      <c r="G186">
        <v>1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s="233" t="s">
        <v>530</v>
      </c>
      <c r="N186" s="233" t="s">
        <v>531</v>
      </c>
      <c r="O186" s="3" t="s">
        <v>2623</v>
      </c>
      <c r="BM186" s="127"/>
      <c r="BN186" s="127"/>
      <c r="BO186" s="127"/>
      <c r="BP186" s="127"/>
      <c r="BQ186" s="127"/>
      <c r="BR186" s="127"/>
      <c r="BS186" s="127"/>
      <c r="BT186" s="127"/>
      <c r="BU186" s="127"/>
      <c r="BV186" s="127"/>
      <c r="BW186" s="127"/>
      <c r="BX186" s="127"/>
      <c r="BY186" s="127"/>
      <c r="BZ186" s="127"/>
      <c r="CA186" s="127"/>
      <c r="ER186" s="127"/>
      <c r="ES186" s="127"/>
      <c r="ET186" s="127"/>
      <c r="EU186" s="127"/>
      <c r="EV186" s="127"/>
      <c r="EW186" s="127"/>
      <c r="EX186" s="127"/>
      <c r="EY186" s="127"/>
      <c r="EZ186" s="127"/>
      <c r="FA186" s="127"/>
      <c r="FB186" s="127"/>
      <c r="FC186" s="127"/>
      <c r="FD186" s="127"/>
      <c r="FE186" s="127"/>
      <c r="FF186" s="127"/>
      <c r="HW186" s="127"/>
      <c r="HX186" s="127"/>
      <c r="HY186" s="127"/>
      <c r="HZ186" s="127"/>
      <c r="IA186" s="127"/>
      <c r="IB186" s="127"/>
      <c r="IC186" s="127"/>
      <c r="ID186" s="127"/>
      <c r="IE186" s="127"/>
      <c r="IF186" s="127"/>
      <c r="IG186" s="127"/>
      <c r="IH186" s="127"/>
      <c r="II186" s="127"/>
      <c r="IJ186" s="127"/>
      <c r="IK186" s="127"/>
      <c r="LB186" s="127"/>
      <c r="LC186" s="127"/>
      <c r="LD186" s="127"/>
      <c r="LE186" s="127"/>
      <c r="LF186" s="127"/>
      <c r="LG186" s="127"/>
      <c r="LH186" s="127"/>
      <c r="LI186" s="127"/>
      <c r="LJ186" s="127"/>
      <c r="LK186" s="127"/>
      <c r="LL186" s="127"/>
      <c r="LM186" s="127"/>
      <c r="LN186" s="127"/>
      <c r="LO186" s="127"/>
      <c r="LP186" s="127"/>
      <c r="OG186" s="127"/>
      <c r="OH186" s="127"/>
      <c r="OI186" s="127"/>
      <c r="OJ186" s="127"/>
      <c r="OK186" s="127"/>
      <c r="OL186" s="127"/>
      <c r="OM186" s="127"/>
      <c r="ON186" s="127"/>
      <c r="OO186" s="127"/>
      <c r="OP186" s="127"/>
      <c r="OQ186" s="127"/>
      <c r="OR186" s="127"/>
      <c r="OS186" s="127"/>
      <c r="OT186" s="127"/>
      <c r="OU186" s="127"/>
    </row>
    <row r="187" spans="1:411">
      <c r="A187">
        <v>11</v>
      </c>
      <c r="B187">
        <v>237</v>
      </c>
      <c r="C187" t="s">
        <v>72</v>
      </c>
      <c r="D187" t="s">
        <v>75</v>
      </c>
      <c r="E187" s="232" t="s">
        <v>16588</v>
      </c>
      <c r="F187" t="s">
        <v>71</v>
      </c>
      <c r="G187">
        <v>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s="233" t="s">
        <v>530</v>
      </c>
      <c r="N187" s="233" t="s">
        <v>531</v>
      </c>
      <c r="O187" s="3" t="s">
        <v>2623</v>
      </c>
      <c r="BM187" s="127"/>
      <c r="BN187" s="127"/>
      <c r="BO187" s="127"/>
      <c r="BP187" s="127"/>
      <c r="BQ187" s="127"/>
      <c r="BR187" s="127"/>
      <c r="BS187" s="127"/>
      <c r="BT187" s="127"/>
      <c r="BU187" s="127"/>
      <c r="BV187" s="127"/>
      <c r="BW187" s="127"/>
      <c r="BX187" s="127"/>
      <c r="BY187" s="127"/>
      <c r="BZ187" s="127"/>
      <c r="CA187" s="127"/>
      <c r="ER187" s="127"/>
      <c r="ES187" s="127"/>
      <c r="ET187" s="127"/>
      <c r="EU187" s="127"/>
      <c r="EV187" s="127"/>
      <c r="EW187" s="127"/>
      <c r="EX187" s="127"/>
      <c r="EY187" s="127"/>
      <c r="EZ187" s="127"/>
      <c r="FA187" s="127"/>
      <c r="FB187" s="127"/>
      <c r="FC187" s="127"/>
      <c r="FD187" s="127"/>
      <c r="FE187" s="127"/>
      <c r="FF187" s="127"/>
      <c r="HW187" s="127"/>
      <c r="HX187" s="127"/>
      <c r="HY187" s="127"/>
      <c r="HZ187" s="127"/>
      <c r="IA187" s="127"/>
      <c r="IB187" s="127"/>
      <c r="IC187" s="127"/>
      <c r="ID187" s="127"/>
      <c r="IE187" s="127"/>
      <c r="IF187" s="127"/>
      <c r="IG187" s="127"/>
      <c r="IH187" s="127"/>
      <c r="II187" s="127"/>
      <c r="IJ187" s="127"/>
      <c r="IK187" s="127"/>
      <c r="LB187" s="127"/>
      <c r="LC187" s="127"/>
      <c r="LD187" s="127"/>
      <c r="LE187" s="127"/>
      <c r="LF187" s="127"/>
      <c r="LG187" s="127"/>
      <c r="LH187" s="127"/>
      <c r="LI187" s="127"/>
      <c r="LJ187" s="127"/>
      <c r="LK187" s="127"/>
      <c r="LL187" s="127"/>
      <c r="LM187" s="127"/>
      <c r="LN187" s="127"/>
      <c r="LO187" s="127"/>
      <c r="LP187" s="127"/>
      <c r="OG187" s="127"/>
      <c r="OH187" s="127"/>
      <c r="OI187" s="127"/>
      <c r="OJ187" s="127"/>
      <c r="OK187" s="127"/>
      <c r="OL187" s="127"/>
      <c r="OM187" s="127"/>
      <c r="ON187" s="127"/>
      <c r="OO187" s="127"/>
      <c r="OP187" s="127"/>
      <c r="OQ187" s="127"/>
      <c r="OR187" s="127"/>
      <c r="OS187" s="127"/>
      <c r="OT187" s="127"/>
      <c r="OU187" s="127"/>
    </row>
    <row r="188" spans="1:411">
      <c r="A188">
        <v>11</v>
      </c>
      <c r="B188">
        <v>238</v>
      </c>
      <c r="C188" t="s">
        <v>72</v>
      </c>
      <c r="D188" t="s">
        <v>75</v>
      </c>
      <c r="E188" s="232" t="s">
        <v>16589</v>
      </c>
      <c r="F188" t="s">
        <v>71</v>
      </c>
      <c r="G188">
        <v>1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s="233" t="s">
        <v>530</v>
      </c>
      <c r="N188" s="233" t="s">
        <v>531</v>
      </c>
      <c r="O188" s="3" t="s">
        <v>2623</v>
      </c>
      <c r="BM188" s="127"/>
      <c r="BN188" s="127"/>
      <c r="BO188" s="127"/>
      <c r="BP188" s="127"/>
      <c r="BQ188" s="127"/>
      <c r="BR188" s="127"/>
      <c r="BS188" s="127"/>
      <c r="BT188" s="127"/>
      <c r="BU188" s="127"/>
      <c r="BV188" s="127"/>
      <c r="BW188" s="127"/>
      <c r="BX188" s="127"/>
      <c r="BY188" s="127"/>
      <c r="BZ188" s="127"/>
      <c r="CA188" s="127"/>
      <c r="ER188" s="127"/>
      <c r="ES188" s="127"/>
      <c r="ET188" s="127"/>
      <c r="EU188" s="127"/>
      <c r="EV188" s="127"/>
      <c r="EW188" s="127"/>
      <c r="EX188" s="127"/>
      <c r="EY188" s="127"/>
      <c r="EZ188" s="127"/>
      <c r="FA188" s="127"/>
      <c r="FB188" s="127"/>
      <c r="FC188" s="127"/>
      <c r="FD188" s="127"/>
      <c r="FE188" s="127"/>
      <c r="FF188" s="127"/>
      <c r="HW188" s="127"/>
      <c r="HX188" s="127"/>
      <c r="HY188" s="127"/>
      <c r="HZ188" s="127"/>
      <c r="IA188" s="127"/>
      <c r="IB188" s="127"/>
      <c r="IC188" s="127"/>
      <c r="ID188" s="127"/>
      <c r="IE188" s="127"/>
      <c r="IF188" s="127"/>
      <c r="IG188" s="127"/>
      <c r="IH188" s="127"/>
      <c r="II188" s="127"/>
      <c r="IJ188" s="127"/>
      <c r="IK188" s="127"/>
      <c r="LB188" s="127"/>
      <c r="LC188" s="127"/>
      <c r="LD188" s="127"/>
      <c r="LE188" s="127"/>
      <c r="LF188" s="127"/>
      <c r="LG188" s="127"/>
      <c r="LH188" s="127"/>
      <c r="LI188" s="127"/>
      <c r="LJ188" s="127"/>
      <c r="LK188" s="127"/>
      <c r="LL188" s="127"/>
      <c r="LM188" s="127"/>
      <c r="LN188" s="127"/>
      <c r="LO188" s="127"/>
      <c r="LP188" s="127"/>
      <c r="OG188" s="127"/>
      <c r="OH188" s="127"/>
      <c r="OI188" s="127"/>
      <c r="OJ188" s="127"/>
      <c r="OK188" s="127"/>
      <c r="OL188" s="127"/>
      <c r="OM188" s="127"/>
      <c r="ON188" s="127"/>
      <c r="OO188" s="127"/>
      <c r="OP188" s="127"/>
      <c r="OQ188" s="127"/>
      <c r="OR188" s="127"/>
      <c r="OS188" s="127"/>
      <c r="OT188" s="127"/>
      <c r="OU188" s="127"/>
    </row>
    <row r="189" spans="1:411">
      <c r="A189">
        <v>11</v>
      </c>
      <c r="B189">
        <v>239</v>
      </c>
      <c r="C189" t="s">
        <v>72</v>
      </c>
      <c r="D189" t="s">
        <v>75</v>
      </c>
      <c r="E189" s="232" t="s">
        <v>16590</v>
      </c>
      <c r="F189" t="s">
        <v>71</v>
      </c>
      <c r="G189">
        <v>1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s="233" t="s">
        <v>530</v>
      </c>
      <c r="N189" s="233" t="s">
        <v>531</v>
      </c>
      <c r="O189" s="3" t="s">
        <v>2623</v>
      </c>
      <c r="BM189" s="127"/>
      <c r="BN189" s="127"/>
      <c r="BO189" s="127"/>
      <c r="BP189" s="127"/>
      <c r="BQ189" s="127"/>
      <c r="BR189" s="127"/>
      <c r="BS189" s="127"/>
      <c r="BT189" s="127"/>
      <c r="BU189" s="127"/>
      <c r="BV189" s="127"/>
      <c r="BW189" s="127"/>
      <c r="BX189" s="127"/>
      <c r="BY189" s="127"/>
      <c r="BZ189" s="127"/>
      <c r="CA189" s="127"/>
      <c r="ER189" s="127"/>
      <c r="ES189" s="127"/>
      <c r="ET189" s="127"/>
      <c r="EU189" s="127"/>
      <c r="EV189" s="127"/>
      <c r="EW189" s="127"/>
      <c r="EX189" s="127"/>
      <c r="EY189" s="127"/>
      <c r="EZ189" s="127"/>
      <c r="FA189" s="127"/>
      <c r="FB189" s="127"/>
      <c r="FC189" s="127"/>
      <c r="FD189" s="127"/>
      <c r="FE189" s="127"/>
      <c r="FF189" s="127"/>
      <c r="HW189" s="127"/>
      <c r="HX189" s="127"/>
      <c r="HY189" s="127"/>
      <c r="HZ189" s="127"/>
      <c r="IA189" s="127"/>
      <c r="IB189" s="127"/>
      <c r="IC189" s="127"/>
      <c r="ID189" s="127"/>
      <c r="IE189" s="127"/>
      <c r="IF189" s="127"/>
      <c r="IG189" s="127"/>
      <c r="IH189" s="127"/>
      <c r="II189" s="127"/>
      <c r="IJ189" s="127"/>
      <c r="IK189" s="127"/>
      <c r="LB189" s="127"/>
      <c r="LC189" s="127"/>
      <c r="LD189" s="127"/>
      <c r="LE189" s="127"/>
      <c r="LF189" s="127"/>
      <c r="LG189" s="127"/>
      <c r="LH189" s="127"/>
      <c r="LI189" s="127"/>
      <c r="LJ189" s="127"/>
      <c r="LK189" s="127"/>
      <c r="LL189" s="127"/>
      <c r="LM189" s="127"/>
      <c r="LN189" s="127"/>
      <c r="LO189" s="127"/>
      <c r="LP189" s="127"/>
      <c r="OG189" s="127"/>
      <c r="OH189" s="127"/>
      <c r="OI189" s="127"/>
      <c r="OJ189" s="127"/>
      <c r="OK189" s="127"/>
      <c r="OL189" s="127"/>
      <c r="OM189" s="127"/>
      <c r="ON189" s="127"/>
      <c r="OO189" s="127"/>
      <c r="OP189" s="127"/>
      <c r="OQ189" s="127"/>
      <c r="OR189" s="127"/>
      <c r="OS189" s="127"/>
      <c r="OT189" s="127"/>
      <c r="OU189" s="127"/>
    </row>
    <row r="190" spans="1:411">
      <c r="A190">
        <v>11</v>
      </c>
      <c r="B190">
        <v>240</v>
      </c>
      <c r="C190" t="s">
        <v>72</v>
      </c>
      <c r="D190" t="s">
        <v>75</v>
      </c>
      <c r="E190" s="232" t="s">
        <v>16591</v>
      </c>
      <c r="F190" t="s">
        <v>71</v>
      </c>
      <c r="G190">
        <v>1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s="233" t="s">
        <v>530</v>
      </c>
      <c r="N190" s="233" t="s">
        <v>531</v>
      </c>
      <c r="O190" s="3" t="s">
        <v>2623</v>
      </c>
      <c r="BM190" s="127"/>
      <c r="BN190" s="127"/>
      <c r="BO190" s="127"/>
      <c r="BP190" s="127"/>
      <c r="BQ190" s="127"/>
      <c r="BR190" s="127"/>
      <c r="BS190" s="127"/>
      <c r="BT190" s="127"/>
      <c r="BU190" s="127"/>
      <c r="BV190" s="127"/>
      <c r="BW190" s="127"/>
      <c r="BX190" s="127"/>
      <c r="BY190" s="127"/>
      <c r="BZ190" s="127"/>
      <c r="CA190" s="127"/>
      <c r="ER190" s="127"/>
      <c r="ES190" s="127"/>
      <c r="ET190" s="127"/>
      <c r="EU190" s="127"/>
      <c r="EV190" s="127"/>
      <c r="EW190" s="127"/>
      <c r="EX190" s="127"/>
      <c r="EY190" s="127"/>
      <c r="EZ190" s="127"/>
      <c r="FA190" s="127"/>
      <c r="FB190" s="127"/>
      <c r="FC190" s="127"/>
      <c r="FD190" s="127"/>
      <c r="FE190" s="127"/>
      <c r="FF190" s="127"/>
      <c r="HW190" s="127"/>
      <c r="HX190" s="127"/>
      <c r="HY190" s="127"/>
      <c r="HZ190" s="127"/>
      <c r="IA190" s="127"/>
      <c r="IB190" s="127"/>
      <c r="IC190" s="127"/>
      <c r="ID190" s="127"/>
      <c r="IE190" s="127"/>
      <c r="IF190" s="127"/>
      <c r="IG190" s="127"/>
      <c r="IH190" s="127"/>
      <c r="II190" s="127"/>
      <c r="IJ190" s="127"/>
      <c r="IK190" s="127"/>
      <c r="LB190" s="127"/>
      <c r="LC190" s="127"/>
      <c r="LD190" s="127"/>
      <c r="LE190" s="127"/>
      <c r="LF190" s="127"/>
      <c r="LG190" s="127"/>
      <c r="LH190" s="127"/>
      <c r="LI190" s="127"/>
      <c r="LJ190" s="127"/>
      <c r="LK190" s="127"/>
      <c r="LL190" s="127"/>
      <c r="LM190" s="127"/>
      <c r="LN190" s="127"/>
      <c r="LO190" s="127"/>
      <c r="LP190" s="127"/>
      <c r="OG190" s="127"/>
      <c r="OH190" s="127"/>
      <c r="OI190" s="127"/>
      <c r="OJ190" s="127"/>
      <c r="OK190" s="127"/>
      <c r="OL190" s="127"/>
      <c r="OM190" s="127"/>
      <c r="ON190" s="127"/>
      <c r="OO190" s="127"/>
      <c r="OP190" s="127"/>
      <c r="OQ190" s="127"/>
      <c r="OR190" s="127"/>
      <c r="OS190" s="127"/>
      <c r="OT190" s="127"/>
      <c r="OU190" s="127"/>
    </row>
    <row r="191" spans="1:411">
      <c r="A191">
        <v>11</v>
      </c>
      <c r="B191">
        <v>241</v>
      </c>
      <c r="C191" t="s">
        <v>72</v>
      </c>
      <c r="D191" t="s">
        <v>75</v>
      </c>
      <c r="E191" s="232" t="s">
        <v>16592</v>
      </c>
      <c r="F191" t="s">
        <v>71</v>
      </c>
      <c r="G191">
        <v>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s="233" t="s">
        <v>530</v>
      </c>
      <c r="N191" s="233" t="s">
        <v>531</v>
      </c>
      <c r="O191" s="3" t="s">
        <v>2623</v>
      </c>
      <c r="BM191" s="127"/>
      <c r="BN191" s="127"/>
      <c r="BO191" s="127"/>
      <c r="BP191" s="127"/>
      <c r="BQ191" s="127"/>
      <c r="BR191" s="127"/>
      <c r="BS191" s="127"/>
      <c r="BT191" s="127"/>
      <c r="BU191" s="127"/>
      <c r="BV191" s="127"/>
      <c r="BW191" s="127"/>
      <c r="BX191" s="127"/>
      <c r="BY191" s="127"/>
      <c r="BZ191" s="127"/>
      <c r="CA191" s="127"/>
      <c r="ER191" s="127"/>
      <c r="ES191" s="127"/>
      <c r="ET191" s="127"/>
      <c r="EU191" s="127"/>
      <c r="EV191" s="127"/>
      <c r="EW191" s="127"/>
      <c r="EX191" s="127"/>
      <c r="EY191" s="127"/>
      <c r="EZ191" s="127"/>
      <c r="FA191" s="127"/>
      <c r="FB191" s="127"/>
      <c r="FC191" s="127"/>
      <c r="FD191" s="127"/>
      <c r="FE191" s="127"/>
      <c r="FF191" s="127"/>
      <c r="HW191" s="127"/>
      <c r="HX191" s="127"/>
      <c r="HY191" s="127"/>
      <c r="HZ191" s="127"/>
      <c r="IA191" s="127"/>
      <c r="IB191" s="127"/>
      <c r="IC191" s="127"/>
      <c r="ID191" s="127"/>
      <c r="IE191" s="127"/>
      <c r="IF191" s="127"/>
      <c r="IG191" s="127"/>
      <c r="IH191" s="127"/>
      <c r="II191" s="127"/>
      <c r="IJ191" s="127"/>
      <c r="IK191" s="127"/>
      <c r="LB191" s="127"/>
      <c r="LC191" s="127"/>
      <c r="LD191" s="127"/>
      <c r="LE191" s="127"/>
      <c r="LF191" s="127"/>
      <c r="LG191" s="127"/>
      <c r="LH191" s="127"/>
      <c r="LI191" s="127"/>
      <c r="LJ191" s="127"/>
      <c r="LK191" s="127"/>
      <c r="LL191" s="127"/>
      <c r="LM191" s="127"/>
      <c r="LN191" s="127"/>
      <c r="LO191" s="127"/>
      <c r="LP191" s="127"/>
      <c r="OG191" s="127"/>
      <c r="OH191" s="127"/>
      <c r="OI191" s="127"/>
      <c r="OJ191" s="127"/>
      <c r="OK191" s="127"/>
      <c r="OL191" s="127"/>
      <c r="OM191" s="127"/>
      <c r="ON191" s="127"/>
      <c r="OO191" s="127"/>
      <c r="OP191" s="127"/>
      <c r="OQ191" s="127"/>
      <c r="OR191" s="127"/>
      <c r="OS191" s="127"/>
      <c r="OT191" s="127"/>
      <c r="OU191" s="127"/>
    </row>
    <row r="192" spans="1:411">
      <c r="A192">
        <v>11</v>
      </c>
      <c r="B192">
        <v>242</v>
      </c>
      <c r="C192" t="s">
        <v>72</v>
      </c>
      <c r="D192" t="s">
        <v>75</v>
      </c>
      <c r="E192" s="232" t="s">
        <v>16593</v>
      </c>
      <c r="F192" t="s">
        <v>71</v>
      </c>
      <c r="G192">
        <v>1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s="233" t="s">
        <v>530</v>
      </c>
      <c r="N192" s="233" t="s">
        <v>531</v>
      </c>
      <c r="O192" s="3" t="s">
        <v>2623</v>
      </c>
      <c r="BM192" s="127"/>
      <c r="BN192" s="127"/>
      <c r="BO192" s="127"/>
      <c r="BP192" s="127"/>
      <c r="BQ192" s="127"/>
      <c r="BR192" s="127"/>
      <c r="BS192" s="127"/>
      <c r="BT192" s="127"/>
      <c r="BU192" s="127"/>
      <c r="BV192" s="127"/>
      <c r="BW192" s="127"/>
      <c r="BX192" s="127"/>
      <c r="BY192" s="127"/>
      <c r="BZ192" s="127"/>
      <c r="CA192" s="127"/>
      <c r="ER192" s="127"/>
      <c r="ES192" s="127"/>
      <c r="ET192" s="127"/>
      <c r="EU192" s="127"/>
      <c r="EV192" s="127"/>
      <c r="EW192" s="127"/>
      <c r="EX192" s="127"/>
      <c r="EY192" s="127"/>
      <c r="EZ192" s="127"/>
      <c r="FA192" s="127"/>
      <c r="FB192" s="127"/>
      <c r="FC192" s="127"/>
      <c r="FD192" s="127"/>
      <c r="FE192" s="127"/>
      <c r="FF192" s="127"/>
      <c r="HW192" s="127"/>
      <c r="HX192" s="127"/>
      <c r="HY192" s="127"/>
      <c r="HZ192" s="127"/>
      <c r="IA192" s="127"/>
      <c r="IB192" s="127"/>
      <c r="IC192" s="127"/>
      <c r="ID192" s="127"/>
      <c r="IE192" s="127"/>
      <c r="IF192" s="127"/>
      <c r="IG192" s="127"/>
      <c r="IH192" s="127"/>
      <c r="II192" s="127"/>
      <c r="IJ192" s="127"/>
      <c r="IK192" s="127"/>
      <c r="LB192" s="127"/>
      <c r="LC192" s="127"/>
      <c r="LD192" s="127"/>
      <c r="LE192" s="127"/>
      <c r="LF192" s="127"/>
      <c r="LG192" s="127"/>
      <c r="LH192" s="127"/>
      <c r="LI192" s="127"/>
      <c r="LJ192" s="127"/>
      <c r="LK192" s="127"/>
      <c r="LL192" s="127"/>
      <c r="LM192" s="127"/>
      <c r="LN192" s="127"/>
      <c r="LO192" s="127"/>
      <c r="LP192" s="127"/>
      <c r="OG192" s="127"/>
      <c r="OH192" s="127"/>
      <c r="OI192" s="127"/>
      <c r="OJ192" s="127"/>
      <c r="OK192" s="127"/>
      <c r="OL192" s="127"/>
      <c r="OM192" s="127"/>
      <c r="ON192" s="127"/>
      <c r="OO192" s="127"/>
      <c r="OP192" s="127"/>
      <c r="OQ192" s="127"/>
      <c r="OR192" s="127"/>
      <c r="OS192" s="127"/>
      <c r="OT192" s="127"/>
      <c r="OU192" s="127"/>
    </row>
    <row r="193" spans="1:411">
      <c r="A193">
        <v>11</v>
      </c>
      <c r="B193">
        <v>243</v>
      </c>
      <c r="C193" t="s">
        <v>72</v>
      </c>
      <c r="D193" t="s">
        <v>75</v>
      </c>
      <c r="E193" s="232" t="s">
        <v>16594</v>
      </c>
      <c r="F193" t="s">
        <v>71</v>
      </c>
      <c r="G193">
        <v>1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s="233" t="s">
        <v>530</v>
      </c>
      <c r="N193" s="233" t="s">
        <v>531</v>
      </c>
      <c r="O193" s="3" t="s">
        <v>2623</v>
      </c>
      <c r="BM193" s="127"/>
      <c r="BN193" s="127"/>
      <c r="BO193" s="127"/>
      <c r="BP193" s="127"/>
      <c r="BQ193" s="127"/>
      <c r="BR193" s="127"/>
      <c r="BS193" s="127"/>
      <c r="BT193" s="127"/>
      <c r="BU193" s="127"/>
      <c r="BV193" s="127"/>
      <c r="BW193" s="127"/>
      <c r="BX193" s="127"/>
      <c r="BY193" s="127"/>
      <c r="BZ193" s="127"/>
      <c r="CA193" s="127"/>
      <c r="ER193" s="127"/>
      <c r="ES193" s="127"/>
      <c r="ET193" s="127"/>
      <c r="EU193" s="127"/>
      <c r="EV193" s="127"/>
      <c r="EW193" s="127"/>
      <c r="EX193" s="127"/>
      <c r="EY193" s="127"/>
      <c r="EZ193" s="127"/>
      <c r="FA193" s="127"/>
      <c r="FB193" s="127"/>
      <c r="FC193" s="127"/>
      <c r="FD193" s="127"/>
      <c r="FE193" s="127"/>
      <c r="FF193" s="127"/>
      <c r="HW193" s="127"/>
      <c r="HX193" s="127"/>
      <c r="HY193" s="127"/>
      <c r="HZ193" s="127"/>
      <c r="IA193" s="127"/>
      <c r="IB193" s="127"/>
      <c r="IC193" s="127"/>
      <c r="ID193" s="127"/>
      <c r="IE193" s="127"/>
      <c r="IF193" s="127"/>
      <c r="IG193" s="127"/>
      <c r="IH193" s="127"/>
      <c r="II193" s="127"/>
      <c r="IJ193" s="127"/>
      <c r="IK193" s="127"/>
      <c r="LB193" s="127"/>
      <c r="LC193" s="127"/>
      <c r="LD193" s="127"/>
      <c r="LE193" s="127"/>
      <c r="LF193" s="127"/>
      <c r="LG193" s="127"/>
      <c r="LH193" s="127"/>
      <c r="LI193" s="127"/>
      <c r="LJ193" s="127"/>
      <c r="LK193" s="127"/>
      <c r="LL193" s="127"/>
      <c r="LM193" s="127"/>
      <c r="LN193" s="127"/>
      <c r="LO193" s="127"/>
      <c r="LP193" s="127"/>
      <c r="OG193" s="127"/>
      <c r="OH193" s="127"/>
      <c r="OI193" s="127"/>
      <c r="OJ193" s="127"/>
      <c r="OK193" s="127"/>
      <c r="OL193" s="127"/>
      <c r="OM193" s="127"/>
      <c r="ON193" s="127"/>
      <c r="OO193" s="127"/>
      <c r="OP193" s="127"/>
      <c r="OQ193" s="127"/>
      <c r="OR193" s="127"/>
      <c r="OS193" s="127"/>
      <c r="OT193" s="127"/>
      <c r="OU193" s="127"/>
    </row>
    <row r="194" spans="1:411">
      <c r="A194">
        <v>11</v>
      </c>
      <c r="B194">
        <v>244</v>
      </c>
      <c r="C194" t="s">
        <v>72</v>
      </c>
      <c r="D194" t="s">
        <v>75</v>
      </c>
      <c r="E194" s="232" t="s">
        <v>16595</v>
      </c>
      <c r="F194" t="s">
        <v>71</v>
      </c>
      <c r="G194">
        <v>1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s="233" t="s">
        <v>530</v>
      </c>
      <c r="N194" s="233" t="s">
        <v>531</v>
      </c>
      <c r="O194" s="3" t="s">
        <v>2623</v>
      </c>
      <c r="BM194" s="127"/>
      <c r="BN194" s="127"/>
      <c r="BO194" s="127"/>
      <c r="BP194" s="127"/>
      <c r="BQ194" s="127"/>
      <c r="BR194" s="127"/>
      <c r="BS194" s="127"/>
      <c r="BT194" s="127"/>
      <c r="BU194" s="127"/>
      <c r="BV194" s="127"/>
      <c r="BW194" s="127"/>
      <c r="BX194" s="127"/>
      <c r="BY194" s="127"/>
      <c r="BZ194" s="127"/>
      <c r="CA194" s="127"/>
      <c r="ER194" s="127"/>
      <c r="ES194" s="127"/>
      <c r="ET194" s="127"/>
      <c r="EU194" s="127"/>
      <c r="EV194" s="127"/>
      <c r="EW194" s="127"/>
      <c r="EX194" s="127"/>
      <c r="EY194" s="127"/>
      <c r="EZ194" s="127"/>
      <c r="FA194" s="127"/>
      <c r="FB194" s="127"/>
      <c r="FC194" s="127"/>
      <c r="FD194" s="127"/>
      <c r="FE194" s="127"/>
      <c r="FF194" s="127"/>
      <c r="HW194" s="127"/>
      <c r="HX194" s="127"/>
      <c r="HY194" s="127"/>
      <c r="HZ194" s="127"/>
      <c r="IA194" s="127"/>
      <c r="IB194" s="127"/>
      <c r="IC194" s="127"/>
      <c r="ID194" s="127"/>
      <c r="IE194" s="127"/>
      <c r="IF194" s="127"/>
      <c r="IG194" s="127"/>
      <c r="IH194" s="127"/>
      <c r="II194" s="127"/>
      <c r="IJ194" s="127"/>
      <c r="IK194" s="127"/>
      <c r="LB194" s="127"/>
      <c r="LC194" s="127"/>
      <c r="LD194" s="127"/>
      <c r="LE194" s="127"/>
      <c r="LF194" s="127"/>
      <c r="LG194" s="127"/>
      <c r="LH194" s="127"/>
      <c r="LI194" s="127"/>
      <c r="LJ194" s="127"/>
      <c r="LK194" s="127"/>
      <c r="LL194" s="127"/>
      <c r="LM194" s="127"/>
      <c r="LN194" s="127"/>
      <c r="LO194" s="127"/>
      <c r="LP194" s="127"/>
      <c r="OG194" s="127"/>
      <c r="OH194" s="127"/>
      <c r="OI194" s="127"/>
      <c r="OJ194" s="127"/>
      <c r="OK194" s="127"/>
      <c r="OL194" s="127"/>
      <c r="OM194" s="127"/>
      <c r="ON194" s="127"/>
      <c r="OO194" s="127"/>
      <c r="OP194" s="127"/>
      <c r="OQ194" s="127"/>
      <c r="OR194" s="127"/>
      <c r="OS194" s="127"/>
      <c r="OT194" s="127"/>
      <c r="OU194" s="127"/>
    </row>
    <row r="195" spans="1:411">
      <c r="A195">
        <v>11</v>
      </c>
      <c r="B195">
        <v>245</v>
      </c>
      <c r="C195" t="s">
        <v>72</v>
      </c>
      <c r="D195" t="s">
        <v>75</v>
      </c>
      <c r="E195" s="232" t="s">
        <v>16596</v>
      </c>
      <c r="F195" t="s">
        <v>71</v>
      </c>
      <c r="G195">
        <v>1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s="233" t="s">
        <v>530</v>
      </c>
      <c r="N195" s="233" t="s">
        <v>531</v>
      </c>
      <c r="O195" s="3" t="s">
        <v>2623</v>
      </c>
      <c r="BM195" s="127"/>
      <c r="BN195" s="127"/>
      <c r="BO195" s="127"/>
      <c r="BP195" s="127"/>
      <c r="BQ195" s="127"/>
      <c r="BR195" s="127"/>
      <c r="BS195" s="127"/>
      <c r="BT195" s="127"/>
      <c r="BU195" s="127"/>
      <c r="BV195" s="127"/>
      <c r="BW195" s="127"/>
      <c r="BX195" s="127"/>
      <c r="BY195" s="127"/>
      <c r="BZ195" s="127"/>
      <c r="CA195" s="127"/>
      <c r="ER195" s="127"/>
      <c r="ES195" s="127"/>
      <c r="ET195" s="127"/>
      <c r="EU195" s="127"/>
      <c r="EV195" s="127"/>
      <c r="EW195" s="127"/>
      <c r="EX195" s="127"/>
      <c r="EY195" s="127"/>
      <c r="EZ195" s="127"/>
      <c r="FA195" s="127"/>
      <c r="FB195" s="127"/>
      <c r="FC195" s="127"/>
      <c r="FD195" s="127"/>
      <c r="FE195" s="127"/>
      <c r="FF195" s="127"/>
      <c r="HW195" s="127"/>
      <c r="HX195" s="127"/>
      <c r="HY195" s="127"/>
      <c r="HZ195" s="127"/>
      <c r="IA195" s="127"/>
      <c r="IB195" s="127"/>
      <c r="IC195" s="127"/>
      <c r="ID195" s="127"/>
      <c r="IE195" s="127"/>
      <c r="IF195" s="127"/>
      <c r="IG195" s="127"/>
      <c r="IH195" s="127"/>
      <c r="II195" s="127"/>
      <c r="IJ195" s="127"/>
      <c r="IK195" s="127"/>
      <c r="LB195" s="127"/>
      <c r="LC195" s="127"/>
      <c r="LD195" s="127"/>
      <c r="LE195" s="127"/>
      <c r="LF195" s="127"/>
      <c r="LG195" s="127"/>
      <c r="LH195" s="127"/>
      <c r="LI195" s="127"/>
      <c r="LJ195" s="127"/>
      <c r="LK195" s="127"/>
      <c r="LL195" s="127"/>
      <c r="LM195" s="127"/>
      <c r="LN195" s="127"/>
      <c r="LO195" s="127"/>
      <c r="LP195" s="127"/>
      <c r="OG195" s="127"/>
      <c r="OH195" s="127"/>
      <c r="OI195" s="127"/>
      <c r="OJ195" s="127"/>
      <c r="OK195" s="127"/>
      <c r="OL195" s="127"/>
      <c r="OM195" s="127"/>
      <c r="ON195" s="127"/>
      <c r="OO195" s="127"/>
      <c r="OP195" s="127"/>
      <c r="OQ195" s="127"/>
      <c r="OR195" s="127"/>
      <c r="OS195" s="127"/>
      <c r="OT195" s="127"/>
      <c r="OU195" s="127"/>
    </row>
    <row r="196" spans="1:411">
      <c r="A196">
        <v>11</v>
      </c>
      <c r="B196">
        <v>246</v>
      </c>
      <c r="C196" t="s">
        <v>72</v>
      </c>
      <c r="D196" t="s">
        <v>75</v>
      </c>
      <c r="E196" s="232" t="s">
        <v>16597</v>
      </c>
      <c r="F196" t="s">
        <v>71</v>
      </c>
      <c r="G196">
        <v>1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s="233" t="s">
        <v>530</v>
      </c>
      <c r="N196" s="233" t="s">
        <v>531</v>
      </c>
      <c r="O196" s="3" t="s">
        <v>2623</v>
      </c>
      <c r="BM196" s="127"/>
      <c r="BN196" s="127"/>
      <c r="BO196" s="127"/>
      <c r="BP196" s="127"/>
      <c r="BQ196" s="127"/>
      <c r="BR196" s="127"/>
      <c r="BS196" s="127"/>
      <c r="BT196" s="127"/>
      <c r="BU196" s="127"/>
      <c r="BV196" s="127"/>
      <c r="BW196" s="127"/>
      <c r="BX196" s="127"/>
      <c r="BY196" s="127"/>
      <c r="BZ196" s="127"/>
      <c r="CA196" s="127"/>
      <c r="ER196" s="127"/>
      <c r="ES196" s="127"/>
      <c r="ET196" s="127"/>
      <c r="EU196" s="127"/>
      <c r="EV196" s="127"/>
      <c r="EW196" s="127"/>
      <c r="EX196" s="127"/>
      <c r="EY196" s="127"/>
      <c r="EZ196" s="127"/>
      <c r="FA196" s="127"/>
      <c r="FB196" s="127"/>
      <c r="FC196" s="127"/>
      <c r="FD196" s="127"/>
      <c r="FE196" s="127"/>
      <c r="FF196" s="127"/>
      <c r="HW196" s="127"/>
      <c r="HX196" s="127"/>
      <c r="HY196" s="127"/>
      <c r="HZ196" s="127"/>
      <c r="IA196" s="127"/>
      <c r="IB196" s="127"/>
      <c r="IC196" s="127"/>
      <c r="ID196" s="127"/>
      <c r="IE196" s="127"/>
      <c r="IF196" s="127"/>
      <c r="IG196" s="127"/>
      <c r="IH196" s="127"/>
      <c r="II196" s="127"/>
      <c r="IJ196" s="127"/>
      <c r="IK196" s="127"/>
      <c r="LB196" s="127"/>
      <c r="LC196" s="127"/>
      <c r="LD196" s="127"/>
      <c r="LE196" s="127"/>
      <c r="LF196" s="127"/>
      <c r="LG196" s="127"/>
      <c r="LH196" s="127"/>
      <c r="LI196" s="127"/>
      <c r="LJ196" s="127"/>
      <c r="LK196" s="127"/>
      <c r="LL196" s="127"/>
      <c r="LM196" s="127"/>
      <c r="LN196" s="127"/>
      <c r="LO196" s="127"/>
      <c r="LP196" s="127"/>
      <c r="OG196" s="127"/>
      <c r="OH196" s="127"/>
      <c r="OI196" s="127"/>
      <c r="OJ196" s="127"/>
      <c r="OK196" s="127"/>
      <c r="OL196" s="127"/>
      <c r="OM196" s="127"/>
      <c r="ON196" s="127"/>
      <c r="OO196" s="127"/>
      <c r="OP196" s="127"/>
      <c r="OQ196" s="127"/>
      <c r="OR196" s="127"/>
      <c r="OS196" s="127"/>
      <c r="OT196" s="127"/>
      <c r="OU196" s="127"/>
    </row>
    <row r="197" spans="1:411">
      <c r="A197">
        <v>11</v>
      </c>
      <c r="B197">
        <v>247</v>
      </c>
      <c r="C197" t="s">
        <v>72</v>
      </c>
      <c r="D197" t="s">
        <v>75</v>
      </c>
      <c r="E197" s="232" t="s">
        <v>16598</v>
      </c>
      <c r="F197" t="s">
        <v>71</v>
      </c>
      <c r="G197">
        <v>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s="233" t="s">
        <v>530</v>
      </c>
      <c r="N197" s="233" t="s">
        <v>531</v>
      </c>
      <c r="O197" s="3" t="s">
        <v>2623</v>
      </c>
      <c r="BM197" s="127"/>
      <c r="BN197" s="127"/>
      <c r="BO197" s="127"/>
      <c r="BP197" s="127"/>
      <c r="BQ197" s="127"/>
      <c r="BR197" s="127"/>
      <c r="BS197" s="127"/>
      <c r="BT197" s="127"/>
      <c r="BU197" s="127"/>
      <c r="BV197" s="127"/>
      <c r="BW197" s="127"/>
      <c r="BX197" s="127"/>
      <c r="BY197" s="127"/>
      <c r="BZ197" s="127"/>
      <c r="CA197" s="127"/>
      <c r="ER197" s="127"/>
      <c r="ES197" s="127"/>
      <c r="ET197" s="127"/>
      <c r="EU197" s="127"/>
      <c r="EV197" s="127"/>
      <c r="EW197" s="127"/>
      <c r="EX197" s="127"/>
      <c r="EY197" s="127"/>
      <c r="EZ197" s="127"/>
      <c r="FA197" s="127"/>
      <c r="FB197" s="127"/>
      <c r="FC197" s="127"/>
      <c r="FD197" s="127"/>
      <c r="FE197" s="127"/>
      <c r="FF197" s="127"/>
      <c r="HW197" s="127"/>
      <c r="HX197" s="127"/>
      <c r="HY197" s="127"/>
      <c r="HZ197" s="127"/>
      <c r="IA197" s="127"/>
      <c r="IB197" s="127"/>
      <c r="IC197" s="127"/>
      <c r="ID197" s="127"/>
      <c r="IE197" s="127"/>
      <c r="IF197" s="127"/>
      <c r="IG197" s="127"/>
      <c r="IH197" s="127"/>
      <c r="II197" s="127"/>
      <c r="IJ197" s="127"/>
      <c r="IK197" s="127"/>
      <c r="LB197" s="127"/>
      <c r="LC197" s="127"/>
      <c r="LD197" s="127"/>
      <c r="LE197" s="127"/>
      <c r="LF197" s="127"/>
      <c r="LG197" s="127"/>
      <c r="LH197" s="127"/>
      <c r="LI197" s="127"/>
      <c r="LJ197" s="127"/>
      <c r="LK197" s="127"/>
      <c r="LL197" s="127"/>
      <c r="LM197" s="127"/>
      <c r="LN197" s="127"/>
      <c r="LO197" s="127"/>
      <c r="LP197" s="127"/>
      <c r="OG197" s="127"/>
      <c r="OH197" s="127"/>
      <c r="OI197" s="127"/>
      <c r="OJ197" s="127"/>
      <c r="OK197" s="127"/>
      <c r="OL197" s="127"/>
      <c r="OM197" s="127"/>
      <c r="ON197" s="127"/>
      <c r="OO197" s="127"/>
      <c r="OP197" s="127"/>
      <c r="OQ197" s="127"/>
      <c r="OR197" s="127"/>
      <c r="OS197" s="127"/>
      <c r="OT197" s="127"/>
      <c r="OU197" s="127"/>
    </row>
    <row r="198" spans="1:411">
      <c r="A198">
        <v>273</v>
      </c>
      <c r="B198">
        <v>278</v>
      </c>
      <c r="C198" t="s">
        <v>72</v>
      </c>
      <c r="D198" t="s">
        <v>77</v>
      </c>
      <c r="E198" s="232" t="s">
        <v>8157</v>
      </c>
      <c r="F198" t="s">
        <v>70</v>
      </c>
      <c r="G198">
        <v>1</v>
      </c>
      <c r="H198">
        <v>671.53099999999995</v>
      </c>
      <c r="I198">
        <v>670.40599999999995</v>
      </c>
      <c r="J198">
        <v>668.99599999999998</v>
      </c>
      <c r="K198">
        <v>666.38499999999999</v>
      </c>
      <c r="L198">
        <v>658.63</v>
      </c>
      <c r="M198" s="233" t="s">
        <v>530</v>
      </c>
      <c r="N198" s="233" t="s">
        <v>531</v>
      </c>
      <c r="O198" s="3" t="s">
        <v>699</v>
      </c>
      <c r="BM198" s="127"/>
      <c r="BN198" s="127"/>
      <c r="BO198" s="127"/>
      <c r="BP198" s="127"/>
      <c r="BQ198" s="127"/>
      <c r="BR198" s="127"/>
      <c r="BS198" s="127"/>
      <c r="BT198" s="127"/>
      <c r="BU198" s="127"/>
      <c r="BV198" s="127"/>
      <c r="BW198" s="127"/>
      <c r="BX198" s="127"/>
      <c r="BY198" s="127"/>
      <c r="BZ198" s="127"/>
      <c r="CA198" s="127"/>
      <c r="ER198" s="127"/>
      <c r="ES198" s="127"/>
      <c r="ET198" s="127"/>
      <c r="EU198" s="127"/>
      <c r="EV198" s="127"/>
      <c r="EW198" s="127"/>
      <c r="EX198" s="127"/>
      <c r="EY198" s="127"/>
      <c r="EZ198" s="127"/>
      <c r="FA198" s="127"/>
      <c r="FB198" s="127"/>
      <c r="FC198" s="127"/>
      <c r="FD198" s="127"/>
      <c r="FE198" s="127"/>
      <c r="FF198" s="127"/>
      <c r="HW198" s="127"/>
      <c r="HX198" s="127"/>
      <c r="HY198" s="127"/>
      <c r="HZ198" s="127"/>
      <c r="IA198" s="127"/>
      <c r="IB198" s="127"/>
      <c r="IC198" s="127"/>
      <c r="ID198" s="127"/>
      <c r="IE198" s="127"/>
      <c r="IF198" s="127"/>
      <c r="IG198" s="127"/>
      <c r="IH198" s="127"/>
      <c r="II198" s="127"/>
      <c r="IJ198" s="127"/>
      <c r="IK198" s="127"/>
      <c r="LB198" s="127"/>
      <c r="LC198" s="127"/>
      <c r="LD198" s="127"/>
      <c r="LE198" s="127"/>
      <c r="LF198" s="127"/>
      <c r="LG198" s="127"/>
      <c r="LH198" s="127"/>
      <c r="LI198" s="127"/>
      <c r="LJ198" s="127"/>
      <c r="LK198" s="127"/>
      <c r="LL198" s="127"/>
      <c r="LM198" s="127"/>
      <c r="LN198" s="127"/>
      <c r="LO198" s="127"/>
      <c r="LP198" s="127"/>
      <c r="OG198" s="127"/>
      <c r="OH198" s="127"/>
      <c r="OI198" s="127"/>
      <c r="OJ198" s="127"/>
      <c r="OK198" s="127"/>
      <c r="OL198" s="127"/>
      <c r="OM198" s="127"/>
      <c r="ON198" s="127"/>
      <c r="OO198" s="127"/>
      <c r="OP198" s="127"/>
      <c r="OQ198" s="127"/>
      <c r="OR198" s="127"/>
      <c r="OS198" s="127"/>
      <c r="OT198" s="127"/>
      <c r="OU198" s="127"/>
    </row>
    <row r="199" spans="1:411">
      <c r="A199">
        <v>273</v>
      </c>
      <c r="B199">
        <v>290</v>
      </c>
      <c r="C199" t="s">
        <v>72</v>
      </c>
      <c r="D199" t="s">
        <v>77</v>
      </c>
      <c r="E199" s="232" t="s">
        <v>8587</v>
      </c>
      <c r="F199" t="s">
        <v>70</v>
      </c>
      <c r="G199">
        <v>1</v>
      </c>
      <c r="H199">
        <v>657.80799999999999</v>
      </c>
      <c r="I199">
        <v>656.72500000000002</v>
      </c>
      <c r="J199">
        <v>655.95100000000002</v>
      </c>
      <c r="K199">
        <v>654.80799999999999</v>
      </c>
      <c r="L199">
        <v>653.04700000000003</v>
      </c>
      <c r="M199" s="233" t="s">
        <v>530</v>
      </c>
      <c r="N199" s="233" t="s">
        <v>531</v>
      </c>
      <c r="O199" s="3" t="s">
        <v>700</v>
      </c>
      <c r="BM199" s="127"/>
      <c r="BN199" s="127"/>
      <c r="BO199" s="127"/>
      <c r="BP199" s="127"/>
      <c r="BQ199" s="127"/>
      <c r="BR199" s="127"/>
      <c r="BS199" s="127"/>
      <c r="BT199" s="127"/>
      <c r="BU199" s="127"/>
      <c r="BV199" s="127"/>
      <c r="BW199" s="127"/>
      <c r="BX199" s="127"/>
      <c r="BY199" s="127"/>
      <c r="BZ199" s="127"/>
      <c r="CA199" s="127"/>
      <c r="ER199" s="127"/>
      <c r="ES199" s="127"/>
      <c r="ET199" s="127"/>
      <c r="EU199" s="127"/>
      <c r="EV199" s="127"/>
      <c r="EW199" s="127"/>
      <c r="EX199" s="127"/>
      <c r="EY199" s="127"/>
      <c r="EZ199" s="127"/>
      <c r="FA199" s="127"/>
      <c r="FB199" s="127"/>
      <c r="FC199" s="127"/>
      <c r="FD199" s="127"/>
      <c r="FE199" s="127"/>
      <c r="FF199" s="127"/>
      <c r="HW199" s="127"/>
      <c r="HX199" s="127"/>
      <c r="HY199" s="127"/>
      <c r="HZ199" s="127"/>
      <c r="IA199" s="127"/>
      <c r="IB199" s="127"/>
      <c r="IC199" s="127"/>
      <c r="ID199" s="127"/>
      <c r="IE199" s="127"/>
      <c r="IF199" s="127"/>
      <c r="IG199" s="127"/>
      <c r="IH199" s="127"/>
      <c r="II199" s="127"/>
      <c r="IJ199" s="127"/>
      <c r="IK199" s="127"/>
      <c r="LB199" s="127"/>
      <c r="LC199" s="127"/>
      <c r="LD199" s="127"/>
      <c r="LE199" s="127"/>
      <c r="LF199" s="127"/>
      <c r="LG199" s="127"/>
      <c r="LH199" s="127"/>
      <c r="LI199" s="127"/>
      <c r="LJ199" s="127"/>
      <c r="LK199" s="127"/>
      <c r="LL199" s="127"/>
      <c r="LM199" s="127"/>
      <c r="LN199" s="127"/>
      <c r="LO199" s="127"/>
      <c r="LP199" s="127"/>
      <c r="OG199" s="127"/>
      <c r="OH199" s="127"/>
      <c r="OI199" s="127"/>
      <c r="OJ199" s="127"/>
      <c r="OK199" s="127"/>
      <c r="OL199" s="127"/>
      <c r="OM199" s="127"/>
      <c r="ON199" s="127"/>
      <c r="OO199" s="127"/>
      <c r="OP199" s="127"/>
      <c r="OQ199" s="127"/>
      <c r="OR199" s="127"/>
      <c r="OS199" s="127"/>
      <c r="OT199" s="127"/>
      <c r="OU199" s="127"/>
    </row>
    <row r="200" spans="1:411">
      <c r="A200">
        <v>279</v>
      </c>
      <c r="B200">
        <v>288</v>
      </c>
      <c r="C200" t="s">
        <v>72</v>
      </c>
      <c r="D200" t="s">
        <v>77</v>
      </c>
      <c r="E200" s="232" t="s">
        <v>8872</v>
      </c>
      <c r="F200" t="s">
        <v>70</v>
      </c>
      <c r="G200">
        <v>1</v>
      </c>
      <c r="H200">
        <v>508.154</v>
      </c>
      <c r="I200">
        <v>507.62400000000002</v>
      </c>
      <c r="J200">
        <v>506.75799999999998</v>
      </c>
      <c r="K200">
        <v>506.27499999999998</v>
      </c>
      <c r="L200">
        <v>505.75700000000001</v>
      </c>
      <c r="M200" s="233" t="s">
        <v>530</v>
      </c>
      <c r="N200" s="233" t="s">
        <v>531</v>
      </c>
      <c r="O200" s="3" t="s">
        <v>701</v>
      </c>
      <c r="BM200" s="127"/>
      <c r="BN200" s="127"/>
      <c r="BO200" s="127"/>
      <c r="BP200" s="127"/>
      <c r="BQ200" s="127"/>
      <c r="BR200" s="127"/>
      <c r="BS200" s="127"/>
      <c r="BT200" s="127"/>
      <c r="BU200" s="127"/>
      <c r="BV200" s="127"/>
      <c r="BW200" s="127"/>
      <c r="BX200" s="127"/>
      <c r="BY200" s="127"/>
      <c r="BZ200" s="127"/>
      <c r="CA200" s="127"/>
      <c r="ER200" s="127"/>
      <c r="ES200" s="127"/>
      <c r="ET200" s="127"/>
      <c r="EU200" s="127"/>
      <c r="EV200" s="127"/>
      <c r="EW200" s="127"/>
      <c r="EX200" s="127"/>
      <c r="EY200" s="127"/>
      <c r="EZ200" s="127"/>
      <c r="FA200" s="127"/>
      <c r="FB200" s="127"/>
      <c r="FC200" s="127"/>
      <c r="FD200" s="127"/>
      <c r="FE200" s="127"/>
      <c r="FF200" s="127"/>
      <c r="HW200" s="127"/>
      <c r="HX200" s="127"/>
      <c r="HY200" s="127"/>
      <c r="HZ200" s="127"/>
      <c r="IA200" s="127"/>
      <c r="IB200" s="127"/>
      <c r="IC200" s="127"/>
      <c r="ID200" s="127"/>
      <c r="IE200" s="127"/>
      <c r="IF200" s="127"/>
      <c r="IG200" s="127"/>
      <c r="IH200" s="127"/>
      <c r="II200" s="127"/>
      <c r="IJ200" s="127"/>
      <c r="IK200" s="127"/>
      <c r="LB200" s="127"/>
      <c r="LC200" s="127"/>
      <c r="LD200" s="127"/>
      <c r="LE200" s="127"/>
      <c r="LF200" s="127"/>
      <c r="LG200" s="127"/>
      <c r="LH200" s="127"/>
      <c r="LI200" s="127"/>
      <c r="LJ200" s="127"/>
      <c r="LK200" s="127"/>
      <c r="LL200" s="127"/>
      <c r="LM200" s="127"/>
      <c r="LN200" s="127"/>
      <c r="LO200" s="127"/>
      <c r="LP200" s="127"/>
      <c r="OG200" s="127"/>
      <c r="OH200" s="127"/>
      <c r="OI200" s="127"/>
      <c r="OJ200" s="127"/>
      <c r="OK200" s="127"/>
      <c r="OL200" s="127"/>
      <c r="OM200" s="127"/>
      <c r="ON200" s="127"/>
      <c r="OO200" s="127"/>
      <c r="OP200" s="127"/>
      <c r="OQ200" s="127"/>
      <c r="OR200" s="127"/>
      <c r="OS200" s="127"/>
      <c r="OT200" s="127"/>
      <c r="OU200" s="127"/>
    </row>
    <row r="201" spans="1:411">
      <c r="A201">
        <v>273</v>
      </c>
      <c r="B201">
        <v>286</v>
      </c>
      <c r="C201" t="s">
        <v>72</v>
      </c>
      <c r="D201" t="s">
        <v>77</v>
      </c>
      <c r="E201" s="232" t="s">
        <v>565</v>
      </c>
      <c r="F201" t="s">
        <v>70</v>
      </c>
      <c r="G201">
        <v>1</v>
      </c>
      <c r="H201">
        <v>652.47699999999998</v>
      </c>
      <c r="I201">
        <v>651.68499999999995</v>
      </c>
      <c r="J201">
        <v>650.79899999999998</v>
      </c>
      <c r="K201">
        <v>650.149</v>
      </c>
      <c r="L201">
        <v>649.81399999999996</v>
      </c>
      <c r="M201" s="233" t="s">
        <v>530</v>
      </c>
      <c r="N201" s="233" t="s">
        <v>531</v>
      </c>
      <c r="O201" s="3" t="s">
        <v>702</v>
      </c>
      <c r="BM201" s="127"/>
      <c r="BN201" s="127"/>
      <c r="BO201" s="127"/>
      <c r="BP201" s="127"/>
      <c r="BQ201" s="127"/>
      <c r="BR201" s="127"/>
      <c r="BS201" s="127"/>
      <c r="BT201" s="127"/>
      <c r="BU201" s="127"/>
      <c r="BV201" s="127"/>
      <c r="BW201" s="127"/>
      <c r="BX201" s="127"/>
      <c r="BY201" s="127"/>
      <c r="BZ201" s="127"/>
      <c r="CA201" s="127"/>
      <c r="ER201" s="127"/>
      <c r="ES201" s="127"/>
      <c r="ET201" s="127"/>
      <c r="EU201" s="127"/>
      <c r="EV201" s="127"/>
      <c r="EW201" s="127"/>
      <c r="EX201" s="127"/>
      <c r="EY201" s="127"/>
      <c r="EZ201" s="127"/>
      <c r="FA201" s="127"/>
      <c r="FB201" s="127"/>
      <c r="FC201" s="127"/>
      <c r="FD201" s="127"/>
      <c r="FE201" s="127"/>
      <c r="FF201" s="127"/>
      <c r="HW201" s="127"/>
      <c r="HX201" s="127"/>
      <c r="HY201" s="127"/>
      <c r="HZ201" s="127"/>
      <c r="IA201" s="127"/>
      <c r="IB201" s="127"/>
      <c r="IC201" s="127"/>
      <c r="ID201" s="127"/>
      <c r="IE201" s="127"/>
      <c r="IF201" s="127"/>
      <c r="IG201" s="127"/>
      <c r="IH201" s="127"/>
      <c r="II201" s="127"/>
      <c r="IJ201" s="127"/>
      <c r="IK201" s="127"/>
      <c r="LB201" s="127"/>
      <c r="LC201" s="127"/>
      <c r="LD201" s="127"/>
      <c r="LE201" s="127"/>
      <c r="LF201" s="127"/>
      <c r="LG201" s="127"/>
      <c r="LH201" s="127"/>
      <c r="LI201" s="127"/>
      <c r="LJ201" s="127"/>
      <c r="LK201" s="127"/>
      <c r="LL201" s="127"/>
      <c r="LM201" s="127"/>
      <c r="LN201" s="127"/>
      <c r="LO201" s="127"/>
      <c r="LP201" s="127"/>
      <c r="OG201" s="127"/>
      <c r="OH201" s="127"/>
      <c r="OI201" s="127"/>
      <c r="OJ201" s="127"/>
      <c r="OK201" s="127"/>
      <c r="OL201" s="127"/>
      <c r="OM201" s="127"/>
      <c r="ON201" s="127"/>
      <c r="OO201" s="127"/>
      <c r="OP201" s="127"/>
      <c r="OQ201" s="127"/>
      <c r="OR201" s="127"/>
      <c r="OS201" s="127"/>
      <c r="OT201" s="127"/>
      <c r="OU201" s="127"/>
    </row>
    <row r="202" spans="1:411">
      <c r="A202">
        <v>276</v>
      </c>
      <c r="B202">
        <v>293</v>
      </c>
      <c r="C202" t="s">
        <v>72</v>
      </c>
      <c r="D202" t="s">
        <v>77</v>
      </c>
      <c r="E202" s="232" t="s">
        <v>8571</v>
      </c>
      <c r="F202" t="s">
        <v>71</v>
      </c>
      <c r="G202">
        <v>1</v>
      </c>
      <c r="H202">
        <v>658.20600000000002</v>
      </c>
      <c r="I202">
        <v>656.11599999999999</v>
      </c>
      <c r="J202">
        <v>653.47500000000002</v>
      </c>
      <c r="K202">
        <v>650.64499999999998</v>
      </c>
      <c r="L202">
        <v>649.13800000000003</v>
      </c>
      <c r="M202" s="233" t="s">
        <v>530</v>
      </c>
      <c r="N202" s="233" t="s">
        <v>531</v>
      </c>
      <c r="O202" s="3" t="s">
        <v>703</v>
      </c>
      <c r="BM202" s="127"/>
      <c r="BN202" s="127"/>
      <c r="BO202" s="127"/>
      <c r="BP202" s="127"/>
      <c r="BQ202" s="127"/>
      <c r="BR202" s="127"/>
      <c r="BS202" s="127"/>
      <c r="BT202" s="127"/>
      <c r="BU202" s="127"/>
      <c r="BV202" s="127"/>
      <c r="BW202" s="127"/>
      <c r="BX202" s="127"/>
      <c r="BY202" s="127"/>
      <c r="BZ202" s="127"/>
      <c r="CA202" s="127"/>
      <c r="ER202" s="127"/>
      <c r="ES202" s="127"/>
      <c r="ET202" s="127"/>
      <c r="EU202" s="127"/>
      <c r="EV202" s="127"/>
      <c r="EW202" s="127"/>
      <c r="EX202" s="127"/>
      <c r="EY202" s="127"/>
      <c r="EZ202" s="127"/>
      <c r="FA202" s="127"/>
      <c r="FB202" s="127"/>
      <c r="FC202" s="127"/>
      <c r="FD202" s="127"/>
      <c r="FE202" s="127"/>
      <c r="FF202" s="127"/>
      <c r="HW202" s="127"/>
      <c r="HX202" s="127"/>
      <c r="HY202" s="127"/>
      <c r="HZ202" s="127"/>
      <c r="IA202" s="127"/>
      <c r="IB202" s="127"/>
      <c r="IC202" s="127"/>
      <c r="ID202" s="127"/>
      <c r="IE202" s="127"/>
      <c r="IF202" s="127"/>
      <c r="IG202" s="127"/>
      <c r="IH202" s="127"/>
      <c r="II202" s="127"/>
      <c r="IJ202" s="127"/>
      <c r="IK202" s="127"/>
      <c r="LB202" s="127"/>
      <c r="LC202" s="127"/>
      <c r="LD202" s="127"/>
      <c r="LE202" s="127"/>
      <c r="LF202" s="127"/>
      <c r="LG202" s="127"/>
      <c r="LH202" s="127"/>
      <c r="LI202" s="127"/>
      <c r="LJ202" s="127"/>
      <c r="LK202" s="127"/>
      <c r="LL202" s="127"/>
      <c r="LM202" s="127"/>
      <c r="LN202" s="127"/>
      <c r="LO202" s="127"/>
      <c r="LP202" s="127"/>
      <c r="OG202" s="127"/>
      <c r="OH202" s="127"/>
      <c r="OI202" s="127"/>
      <c r="OJ202" s="127"/>
      <c r="OK202" s="127"/>
      <c r="OL202" s="127"/>
      <c r="OM202" s="127"/>
      <c r="ON202" s="127"/>
      <c r="OO202" s="127"/>
      <c r="OP202" s="127"/>
      <c r="OQ202" s="127"/>
      <c r="OR202" s="127"/>
      <c r="OS202" s="127"/>
      <c r="OT202" s="127"/>
      <c r="OU202" s="127"/>
    </row>
    <row r="203" spans="1:411">
      <c r="A203">
        <v>276</v>
      </c>
      <c r="B203">
        <v>298</v>
      </c>
      <c r="C203" t="s">
        <v>72</v>
      </c>
      <c r="D203" t="s">
        <v>77</v>
      </c>
      <c r="E203" s="232" t="s">
        <v>8886</v>
      </c>
      <c r="F203" t="s">
        <v>71</v>
      </c>
      <c r="G203">
        <v>1</v>
      </c>
      <c r="H203">
        <v>652.428</v>
      </c>
      <c r="I203">
        <v>651.59400000000005</v>
      </c>
      <c r="J203">
        <v>650.64499999999998</v>
      </c>
      <c r="K203">
        <v>647.35</v>
      </c>
      <c r="L203">
        <v>645.40499999999997</v>
      </c>
      <c r="M203" s="233" t="s">
        <v>530</v>
      </c>
      <c r="N203" s="233" t="s">
        <v>531</v>
      </c>
      <c r="O203" s="3" t="s">
        <v>704</v>
      </c>
      <c r="BM203" s="127"/>
      <c r="BN203" s="127"/>
      <c r="BO203" s="127"/>
      <c r="BP203" s="127"/>
      <c r="BQ203" s="127"/>
      <c r="BR203" s="127"/>
      <c r="BS203" s="127"/>
      <c r="BT203" s="127"/>
      <c r="BU203" s="127"/>
      <c r="BV203" s="127"/>
      <c r="BW203" s="127"/>
      <c r="BX203" s="127"/>
      <c r="BY203" s="127"/>
      <c r="BZ203" s="127"/>
      <c r="CA203" s="127"/>
      <c r="ER203" s="127"/>
      <c r="ES203" s="127"/>
      <c r="ET203" s="127"/>
      <c r="EU203" s="127"/>
      <c r="EV203" s="127"/>
      <c r="EW203" s="127"/>
      <c r="EX203" s="127"/>
      <c r="EY203" s="127"/>
      <c r="EZ203" s="127"/>
      <c r="FA203" s="127"/>
      <c r="FB203" s="127"/>
      <c r="FC203" s="127"/>
      <c r="FD203" s="127"/>
      <c r="FE203" s="127"/>
      <c r="FF203" s="127"/>
      <c r="HW203" s="127"/>
      <c r="HX203" s="127"/>
      <c r="HY203" s="127"/>
      <c r="HZ203" s="127"/>
      <c r="IA203" s="127"/>
      <c r="IB203" s="127"/>
      <c r="IC203" s="127"/>
      <c r="ID203" s="127"/>
      <c r="IE203" s="127"/>
      <c r="IF203" s="127"/>
      <c r="IG203" s="127"/>
      <c r="IH203" s="127"/>
      <c r="II203" s="127"/>
      <c r="IJ203" s="127"/>
      <c r="IK203" s="127"/>
      <c r="LB203" s="127"/>
      <c r="LC203" s="127"/>
      <c r="LD203" s="127"/>
      <c r="LE203" s="127"/>
      <c r="LF203" s="127"/>
      <c r="LG203" s="127"/>
      <c r="LH203" s="127"/>
      <c r="LI203" s="127"/>
      <c r="LJ203" s="127"/>
      <c r="LK203" s="127"/>
      <c r="LL203" s="127"/>
      <c r="LM203" s="127"/>
      <c r="LN203" s="127"/>
      <c r="LO203" s="127"/>
      <c r="LP203" s="127"/>
      <c r="OG203" s="127"/>
      <c r="OH203" s="127"/>
      <c r="OI203" s="127"/>
      <c r="OJ203" s="127"/>
      <c r="OK203" s="127"/>
      <c r="OL203" s="127"/>
      <c r="OM203" s="127"/>
      <c r="ON203" s="127"/>
      <c r="OO203" s="127"/>
      <c r="OP203" s="127"/>
      <c r="OQ203" s="127"/>
      <c r="OR203" s="127"/>
      <c r="OS203" s="127"/>
      <c r="OT203" s="127"/>
      <c r="OU203" s="127"/>
    </row>
    <row r="204" spans="1:411">
      <c r="A204">
        <v>276</v>
      </c>
      <c r="B204">
        <v>276</v>
      </c>
      <c r="C204" t="s">
        <v>72</v>
      </c>
      <c r="D204" t="s">
        <v>77</v>
      </c>
      <c r="E204" s="232" t="s">
        <v>9297</v>
      </c>
      <c r="F204" t="s">
        <v>71</v>
      </c>
      <c r="G204">
        <v>1</v>
      </c>
      <c r="H204">
        <v>652.01499999999999</v>
      </c>
      <c r="I204">
        <v>650.65099999999995</v>
      </c>
      <c r="J204">
        <v>649.81700000000001</v>
      </c>
      <c r="K204">
        <v>649.13800000000003</v>
      </c>
      <c r="L204">
        <v>647.62800000000004</v>
      </c>
      <c r="M204" s="233" t="s">
        <v>530</v>
      </c>
      <c r="N204" s="233" t="s">
        <v>531</v>
      </c>
      <c r="O204" s="3" t="s">
        <v>705</v>
      </c>
      <c r="BM204" s="127"/>
      <c r="BN204" s="127"/>
      <c r="BO204" s="127"/>
      <c r="BP204" s="127"/>
      <c r="BQ204" s="127"/>
      <c r="BR204" s="127"/>
      <c r="BS204" s="127"/>
      <c r="BT204" s="127"/>
      <c r="BU204" s="127"/>
      <c r="BV204" s="127"/>
      <c r="BW204" s="127"/>
      <c r="BX204" s="127"/>
      <c r="BY204" s="127"/>
      <c r="BZ204" s="127"/>
      <c r="CA204" s="127"/>
      <c r="ER204" s="127"/>
      <c r="ES204" s="127"/>
      <c r="ET204" s="127"/>
      <c r="EU204" s="127"/>
      <c r="EV204" s="127"/>
      <c r="EW204" s="127"/>
      <c r="EX204" s="127"/>
      <c r="EY204" s="127"/>
      <c r="EZ204" s="127"/>
      <c r="FA204" s="127"/>
      <c r="FB204" s="127"/>
      <c r="FC204" s="127"/>
      <c r="FD204" s="127"/>
      <c r="FE204" s="127"/>
      <c r="FF204" s="127"/>
      <c r="HW204" s="127"/>
      <c r="HX204" s="127"/>
      <c r="HY204" s="127"/>
      <c r="HZ204" s="127"/>
      <c r="IA204" s="127"/>
      <c r="IB204" s="127"/>
      <c r="IC204" s="127"/>
      <c r="ID204" s="127"/>
      <c r="IE204" s="127"/>
      <c r="IF204" s="127"/>
      <c r="IG204" s="127"/>
      <c r="IH204" s="127"/>
      <c r="II204" s="127"/>
      <c r="IJ204" s="127"/>
      <c r="IK204" s="127"/>
      <c r="LB204" s="127"/>
      <c r="LC204" s="127"/>
      <c r="LD204" s="127"/>
      <c r="LE204" s="127"/>
      <c r="LF204" s="127"/>
      <c r="LG204" s="127"/>
      <c r="LH204" s="127"/>
      <c r="LI204" s="127"/>
      <c r="LJ204" s="127"/>
      <c r="LK204" s="127"/>
      <c r="LL204" s="127"/>
      <c r="LM204" s="127"/>
      <c r="LN204" s="127"/>
      <c r="LO204" s="127"/>
      <c r="LP204" s="127"/>
      <c r="OG204" s="127"/>
      <c r="OH204" s="127"/>
      <c r="OI204" s="127"/>
      <c r="OJ204" s="127"/>
      <c r="OK204" s="127"/>
      <c r="OL204" s="127"/>
      <c r="OM204" s="127"/>
      <c r="ON204" s="127"/>
      <c r="OO204" s="127"/>
      <c r="OP204" s="127"/>
      <c r="OQ204" s="127"/>
      <c r="OR204" s="127"/>
      <c r="OS204" s="127"/>
      <c r="OT204" s="127"/>
      <c r="OU204" s="127"/>
    </row>
    <row r="205" spans="1:411">
      <c r="A205">
        <v>276</v>
      </c>
      <c r="B205">
        <v>295</v>
      </c>
      <c r="C205" t="s">
        <v>72</v>
      </c>
      <c r="D205" t="s">
        <v>77</v>
      </c>
      <c r="E205" s="232" t="s">
        <v>483</v>
      </c>
      <c r="F205" t="s">
        <v>71</v>
      </c>
      <c r="G205">
        <v>1</v>
      </c>
      <c r="H205">
        <v>651.24400000000003</v>
      </c>
      <c r="I205">
        <v>650.04899999999998</v>
      </c>
      <c r="J205">
        <v>649.17700000000002</v>
      </c>
      <c r="K205">
        <v>647.86</v>
      </c>
      <c r="L205">
        <v>646.43399999999997</v>
      </c>
      <c r="M205" s="233" t="s">
        <v>530</v>
      </c>
      <c r="N205" s="233" t="s">
        <v>531</v>
      </c>
      <c r="O205" s="3" t="s">
        <v>706</v>
      </c>
      <c r="BM205" s="127"/>
      <c r="BN205" s="127"/>
      <c r="BO205" s="127"/>
      <c r="BP205" s="127"/>
      <c r="BQ205" s="127"/>
      <c r="BR205" s="127"/>
      <c r="BS205" s="127"/>
      <c r="BT205" s="127"/>
      <c r="BU205" s="127"/>
      <c r="BV205" s="127"/>
      <c r="BW205" s="127"/>
      <c r="BX205" s="127"/>
      <c r="BY205" s="127"/>
      <c r="BZ205" s="127"/>
      <c r="CA205" s="127"/>
      <c r="ER205" s="127"/>
      <c r="ES205" s="127"/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127"/>
      <c r="HW205" s="127"/>
      <c r="HX205" s="127"/>
      <c r="HY205" s="127"/>
      <c r="HZ205" s="127"/>
      <c r="IA205" s="127"/>
      <c r="IB205" s="127"/>
      <c r="IC205" s="127"/>
      <c r="ID205" s="127"/>
      <c r="IE205" s="127"/>
      <c r="IF205" s="127"/>
      <c r="IG205" s="127"/>
      <c r="IH205" s="127"/>
      <c r="II205" s="127"/>
      <c r="IJ205" s="127"/>
      <c r="IK205" s="127"/>
      <c r="LB205" s="127"/>
      <c r="LC205" s="127"/>
      <c r="LD205" s="127"/>
      <c r="LE205" s="127"/>
      <c r="LF205" s="127"/>
      <c r="LG205" s="127"/>
      <c r="LH205" s="127"/>
      <c r="LI205" s="127"/>
      <c r="LJ205" s="127"/>
      <c r="LK205" s="127"/>
      <c r="LL205" s="127"/>
      <c r="LM205" s="127"/>
      <c r="LN205" s="127"/>
      <c r="LO205" s="127"/>
      <c r="LP205" s="127"/>
      <c r="OG205" s="127"/>
      <c r="OH205" s="127"/>
      <c r="OI205" s="127"/>
      <c r="OJ205" s="127"/>
      <c r="OK205" s="127"/>
      <c r="OL205" s="127"/>
      <c r="OM205" s="127"/>
      <c r="ON205" s="127"/>
      <c r="OO205" s="127"/>
      <c r="OP205" s="127"/>
      <c r="OQ205" s="127"/>
      <c r="OR205" s="127"/>
      <c r="OS205" s="127"/>
      <c r="OT205" s="127"/>
      <c r="OU205" s="127"/>
    </row>
    <row r="206" spans="1:411">
      <c r="A206">
        <v>26</v>
      </c>
      <c r="B206">
        <v>320</v>
      </c>
      <c r="C206" t="s">
        <v>72</v>
      </c>
      <c r="D206" t="s">
        <v>80</v>
      </c>
      <c r="E206" s="232" t="s">
        <v>8011</v>
      </c>
      <c r="F206" t="s">
        <v>70</v>
      </c>
      <c r="G206">
        <v>1</v>
      </c>
      <c r="H206">
        <v>851.86599999999999</v>
      </c>
      <c r="I206">
        <v>851.01</v>
      </c>
      <c r="J206">
        <v>850.20899999999995</v>
      </c>
      <c r="K206">
        <v>848.94100000000003</v>
      </c>
      <c r="L206">
        <v>847.72699999999998</v>
      </c>
      <c r="M206" s="233" t="s">
        <v>532</v>
      </c>
      <c r="N206" s="233" t="s">
        <v>533</v>
      </c>
      <c r="O206" s="3" t="s">
        <v>707</v>
      </c>
      <c r="BM206" s="127"/>
      <c r="BN206" s="127"/>
      <c r="BO206" s="127"/>
      <c r="BP206" s="127"/>
      <c r="BQ206" s="127"/>
      <c r="BR206" s="127"/>
      <c r="BS206" s="127"/>
      <c r="BT206" s="127"/>
      <c r="BU206" s="127"/>
      <c r="BV206" s="127"/>
      <c r="BW206" s="127"/>
      <c r="BX206" s="127"/>
      <c r="BY206" s="127"/>
      <c r="BZ206" s="127"/>
      <c r="CA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127"/>
      <c r="HW206" s="127"/>
      <c r="HX206" s="127"/>
      <c r="HY206" s="127"/>
      <c r="HZ206" s="127"/>
      <c r="IA206" s="127"/>
      <c r="IB206" s="127"/>
      <c r="IC206" s="127"/>
      <c r="ID206" s="127"/>
      <c r="IE206" s="127"/>
      <c r="IF206" s="127"/>
      <c r="IG206" s="127"/>
      <c r="IH206" s="127"/>
      <c r="II206" s="127"/>
      <c r="IJ206" s="127"/>
      <c r="IK206" s="127"/>
      <c r="LB206" s="127"/>
      <c r="LC206" s="127"/>
      <c r="LD206" s="127"/>
      <c r="LE206" s="127"/>
      <c r="LF206" s="127"/>
      <c r="LG206" s="127"/>
      <c r="LH206" s="127"/>
      <c r="LI206" s="127"/>
      <c r="LJ206" s="127"/>
      <c r="LK206" s="127"/>
      <c r="LL206" s="127"/>
      <c r="LM206" s="127"/>
      <c r="LN206" s="127"/>
      <c r="LO206" s="127"/>
      <c r="LP206" s="127"/>
      <c r="OG206" s="127"/>
      <c r="OH206" s="127"/>
      <c r="OI206" s="127"/>
      <c r="OJ206" s="127"/>
      <c r="OK206" s="127"/>
      <c r="OL206" s="127"/>
      <c r="OM206" s="127"/>
      <c r="ON206" s="127"/>
      <c r="OO206" s="127"/>
      <c r="OP206" s="127"/>
      <c r="OQ206" s="127"/>
      <c r="OR206" s="127"/>
      <c r="OS206" s="127"/>
      <c r="OT206" s="127"/>
      <c r="OU206" s="127"/>
    </row>
    <row r="207" spans="1:411">
      <c r="A207">
        <v>26</v>
      </c>
      <c r="B207">
        <v>318</v>
      </c>
      <c r="C207" t="s">
        <v>72</v>
      </c>
      <c r="D207" t="s">
        <v>80</v>
      </c>
      <c r="E207" s="232" t="s">
        <v>8168</v>
      </c>
      <c r="F207" t="s">
        <v>70</v>
      </c>
      <c r="G207">
        <v>1</v>
      </c>
      <c r="H207">
        <v>851.86599999999999</v>
      </c>
      <c r="I207">
        <v>851.01</v>
      </c>
      <c r="J207">
        <v>849.47799999999995</v>
      </c>
      <c r="K207">
        <v>847.28</v>
      </c>
      <c r="L207">
        <v>846.21600000000001</v>
      </c>
      <c r="M207" s="233" t="s">
        <v>532</v>
      </c>
      <c r="N207" s="233" t="s">
        <v>533</v>
      </c>
      <c r="O207" s="3" t="s">
        <v>708</v>
      </c>
      <c r="BM207" s="127"/>
      <c r="BN207" s="127"/>
      <c r="BO207" s="127"/>
      <c r="BP207" s="127"/>
      <c r="BQ207" s="127"/>
      <c r="BR207" s="127"/>
      <c r="BS207" s="127"/>
      <c r="BT207" s="127"/>
      <c r="BU207" s="127"/>
      <c r="BV207" s="127"/>
      <c r="BW207" s="127"/>
      <c r="BX207" s="127"/>
      <c r="BY207" s="127"/>
      <c r="BZ207" s="127"/>
      <c r="CA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127"/>
      <c r="HW207" s="127"/>
      <c r="HX207" s="127"/>
      <c r="HY207" s="127"/>
      <c r="HZ207" s="127"/>
      <c r="IA207" s="127"/>
      <c r="IB207" s="127"/>
      <c r="IC207" s="127"/>
      <c r="ID207" s="127"/>
      <c r="IE207" s="127"/>
      <c r="IF207" s="127"/>
      <c r="IG207" s="127"/>
      <c r="IH207" s="127"/>
      <c r="II207" s="127"/>
      <c r="IJ207" s="127"/>
      <c r="IK207" s="127"/>
      <c r="LB207" s="127"/>
      <c r="LC207" s="127"/>
      <c r="LD207" s="127"/>
      <c r="LE207" s="127"/>
      <c r="LF207" s="127"/>
      <c r="LG207" s="127"/>
      <c r="LH207" s="127"/>
      <c r="LI207" s="127"/>
      <c r="LJ207" s="127"/>
      <c r="LK207" s="127"/>
      <c r="LL207" s="127"/>
      <c r="LM207" s="127"/>
      <c r="LN207" s="127"/>
      <c r="LO207" s="127"/>
      <c r="LP207" s="127"/>
      <c r="OG207" s="127"/>
      <c r="OH207" s="127"/>
      <c r="OI207" s="127"/>
      <c r="OJ207" s="127"/>
      <c r="OK207" s="127"/>
      <c r="OL207" s="127"/>
      <c r="OM207" s="127"/>
      <c r="ON207" s="127"/>
      <c r="OO207" s="127"/>
      <c r="OP207" s="127"/>
      <c r="OQ207" s="127"/>
      <c r="OR207" s="127"/>
      <c r="OS207" s="127"/>
      <c r="OT207" s="127"/>
      <c r="OU207" s="127"/>
    </row>
    <row r="208" spans="1:411">
      <c r="A208">
        <v>26</v>
      </c>
      <c r="B208">
        <v>319</v>
      </c>
      <c r="C208" t="s">
        <v>72</v>
      </c>
      <c r="D208" t="s">
        <v>80</v>
      </c>
      <c r="E208" s="232" t="s">
        <v>8448</v>
      </c>
      <c r="F208" t="s">
        <v>70</v>
      </c>
      <c r="G208">
        <v>1</v>
      </c>
      <c r="H208">
        <v>851.01</v>
      </c>
      <c r="I208">
        <v>849.79700000000003</v>
      </c>
      <c r="J208">
        <v>848.71900000000005</v>
      </c>
      <c r="K208">
        <v>847.43600000000004</v>
      </c>
      <c r="L208">
        <v>845.55600000000004</v>
      </c>
      <c r="M208" s="233" t="s">
        <v>532</v>
      </c>
      <c r="N208" s="233" t="s">
        <v>533</v>
      </c>
      <c r="O208" s="3" t="s">
        <v>709</v>
      </c>
      <c r="BM208" s="127"/>
      <c r="BN208" s="127"/>
      <c r="BO208" s="127"/>
      <c r="BP208" s="127"/>
      <c r="BQ208" s="127"/>
      <c r="BR208" s="127"/>
      <c r="BS208" s="127"/>
      <c r="BT208" s="127"/>
      <c r="BU208" s="127"/>
      <c r="BV208" s="127"/>
      <c r="BW208" s="127"/>
      <c r="BX208" s="127"/>
      <c r="BY208" s="127"/>
      <c r="BZ208" s="127"/>
      <c r="CA208" s="127"/>
      <c r="ER208" s="127"/>
      <c r="ES208" s="127"/>
      <c r="ET208" s="127"/>
      <c r="EU208" s="127"/>
      <c r="EV208" s="127"/>
      <c r="EW208" s="127"/>
      <c r="EX208" s="127"/>
      <c r="EY208" s="127"/>
      <c r="EZ208" s="127"/>
      <c r="FA208" s="127"/>
      <c r="FB208" s="127"/>
      <c r="FC208" s="127"/>
      <c r="FD208" s="127"/>
      <c r="FE208" s="127"/>
      <c r="FF208" s="127"/>
      <c r="HW208" s="127"/>
      <c r="HX208" s="127"/>
      <c r="HY208" s="127"/>
      <c r="HZ208" s="127"/>
      <c r="IA208" s="127"/>
      <c r="IB208" s="127"/>
      <c r="IC208" s="127"/>
      <c r="ID208" s="127"/>
      <c r="IE208" s="127"/>
      <c r="IF208" s="127"/>
      <c r="IG208" s="127"/>
      <c r="IH208" s="127"/>
      <c r="II208" s="127"/>
      <c r="IJ208" s="127"/>
      <c r="IK208" s="127"/>
      <c r="LB208" s="127"/>
      <c r="LC208" s="127"/>
      <c r="LD208" s="127"/>
      <c r="LE208" s="127"/>
      <c r="LF208" s="127"/>
      <c r="LG208" s="127"/>
      <c r="LH208" s="127"/>
      <c r="LI208" s="127"/>
      <c r="LJ208" s="127"/>
      <c r="LK208" s="127"/>
      <c r="LL208" s="127"/>
      <c r="LM208" s="127"/>
      <c r="LN208" s="127"/>
      <c r="LO208" s="127"/>
      <c r="LP208" s="127"/>
      <c r="OG208" s="127"/>
      <c r="OH208" s="127"/>
      <c r="OI208" s="127"/>
      <c r="OJ208" s="127"/>
      <c r="OK208" s="127"/>
      <c r="OL208" s="127"/>
      <c r="OM208" s="127"/>
      <c r="ON208" s="127"/>
      <c r="OO208" s="127"/>
      <c r="OP208" s="127"/>
      <c r="OQ208" s="127"/>
      <c r="OR208" s="127"/>
      <c r="OS208" s="127"/>
      <c r="OT208" s="127"/>
      <c r="OU208" s="127"/>
    </row>
    <row r="209" spans="1:411">
      <c r="A209">
        <v>26</v>
      </c>
      <c r="B209">
        <v>312</v>
      </c>
      <c r="C209" t="s">
        <v>72</v>
      </c>
      <c r="D209" t="s">
        <v>80</v>
      </c>
      <c r="E209" s="232" t="s">
        <v>8471</v>
      </c>
      <c r="F209" t="s">
        <v>70</v>
      </c>
      <c r="G209">
        <v>1</v>
      </c>
      <c r="H209">
        <v>850.20899999999995</v>
      </c>
      <c r="I209">
        <v>849.47799999999995</v>
      </c>
      <c r="J209">
        <v>848.29200000000003</v>
      </c>
      <c r="K209">
        <v>847.50400000000002</v>
      </c>
      <c r="L209">
        <v>846.36900000000003</v>
      </c>
      <c r="M209" s="233" t="s">
        <v>532</v>
      </c>
      <c r="N209" s="233" t="s">
        <v>533</v>
      </c>
      <c r="O209" s="3" t="s">
        <v>710</v>
      </c>
      <c r="BM209" s="127"/>
      <c r="BN209" s="127"/>
      <c r="BO209" s="127"/>
      <c r="BP209" s="127"/>
      <c r="BQ209" s="127"/>
      <c r="BR209" s="127"/>
      <c r="BS209" s="127"/>
      <c r="BT209" s="127"/>
      <c r="BU209" s="127"/>
      <c r="BV209" s="127"/>
      <c r="BW209" s="127"/>
      <c r="BX209" s="127"/>
      <c r="BY209" s="127"/>
      <c r="BZ209" s="127"/>
      <c r="CA209" s="127"/>
      <c r="ER209" s="127"/>
      <c r="ES209" s="127"/>
      <c r="ET209" s="127"/>
      <c r="EU209" s="127"/>
      <c r="EV209" s="127"/>
      <c r="EW209" s="127"/>
      <c r="EX209" s="127"/>
      <c r="EY209" s="127"/>
      <c r="EZ209" s="127"/>
      <c r="FA209" s="127"/>
      <c r="FB209" s="127"/>
      <c r="FC209" s="127"/>
      <c r="FD209" s="127"/>
      <c r="FE209" s="127"/>
      <c r="FF209" s="127"/>
      <c r="HW209" s="127"/>
      <c r="HX209" s="127"/>
      <c r="HY209" s="127"/>
      <c r="HZ209" s="127"/>
      <c r="IA209" s="127"/>
      <c r="IB209" s="127"/>
      <c r="IC209" s="127"/>
      <c r="ID209" s="127"/>
      <c r="IE209" s="127"/>
      <c r="IF209" s="127"/>
      <c r="IG209" s="127"/>
      <c r="IH209" s="127"/>
      <c r="II209" s="127"/>
      <c r="IJ209" s="127"/>
      <c r="IK209" s="127"/>
      <c r="LB209" s="127"/>
      <c r="LC209" s="127"/>
      <c r="LD209" s="127"/>
      <c r="LE209" s="127"/>
      <c r="LF209" s="127"/>
      <c r="LG209" s="127"/>
      <c r="LH209" s="127"/>
      <c r="LI209" s="127"/>
      <c r="LJ209" s="127"/>
      <c r="LK209" s="127"/>
      <c r="LL209" s="127"/>
      <c r="LM209" s="127"/>
      <c r="LN209" s="127"/>
      <c r="LO209" s="127"/>
      <c r="LP209" s="127"/>
      <c r="OG209" s="127"/>
      <c r="OH209" s="127"/>
      <c r="OI209" s="127"/>
      <c r="OJ209" s="127"/>
      <c r="OK209" s="127"/>
      <c r="OL209" s="127"/>
      <c r="OM209" s="127"/>
      <c r="ON209" s="127"/>
      <c r="OO209" s="127"/>
      <c r="OP209" s="127"/>
      <c r="OQ209" s="127"/>
      <c r="OR209" s="127"/>
      <c r="OS209" s="127"/>
      <c r="OT209" s="127"/>
      <c r="OU209" s="127"/>
    </row>
    <row r="210" spans="1:411">
      <c r="A210">
        <v>26</v>
      </c>
      <c r="B210">
        <v>324</v>
      </c>
      <c r="C210" t="s">
        <v>72</v>
      </c>
      <c r="D210" t="s">
        <v>80</v>
      </c>
      <c r="E210" s="232" t="s">
        <v>550</v>
      </c>
      <c r="F210" t="s">
        <v>70</v>
      </c>
      <c r="G210">
        <v>1</v>
      </c>
      <c r="H210">
        <v>850.20899999999995</v>
      </c>
      <c r="I210">
        <v>848.71900000000005</v>
      </c>
      <c r="J210">
        <v>847.72699999999998</v>
      </c>
      <c r="K210">
        <v>847.12699999999995</v>
      </c>
      <c r="L210">
        <v>845.55600000000004</v>
      </c>
      <c r="M210" s="233" t="s">
        <v>532</v>
      </c>
      <c r="N210" s="233" t="s">
        <v>533</v>
      </c>
      <c r="O210" s="3" t="s">
        <v>711</v>
      </c>
      <c r="BM210" s="127"/>
      <c r="BN210" s="127"/>
      <c r="BO210" s="127"/>
      <c r="BP210" s="127"/>
      <c r="BQ210" s="127"/>
      <c r="BR210" s="127"/>
      <c r="BS210" s="127"/>
      <c r="BT210" s="127"/>
      <c r="BU210" s="127"/>
      <c r="BV210" s="127"/>
      <c r="BW210" s="127"/>
      <c r="BX210" s="127"/>
      <c r="BY210" s="127"/>
      <c r="BZ210" s="127"/>
      <c r="CA210" s="127"/>
      <c r="ER210" s="127"/>
      <c r="ES210" s="127"/>
      <c r="ET210" s="127"/>
      <c r="EU210" s="127"/>
      <c r="EV210" s="127"/>
      <c r="EW210" s="127"/>
      <c r="EX210" s="127"/>
      <c r="EY210" s="127"/>
      <c r="EZ210" s="127"/>
      <c r="FA210" s="127"/>
      <c r="FB210" s="127"/>
      <c r="FC210" s="127"/>
      <c r="FD210" s="127"/>
      <c r="FE210" s="127"/>
      <c r="FF210" s="127"/>
      <c r="HW210" s="127"/>
      <c r="HX210" s="127"/>
      <c r="HY210" s="127"/>
      <c r="HZ210" s="127"/>
      <c r="IA210" s="127"/>
      <c r="IB210" s="127"/>
      <c r="IC210" s="127"/>
      <c r="ID210" s="127"/>
      <c r="IE210" s="127"/>
      <c r="IF210" s="127"/>
      <c r="IG210" s="127"/>
      <c r="IH210" s="127"/>
      <c r="II210" s="127"/>
      <c r="IJ210" s="127"/>
      <c r="IK210" s="127"/>
      <c r="LB210" s="127"/>
      <c r="LC210" s="127"/>
      <c r="LD210" s="127"/>
      <c r="LE210" s="127"/>
      <c r="LF210" s="127"/>
      <c r="LG210" s="127"/>
      <c r="LH210" s="127"/>
      <c r="LI210" s="127"/>
      <c r="LJ210" s="127"/>
      <c r="LK210" s="127"/>
      <c r="LL210" s="127"/>
      <c r="LM210" s="127"/>
      <c r="LN210" s="127"/>
      <c r="LO210" s="127"/>
      <c r="LP210" s="127"/>
      <c r="OG210" s="127"/>
      <c r="OH210" s="127"/>
      <c r="OI210" s="127"/>
      <c r="OJ210" s="127"/>
      <c r="OK210" s="127"/>
      <c r="OL210" s="127"/>
      <c r="OM210" s="127"/>
      <c r="ON210" s="127"/>
      <c r="OO210" s="127"/>
      <c r="OP210" s="127"/>
      <c r="OQ210" s="127"/>
      <c r="OR210" s="127"/>
      <c r="OS210" s="127"/>
      <c r="OT210" s="127"/>
      <c r="OU210" s="127"/>
    </row>
    <row r="211" spans="1:411">
      <c r="A211">
        <v>26</v>
      </c>
      <c r="B211">
        <v>316</v>
      </c>
      <c r="C211" t="s">
        <v>72</v>
      </c>
      <c r="D211" t="s">
        <v>80</v>
      </c>
      <c r="E211" s="232" t="s">
        <v>8601</v>
      </c>
      <c r="F211" t="s">
        <v>70</v>
      </c>
      <c r="G211">
        <v>1</v>
      </c>
      <c r="H211">
        <v>848.94100000000003</v>
      </c>
      <c r="I211">
        <v>848.29200000000003</v>
      </c>
      <c r="J211">
        <v>847.43600000000004</v>
      </c>
      <c r="K211">
        <v>846.66</v>
      </c>
      <c r="L211">
        <v>844.69200000000001</v>
      </c>
      <c r="M211" s="233" t="s">
        <v>532</v>
      </c>
      <c r="N211" s="233" t="s">
        <v>533</v>
      </c>
      <c r="O211" s="3" t="s">
        <v>712</v>
      </c>
      <c r="BM211" s="127"/>
      <c r="BN211" s="127"/>
      <c r="BO211" s="127"/>
      <c r="BP211" s="127"/>
      <c r="BQ211" s="127"/>
      <c r="BR211" s="127"/>
      <c r="BS211" s="127"/>
      <c r="BT211" s="127"/>
      <c r="BU211" s="127"/>
      <c r="BV211" s="127"/>
      <c r="BW211" s="127"/>
      <c r="BX211" s="127"/>
      <c r="BY211" s="127"/>
      <c r="BZ211" s="127"/>
      <c r="CA211" s="127"/>
      <c r="ER211" s="127"/>
      <c r="ES211" s="127"/>
      <c r="ET211" s="127"/>
      <c r="EU211" s="127"/>
      <c r="EV211" s="127"/>
      <c r="EW211" s="127"/>
      <c r="EX211" s="127"/>
      <c r="EY211" s="127"/>
      <c r="EZ211" s="127"/>
      <c r="FA211" s="127"/>
      <c r="FB211" s="127"/>
      <c r="FC211" s="127"/>
      <c r="FD211" s="127"/>
      <c r="FE211" s="127"/>
      <c r="FF211" s="127"/>
      <c r="HW211" s="127"/>
      <c r="HX211" s="127"/>
      <c r="HY211" s="127"/>
      <c r="HZ211" s="127"/>
      <c r="IA211" s="127"/>
      <c r="IB211" s="127"/>
      <c r="IC211" s="127"/>
      <c r="ID211" s="127"/>
      <c r="IE211" s="127"/>
      <c r="IF211" s="127"/>
      <c r="IG211" s="127"/>
      <c r="IH211" s="127"/>
      <c r="II211" s="127"/>
      <c r="IJ211" s="127"/>
      <c r="IK211" s="127"/>
      <c r="LB211" s="127"/>
      <c r="LC211" s="127"/>
      <c r="LD211" s="127"/>
      <c r="LE211" s="127"/>
      <c r="LF211" s="127"/>
      <c r="LG211" s="127"/>
      <c r="LH211" s="127"/>
      <c r="LI211" s="127"/>
      <c r="LJ211" s="127"/>
      <c r="LK211" s="127"/>
      <c r="LL211" s="127"/>
      <c r="LM211" s="127"/>
      <c r="LN211" s="127"/>
      <c r="LO211" s="127"/>
      <c r="LP211" s="127"/>
      <c r="OG211" s="127"/>
      <c r="OH211" s="127"/>
      <c r="OI211" s="127"/>
      <c r="OJ211" s="127"/>
      <c r="OK211" s="127"/>
      <c r="OL211" s="127"/>
      <c r="OM211" s="127"/>
      <c r="ON211" s="127"/>
      <c r="OO211" s="127"/>
      <c r="OP211" s="127"/>
      <c r="OQ211" s="127"/>
      <c r="OR211" s="127"/>
      <c r="OS211" s="127"/>
      <c r="OT211" s="127"/>
      <c r="OU211" s="127"/>
    </row>
    <row r="212" spans="1:411">
      <c r="A212">
        <v>26</v>
      </c>
      <c r="B212">
        <v>304</v>
      </c>
      <c r="C212" t="s">
        <v>72</v>
      </c>
      <c r="D212" t="s">
        <v>80</v>
      </c>
      <c r="E212" s="232" t="s">
        <v>418</v>
      </c>
      <c r="F212" t="s">
        <v>70</v>
      </c>
      <c r="G212">
        <v>1</v>
      </c>
      <c r="H212">
        <v>849.60400000000004</v>
      </c>
      <c r="I212">
        <v>848.29200000000003</v>
      </c>
      <c r="J212">
        <v>847.50400000000002</v>
      </c>
      <c r="K212">
        <v>846.10900000000004</v>
      </c>
      <c r="L212">
        <v>843.125</v>
      </c>
      <c r="M212" s="233" t="s">
        <v>532</v>
      </c>
      <c r="N212" s="233" t="s">
        <v>533</v>
      </c>
      <c r="O212" s="3" t="s">
        <v>713</v>
      </c>
      <c r="BM212" s="127"/>
      <c r="BN212" s="127"/>
      <c r="BO212" s="127"/>
      <c r="BP212" s="127"/>
      <c r="BQ212" s="127"/>
      <c r="BR212" s="127"/>
      <c r="BS212" s="127"/>
      <c r="BT212" s="127"/>
      <c r="BU212" s="127"/>
      <c r="BV212" s="127"/>
      <c r="BW212" s="127"/>
      <c r="BX212" s="127"/>
      <c r="BY212" s="127"/>
      <c r="BZ212" s="127"/>
      <c r="CA212" s="127"/>
      <c r="ER212" s="127"/>
      <c r="ES212" s="127"/>
      <c r="ET212" s="127"/>
      <c r="EU212" s="127"/>
      <c r="EV212" s="127"/>
      <c r="EW212" s="127"/>
      <c r="EX212" s="127"/>
      <c r="EY212" s="127"/>
      <c r="EZ212" s="127"/>
      <c r="FA212" s="127"/>
      <c r="FB212" s="127"/>
      <c r="FC212" s="127"/>
      <c r="FD212" s="127"/>
      <c r="FE212" s="127"/>
      <c r="FF212" s="127"/>
      <c r="HW212" s="127"/>
      <c r="HX212" s="127"/>
      <c r="HY212" s="127"/>
      <c r="HZ212" s="127"/>
      <c r="IA212" s="127"/>
      <c r="IB212" s="127"/>
      <c r="IC212" s="127"/>
      <c r="ID212" s="127"/>
      <c r="IE212" s="127"/>
      <c r="IF212" s="127"/>
      <c r="IG212" s="127"/>
      <c r="IH212" s="127"/>
      <c r="II212" s="127"/>
      <c r="IJ212" s="127"/>
      <c r="IK212" s="127"/>
      <c r="LB212" s="127"/>
      <c r="LC212" s="127"/>
      <c r="LD212" s="127"/>
      <c r="LE212" s="127"/>
      <c r="LF212" s="127"/>
      <c r="LG212" s="127"/>
      <c r="LH212" s="127"/>
      <c r="LI212" s="127"/>
      <c r="LJ212" s="127"/>
      <c r="LK212" s="127"/>
      <c r="LL212" s="127"/>
      <c r="LM212" s="127"/>
      <c r="LN212" s="127"/>
      <c r="LO212" s="127"/>
      <c r="LP212" s="127"/>
      <c r="OG212" s="127"/>
      <c r="OH212" s="127"/>
      <c r="OI212" s="127"/>
      <c r="OJ212" s="127"/>
      <c r="OK212" s="127"/>
      <c r="OL212" s="127"/>
      <c r="OM212" s="127"/>
      <c r="ON212" s="127"/>
      <c r="OO212" s="127"/>
      <c r="OP212" s="127"/>
      <c r="OQ212" s="127"/>
      <c r="OR212" s="127"/>
      <c r="OS212" s="127"/>
      <c r="OT212" s="127"/>
      <c r="OU212" s="127"/>
    </row>
    <row r="213" spans="1:411">
      <c r="A213">
        <v>26</v>
      </c>
      <c r="B213">
        <v>305</v>
      </c>
      <c r="C213" t="s">
        <v>72</v>
      </c>
      <c r="D213" t="s">
        <v>80</v>
      </c>
      <c r="E213" s="232" t="s">
        <v>8558</v>
      </c>
      <c r="F213" t="s">
        <v>70</v>
      </c>
      <c r="G213">
        <v>1</v>
      </c>
      <c r="H213">
        <v>849.60400000000004</v>
      </c>
      <c r="I213">
        <v>848.29200000000003</v>
      </c>
      <c r="J213">
        <v>847.50400000000002</v>
      </c>
      <c r="K213">
        <v>846.36900000000003</v>
      </c>
      <c r="L213">
        <v>843.61400000000003</v>
      </c>
      <c r="M213" s="233" t="s">
        <v>532</v>
      </c>
      <c r="N213" s="233" t="s">
        <v>533</v>
      </c>
      <c r="O213" s="3" t="s">
        <v>714</v>
      </c>
      <c r="BM213" s="127"/>
      <c r="BN213" s="127"/>
      <c r="BO213" s="127"/>
      <c r="BP213" s="127"/>
      <c r="BQ213" s="127"/>
      <c r="BR213" s="127"/>
      <c r="BS213" s="127"/>
      <c r="BT213" s="127"/>
      <c r="BU213" s="127"/>
      <c r="BV213" s="127"/>
      <c r="BW213" s="127"/>
      <c r="BX213" s="127"/>
      <c r="BY213" s="127"/>
      <c r="BZ213" s="127"/>
      <c r="CA213" s="127"/>
      <c r="ER213" s="127"/>
      <c r="ES213" s="127"/>
      <c r="ET213" s="127"/>
      <c r="EU213" s="127"/>
      <c r="EV213" s="127"/>
      <c r="EW213" s="127"/>
      <c r="EX213" s="127"/>
      <c r="EY213" s="127"/>
      <c r="EZ213" s="127"/>
      <c r="FA213" s="127"/>
      <c r="FB213" s="127"/>
      <c r="FC213" s="127"/>
      <c r="FD213" s="127"/>
      <c r="FE213" s="127"/>
      <c r="FF213" s="127"/>
      <c r="HW213" s="127"/>
      <c r="HX213" s="127"/>
      <c r="HY213" s="127"/>
      <c r="HZ213" s="127"/>
      <c r="IA213" s="127"/>
      <c r="IB213" s="127"/>
      <c r="IC213" s="127"/>
      <c r="ID213" s="127"/>
      <c r="IE213" s="127"/>
      <c r="IF213" s="127"/>
      <c r="IG213" s="127"/>
      <c r="IH213" s="127"/>
      <c r="II213" s="127"/>
      <c r="IJ213" s="127"/>
      <c r="IK213" s="127"/>
      <c r="LB213" s="127"/>
      <c r="LC213" s="127"/>
      <c r="LD213" s="127"/>
      <c r="LE213" s="127"/>
      <c r="LF213" s="127"/>
      <c r="LG213" s="127"/>
      <c r="LH213" s="127"/>
      <c r="LI213" s="127"/>
      <c r="LJ213" s="127"/>
      <c r="LK213" s="127"/>
      <c r="LL213" s="127"/>
      <c r="LM213" s="127"/>
      <c r="LN213" s="127"/>
      <c r="LO213" s="127"/>
      <c r="LP213" s="127"/>
      <c r="OG213" s="127"/>
      <c r="OH213" s="127"/>
      <c r="OI213" s="127"/>
      <c r="OJ213" s="127"/>
      <c r="OK213" s="127"/>
      <c r="OL213" s="127"/>
      <c r="OM213" s="127"/>
      <c r="ON213" s="127"/>
      <c r="OO213" s="127"/>
      <c r="OP213" s="127"/>
      <c r="OQ213" s="127"/>
      <c r="OR213" s="127"/>
      <c r="OS213" s="127"/>
      <c r="OT213" s="127"/>
      <c r="OU213" s="127"/>
    </row>
    <row r="214" spans="1:411">
      <c r="A214">
        <v>26</v>
      </c>
      <c r="B214">
        <v>306</v>
      </c>
      <c r="C214" t="s">
        <v>72</v>
      </c>
      <c r="D214" t="s">
        <v>80</v>
      </c>
      <c r="E214" s="232" t="s">
        <v>8624</v>
      </c>
      <c r="F214" t="s">
        <v>70</v>
      </c>
      <c r="G214">
        <v>1</v>
      </c>
      <c r="H214">
        <v>849.21900000000005</v>
      </c>
      <c r="I214">
        <v>848.13900000000001</v>
      </c>
      <c r="J214">
        <v>847.12699999999995</v>
      </c>
      <c r="K214">
        <v>846.21600000000001</v>
      </c>
      <c r="L214">
        <v>843.35500000000002</v>
      </c>
      <c r="M214" s="233" t="s">
        <v>532</v>
      </c>
      <c r="N214" s="233" t="s">
        <v>533</v>
      </c>
      <c r="O214" s="3" t="s">
        <v>715</v>
      </c>
      <c r="BM214" s="127"/>
      <c r="BN214" s="127"/>
      <c r="BO214" s="127"/>
      <c r="BP214" s="127"/>
      <c r="BQ214" s="127"/>
      <c r="BR214" s="127"/>
      <c r="BS214" s="127"/>
      <c r="BT214" s="127"/>
      <c r="BU214" s="127"/>
      <c r="BV214" s="127"/>
      <c r="BW214" s="127"/>
      <c r="BX214" s="127"/>
      <c r="BY214" s="127"/>
      <c r="BZ214" s="127"/>
      <c r="CA214" s="127"/>
      <c r="ER214" s="127"/>
      <c r="ES214" s="127"/>
      <c r="ET214" s="127"/>
      <c r="EU214" s="127"/>
      <c r="EV214" s="127"/>
      <c r="EW214" s="127"/>
      <c r="EX214" s="127"/>
      <c r="EY214" s="127"/>
      <c r="EZ214" s="127"/>
      <c r="FA214" s="127"/>
      <c r="FB214" s="127"/>
      <c r="FC214" s="127"/>
      <c r="FD214" s="127"/>
      <c r="FE214" s="127"/>
      <c r="FF214" s="127"/>
      <c r="HW214" s="127"/>
      <c r="HX214" s="127"/>
      <c r="HY214" s="127"/>
      <c r="HZ214" s="127"/>
      <c r="IA214" s="127"/>
      <c r="IB214" s="127"/>
      <c r="IC214" s="127"/>
      <c r="ID214" s="127"/>
      <c r="IE214" s="127"/>
      <c r="IF214" s="127"/>
      <c r="IG214" s="127"/>
      <c r="IH214" s="127"/>
      <c r="II214" s="127"/>
      <c r="IJ214" s="127"/>
      <c r="IK214" s="127"/>
      <c r="LB214" s="127"/>
      <c r="LC214" s="127"/>
      <c r="LD214" s="127"/>
      <c r="LE214" s="127"/>
      <c r="LF214" s="127"/>
      <c r="LG214" s="127"/>
      <c r="LH214" s="127"/>
      <c r="LI214" s="127"/>
      <c r="LJ214" s="127"/>
      <c r="LK214" s="127"/>
      <c r="LL214" s="127"/>
      <c r="LM214" s="127"/>
      <c r="LN214" s="127"/>
      <c r="LO214" s="127"/>
      <c r="LP214" s="127"/>
      <c r="OG214" s="127"/>
      <c r="OH214" s="127"/>
      <c r="OI214" s="127"/>
      <c r="OJ214" s="127"/>
      <c r="OK214" s="127"/>
      <c r="OL214" s="127"/>
      <c r="OM214" s="127"/>
      <c r="ON214" s="127"/>
      <c r="OO214" s="127"/>
      <c r="OP214" s="127"/>
      <c r="OQ214" s="127"/>
      <c r="OR214" s="127"/>
      <c r="OS214" s="127"/>
      <c r="OT214" s="127"/>
      <c r="OU214" s="127"/>
    </row>
    <row r="215" spans="1:411">
      <c r="A215">
        <v>26</v>
      </c>
      <c r="B215">
        <v>328</v>
      </c>
      <c r="C215" t="s">
        <v>72</v>
      </c>
      <c r="D215" t="s">
        <v>80</v>
      </c>
      <c r="E215" s="232" t="s">
        <v>8307</v>
      </c>
      <c r="F215" t="s">
        <v>70</v>
      </c>
      <c r="G215">
        <v>1</v>
      </c>
      <c r="H215">
        <v>848.29200000000003</v>
      </c>
      <c r="I215">
        <v>847.43600000000004</v>
      </c>
      <c r="J215">
        <v>846.36900000000003</v>
      </c>
      <c r="K215">
        <v>845.55600000000004</v>
      </c>
      <c r="L215">
        <v>841.85299999999995</v>
      </c>
      <c r="M215" s="233" t="s">
        <v>532</v>
      </c>
      <c r="N215" s="233" t="s">
        <v>533</v>
      </c>
      <c r="O215" s="3" t="s">
        <v>716</v>
      </c>
      <c r="BM215" s="127"/>
      <c r="BN215" s="127"/>
      <c r="BO215" s="127"/>
      <c r="BP215" s="127"/>
      <c r="BQ215" s="127"/>
      <c r="BR215" s="127"/>
      <c r="BS215" s="127"/>
      <c r="BT215" s="127"/>
      <c r="BU215" s="127"/>
      <c r="BV215" s="127"/>
      <c r="BW215" s="127"/>
      <c r="BX215" s="127"/>
      <c r="BY215" s="127"/>
      <c r="BZ215" s="127"/>
      <c r="CA215" s="127"/>
      <c r="ER215" s="127"/>
      <c r="ES215" s="127"/>
      <c r="ET215" s="127"/>
      <c r="EU215" s="127"/>
      <c r="EV215" s="127"/>
      <c r="EW215" s="127"/>
      <c r="EX215" s="127"/>
      <c r="EY215" s="127"/>
      <c r="EZ215" s="127"/>
      <c r="FA215" s="127"/>
      <c r="FB215" s="127"/>
      <c r="FC215" s="127"/>
      <c r="FD215" s="127"/>
      <c r="FE215" s="127"/>
      <c r="FF215" s="127"/>
      <c r="HW215" s="127"/>
      <c r="HX215" s="127"/>
      <c r="HY215" s="127"/>
      <c r="HZ215" s="127"/>
      <c r="IA215" s="127"/>
      <c r="IB215" s="127"/>
      <c r="IC215" s="127"/>
      <c r="ID215" s="127"/>
      <c r="IE215" s="127"/>
      <c r="IF215" s="127"/>
      <c r="IG215" s="127"/>
      <c r="IH215" s="127"/>
      <c r="II215" s="127"/>
      <c r="IJ215" s="127"/>
      <c r="IK215" s="127"/>
      <c r="LB215" s="127"/>
      <c r="LC215" s="127"/>
      <c r="LD215" s="127"/>
      <c r="LE215" s="127"/>
      <c r="LF215" s="127"/>
      <c r="LG215" s="127"/>
      <c r="LH215" s="127"/>
      <c r="LI215" s="127"/>
      <c r="LJ215" s="127"/>
      <c r="LK215" s="127"/>
      <c r="LL215" s="127"/>
      <c r="LM215" s="127"/>
      <c r="LN215" s="127"/>
      <c r="LO215" s="127"/>
      <c r="LP215" s="127"/>
      <c r="OG215" s="127"/>
      <c r="OH215" s="127"/>
      <c r="OI215" s="127"/>
      <c r="OJ215" s="127"/>
      <c r="OK215" s="127"/>
      <c r="OL215" s="127"/>
      <c r="OM215" s="127"/>
      <c r="ON215" s="127"/>
      <c r="OO215" s="127"/>
      <c r="OP215" s="127"/>
      <c r="OQ215" s="127"/>
      <c r="OR215" s="127"/>
      <c r="OS215" s="127"/>
      <c r="OT215" s="127"/>
      <c r="OU215" s="127"/>
    </row>
    <row r="216" spans="1:411">
      <c r="A216">
        <v>26</v>
      </c>
      <c r="B216">
        <v>308</v>
      </c>
      <c r="C216" t="s">
        <v>72</v>
      </c>
      <c r="D216" t="s">
        <v>80</v>
      </c>
      <c r="E216" s="232" t="s">
        <v>8680</v>
      </c>
      <c r="F216" t="s">
        <v>70</v>
      </c>
      <c r="G216">
        <v>1</v>
      </c>
      <c r="H216">
        <v>847.72699999999998</v>
      </c>
      <c r="I216">
        <v>847.12699999999995</v>
      </c>
      <c r="J216">
        <v>845.81500000000005</v>
      </c>
      <c r="K216">
        <v>844.69200000000001</v>
      </c>
      <c r="L216">
        <v>841.85299999999995</v>
      </c>
      <c r="M216" s="233" t="s">
        <v>532</v>
      </c>
      <c r="N216" s="233" t="s">
        <v>533</v>
      </c>
      <c r="O216" s="3" t="s">
        <v>717</v>
      </c>
      <c r="BM216" s="127"/>
      <c r="BN216" s="127"/>
      <c r="BO216" s="127"/>
      <c r="BP216" s="127"/>
      <c r="BQ216" s="127"/>
      <c r="BR216" s="127"/>
      <c r="BS216" s="127"/>
      <c r="BT216" s="127"/>
      <c r="BU216" s="127"/>
      <c r="BV216" s="127"/>
      <c r="BW216" s="127"/>
      <c r="BX216" s="127"/>
      <c r="BY216" s="127"/>
      <c r="BZ216" s="127"/>
      <c r="CA216" s="127"/>
      <c r="ER216" s="127"/>
      <c r="ES216" s="127"/>
      <c r="ET216" s="127"/>
      <c r="EU216" s="127"/>
      <c r="EV216" s="127"/>
      <c r="EW216" s="127"/>
      <c r="EX216" s="127"/>
      <c r="EY216" s="127"/>
      <c r="EZ216" s="127"/>
      <c r="FA216" s="127"/>
      <c r="FB216" s="127"/>
      <c r="FC216" s="127"/>
      <c r="FD216" s="127"/>
      <c r="FE216" s="127"/>
      <c r="FF216" s="127"/>
      <c r="HW216" s="127"/>
      <c r="HX216" s="127"/>
      <c r="HY216" s="127"/>
      <c r="HZ216" s="127"/>
      <c r="IA216" s="127"/>
      <c r="IB216" s="127"/>
      <c r="IC216" s="127"/>
      <c r="ID216" s="127"/>
      <c r="IE216" s="127"/>
      <c r="IF216" s="127"/>
      <c r="IG216" s="127"/>
      <c r="IH216" s="127"/>
      <c r="II216" s="127"/>
      <c r="IJ216" s="127"/>
      <c r="IK216" s="127"/>
      <c r="LB216" s="127"/>
      <c r="LC216" s="127"/>
      <c r="LD216" s="127"/>
      <c r="LE216" s="127"/>
      <c r="LF216" s="127"/>
      <c r="LG216" s="127"/>
      <c r="LH216" s="127"/>
      <c r="LI216" s="127"/>
      <c r="LJ216" s="127"/>
      <c r="LK216" s="127"/>
      <c r="LL216" s="127"/>
      <c r="LM216" s="127"/>
      <c r="LN216" s="127"/>
      <c r="LO216" s="127"/>
      <c r="LP216" s="127"/>
      <c r="OG216" s="127"/>
      <c r="OH216" s="127"/>
      <c r="OI216" s="127"/>
      <c r="OJ216" s="127"/>
      <c r="OK216" s="127"/>
      <c r="OL216" s="127"/>
      <c r="OM216" s="127"/>
      <c r="ON216" s="127"/>
      <c r="OO216" s="127"/>
      <c r="OP216" s="127"/>
      <c r="OQ216" s="127"/>
      <c r="OR216" s="127"/>
      <c r="OS216" s="127"/>
      <c r="OT216" s="127"/>
      <c r="OU216" s="127"/>
    </row>
    <row r="217" spans="1:411">
      <c r="A217">
        <v>26</v>
      </c>
      <c r="B217">
        <v>307</v>
      </c>
      <c r="C217" t="s">
        <v>72</v>
      </c>
      <c r="D217" t="s">
        <v>80</v>
      </c>
      <c r="E217" s="232" t="s">
        <v>8640</v>
      </c>
      <c r="F217" t="s">
        <v>70</v>
      </c>
      <c r="G217">
        <v>1</v>
      </c>
      <c r="H217">
        <v>845.81500000000005</v>
      </c>
      <c r="I217">
        <v>844.69200000000001</v>
      </c>
      <c r="J217">
        <v>843.61400000000003</v>
      </c>
      <c r="K217">
        <v>841.31600000000003</v>
      </c>
      <c r="L217">
        <v>837.96500000000003</v>
      </c>
      <c r="M217" s="233" t="s">
        <v>532</v>
      </c>
      <c r="N217" s="233" t="s">
        <v>533</v>
      </c>
      <c r="O217" s="3" t="s">
        <v>718</v>
      </c>
      <c r="BM217" s="127"/>
      <c r="BN217" s="127"/>
      <c r="BO217" s="127"/>
      <c r="BP217" s="127"/>
      <c r="BQ217" s="127"/>
      <c r="BR217" s="127"/>
      <c r="BS217" s="127"/>
      <c r="BT217" s="127"/>
      <c r="BU217" s="127"/>
      <c r="BV217" s="127"/>
      <c r="BW217" s="127"/>
      <c r="BX217" s="127"/>
      <c r="BY217" s="127"/>
      <c r="BZ217" s="127"/>
      <c r="CA217" s="127"/>
      <c r="ER217" s="127"/>
      <c r="ES217" s="127"/>
      <c r="ET217" s="127"/>
      <c r="EU217" s="127"/>
      <c r="EV217" s="127"/>
      <c r="EW217" s="127"/>
      <c r="EX217" s="127"/>
      <c r="EY217" s="127"/>
      <c r="EZ217" s="127"/>
      <c r="FA217" s="127"/>
      <c r="FB217" s="127"/>
      <c r="FC217" s="127"/>
      <c r="FD217" s="127"/>
      <c r="FE217" s="127"/>
      <c r="FF217" s="127"/>
      <c r="HW217" s="127"/>
      <c r="HX217" s="127"/>
      <c r="HY217" s="127"/>
      <c r="HZ217" s="127"/>
      <c r="IA217" s="127"/>
      <c r="IB217" s="127"/>
      <c r="IC217" s="127"/>
      <c r="ID217" s="127"/>
      <c r="IE217" s="127"/>
      <c r="IF217" s="127"/>
      <c r="IG217" s="127"/>
      <c r="IH217" s="127"/>
      <c r="II217" s="127"/>
      <c r="IJ217" s="127"/>
      <c r="IK217" s="127"/>
      <c r="LB217" s="127"/>
      <c r="LC217" s="127"/>
      <c r="LD217" s="127"/>
      <c r="LE217" s="127"/>
      <c r="LF217" s="127"/>
      <c r="LG217" s="127"/>
      <c r="LH217" s="127"/>
      <c r="LI217" s="127"/>
      <c r="LJ217" s="127"/>
      <c r="LK217" s="127"/>
      <c r="LL217" s="127"/>
      <c r="LM217" s="127"/>
      <c r="LN217" s="127"/>
      <c r="LO217" s="127"/>
      <c r="LP217" s="127"/>
      <c r="OG217" s="127"/>
      <c r="OH217" s="127"/>
      <c r="OI217" s="127"/>
      <c r="OJ217" s="127"/>
      <c r="OK217" s="127"/>
      <c r="OL217" s="127"/>
      <c r="OM217" s="127"/>
      <c r="ON217" s="127"/>
      <c r="OO217" s="127"/>
      <c r="OP217" s="127"/>
      <c r="OQ217" s="127"/>
      <c r="OR217" s="127"/>
      <c r="OS217" s="127"/>
      <c r="OT217" s="127"/>
      <c r="OU217" s="127"/>
    </row>
    <row r="218" spans="1:411">
      <c r="A218">
        <v>26</v>
      </c>
      <c r="B218">
        <v>325</v>
      </c>
      <c r="C218" t="s">
        <v>72</v>
      </c>
      <c r="D218" t="s">
        <v>80</v>
      </c>
      <c r="E218" s="232" t="s">
        <v>555</v>
      </c>
      <c r="F218" t="s">
        <v>70</v>
      </c>
      <c r="G218">
        <v>1</v>
      </c>
      <c r="H218">
        <v>845.25699999999995</v>
      </c>
      <c r="I218">
        <v>844.28800000000001</v>
      </c>
      <c r="J218">
        <v>843.61400000000003</v>
      </c>
      <c r="K218">
        <v>842.26499999999999</v>
      </c>
      <c r="L218">
        <v>840.18399999999997</v>
      </c>
      <c r="M218" s="233" t="s">
        <v>532</v>
      </c>
      <c r="N218" s="233" t="s">
        <v>533</v>
      </c>
      <c r="O218" s="3" t="s">
        <v>719</v>
      </c>
      <c r="BM218" s="127"/>
      <c r="BN218" s="127"/>
      <c r="BO218" s="127"/>
      <c r="BP218" s="127"/>
      <c r="BQ218" s="127"/>
      <c r="BR218" s="127"/>
      <c r="BS218" s="127"/>
      <c r="BT218" s="127"/>
      <c r="BU218" s="127"/>
      <c r="BV218" s="127"/>
      <c r="BW218" s="127"/>
      <c r="BX218" s="127"/>
      <c r="BY218" s="127"/>
      <c r="BZ218" s="127"/>
      <c r="CA218" s="127"/>
      <c r="ER218" s="127"/>
      <c r="ES218" s="127"/>
      <c r="ET218" s="127"/>
      <c r="EU218" s="127"/>
      <c r="EV218" s="127"/>
      <c r="EW218" s="127"/>
      <c r="EX218" s="127"/>
      <c r="EY218" s="127"/>
      <c r="EZ218" s="127"/>
      <c r="FA218" s="127"/>
      <c r="FB218" s="127"/>
      <c r="FC218" s="127"/>
      <c r="FD218" s="127"/>
      <c r="FE218" s="127"/>
      <c r="FF218" s="127"/>
      <c r="HW218" s="127"/>
      <c r="HX218" s="127"/>
      <c r="HY218" s="127"/>
      <c r="HZ218" s="127"/>
      <c r="IA218" s="127"/>
      <c r="IB218" s="127"/>
      <c r="IC218" s="127"/>
      <c r="ID218" s="127"/>
      <c r="IE218" s="127"/>
      <c r="IF218" s="127"/>
      <c r="IG218" s="127"/>
      <c r="IH218" s="127"/>
      <c r="II218" s="127"/>
      <c r="IJ218" s="127"/>
      <c r="IK218" s="127"/>
      <c r="LB218" s="127"/>
      <c r="LC218" s="127"/>
      <c r="LD218" s="127"/>
      <c r="LE218" s="127"/>
      <c r="LF218" s="127"/>
      <c r="LG218" s="127"/>
      <c r="LH218" s="127"/>
      <c r="LI218" s="127"/>
      <c r="LJ218" s="127"/>
      <c r="LK218" s="127"/>
      <c r="LL218" s="127"/>
      <c r="LM218" s="127"/>
      <c r="LN218" s="127"/>
      <c r="LO218" s="127"/>
      <c r="LP218" s="127"/>
      <c r="OG218" s="127"/>
      <c r="OH218" s="127"/>
      <c r="OI218" s="127"/>
      <c r="OJ218" s="127"/>
      <c r="OK218" s="127"/>
      <c r="OL218" s="127"/>
      <c r="OM218" s="127"/>
      <c r="ON218" s="127"/>
      <c r="OO218" s="127"/>
      <c r="OP218" s="127"/>
      <c r="OQ218" s="127"/>
      <c r="OR218" s="127"/>
      <c r="OS218" s="127"/>
      <c r="OT218" s="127"/>
      <c r="OU218" s="127"/>
    </row>
    <row r="219" spans="1:411">
      <c r="A219">
        <v>26</v>
      </c>
      <c r="B219">
        <v>351</v>
      </c>
      <c r="C219" t="s">
        <v>72</v>
      </c>
      <c r="D219" t="s">
        <v>80</v>
      </c>
      <c r="E219" s="232" t="s">
        <v>8633</v>
      </c>
      <c r="F219" t="s">
        <v>70</v>
      </c>
      <c r="G219">
        <v>1</v>
      </c>
      <c r="H219">
        <v>846.10900000000004</v>
      </c>
      <c r="I219">
        <v>844.28800000000001</v>
      </c>
      <c r="J219">
        <v>843.35500000000002</v>
      </c>
      <c r="K219">
        <v>842.26499999999999</v>
      </c>
      <c r="L219">
        <v>841.31600000000003</v>
      </c>
      <c r="M219" s="233" t="s">
        <v>532</v>
      </c>
      <c r="N219" s="233" t="s">
        <v>533</v>
      </c>
      <c r="O219" s="3" t="s">
        <v>720</v>
      </c>
      <c r="BM219" s="127"/>
      <c r="BN219" s="127"/>
      <c r="BO219" s="127"/>
      <c r="BP219" s="127"/>
      <c r="BQ219" s="127"/>
      <c r="BR219" s="127"/>
      <c r="BS219" s="127"/>
      <c r="BT219" s="127"/>
      <c r="BU219" s="127"/>
      <c r="BV219" s="127"/>
      <c r="BW219" s="127"/>
      <c r="BX219" s="127"/>
      <c r="BY219" s="127"/>
      <c r="BZ219" s="127"/>
      <c r="CA219" s="127"/>
      <c r="ER219" s="127"/>
      <c r="ES219" s="127"/>
      <c r="ET219" s="127"/>
      <c r="EU219" s="127"/>
      <c r="EV219" s="127"/>
      <c r="EW219" s="127"/>
      <c r="EX219" s="127"/>
      <c r="EY219" s="127"/>
      <c r="EZ219" s="127"/>
      <c r="FA219" s="127"/>
      <c r="FB219" s="127"/>
      <c r="FC219" s="127"/>
      <c r="FD219" s="127"/>
      <c r="FE219" s="127"/>
      <c r="FF219" s="127"/>
      <c r="HW219" s="127"/>
      <c r="HX219" s="127"/>
      <c r="HY219" s="127"/>
      <c r="HZ219" s="127"/>
      <c r="IA219" s="127"/>
      <c r="IB219" s="127"/>
      <c r="IC219" s="127"/>
      <c r="ID219" s="127"/>
      <c r="IE219" s="127"/>
      <c r="IF219" s="127"/>
      <c r="IG219" s="127"/>
      <c r="IH219" s="127"/>
      <c r="II219" s="127"/>
      <c r="IJ219" s="127"/>
      <c r="IK219" s="127"/>
      <c r="LB219" s="127"/>
      <c r="LC219" s="127"/>
      <c r="LD219" s="127"/>
      <c r="LE219" s="127"/>
      <c r="LF219" s="127"/>
      <c r="LG219" s="127"/>
      <c r="LH219" s="127"/>
      <c r="LI219" s="127"/>
      <c r="LJ219" s="127"/>
      <c r="LK219" s="127"/>
      <c r="LL219" s="127"/>
      <c r="LM219" s="127"/>
      <c r="LN219" s="127"/>
      <c r="LO219" s="127"/>
      <c r="LP219" s="127"/>
      <c r="OG219" s="127"/>
      <c r="OH219" s="127"/>
      <c r="OI219" s="127"/>
      <c r="OJ219" s="127"/>
      <c r="OK219" s="127"/>
      <c r="OL219" s="127"/>
      <c r="OM219" s="127"/>
      <c r="ON219" s="127"/>
      <c r="OO219" s="127"/>
      <c r="OP219" s="127"/>
      <c r="OQ219" s="127"/>
      <c r="OR219" s="127"/>
      <c r="OS219" s="127"/>
      <c r="OT219" s="127"/>
      <c r="OU219" s="127"/>
    </row>
    <row r="220" spans="1:411">
      <c r="A220">
        <v>26</v>
      </c>
      <c r="B220">
        <v>327</v>
      </c>
      <c r="C220" t="s">
        <v>72</v>
      </c>
      <c r="D220" t="s">
        <v>80</v>
      </c>
      <c r="E220" s="232" t="s">
        <v>8283</v>
      </c>
      <c r="F220" t="s">
        <v>70</v>
      </c>
      <c r="G220">
        <v>1</v>
      </c>
      <c r="H220">
        <v>836.53899999999999</v>
      </c>
      <c r="I220">
        <v>834.88800000000003</v>
      </c>
      <c r="J220">
        <v>834.029</v>
      </c>
      <c r="K220">
        <v>832.04100000000005</v>
      </c>
      <c r="L220">
        <v>830.01400000000001</v>
      </c>
      <c r="M220" s="233" t="s">
        <v>532</v>
      </c>
      <c r="N220" s="233" t="s">
        <v>533</v>
      </c>
      <c r="O220" s="3" t="s">
        <v>721</v>
      </c>
      <c r="BM220" s="127"/>
      <c r="BN220" s="127"/>
      <c r="BO220" s="127"/>
      <c r="BP220" s="127"/>
      <c r="BQ220" s="127"/>
      <c r="BR220" s="127"/>
      <c r="BS220" s="127"/>
      <c r="BT220" s="127"/>
      <c r="BU220" s="127"/>
      <c r="BV220" s="127"/>
      <c r="BW220" s="127"/>
      <c r="BX220" s="127"/>
      <c r="BY220" s="127"/>
      <c r="BZ220" s="127"/>
      <c r="CA220" s="127"/>
      <c r="ER220" s="127"/>
      <c r="ES220" s="127"/>
      <c r="ET220" s="127"/>
      <c r="EU220" s="127"/>
      <c r="EV220" s="127"/>
      <c r="EW220" s="127"/>
      <c r="EX220" s="127"/>
      <c r="EY220" s="127"/>
      <c r="EZ220" s="127"/>
      <c r="FA220" s="127"/>
      <c r="FB220" s="127"/>
      <c r="FC220" s="127"/>
      <c r="FD220" s="127"/>
      <c r="FE220" s="127"/>
      <c r="FF220" s="127"/>
      <c r="HW220" s="127"/>
      <c r="HX220" s="127"/>
      <c r="HY220" s="127"/>
      <c r="HZ220" s="127"/>
      <c r="IA220" s="127"/>
      <c r="IB220" s="127"/>
      <c r="IC220" s="127"/>
      <c r="ID220" s="127"/>
      <c r="IE220" s="127"/>
      <c r="IF220" s="127"/>
      <c r="IG220" s="127"/>
      <c r="IH220" s="127"/>
      <c r="II220" s="127"/>
      <c r="IJ220" s="127"/>
      <c r="IK220" s="127"/>
      <c r="LB220" s="127"/>
      <c r="LC220" s="127"/>
      <c r="LD220" s="127"/>
      <c r="LE220" s="127"/>
      <c r="LF220" s="127"/>
      <c r="LG220" s="127"/>
      <c r="LH220" s="127"/>
      <c r="LI220" s="127"/>
      <c r="LJ220" s="127"/>
      <c r="LK220" s="127"/>
      <c r="LL220" s="127"/>
      <c r="LM220" s="127"/>
      <c r="LN220" s="127"/>
      <c r="LO220" s="127"/>
      <c r="LP220" s="127"/>
      <c r="OG220" s="127"/>
      <c r="OH220" s="127"/>
      <c r="OI220" s="127"/>
      <c r="OJ220" s="127"/>
      <c r="OK220" s="127"/>
      <c r="OL220" s="127"/>
      <c r="OM220" s="127"/>
      <c r="ON220" s="127"/>
      <c r="OO220" s="127"/>
      <c r="OP220" s="127"/>
      <c r="OQ220" s="127"/>
      <c r="OR220" s="127"/>
      <c r="OS220" s="127"/>
      <c r="OT220" s="127"/>
      <c r="OU220" s="127"/>
    </row>
    <row r="221" spans="1:411">
      <c r="A221">
        <v>28</v>
      </c>
      <c r="B221">
        <v>349</v>
      </c>
      <c r="C221" t="s">
        <v>72</v>
      </c>
      <c r="D221" t="s">
        <v>80</v>
      </c>
      <c r="E221" s="232" t="s">
        <v>8190</v>
      </c>
      <c r="F221" t="s">
        <v>71</v>
      </c>
      <c r="G221">
        <v>1</v>
      </c>
      <c r="H221">
        <v>844.06500000000005</v>
      </c>
      <c r="I221">
        <v>843.16700000000003</v>
      </c>
      <c r="J221">
        <v>842.37400000000002</v>
      </c>
      <c r="K221">
        <v>840.971</v>
      </c>
      <c r="L221">
        <v>840.48500000000001</v>
      </c>
      <c r="M221" s="233" t="s">
        <v>532</v>
      </c>
      <c r="N221" s="233" t="s">
        <v>533</v>
      </c>
      <c r="O221" s="3" t="s">
        <v>722</v>
      </c>
      <c r="BM221" s="127"/>
      <c r="BN221" s="127"/>
      <c r="BO221" s="127"/>
      <c r="BP221" s="127"/>
      <c r="BQ221" s="127"/>
      <c r="BR221" s="127"/>
      <c r="BS221" s="127"/>
      <c r="BT221" s="127"/>
      <c r="BU221" s="127"/>
      <c r="BV221" s="127"/>
      <c r="BW221" s="127"/>
      <c r="BX221" s="127"/>
      <c r="BY221" s="127"/>
      <c r="BZ221" s="127"/>
      <c r="CA221" s="127"/>
      <c r="ER221" s="127"/>
      <c r="ES221" s="127"/>
      <c r="ET221" s="127"/>
      <c r="EU221" s="127"/>
      <c r="EV221" s="127"/>
      <c r="EW221" s="127"/>
      <c r="EX221" s="127"/>
      <c r="EY221" s="127"/>
      <c r="EZ221" s="127"/>
      <c r="FA221" s="127"/>
      <c r="FB221" s="127"/>
      <c r="FC221" s="127"/>
      <c r="FD221" s="127"/>
      <c r="FE221" s="127"/>
      <c r="FF221" s="127"/>
      <c r="HW221" s="127"/>
      <c r="HX221" s="127"/>
      <c r="HY221" s="127"/>
      <c r="HZ221" s="127"/>
      <c r="IA221" s="127"/>
      <c r="IB221" s="127"/>
      <c r="IC221" s="127"/>
      <c r="ID221" s="127"/>
      <c r="IE221" s="127"/>
      <c r="IF221" s="127"/>
      <c r="IG221" s="127"/>
      <c r="IH221" s="127"/>
      <c r="II221" s="127"/>
      <c r="IJ221" s="127"/>
      <c r="IK221" s="127"/>
      <c r="LB221" s="127"/>
      <c r="LC221" s="127"/>
      <c r="LD221" s="127"/>
      <c r="LE221" s="127"/>
      <c r="LF221" s="127"/>
      <c r="LG221" s="127"/>
      <c r="LH221" s="127"/>
      <c r="LI221" s="127"/>
      <c r="LJ221" s="127"/>
      <c r="LK221" s="127"/>
      <c r="LL221" s="127"/>
      <c r="LM221" s="127"/>
      <c r="LN221" s="127"/>
      <c r="LO221" s="127"/>
      <c r="LP221" s="127"/>
      <c r="OG221" s="127"/>
      <c r="OH221" s="127"/>
      <c r="OI221" s="127"/>
      <c r="OJ221" s="127"/>
      <c r="OK221" s="127"/>
      <c r="OL221" s="127"/>
      <c r="OM221" s="127"/>
      <c r="ON221" s="127"/>
      <c r="OO221" s="127"/>
      <c r="OP221" s="127"/>
      <c r="OQ221" s="127"/>
      <c r="OR221" s="127"/>
      <c r="OS221" s="127"/>
      <c r="OT221" s="127"/>
      <c r="OU221" s="127"/>
    </row>
    <row r="222" spans="1:411">
      <c r="A222">
        <v>29</v>
      </c>
      <c r="B222">
        <v>344</v>
      </c>
      <c r="C222" t="s">
        <v>72</v>
      </c>
      <c r="D222" t="s">
        <v>80</v>
      </c>
      <c r="E222" s="232" t="s">
        <v>8919</v>
      </c>
      <c r="F222" t="s">
        <v>71</v>
      </c>
      <c r="G222">
        <v>1</v>
      </c>
      <c r="H222">
        <v>844.76</v>
      </c>
      <c r="I222">
        <v>842.61900000000003</v>
      </c>
      <c r="J222">
        <v>840.90700000000004</v>
      </c>
      <c r="K222">
        <v>837.529</v>
      </c>
      <c r="L222">
        <v>835.35299999999995</v>
      </c>
      <c r="M222" s="233" t="s">
        <v>532</v>
      </c>
      <c r="N222" s="233" t="s">
        <v>533</v>
      </c>
      <c r="O222" s="3" t="s">
        <v>723</v>
      </c>
      <c r="BM222" s="127"/>
      <c r="BN222" s="127"/>
      <c r="BO222" s="127"/>
      <c r="BP222" s="127"/>
      <c r="BQ222" s="127"/>
      <c r="BR222" s="127"/>
      <c r="BS222" s="127"/>
      <c r="BT222" s="127"/>
      <c r="BU222" s="127"/>
      <c r="BV222" s="127"/>
      <c r="BW222" s="127"/>
      <c r="BX222" s="127"/>
      <c r="BY222" s="127"/>
      <c r="BZ222" s="127"/>
      <c r="CA222" s="127"/>
      <c r="ER222" s="127"/>
      <c r="ES222" s="127"/>
      <c r="ET222" s="127"/>
      <c r="EU222" s="127"/>
      <c r="EV222" s="127"/>
      <c r="EW222" s="127"/>
      <c r="EX222" s="127"/>
      <c r="EY222" s="127"/>
      <c r="EZ222" s="127"/>
      <c r="FA222" s="127"/>
      <c r="FB222" s="127"/>
      <c r="FC222" s="127"/>
      <c r="FD222" s="127"/>
      <c r="FE222" s="127"/>
      <c r="FF222" s="127"/>
      <c r="HW222" s="127"/>
      <c r="HX222" s="127"/>
      <c r="HY222" s="127"/>
      <c r="HZ222" s="127"/>
      <c r="IA222" s="127"/>
      <c r="IB222" s="127"/>
      <c r="IC222" s="127"/>
      <c r="ID222" s="127"/>
      <c r="IE222" s="127"/>
      <c r="IF222" s="127"/>
      <c r="IG222" s="127"/>
      <c r="IH222" s="127"/>
      <c r="II222" s="127"/>
      <c r="IJ222" s="127"/>
      <c r="IK222" s="127"/>
      <c r="LB222" s="127"/>
      <c r="LC222" s="127"/>
      <c r="LD222" s="127"/>
      <c r="LE222" s="127"/>
      <c r="LF222" s="127"/>
      <c r="LG222" s="127"/>
      <c r="LH222" s="127"/>
      <c r="LI222" s="127"/>
      <c r="LJ222" s="127"/>
      <c r="LK222" s="127"/>
      <c r="LL222" s="127"/>
      <c r="LM222" s="127"/>
      <c r="LN222" s="127"/>
      <c r="LO222" s="127"/>
      <c r="LP222" s="127"/>
      <c r="OG222" s="127"/>
      <c r="OH222" s="127"/>
      <c r="OI222" s="127"/>
      <c r="OJ222" s="127"/>
      <c r="OK222" s="127"/>
      <c r="OL222" s="127"/>
      <c r="OM222" s="127"/>
      <c r="ON222" s="127"/>
      <c r="OO222" s="127"/>
      <c r="OP222" s="127"/>
      <c r="OQ222" s="127"/>
      <c r="OR222" s="127"/>
      <c r="OS222" s="127"/>
      <c r="OT222" s="127"/>
      <c r="OU222" s="127"/>
    </row>
    <row r="223" spans="1:411">
      <c r="A223">
        <v>28</v>
      </c>
      <c r="B223">
        <v>337</v>
      </c>
      <c r="C223" t="s">
        <v>72</v>
      </c>
      <c r="D223" t="s">
        <v>80</v>
      </c>
      <c r="E223" s="232" t="s">
        <v>8534</v>
      </c>
      <c r="F223" t="s">
        <v>71</v>
      </c>
      <c r="G223">
        <v>1</v>
      </c>
      <c r="H223">
        <v>843.65300000000002</v>
      </c>
      <c r="I223">
        <v>842.58500000000004</v>
      </c>
      <c r="J223">
        <v>841.53399999999999</v>
      </c>
      <c r="K223">
        <v>840.21</v>
      </c>
      <c r="L223">
        <v>839.41099999999994</v>
      </c>
      <c r="M223" s="233" t="s">
        <v>532</v>
      </c>
      <c r="N223" s="233" t="s">
        <v>533</v>
      </c>
      <c r="O223" s="3" t="s">
        <v>724</v>
      </c>
      <c r="BM223" s="127"/>
      <c r="BN223" s="127"/>
      <c r="BO223" s="127"/>
      <c r="BP223" s="127"/>
      <c r="BQ223" s="127"/>
      <c r="BR223" s="127"/>
      <c r="BS223" s="127"/>
      <c r="BT223" s="127"/>
      <c r="BU223" s="127"/>
      <c r="BV223" s="127"/>
      <c r="BW223" s="127"/>
      <c r="BX223" s="127"/>
      <c r="BY223" s="127"/>
      <c r="BZ223" s="127"/>
      <c r="CA223" s="127"/>
      <c r="ER223" s="127"/>
      <c r="ES223" s="127"/>
      <c r="ET223" s="127"/>
      <c r="EU223" s="127"/>
      <c r="EV223" s="127"/>
      <c r="EW223" s="127"/>
      <c r="EX223" s="127"/>
      <c r="EY223" s="127"/>
      <c r="EZ223" s="127"/>
      <c r="FA223" s="127"/>
      <c r="FB223" s="127"/>
      <c r="FC223" s="127"/>
      <c r="FD223" s="127"/>
      <c r="FE223" s="127"/>
      <c r="FF223" s="127"/>
      <c r="HW223" s="127"/>
      <c r="HX223" s="127"/>
      <c r="HY223" s="127"/>
      <c r="HZ223" s="127"/>
      <c r="IA223" s="127"/>
      <c r="IB223" s="127"/>
      <c r="IC223" s="127"/>
      <c r="ID223" s="127"/>
      <c r="IE223" s="127"/>
      <c r="IF223" s="127"/>
      <c r="IG223" s="127"/>
      <c r="IH223" s="127"/>
      <c r="II223" s="127"/>
      <c r="IJ223" s="127"/>
      <c r="IK223" s="127"/>
      <c r="LB223" s="127"/>
      <c r="LC223" s="127"/>
      <c r="LD223" s="127"/>
      <c r="LE223" s="127"/>
      <c r="LF223" s="127"/>
      <c r="LG223" s="127"/>
      <c r="LH223" s="127"/>
      <c r="LI223" s="127"/>
      <c r="LJ223" s="127"/>
      <c r="LK223" s="127"/>
      <c r="LL223" s="127"/>
      <c r="LM223" s="127"/>
      <c r="LN223" s="127"/>
      <c r="LO223" s="127"/>
      <c r="LP223" s="127"/>
      <c r="OG223" s="127"/>
      <c r="OH223" s="127"/>
      <c r="OI223" s="127"/>
      <c r="OJ223" s="127"/>
      <c r="OK223" s="127"/>
      <c r="OL223" s="127"/>
      <c r="OM223" s="127"/>
      <c r="ON223" s="127"/>
      <c r="OO223" s="127"/>
      <c r="OP223" s="127"/>
      <c r="OQ223" s="127"/>
      <c r="OR223" s="127"/>
      <c r="OS223" s="127"/>
      <c r="OT223" s="127"/>
      <c r="OU223" s="127"/>
    </row>
    <row r="224" spans="1:411">
      <c r="A224">
        <v>28</v>
      </c>
      <c r="B224">
        <v>348</v>
      </c>
      <c r="C224" t="s">
        <v>72</v>
      </c>
      <c r="D224" t="s">
        <v>80</v>
      </c>
      <c r="E224" s="232" t="s">
        <v>9017</v>
      </c>
      <c r="F224" t="s">
        <v>71</v>
      </c>
      <c r="G224">
        <v>1</v>
      </c>
      <c r="H224">
        <v>842.779</v>
      </c>
      <c r="I224">
        <v>842.23599999999999</v>
      </c>
      <c r="J224">
        <v>840.971</v>
      </c>
      <c r="K224">
        <v>839.57100000000003</v>
      </c>
      <c r="L224">
        <v>839.19600000000003</v>
      </c>
      <c r="M224" s="233" t="s">
        <v>532</v>
      </c>
      <c r="N224" s="233" t="s">
        <v>533</v>
      </c>
      <c r="O224" s="3" t="s">
        <v>725</v>
      </c>
      <c r="BM224" s="127"/>
      <c r="BN224" s="127"/>
      <c r="BO224" s="127"/>
      <c r="BP224" s="127"/>
      <c r="BQ224" s="127"/>
      <c r="BR224" s="127"/>
      <c r="BS224" s="127"/>
      <c r="BT224" s="127"/>
      <c r="BU224" s="127"/>
      <c r="BV224" s="127"/>
      <c r="BW224" s="127"/>
      <c r="BX224" s="127"/>
      <c r="BY224" s="127"/>
      <c r="BZ224" s="127"/>
      <c r="CA224" s="127"/>
      <c r="ER224" s="127"/>
      <c r="ES224" s="127"/>
      <c r="ET224" s="127"/>
      <c r="EU224" s="127"/>
      <c r="EV224" s="127"/>
      <c r="EW224" s="127"/>
      <c r="EX224" s="127"/>
      <c r="EY224" s="127"/>
      <c r="EZ224" s="127"/>
      <c r="FA224" s="127"/>
      <c r="FB224" s="127"/>
      <c r="FC224" s="127"/>
      <c r="FD224" s="127"/>
      <c r="FE224" s="127"/>
      <c r="FF224" s="127"/>
      <c r="HW224" s="127"/>
      <c r="HX224" s="127"/>
      <c r="HY224" s="127"/>
      <c r="HZ224" s="127"/>
      <c r="IA224" s="127"/>
      <c r="IB224" s="127"/>
      <c r="IC224" s="127"/>
      <c r="ID224" s="127"/>
      <c r="IE224" s="127"/>
      <c r="IF224" s="127"/>
      <c r="IG224" s="127"/>
      <c r="IH224" s="127"/>
      <c r="II224" s="127"/>
      <c r="IJ224" s="127"/>
      <c r="IK224" s="127"/>
      <c r="LB224" s="127"/>
      <c r="LC224" s="127"/>
      <c r="LD224" s="127"/>
      <c r="LE224" s="127"/>
      <c r="LF224" s="127"/>
      <c r="LG224" s="127"/>
      <c r="LH224" s="127"/>
      <c r="LI224" s="127"/>
      <c r="LJ224" s="127"/>
      <c r="LK224" s="127"/>
      <c r="LL224" s="127"/>
      <c r="LM224" s="127"/>
      <c r="LN224" s="127"/>
      <c r="LO224" s="127"/>
      <c r="LP224" s="127"/>
      <c r="OG224" s="127"/>
      <c r="OH224" s="127"/>
      <c r="OI224" s="127"/>
      <c r="OJ224" s="127"/>
      <c r="OK224" s="127"/>
      <c r="OL224" s="127"/>
      <c r="OM224" s="127"/>
      <c r="ON224" s="127"/>
      <c r="OO224" s="127"/>
      <c r="OP224" s="127"/>
      <c r="OQ224" s="127"/>
      <c r="OR224" s="127"/>
      <c r="OS224" s="127"/>
      <c r="OT224" s="127"/>
      <c r="OU224" s="127"/>
    </row>
    <row r="225" spans="1:411">
      <c r="A225">
        <v>29</v>
      </c>
      <c r="B225">
        <v>331</v>
      </c>
      <c r="C225" t="s">
        <v>72</v>
      </c>
      <c r="D225" t="s">
        <v>80</v>
      </c>
      <c r="E225" s="232" t="s">
        <v>16599</v>
      </c>
      <c r="F225" t="s">
        <v>71</v>
      </c>
      <c r="G225">
        <v>1</v>
      </c>
      <c r="H225">
        <v>841.25800000000004</v>
      </c>
      <c r="I225">
        <v>840.68100000000004</v>
      </c>
      <c r="J225">
        <v>839.38099999999997</v>
      </c>
      <c r="K225">
        <v>838.16800000000001</v>
      </c>
      <c r="L225">
        <v>836.71500000000003</v>
      </c>
      <c r="M225" s="233" t="s">
        <v>532</v>
      </c>
      <c r="N225" s="233" t="s">
        <v>533</v>
      </c>
      <c r="O225" s="3" t="s">
        <v>726</v>
      </c>
      <c r="BM225" s="127"/>
      <c r="BN225" s="127"/>
      <c r="BO225" s="127"/>
      <c r="BP225" s="127"/>
      <c r="BQ225" s="127"/>
      <c r="BR225" s="127"/>
      <c r="BS225" s="127"/>
      <c r="BT225" s="127"/>
      <c r="BU225" s="127"/>
      <c r="BV225" s="127"/>
      <c r="BW225" s="127"/>
      <c r="BX225" s="127"/>
      <c r="BY225" s="127"/>
      <c r="BZ225" s="127"/>
      <c r="CA225" s="127"/>
      <c r="ER225" s="127"/>
      <c r="ES225" s="127"/>
      <c r="ET225" s="127"/>
      <c r="EU225" s="127"/>
      <c r="EV225" s="127"/>
      <c r="EW225" s="127"/>
      <c r="EX225" s="127"/>
      <c r="EY225" s="127"/>
      <c r="EZ225" s="127"/>
      <c r="FA225" s="127"/>
      <c r="FB225" s="127"/>
      <c r="FC225" s="127"/>
      <c r="FD225" s="127"/>
      <c r="FE225" s="127"/>
      <c r="FF225" s="127"/>
      <c r="HW225" s="127"/>
      <c r="HX225" s="127"/>
      <c r="HY225" s="127"/>
      <c r="HZ225" s="127"/>
      <c r="IA225" s="127"/>
      <c r="IB225" s="127"/>
      <c r="IC225" s="127"/>
      <c r="ID225" s="127"/>
      <c r="IE225" s="127"/>
      <c r="IF225" s="127"/>
      <c r="IG225" s="127"/>
      <c r="IH225" s="127"/>
      <c r="II225" s="127"/>
      <c r="IJ225" s="127"/>
      <c r="IK225" s="127"/>
      <c r="LB225" s="127"/>
      <c r="LC225" s="127"/>
      <c r="LD225" s="127"/>
      <c r="LE225" s="127"/>
      <c r="LF225" s="127"/>
      <c r="LG225" s="127"/>
      <c r="LH225" s="127"/>
      <c r="LI225" s="127"/>
      <c r="LJ225" s="127"/>
      <c r="LK225" s="127"/>
      <c r="LL225" s="127"/>
      <c r="LM225" s="127"/>
      <c r="LN225" s="127"/>
      <c r="LO225" s="127"/>
      <c r="LP225" s="127"/>
      <c r="OG225" s="127"/>
      <c r="OH225" s="127"/>
      <c r="OI225" s="127"/>
      <c r="OJ225" s="127"/>
      <c r="OK225" s="127"/>
      <c r="OL225" s="127"/>
      <c r="OM225" s="127"/>
      <c r="ON225" s="127"/>
      <c r="OO225" s="127"/>
      <c r="OP225" s="127"/>
      <c r="OQ225" s="127"/>
      <c r="OR225" s="127"/>
      <c r="OS225" s="127"/>
      <c r="OT225" s="127"/>
      <c r="OU225" s="127"/>
    </row>
    <row r="226" spans="1:411">
      <c r="A226">
        <v>28</v>
      </c>
      <c r="B226">
        <v>336</v>
      </c>
      <c r="C226" t="s">
        <v>72</v>
      </c>
      <c r="D226" t="s">
        <v>80</v>
      </c>
      <c r="E226" s="232" t="s">
        <v>8883</v>
      </c>
      <c r="F226" t="s">
        <v>71</v>
      </c>
      <c r="G226">
        <v>1</v>
      </c>
      <c r="H226">
        <v>844.86199999999997</v>
      </c>
      <c r="I226">
        <v>842.58500000000004</v>
      </c>
      <c r="J226">
        <v>840.77599999999995</v>
      </c>
      <c r="K226">
        <v>837.55899999999997</v>
      </c>
      <c r="L226">
        <v>835.05600000000004</v>
      </c>
      <c r="M226" s="233" t="s">
        <v>532</v>
      </c>
      <c r="N226" s="233" t="s">
        <v>533</v>
      </c>
      <c r="O226" s="3" t="s">
        <v>727</v>
      </c>
      <c r="BM226" s="127"/>
      <c r="BN226" s="127"/>
      <c r="BO226" s="127"/>
      <c r="BP226" s="127"/>
      <c r="BQ226" s="127"/>
      <c r="BR226" s="127"/>
      <c r="BS226" s="127"/>
      <c r="BT226" s="127"/>
      <c r="BU226" s="127"/>
      <c r="BV226" s="127"/>
      <c r="BW226" s="127"/>
      <c r="BX226" s="127"/>
      <c r="BY226" s="127"/>
      <c r="BZ226" s="127"/>
      <c r="CA226" s="127"/>
      <c r="ER226" s="127"/>
      <c r="ES226" s="127"/>
      <c r="ET226" s="127"/>
      <c r="EU226" s="127"/>
      <c r="EV226" s="127"/>
      <c r="EW226" s="127"/>
      <c r="EX226" s="127"/>
      <c r="EY226" s="127"/>
      <c r="EZ226" s="127"/>
      <c r="FA226" s="127"/>
      <c r="FB226" s="127"/>
      <c r="FC226" s="127"/>
      <c r="FD226" s="127"/>
      <c r="FE226" s="127"/>
      <c r="FF226" s="127"/>
      <c r="HW226" s="127"/>
      <c r="HX226" s="127"/>
      <c r="HY226" s="127"/>
      <c r="HZ226" s="127"/>
      <c r="IA226" s="127"/>
      <c r="IB226" s="127"/>
      <c r="IC226" s="127"/>
      <c r="ID226" s="127"/>
      <c r="IE226" s="127"/>
      <c r="IF226" s="127"/>
      <c r="IG226" s="127"/>
      <c r="IH226" s="127"/>
      <c r="II226" s="127"/>
      <c r="IJ226" s="127"/>
      <c r="IK226" s="127"/>
      <c r="LB226" s="127"/>
      <c r="LC226" s="127"/>
      <c r="LD226" s="127"/>
      <c r="LE226" s="127"/>
      <c r="LF226" s="127"/>
      <c r="LG226" s="127"/>
      <c r="LH226" s="127"/>
      <c r="LI226" s="127"/>
      <c r="LJ226" s="127"/>
      <c r="LK226" s="127"/>
      <c r="LL226" s="127"/>
      <c r="LM226" s="127"/>
      <c r="LN226" s="127"/>
      <c r="LO226" s="127"/>
      <c r="LP226" s="127"/>
      <c r="OG226" s="127"/>
      <c r="OH226" s="127"/>
      <c r="OI226" s="127"/>
      <c r="OJ226" s="127"/>
      <c r="OK226" s="127"/>
      <c r="OL226" s="127"/>
      <c r="OM226" s="127"/>
      <c r="ON226" s="127"/>
      <c r="OO226" s="127"/>
      <c r="OP226" s="127"/>
      <c r="OQ226" s="127"/>
      <c r="OR226" s="127"/>
      <c r="OS226" s="127"/>
      <c r="OT226" s="127"/>
      <c r="OU226" s="127"/>
    </row>
    <row r="227" spans="1:411">
      <c r="A227">
        <v>28</v>
      </c>
      <c r="B227">
        <v>332</v>
      </c>
      <c r="C227" t="s">
        <v>72</v>
      </c>
      <c r="D227" t="s">
        <v>80</v>
      </c>
      <c r="E227" s="232" t="s">
        <v>7365</v>
      </c>
      <c r="F227" t="s">
        <v>71</v>
      </c>
      <c r="G227">
        <v>1</v>
      </c>
      <c r="H227">
        <v>842.447</v>
      </c>
      <c r="I227">
        <v>841.53399999999999</v>
      </c>
      <c r="J227">
        <v>840.48500000000001</v>
      </c>
      <c r="K227">
        <v>839.19600000000003</v>
      </c>
      <c r="L227">
        <v>837.55899999999997</v>
      </c>
      <c r="M227" s="233" t="s">
        <v>532</v>
      </c>
      <c r="N227" s="233" t="s">
        <v>533</v>
      </c>
      <c r="O227" s="3" t="s">
        <v>728</v>
      </c>
      <c r="BM227" s="127"/>
      <c r="BN227" s="127"/>
      <c r="BO227" s="127"/>
      <c r="BP227" s="127"/>
      <c r="BQ227" s="127"/>
      <c r="BR227" s="127"/>
      <c r="BS227" s="127"/>
      <c r="BT227" s="127"/>
      <c r="BU227" s="127"/>
      <c r="BV227" s="127"/>
      <c r="BW227" s="127"/>
      <c r="BX227" s="127"/>
      <c r="BY227" s="127"/>
      <c r="BZ227" s="127"/>
      <c r="CA227" s="127"/>
      <c r="ER227" s="127"/>
      <c r="ES227" s="127"/>
      <c r="ET227" s="127"/>
      <c r="EU227" s="127"/>
      <c r="EV227" s="127"/>
      <c r="EW227" s="127"/>
      <c r="EX227" s="127"/>
      <c r="EY227" s="127"/>
      <c r="EZ227" s="127"/>
      <c r="FA227" s="127"/>
      <c r="FB227" s="127"/>
      <c r="FC227" s="127"/>
      <c r="FD227" s="127"/>
      <c r="FE227" s="127"/>
      <c r="FF227" s="127"/>
      <c r="HW227" s="127"/>
      <c r="HX227" s="127"/>
      <c r="HY227" s="127"/>
      <c r="HZ227" s="127"/>
      <c r="IA227" s="127"/>
      <c r="IB227" s="127"/>
      <c r="IC227" s="127"/>
      <c r="ID227" s="127"/>
      <c r="IE227" s="127"/>
      <c r="IF227" s="127"/>
      <c r="IG227" s="127"/>
      <c r="IH227" s="127"/>
      <c r="II227" s="127"/>
      <c r="IJ227" s="127"/>
      <c r="IK227" s="127"/>
      <c r="LB227" s="127"/>
      <c r="LC227" s="127"/>
      <c r="LD227" s="127"/>
      <c r="LE227" s="127"/>
      <c r="LF227" s="127"/>
      <c r="LG227" s="127"/>
      <c r="LH227" s="127"/>
      <c r="LI227" s="127"/>
      <c r="LJ227" s="127"/>
      <c r="LK227" s="127"/>
      <c r="LL227" s="127"/>
      <c r="LM227" s="127"/>
      <c r="LN227" s="127"/>
      <c r="LO227" s="127"/>
      <c r="LP227" s="127"/>
      <c r="OG227" s="127"/>
      <c r="OH227" s="127"/>
      <c r="OI227" s="127"/>
      <c r="OJ227" s="127"/>
      <c r="OK227" s="127"/>
      <c r="OL227" s="127"/>
      <c r="OM227" s="127"/>
      <c r="ON227" s="127"/>
      <c r="OO227" s="127"/>
      <c r="OP227" s="127"/>
      <c r="OQ227" s="127"/>
      <c r="OR227" s="127"/>
      <c r="OS227" s="127"/>
      <c r="OT227" s="127"/>
      <c r="OU227" s="127"/>
    </row>
    <row r="228" spans="1:411">
      <c r="A228">
        <v>28</v>
      </c>
      <c r="B228">
        <v>334</v>
      </c>
      <c r="C228" t="s">
        <v>72</v>
      </c>
      <c r="D228" t="s">
        <v>80</v>
      </c>
      <c r="E228" s="232" t="s">
        <v>8654</v>
      </c>
      <c r="F228" t="s">
        <v>71</v>
      </c>
      <c r="G228">
        <v>1</v>
      </c>
      <c r="H228">
        <v>842.447</v>
      </c>
      <c r="I228">
        <v>841.53399999999999</v>
      </c>
      <c r="J228">
        <v>840.48500000000001</v>
      </c>
      <c r="K228">
        <v>839.19600000000003</v>
      </c>
      <c r="L228">
        <v>838.86400000000003</v>
      </c>
      <c r="M228" s="233" t="s">
        <v>532</v>
      </c>
      <c r="N228" s="233" t="s">
        <v>533</v>
      </c>
      <c r="O228" s="3" t="s">
        <v>729</v>
      </c>
      <c r="BM228" s="127"/>
      <c r="BN228" s="127"/>
      <c r="BO228" s="127"/>
      <c r="BP228" s="127"/>
      <c r="BQ228" s="127"/>
      <c r="BR228" s="127"/>
      <c r="BS228" s="127"/>
      <c r="BT228" s="127"/>
      <c r="BU228" s="127"/>
      <c r="BV228" s="127"/>
      <c r="BW228" s="127"/>
      <c r="BX228" s="127"/>
      <c r="BY228" s="127"/>
      <c r="BZ228" s="127"/>
      <c r="CA228" s="127"/>
      <c r="ER228" s="127"/>
      <c r="ES228" s="127"/>
      <c r="ET228" s="127"/>
      <c r="EU228" s="127"/>
      <c r="EV228" s="127"/>
      <c r="EW228" s="127"/>
      <c r="EX228" s="127"/>
      <c r="EY228" s="127"/>
      <c r="EZ228" s="127"/>
      <c r="FA228" s="127"/>
      <c r="FB228" s="127"/>
      <c r="FC228" s="127"/>
      <c r="FD228" s="127"/>
      <c r="FE228" s="127"/>
      <c r="FF228" s="127"/>
      <c r="HW228" s="127"/>
      <c r="HX228" s="127"/>
      <c r="HY228" s="127"/>
      <c r="HZ228" s="127"/>
      <c r="IA228" s="127"/>
      <c r="IB228" s="127"/>
      <c r="IC228" s="127"/>
      <c r="ID228" s="127"/>
      <c r="IE228" s="127"/>
      <c r="IF228" s="127"/>
      <c r="IG228" s="127"/>
      <c r="IH228" s="127"/>
      <c r="II228" s="127"/>
      <c r="IJ228" s="127"/>
      <c r="IK228" s="127"/>
      <c r="LB228" s="127"/>
      <c r="LC228" s="127"/>
      <c r="LD228" s="127"/>
      <c r="LE228" s="127"/>
      <c r="LF228" s="127"/>
      <c r="LG228" s="127"/>
      <c r="LH228" s="127"/>
      <c r="LI228" s="127"/>
      <c r="LJ228" s="127"/>
      <c r="LK228" s="127"/>
      <c r="LL228" s="127"/>
      <c r="LM228" s="127"/>
      <c r="LN228" s="127"/>
      <c r="LO228" s="127"/>
      <c r="LP228" s="127"/>
      <c r="OG228" s="127"/>
      <c r="OH228" s="127"/>
      <c r="OI228" s="127"/>
      <c r="OJ228" s="127"/>
      <c r="OK228" s="127"/>
      <c r="OL228" s="127"/>
      <c r="OM228" s="127"/>
      <c r="ON228" s="127"/>
      <c r="OO228" s="127"/>
      <c r="OP228" s="127"/>
      <c r="OQ228" s="127"/>
      <c r="OR228" s="127"/>
      <c r="OS228" s="127"/>
      <c r="OT228" s="127"/>
      <c r="OU228" s="127"/>
    </row>
    <row r="229" spans="1:411">
      <c r="A229">
        <v>28</v>
      </c>
      <c r="B229">
        <v>350</v>
      </c>
      <c r="C229" t="s">
        <v>72</v>
      </c>
      <c r="D229" t="s">
        <v>80</v>
      </c>
      <c r="E229" s="232" t="s">
        <v>8216</v>
      </c>
      <c r="F229" t="s">
        <v>71</v>
      </c>
      <c r="G229">
        <v>1</v>
      </c>
      <c r="H229">
        <v>842.447</v>
      </c>
      <c r="I229">
        <v>841.53399999999999</v>
      </c>
      <c r="J229">
        <v>840.48500000000001</v>
      </c>
      <c r="K229">
        <v>839.19600000000003</v>
      </c>
      <c r="L229">
        <v>838.86400000000003</v>
      </c>
      <c r="M229" s="233" t="s">
        <v>532</v>
      </c>
      <c r="N229" s="233" t="s">
        <v>533</v>
      </c>
      <c r="O229" s="3" t="s">
        <v>730</v>
      </c>
      <c r="BM229" s="127"/>
      <c r="BN229" s="127"/>
      <c r="BO229" s="127"/>
      <c r="BP229" s="127"/>
      <c r="BQ229" s="127"/>
      <c r="BR229" s="127"/>
      <c r="BS229" s="127"/>
      <c r="BT229" s="127"/>
      <c r="BU229" s="127"/>
      <c r="BV229" s="127"/>
      <c r="BW229" s="127"/>
      <c r="BX229" s="127"/>
      <c r="BY229" s="127"/>
      <c r="BZ229" s="127"/>
      <c r="CA229" s="127"/>
      <c r="ER229" s="127"/>
      <c r="ES229" s="127"/>
      <c r="ET229" s="127"/>
      <c r="EU229" s="127"/>
      <c r="EV229" s="127"/>
      <c r="EW229" s="127"/>
      <c r="EX229" s="127"/>
      <c r="EY229" s="127"/>
      <c r="EZ229" s="127"/>
      <c r="FA229" s="127"/>
      <c r="FB229" s="127"/>
      <c r="FC229" s="127"/>
      <c r="FD229" s="127"/>
      <c r="FE229" s="127"/>
      <c r="FF229" s="127"/>
      <c r="HW229" s="127"/>
      <c r="HX229" s="127"/>
      <c r="HY229" s="127"/>
      <c r="HZ229" s="127"/>
      <c r="IA229" s="127"/>
      <c r="IB229" s="127"/>
      <c r="IC229" s="127"/>
      <c r="ID229" s="127"/>
      <c r="IE229" s="127"/>
      <c r="IF229" s="127"/>
      <c r="IG229" s="127"/>
      <c r="IH229" s="127"/>
      <c r="II229" s="127"/>
      <c r="IJ229" s="127"/>
      <c r="IK229" s="127"/>
      <c r="LB229" s="127"/>
      <c r="LC229" s="127"/>
      <c r="LD229" s="127"/>
      <c r="LE229" s="127"/>
      <c r="LF229" s="127"/>
      <c r="LG229" s="127"/>
      <c r="LH229" s="127"/>
      <c r="LI229" s="127"/>
      <c r="LJ229" s="127"/>
      <c r="LK229" s="127"/>
      <c r="LL229" s="127"/>
      <c r="LM229" s="127"/>
      <c r="LN229" s="127"/>
      <c r="LO229" s="127"/>
      <c r="LP229" s="127"/>
      <c r="OG229" s="127"/>
      <c r="OH229" s="127"/>
      <c r="OI229" s="127"/>
      <c r="OJ229" s="127"/>
      <c r="OK229" s="127"/>
      <c r="OL229" s="127"/>
      <c r="OM229" s="127"/>
      <c r="ON229" s="127"/>
      <c r="OO229" s="127"/>
      <c r="OP229" s="127"/>
      <c r="OQ229" s="127"/>
      <c r="OR229" s="127"/>
      <c r="OS229" s="127"/>
      <c r="OT229" s="127"/>
      <c r="OU229" s="127"/>
    </row>
    <row r="230" spans="1:411">
      <c r="A230">
        <v>29</v>
      </c>
      <c r="B230">
        <v>338</v>
      </c>
      <c r="C230" t="s">
        <v>72</v>
      </c>
      <c r="D230" t="s">
        <v>80</v>
      </c>
      <c r="E230" s="232" t="s">
        <v>8197</v>
      </c>
      <c r="F230" t="s">
        <v>71</v>
      </c>
      <c r="G230">
        <v>1</v>
      </c>
      <c r="H230">
        <v>841.10900000000004</v>
      </c>
      <c r="I230">
        <v>839.83500000000004</v>
      </c>
      <c r="J230">
        <v>838.24699999999996</v>
      </c>
      <c r="K230">
        <v>837.529</v>
      </c>
      <c r="L230">
        <v>836.71500000000003</v>
      </c>
      <c r="M230" s="233" t="s">
        <v>532</v>
      </c>
      <c r="N230" s="233" t="s">
        <v>533</v>
      </c>
      <c r="O230" s="3" t="s">
        <v>731</v>
      </c>
      <c r="BM230" s="127"/>
      <c r="BN230" s="127"/>
      <c r="BO230" s="127"/>
      <c r="BP230" s="127"/>
      <c r="BQ230" s="127"/>
      <c r="BR230" s="127"/>
      <c r="BS230" s="127"/>
      <c r="BT230" s="127"/>
      <c r="BU230" s="127"/>
      <c r="BV230" s="127"/>
      <c r="BW230" s="127"/>
      <c r="BX230" s="127"/>
      <c r="BY230" s="127"/>
      <c r="BZ230" s="127"/>
      <c r="CA230" s="127"/>
      <c r="ER230" s="127"/>
      <c r="ES230" s="127"/>
      <c r="ET230" s="127"/>
      <c r="EU230" s="127"/>
      <c r="EV230" s="127"/>
      <c r="EW230" s="127"/>
      <c r="EX230" s="127"/>
      <c r="EY230" s="127"/>
      <c r="EZ230" s="127"/>
      <c r="FA230" s="127"/>
      <c r="FB230" s="127"/>
      <c r="FC230" s="127"/>
      <c r="FD230" s="127"/>
      <c r="FE230" s="127"/>
      <c r="FF230" s="127"/>
      <c r="HW230" s="127"/>
      <c r="HX230" s="127"/>
      <c r="HY230" s="127"/>
      <c r="HZ230" s="127"/>
      <c r="IA230" s="127"/>
      <c r="IB230" s="127"/>
      <c r="IC230" s="127"/>
      <c r="ID230" s="127"/>
      <c r="IE230" s="127"/>
      <c r="IF230" s="127"/>
      <c r="IG230" s="127"/>
      <c r="IH230" s="127"/>
      <c r="II230" s="127"/>
      <c r="IJ230" s="127"/>
      <c r="IK230" s="127"/>
      <c r="LB230" s="127"/>
      <c r="LC230" s="127"/>
      <c r="LD230" s="127"/>
      <c r="LE230" s="127"/>
      <c r="LF230" s="127"/>
      <c r="LG230" s="127"/>
      <c r="LH230" s="127"/>
      <c r="LI230" s="127"/>
      <c r="LJ230" s="127"/>
      <c r="LK230" s="127"/>
      <c r="LL230" s="127"/>
      <c r="LM230" s="127"/>
      <c r="LN230" s="127"/>
      <c r="LO230" s="127"/>
      <c r="LP230" s="127"/>
      <c r="OG230" s="127"/>
      <c r="OH230" s="127"/>
      <c r="OI230" s="127"/>
      <c r="OJ230" s="127"/>
      <c r="OK230" s="127"/>
      <c r="OL230" s="127"/>
      <c r="OM230" s="127"/>
      <c r="ON230" s="127"/>
      <c r="OO230" s="127"/>
      <c r="OP230" s="127"/>
      <c r="OQ230" s="127"/>
      <c r="OR230" s="127"/>
      <c r="OS230" s="127"/>
      <c r="OT230" s="127"/>
      <c r="OU230" s="127"/>
    </row>
    <row r="231" spans="1:411">
      <c r="A231">
        <v>28</v>
      </c>
      <c r="B231">
        <v>330</v>
      </c>
      <c r="C231" t="s">
        <v>72</v>
      </c>
      <c r="D231" t="s">
        <v>80</v>
      </c>
      <c r="E231" s="232" t="s">
        <v>8618</v>
      </c>
      <c r="F231" t="s">
        <v>71</v>
      </c>
      <c r="G231">
        <v>1</v>
      </c>
      <c r="H231">
        <v>841.39599999999996</v>
      </c>
      <c r="I231">
        <v>840.21</v>
      </c>
      <c r="J231">
        <v>839.19600000000003</v>
      </c>
      <c r="K231">
        <v>837.697</v>
      </c>
      <c r="L231">
        <v>837.23800000000006</v>
      </c>
      <c r="M231" s="233" t="s">
        <v>532</v>
      </c>
      <c r="N231" s="233" t="s">
        <v>533</v>
      </c>
      <c r="O231" s="3" t="s">
        <v>732</v>
      </c>
      <c r="BM231" s="127"/>
      <c r="BN231" s="127"/>
      <c r="BO231" s="127"/>
      <c r="BP231" s="127"/>
      <c r="BQ231" s="127"/>
      <c r="BR231" s="127"/>
      <c r="BS231" s="127"/>
      <c r="BT231" s="127"/>
      <c r="BU231" s="127"/>
      <c r="BV231" s="127"/>
      <c r="BW231" s="127"/>
      <c r="BX231" s="127"/>
      <c r="BY231" s="127"/>
      <c r="BZ231" s="127"/>
      <c r="CA231" s="127"/>
      <c r="ER231" s="127"/>
      <c r="ES231" s="127"/>
      <c r="ET231" s="127"/>
      <c r="EU231" s="127"/>
      <c r="EV231" s="127"/>
      <c r="EW231" s="127"/>
      <c r="EX231" s="127"/>
      <c r="EY231" s="127"/>
      <c r="EZ231" s="127"/>
      <c r="FA231" s="127"/>
      <c r="FB231" s="127"/>
      <c r="FC231" s="127"/>
      <c r="FD231" s="127"/>
      <c r="FE231" s="127"/>
      <c r="FF231" s="127"/>
      <c r="HW231" s="127"/>
      <c r="HX231" s="127"/>
      <c r="HY231" s="127"/>
      <c r="HZ231" s="127"/>
      <c r="IA231" s="127"/>
      <c r="IB231" s="127"/>
      <c r="IC231" s="127"/>
      <c r="ID231" s="127"/>
      <c r="IE231" s="127"/>
      <c r="IF231" s="127"/>
      <c r="IG231" s="127"/>
      <c r="IH231" s="127"/>
      <c r="II231" s="127"/>
      <c r="IJ231" s="127"/>
      <c r="IK231" s="127"/>
      <c r="LB231" s="127"/>
      <c r="LC231" s="127"/>
      <c r="LD231" s="127"/>
      <c r="LE231" s="127"/>
      <c r="LF231" s="127"/>
      <c r="LG231" s="127"/>
      <c r="LH231" s="127"/>
      <c r="LI231" s="127"/>
      <c r="LJ231" s="127"/>
      <c r="LK231" s="127"/>
      <c r="LL231" s="127"/>
      <c r="LM231" s="127"/>
      <c r="LN231" s="127"/>
      <c r="LO231" s="127"/>
      <c r="LP231" s="127"/>
      <c r="OG231" s="127"/>
      <c r="OH231" s="127"/>
      <c r="OI231" s="127"/>
      <c r="OJ231" s="127"/>
      <c r="OK231" s="127"/>
      <c r="OL231" s="127"/>
      <c r="OM231" s="127"/>
      <c r="ON231" s="127"/>
      <c r="OO231" s="127"/>
      <c r="OP231" s="127"/>
      <c r="OQ231" s="127"/>
      <c r="OR231" s="127"/>
      <c r="OS231" s="127"/>
      <c r="OT231" s="127"/>
      <c r="OU231" s="127"/>
    </row>
    <row r="232" spans="1:411">
      <c r="A232">
        <v>28</v>
      </c>
      <c r="B232">
        <v>333</v>
      </c>
      <c r="C232" t="s">
        <v>72</v>
      </c>
      <c r="D232" t="s">
        <v>80</v>
      </c>
      <c r="E232" s="232" t="s">
        <v>8753</v>
      </c>
      <c r="F232" t="s">
        <v>71</v>
      </c>
      <c r="G232">
        <v>1</v>
      </c>
      <c r="H232">
        <v>841.39599999999996</v>
      </c>
      <c r="I232">
        <v>840.21</v>
      </c>
      <c r="J232">
        <v>839.19600000000003</v>
      </c>
      <c r="K232">
        <v>838.048</v>
      </c>
      <c r="L232">
        <v>835.40800000000002</v>
      </c>
      <c r="M232" s="233" t="s">
        <v>532</v>
      </c>
      <c r="N232" s="233" t="s">
        <v>533</v>
      </c>
      <c r="O232" s="3" t="s">
        <v>733</v>
      </c>
      <c r="BM232" s="127"/>
      <c r="BN232" s="127"/>
      <c r="BO232" s="127"/>
      <c r="BP232" s="127"/>
      <c r="BQ232" s="127"/>
      <c r="BR232" s="127"/>
      <c r="BS232" s="127"/>
      <c r="BT232" s="127"/>
      <c r="BU232" s="127"/>
      <c r="BV232" s="127"/>
      <c r="BW232" s="127"/>
      <c r="BX232" s="127"/>
      <c r="BY232" s="127"/>
      <c r="BZ232" s="127"/>
      <c r="CA232" s="127"/>
      <c r="ER232" s="127"/>
      <c r="ES232" s="127"/>
      <c r="ET232" s="127"/>
      <c r="EU232" s="127"/>
      <c r="EV232" s="127"/>
      <c r="EW232" s="127"/>
      <c r="EX232" s="127"/>
      <c r="EY232" s="127"/>
      <c r="EZ232" s="127"/>
      <c r="FA232" s="127"/>
      <c r="FB232" s="127"/>
      <c r="FC232" s="127"/>
      <c r="FD232" s="127"/>
      <c r="FE232" s="127"/>
      <c r="FF232" s="127"/>
      <c r="HW232" s="127"/>
      <c r="HX232" s="127"/>
      <c r="HY232" s="127"/>
      <c r="HZ232" s="127"/>
      <c r="IA232" s="127"/>
      <c r="IB232" s="127"/>
      <c r="IC232" s="127"/>
      <c r="ID232" s="127"/>
      <c r="IE232" s="127"/>
      <c r="IF232" s="127"/>
      <c r="IG232" s="127"/>
      <c r="IH232" s="127"/>
      <c r="II232" s="127"/>
      <c r="IJ232" s="127"/>
      <c r="IK232" s="127"/>
      <c r="LB232" s="127"/>
      <c r="LC232" s="127"/>
      <c r="LD232" s="127"/>
      <c r="LE232" s="127"/>
      <c r="LF232" s="127"/>
      <c r="LG232" s="127"/>
      <c r="LH232" s="127"/>
      <c r="LI232" s="127"/>
      <c r="LJ232" s="127"/>
      <c r="LK232" s="127"/>
      <c r="LL232" s="127"/>
      <c r="LM232" s="127"/>
      <c r="LN232" s="127"/>
      <c r="LO232" s="127"/>
      <c r="LP232" s="127"/>
      <c r="OG232" s="127"/>
      <c r="OH232" s="127"/>
      <c r="OI232" s="127"/>
      <c r="OJ232" s="127"/>
      <c r="OK232" s="127"/>
      <c r="OL232" s="127"/>
      <c r="OM232" s="127"/>
      <c r="ON232" s="127"/>
      <c r="OO232" s="127"/>
      <c r="OP232" s="127"/>
      <c r="OQ232" s="127"/>
      <c r="OR232" s="127"/>
      <c r="OS232" s="127"/>
      <c r="OT232" s="127"/>
      <c r="OU232" s="127"/>
    </row>
    <row r="233" spans="1:411">
      <c r="A233">
        <v>28</v>
      </c>
      <c r="B233">
        <v>335</v>
      </c>
      <c r="C233" t="s">
        <v>72</v>
      </c>
      <c r="D233" t="s">
        <v>80</v>
      </c>
      <c r="E233" s="232" t="s">
        <v>8863</v>
      </c>
      <c r="F233" t="s">
        <v>71</v>
      </c>
      <c r="G233">
        <v>1</v>
      </c>
      <c r="H233">
        <v>840.971</v>
      </c>
      <c r="I233">
        <v>840.03599999999994</v>
      </c>
      <c r="J233">
        <v>838.16200000000003</v>
      </c>
      <c r="K233">
        <v>837.55899999999997</v>
      </c>
      <c r="L233">
        <v>836.41800000000001</v>
      </c>
      <c r="M233" s="233" t="s">
        <v>532</v>
      </c>
      <c r="N233" s="233" t="s">
        <v>533</v>
      </c>
      <c r="O233" s="3" t="s">
        <v>734</v>
      </c>
      <c r="BM233" s="127"/>
      <c r="BN233" s="127"/>
      <c r="BO233" s="127"/>
      <c r="BP233" s="127"/>
      <c r="BQ233" s="127"/>
      <c r="BR233" s="127"/>
      <c r="BS233" s="127"/>
      <c r="BT233" s="127"/>
      <c r="BU233" s="127"/>
      <c r="BV233" s="127"/>
      <c r="BW233" s="127"/>
      <c r="BX233" s="127"/>
      <c r="BY233" s="127"/>
      <c r="BZ233" s="127"/>
      <c r="CA233" s="127"/>
      <c r="ER233" s="127"/>
      <c r="ES233" s="127"/>
      <c r="ET233" s="127"/>
      <c r="EU233" s="127"/>
      <c r="EV233" s="127"/>
      <c r="EW233" s="127"/>
      <c r="EX233" s="127"/>
      <c r="EY233" s="127"/>
      <c r="EZ233" s="127"/>
      <c r="FA233" s="127"/>
      <c r="FB233" s="127"/>
      <c r="FC233" s="127"/>
      <c r="FD233" s="127"/>
      <c r="FE233" s="127"/>
      <c r="FF233" s="127"/>
      <c r="HW233" s="127"/>
      <c r="HX233" s="127"/>
      <c r="HY233" s="127"/>
      <c r="HZ233" s="127"/>
      <c r="IA233" s="127"/>
      <c r="IB233" s="127"/>
      <c r="IC233" s="127"/>
      <c r="ID233" s="127"/>
      <c r="IE233" s="127"/>
      <c r="IF233" s="127"/>
      <c r="IG233" s="127"/>
      <c r="IH233" s="127"/>
      <c r="II233" s="127"/>
      <c r="IJ233" s="127"/>
      <c r="IK233" s="127"/>
      <c r="LB233" s="127"/>
      <c r="LC233" s="127"/>
      <c r="LD233" s="127"/>
      <c r="LE233" s="127"/>
      <c r="LF233" s="127"/>
      <c r="LG233" s="127"/>
      <c r="LH233" s="127"/>
      <c r="LI233" s="127"/>
      <c r="LJ233" s="127"/>
      <c r="LK233" s="127"/>
      <c r="LL233" s="127"/>
      <c r="LM233" s="127"/>
      <c r="LN233" s="127"/>
      <c r="LO233" s="127"/>
      <c r="LP233" s="127"/>
      <c r="OG233" s="127"/>
      <c r="OH233" s="127"/>
      <c r="OI233" s="127"/>
      <c r="OJ233" s="127"/>
      <c r="OK233" s="127"/>
      <c r="OL233" s="127"/>
      <c r="OM233" s="127"/>
      <c r="ON233" s="127"/>
      <c r="OO233" s="127"/>
      <c r="OP233" s="127"/>
      <c r="OQ233" s="127"/>
      <c r="OR233" s="127"/>
      <c r="OS233" s="127"/>
      <c r="OT233" s="127"/>
      <c r="OU233" s="127"/>
    </row>
    <row r="234" spans="1:411">
      <c r="A234">
        <v>28</v>
      </c>
      <c r="B234">
        <v>353</v>
      </c>
      <c r="C234" t="s">
        <v>72</v>
      </c>
      <c r="D234" t="s">
        <v>80</v>
      </c>
      <c r="E234" s="232" t="s">
        <v>9136</v>
      </c>
      <c r="F234" t="s">
        <v>71</v>
      </c>
      <c r="G234">
        <v>1</v>
      </c>
      <c r="H234">
        <v>840.48500000000001</v>
      </c>
      <c r="I234">
        <v>838.86400000000003</v>
      </c>
      <c r="J234">
        <v>837.55899999999997</v>
      </c>
      <c r="K234">
        <v>835.05600000000004</v>
      </c>
      <c r="L234">
        <v>832.29300000000001</v>
      </c>
      <c r="M234" s="233" t="s">
        <v>532</v>
      </c>
      <c r="N234" s="233" t="s">
        <v>533</v>
      </c>
      <c r="O234" s="3" t="s">
        <v>735</v>
      </c>
      <c r="BM234" s="127"/>
      <c r="BN234" s="127"/>
      <c r="BO234" s="127"/>
      <c r="BP234" s="127"/>
      <c r="BQ234" s="127"/>
      <c r="BR234" s="127"/>
      <c r="BS234" s="127"/>
      <c r="BT234" s="127"/>
      <c r="BU234" s="127"/>
      <c r="BV234" s="127"/>
      <c r="BW234" s="127"/>
      <c r="BX234" s="127"/>
      <c r="BY234" s="127"/>
      <c r="BZ234" s="127"/>
      <c r="CA234" s="127"/>
      <c r="ER234" s="127"/>
      <c r="ES234" s="127"/>
      <c r="ET234" s="127"/>
      <c r="EU234" s="127"/>
      <c r="EV234" s="127"/>
      <c r="EW234" s="127"/>
      <c r="EX234" s="127"/>
      <c r="EY234" s="127"/>
      <c r="EZ234" s="127"/>
      <c r="FA234" s="127"/>
      <c r="FB234" s="127"/>
      <c r="FC234" s="127"/>
      <c r="FD234" s="127"/>
      <c r="FE234" s="127"/>
      <c r="FF234" s="127"/>
      <c r="HW234" s="127"/>
      <c r="HX234" s="127"/>
      <c r="HY234" s="127"/>
      <c r="HZ234" s="127"/>
      <c r="IA234" s="127"/>
      <c r="IB234" s="127"/>
      <c r="IC234" s="127"/>
      <c r="ID234" s="127"/>
      <c r="IE234" s="127"/>
      <c r="IF234" s="127"/>
      <c r="IG234" s="127"/>
      <c r="IH234" s="127"/>
      <c r="II234" s="127"/>
      <c r="IJ234" s="127"/>
      <c r="IK234" s="127"/>
      <c r="LB234" s="127"/>
      <c r="LC234" s="127"/>
      <c r="LD234" s="127"/>
      <c r="LE234" s="127"/>
      <c r="LF234" s="127"/>
      <c r="LG234" s="127"/>
      <c r="LH234" s="127"/>
      <c r="LI234" s="127"/>
      <c r="LJ234" s="127"/>
      <c r="LK234" s="127"/>
      <c r="LL234" s="127"/>
      <c r="LM234" s="127"/>
      <c r="LN234" s="127"/>
      <c r="LO234" s="127"/>
      <c r="LP234" s="127"/>
      <c r="OG234" s="127"/>
      <c r="OH234" s="127"/>
      <c r="OI234" s="127"/>
      <c r="OJ234" s="127"/>
      <c r="OK234" s="127"/>
      <c r="OL234" s="127"/>
      <c r="OM234" s="127"/>
      <c r="ON234" s="127"/>
      <c r="OO234" s="127"/>
      <c r="OP234" s="127"/>
      <c r="OQ234" s="127"/>
      <c r="OR234" s="127"/>
      <c r="OS234" s="127"/>
      <c r="OT234" s="127"/>
      <c r="OU234" s="127"/>
    </row>
    <row r="235" spans="1:411">
      <c r="A235">
        <v>28</v>
      </c>
      <c r="B235">
        <v>339</v>
      </c>
      <c r="C235" t="s">
        <v>72</v>
      </c>
      <c r="D235" t="s">
        <v>80</v>
      </c>
      <c r="E235" s="232" t="s">
        <v>8217</v>
      </c>
      <c r="F235" t="s">
        <v>71</v>
      </c>
      <c r="G235">
        <v>1</v>
      </c>
      <c r="H235">
        <v>839.57100000000003</v>
      </c>
      <c r="I235">
        <v>838.16200000000003</v>
      </c>
      <c r="J235">
        <v>836.96400000000006</v>
      </c>
      <c r="K235">
        <v>835.40800000000002</v>
      </c>
      <c r="L235">
        <v>834.12199999999996</v>
      </c>
      <c r="M235" s="233" t="s">
        <v>532</v>
      </c>
      <c r="N235" s="233" t="s">
        <v>533</v>
      </c>
      <c r="O235" s="3" t="s">
        <v>736</v>
      </c>
      <c r="BM235" s="127"/>
      <c r="BN235" s="127"/>
      <c r="BO235" s="127"/>
      <c r="BP235" s="127"/>
      <c r="BQ235" s="127"/>
      <c r="BR235" s="127"/>
      <c r="BS235" s="127"/>
      <c r="BT235" s="127"/>
      <c r="BU235" s="127"/>
      <c r="BV235" s="127"/>
      <c r="BW235" s="127"/>
      <c r="BX235" s="127"/>
      <c r="BY235" s="127"/>
      <c r="BZ235" s="127"/>
      <c r="CA235" s="127"/>
      <c r="ER235" s="127"/>
      <c r="ES235" s="127"/>
      <c r="ET235" s="127"/>
      <c r="EU235" s="127"/>
      <c r="EV235" s="127"/>
      <c r="EW235" s="127"/>
      <c r="EX235" s="127"/>
      <c r="EY235" s="127"/>
      <c r="EZ235" s="127"/>
      <c r="FA235" s="127"/>
      <c r="FB235" s="127"/>
      <c r="FC235" s="127"/>
      <c r="FD235" s="127"/>
      <c r="FE235" s="127"/>
      <c r="FF235" s="127"/>
      <c r="HW235" s="127"/>
      <c r="HX235" s="127"/>
      <c r="HY235" s="127"/>
      <c r="HZ235" s="127"/>
      <c r="IA235" s="127"/>
      <c r="IB235" s="127"/>
      <c r="IC235" s="127"/>
      <c r="ID235" s="127"/>
      <c r="IE235" s="127"/>
      <c r="IF235" s="127"/>
      <c r="IG235" s="127"/>
      <c r="IH235" s="127"/>
      <c r="II235" s="127"/>
      <c r="IJ235" s="127"/>
      <c r="IK235" s="127"/>
      <c r="LB235" s="127"/>
      <c r="LC235" s="127"/>
      <c r="LD235" s="127"/>
      <c r="LE235" s="127"/>
      <c r="LF235" s="127"/>
      <c r="LG235" s="127"/>
      <c r="LH235" s="127"/>
      <c r="LI235" s="127"/>
      <c r="LJ235" s="127"/>
      <c r="LK235" s="127"/>
      <c r="LL235" s="127"/>
      <c r="LM235" s="127"/>
      <c r="LN235" s="127"/>
      <c r="LO235" s="127"/>
      <c r="LP235" s="127"/>
      <c r="OG235" s="127"/>
      <c r="OH235" s="127"/>
      <c r="OI235" s="127"/>
      <c r="OJ235" s="127"/>
      <c r="OK235" s="127"/>
      <c r="OL235" s="127"/>
      <c r="OM235" s="127"/>
      <c r="ON235" s="127"/>
      <c r="OO235" s="127"/>
      <c r="OP235" s="127"/>
      <c r="OQ235" s="127"/>
      <c r="OR235" s="127"/>
      <c r="OS235" s="127"/>
      <c r="OT235" s="127"/>
      <c r="OU235" s="127"/>
    </row>
    <row r="236" spans="1:411">
      <c r="A236">
        <v>28</v>
      </c>
      <c r="B236">
        <v>347</v>
      </c>
      <c r="C236" t="s">
        <v>72</v>
      </c>
      <c r="D236" t="s">
        <v>80</v>
      </c>
      <c r="E236" s="232" t="s">
        <v>8772</v>
      </c>
      <c r="F236" t="s">
        <v>71</v>
      </c>
      <c r="G236">
        <v>1</v>
      </c>
      <c r="H236">
        <v>836.41800000000001</v>
      </c>
      <c r="I236">
        <v>834.86199999999997</v>
      </c>
      <c r="J236">
        <v>833.40800000000002</v>
      </c>
      <c r="K236">
        <v>832.024</v>
      </c>
      <c r="L236">
        <v>831.47799999999995</v>
      </c>
      <c r="M236" s="233" t="s">
        <v>532</v>
      </c>
      <c r="N236" s="233" t="s">
        <v>533</v>
      </c>
      <c r="O236" s="3" t="s">
        <v>737</v>
      </c>
      <c r="BM236" s="127"/>
      <c r="BN236" s="127"/>
      <c r="BO236" s="127"/>
      <c r="BP236" s="127"/>
      <c r="BQ236" s="127"/>
      <c r="BR236" s="127"/>
      <c r="BS236" s="127"/>
      <c r="BT236" s="127"/>
      <c r="BU236" s="127"/>
      <c r="BV236" s="127"/>
      <c r="BW236" s="127"/>
      <c r="BX236" s="127"/>
      <c r="BY236" s="127"/>
      <c r="BZ236" s="127"/>
      <c r="CA236" s="127"/>
      <c r="ER236" s="127"/>
      <c r="ES236" s="127"/>
      <c r="ET236" s="127"/>
      <c r="EU236" s="127"/>
      <c r="EV236" s="127"/>
      <c r="EW236" s="127"/>
      <c r="EX236" s="127"/>
      <c r="EY236" s="127"/>
      <c r="EZ236" s="127"/>
      <c r="FA236" s="127"/>
      <c r="FB236" s="127"/>
      <c r="FC236" s="127"/>
      <c r="FD236" s="127"/>
      <c r="FE236" s="127"/>
      <c r="FF236" s="127"/>
      <c r="HW236" s="127"/>
      <c r="HX236" s="127"/>
      <c r="HY236" s="127"/>
      <c r="HZ236" s="127"/>
      <c r="IA236" s="127"/>
      <c r="IB236" s="127"/>
      <c r="IC236" s="127"/>
      <c r="ID236" s="127"/>
      <c r="IE236" s="127"/>
      <c r="IF236" s="127"/>
      <c r="IG236" s="127"/>
      <c r="IH236" s="127"/>
      <c r="II236" s="127"/>
      <c r="IJ236" s="127"/>
      <c r="IK236" s="127"/>
      <c r="LB236" s="127"/>
      <c r="LC236" s="127"/>
      <c r="LD236" s="127"/>
      <c r="LE236" s="127"/>
      <c r="LF236" s="127"/>
      <c r="LG236" s="127"/>
      <c r="LH236" s="127"/>
      <c r="LI236" s="127"/>
      <c r="LJ236" s="127"/>
      <c r="LK236" s="127"/>
      <c r="LL236" s="127"/>
      <c r="LM236" s="127"/>
      <c r="LN236" s="127"/>
      <c r="LO236" s="127"/>
      <c r="LP236" s="127"/>
      <c r="OG236" s="127"/>
      <c r="OH236" s="127"/>
      <c r="OI236" s="127"/>
      <c r="OJ236" s="127"/>
      <c r="OK236" s="127"/>
      <c r="OL236" s="127"/>
      <c r="OM236" s="127"/>
      <c r="ON236" s="127"/>
      <c r="OO236" s="127"/>
      <c r="OP236" s="127"/>
      <c r="OQ236" s="127"/>
      <c r="OR236" s="127"/>
      <c r="OS236" s="127"/>
      <c r="OT236" s="127"/>
      <c r="OU236" s="127"/>
    </row>
    <row r="237" spans="1:411">
      <c r="A237">
        <v>30</v>
      </c>
      <c r="B237">
        <v>356</v>
      </c>
      <c r="C237" t="s">
        <v>72</v>
      </c>
      <c r="D237" t="s">
        <v>228</v>
      </c>
      <c r="E237" s="232" t="s">
        <v>9173</v>
      </c>
      <c r="F237" t="s">
        <v>70</v>
      </c>
      <c r="G237">
        <v>1</v>
      </c>
      <c r="H237">
        <v>765.43899999999996</v>
      </c>
      <c r="I237">
        <v>764.07399999999996</v>
      </c>
      <c r="J237">
        <v>762.89700000000005</v>
      </c>
      <c r="K237">
        <v>760.90800000000002</v>
      </c>
      <c r="L237">
        <v>756.61099999999999</v>
      </c>
      <c r="M237" s="233" t="s">
        <v>530</v>
      </c>
      <c r="N237" s="233" t="s">
        <v>531</v>
      </c>
      <c r="O237" s="3" t="s">
        <v>738</v>
      </c>
      <c r="BM237" s="127"/>
      <c r="BN237" s="127"/>
      <c r="BO237" s="127"/>
      <c r="BP237" s="127"/>
      <c r="BQ237" s="127"/>
      <c r="BR237" s="127"/>
      <c r="BS237" s="127"/>
      <c r="BT237" s="127"/>
      <c r="BU237" s="127"/>
      <c r="BV237" s="127"/>
      <c r="BW237" s="127"/>
      <c r="BX237" s="127"/>
      <c r="BY237" s="127"/>
      <c r="BZ237" s="127"/>
      <c r="CA237" s="127"/>
      <c r="ER237" s="127"/>
      <c r="ES237" s="127"/>
      <c r="ET237" s="127"/>
      <c r="EU237" s="127"/>
      <c r="EV237" s="127"/>
      <c r="EW237" s="127"/>
      <c r="EX237" s="127"/>
      <c r="EY237" s="127"/>
      <c r="EZ237" s="127"/>
      <c r="FA237" s="127"/>
      <c r="FB237" s="127"/>
      <c r="FC237" s="127"/>
      <c r="FD237" s="127"/>
      <c r="FE237" s="127"/>
      <c r="FF237" s="127"/>
      <c r="HW237" s="127"/>
      <c r="HX237" s="127"/>
      <c r="HY237" s="127"/>
      <c r="HZ237" s="127"/>
      <c r="IA237" s="127"/>
      <c r="IB237" s="127"/>
      <c r="IC237" s="127"/>
      <c r="ID237" s="127"/>
      <c r="IE237" s="127"/>
      <c r="IF237" s="127"/>
      <c r="IG237" s="127"/>
      <c r="IH237" s="127"/>
      <c r="II237" s="127"/>
      <c r="IJ237" s="127"/>
      <c r="IK237" s="127"/>
      <c r="LB237" s="127"/>
      <c r="LC237" s="127"/>
      <c r="LD237" s="127"/>
      <c r="LE237" s="127"/>
      <c r="LF237" s="127"/>
      <c r="LG237" s="127"/>
      <c r="LH237" s="127"/>
      <c r="LI237" s="127"/>
      <c r="LJ237" s="127"/>
      <c r="LK237" s="127"/>
      <c r="LL237" s="127"/>
      <c r="LM237" s="127"/>
      <c r="LN237" s="127"/>
      <c r="LO237" s="127"/>
      <c r="LP237" s="127"/>
      <c r="OG237" s="127"/>
      <c r="OH237" s="127"/>
      <c r="OI237" s="127"/>
      <c r="OJ237" s="127"/>
      <c r="OK237" s="127"/>
      <c r="OL237" s="127"/>
      <c r="OM237" s="127"/>
      <c r="ON237" s="127"/>
      <c r="OO237" s="127"/>
      <c r="OP237" s="127"/>
      <c r="OQ237" s="127"/>
      <c r="OR237" s="127"/>
      <c r="OS237" s="127"/>
      <c r="OT237" s="127"/>
      <c r="OU237" s="127"/>
    </row>
    <row r="238" spans="1:411">
      <c r="A238">
        <v>30</v>
      </c>
      <c r="B238">
        <v>365</v>
      </c>
      <c r="C238" t="s">
        <v>72</v>
      </c>
      <c r="D238" t="s">
        <v>228</v>
      </c>
      <c r="E238" s="232" t="s">
        <v>555</v>
      </c>
      <c r="F238" t="s">
        <v>70</v>
      </c>
      <c r="G238">
        <v>1</v>
      </c>
      <c r="H238">
        <v>764.07399999999996</v>
      </c>
      <c r="I238">
        <v>763.73699999999997</v>
      </c>
      <c r="J238">
        <v>762.40099999999995</v>
      </c>
      <c r="K238">
        <v>761.23400000000004</v>
      </c>
      <c r="L238">
        <v>759.78200000000004</v>
      </c>
      <c r="M238" s="233" t="s">
        <v>530</v>
      </c>
      <c r="N238" s="233" t="s">
        <v>531</v>
      </c>
      <c r="O238" s="3" t="s">
        <v>739</v>
      </c>
      <c r="BM238" s="127"/>
      <c r="BN238" s="127"/>
      <c r="BO238" s="127"/>
      <c r="BP238" s="127"/>
      <c r="BQ238" s="127"/>
      <c r="BR238" s="127"/>
      <c r="BS238" s="127"/>
      <c r="BT238" s="127"/>
      <c r="BU238" s="127"/>
      <c r="BV238" s="127"/>
      <c r="BW238" s="127"/>
      <c r="BX238" s="127"/>
      <c r="BY238" s="127"/>
      <c r="BZ238" s="127"/>
      <c r="CA238" s="127"/>
      <c r="ER238" s="127"/>
      <c r="ES238" s="127"/>
      <c r="ET238" s="127"/>
      <c r="EU238" s="127"/>
      <c r="EV238" s="127"/>
      <c r="EW238" s="127"/>
      <c r="EX238" s="127"/>
      <c r="EY238" s="127"/>
      <c r="EZ238" s="127"/>
      <c r="FA238" s="127"/>
      <c r="FB238" s="127"/>
      <c r="FC238" s="127"/>
      <c r="FD238" s="127"/>
      <c r="FE238" s="127"/>
      <c r="FF238" s="127"/>
      <c r="HW238" s="127"/>
      <c r="HX238" s="127"/>
      <c r="HY238" s="127"/>
      <c r="HZ238" s="127"/>
      <c r="IA238" s="127"/>
      <c r="IB238" s="127"/>
      <c r="IC238" s="127"/>
      <c r="ID238" s="127"/>
      <c r="IE238" s="127"/>
      <c r="IF238" s="127"/>
      <c r="IG238" s="127"/>
      <c r="IH238" s="127"/>
      <c r="II238" s="127"/>
      <c r="IJ238" s="127"/>
      <c r="IK238" s="127"/>
      <c r="LB238" s="127"/>
      <c r="LC238" s="127"/>
      <c r="LD238" s="127"/>
      <c r="LE238" s="127"/>
      <c r="LF238" s="127"/>
      <c r="LG238" s="127"/>
      <c r="LH238" s="127"/>
      <c r="LI238" s="127"/>
      <c r="LJ238" s="127"/>
      <c r="LK238" s="127"/>
      <c r="LL238" s="127"/>
      <c r="LM238" s="127"/>
      <c r="LN238" s="127"/>
      <c r="LO238" s="127"/>
      <c r="LP238" s="127"/>
      <c r="OG238" s="127"/>
      <c r="OH238" s="127"/>
      <c r="OI238" s="127"/>
      <c r="OJ238" s="127"/>
      <c r="OK238" s="127"/>
      <c r="OL238" s="127"/>
      <c r="OM238" s="127"/>
      <c r="ON238" s="127"/>
      <c r="OO238" s="127"/>
      <c r="OP238" s="127"/>
      <c r="OQ238" s="127"/>
      <c r="OR238" s="127"/>
      <c r="OS238" s="127"/>
      <c r="OT238" s="127"/>
      <c r="OU238" s="127"/>
    </row>
    <row r="239" spans="1:411">
      <c r="A239">
        <v>30</v>
      </c>
      <c r="B239">
        <v>363</v>
      </c>
      <c r="C239" t="s">
        <v>72</v>
      </c>
      <c r="D239" t="s">
        <v>228</v>
      </c>
      <c r="E239" s="232" t="s">
        <v>551</v>
      </c>
      <c r="F239" t="s">
        <v>70</v>
      </c>
      <c r="G239">
        <v>1</v>
      </c>
      <c r="H239">
        <v>763.92399999999998</v>
      </c>
      <c r="I239">
        <v>762.89700000000005</v>
      </c>
      <c r="J239">
        <v>761.41099999999994</v>
      </c>
      <c r="K239">
        <v>759.78200000000004</v>
      </c>
      <c r="L239">
        <v>756.61099999999999</v>
      </c>
      <c r="M239" s="233" t="s">
        <v>530</v>
      </c>
      <c r="N239" s="233" t="s">
        <v>531</v>
      </c>
      <c r="O239" s="3" t="s">
        <v>740</v>
      </c>
      <c r="BM239" s="127"/>
      <c r="BN239" s="127"/>
      <c r="BO239" s="127"/>
      <c r="BP239" s="127"/>
      <c r="BQ239" s="127"/>
      <c r="BR239" s="127"/>
      <c r="BS239" s="127"/>
      <c r="BT239" s="127"/>
      <c r="BU239" s="127"/>
      <c r="BV239" s="127"/>
      <c r="BW239" s="127"/>
      <c r="BX239" s="127"/>
      <c r="BY239" s="127"/>
      <c r="BZ239" s="127"/>
      <c r="CA239" s="127"/>
      <c r="ER239" s="127"/>
      <c r="ES239" s="127"/>
      <c r="ET239" s="127"/>
      <c r="EU239" s="127"/>
      <c r="EV239" s="127"/>
      <c r="EW239" s="127"/>
      <c r="EX239" s="127"/>
      <c r="EY239" s="127"/>
      <c r="EZ239" s="127"/>
      <c r="FA239" s="127"/>
      <c r="FB239" s="127"/>
      <c r="FC239" s="127"/>
      <c r="FD239" s="127"/>
      <c r="FE239" s="127"/>
      <c r="FF239" s="127"/>
      <c r="HW239" s="127"/>
      <c r="HX239" s="127"/>
      <c r="HY239" s="127"/>
      <c r="HZ239" s="127"/>
      <c r="IA239" s="127"/>
      <c r="IB239" s="127"/>
      <c r="IC239" s="127"/>
      <c r="ID239" s="127"/>
      <c r="IE239" s="127"/>
      <c r="IF239" s="127"/>
      <c r="IG239" s="127"/>
      <c r="IH239" s="127"/>
      <c r="II239" s="127"/>
      <c r="IJ239" s="127"/>
      <c r="IK239" s="127"/>
      <c r="LB239" s="127"/>
      <c r="LC239" s="127"/>
      <c r="LD239" s="127"/>
      <c r="LE239" s="127"/>
      <c r="LF239" s="127"/>
      <c r="LG239" s="127"/>
      <c r="LH239" s="127"/>
      <c r="LI239" s="127"/>
      <c r="LJ239" s="127"/>
      <c r="LK239" s="127"/>
      <c r="LL239" s="127"/>
      <c r="LM239" s="127"/>
      <c r="LN239" s="127"/>
      <c r="LO239" s="127"/>
      <c r="LP239" s="127"/>
      <c r="OG239" s="127"/>
      <c r="OH239" s="127"/>
      <c r="OI239" s="127"/>
      <c r="OJ239" s="127"/>
      <c r="OK239" s="127"/>
      <c r="OL239" s="127"/>
      <c r="OM239" s="127"/>
      <c r="ON239" s="127"/>
      <c r="OO239" s="127"/>
      <c r="OP239" s="127"/>
      <c r="OQ239" s="127"/>
      <c r="OR239" s="127"/>
      <c r="OS239" s="127"/>
      <c r="OT239" s="127"/>
      <c r="OU239" s="127"/>
    </row>
    <row r="240" spans="1:411">
      <c r="A240">
        <v>30</v>
      </c>
      <c r="B240">
        <v>360</v>
      </c>
      <c r="C240" t="s">
        <v>72</v>
      </c>
      <c r="D240" t="s">
        <v>228</v>
      </c>
      <c r="E240" s="232" t="s">
        <v>8168</v>
      </c>
      <c r="F240" t="s">
        <v>70</v>
      </c>
      <c r="G240">
        <v>1</v>
      </c>
      <c r="H240">
        <v>764.96400000000006</v>
      </c>
      <c r="I240">
        <v>763.04700000000003</v>
      </c>
      <c r="J240">
        <v>759.93200000000002</v>
      </c>
      <c r="K240">
        <v>756.87900000000002</v>
      </c>
      <c r="L240">
        <v>755.15899999999999</v>
      </c>
      <c r="M240" s="233" t="s">
        <v>530</v>
      </c>
      <c r="N240" s="233" t="s">
        <v>531</v>
      </c>
      <c r="O240" s="3" t="s">
        <v>741</v>
      </c>
      <c r="BM240" s="127"/>
      <c r="BN240" s="127"/>
      <c r="BO240" s="127"/>
      <c r="BP240" s="127"/>
      <c r="BQ240" s="127"/>
      <c r="BR240" s="127"/>
      <c r="BS240" s="127"/>
      <c r="BT240" s="127"/>
      <c r="BU240" s="127"/>
      <c r="BV240" s="127"/>
      <c r="BW240" s="127"/>
      <c r="BX240" s="127"/>
      <c r="BY240" s="127"/>
      <c r="BZ240" s="127"/>
      <c r="CA240" s="127"/>
      <c r="ER240" s="127"/>
      <c r="ES240" s="127"/>
      <c r="ET240" s="127"/>
      <c r="EU240" s="127"/>
      <c r="EV240" s="127"/>
      <c r="EW240" s="127"/>
      <c r="EX240" s="127"/>
      <c r="EY240" s="127"/>
      <c r="EZ240" s="127"/>
      <c r="FA240" s="127"/>
      <c r="FB240" s="127"/>
      <c r="FC240" s="127"/>
      <c r="FD240" s="127"/>
      <c r="FE240" s="127"/>
      <c r="FF240" s="127"/>
      <c r="HW240" s="127"/>
      <c r="HX240" s="127"/>
      <c r="HY240" s="127"/>
      <c r="HZ240" s="127"/>
      <c r="IA240" s="127"/>
      <c r="IB240" s="127"/>
      <c r="IC240" s="127"/>
      <c r="ID240" s="127"/>
      <c r="IE240" s="127"/>
      <c r="IF240" s="127"/>
      <c r="IG240" s="127"/>
      <c r="IH240" s="127"/>
      <c r="II240" s="127"/>
      <c r="IJ240" s="127"/>
      <c r="IK240" s="127"/>
      <c r="LB240" s="127"/>
      <c r="LC240" s="127"/>
      <c r="LD240" s="127"/>
      <c r="LE240" s="127"/>
      <c r="LF240" s="127"/>
      <c r="LG240" s="127"/>
      <c r="LH240" s="127"/>
      <c r="LI240" s="127"/>
      <c r="LJ240" s="127"/>
      <c r="LK240" s="127"/>
      <c r="LL240" s="127"/>
      <c r="LM240" s="127"/>
      <c r="LN240" s="127"/>
      <c r="LO240" s="127"/>
      <c r="LP240" s="127"/>
      <c r="OG240" s="127"/>
      <c r="OH240" s="127"/>
      <c r="OI240" s="127"/>
      <c r="OJ240" s="127"/>
      <c r="OK240" s="127"/>
      <c r="OL240" s="127"/>
      <c r="OM240" s="127"/>
      <c r="ON240" s="127"/>
      <c r="OO240" s="127"/>
      <c r="OP240" s="127"/>
      <c r="OQ240" s="127"/>
      <c r="OR240" s="127"/>
      <c r="OS240" s="127"/>
      <c r="OT240" s="127"/>
      <c r="OU240" s="127"/>
    </row>
    <row r="241" spans="1:411">
      <c r="A241">
        <v>30</v>
      </c>
      <c r="B241">
        <v>358</v>
      </c>
      <c r="C241" t="s">
        <v>72</v>
      </c>
      <c r="D241" t="s">
        <v>228</v>
      </c>
      <c r="E241" s="232" t="s">
        <v>8418</v>
      </c>
      <c r="F241" t="s">
        <v>70</v>
      </c>
      <c r="G241">
        <v>1</v>
      </c>
      <c r="H241">
        <v>763.41200000000003</v>
      </c>
      <c r="I241">
        <v>760.40800000000002</v>
      </c>
      <c r="J241">
        <v>757.55399999999997</v>
      </c>
      <c r="K241">
        <v>754.90899999999999</v>
      </c>
      <c r="L241">
        <v>753.25</v>
      </c>
      <c r="M241" s="233" t="s">
        <v>530</v>
      </c>
      <c r="N241" s="233" t="s">
        <v>531</v>
      </c>
      <c r="O241" s="3" t="s">
        <v>742</v>
      </c>
      <c r="BM241" s="127"/>
      <c r="BN241" s="127"/>
      <c r="BO241" s="127"/>
      <c r="BP241" s="127"/>
      <c r="BQ241" s="127"/>
      <c r="BR241" s="127"/>
      <c r="BS241" s="127"/>
      <c r="BT241" s="127"/>
      <c r="BU241" s="127"/>
      <c r="BV241" s="127"/>
      <c r="BW241" s="127"/>
      <c r="BX241" s="127"/>
      <c r="BY241" s="127"/>
      <c r="BZ241" s="127"/>
      <c r="CA241" s="127"/>
      <c r="ER241" s="127"/>
      <c r="ES241" s="127"/>
      <c r="ET241" s="127"/>
      <c r="EU241" s="127"/>
      <c r="EV241" s="127"/>
      <c r="EW241" s="127"/>
      <c r="EX241" s="127"/>
      <c r="EY241" s="127"/>
      <c r="EZ241" s="127"/>
      <c r="FA241" s="127"/>
      <c r="FB241" s="127"/>
      <c r="FC241" s="127"/>
      <c r="FD241" s="127"/>
      <c r="FE241" s="127"/>
      <c r="FF241" s="127"/>
      <c r="HW241" s="127"/>
      <c r="HX241" s="127"/>
      <c r="HY241" s="127"/>
      <c r="HZ241" s="127"/>
      <c r="IA241" s="127"/>
      <c r="IB241" s="127"/>
      <c r="IC241" s="127"/>
      <c r="ID241" s="127"/>
      <c r="IE241" s="127"/>
      <c r="IF241" s="127"/>
      <c r="IG241" s="127"/>
      <c r="IH241" s="127"/>
      <c r="II241" s="127"/>
      <c r="IJ241" s="127"/>
      <c r="IK241" s="127"/>
      <c r="LB241" s="127"/>
      <c r="LC241" s="127"/>
      <c r="LD241" s="127"/>
      <c r="LE241" s="127"/>
      <c r="LF241" s="127"/>
      <c r="LG241" s="127"/>
      <c r="LH241" s="127"/>
      <c r="LI241" s="127"/>
      <c r="LJ241" s="127"/>
      <c r="LK241" s="127"/>
      <c r="LL241" s="127"/>
      <c r="LM241" s="127"/>
      <c r="LN241" s="127"/>
      <c r="LO241" s="127"/>
      <c r="LP241" s="127"/>
      <c r="OG241" s="127"/>
      <c r="OH241" s="127"/>
      <c r="OI241" s="127"/>
      <c r="OJ241" s="127"/>
      <c r="OK241" s="127"/>
      <c r="OL241" s="127"/>
      <c r="OM241" s="127"/>
      <c r="ON241" s="127"/>
      <c r="OO241" s="127"/>
      <c r="OP241" s="127"/>
      <c r="OQ241" s="127"/>
      <c r="OR241" s="127"/>
      <c r="OS241" s="127"/>
      <c r="OT241" s="127"/>
      <c r="OU241" s="127"/>
    </row>
    <row r="242" spans="1:411">
      <c r="A242">
        <v>30</v>
      </c>
      <c r="B242">
        <v>367</v>
      </c>
      <c r="C242" t="s">
        <v>72</v>
      </c>
      <c r="D242" t="s">
        <v>228</v>
      </c>
      <c r="E242" s="232" t="s">
        <v>9564</v>
      </c>
      <c r="F242" t="s">
        <v>70</v>
      </c>
      <c r="G242">
        <v>1</v>
      </c>
      <c r="H242">
        <v>760.40800000000002</v>
      </c>
      <c r="I242">
        <v>759.45600000000002</v>
      </c>
      <c r="J242">
        <v>757.55399999999997</v>
      </c>
      <c r="K242">
        <v>756.27</v>
      </c>
      <c r="L242">
        <v>752.995</v>
      </c>
      <c r="M242" s="233" t="s">
        <v>530</v>
      </c>
      <c r="N242" s="233" t="s">
        <v>531</v>
      </c>
      <c r="O242" s="3" t="s">
        <v>743</v>
      </c>
      <c r="BM242" s="127"/>
      <c r="BN242" s="127"/>
      <c r="BO242" s="127"/>
      <c r="BP242" s="127"/>
      <c r="BQ242" s="127"/>
      <c r="BR242" s="127"/>
      <c r="BS242" s="127"/>
      <c r="BT242" s="127"/>
      <c r="BU242" s="127"/>
      <c r="BV242" s="127"/>
      <c r="BW242" s="127"/>
      <c r="BX242" s="127"/>
      <c r="BY242" s="127"/>
      <c r="BZ242" s="127"/>
      <c r="CA242" s="127"/>
      <c r="ER242" s="127"/>
      <c r="ES242" s="127"/>
      <c r="ET242" s="127"/>
      <c r="EU242" s="127"/>
      <c r="EV242" s="127"/>
      <c r="EW242" s="127"/>
      <c r="EX242" s="127"/>
      <c r="EY242" s="127"/>
      <c r="EZ242" s="127"/>
      <c r="FA242" s="127"/>
      <c r="FB242" s="127"/>
      <c r="FC242" s="127"/>
      <c r="FD242" s="127"/>
      <c r="FE242" s="127"/>
      <c r="FF242" s="127"/>
      <c r="HW242" s="127"/>
      <c r="HX242" s="127"/>
      <c r="HY242" s="127"/>
      <c r="HZ242" s="127"/>
      <c r="IA242" s="127"/>
      <c r="IB242" s="127"/>
      <c r="IC242" s="127"/>
      <c r="ID242" s="127"/>
      <c r="IE242" s="127"/>
      <c r="IF242" s="127"/>
      <c r="IG242" s="127"/>
      <c r="IH242" s="127"/>
      <c r="II242" s="127"/>
      <c r="IJ242" s="127"/>
      <c r="IK242" s="127"/>
      <c r="LB242" s="127"/>
      <c r="LC242" s="127"/>
      <c r="LD242" s="127"/>
      <c r="LE242" s="127"/>
      <c r="LF242" s="127"/>
      <c r="LG242" s="127"/>
      <c r="LH242" s="127"/>
      <c r="LI242" s="127"/>
      <c r="LJ242" s="127"/>
      <c r="LK242" s="127"/>
      <c r="LL242" s="127"/>
      <c r="LM242" s="127"/>
      <c r="LN242" s="127"/>
      <c r="LO242" s="127"/>
      <c r="LP242" s="127"/>
      <c r="OG242" s="127"/>
      <c r="OH242" s="127"/>
      <c r="OI242" s="127"/>
      <c r="OJ242" s="127"/>
      <c r="OK242" s="127"/>
      <c r="OL242" s="127"/>
      <c r="OM242" s="127"/>
      <c r="ON242" s="127"/>
      <c r="OO242" s="127"/>
      <c r="OP242" s="127"/>
      <c r="OQ242" s="127"/>
      <c r="OR242" s="127"/>
      <c r="OS242" s="127"/>
      <c r="OT242" s="127"/>
      <c r="OU242" s="127"/>
    </row>
    <row r="243" spans="1:411">
      <c r="A243">
        <v>30</v>
      </c>
      <c r="B243">
        <v>371</v>
      </c>
      <c r="C243" t="s">
        <v>72</v>
      </c>
      <c r="D243" t="s">
        <v>228</v>
      </c>
      <c r="E243" s="232" t="s">
        <v>12257</v>
      </c>
      <c r="F243" t="s">
        <v>70</v>
      </c>
      <c r="G243">
        <v>1</v>
      </c>
      <c r="H243">
        <v>716.95799999999997</v>
      </c>
      <c r="I243">
        <v>712.88699999999994</v>
      </c>
      <c r="J243">
        <v>708.07500000000005</v>
      </c>
      <c r="K243">
        <v>703.54600000000005</v>
      </c>
      <c r="L243">
        <v>699.51199999999994</v>
      </c>
      <c r="M243" s="233" t="s">
        <v>530</v>
      </c>
      <c r="N243" s="233" t="s">
        <v>531</v>
      </c>
      <c r="O243" s="3" t="s">
        <v>744</v>
      </c>
      <c r="BM243" s="127"/>
      <c r="BN243" s="127"/>
      <c r="BO243" s="127"/>
      <c r="BP243" s="127"/>
      <c r="BQ243" s="127"/>
      <c r="BR243" s="127"/>
      <c r="BS243" s="127"/>
      <c r="BT243" s="127"/>
      <c r="BU243" s="127"/>
      <c r="BV243" s="127"/>
      <c r="BW243" s="127"/>
      <c r="BX243" s="127"/>
      <c r="BY243" s="127"/>
      <c r="BZ243" s="127"/>
      <c r="CA243" s="127"/>
      <c r="ER243" s="127"/>
      <c r="ES243" s="127"/>
      <c r="ET243" s="127"/>
      <c r="EU243" s="127"/>
      <c r="EV243" s="127"/>
      <c r="EW243" s="127"/>
      <c r="EX243" s="127"/>
      <c r="EY243" s="127"/>
      <c r="EZ243" s="127"/>
      <c r="FA243" s="127"/>
      <c r="FB243" s="127"/>
      <c r="FC243" s="127"/>
      <c r="FD243" s="127"/>
      <c r="FE243" s="127"/>
      <c r="FF243" s="127"/>
      <c r="HW243" s="127"/>
      <c r="HX243" s="127"/>
      <c r="HY243" s="127"/>
      <c r="HZ243" s="127"/>
      <c r="IA243" s="127"/>
      <c r="IB243" s="127"/>
      <c r="IC243" s="127"/>
      <c r="ID243" s="127"/>
      <c r="IE243" s="127"/>
      <c r="IF243" s="127"/>
      <c r="IG243" s="127"/>
      <c r="IH243" s="127"/>
      <c r="II243" s="127"/>
      <c r="IJ243" s="127"/>
      <c r="IK243" s="127"/>
      <c r="LB243" s="127"/>
      <c r="LC243" s="127"/>
      <c r="LD243" s="127"/>
      <c r="LE243" s="127"/>
      <c r="LF243" s="127"/>
      <c r="LG243" s="127"/>
      <c r="LH243" s="127"/>
      <c r="LI243" s="127"/>
      <c r="LJ243" s="127"/>
      <c r="LK243" s="127"/>
      <c r="LL243" s="127"/>
      <c r="LM243" s="127"/>
      <c r="LN243" s="127"/>
      <c r="LO243" s="127"/>
      <c r="LP243" s="127"/>
      <c r="OG243" s="127"/>
      <c r="OH243" s="127"/>
      <c r="OI243" s="127"/>
      <c r="OJ243" s="127"/>
      <c r="OK243" s="127"/>
      <c r="OL243" s="127"/>
      <c r="OM243" s="127"/>
      <c r="ON243" s="127"/>
      <c r="OO243" s="127"/>
      <c r="OP243" s="127"/>
      <c r="OQ243" s="127"/>
      <c r="OR243" s="127"/>
      <c r="OS243" s="127"/>
      <c r="OT243" s="127"/>
      <c r="OU243" s="127"/>
    </row>
    <row r="244" spans="1:411">
      <c r="A244">
        <v>30</v>
      </c>
      <c r="B244">
        <v>370</v>
      </c>
      <c r="C244" t="s">
        <v>72</v>
      </c>
      <c r="D244" t="s">
        <v>228</v>
      </c>
      <c r="E244" s="232" t="s">
        <v>12294</v>
      </c>
      <c r="F244" t="s">
        <v>70</v>
      </c>
      <c r="G244">
        <v>1</v>
      </c>
      <c r="H244">
        <v>716.58900000000006</v>
      </c>
      <c r="I244">
        <v>711.70500000000004</v>
      </c>
      <c r="J244">
        <v>707.11500000000001</v>
      </c>
      <c r="K244">
        <v>702.08199999999999</v>
      </c>
      <c r="L244">
        <v>697.88400000000001</v>
      </c>
      <c r="M244" s="233" t="s">
        <v>530</v>
      </c>
      <c r="N244" s="233" t="s">
        <v>531</v>
      </c>
      <c r="O244" s="3" t="s">
        <v>745</v>
      </c>
      <c r="BM244" s="127"/>
      <c r="BN244" s="127"/>
      <c r="BO244" s="127"/>
      <c r="BP244" s="127"/>
      <c r="BQ244" s="127"/>
      <c r="BR244" s="127"/>
      <c r="BS244" s="127"/>
      <c r="BT244" s="127"/>
      <c r="BU244" s="127"/>
      <c r="BV244" s="127"/>
      <c r="BW244" s="127"/>
      <c r="BX244" s="127"/>
      <c r="BY244" s="127"/>
      <c r="BZ244" s="127"/>
      <c r="CA244" s="127"/>
      <c r="ER244" s="127"/>
      <c r="ES244" s="127"/>
      <c r="ET244" s="127"/>
      <c r="EU244" s="127"/>
      <c r="EV244" s="127"/>
      <c r="EW244" s="127"/>
      <c r="EX244" s="127"/>
      <c r="EY244" s="127"/>
      <c r="EZ244" s="127"/>
      <c r="FA244" s="127"/>
      <c r="FB244" s="127"/>
      <c r="FC244" s="127"/>
      <c r="FD244" s="127"/>
      <c r="FE244" s="127"/>
      <c r="FF244" s="127"/>
      <c r="HW244" s="127"/>
      <c r="HX244" s="127"/>
      <c r="HY244" s="127"/>
      <c r="HZ244" s="127"/>
      <c r="IA244" s="127"/>
      <c r="IB244" s="127"/>
      <c r="IC244" s="127"/>
      <c r="ID244" s="127"/>
      <c r="IE244" s="127"/>
      <c r="IF244" s="127"/>
      <c r="IG244" s="127"/>
      <c r="IH244" s="127"/>
      <c r="II244" s="127"/>
      <c r="IJ244" s="127"/>
      <c r="IK244" s="127"/>
      <c r="LB244" s="127"/>
      <c r="LC244" s="127"/>
      <c r="LD244" s="127"/>
      <c r="LE244" s="127"/>
      <c r="LF244" s="127"/>
      <c r="LG244" s="127"/>
      <c r="LH244" s="127"/>
      <c r="LI244" s="127"/>
      <c r="LJ244" s="127"/>
      <c r="LK244" s="127"/>
      <c r="LL244" s="127"/>
      <c r="LM244" s="127"/>
      <c r="LN244" s="127"/>
      <c r="LO244" s="127"/>
      <c r="LP244" s="127"/>
      <c r="OG244" s="127"/>
      <c r="OH244" s="127"/>
      <c r="OI244" s="127"/>
      <c r="OJ244" s="127"/>
      <c r="OK244" s="127"/>
      <c r="OL244" s="127"/>
      <c r="OM244" s="127"/>
      <c r="ON244" s="127"/>
      <c r="OO244" s="127"/>
      <c r="OP244" s="127"/>
      <c r="OQ244" s="127"/>
      <c r="OR244" s="127"/>
      <c r="OS244" s="127"/>
      <c r="OT244" s="127"/>
      <c r="OU244" s="127"/>
    </row>
    <row r="245" spans="1:411">
      <c r="A245">
        <v>30</v>
      </c>
      <c r="B245">
        <v>373</v>
      </c>
      <c r="C245" t="s">
        <v>72</v>
      </c>
      <c r="D245" t="s">
        <v>228</v>
      </c>
      <c r="E245" s="232" t="s">
        <v>12384</v>
      </c>
      <c r="F245" t="s">
        <v>70</v>
      </c>
      <c r="G245">
        <v>1</v>
      </c>
      <c r="H245">
        <v>713.59799999999996</v>
      </c>
      <c r="I245">
        <v>709.06899999999996</v>
      </c>
      <c r="J245">
        <v>704.36800000000005</v>
      </c>
      <c r="K245">
        <v>700.03</v>
      </c>
      <c r="L245">
        <v>696.20799999999997</v>
      </c>
      <c r="M245" s="233" t="s">
        <v>530</v>
      </c>
      <c r="N245" s="233" t="s">
        <v>531</v>
      </c>
      <c r="O245" s="3" t="s">
        <v>746</v>
      </c>
      <c r="BM245" s="127"/>
      <c r="BN245" s="127"/>
      <c r="BO245" s="127"/>
      <c r="BP245" s="127"/>
      <c r="BQ245" s="127"/>
      <c r="BR245" s="127"/>
      <c r="BS245" s="127"/>
      <c r="BT245" s="127"/>
      <c r="BU245" s="127"/>
      <c r="BV245" s="127"/>
      <c r="BW245" s="127"/>
      <c r="BX245" s="127"/>
      <c r="BY245" s="127"/>
      <c r="BZ245" s="127"/>
      <c r="CA245" s="127"/>
      <c r="ER245" s="127"/>
      <c r="ES245" s="127"/>
      <c r="ET245" s="127"/>
      <c r="EU245" s="127"/>
      <c r="EV245" s="127"/>
      <c r="EW245" s="127"/>
      <c r="EX245" s="127"/>
      <c r="EY245" s="127"/>
      <c r="EZ245" s="127"/>
      <c r="FA245" s="127"/>
      <c r="FB245" s="127"/>
      <c r="FC245" s="127"/>
      <c r="FD245" s="127"/>
      <c r="FE245" s="127"/>
      <c r="FF245" s="127"/>
      <c r="HW245" s="127"/>
      <c r="HX245" s="127"/>
      <c r="HY245" s="127"/>
      <c r="HZ245" s="127"/>
      <c r="IA245" s="127"/>
      <c r="IB245" s="127"/>
      <c r="IC245" s="127"/>
      <c r="ID245" s="127"/>
      <c r="IE245" s="127"/>
      <c r="IF245" s="127"/>
      <c r="IG245" s="127"/>
      <c r="IH245" s="127"/>
      <c r="II245" s="127"/>
      <c r="IJ245" s="127"/>
      <c r="IK245" s="127"/>
      <c r="LB245" s="127"/>
      <c r="LC245" s="127"/>
      <c r="LD245" s="127"/>
      <c r="LE245" s="127"/>
      <c r="LF245" s="127"/>
      <c r="LG245" s="127"/>
      <c r="LH245" s="127"/>
      <c r="LI245" s="127"/>
      <c r="LJ245" s="127"/>
      <c r="LK245" s="127"/>
      <c r="LL245" s="127"/>
      <c r="LM245" s="127"/>
      <c r="LN245" s="127"/>
      <c r="LO245" s="127"/>
      <c r="LP245" s="127"/>
      <c r="OG245" s="127"/>
      <c r="OH245" s="127"/>
      <c r="OI245" s="127"/>
      <c r="OJ245" s="127"/>
      <c r="OK245" s="127"/>
      <c r="OL245" s="127"/>
      <c r="OM245" s="127"/>
      <c r="ON245" s="127"/>
      <c r="OO245" s="127"/>
      <c r="OP245" s="127"/>
      <c r="OQ245" s="127"/>
      <c r="OR245" s="127"/>
      <c r="OS245" s="127"/>
      <c r="OT245" s="127"/>
      <c r="OU245" s="127"/>
    </row>
    <row r="246" spans="1:411">
      <c r="A246">
        <v>30</v>
      </c>
      <c r="B246">
        <v>372</v>
      </c>
      <c r="C246" t="s">
        <v>72</v>
      </c>
      <c r="D246" t="s">
        <v>228</v>
      </c>
      <c r="E246" s="232" t="s">
        <v>12470</v>
      </c>
      <c r="F246" t="s">
        <v>70</v>
      </c>
      <c r="G246">
        <v>1</v>
      </c>
      <c r="H246">
        <v>711.59500000000003</v>
      </c>
      <c r="I246">
        <v>706.79100000000005</v>
      </c>
      <c r="J246">
        <v>701.78200000000004</v>
      </c>
      <c r="K246">
        <v>697.096</v>
      </c>
      <c r="L246">
        <v>692.72900000000004</v>
      </c>
      <c r="M246" s="233" t="s">
        <v>530</v>
      </c>
      <c r="N246" s="233" t="s">
        <v>531</v>
      </c>
      <c r="O246" s="3" t="s">
        <v>747</v>
      </c>
      <c r="BM246" s="127"/>
      <c r="BN246" s="127"/>
      <c r="BO246" s="127"/>
      <c r="BP246" s="127"/>
      <c r="BQ246" s="127"/>
      <c r="BR246" s="127"/>
      <c r="BS246" s="127"/>
      <c r="BT246" s="127"/>
      <c r="BU246" s="127"/>
      <c r="BV246" s="127"/>
      <c r="BW246" s="127"/>
      <c r="BX246" s="127"/>
      <c r="BY246" s="127"/>
      <c r="BZ246" s="127"/>
      <c r="CA246" s="127"/>
      <c r="ER246" s="127"/>
      <c r="ES246" s="127"/>
      <c r="ET246" s="127"/>
      <c r="EU246" s="127"/>
      <c r="EV246" s="127"/>
      <c r="EW246" s="127"/>
      <c r="EX246" s="127"/>
      <c r="EY246" s="127"/>
      <c r="EZ246" s="127"/>
      <c r="FA246" s="127"/>
      <c r="FB246" s="127"/>
      <c r="FC246" s="127"/>
      <c r="FD246" s="127"/>
      <c r="FE246" s="127"/>
      <c r="FF246" s="127"/>
      <c r="HW246" s="127"/>
      <c r="HX246" s="127"/>
      <c r="HY246" s="127"/>
      <c r="HZ246" s="127"/>
      <c r="IA246" s="127"/>
      <c r="IB246" s="127"/>
      <c r="IC246" s="127"/>
      <c r="ID246" s="127"/>
      <c r="IE246" s="127"/>
      <c r="IF246" s="127"/>
      <c r="IG246" s="127"/>
      <c r="IH246" s="127"/>
      <c r="II246" s="127"/>
      <c r="IJ246" s="127"/>
      <c r="IK246" s="127"/>
      <c r="LB246" s="127"/>
      <c r="LC246" s="127"/>
      <c r="LD246" s="127"/>
      <c r="LE246" s="127"/>
      <c r="LF246" s="127"/>
      <c r="LG246" s="127"/>
      <c r="LH246" s="127"/>
      <c r="LI246" s="127"/>
      <c r="LJ246" s="127"/>
      <c r="LK246" s="127"/>
      <c r="LL246" s="127"/>
      <c r="LM246" s="127"/>
      <c r="LN246" s="127"/>
      <c r="LO246" s="127"/>
      <c r="LP246" s="127"/>
      <c r="OG246" s="127"/>
      <c r="OH246" s="127"/>
      <c r="OI246" s="127"/>
      <c r="OJ246" s="127"/>
      <c r="OK246" s="127"/>
      <c r="OL246" s="127"/>
      <c r="OM246" s="127"/>
      <c r="ON246" s="127"/>
      <c r="OO246" s="127"/>
      <c r="OP246" s="127"/>
      <c r="OQ246" s="127"/>
      <c r="OR246" s="127"/>
      <c r="OS246" s="127"/>
      <c r="OT246" s="127"/>
      <c r="OU246" s="127"/>
    </row>
    <row r="247" spans="1:411">
      <c r="A247">
        <v>30</v>
      </c>
      <c r="B247">
        <v>369</v>
      </c>
      <c r="C247" t="s">
        <v>72</v>
      </c>
      <c r="D247" t="s">
        <v>228</v>
      </c>
      <c r="E247" s="232" t="s">
        <v>9261</v>
      </c>
      <c r="F247" t="s">
        <v>70</v>
      </c>
      <c r="G247">
        <v>1</v>
      </c>
      <c r="H247">
        <v>707.81</v>
      </c>
      <c r="I247">
        <v>703.17</v>
      </c>
      <c r="J247">
        <v>699.03200000000004</v>
      </c>
      <c r="K247">
        <v>695.27599999999995</v>
      </c>
      <c r="L247">
        <v>691.61599999999999</v>
      </c>
      <c r="M247" s="233" t="s">
        <v>530</v>
      </c>
      <c r="N247" s="233" t="s">
        <v>531</v>
      </c>
      <c r="O247" s="3" t="s">
        <v>748</v>
      </c>
      <c r="BM247" s="127"/>
      <c r="BN247" s="127"/>
      <c r="BO247" s="127"/>
      <c r="BP247" s="127"/>
      <c r="BQ247" s="127"/>
      <c r="BR247" s="127"/>
      <c r="BS247" s="127"/>
      <c r="BT247" s="127"/>
      <c r="BU247" s="127"/>
      <c r="BV247" s="127"/>
      <c r="BW247" s="127"/>
      <c r="BX247" s="127"/>
      <c r="BY247" s="127"/>
      <c r="BZ247" s="127"/>
      <c r="CA247" s="127"/>
      <c r="ER247" s="127"/>
      <c r="ES247" s="127"/>
      <c r="ET247" s="127"/>
      <c r="EU247" s="127"/>
      <c r="EV247" s="127"/>
      <c r="EW247" s="127"/>
      <c r="EX247" s="127"/>
      <c r="EY247" s="127"/>
      <c r="EZ247" s="127"/>
      <c r="FA247" s="127"/>
      <c r="FB247" s="127"/>
      <c r="FC247" s="127"/>
      <c r="FD247" s="127"/>
      <c r="FE247" s="127"/>
      <c r="FF247" s="127"/>
      <c r="HW247" s="127"/>
      <c r="HX247" s="127"/>
      <c r="HY247" s="127"/>
      <c r="HZ247" s="127"/>
      <c r="IA247" s="127"/>
      <c r="IB247" s="127"/>
      <c r="IC247" s="127"/>
      <c r="ID247" s="127"/>
      <c r="IE247" s="127"/>
      <c r="IF247" s="127"/>
      <c r="IG247" s="127"/>
      <c r="IH247" s="127"/>
      <c r="II247" s="127"/>
      <c r="IJ247" s="127"/>
      <c r="IK247" s="127"/>
      <c r="LB247" s="127"/>
      <c r="LC247" s="127"/>
      <c r="LD247" s="127"/>
      <c r="LE247" s="127"/>
      <c r="LF247" s="127"/>
      <c r="LG247" s="127"/>
      <c r="LH247" s="127"/>
      <c r="LI247" s="127"/>
      <c r="LJ247" s="127"/>
      <c r="LK247" s="127"/>
      <c r="LL247" s="127"/>
      <c r="LM247" s="127"/>
      <c r="LN247" s="127"/>
      <c r="LO247" s="127"/>
      <c r="LP247" s="127"/>
      <c r="OG247" s="127"/>
      <c r="OH247" s="127"/>
      <c r="OI247" s="127"/>
      <c r="OJ247" s="127"/>
      <c r="OK247" s="127"/>
      <c r="OL247" s="127"/>
      <c r="OM247" s="127"/>
      <c r="ON247" s="127"/>
      <c r="OO247" s="127"/>
      <c r="OP247" s="127"/>
      <c r="OQ247" s="127"/>
      <c r="OR247" s="127"/>
      <c r="OS247" s="127"/>
      <c r="OT247" s="127"/>
      <c r="OU247" s="127"/>
    </row>
    <row r="248" spans="1:411">
      <c r="A248">
        <v>31</v>
      </c>
      <c r="B248">
        <v>393</v>
      </c>
      <c r="C248" t="s">
        <v>72</v>
      </c>
      <c r="D248" t="s">
        <v>228</v>
      </c>
      <c r="E248" s="232" t="s">
        <v>8654</v>
      </c>
      <c r="F248" t="s">
        <v>71</v>
      </c>
      <c r="G248">
        <v>1</v>
      </c>
      <c r="H248">
        <v>761.72900000000004</v>
      </c>
      <c r="I248">
        <v>759.51499999999999</v>
      </c>
      <c r="J248">
        <v>757.96400000000006</v>
      </c>
      <c r="K248">
        <v>754.83799999999997</v>
      </c>
      <c r="L248">
        <v>751.27300000000002</v>
      </c>
      <c r="M248" s="233" t="s">
        <v>530</v>
      </c>
      <c r="N248" s="233" t="s">
        <v>531</v>
      </c>
      <c r="O248" s="3" t="s">
        <v>749</v>
      </c>
      <c r="BM248" s="127"/>
      <c r="BN248" s="127"/>
      <c r="BO248" s="127"/>
      <c r="BP248" s="127"/>
      <c r="BQ248" s="127"/>
      <c r="BR248" s="127"/>
      <c r="BS248" s="127"/>
      <c r="BT248" s="127"/>
      <c r="BU248" s="127"/>
      <c r="BV248" s="127"/>
      <c r="BW248" s="127"/>
      <c r="BX248" s="127"/>
      <c r="BY248" s="127"/>
      <c r="BZ248" s="127"/>
      <c r="CA248" s="127"/>
      <c r="ER248" s="127"/>
      <c r="ES248" s="127"/>
      <c r="ET248" s="127"/>
      <c r="EU248" s="127"/>
      <c r="EV248" s="127"/>
      <c r="EW248" s="127"/>
      <c r="EX248" s="127"/>
      <c r="EY248" s="127"/>
      <c r="EZ248" s="127"/>
      <c r="FA248" s="127"/>
      <c r="FB248" s="127"/>
      <c r="FC248" s="127"/>
      <c r="FD248" s="127"/>
      <c r="FE248" s="127"/>
      <c r="FF248" s="127"/>
      <c r="HW248" s="127"/>
      <c r="HX248" s="127"/>
      <c r="HY248" s="127"/>
      <c r="HZ248" s="127"/>
      <c r="IA248" s="127"/>
      <c r="IB248" s="127"/>
      <c r="IC248" s="127"/>
      <c r="ID248" s="127"/>
      <c r="IE248" s="127"/>
      <c r="IF248" s="127"/>
      <c r="IG248" s="127"/>
      <c r="IH248" s="127"/>
      <c r="II248" s="127"/>
      <c r="IJ248" s="127"/>
      <c r="IK248" s="127"/>
      <c r="LB248" s="127"/>
      <c r="LC248" s="127"/>
      <c r="LD248" s="127"/>
      <c r="LE248" s="127"/>
      <c r="LF248" s="127"/>
      <c r="LG248" s="127"/>
      <c r="LH248" s="127"/>
      <c r="LI248" s="127"/>
      <c r="LJ248" s="127"/>
      <c r="LK248" s="127"/>
      <c r="LL248" s="127"/>
      <c r="LM248" s="127"/>
      <c r="LN248" s="127"/>
      <c r="LO248" s="127"/>
      <c r="LP248" s="127"/>
      <c r="OG248" s="127"/>
      <c r="OH248" s="127"/>
      <c r="OI248" s="127"/>
      <c r="OJ248" s="127"/>
      <c r="OK248" s="127"/>
      <c r="OL248" s="127"/>
      <c r="OM248" s="127"/>
      <c r="ON248" s="127"/>
      <c r="OO248" s="127"/>
      <c r="OP248" s="127"/>
      <c r="OQ248" s="127"/>
      <c r="OR248" s="127"/>
      <c r="OS248" s="127"/>
      <c r="OT248" s="127"/>
      <c r="OU248" s="127"/>
    </row>
    <row r="249" spans="1:411">
      <c r="A249">
        <v>32</v>
      </c>
      <c r="B249">
        <v>377</v>
      </c>
      <c r="C249" t="s">
        <v>72</v>
      </c>
      <c r="D249" t="s">
        <v>228</v>
      </c>
      <c r="E249" s="232" t="s">
        <v>9407</v>
      </c>
      <c r="F249" t="s">
        <v>71</v>
      </c>
      <c r="G249">
        <v>1</v>
      </c>
      <c r="H249">
        <v>755.21</v>
      </c>
      <c r="I249">
        <v>753.22500000000002</v>
      </c>
      <c r="J249">
        <v>752.05600000000004</v>
      </c>
      <c r="K249">
        <v>750.87300000000005</v>
      </c>
      <c r="L249">
        <v>749.11800000000005</v>
      </c>
      <c r="M249" s="233" t="s">
        <v>530</v>
      </c>
      <c r="N249" s="233" t="s">
        <v>531</v>
      </c>
      <c r="O249" s="3" t="s">
        <v>750</v>
      </c>
      <c r="BM249" s="127"/>
      <c r="BN249" s="127"/>
      <c r="BO249" s="127"/>
      <c r="BP249" s="127"/>
      <c r="BQ249" s="127"/>
      <c r="BR249" s="127"/>
      <c r="BS249" s="127"/>
      <c r="BT249" s="127"/>
      <c r="BU249" s="127"/>
      <c r="BV249" s="127"/>
      <c r="BW249" s="127"/>
      <c r="BX249" s="127"/>
      <c r="BY249" s="127"/>
      <c r="BZ249" s="127"/>
      <c r="CA249" s="127"/>
      <c r="ER249" s="127"/>
      <c r="ES249" s="127"/>
      <c r="ET249" s="127"/>
      <c r="EU249" s="127"/>
      <c r="EV249" s="127"/>
      <c r="EW249" s="127"/>
      <c r="EX249" s="127"/>
      <c r="EY249" s="127"/>
      <c r="EZ249" s="127"/>
      <c r="FA249" s="127"/>
      <c r="FB249" s="127"/>
      <c r="FC249" s="127"/>
      <c r="FD249" s="127"/>
      <c r="FE249" s="127"/>
      <c r="FF249" s="127"/>
      <c r="HW249" s="127"/>
      <c r="HX249" s="127"/>
      <c r="HY249" s="127"/>
      <c r="HZ249" s="127"/>
      <c r="IA249" s="127"/>
      <c r="IB249" s="127"/>
      <c r="IC249" s="127"/>
      <c r="ID249" s="127"/>
      <c r="IE249" s="127"/>
      <c r="IF249" s="127"/>
      <c r="IG249" s="127"/>
      <c r="IH249" s="127"/>
      <c r="II249" s="127"/>
      <c r="IJ249" s="127"/>
      <c r="IK249" s="127"/>
      <c r="LB249" s="127"/>
      <c r="LC249" s="127"/>
      <c r="LD249" s="127"/>
      <c r="LE249" s="127"/>
      <c r="LF249" s="127"/>
      <c r="LG249" s="127"/>
      <c r="LH249" s="127"/>
      <c r="LI249" s="127"/>
      <c r="LJ249" s="127"/>
      <c r="LK249" s="127"/>
      <c r="LL249" s="127"/>
      <c r="LM249" s="127"/>
      <c r="LN249" s="127"/>
      <c r="LO249" s="127"/>
      <c r="LP249" s="127"/>
      <c r="OG249" s="127"/>
      <c r="OH249" s="127"/>
      <c r="OI249" s="127"/>
      <c r="OJ249" s="127"/>
      <c r="OK249" s="127"/>
      <c r="OL249" s="127"/>
      <c r="OM249" s="127"/>
      <c r="ON249" s="127"/>
      <c r="OO249" s="127"/>
      <c r="OP249" s="127"/>
      <c r="OQ249" s="127"/>
      <c r="OR249" s="127"/>
      <c r="OS249" s="127"/>
      <c r="OT249" s="127"/>
      <c r="OU249" s="127"/>
    </row>
    <row r="250" spans="1:411">
      <c r="A250">
        <v>31</v>
      </c>
      <c r="B250">
        <v>395</v>
      </c>
      <c r="C250" t="s">
        <v>72</v>
      </c>
      <c r="D250" t="s">
        <v>228</v>
      </c>
      <c r="E250" s="232" t="s">
        <v>9405</v>
      </c>
      <c r="F250" t="s">
        <v>71</v>
      </c>
      <c r="G250">
        <v>1</v>
      </c>
      <c r="H250">
        <v>761.23099999999999</v>
      </c>
      <c r="I250">
        <v>758.93100000000004</v>
      </c>
      <c r="J250">
        <v>757.33900000000006</v>
      </c>
      <c r="K250">
        <v>754.72900000000004</v>
      </c>
      <c r="L250">
        <v>751.27300000000002</v>
      </c>
      <c r="M250" s="233" t="s">
        <v>530</v>
      </c>
      <c r="N250" s="233" t="s">
        <v>531</v>
      </c>
      <c r="O250" s="3" t="s">
        <v>751</v>
      </c>
      <c r="BM250" s="127"/>
      <c r="BN250" s="127"/>
      <c r="BO250" s="127"/>
      <c r="BP250" s="127"/>
      <c r="BQ250" s="127"/>
      <c r="BR250" s="127"/>
      <c r="BS250" s="127"/>
      <c r="BT250" s="127"/>
      <c r="BU250" s="127"/>
      <c r="BV250" s="127"/>
      <c r="BW250" s="127"/>
      <c r="BX250" s="127"/>
      <c r="BY250" s="127"/>
      <c r="BZ250" s="127"/>
      <c r="CA250" s="127"/>
      <c r="ER250" s="127"/>
      <c r="ES250" s="127"/>
      <c r="ET250" s="127"/>
      <c r="EU250" s="127"/>
      <c r="EV250" s="127"/>
      <c r="EW250" s="127"/>
      <c r="EX250" s="127"/>
      <c r="EY250" s="127"/>
      <c r="EZ250" s="127"/>
      <c r="FA250" s="127"/>
      <c r="FB250" s="127"/>
      <c r="FC250" s="127"/>
      <c r="FD250" s="127"/>
      <c r="FE250" s="127"/>
      <c r="FF250" s="127"/>
      <c r="HW250" s="127"/>
      <c r="HX250" s="127"/>
      <c r="HY250" s="127"/>
      <c r="HZ250" s="127"/>
      <c r="IA250" s="127"/>
      <c r="IB250" s="127"/>
      <c r="IC250" s="127"/>
      <c r="ID250" s="127"/>
      <c r="IE250" s="127"/>
      <c r="IF250" s="127"/>
      <c r="IG250" s="127"/>
      <c r="IH250" s="127"/>
      <c r="II250" s="127"/>
      <c r="IJ250" s="127"/>
      <c r="IK250" s="127"/>
      <c r="LB250" s="127"/>
      <c r="LC250" s="127"/>
      <c r="LD250" s="127"/>
      <c r="LE250" s="127"/>
      <c r="LF250" s="127"/>
      <c r="LG250" s="127"/>
      <c r="LH250" s="127"/>
      <c r="LI250" s="127"/>
      <c r="LJ250" s="127"/>
      <c r="LK250" s="127"/>
      <c r="LL250" s="127"/>
      <c r="LM250" s="127"/>
      <c r="LN250" s="127"/>
      <c r="LO250" s="127"/>
      <c r="LP250" s="127"/>
      <c r="OG250" s="127"/>
      <c r="OH250" s="127"/>
      <c r="OI250" s="127"/>
      <c r="OJ250" s="127"/>
      <c r="OK250" s="127"/>
      <c r="OL250" s="127"/>
      <c r="OM250" s="127"/>
      <c r="ON250" s="127"/>
      <c r="OO250" s="127"/>
      <c r="OP250" s="127"/>
      <c r="OQ250" s="127"/>
      <c r="OR250" s="127"/>
      <c r="OS250" s="127"/>
      <c r="OT250" s="127"/>
      <c r="OU250" s="127"/>
    </row>
    <row r="251" spans="1:411">
      <c r="A251">
        <v>31</v>
      </c>
      <c r="B251">
        <v>394</v>
      </c>
      <c r="C251" t="s">
        <v>72</v>
      </c>
      <c r="D251" t="s">
        <v>228</v>
      </c>
      <c r="E251" s="232" t="s">
        <v>8883</v>
      </c>
      <c r="F251" t="s">
        <v>71</v>
      </c>
      <c r="G251">
        <v>1</v>
      </c>
      <c r="H251">
        <v>761.08100000000002</v>
      </c>
      <c r="I251">
        <v>758.87</v>
      </c>
      <c r="J251">
        <v>757.18899999999996</v>
      </c>
      <c r="K251">
        <v>754.72900000000004</v>
      </c>
      <c r="L251">
        <v>751.404</v>
      </c>
      <c r="M251" s="233" t="s">
        <v>530</v>
      </c>
      <c r="N251" s="233" t="s">
        <v>531</v>
      </c>
      <c r="O251" s="3" t="s">
        <v>752</v>
      </c>
      <c r="BM251" s="127"/>
      <c r="BN251" s="127"/>
      <c r="BO251" s="127"/>
      <c r="BP251" s="127"/>
      <c r="BQ251" s="127"/>
      <c r="BR251" s="127"/>
      <c r="BS251" s="127"/>
      <c r="BT251" s="127"/>
      <c r="BU251" s="127"/>
      <c r="BV251" s="127"/>
      <c r="BW251" s="127"/>
      <c r="BX251" s="127"/>
      <c r="BY251" s="127"/>
      <c r="BZ251" s="127"/>
      <c r="CA251" s="127"/>
      <c r="ER251" s="127"/>
      <c r="ES251" s="127"/>
      <c r="ET251" s="127"/>
      <c r="EU251" s="127"/>
      <c r="EV251" s="127"/>
      <c r="EW251" s="127"/>
      <c r="EX251" s="127"/>
      <c r="EY251" s="127"/>
      <c r="EZ251" s="127"/>
      <c r="FA251" s="127"/>
      <c r="FB251" s="127"/>
      <c r="FC251" s="127"/>
      <c r="FD251" s="127"/>
      <c r="FE251" s="127"/>
      <c r="FF251" s="127"/>
      <c r="HW251" s="127"/>
      <c r="HX251" s="127"/>
      <c r="HY251" s="127"/>
      <c r="HZ251" s="127"/>
      <c r="IA251" s="127"/>
      <c r="IB251" s="127"/>
      <c r="IC251" s="127"/>
      <c r="ID251" s="127"/>
      <c r="IE251" s="127"/>
      <c r="IF251" s="127"/>
      <c r="IG251" s="127"/>
      <c r="IH251" s="127"/>
      <c r="II251" s="127"/>
      <c r="IJ251" s="127"/>
      <c r="IK251" s="127"/>
      <c r="LB251" s="127"/>
      <c r="LC251" s="127"/>
      <c r="LD251" s="127"/>
      <c r="LE251" s="127"/>
      <c r="LF251" s="127"/>
      <c r="LG251" s="127"/>
      <c r="LH251" s="127"/>
      <c r="LI251" s="127"/>
      <c r="LJ251" s="127"/>
      <c r="LK251" s="127"/>
      <c r="LL251" s="127"/>
      <c r="LM251" s="127"/>
      <c r="LN251" s="127"/>
      <c r="LO251" s="127"/>
      <c r="LP251" s="127"/>
      <c r="OG251" s="127"/>
      <c r="OH251" s="127"/>
      <c r="OI251" s="127"/>
      <c r="OJ251" s="127"/>
      <c r="OK251" s="127"/>
      <c r="OL251" s="127"/>
      <c r="OM251" s="127"/>
      <c r="ON251" s="127"/>
      <c r="OO251" s="127"/>
      <c r="OP251" s="127"/>
      <c r="OQ251" s="127"/>
      <c r="OR251" s="127"/>
      <c r="OS251" s="127"/>
      <c r="OT251" s="127"/>
      <c r="OU251" s="127"/>
    </row>
    <row r="252" spans="1:411">
      <c r="A252">
        <v>31</v>
      </c>
      <c r="B252">
        <v>396</v>
      </c>
      <c r="C252" t="s">
        <v>72</v>
      </c>
      <c r="D252" t="s">
        <v>228</v>
      </c>
      <c r="E252" s="232" t="s">
        <v>501</v>
      </c>
      <c r="F252" t="s">
        <v>71</v>
      </c>
      <c r="G252">
        <v>1</v>
      </c>
      <c r="H252">
        <v>760.53700000000003</v>
      </c>
      <c r="I252">
        <v>758.20399999999995</v>
      </c>
      <c r="J252">
        <v>756.577</v>
      </c>
      <c r="K252">
        <v>755.16200000000003</v>
      </c>
      <c r="L252">
        <v>753.20699999999999</v>
      </c>
      <c r="M252" s="233" t="s">
        <v>530</v>
      </c>
      <c r="N252" s="233" t="s">
        <v>531</v>
      </c>
      <c r="O252" s="3" t="s">
        <v>753</v>
      </c>
      <c r="BM252" s="127"/>
      <c r="BN252" s="127"/>
      <c r="BO252" s="127"/>
      <c r="BP252" s="127"/>
      <c r="BQ252" s="127"/>
      <c r="BR252" s="127"/>
      <c r="BS252" s="127"/>
      <c r="BT252" s="127"/>
      <c r="BU252" s="127"/>
      <c r="BV252" s="127"/>
      <c r="BW252" s="127"/>
      <c r="BX252" s="127"/>
      <c r="BY252" s="127"/>
      <c r="BZ252" s="127"/>
      <c r="CA252" s="127"/>
      <c r="ER252" s="127"/>
      <c r="ES252" s="127"/>
      <c r="ET252" s="127"/>
      <c r="EU252" s="127"/>
      <c r="EV252" s="127"/>
      <c r="EW252" s="127"/>
      <c r="EX252" s="127"/>
      <c r="EY252" s="127"/>
      <c r="EZ252" s="127"/>
      <c r="FA252" s="127"/>
      <c r="FB252" s="127"/>
      <c r="FC252" s="127"/>
      <c r="FD252" s="127"/>
      <c r="FE252" s="127"/>
      <c r="FF252" s="127"/>
      <c r="HW252" s="127"/>
      <c r="HX252" s="127"/>
      <c r="HY252" s="127"/>
      <c r="HZ252" s="127"/>
      <c r="IA252" s="127"/>
      <c r="IB252" s="127"/>
      <c r="IC252" s="127"/>
      <c r="ID252" s="127"/>
      <c r="IE252" s="127"/>
      <c r="IF252" s="127"/>
      <c r="IG252" s="127"/>
      <c r="IH252" s="127"/>
      <c r="II252" s="127"/>
      <c r="IJ252" s="127"/>
      <c r="IK252" s="127"/>
      <c r="LB252" s="127"/>
      <c r="LC252" s="127"/>
      <c r="LD252" s="127"/>
      <c r="LE252" s="127"/>
      <c r="LF252" s="127"/>
      <c r="LG252" s="127"/>
      <c r="LH252" s="127"/>
      <c r="LI252" s="127"/>
      <c r="LJ252" s="127"/>
      <c r="LK252" s="127"/>
      <c r="LL252" s="127"/>
      <c r="LM252" s="127"/>
      <c r="LN252" s="127"/>
      <c r="LO252" s="127"/>
      <c r="LP252" s="127"/>
      <c r="OG252" s="127"/>
      <c r="OH252" s="127"/>
      <c r="OI252" s="127"/>
      <c r="OJ252" s="127"/>
      <c r="OK252" s="127"/>
      <c r="OL252" s="127"/>
      <c r="OM252" s="127"/>
      <c r="ON252" s="127"/>
      <c r="OO252" s="127"/>
      <c r="OP252" s="127"/>
      <c r="OQ252" s="127"/>
      <c r="OR252" s="127"/>
      <c r="OS252" s="127"/>
      <c r="OT252" s="127"/>
      <c r="OU252" s="127"/>
    </row>
    <row r="253" spans="1:411">
      <c r="A253">
        <v>32</v>
      </c>
      <c r="B253">
        <v>384</v>
      </c>
      <c r="C253" t="s">
        <v>72</v>
      </c>
      <c r="D253" t="s">
        <v>228</v>
      </c>
      <c r="E253" s="232" t="s">
        <v>9363</v>
      </c>
      <c r="F253" t="s">
        <v>71</v>
      </c>
      <c r="G253">
        <v>1</v>
      </c>
      <c r="H253">
        <v>752.05600000000004</v>
      </c>
      <c r="I253">
        <v>751.34</v>
      </c>
      <c r="J253">
        <v>750.673</v>
      </c>
      <c r="K253">
        <v>749.74</v>
      </c>
      <c r="L253">
        <v>748.18</v>
      </c>
      <c r="M253" s="233" t="s">
        <v>530</v>
      </c>
      <c r="N253" s="233" t="s">
        <v>531</v>
      </c>
      <c r="O253" s="3" t="s">
        <v>754</v>
      </c>
      <c r="BM253" s="127"/>
      <c r="BN253" s="127"/>
      <c r="BO253" s="127"/>
      <c r="BP253" s="127"/>
      <c r="BQ253" s="127"/>
      <c r="BR253" s="127"/>
      <c r="BS253" s="127"/>
      <c r="BT253" s="127"/>
      <c r="BU253" s="127"/>
      <c r="BV253" s="127"/>
      <c r="BW253" s="127"/>
      <c r="BX253" s="127"/>
      <c r="BY253" s="127"/>
      <c r="BZ253" s="127"/>
      <c r="CA253" s="127"/>
      <c r="ER253" s="127"/>
      <c r="ES253" s="127"/>
      <c r="ET253" s="127"/>
      <c r="EU253" s="127"/>
      <c r="EV253" s="127"/>
      <c r="EW253" s="127"/>
      <c r="EX253" s="127"/>
      <c r="EY253" s="127"/>
      <c r="EZ253" s="127"/>
      <c r="FA253" s="127"/>
      <c r="FB253" s="127"/>
      <c r="FC253" s="127"/>
      <c r="FD253" s="127"/>
      <c r="FE253" s="127"/>
      <c r="FF253" s="127"/>
      <c r="HW253" s="127"/>
      <c r="HX253" s="127"/>
      <c r="HY253" s="127"/>
      <c r="HZ253" s="127"/>
      <c r="IA253" s="127"/>
      <c r="IB253" s="127"/>
      <c r="IC253" s="127"/>
      <c r="ID253" s="127"/>
      <c r="IE253" s="127"/>
      <c r="IF253" s="127"/>
      <c r="IG253" s="127"/>
      <c r="IH253" s="127"/>
      <c r="II253" s="127"/>
      <c r="IJ253" s="127"/>
      <c r="IK253" s="127"/>
      <c r="LB253" s="127"/>
      <c r="LC253" s="127"/>
      <c r="LD253" s="127"/>
      <c r="LE253" s="127"/>
      <c r="LF253" s="127"/>
      <c r="LG253" s="127"/>
      <c r="LH253" s="127"/>
      <c r="LI253" s="127"/>
      <c r="LJ253" s="127"/>
      <c r="LK253" s="127"/>
      <c r="LL253" s="127"/>
      <c r="LM253" s="127"/>
      <c r="LN253" s="127"/>
      <c r="LO253" s="127"/>
      <c r="LP253" s="127"/>
      <c r="OG253" s="127"/>
      <c r="OH253" s="127"/>
      <c r="OI253" s="127"/>
      <c r="OJ253" s="127"/>
      <c r="OK253" s="127"/>
      <c r="OL253" s="127"/>
      <c r="OM253" s="127"/>
      <c r="ON253" s="127"/>
      <c r="OO253" s="127"/>
      <c r="OP253" s="127"/>
      <c r="OQ253" s="127"/>
      <c r="OR253" s="127"/>
      <c r="OS253" s="127"/>
      <c r="OT253" s="127"/>
      <c r="OU253" s="127"/>
    </row>
    <row r="254" spans="1:411">
      <c r="A254">
        <v>32</v>
      </c>
      <c r="B254">
        <v>391</v>
      </c>
      <c r="C254" t="s">
        <v>72</v>
      </c>
      <c r="D254" t="s">
        <v>228</v>
      </c>
      <c r="E254" s="232" t="s">
        <v>8953</v>
      </c>
      <c r="F254" t="s">
        <v>71</v>
      </c>
      <c r="G254">
        <v>1</v>
      </c>
      <c r="H254">
        <v>753.89499999999998</v>
      </c>
      <c r="I254">
        <v>751.46600000000001</v>
      </c>
      <c r="J254">
        <v>750.24</v>
      </c>
      <c r="K254">
        <v>747.56299999999999</v>
      </c>
      <c r="L254">
        <v>743.92899999999997</v>
      </c>
      <c r="M254" s="233" t="s">
        <v>530</v>
      </c>
      <c r="N254" s="233" t="s">
        <v>531</v>
      </c>
      <c r="O254" s="3" t="s">
        <v>755</v>
      </c>
      <c r="BM254" s="127"/>
      <c r="BN254" s="127"/>
      <c r="BO254" s="127"/>
      <c r="BP254" s="127"/>
      <c r="BQ254" s="127"/>
      <c r="BR254" s="127"/>
      <c r="BS254" s="127"/>
      <c r="BT254" s="127"/>
      <c r="BU254" s="127"/>
      <c r="BV254" s="127"/>
      <c r="BW254" s="127"/>
      <c r="BX254" s="127"/>
      <c r="BY254" s="127"/>
      <c r="BZ254" s="127"/>
      <c r="CA254" s="127"/>
      <c r="ER254" s="127"/>
      <c r="ES254" s="127"/>
      <c r="ET254" s="127"/>
      <c r="EU254" s="127"/>
      <c r="EV254" s="127"/>
      <c r="EW254" s="127"/>
      <c r="EX254" s="127"/>
      <c r="EY254" s="127"/>
      <c r="EZ254" s="127"/>
      <c r="FA254" s="127"/>
      <c r="FB254" s="127"/>
      <c r="FC254" s="127"/>
      <c r="FD254" s="127"/>
      <c r="FE254" s="127"/>
      <c r="FF254" s="127"/>
      <c r="HW254" s="127"/>
      <c r="HX254" s="127"/>
      <c r="HY254" s="127"/>
      <c r="HZ254" s="127"/>
      <c r="IA254" s="127"/>
      <c r="IB254" s="127"/>
      <c r="IC254" s="127"/>
      <c r="ID254" s="127"/>
      <c r="IE254" s="127"/>
      <c r="IF254" s="127"/>
      <c r="IG254" s="127"/>
      <c r="IH254" s="127"/>
      <c r="II254" s="127"/>
      <c r="IJ254" s="127"/>
      <c r="IK254" s="127"/>
      <c r="LB254" s="127"/>
      <c r="LC254" s="127"/>
      <c r="LD254" s="127"/>
      <c r="LE254" s="127"/>
      <c r="LF254" s="127"/>
      <c r="LG254" s="127"/>
      <c r="LH254" s="127"/>
      <c r="LI254" s="127"/>
      <c r="LJ254" s="127"/>
      <c r="LK254" s="127"/>
      <c r="LL254" s="127"/>
      <c r="LM254" s="127"/>
      <c r="LN254" s="127"/>
      <c r="LO254" s="127"/>
      <c r="LP254" s="127"/>
      <c r="OG254" s="127"/>
      <c r="OH254" s="127"/>
      <c r="OI254" s="127"/>
      <c r="OJ254" s="127"/>
      <c r="OK254" s="127"/>
      <c r="OL254" s="127"/>
      <c r="OM254" s="127"/>
      <c r="ON254" s="127"/>
      <c r="OO254" s="127"/>
      <c r="OP254" s="127"/>
      <c r="OQ254" s="127"/>
      <c r="OR254" s="127"/>
      <c r="OS254" s="127"/>
      <c r="OT254" s="127"/>
      <c r="OU254" s="127"/>
    </row>
    <row r="255" spans="1:411">
      <c r="A255">
        <v>32</v>
      </c>
      <c r="B255">
        <v>380</v>
      </c>
      <c r="C255" t="s">
        <v>72</v>
      </c>
      <c r="D255" t="s">
        <v>228</v>
      </c>
      <c r="E255" s="232" t="s">
        <v>9411</v>
      </c>
      <c r="F255" t="s">
        <v>71</v>
      </c>
      <c r="G255">
        <v>1</v>
      </c>
      <c r="H255">
        <v>755.91700000000003</v>
      </c>
      <c r="I255">
        <v>752.37300000000005</v>
      </c>
      <c r="J255">
        <v>749.11800000000005</v>
      </c>
      <c r="K255">
        <v>747.64599999999996</v>
      </c>
      <c r="L255">
        <v>746.67499999999995</v>
      </c>
      <c r="M255" s="233" t="s">
        <v>530</v>
      </c>
      <c r="N255" s="233" t="s">
        <v>531</v>
      </c>
      <c r="O255" s="3" t="s">
        <v>756</v>
      </c>
      <c r="BM255" s="127"/>
      <c r="BN255" s="127"/>
      <c r="BO255" s="127"/>
      <c r="BP255" s="127"/>
      <c r="BQ255" s="127"/>
      <c r="BR255" s="127"/>
      <c r="BS255" s="127"/>
      <c r="BT255" s="127"/>
      <c r="BU255" s="127"/>
      <c r="BV255" s="127"/>
      <c r="BW255" s="127"/>
      <c r="BX255" s="127"/>
      <c r="BY255" s="127"/>
      <c r="BZ255" s="127"/>
      <c r="CA255" s="127"/>
      <c r="ER255" s="127"/>
      <c r="ES255" s="127"/>
      <c r="ET255" s="127"/>
      <c r="EU255" s="127"/>
      <c r="EV255" s="127"/>
      <c r="EW255" s="127"/>
      <c r="EX255" s="127"/>
      <c r="EY255" s="127"/>
      <c r="EZ255" s="127"/>
      <c r="FA255" s="127"/>
      <c r="FB255" s="127"/>
      <c r="FC255" s="127"/>
      <c r="FD255" s="127"/>
      <c r="FE255" s="127"/>
      <c r="FF255" s="127"/>
      <c r="HW255" s="127"/>
      <c r="HX255" s="127"/>
      <c r="HY255" s="127"/>
      <c r="HZ255" s="127"/>
      <c r="IA255" s="127"/>
      <c r="IB255" s="127"/>
      <c r="IC255" s="127"/>
      <c r="ID255" s="127"/>
      <c r="IE255" s="127"/>
      <c r="IF255" s="127"/>
      <c r="IG255" s="127"/>
      <c r="IH255" s="127"/>
      <c r="II255" s="127"/>
      <c r="IJ255" s="127"/>
      <c r="IK255" s="127"/>
      <c r="LB255" s="127"/>
      <c r="LC255" s="127"/>
      <c r="LD255" s="127"/>
      <c r="LE255" s="127"/>
      <c r="LF255" s="127"/>
      <c r="LG255" s="127"/>
      <c r="LH255" s="127"/>
      <c r="LI255" s="127"/>
      <c r="LJ255" s="127"/>
      <c r="LK255" s="127"/>
      <c r="LL255" s="127"/>
      <c r="LM255" s="127"/>
      <c r="LN255" s="127"/>
      <c r="LO255" s="127"/>
      <c r="LP255" s="127"/>
      <c r="OG255" s="127"/>
      <c r="OH255" s="127"/>
      <c r="OI255" s="127"/>
      <c r="OJ255" s="127"/>
      <c r="OK255" s="127"/>
      <c r="OL255" s="127"/>
      <c r="OM255" s="127"/>
      <c r="ON255" s="127"/>
      <c r="OO255" s="127"/>
      <c r="OP255" s="127"/>
      <c r="OQ255" s="127"/>
      <c r="OR255" s="127"/>
      <c r="OS255" s="127"/>
      <c r="OT255" s="127"/>
      <c r="OU255" s="127"/>
    </row>
    <row r="256" spans="1:411">
      <c r="A256">
        <v>32</v>
      </c>
      <c r="B256">
        <v>386</v>
      </c>
      <c r="C256" t="s">
        <v>72</v>
      </c>
      <c r="D256" t="s">
        <v>228</v>
      </c>
      <c r="E256" s="232" t="s">
        <v>490</v>
      </c>
      <c r="F256" t="s">
        <v>71</v>
      </c>
      <c r="G256">
        <v>1</v>
      </c>
      <c r="H256">
        <v>755.91700000000003</v>
      </c>
      <c r="I256">
        <v>752.37300000000005</v>
      </c>
      <c r="J256">
        <v>749.11800000000005</v>
      </c>
      <c r="K256">
        <v>747.64599999999996</v>
      </c>
      <c r="L256">
        <v>746.67499999999995</v>
      </c>
      <c r="M256" s="233" t="s">
        <v>530</v>
      </c>
      <c r="N256" s="233" t="s">
        <v>531</v>
      </c>
      <c r="O256" s="3" t="s">
        <v>757</v>
      </c>
      <c r="BM256" s="127"/>
      <c r="BN256" s="127"/>
      <c r="BO256" s="127"/>
      <c r="BP256" s="127"/>
      <c r="BQ256" s="127"/>
      <c r="BR256" s="127"/>
      <c r="BS256" s="127"/>
      <c r="BT256" s="127"/>
      <c r="BU256" s="127"/>
      <c r="BV256" s="127"/>
      <c r="BW256" s="127"/>
      <c r="BX256" s="127"/>
      <c r="BY256" s="127"/>
      <c r="BZ256" s="127"/>
      <c r="CA256" s="127"/>
      <c r="ER256" s="127"/>
      <c r="ES256" s="127"/>
      <c r="ET256" s="127"/>
      <c r="EU256" s="127"/>
      <c r="EV256" s="127"/>
      <c r="EW256" s="127"/>
      <c r="EX256" s="127"/>
      <c r="EY256" s="127"/>
      <c r="EZ256" s="127"/>
      <c r="FA256" s="127"/>
      <c r="FB256" s="127"/>
      <c r="FC256" s="127"/>
      <c r="FD256" s="127"/>
      <c r="FE256" s="127"/>
      <c r="FF256" s="127"/>
      <c r="HW256" s="127"/>
      <c r="HX256" s="127"/>
      <c r="HY256" s="127"/>
      <c r="HZ256" s="127"/>
      <c r="IA256" s="127"/>
      <c r="IB256" s="127"/>
      <c r="IC256" s="127"/>
      <c r="ID256" s="127"/>
      <c r="IE256" s="127"/>
      <c r="IF256" s="127"/>
      <c r="IG256" s="127"/>
      <c r="IH256" s="127"/>
      <c r="II256" s="127"/>
      <c r="IJ256" s="127"/>
      <c r="IK256" s="127"/>
      <c r="LB256" s="127"/>
      <c r="LC256" s="127"/>
      <c r="LD256" s="127"/>
      <c r="LE256" s="127"/>
      <c r="LF256" s="127"/>
      <c r="LG256" s="127"/>
      <c r="LH256" s="127"/>
      <c r="LI256" s="127"/>
      <c r="LJ256" s="127"/>
      <c r="LK256" s="127"/>
      <c r="LL256" s="127"/>
      <c r="LM256" s="127"/>
      <c r="LN256" s="127"/>
      <c r="LO256" s="127"/>
      <c r="LP256" s="127"/>
      <c r="OG256" s="127"/>
      <c r="OH256" s="127"/>
      <c r="OI256" s="127"/>
      <c r="OJ256" s="127"/>
      <c r="OK256" s="127"/>
      <c r="OL256" s="127"/>
      <c r="OM256" s="127"/>
      <c r="ON256" s="127"/>
      <c r="OO256" s="127"/>
      <c r="OP256" s="127"/>
      <c r="OQ256" s="127"/>
      <c r="OR256" s="127"/>
      <c r="OS256" s="127"/>
      <c r="OT256" s="127"/>
      <c r="OU256" s="127"/>
    </row>
    <row r="257" spans="1:411">
      <c r="A257">
        <v>33</v>
      </c>
      <c r="B257">
        <v>410</v>
      </c>
      <c r="C257" t="s">
        <v>72</v>
      </c>
      <c r="D257" t="s">
        <v>82</v>
      </c>
      <c r="E257" s="232" t="s">
        <v>8715</v>
      </c>
      <c r="F257" t="s">
        <v>70</v>
      </c>
      <c r="G257">
        <v>2</v>
      </c>
      <c r="H257">
        <v>396.56900000000002</v>
      </c>
      <c r="I257">
        <v>396.06</v>
      </c>
      <c r="J257">
        <v>394.98399999999998</v>
      </c>
      <c r="K257">
        <v>392.96600000000001</v>
      </c>
      <c r="L257">
        <v>389.87400000000002</v>
      </c>
      <c r="M257" s="233" t="s">
        <v>530</v>
      </c>
      <c r="N257" s="233" t="s">
        <v>531</v>
      </c>
      <c r="O257" s="3" t="s">
        <v>758</v>
      </c>
      <c r="BM257" s="127"/>
      <c r="BN257" s="127"/>
      <c r="BO257" s="127"/>
      <c r="BP257" s="127"/>
      <c r="BQ257" s="127"/>
      <c r="BR257" s="127"/>
      <c r="BS257" s="127"/>
      <c r="BT257" s="127"/>
      <c r="BU257" s="127"/>
      <c r="BV257" s="127"/>
      <c r="BW257" s="127"/>
      <c r="BX257" s="127"/>
      <c r="BY257" s="127"/>
      <c r="BZ257" s="127"/>
      <c r="CA257" s="127"/>
      <c r="ER257" s="127"/>
      <c r="ES257" s="127"/>
      <c r="ET257" s="127"/>
      <c r="EU257" s="127"/>
      <c r="EV257" s="127"/>
      <c r="EW257" s="127"/>
      <c r="EX257" s="127"/>
      <c r="EY257" s="127"/>
      <c r="EZ257" s="127"/>
      <c r="FA257" s="127"/>
      <c r="FB257" s="127"/>
      <c r="FC257" s="127"/>
      <c r="FD257" s="127"/>
      <c r="FE257" s="127"/>
      <c r="FF257" s="127"/>
      <c r="HW257" s="127"/>
      <c r="HX257" s="127"/>
      <c r="HY257" s="127"/>
      <c r="HZ257" s="127"/>
      <c r="IA257" s="127"/>
      <c r="IB257" s="127"/>
      <c r="IC257" s="127"/>
      <c r="ID257" s="127"/>
      <c r="IE257" s="127"/>
      <c r="IF257" s="127"/>
      <c r="IG257" s="127"/>
      <c r="IH257" s="127"/>
      <c r="II257" s="127"/>
      <c r="IJ257" s="127"/>
      <c r="IK257" s="127"/>
      <c r="LB257" s="127"/>
      <c r="LC257" s="127"/>
      <c r="LD257" s="127"/>
      <c r="LE257" s="127"/>
      <c r="LF257" s="127"/>
      <c r="LG257" s="127"/>
      <c r="LH257" s="127"/>
      <c r="LI257" s="127"/>
      <c r="LJ257" s="127"/>
      <c r="LK257" s="127"/>
      <c r="LL257" s="127"/>
      <c r="LM257" s="127"/>
      <c r="LN257" s="127"/>
      <c r="LO257" s="127"/>
      <c r="LP257" s="127"/>
      <c r="OG257" s="127"/>
      <c r="OH257" s="127"/>
      <c r="OI257" s="127"/>
      <c r="OJ257" s="127"/>
      <c r="OK257" s="127"/>
      <c r="OL257" s="127"/>
      <c r="OM257" s="127"/>
      <c r="ON257" s="127"/>
      <c r="OO257" s="127"/>
      <c r="OP257" s="127"/>
      <c r="OQ257" s="127"/>
      <c r="OR257" s="127"/>
      <c r="OS257" s="127"/>
      <c r="OT257" s="127"/>
      <c r="OU257" s="127"/>
    </row>
    <row r="258" spans="1:411">
      <c r="A258">
        <v>33</v>
      </c>
      <c r="B258">
        <v>409</v>
      </c>
      <c r="C258" t="s">
        <v>72</v>
      </c>
      <c r="D258" t="s">
        <v>82</v>
      </c>
      <c r="E258" s="232" t="s">
        <v>9114</v>
      </c>
      <c r="F258" t="s">
        <v>70</v>
      </c>
      <c r="G258">
        <v>2</v>
      </c>
      <c r="H258">
        <v>390.77499999999998</v>
      </c>
      <c r="I258">
        <v>389.94900000000001</v>
      </c>
      <c r="J258">
        <v>389.07499999999999</v>
      </c>
      <c r="K258">
        <v>386.65699999999998</v>
      </c>
      <c r="L258">
        <v>384.87700000000001</v>
      </c>
      <c r="M258" s="233" t="s">
        <v>530</v>
      </c>
      <c r="N258" s="233" t="s">
        <v>531</v>
      </c>
      <c r="O258" s="3" t="s">
        <v>759</v>
      </c>
      <c r="BM258" s="127"/>
      <c r="BN258" s="127"/>
      <c r="BO258" s="127"/>
      <c r="BP258" s="127"/>
      <c r="BQ258" s="127"/>
      <c r="BR258" s="127"/>
      <c r="BS258" s="127"/>
      <c r="BT258" s="127"/>
      <c r="BU258" s="127"/>
      <c r="BV258" s="127"/>
      <c r="BW258" s="127"/>
      <c r="BX258" s="127"/>
      <c r="BY258" s="127"/>
      <c r="BZ258" s="127"/>
      <c r="CA258" s="127"/>
      <c r="ER258" s="127"/>
      <c r="ES258" s="127"/>
      <c r="ET258" s="127"/>
      <c r="EU258" s="127"/>
      <c r="EV258" s="127"/>
      <c r="EW258" s="127"/>
      <c r="EX258" s="127"/>
      <c r="EY258" s="127"/>
      <c r="EZ258" s="127"/>
      <c r="FA258" s="127"/>
      <c r="FB258" s="127"/>
      <c r="FC258" s="127"/>
      <c r="FD258" s="127"/>
      <c r="FE258" s="127"/>
      <c r="FF258" s="127"/>
      <c r="HW258" s="127"/>
      <c r="HX258" s="127"/>
      <c r="HY258" s="127"/>
      <c r="HZ258" s="127"/>
      <c r="IA258" s="127"/>
      <c r="IB258" s="127"/>
      <c r="IC258" s="127"/>
      <c r="ID258" s="127"/>
      <c r="IE258" s="127"/>
      <c r="IF258" s="127"/>
      <c r="IG258" s="127"/>
      <c r="IH258" s="127"/>
      <c r="II258" s="127"/>
      <c r="IJ258" s="127"/>
      <c r="IK258" s="127"/>
      <c r="LB258" s="127"/>
      <c r="LC258" s="127"/>
      <c r="LD258" s="127"/>
      <c r="LE258" s="127"/>
      <c r="LF258" s="127"/>
      <c r="LG258" s="127"/>
      <c r="LH258" s="127"/>
      <c r="LI258" s="127"/>
      <c r="LJ258" s="127"/>
      <c r="LK258" s="127"/>
      <c r="LL258" s="127"/>
      <c r="LM258" s="127"/>
      <c r="LN258" s="127"/>
      <c r="LO258" s="127"/>
      <c r="LP258" s="127"/>
      <c r="OG258" s="127"/>
      <c r="OH258" s="127"/>
      <c r="OI258" s="127"/>
      <c r="OJ258" s="127"/>
      <c r="OK258" s="127"/>
      <c r="OL258" s="127"/>
      <c r="OM258" s="127"/>
      <c r="ON258" s="127"/>
      <c r="OO258" s="127"/>
      <c r="OP258" s="127"/>
      <c r="OQ258" s="127"/>
      <c r="OR258" s="127"/>
      <c r="OS258" s="127"/>
      <c r="OT258" s="127"/>
      <c r="OU258" s="127"/>
    </row>
    <row r="259" spans="1:411">
      <c r="A259">
        <v>36</v>
      </c>
      <c r="B259">
        <v>435</v>
      </c>
      <c r="C259" t="s">
        <v>72</v>
      </c>
      <c r="D259" t="s">
        <v>82</v>
      </c>
      <c r="E259" s="232" t="s">
        <v>7965</v>
      </c>
      <c r="F259" t="s">
        <v>70</v>
      </c>
      <c r="G259">
        <v>2</v>
      </c>
      <c r="H259">
        <v>325.20400000000001</v>
      </c>
      <c r="I259">
        <v>324.02800000000002</v>
      </c>
      <c r="J259">
        <v>322.65499999999997</v>
      </c>
      <c r="K259">
        <v>321.21899999999999</v>
      </c>
      <c r="L259">
        <v>319.26900000000001</v>
      </c>
      <c r="M259" s="233" t="s">
        <v>530</v>
      </c>
      <c r="N259" s="233" t="s">
        <v>531</v>
      </c>
      <c r="O259" s="3" t="s">
        <v>760</v>
      </c>
      <c r="BM259" s="127"/>
      <c r="BN259" s="127"/>
      <c r="BO259" s="127"/>
      <c r="BP259" s="127"/>
      <c r="BQ259" s="127"/>
      <c r="BR259" s="127"/>
      <c r="BS259" s="127"/>
      <c r="BT259" s="127"/>
      <c r="BU259" s="127"/>
      <c r="BV259" s="127"/>
      <c r="BW259" s="127"/>
      <c r="BX259" s="127"/>
      <c r="BY259" s="127"/>
      <c r="BZ259" s="127"/>
      <c r="CA259" s="127"/>
      <c r="ER259" s="127"/>
      <c r="ES259" s="127"/>
      <c r="ET259" s="127"/>
      <c r="EU259" s="127"/>
      <c r="EV259" s="127"/>
      <c r="EW259" s="127"/>
      <c r="EX259" s="127"/>
      <c r="EY259" s="127"/>
      <c r="EZ259" s="127"/>
      <c r="FA259" s="127"/>
      <c r="FB259" s="127"/>
      <c r="FC259" s="127"/>
      <c r="FD259" s="127"/>
      <c r="FE259" s="127"/>
      <c r="FF259" s="127"/>
      <c r="HW259" s="127"/>
      <c r="HX259" s="127"/>
      <c r="HY259" s="127"/>
      <c r="HZ259" s="127"/>
      <c r="IA259" s="127"/>
      <c r="IB259" s="127"/>
      <c r="IC259" s="127"/>
      <c r="ID259" s="127"/>
      <c r="IE259" s="127"/>
      <c r="IF259" s="127"/>
      <c r="IG259" s="127"/>
      <c r="IH259" s="127"/>
      <c r="II259" s="127"/>
      <c r="IJ259" s="127"/>
      <c r="IK259" s="127"/>
      <c r="LB259" s="127"/>
      <c r="LC259" s="127"/>
      <c r="LD259" s="127"/>
      <c r="LE259" s="127"/>
      <c r="LF259" s="127"/>
      <c r="LG259" s="127"/>
      <c r="LH259" s="127"/>
      <c r="LI259" s="127"/>
      <c r="LJ259" s="127"/>
      <c r="LK259" s="127"/>
      <c r="LL259" s="127"/>
      <c r="LM259" s="127"/>
      <c r="LN259" s="127"/>
      <c r="LO259" s="127"/>
      <c r="LP259" s="127"/>
      <c r="OG259" s="127"/>
      <c r="OH259" s="127"/>
      <c r="OI259" s="127"/>
      <c r="OJ259" s="127"/>
      <c r="OK259" s="127"/>
      <c r="OL259" s="127"/>
      <c r="OM259" s="127"/>
      <c r="ON259" s="127"/>
      <c r="OO259" s="127"/>
      <c r="OP259" s="127"/>
      <c r="OQ259" s="127"/>
      <c r="OR259" s="127"/>
      <c r="OS259" s="127"/>
      <c r="OT259" s="127"/>
      <c r="OU259" s="127"/>
    </row>
    <row r="260" spans="1:411">
      <c r="A260">
        <v>33</v>
      </c>
      <c r="B260">
        <v>406</v>
      </c>
      <c r="C260" t="s">
        <v>72</v>
      </c>
      <c r="D260" t="s">
        <v>82</v>
      </c>
      <c r="E260" s="232" t="s">
        <v>555</v>
      </c>
      <c r="F260" t="s">
        <v>70</v>
      </c>
      <c r="G260">
        <v>2</v>
      </c>
      <c r="H260">
        <v>389.94900000000001</v>
      </c>
      <c r="I260">
        <v>389.07499999999999</v>
      </c>
      <c r="J260">
        <v>387.48500000000001</v>
      </c>
      <c r="K260">
        <v>386.05799999999999</v>
      </c>
      <c r="L260">
        <v>383.74</v>
      </c>
      <c r="M260" s="233" t="s">
        <v>530</v>
      </c>
      <c r="N260" s="233" t="s">
        <v>531</v>
      </c>
      <c r="O260" s="3" t="s">
        <v>761</v>
      </c>
      <c r="BM260" s="127"/>
      <c r="BN260" s="127"/>
      <c r="BO260" s="127"/>
      <c r="BP260" s="127"/>
      <c r="BQ260" s="127"/>
      <c r="BR260" s="127"/>
      <c r="BS260" s="127"/>
      <c r="BT260" s="127"/>
      <c r="BU260" s="127"/>
      <c r="BV260" s="127"/>
      <c r="BW260" s="127"/>
      <c r="BX260" s="127"/>
      <c r="BY260" s="127"/>
      <c r="BZ260" s="127"/>
      <c r="CA260" s="127"/>
      <c r="ER260" s="127"/>
      <c r="ES260" s="127"/>
      <c r="ET260" s="127"/>
      <c r="EU260" s="127"/>
      <c r="EV260" s="127"/>
      <c r="EW260" s="127"/>
      <c r="EX260" s="127"/>
      <c r="EY260" s="127"/>
      <c r="EZ260" s="127"/>
      <c r="FA260" s="127"/>
      <c r="FB260" s="127"/>
      <c r="FC260" s="127"/>
      <c r="FD260" s="127"/>
      <c r="FE260" s="127"/>
      <c r="FF260" s="127"/>
      <c r="HW260" s="127"/>
      <c r="HX260" s="127"/>
      <c r="HY260" s="127"/>
      <c r="HZ260" s="127"/>
      <c r="IA260" s="127"/>
      <c r="IB260" s="127"/>
      <c r="IC260" s="127"/>
      <c r="ID260" s="127"/>
      <c r="IE260" s="127"/>
      <c r="IF260" s="127"/>
      <c r="IG260" s="127"/>
      <c r="IH260" s="127"/>
      <c r="II260" s="127"/>
      <c r="IJ260" s="127"/>
      <c r="IK260" s="127"/>
      <c r="LB260" s="127"/>
      <c r="LC260" s="127"/>
      <c r="LD260" s="127"/>
      <c r="LE260" s="127"/>
      <c r="LF260" s="127"/>
      <c r="LG260" s="127"/>
      <c r="LH260" s="127"/>
      <c r="LI260" s="127"/>
      <c r="LJ260" s="127"/>
      <c r="LK260" s="127"/>
      <c r="LL260" s="127"/>
      <c r="LM260" s="127"/>
      <c r="LN260" s="127"/>
      <c r="LO260" s="127"/>
      <c r="LP260" s="127"/>
      <c r="OG260" s="127"/>
      <c r="OH260" s="127"/>
      <c r="OI260" s="127"/>
      <c r="OJ260" s="127"/>
      <c r="OK260" s="127"/>
      <c r="OL260" s="127"/>
      <c r="OM260" s="127"/>
      <c r="ON260" s="127"/>
      <c r="OO260" s="127"/>
      <c r="OP260" s="127"/>
      <c r="OQ260" s="127"/>
      <c r="OR260" s="127"/>
      <c r="OS260" s="127"/>
      <c r="OT260" s="127"/>
      <c r="OU260" s="127"/>
    </row>
    <row r="261" spans="1:411">
      <c r="A261">
        <v>33</v>
      </c>
      <c r="B261">
        <v>411</v>
      </c>
      <c r="C261" t="s">
        <v>72</v>
      </c>
      <c r="D261" t="s">
        <v>82</v>
      </c>
      <c r="E261" s="232" t="s">
        <v>9110</v>
      </c>
      <c r="F261" t="s">
        <v>70</v>
      </c>
      <c r="G261">
        <v>2</v>
      </c>
      <c r="H261">
        <v>392.59</v>
      </c>
      <c r="I261">
        <v>390.77499999999998</v>
      </c>
      <c r="J261">
        <v>387.48500000000001</v>
      </c>
      <c r="K261">
        <v>385.44799999999998</v>
      </c>
      <c r="L261">
        <v>383.07499999999999</v>
      </c>
      <c r="M261" s="233" t="s">
        <v>530</v>
      </c>
      <c r="N261" s="233" t="s">
        <v>531</v>
      </c>
      <c r="O261" s="3" t="s">
        <v>762</v>
      </c>
      <c r="BM261" s="127"/>
      <c r="BN261" s="127"/>
      <c r="BO261" s="127"/>
      <c r="BP261" s="127"/>
      <c r="BQ261" s="127"/>
      <c r="BR261" s="127"/>
      <c r="BS261" s="127"/>
      <c r="BT261" s="127"/>
      <c r="BU261" s="127"/>
      <c r="BV261" s="127"/>
      <c r="BW261" s="127"/>
      <c r="BX261" s="127"/>
      <c r="BY261" s="127"/>
      <c r="BZ261" s="127"/>
      <c r="CA261" s="127"/>
      <c r="ER261" s="127"/>
      <c r="ES261" s="127"/>
      <c r="ET261" s="127"/>
      <c r="EU261" s="127"/>
      <c r="EV261" s="127"/>
      <c r="EW261" s="127"/>
      <c r="EX261" s="127"/>
      <c r="EY261" s="127"/>
      <c r="EZ261" s="127"/>
      <c r="FA261" s="127"/>
      <c r="FB261" s="127"/>
      <c r="FC261" s="127"/>
      <c r="FD261" s="127"/>
      <c r="FE261" s="127"/>
      <c r="FF261" s="127"/>
      <c r="HW261" s="127"/>
      <c r="HX261" s="127"/>
      <c r="HY261" s="127"/>
      <c r="HZ261" s="127"/>
      <c r="IA261" s="127"/>
      <c r="IB261" s="127"/>
      <c r="IC261" s="127"/>
      <c r="ID261" s="127"/>
      <c r="IE261" s="127"/>
      <c r="IF261" s="127"/>
      <c r="IG261" s="127"/>
      <c r="IH261" s="127"/>
      <c r="II261" s="127"/>
      <c r="IJ261" s="127"/>
      <c r="IK261" s="127"/>
      <c r="LB261" s="127"/>
      <c r="LC261" s="127"/>
      <c r="LD261" s="127"/>
      <c r="LE261" s="127"/>
      <c r="LF261" s="127"/>
      <c r="LG261" s="127"/>
      <c r="LH261" s="127"/>
      <c r="LI261" s="127"/>
      <c r="LJ261" s="127"/>
      <c r="LK261" s="127"/>
      <c r="LL261" s="127"/>
      <c r="LM261" s="127"/>
      <c r="LN261" s="127"/>
      <c r="LO261" s="127"/>
      <c r="LP261" s="127"/>
      <c r="OG261" s="127"/>
      <c r="OH261" s="127"/>
      <c r="OI261" s="127"/>
      <c r="OJ261" s="127"/>
      <c r="OK261" s="127"/>
      <c r="OL261" s="127"/>
      <c r="OM261" s="127"/>
      <c r="ON261" s="127"/>
      <c r="OO261" s="127"/>
      <c r="OP261" s="127"/>
      <c r="OQ261" s="127"/>
      <c r="OR261" s="127"/>
      <c r="OS261" s="127"/>
      <c r="OT261" s="127"/>
      <c r="OU261" s="127"/>
    </row>
    <row r="262" spans="1:411">
      <c r="A262">
        <v>33</v>
      </c>
      <c r="B262">
        <v>421</v>
      </c>
      <c r="C262" t="s">
        <v>72</v>
      </c>
      <c r="D262" t="s">
        <v>82</v>
      </c>
      <c r="E262" s="232" t="s">
        <v>9196</v>
      </c>
      <c r="F262" t="s">
        <v>70</v>
      </c>
      <c r="G262">
        <v>2</v>
      </c>
      <c r="H262">
        <v>390.024</v>
      </c>
      <c r="I262">
        <v>388.827</v>
      </c>
      <c r="J262">
        <v>387.48500000000001</v>
      </c>
      <c r="K262">
        <v>385.57799999999997</v>
      </c>
      <c r="L262">
        <v>383.21800000000002</v>
      </c>
      <c r="M262" s="233" t="s">
        <v>530</v>
      </c>
      <c r="N262" s="233" t="s">
        <v>531</v>
      </c>
      <c r="O262" s="3" t="s">
        <v>763</v>
      </c>
      <c r="BM262" s="127"/>
      <c r="BN262" s="127"/>
      <c r="BO262" s="127"/>
      <c r="BP262" s="127"/>
      <c r="BQ262" s="127"/>
      <c r="BR262" s="127"/>
      <c r="BS262" s="127"/>
      <c r="BT262" s="127"/>
      <c r="BU262" s="127"/>
      <c r="BV262" s="127"/>
      <c r="BW262" s="127"/>
      <c r="BX262" s="127"/>
      <c r="BY262" s="127"/>
      <c r="BZ262" s="127"/>
      <c r="CA262" s="127"/>
      <c r="ER262" s="127"/>
      <c r="ES262" s="127"/>
      <c r="ET262" s="127"/>
      <c r="EU262" s="127"/>
      <c r="EV262" s="127"/>
      <c r="EW262" s="127"/>
      <c r="EX262" s="127"/>
      <c r="EY262" s="127"/>
      <c r="EZ262" s="127"/>
      <c r="FA262" s="127"/>
      <c r="FB262" s="127"/>
      <c r="FC262" s="127"/>
      <c r="FD262" s="127"/>
      <c r="FE262" s="127"/>
      <c r="FF262" s="127"/>
      <c r="HW262" s="127"/>
      <c r="HX262" s="127"/>
      <c r="HY262" s="127"/>
      <c r="HZ262" s="127"/>
      <c r="IA262" s="127"/>
      <c r="IB262" s="127"/>
      <c r="IC262" s="127"/>
      <c r="ID262" s="127"/>
      <c r="IE262" s="127"/>
      <c r="IF262" s="127"/>
      <c r="IG262" s="127"/>
      <c r="IH262" s="127"/>
      <c r="II262" s="127"/>
      <c r="IJ262" s="127"/>
      <c r="IK262" s="127"/>
      <c r="LB262" s="127"/>
      <c r="LC262" s="127"/>
      <c r="LD262" s="127"/>
      <c r="LE262" s="127"/>
      <c r="LF262" s="127"/>
      <c r="LG262" s="127"/>
      <c r="LH262" s="127"/>
      <c r="LI262" s="127"/>
      <c r="LJ262" s="127"/>
      <c r="LK262" s="127"/>
      <c r="LL262" s="127"/>
      <c r="LM262" s="127"/>
      <c r="LN262" s="127"/>
      <c r="LO262" s="127"/>
      <c r="LP262" s="127"/>
      <c r="OG262" s="127"/>
      <c r="OH262" s="127"/>
      <c r="OI262" s="127"/>
      <c r="OJ262" s="127"/>
      <c r="OK262" s="127"/>
      <c r="OL262" s="127"/>
      <c r="OM262" s="127"/>
      <c r="ON262" s="127"/>
      <c r="OO262" s="127"/>
      <c r="OP262" s="127"/>
      <c r="OQ262" s="127"/>
      <c r="OR262" s="127"/>
      <c r="OS262" s="127"/>
      <c r="OT262" s="127"/>
      <c r="OU262" s="127"/>
    </row>
    <row r="263" spans="1:411">
      <c r="A263">
        <v>33</v>
      </c>
      <c r="B263">
        <v>402</v>
      </c>
      <c r="C263" t="s">
        <v>72</v>
      </c>
      <c r="D263" t="s">
        <v>82</v>
      </c>
      <c r="E263" s="232" t="s">
        <v>9212</v>
      </c>
      <c r="F263" t="s">
        <v>70</v>
      </c>
      <c r="G263">
        <v>2</v>
      </c>
      <c r="H263">
        <v>389.87400000000002</v>
      </c>
      <c r="I263">
        <v>388.63600000000002</v>
      </c>
      <c r="J263">
        <v>386.98500000000001</v>
      </c>
      <c r="K263">
        <v>385.26</v>
      </c>
      <c r="L263">
        <v>382.90600000000001</v>
      </c>
      <c r="M263" s="233" t="s">
        <v>530</v>
      </c>
      <c r="N263" s="233" t="s">
        <v>531</v>
      </c>
      <c r="O263" s="3" t="s">
        <v>764</v>
      </c>
      <c r="BM263" s="127"/>
      <c r="BN263" s="127"/>
      <c r="BO263" s="127"/>
      <c r="BP263" s="127"/>
      <c r="BQ263" s="127"/>
      <c r="BR263" s="127"/>
      <c r="BS263" s="127"/>
      <c r="BT263" s="127"/>
      <c r="BU263" s="127"/>
      <c r="BV263" s="127"/>
      <c r="BW263" s="127"/>
      <c r="BX263" s="127"/>
      <c r="BY263" s="127"/>
      <c r="BZ263" s="127"/>
      <c r="CA263" s="127"/>
      <c r="ER263" s="127"/>
      <c r="ES263" s="127"/>
      <c r="ET263" s="127"/>
      <c r="EU263" s="127"/>
      <c r="EV263" s="127"/>
      <c r="EW263" s="127"/>
      <c r="EX263" s="127"/>
      <c r="EY263" s="127"/>
      <c r="EZ263" s="127"/>
      <c r="FA263" s="127"/>
      <c r="FB263" s="127"/>
      <c r="FC263" s="127"/>
      <c r="FD263" s="127"/>
      <c r="FE263" s="127"/>
      <c r="FF263" s="127"/>
      <c r="HW263" s="127"/>
      <c r="HX263" s="127"/>
      <c r="HY263" s="127"/>
      <c r="HZ263" s="127"/>
      <c r="IA263" s="127"/>
      <c r="IB263" s="127"/>
      <c r="IC263" s="127"/>
      <c r="ID263" s="127"/>
      <c r="IE263" s="127"/>
      <c r="IF263" s="127"/>
      <c r="IG263" s="127"/>
      <c r="IH263" s="127"/>
      <c r="II263" s="127"/>
      <c r="IJ263" s="127"/>
      <c r="IK263" s="127"/>
      <c r="LB263" s="127"/>
      <c r="LC263" s="127"/>
      <c r="LD263" s="127"/>
      <c r="LE263" s="127"/>
      <c r="LF263" s="127"/>
      <c r="LG263" s="127"/>
      <c r="LH263" s="127"/>
      <c r="LI263" s="127"/>
      <c r="LJ263" s="127"/>
      <c r="LK263" s="127"/>
      <c r="LL263" s="127"/>
      <c r="LM263" s="127"/>
      <c r="LN263" s="127"/>
      <c r="LO263" s="127"/>
      <c r="LP263" s="127"/>
      <c r="OG263" s="127"/>
      <c r="OH263" s="127"/>
      <c r="OI263" s="127"/>
      <c r="OJ263" s="127"/>
      <c r="OK263" s="127"/>
      <c r="OL263" s="127"/>
      <c r="OM263" s="127"/>
      <c r="ON263" s="127"/>
      <c r="OO263" s="127"/>
      <c r="OP263" s="127"/>
      <c r="OQ263" s="127"/>
      <c r="OR263" s="127"/>
      <c r="OS263" s="127"/>
      <c r="OT263" s="127"/>
      <c r="OU263" s="127"/>
    </row>
    <row r="264" spans="1:411">
      <c r="A264">
        <v>33</v>
      </c>
      <c r="B264">
        <v>425</v>
      </c>
      <c r="C264" t="s">
        <v>72</v>
      </c>
      <c r="D264" t="s">
        <v>82</v>
      </c>
      <c r="E264" s="232" t="s">
        <v>9248</v>
      </c>
      <c r="F264" t="s">
        <v>70</v>
      </c>
      <c r="G264">
        <v>2</v>
      </c>
      <c r="H264">
        <v>389.39</v>
      </c>
      <c r="I264">
        <v>388.01900000000001</v>
      </c>
      <c r="J264">
        <v>386.65699999999998</v>
      </c>
      <c r="K264">
        <v>385.00599999999997</v>
      </c>
      <c r="L264">
        <v>382.57299999999998</v>
      </c>
      <c r="M264" s="233" t="s">
        <v>530</v>
      </c>
      <c r="N264" s="233" t="s">
        <v>531</v>
      </c>
      <c r="O264" s="3" t="s">
        <v>765</v>
      </c>
      <c r="BM264" s="127"/>
      <c r="BN264" s="127"/>
      <c r="BO264" s="127"/>
      <c r="BP264" s="127"/>
      <c r="BQ264" s="127"/>
      <c r="BR264" s="127"/>
      <c r="BS264" s="127"/>
      <c r="BT264" s="127"/>
      <c r="BU264" s="127"/>
      <c r="BV264" s="127"/>
      <c r="BW264" s="127"/>
      <c r="BX264" s="127"/>
      <c r="BY264" s="127"/>
      <c r="BZ264" s="127"/>
      <c r="CA264" s="127"/>
      <c r="ER264" s="127"/>
      <c r="ES264" s="127"/>
      <c r="ET264" s="127"/>
      <c r="EU264" s="127"/>
      <c r="EV264" s="127"/>
      <c r="EW264" s="127"/>
      <c r="EX264" s="127"/>
      <c r="EY264" s="127"/>
      <c r="EZ264" s="127"/>
      <c r="FA264" s="127"/>
      <c r="FB264" s="127"/>
      <c r="FC264" s="127"/>
      <c r="FD264" s="127"/>
      <c r="FE264" s="127"/>
      <c r="FF264" s="127"/>
      <c r="HW264" s="127"/>
      <c r="HX264" s="127"/>
      <c r="HY264" s="127"/>
      <c r="HZ264" s="127"/>
      <c r="IA264" s="127"/>
      <c r="IB264" s="127"/>
      <c r="IC264" s="127"/>
      <c r="ID264" s="127"/>
      <c r="IE264" s="127"/>
      <c r="IF264" s="127"/>
      <c r="IG264" s="127"/>
      <c r="IH264" s="127"/>
      <c r="II264" s="127"/>
      <c r="IJ264" s="127"/>
      <c r="IK264" s="127"/>
      <c r="LB264" s="127"/>
      <c r="LC264" s="127"/>
      <c r="LD264" s="127"/>
      <c r="LE264" s="127"/>
      <c r="LF264" s="127"/>
      <c r="LG264" s="127"/>
      <c r="LH264" s="127"/>
      <c r="LI264" s="127"/>
      <c r="LJ264" s="127"/>
      <c r="LK264" s="127"/>
      <c r="LL264" s="127"/>
      <c r="LM264" s="127"/>
      <c r="LN264" s="127"/>
      <c r="LO264" s="127"/>
      <c r="LP264" s="127"/>
      <c r="OG264" s="127"/>
      <c r="OH264" s="127"/>
      <c r="OI264" s="127"/>
      <c r="OJ264" s="127"/>
      <c r="OK264" s="127"/>
      <c r="OL264" s="127"/>
      <c r="OM264" s="127"/>
      <c r="ON264" s="127"/>
      <c r="OO264" s="127"/>
      <c r="OP264" s="127"/>
      <c r="OQ264" s="127"/>
      <c r="OR264" s="127"/>
      <c r="OS264" s="127"/>
      <c r="OT264" s="127"/>
      <c r="OU264" s="127"/>
    </row>
    <row r="265" spans="1:411">
      <c r="A265">
        <v>33</v>
      </c>
      <c r="B265">
        <v>407</v>
      </c>
      <c r="C265" t="s">
        <v>72</v>
      </c>
      <c r="D265" t="s">
        <v>82</v>
      </c>
      <c r="E265" s="232" t="s">
        <v>9252</v>
      </c>
      <c r="F265" t="s">
        <v>70</v>
      </c>
      <c r="G265">
        <v>2</v>
      </c>
      <c r="H265">
        <v>389.00900000000001</v>
      </c>
      <c r="I265">
        <v>388.20100000000002</v>
      </c>
      <c r="J265">
        <v>386.51600000000002</v>
      </c>
      <c r="K265">
        <v>385.90699999999998</v>
      </c>
      <c r="L265">
        <v>383.54500000000002</v>
      </c>
      <c r="M265" s="233" t="s">
        <v>530</v>
      </c>
      <c r="N265" s="233" t="s">
        <v>531</v>
      </c>
      <c r="O265" s="3" t="s">
        <v>766</v>
      </c>
      <c r="BM265" s="127"/>
      <c r="BN265" s="127"/>
      <c r="BO265" s="127"/>
      <c r="BP265" s="127"/>
      <c r="BQ265" s="127"/>
      <c r="BR265" s="127"/>
      <c r="BS265" s="127"/>
      <c r="BT265" s="127"/>
      <c r="BU265" s="127"/>
      <c r="BV265" s="127"/>
      <c r="BW265" s="127"/>
      <c r="BX265" s="127"/>
      <c r="BY265" s="127"/>
      <c r="BZ265" s="127"/>
      <c r="CA265" s="127"/>
      <c r="ER265" s="127"/>
      <c r="ES265" s="127"/>
      <c r="ET265" s="127"/>
      <c r="EU265" s="127"/>
      <c r="EV265" s="127"/>
      <c r="EW265" s="127"/>
      <c r="EX265" s="127"/>
      <c r="EY265" s="127"/>
      <c r="EZ265" s="127"/>
      <c r="FA265" s="127"/>
      <c r="FB265" s="127"/>
      <c r="FC265" s="127"/>
      <c r="FD265" s="127"/>
      <c r="FE265" s="127"/>
      <c r="FF265" s="127"/>
      <c r="HW265" s="127"/>
      <c r="HX265" s="127"/>
      <c r="HY265" s="127"/>
      <c r="HZ265" s="127"/>
      <c r="IA265" s="127"/>
      <c r="IB265" s="127"/>
      <c r="IC265" s="127"/>
      <c r="ID265" s="127"/>
      <c r="IE265" s="127"/>
      <c r="IF265" s="127"/>
      <c r="IG265" s="127"/>
      <c r="IH265" s="127"/>
      <c r="II265" s="127"/>
      <c r="IJ265" s="127"/>
      <c r="IK265" s="127"/>
      <c r="LB265" s="127"/>
      <c r="LC265" s="127"/>
      <c r="LD265" s="127"/>
      <c r="LE265" s="127"/>
      <c r="LF265" s="127"/>
      <c r="LG265" s="127"/>
      <c r="LH265" s="127"/>
      <c r="LI265" s="127"/>
      <c r="LJ265" s="127"/>
      <c r="LK265" s="127"/>
      <c r="LL265" s="127"/>
      <c r="LM265" s="127"/>
      <c r="LN265" s="127"/>
      <c r="LO265" s="127"/>
      <c r="LP265" s="127"/>
      <c r="OG265" s="127"/>
      <c r="OH265" s="127"/>
      <c r="OI265" s="127"/>
      <c r="OJ265" s="127"/>
      <c r="OK265" s="127"/>
      <c r="OL265" s="127"/>
      <c r="OM265" s="127"/>
      <c r="ON265" s="127"/>
      <c r="OO265" s="127"/>
      <c r="OP265" s="127"/>
      <c r="OQ265" s="127"/>
      <c r="OR265" s="127"/>
      <c r="OS265" s="127"/>
      <c r="OT265" s="127"/>
      <c r="OU265" s="127"/>
    </row>
    <row r="266" spans="1:411">
      <c r="A266">
        <v>33</v>
      </c>
      <c r="B266">
        <v>423</v>
      </c>
      <c r="C266" t="s">
        <v>72</v>
      </c>
      <c r="D266" t="s">
        <v>82</v>
      </c>
      <c r="E266" s="232" t="s">
        <v>9266</v>
      </c>
      <c r="F266" t="s">
        <v>70</v>
      </c>
      <c r="G266">
        <v>2</v>
      </c>
      <c r="H266">
        <v>389.07499999999999</v>
      </c>
      <c r="I266">
        <v>387.94400000000002</v>
      </c>
      <c r="J266">
        <v>386.51600000000002</v>
      </c>
      <c r="K266">
        <v>384.87700000000001</v>
      </c>
      <c r="L266">
        <v>382.50200000000001</v>
      </c>
      <c r="M266" s="233" t="s">
        <v>530</v>
      </c>
      <c r="N266" s="233" t="s">
        <v>531</v>
      </c>
      <c r="O266" s="3" t="s">
        <v>767</v>
      </c>
      <c r="BM266" s="127"/>
      <c r="BN266" s="127"/>
      <c r="BO266" s="127"/>
      <c r="BP266" s="127"/>
      <c r="BQ266" s="127"/>
      <c r="BR266" s="127"/>
      <c r="BS266" s="127"/>
      <c r="BT266" s="127"/>
      <c r="BU266" s="127"/>
      <c r="BV266" s="127"/>
      <c r="BW266" s="127"/>
      <c r="BX266" s="127"/>
      <c r="BY266" s="127"/>
      <c r="BZ266" s="127"/>
      <c r="CA266" s="127"/>
      <c r="ER266" s="127"/>
      <c r="ES266" s="127"/>
      <c r="ET266" s="127"/>
      <c r="EU266" s="127"/>
      <c r="EV266" s="127"/>
      <c r="EW266" s="127"/>
      <c r="EX266" s="127"/>
      <c r="EY266" s="127"/>
      <c r="EZ266" s="127"/>
      <c r="FA266" s="127"/>
      <c r="FB266" s="127"/>
      <c r="FC266" s="127"/>
      <c r="FD266" s="127"/>
      <c r="FE266" s="127"/>
      <c r="FF266" s="127"/>
      <c r="HW266" s="127"/>
      <c r="HX266" s="127"/>
      <c r="HY266" s="127"/>
      <c r="HZ266" s="127"/>
      <c r="IA266" s="127"/>
      <c r="IB266" s="127"/>
      <c r="IC266" s="127"/>
      <c r="ID266" s="127"/>
      <c r="IE266" s="127"/>
      <c r="IF266" s="127"/>
      <c r="IG266" s="127"/>
      <c r="IH266" s="127"/>
      <c r="II266" s="127"/>
      <c r="IJ266" s="127"/>
      <c r="IK266" s="127"/>
      <c r="LB266" s="127"/>
      <c r="LC266" s="127"/>
      <c r="LD266" s="127"/>
      <c r="LE266" s="127"/>
      <c r="LF266" s="127"/>
      <c r="LG266" s="127"/>
      <c r="LH266" s="127"/>
      <c r="LI266" s="127"/>
      <c r="LJ266" s="127"/>
      <c r="LK266" s="127"/>
      <c r="LL266" s="127"/>
      <c r="LM266" s="127"/>
      <c r="LN266" s="127"/>
      <c r="LO266" s="127"/>
      <c r="LP266" s="127"/>
      <c r="OG266" s="127"/>
      <c r="OH266" s="127"/>
      <c r="OI266" s="127"/>
      <c r="OJ266" s="127"/>
      <c r="OK266" s="127"/>
      <c r="OL266" s="127"/>
      <c r="OM266" s="127"/>
      <c r="ON266" s="127"/>
      <c r="OO266" s="127"/>
      <c r="OP266" s="127"/>
      <c r="OQ266" s="127"/>
      <c r="OR266" s="127"/>
      <c r="OS266" s="127"/>
      <c r="OT266" s="127"/>
      <c r="OU266" s="127"/>
    </row>
    <row r="267" spans="1:411">
      <c r="A267">
        <v>33</v>
      </c>
      <c r="B267">
        <v>424</v>
      </c>
      <c r="C267" t="s">
        <v>72</v>
      </c>
      <c r="D267" t="s">
        <v>82</v>
      </c>
      <c r="E267" s="232" t="s">
        <v>9280</v>
      </c>
      <c r="F267" t="s">
        <v>70</v>
      </c>
      <c r="G267">
        <v>2</v>
      </c>
      <c r="H267">
        <v>389.07499999999999</v>
      </c>
      <c r="I267">
        <v>387.94400000000002</v>
      </c>
      <c r="J267">
        <v>386.51600000000002</v>
      </c>
      <c r="K267">
        <v>384.87700000000001</v>
      </c>
      <c r="L267">
        <v>382.50200000000001</v>
      </c>
      <c r="M267" s="233" t="s">
        <v>530</v>
      </c>
      <c r="N267" s="233" t="s">
        <v>531</v>
      </c>
      <c r="O267" s="3" t="s">
        <v>768</v>
      </c>
      <c r="BM267" s="127"/>
      <c r="BN267" s="127"/>
      <c r="BO267" s="127"/>
      <c r="BP267" s="127"/>
      <c r="BQ267" s="127"/>
      <c r="BR267" s="127"/>
      <c r="BS267" s="127"/>
      <c r="BT267" s="127"/>
      <c r="BU267" s="127"/>
      <c r="BV267" s="127"/>
      <c r="BW267" s="127"/>
      <c r="BX267" s="127"/>
      <c r="BY267" s="127"/>
      <c r="BZ267" s="127"/>
      <c r="CA267" s="127"/>
      <c r="ER267" s="127"/>
      <c r="ES267" s="127"/>
      <c r="ET267" s="127"/>
      <c r="EU267" s="127"/>
      <c r="EV267" s="127"/>
      <c r="EW267" s="127"/>
      <c r="EX267" s="127"/>
      <c r="EY267" s="127"/>
      <c r="EZ267" s="127"/>
      <c r="FA267" s="127"/>
      <c r="FB267" s="127"/>
      <c r="FC267" s="127"/>
      <c r="FD267" s="127"/>
      <c r="FE267" s="127"/>
      <c r="FF267" s="127"/>
      <c r="HW267" s="127"/>
      <c r="HX267" s="127"/>
      <c r="HY267" s="127"/>
      <c r="HZ267" s="127"/>
      <c r="IA267" s="127"/>
      <c r="IB267" s="127"/>
      <c r="IC267" s="127"/>
      <c r="ID267" s="127"/>
      <c r="IE267" s="127"/>
      <c r="IF267" s="127"/>
      <c r="IG267" s="127"/>
      <c r="IH267" s="127"/>
      <c r="II267" s="127"/>
      <c r="IJ267" s="127"/>
      <c r="IK267" s="127"/>
      <c r="LB267" s="127"/>
      <c r="LC267" s="127"/>
      <c r="LD267" s="127"/>
      <c r="LE267" s="127"/>
      <c r="LF267" s="127"/>
      <c r="LG267" s="127"/>
      <c r="LH267" s="127"/>
      <c r="LI267" s="127"/>
      <c r="LJ267" s="127"/>
      <c r="LK267" s="127"/>
      <c r="LL267" s="127"/>
      <c r="LM267" s="127"/>
      <c r="LN267" s="127"/>
      <c r="LO267" s="127"/>
      <c r="LP267" s="127"/>
      <c r="OG267" s="127"/>
      <c r="OH267" s="127"/>
      <c r="OI267" s="127"/>
      <c r="OJ267" s="127"/>
      <c r="OK267" s="127"/>
      <c r="OL267" s="127"/>
      <c r="OM267" s="127"/>
      <c r="ON267" s="127"/>
      <c r="OO267" s="127"/>
      <c r="OP267" s="127"/>
      <c r="OQ267" s="127"/>
      <c r="OR267" s="127"/>
      <c r="OS267" s="127"/>
      <c r="OT267" s="127"/>
      <c r="OU267" s="127"/>
    </row>
    <row r="268" spans="1:411">
      <c r="A268">
        <v>33</v>
      </c>
      <c r="B268">
        <v>404</v>
      </c>
      <c r="C268" t="s">
        <v>72</v>
      </c>
      <c r="D268" t="s">
        <v>82</v>
      </c>
      <c r="E268" s="232" t="s">
        <v>551</v>
      </c>
      <c r="F268" t="s">
        <v>70</v>
      </c>
      <c r="G268">
        <v>2</v>
      </c>
      <c r="H268">
        <v>389.572</v>
      </c>
      <c r="I268">
        <v>387.94400000000002</v>
      </c>
      <c r="J268">
        <v>386.25299999999999</v>
      </c>
      <c r="K268">
        <v>385.072</v>
      </c>
      <c r="L268">
        <v>383.928</v>
      </c>
      <c r="M268" s="233" t="s">
        <v>530</v>
      </c>
      <c r="N268" s="233" t="s">
        <v>531</v>
      </c>
      <c r="O268" s="3" t="s">
        <v>769</v>
      </c>
      <c r="BM268" s="127"/>
      <c r="BN268" s="127"/>
      <c r="BO268" s="127"/>
      <c r="BP268" s="127"/>
      <c r="BQ268" s="127"/>
      <c r="BR268" s="127"/>
      <c r="BS268" s="127"/>
      <c r="BT268" s="127"/>
      <c r="BU268" s="127"/>
      <c r="BV268" s="127"/>
      <c r="BW268" s="127"/>
      <c r="BX268" s="127"/>
      <c r="BY268" s="127"/>
      <c r="BZ268" s="127"/>
      <c r="CA268" s="127"/>
      <c r="ER268" s="127"/>
      <c r="ES268" s="127"/>
      <c r="ET268" s="127"/>
      <c r="EU268" s="127"/>
      <c r="EV268" s="127"/>
      <c r="EW268" s="127"/>
      <c r="EX268" s="127"/>
      <c r="EY268" s="127"/>
      <c r="EZ268" s="127"/>
      <c r="FA268" s="127"/>
      <c r="FB268" s="127"/>
      <c r="FC268" s="127"/>
      <c r="FD268" s="127"/>
      <c r="FE268" s="127"/>
      <c r="FF268" s="127"/>
      <c r="HW268" s="127"/>
      <c r="HX268" s="127"/>
      <c r="HY268" s="127"/>
      <c r="HZ268" s="127"/>
      <c r="IA268" s="127"/>
      <c r="IB268" s="127"/>
      <c r="IC268" s="127"/>
      <c r="ID268" s="127"/>
      <c r="IE268" s="127"/>
      <c r="IF268" s="127"/>
      <c r="IG268" s="127"/>
      <c r="IH268" s="127"/>
      <c r="II268" s="127"/>
      <c r="IJ268" s="127"/>
      <c r="IK268" s="127"/>
      <c r="LB268" s="127"/>
      <c r="LC268" s="127"/>
      <c r="LD268" s="127"/>
      <c r="LE268" s="127"/>
      <c r="LF268" s="127"/>
      <c r="LG268" s="127"/>
      <c r="LH268" s="127"/>
      <c r="LI268" s="127"/>
      <c r="LJ268" s="127"/>
      <c r="LK268" s="127"/>
      <c r="LL268" s="127"/>
      <c r="LM268" s="127"/>
      <c r="LN268" s="127"/>
      <c r="LO268" s="127"/>
      <c r="LP268" s="127"/>
      <c r="OG268" s="127"/>
      <c r="OH268" s="127"/>
      <c r="OI268" s="127"/>
      <c r="OJ268" s="127"/>
      <c r="OK268" s="127"/>
      <c r="OL268" s="127"/>
      <c r="OM268" s="127"/>
      <c r="ON268" s="127"/>
      <c r="OO268" s="127"/>
      <c r="OP268" s="127"/>
      <c r="OQ268" s="127"/>
      <c r="OR268" s="127"/>
      <c r="OS268" s="127"/>
      <c r="OT268" s="127"/>
      <c r="OU268" s="127"/>
    </row>
    <row r="269" spans="1:411">
      <c r="A269">
        <v>33</v>
      </c>
      <c r="B269">
        <v>405</v>
      </c>
      <c r="C269" t="s">
        <v>72</v>
      </c>
      <c r="D269" t="s">
        <v>82</v>
      </c>
      <c r="E269" s="232" t="s">
        <v>550</v>
      </c>
      <c r="F269" t="s">
        <v>70</v>
      </c>
      <c r="G269">
        <v>2</v>
      </c>
      <c r="H269">
        <v>388.20100000000002</v>
      </c>
      <c r="I269">
        <v>387.42</v>
      </c>
      <c r="J269">
        <v>385.90699999999998</v>
      </c>
      <c r="K269">
        <v>384.76299999999998</v>
      </c>
      <c r="L269">
        <v>382.90600000000001</v>
      </c>
      <c r="M269" s="233" t="s">
        <v>530</v>
      </c>
      <c r="N269" s="233" t="s">
        <v>531</v>
      </c>
      <c r="O269" s="3" t="s">
        <v>770</v>
      </c>
      <c r="BM269" s="127"/>
      <c r="BN269" s="127"/>
      <c r="BO269" s="127"/>
      <c r="BP269" s="127"/>
      <c r="BQ269" s="127"/>
      <c r="BR269" s="127"/>
      <c r="BS269" s="127"/>
      <c r="BT269" s="127"/>
      <c r="BU269" s="127"/>
      <c r="BV269" s="127"/>
      <c r="BW269" s="127"/>
      <c r="BX269" s="127"/>
      <c r="BY269" s="127"/>
      <c r="BZ269" s="127"/>
      <c r="CA269" s="127"/>
      <c r="ER269" s="127"/>
      <c r="ES269" s="127"/>
      <c r="ET269" s="127"/>
      <c r="EU269" s="127"/>
      <c r="EV269" s="127"/>
      <c r="EW269" s="127"/>
      <c r="EX269" s="127"/>
      <c r="EY269" s="127"/>
      <c r="EZ269" s="127"/>
      <c r="FA269" s="127"/>
      <c r="FB269" s="127"/>
      <c r="FC269" s="127"/>
      <c r="FD269" s="127"/>
      <c r="FE269" s="127"/>
      <c r="FF269" s="127"/>
      <c r="HW269" s="127"/>
      <c r="HX269" s="127"/>
      <c r="HY269" s="127"/>
      <c r="HZ269" s="127"/>
      <c r="IA269" s="127"/>
      <c r="IB269" s="127"/>
      <c r="IC269" s="127"/>
      <c r="ID269" s="127"/>
      <c r="IE269" s="127"/>
      <c r="IF269" s="127"/>
      <c r="IG269" s="127"/>
      <c r="IH269" s="127"/>
      <c r="II269" s="127"/>
      <c r="IJ269" s="127"/>
      <c r="IK269" s="127"/>
      <c r="LB269" s="127"/>
      <c r="LC269" s="127"/>
      <c r="LD269" s="127"/>
      <c r="LE269" s="127"/>
      <c r="LF269" s="127"/>
      <c r="LG269" s="127"/>
      <c r="LH269" s="127"/>
      <c r="LI269" s="127"/>
      <c r="LJ269" s="127"/>
      <c r="LK269" s="127"/>
      <c r="LL269" s="127"/>
      <c r="LM269" s="127"/>
      <c r="LN269" s="127"/>
      <c r="LO269" s="127"/>
      <c r="LP269" s="127"/>
      <c r="OG269" s="127"/>
      <c r="OH269" s="127"/>
      <c r="OI269" s="127"/>
      <c r="OJ269" s="127"/>
      <c r="OK269" s="127"/>
      <c r="OL269" s="127"/>
      <c r="OM269" s="127"/>
      <c r="ON269" s="127"/>
      <c r="OO269" s="127"/>
      <c r="OP269" s="127"/>
      <c r="OQ269" s="127"/>
      <c r="OR269" s="127"/>
      <c r="OS269" s="127"/>
      <c r="OT269" s="127"/>
      <c r="OU269" s="127"/>
    </row>
    <row r="270" spans="1:411">
      <c r="A270">
        <v>33</v>
      </c>
      <c r="B270">
        <v>412</v>
      </c>
      <c r="C270" t="s">
        <v>72</v>
      </c>
      <c r="D270" t="s">
        <v>82</v>
      </c>
      <c r="E270" s="232" t="s">
        <v>8633</v>
      </c>
      <c r="F270" t="s">
        <v>70</v>
      </c>
      <c r="G270">
        <v>2</v>
      </c>
      <c r="H270">
        <v>386.86200000000002</v>
      </c>
      <c r="I270">
        <v>385.71800000000002</v>
      </c>
      <c r="J270">
        <v>384.57499999999999</v>
      </c>
      <c r="K270">
        <v>384.00299999999999</v>
      </c>
      <c r="L270">
        <v>383.07499999999999</v>
      </c>
      <c r="M270" s="233" t="s">
        <v>530</v>
      </c>
      <c r="N270" s="233" t="s">
        <v>531</v>
      </c>
      <c r="O270" s="3" t="s">
        <v>771</v>
      </c>
      <c r="BM270" s="127"/>
      <c r="BN270" s="127"/>
      <c r="BO270" s="127"/>
      <c r="BP270" s="127"/>
      <c r="BQ270" s="127"/>
      <c r="BR270" s="127"/>
      <c r="BS270" s="127"/>
      <c r="BT270" s="127"/>
      <c r="BU270" s="127"/>
      <c r="BV270" s="127"/>
      <c r="BW270" s="127"/>
      <c r="BX270" s="127"/>
      <c r="BY270" s="127"/>
      <c r="BZ270" s="127"/>
      <c r="CA270" s="127"/>
      <c r="ER270" s="127"/>
      <c r="ES270" s="127"/>
      <c r="ET270" s="127"/>
      <c r="EU270" s="127"/>
      <c r="EV270" s="127"/>
      <c r="EW270" s="127"/>
      <c r="EX270" s="127"/>
      <c r="EY270" s="127"/>
      <c r="EZ270" s="127"/>
      <c r="FA270" s="127"/>
      <c r="FB270" s="127"/>
      <c r="FC270" s="127"/>
      <c r="FD270" s="127"/>
      <c r="FE270" s="127"/>
      <c r="FF270" s="127"/>
      <c r="HW270" s="127"/>
      <c r="HX270" s="127"/>
      <c r="HY270" s="127"/>
      <c r="HZ270" s="127"/>
      <c r="IA270" s="127"/>
      <c r="IB270" s="127"/>
      <c r="IC270" s="127"/>
      <c r="ID270" s="127"/>
      <c r="IE270" s="127"/>
      <c r="IF270" s="127"/>
      <c r="IG270" s="127"/>
      <c r="IH270" s="127"/>
      <c r="II270" s="127"/>
      <c r="IJ270" s="127"/>
      <c r="IK270" s="127"/>
      <c r="LB270" s="127"/>
      <c r="LC270" s="127"/>
      <c r="LD270" s="127"/>
      <c r="LE270" s="127"/>
      <c r="LF270" s="127"/>
      <c r="LG270" s="127"/>
      <c r="LH270" s="127"/>
      <c r="LI270" s="127"/>
      <c r="LJ270" s="127"/>
      <c r="LK270" s="127"/>
      <c r="LL270" s="127"/>
      <c r="LM270" s="127"/>
      <c r="LN270" s="127"/>
      <c r="LO270" s="127"/>
      <c r="LP270" s="127"/>
      <c r="OG270" s="127"/>
      <c r="OH270" s="127"/>
      <c r="OI270" s="127"/>
      <c r="OJ270" s="127"/>
      <c r="OK270" s="127"/>
      <c r="OL270" s="127"/>
      <c r="OM270" s="127"/>
      <c r="ON270" s="127"/>
      <c r="OO270" s="127"/>
      <c r="OP270" s="127"/>
      <c r="OQ270" s="127"/>
      <c r="OR270" s="127"/>
      <c r="OS270" s="127"/>
      <c r="OT270" s="127"/>
      <c r="OU270" s="127"/>
    </row>
    <row r="271" spans="1:411">
      <c r="A271">
        <v>33</v>
      </c>
      <c r="B271">
        <v>408</v>
      </c>
      <c r="C271" t="s">
        <v>72</v>
      </c>
      <c r="D271" t="s">
        <v>82</v>
      </c>
      <c r="E271" s="232" t="s">
        <v>9518</v>
      </c>
      <c r="F271" t="s">
        <v>70</v>
      </c>
      <c r="G271">
        <v>2</v>
      </c>
      <c r="H271">
        <v>389.07499999999999</v>
      </c>
      <c r="I271">
        <v>386.65699999999998</v>
      </c>
      <c r="J271">
        <v>384.31099999999998</v>
      </c>
      <c r="K271">
        <v>382.50200000000001</v>
      </c>
      <c r="L271">
        <v>379.82100000000003</v>
      </c>
      <c r="M271" s="233" t="s">
        <v>530</v>
      </c>
      <c r="N271" s="233" t="s">
        <v>531</v>
      </c>
      <c r="O271" s="3" t="s">
        <v>772</v>
      </c>
      <c r="BM271" s="127"/>
      <c r="BN271" s="127"/>
      <c r="BO271" s="127"/>
      <c r="BP271" s="127"/>
      <c r="BQ271" s="127"/>
      <c r="BR271" s="127"/>
      <c r="BS271" s="127"/>
      <c r="BT271" s="127"/>
      <c r="BU271" s="127"/>
      <c r="BV271" s="127"/>
      <c r="BW271" s="127"/>
      <c r="BX271" s="127"/>
      <c r="BY271" s="127"/>
      <c r="BZ271" s="127"/>
      <c r="CA271" s="127"/>
      <c r="ER271" s="127"/>
      <c r="ES271" s="127"/>
      <c r="ET271" s="127"/>
      <c r="EU271" s="127"/>
      <c r="EV271" s="127"/>
      <c r="EW271" s="127"/>
      <c r="EX271" s="127"/>
      <c r="EY271" s="127"/>
      <c r="EZ271" s="127"/>
      <c r="FA271" s="127"/>
      <c r="FB271" s="127"/>
      <c r="FC271" s="127"/>
      <c r="FD271" s="127"/>
      <c r="FE271" s="127"/>
      <c r="FF271" s="127"/>
      <c r="HW271" s="127"/>
      <c r="HX271" s="127"/>
      <c r="HY271" s="127"/>
      <c r="HZ271" s="127"/>
      <c r="IA271" s="127"/>
      <c r="IB271" s="127"/>
      <c r="IC271" s="127"/>
      <c r="ID271" s="127"/>
      <c r="IE271" s="127"/>
      <c r="IF271" s="127"/>
      <c r="IG271" s="127"/>
      <c r="IH271" s="127"/>
      <c r="II271" s="127"/>
      <c r="IJ271" s="127"/>
      <c r="IK271" s="127"/>
      <c r="LB271" s="127"/>
      <c r="LC271" s="127"/>
      <c r="LD271" s="127"/>
      <c r="LE271" s="127"/>
      <c r="LF271" s="127"/>
      <c r="LG271" s="127"/>
      <c r="LH271" s="127"/>
      <c r="LI271" s="127"/>
      <c r="LJ271" s="127"/>
      <c r="LK271" s="127"/>
      <c r="LL271" s="127"/>
      <c r="LM271" s="127"/>
      <c r="LN271" s="127"/>
      <c r="LO271" s="127"/>
      <c r="LP271" s="127"/>
      <c r="OG271" s="127"/>
      <c r="OH271" s="127"/>
      <c r="OI271" s="127"/>
      <c r="OJ271" s="127"/>
      <c r="OK271" s="127"/>
      <c r="OL271" s="127"/>
      <c r="OM271" s="127"/>
      <c r="ON271" s="127"/>
      <c r="OO271" s="127"/>
      <c r="OP271" s="127"/>
      <c r="OQ271" s="127"/>
      <c r="OR271" s="127"/>
      <c r="OS271" s="127"/>
      <c r="OT271" s="127"/>
      <c r="OU271" s="127"/>
    </row>
    <row r="272" spans="1:411">
      <c r="A272">
        <v>33</v>
      </c>
      <c r="B272">
        <v>422</v>
      </c>
      <c r="C272" t="s">
        <v>72</v>
      </c>
      <c r="D272" t="s">
        <v>82</v>
      </c>
      <c r="E272" s="232" t="s">
        <v>9533</v>
      </c>
      <c r="F272" t="s">
        <v>70</v>
      </c>
      <c r="G272">
        <v>2</v>
      </c>
      <c r="H272">
        <v>389.00900000000001</v>
      </c>
      <c r="I272">
        <v>386.51600000000002</v>
      </c>
      <c r="J272">
        <v>384.18200000000002</v>
      </c>
      <c r="K272">
        <v>382.31</v>
      </c>
      <c r="L272">
        <v>379.70299999999997</v>
      </c>
      <c r="M272" s="233" t="s">
        <v>530</v>
      </c>
      <c r="N272" s="233" t="s">
        <v>531</v>
      </c>
      <c r="O272" s="3" t="s">
        <v>773</v>
      </c>
      <c r="BM272" s="127"/>
      <c r="BN272" s="127"/>
      <c r="BO272" s="127"/>
      <c r="BP272" s="127"/>
      <c r="BQ272" s="127"/>
      <c r="BR272" s="127"/>
      <c r="BS272" s="127"/>
      <c r="BT272" s="127"/>
      <c r="BU272" s="127"/>
      <c r="BV272" s="127"/>
      <c r="BW272" s="127"/>
      <c r="BX272" s="127"/>
      <c r="BY272" s="127"/>
      <c r="BZ272" s="127"/>
      <c r="CA272" s="127"/>
      <c r="ER272" s="127"/>
      <c r="ES272" s="127"/>
      <c r="ET272" s="127"/>
      <c r="EU272" s="127"/>
      <c r="EV272" s="127"/>
      <c r="EW272" s="127"/>
      <c r="EX272" s="127"/>
      <c r="EY272" s="127"/>
      <c r="EZ272" s="127"/>
      <c r="FA272" s="127"/>
      <c r="FB272" s="127"/>
      <c r="FC272" s="127"/>
      <c r="FD272" s="127"/>
      <c r="FE272" s="127"/>
      <c r="FF272" s="127"/>
      <c r="HW272" s="127"/>
      <c r="HX272" s="127"/>
      <c r="HY272" s="127"/>
      <c r="HZ272" s="127"/>
      <c r="IA272" s="127"/>
      <c r="IB272" s="127"/>
      <c r="IC272" s="127"/>
      <c r="ID272" s="127"/>
      <c r="IE272" s="127"/>
      <c r="IF272" s="127"/>
      <c r="IG272" s="127"/>
      <c r="IH272" s="127"/>
      <c r="II272" s="127"/>
      <c r="IJ272" s="127"/>
      <c r="IK272" s="127"/>
      <c r="LB272" s="127"/>
      <c r="LC272" s="127"/>
      <c r="LD272" s="127"/>
      <c r="LE272" s="127"/>
      <c r="LF272" s="127"/>
      <c r="LG272" s="127"/>
      <c r="LH272" s="127"/>
      <c r="LI272" s="127"/>
      <c r="LJ272" s="127"/>
      <c r="LK272" s="127"/>
      <c r="LL272" s="127"/>
      <c r="LM272" s="127"/>
      <c r="LN272" s="127"/>
      <c r="LO272" s="127"/>
      <c r="LP272" s="127"/>
      <c r="OG272" s="127"/>
      <c r="OH272" s="127"/>
      <c r="OI272" s="127"/>
      <c r="OJ272" s="127"/>
      <c r="OK272" s="127"/>
      <c r="OL272" s="127"/>
      <c r="OM272" s="127"/>
      <c r="ON272" s="127"/>
      <c r="OO272" s="127"/>
      <c r="OP272" s="127"/>
      <c r="OQ272" s="127"/>
      <c r="OR272" s="127"/>
      <c r="OS272" s="127"/>
      <c r="OT272" s="127"/>
      <c r="OU272" s="127"/>
    </row>
    <row r="273" spans="1:411">
      <c r="A273">
        <v>33</v>
      </c>
      <c r="B273">
        <v>403</v>
      </c>
      <c r="C273" t="s">
        <v>72</v>
      </c>
      <c r="D273" t="s">
        <v>82</v>
      </c>
      <c r="E273" s="232" t="s">
        <v>8307</v>
      </c>
      <c r="F273" t="s">
        <v>70</v>
      </c>
      <c r="G273">
        <v>2</v>
      </c>
      <c r="H273">
        <v>388.75200000000001</v>
      </c>
      <c r="I273">
        <v>386.25299999999999</v>
      </c>
      <c r="J273">
        <v>383.928</v>
      </c>
      <c r="K273">
        <v>382.17899999999997</v>
      </c>
      <c r="L273">
        <v>379.36099999999999</v>
      </c>
      <c r="M273" s="233" t="s">
        <v>530</v>
      </c>
      <c r="N273" s="233" t="s">
        <v>531</v>
      </c>
      <c r="O273" s="3" t="s">
        <v>774</v>
      </c>
      <c r="BM273" s="127"/>
      <c r="BN273" s="127"/>
      <c r="BO273" s="127"/>
      <c r="BP273" s="127"/>
      <c r="BQ273" s="127"/>
      <c r="BR273" s="127"/>
      <c r="BS273" s="127"/>
      <c r="BT273" s="127"/>
      <c r="BU273" s="127"/>
      <c r="BV273" s="127"/>
      <c r="BW273" s="127"/>
      <c r="BX273" s="127"/>
      <c r="BY273" s="127"/>
      <c r="BZ273" s="127"/>
      <c r="CA273" s="127"/>
      <c r="ER273" s="127"/>
      <c r="ES273" s="127"/>
      <c r="ET273" s="127"/>
      <c r="EU273" s="127"/>
      <c r="EV273" s="127"/>
      <c r="EW273" s="127"/>
      <c r="EX273" s="127"/>
      <c r="EY273" s="127"/>
      <c r="EZ273" s="127"/>
      <c r="FA273" s="127"/>
      <c r="FB273" s="127"/>
      <c r="FC273" s="127"/>
      <c r="FD273" s="127"/>
      <c r="FE273" s="127"/>
      <c r="FF273" s="127"/>
      <c r="HW273" s="127"/>
      <c r="HX273" s="127"/>
      <c r="HY273" s="127"/>
      <c r="HZ273" s="127"/>
      <c r="IA273" s="127"/>
      <c r="IB273" s="127"/>
      <c r="IC273" s="127"/>
      <c r="ID273" s="127"/>
      <c r="IE273" s="127"/>
      <c r="IF273" s="127"/>
      <c r="IG273" s="127"/>
      <c r="IH273" s="127"/>
      <c r="II273" s="127"/>
      <c r="IJ273" s="127"/>
      <c r="IK273" s="127"/>
      <c r="LB273" s="127"/>
      <c r="LC273" s="127"/>
      <c r="LD273" s="127"/>
      <c r="LE273" s="127"/>
      <c r="LF273" s="127"/>
      <c r="LG273" s="127"/>
      <c r="LH273" s="127"/>
      <c r="LI273" s="127"/>
      <c r="LJ273" s="127"/>
      <c r="LK273" s="127"/>
      <c r="LL273" s="127"/>
      <c r="LM273" s="127"/>
      <c r="LN273" s="127"/>
      <c r="LO273" s="127"/>
      <c r="LP273" s="127"/>
      <c r="OG273" s="127"/>
      <c r="OH273" s="127"/>
      <c r="OI273" s="127"/>
      <c r="OJ273" s="127"/>
      <c r="OK273" s="127"/>
      <c r="OL273" s="127"/>
      <c r="OM273" s="127"/>
      <c r="ON273" s="127"/>
      <c r="OO273" s="127"/>
      <c r="OP273" s="127"/>
      <c r="OQ273" s="127"/>
      <c r="OR273" s="127"/>
      <c r="OS273" s="127"/>
      <c r="OT273" s="127"/>
      <c r="OU273" s="127"/>
    </row>
    <row r="274" spans="1:411">
      <c r="A274">
        <v>34</v>
      </c>
      <c r="B274">
        <v>442</v>
      </c>
      <c r="C274" t="s">
        <v>72</v>
      </c>
      <c r="D274" t="s">
        <v>82</v>
      </c>
      <c r="E274" s="232" t="s">
        <v>8654</v>
      </c>
      <c r="F274" t="s">
        <v>71</v>
      </c>
      <c r="G274">
        <v>2</v>
      </c>
      <c r="H274">
        <v>389.971</v>
      </c>
      <c r="I274">
        <v>388.63900000000001</v>
      </c>
      <c r="J274">
        <v>387.202</v>
      </c>
      <c r="K274">
        <v>386.72500000000002</v>
      </c>
      <c r="L274">
        <v>385.21100000000001</v>
      </c>
      <c r="M274" s="233" t="s">
        <v>530</v>
      </c>
      <c r="N274" s="233" t="s">
        <v>531</v>
      </c>
      <c r="O274" s="3" t="s">
        <v>775</v>
      </c>
      <c r="BM274" s="127"/>
      <c r="BN274" s="127"/>
      <c r="BO274" s="127"/>
      <c r="BP274" s="127"/>
      <c r="BQ274" s="127"/>
      <c r="BR274" s="127"/>
      <c r="BS274" s="127"/>
      <c r="BT274" s="127"/>
      <c r="BU274" s="127"/>
      <c r="BV274" s="127"/>
      <c r="BW274" s="127"/>
      <c r="BX274" s="127"/>
      <c r="BY274" s="127"/>
      <c r="BZ274" s="127"/>
      <c r="CA274" s="127"/>
      <c r="ER274" s="127"/>
      <c r="ES274" s="127"/>
      <c r="ET274" s="127"/>
      <c r="EU274" s="127"/>
      <c r="EV274" s="127"/>
      <c r="EW274" s="127"/>
      <c r="EX274" s="127"/>
      <c r="EY274" s="127"/>
      <c r="EZ274" s="127"/>
      <c r="FA274" s="127"/>
      <c r="FB274" s="127"/>
      <c r="FC274" s="127"/>
      <c r="FD274" s="127"/>
      <c r="FE274" s="127"/>
      <c r="FF274" s="127"/>
      <c r="HW274" s="127"/>
      <c r="HX274" s="127"/>
      <c r="HY274" s="127"/>
      <c r="HZ274" s="127"/>
      <c r="IA274" s="127"/>
      <c r="IB274" s="127"/>
      <c r="IC274" s="127"/>
      <c r="ID274" s="127"/>
      <c r="IE274" s="127"/>
      <c r="IF274" s="127"/>
      <c r="IG274" s="127"/>
      <c r="IH274" s="127"/>
      <c r="II274" s="127"/>
      <c r="IJ274" s="127"/>
      <c r="IK274" s="127"/>
      <c r="LB274" s="127"/>
      <c r="LC274" s="127"/>
      <c r="LD274" s="127"/>
      <c r="LE274" s="127"/>
      <c r="LF274" s="127"/>
      <c r="LG274" s="127"/>
      <c r="LH274" s="127"/>
      <c r="LI274" s="127"/>
      <c r="LJ274" s="127"/>
      <c r="LK274" s="127"/>
      <c r="LL274" s="127"/>
      <c r="LM274" s="127"/>
      <c r="LN274" s="127"/>
      <c r="LO274" s="127"/>
      <c r="LP274" s="127"/>
      <c r="OG274" s="127"/>
      <c r="OH274" s="127"/>
      <c r="OI274" s="127"/>
      <c r="OJ274" s="127"/>
      <c r="OK274" s="127"/>
      <c r="OL274" s="127"/>
      <c r="OM274" s="127"/>
      <c r="ON274" s="127"/>
      <c r="OO274" s="127"/>
      <c r="OP274" s="127"/>
      <c r="OQ274" s="127"/>
      <c r="OR274" s="127"/>
      <c r="OS274" s="127"/>
      <c r="OT274" s="127"/>
      <c r="OU274" s="127"/>
    </row>
    <row r="275" spans="1:411">
      <c r="A275">
        <v>34</v>
      </c>
      <c r="B275">
        <v>441</v>
      </c>
      <c r="C275" t="s">
        <v>72</v>
      </c>
      <c r="D275" t="s">
        <v>82</v>
      </c>
      <c r="E275" s="232" t="s">
        <v>8883</v>
      </c>
      <c r="F275" t="s">
        <v>71</v>
      </c>
      <c r="G275">
        <v>2</v>
      </c>
      <c r="H275">
        <v>390.34699999999998</v>
      </c>
      <c r="I275">
        <v>388.64800000000002</v>
      </c>
      <c r="J275">
        <v>386.03500000000003</v>
      </c>
      <c r="K275">
        <v>384.08199999999999</v>
      </c>
      <c r="L275">
        <v>381.565</v>
      </c>
      <c r="M275" s="233" t="s">
        <v>530</v>
      </c>
      <c r="N275" s="233" t="s">
        <v>531</v>
      </c>
      <c r="O275" s="3" t="s">
        <v>776</v>
      </c>
      <c r="BM275" s="127"/>
      <c r="BN275" s="127"/>
      <c r="BO275" s="127"/>
      <c r="BP275" s="127"/>
      <c r="BQ275" s="127"/>
      <c r="BR275" s="127"/>
      <c r="BS275" s="127"/>
      <c r="BT275" s="127"/>
      <c r="BU275" s="127"/>
      <c r="BV275" s="127"/>
      <c r="BW275" s="127"/>
      <c r="BX275" s="127"/>
      <c r="BY275" s="127"/>
      <c r="BZ275" s="127"/>
      <c r="CA275" s="127"/>
      <c r="ER275" s="127"/>
      <c r="ES275" s="127"/>
      <c r="ET275" s="127"/>
      <c r="EU275" s="127"/>
      <c r="EV275" s="127"/>
      <c r="EW275" s="127"/>
      <c r="EX275" s="127"/>
      <c r="EY275" s="127"/>
      <c r="EZ275" s="127"/>
      <c r="FA275" s="127"/>
      <c r="FB275" s="127"/>
      <c r="FC275" s="127"/>
      <c r="FD275" s="127"/>
      <c r="FE275" s="127"/>
      <c r="FF275" s="127"/>
      <c r="HW275" s="127"/>
      <c r="HX275" s="127"/>
      <c r="HY275" s="127"/>
      <c r="HZ275" s="127"/>
      <c r="IA275" s="127"/>
      <c r="IB275" s="127"/>
      <c r="IC275" s="127"/>
      <c r="ID275" s="127"/>
      <c r="IE275" s="127"/>
      <c r="IF275" s="127"/>
      <c r="IG275" s="127"/>
      <c r="IH275" s="127"/>
      <c r="II275" s="127"/>
      <c r="IJ275" s="127"/>
      <c r="IK275" s="127"/>
      <c r="LB275" s="127"/>
      <c r="LC275" s="127"/>
      <c r="LD275" s="127"/>
      <c r="LE275" s="127"/>
      <c r="LF275" s="127"/>
      <c r="LG275" s="127"/>
      <c r="LH275" s="127"/>
      <c r="LI275" s="127"/>
      <c r="LJ275" s="127"/>
      <c r="LK275" s="127"/>
      <c r="LL275" s="127"/>
      <c r="LM275" s="127"/>
      <c r="LN275" s="127"/>
      <c r="LO275" s="127"/>
      <c r="LP275" s="127"/>
      <c r="OG275" s="127"/>
      <c r="OH275" s="127"/>
      <c r="OI275" s="127"/>
      <c r="OJ275" s="127"/>
      <c r="OK275" s="127"/>
      <c r="OL275" s="127"/>
      <c r="OM275" s="127"/>
      <c r="ON275" s="127"/>
      <c r="OO275" s="127"/>
      <c r="OP275" s="127"/>
      <c r="OQ275" s="127"/>
      <c r="OR275" s="127"/>
      <c r="OS275" s="127"/>
      <c r="OT275" s="127"/>
      <c r="OU275" s="127"/>
    </row>
    <row r="276" spans="1:411">
      <c r="A276">
        <v>35</v>
      </c>
      <c r="B276">
        <v>453</v>
      </c>
      <c r="C276" t="s">
        <v>72</v>
      </c>
      <c r="D276" t="s">
        <v>82</v>
      </c>
      <c r="E276" s="232" t="s">
        <v>9130</v>
      </c>
      <c r="F276" t="s">
        <v>71</v>
      </c>
      <c r="G276">
        <v>2</v>
      </c>
      <c r="H276">
        <v>387.52100000000002</v>
      </c>
      <c r="I276">
        <v>386.37</v>
      </c>
      <c r="J276">
        <v>384.93400000000003</v>
      </c>
      <c r="K276">
        <v>383.471</v>
      </c>
      <c r="L276">
        <v>381.8</v>
      </c>
      <c r="M276" s="233" t="s">
        <v>530</v>
      </c>
      <c r="N276" s="233" t="s">
        <v>531</v>
      </c>
      <c r="O276" s="3" t="s">
        <v>777</v>
      </c>
      <c r="BM276" s="127"/>
      <c r="BN276" s="127"/>
      <c r="BO276" s="127"/>
      <c r="BP276" s="127"/>
      <c r="BQ276" s="127"/>
      <c r="BR276" s="127"/>
      <c r="BS276" s="127"/>
      <c r="BT276" s="127"/>
      <c r="BU276" s="127"/>
      <c r="BV276" s="127"/>
      <c r="BW276" s="127"/>
      <c r="BX276" s="127"/>
      <c r="BY276" s="127"/>
      <c r="BZ276" s="127"/>
      <c r="CA276" s="127"/>
      <c r="ER276" s="127"/>
      <c r="ES276" s="127"/>
      <c r="ET276" s="127"/>
      <c r="EU276" s="127"/>
      <c r="EV276" s="127"/>
      <c r="EW276" s="127"/>
      <c r="EX276" s="127"/>
      <c r="EY276" s="127"/>
      <c r="EZ276" s="127"/>
      <c r="FA276" s="127"/>
      <c r="FB276" s="127"/>
      <c r="FC276" s="127"/>
      <c r="FD276" s="127"/>
      <c r="FE276" s="127"/>
      <c r="FF276" s="127"/>
      <c r="HW276" s="127"/>
      <c r="HX276" s="127"/>
      <c r="HY276" s="127"/>
      <c r="HZ276" s="127"/>
      <c r="IA276" s="127"/>
      <c r="IB276" s="127"/>
      <c r="IC276" s="127"/>
      <c r="ID276" s="127"/>
      <c r="IE276" s="127"/>
      <c r="IF276" s="127"/>
      <c r="IG276" s="127"/>
      <c r="IH276" s="127"/>
      <c r="II276" s="127"/>
      <c r="IJ276" s="127"/>
      <c r="IK276" s="127"/>
      <c r="LB276" s="127"/>
      <c r="LC276" s="127"/>
      <c r="LD276" s="127"/>
      <c r="LE276" s="127"/>
      <c r="LF276" s="127"/>
      <c r="LG276" s="127"/>
      <c r="LH276" s="127"/>
      <c r="LI276" s="127"/>
      <c r="LJ276" s="127"/>
      <c r="LK276" s="127"/>
      <c r="LL276" s="127"/>
      <c r="LM276" s="127"/>
      <c r="LN276" s="127"/>
      <c r="LO276" s="127"/>
      <c r="LP276" s="127"/>
      <c r="OG276" s="127"/>
      <c r="OH276" s="127"/>
      <c r="OI276" s="127"/>
      <c r="OJ276" s="127"/>
      <c r="OK276" s="127"/>
      <c r="OL276" s="127"/>
      <c r="OM276" s="127"/>
      <c r="ON276" s="127"/>
      <c r="OO276" s="127"/>
      <c r="OP276" s="127"/>
      <c r="OQ276" s="127"/>
      <c r="OR276" s="127"/>
      <c r="OS276" s="127"/>
      <c r="OT276" s="127"/>
      <c r="OU276" s="127"/>
    </row>
    <row r="277" spans="1:411">
      <c r="A277">
        <v>34</v>
      </c>
      <c r="B277">
        <v>440</v>
      </c>
      <c r="C277" t="s">
        <v>72</v>
      </c>
      <c r="D277" t="s">
        <v>82</v>
      </c>
      <c r="E277" s="232" t="s">
        <v>8863</v>
      </c>
      <c r="F277" t="s">
        <v>71</v>
      </c>
      <c r="G277">
        <v>2</v>
      </c>
      <c r="H277">
        <v>389.66500000000002</v>
      </c>
      <c r="I277">
        <v>387.72500000000002</v>
      </c>
      <c r="J277">
        <v>384.89600000000002</v>
      </c>
      <c r="K277">
        <v>382.96300000000002</v>
      </c>
      <c r="L277">
        <v>380.76499999999999</v>
      </c>
      <c r="M277" s="233" t="s">
        <v>530</v>
      </c>
      <c r="N277" s="233" t="s">
        <v>531</v>
      </c>
      <c r="O277" s="3" t="s">
        <v>778</v>
      </c>
      <c r="BM277" s="127"/>
      <c r="BN277" s="127"/>
      <c r="BO277" s="127"/>
      <c r="BP277" s="127"/>
      <c r="BQ277" s="127"/>
      <c r="BR277" s="127"/>
      <c r="BS277" s="127"/>
      <c r="BT277" s="127"/>
      <c r="BU277" s="127"/>
      <c r="BV277" s="127"/>
      <c r="BW277" s="127"/>
      <c r="BX277" s="127"/>
      <c r="BY277" s="127"/>
      <c r="BZ277" s="127"/>
      <c r="CA277" s="127"/>
      <c r="ER277" s="127"/>
      <c r="ES277" s="127"/>
      <c r="ET277" s="127"/>
      <c r="EU277" s="127"/>
      <c r="EV277" s="127"/>
      <c r="EW277" s="127"/>
      <c r="EX277" s="127"/>
      <c r="EY277" s="127"/>
      <c r="EZ277" s="127"/>
      <c r="FA277" s="127"/>
      <c r="FB277" s="127"/>
      <c r="FC277" s="127"/>
      <c r="FD277" s="127"/>
      <c r="FE277" s="127"/>
      <c r="FF277" s="127"/>
      <c r="HW277" s="127"/>
      <c r="HX277" s="127"/>
      <c r="HY277" s="127"/>
      <c r="HZ277" s="127"/>
      <c r="IA277" s="127"/>
      <c r="IB277" s="127"/>
      <c r="IC277" s="127"/>
      <c r="ID277" s="127"/>
      <c r="IE277" s="127"/>
      <c r="IF277" s="127"/>
      <c r="IG277" s="127"/>
      <c r="IH277" s="127"/>
      <c r="II277" s="127"/>
      <c r="IJ277" s="127"/>
      <c r="IK277" s="127"/>
      <c r="LB277" s="127"/>
      <c r="LC277" s="127"/>
      <c r="LD277" s="127"/>
      <c r="LE277" s="127"/>
      <c r="LF277" s="127"/>
      <c r="LG277" s="127"/>
      <c r="LH277" s="127"/>
      <c r="LI277" s="127"/>
      <c r="LJ277" s="127"/>
      <c r="LK277" s="127"/>
      <c r="LL277" s="127"/>
      <c r="LM277" s="127"/>
      <c r="LN277" s="127"/>
      <c r="LO277" s="127"/>
      <c r="LP277" s="127"/>
      <c r="OG277" s="127"/>
      <c r="OH277" s="127"/>
      <c r="OI277" s="127"/>
      <c r="OJ277" s="127"/>
      <c r="OK277" s="127"/>
      <c r="OL277" s="127"/>
      <c r="OM277" s="127"/>
      <c r="ON277" s="127"/>
      <c r="OO277" s="127"/>
      <c r="OP277" s="127"/>
      <c r="OQ277" s="127"/>
      <c r="OR277" s="127"/>
      <c r="OS277" s="127"/>
      <c r="OT277" s="127"/>
      <c r="OU277" s="127"/>
    </row>
    <row r="278" spans="1:411">
      <c r="A278">
        <v>34</v>
      </c>
      <c r="B278">
        <v>443</v>
      </c>
      <c r="C278" t="s">
        <v>72</v>
      </c>
      <c r="D278" t="s">
        <v>82</v>
      </c>
      <c r="E278" s="232" t="s">
        <v>9228</v>
      </c>
      <c r="F278" t="s">
        <v>71</v>
      </c>
      <c r="G278">
        <v>2</v>
      </c>
      <c r="H278">
        <v>389.66500000000002</v>
      </c>
      <c r="I278">
        <v>387.72500000000002</v>
      </c>
      <c r="J278">
        <v>384.89600000000002</v>
      </c>
      <c r="K278">
        <v>382.96300000000002</v>
      </c>
      <c r="L278">
        <v>380.76499999999999</v>
      </c>
      <c r="M278" s="233" t="s">
        <v>530</v>
      </c>
      <c r="N278" s="233" t="s">
        <v>531</v>
      </c>
      <c r="O278" s="3" t="s">
        <v>779</v>
      </c>
      <c r="BM278" s="127"/>
      <c r="BN278" s="127"/>
      <c r="BO278" s="127"/>
      <c r="BP278" s="127"/>
      <c r="BQ278" s="127"/>
      <c r="BR278" s="127"/>
      <c r="BS278" s="127"/>
      <c r="BT278" s="127"/>
      <c r="BU278" s="127"/>
      <c r="BV278" s="127"/>
      <c r="BW278" s="127"/>
      <c r="BX278" s="127"/>
      <c r="BY278" s="127"/>
      <c r="BZ278" s="127"/>
      <c r="CA278" s="127"/>
      <c r="ER278" s="127"/>
      <c r="ES278" s="127"/>
      <c r="ET278" s="127"/>
      <c r="EU278" s="127"/>
      <c r="EV278" s="127"/>
      <c r="EW278" s="127"/>
      <c r="EX278" s="127"/>
      <c r="EY278" s="127"/>
      <c r="EZ278" s="127"/>
      <c r="FA278" s="127"/>
      <c r="FB278" s="127"/>
      <c r="FC278" s="127"/>
      <c r="FD278" s="127"/>
      <c r="FE278" s="127"/>
      <c r="FF278" s="127"/>
      <c r="HW278" s="127"/>
      <c r="HX278" s="127"/>
      <c r="HY278" s="127"/>
      <c r="HZ278" s="127"/>
      <c r="IA278" s="127"/>
      <c r="IB278" s="127"/>
      <c r="IC278" s="127"/>
      <c r="ID278" s="127"/>
      <c r="IE278" s="127"/>
      <c r="IF278" s="127"/>
      <c r="IG278" s="127"/>
      <c r="IH278" s="127"/>
      <c r="II278" s="127"/>
      <c r="IJ278" s="127"/>
      <c r="IK278" s="127"/>
      <c r="LB278" s="127"/>
      <c r="LC278" s="127"/>
      <c r="LD278" s="127"/>
      <c r="LE278" s="127"/>
      <c r="LF278" s="127"/>
      <c r="LG278" s="127"/>
      <c r="LH278" s="127"/>
      <c r="LI278" s="127"/>
      <c r="LJ278" s="127"/>
      <c r="LK278" s="127"/>
      <c r="LL278" s="127"/>
      <c r="LM278" s="127"/>
      <c r="LN278" s="127"/>
      <c r="LO278" s="127"/>
      <c r="LP278" s="127"/>
      <c r="OG278" s="127"/>
      <c r="OH278" s="127"/>
      <c r="OI278" s="127"/>
      <c r="OJ278" s="127"/>
      <c r="OK278" s="127"/>
      <c r="OL278" s="127"/>
      <c r="OM278" s="127"/>
      <c r="ON278" s="127"/>
      <c r="OO278" s="127"/>
      <c r="OP278" s="127"/>
      <c r="OQ278" s="127"/>
      <c r="OR278" s="127"/>
      <c r="OS278" s="127"/>
      <c r="OT278" s="127"/>
      <c r="OU278" s="127"/>
    </row>
    <row r="279" spans="1:411">
      <c r="A279">
        <v>34</v>
      </c>
      <c r="B279">
        <v>456</v>
      </c>
      <c r="C279" t="s">
        <v>72</v>
      </c>
      <c r="D279" t="s">
        <v>82</v>
      </c>
      <c r="E279" s="232" t="s">
        <v>9241</v>
      </c>
      <c r="F279" t="s">
        <v>71</v>
      </c>
      <c r="G279">
        <v>2</v>
      </c>
      <c r="H279">
        <v>389.38400000000001</v>
      </c>
      <c r="I279">
        <v>387.47300000000001</v>
      </c>
      <c r="J279">
        <v>384.62599999999998</v>
      </c>
      <c r="K279">
        <v>382.89699999999999</v>
      </c>
      <c r="L279">
        <v>380.43099999999998</v>
      </c>
      <c r="M279" s="233" t="s">
        <v>530</v>
      </c>
      <c r="N279" s="233" t="s">
        <v>531</v>
      </c>
      <c r="O279" s="3" t="s">
        <v>780</v>
      </c>
      <c r="BM279" s="127"/>
      <c r="BN279" s="127"/>
      <c r="BO279" s="127"/>
      <c r="BP279" s="127"/>
      <c r="BQ279" s="127"/>
      <c r="BR279" s="127"/>
      <c r="BS279" s="127"/>
      <c r="BT279" s="127"/>
      <c r="BU279" s="127"/>
      <c r="BV279" s="127"/>
      <c r="BW279" s="127"/>
      <c r="BX279" s="127"/>
      <c r="BY279" s="127"/>
      <c r="BZ279" s="127"/>
      <c r="CA279" s="127"/>
      <c r="ER279" s="127"/>
      <c r="ES279" s="127"/>
      <c r="ET279" s="127"/>
      <c r="EU279" s="127"/>
      <c r="EV279" s="127"/>
      <c r="EW279" s="127"/>
      <c r="EX279" s="127"/>
      <c r="EY279" s="127"/>
      <c r="EZ279" s="127"/>
      <c r="FA279" s="127"/>
      <c r="FB279" s="127"/>
      <c r="FC279" s="127"/>
      <c r="FD279" s="127"/>
      <c r="FE279" s="127"/>
      <c r="FF279" s="127"/>
      <c r="HW279" s="127"/>
      <c r="HX279" s="127"/>
      <c r="HY279" s="127"/>
      <c r="HZ279" s="127"/>
      <c r="IA279" s="127"/>
      <c r="IB279" s="127"/>
      <c r="IC279" s="127"/>
      <c r="ID279" s="127"/>
      <c r="IE279" s="127"/>
      <c r="IF279" s="127"/>
      <c r="IG279" s="127"/>
      <c r="IH279" s="127"/>
      <c r="II279" s="127"/>
      <c r="IJ279" s="127"/>
      <c r="IK279" s="127"/>
      <c r="LB279" s="127"/>
      <c r="LC279" s="127"/>
      <c r="LD279" s="127"/>
      <c r="LE279" s="127"/>
      <c r="LF279" s="127"/>
      <c r="LG279" s="127"/>
      <c r="LH279" s="127"/>
      <c r="LI279" s="127"/>
      <c r="LJ279" s="127"/>
      <c r="LK279" s="127"/>
      <c r="LL279" s="127"/>
      <c r="LM279" s="127"/>
      <c r="LN279" s="127"/>
      <c r="LO279" s="127"/>
      <c r="LP279" s="127"/>
      <c r="OG279" s="127"/>
      <c r="OH279" s="127"/>
      <c r="OI279" s="127"/>
      <c r="OJ279" s="127"/>
      <c r="OK279" s="127"/>
      <c r="OL279" s="127"/>
      <c r="OM279" s="127"/>
      <c r="ON279" s="127"/>
      <c r="OO279" s="127"/>
      <c r="OP279" s="127"/>
      <c r="OQ279" s="127"/>
      <c r="OR279" s="127"/>
      <c r="OS279" s="127"/>
      <c r="OT279" s="127"/>
      <c r="OU279" s="127"/>
    </row>
    <row r="280" spans="1:411">
      <c r="A280">
        <v>34</v>
      </c>
      <c r="B280">
        <v>439</v>
      </c>
      <c r="C280" t="s">
        <v>72</v>
      </c>
      <c r="D280" t="s">
        <v>82</v>
      </c>
      <c r="E280" s="232" t="s">
        <v>8618</v>
      </c>
      <c r="F280" t="s">
        <v>71</v>
      </c>
      <c r="G280">
        <v>2</v>
      </c>
      <c r="H280">
        <v>389.00400000000002</v>
      </c>
      <c r="I280">
        <v>387.05200000000002</v>
      </c>
      <c r="J280">
        <v>384.22300000000001</v>
      </c>
      <c r="K280">
        <v>382.42099999999999</v>
      </c>
      <c r="L280">
        <v>380.01</v>
      </c>
      <c r="M280" s="233" t="s">
        <v>530</v>
      </c>
      <c r="N280" s="233" t="s">
        <v>531</v>
      </c>
      <c r="O280" s="3" t="s">
        <v>781</v>
      </c>
      <c r="BM280" s="127"/>
      <c r="BN280" s="127"/>
      <c r="BO280" s="127"/>
      <c r="BP280" s="127"/>
      <c r="BQ280" s="127"/>
      <c r="BR280" s="127"/>
      <c r="BS280" s="127"/>
      <c r="BT280" s="127"/>
      <c r="BU280" s="127"/>
      <c r="BV280" s="127"/>
      <c r="BW280" s="127"/>
      <c r="BX280" s="127"/>
      <c r="BY280" s="127"/>
      <c r="BZ280" s="127"/>
      <c r="CA280" s="127"/>
      <c r="ER280" s="127"/>
      <c r="ES280" s="127"/>
      <c r="ET280" s="127"/>
      <c r="EU280" s="127"/>
      <c r="EV280" s="127"/>
      <c r="EW280" s="127"/>
      <c r="EX280" s="127"/>
      <c r="EY280" s="127"/>
      <c r="EZ280" s="127"/>
      <c r="FA280" s="127"/>
      <c r="FB280" s="127"/>
      <c r="FC280" s="127"/>
      <c r="FD280" s="127"/>
      <c r="FE280" s="127"/>
      <c r="FF280" s="127"/>
      <c r="HW280" s="127"/>
      <c r="HX280" s="127"/>
      <c r="HY280" s="127"/>
      <c r="HZ280" s="127"/>
      <c r="IA280" s="127"/>
      <c r="IB280" s="127"/>
      <c r="IC280" s="127"/>
      <c r="ID280" s="127"/>
      <c r="IE280" s="127"/>
      <c r="IF280" s="127"/>
      <c r="IG280" s="127"/>
      <c r="IH280" s="127"/>
      <c r="II280" s="127"/>
      <c r="IJ280" s="127"/>
      <c r="IK280" s="127"/>
      <c r="LB280" s="127"/>
      <c r="LC280" s="127"/>
      <c r="LD280" s="127"/>
      <c r="LE280" s="127"/>
      <c r="LF280" s="127"/>
      <c r="LG280" s="127"/>
      <c r="LH280" s="127"/>
      <c r="LI280" s="127"/>
      <c r="LJ280" s="127"/>
      <c r="LK280" s="127"/>
      <c r="LL280" s="127"/>
      <c r="LM280" s="127"/>
      <c r="LN280" s="127"/>
      <c r="LO280" s="127"/>
      <c r="LP280" s="127"/>
      <c r="OG280" s="127"/>
      <c r="OH280" s="127"/>
      <c r="OI280" s="127"/>
      <c r="OJ280" s="127"/>
      <c r="OK280" s="127"/>
      <c r="OL280" s="127"/>
      <c r="OM280" s="127"/>
      <c r="ON280" s="127"/>
      <c r="OO280" s="127"/>
      <c r="OP280" s="127"/>
      <c r="OQ280" s="127"/>
      <c r="OR280" s="127"/>
      <c r="OS280" s="127"/>
      <c r="OT280" s="127"/>
      <c r="OU280" s="127"/>
    </row>
    <row r="281" spans="1:411">
      <c r="A281">
        <v>34</v>
      </c>
      <c r="B281">
        <v>455</v>
      </c>
      <c r="C281" t="s">
        <v>72</v>
      </c>
      <c r="D281" t="s">
        <v>82</v>
      </c>
      <c r="E281" s="232" t="s">
        <v>9285</v>
      </c>
      <c r="F281" t="s">
        <v>71</v>
      </c>
      <c r="G281">
        <v>2</v>
      </c>
      <c r="H281">
        <v>388.84300000000002</v>
      </c>
      <c r="I281">
        <v>386.86599999999999</v>
      </c>
      <c r="J281">
        <v>384.14800000000002</v>
      </c>
      <c r="K281">
        <v>382.29</v>
      </c>
      <c r="L281">
        <v>379.86099999999999</v>
      </c>
      <c r="M281" s="233" t="s">
        <v>530</v>
      </c>
      <c r="N281" s="233" t="s">
        <v>531</v>
      </c>
      <c r="O281" s="3" t="s">
        <v>782</v>
      </c>
      <c r="BM281" s="127"/>
      <c r="BN281" s="127"/>
      <c r="BO281" s="127"/>
      <c r="BP281" s="127"/>
      <c r="BQ281" s="127"/>
      <c r="BR281" s="127"/>
      <c r="BS281" s="127"/>
      <c r="BT281" s="127"/>
      <c r="BU281" s="127"/>
      <c r="BV281" s="127"/>
      <c r="BW281" s="127"/>
      <c r="BX281" s="127"/>
      <c r="BY281" s="127"/>
      <c r="BZ281" s="127"/>
      <c r="CA281" s="127"/>
      <c r="ER281" s="127"/>
      <c r="ES281" s="127"/>
      <c r="ET281" s="127"/>
      <c r="EU281" s="127"/>
      <c r="EV281" s="127"/>
      <c r="EW281" s="127"/>
      <c r="EX281" s="127"/>
      <c r="EY281" s="127"/>
      <c r="EZ281" s="127"/>
      <c r="FA281" s="127"/>
      <c r="FB281" s="127"/>
      <c r="FC281" s="127"/>
      <c r="FD281" s="127"/>
      <c r="FE281" s="127"/>
      <c r="FF281" s="127"/>
      <c r="HW281" s="127"/>
      <c r="HX281" s="127"/>
      <c r="HY281" s="127"/>
      <c r="HZ281" s="127"/>
      <c r="IA281" s="127"/>
      <c r="IB281" s="127"/>
      <c r="IC281" s="127"/>
      <c r="ID281" s="127"/>
      <c r="IE281" s="127"/>
      <c r="IF281" s="127"/>
      <c r="IG281" s="127"/>
      <c r="IH281" s="127"/>
      <c r="II281" s="127"/>
      <c r="IJ281" s="127"/>
      <c r="IK281" s="127"/>
      <c r="LB281" s="127"/>
      <c r="LC281" s="127"/>
      <c r="LD281" s="127"/>
      <c r="LE281" s="127"/>
      <c r="LF281" s="127"/>
      <c r="LG281" s="127"/>
      <c r="LH281" s="127"/>
      <c r="LI281" s="127"/>
      <c r="LJ281" s="127"/>
      <c r="LK281" s="127"/>
      <c r="LL281" s="127"/>
      <c r="LM281" s="127"/>
      <c r="LN281" s="127"/>
      <c r="LO281" s="127"/>
      <c r="LP281" s="127"/>
      <c r="OG281" s="127"/>
      <c r="OH281" s="127"/>
      <c r="OI281" s="127"/>
      <c r="OJ281" s="127"/>
      <c r="OK281" s="127"/>
      <c r="OL281" s="127"/>
      <c r="OM281" s="127"/>
      <c r="ON281" s="127"/>
      <c r="OO281" s="127"/>
      <c r="OP281" s="127"/>
      <c r="OQ281" s="127"/>
      <c r="OR281" s="127"/>
      <c r="OS281" s="127"/>
      <c r="OT281" s="127"/>
      <c r="OU281" s="127"/>
    </row>
    <row r="282" spans="1:411">
      <c r="A282">
        <v>34</v>
      </c>
      <c r="B282">
        <v>457</v>
      </c>
      <c r="C282" t="s">
        <v>72</v>
      </c>
      <c r="D282" t="s">
        <v>82</v>
      </c>
      <c r="E282" s="232" t="s">
        <v>9297</v>
      </c>
      <c r="F282" t="s">
        <v>71</v>
      </c>
      <c r="G282">
        <v>2</v>
      </c>
      <c r="H282">
        <v>388.84300000000002</v>
      </c>
      <c r="I282">
        <v>386.86599999999999</v>
      </c>
      <c r="J282">
        <v>384.14800000000002</v>
      </c>
      <c r="K282">
        <v>382.29</v>
      </c>
      <c r="L282">
        <v>379.86099999999999</v>
      </c>
      <c r="M282" s="233" t="s">
        <v>530</v>
      </c>
      <c r="N282" s="233" t="s">
        <v>531</v>
      </c>
      <c r="O282" s="3" t="s">
        <v>783</v>
      </c>
      <c r="BM282" s="127"/>
      <c r="BN282" s="127"/>
      <c r="BO282" s="127"/>
      <c r="BP282" s="127"/>
      <c r="BQ282" s="127"/>
      <c r="BR282" s="127"/>
      <c r="BS282" s="127"/>
      <c r="BT282" s="127"/>
      <c r="BU282" s="127"/>
      <c r="BV282" s="127"/>
      <c r="BW282" s="127"/>
      <c r="BX282" s="127"/>
      <c r="BY282" s="127"/>
      <c r="BZ282" s="127"/>
      <c r="CA282" s="127"/>
      <c r="ER282" s="127"/>
      <c r="ES282" s="127"/>
      <c r="ET282" s="127"/>
      <c r="EU282" s="127"/>
      <c r="EV282" s="127"/>
      <c r="EW282" s="127"/>
      <c r="EX282" s="127"/>
      <c r="EY282" s="127"/>
      <c r="EZ282" s="127"/>
      <c r="FA282" s="127"/>
      <c r="FB282" s="127"/>
      <c r="FC282" s="127"/>
      <c r="FD282" s="127"/>
      <c r="FE282" s="127"/>
      <c r="FF282" s="127"/>
      <c r="HW282" s="127"/>
      <c r="HX282" s="127"/>
      <c r="HY282" s="127"/>
      <c r="HZ282" s="127"/>
      <c r="IA282" s="127"/>
      <c r="IB282" s="127"/>
      <c r="IC282" s="127"/>
      <c r="ID282" s="127"/>
      <c r="IE282" s="127"/>
      <c r="IF282" s="127"/>
      <c r="IG282" s="127"/>
      <c r="IH282" s="127"/>
      <c r="II282" s="127"/>
      <c r="IJ282" s="127"/>
      <c r="IK282" s="127"/>
      <c r="LB282" s="127"/>
      <c r="LC282" s="127"/>
      <c r="LD282" s="127"/>
      <c r="LE282" s="127"/>
      <c r="LF282" s="127"/>
      <c r="LG282" s="127"/>
      <c r="LH282" s="127"/>
      <c r="LI282" s="127"/>
      <c r="LJ282" s="127"/>
      <c r="LK282" s="127"/>
      <c r="LL282" s="127"/>
      <c r="LM282" s="127"/>
      <c r="LN282" s="127"/>
      <c r="LO282" s="127"/>
      <c r="LP282" s="127"/>
      <c r="OG282" s="127"/>
      <c r="OH282" s="127"/>
      <c r="OI282" s="127"/>
      <c r="OJ282" s="127"/>
      <c r="OK282" s="127"/>
      <c r="OL282" s="127"/>
      <c r="OM282" s="127"/>
      <c r="ON282" s="127"/>
      <c r="OO282" s="127"/>
      <c r="OP282" s="127"/>
      <c r="OQ282" s="127"/>
      <c r="OR282" s="127"/>
      <c r="OS282" s="127"/>
      <c r="OT282" s="127"/>
      <c r="OU282" s="127"/>
    </row>
    <row r="283" spans="1:411">
      <c r="A283">
        <v>35</v>
      </c>
      <c r="B283">
        <v>448</v>
      </c>
      <c r="C283" t="s">
        <v>72</v>
      </c>
      <c r="D283" t="s">
        <v>82</v>
      </c>
      <c r="E283" s="232" t="s">
        <v>8659</v>
      </c>
      <c r="F283" t="s">
        <v>71</v>
      </c>
      <c r="G283">
        <v>2</v>
      </c>
      <c r="H283">
        <v>384.82900000000001</v>
      </c>
      <c r="I283">
        <v>384.15</v>
      </c>
      <c r="J283">
        <v>382.69499999999999</v>
      </c>
      <c r="K283">
        <v>380.48099999999999</v>
      </c>
      <c r="L283">
        <v>378.25799999999998</v>
      </c>
      <c r="M283" s="233" t="s">
        <v>530</v>
      </c>
      <c r="N283" s="233" t="s">
        <v>531</v>
      </c>
      <c r="O283" s="3" t="s">
        <v>784</v>
      </c>
      <c r="BM283" s="127"/>
      <c r="BN283" s="127"/>
      <c r="BO283" s="127"/>
      <c r="BP283" s="127"/>
      <c r="BQ283" s="127"/>
      <c r="BR283" s="127"/>
      <c r="BS283" s="127"/>
      <c r="BT283" s="127"/>
      <c r="BU283" s="127"/>
      <c r="BV283" s="127"/>
      <c r="BW283" s="127"/>
      <c r="BX283" s="127"/>
      <c r="BY283" s="127"/>
      <c r="BZ283" s="127"/>
      <c r="CA283" s="127"/>
      <c r="ER283" s="127"/>
      <c r="ES283" s="127"/>
      <c r="ET283" s="127"/>
      <c r="EU283" s="127"/>
      <c r="EV283" s="127"/>
      <c r="EW283" s="127"/>
      <c r="EX283" s="127"/>
      <c r="EY283" s="127"/>
      <c r="EZ283" s="127"/>
      <c r="FA283" s="127"/>
      <c r="FB283" s="127"/>
      <c r="FC283" s="127"/>
      <c r="FD283" s="127"/>
      <c r="FE283" s="127"/>
      <c r="FF283" s="127"/>
      <c r="HW283" s="127"/>
      <c r="HX283" s="127"/>
      <c r="HY283" s="127"/>
      <c r="HZ283" s="127"/>
      <c r="IA283" s="127"/>
      <c r="IB283" s="127"/>
      <c r="IC283" s="127"/>
      <c r="ID283" s="127"/>
      <c r="IE283" s="127"/>
      <c r="IF283" s="127"/>
      <c r="IG283" s="127"/>
      <c r="IH283" s="127"/>
      <c r="II283" s="127"/>
      <c r="IJ283" s="127"/>
      <c r="IK283" s="127"/>
      <c r="LB283" s="127"/>
      <c r="LC283" s="127"/>
      <c r="LD283" s="127"/>
      <c r="LE283" s="127"/>
      <c r="LF283" s="127"/>
      <c r="LG283" s="127"/>
      <c r="LH283" s="127"/>
      <c r="LI283" s="127"/>
      <c r="LJ283" s="127"/>
      <c r="LK283" s="127"/>
      <c r="LL283" s="127"/>
      <c r="LM283" s="127"/>
      <c r="LN283" s="127"/>
      <c r="LO283" s="127"/>
      <c r="LP283" s="127"/>
      <c r="OG283" s="127"/>
      <c r="OH283" s="127"/>
      <c r="OI283" s="127"/>
      <c r="OJ283" s="127"/>
      <c r="OK283" s="127"/>
      <c r="OL283" s="127"/>
      <c r="OM283" s="127"/>
      <c r="ON283" s="127"/>
      <c r="OO283" s="127"/>
      <c r="OP283" s="127"/>
      <c r="OQ283" s="127"/>
      <c r="OR283" s="127"/>
      <c r="OS283" s="127"/>
      <c r="OT283" s="127"/>
      <c r="OU283" s="127"/>
    </row>
    <row r="284" spans="1:411">
      <c r="A284">
        <v>35</v>
      </c>
      <c r="B284">
        <v>452</v>
      </c>
      <c r="C284" t="s">
        <v>72</v>
      </c>
      <c r="D284" t="s">
        <v>82</v>
      </c>
      <c r="E284" s="232" t="s">
        <v>9287</v>
      </c>
      <c r="F284" t="s">
        <v>71</v>
      </c>
      <c r="G284">
        <v>2</v>
      </c>
      <c r="H284">
        <v>384.82900000000001</v>
      </c>
      <c r="I284">
        <v>384.15</v>
      </c>
      <c r="J284">
        <v>382.69499999999999</v>
      </c>
      <c r="K284">
        <v>381.08100000000002</v>
      </c>
      <c r="L284">
        <v>378.25799999999998</v>
      </c>
      <c r="M284" s="233" t="s">
        <v>530</v>
      </c>
      <c r="N284" s="233" t="s">
        <v>531</v>
      </c>
      <c r="O284" s="3" t="s">
        <v>785</v>
      </c>
      <c r="BM284" s="127"/>
      <c r="BN284" s="127"/>
      <c r="BO284" s="127"/>
      <c r="BP284" s="127"/>
      <c r="BQ284" s="127"/>
      <c r="BR284" s="127"/>
      <c r="BS284" s="127"/>
      <c r="BT284" s="127"/>
      <c r="BU284" s="127"/>
      <c r="BV284" s="127"/>
      <c r="BW284" s="127"/>
      <c r="BX284" s="127"/>
      <c r="BY284" s="127"/>
      <c r="BZ284" s="127"/>
      <c r="CA284" s="127"/>
      <c r="ER284" s="127"/>
      <c r="ES284" s="127"/>
      <c r="ET284" s="127"/>
      <c r="EU284" s="127"/>
      <c r="EV284" s="127"/>
      <c r="EW284" s="127"/>
      <c r="EX284" s="127"/>
      <c r="EY284" s="127"/>
      <c r="EZ284" s="127"/>
      <c r="FA284" s="127"/>
      <c r="FB284" s="127"/>
      <c r="FC284" s="127"/>
      <c r="FD284" s="127"/>
      <c r="FE284" s="127"/>
      <c r="FF284" s="127"/>
      <c r="HW284" s="127"/>
      <c r="HX284" s="127"/>
      <c r="HY284" s="127"/>
      <c r="HZ284" s="127"/>
      <c r="IA284" s="127"/>
      <c r="IB284" s="127"/>
      <c r="IC284" s="127"/>
      <c r="ID284" s="127"/>
      <c r="IE284" s="127"/>
      <c r="IF284" s="127"/>
      <c r="IG284" s="127"/>
      <c r="IH284" s="127"/>
      <c r="II284" s="127"/>
      <c r="IJ284" s="127"/>
      <c r="IK284" s="127"/>
      <c r="LB284" s="127"/>
      <c r="LC284" s="127"/>
      <c r="LD284" s="127"/>
      <c r="LE284" s="127"/>
      <c r="LF284" s="127"/>
      <c r="LG284" s="127"/>
      <c r="LH284" s="127"/>
      <c r="LI284" s="127"/>
      <c r="LJ284" s="127"/>
      <c r="LK284" s="127"/>
      <c r="LL284" s="127"/>
      <c r="LM284" s="127"/>
      <c r="LN284" s="127"/>
      <c r="LO284" s="127"/>
      <c r="LP284" s="127"/>
      <c r="OG284" s="127"/>
      <c r="OH284" s="127"/>
      <c r="OI284" s="127"/>
      <c r="OJ284" s="127"/>
      <c r="OK284" s="127"/>
      <c r="OL284" s="127"/>
      <c r="OM284" s="127"/>
      <c r="ON284" s="127"/>
      <c r="OO284" s="127"/>
      <c r="OP284" s="127"/>
      <c r="OQ284" s="127"/>
      <c r="OR284" s="127"/>
      <c r="OS284" s="127"/>
      <c r="OT284" s="127"/>
      <c r="OU284" s="127"/>
    </row>
    <row r="285" spans="1:411">
      <c r="A285">
        <v>35</v>
      </c>
      <c r="B285">
        <v>436</v>
      </c>
      <c r="C285" t="s">
        <v>72</v>
      </c>
      <c r="D285" t="s">
        <v>82</v>
      </c>
      <c r="E285" s="232" t="s">
        <v>9451</v>
      </c>
      <c r="F285" t="s">
        <v>71</v>
      </c>
      <c r="G285">
        <v>2</v>
      </c>
      <c r="H285">
        <v>383.36399999999998</v>
      </c>
      <c r="I285">
        <v>382.90800000000002</v>
      </c>
      <c r="J285">
        <v>382.38</v>
      </c>
      <c r="K285">
        <v>381.22</v>
      </c>
      <c r="L285">
        <v>380.096</v>
      </c>
      <c r="M285" s="233" t="s">
        <v>530</v>
      </c>
      <c r="N285" s="233" t="s">
        <v>531</v>
      </c>
      <c r="O285" s="3" t="s">
        <v>786</v>
      </c>
      <c r="BM285" s="127"/>
      <c r="BN285" s="127"/>
      <c r="BO285" s="127"/>
      <c r="BP285" s="127"/>
      <c r="BQ285" s="127"/>
      <c r="BR285" s="127"/>
      <c r="BS285" s="127"/>
      <c r="BT285" s="127"/>
      <c r="BU285" s="127"/>
      <c r="BV285" s="127"/>
      <c r="BW285" s="127"/>
      <c r="BX285" s="127"/>
      <c r="BY285" s="127"/>
      <c r="BZ285" s="127"/>
      <c r="CA285" s="127"/>
      <c r="ER285" s="127"/>
      <c r="ES285" s="127"/>
      <c r="ET285" s="127"/>
      <c r="EU285" s="127"/>
      <c r="EV285" s="127"/>
      <c r="EW285" s="127"/>
      <c r="EX285" s="127"/>
      <c r="EY285" s="127"/>
      <c r="EZ285" s="127"/>
      <c r="FA285" s="127"/>
      <c r="FB285" s="127"/>
      <c r="FC285" s="127"/>
      <c r="FD285" s="127"/>
      <c r="FE285" s="127"/>
      <c r="FF285" s="127"/>
      <c r="HW285" s="127"/>
      <c r="HX285" s="127"/>
      <c r="HY285" s="127"/>
      <c r="HZ285" s="127"/>
      <c r="IA285" s="127"/>
      <c r="IB285" s="127"/>
      <c r="IC285" s="127"/>
      <c r="ID285" s="127"/>
      <c r="IE285" s="127"/>
      <c r="IF285" s="127"/>
      <c r="IG285" s="127"/>
      <c r="IH285" s="127"/>
      <c r="II285" s="127"/>
      <c r="IJ285" s="127"/>
      <c r="IK285" s="127"/>
      <c r="LB285" s="127"/>
      <c r="LC285" s="127"/>
      <c r="LD285" s="127"/>
      <c r="LE285" s="127"/>
      <c r="LF285" s="127"/>
      <c r="LG285" s="127"/>
      <c r="LH285" s="127"/>
      <c r="LI285" s="127"/>
      <c r="LJ285" s="127"/>
      <c r="LK285" s="127"/>
      <c r="LL285" s="127"/>
      <c r="LM285" s="127"/>
      <c r="LN285" s="127"/>
      <c r="LO285" s="127"/>
      <c r="LP285" s="127"/>
      <c r="OG285" s="127"/>
      <c r="OH285" s="127"/>
      <c r="OI285" s="127"/>
      <c r="OJ285" s="127"/>
      <c r="OK285" s="127"/>
      <c r="OL285" s="127"/>
      <c r="OM285" s="127"/>
      <c r="ON285" s="127"/>
      <c r="OO285" s="127"/>
      <c r="OP285" s="127"/>
      <c r="OQ285" s="127"/>
      <c r="OR285" s="127"/>
      <c r="OS285" s="127"/>
      <c r="OT285" s="127"/>
      <c r="OU285" s="127"/>
    </row>
    <row r="286" spans="1:411">
      <c r="A286">
        <v>35</v>
      </c>
      <c r="B286">
        <v>445</v>
      </c>
      <c r="C286" t="s">
        <v>72</v>
      </c>
      <c r="D286" t="s">
        <v>82</v>
      </c>
      <c r="E286" s="232" t="s">
        <v>8534</v>
      </c>
      <c r="F286" t="s">
        <v>71</v>
      </c>
      <c r="G286">
        <v>2</v>
      </c>
      <c r="H286">
        <v>384.93400000000003</v>
      </c>
      <c r="I286">
        <v>383.471</v>
      </c>
      <c r="J286">
        <v>382.25599999999997</v>
      </c>
      <c r="K286">
        <v>381.46600000000001</v>
      </c>
      <c r="L286">
        <v>379.47500000000002</v>
      </c>
      <c r="M286" s="233" t="s">
        <v>530</v>
      </c>
      <c r="N286" s="233" t="s">
        <v>531</v>
      </c>
      <c r="O286" s="3" t="s">
        <v>787</v>
      </c>
      <c r="BM286" s="127"/>
      <c r="BN286" s="127"/>
      <c r="BO286" s="127"/>
      <c r="BP286" s="127"/>
      <c r="BQ286" s="127"/>
      <c r="BR286" s="127"/>
      <c r="BS286" s="127"/>
      <c r="BT286" s="127"/>
      <c r="BU286" s="127"/>
      <c r="BV286" s="127"/>
      <c r="BW286" s="127"/>
      <c r="BX286" s="127"/>
      <c r="BY286" s="127"/>
      <c r="BZ286" s="127"/>
      <c r="CA286" s="127"/>
      <c r="ER286" s="127"/>
      <c r="ES286" s="127"/>
      <c r="ET286" s="127"/>
      <c r="EU286" s="127"/>
      <c r="EV286" s="127"/>
      <c r="EW286" s="127"/>
      <c r="EX286" s="127"/>
      <c r="EY286" s="127"/>
      <c r="EZ286" s="127"/>
      <c r="FA286" s="127"/>
      <c r="FB286" s="127"/>
      <c r="FC286" s="127"/>
      <c r="FD286" s="127"/>
      <c r="FE286" s="127"/>
      <c r="FF286" s="127"/>
      <c r="HW286" s="127"/>
      <c r="HX286" s="127"/>
      <c r="HY286" s="127"/>
      <c r="HZ286" s="127"/>
      <c r="IA286" s="127"/>
      <c r="IB286" s="127"/>
      <c r="IC286" s="127"/>
      <c r="ID286" s="127"/>
      <c r="IE286" s="127"/>
      <c r="IF286" s="127"/>
      <c r="IG286" s="127"/>
      <c r="IH286" s="127"/>
      <c r="II286" s="127"/>
      <c r="IJ286" s="127"/>
      <c r="IK286" s="127"/>
      <c r="LB286" s="127"/>
      <c r="LC286" s="127"/>
      <c r="LD286" s="127"/>
      <c r="LE286" s="127"/>
      <c r="LF286" s="127"/>
      <c r="LG286" s="127"/>
      <c r="LH286" s="127"/>
      <c r="LI286" s="127"/>
      <c r="LJ286" s="127"/>
      <c r="LK286" s="127"/>
      <c r="LL286" s="127"/>
      <c r="LM286" s="127"/>
      <c r="LN286" s="127"/>
      <c r="LO286" s="127"/>
      <c r="LP286" s="127"/>
      <c r="OG286" s="127"/>
      <c r="OH286" s="127"/>
      <c r="OI286" s="127"/>
      <c r="OJ286" s="127"/>
      <c r="OK286" s="127"/>
      <c r="OL286" s="127"/>
      <c r="OM286" s="127"/>
      <c r="ON286" s="127"/>
      <c r="OO286" s="127"/>
      <c r="OP286" s="127"/>
      <c r="OQ286" s="127"/>
      <c r="OR286" s="127"/>
      <c r="OS286" s="127"/>
      <c r="OT286" s="127"/>
      <c r="OU286" s="127"/>
    </row>
    <row r="287" spans="1:411">
      <c r="A287">
        <v>35</v>
      </c>
      <c r="B287">
        <v>450</v>
      </c>
      <c r="C287" t="s">
        <v>72</v>
      </c>
      <c r="D287" t="s">
        <v>82</v>
      </c>
      <c r="E287" s="232" t="s">
        <v>9351</v>
      </c>
      <c r="F287" t="s">
        <v>71</v>
      </c>
      <c r="G287">
        <v>2</v>
      </c>
      <c r="H287">
        <v>385.21499999999997</v>
      </c>
      <c r="I287">
        <v>383.471</v>
      </c>
      <c r="J287">
        <v>382.25599999999997</v>
      </c>
      <c r="K287">
        <v>381.22</v>
      </c>
      <c r="L287">
        <v>380.04399999999998</v>
      </c>
      <c r="M287" s="233" t="s">
        <v>530</v>
      </c>
      <c r="N287" s="233" t="s">
        <v>531</v>
      </c>
      <c r="O287" s="3" t="s">
        <v>788</v>
      </c>
      <c r="BM287" s="127"/>
      <c r="BN287" s="127"/>
      <c r="BO287" s="127"/>
      <c r="BP287" s="127"/>
      <c r="BQ287" s="127"/>
      <c r="BR287" s="127"/>
      <c r="BS287" s="127"/>
      <c r="BT287" s="127"/>
      <c r="BU287" s="127"/>
      <c r="BV287" s="127"/>
      <c r="BW287" s="127"/>
      <c r="BX287" s="127"/>
      <c r="BY287" s="127"/>
      <c r="BZ287" s="127"/>
      <c r="CA287" s="127"/>
      <c r="ER287" s="127"/>
      <c r="ES287" s="127"/>
      <c r="ET287" s="127"/>
      <c r="EU287" s="127"/>
      <c r="EV287" s="127"/>
      <c r="EW287" s="127"/>
      <c r="EX287" s="127"/>
      <c r="EY287" s="127"/>
      <c r="EZ287" s="127"/>
      <c r="FA287" s="127"/>
      <c r="FB287" s="127"/>
      <c r="FC287" s="127"/>
      <c r="FD287" s="127"/>
      <c r="FE287" s="127"/>
      <c r="FF287" s="127"/>
      <c r="HW287" s="127"/>
      <c r="HX287" s="127"/>
      <c r="HY287" s="127"/>
      <c r="HZ287" s="127"/>
      <c r="IA287" s="127"/>
      <c r="IB287" s="127"/>
      <c r="IC287" s="127"/>
      <c r="ID287" s="127"/>
      <c r="IE287" s="127"/>
      <c r="IF287" s="127"/>
      <c r="IG287" s="127"/>
      <c r="IH287" s="127"/>
      <c r="II287" s="127"/>
      <c r="IJ287" s="127"/>
      <c r="IK287" s="127"/>
      <c r="LB287" s="127"/>
      <c r="LC287" s="127"/>
      <c r="LD287" s="127"/>
      <c r="LE287" s="127"/>
      <c r="LF287" s="127"/>
      <c r="LG287" s="127"/>
      <c r="LH287" s="127"/>
      <c r="LI287" s="127"/>
      <c r="LJ287" s="127"/>
      <c r="LK287" s="127"/>
      <c r="LL287" s="127"/>
      <c r="LM287" s="127"/>
      <c r="LN287" s="127"/>
      <c r="LO287" s="127"/>
      <c r="LP287" s="127"/>
      <c r="OG287" s="127"/>
      <c r="OH287" s="127"/>
      <c r="OI287" s="127"/>
      <c r="OJ287" s="127"/>
      <c r="OK287" s="127"/>
      <c r="OL287" s="127"/>
      <c r="OM287" s="127"/>
      <c r="ON287" s="127"/>
      <c r="OO287" s="127"/>
      <c r="OP287" s="127"/>
      <c r="OQ287" s="127"/>
      <c r="OR287" s="127"/>
      <c r="OS287" s="127"/>
      <c r="OT287" s="127"/>
      <c r="OU287" s="127"/>
    </row>
    <row r="288" spans="1:411">
      <c r="A288">
        <v>35</v>
      </c>
      <c r="B288">
        <v>449</v>
      </c>
      <c r="C288" t="s">
        <v>72</v>
      </c>
      <c r="D288" t="s">
        <v>82</v>
      </c>
      <c r="E288" s="232" t="s">
        <v>9396</v>
      </c>
      <c r="F288" t="s">
        <v>71</v>
      </c>
      <c r="G288">
        <v>2</v>
      </c>
      <c r="H288">
        <v>385.03899999999999</v>
      </c>
      <c r="I288">
        <v>383.36399999999998</v>
      </c>
      <c r="J288">
        <v>382.08100000000002</v>
      </c>
      <c r="K288">
        <v>381.11500000000001</v>
      </c>
      <c r="L288">
        <v>379.93900000000002</v>
      </c>
      <c r="M288" s="233" t="s">
        <v>530</v>
      </c>
      <c r="N288" s="233" t="s">
        <v>531</v>
      </c>
      <c r="O288" s="3" t="s">
        <v>789</v>
      </c>
      <c r="BM288" s="127"/>
      <c r="BN288" s="127"/>
      <c r="BO288" s="127"/>
      <c r="BP288" s="127"/>
      <c r="BQ288" s="127"/>
      <c r="BR288" s="127"/>
      <c r="BS288" s="127"/>
      <c r="BT288" s="127"/>
      <c r="BU288" s="127"/>
      <c r="BV288" s="127"/>
      <c r="BW288" s="127"/>
      <c r="BX288" s="127"/>
      <c r="BY288" s="127"/>
      <c r="BZ288" s="127"/>
      <c r="CA288" s="127"/>
      <c r="ER288" s="127"/>
      <c r="ES288" s="127"/>
      <c r="ET288" s="127"/>
      <c r="EU288" s="127"/>
      <c r="EV288" s="127"/>
      <c r="EW288" s="127"/>
      <c r="EX288" s="127"/>
      <c r="EY288" s="127"/>
      <c r="EZ288" s="127"/>
      <c r="FA288" s="127"/>
      <c r="FB288" s="127"/>
      <c r="FC288" s="127"/>
      <c r="FD288" s="127"/>
      <c r="FE288" s="127"/>
      <c r="FF288" s="127"/>
      <c r="HW288" s="127"/>
      <c r="HX288" s="127"/>
      <c r="HY288" s="127"/>
      <c r="HZ288" s="127"/>
      <c r="IA288" s="127"/>
      <c r="IB288" s="127"/>
      <c r="IC288" s="127"/>
      <c r="ID288" s="127"/>
      <c r="IE288" s="127"/>
      <c r="IF288" s="127"/>
      <c r="IG288" s="127"/>
      <c r="IH288" s="127"/>
      <c r="II288" s="127"/>
      <c r="IJ288" s="127"/>
      <c r="IK288" s="127"/>
      <c r="LB288" s="127"/>
      <c r="LC288" s="127"/>
      <c r="LD288" s="127"/>
      <c r="LE288" s="127"/>
      <c r="LF288" s="127"/>
      <c r="LG288" s="127"/>
      <c r="LH288" s="127"/>
      <c r="LI288" s="127"/>
      <c r="LJ288" s="127"/>
      <c r="LK288" s="127"/>
      <c r="LL288" s="127"/>
      <c r="LM288" s="127"/>
      <c r="LN288" s="127"/>
      <c r="LO288" s="127"/>
      <c r="LP288" s="127"/>
      <c r="OG288" s="127"/>
      <c r="OH288" s="127"/>
      <c r="OI288" s="127"/>
      <c r="OJ288" s="127"/>
      <c r="OK288" s="127"/>
      <c r="OL288" s="127"/>
      <c r="OM288" s="127"/>
      <c r="ON288" s="127"/>
      <c r="OO288" s="127"/>
      <c r="OP288" s="127"/>
      <c r="OQ288" s="127"/>
      <c r="OR288" s="127"/>
      <c r="OS288" s="127"/>
      <c r="OT288" s="127"/>
      <c r="OU288" s="127"/>
    </row>
    <row r="289" spans="1:411">
      <c r="A289">
        <v>35</v>
      </c>
      <c r="B289">
        <v>451</v>
      </c>
      <c r="C289" t="s">
        <v>72</v>
      </c>
      <c r="D289" t="s">
        <v>82</v>
      </c>
      <c r="E289" s="232" t="s">
        <v>8696</v>
      </c>
      <c r="F289" t="s">
        <v>71</v>
      </c>
      <c r="G289">
        <v>2</v>
      </c>
      <c r="H289">
        <v>384.101</v>
      </c>
      <c r="I289">
        <v>383.471</v>
      </c>
      <c r="J289">
        <v>382.08100000000002</v>
      </c>
      <c r="K289">
        <v>379.93900000000002</v>
      </c>
      <c r="L289">
        <v>377.54399999999998</v>
      </c>
      <c r="M289" s="233" t="s">
        <v>530</v>
      </c>
      <c r="N289" s="233" t="s">
        <v>531</v>
      </c>
      <c r="O289" s="3" t="s">
        <v>790</v>
      </c>
      <c r="BM289" s="127"/>
      <c r="BN289" s="127"/>
      <c r="BO289" s="127"/>
      <c r="BP289" s="127"/>
      <c r="BQ289" s="127"/>
      <c r="BR289" s="127"/>
      <c r="BS289" s="127"/>
      <c r="BT289" s="127"/>
      <c r="BU289" s="127"/>
      <c r="BV289" s="127"/>
      <c r="BW289" s="127"/>
      <c r="BX289" s="127"/>
      <c r="BY289" s="127"/>
      <c r="BZ289" s="127"/>
      <c r="CA289" s="127"/>
      <c r="ER289" s="127"/>
      <c r="ES289" s="127"/>
      <c r="ET289" s="127"/>
      <c r="EU289" s="127"/>
      <c r="EV289" s="127"/>
      <c r="EW289" s="127"/>
      <c r="EX289" s="127"/>
      <c r="EY289" s="127"/>
      <c r="EZ289" s="127"/>
      <c r="FA289" s="127"/>
      <c r="FB289" s="127"/>
      <c r="FC289" s="127"/>
      <c r="FD289" s="127"/>
      <c r="FE289" s="127"/>
      <c r="FF289" s="127"/>
      <c r="HW289" s="127"/>
      <c r="HX289" s="127"/>
      <c r="HY289" s="127"/>
      <c r="HZ289" s="127"/>
      <c r="IA289" s="127"/>
      <c r="IB289" s="127"/>
      <c r="IC289" s="127"/>
      <c r="ID289" s="127"/>
      <c r="IE289" s="127"/>
      <c r="IF289" s="127"/>
      <c r="IG289" s="127"/>
      <c r="IH289" s="127"/>
      <c r="II289" s="127"/>
      <c r="IJ289" s="127"/>
      <c r="IK289" s="127"/>
      <c r="LB289" s="127"/>
      <c r="LC289" s="127"/>
      <c r="LD289" s="127"/>
      <c r="LE289" s="127"/>
      <c r="LF289" s="127"/>
      <c r="LG289" s="127"/>
      <c r="LH289" s="127"/>
      <c r="LI289" s="127"/>
      <c r="LJ289" s="127"/>
      <c r="LK289" s="127"/>
      <c r="LL289" s="127"/>
      <c r="LM289" s="127"/>
      <c r="LN289" s="127"/>
      <c r="LO289" s="127"/>
      <c r="LP289" s="127"/>
      <c r="OG289" s="127"/>
      <c r="OH289" s="127"/>
      <c r="OI289" s="127"/>
      <c r="OJ289" s="127"/>
      <c r="OK289" s="127"/>
      <c r="OL289" s="127"/>
      <c r="OM289" s="127"/>
      <c r="ON289" s="127"/>
      <c r="OO289" s="127"/>
      <c r="OP289" s="127"/>
      <c r="OQ289" s="127"/>
      <c r="OR289" s="127"/>
      <c r="OS289" s="127"/>
      <c r="OT289" s="127"/>
      <c r="OU289" s="127"/>
    </row>
    <row r="290" spans="1:411">
      <c r="A290">
        <v>35</v>
      </c>
      <c r="B290">
        <v>437</v>
      </c>
      <c r="C290" t="s">
        <v>72</v>
      </c>
      <c r="D290" t="s">
        <v>82</v>
      </c>
      <c r="E290" s="232" t="s">
        <v>9562</v>
      </c>
      <c r="F290" t="s">
        <v>71</v>
      </c>
      <c r="G290">
        <v>2</v>
      </c>
      <c r="H290">
        <v>382.97800000000001</v>
      </c>
      <c r="I290">
        <v>382.59</v>
      </c>
      <c r="J290">
        <v>382.01</v>
      </c>
      <c r="K290">
        <v>380.81700000000001</v>
      </c>
      <c r="L290">
        <v>379.86799999999999</v>
      </c>
      <c r="M290" s="233" t="s">
        <v>530</v>
      </c>
      <c r="N290" s="233" t="s">
        <v>531</v>
      </c>
      <c r="O290" s="3" t="s">
        <v>791</v>
      </c>
      <c r="BM290" s="127"/>
      <c r="BN290" s="127"/>
      <c r="BO290" s="127"/>
      <c r="BP290" s="127"/>
      <c r="BQ290" s="127"/>
      <c r="BR290" s="127"/>
      <c r="BS290" s="127"/>
      <c r="BT290" s="127"/>
      <c r="BU290" s="127"/>
      <c r="BV290" s="127"/>
      <c r="BW290" s="127"/>
      <c r="BX290" s="127"/>
      <c r="BY290" s="127"/>
      <c r="BZ290" s="127"/>
      <c r="CA290" s="127"/>
      <c r="ER290" s="127"/>
      <c r="ES290" s="127"/>
      <c r="ET290" s="127"/>
      <c r="EU290" s="127"/>
      <c r="EV290" s="127"/>
      <c r="EW290" s="127"/>
      <c r="EX290" s="127"/>
      <c r="EY290" s="127"/>
      <c r="EZ290" s="127"/>
      <c r="FA290" s="127"/>
      <c r="FB290" s="127"/>
      <c r="FC290" s="127"/>
      <c r="FD290" s="127"/>
      <c r="FE290" s="127"/>
      <c r="FF290" s="127"/>
      <c r="HW290" s="127"/>
      <c r="HX290" s="127"/>
      <c r="HY290" s="127"/>
      <c r="HZ290" s="127"/>
      <c r="IA290" s="127"/>
      <c r="IB290" s="127"/>
      <c r="IC290" s="127"/>
      <c r="ID290" s="127"/>
      <c r="IE290" s="127"/>
      <c r="IF290" s="127"/>
      <c r="IG290" s="127"/>
      <c r="IH290" s="127"/>
      <c r="II290" s="127"/>
      <c r="IJ290" s="127"/>
      <c r="IK290" s="127"/>
      <c r="LB290" s="127"/>
      <c r="LC290" s="127"/>
      <c r="LD290" s="127"/>
      <c r="LE290" s="127"/>
      <c r="LF290" s="127"/>
      <c r="LG290" s="127"/>
      <c r="LH290" s="127"/>
      <c r="LI290" s="127"/>
      <c r="LJ290" s="127"/>
      <c r="LK290" s="127"/>
      <c r="LL290" s="127"/>
      <c r="LM290" s="127"/>
      <c r="LN290" s="127"/>
      <c r="LO290" s="127"/>
      <c r="LP290" s="127"/>
      <c r="OG290" s="127"/>
      <c r="OH290" s="127"/>
      <c r="OI290" s="127"/>
      <c r="OJ290" s="127"/>
      <c r="OK290" s="127"/>
      <c r="OL290" s="127"/>
      <c r="OM290" s="127"/>
      <c r="ON290" s="127"/>
      <c r="OO290" s="127"/>
      <c r="OP290" s="127"/>
      <c r="OQ290" s="127"/>
      <c r="OR290" s="127"/>
      <c r="OS290" s="127"/>
      <c r="OT290" s="127"/>
      <c r="OU290" s="127"/>
    </row>
    <row r="291" spans="1:411">
      <c r="A291">
        <v>35</v>
      </c>
      <c r="B291">
        <v>446</v>
      </c>
      <c r="C291" t="s">
        <v>72</v>
      </c>
      <c r="D291" t="s">
        <v>82</v>
      </c>
      <c r="E291" s="232" t="s">
        <v>8726</v>
      </c>
      <c r="F291" t="s">
        <v>71</v>
      </c>
      <c r="G291">
        <v>2</v>
      </c>
      <c r="H291">
        <v>384.50099999999998</v>
      </c>
      <c r="I291">
        <v>383.08300000000003</v>
      </c>
      <c r="J291">
        <v>381.87099999999998</v>
      </c>
      <c r="K291">
        <v>381.11500000000001</v>
      </c>
      <c r="L291">
        <v>379.04899999999998</v>
      </c>
      <c r="M291" s="233" t="s">
        <v>530</v>
      </c>
      <c r="N291" s="233" t="s">
        <v>531</v>
      </c>
      <c r="O291" s="3" t="s">
        <v>792</v>
      </c>
      <c r="BM291" s="127"/>
      <c r="BN291" s="127"/>
      <c r="BO291" s="127"/>
      <c r="BP291" s="127"/>
      <c r="BQ291" s="127"/>
      <c r="BR291" s="127"/>
      <c r="BS291" s="127"/>
      <c r="BT291" s="127"/>
      <c r="BU291" s="127"/>
      <c r="BV291" s="127"/>
      <c r="BW291" s="127"/>
      <c r="BX291" s="127"/>
      <c r="BY291" s="127"/>
      <c r="BZ291" s="127"/>
      <c r="CA291" s="127"/>
      <c r="ER291" s="127"/>
      <c r="ES291" s="127"/>
      <c r="ET291" s="127"/>
      <c r="EU291" s="127"/>
      <c r="EV291" s="127"/>
      <c r="EW291" s="127"/>
      <c r="EX291" s="127"/>
      <c r="EY291" s="127"/>
      <c r="EZ291" s="127"/>
      <c r="FA291" s="127"/>
      <c r="FB291" s="127"/>
      <c r="FC291" s="127"/>
      <c r="FD291" s="127"/>
      <c r="FE291" s="127"/>
      <c r="FF291" s="127"/>
      <c r="HW291" s="127"/>
      <c r="HX291" s="127"/>
      <c r="HY291" s="127"/>
      <c r="HZ291" s="127"/>
      <c r="IA291" s="127"/>
      <c r="IB291" s="127"/>
      <c r="IC291" s="127"/>
      <c r="ID291" s="127"/>
      <c r="IE291" s="127"/>
      <c r="IF291" s="127"/>
      <c r="IG291" s="127"/>
      <c r="IH291" s="127"/>
      <c r="II291" s="127"/>
      <c r="IJ291" s="127"/>
      <c r="IK291" s="127"/>
      <c r="LB291" s="127"/>
      <c r="LC291" s="127"/>
      <c r="LD291" s="127"/>
      <c r="LE291" s="127"/>
      <c r="LF291" s="127"/>
      <c r="LG291" s="127"/>
      <c r="LH291" s="127"/>
      <c r="LI291" s="127"/>
      <c r="LJ291" s="127"/>
      <c r="LK291" s="127"/>
      <c r="LL291" s="127"/>
      <c r="LM291" s="127"/>
      <c r="LN291" s="127"/>
      <c r="LO291" s="127"/>
      <c r="LP291" s="127"/>
      <c r="OG291" s="127"/>
      <c r="OH291" s="127"/>
      <c r="OI291" s="127"/>
      <c r="OJ291" s="127"/>
      <c r="OK291" s="127"/>
      <c r="OL291" s="127"/>
      <c r="OM291" s="127"/>
      <c r="ON291" s="127"/>
      <c r="OO291" s="127"/>
      <c r="OP291" s="127"/>
      <c r="OQ291" s="127"/>
      <c r="OR291" s="127"/>
      <c r="OS291" s="127"/>
      <c r="OT291" s="127"/>
      <c r="OU291" s="127"/>
    </row>
    <row r="292" spans="1:411">
      <c r="A292">
        <v>35</v>
      </c>
      <c r="B292">
        <v>458</v>
      </c>
      <c r="C292" t="s">
        <v>72</v>
      </c>
      <c r="D292" t="s">
        <v>82</v>
      </c>
      <c r="E292" s="232" t="s">
        <v>9442</v>
      </c>
      <c r="F292" t="s">
        <v>71</v>
      </c>
      <c r="G292">
        <v>2</v>
      </c>
      <c r="H292">
        <v>386.44</v>
      </c>
      <c r="I292">
        <v>384.32499999999999</v>
      </c>
      <c r="J292">
        <v>381.87099999999998</v>
      </c>
      <c r="K292">
        <v>380.096</v>
      </c>
      <c r="L292">
        <v>377.762</v>
      </c>
      <c r="M292" s="233" t="s">
        <v>530</v>
      </c>
      <c r="N292" s="233" t="s">
        <v>531</v>
      </c>
      <c r="O292" s="3" t="s">
        <v>793</v>
      </c>
      <c r="BM292" s="127"/>
      <c r="BN292" s="127"/>
      <c r="BO292" s="127"/>
      <c r="BP292" s="127"/>
      <c r="BQ292" s="127"/>
      <c r="BR292" s="127"/>
      <c r="BS292" s="127"/>
      <c r="BT292" s="127"/>
      <c r="BU292" s="127"/>
      <c r="BV292" s="127"/>
      <c r="BW292" s="127"/>
      <c r="BX292" s="127"/>
      <c r="BY292" s="127"/>
      <c r="BZ292" s="127"/>
      <c r="CA292" s="127"/>
      <c r="ER292" s="127"/>
      <c r="ES292" s="127"/>
      <c r="ET292" s="127"/>
      <c r="EU292" s="127"/>
      <c r="EV292" s="127"/>
      <c r="EW292" s="127"/>
      <c r="EX292" s="127"/>
      <c r="EY292" s="127"/>
      <c r="EZ292" s="127"/>
      <c r="FA292" s="127"/>
      <c r="FB292" s="127"/>
      <c r="FC292" s="127"/>
      <c r="FD292" s="127"/>
      <c r="FE292" s="127"/>
      <c r="FF292" s="127"/>
      <c r="HW292" s="127"/>
      <c r="HX292" s="127"/>
      <c r="HY292" s="127"/>
      <c r="HZ292" s="127"/>
      <c r="IA292" s="127"/>
      <c r="IB292" s="127"/>
      <c r="IC292" s="127"/>
      <c r="ID292" s="127"/>
      <c r="IE292" s="127"/>
      <c r="IF292" s="127"/>
      <c r="IG292" s="127"/>
      <c r="IH292" s="127"/>
      <c r="II292" s="127"/>
      <c r="IJ292" s="127"/>
      <c r="IK292" s="127"/>
      <c r="LB292" s="127"/>
      <c r="LC292" s="127"/>
      <c r="LD292" s="127"/>
      <c r="LE292" s="127"/>
      <c r="LF292" s="127"/>
      <c r="LG292" s="127"/>
      <c r="LH292" s="127"/>
      <c r="LI292" s="127"/>
      <c r="LJ292" s="127"/>
      <c r="LK292" s="127"/>
      <c r="LL292" s="127"/>
      <c r="LM292" s="127"/>
      <c r="LN292" s="127"/>
      <c r="LO292" s="127"/>
      <c r="LP292" s="127"/>
      <c r="OG292" s="127"/>
      <c r="OH292" s="127"/>
      <c r="OI292" s="127"/>
      <c r="OJ292" s="127"/>
      <c r="OK292" s="127"/>
      <c r="OL292" s="127"/>
      <c r="OM292" s="127"/>
      <c r="ON292" s="127"/>
      <c r="OO292" s="127"/>
      <c r="OP292" s="127"/>
      <c r="OQ292" s="127"/>
      <c r="OR292" s="127"/>
      <c r="OS292" s="127"/>
      <c r="OT292" s="127"/>
      <c r="OU292" s="127"/>
    </row>
    <row r="293" spans="1:411">
      <c r="A293">
        <v>35</v>
      </c>
      <c r="B293">
        <v>444</v>
      </c>
      <c r="C293" t="s">
        <v>72</v>
      </c>
      <c r="D293" t="s">
        <v>82</v>
      </c>
      <c r="E293" s="232" t="s">
        <v>9569</v>
      </c>
      <c r="F293" t="s">
        <v>71</v>
      </c>
      <c r="G293">
        <v>2</v>
      </c>
      <c r="H293">
        <v>383.08300000000003</v>
      </c>
      <c r="I293">
        <v>382.69499999999999</v>
      </c>
      <c r="J293">
        <v>381.36099999999999</v>
      </c>
      <c r="K293">
        <v>379.47500000000002</v>
      </c>
      <c r="L293">
        <v>376.62</v>
      </c>
      <c r="M293" s="233" t="s">
        <v>530</v>
      </c>
      <c r="N293" s="233" t="s">
        <v>531</v>
      </c>
      <c r="O293" s="3" t="s">
        <v>794</v>
      </c>
      <c r="BM293" s="127"/>
      <c r="BN293" s="127"/>
      <c r="BO293" s="127"/>
      <c r="BP293" s="127"/>
      <c r="BQ293" s="127"/>
      <c r="BR293" s="127"/>
      <c r="BS293" s="127"/>
      <c r="BT293" s="127"/>
      <c r="BU293" s="127"/>
      <c r="BV293" s="127"/>
      <c r="BW293" s="127"/>
      <c r="BX293" s="127"/>
      <c r="BY293" s="127"/>
      <c r="BZ293" s="127"/>
      <c r="CA293" s="127"/>
      <c r="ER293" s="127"/>
      <c r="ES293" s="127"/>
      <c r="ET293" s="127"/>
      <c r="EU293" s="127"/>
      <c r="EV293" s="127"/>
      <c r="EW293" s="127"/>
      <c r="EX293" s="127"/>
      <c r="EY293" s="127"/>
      <c r="EZ293" s="127"/>
      <c r="FA293" s="127"/>
      <c r="FB293" s="127"/>
      <c r="FC293" s="127"/>
      <c r="FD293" s="127"/>
      <c r="FE293" s="127"/>
      <c r="FF293" s="127"/>
      <c r="HW293" s="127"/>
      <c r="HX293" s="127"/>
      <c r="HY293" s="127"/>
      <c r="HZ293" s="127"/>
      <c r="IA293" s="127"/>
      <c r="IB293" s="127"/>
      <c r="IC293" s="127"/>
      <c r="ID293" s="127"/>
      <c r="IE293" s="127"/>
      <c r="IF293" s="127"/>
      <c r="IG293" s="127"/>
      <c r="IH293" s="127"/>
      <c r="II293" s="127"/>
      <c r="IJ293" s="127"/>
      <c r="IK293" s="127"/>
      <c r="LB293" s="127"/>
      <c r="LC293" s="127"/>
      <c r="LD293" s="127"/>
      <c r="LE293" s="127"/>
      <c r="LF293" s="127"/>
      <c r="LG293" s="127"/>
      <c r="LH293" s="127"/>
      <c r="LI293" s="127"/>
      <c r="LJ293" s="127"/>
      <c r="LK293" s="127"/>
      <c r="LL293" s="127"/>
      <c r="LM293" s="127"/>
      <c r="LN293" s="127"/>
      <c r="LO293" s="127"/>
      <c r="LP293" s="127"/>
      <c r="OG293" s="127"/>
      <c r="OH293" s="127"/>
      <c r="OI293" s="127"/>
      <c r="OJ293" s="127"/>
      <c r="OK293" s="127"/>
      <c r="OL293" s="127"/>
      <c r="OM293" s="127"/>
      <c r="ON293" s="127"/>
      <c r="OO293" s="127"/>
      <c r="OP293" s="127"/>
      <c r="OQ293" s="127"/>
      <c r="OR293" s="127"/>
      <c r="OS293" s="127"/>
      <c r="OT293" s="127"/>
      <c r="OU293" s="127"/>
    </row>
    <row r="294" spans="1:411">
      <c r="A294">
        <v>35</v>
      </c>
      <c r="B294">
        <v>447</v>
      </c>
      <c r="C294" t="s">
        <v>72</v>
      </c>
      <c r="D294" t="s">
        <v>82</v>
      </c>
      <c r="E294" s="232" t="s">
        <v>8217</v>
      </c>
      <c r="F294" t="s">
        <v>71</v>
      </c>
      <c r="G294">
        <v>2</v>
      </c>
      <c r="H294">
        <v>385.46</v>
      </c>
      <c r="I294">
        <v>383.08300000000003</v>
      </c>
      <c r="J294">
        <v>380.81700000000001</v>
      </c>
      <c r="K294">
        <v>379.26499999999999</v>
      </c>
      <c r="L294">
        <v>376.79500000000002</v>
      </c>
      <c r="M294" s="233" t="s">
        <v>530</v>
      </c>
      <c r="N294" s="233" t="s">
        <v>531</v>
      </c>
      <c r="O294" s="3" t="s">
        <v>795</v>
      </c>
      <c r="BM294" s="127"/>
      <c r="BN294" s="127"/>
      <c r="BO294" s="127"/>
      <c r="BP294" s="127"/>
      <c r="BQ294" s="127"/>
      <c r="BR294" s="127"/>
      <c r="BS294" s="127"/>
      <c r="BT294" s="127"/>
      <c r="BU294" s="127"/>
      <c r="BV294" s="127"/>
      <c r="BW294" s="127"/>
      <c r="BX294" s="127"/>
      <c r="BY294" s="127"/>
      <c r="BZ294" s="127"/>
      <c r="CA294" s="127"/>
      <c r="ER294" s="127"/>
      <c r="ES294" s="127"/>
      <c r="ET294" s="127"/>
      <c r="EU294" s="127"/>
      <c r="EV294" s="127"/>
      <c r="EW294" s="127"/>
      <c r="EX294" s="127"/>
      <c r="EY294" s="127"/>
      <c r="EZ294" s="127"/>
      <c r="FA294" s="127"/>
      <c r="FB294" s="127"/>
      <c r="FC294" s="127"/>
      <c r="FD294" s="127"/>
      <c r="FE294" s="127"/>
      <c r="FF294" s="127"/>
      <c r="HW294" s="127"/>
      <c r="HX294" s="127"/>
      <c r="HY294" s="127"/>
      <c r="HZ294" s="127"/>
      <c r="IA294" s="127"/>
      <c r="IB294" s="127"/>
      <c r="IC294" s="127"/>
      <c r="ID294" s="127"/>
      <c r="IE294" s="127"/>
      <c r="IF294" s="127"/>
      <c r="IG294" s="127"/>
      <c r="IH294" s="127"/>
      <c r="II294" s="127"/>
      <c r="IJ294" s="127"/>
      <c r="IK294" s="127"/>
      <c r="LB294" s="127"/>
      <c r="LC294" s="127"/>
      <c r="LD294" s="127"/>
      <c r="LE294" s="127"/>
      <c r="LF294" s="127"/>
      <c r="LG294" s="127"/>
      <c r="LH294" s="127"/>
      <c r="LI294" s="127"/>
      <c r="LJ294" s="127"/>
      <c r="LK294" s="127"/>
      <c r="LL294" s="127"/>
      <c r="LM294" s="127"/>
      <c r="LN294" s="127"/>
      <c r="LO294" s="127"/>
      <c r="LP294" s="127"/>
      <c r="OG294" s="127"/>
      <c r="OH294" s="127"/>
      <c r="OI294" s="127"/>
      <c r="OJ294" s="127"/>
      <c r="OK294" s="127"/>
      <c r="OL294" s="127"/>
      <c r="OM294" s="127"/>
      <c r="ON294" s="127"/>
      <c r="OO294" s="127"/>
      <c r="OP294" s="127"/>
      <c r="OQ294" s="127"/>
      <c r="OR294" s="127"/>
      <c r="OS294" s="127"/>
      <c r="OT294" s="127"/>
      <c r="OU294" s="127"/>
    </row>
    <row r="295" spans="1:411">
      <c r="A295">
        <v>35</v>
      </c>
      <c r="B295">
        <v>454</v>
      </c>
      <c r="C295" t="s">
        <v>72</v>
      </c>
      <c r="D295" t="s">
        <v>82</v>
      </c>
      <c r="E295" s="232" t="s">
        <v>9498</v>
      </c>
      <c r="F295" t="s">
        <v>71</v>
      </c>
      <c r="G295">
        <v>2</v>
      </c>
      <c r="H295">
        <v>385.46</v>
      </c>
      <c r="I295">
        <v>383.08300000000003</v>
      </c>
      <c r="J295">
        <v>380.81700000000001</v>
      </c>
      <c r="K295">
        <v>379.26499999999999</v>
      </c>
      <c r="L295">
        <v>376.79500000000002</v>
      </c>
      <c r="M295" s="233" t="s">
        <v>530</v>
      </c>
      <c r="N295" s="233" t="s">
        <v>531</v>
      </c>
      <c r="O295" s="3" t="s">
        <v>796</v>
      </c>
      <c r="BM295" s="127"/>
      <c r="BN295" s="127"/>
      <c r="BO295" s="127"/>
      <c r="BP295" s="127"/>
      <c r="BQ295" s="127"/>
      <c r="BR295" s="127"/>
      <c r="BS295" s="127"/>
      <c r="BT295" s="127"/>
      <c r="BU295" s="127"/>
      <c r="BV295" s="127"/>
      <c r="BW295" s="127"/>
      <c r="BX295" s="127"/>
      <c r="BY295" s="127"/>
      <c r="BZ295" s="127"/>
      <c r="CA295" s="127"/>
      <c r="ER295" s="127"/>
      <c r="ES295" s="127"/>
      <c r="ET295" s="127"/>
      <c r="EU295" s="127"/>
      <c r="EV295" s="127"/>
      <c r="EW295" s="127"/>
      <c r="EX295" s="127"/>
      <c r="EY295" s="127"/>
      <c r="EZ295" s="127"/>
      <c r="FA295" s="127"/>
      <c r="FB295" s="127"/>
      <c r="FC295" s="127"/>
      <c r="FD295" s="127"/>
      <c r="FE295" s="127"/>
      <c r="FF295" s="127"/>
      <c r="HW295" s="127"/>
      <c r="HX295" s="127"/>
      <c r="HY295" s="127"/>
      <c r="HZ295" s="127"/>
      <c r="IA295" s="127"/>
      <c r="IB295" s="127"/>
      <c r="IC295" s="127"/>
      <c r="ID295" s="127"/>
      <c r="IE295" s="127"/>
      <c r="IF295" s="127"/>
      <c r="IG295" s="127"/>
      <c r="IH295" s="127"/>
      <c r="II295" s="127"/>
      <c r="IJ295" s="127"/>
      <c r="IK295" s="127"/>
      <c r="LB295" s="127"/>
      <c r="LC295" s="127"/>
      <c r="LD295" s="127"/>
      <c r="LE295" s="127"/>
      <c r="LF295" s="127"/>
      <c r="LG295" s="127"/>
      <c r="LH295" s="127"/>
      <c r="LI295" s="127"/>
      <c r="LJ295" s="127"/>
      <c r="LK295" s="127"/>
      <c r="LL295" s="127"/>
      <c r="LM295" s="127"/>
      <c r="LN295" s="127"/>
      <c r="LO295" s="127"/>
      <c r="LP295" s="127"/>
      <c r="OG295" s="127"/>
      <c r="OH295" s="127"/>
      <c r="OI295" s="127"/>
      <c r="OJ295" s="127"/>
      <c r="OK295" s="127"/>
      <c r="OL295" s="127"/>
      <c r="OM295" s="127"/>
      <c r="ON295" s="127"/>
      <c r="OO295" s="127"/>
      <c r="OP295" s="127"/>
      <c r="OQ295" s="127"/>
      <c r="OR295" s="127"/>
      <c r="OS295" s="127"/>
      <c r="OT295" s="127"/>
      <c r="OU295" s="127"/>
    </row>
    <row r="296" spans="1:411">
      <c r="A296">
        <v>35</v>
      </c>
      <c r="B296">
        <v>438</v>
      </c>
      <c r="C296" t="s">
        <v>72</v>
      </c>
      <c r="D296" t="s">
        <v>82</v>
      </c>
      <c r="E296" s="232" t="s">
        <v>9603</v>
      </c>
      <c r="F296" t="s">
        <v>71</v>
      </c>
      <c r="G296">
        <v>2</v>
      </c>
      <c r="H296">
        <v>384.82900000000001</v>
      </c>
      <c r="I296">
        <v>382.69499999999999</v>
      </c>
      <c r="J296">
        <v>380.48099999999999</v>
      </c>
      <c r="K296">
        <v>378.83100000000002</v>
      </c>
      <c r="L296">
        <v>376.31799999999998</v>
      </c>
      <c r="M296" s="233" t="s">
        <v>530</v>
      </c>
      <c r="N296" s="233" t="s">
        <v>531</v>
      </c>
      <c r="O296" s="3" t="s">
        <v>797</v>
      </c>
      <c r="BM296" s="127"/>
      <c r="BN296" s="127"/>
      <c r="BO296" s="127"/>
      <c r="BP296" s="127"/>
      <c r="BQ296" s="127"/>
      <c r="BR296" s="127"/>
      <c r="BS296" s="127"/>
      <c r="BT296" s="127"/>
      <c r="BU296" s="127"/>
      <c r="BV296" s="127"/>
      <c r="BW296" s="127"/>
      <c r="BX296" s="127"/>
      <c r="BY296" s="127"/>
      <c r="BZ296" s="127"/>
      <c r="CA296" s="127"/>
      <c r="ER296" s="127"/>
      <c r="ES296" s="127"/>
      <c r="ET296" s="127"/>
      <c r="EU296" s="127"/>
      <c r="EV296" s="127"/>
      <c r="EW296" s="127"/>
      <c r="EX296" s="127"/>
      <c r="EY296" s="127"/>
      <c r="EZ296" s="127"/>
      <c r="FA296" s="127"/>
      <c r="FB296" s="127"/>
      <c r="FC296" s="127"/>
      <c r="FD296" s="127"/>
      <c r="FE296" s="127"/>
      <c r="FF296" s="127"/>
      <c r="HW296" s="127"/>
      <c r="HX296" s="127"/>
      <c r="HY296" s="127"/>
      <c r="HZ296" s="127"/>
      <c r="IA296" s="127"/>
      <c r="IB296" s="127"/>
      <c r="IC296" s="127"/>
      <c r="ID296" s="127"/>
      <c r="IE296" s="127"/>
      <c r="IF296" s="127"/>
      <c r="IG296" s="127"/>
      <c r="IH296" s="127"/>
      <c r="II296" s="127"/>
      <c r="IJ296" s="127"/>
      <c r="IK296" s="127"/>
      <c r="LB296" s="127"/>
      <c r="LC296" s="127"/>
      <c r="LD296" s="127"/>
      <c r="LE296" s="127"/>
      <c r="LF296" s="127"/>
      <c r="LG296" s="127"/>
      <c r="LH296" s="127"/>
      <c r="LI296" s="127"/>
      <c r="LJ296" s="127"/>
      <c r="LK296" s="127"/>
      <c r="LL296" s="127"/>
      <c r="LM296" s="127"/>
      <c r="LN296" s="127"/>
      <c r="LO296" s="127"/>
      <c r="LP296" s="127"/>
      <c r="OG296" s="127"/>
      <c r="OH296" s="127"/>
      <c r="OI296" s="127"/>
      <c r="OJ296" s="127"/>
      <c r="OK296" s="127"/>
      <c r="OL296" s="127"/>
      <c r="OM296" s="127"/>
      <c r="ON296" s="127"/>
      <c r="OO296" s="127"/>
      <c r="OP296" s="127"/>
      <c r="OQ296" s="127"/>
      <c r="OR296" s="127"/>
      <c r="OS296" s="127"/>
      <c r="OT296" s="127"/>
      <c r="OU296" s="127"/>
    </row>
    <row r="297" spans="1:411">
      <c r="A297">
        <v>34</v>
      </c>
      <c r="B297">
        <v>465</v>
      </c>
      <c r="C297" t="s">
        <v>72</v>
      </c>
      <c r="D297" t="s">
        <v>82</v>
      </c>
      <c r="E297" s="232" t="s">
        <v>9707</v>
      </c>
      <c r="F297" t="s">
        <v>71</v>
      </c>
      <c r="G297">
        <v>2</v>
      </c>
      <c r="H297">
        <v>385.46899999999999</v>
      </c>
      <c r="I297">
        <v>383.505</v>
      </c>
      <c r="J297">
        <v>381.10300000000001</v>
      </c>
      <c r="K297">
        <v>379.31099999999998</v>
      </c>
      <c r="L297">
        <v>375.40199999999999</v>
      </c>
      <c r="M297" s="233" t="s">
        <v>530</v>
      </c>
      <c r="N297" s="233" t="s">
        <v>531</v>
      </c>
      <c r="O297" s="3" t="s">
        <v>798</v>
      </c>
      <c r="BM297" s="127"/>
      <c r="BN297" s="127"/>
      <c r="BO297" s="127"/>
      <c r="BP297" s="127"/>
      <c r="BQ297" s="127"/>
      <c r="BR297" s="127"/>
      <c r="BS297" s="127"/>
      <c r="BT297" s="127"/>
      <c r="BU297" s="127"/>
      <c r="BV297" s="127"/>
      <c r="BW297" s="127"/>
      <c r="BX297" s="127"/>
      <c r="BY297" s="127"/>
      <c r="BZ297" s="127"/>
      <c r="CA297" s="127"/>
      <c r="ER297" s="127"/>
      <c r="ES297" s="127"/>
      <c r="ET297" s="127"/>
      <c r="EU297" s="127"/>
      <c r="EV297" s="127"/>
      <c r="EW297" s="127"/>
      <c r="EX297" s="127"/>
      <c r="EY297" s="127"/>
      <c r="EZ297" s="127"/>
      <c r="FA297" s="127"/>
      <c r="FB297" s="127"/>
      <c r="FC297" s="127"/>
      <c r="FD297" s="127"/>
      <c r="FE297" s="127"/>
      <c r="FF297" s="127"/>
      <c r="HW297" s="127"/>
      <c r="HX297" s="127"/>
      <c r="HY297" s="127"/>
      <c r="HZ297" s="127"/>
      <c r="IA297" s="127"/>
      <c r="IB297" s="127"/>
      <c r="IC297" s="127"/>
      <c r="ID297" s="127"/>
      <c r="IE297" s="127"/>
      <c r="IF297" s="127"/>
      <c r="IG297" s="127"/>
      <c r="IH297" s="127"/>
      <c r="II297" s="127"/>
      <c r="IJ297" s="127"/>
      <c r="IK297" s="127"/>
      <c r="LB297" s="127"/>
      <c r="LC297" s="127"/>
      <c r="LD297" s="127"/>
      <c r="LE297" s="127"/>
      <c r="LF297" s="127"/>
      <c r="LG297" s="127"/>
      <c r="LH297" s="127"/>
      <c r="LI297" s="127"/>
      <c r="LJ297" s="127"/>
      <c r="LK297" s="127"/>
      <c r="LL297" s="127"/>
      <c r="LM297" s="127"/>
      <c r="LN297" s="127"/>
      <c r="LO297" s="127"/>
      <c r="LP297" s="127"/>
      <c r="OG297" s="127"/>
      <c r="OH297" s="127"/>
      <c r="OI297" s="127"/>
      <c r="OJ297" s="127"/>
      <c r="OK297" s="127"/>
      <c r="OL297" s="127"/>
      <c r="OM297" s="127"/>
      <c r="ON297" s="127"/>
      <c r="OO297" s="127"/>
      <c r="OP297" s="127"/>
      <c r="OQ297" s="127"/>
      <c r="OR297" s="127"/>
      <c r="OS297" s="127"/>
      <c r="OT297" s="127"/>
      <c r="OU297" s="127"/>
    </row>
    <row r="298" spans="1:411">
      <c r="A298">
        <v>34</v>
      </c>
      <c r="B298">
        <v>463</v>
      </c>
      <c r="C298" t="s">
        <v>72</v>
      </c>
      <c r="D298" t="s">
        <v>82</v>
      </c>
      <c r="E298" s="232" t="s">
        <v>503</v>
      </c>
      <c r="F298" t="s">
        <v>71</v>
      </c>
      <c r="G298">
        <v>2</v>
      </c>
      <c r="H298">
        <v>383.82</v>
      </c>
      <c r="I298">
        <v>382.161</v>
      </c>
      <c r="J298">
        <v>379.786</v>
      </c>
      <c r="K298">
        <v>377.755</v>
      </c>
      <c r="L298">
        <v>373.74200000000002</v>
      </c>
      <c r="M298" s="233" t="s">
        <v>530</v>
      </c>
      <c r="N298" s="233" t="s">
        <v>531</v>
      </c>
      <c r="O298" s="3" t="s">
        <v>799</v>
      </c>
      <c r="BM298" s="127"/>
      <c r="BN298" s="127"/>
      <c r="BO298" s="127"/>
      <c r="BP298" s="127"/>
      <c r="BQ298" s="127"/>
      <c r="BR298" s="127"/>
      <c r="BS298" s="127"/>
      <c r="BT298" s="127"/>
      <c r="BU298" s="127"/>
      <c r="BV298" s="127"/>
      <c r="BW298" s="127"/>
      <c r="BX298" s="127"/>
      <c r="BY298" s="127"/>
      <c r="BZ298" s="127"/>
      <c r="CA298" s="127"/>
      <c r="ER298" s="127"/>
      <c r="ES298" s="127"/>
      <c r="ET298" s="127"/>
      <c r="EU298" s="127"/>
      <c r="EV298" s="127"/>
      <c r="EW298" s="127"/>
      <c r="EX298" s="127"/>
      <c r="EY298" s="127"/>
      <c r="EZ298" s="127"/>
      <c r="FA298" s="127"/>
      <c r="FB298" s="127"/>
      <c r="FC298" s="127"/>
      <c r="FD298" s="127"/>
      <c r="FE298" s="127"/>
      <c r="FF298" s="127"/>
      <c r="HW298" s="127"/>
      <c r="HX298" s="127"/>
      <c r="HY298" s="127"/>
      <c r="HZ298" s="127"/>
      <c r="IA298" s="127"/>
      <c r="IB298" s="127"/>
      <c r="IC298" s="127"/>
      <c r="ID298" s="127"/>
      <c r="IE298" s="127"/>
      <c r="IF298" s="127"/>
      <c r="IG298" s="127"/>
      <c r="IH298" s="127"/>
      <c r="II298" s="127"/>
      <c r="IJ298" s="127"/>
      <c r="IK298" s="127"/>
      <c r="LB298" s="127"/>
      <c r="LC298" s="127"/>
      <c r="LD298" s="127"/>
      <c r="LE298" s="127"/>
      <c r="LF298" s="127"/>
      <c r="LG298" s="127"/>
      <c r="LH298" s="127"/>
      <c r="LI298" s="127"/>
      <c r="LJ298" s="127"/>
      <c r="LK298" s="127"/>
      <c r="LL298" s="127"/>
      <c r="LM298" s="127"/>
      <c r="LN298" s="127"/>
      <c r="LO298" s="127"/>
      <c r="LP298" s="127"/>
      <c r="OG298" s="127"/>
      <c r="OH298" s="127"/>
      <c r="OI298" s="127"/>
      <c r="OJ298" s="127"/>
      <c r="OK298" s="127"/>
      <c r="OL298" s="127"/>
      <c r="OM298" s="127"/>
      <c r="ON298" s="127"/>
      <c r="OO298" s="127"/>
      <c r="OP298" s="127"/>
      <c r="OQ298" s="127"/>
      <c r="OR298" s="127"/>
      <c r="OS298" s="127"/>
      <c r="OT298" s="127"/>
      <c r="OU298" s="127"/>
    </row>
    <row r="299" spans="1:411">
      <c r="A299">
        <v>34</v>
      </c>
      <c r="B299">
        <v>460</v>
      </c>
      <c r="C299" t="s">
        <v>72</v>
      </c>
      <c r="D299" t="s">
        <v>82</v>
      </c>
      <c r="E299" s="232" t="s">
        <v>9854</v>
      </c>
      <c r="F299" t="s">
        <v>71</v>
      </c>
      <c r="G299">
        <v>2</v>
      </c>
      <c r="H299">
        <v>383.82</v>
      </c>
      <c r="I299">
        <v>381.82499999999999</v>
      </c>
      <c r="J299">
        <v>379.666</v>
      </c>
      <c r="K299">
        <v>377.68900000000002</v>
      </c>
      <c r="L299">
        <v>373.55599999999998</v>
      </c>
      <c r="M299" s="233" t="s">
        <v>530</v>
      </c>
      <c r="N299" s="233" t="s">
        <v>531</v>
      </c>
      <c r="O299" s="3" t="s">
        <v>800</v>
      </c>
      <c r="BM299" s="127"/>
      <c r="BN299" s="127"/>
      <c r="BO299" s="127"/>
      <c r="BP299" s="127"/>
      <c r="BQ299" s="127"/>
      <c r="BR299" s="127"/>
      <c r="BS299" s="127"/>
      <c r="BT299" s="127"/>
      <c r="BU299" s="127"/>
      <c r="BV299" s="127"/>
      <c r="BW299" s="127"/>
      <c r="BX299" s="127"/>
      <c r="BY299" s="127"/>
      <c r="BZ299" s="127"/>
      <c r="CA299" s="127"/>
      <c r="ER299" s="127"/>
      <c r="ES299" s="127"/>
      <c r="ET299" s="127"/>
      <c r="EU299" s="127"/>
      <c r="EV299" s="127"/>
      <c r="EW299" s="127"/>
      <c r="EX299" s="127"/>
      <c r="EY299" s="127"/>
      <c r="EZ299" s="127"/>
      <c r="FA299" s="127"/>
      <c r="FB299" s="127"/>
      <c r="FC299" s="127"/>
      <c r="FD299" s="127"/>
      <c r="FE299" s="127"/>
      <c r="FF299" s="127"/>
      <c r="HW299" s="127"/>
      <c r="HX299" s="127"/>
      <c r="HY299" s="127"/>
      <c r="HZ299" s="127"/>
      <c r="IA299" s="127"/>
      <c r="IB299" s="127"/>
      <c r="IC299" s="127"/>
      <c r="ID299" s="127"/>
      <c r="IE299" s="127"/>
      <c r="IF299" s="127"/>
      <c r="IG299" s="127"/>
      <c r="IH299" s="127"/>
      <c r="II299" s="127"/>
      <c r="IJ299" s="127"/>
      <c r="IK299" s="127"/>
      <c r="LB299" s="127"/>
      <c r="LC299" s="127"/>
      <c r="LD299" s="127"/>
      <c r="LE299" s="127"/>
      <c r="LF299" s="127"/>
      <c r="LG299" s="127"/>
      <c r="LH299" s="127"/>
      <c r="LI299" s="127"/>
      <c r="LJ299" s="127"/>
      <c r="LK299" s="127"/>
      <c r="LL299" s="127"/>
      <c r="LM299" s="127"/>
      <c r="LN299" s="127"/>
      <c r="LO299" s="127"/>
      <c r="LP299" s="127"/>
      <c r="OG299" s="127"/>
      <c r="OH299" s="127"/>
      <c r="OI299" s="127"/>
      <c r="OJ299" s="127"/>
      <c r="OK299" s="127"/>
      <c r="OL299" s="127"/>
      <c r="OM299" s="127"/>
      <c r="ON299" s="127"/>
      <c r="OO299" s="127"/>
      <c r="OP299" s="127"/>
      <c r="OQ299" s="127"/>
      <c r="OR299" s="127"/>
      <c r="OS299" s="127"/>
      <c r="OT299" s="127"/>
      <c r="OU299" s="127"/>
    </row>
    <row r="300" spans="1:411">
      <c r="A300">
        <v>34</v>
      </c>
      <c r="B300">
        <v>462</v>
      </c>
      <c r="C300" t="s">
        <v>72</v>
      </c>
      <c r="D300" t="s">
        <v>82</v>
      </c>
      <c r="E300" s="232" t="s">
        <v>9990</v>
      </c>
      <c r="F300" t="s">
        <v>71</v>
      </c>
      <c r="G300">
        <v>2</v>
      </c>
      <c r="H300">
        <v>382.89699999999999</v>
      </c>
      <c r="I300">
        <v>381.02600000000001</v>
      </c>
      <c r="J300">
        <v>378.59399999999999</v>
      </c>
      <c r="K300">
        <v>376.53399999999999</v>
      </c>
      <c r="L300">
        <v>372.38799999999998</v>
      </c>
      <c r="M300" s="233" t="s">
        <v>530</v>
      </c>
      <c r="N300" s="233" t="s">
        <v>531</v>
      </c>
      <c r="O300" s="3" t="s">
        <v>801</v>
      </c>
      <c r="BM300" s="127"/>
      <c r="BN300" s="127"/>
      <c r="BO300" s="127"/>
      <c r="BP300" s="127"/>
      <c r="BQ300" s="127"/>
      <c r="BR300" s="127"/>
      <c r="BS300" s="127"/>
      <c r="BT300" s="127"/>
      <c r="BU300" s="127"/>
      <c r="BV300" s="127"/>
      <c r="BW300" s="127"/>
      <c r="BX300" s="127"/>
      <c r="BY300" s="127"/>
      <c r="BZ300" s="127"/>
      <c r="CA300" s="127"/>
      <c r="ER300" s="127"/>
      <c r="ES300" s="127"/>
      <c r="ET300" s="127"/>
      <c r="EU300" s="127"/>
      <c r="EV300" s="127"/>
      <c r="EW300" s="127"/>
      <c r="EX300" s="127"/>
      <c r="EY300" s="127"/>
      <c r="EZ300" s="127"/>
      <c r="FA300" s="127"/>
      <c r="FB300" s="127"/>
      <c r="FC300" s="127"/>
      <c r="FD300" s="127"/>
      <c r="FE300" s="127"/>
      <c r="FF300" s="127"/>
      <c r="HW300" s="127"/>
      <c r="HX300" s="127"/>
      <c r="HY300" s="127"/>
      <c r="HZ300" s="127"/>
      <c r="IA300" s="127"/>
      <c r="IB300" s="127"/>
      <c r="IC300" s="127"/>
      <c r="ID300" s="127"/>
      <c r="IE300" s="127"/>
      <c r="IF300" s="127"/>
      <c r="IG300" s="127"/>
      <c r="IH300" s="127"/>
      <c r="II300" s="127"/>
      <c r="IJ300" s="127"/>
      <c r="IK300" s="127"/>
      <c r="LB300" s="127"/>
      <c r="LC300" s="127"/>
      <c r="LD300" s="127"/>
      <c r="LE300" s="127"/>
      <c r="LF300" s="127"/>
      <c r="LG300" s="127"/>
      <c r="LH300" s="127"/>
      <c r="LI300" s="127"/>
      <c r="LJ300" s="127"/>
      <c r="LK300" s="127"/>
      <c r="LL300" s="127"/>
      <c r="LM300" s="127"/>
      <c r="LN300" s="127"/>
      <c r="LO300" s="127"/>
      <c r="LP300" s="127"/>
      <c r="OG300" s="127"/>
      <c r="OH300" s="127"/>
      <c r="OI300" s="127"/>
      <c r="OJ300" s="127"/>
      <c r="OK300" s="127"/>
      <c r="OL300" s="127"/>
      <c r="OM300" s="127"/>
      <c r="ON300" s="127"/>
      <c r="OO300" s="127"/>
      <c r="OP300" s="127"/>
      <c r="OQ300" s="127"/>
      <c r="OR300" s="127"/>
      <c r="OS300" s="127"/>
      <c r="OT300" s="127"/>
      <c r="OU300" s="127"/>
    </row>
    <row r="301" spans="1:411">
      <c r="A301">
        <v>34</v>
      </c>
      <c r="B301">
        <v>464</v>
      </c>
      <c r="C301" t="s">
        <v>72</v>
      </c>
      <c r="D301" t="s">
        <v>82</v>
      </c>
      <c r="E301" s="232" t="s">
        <v>10011</v>
      </c>
      <c r="F301" t="s">
        <v>71</v>
      </c>
      <c r="G301">
        <v>2</v>
      </c>
      <c r="H301">
        <v>382.541</v>
      </c>
      <c r="I301">
        <v>380.84</v>
      </c>
      <c r="J301">
        <v>378.33300000000003</v>
      </c>
      <c r="K301">
        <v>376.339</v>
      </c>
      <c r="L301">
        <v>372.19299999999998</v>
      </c>
      <c r="M301" s="233" t="s">
        <v>530</v>
      </c>
      <c r="N301" s="233" t="s">
        <v>531</v>
      </c>
      <c r="O301" s="3" t="s">
        <v>802</v>
      </c>
      <c r="BM301" s="127"/>
      <c r="BN301" s="127"/>
      <c r="BO301" s="127"/>
      <c r="BP301" s="127"/>
      <c r="BQ301" s="127"/>
      <c r="BR301" s="127"/>
      <c r="BS301" s="127"/>
      <c r="BT301" s="127"/>
      <c r="BU301" s="127"/>
      <c r="BV301" s="127"/>
      <c r="BW301" s="127"/>
      <c r="BX301" s="127"/>
      <c r="BY301" s="127"/>
      <c r="BZ301" s="127"/>
      <c r="CA301" s="127"/>
      <c r="ER301" s="127"/>
      <c r="ES301" s="127"/>
      <c r="ET301" s="127"/>
      <c r="EU301" s="127"/>
      <c r="EV301" s="127"/>
      <c r="EW301" s="127"/>
      <c r="EX301" s="127"/>
      <c r="EY301" s="127"/>
      <c r="EZ301" s="127"/>
      <c r="FA301" s="127"/>
      <c r="FB301" s="127"/>
      <c r="FC301" s="127"/>
      <c r="FD301" s="127"/>
      <c r="FE301" s="127"/>
      <c r="FF301" s="127"/>
      <c r="HW301" s="127"/>
      <c r="HX301" s="127"/>
      <c r="HY301" s="127"/>
      <c r="HZ301" s="127"/>
      <c r="IA301" s="127"/>
      <c r="IB301" s="127"/>
      <c r="IC301" s="127"/>
      <c r="ID301" s="127"/>
      <c r="IE301" s="127"/>
      <c r="IF301" s="127"/>
      <c r="IG301" s="127"/>
      <c r="IH301" s="127"/>
      <c r="II301" s="127"/>
      <c r="IJ301" s="127"/>
      <c r="IK301" s="127"/>
      <c r="LB301" s="127"/>
      <c r="LC301" s="127"/>
      <c r="LD301" s="127"/>
      <c r="LE301" s="127"/>
      <c r="LF301" s="127"/>
      <c r="LG301" s="127"/>
      <c r="LH301" s="127"/>
      <c r="LI301" s="127"/>
      <c r="LJ301" s="127"/>
      <c r="LK301" s="127"/>
      <c r="LL301" s="127"/>
      <c r="LM301" s="127"/>
      <c r="LN301" s="127"/>
      <c r="LO301" s="127"/>
      <c r="LP301" s="127"/>
      <c r="OG301" s="127"/>
      <c r="OH301" s="127"/>
      <c r="OI301" s="127"/>
      <c r="OJ301" s="127"/>
      <c r="OK301" s="127"/>
      <c r="OL301" s="127"/>
      <c r="OM301" s="127"/>
      <c r="ON301" s="127"/>
      <c r="OO301" s="127"/>
      <c r="OP301" s="127"/>
      <c r="OQ301" s="127"/>
      <c r="OR301" s="127"/>
      <c r="OS301" s="127"/>
      <c r="OT301" s="127"/>
      <c r="OU301" s="127"/>
    </row>
    <row r="302" spans="1:411">
      <c r="A302">
        <v>34</v>
      </c>
      <c r="B302">
        <v>459</v>
      </c>
      <c r="C302" t="s">
        <v>72</v>
      </c>
      <c r="D302" t="s">
        <v>82</v>
      </c>
      <c r="E302" s="232" t="s">
        <v>10038</v>
      </c>
      <c r="F302" t="s">
        <v>71</v>
      </c>
      <c r="G302">
        <v>2</v>
      </c>
      <c r="H302">
        <v>382.42099999999999</v>
      </c>
      <c r="I302">
        <v>380.76499999999999</v>
      </c>
      <c r="J302">
        <v>378.14699999999999</v>
      </c>
      <c r="K302">
        <v>376.05799999999999</v>
      </c>
      <c r="L302">
        <v>372.00700000000001</v>
      </c>
      <c r="M302" s="233" t="s">
        <v>530</v>
      </c>
      <c r="N302" s="233" t="s">
        <v>531</v>
      </c>
      <c r="O302" s="3" t="s">
        <v>803</v>
      </c>
      <c r="BM302" s="127"/>
      <c r="BN302" s="127"/>
      <c r="BO302" s="127"/>
      <c r="BP302" s="127"/>
      <c r="BQ302" s="127"/>
      <c r="BR302" s="127"/>
      <c r="BS302" s="127"/>
      <c r="BT302" s="127"/>
      <c r="BU302" s="127"/>
      <c r="BV302" s="127"/>
      <c r="BW302" s="127"/>
      <c r="BX302" s="127"/>
      <c r="BY302" s="127"/>
      <c r="BZ302" s="127"/>
      <c r="CA302" s="127"/>
      <c r="ER302" s="127"/>
      <c r="ES302" s="127"/>
      <c r="ET302" s="127"/>
      <c r="EU302" s="127"/>
      <c r="EV302" s="127"/>
      <c r="EW302" s="127"/>
      <c r="EX302" s="127"/>
      <c r="EY302" s="127"/>
      <c r="EZ302" s="127"/>
      <c r="FA302" s="127"/>
      <c r="FB302" s="127"/>
      <c r="FC302" s="127"/>
      <c r="FD302" s="127"/>
      <c r="FE302" s="127"/>
      <c r="FF302" s="127"/>
      <c r="HW302" s="127"/>
      <c r="HX302" s="127"/>
      <c r="HY302" s="127"/>
      <c r="HZ302" s="127"/>
      <c r="IA302" s="127"/>
      <c r="IB302" s="127"/>
      <c r="IC302" s="127"/>
      <c r="ID302" s="127"/>
      <c r="IE302" s="127"/>
      <c r="IF302" s="127"/>
      <c r="IG302" s="127"/>
      <c r="IH302" s="127"/>
      <c r="II302" s="127"/>
      <c r="IJ302" s="127"/>
      <c r="IK302" s="127"/>
      <c r="LB302" s="127"/>
      <c r="LC302" s="127"/>
      <c r="LD302" s="127"/>
      <c r="LE302" s="127"/>
      <c r="LF302" s="127"/>
      <c r="LG302" s="127"/>
      <c r="LH302" s="127"/>
      <c r="LI302" s="127"/>
      <c r="LJ302" s="127"/>
      <c r="LK302" s="127"/>
      <c r="LL302" s="127"/>
      <c r="LM302" s="127"/>
      <c r="LN302" s="127"/>
      <c r="LO302" s="127"/>
      <c r="LP302" s="127"/>
      <c r="OG302" s="127"/>
      <c r="OH302" s="127"/>
      <c r="OI302" s="127"/>
      <c r="OJ302" s="127"/>
      <c r="OK302" s="127"/>
      <c r="OL302" s="127"/>
      <c r="OM302" s="127"/>
      <c r="ON302" s="127"/>
      <c r="OO302" s="127"/>
      <c r="OP302" s="127"/>
      <c r="OQ302" s="127"/>
      <c r="OR302" s="127"/>
      <c r="OS302" s="127"/>
      <c r="OT302" s="127"/>
      <c r="OU302" s="127"/>
    </row>
    <row r="303" spans="1:411">
      <c r="A303">
        <v>34</v>
      </c>
      <c r="B303">
        <v>461</v>
      </c>
      <c r="C303" t="s">
        <v>72</v>
      </c>
      <c r="D303" t="s">
        <v>82</v>
      </c>
      <c r="E303" s="232" t="s">
        <v>10037</v>
      </c>
      <c r="F303" t="s">
        <v>71</v>
      </c>
      <c r="G303">
        <v>2</v>
      </c>
      <c r="H303">
        <v>382.42099999999999</v>
      </c>
      <c r="I303">
        <v>380.76499999999999</v>
      </c>
      <c r="J303">
        <v>378.14699999999999</v>
      </c>
      <c r="K303">
        <v>376.05799999999999</v>
      </c>
      <c r="L303">
        <v>372.00700000000001</v>
      </c>
      <c r="M303" s="233" t="s">
        <v>530</v>
      </c>
      <c r="N303" s="233" t="s">
        <v>531</v>
      </c>
      <c r="O303" s="3" t="s">
        <v>804</v>
      </c>
      <c r="BM303" s="127"/>
      <c r="BN303" s="127"/>
      <c r="BO303" s="127"/>
      <c r="BP303" s="127"/>
      <c r="BQ303" s="127"/>
      <c r="BR303" s="127"/>
      <c r="BS303" s="127"/>
      <c r="BT303" s="127"/>
      <c r="BU303" s="127"/>
      <c r="BV303" s="127"/>
      <c r="BW303" s="127"/>
      <c r="BX303" s="127"/>
      <c r="BY303" s="127"/>
      <c r="BZ303" s="127"/>
      <c r="CA303" s="127"/>
      <c r="ER303" s="127"/>
      <c r="ES303" s="127"/>
      <c r="ET303" s="127"/>
      <c r="EU303" s="127"/>
      <c r="EV303" s="127"/>
      <c r="EW303" s="127"/>
      <c r="EX303" s="127"/>
      <c r="EY303" s="127"/>
      <c r="EZ303" s="127"/>
      <c r="FA303" s="127"/>
      <c r="FB303" s="127"/>
      <c r="FC303" s="127"/>
      <c r="FD303" s="127"/>
      <c r="FE303" s="127"/>
      <c r="FF303" s="127"/>
      <c r="HW303" s="127"/>
      <c r="HX303" s="127"/>
      <c r="HY303" s="127"/>
      <c r="HZ303" s="127"/>
      <c r="IA303" s="127"/>
      <c r="IB303" s="127"/>
      <c r="IC303" s="127"/>
      <c r="ID303" s="127"/>
      <c r="IE303" s="127"/>
      <c r="IF303" s="127"/>
      <c r="IG303" s="127"/>
      <c r="IH303" s="127"/>
      <c r="II303" s="127"/>
      <c r="IJ303" s="127"/>
      <c r="IK303" s="127"/>
      <c r="LB303" s="127"/>
      <c r="LC303" s="127"/>
      <c r="LD303" s="127"/>
      <c r="LE303" s="127"/>
      <c r="LF303" s="127"/>
      <c r="LG303" s="127"/>
      <c r="LH303" s="127"/>
      <c r="LI303" s="127"/>
      <c r="LJ303" s="127"/>
      <c r="LK303" s="127"/>
      <c r="LL303" s="127"/>
      <c r="LM303" s="127"/>
      <c r="LN303" s="127"/>
      <c r="LO303" s="127"/>
      <c r="LP303" s="127"/>
      <c r="OG303" s="127"/>
      <c r="OH303" s="127"/>
      <c r="OI303" s="127"/>
      <c r="OJ303" s="127"/>
      <c r="OK303" s="127"/>
      <c r="OL303" s="127"/>
      <c r="OM303" s="127"/>
      <c r="ON303" s="127"/>
      <c r="OO303" s="127"/>
      <c r="OP303" s="127"/>
      <c r="OQ303" s="127"/>
      <c r="OR303" s="127"/>
      <c r="OS303" s="127"/>
      <c r="OT303" s="127"/>
      <c r="OU303" s="127"/>
    </row>
    <row r="304" spans="1:411">
      <c r="A304">
        <v>42</v>
      </c>
      <c r="B304">
        <v>467</v>
      </c>
      <c r="C304" t="s">
        <v>72</v>
      </c>
      <c r="D304" t="s">
        <v>83</v>
      </c>
      <c r="E304" s="232" t="s">
        <v>9103</v>
      </c>
      <c r="F304" t="s">
        <v>70</v>
      </c>
      <c r="G304">
        <v>2</v>
      </c>
      <c r="H304">
        <v>924.13499999999999</v>
      </c>
      <c r="I304">
        <v>921.68600000000004</v>
      </c>
      <c r="J304">
        <v>919.43600000000004</v>
      </c>
      <c r="K304">
        <v>915.96299999999997</v>
      </c>
      <c r="L304">
        <v>910.87400000000002</v>
      </c>
      <c r="M304" s="233" t="s">
        <v>532</v>
      </c>
      <c r="N304" s="233" t="s">
        <v>533</v>
      </c>
      <c r="O304" s="3" t="s">
        <v>805</v>
      </c>
      <c r="BM304" s="127"/>
      <c r="BN304" s="127"/>
      <c r="BO304" s="127"/>
      <c r="BP304" s="127"/>
      <c r="BQ304" s="127"/>
      <c r="BR304" s="127"/>
      <c r="BS304" s="127"/>
      <c r="BT304" s="127"/>
      <c r="BU304" s="127"/>
      <c r="BV304" s="127"/>
      <c r="BW304" s="127"/>
      <c r="BX304" s="127"/>
      <c r="BY304" s="127"/>
      <c r="BZ304" s="127"/>
      <c r="CA304" s="127"/>
      <c r="ER304" s="127"/>
      <c r="ES304" s="127"/>
      <c r="ET304" s="127"/>
      <c r="EU304" s="127"/>
      <c r="EV304" s="127"/>
      <c r="EW304" s="127"/>
      <c r="EX304" s="127"/>
      <c r="EY304" s="127"/>
      <c r="EZ304" s="127"/>
      <c r="FA304" s="127"/>
      <c r="FB304" s="127"/>
      <c r="FC304" s="127"/>
      <c r="FD304" s="127"/>
      <c r="FE304" s="127"/>
      <c r="FF304" s="127"/>
      <c r="HW304" s="127"/>
      <c r="HX304" s="127"/>
      <c r="HY304" s="127"/>
      <c r="HZ304" s="127"/>
      <c r="IA304" s="127"/>
      <c r="IB304" s="127"/>
      <c r="IC304" s="127"/>
      <c r="ID304" s="127"/>
      <c r="IE304" s="127"/>
      <c r="IF304" s="127"/>
      <c r="IG304" s="127"/>
      <c r="IH304" s="127"/>
      <c r="II304" s="127"/>
      <c r="IJ304" s="127"/>
      <c r="IK304" s="127"/>
      <c r="LB304" s="127"/>
      <c r="LC304" s="127"/>
      <c r="LD304" s="127"/>
      <c r="LE304" s="127"/>
      <c r="LF304" s="127"/>
      <c r="LG304" s="127"/>
      <c r="LH304" s="127"/>
      <c r="LI304" s="127"/>
      <c r="LJ304" s="127"/>
      <c r="LK304" s="127"/>
      <c r="LL304" s="127"/>
      <c r="LM304" s="127"/>
      <c r="LN304" s="127"/>
      <c r="LO304" s="127"/>
      <c r="LP304" s="127"/>
      <c r="OG304" s="127"/>
      <c r="OH304" s="127"/>
      <c r="OI304" s="127"/>
      <c r="OJ304" s="127"/>
      <c r="OK304" s="127"/>
      <c r="OL304" s="127"/>
      <c r="OM304" s="127"/>
      <c r="ON304" s="127"/>
      <c r="OO304" s="127"/>
      <c r="OP304" s="127"/>
      <c r="OQ304" s="127"/>
      <c r="OR304" s="127"/>
      <c r="OS304" s="127"/>
      <c r="OT304" s="127"/>
      <c r="OU304" s="127"/>
    </row>
    <row r="305" spans="1:411">
      <c r="A305">
        <v>44</v>
      </c>
      <c r="B305">
        <v>470</v>
      </c>
      <c r="C305" t="s">
        <v>72</v>
      </c>
      <c r="D305" t="s">
        <v>83</v>
      </c>
      <c r="E305" s="232" t="s">
        <v>8410</v>
      </c>
      <c r="F305" t="s">
        <v>70</v>
      </c>
      <c r="G305">
        <v>2</v>
      </c>
      <c r="H305">
        <v>916.84199999999998</v>
      </c>
      <c r="I305">
        <v>913.93700000000001</v>
      </c>
      <c r="J305">
        <v>911.67600000000004</v>
      </c>
      <c r="K305">
        <v>907.51099999999997</v>
      </c>
      <c r="L305">
        <v>900.54499999999996</v>
      </c>
      <c r="M305" s="233" t="s">
        <v>532</v>
      </c>
      <c r="N305" s="233" t="s">
        <v>533</v>
      </c>
      <c r="O305" s="3" t="s">
        <v>806</v>
      </c>
      <c r="BM305" s="127"/>
      <c r="BN305" s="127"/>
      <c r="BO305" s="127"/>
      <c r="BP305" s="127"/>
      <c r="BQ305" s="127"/>
      <c r="BR305" s="127"/>
      <c r="BS305" s="127"/>
      <c r="BT305" s="127"/>
      <c r="BU305" s="127"/>
      <c r="BV305" s="127"/>
      <c r="BW305" s="127"/>
      <c r="BX305" s="127"/>
      <c r="BY305" s="127"/>
      <c r="BZ305" s="127"/>
      <c r="CA305" s="127"/>
      <c r="ER305" s="127"/>
      <c r="ES305" s="127"/>
      <c r="ET305" s="127"/>
      <c r="EU305" s="127"/>
      <c r="EV305" s="127"/>
      <c r="EW305" s="127"/>
      <c r="EX305" s="127"/>
      <c r="EY305" s="127"/>
      <c r="EZ305" s="127"/>
      <c r="FA305" s="127"/>
      <c r="FB305" s="127"/>
      <c r="FC305" s="127"/>
      <c r="FD305" s="127"/>
      <c r="FE305" s="127"/>
      <c r="FF305" s="127"/>
      <c r="HW305" s="127"/>
      <c r="HX305" s="127"/>
      <c r="HY305" s="127"/>
      <c r="HZ305" s="127"/>
      <c r="IA305" s="127"/>
      <c r="IB305" s="127"/>
      <c r="IC305" s="127"/>
      <c r="ID305" s="127"/>
      <c r="IE305" s="127"/>
      <c r="IF305" s="127"/>
      <c r="IG305" s="127"/>
      <c r="IH305" s="127"/>
      <c r="II305" s="127"/>
      <c r="IJ305" s="127"/>
      <c r="IK305" s="127"/>
      <c r="LB305" s="127"/>
      <c r="LC305" s="127"/>
      <c r="LD305" s="127"/>
      <c r="LE305" s="127"/>
      <c r="LF305" s="127"/>
      <c r="LG305" s="127"/>
      <c r="LH305" s="127"/>
      <c r="LI305" s="127"/>
      <c r="LJ305" s="127"/>
      <c r="LK305" s="127"/>
      <c r="LL305" s="127"/>
      <c r="LM305" s="127"/>
      <c r="LN305" s="127"/>
      <c r="LO305" s="127"/>
      <c r="LP305" s="127"/>
      <c r="OG305" s="127"/>
      <c r="OH305" s="127"/>
      <c r="OI305" s="127"/>
      <c r="OJ305" s="127"/>
      <c r="OK305" s="127"/>
      <c r="OL305" s="127"/>
      <c r="OM305" s="127"/>
      <c r="ON305" s="127"/>
      <c r="OO305" s="127"/>
      <c r="OP305" s="127"/>
      <c r="OQ305" s="127"/>
      <c r="OR305" s="127"/>
      <c r="OS305" s="127"/>
      <c r="OT305" s="127"/>
      <c r="OU305" s="127"/>
    </row>
    <row r="306" spans="1:411">
      <c r="A306">
        <v>44</v>
      </c>
      <c r="B306">
        <v>473</v>
      </c>
      <c r="C306" t="s">
        <v>72</v>
      </c>
      <c r="D306" t="s">
        <v>83</v>
      </c>
      <c r="E306" s="232" t="s">
        <v>9085</v>
      </c>
      <c r="F306" t="s">
        <v>70</v>
      </c>
      <c r="G306">
        <v>2</v>
      </c>
      <c r="H306">
        <v>915.05600000000004</v>
      </c>
      <c r="I306">
        <v>912.37199999999996</v>
      </c>
      <c r="J306">
        <v>909.64300000000003</v>
      </c>
      <c r="K306">
        <v>904.92100000000005</v>
      </c>
      <c r="L306">
        <v>898.87699999999995</v>
      </c>
      <c r="M306" s="233" t="s">
        <v>532</v>
      </c>
      <c r="N306" s="233" t="s">
        <v>533</v>
      </c>
      <c r="O306" s="3" t="s">
        <v>807</v>
      </c>
      <c r="BM306" s="127"/>
      <c r="BN306" s="127"/>
      <c r="BO306" s="127"/>
      <c r="BP306" s="127"/>
      <c r="BQ306" s="127"/>
      <c r="BR306" s="127"/>
      <c r="BS306" s="127"/>
      <c r="BT306" s="127"/>
      <c r="BU306" s="127"/>
      <c r="BV306" s="127"/>
      <c r="BW306" s="127"/>
      <c r="BX306" s="127"/>
      <c r="BY306" s="127"/>
      <c r="BZ306" s="127"/>
      <c r="CA306" s="127"/>
      <c r="ER306" s="127"/>
      <c r="ES306" s="127"/>
      <c r="ET306" s="127"/>
      <c r="EU306" s="127"/>
      <c r="EV306" s="127"/>
      <c r="EW306" s="127"/>
      <c r="EX306" s="127"/>
      <c r="EY306" s="127"/>
      <c r="EZ306" s="127"/>
      <c r="FA306" s="127"/>
      <c r="FB306" s="127"/>
      <c r="FC306" s="127"/>
      <c r="FD306" s="127"/>
      <c r="FE306" s="127"/>
      <c r="FF306" s="127"/>
      <c r="HW306" s="127"/>
      <c r="HX306" s="127"/>
      <c r="HY306" s="127"/>
      <c r="HZ306" s="127"/>
      <c r="IA306" s="127"/>
      <c r="IB306" s="127"/>
      <c r="IC306" s="127"/>
      <c r="ID306" s="127"/>
      <c r="IE306" s="127"/>
      <c r="IF306" s="127"/>
      <c r="IG306" s="127"/>
      <c r="IH306" s="127"/>
      <c r="II306" s="127"/>
      <c r="IJ306" s="127"/>
      <c r="IK306" s="127"/>
      <c r="LB306" s="127"/>
      <c r="LC306" s="127"/>
      <c r="LD306" s="127"/>
      <c r="LE306" s="127"/>
      <c r="LF306" s="127"/>
      <c r="LG306" s="127"/>
      <c r="LH306" s="127"/>
      <c r="LI306" s="127"/>
      <c r="LJ306" s="127"/>
      <c r="LK306" s="127"/>
      <c r="LL306" s="127"/>
      <c r="LM306" s="127"/>
      <c r="LN306" s="127"/>
      <c r="LO306" s="127"/>
      <c r="LP306" s="127"/>
      <c r="OG306" s="127"/>
      <c r="OH306" s="127"/>
      <c r="OI306" s="127"/>
      <c r="OJ306" s="127"/>
      <c r="OK306" s="127"/>
      <c r="OL306" s="127"/>
      <c r="OM306" s="127"/>
      <c r="ON306" s="127"/>
      <c r="OO306" s="127"/>
      <c r="OP306" s="127"/>
      <c r="OQ306" s="127"/>
      <c r="OR306" s="127"/>
      <c r="OS306" s="127"/>
      <c r="OT306" s="127"/>
      <c r="OU306" s="127"/>
    </row>
    <row r="307" spans="1:411">
      <c r="A307">
        <v>42</v>
      </c>
      <c r="B307">
        <v>492</v>
      </c>
      <c r="C307" t="s">
        <v>72</v>
      </c>
      <c r="D307" t="s">
        <v>83</v>
      </c>
      <c r="E307" s="232" t="s">
        <v>8938</v>
      </c>
      <c r="F307" t="s">
        <v>71</v>
      </c>
      <c r="G307">
        <v>2</v>
      </c>
      <c r="H307">
        <v>925.59199999999998</v>
      </c>
      <c r="I307">
        <v>923.15899999999999</v>
      </c>
      <c r="J307">
        <v>921.64800000000002</v>
      </c>
      <c r="K307">
        <v>918.221</v>
      </c>
      <c r="L307">
        <v>912.44200000000001</v>
      </c>
      <c r="M307" s="233" t="s">
        <v>532</v>
      </c>
      <c r="N307" s="233" t="s">
        <v>533</v>
      </c>
      <c r="O307" s="3" t="s">
        <v>808</v>
      </c>
      <c r="BM307" s="127"/>
      <c r="BN307" s="127"/>
      <c r="BO307" s="127"/>
      <c r="BP307" s="127"/>
      <c r="BQ307" s="127"/>
      <c r="BR307" s="127"/>
      <c r="BS307" s="127"/>
      <c r="BT307" s="127"/>
      <c r="BU307" s="127"/>
      <c r="BV307" s="127"/>
      <c r="BW307" s="127"/>
      <c r="BX307" s="127"/>
      <c r="BY307" s="127"/>
      <c r="BZ307" s="127"/>
      <c r="CA307" s="127"/>
      <c r="ER307" s="127"/>
      <c r="ES307" s="127"/>
      <c r="ET307" s="127"/>
      <c r="EU307" s="127"/>
      <c r="EV307" s="127"/>
      <c r="EW307" s="127"/>
      <c r="EX307" s="127"/>
      <c r="EY307" s="127"/>
      <c r="EZ307" s="127"/>
      <c r="FA307" s="127"/>
      <c r="FB307" s="127"/>
      <c r="FC307" s="127"/>
      <c r="FD307" s="127"/>
      <c r="FE307" s="127"/>
      <c r="FF307" s="127"/>
      <c r="HW307" s="127"/>
      <c r="HX307" s="127"/>
      <c r="HY307" s="127"/>
      <c r="HZ307" s="127"/>
      <c r="IA307" s="127"/>
      <c r="IB307" s="127"/>
      <c r="IC307" s="127"/>
      <c r="ID307" s="127"/>
      <c r="IE307" s="127"/>
      <c r="IF307" s="127"/>
      <c r="IG307" s="127"/>
      <c r="IH307" s="127"/>
      <c r="II307" s="127"/>
      <c r="IJ307" s="127"/>
      <c r="IK307" s="127"/>
      <c r="LB307" s="127"/>
      <c r="LC307" s="127"/>
      <c r="LD307" s="127"/>
      <c r="LE307" s="127"/>
      <c r="LF307" s="127"/>
      <c r="LG307" s="127"/>
      <c r="LH307" s="127"/>
      <c r="LI307" s="127"/>
      <c r="LJ307" s="127"/>
      <c r="LK307" s="127"/>
      <c r="LL307" s="127"/>
      <c r="LM307" s="127"/>
      <c r="LN307" s="127"/>
      <c r="LO307" s="127"/>
      <c r="LP307" s="127"/>
      <c r="OG307" s="127"/>
      <c r="OH307" s="127"/>
      <c r="OI307" s="127"/>
      <c r="OJ307" s="127"/>
      <c r="OK307" s="127"/>
      <c r="OL307" s="127"/>
      <c r="OM307" s="127"/>
      <c r="ON307" s="127"/>
      <c r="OO307" s="127"/>
      <c r="OP307" s="127"/>
      <c r="OQ307" s="127"/>
      <c r="OR307" s="127"/>
      <c r="OS307" s="127"/>
      <c r="OT307" s="127"/>
      <c r="OU307" s="127"/>
    </row>
    <row r="308" spans="1:411">
      <c r="A308">
        <v>41</v>
      </c>
      <c r="B308">
        <v>496</v>
      </c>
      <c r="C308" t="s">
        <v>72</v>
      </c>
      <c r="D308" t="s">
        <v>83</v>
      </c>
      <c r="E308" s="232" t="s">
        <v>9305</v>
      </c>
      <c r="F308" t="s">
        <v>71</v>
      </c>
      <c r="G308">
        <v>2</v>
      </c>
      <c r="H308">
        <v>916.14</v>
      </c>
      <c r="I308">
        <v>914.58900000000006</v>
      </c>
      <c r="J308">
        <v>911.52099999999996</v>
      </c>
      <c r="K308">
        <v>906.38699999999994</v>
      </c>
      <c r="L308">
        <v>901.37199999999996</v>
      </c>
      <c r="M308" s="233" t="s">
        <v>532</v>
      </c>
      <c r="N308" s="233" t="s">
        <v>533</v>
      </c>
      <c r="O308" s="3" t="s">
        <v>809</v>
      </c>
      <c r="BM308" s="127"/>
      <c r="BN308" s="127"/>
      <c r="BO308" s="127"/>
      <c r="BP308" s="127"/>
      <c r="BQ308" s="127"/>
      <c r="BR308" s="127"/>
      <c r="BS308" s="127"/>
      <c r="BT308" s="127"/>
      <c r="BU308" s="127"/>
      <c r="BV308" s="127"/>
      <c r="BW308" s="127"/>
      <c r="BX308" s="127"/>
      <c r="BY308" s="127"/>
      <c r="BZ308" s="127"/>
      <c r="CA308" s="127"/>
      <c r="ER308" s="127"/>
      <c r="ES308" s="127"/>
      <c r="ET308" s="127"/>
      <c r="EU308" s="127"/>
      <c r="EV308" s="127"/>
      <c r="EW308" s="127"/>
      <c r="EX308" s="127"/>
      <c r="EY308" s="127"/>
      <c r="EZ308" s="127"/>
      <c r="FA308" s="127"/>
      <c r="FB308" s="127"/>
      <c r="FC308" s="127"/>
      <c r="FD308" s="127"/>
      <c r="FE308" s="127"/>
      <c r="FF308" s="127"/>
      <c r="HW308" s="127"/>
      <c r="HX308" s="127"/>
      <c r="HY308" s="127"/>
      <c r="HZ308" s="127"/>
      <c r="IA308" s="127"/>
      <c r="IB308" s="127"/>
      <c r="IC308" s="127"/>
      <c r="ID308" s="127"/>
      <c r="IE308" s="127"/>
      <c r="IF308" s="127"/>
      <c r="IG308" s="127"/>
      <c r="IH308" s="127"/>
      <c r="II308" s="127"/>
      <c r="IJ308" s="127"/>
      <c r="IK308" s="127"/>
      <c r="LB308" s="127"/>
      <c r="LC308" s="127"/>
      <c r="LD308" s="127"/>
      <c r="LE308" s="127"/>
      <c r="LF308" s="127"/>
      <c r="LG308" s="127"/>
      <c r="LH308" s="127"/>
      <c r="LI308" s="127"/>
      <c r="LJ308" s="127"/>
      <c r="LK308" s="127"/>
      <c r="LL308" s="127"/>
      <c r="LM308" s="127"/>
      <c r="LN308" s="127"/>
      <c r="LO308" s="127"/>
      <c r="LP308" s="127"/>
      <c r="OG308" s="127"/>
      <c r="OH308" s="127"/>
      <c r="OI308" s="127"/>
      <c r="OJ308" s="127"/>
      <c r="OK308" s="127"/>
      <c r="OL308" s="127"/>
      <c r="OM308" s="127"/>
      <c r="ON308" s="127"/>
      <c r="OO308" s="127"/>
      <c r="OP308" s="127"/>
      <c r="OQ308" s="127"/>
      <c r="OR308" s="127"/>
      <c r="OS308" s="127"/>
      <c r="OT308" s="127"/>
      <c r="OU308" s="127"/>
    </row>
    <row r="309" spans="1:411">
      <c r="A309">
        <v>88</v>
      </c>
      <c r="B309">
        <v>509</v>
      </c>
      <c r="C309" t="s">
        <v>72</v>
      </c>
      <c r="D309" t="s">
        <v>224</v>
      </c>
      <c r="E309" s="232" t="s">
        <v>8283</v>
      </c>
      <c r="F309" t="s">
        <v>70</v>
      </c>
      <c r="G309">
        <v>2</v>
      </c>
      <c r="H309">
        <v>934.83399999999995</v>
      </c>
      <c r="I309">
        <v>932.96</v>
      </c>
      <c r="J309">
        <v>929.94600000000003</v>
      </c>
      <c r="K309">
        <v>927.375</v>
      </c>
      <c r="L309">
        <v>923.53599999999994</v>
      </c>
      <c r="M309" s="233" t="s">
        <v>532</v>
      </c>
      <c r="N309" s="233" t="s">
        <v>533</v>
      </c>
      <c r="O309" s="3" t="s">
        <v>810</v>
      </c>
      <c r="BM309" s="127"/>
      <c r="BN309" s="127"/>
      <c r="BO309" s="127"/>
      <c r="BP309" s="127"/>
      <c r="BQ309" s="127"/>
      <c r="BR309" s="127"/>
      <c r="BS309" s="127"/>
      <c r="BT309" s="127"/>
      <c r="BU309" s="127"/>
      <c r="BV309" s="127"/>
      <c r="BW309" s="127"/>
      <c r="BX309" s="127"/>
      <c r="BY309" s="127"/>
      <c r="BZ309" s="127"/>
      <c r="CA309" s="127"/>
      <c r="ER309" s="127"/>
      <c r="ES309" s="127"/>
      <c r="ET309" s="127"/>
      <c r="EU309" s="127"/>
      <c r="EV309" s="127"/>
      <c r="EW309" s="127"/>
      <c r="EX309" s="127"/>
      <c r="EY309" s="127"/>
      <c r="EZ309" s="127"/>
      <c r="FA309" s="127"/>
      <c r="FB309" s="127"/>
      <c r="FC309" s="127"/>
      <c r="FD309" s="127"/>
      <c r="FE309" s="127"/>
      <c r="FF309" s="127"/>
      <c r="HW309" s="127"/>
      <c r="HX309" s="127"/>
      <c r="HY309" s="127"/>
      <c r="HZ309" s="127"/>
      <c r="IA309" s="127"/>
      <c r="IB309" s="127"/>
      <c r="IC309" s="127"/>
      <c r="ID309" s="127"/>
      <c r="IE309" s="127"/>
      <c r="IF309" s="127"/>
      <c r="IG309" s="127"/>
      <c r="IH309" s="127"/>
      <c r="II309" s="127"/>
      <c r="IJ309" s="127"/>
      <c r="IK309" s="127"/>
      <c r="LB309" s="127"/>
      <c r="LC309" s="127"/>
      <c r="LD309" s="127"/>
      <c r="LE309" s="127"/>
      <c r="LF309" s="127"/>
      <c r="LG309" s="127"/>
      <c r="LH309" s="127"/>
      <c r="LI309" s="127"/>
      <c r="LJ309" s="127"/>
      <c r="LK309" s="127"/>
      <c r="LL309" s="127"/>
      <c r="LM309" s="127"/>
      <c r="LN309" s="127"/>
      <c r="LO309" s="127"/>
      <c r="LP309" s="127"/>
      <c r="OG309" s="127"/>
      <c r="OH309" s="127"/>
      <c r="OI309" s="127"/>
      <c r="OJ309" s="127"/>
      <c r="OK309" s="127"/>
      <c r="OL309" s="127"/>
      <c r="OM309" s="127"/>
      <c r="ON309" s="127"/>
      <c r="OO309" s="127"/>
      <c r="OP309" s="127"/>
      <c r="OQ309" s="127"/>
      <c r="OR309" s="127"/>
      <c r="OS309" s="127"/>
      <c r="OT309" s="127"/>
      <c r="OU309" s="127"/>
    </row>
    <row r="310" spans="1:411">
      <c r="A310">
        <v>89</v>
      </c>
      <c r="B310">
        <v>517</v>
      </c>
      <c r="C310" t="s">
        <v>72</v>
      </c>
      <c r="D310" t="s">
        <v>224</v>
      </c>
      <c r="E310" s="232" t="s">
        <v>8216</v>
      </c>
      <c r="F310" t="s">
        <v>71</v>
      </c>
      <c r="G310">
        <v>2</v>
      </c>
      <c r="H310">
        <v>926.21600000000001</v>
      </c>
      <c r="I310">
        <v>923.91200000000003</v>
      </c>
      <c r="J310">
        <v>922.04600000000005</v>
      </c>
      <c r="K310">
        <v>920.4</v>
      </c>
      <c r="L310">
        <v>917.96600000000001</v>
      </c>
      <c r="M310" s="233" t="s">
        <v>532</v>
      </c>
      <c r="N310" s="233" t="s">
        <v>533</v>
      </c>
      <c r="O310" s="3" t="s">
        <v>811</v>
      </c>
      <c r="BM310" s="127"/>
      <c r="BN310" s="127"/>
      <c r="BO310" s="127"/>
      <c r="BP310" s="127"/>
      <c r="BQ310" s="127"/>
      <c r="BR310" s="127"/>
      <c r="BS310" s="127"/>
      <c r="BT310" s="127"/>
      <c r="BU310" s="127"/>
      <c r="BV310" s="127"/>
      <c r="BW310" s="127"/>
      <c r="BX310" s="127"/>
      <c r="BY310" s="127"/>
      <c r="BZ310" s="127"/>
      <c r="CA310" s="127"/>
      <c r="ER310" s="127"/>
      <c r="ES310" s="127"/>
      <c r="ET310" s="127"/>
      <c r="EU310" s="127"/>
      <c r="EV310" s="127"/>
      <c r="EW310" s="127"/>
      <c r="EX310" s="127"/>
      <c r="EY310" s="127"/>
      <c r="EZ310" s="127"/>
      <c r="FA310" s="127"/>
      <c r="FB310" s="127"/>
      <c r="FC310" s="127"/>
      <c r="FD310" s="127"/>
      <c r="FE310" s="127"/>
      <c r="FF310" s="127"/>
      <c r="HW310" s="127"/>
      <c r="HX310" s="127"/>
      <c r="HY310" s="127"/>
      <c r="HZ310" s="127"/>
      <c r="IA310" s="127"/>
      <c r="IB310" s="127"/>
      <c r="IC310" s="127"/>
      <c r="ID310" s="127"/>
      <c r="IE310" s="127"/>
      <c r="IF310" s="127"/>
      <c r="IG310" s="127"/>
      <c r="IH310" s="127"/>
      <c r="II310" s="127"/>
      <c r="IJ310" s="127"/>
      <c r="IK310" s="127"/>
      <c r="LB310" s="127"/>
      <c r="LC310" s="127"/>
      <c r="LD310" s="127"/>
      <c r="LE310" s="127"/>
      <c r="LF310" s="127"/>
      <c r="LG310" s="127"/>
      <c r="LH310" s="127"/>
      <c r="LI310" s="127"/>
      <c r="LJ310" s="127"/>
      <c r="LK310" s="127"/>
      <c r="LL310" s="127"/>
      <c r="LM310" s="127"/>
      <c r="LN310" s="127"/>
      <c r="LO310" s="127"/>
      <c r="LP310" s="127"/>
      <c r="OG310" s="127"/>
      <c r="OH310" s="127"/>
      <c r="OI310" s="127"/>
      <c r="OJ310" s="127"/>
      <c r="OK310" s="127"/>
      <c r="OL310" s="127"/>
      <c r="OM310" s="127"/>
      <c r="ON310" s="127"/>
      <c r="OO310" s="127"/>
      <c r="OP310" s="127"/>
      <c r="OQ310" s="127"/>
      <c r="OR310" s="127"/>
      <c r="OS310" s="127"/>
      <c r="OT310" s="127"/>
      <c r="OU310" s="127"/>
    </row>
    <row r="311" spans="1:411">
      <c r="A311">
        <v>89</v>
      </c>
      <c r="B311">
        <v>518</v>
      </c>
      <c r="C311" t="s">
        <v>72</v>
      </c>
      <c r="D311" t="s">
        <v>224</v>
      </c>
      <c r="E311" s="232" t="s">
        <v>8190</v>
      </c>
      <c r="F311" t="s">
        <v>71</v>
      </c>
      <c r="G311">
        <v>2</v>
      </c>
      <c r="H311">
        <v>926.21600000000001</v>
      </c>
      <c r="I311">
        <v>923.91200000000003</v>
      </c>
      <c r="J311">
        <v>922.04600000000005</v>
      </c>
      <c r="K311">
        <v>920.4</v>
      </c>
      <c r="L311">
        <v>917.96600000000001</v>
      </c>
      <c r="M311" s="233" t="s">
        <v>532</v>
      </c>
      <c r="N311" s="233" t="s">
        <v>533</v>
      </c>
      <c r="O311" s="3" t="s">
        <v>812</v>
      </c>
      <c r="BM311" s="127"/>
      <c r="BN311" s="127"/>
      <c r="BO311" s="127"/>
      <c r="BP311" s="127"/>
      <c r="BQ311" s="127"/>
      <c r="BR311" s="127"/>
      <c r="BS311" s="127"/>
      <c r="BT311" s="127"/>
      <c r="BU311" s="127"/>
      <c r="BV311" s="127"/>
      <c r="BW311" s="127"/>
      <c r="BX311" s="127"/>
      <c r="BY311" s="127"/>
      <c r="BZ311" s="127"/>
      <c r="CA311" s="127"/>
      <c r="ER311" s="127"/>
      <c r="ES311" s="127"/>
      <c r="ET311" s="127"/>
      <c r="EU311" s="127"/>
      <c r="EV311" s="127"/>
      <c r="EW311" s="127"/>
      <c r="EX311" s="127"/>
      <c r="EY311" s="127"/>
      <c r="EZ311" s="127"/>
      <c r="FA311" s="127"/>
      <c r="FB311" s="127"/>
      <c r="FC311" s="127"/>
      <c r="FD311" s="127"/>
      <c r="FE311" s="127"/>
      <c r="FF311" s="127"/>
      <c r="HW311" s="127"/>
      <c r="HX311" s="127"/>
      <c r="HY311" s="127"/>
      <c r="HZ311" s="127"/>
      <c r="IA311" s="127"/>
      <c r="IB311" s="127"/>
      <c r="IC311" s="127"/>
      <c r="ID311" s="127"/>
      <c r="IE311" s="127"/>
      <c r="IF311" s="127"/>
      <c r="IG311" s="127"/>
      <c r="IH311" s="127"/>
      <c r="II311" s="127"/>
      <c r="IJ311" s="127"/>
      <c r="IK311" s="127"/>
      <c r="LB311" s="127"/>
      <c r="LC311" s="127"/>
      <c r="LD311" s="127"/>
      <c r="LE311" s="127"/>
      <c r="LF311" s="127"/>
      <c r="LG311" s="127"/>
      <c r="LH311" s="127"/>
      <c r="LI311" s="127"/>
      <c r="LJ311" s="127"/>
      <c r="LK311" s="127"/>
      <c r="LL311" s="127"/>
      <c r="LM311" s="127"/>
      <c r="LN311" s="127"/>
      <c r="LO311" s="127"/>
      <c r="LP311" s="127"/>
      <c r="OG311" s="127"/>
      <c r="OH311" s="127"/>
      <c r="OI311" s="127"/>
      <c r="OJ311" s="127"/>
      <c r="OK311" s="127"/>
      <c r="OL311" s="127"/>
      <c r="OM311" s="127"/>
      <c r="ON311" s="127"/>
      <c r="OO311" s="127"/>
      <c r="OP311" s="127"/>
      <c r="OQ311" s="127"/>
      <c r="OR311" s="127"/>
      <c r="OS311" s="127"/>
      <c r="OT311" s="127"/>
      <c r="OU311" s="127"/>
    </row>
    <row r="312" spans="1:411">
      <c r="A312">
        <v>89</v>
      </c>
      <c r="B312">
        <v>513</v>
      </c>
      <c r="C312" t="s">
        <v>72</v>
      </c>
      <c r="D312" t="s">
        <v>224</v>
      </c>
      <c r="E312" s="232" t="s">
        <v>501</v>
      </c>
      <c r="F312" t="s">
        <v>71</v>
      </c>
      <c r="G312">
        <v>2</v>
      </c>
      <c r="H312">
        <v>925.28899999999999</v>
      </c>
      <c r="I312">
        <v>923.06700000000001</v>
      </c>
      <c r="J312">
        <v>920.96100000000001</v>
      </c>
      <c r="K312">
        <v>919.77300000000002</v>
      </c>
      <c r="L312">
        <v>917.16499999999996</v>
      </c>
      <c r="M312" s="233" t="s">
        <v>532</v>
      </c>
      <c r="N312" s="233" t="s">
        <v>533</v>
      </c>
      <c r="O312" s="3" t="s">
        <v>813</v>
      </c>
      <c r="BM312" s="127"/>
      <c r="BN312" s="127"/>
      <c r="BO312" s="127"/>
      <c r="BP312" s="127"/>
      <c r="BQ312" s="127"/>
      <c r="BR312" s="127"/>
      <c r="BS312" s="127"/>
      <c r="BT312" s="127"/>
      <c r="BU312" s="127"/>
      <c r="BV312" s="127"/>
      <c r="BW312" s="127"/>
      <c r="BX312" s="127"/>
      <c r="BY312" s="127"/>
      <c r="BZ312" s="127"/>
      <c r="CA312" s="127"/>
      <c r="ER312" s="127"/>
      <c r="ES312" s="127"/>
      <c r="ET312" s="127"/>
      <c r="EU312" s="127"/>
      <c r="EV312" s="127"/>
      <c r="EW312" s="127"/>
      <c r="EX312" s="127"/>
      <c r="EY312" s="127"/>
      <c r="EZ312" s="127"/>
      <c r="FA312" s="127"/>
      <c r="FB312" s="127"/>
      <c r="FC312" s="127"/>
      <c r="FD312" s="127"/>
      <c r="FE312" s="127"/>
      <c r="FF312" s="127"/>
      <c r="HW312" s="127"/>
      <c r="HX312" s="127"/>
      <c r="HY312" s="127"/>
      <c r="HZ312" s="127"/>
      <c r="IA312" s="127"/>
      <c r="IB312" s="127"/>
      <c r="IC312" s="127"/>
      <c r="ID312" s="127"/>
      <c r="IE312" s="127"/>
      <c r="IF312" s="127"/>
      <c r="IG312" s="127"/>
      <c r="IH312" s="127"/>
      <c r="II312" s="127"/>
      <c r="IJ312" s="127"/>
      <c r="IK312" s="127"/>
      <c r="LB312" s="127"/>
      <c r="LC312" s="127"/>
      <c r="LD312" s="127"/>
      <c r="LE312" s="127"/>
      <c r="LF312" s="127"/>
      <c r="LG312" s="127"/>
      <c r="LH312" s="127"/>
      <c r="LI312" s="127"/>
      <c r="LJ312" s="127"/>
      <c r="LK312" s="127"/>
      <c r="LL312" s="127"/>
      <c r="LM312" s="127"/>
      <c r="LN312" s="127"/>
      <c r="LO312" s="127"/>
      <c r="LP312" s="127"/>
      <c r="OG312" s="127"/>
      <c r="OH312" s="127"/>
      <c r="OI312" s="127"/>
      <c r="OJ312" s="127"/>
      <c r="OK312" s="127"/>
      <c r="OL312" s="127"/>
      <c r="OM312" s="127"/>
      <c r="ON312" s="127"/>
      <c r="OO312" s="127"/>
      <c r="OP312" s="127"/>
      <c r="OQ312" s="127"/>
      <c r="OR312" s="127"/>
      <c r="OS312" s="127"/>
      <c r="OT312" s="127"/>
      <c r="OU312" s="127"/>
    </row>
    <row r="313" spans="1:411">
      <c r="A313">
        <v>89</v>
      </c>
      <c r="B313">
        <v>516</v>
      </c>
      <c r="C313" t="s">
        <v>72</v>
      </c>
      <c r="D313" t="s">
        <v>224</v>
      </c>
      <c r="E313" s="232" t="s">
        <v>9657</v>
      </c>
      <c r="F313" t="s">
        <v>71</v>
      </c>
      <c r="G313">
        <v>2</v>
      </c>
      <c r="H313">
        <v>924.08900000000006</v>
      </c>
      <c r="I313">
        <v>921.76400000000001</v>
      </c>
      <c r="J313">
        <v>919.91399999999999</v>
      </c>
      <c r="K313">
        <v>918.803</v>
      </c>
      <c r="L313">
        <v>916.03499999999997</v>
      </c>
      <c r="M313" s="233" t="s">
        <v>532</v>
      </c>
      <c r="N313" s="233" t="s">
        <v>533</v>
      </c>
      <c r="O313" s="3" t="s">
        <v>814</v>
      </c>
      <c r="BM313" s="127"/>
      <c r="BN313" s="127"/>
      <c r="BO313" s="127"/>
      <c r="BP313" s="127"/>
      <c r="BQ313" s="127"/>
      <c r="BR313" s="127"/>
      <c r="BS313" s="127"/>
      <c r="BT313" s="127"/>
      <c r="BU313" s="127"/>
      <c r="BV313" s="127"/>
      <c r="BW313" s="127"/>
      <c r="BX313" s="127"/>
      <c r="BY313" s="127"/>
      <c r="BZ313" s="127"/>
      <c r="CA313" s="127"/>
      <c r="ER313" s="127"/>
      <c r="ES313" s="127"/>
      <c r="ET313" s="127"/>
      <c r="EU313" s="127"/>
      <c r="EV313" s="127"/>
      <c r="EW313" s="127"/>
      <c r="EX313" s="127"/>
      <c r="EY313" s="127"/>
      <c r="EZ313" s="127"/>
      <c r="FA313" s="127"/>
      <c r="FB313" s="127"/>
      <c r="FC313" s="127"/>
      <c r="FD313" s="127"/>
      <c r="FE313" s="127"/>
      <c r="FF313" s="127"/>
      <c r="HW313" s="127"/>
      <c r="HX313" s="127"/>
      <c r="HY313" s="127"/>
      <c r="HZ313" s="127"/>
      <c r="IA313" s="127"/>
      <c r="IB313" s="127"/>
      <c r="IC313" s="127"/>
      <c r="ID313" s="127"/>
      <c r="IE313" s="127"/>
      <c r="IF313" s="127"/>
      <c r="IG313" s="127"/>
      <c r="IH313" s="127"/>
      <c r="II313" s="127"/>
      <c r="IJ313" s="127"/>
      <c r="IK313" s="127"/>
      <c r="LB313" s="127"/>
      <c r="LC313" s="127"/>
      <c r="LD313" s="127"/>
      <c r="LE313" s="127"/>
      <c r="LF313" s="127"/>
      <c r="LG313" s="127"/>
      <c r="LH313" s="127"/>
      <c r="LI313" s="127"/>
      <c r="LJ313" s="127"/>
      <c r="LK313" s="127"/>
      <c r="LL313" s="127"/>
      <c r="LM313" s="127"/>
      <c r="LN313" s="127"/>
      <c r="LO313" s="127"/>
      <c r="LP313" s="127"/>
      <c r="OG313" s="127"/>
      <c r="OH313" s="127"/>
      <c r="OI313" s="127"/>
      <c r="OJ313" s="127"/>
      <c r="OK313" s="127"/>
      <c r="OL313" s="127"/>
      <c r="OM313" s="127"/>
      <c r="ON313" s="127"/>
      <c r="OO313" s="127"/>
      <c r="OP313" s="127"/>
      <c r="OQ313" s="127"/>
      <c r="OR313" s="127"/>
      <c r="OS313" s="127"/>
      <c r="OT313" s="127"/>
      <c r="OU313" s="127"/>
    </row>
    <row r="314" spans="1:411">
      <c r="A314">
        <v>89</v>
      </c>
      <c r="B314">
        <v>515</v>
      </c>
      <c r="C314" t="s">
        <v>72</v>
      </c>
      <c r="D314" t="s">
        <v>224</v>
      </c>
      <c r="E314" s="232" t="s">
        <v>9017</v>
      </c>
      <c r="F314" t="s">
        <v>71</v>
      </c>
      <c r="G314">
        <v>2</v>
      </c>
      <c r="H314">
        <v>920.96100000000001</v>
      </c>
      <c r="I314">
        <v>919.91399999999999</v>
      </c>
      <c r="J314">
        <v>919.09799999999996</v>
      </c>
      <c r="K314">
        <v>917.89099999999996</v>
      </c>
      <c r="L314">
        <v>915.46600000000001</v>
      </c>
      <c r="M314" s="233" t="s">
        <v>532</v>
      </c>
      <c r="N314" s="233" t="s">
        <v>533</v>
      </c>
      <c r="O314" s="3" t="s">
        <v>815</v>
      </c>
      <c r="BM314" s="127"/>
      <c r="BN314" s="127"/>
      <c r="BO314" s="127"/>
      <c r="BP314" s="127"/>
      <c r="BQ314" s="127"/>
      <c r="BR314" s="127"/>
      <c r="BS314" s="127"/>
      <c r="BT314" s="127"/>
      <c r="BU314" s="127"/>
      <c r="BV314" s="127"/>
      <c r="BW314" s="127"/>
      <c r="BX314" s="127"/>
      <c r="BY314" s="127"/>
      <c r="BZ314" s="127"/>
      <c r="CA314" s="127"/>
      <c r="ER314" s="127"/>
      <c r="ES314" s="127"/>
      <c r="ET314" s="127"/>
      <c r="EU314" s="127"/>
      <c r="EV314" s="127"/>
      <c r="EW314" s="127"/>
      <c r="EX314" s="127"/>
      <c r="EY314" s="127"/>
      <c r="EZ314" s="127"/>
      <c r="FA314" s="127"/>
      <c r="FB314" s="127"/>
      <c r="FC314" s="127"/>
      <c r="FD314" s="127"/>
      <c r="FE314" s="127"/>
      <c r="FF314" s="127"/>
      <c r="HW314" s="127"/>
      <c r="HX314" s="127"/>
      <c r="HY314" s="127"/>
      <c r="HZ314" s="127"/>
      <c r="IA314" s="127"/>
      <c r="IB314" s="127"/>
      <c r="IC314" s="127"/>
      <c r="ID314" s="127"/>
      <c r="IE314" s="127"/>
      <c r="IF314" s="127"/>
      <c r="IG314" s="127"/>
      <c r="IH314" s="127"/>
      <c r="II314" s="127"/>
      <c r="IJ314" s="127"/>
      <c r="IK314" s="127"/>
      <c r="LB314" s="127"/>
      <c r="LC314" s="127"/>
      <c r="LD314" s="127"/>
      <c r="LE314" s="127"/>
      <c r="LF314" s="127"/>
      <c r="LG314" s="127"/>
      <c r="LH314" s="127"/>
      <c r="LI314" s="127"/>
      <c r="LJ314" s="127"/>
      <c r="LK314" s="127"/>
      <c r="LL314" s="127"/>
      <c r="LM314" s="127"/>
      <c r="LN314" s="127"/>
      <c r="LO314" s="127"/>
      <c r="LP314" s="127"/>
      <c r="OG314" s="127"/>
      <c r="OH314" s="127"/>
      <c r="OI314" s="127"/>
      <c r="OJ314" s="127"/>
      <c r="OK314" s="127"/>
      <c r="OL314" s="127"/>
      <c r="OM314" s="127"/>
      <c r="ON314" s="127"/>
      <c r="OO314" s="127"/>
      <c r="OP314" s="127"/>
      <c r="OQ314" s="127"/>
      <c r="OR314" s="127"/>
      <c r="OS314" s="127"/>
      <c r="OT314" s="127"/>
      <c r="OU314" s="127"/>
    </row>
    <row r="315" spans="1:411">
      <c r="A315">
        <v>40</v>
      </c>
      <c r="B315">
        <v>526</v>
      </c>
      <c r="C315" t="s">
        <v>72</v>
      </c>
      <c r="D315" t="s">
        <v>9336</v>
      </c>
      <c r="E315" s="232" t="s">
        <v>11483</v>
      </c>
      <c r="F315" t="s">
        <v>70</v>
      </c>
      <c r="G315">
        <v>2</v>
      </c>
      <c r="H315">
        <v>625.47</v>
      </c>
      <c r="I315">
        <v>623.59500000000003</v>
      </c>
      <c r="J315">
        <v>621.64800000000002</v>
      </c>
      <c r="K315">
        <v>619.18200000000002</v>
      </c>
      <c r="L315">
        <v>611.92499999999995</v>
      </c>
      <c r="M315" s="233" t="s">
        <v>532</v>
      </c>
      <c r="N315" s="233" t="s">
        <v>533</v>
      </c>
      <c r="O315" s="3" t="s">
        <v>816</v>
      </c>
      <c r="BM315" s="127"/>
      <c r="BN315" s="127"/>
      <c r="BO315" s="127"/>
      <c r="BP315" s="127"/>
      <c r="BQ315" s="127"/>
      <c r="BR315" s="127"/>
      <c r="BS315" s="127"/>
      <c r="BT315" s="127"/>
      <c r="BU315" s="127"/>
      <c r="BV315" s="127"/>
      <c r="BW315" s="127"/>
      <c r="BX315" s="127"/>
      <c r="BY315" s="127"/>
      <c r="BZ315" s="127"/>
      <c r="CA315" s="127"/>
      <c r="ER315" s="127"/>
      <c r="ES315" s="127"/>
      <c r="ET315" s="127"/>
      <c r="EU315" s="127"/>
      <c r="EV315" s="127"/>
      <c r="EW315" s="127"/>
      <c r="EX315" s="127"/>
      <c r="EY315" s="127"/>
      <c r="EZ315" s="127"/>
      <c r="FA315" s="127"/>
      <c r="FB315" s="127"/>
      <c r="FC315" s="127"/>
      <c r="FD315" s="127"/>
      <c r="FE315" s="127"/>
      <c r="FF315" s="127"/>
      <c r="HW315" s="127"/>
      <c r="HX315" s="127"/>
      <c r="HY315" s="127"/>
      <c r="HZ315" s="127"/>
      <c r="IA315" s="127"/>
      <c r="IB315" s="127"/>
      <c r="IC315" s="127"/>
      <c r="ID315" s="127"/>
      <c r="IE315" s="127"/>
      <c r="IF315" s="127"/>
      <c r="IG315" s="127"/>
      <c r="IH315" s="127"/>
      <c r="II315" s="127"/>
      <c r="IJ315" s="127"/>
      <c r="IK315" s="127"/>
      <c r="LB315" s="127"/>
      <c r="LC315" s="127"/>
      <c r="LD315" s="127"/>
      <c r="LE315" s="127"/>
      <c r="LF315" s="127"/>
      <c r="LG315" s="127"/>
      <c r="LH315" s="127"/>
      <c r="LI315" s="127"/>
      <c r="LJ315" s="127"/>
      <c r="LK315" s="127"/>
      <c r="LL315" s="127"/>
      <c r="LM315" s="127"/>
      <c r="LN315" s="127"/>
      <c r="LO315" s="127"/>
      <c r="LP315" s="127"/>
      <c r="OG315" s="127"/>
      <c r="OH315" s="127"/>
      <c r="OI315" s="127"/>
      <c r="OJ315" s="127"/>
      <c r="OK315" s="127"/>
      <c r="OL315" s="127"/>
      <c r="OM315" s="127"/>
      <c r="ON315" s="127"/>
      <c r="OO315" s="127"/>
      <c r="OP315" s="127"/>
      <c r="OQ315" s="127"/>
      <c r="OR315" s="127"/>
      <c r="OS315" s="127"/>
      <c r="OT315" s="127"/>
      <c r="OU315" s="127"/>
    </row>
    <row r="316" spans="1:411">
      <c r="A316">
        <v>40</v>
      </c>
      <c r="B316">
        <v>523</v>
      </c>
      <c r="C316" t="s">
        <v>72</v>
      </c>
      <c r="D316" t="s">
        <v>9336</v>
      </c>
      <c r="E316" s="232" t="s">
        <v>11563</v>
      </c>
      <c r="F316" t="s">
        <v>70</v>
      </c>
      <c r="G316">
        <v>2</v>
      </c>
      <c r="H316">
        <v>624.78800000000001</v>
      </c>
      <c r="I316">
        <v>622.80999999999995</v>
      </c>
      <c r="J316">
        <v>620.96799999999996</v>
      </c>
      <c r="K316">
        <v>618.70299999999997</v>
      </c>
      <c r="L316">
        <v>614.83100000000002</v>
      </c>
      <c r="M316" s="233" t="s">
        <v>532</v>
      </c>
      <c r="N316" s="233" t="s">
        <v>533</v>
      </c>
      <c r="O316" s="3" t="s">
        <v>817</v>
      </c>
      <c r="BM316" s="127"/>
      <c r="BN316" s="127"/>
      <c r="BO316" s="127"/>
      <c r="BP316" s="127"/>
      <c r="BQ316" s="127"/>
      <c r="BR316" s="127"/>
      <c r="BS316" s="127"/>
      <c r="BT316" s="127"/>
      <c r="BU316" s="127"/>
      <c r="BV316" s="127"/>
      <c r="BW316" s="127"/>
      <c r="BX316" s="127"/>
      <c r="BY316" s="127"/>
      <c r="BZ316" s="127"/>
      <c r="CA316" s="127"/>
      <c r="ER316" s="127"/>
      <c r="ES316" s="127"/>
      <c r="ET316" s="127"/>
      <c r="EU316" s="127"/>
      <c r="EV316" s="127"/>
      <c r="EW316" s="127"/>
      <c r="EX316" s="127"/>
      <c r="EY316" s="127"/>
      <c r="EZ316" s="127"/>
      <c r="FA316" s="127"/>
      <c r="FB316" s="127"/>
      <c r="FC316" s="127"/>
      <c r="FD316" s="127"/>
      <c r="FE316" s="127"/>
      <c r="FF316" s="127"/>
      <c r="HW316" s="127"/>
      <c r="HX316" s="127"/>
      <c r="HY316" s="127"/>
      <c r="HZ316" s="127"/>
      <c r="IA316" s="127"/>
      <c r="IB316" s="127"/>
      <c r="IC316" s="127"/>
      <c r="ID316" s="127"/>
      <c r="IE316" s="127"/>
      <c r="IF316" s="127"/>
      <c r="IG316" s="127"/>
      <c r="IH316" s="127"/>
      <c r="II316" s="127"/>
      <c r="IJ316" s="127"/>
      <c r="IK316" s="127"/>
      <c r="LB316" s="127"/>
      <c r="LC316" s="127"/>
      <c r="LD316" s="127"/>
      <c r="LE316" s="127"/>
      <c r="LF316" s="127"/>
      <c r="LG316" s="127"/>
      <c r="LH316" s="127"/>
      <c r="LI316" s="127"/>
      <c r="LJ316" s="127"/>
      <c r="LK316" s="127"/>
      <c r="LL316" s="127"/>
      <c r="LM316" s="127"/>
      <c r="LN316" s="127"/>
      <c r="LO316" s="127"/>
      <c r="LP316" s="127"/>
      <c r="OG316" s="127"/>
      <c r="OH316" s="127"/>
      <c r="OI316" s="127"/>
      <c r="OJ316" s="127"/>
      <c r="OK316" s="127"/>
      <c r="OL316" s="127"/>
      <c r="OM316" s="127"/>
      <c r="ON316" s="127"/>
      <c r="OO316" s="127"/>
      <c r="OP316" s="127"/>
      <c r="OQ316" s="127"/>
      <c r="OR316" s="127"/>
      <c r="OS316" s="127"/>
      <c r="OT316" s="127"/>
      <c r="OU316" s="127"/>
    </row>
    <row r="317" spans="1:411">
      <c r="A317">
        <v>40</v>
      </c>
      <c r="B317">
        <v>529</v>
      </c>
      <c r="C317" t="s">
        <v>72</v>
      </c>
      <c r="D317" t="s">
        <v>9336</v>
      </c>
      <c r="E317" s="232" t="s">
        <v>11611</v>
      </c>
      <c r="F317" t="s">
        <v>70</v>
      </c>
      <c r="G317">
        <v>2</v>
      </c>
      <c r="H317">
        <v>624.15800000000002</v>
      </c>
      <c r="I317">
        <v>622.30700000000002</v>
      </c>
      <c r="J317">
        <v>620.58399999999995</v>
      </c>
      <c r="K317">
        <v>618.24800000000005</v>
      </c>
      <c r="L317">
        <v>614.37199999999996</v>
      </c>
      <c r="M317" s="233" t="s">
        <v>532</v>
      </c>
      <c r="N317" s="233" t="s">
        <v>533</v>
      </c>
      <c r="O317" s="3" t="s">
        <v>818</v>
      </c>
      <c r="BM317" s="127"/>
      <c r="BN317" s="127"/>
      <c r="BO317" s="127"/>
      <c r="BP317" s="127"/>
      <c r="BQ317" s="127"/>
      <c r="BR317" s="127"/>
      <c r="BS317" s="127"/>
      <c r="BT317" s="127"/>
      <c r="BU317" s="127"/>
      <c r="BV317" s="127"/>
      <c r="BW317" s="127"/>
      <c r="BX317" s="127"/>
      <c r="BY317" s="127"/>
      <c r="BZ317" s="127"/>
      <c r="CA317" s="127"/>
      <c r="ER317" s="127"/>
      <c r="ES317" s="127"/>
      <c r="ET317" s="127"/>
      <c r="EU317" s="127"/>
      <c r="EV317" s="127"/>
      <c r="EW317" s="127"/>
      <c r="EX317" s="127"/>
      <c r="EY317" s="127"/>
      <c r="EZ317" s="127"/>
      <c r="FA317" s="127"/>
      <c r="FB317" s="127"/>
      <c r="FC317" s="127"/>
      <c r="FD317" s="127"/>
      <c r="FE317" s="127"/>
      <c r="FF317" s="127"/>
      <c r="HW317" s="127"/>
      <c r="HX317" s="127"/>
      <c r="HY317" s="127"/>
      <c r="HZ317" s="127"/>
      <c r="IA317" s="127"/>
      <c r="IB317" s="127"/>
      <c r="IC317" s="127"/>
      <c r="ID317" s="127"/>
      <c r="IE317" s="127"/>
      <c r="IF317" s="127"/>
      <c r="IG317" s="127"/>
      <c r="IH317" s="127"/>
      <c r="II317" s="127"/>
      <c r="IJ317" s="127"/>
      <c r="IK317" s="127"/>
      <c r="LB317" s="127"/>
      <c r="LC317" s="127"/>
      <c r="LD317" s="127"/>
      <c r="LE317" s="127"/>
      <c r="LF317" s="127"/>
      <c r="LG317" s="127"/>
      <c r="LH317" s="127"/>
      <c r="LI317" s="127"/>
      <c r="LJ317" s="127"/>
      <c r="LK317" s="127"/>
      <c r="LL317" s="127"/>
      <c r="LM317" s="127"/>
      <c r="LN317" s="127"/>
      <c r="LO317" s="127"/>
      <c r="LP317" s="127"/>
      <c r="OG317" s="127"/>
      <c r="OH317" s="127"/>
      <c r="OI317" s="127"/>
      <c r="OJ317" s="127"/>
      <c r="OK317" s="127"/>
      <c r="OL317" s="127"/>
      <c r="OM317" s="127"/>
      <c r="ON317" s="127"/>
      <c r="OO317" s="127"/>
      <c r="OP317" s="127"/>
      <c r="OQ317" s="127"/>
      <c r="OR317" s="127"/>
      <c r="OS317" s="127"/>
      <c r="OT317" s="127"/>
      <c r="OU317" s="127"/>
    </row>
    <row r="318" spans="1:411">
      <c r="A318">
        <v>40</v>
      </c>
      <c r="B318">
        <v>525</v>
      </c>
      <c r="C318" t="s">
        <v>72</v>
      </c>
      <c r="D318" t="s">
        <v>9336</v>
      </c>
      <c r="E318" s="232" t="s">
        <v>11958</v>
      </c>
      <c r="F318" t="s">
        <v>70</v>
      </c>
      <c r="G318">
        <v>2</v>
      </c>
      <c r="H318">
        <v>618.24800000000005</v>
      </c>
      <c r="I318">
        <v>616.43700000000001</v>
      </c>
      <c r="J318">
        <v>614.37199999999996</v>
      </c>
      <c r="K318">
        <v>612.28899999999999</v>
      </c>
      <c r="L318">
        <v>609.05200000000002</v>
      </c>
      <c r="M318" s="233" t="s">
        <v>532</v>
      </c>
      <c r="N318" s="233" t="s">
        <v>533</v>
      </c>
      <c r="O318" s="3" t="s">
        <v>819</v>
      </c>
      <c r="BM318" s="127"/>
      <c r="BN318" s="127"/>
      <c r="BO318" s="127"/>
      <c r="BP318" s="127"/>
      <c r="BQ318" s="127"/>
      <c r="BR318" s="127"/>
      <c r="BS318" s="127"/>
      <c r="BT318" s="127"/>
      <c r="BU318" s="127"/>
      <c r="BV318" s="127"/>
      <c r="BW318" s="127"/>
      <c r="BX318" s="127"/>
      <c r="BY318" s="127"/>
      <c r="BZ318" s="127"/>
      <c r="CA318" s="127"/>
      <c r="ER318" s="127"/>
      <c r="ES318" s="127"/>
      <c r="ET318" s="127"/>
      <c r="EU318" s="127"/>
      <c r="EV318" s="127"/>
      <c r="EW318" s="127"/>
      <c r="EX318" s="127"/>
      <c r="EY318" s="127"/>
      <c r="EZ318" s="127"/>
      <c r="FA318" s="127"/>
      <c r="FB318" s="127"/>
      <c r="FC318" s="127"/>
      <c r="FD318" s="127"/>
      <c r="FE318" s="127"/>
      <c r="FF318" s="127"/>
      <c r="HW318" s="127"/>
      <c r="HX318" s="127"/>
      <c r="HY318" s="127"/>
      <c r="HZ318" s="127"/>
      <c r="IA318" s="127"/>
      <c r="IB318" s="127"/>
      <c r="IC318" s="127"/>
      <c r="ID318" s="127"/>
      <c r="IE318" s="127"/>
      <c r="IF318" s="127"/>
      <c r="IG318" s="127"/>
      <c r="IH318" s="127"/>
      <c r="II318" s="127"/>
      <c r="IJ318" s="127"/>
      <c r="IK318" s="127"/>
      <c r="LB318" s="127"/>
      <c r="LC318" s="127"/>
      <c r="LD318" s="127"/>
      <c r="LE318" s="127"/>
      <c r="LF318" s="127"/>
      <c r="LG318" s="127"/>
      <c r="LH318" s="127"/>
      <c r="LI318" s="127"/>
      <c r="LJ318" s="127"/>
      <c r="LK318" s="127"/>
      <c r="LL318" s="127"/>
      <c r="LM318" s="127"/>
      <c r="LN318" s="127"/>
      <c r="LO318" s="127"/>
      <c r="LP318" s="127"/>
      <c r="OG318" s="127"/>
      <c r="OH318" s="127"/>
      <c r="OI318" s="127"/>
      <c r="OJ318" s="127"/>
      <c r="OK318" s="127"/>
      <c r="OL318" s="127"/>
      <c r="OM318" s="127"/>
      <c r="ON318" s="127"/>
      <c r="OO318" s="127"/>
      <c r="OP318" s="127"/>
      <c r="OQ318" s="127"/>
      <c r="OR318" s="127"/>
      <c r="OS318" s="127"/>
      <c r="OT318" s="127"/>
      <c r="OU318" s="127"/>
    </row>
    <row r="319" spans="1:411">
      <c r="A319">
        <v>39</v>
      </c>
      <c r="B319">
        <v>540</v>
      </c>
      <c r="C319" t="s">
        <v>72</v>
      </c>
      <c r="D319" t="s">
        <v>9336</v>
      </c>
      <c r="E319" s="232" t="s">
        <v>9419</v>
      </c>
      <c r="F319" t="s">
        <v>71</v>
      </c>
      <c r="G319">
        <v>2</v>
      </c>
      <c r="H319">
        <v>652.91999999999996</v>
      </c>
      <c r="I319">
        <v>652.44500000000005</v>
      </c>
      <c r="J319">
        <v>650.798</v>
      </c>
      <c r="K319">
        <v>648.95399999999995</v>
      </c>
      <c r="L319">
        <v>647.22299999999996</v>
      </c>
      <c r="M319" s="233" t="s">
        <v>532</v>
      </c>
      <c r="N319" s="233" t="s">
        <v>533</v>
      </c>
      <c r="O319" s="3" t="s">
        <v>820</v>
      </c>
      <c r="BM319" s="127"/>
      <c r="BN319" s="127"/>
      <c r="BO319" s="127"/>
      <c r="BP319" s="127"/>
      <c r="BQ319" s="127"/>
      <c r="BR319" s="127"/>
      <c r="BS319" s="127"/>
      <c r="BT319" s="127"/>
      <c r="BU319" s="127"/>
      <c r="BV319" s="127"/>
      <c r="BW319" s="127"/>
      <c r="BX319" s="127"/>
      <c r="BY319" s="127"/>
      <c r="BZ319" s="127"/>
      <c r="CA319" s="127"/>
      <c r="ER319" s="127"/>
      <c r="ES319" s="127"/>
      <c r="ET319" s="127"/>
      <c r="EU319" s="127"/>
      <c r="EV319" s="127"/>
      <c r="EW319" s="127"/>
      <c r="EX319" s="127"/>
      <c r="EY319" s="127"/>
      <c r="EZ319" s="127"/>
      <c r="FA319" s="127"/>
      <c r="FB319" s="127"/>
      <c r="FC319" s="127"/>
      <c r="FD319" s="127"/>
      <c r="FE319" s="127"/>
      <c r="FF319" s="127"/>
      <c r="HW319" s="127"/>
      <c r="HX319" s="127"/>
      <c r="HY319" s="127"/>
      <c r="HZ319" s="127"/>
      <c r="IA319" s="127"/>
      <c r="IB319" s="127"/>
      <c r="IC319" s="127"/>
      <c r="ID319" s="127"/>
      <c r="IE319" s="127"/>
      <c r="IF319" s="127"/>
      <c r="IG319" s="127"/>
      <c r="IH319" s="127"/>
      <c r="II319" s="127"/>
      <c r="IJ319" s="127"/>
      <c r="IK319" s="127"/>
      <c r="LB319" s="127"/>
      <c r="LC319" s="127"/>
      <c r="LD319" s="127"/>
      <c r="LE319" s="127"/>
      <c r="LF319" s="127"/>
      <c r="LG319" s="127"/>
      <c r="LH319" s="127"/>
      <c r="LI319" s="127"/>
      <c r="LJ319" s="127"/>
      <c r="LK319" s="127"/>
      <c r="LL319" s="127"/>
      <c r="LM319" s="127"/>
      <c r="LN319" s="127"/>
      <c r="LO319" s="127"/>
      <c r="LP319" s="127"/>
      <c r="OG319" s="127"/>
      <c r="OH319" s="127"/>
      <c r="OI319" s="127"/>
      <c r="OJ319" s="127"/>
      <c r="OK319" s="127"/>
      <c r="OL319" s="127"/>
      <c r="OM319" s="127"/>
      <c r="ON319" s="127"/>
      <c r="OO319" s="127"/>
      <c r="OP319" s="127"/>
      <c r="OQ319" s="127"/>
      <c r="OR319" s="127"/>
      <c r="OS319" s="127"/>
      <c r="OT319" s="127"/>
      <c r="OU319" s="127"/>
    </row>
    <row r="320" spans="1:411">
      <c r="A320">
        <v>39</v>
      </c>
      <c r="B320">
        <v>576</v>
      </c>
      <c r="C320" t="s">
        <v>72</v>
      </c>
      <c r="D320" t="s">
        <v>9336</v>
      </c>
      <c r="E320" s="232" t="s">
        <v>9625</v>
      </c>
      <c r="F320" t="s">
        <v>71</v>
      </c>
      <c r="G320">
        <v>2</v>
      </c>
      <c r="H320">
        <v>652.91999999999996</v>
      </c>
      <c r="I320">
        <v>651.15499999999997</v>
      </c>
      <c r="J320">
        <v>649.35599999999999</v>
      </c>
      <c r="K320">
        <v>647.85</v>
      </c>
      <c r="L320">
        <v>646.16200000000003</v>
      </c>
      <c r="M320" s="233" t="s">
        <v>532</v>
      </c>
      <c r="N320" s="233" t="s">
        <v>533</v>
      </c>
      <c r="O320" s="3" t="s">
        <v>821</v>
      </c>
      <c r="BM320" s="127"/>
      <c r="BN320" s="127"/>
      <c r="BO320" s="127"/>
      <c r="BP320" s="127"/>
      <c r="BQ320" s="127"/>
      <c r="BR320" s="127"/>
      <c r="BS320" s="127"/>
      <c r="BT320" s="127"/>
      <c r="BU320" s="127"/>
      <c r="BV320" s="127"/>
      <c r="BW320" s="127"/>
      <c r="BX320" s="127"/>
      <c r="BY320" s="127"/>
      <c r="BZ320" s="127"/>
      <c r="CA320" s="127"/>
      <c r="ER320" s="127"/>
      <c r="ES320" s="127"/>
      <c r="ET320" s="127"/>
      <c r="EU320" s="127"/>
      <c r="EV320" s="127"/>
      <c r="EW320" s="127"/>
      <c r="EX320" s="127"/>
      <c r="EY320" s="127"/>
      <c r="EZ320" s="127"/>
      <c r="FA320" s="127"/>
      <c r="FB320" s="127"/>
      <c r="FC320" s="127"/>
      <c r="FD320" s="127"/>
      <c r="FE320" s="127"/>
      <c r="FF320" s="127"/>
      <c r="HW320" s="127"/>
      <c r="HX320" s="127"/>
      <c r="HY320" s="127"/>
      <c r="HZ320" s="127"/>
      <c r="IA320" s="127"/>
      <c r="IB320" s="127"/>
      <c r="IC320" s="127"/>
      <c r="ID320" s="127"/>
      <c r="IE320" s="127"/>
      <c r="IF320" s="127"/>
      <c r="IG320" s="127"/>
      <c r="IH320" s="127"/>
      <c r="II320" s="127"/>
      <c r="IJ320" s="127"/>
      <c r="IK320" s="127"/>
      <c r="LB320" s="127"/>
      <c r="LC320" s="127"/>
      <c r="LD320" s="127"/>
      <c r="LE320" s="127"/>
      <c r="LF320" s="127"/>
      <c r="LG320" s="127"/>
      <c r="LH320" s="127"/>
      <c r="LI320" s="127"/>
      <c r="LJ320" s="127"/>
      <c r="LK320" s="127"/>
      <c r="LL320" s="127"/>
      <c r="LM320" s="127"/>
      <c r="LN320" s="127"/>
      <c r="LO320" s="127"/>
      <c r="LP320" s="127"/>
      <c r="OG320" s="127"/>
      <c r="OH320" s="127"/>
      <c r="OI320" s="127"/>
      <c r="OJ320" s="127"/>
      <c r="OK320" s="127"/>
      <c r="OL320" s="127"/>
      <c r="OM320" s="127"/>
      <c r="ON320" s="127"/>
      <c r="OO320" s="127"/>
      <c r="OP320" s="127"/>
      <c r="OQ320" s="127"/>
      <c r="OR320" s="127"/>
      <c r="OS320" s="127"/>
      <c r="OT320" s="127"/>
      <c r="OU320" s="127"/>
    </row>
    <row r="321" spans="1:411">
      <c r="A321">
        <v>39</v>
      </c>
      <c r="B321">
        <v>555</v>
      </c>
      <c r="C321" t="s">
        <v>72</v>
      </c>
      <c r="D321" t="s">
        <v>9336</v>
      </c>
      <c r="E321" s="232" t="s">
        <v>7365</v>
      </c>
      <c r="F321" t="s">
        <v>71</v>
      </c>
      <c r="G321">
        <v>2</v>
      </c>
      <c r="H321">
        <v>651.47400000000005</v>
      </c>
      <c r="I321">
        <v>649.90099999999995</v>
      </c>
      <c r="J321">
        <v>648.16300000000001</v>
      </c>
      <c r="K321">
        <v>642.23199999999997</v>
      </c>
      <c r="L321">
        <v>638.976</v>
      </c>
      <c r="M321" s="233" t="s">
        <v>532</v>
      </c>
      <c r="N321" s="233" t="s">
        <v>533</v>
      </c>
      <c r="O321" s="3" t="s">
        <v>822</v>
      </c>
      <c r="BM321" s="127"/>
      <c r="BN321" s="127"/>
      <c r="BO321" s="127"/>
      <c r="BP321" s="127"/>
      <c r="BQ321" s="127"/>
      <c r="BR321" s="127"/>
      <c r="BS321" s="127"/>
      <c r="BT321" s="127"/>
      <c r="BU321" s="127"/>
      <c r="BV321" s="127"/>
      <c r="BW321" s="127"/>
      <c r="BX321" s="127"/>
      <c r="BY321" s="127"/>
      <c r="BZ321" s="127"/>
      <c r="CA321" s="127"/>
      <c r="ER321" s="127"/>
      <c r="ES321" s="127"/>
      <c r="ET321" s="127"/>
      <c r="EU321" s="127"/>
      <c r="EV321" s="127"/>
      <c r="EW321" s="127"/>
      <c r="EX321" s="127"/>
      <c r="EY321" s="127"/>
      <c r="EZ321" s="127"/>
      <c r="FA321" s="127"/>
      <c r="FB321" s="127"/>
      <c r="FC321" s="127"/>
      <c r="FD321" s="127"/>
      <c r="FE321" s="127"/>
      <c r="FF321" s="127"/>
      <c r="HW321" s="127"/>
      <c r="HX321" s="127"/>
      <c r="HY321" s="127"/>
      <c r="HZ321" s="127"/>
      <c r="IA321" s="127"/>
      <c r="IB321" s="127"/>
      <c r="IC321" s="127"/>
      <c r="ID321" s="127"/>
      <c r="IE321" s="127"/>
      <c r="IF321" s="127"/>
      <c r="IG321" s="127"/>
      <c r="IH321" s="127"/>
      <c r="II321" s="127"/>
      <c r="IJ321" s="127"/>
      <c r="IK321" s="127"/>
      <c r="LB321" s="127"/>
      <c r="LC321" s="127"/>
      <c r="LD321" s="127"/>
      <c r="LE321" s="127"/>
      <c r="LF321" s="127"/>
      <c r="LG321" s="127"/>
      <c r="LH321" s="127"/>
      <c r="LI321" s="127"/>
      <c r="LJ321" s="127"/>
      <c r="LK321" s="127"/>
      <c r="LL321" s="127"/>
      <c r="LM321" s="127"/>
      <c r="LN321" s="127"/>
      <c r="LO321" s="127"/>
      <c r="LP321" s="127"/>
      <c r="OG321" s="127"/>
      <c r="OH321" s="127"/>
      <c r="OI321" s="127"/>
      <c r="OJ321" s="127"/>
      <c r="OK321" s="127"/>
      <c r="OL321" s="127"/>
      <c r="OM321" s="127"/>
      <c r="ON321" s="127"/>
      <c r="OO321" s="127"/>
      <c r="OP321" s="127"/>
      <c r="OQ321" s="127"/>
      <c r="OR321" s="127"/>
      <c r="OS321" s="127"/>
      <c r="OT321" s="127"/>
      <c r="OU321" s="127"/>
    </row>
    <row r="322" spans="1:411">
      <c r="A322">
        <v>38</v>
      </c>
      <c r="B322">
        <v>549</v>
      </c>
      <c r="C322" t="s">
        <v>72</v>
      </c>
      <c r="D322" t="s">
        <v>9336</v>
      </c>
      <c r="E322" s="232" t="s">
        <v>8216</v>
      </c>
      <c r="F322" t="s">
        <v>71</v>
      </c>
      <c r="G322">
        <v>2</v>
      </c>
      <c r="H322">
        <v>655.52</v>
      </c>
      <c r="I322">
        <v>653.06500000000005</v>
      </c>
      <c r="J322">
        <v>649.77300000000002</v>
      </c>
      <c r="K322">
        <v>647.52700000000004</v>
      </c>
      <c r="L322">
        <v>643.20399999999995</v>
      </c>
      <c r="M322" s="233" t="s">
        <v>532</v>
      </c>
      <c r="N322" s="233" t="s">
        <v>533</v>
      </c>
      <c r="O322" s="3" t="s">
        <v>823</v>
      </c>
      <c r="BM322" s="127"/>
      <c r="BN322" s="127"/>
      <c r="BO322" s="127"/>
      <c r="BP322" s="127"/>
      <c r="BQ322" s="127"/>
      <c r="BR322" s="127"/>
      <c r="BS322" s="127"/>
      <c r="BT322" s="127"/>
      <c r="BU322" s="127"/>
      <c r="BV322" s="127"/>
      <c r="BW322" s="127"/>
      <c r="BX322" s="127"/>
      <c r="BY322" s="127"/>
      <c r="BZ322" s="127"/>
      <c r="CA322" s="127"/>
      <c r="ER322" s="127"/>
      <c r="ES322" s="127"/>
      <c r="ET322" s="127"/>
      <c r="EU322" s="127"/>
      <c r="EV322" s="127"/>
      <c r="EW322" s="127"/>
      <c r="EX322" s="127"/>
      <c r="EY322" s="127"/>
      <c r="EZ322" s="127"/>
      <c r="FA322" s="127"/>
      <c r="FB322" s="127"/>
      <c r="FC322" s="127"/>
      <c r="FD322" s="127"/>
      <c r="FE322" s="127"/>
      <c r="FF322" s="127"/>
      <c r="HW322" s="127"/>
      <c r="HX322" s="127"/>
      <c r="HY322" s="127"/>
      <c r="HZ322" s="127"/>
      <c r="IA322" s="127"/>
      <c r="IB322" s="127"/>
      <c r="IC322" s="127"/>
      <c r="ID322" s="127"/>
      <c r="IE322" s="127"/>
      <c r="IF322" s="127"/>
      <c r="IG322" s="127"/>
      <c r="IH322" s="127"/>
      <c r="II322" s="127"/>
      <c r="IJ322" s="127"/>
      <c r="IK322" s="127"/>
      <c r="LB322" s="127"/>
      <c r="LC322" s="127"/>
      <c r="LD322" s="127"/>
      <c r="LE322" s="127"/>
      <c r="LF322" s="127"/>
      <c r="LG322" s="127"/>
      <c r="LH322" s="127"/>
      <c r="LI322" s="127"/>
      <c r="LJ322" s="127"/>
      <c r="LK322" s="127"/>
      <c r="LL322" s="127"/>
      <c r="LM322" s="127"/>
      <c r="LN322" s="127"/>
      <c r="LO322" s="127"/>
      <c r="LP322" s="127"/>
      <c r="OG322" s="127"/>
      <c r="OH322" s="127"/>
      <c r="OI322" s="127"/>
      <c r="OJ322" s="127"/>
      <c r="OK322" s="127"/>
      <c r="OL322" s="127"/>
      <c r="OM322" s="127"/>
      <c r="ON322" s="127"/>
      <c r="OO322" s="127"/>
      <c r="OP322" s="127"/>
      <c r="OQ322" s="127"/>
      <c r="OR322" s="127"/>
      <c r="OS322" s="127"/>
      <c r="OT322" s="127"/>
      <c r="OU322" s="127"/>
    </row>
    <row r="323" spans="1:411">
      <c r="A323">
        <v>39</v>
      </c>
      <c r="B323">
        <v>558</v>
      </c>
      <c r="C323" t="s">
        <v>72</v>
      </c>
      <c r="D323" t="s">
        <v>9336</v>
      </c>
      <c r="E323" s="232" t="s">
        <v>9738</v>
      </c>
      <c r="F323" t="s">
        <v>71</v>
      </c>
      <c r="G323">
        <v>2</v>
      </c>
      <c r="H323">
        <v>652.44500000000005</v>
      </c>
      <c r="I323">
        <v>649.46299999999997</v>
      </c>
      <c r="J323">
        <v>646.39800000000002</v>
      </c>
      <c r="K323">
        <v>644.13099999999997</v>
      </c>
      <c r="L323">
        <v>639.72900000000004</v>
      </c>
      <c r="M323" s="233" t="s">
        <v>532</v>
      </c>
      <c r="N323" s="233" t="s">
        <v>533</v>
      </c>
      <c r="O323" s="3" t="s">
        <v>824</v>
      </c>
      <c r="BM323" s="127"/>
      <c r="BN323" s="127"/>
      <c r="BO323" s="127"/>
      <c r="BP323" s="127"/>
      <c r="BQ323" s="127"/>
      <c r="BR323" s="127"/>
      <c r="BS323" s="127"/>
      <c r="BT323" s="127"/>
      <c r="BU323" s="127"/>
      <c r="BV323" s="127"/>
      <c r="BW323" s="127"/>
      <c r="BX323" s="127"/>
      <c r="BY323" s="127"/>
      <c r="BZ323" s="127"/>
      <c r="CA323" s="127"/>
      <c r="ER323" s="127"/>
      <c r="ES323" s="127"/>
      <c r="ET323" s="127"/>
      <c r="EU323" s="127"/>
      <c r="EV323" s="127"/>
      <c r="EW323" s="127"/>
      <c r="EX323" s="127"/>
      <c r="EY323" s="127"/>
      <c r="EZ323" s="127"/>
      <c r="FA323" s="127"/>
      <c r="FB323" s="127"/>
      <c r="FC323" s="127"/>
      <c r="FD323" s="127"/>
      <c r="FE323" s="127"/>
      <c r="FF323" s="127"/>
      <c r="HW323" s="127"/>
      <c r="HX323" s="127"/>
      <c r="HY323" s="127"/>
      <c r="HZ323" s="127"/>
      <c r="IA323" s="127"/>
      <c r="IB323" s="127"/>
      <c r="IC323" s="127"/>
      <c r="ID323" s="127"/>
      <c r="IE323" s="127"/>
      <c r="IF323" s="127"/>
      <c r="IG323" s="127"/>
      <c r="IH323" s="127"/>
      <c r="II323" s="127"/>
      <c r="IJ323" s="127"/>
      <c r="IK323" s="127"/>
      <c r="LB323" s="127"/>
      <c r="LC323" s="127"/>
      <c r="LD323" s="127"/>
      <c r="LE323" s="127"/>
      <c r="LF323" s="127"/>
      <c r="LG323" s="127"/>
      <c r="LH323" s="127"/>
      <c r="LI323" s="127"/>
      <c r="LJ323" s="127"/>
      <c r="LK323" s="127"/>
      <c r="LL323" s="127"/>
      <c r="LM323" s="127"/>
      <c r="LN323" s="127"/>
      <c r="LO323" s="127"/>
      <c r="LP323" s="127"/>
      <c r="OG323" s="127"/>
      <c r="OH323" s="127"/>
      <c r="OI323" s="127"/>
      <c r="OJ323" s="127"/>
      <c r="OK323" s="127"/>
      <c r="OL323" s="127"/>
      <c r="OM323" s="127"/>
      <c r="ON323" s="127"/>
      <c r="OO323" s="127"/>
      <c r="OP323" s="127"/>
      <c r="OQ323" s="127"/>
      <c r="OR323" s="127"/>
      <c r="OS323" s="127"/>
      <c r="OT323" s="127"/>
      <c r="OU323" s="127"/>
    </row>
    <row r="324" spans="1:411">
      <c r="A324">
        <v>38</v>
      </c>
      <c r="B324">
        <v>543</v>
      </c>
      <c r="C324" t="s">
        <v>72</v>
      </c>
      <c r="D324" t="s">
        <v>9336</v>
      </c>
      <c r="E324" s="232" t="s">
        <v>9826</v>
      </c>
      <c r="F324" t="s">
        <v>71</v>
      </c>
      <c r="G324">
        <v>2</v>
      </c>
      <c r="H324">
        <v>654.27099999999996</v>
      </c>
      <c r="I324">
        <v>651.73699999999997</v>
      </c>
      <c r="J324">
        <v>648.70899999999995</v>
      </c>
      <c r="K324">
        <v>646.18100000000004</v>
      </c>
      <c r="L324">
        <v>641.97400000000005</v>
      </c>
      <c r="M324" s="233" t="s">
        <v>532</v>
      </c>
      <c r="N324" s="233" t="s">
        <v>533</v>
      </c>
      <c r="O324" s="3" t="s">
        <v>825</v>
      </c>
      <c r="BM324" s="127"/>
      <c r="BN324" s="127"/>
      <c r="BO324" s="127"/>
      <c r="BP324" s="127"/>
      <c r="BQ324" s="127"/>
      <c r="BR324" s="127"/>
      <c r="BS324" s="127"/>
      <c r="BT324" s="127"/>
      <c r="BU324" s="127"/>
      <c r="BV324" s="127"/>
      <c r="BW324" s="127"/>
      <c r="BX324" s="127"/>
      <c r="BY324" s="127"/>
      <c r="BZ324" s="127"/>
      <c r="CA324" s="127"/>
      <c r="ER324" s="127"/>
      <c r="ES324" s="127"/>
      <c r="ET324" s="127"/>
      <c r="EU324" s="127"/>
      <c r="EV324" s="127"/>
      <c r="EW324" s="127"/>
      <c r="EX324" s="127"/>
      <c r="EY324" s="127"/>
      <c r="EZ324" s="127"/>
      <c r="FA324" s="127"/>
      <c r="FB324" s="127"/>
      <c r="FC324" s="127"/>
      <c r="FD324" s="127"/>
      <c r="FE324" s="127"/>
      <c r="FF324" s="127"/>
      <c r="HW324" s="127"/>
      <c r="HX324" s="127"/>
      <c r="HY324" s="127"/>
      <c r="HZ324" s="127"/>
      <c r="IA324" s="127"/>
      <c r="IB324" s="127"/>
      <c r="IC324" s="127"/>
      <c r="ID324" s="127"/>
      <c r="IE324" s="127"/>
      <c r="IF324" s="127"/>
      <c r="IG324" s="127"/>
      <c r="IH324" s="127"/>
      <c r="II324" s="127"/>
      <c r="IJ324" s="127"/>
      <c r="IK324" s="127"/>
      <c r="LB324" s="127"/>
      <c r="LC324" s="127"/>
      <c r="LD324" s="127"/>
      <c r="LE324" s="127"/>
      <c r="LF324" s="127"/>
      <c r="LG324" s="127"/>
      <c r="LH324" s="127"/>
      <c r="LI324" s="127"/>
      <c r="LJ324" s="127"/>
      <c r="LK324" s="127"/>
      <c r="LL324" s="127"/>
      <c r="LM324" s="127"/>
      <c r="LN324" s="127"/>
      <c r="LO324" s="127"/>
      <c r="LP324" s="127"/>
      <c r="OG324" s="127"/>
      <c r="OH324" s="127"/>
      <c r="OI324" s="127"/>
      <c r="OJ324" s="127"/>
      <c r="OK324" s="127"/>
      <c r="OL324" s="127"/>
      <c r="OM324" s="127"/>
      <c r="ON324" s="127"/>
      <c r="OO324" s="127"/>
      <c r="OP324" s="127"/>
      <c r="OQ324" s="127"/>
      <c r="OR324" s="127"/>
      <c r="OS324" s="127"/>
      <c r="OT324" s="127"/>
      <c r="OU324" s="127"/>
    </row>
    <row r="325" spans="1:411">
      <c r="A325">
        <v>38</v>
      </c>
      <c r="B325">
        <v>553</v>
      </c>
      <c r="C325" t="s">
        <v>72</v>
      </c>
      <c r="D325" t="s">
        <v>9336</v>
      </c>
      <c r="E325" s="232" t="s">
        <v>9824</v>
      </c>
      <c r="F325" t="s">
        <v>71</v>
      </c>
      <c r="G325">
        <v>2</v>
      </c>
      <c r="H325">
        <v>654.27099999999996</v>
      </c>
      <c r="I325">
        <v>651.73699999999997</v>
      </c>
      <c r="J325">
        <v>648.70899999999995</v>
      </c>
      <c r="K325">
        <v>646.18100000000004</v>
      </c>
      <c r="L325">
        <v>641.97400000000005</v>
      </c>
      <c r="M325" s="233" t="s">
        <v>532</v>
      </c>
      <c r="N325" s="233" t="s">
        <v>533</v>
      </c>
      <c r="O325" s="3" t="s">
        <v>826</v>
      </c>
      <c r="BM325" s="127"/>
      <c r="BN325" s="127"/>
      <c r="BO325" s="127"/>
      <c r="BP325" s="127"/>
      <c r="BQ325" s="127"/>
      <c r="BR325" s="127"/>
      <c r="BS325" s="127"/>
      <c r="BT325" s="127"/>
      <c r="BU325" s="127"/>
      <c r="BV325" s="127"/>
      <c r="BW325" s="127"/>
      <c r="BX325" s="127"/>
      <c r="BY325" s="127"/>
      <c r="BZ325" s="127"/>
      <c r="CA325" s="127"/>
      <c r="ER325" s="127"/>
      <c r="ES325" s="127"/>
      <c r="ET325" s="127"/>
      <c r="EU325" s="127"/>
      <c r="EV325" s="127"/>
      <c r="EW325" s="127"/>
      <c r="EX325" s="127"/>
      <c r="EY325" s="127"/>
      <c r="EZ325" s="127"/>
      <c r="FA325" s="127"/>
      <c r="FB325" s="127"/>
      <c r="FC325" s="127"/>
      <c r="FD325" s="127"/>
      <c r="FE325" s="127"/>
      <c r="FF325" s="127"/>
      <c r="HW325" s="127"/>
      <c r="HX325" s="127"/>
      <c r="HY325" s="127"/>
      <c r="HZ325" s="127"/>
      <c r="IA325" s="127"/>
      <c r="IB325" s="127"/>
      <c r="IC325" s="127"/>
      <c r="ID325" s="127"/>
      <c r="IE325" s="127"/>
      <c r="IF325" s="127"/>
      <c r="IG325" s="127"/>
      <c r="IH325" s="127"/>
      <c r="II325" s="127"/>
      <c r="IJ325" s="127"/>
      <c r="IK325" s="127"/>
      <c r="LB325" s="127"/>
      <c r="LC325" s="127"/>
      <c r="LD325" s="127"/>
      <c r="LE325" s="127"/>
      <c r="LF325" s="127"/>
      <c r="LG325" s="127"/>
      <c r="LH325" s="127"/>
      <c r="LI325" s="127"/>
      <c r="LJ325" s="127"/>
      <c r="LK325" s="127"/>
      <c r="LL325" s="127"/>
      <c r="LM325" s="127"/>
      <c r="LN325" s="127"/>
      <c r="LO325" s="127"/>
      <c r="LP325" s="127"/>
      <c r="OG325" s="127"/>
      <c r="OH325" s="127"/>
      <c r="OI325" s="127"/>
      <c r="OJ325" s="127"/>
      <c r="OK325" s="127"/>
      <c r="OL325" s="127"/>
      <c r="OM325" s="127"/>
      <c r="ON325" s="127"/>
      <c r="OO325" s="127"/>
      <c r="OP325" s="127"/>
      <c r="OQ325" s="127"/>
      <c r="OR325" s="127"/>
      <c r="OS325" s="127"/>
      <c r="OT325" s="127"/>
      <c r="OU325" s="127"/>
    </row>
    <row r="326" spans="1:411">
      <c r="A326">
        <v>38</v>
      </c>
      <c r="B326">
        <v>575</v>
      </c>
      <c r="C326" t="s">
        <v>72</v>
      </c>
      <c r="D326" t="s">
        <v>9336</v>
      </c>
      <c r="E326" s="232" t="s">
        <v>10002</v>
      </c>
      <c r="F326" t="s">
        <v>71</v>
      </c>
      <c r="G326">
        <v>2</v>
      </c>
      <c r="H326">
        <v>650.67499999999995</v>
      </c>
      <c r="I326">
        <v>649.87199999999996</v>
      </c>
      <c r="J326">
        <v>648.53700000000003</v>
      </c>
      <c r="K326">
        <v>646.97900000000004</v>
      </c>
      <c r="L326">
        <v>643.77800000000002</v>
      </c>
      <c r="M326" s="233" t="s">
        <v>532</v>
      </c>
      <c r="N326" s="233" t="s">
        <v>533</v>
      </c>
      <c r="O326" s="3" t="s">
        <v>827</v>
      </c>
      <c r="BM326" s="127"/>
      <c r="BN326" s="127"/>
      <c r="BO326" s="127"/>
      <c r="BP326" s="127"/>
      <c r="BQ326" s="127"/>
      <c r="BR326" s="127"/>
      <c r="BS326" s="127"/>
      <c r="BT326" s="127"/>
      <c r="BU326" s="127"/>
      <c r="BV326" s="127"/>
      <c r="BW326" s="127"/>
      <c r="BX326" s="127"/>
      <c r="BY326" s="127"/>
      <c r="BZ326" s="127"/>
      <c r="CA326" s="127"/>
      <c r="ER326" s="127"/>
      <c r="ES326" s="127"/>
      <c r="ET326" s="127"/>
      <c r="EU326" s="127"/>
      <c r="EV326" s="127"/>
      <c r="EW326" s="127"/>
      <c r="EX326" s="127"/>
      <c r="EY326" s="127"/>
      <c r="EZ326" s="127"/>
      <c r="FA326" s="127"/>
      <c r="FB326" s="127"/>
      <c r="FC326" s="127"/>
      <c r="FD326" s="127"/>
      <c r="FE326" s="127"/>
      <c r="FF326" s="127"/>
      <c r="HW326" s="127"/>
      <c r="HX326" s="127"/>
      <c r="HY326" s="127"/>
      <c r="HZ326" s="127"/>
      <c r="IA326" s="127"/>
      <c r="IB326" s="127"/>
      <c r="IC326" s="127"/>
      <c r="ID326" s="127"/>
      <c r="IE326" s="127"/>
      <c r="IF326" s="127"/>
      <c r="IG326" s="127"/>
      <c r="IH326" s="127"/>
      <c r="II326" s="127"/>
      <c r="IJ326" s="127"/>
      <c r="IK326" s="127"/>
      <c r="LB326" s="127"/>
      <c r="LC326" s="127"/>
      <c r="LD326" s="127"/>
      <c r="LE326" s="127"/>
      <c r="LF326" s="127"/>
      <c r="LG326" s="127"/>
      <c r="LH326" s="127"/>
      <c r="LI326" s="127"/>
      <c r="LJ326" s="127"/>
      <c r="LK326" s="127"/>
      <c r="LL326" s="127"/>
      <c r="LM326" s="127"/>
      <c r="LN326" s="127"/>
      <c r="LO326" s="127"/>
      <c r="LP326" s="127"/>
      <c r="OG326" s="127"/>
      <c r="OH326" s="127"/>
      <c r="OI326" s="127"/>
      <c r="OJ326" s="127"/>
      <c r="OK326" s="127"/>
      <c r="OL326" s="127"/>
      <c r="OM326" s="127"/>
      <c r="ON326" s="127"/>
      <c r="OO326" s="127"/>
      <c r="OP326" s="127"/>
      <c r="OQ326" s="127"/>
      <c r="OR326" s="127"/>
      <c r="OS326" s="127"/>
      <c r="OT326" s="127"/>
      <c r="OU326" s="127"/>
    </row>
    <row r="327" spans="1:411">
      <c r="A327">
        <v>38</v>
      </c>
      <c r="B327">
        <v>551</v>
      </c>
      <c r="C327" t="s">
        <v>72</v>
      </c>
      <c r="D327" t="s">
        <v>9336</v>
      </c>
      <c r="E327" s="232" t="s">
        <v>9879</v>
      </c>
      <c r="F327" t="s">
        <v>71</v>
      </c>
      <c r="G327">
        <v>2</v>
      </c>
      <c r="H327">
        <v>653.601</v>
      </c>
      <c r="I327">
        <v>651.24300000000005</v>
      </c>
      <c r="J327">
        <v>648.14499999999998</v>
      </c>
      <c r="K327">
        <v>645.41399999999999</v>
      </c>
      <c r="L327">
        <v>641.274</v>
      </c>
      <c r="M327" s="233" t="s">
        <v>532</v>
      </c>
      <c r="N327" s="233" t="s">
        <v>533</v>
      </c>
      <c r="O327" s="3" t="s">
        <v>828</v>
      </c>
      <c r="BM327" s="127"/>
      <c r="BN327" s="127"/>
      <c r="BO327" s="127"/>
      <c r="BP327" s="127"/>
      <c r="BQ327" s="127"/>
      <c r="BR327" s="127"/>
      <c r="BS327" s="127"/>
      <c r="BT327" s="127"/>
      <c r="BU327" s="127"/>
      <c r="BV327" s="127"/>
      <c r="BW327" s="127"/>
      <c r="BX327" s="127"/>
      <c r="BY327" s="127"/>
      <c r="BZ327" s="127"/>
      <c r="CA327" s="127"/>
      <c r="ER327" s="127"/>
      <c r="ES327" s="127"/>
      <c r="ET327" s="127"/>
      <c r="EU327" s="127"/>
      <c r="EV327" s="127"/>
      <c r="EW327" s="127"/>
      <c r="EX327" s="127"/>
      <c r="EY327" s="127"/>
      <c r="EZ327" s="127"/>
      <c r="FA327" s="127"/>
      <c r="FB327" s="127"/>
      <c r="FC327" s="127"/>
      <c r="FD327" s="127"/>
      <c r="FE327" s="127"/>
      <c r="FF327" s="127"/>
      <c r="HW327" s="127"/>
      <c r="HX327" s="127"/>
      <c r="HY327" s="127"/>
      <c r="HZ327" s="127"/>
      <c r="IA327" s="127"/>
      <c r="IB327" s="127"/>
      <c r="IC327" s="127"/>
      <c r="ID327" s="127"/>
      <c r="IE327" s="127"/>
      <c r="IF327" s="127"/>
      <c r="IG327" s="127"/>
      <c r="IH327" s="127"/>
      <c r="II327" s="127"/>
      <c r="IJ327" s="127"/>
      <c r="IK327" s="127"/>
      <c r="LB327" s="127"/>
      <c r="LC327" s="127"/>
      <c r="LD327" s="127"/>
      <c r="LE327" s="127"/>
      <c r="LF327" s="127"/>
      <c r="LG327" s="127"/>
      <c r="LH327" s="127"/>
      <c r="LI327" s="127"/>
      <c r="LJ327" s="127"/>
      <c r="LK327" s="127"/>
      <c r="LL327" s="127"/>
      <c r="LM327" s="127"/>
      <c r="LN327" s="127"/>
      <c r="LO327" s="127"/>
      <c r="LP327" s="127"/>
      <c r="OG327" s="127"/>
      <c r="OH327" s="127"/>
      <c r="OI327" s="127"/>
      <c r="OJ327" s="127"/>
      <c r="OK327" s="127"/>
      <c r="OL327" s="127"/>
      <c r="OM327" s="127"/>
      <c r="ON327" s="127"/>
      <c r="OO327" s="127"/>
      <c r="OP327" s="127"/>
      <c r="OQ327" s="127"/>
      <c r="OR327" s="127"/>
      <c r="OS327" s="127"/>
      <c r="OT327" s="127"/>
      <c r="OU327" s="127"/>
    </row>
    <row r="328" spans="1:411">
      <c r="A328">
        <v>38</v>
      </c>
      <c r="B328">
        <v>568</v>
      </c>
      <c r="C328" t="s">
        <v>72</v>
      </c>
      <c r="D328" t="s">
        <v>9336</v>
      </c>
      <c r="E328" s="232" t="s">
        <v>10032</v>
      </c>
      <c r="F328" t="s">
        <v>71</v>
      </c>
      <c r="G328">
        <v>2</v>
      </c>
      <c r="H328">
        <v>652.20799999999997</v>
      </c>
      <c r="I328">
        <v>649.92399999999998</v>
      </c>
      <c r="J328">
        <v>647.82100000000003</v>
      </c>
      <c r="K328">
        <v>644.78599999999994</v>
      </c>
      <c r="L328">
        <v>639.99900000000002</v>
      </c>
      <c r="M328" s="233" t="s">
        <v>532</v>
      </c>
      <c r="N328" s="233" t="s">
        <v>533</v>
      </c>
      <c r="O328" s="3" t="s">
        <v>829</v>
      </c>
      <c r="BM328" s="127"/>
      <c r="BN328" s="127"/>
      <c r="BO328" s="127"/>
      <c r="BP328" s="127"/>
      <c r="BQ328" s="127"/>
      <c r="BR328" s="127"/>
      <c r="BS328" s="127"/>
      <c r="BT328" s="127"/>
      <c r="BU328" s="127"/>
      <c r="BV328" s="127"/>
      <c r="BW328" s="127"/>
      <c r="BX328" s="127"/>
      <c r="BY328" s="127"/>
      <c r="BZ328" s="127"/>
      <c r="CA328" s="127"/>
      <c r="ER328" s="127"/>
      <c r="ES328" s="127"/>
      <c r="ET328" s="127"/>
      <c r="EU328" s="127"/>
      <c r="EV328" s="127"/>
      <c r="EW328" s="127"/>
      <c r="EX328" s="127"/>
      <c r="EY328" s="127"/>
      <c r="EZ328" s="127"/>
      <c r="FA328" s="127"/>
      <c r="FB328" s="127"/>
      <c r="FC328" s="127"/>
      <c r="FD328" s="127"/>
      <c r="FE328" s="127"/>
      <c r="FF328" s="127"/>
      <c r="HW328" s="127"/>
      <c r="HX328" s="127"/>
      <c r="HY328" s="127"/>
      <c r="HZ328" s="127"/>
      <c r="IA328" s="127"/>
      <c r="IB328" s="127"/>
      <c r="IC328" s="127"/>
      <c r="ID328" s="127"/>
      <c r="IE328" s="127"/>
      <c r="IF328" s="127"/>
      <c r="IG328" s="127"/>
      <c r="IH328" s="127"/>
      <c r="II328" s="127"/>
      <c r="IJ328" s="127"/>
      <c r="IK328" s="127"/>
      <c r="LB328" s="127"/>
      <c r="LC328" s="127"/>
      <c r="LD328" s="127"/>
      <c r="LE328" s="127"/>
      <c r="LF328" s="127"/>
      <c r="LG328" s="127"/>
      <c r="LH328" s="127"/>
      <c r="LI328" s="127"/>
      <c r="LJ328" s="127"/>
      <c r="LK328" s="127"/>
      <c r="LL328" s="127"/>
      <c r="LM328" s="127"/>
      <c r="LN328" s="127"/>
      <c r="LO328" s="127"/>
      <c r="LP328" s="127"/>
      <c r="OG328" s="127"/>
      <c r="OH328" s="127"/>
      <c r="OI328" s="127"/>
      <c r="OJ328" s="127"/>
      <c r="OK328" s="127"/>
      <c r="OL328" s="127"/>
      <c r="OM328" s="127"/>
      <c r="ON328" s="127"/>
      <c r="OO328" s="127"/>
      <c r="OP328" s="127"/>
      <c r="OQ328" s="127"/>
      <c r="OR328" s="127"/>
      <c r="OS328" s="127"/>
      <c r="OT328" s="127"/>
      <c r="OU328" s="127"/>
    </row>
    <row r="329" spans="1:411">
      <c r="A329">
        <v>38</v>
      </c>
      <c r="B329">
        <v>552</v>
      </c>
      <c r="C329" t="s">
        <v>72</v>
      </c>
      <c r="D329" t="s">
        <v>9336</v>
      </c>
      <c r="E329" s="232" t="s">
        <v>10043</v>
      </c>
      <c r="F329" t="s">
        <v>71</v>
      </c>
      <c r="G329">
        <v>2</v>
      </c>
      <c r="H329">
        <v>652.20799999999997</v>
      </c>
      <c r="I329">
        <v>649.87199999999996</v>
      </c>
      <c r="J329">
        <v>647.82100000000003</v>
      </c>
      <c r="K329">
        <v>644.64300000000003</v>
      </c>
      <c r="L329">
        <v>639.84799999999996</v>
      </c>
      <c r="M329" s="233" t="s">
        <v>532</v>
      </c>
      <c r="N329" s="233" t="s">
        <v>533</v>
      </c>
      <c r="O329" s="3" t="s">
        <v>830</v>
      </c>
      <c r="BM329" s="127"/>
      <c r="BN329" s="127"/>
      <c r="BO329" s="127"/>
      <c r="BP329" s="127"/>
      <c r="BQ329" s="127"/>
      <c r="BR329" s="127"/>
      <c r="BS329" s="127"/>
      <c r="BT329" s="127"/>
      <c r="BU329" s="127"/>
      <c r="BV329" s="127"/>
      <c r="BW329" s="127"/>
      <c r="BX329" s="127"/>
      <c r="BY329" s="127"/>
      <c r="BZ329" s="127"/>
      <c r="CA329" s="127"/>
      <c r="ER329" s="127"/>
      <c r="ES329" s="127"/>
      <c r="ET329" s="127"/>
      <c r="EU329" s="127"/>
      <c r="EV329" s="127"/>
      <c r="EW329" s="127"/>
      <c r="EX329" s="127"/>
      <c r="EY329" s="127"/>
      <c r="EZ329" s="127"/>
      <c r="FA329" s="127"/>
      <c r="FB329" s="127"/>
      <c r="FC329" s="127"/>
      <c r="FD329" s="127"/>
      <c r="FE329" s="127"/>
      <c r="FF329" s="127"/>
      <c r="HW329" s="127"/>
      <c r="HX329" s="127"/>
      <c r="HY329" s="127"/>
      <c r="HZ329" s="127"/>
      <c r="IA329" s="127"/>
      <c r="IB329" s="127"/>
      <c r="IC329" s="127"/>
      <c r="ID329" s="127"/>
      <c r="IE329" s="127"/>
      <c r="IF329" s="127"/>
      <c r="IG329" s="127"/>
      <c r="IH329" s="127"/>
      <c r="II329" s="127"/>
      <c r="IJ329" s="127"/>
      <c r="IK329" s="127"/>
      <c r="LB329" s="127"/>
      <c r="LC329" s="127"/>
      <c r="LD329" s="127"/>
      <c r="LE329" s="127"/>
      <c r="LF329" s="127"/>
      <c r="LG329" s="127"/>
      <c r="LH329" s="127"/>
      <c r="LI329" s="127"/>
      <c r="LJ329" s="127"/>
      <c r="LK329" s="127"/>
      <c r="LL329" s="127"/>
      <c r="LM329" s="127"/>
      <c r="LN329" s="127"/>
      <c r="LO329" s="127"/>
      <c r="LP329" s="127"/>
      <c r="OG329" s="127"/>
      <c r="OH329" s="127"/>
      <c r="OI329" s="127"/>
      <c r="OJ329" s="127"/>
      <c r="OK329" s="127"/>
      <c r="OL329" s="127"/>
      <c r="OM329" s="127"/>
      <c r="ON329" s="127"/>
      <c r="OO329" s="127"/>
      <c r="OP329" s="127"/>
      <c r="OQ329" s="127"/>
      <c r="OR329" s="127"/>
      <c r="OS329" s="127"/>
      <c r="OT329" s="127"/>
      <c r="OU329" s="127"/>
    </row>
    <row r="330" spans="1:411">
      <c r="A330">
        <v>38</v>
      </c>
      <c r="B330">
        <v>572</v>
      </c>
      <c r="C330" t="s">
        <v>72</v>
      </c>
      <c r="D330" t="s">
        <v>9336</v>
      </c>
      <c r="E330" s="232" t="s">
        <v>10041</v>
      </c>
      <c r="F330" t="s">
        <v>71</v>
      </c>
      <c r="G330">
        <v>2</v>
      </c>
      <c r="H330">
        <v>652.20799999999997</v>
      </c>
      <c r="I330">
        <v>649.87199999999996</v>
      </c>
      <c r="J330">
        <v>647.82100000000003</v>
      </c>
      <c r="K330">
        <v>644.64300000000003</v>
      </c>
      <c r="L330">
        <v>639.84799999999996</v>
      </c>
      <c r="M330" s="233" t="s">
        <v>532</v>
      </c>
      <c r="N330" s="233" t="s">
        <v>533</v>
      </c>
      <c r="O330" s="3" t="s">
        <v>831</v>
      </c>
      <c r="BM330" s="127"/>
      <c r="BN330" s="127"/>
      <c r="BO330" s="127"/>
      <c r="BP330" s="127"/>
      <c r="BQ330" s="127"/>
      <c r="BR330" s="127"/>
      <c r="BS330" s="127"/>
      <c r="BT330" s="127"/>
      <c r="BU330" s="127"/>
      <c r="BV330" s="127"/>
      <c r="BW330" s="127"/>
      <c r="BX330" s="127"/>
      <c r="BY330" s="127"/>
      <c r="BZ330" s="127"/>
      <c r="CA330" s="127"/>
      <c r="ER330" s="127"/>
      <c r="ES330" s="127"/>
      <c r="ET330" s="127"/>
      <c r="EU330" s="127"/>
      <c r="EV330" s="127"/>
      <c r="EW330" s="127"/>
      <c r="EX330" s="127"/>
      <c r="EY330" s="127"/>
      <c r="EZ330" s="127"/>
      <c r="FA330" s="127"/>
      <c r="FB330" s="127"/>
      <c r="FC330" s="127"/>
      <c r="FD330" s="127"/>
      <c r="FE330" s="127"/>
      <c r="FF330" s="127"/>
      <c r="HW330" s="127"/>
      <c r="HX330" s="127"/>
      <c r="HY330" s="127"/>
      <c r="HZ330" s="127"/>
      <c r="IA330" s="127"/>
      <c r="IB330" s="127"/>
      <c r="IC330" s="127"/>
      <c r="ID330" s="127"/>
      <c r="IE330" s="127"/>
      <c r="IF330" s="127"/>
      <c r="IG330" s="127"/>
      <c r="IH330" s="127"/>
      <c r="II330" s="127"/>
      <c r="IJ330" s="127"/>
      <c r="IK330" s="127"/>
      <c r="LB330" s="127"/>
      <c r="LC330" s="127"/>
      <c r="LD330" s="127"/>
      <c r="LE330" s="127"/>
      <c r="LF330" s="127"/>
      <c r="LG330" s="127"/>
      <c r="LH330" s="127"/>
      <c r="LI330" s="127"/>
      <c r="LJ330" s="127"/>
      <c r="LK330" s="127"/>
      <c r="LL330" s="127"/>
      <c r="LM330" s="127"/>
      <c r="LN330" s="127"/>
      <c r="LO330" s="127"/>
      <c r="LP330" s="127"/>
      <c r="OG330" s="127"/>
      <c r="OH330" s="127"/>
      <c r="OI330" s="127"/>
      <c r="OJ330" s="127"/>
      <c r="OK330" s="127"/>
      <c r="OL330" s="127"/>
      <c r="OM330" s="127"/>
      <c r="ON330" s="127"/>
      <c r="OO330" s="127"/>
      <c r="OP330" s="127"/>
      <c r="OQ330" s="127"/>
      <c r="OR330" s="127"/>
      <c r="OS330" s="127"/>
      <c r="OT330" s="127"/>
      <c r="OU330" s="127"/>
    </row>
    <row r="331" spans="1:411">
      <c r="A331">
        <v>38</v>
      </c>
      <c r="B331">
        <v>545</v>
      </c>
      <c r="C331" t="s">
        <v>72</v>
      </c>
      <c r="D331" t="s">
        <v>9336</v>
      </c>
      <c r="E331" s="232" t="s">
        <v>10056</v>
      </c>
      <c r="F331" t="s">
        <v>71</v>
      </c>
      <c r="G331">
        <v>2</v>
      </c>
      <c r="H331">
        <v>652.20799999999997</v>
      </c>
      <c r="I331">
        <v>649.92399999999998</v>
      </c>
      <c r="J331">
        <v>647.12199999999996</v>
      </c>
      <c r="K331">
        <v>643.87599999999998</v>
      </c>
      <c r="L331">
        <v>639.99900000000002</v>
      </c>
      <c r="M331" s="233" t="s">
        <v>532</v>
      </c>
      <c r="N331" s="233" t="s">
        <v>533</v>
      </c>
      <c r="O331" s="3" t="s">
        <v>832</v>
      </c>
      <c r="BM331" s="127"/>
      <c r="BN331" s="127"/>
      <c r="BO331" s="127"/>
      <c r="BP331" s="127"/>
      <c r="BQ331" s="127"/>
      <c r="BR331" s="127"/>
      <c r="BS331" s="127"/>
      <c r="BT331" s="127"/>
      <c r="BU331" s="127"/>
      <c r="BV331" s="127"/>
      <c r="BW331" s="127"/>
      <c r="BX331" s="127"/>
      <c r="BY331" s="127"/>
      <c r="BZ331" s="127"/>
      <c r="CA331" s="127"/>
      <c r="ER331" s="127"/>
      <c r="ES331" s="127"/>
      <c r="ET331" s="127"/>
      <c r="EU331" s="127"/>
      <c r="EV331" s="127"/>
      <c r="EW331" s="127"/>
      <c r="EX331" s="127"/>
      <c r="EY331" s="127"/>
      <c r="EZ331" s="127"/>
      <c r="FA331" s="127"/>
      <c r="FB331" s="127"/>
      <c r="FC331" s="127"/>
      <c r="FD331" s="127"/>
      <c r="FE331" s="127"/>
      <c r="FF331" s="127"/>
      <c r="HW331" s="127"/>
      <c r="HX331" s="127"/>
      <c r="HY331" s="127"/>
      <c r="HZ331" s="127"/>
      <c r="IA331" s="127"/>
      <c r="IB331" s="127"/>
      <c r="IC331" s="127"/>
      <c r="ID331" s="127"/>
      <c r="IE331" s="127"/>
      <c r="IF331" s="127"/>
      <c r="IG331" s="127"/>
      <c r="IH331" s="127"/>
      <c r="II331" s="127"/>
      <c r="IJ331" s="127"/>
      <c r="IK331" s="127"/>
      <c r="LB331" s="127"/>
      <c r="LC331" s="127"/>
      <c r="LD331" s="127"/>
      <c r="LE331" s="127"/>
      <c r="LF331" s="127"/>
      <c r="LG331" s="127"/>
      <c r="LH331" s="127"/>
      <c r="LI331" s="127"/>
      <c r="LJ331" s="127"/>
      <c r="LK331" s="127"/>
      <c r="LL331" s="127"/>
      <c r="LM331" s="127"/>
      <c r="LN331" s="127"/>
      <c r="LO331" s="127"/>
      <c r="LP331" s="127"/>
      <c r="OG331" s="127"/>
      <c r="OH331" s="127"/>
      <c r="OI331" s="127"/>
      <c r="OJ331" s="127"/>
      <c r="OK331" s="127"/>
      <c r="OL331" s="127"/>
      <c r="OM331" s="127"/>
      <c r="ON331" s="127"/>
      <c r="OO331" s="127"/>
      <c r="OP331" s="127"/>
      <c r="OQ331" s="127"/>
      <c r="OR331" s="127"/>
      <c r="OS331" s="127"/>
      <c r="OT331" s="127"/>
      <c r="OU331" s="127"/>
    </row>
    <row r="332" spans="1:411">
      <c r="A332">
        <v>38</v>
      </c>
      <c r="B332">
        <v>571</v>
      </c>
      <c r="C332" t="s">
        <v>72</v>
      </c>
      <c r="D332" t="s">
        <v>9336</v>
      </c>
      <c r="E332" s="232" t="s">
        <v>10048</v>
      </c>
      <c r="F332" t="s">
        <v>71</v>
      </c>
      <c r="G332">
        <v>2</v>
      </c>
      <c r="H332">
        <v>652.20799999999997</v>
      </c>
      <c r="I332">
        <v>649.92399999999998</v>
      </c>
      <c r="J332">
        <v>647.12199999999996</v>
      </c>
      <c r="K332">
        <v>643.87599999999998</v>
      </c>
      <c r="L332">
        <v>637.98</v>
      </c>
      <c r="M332" s="233" t="s">
        <v>532</v>
      </c>
      <c r="N332" s="233" t="s">
        <v>533</v>
      </c>
      <c r="O332" s="3" t="s">
        <v>833</v>
      </c>
      <c r="BM332" s="127"/>
      <c r="BN332" s="127"/>
      <c r="BO332" s="127"/>
      <c r="BP332" s="127"/>
      <c r="BQ332" s="127"/>
      <c r="BR332" s="127"/>
      <c r="BS332" s="127"/>
      <c r="BT332" s="127"/>
      <c r="BU332" s="127"/>
      <c r="BV332" s="127"/>
      <c r="BW332" s="127"/>
      <c r="BX332" s="127"/>
      <c r="BY332" s="127"/>
      <c r="BZ332" s="127"/>
      <c r="CA332" s="127"/>
      <c r="ER332" s="127"/>
      <c r="ES332" s="127"/>
      <c r="ET332" s="127"/>
      <c r="EU332" s="127"/>
      <c r="EV332" s="127"/>
      <c r="EW332" s="127"/>
      <c r="EX332" s="127"/>
      <c r="EY332" s="127"/>
      <c r="EZ332" s="127"/>
      <c r="FA332" s="127"/>
      <c r="FB332" s="127"/>
      <c r="FC332" s="127"/>
      <c r="FD332" s="127"/>
      <c r="FE332" s="127"/>
      <c r="FF332" s="127"/>
      <c r="HW332" s="127"/>
      <c r="HX332" s="127"/>
      <c r="HY332" s="127"/>
      <c r="HZ332" s="127"/>
      <c r="IA332" s="127"/>
      <c r="IB332" s="127"/>
      <c r="IC332" s="127"/>
      <c r="ID332" s="127"/>
      <c r="IE332" s="127"/>
      <c r="IF332" s="127"/>
      <c r="IG332" s="127"/>
      <c r="IH332" s="127"/>
      <c r="II332" s="127"/>
      <c r="IJ332" s="127"/>
      <c r="IK332" s="127"/>
      <c r="LB332" s="127"/>
      <c r="LC332" s="127"/>
      <c r="LD332" s="127"/>
      <c r="LE332" s="127"/>
      <c r="LF332" s="127"/>
      <c r="LG332" s="127"/>
      <c r="LH332" s="127"/>
      <c r="LI332" s="127"/>
      <c r="LJ332" s="127"/>
      <c r="LK332" s="127"/>
      <c r="LL332" s="127"/>
      <c r="LM332" s="127"/>
      <c r="LN332" s="127"/>
      <c r="LO332" s="127"/>
      <c r="LP332" s="127"/>
      <c r="OG332" s="127"/>
      <c r="OH332" s="127"/>
      <c r="OI332" s="127"/>
      <c r="OJ332" s="127"/>
      <c r="OK332" s="127"/>
      <c r="OL332" s="127"/>
      <c r="OM332" s="127"/>
      <c r="ON332" s="127"/>
      <c r="OO332" s="127"/>
      <c r="OP332" s="127"/>
      <c r="OQ332" s="127"/>
      <c r="OR332" s="127"/>
      <c r="OS332" s="127"/>
      <c r="OT332" s="127"/>
      <c r="OU332" s="127"/>
    </row>
    <row r="333" spans="1:411">
      <c r="A333">
        <v>38</v>
      </c>
      <c r="B333">
        <v>595</v>
      </c>
      <c r="C333" t="s">
        <v>72</v>
      </c>
      <c r="D333" t="s">
        <v>9336</v>
      </c>
      <c r="E333" s="232" t="s">
        <v>9982</v>
      </c>
      <c r="F333" t="s">
        <v>71</v>
      </c>
      <c r="G333">
        <v>2</v>
      </c>
      <c r="H333">
        <v>654.27099999999996</v>
      </c>
      <c r="I333">
        <v>650.80999999999995</v>
      </c>
      <c r="J333">
        <v>647.12199999999996</v>
      </c>
      <c r="K333">
        <v>640.9</v>
      </c>
      <c r="L333">
        <v>633.01099999999997</v>
      </c>
      <c r="M333" s="233" t="s">
        <v>532</v>
      </c>
      <c r="N333" s="233" t="s">
        <v>533</v>
      </c>
      <c r="O333" s="3" t="s">
        <v>834</v>
      </c>
      <c r="BM333" s="127"/>
      <c r="BN333" s="127"/>
      <c r="BO333" s="127"/>
      <c r="BP333" s="127"/>
      <c r="BQ333" s="127"/>
      <c r="BR333" s="127"/>
      <c r="BS333" s="127"/>
      <c r="BT333" s="127"/>
      <c r="BU333" s="127"/>
      <c r="BV333" s="127"/>
      <c r="BW333" s="127"/>
      <c r="BX333" s="127"/>
      <c r="BY333" s="127"/>
      <c r="BZ333" s="127"/>
      <c r="CA333" s="127"/>
      <c r="ER333" s="127"/>
      <c r="ES333" s="127"/>
      <c r="ET333" s="127"/>
      <c r="EU333" s="127"/>
      <c r="EV333" s="127"/>
      <c r="EW333" s="127"/>
      <c r="EX333" s="127"/>
      <c r="EY333" s="127"/>
      <c r="EZ333" s="127"/>
      <c r="FA333" s="127"/>
      <c r="FB333" s="127"/>
      <c r="FC333" s="127"/>
      <c r="FD333" s="127"/>
      <c r="FE333" s="127"/>
      <c r="FF333" s="127"/>
      <c r="HW333" s="127"/>
      <c r="HX333" s="127"/>
      <c r="HY333" s="127"/>
      <c r="HZ333" s="127"/>
      <c r="IA333" s="127"/>
      <c r="IB333" s="127"/>
      <c r="IC333" s="127"/>
      <c r="ID333" s="127"/>
      <c r="IE333" s="127"/>
      <c r="IF333" s="127"/>
      <c r="IG333" s="127"/>
      <c r="IH333" s="127"/>
      <c r="II333" s="127"/>
      <c r="IJ333" s="127"/>
      <c r="IK333" s="127"/>
      <c r="LB333" s="127"/>
      <c r="LC333" s="127"/>
      <c r="LD333" s="127"/>
      <c r="LE333" s="127"/>
      <c r="LF333" s="127"/>
      <c r="LG333" s="127"/>
      <c r="LH333" s="127"/>
      <c r="LI333" s="127"/>
      <c r="LJ333" s="127"/>
      <c r="LK333" s="127"/>
      <c r="LL333" s="127"/>
      <c r="LM333" s="127"/>
      <c r="LN333" s="127"/>
      <c r="LO333" s="127"/>
      <c r="LP333" s="127"/>
      <c r="OG333" s="127"/>
      <c r="OH333" s="127"/>
      <c r="OI333" s="127"/>
      <c r="OJ333" s="127"/>
      <c r="OK333" s="127"/>
      <c r="OL333" s="127"/>
      <c r="OM333" s="127"/>
      <c r="ON333" s="127"/>
      <c r="OO333" s="127"/>
      <c r="OP333" s="127"/>
      <c r="OQ333" s="127"/>
      <c r="OR333" s="127"/>
      <c r="OS333" s="127"/>
      <c r="OT333" s="127"/>
      <c r="OU333" s="127"/>
    </row>
    <row r="334" spans="1:411">
      <c r="A334">
        <v>38</v>
      </c>
      <c r="B334">
        <v>574</v>
      </c>
      <c r="C334" t="s">
        <v>72</v>
      </c>
      <c r="D334" t="s">
        <v>9336</v>
      </c>
      <c r="E334" s="232" t="s">
        <v>10101</v>
      </c>
      <c r="F334" t="s">
        <v>71</v>
      </c>
      <c r="G334">
        <v>2</v>
      </c>
      <c r="H334">
        <v>649.11300000000006</v>
      </c>
      <c r="I334">
        <v>648.53700000000003</v>
      </c>
      <c r="J334">
        <v>646.97900000000004</v>
      </c>
      <c r="K334">
        <v>644.64300000000003</v>
      </c>
      <c r="L334">
        <v>641.66700000000003</v>
      </c>
      <c r="M334" s="233" t="s">
        <v>532</v>
      </c>
      <c r="N334" s="233" t="s">
        <v>533</v>
      </c>
      <c r="O334" s="3" t="s">
        <v>835</v>
      </c>
      <c r="BM334" s="127"/>
      <c r="BN334" s="127"/>
      <c r="BO334" s="127"/>
      <c r="BP334" s="127"/>
      <c r="BQ334" s="127"/>
      <c r="BR334" s="127"/>
      <c r="BS334" s="127"/>
      <c r="BT334" s="127"/>
      <c r="BU334" s="127"/>
      <c r="BV334" s="127"/>
      <c r="BW334" s="127"/>
      <c r="BX334" s="127"/>
      <c r="BY334" s="127"/>
      <c r="BZ334" s="127"/>
      <c r="CA334" s="127"/>
      <c r="ER334" s="127"/>
      <c r="ES334" s="127"/>
      <c r="ET334" s="127"/>
      <c r="EU334" s="127"/>
      <c r="EV334" s="127"/>
      <c r="EW334" s="127"/>
      <c r="EX334" s="127"/>
      <c r="EY334" s="127"/>
      <c r="EZ334" s="127"/>
      <c r="FA334" s="127"/>
      <c r="FB334" s="127"/>
      <c r="FC334" s="127"/>
      <c r="FD334" s="127"/>
      <c r="FE334" s="127"/>
      <c r="FF334" s="127"/>
      <c r="HW334" s="127"/>
      <c r="HX334" s="127"/>
      <c r="HY334" s="127"/>
      <c r="HZ334" s="127"/>
      <c r="IA334" s="127"/>
      <c r="IB334" s="127"/>
      <c r="IC334" s="127"/>
      <c r="ID334" s="127"/>
      <c r="IE334" s="127"/>
      <c r="IF334" s="127"/>
      <c r="IG334" s="127"/>
      <c r="IH334" s="127"/>
      <c r="II334" s="127"/>
      <c r="IJ334" s="127"/>
      <c r="IK334" s="127"/>
      <c r="LB334" s="127"/>
      <c r="LC334" s="127"/>
      <c r="LD334" s="127"/>
      <c r="LE334" s="127"/>
      <c r="LF334" s="127"/>
      <c r="LG334" s="127"/>
      <c r="LH334" s="127"/>
      <c r="LI334" s="127"/>
      <c r="LJ334" s="127"/>
      <c r="LK334" s="127"/>
      <c r="LL334" s="127"/>
      <c r="LM334" s="127"/>
      <c r="LN334" s="127"/>
      <c r="LO334" s="127"/>
      <c r="LP334" s="127"/>
      <c r="OG334" s="127"/>
      <c r="OH334" s="127"/>
      <c r="OI334" s="127"/>
      <c r="OJ334" s="127"/>
      <c r="OK334" s="127"/>
      <c r="OL334" s="127"/>
      <c r="OM334" s="127"/>
      <c r="ON334" s="127"/>
      <c r="OO334" s="127"/>
      <c r="OP334" s="127"/>
      <c r="OQ334" s="127"/>
      <c r="OR334" s="127"/>
      <c r="OS334" s="127"/>
      <c r="OT334" s="127"/>
      <c r="OU334" s="127"/>
    </row>
    <row r="335" spans="1:411">
      <c r="A335">
        <v>38</v>
      </c>
      <c r="B335">
        <v>573</v>
      </c>
      <c r="C335" t="s">
        <v>72</v>
      </c>
      <c r="D335" t="s">
        <v>9336</v>
      </c>
      <c r="E335" s="232" t="s">
        <v>10009</v>
      </c>
      <c r="F335" t="s">
        <v>71</v>
      </c>
      <c r="G335">
        <v>2</v>
      </c>
      <c r="H335">
        <v>654.56500000000005</v>
      </c>
      <c r="I335">
        <v>650.67499999999995</v>
      </c>
      <c r="J335">
        <v>646.88</v>
      </c>
      <c r="K335">
        <v>643.20399999999995</v>
      </c>
      <c r="L335">
        <v>637.13</v>
      </c>
      <c r="M335" s="233" t="s">
        <v>532</v>
      </c>
      <c r="N335" s="233" t="s">
        <v>533</v>
      </c>
      <c r="O335" s="3" t="s">
        <v>836</v>
      </c>
      <c r="BM335" s="127"/>
      <c r="BN335" s="127"/>
      <c r="BO335" s="127"/>
      <c r="BP335" s="127"/>
      <c r="BQ335" s="127"/>
      <c r="BR335" s="127"/>
      <c r="BS335" s="127"/>
      <c r="BT335" s="127"/>
      <c r="BU335" s="127"/>
      <c r="BV335" s="127"/>
      <c r="BW335" s="127"/>
      <c r="BX335" s="127"/>
      <c r="BY335" s="127"/>
      <c r="BZ335" s="127"/>
      <c r="CA335" s="127"/>
      <c r="ER335" s="127"/>
      <c r="ES335" s="127"/>
      <c r="ET335" s="127"/>
      <c r="EU335" s="127"/>
      <c r="EV335" s="127"/>
      <c r="EW335" s="127"/>
      <c r="EX335" s="127"/>
      <c r="EY335" s="127"/>
      <c r="EZ335" s="127"/>
      <c r="FA335" s="127"/>
      <c r="FB335" s="127"/>
      <c r="FC335" s="127"/>
      <c r="FD335" s="127"/>
      <c r="FE335" s="127"/>
      <c r="FF335" s="127"/>
      <c r="HW335" s="127"/>
      <c r="HX335" s="127"/>
      <c r="HY335" s="127"/>
      <c r="HZ335" s="127"/>
      <c r="IA335" s="127"/>
      <c r="IB335" s="127"/>
      <c r="IC335" s="127"/>
      <c r="ID335" s="127"/>
      <c r="IE335" s="127"/>
      <c r="IF335" s="127"/>
      <c r="IG335" s="127"/>
      <c r="IH335" s="127"/>
      <c r="II335" s="127"/>
      <c r="IJ335" s="127"/>
      <c r="IK335" s="127"/>
      <c r="LB335" s="127"/>
      <c r="LC335" s="127"/>
      <c r="LD335" s="127"/>
      <c r="LE335" s="127"/>
      <c r="LF335" s="127"/>
      <c r="LG335" s="127"/>
      <c r="LH335" s="127"/>
      <c r="LI335" s="127"/>
      <c r="LJ335" s="127"/>
      <c r="LK335" s="127"/>
      <c r="LL335" s="127"/>
      <c r="LM335" s="127"/>
      <c r="LN335" s="127"/>
      <c r="LO335" s="127"/>
      <c r="LP335" s="127"/>
      <c r="OG335" s="127"/>
      <c r="OH335" s="127"/>
      <c r="OI335" s="127"/>
      <c r="OJ335" s="127"/>
      <c r="OK335" s="127"/>
      <c r="OL335" s="127"/>
      <c r="OM335" s="127"/>
      <c r="ON335" s="127"/>
      <c r="OO335" s="127"/>
      <c r="OP335" s="127"/>
      <c r="OQ335" s="127"/>
      <c r="OR335" s="127"/>
      <c r="OS335" s="127"/>
      <c r="OT335" s="127"/>
      <c r="OU335" s="127"/>
    </row>
    <row r="336" spans="1:411">
      <c r="A336">
        <v>38</v>
      </c>
      <c r="B336">
        <v>569</v>
      </c>
      <c r="C336" t="s">
        <v>72</v>
      </c>
      <c r="D336" t="s">
        <v>9336</v>
      </c>
      <c r="E336" s="232" t="s">
        <v>10090</v>
      </c>
      <c r="F336" t="s">
        <v>71</v>
      </c>
      <c r="G336">
        <v>2</v>
      </c>
      <c r="H336">
        <v>651.24300000000005</v>
      </c>
      <c r="I336">
        <v>648.80799999999999</v>
      </c>
      <c r="J336">
        <v>646.58600000000001</v>
      </c>
      <c r="K336">
        <v>643.10599999999999</v>
      </c>
      <c r="L336">
        <v>638.35400000000004</v>
      </c>
      <c r="M336" s="233" t="s">
        <v>532</v>
      </c>
      <c r="N336" s="233" t="s">
        <v>533</v>
      </c>
      <c r="O336" s="3" t="s">
        <v>837</v>
      </c>
      <c r="BM336" s="127"/>
      <c r="BN336" s="127"/>
      <c r="BO336" s="127"/>
      <c r="BP336" s="127"/>
      <c r="BQ336" s="127"/>
      <c r="BR336" s="127"/>
      <c r="BS336" s="127"/>
      <c r="BT336" s="127"/>
      <c r="BU336" s="127"/>
      <c r="BV336" s="127"/>
      <c r="BW336" s="127"/>
      <c r="BX336" s="127"/>
      <c r="BY336" s="127"/>
      <c r="BZ336" s="127"/>
      <c r="CA336" s="127"/>
      <c r="ER336" s="127"/>
      <c r="ES336" s="127"/>
      <c r="ET336" s="127"/>
      <c r="EU336" s="127"/>
      <c r="EV336" s="127"/>
      <c r="EW336" s="127"/>
      <c r="EX336" s="127"/>
      <c r="EY336" s="127"/>
      <c r="EZ336" s="127"/>
      <c r="FA336" s="127"/>
      <c r="FB336" s="127"/>
      <c r="FC336" s="127"/>
      <c r="FD336" s="127"/>
      <c r="FE336" s="127"/>
      <c r="FF336" s="127"/>
      <c r="HW336" s="127"/>
      <c r="HX336" s="127"/>
      <c r="HY336" s="127"/>
      <c r="HZ336" s="127"/>
      <c r="IA336" s="127"/>
      <c r="IB336" s="127"/>
      <c r="IC336" s="127"/>
      <c r="ID336" s="127"/>
      <c r="IE336" s="127"/>
      <c r="IF336" s="127"/>
      <c r="IG336" s="127"/>
      <c r="IH336" s="127"/>
      <c r="II336" s="127"/>
      <c r="IJ336" s="127"/>
      <c r="IK336" s="127"/>
      <c r="LB336" s="127"/>
      <c r="LC336" s="127"/>
      <c r="LD336" s="127"/>
      <c r="LE336" s="127"/>
      <c r="LF336" s="127"/>
      <c r="LG336" s="127"/>
      <c r="LH336" s="127"/>
      <c r="LI336" s="127"/>
      <c r="LJ336" s="127"/>
      <c r="LK336" s="127"/>
      <c r="LL336" s="127"/>
      <c r="LM336" s="127"/>
      <c r="LN336" s="127"/>
      <c r="LO336" s="127"/>
      <c r="LP336" s="127"/>
      <c r="OG336" s="127"/>
      <c r="OH336" s="127"/>
      <c r="OI336" s="127"/>
      <c r="OJ336" s="127"/>
      <c r="OK336" s="127"/>
      <c r="OL336" s="127"/>
      <c r="OM336" s="127"/>
      <c r="ON336" s="127"/>
      <c r="OO336" s="127"/>
      <c r="OP336" s="127"/>
      <c r="OQ336" s="127"/>
      <c r="OR336" s="127"/>
      <c r="OS336" s="127"/>
      <c r="OT336" s="127"/>
      <c r="OU336" s="127"/>
    </row>
    <row r="337" spans="1:411">
      <c r="A337">
        <v>38</v>
      </c>
      <c r="B337">
        <v>594</v>
      </c>
      <c r="C337" t="s">
        <v>72</v>
      </c>
      <c r="D337" t="s">
        <v>9336</v>
      </c>
      <c r="E337" s="232" t="s">
        <v>10047</v>
      </c>
      <c r="F337" t="s">
        <v>71</v>
      </c>
      <c r="G337">
        <v>2</v>
      </c>
      <c r="H337">
        <v>653.601</v>
      </c>
      <c r="I337">
        <v>650.38099999999997</v>
      </c>
      <c r="J337">
        <v>646.58600000000001</v>
      </c>
      <c r="K337">
        <v>640.48</v>
      </c>
      <c r="L337">
        <v>632.59</v>
      </c>
      <c r="M337" s="233" t="s">
        <v>532</v>
      </c>
      <c r="N337" s="233" t="s">
        <v>533</v>
      </c>
      <c r="O337" s="3" t="s">
        <v>838</v>
      </c>
      <c r="BM337" s="127"/>
      <c r="BN337" s="127"/>
      <c r="BO337" s="127"/>
      <c r="BP337" s="127"/>
      <c r="BQ337" s="127"/>
      <c r="BR337" s="127"/>
      <c r="BS337" s="127"/>
      <c r="BT337" s="127"/>
      <c r="BU337" s="127"/>
      <c r="BV337" s="127"/>
      <c r="BW337" s="127"/>
      <c r="BX337" s="127"/>
      <c r="BY337" s="127"/>
      <c r="BZ337" s="127"/>
      <c r="CA337" s="127"/>
      <c r="ER337" s="127"/>
      <c r="ES337" s="127"/>
      <c r="ET337" s="127"/>
      <c r="EU337" s="127"/>
      <c r="EV337" s="127"/>
      <c r="EW337" s="127"/>
      <c r="EX337" s="127"/>
      <c r="EY337" s="127"/>
      <c r="EZ337" s="127"/>
      <c r="FA337" s="127"/>
      <c r="FB337" s="127"/>
      <c r="FC337" s="127"/>
      <c r="FD337" s="127"/>
      <c r="FE337" s="127"/>
      <c r="FF337" s="127"/>
      <c r="HW337" s="127"/>
      <c r="HX337" s="127"/>
      <c r="HY337" s="127"/>
      <c r="HZ337" s="127"/>
      <c r="IA337" s="127"/>
      <c r="IB337" s="127"/>
      <c r="IC337" s="127"/>
      <c r="ID337" s="127"/>
      <c r="IE337" s="127"/>
      <c r="IF337" s="127"/>
      <c r="IG337" s="127"/>
      <c r="IH337" s="127"/>
      <c r="II337" s="127"/>
      <c r="IJ337" s="127"/>
      <c r="IK337" s="127"/>
      <c r="LB337" s="127"/>
      <c r="LC337" s="127"/>
      <c r="LD337" s="127"/>
      <c r="LE337" s="127"/>
      <c r="LF337" s="127"/>
      <c r="LG337" s="127"/>
      <c r="LH337" s="127"/>
      <c r="LI337" s="127"/>
      <c r="LJ337" s="127"/>
      <c r="LK337" s="127"/>
      <c r="LL337" s="127"/>
      <c r="LM337" s="127"/>
      <c r="LN337" s="127"/>
      <c r="LO337" s="127"/>
      <c r="LP337" s="127"/>
      <c r="OG337" s="127"/>
      <c r="OH337" s="127"/>
      <c r="OI337" s="127"/>
      <c r="OJ337" s="127"/>
      <c r="OK337" s="127"/>
      <c r="OL337" s="127"/>
      <c r="OM337" s="127"/>
      <c r="ON337" s="127"/>
      <c r="OO337" s="127"/>
      <c r="OP337" s="127"/>
      <c r="OQ337" s="127"/>
      <c r="OR337" s="127"/>
      <c r="OS337" s="127"/>
      <c r="OT337" s="127"/>
      <c r="OU337" s="127"/>
    </row>
    <row r="338" spans="1:411">
      <c r="A338">
        <v>38</v>
      </c>
      <c r="B338">
        <v>557</v>
      </c>
      <c r="C338" t="s">
        <v>72</v>
      </c>
      <c r="D338" t="s">
        <v>9336</v>
      </c>
      <c r="E338" s="232" t="s">
        <v>10189</v>
      </c>
      <c r="F338" t="s">
        <v>71</v>
      </c>
      <c r="G338">
        <v>2</v>
      </c>
      <c r="H338">
        <v>646.97900000000004</v>
      </c>
      <c r="I338">
        <v>645.95799999999997</v>
      </c>
      <c r="J338">
        <v>644.86599999999999</v>
      </c>
      <c r="K338">
        <v>642.91099999999994</v>
      </c>
      <c r="L338">
        <v>641.12300000000005</v>
      </c>
      <c r="M338" s="233" t="s">
        <v>532</v>
      </c>
      <c r="N338" s="233" t="s">
        <v>533</v>
      </c>
      <c r="O338" s="3" t="s">
        <v>839</v>
      </c>
      <c r="BM338" s="127"/>
      <c r="BN338" s="127"/>
      <c r="BO338" s="127"/>
      <c r="BP338" s="127"/>
      <c r="BQ338" s="127"/>
      <c r="BR338" s="127"/>
      <c r="BS338" s="127"/>
      <c r="BT338" s="127"/>
      <c r="BU338" s="127"/>
      <c r="BV338" s="127"/>
      <c r="BW338" s="127"/>
      <c r="BX338" s="127"/>
      <c r="BY338" s="127"/>
      <c r="BZ338" s="127"/>
      <c r="CA338" s="127"/>
      <c r="ER338" s="127"/>
      <c r="ES338" s="127"/>
      <c r="ET338" s="127"/>
      <c r="EU338" s="127"/>
      <c r="EV338" s="127"/>
      <c r="EW338" s="127"/>
      <c r="EX338" s="127"/>
      <c r="EY338" s="127"/>
      <c r="EZ338" s="127"/>
      <c r="FA338" s="127"/>
      <c r="FB338" s="127"/>
      <c r="FC338" s="127"/>
      <c r="FD338" s="127"/>
      <c r="FE338" s="127"/>
      <c r="FF338" s="127"/>
      <c r="HW338" s="127"/>
      <c r="HX338" s="127"/>
      <c r="HY338" s="127"/>
      <c r="HZ338" s="127"/>
      <c r="IA338" s="127"/>
      <c r="IB338" s="127"/>
      <c r="IC338" s="127"/>
      <c r="ID338" s="127"/>
      <c r="IE338" s="127"/>
      <c r="IF338" s="127"/>
      <c r="IG338" s="127"/>
      <c r="IH338" s="127"/>
      <c r="II338" s="127"/>
      <c r="IJ338" s="127"/>
      <c r="IK338" s="127"/>
      <c r="LB338" s="127"/>
      <c r="LC338" s="127"/>
      <c r="LD338" s="127"/>
      <c r="LE338" s="127"/>
      <c r="LF338" s="127"/>
      <c r="LG338" s="127"/>
      <c r="LH338" s="127"/>
      <c r="LI338" s="127"/>
      <c r="LJ338" s="127"/>
      <c r="LK338" s="127"/>
      <c r="LL338" s="127"/>
      <c r="LM338" s="127"/>
      <c r="LN338" s="127"/>
      <c r="LO338" s="127"/>
      <c r="LP338" s="127"/>
      <c r="OG338" s="127"/>
      <c r="OH338" s="127"/>
      <c r="OI338" s="127"/>
      <c r="OJ338" s="127"/>
      <c r="OK338" s="127"/>
      <c r="OL338" s="127"/>
      <c r="OM338" s="127"/>
      <c r="ON338" s="127"/>
      <c r="OO338" s="127"/>
      <c r="OP338" s="127"/>
      <c r="OQ338" s="127"/>
      <c r="OR338" s="127"/>
      <c r="OS338" s="127"/>
      <c r="OT338" s="127"/>
      <c r="OU338" s="127"/>
    </row>
    <row r="339" spans="1:411">
      <c r="A339">
        <v>38</v>
      </c>
      <c r="B339">
        <v>559</v>
      </c>
      <c r="C339" t="s">
        <v>72</v>
      </c>
      <c r="D339" t="s">
        <v>9336</v>
      </c>
      <c r="E339" s="232" t="s">
        <v>10121</v>
      </c>
      <c r="F339" t="s">
        <v>71</v>
      </c>
      <c r="G339">
        <v>2</v>
      </c>
      <c r="H339">
        <v>653.11800000000005</v>
      </c>
      <c r="I339">
        <v>649.11300000000006</v>
      </c>
      <c r="J339">
        <v>641.66700000000003</v>
      </c>
      <c r="K339">
        <v>638.74599999999998</v>
      </c>
      <c r="L339">
        <v>636.00099999999998</v>
      </c>
      <c r="M339" s="233" t="s">
        <v>532</v>
      </c>
      <c r="N339" s="233" t="s">
        <v>533</v>
      </c>
      <c r="O339" s="3" t="s">
        <v>840</v>
      </c>
      <c r="BM339" s="127"/>
      <c r="BN339" s="127"/>
      <c r="BO339" s="127"/>
      <c r="BP339" s="127"/>
      <c r="BQ339" s="127"/>
      <c r="BR339" s="127"/>
      <c r="BS339" s="127"/>
      <c r="BT339" s="127"/>
      <c r="BU339" s="127"/>
      <c r="BV339" s="127"/>
      <c r="BW339" s="127"/>
      <c r="BX339" s="127"/>
      <c r="BY339" s="127"/>
      <c r="BZ339" s="127"/>
      <c r="CA339" s="127"/>
      <c r="ER339" s="127"/>
      <c r="ES339" s="127"/>
      <c r="ET339" s="127"/>
      <c r="EU339" s="127"/>
      <c r="EV339" s="127"/>
      <c r="EW339" s="127"/>
      <c r="EX339" s="127"/>
      <c r="EY339" s="127"/>
      <c r="EZ339" s="127"/>
      <c r="FA339" s="127"/>
      <c r="FB339" s="127"/>
      <c r="FC339" s="127"/>
      <c r="FD339" s="127"/>
      <c r="FE339" s="127"/>
      <c r="FF339" s="127"/>
      <c r="HW339" s="127"/>
      <c r="HX339" s="127"/>
      <c r="HY339" s="127"/>
      <c r="HZ339" s="127"/>
      <c r="IA339" s="127"/>
      <c r="IB339" s="127"/>
      <c r="IC339" s="127"/>
      <c r="ID339" s="127"/>
      <c r="IE339" s="127"/>
      <c r="IF339" s="127"/>
      <c r="IG339" s="127"/>
      <c r="IH339" s="127"/>
      <c r="II339" s="127"/>
      <c r="IJ339" s="127"/>
      <c r="IK339" s="127"/>
      <c r="LB339" s="127"/>
      <c r="LC339" s="127"/>
      <c r="LD339" s="127"/>
      <c r="LE339" s="127"/>
      <c r="LF339" s="127"/>
      <c r="LG339" s="127"/>
      <c r="LH339" s="127"/>
      <c r="LI339" s="127"/>
      <c r="LJ339" s="127"/>
      <c r="LK339" s="127"/>
      <c r="LL339" s="127"/>
      <c r="LM339" s="127"/>
      <c r="LN339" s="127"/>
      <c r="LO339" s="127"/>
      <c r="LP339" s="127"/>
      <c r="OG339" s="127"/>
      <c r="OH339" s="127"/>
      <c r="OI339" s="127"/>
      <c r="OJ339" s="127"/>
      <c r="OK339" s="127"/>
      <c r="OL339" s="127"/>
      <c r="OM339" s="127"/>
      <c r="ON339" s="127"/>
      <c r="OO339" s="127"/>
      <c r="OP339" s="127"/>
      <c r="OQ339" s="127"/>
      <c r="OR339" s="127"/>
      <c r="OS339" s="127"/>
      <c r="OT339" s="127"/>
      <c r="OU339" s="127"/>
    </row>
    <row r="340" spans="1:411">
      <c r="A340">
        <v>38</v>
      </c>
      <c r="B340">
        <v>593</v>
      </c>
      <c r="C340" t="s">
        <v>72</v>
      </c>
      <c r="D340" t="s">
        <v>9336</v>
      </c>
      <c r="E340" s="232" t="s">
        <v>12022</v>
      </c>
      <c r="F340" t="s">
        <v>71</v>
      </c>
      <c r="G340">
        <v>2</v>
      </c>
      <c r="H340">
        <v>618.56799999999998</v>
      </c>
      <c r="I340">
        <v>616.65499999999997</v>
      </c>
      <c r="J340">
        <v>614.87900000000002</v>
      </c>
      <c r="K340">
        <v>611.077</v>
      </c>
      <c r="L340">
        <v>607.75099999999998</v>
      </c>
      <c r="M340" s="233" t="s">
        <v>532</v>
      </c>
      <c r="N340" s="233" t="s">
        <v>533</v>
      </c>
      <c r="O340" s="3" t="s">
        <v>841</v>
      </c>
      <c r="BM340" s="127"/>
      <c r="BN340" s="127"/>
      <c r="BO340" s="127"/>
      <c r="BP340" s="127"/>
      <c r="BQ340" s="127"/>
      <c r="BR340" s="127"/>
      <c r="BS340" s="127"/>
      <c r="BT340" s="127"/>
      <c r="BU340" s="127"/>
      <c r="BV340" s="127"/>
      <c r="BW340" s="127"/>
      <c r="BX340" s="127"/>
      <c r="BY340" s="127"/>
      <c r="BZ340" s="127"/>
      <c r="CA340" s="127"/>
      <c r="ER340" s="127"/>
      <c r="ES340" s="127"/>
      <c r="ET340" s="127"/>
      <c r="EU340" s="127"/>
      <c r="EV340" s="127"/>
      <c r="EW340" s="127"/>
      <c r="EX340" s="127"/>
      <c r="EY340" s="127"/>
      <c r="EZ340" s="127"/>
      <c r="FA340" s="127"/>
      <c r="FB340" s="127"/>
      <c r="FC340" s="127"/>
      <c r="FD340" s="127"/>
      <c r="FE340" s="127"/>
      <c r="FF340" s="127"/>
      <c r="HW340" s="127"/>
      <c r="HX340" s="127"/>
      <c r="HY340" s="127"/>
      <c r="HZ340" s="127"/>
      <c r="IA340" s="127"/>
      <c r="IB340" s="127"/>
      <c r="IC340" s="127"/>
      <c r="ID340" s="127"/>
      <c r="IE340" s="127"/>
      <c r="IF340" s="127"/>
      <c r="IG340" s="127"/>
      <c r="IH340" s="127"/>
      <c r="II340" s="127"/>
      <c r="IJ340" s="127"/>
      <c r="IK340" s="127"/>
      <c r="LB340" s="127"/>
      <c r="LC340" s="127"/>
      <c r="LD340" s="127"/>
      <c r="LE340" s="127"/>
      <c r="LF340" s="127"/>
      <c r="LG340" s="127"/>
      <c r="LH340" s="127"/>
      <c r="LI340" s="127"/>
      <c r="LJ340" s="127"/>
      <c r="LK340" s="127"/>
      <c r="LL340" s="127"/>
      <c r="LM340" s="127"/>
      <c r="LN340" s="127"/>
      <c r="LO340" s="127"/>
      <c r="LP340" s="127"/>
      <c r="OG340" s="127"/>
      <c r="OH340" s="127"/>
      <c r="OI340" s="127"/>
      <c r="OJ340" s="127"/>
      <c r="OK340" s="127"/>
      <c r="OL340" s="127"/>
      <c r="OM340" s="127"/>
      <c r="ON340" s="127"/>
      <c r="OO340" s="127"/>
      <c r="OP340" s="127"/>
      <c r="OQ340" s="127"/>
      <c r="OR340" s="127"/>
      <c r="OS340" s="127"/>
      <c r="OT340" s="127"/>
      <c r="OU340" s="127"/>
    </row>
    <row r="341" spans="1:411">
      <c r="A341">
        <v>38</v>
      </c>
      <c r="B341">
        <v>592</v>
      </c>
      <c r="C341" t="s">
        <v>72</v>
      </c>
      <c r="D341" t="s">
        <v>9336</v>
      </c>
      <c r="E341" s="232" t="s">
        <v>12187</v>
      </c>
      <c r="F341" t="s">
        <v>71</v>
      </c>
      <c r="G341">
        <v>2</v>
      </c>
      <c r="H341">
        <v>617.40800000000002</v>
      </c>
      <c r="I341">
        <v>613.91600000000005</v>
      </c>
      <c r="J341">
        <v>612.18299999999999</v>
      </c>
      <c r="K341">
        <v>610.92600000000004</v>
      </c>
      <c r="L341">
        <v>608.36699999999996</v>
      </c>
      <c r="M341" s="233" t="s">
        <v>532</v>
      </c>
      <c r="N341" s="233" t="s">
        <v>533</v>
      </c>
      <c r="O341" s="3" t="s">
        <v>842</v>
      </c>
      <c r="BM341" s="127"/>
      <c r="BN341" s="127"/>
      <c r="BO341" s="127"/>
      <c r="BP341" s="127"/>
      <c r="BQ341" s="127"/>
      <c r="BR341" s="127"/>
      <c r="BS341" s="127"/>
      <c r="BT341" s="127"/>
      <c r="BU341" s="127"/>
      <c r="BV341" s="127"/>
      <c r="BW341" s="127"/>
      <c r="BX341" s="127"/>
      <c r="BY341" s="127"/>
      <c r="BZ341" s="127"/>
      <c r="CA341" s="127"/>
      <c r="ER341" s="127"/>
      <c r="ES341" s="127"/>
      <c r="ET341" s="127"/>
      <c r="EU341" s="127"/>
      <c r="EV341" s="127"/>
      <c r="EW341" s="127"/>
      <c r="EX341" s="127"/>
      <c r="EY341" s="127"/>
      <c r="EZ341" s="127"/>
      <c r="FA341" s="127"/>
      <c r="FB341" s="127"/>
      <c r="FC341" s="127"/>
      <c r="FD341" s="127"/>
      <c r="FE341" s="127"/>
      <c r="FF341" s="127"/>
      <c r="HW341" s="127"/>
      <c r="HX341" s="127"/>
      <c r="HY341" s="127"/>
      <c r="HZ341" s="127"/>
      <c r="IA341" s="127"/>
      <c r="IB341" s="127"/>
      <c r="IC341" s="127"/>
      <c r="ID341" s="127"/>
      <c r="IE341" s="127"/>
      <c r="IF341" s="127"/>
      <c r="IG341" s="127"/>
      <c r="IH341" s="127"/>
      <c r="II341" s="127"/>
      <c r="IJ341" s="127"/>
      <c r="IK341" s="127"/>
      <c r="LB341" s="127"/>
      <c r="LC341" s="127"/>
      <c r="LD341" s="127"/>
      <c r="LE341" s="127"/>
      <c r="LF341" s="127"/>
      <c r="LG341" s="127"/>
      <c r="LH341" s="127"/>
      <c r="LI341" s="127"/>
      <c r="LJ341" s="127"/>
      <c r="LK341" s="127"/>
      <c r="LL341" s="127"/>
      <c r="LM341" s="127"/>
      <c r="LN341" s="127"/>
      <c r="LO341" s="127"/>
      <c r="LP341" s="127"/>
      <c r="OG341" s="127"/>
      <c r="OH341" s="127"/>
      <c r="OI341" s="127"/>
      <c r="OJ341" s="127"/>
      <c r="OK341" s="127"/>
      <c r="OL341" s="127"/>
      <c r="OM341" s="127"/>
      <c r="ON341" s="127"/>
      <c r="OO341" s="127"/>
      <c r="OP341" s="127"/>
      <c r="OQ341" s="127"/>
      <c r="OR341" s="127"/>
      <c r="OS341" s="127"/>
      <c r="OT341" s="127"/>
      <c r="OU341" s="127"/>
    </row>
    <row r="342" spans="1:411">
      <c r="A342">
        <v>38</v>
      </c>
      <c r="B342">
        <v>589</v>
      </c>
      <c r="C342" t="s">
        <v>72</v>
      </c>
      <c r="D342" t="s">
        <v>9336</v>
      </c>
      <c r="E342" s="232" t="s">
        <v>12242</v>
      </c>
      <c r="F342" t="s">
        <v>71</v>
      </c>
      <c r="G342">
        <v>2</v>
      </c>
      <c r="H342">
        <v>615.92200000000003</v>
      </c>
      <c r="I342">
        <v>613.23199999999997</v>
      </c>
      <c r="J342">
        <v>610.69200000000001</v>
      </c>
      <c r="K342">
        <v>608.50800000000004</v>
      </c>
      <c r="L342">
        <v>605.47299999999996</v>
      </c>
      <c r="M342" s="233" t="s">
        <v>532</v>
      </c>
      <c r="N342" s="233" t="s">
        <v>533</v>
      </c>
      <c r="O342" s="3" t="s">
        <v>843</v>
      </c>
      <c r="BM342" s="127"/>
      <c r="BN342" s="127"/>
      <c r="BO342" s="127"/>
      <c r="BP342" s="127"/>
      <c r="BQ342" s="127"/>
      <c r="BR342" s="127"/>
      <c r="BS342" s="127"/>
      <c r="BT342" s="127"/>
      <c r="BU342" s="127"/>
      <c r="BV342" s="127"/>
      <c r="BW342" s="127"/>
      <c r="BX342" s="127"/>
      <c r="BY342" s="127"/>
      <c r="BZ342" s="127"/>
      <c r="CA342" s="127"/>
      <c r="ER342" s="127"/>
      <c r="ES342" s="127"/>
      <c r="ET342" s="127"/>
      <c r="EU342" s="127"/>
      <c r="EV342" s="127"/>
      <c r="EW342" s="127"/>
      <c r="EX342" s="127"/>
      <c r="EY342" s="127"/>
      <c r="EZ342" s="127"/>
      <c r="FA342" s="127"/>
      <c r="FB342" s="127"/>
      <c r="FC342" s="127"/>
      <c r="FD342" s="127"/>
      <c r="FE342" s="127"/>
      <c r="FF342" s="127"/>
      <c r="HW342" s="127"/>
      <c r="HX342" s="127"/>
      <c r="HY342" s="127"/>
      <c r="HZ342" s="127"/>
      <c r="IA342" s="127"/>
      <c r="IB342" s="127"/>
      <c r="IC342" s="127"/>
      <c r="ID342" s="127"/>
      <c r="IE342" s="127"/>
      <c r="IF342" s="127"/>
      <c r="IG342" s="127"/>
      <c r="IH342" s="127"/>
      <c r="II342" s="127"/>
      <c r="IJ342" s="127"/>
      <c r="IK342" s="127"/>
      <c r="LB342" s="127"/>
      <c r="LC342" s="127"/>
      <c r="LD342" s="127"/>
      <c r="LE342" s="127"/>
      <c r="LF342" s="127"/>
      <c r="LG342" s="127"/>
      <c r="LH342" s="127"/>
      <c r="LI342" s="127"/>
      <c r="LJ342" s="127"/>
      <c r="LK342" s="127"/>
      <c r="LL342" s="127"/>
      <c r="LM342" s="127"/>
      <c r="LN342" s="127"/>
      <c r="LO342" s="127"/>
      <c r="LP342" s="127"/>
      <c r="OG342" s="127"/>
      <c r="OH342" s="127"/>
      <c r="OI342" s="127"/>
      <c r="OJ342" s="127"/>
      <c r="OK342" s="127"/>
      <c r="OL342" s="127"/>
      <c r="OM342" s="127"/>
      <c r="ON342" s="127"/>
      <c r="OO342" s="127"/>
      <c r="OP342" s="127"/>
      <c r="OQ342" s="127"/>
      <c r="OR342" s="127"/>
      <c r="OS342" s="127"/>
      <c r="OT342" s="127"/>
      <c r="OU342" s="127"/>
    </row>
    <row r="343" spans="1:411">
      <c r="A343">
        <v>38</v>
      </c>
      <c r="B343">
        <v>591</v>
      </c>
      <c r="C343" t="s">
        <v>72</v>
      </c>
      <c r="D343" t="s">
        <v>9336</v>
      </c>
      <c r="E343" s="232" t="s">
        <v>12275</v>
      </c>
      <c r="F343" t="s">
        <v>71</v>
      </c>
      <c r="G343">
        <v>2</v>
      </c>
      <c r="H343">
        <v>614.87900000000002</v>
      </c>
      <c r="I343">
        <v>612.32500000000005</v>
      </c>
      <c r="J343">
        <v>609.97199999999998</v>
      </c>
      <c r="K343">
        <v>607.75099999999998</v>
      </c>
      <c r="L343">
        <v>604.59799999999996</v>
      </c>
      <c r="M343" s="233" t="s">
        <v>532</v>
      </c>
      <c r="N343" s="233" t="s">
        <v>533</v>
      </c>
      <c r="O343" s="3" t="s">
        <v>844</v>
      </c>
      <c r="BM343" s="127"/>
      <c r="BN343" s="127"/>
      <c r="BO343" s="127"/>
      <c r="BP343" s="127"/>
      <c r="BQ343" s="127"/>
      <c r="BR343" s="127"/>
      <c r="BS343" s="127"/>
      <c r="BT343" s="127"/>
      <c r="BU343" s="127"/>
      <c r="BV343" s="127"/>
      <c r="BW343" s="127"/>
      <c r="BX343" s="127"/>
      <c r="BY343" s="127"/>
      <c r="BZ343" s="127"/>
      <c r="CA343" s="127"/>
      <c r="ER343" s="127"/>
      <c r="ES343" s="127"/>
      <c r="ET343" s="127"/>
      <c r="EU343" s="127"/>
      <c r="EV343" s="127"/>
      <c r="EW343" s="127"/>
      <c r="EX343" s="127"/>
      <c r="EY343" s="127"/>
      <c r="EZ343" s="127"/>
      <c r="FA343" s="127"/>
      <c r="FB343" s="127"/>
      <c r="FC343" s="127"/>
      <c r="FD343" s="127"/>
      <c r="FE343" s="127"/>
      <c r="FF343" s="127"/>
      <c r="HW343" s="127"/>
      <c r="HX343" s="127"/>
      <c r="HY343" s="127"/>
      <c r="HZ343" s="127"/>
      <c r="IA343" s="127"/>
      <c r="IB343" s="127"/>
      <c r="IC343" s="127"/>
      <c r="ID343" s="127"/>
      <c r="IE343" s="127"/>
      <c r="IF343" s="127"/>
      <c r="IG343" s="127"/>
      <c r="IH343" s="127"/>
      <c r="II343" s="127"/>
      <c r="IJ343" s="127"/>
      <c r="IK343" s="127"/>
      <c r="LB343" s="127"/>
      <c r="LC343" s="127"/>
      <c r="LD343" s="127"/>
      <c r="LE343" s="127"/>
      <c r="LF343" s="127"/>
      <c r="LG343" s="127"/>
      <c r="LH343" s="127"/>
      <c r="LI343" s="127"/>
      <c r="LJ343" s="127"/>
      <c r="LK343" s="127"/>
      <c r="LL343" s="127"/>
      <c r="LM343" s="127"/>
      <c r="LN343" s="127"/>
      <c r="LO343" s="127"/>
      <c r="LP343" s="127"/>
      <c r="OG343" s="127"/>
      <c r="OH343" s="127"/>
      <c r="OI343" s="127"/>
      <c r="OJ343" s="127"/>
      <c r="OK343" s="127"/>
      <c r="OL343" s="127"/>
      <c r="OM343" s="127"/>
      <c r="ON343" s="127"/>
      <c r="OO343" s="127"/>
      <c r="OP343" s="127"/>
      <c r="OQ343" s="127"/>
      <c r="OR343" s="127"/>
      <c r="OS343" s="127"/>
      <c r="OT343" s="127"/>
      <c r="OU343" s="127"/>
    </row>
    <row r="344" spans="1:411">
      <c r="A344">
        <v>38</v>
      </c>
      <c r="B344">
        <v>581</v>
      </c>
      <c r="C344" t="s">
        <v>72</v>
      </c>
      <c r="D344" t="s">
        <v>9336</v>
      </c>
      <c r="E344" s="232" t="s">
        <v>12281</v>
      </c>
      <c r="F344" t="s">
        <v>71</v>
      </c>
      <c r="G344">
        <v>2</v>
      </c>
      <c r="H344">
        <v>616.16399999999999</v>
      </c>
      <c r="I344">
        <v>612.32500000000005</v>
      </c>
      <c r="J344">
        <v>609.68100000000004</v>
      </c>
      <c r="K344">
        <v>607.31700000000001</v>
      </c>
      <c r="L344">
        <v>604.13699999999994</v>
      </c>
      <c r="M344" s="233" t="s">
        <v>532</v>
      </c>
      <c r="N344" s="233" t="s">
        <v>533</v>
      </c>
      <c r="O344" s="3" t="s">
        <v>845</v>
      </c>
      <c r="BM344" s="127"/>
      <c r="BN344" s="127"/>
      <c r="BO344" s="127"/>
      <c r="BP344" s="127"/>
      <c r="BQ344" s="127"/>
      <c r="BR344" s="127"/>
      <c r="BS344" s="127"/>
      <c r="BT344" s="127"/>
      <c r="BU344" s="127"/>
      <c r="BV344" s="127"/>
      <c r="BW344" s="127"/>
      <c r="BX344" s="127"/>
      <c r="BY344" s="127"/>
      <c r="BZ344" s="127"/>
      <c r="CA344" s="127"/>
      <c r="ER344" s="127"/>
      <c r="ES344" s="127"/>
      <c r="ET344" s="127"/>
      <c r="EU344" s="127"/>
      <c r="EV344" s="127"/>
      <c r="EW344" s="127"/>
      <c r="EX344" s="127"/>
      <c r="EY344" s="127"/>
      <c r="EZ344" s="127"/>
      <c r="FA344" s="127"/>
      <c r="FB344" s="127"/>
      <c r="FC344" s="127"/>
      <c r="FD344" s="127"/>
      <c r="FE344" s="127"/>
      <c r="FF344" s="127"/>
      <c r="HW344" s="127"/>
      <c r="HX344" s="127"/>
      <c r="HY344" s="127"/>
      <c r="HZ344" s="127"/>
      <c r="IA344" s="127"/>
      <c r="IB344" s="127"/>
      <c r="IC344" s="127"/>
      <c r="ID344" s="127"/>
      <c r="IE344" s="127"/>
      <c r="IF344" s="127"/>
      <c r="IG344" s="127"/>
      <c r="IH344" s="127"/>
      <c r="II344" s="127"/>
      <c r="IJ344" s="127"/>
      <c r="IK344" s="127"/>
      <c r="LB344" s="127"/>
      <c r="LC344" s="127"/>
      <c r="LD344" s="127"/>
      <c r="LE344" s="127"/>
      <c r="LF344" s="127"/>
      <c r="LG344" s="127"/>
      <c r="LH344" s="127"/>
      <c r="LI344" s="127"/>
      <c r="LJ344" s="127"/>
      <c r="LK344" s="127"/>
      <c r="LL344" s="127"/>
      <c r="LM344" s="127"/>
      <c r="LN344" s="127"/>
      <c r="LO344" s="127"/>
      <c r="LP344" s="127"/>
      <c r="OG344" s="127"/>
      <c r="OH344" s="127"/>
      <c r="OI344" s="127"/>
      <c r="OJ344" s="127"/>
      <c r="OK344" s="127"/>
      <c r="OL344" s="127"/>
      <c r="OM344" s="127"/>
      <c r="ON344" s="127"/>
      <c r="OO344" s="127"/>
      <c r="OP344" s="127"/>
      <c r="OQ344" s="127"/>
      <c r="OR344" s="127"/>
      <c r="OS344" s="127"/>
      <c r="OT344" s="127"/>
      <c r="OU344" s="127"/>
    </row>
    <row r="345" spans="1:411">
      <c r="A345">
        <v>47</v>
      </c>
      <c r="B345">
        <v>624</v>
      </c>
      <c r="C345" t="s">
        <v>72</v>
      </c>
      <c r="D345" t="s">
        <v>217</v>
      </c>
      <c r="E345" s="232" t="s">
        <v>7250</v>
      </c>
      <c r="F345" t="s">
        <v>70</v>
      </c>
      <c r="G345">
        <v>2</v>
      </c>
      <c r="H345">
        <v>674.23800000000006</v>
      </c>
      <c r="I345">
        <v>672.08199999999999</v>
      </c>
      <c r="J345">
        <v>668.94200000000001</v>
      </c>
      <c r="K345">
        <v>666.53</v>
      </c>
      <c r="L345">
        <v>664.74400000000003</v>
      </c>
      <c r="M345" s="233" t="s">
        <v>530</v>
      </c>
      <c r="N345" s="233" t="s">
        <v>531</v>
      </c>
      <c r="O345" s="3" t="s">
        <v>846</v>
      </c>
      <c r="BM345" s="127"/>
      <c r="BN345" s="127"/>
      <c r="BO345" s="127"/>
      <c r="BP345" s="127"/>
      <c r="BQ345" s="127"/>
      <c r="BR345" s="127"/>
      <c r="BS345" s="127"/>
      <c r="BT345" s="127"/>
      <c r="BU345" s="127"/>
      <c r="BV345" s="127"/>
      <c r="BW345" s="127"/>
      <c r="BX345" s="127"/>
      <c r="BY345" s="127"/>
      <c r="BZ345" s="127"/>
      <c r="CA345" s="127"/>
      <c r="ER345" s="127"/>
      <c r="ES345" s="127"/>
      <c r="ET345" s="127"/>
      <c r="EU345" s="127"/>
      <c r="EV345" s="127"/>
      <c r="EW345" s="127"/>
      <c r="EX345" s="127"/>
      <c r="EY345" s="127"/>
      <c r="EZ345" s="127"/>
      <c r="FA345" s="127"/>
      <c r="FB345" s="127"/>
      <c r="FC345" s="127"/>
      <c r="FD345" s="127"/>
      <c r="FE345" s="127"/>
      <c r="FF345" s="127"/>
      <c r="HW345" s="127"/>
      <c r="HX345" s="127"/>
      <c r="HY345" s="127"/>
      <c r="HZ345" s="127"/>
      <c r="IA345" s="127"/>
      <c r="IB345" s="127"/>
      <c r="IC345" s="127"/>
      <c r="ID345" s="127"/>
      <c r="IE345" s="127"/>
      <c r="IF345" s="127"/>
      <c r="IG345" s="127"/>
      <c r="IH345" s="127"/>
      <c r="II345" s="127"/>
      <c r="IJ345" s="127"/>
      <c r="IK345" s="127"/>
      <c r="LB345" s="127"/>
      <c r="LC345" s="127"/>
      <c r="LD345" s="127"/>
      <c r="LE345" s="127"/>
      <c r="LF345" s="127"/>
      <c r="LG345" s="127"/>
      <c r="LH345" s="127"/>
      <c r="LI345" s="127"/>
      <c r="LJ345" s="127"/>
      <c r="LK345" s="127"/>
      <c r="LL345" s="127"/>
      <c r="LM345" s="127"/>
      <c r="LN345" s="127"/>
      <c r="LO345" s="127"/>
      <c r="LP345" s="127"/>
      <c r="OG345" s="127"/>
      <c r="OH345" s="127"/>
      <c r="OI345" s="127"/>
      <c r="OJ345" s="127"/>
      <c r="OK345" s="127"/>
      <c r="OL345" s="127"/>
      <c r="OM345" s="127"/>
      <c r="ON345" s="127"/>
      <c r="OO345" s="127"/>
      <c r="OP345" s="127"/>
      <c r="OQ345" s="127"/>
      <c r="OR345" s="127"/>
      <c r="OS345" s="127"/>
      <c r="OT345" s="127"/>
      <c r="OU345" s="127"/>
    </row>
    <row r="346" spans="1:411">
      <c r="A346">
        <v>47</v>
      </c>
      <c r="B346">
        <v>625</v>
      </c>
      <c r="C346" t="s">
        <v>72</v>
      </c>
      <c r="D346" t="s">
        <v>217</v>
      </c>
      <c r="E346" s="232" t="s">
        <v>7825</v>
      </c>
      <c r="F346" t="s">
        <v>70</v>
      </c>
      <c r="G346">
        <v>2</v>
      </c>
      <c r="H346">
        <v>673.73800000000006</v>
      </c>
      <c r="I346">
        <v>671.41399999999999</v>
      </c>
      <c r="J346">
        <v>668.02499999999998</v>
      </c>
      <c r="K346">
        <v>666.27499999999998</v>
      </c>
      <c r="L346">
        <v>664.48599999999999</v>
      </c>
      <c r="M346" s="233" t="s">
        <v>530</v>
      </c>
      <c r="N346" s="233" t="s">
        <v>531</v>
      </c>
      <c r="O346" s="3" t="s">
        <v>847</v>
      </c>
      <c r="BM346" s="127"/>
      <c r="BN346" s="127"/>
      <c r="BO346" s="127"/>
      <c r="BP346" s="127"/>
      <c r="BQ346" s="127"/>
      <c r="BR346" s="127"/>
      <c r="BS346" s="127"/>
      <c r="BT346" s="127"/>
      <c r="BU346" s="127"/>
      <c r="BV346" s="127"/>
      <c r="BW346" s="127"/>
      <c r="BX346" s="127"/>
      <c r="BY346" s="127"/>
      <c r="BZ346" s="127"/>
      <c r="CA346" s="127"/>
      <c r="ER346" s="127"/>
      <c r="ES346" s="127"/>
      <c r="ET346" s="127"/>
      <c r="EU346" s="127"/>
      <c r="EV346" s="127"/>
      <c r="EW346" s="127"/>
      <c r="EX346" s="127"/>
      <c r="EY346" s="127"/>
      <c r="EZ346" s="127"/>
      <c r="FA346" s="127"/>
      <c r="FB346" s="127"/>
      <c r="FC346" s="127"/>
      <c r="FD346" s="127"/>
      <c r="FE346" s="127"/>
      <c r="FF346" s="127"/>
      <c r="HW346" s="127"/>
      <c r="HX346" s="127"/>
      <c r="HY346" s="127"/>
      <c r="HZ346" s="127"/>
      <c r="IA346" s="127"/>
      <c r="IB346" s="127"/>
      <c r="IC346" s="127"/>
      <c r="ID346" s="127"/>
      <c r="IE346" s="127"/>
      <c r="IF346" s="127"/>
      <c r="IG346" s="127"/>
      <c r="IH346" s="127"/>
      <c r="II346" s="127"/>
      <c r="IJ346" s="127"/>
      <c r="IK346" s="127"/>
      <c r="LB346" s="127"/>
      <c r="LC346" s="127"/>
      <c r="LD346" s="127"/>
      <c r="LE346" s="127"/>
      <c r="LF346" s="127"/>
      <c r="LG346" s="127"/>
      <c r="LH346" s="127"/>
      <c r="LI346" s="127"/>
      <c r="LJ346" s="127"/>
      <c r="LK346" s="127"/>
      <c r="LL346" s="127"/>
      <c r="LM346" s="127"/>
      <c r="LN346" s="127"/>
      <c r="LO346" s="127"/>
      <c r="LP346" s="127"/>
      <c r="OG346" s="127"/>
      <c r="OH346" s="127"/>
      <c r="OI346" s="127"/>
      <c r="OJ346" s="127"/>
      <c r="OK346" s="127"/>
      <c r="OL346" s="127"/>
      <c r="OM346" s="127"/>
      <c r="ON346" s="127"/>
      <c r="OO346" s="127"/>
      <c r="OP346" s="127"/>
      <c r="OQ346" s="127"/>
      <c r="OR346" s="127"/>
      <c r="OS346" s="127"/>
      <c r="OT346" s="127"/>
      <c r="OU346" s="127"/>
    </row>
    <row r="347" spans="1:411">
      <c r="A347">
        <v>47</v>
      </c>
      <c r="B347">
        <v>622</v>
      </c>
      <c r="C347" t="s">
        <v>72</v>
      </c>
      <c r="D347" t="s">
        <v>217</v>
      </c>
      <c r="E347" s="232" t="s">
        <v>16600</v>
      </c>
      <c r="F347" t="s">
        <v>70</v>
      </c>
      <c r="G347">
        <v>2</v>
      </c>
      <c r="H347">
        <v>670.84799999999996</v>
      </c>
      <c r="I347">
        <v>668.02499999999998</v>
      </c>
      <c r="J347">
        <v>666.27499999999998</v>
      </c>
      <c r="K347">
        <v>664.048</v>
      </c>
      <c r="L347">
        <v>662.14200000000005</v>
      </c>
      <c r="M347" s="233" t="s">
        <v>530</v>
      </c>
      <c r="N347" s="233" t="s">
        <v>531</v>
      </c>
      <c r="O347" s="3" t="s">
        <v>848</v>
      </c>
      <c r="BM347" s="127"/>
      <c r="BN347" s="127"/>
      <c r="BO347" s="127"/>
      <c r="BP347" s="127"/>
      <c r="BQ347" s="127"/>
      <c r="BR347" s="127"/>
      <c r="BS347" s="127"/>
      <c r="BT347" s="127"/>
      <c r="BU347" s="127"/>
      <c r="BV347" s="127"/>
      <c r="BW347" s="127"/>
      <c r="BX347" s="127"/>
      <c r="BY347" s="127"/>
      <c r="BZ347" s="127"/>
      <c r="CA347" s="127"/>
      <c r="ER347" s="127"/>
      <c r="ES347" s="127"/>
      <c r="ET347" s="127"/>
      <c r="EU347" s="127"/>
      <c r="EV347" s="127"/>
      <c r="EW347" s="127"/>
      <c r="EX347" s="127"/>
      <c r="EY347" s="127"/>
      <c r="EZ347" s="127"/>
      <c r="FA347" s="127"/>
      <c r="FB347" s="127"/>
      <c r="FC347" s="127"/>
      <c r="FD347" s="127"/>
      <c r="FE347" s="127"/>
      <c r="FF347" s="127"/>
      <c r="HW347" s="127"/>
      <c r="HX347" s="127"/>
      <c r="HY347" s="127"/>
      <c r="HZ347" s="127"/>
      <c r="IA347" s="127"/>
      <c r="IB347" s="127"/>
      <c r="IC347" s="127"/>
      <c r="ID347" s="127"/>
      <c r="IE347" s="127"/>
      <c r="IF347" s="127"/>
      <c r="IG347" s="127"/>
      <c r="IH347" s="127"/>
      <c r="II347" s="127"/>
      <c r="IJ347" s="127"/>
      <c r="IK347" s="127"/>
      <c r="LB347" s="127"/>
      <c r="LC347" s="127"/>
      <c r="LD347" s="127"/>
      <c r="LE347" s="127"/>
      <c r="LF347" s="127"/>
      <c r="LG347" s="127"/>
      <c r="LH347" s="127"/>
      <c r="LI347" s="127"/>
      <c r="LJ347" s="127"/>
      <c r="LK347" s="127"/>
      <c r="LL347" s="127"/>
      <c r="LM347" s="127"/>
      <c r="LN347" s="127"/>
      <c r="LO347" s="127"/>
      <c r="LP347" s="127"/>
      <c r="OG347" s="127"/>
      <c r="OH347" s="127"/>
      <c r="OI347" s="127"/>
      <c r="OJ347" s="127"/>
      <c r="OK347" s="127"/>
      <c r="OL347" s="127"/>
      <c r="OM347" s="127"/>
      <c r="ON347" s="127"/>
      <c r="OO347" s="127"/>
      <c r="OP347" s="127"/>
      <c r="OQ347" s="127"/>
      <c r="OR347" s="127"/>
      <c r="OS347" s="127"/>
      <c r="OT347" s="127"/>
      <c r="OU347" s="127"/>
    </row>
    <row r="348" spans="1:411">
      <c r="A348">
        <v>47</v>
      </c>
      <c r="B348">
        <v>618</v>
      </c>
      <c r="C348" t="s">
        <v>72</v>
      </c>
      <c r="D348" t="s">
        <v>217</v>
      </c>
      <c r="E348" s="232" t="s">
        <v>9345</v>
      </c>
      <c r="F348" t="s">
        <v>70</v>
      </c>
      <c r="G348">
        <v>2</v>
      </c>
      <c r="H348">
        <v>671.41399999999999</v>
      </c>
      <c r="I348">
        <v>669.06</v>
      </c>
      <c r="J348">
        <v>665.745</v>
      </c>
      <c r="K348">
        <v>663.18200000000002</v>
      </c>
      <c r="L348">
        <v>657.87599999999998</v>
      </c>
      <c r="M348" s="233" t="s">
        <v>530</v>
      </c>
      <c r="N348" s="233" t="s">
        <v>531</v>
      </c>
      <c r="O348" s="3" t="s">
        <v>849</v>
      </c>
      <c r="BM348" s="127"/>
      <c r="BN348" s="127"/>
      <c r="BO348" s="127"/>
      <c r="BP348" s="127"/>
      <c r="BQ348" s="127"/>
      <c r="BR348" s="127"/>
      <c r="BS348" s="127"/>
      <c r="BT348" s="127"/>
      <c r="BU348" s="127"/>
      <c r="BV348" s="127"/>
      <c r="BW348" s="127"/>
      <c r="BX348" s="127"/>
      <c r="BY348" s="127"/>
      <c r="BZ348" s="127"/>
      <c r="CA348" s="127"/>
      <c r="ER348" s="127"/>
      <c r="ES348" s="127"/>
      <c r="ET348" s="127"/>
      <c r="EU348" s="127"/>
      <c r="EV348" s="127"/>
      <c r="EW348" s="127"/>
      <c r="EX348" s="127"/>
      <c r="EY348" s="127"/>
      <c r="EZ348" s="127"/>
      <c r="FA348" s="127"/>
      <c r="FB348" s="127"/>
      <c r="FC348" s="127"/>
      <c r="FD348" s="127"/>
      <c r="FE348" s="127"/>
      <c r="FF348" s="127"/>
      <c r="HW348" s="127"/>
      <c r="HX348" s="127"/>
      <c r="HY348" s="127"/>
      <c r="HZ348" s="127"/>
      <c r="IA348" s="127"/>
      <c r="IB348" s="127"/>
      <c r="IC348" s="127"/>
      <c r="ID348" s="127"/>
      <c r="IE348" s="127"/>
      <c r="IF348" s="127"/>
      <c r="IG348" s="127"/>
      <c r="IH348" s="127"/>
      <c r="II348" s="127"/>
      <c r="IJ348" s="127"/>
      <c r="IK348" s="127"/>
      <c r="LB348" s="127"/>
      <c r="LC348" s="127"/>
      <c r="LD348" s="127"/>
      <c r="LE348" s="127"/>
      <c r="LF348" s="127"/>
      <c r="LG348" s="127"/>
      <c r="LH348" s="127"/>
      <c r="LI348" s="127"/>
      <c r="LJ348" s="127"/>
      <c r="LK348" s="127"/>
      <c r="LL348" s="127"/>
      <c r="LM348" s="127"/>
      <c r="LN348" s="127"/>
      <c r="LO348" s="127"/>
      <c r="LP348" s="127"/>
      <c r="OG348" s="127"/>
      <c r="OH348" s="127"/>
      <c r="OI348" s="127"/>
      <c r="OJ348" s="127"/>
      <c r="OK348" s="127"/>
      <c r="OL348" s="127"/>
      <c r="OM348" s="127"/>
      <c r="ON348" s="127"/>
      <c r="OO348" s="127"/>
      <c r="OP348" s="127"/>
      <c r="OQ348" s="127"/>
      <c r="OR348" s="127"/>
      <c r="OS348" s="127"/>
      <c r="OT348" s="127"/>
      <c r="OU348" s="127"/>
    </row>
    <row r="349" spans="1:411">
      <c r="A349">
        <v>47</v>
      </c>
      <c r="B349">
        <v>623</v>
      </c>
      <c r="C349" t="s">
        <v>72</v>
      </c>
      <c r="D349" t="s">
        <v>217</v>
      </c>
      <c r="E349" s="232" t="s">
        <v>9312</v>
      </c>
      <c r="F349" t="s">
        <v>70</v>
      </c>
      <c r="G349">
        <v>2</v>
      </c>
      <c r="H349">
        <v>672.96600000000001</v>
      </c>
      <c r="I349">
        <v>669.66600000000005</v>
      </c>
      <c r="J349">
        <v>665.745</v>
      </c>
      <c r="K349">
        <v>663.44</v>
      </c>
      <c r="L349">
        <v>659.79399999999998</v>
      </c>
      <c r="M349" s="233" t="s">
        <v>530</v>
      </c>
      <c r="N349" s="233" t="s">
        <v>531</v>
      </c>
      <c r="O349" s="3" t="s">
        <v>850</v>
      </c>
      <c r="BM349" s="127"/>
      <c r="BN349" s="127"/>
      <c r="BO349" s="127"/>
      <c r="BP349" s="127"/>
      <c r="BQ349" s="127"/>
      <c r="BR349" s="127"/>
      <c r="BS349" s="127"/>
      <c r="BT349" s="127"/>
      <c r="BU349" s="127"/>
      <c r="BV349" s="127"/>
      <c r="BW349" s="127"/>
      <c r="BX349" s="127"/>
      <c r="BY349" s="127"/>
      <c r="BZ349" s="127"/>
      <c r="CA349" s="127"/>
      <c r="ER349" s="127"/>
      <c r="ES349" s="127"/>
      <c r="ET349" s="127"/>
      <c r="EU349" s="127"/>
      <c r="EV349" s="127"/>
      <c r="EW349" s="127"/>
      <c r="EX349" s="127"/>
      <c r="EY349" s="127"/>
      <c r="EZ349" s="127"/>
      <c r="FA349" s="127"/>
      <c r="FB349" s="127"/>
      <c r="FC349" s="127"/>
      <c r="FD349" s="127"/>
      <c r="FE349" s="127"/>
      <c r="FF349" s="127"/>
      <c r="HW349" s="127"/>
      <c r="HX349" s="127"/>
      <c r="HY349" s="127"/>
      <c r="HZ349" s="127"/>
      <c r="IA349" s="127"/>
      <c r="IB349" s="127"/>
      <c r="IC349" s="127"/>
      <c r="ID349" s="127"/>
      <c r="IE349" s="127"/>
      <c r="IF349" s="127"/>
      <c r="IG349" s="127"/>
      <c r="IH349" s="127"/>
      <c r="II349" s="127"/>
      <c r="IJ349" s="127"/>
      <c r="IK349" s="127"/>
      <c r="LB349" s="127"/>
      <c r="LC349" s="127"/>
      <c r="LD349" s="127"/>
      <c r="LE349" s="127"/>
      <c r="LF349" s="127"/>
      <c r="LG349" s="127"/>
      <c r="LH349" s="127"/>
      <c r="LI349" s="127"/>
      <c r="LJ349" s="127"/>
      <c r="LK349" s="127"/>
      <c r="LL349" s="127"/>
      <c r="LM349" s="127"/>
      <c r="LN349" s="127"/>
      <c r="LO349" s="127"/>
      <c r="LP349" s="127"/>
      <c r="OG349" s="127"/>
      <c r="OH349" s="127"/>
      <c r="OI349" s="127"/>
      <c r="OJ349" s="127"/>
      <c r="OK349" s="127"/>
      <c r="OL349" s="127"/>
      <c r="OM349" s="127"/>
      <c r="ON349" s="127"/>
      <c r="OO349" s="127"/>
      <c r="OP349" s="127"/>
      <c r="OQ349" s="127"/>
      <c r="OR349" s="127"/>
      <c r="OS349" s="127"/>
      <c r="OT349" s="127"/>
      <c r="OU349" s="127"/>
    </row>
    <row r="350" spans="1:411">
      <c r="A350">
        <v>47</v>
      </c>
      <c r="B350">
        <v>621</v>
      </c>
      <c r="C350" t="s">
        <v>72</v>
      </c>
      <c r="D350" t="s">
        <v>217</v>
      </c>
      <c r="E350" s="232" t="s">
        <v>9353</v>
      </c>
      <c r="F350" t="s">
        <v>70</v>
      </c>
      <c r="G350">
        <v>2</v>
      </c>
      <c r="H350">
        <v>672.43600000000004</v>
      </c>
      <c r="I350">
        <v>668.94200000000001</v>
      </c>
      <c r="J350">
        <v>665.23199999999997</v>
      </c>
      <c r="K350">
        <v>662.80200000000002</v>
      </c>
      <c r="L350">
        <v>659.30100000000004</v>
      </c>
      <c r="M350" s="233" t="s">
        <v>530</v>
      </c>
      <c r="N350" s="233" t="s">
        <v>531</v>
      </c>
      <c r="O350" s="3" t="s">
        <v>851</v>
      </c>
      <c r="BM350" s="127"/>
      <c r="BN350" s="127"/>
      <c r="BO350" s="127"/>
      <c r="BP350" s="127"/>
      <c r="BQ350" s="127"/>
      <c r="BR350" s="127"/>
      <c r="BS350" s="127"/>
      <c r="BT350" s="127"/>
      <c r="BU350" s="127"/>
      <c r="BV350" s="127"/>
      <c r="BW350" s="127"/>
      <c r="BX350" s="127"/>
      <c r="BY350" s="127"/>
      <c r="BZ350" s="127"/>
      <c r="CA350" s="127"/>
      <c r="ER350" s="127"/>
      <c r="ES350" s="127"/>
      <c r="ET350" s="127"/>
      <c r="EU350" s="127"/>
      <c r="EV350" s="127"/>
      <c r="EW350" s="127"/>
      <c r="EX350" s="127"/>
      <c r="EY350" s="127"/>
      <c r="EZ350" s="127"/>
      <c r="FA350" s="127"/>
      <c r="FB350" s="127"/>
      <c r="FC350" s="127"/>
      <c r="FD350" s="127"/>
      <c r="FE350" s="127"/>
      <c r="FF350" s="127"/>
      <c r="HW350" s="127"/>
      <c r="HX350" s="127"/>
      <c r="HY350" s="127"/>
      <c r="HZ350" s="127"/>
      <c r="IA350" s="127"/>
      <c r="IB350" s="127"/>
      <c r="IC350" s="127"/>
      <c r="ID350" s="127"/>
      <c r="IE350" s="127"/>
      <c r="IF350" s="127"/>
      <c r="IG350" s="127"/>
      <c r="IH350" s="127"/>
      <c r="II350" s="127"/>
      <c r="IJ350" s="127"/>
      <c r="IK350" s="127"/>
      <c r="LB350" s="127"/>
      <c r="LC350" s="127"/>
      <c r="LD350" s="127"/>
      <c r="LE350" s="127"/>
      <c r="LF350" s="127"/>
      <c r="LG350" s="127"/>
      <c r="LH350" s="127"/>
      <c r="LI350" s="127"/>
      <c r="LJ350" s="127"/>
      <c r="LK350" s="127"/>
      <c r="LL350" s="127"/>
      <c r="LM350" s="127"/>
      <c r="LN350" s="127"/>
      <c r="LO350" s="127"/>
      <c r="LP350" s="127"/>
      <c r="OG350" s="127"/>
      <c r="OH350" s="127"/>
      <c r="OI350" s="127"/>
      <c r="OJ350" s="127"/>
      <c r="OK350" s="127"/>
      <c r="OL350" s="127"/>
      <c r="OM350" s="127"/>
      <c r="ON350" s="127"/>
      <c r="OO350" s="127"/>
      <c r="OP350" s="127"/>
      <c r="OQ350" s="127"/>
      <c r="OR350" s="127"/>
      <c r="OS350" s="127"/>
      <c r="OT350" s="127"/>
      <c r="OU350" s="127"/>
    </row>
    <row r="351" spans="1:411">
      <c r="A351">
        <v>47</v>
      </c>
      <c r="B351">
        <v>634</v>
      </c>
      <c r="C351" t="s">
        <v>72</v>
      </c>
      <c r="D351" t="s">
        <v>217</v>
      </c>
      <c r="E351" s="232" t="s">
        <v>8283</v>
      </c>
      <c r="F351" t="s">
        <v>70</v>
      </c>
      <c r="G351">
        <v>2</v>
      </c>
      <c r="H351">
        <v>667.72299999999996</v>
      </c>
      <c r="I351">
        <v>666.27499999999998</v>
      </c>
      <c r="J351">
        <v>664.85199999999998</v>
      </c>
      <c r="K351">
        <v>663.18200000000002</v>
      </c>
      <c r="L351">
        <v>657.37900000000002</v>
      </c>
      <c r="M351" s="233" t="s">
        <v>530</v>
      </c>
      <c r="N351" s="233" t="s">
        <v>531</v>
      </c>
      <c r="O351" s="3" t="s">
        <v>852</v>
      </c>
      <c r="BM351" s="127"/>
      <c r="BN351" s="127"/>
      <c r="BO351" s="127"/>
      <c r="BP351" s="127"/>
      <c r="BQ351" s="127"/>
      <c r="BR351" s="127"/>
      <c r="BS351" s="127"/>
      <c r="BT351" s="127"/>
      <c r="BU351" s="127"/>
      <c r="BV351" s="127"/>
      <c r="BW351" s="127"/>
      <c r="BX351" s="127"/>
      <c r="BY351" s="127"/>
      <c r="BZ351" s="127"/>
      <c r="CA351" s="127"/>
      <c r="ER351" s="127"/>
      <c r="ES351" s="127"/>
      <c r="ET351" s="127"/>
      <c r="EU351" s="127"/>
      <c r="EV351" s="127"/>
      <c r="EW351" s="127"/>
      <c r="EX351" s="127"/>
      <c r="EY351" s="127"/>
      <c r="EZ351" s="127"/>
      <c r="FA351" s="127"/>
      <c r="FB351" s="127"/>
      <c r="FC351" s="127"/>
      <c r="FD351" s="127"/>
      <c r="FE351" s="127"/>
      <c r="FF351" s="127"/>
      <c r="HW351" s="127"/>
      <c r="HX351" s="127"/>
      <c r="HY351" s="127"/>
      <c r="HZ351" s="127"/>
      <c r="IA351" s="127"/>
      <c r="IB351" s="127"/>
      <c r="IC351" s="127"/>
      <c r="ID351" s="127"/>
      <c r="IE351" s="127"/>
      <c r="IF351" s="127"/>
      <c r="IG351" s="127"/>
      <c r="IH351" s="127"/>
      <c r="II351" s="127"/>
      <c r="IJ351" s="127"/>
      <c r="IK351" s="127"/>
      <c r="LB351" s="127"/>
      <c r="LC351" s="127"/>
      <c r="LD351" s="127"/>
      <c r="LE351" s="127"/>
      <c r="LF351" s="127"/>
      <c r="LG351" s="127"/>
      <c r="LH351" s="127"/>
      <c r="LI351" s="127"/>
      <c r="LJ351" s="127"/>
      <c r="LK351" s="127"/>
      <c r="LL351" s="127"/>
      <c r="LM351" s="127"/>
      <c r="LN351" s="127"/>
      <c r="LO351" s="127"/>
      <c r="LP351" s="127"/>
      <c r="OG351" s="127"/>
      <c r="OH351" s="127"/>
      <c r="OI351" s="127"/>
      <c r="OJ351" s="127"/>
      <c r="OK351" s="127"/>
      <c r="OL351" s="127"/>
      <c r="OM351" s="127"/>
      <c r="ON351" s="127"/>
      <c r="OO351" s="127"/>
      <c r="OP351" s="127"/>
      <c r="OQ351" s="127"/>
      <c r="OR351" s="127"/>
      <c r="OS351" s="127"/>
      <c r="OT351" s="127"/>
      <c r="OU351" s="127"/>
    </row>
    <row r="352" spans="1:411">
      <c r="A352">
        <v>47</v>
      </c>
      <c r="B352">
        <v>620</v>
      </c>
      <c r="C352" t="s">
        <v>72</v>
      </c>
      <c r="D352" t="s">
        <v>217</v>
      </c>
      <c r="E352" s="232" t="s">
        <v>9382</v>
      </c>
      <c r="F352" t="s">
        <v>70</v>
      </c>
      <c r="G352">
        <v>2</v>
      </c>
      <c r="H352">
        <v>671.13199999999995</v>
      </c>
      <c r="I352">
        <v>667.67499999999995</v>
      </c>
      <c r="J352">
        <v>664.74400000000003</v>
      </c>
      <c r="K352">
        <v>662.27800000000002</v>
      </c>
      <c r="L352">
        <v>658.54899999999998</v>
      </c>
      <c r="M352" s="233" t="s">
        <v>530</v>
      </c>
      <c r="N352" s="233" t="s">
        <v>531</v>
      </c>
      <c r="O352" s="3" t="s">
        <v>853</v>
      </c>
      <c r="BM352" s="127"/>
      <c r="BN352" s="127"/>
      <c r="BO352" s="127"/>
      <c r="BP352" s="127"/>
      <c r="BQ352" s="127"/>
      <c r="BR352" s="127"/>
      <c r="BS352" s="127"/>
      <c r="BT352" s="127"/>
      <c r="BU352" s="127"/>
      <c r="BV352" s="127"/>
      <c r="BW352" s="127"/>
      <c r="BX352" s="127"/>
      <c r="BY352" s="127"/>
      <c r="BZ352" s="127"/>
      <c r="CA352" s="127"/>
      <c r="ER352" s="127"/>
      <c r="ES352" s="127"/>
      <c r="ET352" s="127"/>
      <c r="EU352" s="127"/>
      <c r="EV352" s="127"/>
      <c r="EW352" s="127"/>
      <c r="EX352" s="127"/>
      <c r="EY352" s="127"/>
      <c r="EZ352" s="127"/>
      <c r="FA352" s="127"/>
      <c r="FB352" s="127"/>
      <c r="FC352" s="127"/>
      <c r="FD352" s="127"/>
      <c r="FE352" s="127"/>
      <c r="FF352" s="127"/>
      <c r="HW352" s="127"/>
      <c r="HX352" s="127"/>
      <c r="HY352" s="127"/>
      <c r="HZ352" s="127"/>
      <c r="IA352" s="127"/>
      <c r="IB352" s="127"/>
      <c r="IC352" s="127"/>
      <c r="ID352" s="127"/>
      <c r="IE352" s="127"/>
      <c r="IF352" s="127"/>
      <c r="IG352" s="127"/>
      <c r="IH352" s="127"/>
      <c r="II352" s="127"/>
      <c r="IJ352" s="127"/>
      <c r="IK352" s="127"/>
      <c r="LB352" s="127"/>
      <c r="LC352" s="127"/>
      <c r="LD352" s="127"/>
      <c r="LE352" s="127"/>
      <c r="LF352" s="127"/>
      <c r="LG352" s="127"/>
      <c r="LH352" s="127"/>
      <c r="LI352" s="127"/>
      <c r="LJ352" s="127"/>
      <c r="LK352" s="127"/>
      <c r="LL352" s="127"/>
      <c r="LM352" s="127"/>
      <c r="LN352" s="127"/>
      <c r="LO352" s="127"/>
      <c r="LP352" s="127"/>
      <c r="OG352" s="127"/>
      <c r="OH352" s="127"/>
      <c r="OI352" s="127"/>
      <c r="OJ352" s="127"/>
      <c r="OK352" s="127"/>
      <c r="OL352" s="127"/>
      <c r="OM352" s="127"/>
      <c r="ON352" s="127"/>
      <c r="OO352" s="127"/>
      <c r="OP352" s="127"/>
      <c r="OQ352" s="127"/>
      <c r="OR352" s="127"/>
      <c r="OS352" s="127"/>
      <c r="OT352" s="127"/>
      <c r="OU352" s="127"/>
    </row>
    <row r="353" spans="1:411">
      <c r="A353">
        <v>47</v>
      </c>
      <c r="B353">
        <v>613</v>
      </c>
      <c r="C353" t="s">
        <v>72</v>
      </c>
      <c r="D353" t="s">
        <v>217</v>
      </c>
      <c r="E353" s="232" t="s">
        <v>550</v>
      </c>
      <c r="F353" t="s">
        <v>70</v>
      </c>
      <c r="G353">
        <v>2</v>
      </c>
      <c r="H353">
        <v>670.98199999999997</v>
      </c>
      <c r="I353">
        <v>667.05</v>
      </c>
      <c r="J353">
        <v>663.44</v>
      </c>
      <c r="K353">
        <v>660.82600000000002</v>
      </c>
      <c r="L353">
        <v>656.76</v>
      </c>
      <c r="M353" s="233" t="s">
        <v>530</v>
      </c>
      <c r="N353" s="233" t="s">
        <v>531</v>
      </c>
      <c r="O353" s="3" t="s">
        <v>854</v>
      </c>
      <c r="BM353" s="127"/>
      <c r="BN353" s="127"/>
      <c r="BO353" s="127"/>
      <c r="BP353" s="127"/>
      <c r="BQ353" s="127"/>
      <c r="BR353" s="127"/>
      <c r="BS353" s="127"/>
      <c r="BT353" s="127"/>
      <c r="BU353" s="127"/>
      <c r="BV353" s="127"/>
      <c r="BW353" s="127"/>
      <c r="BX353" s="127"/>
      <c r="BY353" s="127"/>
      <c r="BZ353" s="127"/>
      <c r="CA353" s="127"/>
      <c r="ER353" s="127"/>
      <c r="ES353" s="127"/>
      <c r="ET353" s="127"/>
      <c r="EU353" s="127"/>
      <c r="EV353" s="127"/>
      <c r="EW353" s="127"/>
      <c r="EX353" s="127"/>
      <c r="EY353" s="127"/>
      <c r="EZ353" s="127"/>
      <c r="FA353" s="127"/>
      <c r="FB353" s="127"/>
      <c r="FC353" s="127"/>
      <c r="FD353" s="127"/>
      <c r="FE353" s="127"/>
      <c r="FF353" s="127"/>
      <c r="HW353" s="127"/>
      <c r="HX353" s="127"/>
      <c r="HY353" s="127"/>
      <c r="HZ353" s="127"/>
      <c r="IA353" s="127"/>
      <c r="IB353" s="127"/>
      <c r="IC353" s="127"/>
      <c r="ID353" s="127"/>
      <c r="IE353" s="127"/>
      <c r="IF353" s="127"/>
      <c r="IG353" s="127"/>
      <c r="IH353" s="127"/>
      <c r="II353" s="127"/>
      <c r="IJ353" s="127"/>
      <c r="IK353" s="127"/>
      <c r="LB353" s="127"/>
      <c r="LC353" s="127"/>
      <c r="LD353" s="127"/>
      <c r="LE353" s="127"/>
      <c r="LF353" s="127"/>
      <c r="LG353" s="127"/>
      <c r="LH353" s="127"/>
      <c r="LI353" s="127"/>
      <c r="LJ353" s="127"/>
      <c r="LK353" s="127"/>
      <c r="LL353" s="127"/>
      <c r="LM353" s="127"/>
      <c r="LN353" s="127"/>
      <c r="LO353" s="127"/>
      <c r="LP353" s="127"/>
      <c r="OG353" s="127"/>
      <c r="OH353" s="127"/>
      <c r="OI353" s="127"/>
      <c r="OJ353" s="127"/>
      <c r="OK353" s="127"/>
      <c r="OL353" s="127"/>
      <c r="OM353" s="127"/>
      <c r="ON353" s="127"/>
      <c r="OO353" s="127"/>
      <c r="OP353" s="127"/>
      <c r="OQ353" s="127"/>
      <c r="OR353" s="127"/>
      <c r="OS353" s="127"/>
      <c r="OT353" s="127"/>
      <c r="OU353" s="127"/>
    </row>
    <row r="354" spans="1:411">
      <c r="A354">
        <v>47</v>
      </c>
      <c r="B354">
        <v>616</v>
      </c>
      <c r="C354" t="s">
        <v>72</v>
      </c>
      <c r="D354" t="s">
        <v>217</v>
      </c>
      <c r="E354" s="232" t="s">
        <v>418</v>
      </c>
      <c r="F354" t="s">
        <v>70</v>
      </c>
      <c r="G354">
        <v>2</v>
      </c>
      <c r="H354">
        <v>667.67499999999995</v>
      </c>
      <c r="I354">
        <v>665.11400000000003</v>
      </c>
      <c r="J354">
        <v>661.32799999999997</v>
      </c>
      <c r="K354">
        <v>658.54899999999998</v>
      </c>
      <c r="L354">
        <v>654.505</v>
      </c>
      <c r="M354" s="233" t="s">
        <v>530</v>
      </c>
      <c r="N354" s="233" t="s">
        <v>531</v>
      </c>
      <c r="O354" s="3" t="s">
        <v>855</v>
      </c>
      <c r="BM354" s="127"/>
      <c r="BN354" s="127"/>
      <c r="BO354" s="127"/>
      <c r="BP354" s="127"/>
      <c r="BQ354" s="127"/>
      <c r="BR354" s="127"/>
      <c r="BS354" s="127"/>
      <c r="BT354" s="127"/>
      <c r="BU354" s="127"/>
      <c r="BV354" s="127"/>
      <c r="BW354" s="127"/>
      <c r="BX354" s="127"/>
      <c r="BY354" s="127"/>
      <c r="BZ354" s="127"/>
      <c r="CA354" s="127"/>
      <c r="ER354" s="127"/>
      <c r="ES354" s="127"/>
      <c r="ET354" s="127"/>
      <c r="EU354" s="127"/>
      <c r="EV354" s="127"/>
      <c r="EW354" s="127"/>
      <c r="EX354" s="127"/>
      <c r="EY354" s="127"/>
      <c r="EZ354" s="127"/>
      <c r="FA354" s="127"/>
      <c r="FB354" s="127"/>
      <c r="FC354" s="127"/>
      <c r="FD354" s="127"/>
      <c r="FE354" s="127"/>
      <c r="FF354" s="127"/>
      <c r="HW354" s="127"/>
      <c r="HX354" s="127"/>
      <c r="HY354" s="127"/>
      <c r="HZ354" s="127"/>
      <c r="IA354" s="127"/>
      <c r="IB354" s="127"/>
      <c r="IC354" s="127"/>
      <c r="ID354" s="127"/>
      <c r="IE354" s="127"/>
      <c r="IF354" s="127"/>
      <c r="IG354" s="127"/>
      <c r="IH354" s="127"/>
      <c r="II354" s="127"/>
      <c r="IJ354" s="127"/>
      <c r="IK354" s="127"/>
      <c r="LB354" s="127"/>
      <c r="LC354" s="127"/>
      <c r="LD354" s="127"/>
      <c r="LE354" s="127"/>
      <c r="LF354" s="127"/>
      <c r="LG354" s="127"/>
      <c r="LH354" s="127"/>
      <c r="LI354" s="127"/>
      <c r="LJ354" s="127"/>
      <c r="LK354" s="127"/>
      <c r="LL354" s="127"/>
      <c r="LM354" s="127"/>
      <c r="LN354" s="127"/>
      <c r="LO354" s="127"/>
      <c r="LP354" s="127"/>
      <c r="OG354" s="127"/>
      <c r="OH354" s="127"/>
      <c r="OI354" s="127"/>
      <c r="OJ354" s="127"/>
      <c r="OK354" s="127"/>
      <c r="OL354" s="127"/>
      <c r="OM354" s="127"/>
      <c r="ON354" s="127"/>
      <c r="OO354" s="127"/>
      <c r="OP354" s="127"/>
      <c r="OQ354" s="127"/>
      <c r="OR354" s="127"/>
      <c r="OS354" s="127"/>
      <c r="OT354" s="127"/>
      <c r="OU354" s="127"/>
    </row>
    <row r="355" spans="1:411">
      <c r="A355">
        <v>50</v>
      </c>
      <c r="B355">
        <v>652</v>
      </c>
      <c r="C355" t="s">
        <v>72</v>
      </c>
      <c r="D355" t="s">
        <v>217</v>
      </c>
      <c r="E355" s="232" t="s">
        <v>9119</v>
      </c>
      <c r="F355" t="s">
        <v>71</v>
      </c>
      <c r="G355">
        <v>2</v>
      </c>
      <c r="H355">
        <v>674.99699999999996</v>
      </c>
      <c r="I355">
        <v>671.90899999999999</v>
      </c>
      <c r="J355">
        <v>667.005</v>
      </c>
      <c r="K355">
        <v>664.63199999999995</v>
      </c>
      <c r="L355">
        <v>660.65300000000002</v>
      </c>
      <c r="M355" s="233" t="s">
        <v>530</v>
      </c>
      <c r="N355" s="233" t="s">
        <v>531</v>
      </c>
      <c r="O355" s="3" t="s">
        <v>856</v>
      </c>
      <c r="BM355" s="127"/>
      <c r="BN355" s="127"/>
      <c r="BO355" s="127"/>
      <c r="BP355" s="127"/>
      <c r="BQ355" s="127"/>
      <c r="BR355" s="127"/>
      <c r="BS355" s="127"/>
      <c r="BT355" s="127"/>
      <c r="BU355" s="127"/>
      <c r="BV355" s="127"/>
      <c r="BW355" s="127"/>
      <c r="BX355" s="127"/>
      <c r="BY355" s="127"/>
      <c r="BZ355" s="127"/>
      <c r="CA355" s="127"/>
      <c r="ER355" s="127"/>
      <c r="ES355" s="127"/>
      <c r="ET355" s="127"/>
      <c r="EU355" s="127"/>
      <c r="EV355" s="127"/>
      <c r="EW355" s="127"/>
      <c r="EX355" s="127"/>
      <c r="EY355" s="127"/>
      <c r="EZ355" s="127"/>
      <c r="FA355" s="127"/>
      <c r="FB355" s="127"/>
      <c r="FC355" s="127"/>
      <c r="FD355" s="127"/>
      <c r="FE355" s="127"/>
      <c r="FF355" s="127"/>
      <c r="HW355" s="127"/>
      <c r="HX355" s="127"/>
      <c r="HY355" s="127"/>
      <c r="HZ355" s="127"/>
      <c r="IA355" s="127"/>
      <c r="IB355" s="127"/>
      <c r="IC355" s="127"/>
      <c r="ID355" s="127"/>
      <c r="IE355" s="127"/>
      <c r="IF355" s="127"/>
      <c r="IG355" s="127"/>
      <c r="IH355" s="127"/>
      <c r="II355" s="127"/>
      <c r="IJ355" s="127"/>
      <c r="IK355" s="127"/>
      <c r="LB355" s="127"/>
      <c r="LC355" s="127"/>
      <c r="LD355" s="127"/>
      <c r="LE355" s="127"/>
      <c r="LF355" s="127"/>
      <c r="LG355" s="127"/>
      <c r="LH355" s="127"/>
      <c r="LI355" s="127"/>
      <c r="LJ355" s="127"/>
      <c r="LK355" s="127"/>
      <c r="LL355" s="127"/>
      <c r="LM355" s="127"/>
      <c r="LN355" s="127"/>
      <c r="LO355" s="127"/>
      <c r="LP355" s="127"/>
      <c r="OG355" s="127"/>
      <c r="OH355" s="127"/>
      <c r="OI355" s="127"/>
      <c r="OJ355" s="127"/>
      <c r="OK355" s="127"/>
      <c r="OL355" s="127"/>
      <c r="OM355" s="127"/>
      <c r="ON355" s="127"/>
      <c r="OO355" s="127"/>
      <c r="OP355" s="127"/>
      <c r="OQ355" s="127"/>
      <c r="OR355" s="127"/>
      <c r="OS355" s="127"/>
      <c r="OT355" s="127"/>
      <c r="OU355" s="127"/>
    </row>
    <row r="356" spans="1:411">
      <c r="A356">
        <v>48</v>
      </c>
      <c r="B356">
        <v>651</v>
      </c>
      <c r="C356" t="s">
        <v>72</v>
      </c>
      <c r="D356" t="s">
        <v>217</v>
      </c>
      <c r="E356" s="232" t="s">
        <v>8216</v>
      </c>
      <c r="F356" t="s">
        <v>71</v>
      </c>
      <c r="G356">
        <v>2</v>
      </c>
      <c r="H356">
        <v>679.14200000000005</v>
      </c>
      <c r="I356">
        <v>675.51400000000001</v>
      </c>
      <c r="J356">
        <v>671.91</v>
      </c>
      <c r="K356">
        <v>669.452</v>
      </c>
      <c r="L356">
        <v>665.81600000000003</v>
      </c>
      <c r="M356" s="233" t="s">
        <v>530</v>
      </c>
      <c r="N356" s="233" t="s">
        <v>531</v>
      </c>
      <c r="O356" s="3" t="s">
        <v>857</v>
      </c>
      <c r="BM356" s="127"/>
      <c r="BN356" s="127"/>
      <c r="BO356" s="127"/>
      <c r="BP356" s="127"/>
      <c r="BQ356" s="127"/>
      <c r="BR356" s="127"/>
      <c r="BS356" s="127"/>
      <c r="BT356" s="127"/>
      <c r="BU356" s="127"/>
      <c r="BV356" s="127"/>
      <c r="BW356" s="127"/>
      <c r="BX356" s="127"/>
      <c r="BY356" s="127"/>
      <c r="BZ356" s="127"/>
      <c r="CA356" s="127"/>
      <c r="ER356" s="127"/>
      <c r="ES356" s="127"/>
      <c r="ET356" s="127"/>
      <c r="EU356" s="127"/>
      <c r="EV356" s="127"/>
      <c r="EW356" s="127"/>
      <c r="EX356" s="127"/>
      <c r="EY356" s="127"/>
      <c r="EZ356" s="127"/>
      <c r="FA356" s="127"/>
      <c r="FB356" s="127"/>
      <c r="FC356" s="127"/>
      <c r="FD356" s="127"/>
      <c r="FE356" s="127"/>
      <c r="FF356" s="127"/>
      <c r="HW356" s="127"/>
      <c r="HX356" s="127"/>
      <c r="HY356" s="127"/>
      <c r="HZ356" s="127"/>
      <c r="IA356" s="127"/>
      <c r="IB356" s="127"/>
      <c r="IC356" s="127"/>
      <c r="ID356" s="127"/>
      <c r="IE356" s="127"/>
      <c r="IF356" s="127"/>
      <c r="IG356" s="127"/>
      <c r="IH356" s="127"/>
      <c r="II356" s="127"/>
      <c r="IJ356" s="127"/>
      <c r="IK356" s="127"/>
      <c r="LB356" s="127"/>
      <c r="LC356" s="127"/>
      <c r="LD356" s="127"/>
      <c r="LE356" s="127"/>
      <c r="LF356" s="127"/>
      <c r="LG356" s="127"/>
      <c r="LH356" s="127"/>
      <c r="LI356" s="127"/>
      <c r="LJ356" s="127"/>
      <c r="LK356" s="127"/>
      <c r="LL356" s="127"/>
      <c r="LM356" s="127"/>
      <c r="LN356" s="127"/>
      <c r="LO356" s="127"/>
      <c r="LP356" s="127"/>
      <c r="OG356" s="127"/>
      <c r="OH356" s="127"/>
      <c r="OI356" s="127"/>
      <c r="OJ356" s="127"/>
      <c r="OK356" s="127"/>
      <c r="OL356" s="127"/>
      <c r="OM356" s="127"/>
      <c r="ON356" s="127"/>
      <c r="OO356" s="127"/>
      <c r="OP356" s="127"/>
      <c r="OQ356" s="127"/>
      <c r="OR356" s="127"/>
      <c r="OS356" s="127"/>
      <c r="OT356" s="127"/>
      <c r="OU356" s="127"/>
    </row>
    <row r="357" spans="1:411">
      <c r="A357">
        <v>47</v>
      </c>
      <c r="B357">
        <v>645</v>
      </c>
      <c r="C357" t="s">
        <v>72</v>
      </c>
      <c r="D357" t="s">
        <v>217</v>
      </c>
      <c r="E357" s="232" t="s">
        <v>9652</v>
      </c>
      <c r="F357" t="s">
        <v>71</v>
      </c>
      <c r="G357">
        <v>2</v>
      </c>
      <c r="H357">
        <v>667.45500000000004</v>
      </c>
      <c r="I357">
        <v>664.74400000000003</v>
      </c>
      <c r="J357">
        <v>661.06200000000001</v>
      </c>
      <c r="K357">
        <v>658.13800000000003</v>
      </c>
      <c r="L357">
        <v>654.25300000000004</v>
      </c>
      <c r="M357" s="233" t="s">
        <v>530</v>
      </c>
      <c r="N357" s="233" t="s">
        <v>531</v>
      </c>
      <c r="O357" s="3" t="s">
        <v>858</v>
      </c>
      <c r="BM357" s="127"/>
      <c r="BN357" s="127"/>
      <c r="BO357" s="127"/>
      <c r="BP357" s="127"/>
      <c r="BQ357" s="127"/>
      <c r="BR357" s="127"/>
      <c r="BS357" s="127"/>
      <c r="BT357" s="127"/>
      <c r="BU357" s="127"/>
      <c r="BV357" s="127"/>
      <c r="BW357" s="127"/>
      <c r="BX357" s="127"/>
      <c r="BY357" s="127"/>
      <c r="BZ357" s="127"/>
      <c r="CA357" s="127"/>
      <c r="ER357" s="127"/>
      <c r="ES357" s="127"/>
      <c r="ET357" s="127"/>
      <c r="EU357" s="127"/>
      <c r="EV357" s="127"/>
      <c r="EW357" s="127"/>
      <c r="EX357" s="127"/>
      <c r="EY357" s="127"/>
      <c r="EZ357" s="127"/>
      <c r="FA357" s="127"/>
      <c r="FB357" s="127"/>
      <c r="FC357" s="127"/>
      <c r="FD357" s="127"/>
      <c r="FE357" s="127"/>
      <c r="FF357" s="127"/>
      <c r="HW357" s="127"/>
      <c r="HX357" s="127"/>
      <c r="HY357" s="127"/>
      <c r="HZ357" s="127"/>
      <c r="IA357" s="127"/>
      <c r="IB357" s="127"/>
      <c r="IC357" s="127"/>
      <c r="ID357" s="127"/>
      <c r="IE357" s="127"/>
      <c r="IF357" s="127"/>
      <c r="IG357" s="127"/>
      <c r="IH357" s="127"/>
      <c r="II357" s="127"/>
      <c r="IJ357" s="127"/>
      <c r="IK357" s="127"/>
      <c r="LB357" s="127"/>
      <c r="LC357" s="127"/>
      <c r="LD357" s="127"/>
      <c r="LE357" s="127"/>
      <c r="LF357" s="127"/>
      <c r="LG357" s="127"/>
      <c r="LH357" s="127"/>
      <c r="LI357" s="127"/>
      <c r="LJ357" s="127"/>
      <c r="LK357" s="127"/>
      <c r="LL357" s="127"/>
      <c r="LM357" s="127"/>
      <c r="LN357" s="127"/>
      <c r="LO357" s="127"/>
      <c r="LP357" s="127"/>
      <c r="OG357" s="127"/>
      <c r="OH357" s="127"/>
      <c r="OI357" s="127"/>
      <c r="OJ357" s="127"/>
      <c r="OK357" s="127"/>
      <c r="OL357" s="127"/>
      <c r="OM357" s="127"/>
      <c r="ON357" s="127"/>
      <c r="OO357" s="127"/>
      <c r="OP357" s="127"/>
      <c r="OQ357" s="127"/>
      <c r="OR357" s="127"/>
      <c r="OS357" s="127"/>
      <c r="OT357" s="127"/>
      <c r="OU357" s="127"/>
    </row>
    <row r="358" spans="1:411">
      <c r="A358">
        <v>47</v>
      </c>
      <c r="B358">
        <v>647</v>
      </c>
      <c r="C358" t="s">
        <v>72</v>
      </c>
      <c r="D358" t="s">
        <v>217</v>
      </c>
      <c r="E358" s="232" t="s">
        <v>9683</v>
      </c>
      <c r="F358" t="s">
        <v>71</v>
      </c>
      <c r="G358">
        <v>2</v>
      </c>
      <c r="H358">
        <v>667.02</v>
      </c>
      <c r="I358">
        <v>664.21799999999996</v>
      </c>
      <c r="J358">
        <v>660.54</v>
      </c>
      <c r="K358">
        <v>657.49699999999996</v>
      </c>
      <c r="L358">
        <v>653.45000000000005</v>
      </c>
      <c r="M358" s="233" t="s">
        <v>530</v>
      </c>
      <c r="N358" s="233" t="s">
        <v>531</v>
      </c>
      <c r="O358" s="3" t="s">
        <v>859</v>
      </c>
      <c r="BM358" s="127"/>
      <c r="BN358" s="127"/>
      <c r="BO358" s="127"/>
      <c r="BP358" s="127"/>
      <c r="BQ358" s="127"/>
      <c r="BR358" s="127"/>
      <c r="BS358" s="127"/>
      <c r="BT358" s="127"/>
      <c r="BU358" s="127"/>
      <c r="BV358" s="127"/>
      <c r="BW358" s="127"/>
      <c r="BX358" s="127"/>
      <c r="BY358" s="127"/>
      <c r="BZ358" s="127"/>
      <c r="CA358" s="127"/>
      <c r="ER358" s="127"/>
      <c r="ES358" s="127"/>
      <c r="ET358" s="127"/>
      <c r="EU358" s="127"/>
      <c r="EV358" s="127"/>
      <c r="EW358" s="127"/>
      <c r="EX358" s="127"/>
      <c r="EY358" s="127"/>
      <c r="EZ358" s="127"/>
      <c r="FA358" s="127"/>
      <c r="FB358" s="127"/>
      <c r="FC358" s="127"/>
      <c r="FD358" s="127"/>
      <c r="FE358" s="127"/>
      <c r="FF358" s="127"/>
      <c r="HW358" s="127"/>
      <c r="HX358" s="127"/>
      <c r="HY358" s="127"/>
      <c r="HZ358" s="127"/>
      <c r="IA358" s="127"/>
      <c r="IB358" s="127"/>
      <c r="IC358" s="127"/>
      <c r="ID358" s="127"/>
      <c r="IE358" s="127"/>
      <c r="IF358" s="127"/>
      <c r="IG358" s="127"/>
      <c r="IH358" s="127"/>
      <c r="II358" s="127"/>
      <c r="IJ358" s="127"/>
      <c r="IK358" s="127"/>
      <c r="LB358" s="127"/>
      <c r="LC358" s="127"/>
      <c r="LD358" s="127"/>
      <c r="LE358" s="127"/>
      <c r="LF358" s="127"/>
      <c r="LG358" s="127"/>
      <c r="LH358" s="127"/>
      <c r="LI358" s="127"/>
      <c r="LJ358" s="127"/>
      <c r="LK358" s="127"/>
      <c r="LL358" s="127"/>
      <c r="LM358" s="127"/>
      <c r="LN358" s="127"/>
      <c r="LO358" s="127"/>
      <c r="LP358" s="127"/>
      <c r="OG358" s="127"/>
      <c r="OH358" s="127"/>
      <c r="OI358" s="127"/>
      <c r="OJ358" s="127"/>
      <c r="OK358" s="127"/>
      <c r="OL358" s="127"/>
      <c r="OM358" s="127"/>
      <c r="ON358" s="127"/>
      <c r="OO358" s="127"/>
      <c r="OP358" s="127"/>
      <c r="OQ358" s="127"/>
      <c r="OR358" s="127"/>
      <c r="OS358" s="127"/>
      <c r="OT358" s="127"/>
      <c r="OU358" s="127"/>
    </row>
    <row r="359" spans="1:411">
      <c r="A359">
        <v>53</v>
      </c>
      <c r="B359">
        <v>655</v>
      </c>
      <c r="C359" t="s">
        <v>72</v>
      </c>
      <c r="D359" t="s">
        <v>233</v>
      </c>
      <c r="E359" s="232" t="s">
        <v>8916</v>
      </c>
      <c r="F359" t="s">
        <v>70</v>
      </c>
      <c r="G359">
        <v>2</v>
      </c>
      <c r="H359">
        <v>695.125</v>
      </c>
      <c r="I359">
        <v>694.39599999999996</v>
      </c>
      <c r="J359">
        <v>692.55899999999997</v>
      </c>
      <c r="K359">
        <v>691.16399999999999</v>
      </c>
      <c r="L359">
        <v>688.01099999999997</v>
      </c>
      <c r="M359" s="233" t="s">
        <v>530</v>
      </c>
      <c r="N359" s="233" t="s">
        <v>531</v>
      </c>
      <c r="O359" s="3" t="s">
        <v>860</v>
      </c>
      <c r="BM359" s="127"/>
      <c r="BN359" s="127"/>
      <c r="BO359" s="127"/>
      <c r="BP359" s="127"/>
      <c r="BQ359" s="127"/>
      <c r="BR359" s="127"/>
      <c r="BS359" s="127"/>
      <c r="BT359" s="127"/>
      <c r="BU359" s="127"/>
      <c r="BV359" s="127"/>
      <c r="BW359" s="127"/>
      <c r="BX359" s="127"/>
      <c r="BY359" s="127"/>
      <c r="BZ359" s="127"/>
      <c r="CA359" s="127"/>
      <c r="ER359" s="127"/>
      <c r="ES359" s="127"/>
      <c r="ET359" s="127"/>
      <c r="EU359" s="127"/>
      <c r="EV359" s="127"/>
      <c r="EW359" s="127"/>
      <c r="EX359" s="127"/>
      <c r="EY359" s="127"/>
      <c r="EZ359" s="127"/>
      <c r="FA359" s="127"/>
      <c r="FB359" s="127"/>
      <c r="FC359" s="127"/>
      <c r="FD359" s="127"/>
      <c r="FE359" s="127"/>
      <c r="FF359" s="127"/>
      <c r="HW359" s="127"/>
      <c r="HX359" s="127"/>
      <c r="HY359" s="127"/>
      <c r="HZ359" s="127"/>
      <c r="IA359" s="127"/>
      <c r="IB359" s="127"/>
      <c r="IC359" s="127"/>
      <c r="ID359" s="127"/>
      <c r="IE359" s="127"/>
      <c r="IF359" s="127"/>
      <c r="IG359" s="127"/>
      <c r="IH359" s="127"/>
      <c r="II359" s="127"/>
      <c r="IJ359" s="127"/>
      <c r="IK359" s="127"/>
      <c r="LB359" s="127"/>
      <c r="LC359" s="127"/>
      <c r="LD359" s="127"/>
      <c r="LE359" s="127"/>
      <c r="LF359" s="127"/>
      <c r="LG359" s="127"/>
      <c r="LH359" s="127"/>
      <c r="LI359" s="127"/>
      <c r="LJ359" s="127"/>
      <c r="LK359" s="127"/>
      <c r="LL359" s="127"/>
      <c r="LM359" s="127"/>
      <c r="LN359" s="127"/>
      <c r="LO359" s="127"/>
      <c r="LP359" s="127"/>
      <c r="OG359" s="127"/>
      <c r="OH359" s="127"/>
      <c r="OI359" s="127"/>
      <c r="OJ359" s="127"/>
      <c r="OK359" s="127"/>
      <c r="OL359" s="127"/>
      <c r="OM359" s="127"/>
      <c r="ON359" s="127"/>
      <c r="OO359" s="127"/>
      <c r="OP359" s="127"/>
      <c r="OQ359" s="127"/>
      <c r="OR359" s="127"/>
      <c r="OS359" s="127"/>
      <c r="OT359" s="127"/>
      <c r="OU359" s="127"/>
    </row>
    <row r="360" spans="1:411">
      <c r="A360">
        <v>53</v>
      </c>
      <c r="B360">
        <v>667</v>
      </c>
      <c r="C360" t="s">
        <v>72</v>
      </c>
      <c r="D360" t="s">
        <v>233</v>
      </c>
      <c r="E360" s="232" t="s">
        <v>8283</v>
      </c>
      <c r="F360" t="s">
        <v>70</v>
      </c>
      <c r="G360">
        <v>2</v>
      </c>
      <c r="H360">
        <v>698.44</v>
      </c>
      <c r="I360">
        <v>695.38800000000003</v>
      </c>
      <c r="J360">
        <v>691.899</v>
      </c>
      <c r="K360">
        <v>689.15</v>
      </c>
      <c r="L360">
        <v>685.39700000000005</v>
      </c>
      <c r="M360" s="233" t="s">
        <v>530</v>
      </c>
      <c r="N360" s="233" t="s">
        <v>531</v>
      </c>
      <c r="O360" s="3" t="s">
        <v>861</v>
      </c>
      <c r="BM360" s="127"/>
      <c r="BN360" s="127"/>
      <c r="BO360" s="127"/>
      <c r="BP360" s="127"/>
      <c r="BQ360" s="127"/>
      <c r="BR360" s="127"/>
      <c r="BS360" s="127"/>
      <c r="BT360" s="127"/>
      <c r="BU360" s="127"/>
      <c r="BV360" s="127"/>
      <c r="BW360" s="127"/>
      <c r="BX360" s="127"/>
      <c r="BY360" s="127"/>
      <c r="BZ360" s="127"/>
      <c r="CA360" s="127"/>
      <c r="ER360" s="127"/>
      <c r="ES360" s="127"/>
      <c r="ET360" s="127"/>
      <c r="EU360" s="127"/>
      <c r="EV360" s="127"/>
      <c r="EW360" s="127"/>
      <c r="EX360" s="127"/>
      <c r="EY360" s="127"/>
      <c r="EZ360" s="127"/>
      <c r="FA360" s="127"/>
      <c r="FB360" s="127"/>
      <c r="FC360" s="127"/>
      <c r="FD360" s="127"/>
      <c r="FE360" s="127"/>
      <c r="FF360" s="127"/>
      <c r="HW360" s="127"/>
      <c r="HX360" s="127"/>
      <c r="HY360" s="127"/>
      <c r="HZ360" s="127"/>
      <c r="IA360" s="127"/>
      <c r="IB360" s="127"/>
      <c r="IC360" s="127"/>
      <c r="ID360" s="127"/>
      <c r="IE360" s="127"/>
      <c r="IF360" s="127"/>
      <c r="IG360" s="127"/>
      <c r="IH360" s="127"/>
      <c r="II360" s="127"/>
      <c r="IJ360" s="127"/>
      <c r="IK360" s="127"/>
      <c r="LB360" s="127"/>
      <c r="LC360" s="127"/>
      <c r="LD360" s="127"/>
      <c r="LE360" s="127"/>
      <c r="LF360" s="127"/>
      <c r="LG360" s="127"/>
      <c r="LH360" s="127"/>
      <c r="LI360" s="127"/>
      <c r="LJ360" s="127"/>
      <c r="LK360" s="127"/>
      <c r="LL360" s="127"/>
      <c r="LM360" s="127"/>
      <c r="LN360" s="127"/>
      <c r="LO360" s="127"/>
      <c r="LP360" s="127"/>
      <c r="OG360" s="127"/>
      <c r="OH360" s="127"/>
      <c r="OI360" s="127"/>
      <c r="OJ360" s="127"/>
      <c r="OK360" s="127"/>
      <c r="OL360" s="127"/>
      <c r="OM360" s="127"/>
      <c r="ON360" s="127"/>
      <c r="OO360" s="127"/>
      <c r="OP360" s="127"/>
      <c r="OQ360" s="127"/>
      <c r="OR360" s="127"/>
      <c r="OS360" s="127"/>
      <c r="OT360" s="127"/>
      <c r="OU360" s="127"/>
    </row>
    <row r="361" spans="1:411">
      <c r="A361">
        <v>53</v>
      </c>
      <c r="B361">
        <v>656</v>
      </c>
      <c r="C361" t="s">
        <v>72</v>
      </c>
      <c r="D361" t="s">
        <v>233</v>
      </c>
      <c r="E361" s="232" t="s">
        <v>9745</v>
      </c>
      <c r="F361" t="s">
        <v>70</v>
      </c>
      <c r="G361">
        <v>2</v>
      </c>
      <c r="H361">
        <v>696.85400000000004</v>
      </c>
      <c r="I361">
        <v>694.12900000000002</v>
      </c>
      <c r="J361">
        <v>690.75400000000002</v>
      </c>
      <c r="K361">
        <v>687.779</v>
      </c>
      <c r="L361">
        <v>683.94899999999996</v>
      </c>
      <c r="M361" s="233" t="s">
        <v>530</v>
      </c>
      <c r="N361" s="233" t="s">
        <v>531</v>
      </c>
      <c r="O361" s="3" t="s">
        <v>862</v>
      </c>
      <c r="BM361" s="127"/>
      <c r="BN361" s="127"/>
      <c r="BO361" s="127"/>
      <c r="BP361" s="127"/>
      <c r="BQ361" s="127"/>
      <c r="BR361" s="127"/>
      <c r="BS361" s="127"/>
      <c r="BT361" s="127"/>
      <c r="BU361" s="127"/>
      <c r="BV361" s="127"/>
      <c r="BW361" s="127"/>
      <c r="BX361" s="127"/>
      <c r="BY361" s="127"/>
      <c r="BZ361" s="127"/>
      <c r="CA361" s="127"/>
      <c r="ER361" s="127"/>
      <c r="ES361" s="127"/>
      <c r="ET361" s="127"/>
      <c r="EU361" s="127"/>
      <c r="EV361" s="127"/>
      <c r="EW361" s="127"/>
      <c r="EX361" s="127"/>
      <c r="EY361" s="127"/>
      <c r="EZ361" s="127"/>
      <c r="FA361" s="127"/>
      <c r="FB361" s="127"/>
      <c r="FC361" s="127"/>
      <c r="FD361" s="127"/>
      <c r="FE361" s="127"/>
      <c r="FF361" s="127"/>
      <c r="HW361" s="127"/>
      <c r="HX361" s="127"/>
      <c r="HY361" s="127"/>
      <c r="HZ361" s="127"/>
      <c r="IA361" s="127"/>
      <c r="IB361" s="127"/>
      <c r="IC361" s="127"/>
      <c r="ID361" s="127"/>
      <c r="IE361" s="127"/>
      <c r="IF361" s="127"/>
      <c r="IG361" s="127"/>
      <c r="IH361" s="127"/>
      <c r="II361" s="127"/>
      <c r="IJ361" s="127"/>
      <c r="IK361" s="127"/>
      <c r="LB361" s="127"/>
      <c r="LC361" s="127"/>
      <c r="LD361" s="127"/>
      <c r="LE361" s="127"/>
      <c r="LF361" s="127"/>
      <c r="LG361" s="127"/>
      <c r="LH361" s="127"/>
      <c r="LI361" s="127"/>
      <c r="LJ361" s="127"/>
      <c r="LK361" s="127"/>
      <c r="LL361" s="127"/>
      <c r="LM361" s="127"/>
      <c r="LN361" s="127"/>
      <c r="LO361" s="127"/>
      <c r="LP361" s="127"/>
      <c r="OG361" s="127"/>
      <c r="OH361" s="127"/>
      <c r="OI361" s="127"/>
      <c r="OJ361" s="127"/>
      <c r="OK361" s="127"/>
      <c r="OL361" s="127"/>
      <c r="OM361" s="127"/>
      <c r="ON361" s="127"/>
      <c r="OO361" s="127"/>
      <c r="OP361" s="127"/>
      <c r="OQ361" s="127"/>
      <c r="OR361" s="127"/>
      <c r="OS361" s="127"/>
      <c r="OT361" s="127"/>
      <c r="OU361" s="127"/>
    </row>
    <row r="362" spans="1:411">
      <c r="A362">
        <v>51</v>
      </c>
      <c r="B362">
        <v>661</v>
      </c>
      <c r="C362" t="s">
        <v>72</v>
      </c>
      <c r="D362" t="s">
        <v>233</v>
      </c>
      <c r="E362" s="232" t="s">
        <v>9747</v>
      </c>
      <c r="F362" t="s">
        <v>70</v>
      </c>
      <c r="G362">
        <v>2</v>
      </c>
      <c r="H362">
        <v>691.952</v>
      </c>
      <c r="I362">
        <v>689.51300000000003</v>
      </c>
      <c r="J362">
        <v>686.06799999999998</v>
      </c>
      <c r="K362">
        <v>683.12199999999996</v>
      </c>
      <c r="L362">
        <v>679.29600000000005</v>
      </c>
      <c r="M362" s="233" t="s">
        <v>530</v>
      </c>
      <c r="N362" s="233" t="s">
        <v>531</v>
      </c>
      <c r="O362" s="3" t="s">
        <v>863</v>
      </c>
      <c r="BM362" s="127"/>
      <c r="BN362" s="127"/>
      <c r="BO362" s="127"/>
      <c r="BP362" s="127"/>
      <c r="BQ362" s="127"/>
      <c r="BR362" s="127"/>
      <c r="BS362" s="127"/>
      <c r="BT362" s="127"/>
      <c r="BU362" s="127"/>
      <c r="BV362" s="127"/>
      <c r="BW362" s="127"/>
      <c r="BX362" s="127"/>
      <c r="BY362" s="127"/>
      <c r="BZ362" s="127"/>
      <c r="CA362" s="127"/>
      <c r="ER362" s="127"/>
      <c r="ES362" s="127"/>
      <c r="ET362" s="127"/>
      <c r="EU362" s="127"/>
      <c r="EV362" s="127"/>
      <c r="EW362" s="127"/>
      <c r="EX362" s="127"/>
      <c r="EY362" s="127"/>
      <c r="EZ362" s="127"/>
      <c r="FA362" s="127"/>
      <c r="FB362" s="127"/>
      <c r="FC362" s="127"/>
      <c r="FD362" s="127"/>
      <c r="FE362" s="127"/>
      <c r="FF362" s="127"/>
      <c r="HW362" s="127"/>
      <c r="HX362" s="127"/>
      <c r="HY362" s="127"/>
      <c r="HZ362" s="127"/>
      <c r="IA362" s="127"/>
      <c r="IB362" s="127"/>
      <c r="IC362" s="127"/>
      <c r="ID362" s="127"/>
      <c r="IE362" s="127"/>
      <c r="IF362" s="127"/>
      <c r="IG362" s="127"/>
      <c r="IH362" s="127"/>
      <c r="II362" s="127"/>
      <c r="IJ362" s="127"/>
      <c r="IK362" s="127"/>
      <c r="LB362" s="127"/>
      <c r="LC362" s="127"/>
      <c r="LD362" s="127"/>
      <c r="LE362" s="127"/>
      <c r="LF362" s="127"/>
      <c r="LG362" s="127"/>
      <c r="LH362" s="127"/>
      <c r="LI362" s="127"/>
      <c r="LJ362" s="127"/>
      <c r="LK362" s="127"/>
      <c r="LL362" s="127"/>
      <c r="LM362" s="127"/>
      <c r="LN362" s="127"/>
      <c r="LO362" s="127"/>
      <c r="LP362" s="127"/>
      <c r="OG362" s="127"/>
      <c r="OH362" s="127"/>
      <c r="OI362" s="127"/>
      <c r="OJ362" s="127"/>
      <c r="OK362" s="127"/>
      <c r="OL362" s="127"/>
      <c r="OM362" s="127"/>
      <c r="ON362" s="127"/>
      <c r="OO362" s="127"/>
      <c r="OP362" s="127"/>
      <c r="OQ362" s="127"/>
      <c r="OR362" s="127"/>
      <c r="OS362" s="127"/>
      <c r="OT362" s="127"/>
      <c r="OU362" s="127"/>
    </row>
    <row r="363" spans="1:411">
      <c r="A363">
        <v>53</v>
      </c>
      <c r="B363">
        <v>658</v>
      </c>
      <c r="C363" t="s">
        <v>72</v>
      </c>
      <c r="D363" t="s">
        <v>233</v>
      </c>
      <c r="E363" s="232" t="s">
        <v>9797</v>
      </c>
      <c r="F363" t="s">
        <v>70</v>
      </c>
      <c r="G363">
        <v>2</v>
      </c>
      <c r="H363">
        <v>695.83299999999997</v>
      </c>
      <c r="I363">
        <v>693.14700000000005</v>
      </c>
      <c r="J363">
        <v>689.62</v>
      </c>
      <c r="K363">
        <v>686.68100000000004</v>
      </c>
      <c r="L363">
        <v>682.99300000000005</v>
      </c>
      <c r="M363" s="233" t="s">
        <v>530</v>
      </c>
      <c r="N363" s="233" t="s">
        <v>531</v>
      </c>
      <c r="O363" s="3" t="s">
        <v>864</v>
      </c>
      <c r="BM363" s="127"/>
      <c r="BN363" s="127"/>
      <c r="BO363" s="127"/>
      <c r="BP363" s="127"/>
      <c r="BQ363" s="127"/>
      <c r="BR363" s="127"/>
      <c r="BS363" s="127"/>
      <c r="BT363" s="127"/>
      <c r="BU363" s="127"/>
      <c r="BV363" s="127"/>
      <c r="BW363" s="127"/>
      <c r="BX363" s="127"/>
      <c r="BY363" s="127"/>
      <c r="BZ363" s="127"/>
      <c r="CA363" s="127"/>
      <c r="ER363" s="127"/>
      <c r="ES363" s="127"/>
      <c r="ET363" s="127"/>
      <c r="EU363" s="127"/>
      <c r="EV363" s="127"/>
      <c r="EW363" s="127"/>
      <c r="EX363" s="127"/>
      <c r="EY363" s="127"/>
      <c r="EZ363" s="127"/>
      <c r="FA363" s="127"/>
      <c r="FB363" s="127"/>
      <c r="FC363" s="127"/>
      <c r="FD363" s="127"/>
      <c r="FE363" s="127"/>
      <c r="FF363" s="127"/>
      <c r="HW363" s="127"/>
      <c r="HX363" s="127"/>
      <c r="HY363" s="127"/>
      <c r="HZ363" s="127"/>
      <c r="IA363" s="127"/>
      <c r="IB363" s="127"/>
      <c r="IC363" s="127"/>
      <c r="ID363" s="127"/>
      <c r="IE363" s="127"/>
      <c r="IF363" s="127"/>
      <c r="IG363" s="127"/>
      <c r="IH363" s="127"/>
      <c r="II363" s="127"/>
      <c r="IJ363" s="127"/>
      <c r="IK363" s="127"/>
      <c r="LB363" s="127"/>
      <c r="LC363" s="127"/>
      <c r="LD363" s="127"/>
      <c r="LE363" s="127"/>
      <c r="LF363" s="127"/>
      <c r="LG363" s="127"/>
      <c r="LH363" s="127"/>
      <c r="LI363" s="127"/>
      <c r="LJ363" s="127"/>
      <c r="LK363" s="127"/>
      <c r="LL363" s="127"/>
      <c r="LM363" s="127"/>
      <c r="LN363" s="127"/>
      <c r="LO363" s="127"/>
      <c r="LP363" s="127"/>
      <c r="OG363" s="127"/>
      <c r="OH363" s="127"/>
      <c r="OI363" s="127"/>
      <c r="OJ363" s="127"/>
      <c r="OK363" s="127"/>
      <c r="OL363" s="127"/>
      <c r="OM363" s="127"/>
      <c r="ON363" s="127"/>
      <c r="OO363" s="127"/>
      <c r="OP363" s="127"/>
      <c r="OQ363" s="127"/>
      <c r="OR363" s="127"/>
      <c r="OS363" s="127"/>
      <c r="OT363" s="127"/>
      <c r="OU363" s="127"/>
    </row>
    <row r="364" spans="1:411">
      <c r="A364">
        <v>52</v>
      </c>
      <c r="B364">
        <v>660</v>
      </c>
      <c r="C364" t="s">
        <v>72</v>
      </c>
      <c r="D364" t="s">
        <v>233</v>
      </c>
      <c r="E364" s="232" t="s">
        <v>555</v>
      </c>
      <c r="F364" t="s">
        <v>70</v>
      </c>
      <c r="G364">
        <v>2</v>
      </c>
      <c r="H364">
        <v>688.15499999999997</v>
      </c>
      <c r="I364">
        <v>685.48299999999995</v>
      </c>
      <c r="J364">
        <v>681.93499999999995</v>
      </c>
      <c r="K364">
        <v>679.18100000000004</v>
      </c>
      <c r="L364">
        <v>675.41200000000003</v>
      </c>
      <c r="M364" s="233" t="s">
        <v>530</v>
      </c>
      <c r="N364" s="233" t="s">
        <v>531</v>
      </c>
      <c r="O364" s="3" t="s">
        <v>865</v>
      </c>
      <c r="BM364" s="127"/>
      <c r="BN364" s="127"/>
      <c r="BO364" s="127"/>
      <c r="BP364" s="127"/>
      <c r="BQ364" s="127"/>
      <c r="BR364" s="127"/>
      <c r="BS364" s="127"/>
      <c r="BT364" s="127"/>
      <c r="BU364" s="127"/>
      <c r="BV364" s="127"/>
      <c r="BW364" s="127"/>
      <c r="BX364" s="127"/>
      <c r="BY364" s="127"/>
      <c r="BZ364" s="127"/>
      <c r="CA364" s="127"/>
      <c r="ER364" s="127"/>
      <c r="ES364" s="127"/>
      <c r="ET364" s="127"/>
      <c r="EU364" s="127"/>
      <c r="EV364" s="127"/>
      <c r="EW364" s="127"/>
      <c r="EX364" s="127"/>
      <c r="EY364" s="127"/>
      <c r="EZ364" s="127"/>
      <c r="FA364" s="127"/>
      <c r="FB364" s="127"/>
      <c r="FC364" s="127"/>
      <c r="FD364" s="127"/>
      <c r="FE364" s="127"/>
      <c r="FF364" s="127"/>
      <c r="HW364" s="127"/>
      <c r="HX364" s="127"/>
      <c r="HY364" s="127"/>
      <c r="HZ364" s="127"/>
      <c r="IA364" s="127"/>
      <c r="IB364" s="127"/>
      <c r="IC364" s="127"/>
      <c r="ID364" s="127"/>
      <c r="IE364" s="127"/>
      <c r="IF364" s="127"/>
      <c r="IG364" s="127"/>
      <c r="IH364" s="127"/>
      <c r="II364" s="127"/>
      <c r="IJ364" s="127"/>
      <c r="IK364" s="127"/>
      <c r="LB364" s="127"/>
      <c r="LC364" s="127"/>
      <c r="LD364" s="127"/>
      <c r="LE364" s="127"/>
      <c r="LF364" s="127"/>
      <c r="LG364" s="127"/>
      <c r="LH364" s="127"/>
      <c r="LI364" s="127"/>
      <c r="LJ364" s="127"/>
      <c r="LK364" s="127"/>
      <c r="LL364" s="127"/>
      <c r="LM364" s="127"/>
      <c r="LN364" s="127"/>
      <c r="LO364" s="127"/>
      <c r="LP364" s="127"/>
      <c r="OG364" s="127"/>
      <c r="OH364" s="127"/>
      <c r="OI364" s="127"/>
      <c r="OJ364" s="127"/>
      <c r="OK364" s="127"/>
      <c r="OL364" s="127"/>
      <c r="OM364" s="127"/>
      <c r="ON364" s="127"/>
      <c r="OO364" s="127"/>
      <c r="OP364" s="127"/>
      <c r="OQ364" s="127"/>
      <c r="OR364" s="127"/>
      <c r="OS364" s="127"/>
      <c r="OT364" s="127"/>
      <c r="OU364" s="127"/>
    </row>
    <row r="365" spans="1:411">
      <c r="A365">
        <v>53</v>
      </c>
      <c r="B365">
        <v>668</v>
      </c>
      <c r="C365" t="s">
        <v>72</v>
      </c>
      <c r="D365" t="s">
        <v>233</v>
      </c>
      <c r="E365" s="232" t="s">
        <v>8558</v>
      </c>
      <c r="F365" t="s">
        <v>70</v>
      </c>
      <c r="G365">
        <v>2</v>
      </c>
      <c r="H365">
        <v>694.53899999999999</v>
      </c>
      <c r="I365">
        <v>691.899</v>
      </c>
      <c r="J365">
        <v>688.279</v>
      </c>
      <c r="K365">
        <v>685.39700000000005</v>
      </c>
      <c r="L365">
        <v>681.59</v>
      </c>
      <c r="M365" s="233" t="s">
        <v>530</v>
      </c>
      <c r="N365" s="233" t="s">
        <v>531</v>
      </c>
      <c r="O365" s="3" t="s">
        <v>866</v>
      </c>
      <c r="BM365" s="127"/>
      <c r="BN365" s="127"/>
      <c r="BO365" s="127"/>
      <c r="BP365" s="127"/>
      <c r="BQ365" s="127"/>
      <c r="BR365" s="127"/>
      <c r="BS365" s="127"/>
      <c r="BT365" s="127"/>
      <c r="BU365" s="127"/>
      <c r="BV365" s="127"/>
      <c r="BW365" s="127"/>
      <c r="BX365" s="127"/>
      <c r="BY365" s="127"/>
      <c r="BZ365" s="127"/>
      <c r="CA365" s="127"/>
      <c r="ER365" s="127"/>
      <c r="ES365" s="127"/>
      <c r="ET365" s="127"/>
      <c r="EU365" s="127"/>
      <c r="EV365" s="127"/>
      <c r="EW365" s="127"/>
      <c r="EX365" s="127"/>
      <c r="EY365" s="127"/>
      <c r="EZ365" s="127"/>
      <c r="FA365" s="127"/>
      <c r="FB365" s="127"/>
      <c r="FC365" s="127"/>
      <c r="FD365" s="127"/>
      <c r="FE365" s="127"/>
      <c r="FF365" s="127"/>
      <c r="HW365" s="127"/>
      <c r="HX365" s="127"/>
      <c r="HY365" s="127"/>
      <c r="HZ365" s="127"/>
      <c r="IA365" s="127"/>
      <c r="IB365" s="127"/>
      <c r="IC365" s="127"/>
      <c r="ID365" s="127"/>
      <c r="IE365" s="127"/>
      <c r="IF365" s="127"/>
      <c r="IG365" s="127"/>
      <c r="IH365" s="127"/>
      <c r="II365" s="127"/>
      <c r="IJ365" s="127"/>
      <c r="IK365" s="127"/>
      <c r="LB365" s="127"/>
      <c r="LC365" s="127"/>
      <c r="LD365" s="127"/>
      <c r="LE365" s="127"/>
      <c r="LF365" s="127"/>
      <c r="LG365" s="127"/>
      <c r="LH365" s="127"/>
      <c r="LI365" s="127"/>
      <c r="LJ365" s="127"/>
      <c r="LK365" s="127"/>
      <c r="LL365" s="127"/>
      <c r="LM365" s="127"/>
      <c r="LN365" s="127"/>
      <c r="LO365" s="127"/>
      <c r="LP365" s="127"/>
      <c r="OG365" s="127"/>
      <c r="OH365" s="127"/>
      <c r="OI365" s="127"/>
      <c r="OJ365" s="127"/>
      <c r="OK365" s="127"/>
      <c r="OL365" s="127"/>
      <c r="OM365" s="127"/>
      <c r="ON365" s="127"/>
      <c r="OO365" s="127"/>
      <c r="OP365" s="127"/>
      <c r="OQ365" s="127"/>
      <c r="OR365" s="127"/>
      <c r="OS365" s="127"/>
      <c r="OT365" s="127"/>
      <c r="OU365" s="127"/>
    </row>
    <row r="366" spans="1:411">
      <c r="A366">
        <v>52</v>
      </c>
      <c r="B366">
        <v>666</v>
      </c>
      <c r="C366" t="s">
        <v>72</v>
      </c>
      <c r="D366" t="s">
        <v>233</v>
      </c>
      <c r="E366" s="232" t="s">
        <v>8538</v>
      </c>
      <c r="F366" t="s">
        <v>70</v>
      </c>
      <c r="G366">
        <v>2</v>
      </c>
      <c r="H366">
        <v>687.43</v>
      </c>
      <c r="I366">
        <v>684.60599999999999</v>
      </c>
      <c r="J366">
        <v>681.01400000000001</v>
      </c>
      <c r="K366">
        <v>678.12</v>
      </c>
      <c r="L366">
        <v>674.49400000000003</v>
      </c>
      <c r="M366" s="233" t="s">
        <v>530</v>
      </c>
      <c r="N366" s="233" t="s">
        <v>531</v>
      </c>
      <c r="O366" s="3" t="s">
        <v>867</v>
      </c>
      <c r="BM366" s="127"/>
      <c r="BN366" s="127"/>
      <c r="BO366" s="127"/>
      <c r="BP366" s="127"/>
      <c r="BQ366" s="127"/>
      <c r="BR366" s="127"/>
      <c r="BS366" s="127"/>
      <c r="BT366" s="127"/>
      <c r="BU366" s="127"/>
      <c r="BV366" s="127"/>
      <c r="BW366" s="127"/>
      <c r="BX366" s="127"/>
      <c r="BY366" s="127"/>
      <c r="BZ366" s="127"/>
      <c r="CA366" s="127"/>
      <c r="ER366" s="127"/>
      <c r="ES366" s="127"/>
      <c r="ET366" s="127"/>
      <c r="EU366" s="127"/>
      <c r="EV366" s="127"/>
      <c r="EW366" s="127"/>
      <c r="EX366" s="127"/>
      <c r="EY366" s="127"/>
      <c r="EZ366" s="127"/>
      <c r="FA366" s="127"/>
      <c r="FB366" s="127"/>
      <c r="FC366" s="127"/>
      <c r="FD366" s="127"/>
      <c r="FE366" s="127"/>
      <c r="FF366" s="127"/>
      <c r="HW366" s="127"/>
      <c r="HX366" s="127"/>
      <c r="HY366" s="127"/>
      <c r="HZ366" s="127"/>
      <c r="IA366" s="127"/>
      <c r="IB366" s="127"/>
      <c r="IC366" s="127"/>
      <c r="ID366" s="127"/>
      <c r="IE366" s="127"/>
      <c r="IF366" s="127"/>
      <c r="IG366" s="127"/>
      <c r="IH366" s="127"/>
      <c r="II366" s="127"/>
      <c r="IJ366" s="127"/>
      <c r="IK366" s="127"/>
      <c r="LB366" s="127"/>
      <c r="LC366" s="127"/>
      <c r="LD366" s="127"/>
      <c r="LE366" s="127"/>
      <c r="LF366" s="127"/>
      <c r="LG366" s="127"/>
      <c r="LH366" s="127"/>
      <c r="LI366" s="127"/>
      <c r="LJ366" s="127"/>
      <c r="LK366" s="127"/>
      <c r="LL366" s="127"/>
      <c r="LM366" s="127"/>
      <c r="LN366" s="127"/>
      <c r="LO366" s="127"/>
      <c r="LP366" s="127"/>
      <c r="OG366" s="127"/>
      <c r="OH366" s="127"/>
      <c r="OI366" s="127"/>
      <c r="OJ366" s="127"/>
      <c r="OK366" s="127"/>
      <c r="OL366" s="127"/>
      <c r="OM366" s="127"/>
      <c r="ON366" s="127"/>
      <c r="OO366" s="127"/>
      <c r="OP366" s="127"/>
      <c r="OQ366" s="127"/>
      <c r="OR366" s="127"/>
      <c r="OS366" s="127"/>
      <c r="OT366" s="127"/>
      <c r="OU366" s="127"/>
    </row>
    <row r="367" spans="1:411">
      <c r="A367">
        <v>52</v>
      </c>
      <c r="B367">
        <v>670</v>
      </c>
      <c r="C367" t="s">
        <v>72</v>
      </c>
      <c r="D367" t="s">
        <v>233</v>
      </c>
      <c r="E367" s="232" t="s">
        <v>16601</v>
      </c>
      <c r="F367" t="s">
        <v>70</v>
      </c>
      <c r="G367">
        <v>2</v>
      </c>
      <c r="H367">
        <v>686.45399999999995</v>
      </c>
      <c r="I367">
        <v>683.97</v>
      </c>
      <c r="J367">
        <v>680.024</v>
      </c>
      <c r="K367">
        <v>677.17399999999998</v>
      </c>
      <c r="L367">
        <v>673.37900000000002</v>
      </c>
      <c r="M367" s="233" t="s">
        <v>530</v>
      </c>
      <c r="N367" s="233" t="s">
        <v>531</v>
      </c>
      <c r="O367" s="3" t="s">
        <v>868</v>
      </c>
      <c r="BM367" s="127"/>
      <c r="BN367" s="127"/>
      <c r="BO367" s="127"/>
      <c r="BP367" s="127"/>
      <c r="BQ367" s="127"/>
      <c r="BR367" s="127"/>
      <c r="BS367" s="127"/>
      <c r="BT367" s="127"/>
      <c r="BU367" s="127"/>
      <c r="BV367" s="127"/>
      <c r="BW367" s="127"/>
      <c r="BX367" s="127"/>
      <c r="BY367" s="127"/>
      <c r="BZ367" s="127"/>
      <c r="CA367" s="127"/>
      <c r="ER367" s="127"/>
      <c r="ES367" s="127"/>
      <c r="ET367" s="127"/>
      <c r="EU367" s="127"/>
      <c r="EV367" s="127"/>
      <c r="EW367" s="127"/>
      <c r="EX367" s="127"/>
      <c r="EY367" s="127"/>
      <c r="EZ367" s="127"/>
      <c r="FA367" s="127"/>
      <c r="FB367" s="127"/>
      <c r="FC367" s="127"/>
      <c r="FD367" s="127"/>
      <c r="FE367" s="127"/>
      <c r="FF367" s="127"/>
      <c r="HW367" s="127"/>
      <c r="HX367" s="127"/>
      <c r="HY367" s="127"/>
      <c r="HZ367" s="127"/>
      <c r="IA367" s="127"/>
      <c r="IB367" s="127"/>
      <c r="IC367" s="127"/>
      <c r="ID367" s="127"/>
      <c r="IE367" s="127"/>
      <c r="IF367" s="127"/>
      <c r="IG367" s="127"/>
      <c r="IH367" s="127"/>
      <c r="II367" s="127"/>
      <c r="IJ367" s="127"/>
      <c r="IK367" s="127"/>
      <c r="LB367" s="127"/>
      <c r="LC367" s="127"/>
      <c r="LD367" s="127"/>
      <c r="LE367" s="127"/>
      <c r="LF367" s="127"/>
      <c r="LG367" s="127"/>
      <c r="LH367" s="127"/>
      <c r="LI367" s="127"/>
      <c r="LJ367" s="127"/>
      <c r="LK367" s="127"/>
      <c r="LL367" s="127"/>
      <c r="LM367" s="127"/>
      <c r="LN367" s="127"/>
      <c r="LO367" s="127"/>
      <c r="LP367" s="127"/>
      <c r="OG367" s="127"/>
      <c r="OH367" s="127"/>
      <c r="OI367" s="127"/>
      <c r="OJ367" s="127"/>
      <c r="OK367" s="127"/>
      <c r="OL367" s="127"/>
      <c r="OM367" s="127"/>
      <c r="ON367" s="127"/>
      <c r="OO367" s="127"/>
      <c r="OP367" s="127"/>
      <c r="OQ367" s="127"/>
      <c r="OR367" s="127"/>
      <c r="OS367" s="127"/>
      <c r="OT367" s="127"/>
      <c r="OU367" s="127"/>
    </row>
    <row r="368" spans="1:411">
      <c r="A368">
        <v>52</v>
      </c>
      <c r="B368">
        <v>671</v>
      </c>
      <c r="C368" t="s">
        <v>72</v>
      </c>
      <c r="D368" t="s">
        <v>233</v>
      </c>
      <c r="E368" s="232" t="s">
        <v>8742</v>
      </c>
      <c r="F368" t="s">
        <v>70</v>
      </c>
      <c r="G368">
        <v>2</v>
      </c>
      <c r="H368">
        <v>685.21199999999999</v>
      </c>
      <c r="I368">
        <v>682.47699999999998</v>
      </c>
      <c r="J368">
        <v>678.75</v>
      </c>
      <c r="K368">
        <v>675.97400000000005</v>
      </c>
      <c r="L368">
        <v>670.12699999999995</v>
      </c>
      <c r="M368" s="233" t="s">
        <v>530</v>
      </c>
      <c r="N368" s="233" t="s">
        <v>531</v>
      </c>
      <c r="O368" s="3" t="s">
        <v>869</v>
      </c>
      <c r="BM368" s="127"/>
      <c r="BN368" s="127"/>
      <c r="BO368" s="127"/>
      <c r="BP368" s="127"/>
      <c r="BQ368" s="127"/>
      <c r="BR368" s="127"/>
      <c r="BS368" s="127"/>
      <c r="BT368" s="127"/>
      <c r="BU368" s="127"/>
      <c r="BV368" s="127"/>
      <c r="BW368" s="127"/>
      <c r="BX368" s="127"/>
      <c r="BY368" s="127"/>
      <c r="BZ368" s="127"/>
      <c r="CA368" s="127"/>
      <c r="ER368" s="127"/>
      <c r="ES368" s="127"/>
      <c r="ET368" s="127"/>
      <c r="EU368" s="127"/>
      <c r="EV368" s="127"/>
      <c r="EW368" s="127"/>
      <c r="EX368" s="127"/>
      <c r="EY368" s="127"/>
      <c r="EZ368" s="127"/>
      <c r="FA368" s="127"/>
      <c r="FB368" s="127"/>
      <c r="FC368" s="127"/>
      <c r="FD368" s="127"/>
      <c r="FE368" s="127"/>
      <c r="FF368" s="127"/>
      <c r="HW368" s="127"/>
      <c r="HX368" s="127"/>
      <c r="HY368" s="127"/>
      <c r="HZ368" s="127"/>
      <c r="IA368" s="127"/>
      <c r="IB368" s="127"/>
      <c r="IC368" s="127"/>
      <c r="ID368" s="127"/>
      <c r="IE368" s="127"/>
      <c r="IF368" s="127"/>
      <c r="IG368" s="127"/>
      <c r="IH368" s="127"/>
      <c r="II368" s="127"/>
      <c r="IJ368" s="127"/>
      <c r="IK368" s="127"/>
      <c r="LB368" s="127"/>
      <c r="LC368" s="127"/>
      <c r="LD368" s="127"/>
      <c r="LE368" s="127"/>
      <c r="LF368" s="127"/>
      <c r="LG368" s="127"/>
      <c r="LH368" s="127"/>
      <c r="LI368" s="127"/>
      <c r="LJ368" s="127"/>
      <c r="LK368" s="127"/>
      <c r="LL368" s="127"/>
      <c r="LM368" s="127"/>
      <c r="LN368" s="127"/>
      <c r="LO368" s="127"/>
      <c r="LP368" s="127"/>
      <c r="OG368" s="127"/>
      <c r="OH368" s="127"/>
      <c r="OI368" s="127"/>
      <c r="OJ368" s="127"/>
      <c r="OK368" s="127"/>
      <c r="OL368" s="127"/>
      <c r="OM368" s="127"/>
      <c r="ON368" s="127"/>
      <c r="OO368" s="127"/>
      <c r="OP368" s="127"/>
      <c r="OQ368" s="127"/>
      <c r="OR368" s="127"/>
      <c r="OS368" s="127"/>
      <c r="OT368" s="127"/>
      <c r="OU368" s="127"/>
    </row>
    <row r="369" spans="1:411">
      <c r="A369">
        <v>54</v>
      </c>
      <c r="B369">
        <v>687</v>
      </c>
      <c r="C369" t="s">
        <v>72</v>
      </c>
      <c r="D369" t="s">
        <v>233</v>
      </c>
      <c r="E369" s="232" t="s">
        <v>9770</v>
      </c>
      <c r="F369" t="s">
        <v>71</v>
      </c>
      <c r="G369">
        <v>2</v>
      </c>
      <c r="H369">
        <v>694.33500000000004</v>
      </c>
      <c r="I369">
        <v>691.86500000000001</v>
      </c>
      <c r="J369">
        <v>688.44399999999996</v>
      </c>
      <c r="K369">
        <v>685.86400000000003</v>
      </c>
      <c r="L369">
        <v>682.29100000000005</v>
      </c>
      <c r="M369" s="233" t="s">
        <v>530</v>
      </c>
      <c r="N369" s="233" t="s">
        <v>531</v>
      </c>
      <c r="O369" s="3" t="s">
        <v>870</v>
      </c>
      <c r="BM369" s="127"/>
      <c r="BN369" s="127"/>
      <c r="BO369" s="127"/>
      <c r="BP369" s="127"/>
      <c r="BQ369" s="127"/>
      <c r="BR369" s="127"/>
      <c r="BS369" s="127"/>
      <c r="BT369" s="127"/>
      <c r="BU369" s="127"/>
      <c r="BV369" s="127"/>
      <c r="BW369" s="127"/>
      <c r="BX369" s="127"/>
      <c r="BY369" s="127"/>
      <c r="BZ369" s="127"/>
      <c r="CA369" s="127"/>
      <c r="ER369" s="127"/>
      <c r="ES369" s="127"/>
      <c r="ET369" s="127"/>
      <c r="EU369" s="127"/>
      <c r="EV369" s="127"/>
      <c r="EW369" s="127"/>
      <c r="EX369" s="127"/>
      <c r="EY369" s="127"/>
      <c r="EZ369" s="127"/>
      <c r="FA369" s="127"/>
      <c r="FB369" s="127"/>
      <c r="FC369" s="127"/>
      <c r="FD369" s="127"/>
      <c r="FE369" s="127"/>
      <c r="FF369" s="127"/>
      <c r="HW369" s="127"/>
      <c r="HX369" s="127"/>
      <c r="HY369" s="127"/>
      <c r="HZ369" s="127"/>
      <c r="IA369" s="127"/>
      <c r="IB369" s="127"/>
      <c r="IC369" s="127"/>
      <c r="ID369" s="127"/>
      <c r="IE369" s="127"/>
      <c r="IF369" s="127"/>
      <c r="IG369" s="127"/>
      <c r="IH369" s="127"/>
      <c r="II369" s="127"/>
      <c r="IJ369" s="127"/>
      <c r="IK369" s="127"/>
      <c r="LB369" s="127"/>
      <c r="LC369" s="127"/>
      <c r="LD369" s="127"/>
      <c r="LE369" s="127"/>
      <c r="LF369" s="127"/>
      <c r="LG369" s="127"/>
      <c r="LH369" s="127"/>
      <c r="LI369" s="127"/>
      <c r="LJ369" s="127"/>
      <c r="LK369" s="127"/>
      <c r="LL369" s="127"/>
      <c r="LM369" s="127"/>
      <c r="LN369" s="127"/>
      <c r="LO369" s="127"/>
      <c r="LP369" s="127"/>
      <c r="OG369" s="127"/>
      <c r="OH369" s="127"/>
      <c r="OI369" s="127"/>
      <c r="OJ369" s="127"/>
      <c r="OK369" s="127"/>
      <c r="OL369" s="127"/>
      <c r="OM369" s="127"/>
      <c r="ON369" s="127"/>
      <c r="OO369" s="127"/>
      <c r="OP369" s="127"/>
      <c r="OQ369" s="127"/>
      <c r="OR369" s="127"/>
      <c r="OS369" s="127"/>
      <c r="OT369" s="127"/>
      <c r="OU369" s="127"/>
    </row>
    <row r="370" spans="1:411">
      <c r="A370">
        <v>54</v>
      </c>
      <c r="B370">
        <v>677</v>
      </c>
      <c r="C370" t="s">
        <v>72</v>
      </c>
      <c r="D370" t="s">
        <v>233</v>
      </c>
      <c r="E370" s="232" t="s">
        <v>9774</v>
      </c>
      <c r="F370" t="s">
        <v>71</v>
      </c>
      <c r="G370">
        <v>2</v>
      </c>
      <c r="H370">
        <v>694.21</v>
      </c>
      <c r="I370">
        <v>691.76400000000001</v>
      </c>
      <c r="J370">
        <v>688.29</v>
      </c>
      <c r="K370">
        <v>685.81100000000004</v>
      </c>
      <c r="L370">
        <v>682.11599999999999</v>
      </c>
      <c r="M370" s="233" t="s">
        <v>530</v>
      </c>
      <c r="N370" s="233" t="s">
        <v>531</v>
      </c>
      <c r="O370" s="3" t="s">
        <v>871</v>
      </c>
      <c r="BM370" s="127"/>
      <c r="BN370" s="127"/>
      <c r="BO370" s="127"/>
      <c r="BP370" s="127"/>
      <c r="BQ370" s="127"/>
      <c r="BR370" s="127"/>
      <c r="BS370" s="127"/>
      <c r="BT370" s="127"/>
      <c r="BU370" s="127"/>
      <c r="BV370" s="127"/>
      <c r="BW370" s="127"/>
      <c r="BX370" s="127"/>
      <c r="BY370" s="127"/>
      <c r="BZ370" s="127"/>
      <c r="CA370" s="127"/>
      <c r="ER370" s="127"/>
      <c r="ES370" s="127"/>
      <c r="ET370" s="127"/>
      <c r="EU370" s="127"/>
      <c r="EV370" s="127"/>
      <c r="EW370" s="127"/>
      <c r="EX370" s="127"/>
      <c r="EY370" s="127"/>
      <c r="EZ370" s="127"/>
      <c r="FA370" s="127"/>
      <c r="FB370" s="127"/>
      <c r="FC370" s="127"/>
      <c r="FD370" s="127"/>
      <c r="FE370" s="127"/>
      <c r="FF370" s="127"/>
      <c r="HW370" s="127"/>
      <c r="HX370" s="127"/>
      <c r="HY370" s="127"/>
      <c r="HZ370" s="127"/>
      <c r="IA370" s="127"/>
      <c r="IB370" s="127"/>
      <c r="IC370" s="127"/>
      <c r="ID370" s="127"/>
      <c r="IE370" s="127"/>
      <c r="IF370" s="127"/>
      <c r="IG370" s="127"/>
      <c r="IH370" s="127"/>
      <c r="II370" s="127"/>
      <c r="IJ370" s="127"/>
      <c r="IK370" s="127"/>
      <c r="LB370" s="127"/>
      <c r="LC370" s="127"/>
      <c r="LD370" s="127"/>
      <c r="LE370" s="127"/>
      <c r="LF370" s="127"/>
      <c r="LG370" s="127"/>
      <c r="LH370" s="127"/>
      <c r="LI370" s="127"/>
      <c r="LJ370" s="127"/>
      <c r="LK370" s="127"/>
      <c r="LL370" s="127"/>
      <c r="LM370" s="127"/>
      <c r="LN370" s="127"/>
      <c r="LO370" s="127"/>
      <c r="LP370" s="127"/>
      <c r="OG370" s="127"/>
      <c r="OH370" s="127"/>
      <c r="OI370" s="127"/>
      <c r="OJ370" s="127"/>
      <c r="OK370" s="127"/>
      <c r="OL370" s="127"/>
      <c r="OM370" s="127"/>
      <c r="ON370" s="127"/>
      <c r="OO370" s="127"/>
      <c r="OP370" s="127"/>
      <c r="OQ370" s="127"/>
      <c r="OR370" s="127"/>
      <c r="OS370" s="127"/>
      <c r="OT370" s="127"/>
      <c r="OU370" s="127"/>
    </row>
    <row r="371" spans="1:411">
      <c r="A371">
        <v>54</v>
      </c>
      <c r="B371">
        <v>680</v>
      </c>
      <c r="C371" t="s">
        <v>72</v>
      </c>
      <c r="D371" t="s">
        <v>233</v>
      </c>
      <c r="E371" s="232" t="s">
        <v>9781</v>
      </c>
      <c r="F371" t="s">
        <v>71</v>
      </c>
      <c r="G371">
        <v>2</v>
      </c>
      <c r="H371">
        <v>694.21</v>
      </c>
      <c r="I371">
        <v>691.76400000000001</v>
      </c>
      <c r="J371">
        <v>688.29</v>
      </c>
      <c r="K371">
        <v>685.81100000000004</v>
      </c>
      <c r="L371">
        <v>682.11599999999999</v>
      </c>
      <c r="M371" s="233" t="s">
        <v>530</v>
      </c>
      <c r="N371" s="233" t="s">
        <v>531</v>
      </c>
      <c r="O371" s="3" t="s">
        <v>872</v>
      </c>
      <c r="BM371" s="127"/>
      <c r="BN371" s="127"/>
      <c r="BO371" s="127"/>
      <c r="BP371" s="127"/>
      <c r="BQ371" s="127"/>
      <c r="BR371" s="127"/>
      <c r="BS371" s="127"/>
      <c r="BT371" s="127"/>
      <c r="BU371" s="127"/>
      <c r="BV371" s="127"/>
      <c r="BW371" s="127"/>
      <c r="BX371" s="127"/>
      <c r="BY371" s="127"/>
      <c r="BZ371" s="127"/>
      <c r="CA371" s="127"/>
      <c r="ER371" s="127"/>
      <c r="ES371" s="127"/>
      <c r="ET371" s="127"/>
      <c r="EU371" s="127"/>
      <c r="EV371" s="127"/>
      <c r="EW371" s="127"/>
      <c r="EX371" s="127"/>
      <c r="EY371" s="127"/>
      <c r="EZ371" s="127"/>
      <c r="FA371" s="127"/>
      <c r="FB371" s="127"/>
      <c r="FC371" s="127"/>
      <c r="FD371" s="127"/>
      <c r="FE371" s="127"/>
      <c r="FF371" s="127"/>
      <c r="HW371" s="127"/>
      <c r="HX371" s="127"/>
      <c r="HY371" s="127"/>
      <c r="HZ371" s="127"/>
      <c r="IA371" s="127"/>
      <c r="IB371" s="127"/>
      <c r="IC371" s="127"/>
      <c r="ID371" s="127"/>
      <c r="IE371" s="127"/>
      <c r="IF371" s="127"/>
      <c r="IG371" s="127"/>
      <c r="IH371" s="127"/>
      <c r="II371" s="127"/>
      <c r="IJ371" s="127"/>
      <c r="IK371" s="127"/>
      <c r="LB371" s="127"/>
      <c r="LC371" s="127"/>
      <c r="LD371" s="127"/>
      <c r="LE371" s="127"/>
      <c r="LF371" s="127"/>
      <c r="LG371" s="127"/>
      <c r="LH371" s="127"/>
      <c r="LI371" s="127"/>
      <c r="LJ371" s="127"/>
      <c r="LK371" s="127"/>
      <c r="LL371" s="127"/>
      <c r="LM371" s="127"/>
      <c r="LN371" s="127"/>
      <c r="LO371" s="127"/>
      <c r="LP371" s="127"/>
      <c r="OG371" s="127"/>
      <c r="OH371" s="127"/>
      <c r="OI371" s="127"/>
      <c r="OJ371" s="127"/>
      <c r="OK371" s="127"/>
      <c r="OL371" s="127"/>
      <c r="OM371" s="127"/>
      <c r="ON371" s="127"/>
      <c r="OO371" s="127"/>
      <c r="OP371" s="127"/>
      <c r="OQ371" s="127"/>
      <c r="OR371" s="127"/>
      <c r="OS371" s="127"/>
      <c r="OT371" s="127"/>
      <c r="OU371" s="127"/>
    </row>
    <row r="372" spans="1:411">
      <c r="A372">
        <v>54</v>
      </c>
      <c r="B372">
        <v>678</v>
      </c>
      <c r="C372" t="s">
        <v>72</v>
      </c>
      <c r="D372" t="s">
        <v>233</v>
      </c>
      <c r="E372" s="232" t="s">
        <v>8659</v>
      </c>
      <c r="F372" t="s">
        <v>71</v>
      </c>
      <c r="G372">
        <v>2</v>
      </c>
      <c r="H372">
        <v>694.06399999999996</v>
      </c>
      <c r="I372">
        <v>691.48800000000006</v>
      </c>
      <c r="J372">
        <v>688.01400000000001</v>
      </c>
      <c r="K372">
        <v>685.53499999999997</v>
      </c>
      <c r="L372">
        <v>681.99099999999999</v>
      </c>
      <c r="M372" s="233" t="s">
        <v>530</v>
      </c>
      <c r="N372" s="233" t="s">
        <v>531</v>
      </c>
      <c r="O372" s="3" t="s">
        <v>873</v>
      </c>
      <c r="BM372" s="127"/>
      <c r="BN372" s="127"/>
      <c r="BO372" s="127"/>
      <c r="BP372" s="127"/>
      <c r="BQ372" s="127"/>
      <c r="BR372" s="127"/>
      <c r="BS372" s="127"/>
      <c r="BT372" s="127"/>
      <c r="BU372" s="127"/>
      <c r="BV372" s="127"/>
      <c r="BW372" s="127"/>
      <c r="BX372" s="127"/>
      <c r="BY372" s="127"/>
      <c r="BZ372" s="127"/>
      <c r="CA372" s="127"/>
      <c r="ER372" s="127"/>
      <c r="ES372" s="127"/>
      <c r="ET372" s="127"/>
      <c r="EU372" s="127"/>
      <c r="EV372" s="127"/>
      <c r="EW372" s="127"/>
      <c r="EX372" s="127"/>
      <c r="EY372" s="127"/>
      <c r="EZ372" s="127"/>
      <c r="FA372" s="127"/>
      <c r="FB372" s="127"/>
      <c r="FC372" s="127"/>
      <c r="FD372" s="127"/>
      <c r="FE372" s="127"/>
      <c r="FF372" s="127"/>
      <c r="HW372" s="127"/>
      <c r="HX372" s="127"/>
      <c r="HY372" s="127"/>
      <c r="HZ372" s="127"/>
      <c r="IA372" s="127"/>
      <c r="IB372" s="127"/>
      <c r="IC372" s="127"/>
      <c r="ID372" s="127"/>
      <c r="IE372" s="127"/>
      <c r="IF372" s="127"/>
      <c r="IG372" s="127"/>
      <c r="IH372" s="127"/>
      <c r="II372" s="127"/>
      <c r="IJ372" s="127"/>
      <c r="IK372" s="127"/>
      <c r="LB372" s="127"/>
      <c r="LC372" s="127"/>
      <c r="LD372" s="127"/>
      <c r="LE372" s="127"/>
      <c r="LF372" s="127"/>
      <c r="LG372" s="127"/>
      <c r="LH372" s="127"/>
      <c r="LI372" s="127"/>
      <c r="LJ372" s="127"/>
      <c r="LK372" s="127"/>
      <c r="LL372" s="127"/>
      <c r="LM372" s="127"/>
      <c r="LN372" s="127"/>
      <c r="LO372" s="127"/>
      <c r="LP372" s="127"/>
      <c r="OG372" s="127"/>
      <c r="OH372" s="127"/>
      <c r="OI372" s="127"/>
      <c r="OJ372" s="127"/>
      <c r="OK372" s="127"/>
      <c r="OL372" s="127"/>
      <c r="OM372" s="127"/>
      <c r="ON372" s="127"/>
      <c r="OO372" s="127"/>
      <c r="OP372" s="127"/>
      <c r="OQ372" s="127"/>
      <c r="OR372" s="127"/>
      <c r="OS372" s="127"/>
      <c r="OT372" s="127"/>
      <c r="OU372" s="127"/>
    </row>
    <row r="373" spans="1:411">
      <c r="A373">
        <v>54</v>
      </c>
      <c r="B373">
        <v>684</v>
      </c>
      <c r="C373" t="s">
        <v>72</v>
      </c>
      <c r="D373" t="s">
        <v>233</v>
      </c>
      <c r="E373" s="232" t="s">
        <v>9633</v>
      </c>
      <c r="F373" t="s">
        <v>71</v>
      </c>
      <c r="G373">
        <v>2</v>
      </c>
      <c r="H373">
        <v>693.1</v>
      </c>
      <c r="I373">
        <v>690.27099999999996</v>
      </c>
      <c r="J373">
        <v>687.23</v>
      </c>
      <c r="K373">
        <v>684.52499999999998</v>
      </c>
      <c r="L373">
        <v>678.86099999999999</v>
      </c>
      <c r="M373" s="233" t="s">
        <v>530</v>
      </c>
      <c r="N373" s="233" t="s">
        <v>531</v>
      </c>
      <c r="O373" s="3" t="s">
        <v>874</v>
      </c>
      <c r="BM373" s="127"/>
      <c r="BN373" s="127"/>
      <c r="BO373" s="127"/>
      <c r="BP373" s="127"/>
      <c r="BQ373" s="127"/>
      <c r="BR373" s="127"/>
      <c r="BS373" s="127"/>
      <c r="BT373" s="127"/>
      <c r="BU373" s="127"/>
      <c r="BV373" s="127"/>
      <c r="BW373" s="127"/>
      <c r="BX373" s="127"/>
      <c r="BY373" s="127"/>
      <c r="BZ373" s="127"/>
      <c r="CA373" s="127"/>
      <c r="ER373" s="127"/>
      <c r="ES373" s="127"/>
      <c r="ET373" s="127"/>
      <c r="EU373" s="127"/>
      <c r="EV373" s="127"/>
      <c r="EW373" s="127"/>
      <c r="EX373" s="127"/>
      <c r="EY373" s="127"/>
      <c r="EZ373" s="127"/>
      <c r="FA373" s="127"/>
      <c r="FB373" s="127"/>
      <c r="FC373" s="127"/>
      <c r="FD373" s="127"/>
      <c r="FE373" s="127"/>
      <c r="FF373" s="127"/>
      <c r="HW373" s="127"/>
      <c r="HX373" s="127"/>
      <c r="HY373" s="127"/>
      <c r="HZ373" s="127"/>
      <c r="IA373" s="127"/>
      <c r="IB373" s="127"/>
      <c r="IC373" s="127"/>
      <c r="ID373" s="127"/>
      <c r="IE373" s="127"/>
      <c r="IF373" s="127"/>
      <c r="IG373" s="127"/>
      <c r="IH373" s="127"/>
      <c r="II373" s="127"/>
      <c r="IJ373" s="127"/>
      <c r="IK373" s="127"/>
      <c r="LB373" s="127"/>
      <c r="LC373" s="127"/>
      <c r="LD373" s="127"/>
      <c r="LE373" s="127"/>
      <c r="LF373" s="127"/>
      <c r="LG373" s="127"/>
      <c r="LH373" s="127"/>
      <c r="LI373" s="127"/>
      <c r="LJ373" s="127"/>
      <c r="LK373" s="127"/>
      <c r="LL373" s="127"/>
      <c r="LM373" s="127"/>
      <c r="LN373" s="127"/>
      <c r="LO373" s="127"/>
      <c r="LP373" s="127"/>
      <c r="OG373" s="127"/>
      <c r="OH373" s="127"/>
      <c r="OI373" s="127"/>
      <c r="OJ373" s="127"/>
      <c r="OK373" s="127"/>
      <c r="OL373" s="127"/>
      <c r="OM373" s="127"/>
      <c r="ON373" s="127"/>
      <c r="OO373" s="127"/>
      <c r="OP373" s="127"/>
      <c r="OQ373" s="127"/>
      <c r="OR373" s="127"/>
      <c r="OS373" s="127"/>
      <c r="OT373" s="127"/>
      <c r="OU373" s="127"/>
    </row>
    <row r="374" spans="1:411">
      <c r="A374">
        <v>54</v>
      </c>
      <c r="B374">
        <v>688</v>
      </c>
      <c r="C374" t="s">
        <v>72</v>
      </c>
      <c r="D374" t="s">
        <v>233</v>
      </c>
      <c r="E374" s="232" t="s">
        <v>9866</v>
      </c>
      <c r="F374" t="s">
        <v>71</v>
      </c>
      <c r="G374">
        <v>2</v>
      </c>
      <c r="H374">
        <v>693.1</v>
      </c>
      <c r="I374">
        <v>690.27099999999996</v>
      </c>
      <c r="J374">
        <v>687.23</v>
      </c>
      <c r="K374">
        <v>684.52499999999998</v>
      </c>
      <c r="L374">
        <v>681.81600000000003</v>
      </c>
      <c r="M374" s="233" t="s">
        <v>530</v>
      </c>
      <c r="N374" s="233" t="s">
        <v>531</v>
      </c>
      <c r="O374" s="3" t="s">
        <v>875</v>
      </c>
      <c r="BM374" s="127"/>
      <c r="BN374" s="127"/>
      <c r="BO374" s="127"/>
      <c r="BP374" s="127"/>
      <c r="BQ374" s="127"/>
      <c r="BR374" s="127"/>
      <c r="BS374" s="127"/>
      <c r="BT374" s="127"/>
      <c r="BU374" s="127"/>
      <c r="BV374" s="127"/>
      <c r="BW374" s="127"/>
      <c r="BX374" s="127"/>
      <c r="BY374" s="127"/>
      <c r="BZ374" s="127"/>
      <c r="CA374" s="127"/>
      <c r="ER374" s="127"/>
      <c r="ES374" s="127"/>
      <c r="ET374" s="127"/>
      <c r="EU374" s="127"/>
      <c r="EV374" s="127"/>
      <c r="EW374" s="127"/>
      <c r="EX374" s="127"/>
      <c r="EY374" s="127"/>
      <c r="EZ374" s="127"/>
      <c r="FA374" s="127"/>
      <c r="FB374" s="127"/>
      <c r="FC374" s="127"/>
      <c r="FD374" s="127"/>
      <c r="FE374" s="127"/>
      <c r="FF374" s="127"/>
      <c r="HW374" s="127"/>
      <c r="HX374" s="127"/>
      <c r="HY374" s="127"/>
      <c r="HZ374" s="127"/>
      <c r="IA374" s="127"/>
      <c r="IB374" s="127"/>
      <c r="IC374" s="127"/>
      <c r="ID374" s="127"/>
      <c r="IE374" s="127"/>
      <c r="IF374" s="127"/>
      <c r="IG374" s="127"/>
      <c r="IH374" s="127"/>
      <c r="II374" s="127"/>
      <c r="IJ374" s="127"/>
      <c r="IK374" s="127"/>
      <c r="LB374" s="127"/>
      <c r="LC374" s="127"/>
      <c r="LD374" s="127"/>
      <c r="LE374" s="127"/>
      <c r="LF374" s="127"/>
      <c r="LG374" s="127"/>
      <c r="LH374" s="127"/>
      <c r="LI374" s="127"/>
      <c r="LJ374" s="127"/>
      <c r="LK374" s="127"/>
      <c r="LL374" s="127"/>
      <c r="LM374" s="127"/>
      <c r="LN374" s="127"/>
      <c r="LO374" s="127"/>
      <c r="LP374" s="127"/>
      <c r="OG374" s="127"/>
      <c r="OH374" s="127"/>
      <c r="OI374" s="127"/>
      <c r="OJ374" s="127"/>
      <c r="OK374" s="127"/>
      <c r="OL374" s="127"/>
      <c r="OM374" s="127"/>
      <c r="ON374" s="127"/>
      <c r="OO374" s="127"/>
      <c r="OP374" s="127"/>
      <c r="OQ374" s="127"/>
      <c r="OR374" s="127"/>
      <c r="OS374" s="127"/>
      <c r="OT374" s="127"/>
      <c r="OU374" s="127"/>
    </row>
    <row r="375" spans="1:411">
      <c r="A375">
        <v>54</v>
      </c>
      <c r="B375">
        <v>689</v>
      </c>
      <c r="C375" t="s">
        <v>72</v>
      </c>
      <c r="D375" t="s">
        <v>233</v>
      </c>
      <c r="E375" s="232" t="s">
        <v>9870</v>
      </c>
      <c r="F375" t="s">
        <v>71</v>
      </c>
      <c r="G375">
        <v>2</v>
      </c>
      <c r="H375">
        <v>693.1</v>
      </c>
      <c r="I375">
        <v>690.27099999999996</v>
      </c>
      <c r="J375">
        <v>687.23</v>
      </c>
      <c r="K375">
        <v>684.52499999999998</v>
      </c>
      <c r="L375">
        <v>680.93399999999997</v>
      </c>
      <c r="M375" s="233" t="s">
        <v>530</v>
      </c>
      <c r="N375" s="233" t="s">
        <v>531</v>
      </c>
      <c r="O375" s="3" t="s">
        <v>876</v>
      </c>
      <c r="BM375" s="127"/>
      <c r="BN375" s="127"/>
      <c r="BO375" s="127"/>
      <c r="BP375" s="127"/>
      <c r="BQ375" s="127"/>
      <c r="BR375" s="127"/>
      <c r="BS375" s="127"/>
      <c r="BT375" s="127"/>
      <c r="BU375" s="127"/>
      <c r="BV375" s="127"/>
      <c r="BW375" s="127"/>
      <c r="BX375" s="127"/>
      <c r="BY375" s="127"/>
      <c r="BZ375" s="127"/>
      <c r="CA375" s="127"/>
      <c r="ER375" s="127"/>
      <c r="ES375" s="127"/>
      <c r="ET375" s="127"/>
      <c r="EU375" s="127"/>
      <c r="EV375" s="127"/>
      <c r="EW375" s="127"/>
      <c r="EX375" s="127"/>
      <c r="EY375" s="127"/>
      <c r="EZ375" s="127"/>
      <c r="FA375" s="127"/>
      <c r="FB375" s="127"/>
      <c r="FC375" s="127"/>
      <c r="FD375" s="127"/>
      <c r="FE375" s="127"/>
      <c r="FF375" s="127"/>
      <c r="HW375" s="127"/>
      <c r="HX375" s="127"/>
      <c r="HY375" s="127"/>
      <c r="HZ375" s="127"/>
      <c r="IA375" s="127"/>
      <c r="IB375" s="127"/>
      <c r="IC375" s="127"/>
      <c r="ID375" s="127"/>
      <c r="IE375" s="127"/>
      <c r="IF375" s="127"/>
      <c r="IG375" s="127"/>
      <c r="IH375" s="127"/>
      <c r="II375" s="127"/>
      <c r="IJ375" s="127"/>
      <c r="IK375" s="127"/>
      <c r="LB375" s="127"/>
      <c r="LC375" s="127"/>
      <c r="LD375" s="127"/>
      <c r="LE375" s="127"/>
      <c r="LF375" s="127"/>
      <c r="LG375" s="127"/>
      <c r="LH375" s="127"/>
      <c r="LI375" s="127"/>
      <c r="LJ375" s="127"/>
      <c r="LK375" s="127"/>
      <c r="LL375" s="127"/>
      <c r="LM375" s="127"/>
      <c r="LN375" s="127"/>
      <c r="LO375" s="127"/>
      <c r="LP375" s="127"/>
      <c r="OG375" s="127"/>
      <c r="OH375" s="127"/>
      <c r="OI375" s="127"/>
      <c r="OJ375" s="127"/>
      <c r="OK375" s="127"/>
      <c r="OL375" s="127"/>
      <c r="OM375" s="127"/>
      <c r="ON375" s="127"/>
      <c r="OO375" s="127"/>
      <c r="OP375" s="127"/>
      <c r="OQ375" s="127"/>
      <c r="OR375" s="127"/>
      <c r="OS375" s="127"/>
      <c r="OT375" s="127"/>
      <c r="OU375" s="127"/>
    </row>
    <row r="376" spans="1:411">
      <c r="A376">
        <v>54</v>
      </c>
      <c r="B376">
        <v>695</v>
      </c>
      <c r="C376" t="s">
        <v>72</v>
      </c>
      <c r="D376" t="s">
        <v>233</v>
      </c>
      <c r="E376" s="232" t="s">
        <v>9932</v>
      </c>
      <c r="F376" t="s">
        <v>71</v>
      </c>
      <c r="G376">
        <v>2</v>
      </c>
      <c r="H376">
        <v>692.06399999999996</v>
      </c>
      <c r="I376">
        <v>689.505</v>
      </c>
      <c r="J376">
        <v>686.27099999999996</v>
      </c>
      <c r="K376">
        <v>683.55</v>
      </c>
      <c r="L376">
        <v>677.95399999999995</v>
      </c>
      <c r="M376" s="233" t="s">
        <v>530</v>
      </c>
      <c r="N376" s="233" t="s">
        <v>531</v>
      </c>
      <c r="O376" s="3" t="s">
        <v>877</v>
      </c>
      <c r="BM376" s="127"/>
      <c r="BN376" s="127"/>
      <c r="BO376" s="127"/>
      <c r="BP376" s="127"/>
      <c r="BQ376" s="127"/>
      <c r="BR376" s="127"/>
      <c r="BS376" s="127"/>
      <c r="BT376" s="127"/>
      <c r="BU376" s="127"/>
      <c r="BV376" s="127"/>
      <c r="BW376" s="127"/>
      <c r="BX376" s="127"/>
      <c r="BY376" s="127"/>
      <c r="BZ376" s="127"/>
      <c r="CA376" s="127"/>
      <c r="ER376" s="127"/>
      <c r="ES376" s="127"/>
      <c r="ET376" s="127"/>
      <c r="EU376" s="127"/>
      <c r="EV376" s="127"/>
      <c r="EW376" s="127"/>
      <c r="EX376" s="127"/>
      <c r="EY376" s="127"/>
      <c r="EZ376" s="127"/>
      <c r="FA376" s="127"/>
      <c r="FB376" s="127"/>
      <c r="FC376" s="127"/>
      <c r="FD376" s="127"/>
      <c r="FE376" s="127"/>
      <c r="FF376" s="127"/>
      <c r="HW376" s="127"/>
      <c r="HX376" s="127"/>
      <c r="HY376" s="127"/>
      <c r="HZ376" s="127"/>
      <c r="IA376" s="127"/>
      <c r="IB376" s="127"/>
      <c r="IC376" s="127"/>
      <c r="ID376" s="127"/>
      <c r="IE376" s="127"/>
      <c r="IF376" s="127"/>
      <c r="IG376" s="127"/>
      <c r="IH376" s="127"/>
      <c r="II376" s="127"/>
      <c r="IJ376" s="127"/>
      <c r="IK376" s="127"/>
      <c r="LB376" s="127"/>
      <c r="LC376" s="127"/>
      <c r="LD376" s="127"/>
      <c r="LE376" s="127"/>
      <c r="LF376" s="127"/>
      <c r="LG376" s="127"/>
      <c r="LH376" s="127"/>
      <c r="LI376" s="127"/>
      <c r="LJ376" s="127"/>
      <c r="LK376" s="127"/>
      <c r="LL376" s="127"/>
      <c r="LM376" s="127"/>
      <c r="LN376" s="127"/>
      <c r="LO376" s="127"/>
      <c r="LP376" s="127"/>
      <c r="OG376" s="127"/>
      <c r="OH376" s="127"/>
      <c r="OI376" s="127"/>
      <c r="OJ376" s="127"/>
      <c r="OK376" s="127"/>
      <c r="OL376" s="127"/>
      <c r="OM376" s="127"/>
      <c r="ON376" s="127"/>
      <c r="OO376" s="127"/>
      <c r="OP376" s="127"/>
      <c r="OQ376" s="127"/>
      <c r="OR376" s="127"/>
      <c r="OS376" s="127"/>
      <c r="OT376" s="127"/>
      <c r="OU376" s="127"/>
    </row>
    <row r="377" spans="1:411">
      <c r="A377">
        <v>54</v>
      </c>
      <c r="B377">
        <v>697</v>
      </c>
      <c r="C377" t="s">
        <v>72</v>
      </c>
      <c r="D377" t="s">
        <v>233</v>
      </c>
      <c r="E377" s="232" t="s">
        <v>8232</v>
      </c>
      <c r="F377" t="s">
        <v>71</v>
      </c>
      <c r="G377">
        <v>2</v>
      </c>
      <c r="H377">
        <v>692.06399999999996</v>
      </c>
      <c r="I377">
        <v>689.505</v>
      </c>
      <c r="J377">
        <v>686.27099999999996</v>
      </c>
      <c r="K377">
        <v>683.55</v>
      </c>
      <c r="L377">
        <v>677.95399999999995</v>
      </c>
      <c r="M377" s="233" t="s">
        <v>530</v>
      </c>
      <c r="N377" s="233" t="s">
        <v>531</v>
      </c>
      <c r="O377" s="3" t="s">
        <v>878</v>
      </c>
      <c r="BM377" s="127"/>
      <c r="BN377" s="127"/>
      <c r="BO377" s="127"/>
      <c r="BP377" s="127"/>
      <c r="BQ377" s="127"/>
      <c r="BR377" s="127"/>
      <c r="BS377" s="127"/>
      <c r="BT377" s="127"/>
      <c r="BU377" s="127"/>
      <c r="BV377" s="127"/>
      <c r="BW377" s="127"/>
      <c r="BX377" s="127"/>
      <c r="BY377" s="127"/>
      <c r="BZ377" s="127"/>
      <c r="CA377" s="127"/>
      <c r="ER377" s="127"/>
      <c r="ES377" s="127"/>
      <c r="ET377" s="127"/>
      <c r="EU377" s="127"/>
      <c r="EV377" s="127"/>
      <c r="EW377" s="127"/>
      <c r="EX377" s="127"/>
      <c r="EY377" s="127"/>
      <c r="EZ377" s="127"/>
      <c r="FA377" s="127"/>
      <c r="FB377" s="127"/>
      <c r="FC377" s="127"/>
      <c r="FD377" s="127"/>
      <c r="FE377" s="127"/>
      <c r="FF377" s="127"/>
      <c r="HW377" s="127"/>
      <c r="HX377" s="127"/>
      <c r="HY377" s="127"/>
      <c r="HZ377" s="127"/>
      <c r="IA377" s="127"/>
      <c r="IB377" s="127"/>
      <c r="IC377" s="127"/>
      <c r="ID377" s="127"/>
      <c r="IE377" s="127"/>
      <c r="IF377" s="127"/>
      <c r="IG377" s="127"/>
      <c r="IH377" s="127"/>
      <c r="II377" s="127"/>
      <c r="IJ377" s="127"/>
      <c r="IK377" s="127"/>
      <c r="LB377" s="127"/>
      <c r="LC377" s="127"/>
      <c r="LD377" s="127"/>
      <c r="LE377" s="127"/>
      <c r="LF377" s="127"/>
      <c r="LG377" s="127"/>
      <c r="LH377" s="127"/>
      <c r="LI377" s="127"/>
      <c r="LJ377" s="127"/>
      <c r="LK377" s="127"/>
      <c r="LL377" s="127"/>
      <c r="LM377" s="127"/>
      <c r="LN377" s="127"/>
      <c r="LO377" s="127"/>
      <c r="LP377" s="127"/>
      <c r="OG377" s="127"/>
      <c r="OH377" s="127"/>
      <c r="OI377" s="127"/>
      <c r="OJ377" s="127"/>
      <c r="OK377" s="127"/>
      <c r="OL377" s="127"/>
      <c r="OM377" s="127"/>
      <c r="ON377" s="127"/>
      <c r="OO377" s="127"/>
      <c r="OP377" s="127"/>
      <c r="OQ377" s="127"/>
      <c r="OR377" s="127"/>
      <c r="OS377" s="127"/>
      <c r="OT377" s="127"/>
      <c r="OU377" s="127"/>
    </row>
    <row r="378" spans="1:411">
      <c r="A378">
        <v>54</v>
      </c>
      <c r="B378">
        <v>699</v>
      </c>
      <c r="C378" t="s">
        <v>72</v>
      </c>
      <c r="D378" t="s">
        <v>233</v>
      </c>
      <c r="E378" s="232" t="s">
        <v>499</v>
      </c>
      <c r="F378" t="s">
        <v>71</v>
      </c>
      <c r="G378">
        <v>2</v>
      </c>
      <c r="H378">
        <v>692.06399999999996</v>
      </c>
      <c r="I378">
        <v>689.505</v>
      </c>
      <c r="J378">
        <v>686.27099999999996</v>
      </c>
      <c r="K378">
        <v>683.55</v>
      </c>
      <c r="L378">
        <v>677.95399999999995</v>
      </c>
      <c r="M378" s="233" t="s">
        <v>530</v>
      </c>
      <c r="N378" s="233" t="s">
        <v>531</v>
      </c>
      <c r="O378" s="3" t="s">
        <v>879</v>
      </c>
      <c r="BM378" s="127"/>
      <c r="BN378" s="127"/>
      <c r="BO378" s="127"/>
      <c r="BP378" s="127"/>
      <c r="BQ378" s="127"/>
      <c r="BR378" s="127"/>
      <c r="BS378" s="127"/>
      <c r="BT378" s="127"/>
      <c r="BU378" s="127"/>
      <c r="BV378" s="127"/>
      <c r="BW378" s="127"/>
      <c r="BX378" s="127"/>
      <c r="BY378" s="127"/>
      <c r="BZ378" s="127"/>
      <c r="CA378" s="127"/>
      <c r="ER378" s="127"/>
      <c r="ES378" s="127"/>
      <c r="ET378" s="127"/>
      <c r="EU378" s="127"/>
      <c r="EV378" s="127"/>
      <c r="EW378" s="127"/>
      <c r="EX378" s="127"/>
      <c r="EY378" s="127"/>
      <c r="EZ378" s="127"/>
      <c r="FA378" s="127"/>
      <c r="FB378" s="127"/>
      <c r="FC378" s="127"/>
      <c r="FD378" s="127"/>
      <c r="FE378" s="127"/>
      <c r="FF378" s="127"/>
      <c r="HW378" s="127"/>
      <c r="HX378" s="127"/>
      <c r="HY378" s="127"/>
      <c r="HZ378" s="127"/>
      <c r="IA378" s="127"/>
      <c r="IB378" s="127"/>
      <c r="IC378" s="127"/>
      <c r="ID378" s="127"/>
      <c r="IE378" s="127"/>
      <c r="IF378" s="127"/>
      <c r="IG378" s="127"/>
      <c r="IH378" s="127"/>
      <c r="II378" s="127"/>
      <c r="IJ378" s="127"/>
      <c r="IK378" s="127"/>
      <c r="LB378" s="127"/>
      <c r="LC378" s="127"/>
      <c r="LD378" s="127"/>
      <c r="LE378" s="127"/>
      <c r="LF378" s="127"/>
      <c r="LG378" s="127"/>
      <c r="LH378" s="127"/>
      <c r="LI378" s="127"/>
      <c r="LJ378" s="127"/>
      <c r="LK378" s="127"/>
      <c r="LL378" s="127"/>
      <c r="LM378" s="127"/>
      <c r="LN378" s="127"/>
      <c r="LO378" s="127"/>
      <c r="LP378" s="127"/>
      <c r="OG378" s="127"/>
      <c r="OH378" s="127"/>
      <c r="OI378" s="127"/>
      <c r="OJ378" s="127"/>
      <c r="OK378" s="127"/>
      <c r="OL378" s="127"/>
      <c r="OM378" s="127"/>
      <c r="ON378" s="127"/>
      <c r="OO378" s="127"/>
      <c r="OP378" s="127"/>
      <c r="OQ378" s="127"/>
      <c r="OR378" s="127"/>
      <c r="OS378" s="127"/>
      <c r="OT378" s="127"/>
      <c r="OU378" s="127"/>
    </row>
    <row r="379" spans="1:411">
      <c r="A379">
        <v>54</v>
      </c>
      <c r="B379">
        <v>694</v>
      </c>
      <c r="C379" t="s">
        <v>72</v>
      </c>
      <c r="D379" t="s">
        <v>233</v>
      </c>
      <c r="E379" s="232" t="s">
        <v>8190</v>
      </c>
      <c r="F379" t="s">
        <v>71</v>
      </c>
      <c r="G379">
        <v>2</v>
      </c>
      <c r="H379">
        <v>691.86500000000001</v>
      </c>
      <c r="I379">
        <v>689.404</v>
      </c>
      <c r="J379">
        <v>686.17</v>
      </c>
      <c r="K379">
        <v>683.38900000000001</v>
      </c>
      <c r="L379">
        <v>679.65300000000002</v>
      </c>
      <c r="M379" s="233" t="s">
        <v>530</v>
      </c>
      <c r="N379" s="233" t="s">
        <v>531</v>
      </c>
      <c r="O379" s="3" t="s">
        <v>880</v>
      </c>
      <c r="BM379" s="127"/>
      <c r="BN379" s="127"/>
      <c r="BO379" s="127"/>
      <c r="BP379" s="127"/>
      <c r="BQ379" s="127"/>
      <c r="BR379" s="127"/>
      <c r="BS379" s="127"/>
      <c r="BT379" s="127"/>
      <c r="BU379" s="127"/>
      <c r="BV379" s="127"/>
      <c r="BW379" s="127"/>
      <c r="BX379" s="127"/>
      <c r="BY379" s="127"/>
      <c r="BZ379" s="127"/>
      <c r="CA379" s="127"/>
      <c r="ER379" s="127"/>
      <c r="ES379" s="127"/>
      <c r="ET379" s="127"/>
      <c r="EU379" s="127"/>
      <c r="EV379" s="127"/>
      <c r="EW379" s="127"/>
      <c r="EX379" s="127"/>
      <c r="EY379" s="127"/>
      <c r="EZ379" s="127"/>
      <c r="FA379" s="127"/>
      <c r="FB379" s="127"/>
      <c r="FC379" s="127"/>
      <c r="FD379" s="127"/>
      <c r="FE379" s="127"/>
      <c r="FF379" s="127"/>
      <c r="HW379" s="127"/>
      <c r="HX379" s="127"/>
      <c r="HY379" s="127"/>
      <c r="HZ379" s="127"/>
      <c r="IA379" s="127"/>
      <c r="IB379" s="127"/>
      <c r="IC379" s="127"/>
      <c r="ID379" s="127"/>
      <c r="IE379" s="127"/>
      <c r="IF379" s="127"/>
      <c r="IG379" s="127"/>
      <c r="IH379" s="127"/>
      <c r="II379" s="127"/>
      <c r="IJ379" s="127"/>
      <c r="IK379" s="127"/>
      <c r="LB379" s="127"/>
      <c r="LC379" s="127"/>
      <c r="LD379" s="127"/>
      <c r="LE379" s="127"/>
      <c r="LF379" s="127"/>
      <c r="LG379" s="127"/>
      <c r="LH379" s="127"/>
      <c r="LI379" s="127"/>
      <c r="LJ379" s="127"/>
      <c r="LK379" s="127"/>
      <c r="LL379" s="127"/>
      <c r="LM379" s="127"/>
      <c r="LN379" s="127"/>
      <c r="LO379" s="127"/>
      <c r="LP379" s="127"/>
      <c r="OG379" s="127"/>
      <c r="OH379" s="127"/>
      <c r="OI379" s="127"/>
      <c r="OJ379" s="127"/>
      <c r="OK379" s="127"/>
      <c r="OL379" s="127"/>
      <c r="OM379" s="127"/>
      <c r="ON379" s="127"/>
      <c r="OO379" s="127"/>
      <c r="OP379" s="127"/>
      <c r="OQ379" s="127"/>
      <c r="OR379" s="127"/>
      <c r="OS379" s="127"/>
      <c r="OT379" s="127"/>
      <c r="OU379" s="127"/>
    </row>
    <row r="380" spans="1:411">
      <c r="A380">
        <v>54</v>
      </c>
      <c r="B380">
        <v>691</v>
      </c>
      <c r="C380" t="s">
        <v>72</v>
      </c>
      <c r="D380" t="s">
        <v>233</v>
      </c>
      <c r="E380" s="232" t="s">
        <v>8772</v>
      </c>
      <c r="F380" t="s">
        <v>71</v>
      </c>
      <c r="G380">
        <v>2</v>
      </c>
      <c r="H380">
        <v>691.86500000000001</v>
      </c>
      <c r="I380">
        <v>689.20500000000004</v>
      </c>
      <c r="J380">
        <v>685.86400000000003</v>
      </c>
      <c r="K380">
        <v>683.18399999999997</v>
      </c>
      <c r="L380">
        <v>677.40800000000002</v>
      </c>
      <c r="M380" s="233" t="s">
        <v>530</v>
      </c>
      <c r="N380" s="233" t="s">
        <v>531</v>
      </c>
      <c r="O380" s="3" t="s">
        <v>881</v>
      </c>
      <c r="BM380" s="127"/>
      <c r="BN380" s="127"/>
      <c r="BO380" s="127"/>
      <c r="BP380" s="127"/>
      <c r="BQ380" s="127"/>
      <c r="BR380" s="127"/>
      <c r="BS380" s="127"/>
      <c r="BT380" s="127"/>
      <c r="BU380" s="127"/>
      <c r="BV380" s="127"/>
      <c r="BW380" s="127"/>
      <c r="BX380" s="127"/>
      <c r="BY380" s="127"/>
      <c r="BZ380" s="127"/>
      <c r="CA380" s="127"/>
      <c r="ER380" s="127"/>
      <c r="ES380" s="127"/>
      <c r="ET380" s="127"/>
      <c r="EU380" s="127"/>
      <c r="EV380" s="127"/>
      <c r="EW380" s="127"/>
      <c r="EX380" s="127"/>
      <c r="EY380" s="127"/>
      <c r="EZ380" s="127"/>
      <c r="FA380" s="127"/>
      <c r="FB380" s="127"/>
      <c r="FC380" s="127"/>
      <c r="FD380" s="127"/>
      <c r="FE380" s="127"/>
      <c r="FF380" s="127"/>
      <c r="HW380" s="127"/>
      <c r="HX380" s="127"/>
      <c r="HY380" s="127"/>
      <c r="HZ380" s="127"/>
      <c r="IA380" s="127"/>
      <c r="IB380" s="127"/>
      <c r="IC380" s="127"/>
      <c r="ID380" s="127"/>
      <c r="IE380" s="127"/>
      <c r="IF380" s="127"/>
      <c r="IG380" s="127"/>
      <c r="IH380" s="127"/>
      <c r="II380" s="127"/>
      <c r="IJ380" s="127"/>
      <c r="IK380" s="127"/>
      <c r="LB380" s="127"/>
      <c r="LC380" s="127"/>
      <c r="LD380" s="127"/>
      <c r="LE380" s="127"/>
      <c r="LF380" s="127"/>
      <c r="LG380" s="127"/>
      <c r="LH380" s="127"/>
      <c r="LI380" s="127"/>
      <c r="LJ380" s="127"/>
      <c r="LK380" s="127"/>
      <c r="LL380" s="127"/>
      <c r="LM380" s="127"/>
      <c r="LN380" s="127"/>
      <c r="LO380" s="127"/>
      <c r="LP380" s="127"/>
      <c r="OG380" s="127"/>
      <c r="OH380" s="127"/>
      <c r="OI380" s="127"/>
      <c r="OJ380" s="127"/>
      <c r="OK380" s="127"/>
      <c r="OL380" s="127"/>
      <c r="OM380" s="127"/>
      <c r="ON380" s="127"/>
      <c r="OO380" s="127"/>
      <c r="OP380" s="127"/>
      <c r="OQ380" s="127"/>
      <c r="OR380" s="127"/>
      <c r="OS380" s="127"/>
      <c r="OT380" s="127"/>
      <c r="OU380" s="127"/>
    </row>
    <row r="381" spans="1:411">
      <c r="A381">
        <v>54</v>
      </c>
      <c r="B381">
        <v>696</v>
      </c>
      <c r="C381" t="s">
        <v>72</v>
      </c>
      <c r="D381" t="s">
        <v>233</v>
      </c>
      <c r="E381" s="232" t="s">
        <v>8753</v>
      </c>
      <c r="F381" t="s">
        <v>71</v>
      </c>
      <c r="G381">
        <v>2</v>
      </c>
      <c r="H381">
        <v>691.48800000000006</v>
      </c>
      <c r="I381">
        <v>688.96100000000001</v>
      </c>
      <c r="J381">
        <v>685.53499999999997</v>
      </c>
      <c r="K381">
        <v>682.78300000000002</v>
      </c>
      <c r="L381">
        <v>677.10799999999995</v>
      </c>
      <c r="M381" s="233" t="s">
        <v>530</v>
      </c>
      <c r="N381" s="233" t="s">
        <v>531</v>
      </c>
      <c r="O381" s="3" t="s">
        <v>882</v>
      </c>
      <c r="BM381" s="127"/>
      <c r="BN381" s="127"/>
      <c r="BO381" s="127"/>
      <c r="BP381" s="127"/>
      <c r="BQ381" s="127"/>
      <c r="BR381" s="127"/>
      <c r="BS381" s="127"/>
      <c r="BT381" s="127"/>
      <c r="BU381" s="127"/>
      <c r="BV381" s="127"/>
      <c r="BW381" s="127"/>
      <c r="BX381" s="127"/>
      <c r="BY381" s="127"/>
      <c r="BZ381" s="127"/>
      <c r="CA381" s="127"/>
      <c r="ER381" s="127"/>
      <c r="ES381" s="127"/>
      <c r="ET381" s="127"/>
      <c r="EU381" s="127"/>
      <c r="EV381" s="127"/>
      <c r="EW381" s="127"/>
      <c r="EX381" s="127"/>
      <c r="EY381" s="127"/>
      <c r="EZ381" s="127"/>
      <c r="FA381" s="127"/>
      <c r="FB381" s="127"/>
      <c r="FC381" s="127"/>
      <c r="FD381" s="127"/>
      <c r="FE381" s="127"/>
      <c r="FF381" s="127"/>
      <c r="HW381" s="127"/>
      <c r="HX381" s="127"/>
      <c r="HY381" s="127"/>
      <c r="HZ381" s="127"/>
      <c r="IA381" s="127"/>
      <c r="IB381" s="127"/>
      <c r="IC381" s="127"/>
      <c r="ID381" s="127"/>
      <c r="IE381" s="127"/>
      <c r="IF381" s="127"/>
      <c r="IG381" s="127"/>
      <c r="IH381" s="127"/>
      <c r="II381" s="127"/>
      <c r="IJ381" s="127"/>
      <c r="IK381" s="127"/>
      <c r="LB381" s="127"/>
      <c r="LC381" s="127"/>
      <c r="LD381" s="127"/>
      <c r="LE381" s="127"/>
      <c r="LF381" s="127"/>
      <c r="LG381" s="127"/>
      <c r="LH381" s="127"/>
      <c r="LI381" s="127"/>
      <c r="LJ381" s="127"/>
      <c r="LK381" s="127"/>
      <c r="LL381" s="127"/>
      <c r="LM381" s="127"/>
      <c r="LN381" s="127"/>
      <c r="LO381" s="127"/>
      <c r="LP381" s="127"/>
      <c r="OG381" s="127"/>
      <c r="OH381" s="127"/>
      <c r="OI381" s="127"/>
      <c r="OJ381" s="127"/>
      <c r="OK381" s="127"/>
      <c r="OL381" s="127"/>
      <c r="OM381" s="127"/>
      <c r="ON381" s="127"/>
      <c r="OO381" s="127"/>
      <c r="OP381" s="127"/>
      <c r="OQ381" s="127"/>
      <c r="OR381" s="127"/>
      <c r="OS381" s="127"/>
      <c r="OT381" s="127"/>
      <c r="OU381" s="127"/>
    </row>
    <row r="382" spans="1:411">
      <c r="A382">
        <v>54</v>
      </c>
      <c r="B382">
        <v>692</v>
      </c>
      <c r="C382" t="s">
        <v>72</v>
      </c>
      <c r="D382" t="s">
        <v>233</v>
      </c>
      <c r="E382" s="232" t="s">
        <v>542</v>
      </c>
      <c r="F382" t="s">
        <v>71</v>
      </c>
      <c r="G382">
        <v>2</v>
      </c>
      <c r="H382">
        <v>691.28</v>
      </c>
      <c r="I382">
        <v>688.86</v>
      </c>
      <c r="J382">
        <v>685.41</v>
      </c>
      <c r="K382">
        <v>682.65800000000002</v>
      </c>
      <c r="L382">
        <v>676.98299999999995</v>
      </c>
      <c r="M382" s="233" t="s">
        <v>530</v>
      </c>
      <c r="N382" s="233" t="s">
        <v>531</v>
      </c>
      <c r="O382" s="3" t="s">
        <v>883</v>
      </c>
      <c r="BM382" s="127"/>
      <c r="BN382" s="127"/>
      <c r="BO382" s="127"/>
      <c r="BP382" s="127"/>
      <c r="BQ382" s="127"/>
      <c r="BR382" s="127"/>
      <c r="BS382" s="127"/>
      <c r="BT382" s="127"/>
      <c r="BU382" s="127"/>
      <c r="BV382" s="127"/>
      <c r="BW382" s="127"/>
      <c r="BX382" s="127"/>
      <c r="BY382" s="127"/>
      <c r="BZ382" s="127"/>
      <c r="CA382" s="127"/>
      <c r="ER382" s="127"/>
      <c r="ES382" s="127"/>
      <c r="ET382" s="127"/>
      <c r="EU382" s="127"/>
      <c r="EV382" s="127"/>
      <c r="EW382" s="127"/>
      <c r="EX382" s="127"/>
      <c r="EY382" s="127"/>
      <c r="EZ382" s="127"/>
      <c r="FA382" s="127"/>
      <c r="FB382" s="127"/>
      <c r="FC382" s="127"/>
      <c r="FD382" s="127"/>
      <c r="FE382" s="127"/>
      <c r="FF382" s="127"/>
      <c r="HW382" s="127"/>
      <c r="HX382" s="127"/>
      <c r="HY382" s="127"/>
      <c r="HZ382" s="127"/>
      <c r="IA382" s="127"/>
      <c r="IB382" s="127"/>
      <c r="IC382" s="127"/>
      <c r="ID382" s="127"/>
      <c r="IE382" s="127"/>
      <c r="IF382" s="127"/>
      <c r="IG382" s="127"/>
      <c r="IH382" s="127"/>
      <c r="II382" s="127"/>
      <c r="IJ382" s="127"/>
      <c r="IK382" s="127"/>
      <c r="LB382" s="127"/>
      <c r="LC382" s="127"/>
      <c r="LD382" s="127"/>
      <c r="LE382" s="127"/>
      <c r="LF382" s="127"/>
      <c r="LG382" s="127"/>
      <c r="LH382" s="127"/>
      <c r="LI382" s="127"/>
      <c r="LJ382" s="127"/>
      <c r="LK382" s="127"/>
      <c r="LL382" s="127"/>
      <c r="LM382" s="127"/>
      <c r="LN382" s="127"/>
      <c r="LO382" s="127"/>
      <c r="LP382" s="127"/>
      <c r="OG382" s="127"/>
      <c r="OH382" s="127"/>
      <c r="OI382" s="127"/>
      <c r="OJ382" s="127"/>
      <c r="OK382" s="127"/>
      <c r="OL382" s="127"/>
      <c r="OM382" s="127"/>
      <c r="ON382" s="127"/>
      <c r="OO382" s="127"/>
      <c r="OP382" s="127"/>
      <c r="OQ382" s="127"/>
      <c r="OR382" s="127"/>
      <c r="OS382" s="127"/>
      <c r="OT382" s="127"/>
      <c r="OU382" s="127"/>
    </row>
    <row r="383" spans="1:411">
      <c r="A383">
        <v>54</v>
      </c>
      <c r="B383">
        <v>682</v>
      </c>
      <c r="C383" t="s">
        <v>72</v>
      </c>
      <c r="D383" t="s">
        <v>233</v>
      </c>
      <c r="E383" s="232" t="s">
        <v>10136</v>
      </c>
      <c r="F383" t="s">
        <v>71</v>
      </c>
      <c r="G383">
        <v>2</v>
      </c>
      <c r="H383">
        <v>689.13599999999997</v>
      </c>
      <c r="I383">
        <v>686.72500000000002</v>
      </c>
      <c r="J383">
        <v>682.95799999999997</v>
      </c>
      <c r="K383">
        <v>680.30399999999997</v>
      </c>
      <c r="L383">
        <v>676.33100000000002</v>
      </c>
      <c r="M383" s="233" t="s">
        <v>530</v>
      </c>
      <c r="N383" s="233" t="s">
        <v>531</v>
      </c>
      <c r="O383" s="3" t="s">
        <v>884</v>
      </c>
      <c r="BM383" s="127"/>
      <c r="BN383" s="127"/>
      <c r="BO383" s="127"/>
      <c r="BP383" s="127"/>
      <c r="BQ383" s="127"/>
      <c r="BR383" s="127"/>
      <c r="BS383" s="127"/>
      <c r="BT383" s="127"/>
      <c r="BU383" s="127"/>
      <c r="BV383" s="127"/>
      <c r="BW383" s="127"/>
      <c r="BX383" s="127"/>
      <c r="BY383" s="127"/>
      <c r="BZ383" s="127"/>
      <c r="CA383" s="127"/>
      <c r="ER383" s="127"/>
      <c r="ES383" s="127"/>
      <c r="ET383" s="127"/>
      <c r="EU383" s="127"/>
      <c r="EV383" s="127"/>
      <c r="EW383" s="127"/>
      <c r="EX383" s="127"/>
      <c r="EY383" s="127"/>
      <c r="EZ383" s="127"/>
      <c r="FA383" s="127"/>
      <c r="FB383" s="127"/>
      <c r="FC383" s="127"/>
      <c r="FD383" s="127"/>
      <c r="FE383" s="127"/>
      <c r="FF383" s="127"/>
      <c r="HW383" s="127"/>
      <c r="HX383" s="127"/>
      <c r="HY383" s="127"/>
      <c r="HZ383" s="127"/>
      <c r="IA383" s="127"/>
      <c r="IB383" s="127"/>
      <c r="IC383" s="127"/>
      <c r="ID383" s="127"/>
      <c r="IE383" s="127"/>
      <c r="IF383" s="127"/>
      <c r="IG383" s="127"/>
      <c r="IH383" s="127"/>
      <c r="II383" s="127"/>
      <c r="IJ383" s="127"/>
      <c r="IK383" s="127"/>
      <c r="LB383" s="127"/>
      <c r="LC383" s="127"/>
      <c r="LD383" s="127"/>
      <c r="LE383" s="127"/>
      <c r="LF383" s="127"/>
      <c r="LG383" s="127"/>
      <c r="LH383" s="127"/>
      <c r="LI383" s="127"/>
      <c r="LJ383" s="127"/>
      <c r="LK383" s="127"/>
      <c r="LL383" s="127"/>
      <c r="LM383" s="127"/>
      <c r="LN383" s="127"/>
      <c r="LO383" s="127"/>
      <c r="LP383" s="127"/>
      <c r="OG383" s="127"/>
      <c r="OH383" s="127"/>
      <c r="OI383" s="127"/>
      <c r="OJ383" s="127"/>
      <c r="OK383" s="127"/>
      <c r="OL383" s="127"/>
      <c r="OM383" s="127"/>
      <c r="ON383" s="127"/>
      <c r="OO383" s="127"/>
      <c r="OP383" s="127"/>
      <c r="OQ383" s="127"/>
      <c r="OR383" s="127"/>
      <c r="OS383" s="127"/>
      <c r="OT383" s="127"/>
      <c r="OU383" s="127"/>
    </row>
    <row r="384" spans="1:411">
      <c r="A384">
        <v>63</v>
      </c>
      <c r="B384">
        <v>728</v>
      </c>
      <c r="C384" t="s">
        <v>72</v>
      </c>
      <c r="D384" t="s">
        <v>254</v>
      </c>
      <c r="E384" s="232" t="s">
        <v>551</v>
      </c>
      <c r="F384" t="s">
        <v>70</v>
      </c>
      <c r="G384">
        <v>2</v>
      </c>
      <c r="H384">
        <v>908.07899999999995</v>
      </c>
      <c r="I384">
        <v>905.75400000000002</v>
      </c>
      <c r="J384">
        <v>901.99599999999998</v>
      </c>
      <c r="K384">
        <v>893.654</v>
      </c>
      <c r="L384">
        <v>884.94399999999996</v>
      </c>
      <c r="M384" s="233" t="s">
        <v>532</v>
      </c>
      <c r="N384" s="233" t="s">
        <v>533</v>
      </c>
      <c r="O384" s="3" t="s">
        <v>885</v>
      </c>
      <c r="BM384" s="127"/>
      <c r="BN384" s="127"/>
      <c r="BO384" s="127"/>
      <c r="BP384" s="127"/>
      <c r="BQ384" s="127"/>
      <c r="BR384" s="127"/>
      <c r="BS384" s="127"/>
      <c r="BT384" s="127"/>
      <c r="BU384" s="127"/>
      <c r="BV384" s="127"/>
      <c r="BW384" s="127"/>
      <c r="BX384" s="127"/>
      <c r="BY384" s="127"/>
      <c r="BZ384" s="127"/>
      <c r="CA384" s="127"/>
      <c r="ER384" s="127"/>
      <c r="ES384" s="127"/>
      <c r="ET384" s="127"/>
      <c r="EU384" s="127"/>
      <c r="EV384" s="127"/>
      <c r="EW384" s="127"/>
      <c r="EX384" s="127"/>
      <c r="EY384" s="127"/>
      <c r="EZ384" s="127"/>
      <c r="FA384" s="127"/>
      <c r="FB384" s="127"/>
      <c r="FC384" s="127"/>
      <c r="FD384" s="127"/>
      <c r="FE384" s="127"/>
      <c r="FF384" s="127"/>
      <c r="HW384" s="127"/>
      <c r="HX384" s="127"/>
      <c r="HY384" s="127"/>
      <c r="HZ384" s="127"/>
      <c r="IA384" s="127"/>
      <c r="IB384" s="127"/>
      <c r="IC384" s="127"/>
      <c r="ID384" s="127"/>
      <c r="IE384" s="127"/>
      <c r="IF384" s="127"/>
      <c r="IG384" s="127"/>
      <c r="IH384" s="127"/>
      <c r="II384" s="127"/>
      <c r="IJ384" s="127"/>
      <c r="IK384" s="127"/>
      <c r="LB384" s="127"/>
      <c r="LC384" s="127"/>
      <c r="LD384" s="127"/>
      <c r="LE384" s="127"/>
      <c r="LF384" s="127"/>
      <c r="LG384" s="127"/>
      <c r="LH384" s="127"/>
      <c r="LI384" s="127"/>
      <c r="LJ384" s="127"/>
      <c r="LK384" s="127"/>
      <c r="LL384" s="127"/>
      <c r="LM384" s="127"/>
      <c r="LN384" s="127"/>
      <c r="LO384" s="127"/>
      <c r="LP384" s="127"/>
      <c r="OG384" s="127"/>
      <c r="OH384" s="127"/>
      <c r="OI384" s="127"/>
      <c r="OJ384" s="127"/>
      <c r="OK384" s="127"/>
      <c r="OL384" s="127"/>
      <c r="OM384" s="127"/>
      <c r="ON384" s="127"/>
      <c r="OO384" s="127"/>
      <c r="OP384" s="127"/>
      <c r="OQ384" s="127"/>
      <c r="OR384" s="127"/>
      <c r="OS384" s="127"/>
      <c r="OT384" s="127"/>
      <c r="OU384" s="127"/>
    </row>
    <row r="385" spans="1:411">
      <c r="A385">
        <v>63</v>
      </c>
      <c r="B385">
        <v>739</v>
      </c>
      <c r="C385" t="s">
        <v>72</v>
      </c>
      <c r="D385" t="s">
        <v>254</v>
      </c>
      <c r="E385" s="232" t="s">
        <v>9986</v>
      </c>
      <c r="F385" t="s">
        <v>70</v>
      </c>
      <c r="G385">
        <v>2</v>
      </c>
      <c r="H385">
        <v>906.15200000000004</v>
      </c>
      <c r="I385">
        <v>903.66099999999994</v>
      </c>
      <c r="J385">
        <v>899.61300000000006</v>
      </c>
      <c r="K385">
        <v>891.42200000000003</v>
      </c>
      <c r="L385">
        <v>883.41399999999999</v>
      </c>
      <c r="M385" s="233" t="s">
        <v>532</v>
      </c>
      <c r="N385" s="233" t="s">
        <v>533</v>
      </c>
      <c r="O385" s="3" t="s">
        <v>886</v>
      </c>
      <c r="BM385" s="127"/>
      <c r="BN385" s="127"/>
      <c r="BO385" s="127"/>
      <c r="BP385" s="127"/>
      <c r="BQ385" s="127"/>
      <c r="BR385" s="127"/>
      <c r="BS385" s="127"/>
      <c r="BT385" s="127"/>
      <c r="BU385" s="127"/>
      <c r="BV385" s="127"/>
      <c r="BW385" s="127"/>
      <c r="BX385" s="127"/>
      <c r="BY385" s="127"/>
      <c r="BZ385" s="127"/>
      <c r="CA385" s="127"/>
      <c r="ER385" s="127"/>
      <c r="ES385" s="127"/>
      <c r="ET385" s="127"/>
      <c r="EU385" s="127"/>
      <c r="EV385" s="127"/>
      <c r="EW385" s="127"/>
      <c r="EX385" s="127"/>
      <c r="EY385" s="127"/>
      <c r="EZ385" s="127"/>
      <c r="FA385" s="127"/>
      <c r="FB385" s="127"/>
      <c r="FC385" s="127"/>
      <c r="FD385" s="127"/>
      <c r="FE385" s="127"/>
      <c r="FF385" s="127"/>
      <c r="HW385" s="127"/>
      <c r="HX385" s="127"/>
      <c r="HY385" s="127"/>
      <c r="HZ385" s="127"/>
      <c r="IA385" s="127"/>
      <c r="IB385" s="127"/>
      <c r="IC385" s="127"/>
      <c r="ID385" s="127"/>
      <c r="IE385" s="127"/>
      <c r="IF385" s="127"/>
      <c r="IG385" s="127"/>
      <c r="IH385" s="127"/>
      <c r="II385" s="127"/>
      <c r="IJ385" s="127"/>
      <c r="IK385" s="127"/>
      <c r="LB385" s="127"/>
      <c r="LC385" s="127"/>
      <c r="LD385" s="127"/>
      <c r="LE385" s="127"/>
      <c r="LF385" s="127"/>
      <c r="LG385" s="127"/>
      <c r="LH385" s="127"/>
      <c r="LI385" s="127"/>
      <c r="LJ385" s="127"/>
      <c r="LK385" s="127"/>
      <c r="LL385" s="127"/>
      <c r="LM385" s="127"/>
      <c r="LN385" s="127"/>
      <c r="LO385" s="127"/>
      <c r="LP385" s="127"/>
      <c r="OG385" s="127"/>
      <c r="OH385" s="127"/>
      <c r="OI385" s="127"/>
      <c r="OJ385" s="127"/>
      <c r="OK385" s="127"/>
      <c r="OL385" s="127"/>
      <c r="OM385" s="127"/>
      <c r="ON385" s="127"/>
      <c r="OO385" s="127"/>
      <c r="OP385" s="127"/>
      <c r="OQ385" s="127"/>
      <c r="OR385" s="127"/>
      <c r="OS385" s="127"/>
      <c r="OT385" s="127"/>
      <c r="OU385" s="127"/>
    </row>
    <row r="386" spans="1:411">
      <c r="A386">
        <v>63</v>
      </c>
      <c r="B386">
        <v>734</v>
      </c>
      <c r="C386" t="s">
        <v>72</v>
      </c>
      <c r="D386" t="s">
        <v>254</v>
      </c>
      <c r="E386" s="232" t="s">
        <v>8496</v>
      </c>
      <c r="F386" t="s">
        <v>70</v>
      </c>
      <c r="G386">
        <v>2</v>
      </c>
      <c r="H386">
        <v>904.77</v>
      </c>
      <c r="I386">
        <v>902.16600000000005</v>
      </c>
      <c r="J386">
        <v>898.54300000000001</v>
      </c>
      <c r="K386">
        <v>890.03899999999999</v>
      </c>
      <c r="L386">
        <v>882.49699999999996</v>
      </c>
      <c r="M386" s="233" t="s">
        <v>532</v>
      </c>
      <c r="N386" s="233" t="s">
        <v>533</v>
      </c>
      <c r="O386" s="3" t="s">
        <v>887</v>
      </c>
      <c r="BM386" s="127"/>
      <c r="BN386" s="127"/>
      <c r="BO386" s="127"/>
      <c r="BP386" s="127"/>
      <c r="BQ386" s="127"/>
      <c r="BR386" s="127"/>
      <c r="BS386" s="127"/>
      <c r="BT386" s="127"/>
      <c r="BU386" s="127"/>
      <c r="BV386" s="127"/>
      <c r="BW386" s="127"/>
      <c r="BX386" s="127"/>
      <c r="BY386" s="127"/>
      <c r="BZ386" s="127"/>
      <c r="CA386" s="127"/>
      <c r="ER386" s="127"/>
      <c r="ES386" s="127"/>
      <c r="ET386" s="127"/>
      <c r="EU386" s="127"/>
      <c r="EV386" s="127"/>
      <c r="EW386" s="127"/>
      <c r="EX386" s="127"/>
      <c r="EY386" s="127"/>
      <c r="EZ386" s="127"/>
      <c r="FA386" s="127"/>
      <c r="FB386" s="127"/>
      <c r="FC386" s="127"/>
      <c r="FD386" s="127"/>
      <c r="FE386" s="127"/>
      <c r="FF386" s="127"/>
      <c r="HW386" s="127"/>
      <c r="HX386" s="127"/>
      <c r="HY386" s="127"/>
      <c r="HZ386" s="127"/>
      <c r="IA386" s="127"/>
      <c r="IB386" s="127"/>
      <c r="IC386" s="127"/>
      <c r="ID386" s="127"/>
      <c r="IE386" s="127"/>
      <c r="IF386" s="127"/>
      <c r="IG386" s="127"/>
      <c r="IH386" s="127"/>
      <c r="II386" s="127"/>
      <c r="IJ386" s="127"/>
      <c r="IK386" s="127"/>
      <c r="LB386" s="127"/>
      <c r="LC386" s="127"/>
      <c r="LD386" s="127"/>
      <c r="LE386" s="127"/>
      <c r="LF386" s="127"/>
      <c r="LG386" s="127"/>
      <c r="LH386" s="127"/>
      <c r="LI386" s="127"/>
      <c r="LJ386" s="127"/>
      <c r="LK386" s="127"/>
      <c r="LL386" s="127"/>
      <c r="LM386" s="127"/>
      <c r="LN386" s="127"/>
      <c r="LO386" s="127"/>
      <c r="LP386" s="127"/>
      <c r="OG386" s="127"/>
      <c r="OH386" s="127"/>
      <c r="OI386" s="127"/>
      <c r="OJ386" s="127"/>
      <c r="OK386" s="127"/>
      <c r="OL386" s="127"/>
      <c r="OM386" s="127"/>
      <c r="ON386" s="127"/>
      <c r="OO386" s="127"/>
      <c r="OP386" s="127"/>
      <c r="OQ386" s="127"/>
      <c r="OR386" s="127"/>
      <c r="OS386" s="127"/>
      <c r="OT386" s="127"/>
      <c r="OU386" s="127"/>
    </row>
    <row r="387" spans="1:411">
      <c r="A387">
        <v>63</v>
      </c>
      <c r="B387">
        <v>731</v>
      </c>
      <c r="C387" t="s">
        <v>72</v>
      </c>
      <c r="D387" t="s">
        <v>254</v>
      </c>
      <c r="E387" s="232" t="s">
        <v>10113</v>
      </c>
      <c r="F387" t="s">
        <v>70</v>
      </c>
      <c r="G387">
        <v>2</v>
      </c>
      <c r="H387">
        <v>903.28599999999994</v>
      </c>
      <c r="I387">
        <v>900.70600000000002</v>
      </c>
      <c r="J387">
        <v>897.57600000000002</v>
      </c>
      <c r="K387">
        <v>888.72799999999995</v>
      </c>
      <c r="L387">
        <v>881.75199999999995</v>
      </c>
      <c r="M387" s="233" t="s">
        <v>532</v>
      </c>
      <c r="N387" s="233" t="s">
        <v>533</v>
      </c>
      <c r="O387" s="3" t="s">
        <v>888</v>
      </c>
      <c r="BM387" s="127"/>
      <c r="BN387" s="127"/>
      <c r="BO387" s="127"/>
      <c r="BP387" s="127"/>
      <c r="BQ387" s="127"/>
      <c r="BR387" s="127"/>
      <c r="BS387" s="127"/>
      <c r="BT387" s="127"/>
      <c r="BU387" s="127"/>
      <c r="BV387" s="127"/>
      <c r="BW387" s="127"/>
      <c r="BX387" s="127"/>
      <c r="BY387" s="127"/>
      <c r="BZ387" s="127"/>
      <c r="CA387" s="127"/>
      <c r="ER387" s="127"/>
      <c r="ES387" s="127"/>
      <c r="ET387" s="127"/>
      <c r="EU387" s="127"/>
      <c r="EV387" s="127"/>
      <c r="EW387" s="127"/>
      <c r="EX387" s="127"/>
      <c r="EY387" s="127"/>
      <c r="EZ387" s="127"/>
      <c r="FA387" s="127"/>
      <c r="FB387" s="127"/>
      <c r="FC387" s="127"/>
      <c r="FD387" s="127"/>
      <c r="FE387" s="127"/>
      <c r="FF387" s="127"/>
      <c r="HW387" s="127"/>
      <c r="HX387" s="127"/>
      <c r="HY387" s="127"/>
      <c r="HZ387" s="127"/>
      <c r="IA387" s="127"/>
      <c r="IB387" s="127"/>
      <c r="IC387" s="127"/>
      <c r="ID387" s="127"/>
      <c r="IE387" s="127"/>
      <c r="IF387" s="127"/>
      <c r="IG387" s="127"/>
      <c r="IH387" s="127"/>
      <c r="II387" s="127"/>
      <c r="IJ387" s="127"/>
      <c r="IK387" s="127"/>
      <c r="LB387" s="127"/>
      <c r="LC387" s="127"/>
      <c r="LD387" s="127"/>
      <c r="LE387" s="127"/>
      <c r="LF387" s="127"/>
      <c r="LG387" s="127"/>
      <c r="LH387" s="127"/>
      <c r="LI387" s="127"/>
      <c r="LJ387" s="127"/>
      <c r="LK387" s="127"/>
      <c r="LL387" s="127"/>
      <c r="LM387" s="127"/>
      <c r="LN387" s="127"/>
      <c r="LO387" s="127"/>
      <c r="LP387" s="127"/>
      <c r="OG387" s="127"/>
      <c r="OH387" s="127"/>
      <c r="OI387" s="127"/>
      <c r="OJ387" s="127"/>
      <c r="OK387" s="127"/>
      <c r="OL387" s="127"/>
      <c r="OM387" s="127"/>
      <c r="ON387" s="127"/>
      <c r="OO387" s="127"/>
      <c r="OP387" s="127"/>
      <c r="OQ387" s="127"/>
      <c r="OR387" s="127"/>
      <c r="OS387" s="127"/>
      <c r="OT387" s="127"/>
      <c r="OU387" s="127"/>
    </row>
    <row r="388" spans="1:411">
      <c r="A388">
        <v>63</v>
      </c>
      <c r="B388">
        <v>738</v>
      </c>
      <c r="C388" t="s">
        <v>72</v>
      </c>
      <c r="D388" t="s">
        <v>254</v>
      </c>
      <c r="E388" s="232" t="s">
        <v>10210</v>
      </c>
      <c r="F388" t="s">
        <v>70</v>
      </c>
      <c r="G388">
        <v>2</v>
      </c>
      <c r="H388">
        <v>900.34199999999998</v>
      </c>
      <c r="I388">
        <v>897.96199999999999</v>
      </c>
      <c r="J388">
        <v>894.40800000000002</v>
      </c>
      <c r="K388">
        <v>885.774</v>
      </c>
      <c r="L388">
        <v>878.99099999999999</v>
      </c>
      <c r="M388" s="233" t="s">
        <v>532</v>
      </c>
      <c r="N388" s="233" t="s">
        <v>533</v>
      </c>
      <c r="O388" s="3" t="s">
        <v>889</v>
      </c>
      <c r="BM388" s="127"/>
      <c r="BN388" s="127"/>
      <c r="BO388" s="127"/>
      <c r="BP388" s="127"/>
      <c r="BQ388" s="127"/>
      <c r="BR388" s="127"/>
      <c r="BS388" s="127"/>
      <c r="BT388" s="127"/>
      <c r="BU388" s="127"/>
      <c r="BV388" s="127"/>
      <c r="BW388" s="127"/>
      <c r="BX388" s="127"/>
      <c r="BY388" s="127"/>
      <c r="BZ388" s="127"/>
      <c r="CA388" s="127"/>
      <c r="ER388" s="127"/>
      <c r="ES388" s="127"/>
      <c r="ET388" s="127"/>
      <c r="EU388" s="127"/>
      <c r="EV388" s="127"/>
      <c r="EW388" s="127"/>
      <c r="EX388" s="127"/>
      <c r="EY388" s="127"/>
      <c r="EZ388" s="127"/>
      <c r="FA388" s="127"/>
      <c r="FB388" s="127"/>
      <c r="FC388" s="127"/>
      <c r="FD388" s="127"/>
      <c r="FE388" s="127"/>
      <c r="FF388" s="127"/>
      <c r="HW388" s="127"/>
      <c r="HX388" s="127"/>
      <c r="HY388" s="127"/>
      <c r="HZ388" s="127"/>
      <c r="IA388" s="127"/>
      <c r="IB388" s="127"/>
      <c r="IC388" s="127"/>
      <c r="ID388" s="127"/>
      <c r="IE388" s="127"/>
      <c r="IF388" s="127"/>
      <c r="IG388" s="127"/>
      <c r="IH388" s="127"/>
      <c r="II388" s="127"/>
      <c r="IJ388" s="127"/>
      <c r="IK388" s="127"/>
      <c r="LB388" s="127"/>
      <c r="LC388" s="127"/>
      <c r="LD388" s="127"/>
      <c r="LE388" s="127"/>
      <c r="LF388" s="127"/>
      <c r="LG388" s="127"/>
      <c r="LH388" s="127"/>
      <c r="LI388" s="127"/>
      <c r="LJ388" s="127"/>
      <c r="LK388" s="127"/>
      <c r="LL388" s="127"/>
      <c r="LM388" s="127"/>
      <c r="LN388" s="127"/>
      <c r="LO388" s="127"/>
      <c r="LP388" s="127"/>
      <c r="OG388" s="127"/>
      <c r="OH388" s="127"/>
      <c r="OI388" s="127"/>
      <c r="OJ388" s="127"/>
      <c r="OK388" s="127"/>
      <c r="OL388" s="127"/>
      <c r="OM388" s="127"/>
      <c r="ON388" s="127"/>
      <c r="OO388" s="127"/>
      <c r="OP388" s="127"/>
      <c r="OQ388" s="127"/>
      <c r="OR388" s="127"/>
      <c r="OS388" s="127"/>
      <c r="OT388" s="127"/>
      <c r="OU388" s="127"/>
    </row>
    <row r="389" spans="1:411">
      <c r="A389">
        <v>63</v>
      </c>
      <c r="B389">
        <v>733</v>
      </c>
      <c r="C389" t="s">
        <v>72</v>
      </c>
      <c r="D389" t="s">
        <v>254</v>
      </c>
      <c r="E389" s="232" t="s">
        <v>555</v>
      </c>
      <c r="F389" t="s">
        <v>70</v>
      </c>
      <c r="G389">
        <v>2</v>
      </c>
      <c r="H389">
        <v>899.61300000000006</v>
      </c>
      <c r="I389">
        <v>897.57600000000002</v>
      </c>
      <c r="J389">
        <v>894.18700000000001</v>
      </c>
      <c r="K389">
        <v>885.38</v>
      </c>
      <c r="L389">
        <v>878.82100000000003</v>
      </c>
      <c r="M389" s="233" t="s">
        <v>532</v>
      </c>
      <c r="N389" s="233" t="s">
        <v>533</v>
      </c>
      <c r="O389" s="3" t="s">
        <v>890</v>
      </c>
      <c r="BM389" s="127"/>
      <c r="BN389" s="127"/>
      <c r="BO389" s="127"/>
      <c r="BP389" s="127"/>
      <c r="BQ389" s="127"/>
      <c r="BR389" s="127"/>
      <c r="BS389" s="127"/>
      <c r="BT389" s="127"/>
      <c r="BU389" s="127"/>
      <c r="BV389" s="127"/>
      <c r="BW389" s="127"/>
      <c r="BX389" s="127"/>
      <c r="BY389" s="127"/>
      <c r="BZ389" s="127"/>
      <c r="CA389" s="127"/>
      <c r="ER389" s="127"/>
      <c r="ES389" s="127"/>
      <c r="ET389" s="127"/>
      <c r="EU389" s="127"/>
      <c r="EV389" s="127"/>
      <c r="EW389" s="127"/>
      <c r="EX389" s="127"/>
      <c r="EY389" s="127"/>
      <c r="EZ389" s="127"/>
      <c r="FA389" s="127"/>
      <c r="FB389" s="127"/>
      <c r="FC389" s="127"/>
      <c r="FD389" s="127"/>
      <c r="FE389" s="127"/>
      <c r="FF389" s="127"/>
      <c r="HW389" s="127"/>
      <c r="HX389" s="127"/>
      <c r="HY389" s="127"/>
      <c r="HZ389" s="127"/>
      <c r="IA389" s="127"/>
      <c r="IB389" s="127"/>
      <c r="IC389" s="127"/>
      <c r="ID389" s="127"/>
      <c r="IE389" s="127"/>
      <c r="IF389" s="127"/>
      <c r="IG389" s="127"/>
      <c r="IH389" s="127"/>
      <c r="II389" s="127"/>
      <c r="IJ389" s="127"/>
      <c r="IK389" s="127"/>
      <c r="LB389" s="127"/>
      <c r="LC389" s="127"/>
      <c r="LD389" s="127"/>
      <c r="LE389" s="127"/>
      <c r="LF389" s="127"/>
      <c r="LG389" s="127"/>
      <c r="LH389" s="127"/>
      <c r="LI389" s="127"/>
      <c r="LJ389" s="127"/>
      <c r="LK389" s="127"/>
      <c r="LL389" s="127"/>
      <c r="LM389" s="127"/>
      <c r="LN389" s="127"/>
      <c r="LO389" s="127"/>
      <c r="LP389" s="127"/>
      <c r="OG389" s="127"/>
      <c r="OH389" s="127"/>
      <c r="OI389" s="127"/>
      <c r="OJ389" s="127"/>
      <c r="OK389" s="127"/>
      <c r="OL389" s="127"/>
      <c r="OM389" s="127"/>
      <c r="ON389" s="127"/>
      <c r="OO389" s="127"/>
      <c r="OP389" s="127"/>
      <c r="OQ389" s="127"/>
      <c r="OR389" s="127"/>
      <c r="OS389" s="127"/>
      <c r="OT389" s="127"/>
      <c r="OU389" s="127"/>
    </row>
    <row r="390" spans="1:411">
      <c r="A390">
        <v>63</v>
      </c>
      <c r="B390">
        <v>735</v>
      </c>
      <c r="C390" t="s">
        <v>72</v>
      </c>
      <c r="D390" t="s">
        <v>254</v>
      </c>
      <c r="E390" s="232" t="s">
        <v>10232</v>
      </c>
      <c r="F390" t="s">
        <v>70</v>
      </c>
      <c r="G390">
        <v>2</v>
      </c>
      <c r="H390">
        <v>900.34199999999998</v>
      </c>
      <c r="I390">
        <v>897.74599999999998</v>
      </c>
      <c r="J390">
        <v>894.01700000000005</v>
      </c>
      <c r="K390">
        <v>885.11400000000003</v>
      </c>
      <c r="L390">
        <v>878.67899999999997</v>
      </c>
      <c r="M390" s="233" t="s">
        <v>532</v>
      </c>
      <c r="N390" s="233" t="s">
        <v>533</v>
      </c>
      <c r="O390" s="3" t="s">
        <v>891</v>
      </c>
      <c r="BM390" s="127"/>
      <c r="BN390" s="127"/>
      <c r="BO390" s="127"/>
      <c r="BP390" s="127"/>
      <c r="BQ390" s="127"/>
      <c r="BR390" s="127"/>
      <c r="BS390" s="127"/>
      <c r="BT390" s="127"/>
      <c r="BU390" s="127"/>
      <c r="BV390" s="127"/>
      <c r="BW390" s="127"/>
      <c r="BX390" s="127"/>
      <c r="BY390" s="127"/>
      <c r="BZ390" s="127"/>
      <c r="CA390" s="127"/>
      <c r="ER390" s="127"/>
      <c r="ES390" s="127"/>
      <c r="ET390" s="127"/>
      <c r="EU390" s="127"/>
      <c r="EV390" s="127"/>
      <c r="EW390" s="127"/>
      <c r="EX390" s="127"/>
      <c r="EY390" s="127"/>
      <c r="EZ390" s="127"/>
      <c r="FA390" s="127"/>
      <c r="FB390" s="127"/>
      <c r="FC390" s="127"/>
      <c r="FD390" s="127"/>
      <c r="FE390" s="127"/>
      <c r="FF390" s="127"/>
      <c r="HW390" s="127"/>
      <c r="HX390" s="127"/>
      <c r="HY390" s="127"/>
      <c r="HZ390" s="127"/>
      <c r="IA390" s="127"/>
      <c r="IB390" s="127"/>
      <c r="IC390" s="127"/>
      <c r="ID390" s="127"/>
      <c r="IE390" s="127"/>
      <c r="IF390" s="127"/>
      <c r="IG390" s="127"/>
      <c r="IH390" s="127"/>
      <c r="II390" s="127"/>
      <c r="IJ390" s="127"/>
      <c r="IK390" s="127"/>
      <c r="LB390" s="127"/>
      <c r="LC390" s="127"/>
      <c r="LD390" s="127"/>
      <c r="LE390" s="127"/>
      <c r="LF390" s="127"/>
      <c r="LG390" s="127"/>
      <c r="LH390" s="127"/>
      <c r="LI390" s="127"/>
      <c r="LJ390" s="127"/>
      <c r="LK390" s="127"/>
      <c r="LL390" s="127"/>
      <c r="LM390" s="127"/>
      <c r="LN390" s="127"/>
      <c r="LO390" s="127"/>
      <c r="LP390" s="127"/>
      <c r="OG390" s="127"/>
      <c r="OH390" s="127"/>
      <c r="OI390" s="127"/>
      <c r="OJ390" s="127"/>
      <c r="OK390" s="127"/>
      <c r="OL390" s="127"/>
      <c r="OM390" s="127"/>
      <c r="ON390" s="127"/>
      <c r="OO390" s="127"/>
      <c r="OP390" s="127"/>
      <c r="OQ390" s="127"/>
      <c r="OR390" s="127"/>
      <c r="OS390" s="127"/>
      <c r="OT390" s="127"/>
      <c r="OU390" s="127"/>
    </row>
    <row r="391" spans="1:411">
      <c r="A391">
        <v>63</v>
      </c>
      <c r="B391">
        <v>732</v>
      </c>
      <c r="C391" t="s">
        <v>72</v>
      </c>
      <c r="D391" t="s">
        <v>254</v>
      </c>
      <c r="E391" s="232" t="s">
        <v>10331</v>
      </c>
      <c r="F391" t="s">
        <v>70</v>
      </c>
      <c r="G391">
        <v>2</v>
      </c>
      <c r="H391">
        <v>896.42499999999995</v>
      </c>
      <c r="I391">
        <v>894.81200000000001</v>
      </c>
      <c r="J391">
        <v>892.79</v>
      </c>
      <c r="K391">
        <v>884.52200000000005</v>
      </c>
      <c r="L391">
        <v>877.89200000000005</v>
      </c>
      <c r="M391" s="233" t="s">
        <v>532</v>
      </c>
      <c r="N391" s="233" t="s">
        <v>533</v>
      </c>
      <c r="O391" s="3" t="s">
        <v>892</v>
      </c>
      <c r="BM391" s="127"/>
      <c r="BN391" s="127"/>
      <c r="BO391" s="127"/>
      <c r="BP391" s="127"/>
      <c r="BQ391" s="127"/>
      <c r="BR391" s="127"/>
      <c r="BS391" s="127"/>
      <c r="BT391" s="127"/>
      <c r="BU391" s="127"/>
      <c r="BV391" s="127"/>
      <c r="BW391" s="127"/>
      <c r="BX391" s="127"/>
      <c r="BY391" s="127"/>
      <c r="BZ391" s="127"/>
      <c r="CA391" s="127"/>
      <c r="ER391" s="127"/>
      <c r="ES391" s="127"/>
      <c r="ET391" s="127"/>
      <c r="EU391" s="127"/>
      <c r="EV391" s="127"/>
      <c r="EW391" s="127"/>
      <c r="EX391" s="127"/>
      <c r="EY391" s="127"/>
      <c r="EZ391" s="127"/>
      <c r="FA391" s="127"/>
      <c r="FB391" s="127"/>
      <c r="FC391" s="127"/>
      <c r="FD391" s="127"/>
      <c r="FE391" s="127"/>
      <c r="FF391" s="127"/>
      <c r="HW391" s="127"/>
      <c r="HX391" s="127"/>
      <c r="HY391" s="127"/>
      <c r="HZ391" s="127"/>
      <c r="IA391" s="127"/>
      <c r="IB391" s="127"/>
      <c r="IC391" s="127"/>
      <c r="ID391" s="127"/>
      <c r="IE391" s="127"/>
      <c r="IF391" s="127"/>
      <c r="IG391" s="127"/>
      <c r="IH391" s="127"/>
      <c r="II391" s="127"/>
      <c r="IJ391" s="127"/>
      <c r="IK391" s="127"/>
      <c r="LB391" s="127"/>
      <c r="LC391" s="127"/>
      <c r="LD391" s="127"/>
      <c r="LE391" s="127"/>
      <c r="LF391" s="127"/>
      <c r="LG391" s="127"/>
      <c r="LH391" s="127"/>
      <c r="LI391" s="127"/>
      <c r="LJ391" s="127"/>
      <c r="LK391" s="127"/>
      <c r="LL391" s="127"/>
      <c r="LM391" s="127"/>
      <c r="LN391" s="127"/>
      <c r="LO391" s="127"/>
      <c r="LP391" s="127"/>
      <c r="OG391" s="127"/>
      <c r="OH391" s="127"/>
      <c r="OI391" s="127"/>
      <c r="OJ391" s="127"/>
      <c r="OK391" s="127"/>
      <c r="OL391" s="127"/>
      <c r="OM391" s="127"/>
      <c r="ON391" s="127"/>
      <c r="OO391" s="127"/>
      <c r="OP391" s="127"/>
      <c r="OQ391" s="127"/>
      <c r="OR391" s="127"/>
      <c r="OS391" s="127"/>
      <c r="OT391" s="127"/>
      <c r="OU391" s="127"/>
    </row>
    <row r="392" spans="1:411">
      <c r="A392">
        <v>63</v>
      </c>
      <c r="B392">
        <v>736</v>
      </c>
      <c r="C392" t="s">
        <v>72</v>
      </c>
      <c r="D392" t="s">
        <v>254</v>
      </c>
      <c r="E392" s="232" t="s">
        <v>10359</v>
      </c>
      <c r="F392" t="s">
        <v>70</v>
      </c>
      <c r="G392">
        <v>2</v>
      </c>
      <c r="H392">
        <v>896.42499999999995</v>
      </c>
      <c r="I392">
        <v>894.81200000000001</v>
      </c>
      <c r="J392">
        <v>891.14200000000005</v>
      </c>
      <c r="K392">
        <v>883.15099999999995</v>
      </c>
      <c r="L392">
        <v>876.81600000000003</v>
      </c>
      <c r="M392" s="233" t="s">
        <v>532</v>
      </c>
      <c r="N392" s="233" t="s">
        <v>533</v>
      </c>
      <c r="O392" s="3" t="s">
        <v>893</v>
      </c>
      <c r="BM392" s="127"/>
      <c r="BN392" s="127"/>
      <c r="BO392" s="127"/>
      <c r="BP392" s="127"/>
      <c r="BQ392" s="127"/>
      <c r="BR392" s="127"/>
      <c r="BS392" s="127"/>
      <c r="BT392" s="127"/>
      <c r="BU392" s="127"/>
      <c r="BV392" s="127"/>
      <c r="BW392" s="127"/>
      <c r="BX392" s="127"/>
      <c r="BY392" s="127"/>
      <c r="BZ392" s="127"/>
      <c r="CA392" s="127"/>
      <c r="ER392" s="127"/>
      <c r="ES392" s="127"/>
      <c r="ET392" s="127"/>
      <c r="EU392" s="127"/>
      <c r="EV392" s="127"/>
      <c r="EW392" s="127"/>
      <c r="EX392" s="127"/>
      <c r="EY392" s="127"/>
      <c r="EZ392" s="127"/>
      <c r="FA392" s="127"/>
      <c r="FB392" s="127"/>
      <c r="FC392" s="127"/>
      <c r="FD392" s="127"/>
      <c r="FE392" s="127"/>
      <c r="FF392" s="127"/>
      <c r="HW392" s="127"/>
      <c r="HX392" s="127"/>
      <c r="HY392" s="127"/>
      <c r="HZ392" s="127"/>
      <c r="IA392" s="127"/>
      <c r="IB392" s="127"/>
      <c r="IC392" s="127"/>
      <c r="ID392" s="127"/>
      <c r="IE392" s="127"/>
      <c r="IF392" s="127"/>
      <c r="IG392" s="127"/>
      <c r="IH392" s="127"/>
      <c r="II392" s="127"/>
      <c r="IJ392" s="127"/>
      <c r="IK392" s="127"/>
      <c r="LB392" s="127"/>
      <c r="LC392" s="127"/>
      <c r="LD392" s="127"/>
      <c r="LE392" s="127"/>
      <c r="LF392" s="127"/>
      <c r="LG392" s="127"/>
      <c r="LH392" s="127"/>
      <c r="LI392" s="127"/>
      <c r="LJ392" s="127"/>
      <c r="LK392" s="127"/>
      <c r="LL392" s="127"/>
      <c r="LM392" s="127"/>
      <c r="LN392" s="127"/>
      <c r="LO392" s="127"/>
      <c r="LP392" s="127"/>
      <c r="OG392" s="127"/>
      <c r="OH392" s="127"/>
      <c r="OI392" s="127"/>
      <c r="OJ392" s="127"/>
      <c r="OK392" s="127"/>
      <c r="OL392" s="127"/>
      <c r="OM392" s="127"/>
      <c r="ON392" s="127"/>
      <c r="OO392" s="127"/>
      <c r="OP392" s="127"/>
      <c r="OQ392" s="127"/>
      <c r="OR392" s="127"/>
      <c r="OS392" s="127"/>
      <c r="OT392" s="127"/>
      <c r="OU392" s="127"/>
    </row>
    <row r="393" spans="1:411">
      <c r="A393">
        <v>63</v>
      </c>
      <c r="B393">
        <v>737</v>
      </c>
      <c r="C393" t="s">
        <v>72</v>
      </c>
      <c r="D393" t="s">
        <v>254</v>
      </c>
      <c r="E393" s="232" t="s">
        <v>8307</v>
      </c>
      <c r="F393" t="s">
        <v>70</v>
      </c>
      <c r="G393">
        <v>2</v>
      </c>
      <c r="H393">
        <v>896.42499999999995</v>
      </c>
      <c r="I393">
        <v>894.81200000000001</v>
      </c>
      <c r="J393">
        <v>891.14200000000005</v>
      </c>
      <c r="K393">
        <v>883.15099999999995</v>
      </c>
      <c r="L393">
        <v>876.81600000000003</v>
      </c>
      <c r="M393" s="233" t="s">
        <v>532</v>
      </c>
      <c r="N393" s="233" t="s">
        <v>533</v>
      </c>
      <c r="O393" s="3" t="s">
        <v>894</v>
      </c>
      <c r="BM393" s="127"/>
      <c r="BN393" s="127"/>
      <c r="BO393" s="127"/>
      <c r="BP393" s="127"/>
      <c r="BQ393" s="127"/>
      <c r="BR393" s="127"/>
      <c r="BS393" s="127"/>
      <c r="BT393" s="127"/>
      <c r="BU393" s="127"/>
      <c r="BV393" s="127"/>
      <c r="BW393" s="127"/>
      <c r="BX393" s="127"/>
      <c r="BY393" s="127"/>
      <c r="BZ393" s="127"/>
      <c r="CA393" s="127"/>
      <c r="ER393" s="127"/>
      <c r="ES393" s="127"/>
      <c r="ET393" s="127"/>
      <c r="EU393" s="127"/>
      <c r="EV393" s="127"/>
      <c r="EW393" s="127"/>
      <c r="EX393" s="127"/>
      <c r="EY393" s="127"/>
      <c r="EZ393" s="127"/>
      <c r="FA393" s="127"/>
      <c r="FB393" s="127"/>
      <c r="FC393" s="127"/>
      <c r="FD393" s="127"/>
      <c r="FE393" s="127"/>
      <c r="FF393" s="127"/>
      <c r="HW393" s="127"/>
      <c r="HX393" s="127"/>
      <c r="HY393" s="127"/>
      <c r="HZ393" s="127"/>
      <c r="IA393" s="127"/>
      <c r="IB393" s="127"/>
      <c r="IC393" s="127"/>
      <c r="ID393" s="127"/>
      <c r="IE393" s="127"/>
      <c r="IF393" s="127"/>
      <c r="IG393" s="127"/>
      <c r="IH393" s="127"/>
      <c r="II393" s="127"/>
      <c r="IJ393" s="127"/>
      <c r="IK393" s="127"/>
      <c r="LB393" s="127"/>
      <c r="LC393" s="127"/>
      <c r="LD393" s="127"/>
      <c r="LE393" s="127"/>
      <c r="LF393" s="127"/>
      <c r="LG393" s="127"/>
      <c r="LH393" s="127"/>
      <c r="LI393" s="127"/>
      <c r="LJ393" s="127"/>
      <c r="LK393" s="127"/>
      <c r="LL393" s="127"/>
      <c r="LM393" s="127"/>
      <c r="LN393" s="127"/>
      <c r="LO393" s="127"/>
      <c r="LP393" s="127"/>
      <c r="OG393" s="127"/>
      <c r="OH393" s="127"/>
      <c r="OI393" s="127"/>
      <c r="OJ393" s="127"/>
      <c r="OK393" s="127"/>
      <c r="OL393" s="127"/>
      <c r="OM393" s="127"/>
      <c r="ON393" s="127"/>
      <c r="OO393" s="127"/>
      <c r="OP393" s="127"/>
      <c r="OQ393" s="127"/>
      <c r="OR393" s="127"/>
      <c r="OS393" s="127"/>
      <c r="OT393" s="127"/>
      <c r="OU393" s="127"/>
    </row>
    <row r="394" spans="1:411">
      <c r="A394">
        <v>63</v>
      </c>
      <c r="B394">
        <v>729</v>
      </c>
      <c r="C394" t="s">
        <v>72</v>
      </c>
      <c r="D394" t="s">
        <v>254</v>
      </c>
      <c r="E394" s="232" t="s">
        <v>7910</v>
      </c>
      <c r="F394" t="s">
        <v>70</v>
      </c>
      <c r="G394">
        <v>2</v>
      </c>
      <c r="H394">
        <v>893.654</v>
      </c>
      <c r="I394">
        <v>891.56399999999996</v>
      </c>
      <c r="J394">
        <v>889.41</v>
      </c>
      <c r="K394">
        <v>882.18399999999997</v>
      </c>
      <c r="L394">
        <v>876.178</v>
      </c>
      <c r="M394" s="233" t="s">
        <v>532</v>
      </c>
      <c r="N394" s="233" t="s">
        <v>533</v>
      </c>
      <c r="O394" s="3" t="s">
        <v>895</v>
      </c>
      <c r="BM394" s="127"/>
      <c r="BN394" s="127"/>
      <c r="BO394" s="127"/>
      <c r="BP394" s="127"/>
      <c r="BQ394" s="127"/>
      <c r="BR394" s="127"/>
      <c r="BS394" s="127"/>
      <c r="BT394" s="127"/>
      <c r="BU394" s="127"/>
      <c r="BV394" s="127"/>
      <c r="BW394" s="127"/>
      <c r="BX394" s="127"/>
      <c r="BY394" s="127"/>
      <c r="BZ394" s="127"/>
      <c r="CA394" s="127"/>
      <c r="ER394" s="127"/>
      <c r="ES394" s="127"/>
      <c r="ET394" s="127"/>
      <c r="EU394" s="127"/>
      <c r="EV394" s="127"/>
      <c r="EW394" s="127"/>
      <c r="EX394" s="127"/>
      <c r="EY394" s="127"/>
      <c r="EZ394" s="127"/>
      <c r="FA394" s="127"/>
      <c r="FB394" s="127"/>
      <c r="FC394" s="127"/>
      <c r="FD394" s="127"/>
      <c r="FE394" s="127"/>
      <c r="FF394" s="127"/>
      <c r="HW394" s="127"/>
      <c r="HX394" s="127"/>
      <c r="HY394" s="127"/>
      <c r="HZ394" s="127"/>
      <c r="IA394" s="127"/>
      <c r="IB394" s="127"/>
      <c r="IC394" s="127"/>
      <c r="ID394" s="127"/>
      <c r="IE394" s="127"/>
      <c r="IF394" s="127"/>
      <c r="IG394" s="127"/>
      <c r="IH394" s="127"/>
      <c r="II394" s="127"/>
      <c r="IJ394" s="127"/>
      <c r="IK394" s="127"/>
      <c r="LB394" s="127"/>
      <c r="LC394" s="127"/>
      <c r="LD394" s="127"/>
      <c r="LE394" s="127"/>
      <c r="LF394" s="127"/>
      <c r="LG394" s="127"/>
      <c r="LH394" s="127"/>
      <c r="LI394" s="127"/>
      <c r="LJ394" s="127"/>
      <c r="LK394" s="127"/>
      <c r="LL394" s="127"/>
      <c r="LM394" s="127"/>
      <c r="LN394" s="127"/>
      <c r="LO394" s="127"/>
      <c r="LP394" s="127"/>
      <c r="OG394" s="127"/>
      <c r="OH394" s="127"/>
      <c r="OI394" s="127"/>
      <c r="OJ394" s="127"/>
      <c r="OK394" s="127"/>
      <c r="OL394" s="127"/>
      <c r="OM394" s="127"/>
      <c r="ON394" s="127"/>
      <c r="OO394" s="127"/>
      <c r="OP394" s="127"/>
      <c r="OQ394" s="127"/>
      <c r="OR394" s="127"/>
      <c r="OS394" s="127"/>
      <c r="OT394" s="127"/>
      <c r="OU394" s="127"/>
    </row>
    <row r="395" spans="1:411">
      <c r="A395">
        <v>63</v>
      </c>
      <c r="B395">
        <v>730</v>
      </c>
      <c r="C395" t="s">
        <v>72</v>
      </c>
      <c r="D395" t="s">
        <v>254</v>
      </c>
      <c r="E395" s="232" t="s">
        <v>10628</v>
      </c>
      <c r="F395" t="s">
        <v>70</v>
      </c>
      <c r="G395">
        <v>2</v>
      </c>
      <c r="H395">
        <v>891.56399999999996</v>
      </c>
      <c r="I395">
        <v>888.72799999999995</v>
      </c>
      <c r="J395">
        <v>885.774</v>
      </c>
      <c r="K395">
        <v>878.99099999999999</v>
      </c>
      <c r="L395">
        <v>873.971</v>
      </c>
      <c r="M395" s="233" t="s">
        <v>532</v>
      </c>
      <c r="N395" s="233" t="s">
        <v>533</v>
      </c>
      <c r="O395" s="3" t="s">
        <v>896</v>
      </c>
      <c r="BM395" s="127"/>
      <c r="BN395" s="127"/>
      <c r="BO395" s="127"/>
      <c r="BP395" s="127"/>
      <c r="BQ395" s="127"/>
      <c r="BR395" s="127"/>
      <c r="BS395" s="127"/>
      <c r="BT395" s="127"/>
      <c r="BU395" s="127"/>
      <c r="BV395" s="127"/>
      <c r="BW395" s="127"/>
      <c r="BX395" s="127"/>
      <c r="BY395" s="127"/>
      <c r="BZ395" s="127"/>
      <c r="CA395" s="127"/>
      <c r="ER395" s="127"/>
      <c r="ES395" s="127"/>
      <c r="ET395" s="127"/>
      <c r="EU395" s="127"/>
      <c r="EV395" s="127"/>
      <c r="EW395" s="127"/>
      <c r="EX395" s="127"/>
      <c r="EY395" s="127"/>
      <c r="EZ395" s="127"/>
      <c r="FA395" s="127"/>
      <c r="FB395" s="127"/>
      <c r="FC395" s="127"/>
      <c r="FD395" s="127"/>
      <c r="FE395" s="127"/>
      <c r="FF395" s="127"/>
      <c r="HW395" s="127"/>
      <c r="HX395" s="127"/>
      <c r="HY395" s="127"/>
      <c r="HZ395" s="127"/>
      <c r="IA395" s="127"/>
      <c r="IB395" s="127"/>
      <c r="IC395" s="127"/>
      <c r="ID395" s="127"/>
      <c r="IE395" s="127"/>
      <c r="IF395" s="127"/>
      <c r="IG395" s="127"/>
      <c r="IH395" s="127"/>
      <c r="II395" s="127"/>
      <c r="IJ395" s="127"/>
      <c r="IK395" s="127"/>
      <c r="LB395" s="127"/>
      <c r="LC395" s="127"/>
      <c r="LD395" s="127"/>
      <c r="LE395" s="127"/>
      <c r="LF395" s="127"/>
      <c r="LG395" s="127"/>
      <c r="LH395" s="127"/>
      <c r="LI395" s="127"/>
      <c r="LJ395" s="127"/>
      <c r="LK395" s="127"/>
      <c r="LL395" s="127"/>
      <c r="LM395" s="127"/>
      <c r="LN395" s="127"/>
      <c r="LO395" s="127"/>
      <c r="LP395" s="127"/>
      <c r="OG395" s="127"/>
      <c r="OH395" s="127"/>
      <c r="OI395" s="127"/>
      <c r="OJ395" s="127"/>
      <c r="OK395" s="127"/>
      <c r="OL395" s="127"/>
      <c r="OM395" s="127"/>
      <c r="ON395" s="127"/>
      <c r="OO395" s="127"/>
      <c r="OP395" s="127"/>
      <c r="OQ395" s="127"/>
      <c r="OR395" s="127"/>
      <c r="OS395" s="127"/>
      <c r="OT395" s="127"/>
      <c r="OU395" s="127"/>
    </row>
    <row r="396" spans="1:411">
      <c r="A396">
        <v>62</v>
      </c>
      <c r="B396">
        <v>742</v>
      </c>
      <c r="C396" t="s">
        <v>72</v>
      </c>
      <c r="D396" t="s">
        <v>254</v>
      </c>
      <c r="E396" s="232" t="s">
        <v>9901</v>
      </c>
      <c r="F396" t="s">
        <v>71</v>
      </c>
      <c r="G396">
        <v>2</v>
      </c>
      <c r="H396">
        <v>910.01400000000001</v>
      </c>
      <c r="I396">
        <v>907.82899999999995</v>
      </c>
      <c r="J396">
        <v>905.26599999999996</v>
      </c>
      <c r="K396">
        <v>899.64800000000002</v>
      </c>
      <c r="L396">
        <v>891.25900000000001</v>
      </c>
      <c r="M396" s="233" t="s">
        <v>532</v>
      </c>
      <c r="N396" s="233" t="s">
        <v>533</v>
      </c>
      <c r="O396" s="3" t="s">
        <v>897</v>
      </c>
      <c r="BM396" s="127"/>
      <c r="BN396" s="127"/>
      <c r="BO396" s="127"/>
      <c r="BP396" s="127"/>
      <c r="BQ396" s="127"/>
      <c r="BR396" s="127"/>
      <c r="BS396" s="127"/>
      <c r="BT396" s="127"/>
      <c r="BU396" s="127"/>
      <c r="BV396" s="127"/>
      <c r="BW396" s="127"/>
      <c r="BX396" s="127"/>
      <c r="BY396" s="127"/>
      <c r="BZ396" s="127"/>
      <c r="CA396" s="127"/>
      <c r="ER396" s="127"/>
      <c r="ES396" s="127"/>
      <c r="ET396" s="127"/>
      <c r="EU396" s="127"/>
      <c r="EV396" s="127"/>
      <c r="EW396" s="127"/>
      <c r="EX396" s="127"/>
      <c r="EY396" s="127"/>
      <c r="EZ396" s="127"/>
      <c r="FA396" s="127"/>
      <c r="FB396" s="127"/>
      <c r="FC396" s="127"/>
      <c r="FD396" s="127"/>
      <c r="FE396" s="127"/>
      <c r="FF396" s="127"/>
      <c r="HW396" s="127"/>
      <c r="HX396" s="127"/>
      <c r="HY396" s="127"/>
      <c r="HZ396" s="127"/>
      <c r="IA396" s="127"/>
      <c r="IB396" s="127"/>
      <c r="IC396" s="127"/>
      <c r="ID396" s="127"/>
      <c r="IE396" s="127"/>
      <c r="IF396" s="127"/>
      <c r="IG396" s="127"/>
      <c r="IH396" s="127"/>
      <c r="II396" s="127"/>
      <c r="IJ396" s="127"/>
      <c r="IK396" s="127"/>
      <c r="LB396" s="127"/>
      <c r="LC396" s="127"/>
      <c r="LD396" s="127"/>
      <c r="LE396" s="127"/>
      <c r="LF396" s="127"/>
      <c r="LG396" s="127"/>
      <c r="LH396" s="127"/>
      <c r="LI396" s="127"/>
      <c r="LJ396" s="127"/>
      <c r="LK396" s="127"/>
      <c r="LL396" s="127"/>
      <c r="LM396" s="127"/>
      <c r="LN396" s="127"/>
      <c r="LO396" s="127"/>
      <c r="LP396" s="127"/>
      <c r="OG396" s="127"/>
      <c r="OH396" s="127"/>
      <c r="OI396" s="127"/>
      <c r="OJ396" s="127"/>
      <c r="OK396" s="127"/>
      <c r="OL396" s="127"/>
      <c r="OM396" s="127"/>
      <c r="ON396" s="127"/>
      <c r="OO396" s="127"/>
      <c r="OP396" s="127"/>
      <c r="OQ396" s="127"/>
      <c r="OR396" s="127"/>
      <c r="OS396" s="127"/>
      <c r="OT396" s="127"/>
      <c r="OU396" s="127"/>
    </row>
    <row r="397" spans="1:411">
      <c r="A397">
        <v>62</v>
      </c>
      <c r="B397">
        <v>747</v>
      </c>
      <c r="C397" t="s">
        <v>72</v>
      </c>
      <c r="D397" t="s">
        <v>254</v>
      </c>
      <c r="E397" s="232" t="s">
        <v>10175</v>
      </c>
      <c r="F397" t="s">
        <v>71</v>
      </c>
      <c r="G397">
        <v>2</v>
      </c>
      <c r="H397">
        <v>903.56399999999996</v>
      </c>
      <c r="I397">
        <v>901.86199999999997</v>
      </c>
      <c r="J397">
        <v>898.21699999999998</v>
      </c>
      <c r="K397">
        <v>892.51400000000001</v>
      </c>
      <c r="L397">
        <v>885.21299999999997</v>
      </c>
      <c r="M397" s="233" t="s">
        <v>532</v>
      </c>
      <c r="N397" s="233" t="s">
        <v>533</v>
      </c>
      <c r="O397" s="3" t="s">
        <v>898</v>
      </c>
      <c r="BM397" s="127"/>
      <c r="BN397" s="127"/>
      <c r="BO397" s="127"/>
      <c r="BP397" s="127"/>
      <c r="BQ397" s="127"/>
      <c r="BR397" s="127"/>
      <c r="BS397" s="127"/>
      <c r="BT397" s="127"/>
      <c r="BU397" s="127"/>
      <c r="BV397" s="127"/>
      <c r="BW397" s="127"/>
      <c r="BX397" s="127"/>
      <c r="BY397" s="127"/>
      <c r="BZ397" s="127"/>
      <c r="CA397" s="127"/>
      <c r="ER397" s="127"/>
      <c r="ES397" s="127"/>
      <c r="ET397" s="127"/>
      <c r="EU397" s="127"/>
      <c r="EV397" s="127"/>
      <c r="EW397" s="127"/>
      <c r="EX397" s="127"/>
      <c r="EY397" s="127"/>
      <c r="EZ397" s="127"/>
      <c r="FA397" s="127"/>
      <c r="FB397" s="127"/>
      <c r="FC397" s="127"/>
      <c r="FD397" s="127"/>
      <c r="FE397" s="127"/>
      <c r="FF397" s="127"/>
      <c r="HW397" s="127"/>
      <c r="HX397" s="127"/>
      <c r="HY397" s="127"/>
      <c r="HZ397" s="127"/>
      <c r="IA397" s="127"/>
      <c r="IB397" s="127"/>
      <c r="IC397" s="127"/>
      <c r="ID397" s="127"/>
      <c r="IE397" s="127"/>
      <c r="IF397" s="127"/>
      <c r="IG397" s="127"/>
      <c r="IH397" s="127"/>
      <c r="II397" s="127"/>
      <c r="IJ397" s="127"/>
      <c r="IK397" s="127"/>
      <c r="LB397" s="127"/>
      <c r="LC397" s="127"/>
      <c r="LD397" s="127"/>
      <c r="LE397" s="127"/>
      <c r="LF397" s="127"/>
      <c r="LG397" s="127"/>
      <c r="LH397" s="127"/>
      <c r="LI397" s="127"/>
      <c r="LJ397" s="127"/>
      <c r="LK397" s="127"/>
      <c r="LL397" s="127"/>
      <c r="LM397" s="127"/>
      <c r="LN397" s="127"/>
      <c r="LO397" s="127"/>
      <c r="LP397" s="127"/>
      <c r="OG397" s="127"/>
      <c r="OH397" s="127"/>
      <c r="OI397" s="127"/>
      <c r="OJ397" s="127"/>
      <c r="OK397" s="127"/>
      <c r="OL397" s="127"/>
      <c r="OM397" s="127"/>
      <c r="ON397" s="127"/>
      <c r="OO397" s="127"/>
      <c r="OP397" s="127"/>
      <c r="OQ397" s="127"/>
      <c r="OR397" s="127"/>
      <c r="OS397" s="127"/>
      <c r="OT397" s="127"/>
      <c r="OU397" s="127"/>
    </row>
    <row r="398" spans="1:411">
      <c r="A398">
        <v>62</v>
      </c>
      <c r="B398">
        <v>741</v>
      </c>
      <c r="C398" t="s">
        <v>72</v>
      </c>
      <c r="D398" t="s">
        <v>254</v>
      </c>
      <c r="E398" s="232" t="s">
        <v>8197</v>
      </c>
      <c r="F398" t="s">
        <v>71</v>
      </c>
      <c r="G398">
        <v>2</v>
      </c>
      <c r="H398">
        <v>902.38199999999995</v>
      </c>
      <c r="I398">
        <v>899.88599999999997</v>
      </c>
      <c r="J398">
        <v>897.03499999999997</v>
      </c>
      <c r="K398">
        <v>891.67700000000002</v>
      </c>
      <c r="L398">
        <v>885.21299999999997</v>
      </c>
      <c r="M398" s="233" t="s">
        <v>532</v>
      </c>
      <c r="N398" s="233" t="s">
        <v>533</v>
      </c>
      <c r="O398" s="3" t="s">
        <v>899</v>
      </c>
      <c r="BM398" s="127"/>
      <c r="BN398" s="127"/>
      <c r="BO398" s="127"/>
      <c r="BP398" s="127"/>
      <c r="BQ398" s="127"/>
      <c r="BR398" s="127"/>
      <c r="BS398" s="127"/>
      <c r="BT398" s="127"/>
      <c r="BU398" s="127"/>
      <c r="BV398" s="127"/>
      <c r="BW398" s="127"/>
      <c r="BX398" s="127"/>
      <c r="BY398" s="127"/>
      <c r="BZ398" s="127"/>
      <c r="CA398" s="127"/>
      <c r="ER398" s="127"/>
      <c r="ES398" s="127"/>
      <c r="ET398" s="127"/>
      <c r="EU398" s="127"/>
      <c r="EV398" s="127"/>
      <c r="EW398" s="127"/>
      <c r="EX398" s="127"/>
      <c r="EY398" s="127"/>
      <c r="EZ398" s="127"/>
      <c r="FA398" s="127"/>
      <c r="FB398" s="127"/>
      <c r="FC398" s="127"/>
      <c r="FD398" s="127"/>
      <c r="FE398" s="127"/>
      <c r="FF398" s="127"/>
      <c r="HW398" s="127"/>
      <c r="HX398" s="127"/>
      <c r="HY398" s="127"/>
      <c r="HZ398" s="127"/>
      <c r="IA398" s="127"/>
      <c r="IB398" s="127"/>
      <c r="IC398" s="127"/>
      <c r="ID398" s="127"/>
      <c r="IE398" s="127"/>
      <c r="IF398" s="127"/>
      <c r="IG398" s="127"/>
      <c r="IH398" s="127"/>
      <c r="II398" s="127"/>
      <c r="IJ398" s="127"/>
      <c r="IK398" s="127"/>
      <c r="LB398" s="127"/>
      <c r="LC398" s="127"/>
      <c r="LD398" s="127"/>
      <c r="LE398" s="127"/>
      <c r="LF398" s="127"/>
      <c r="LG398" s="127"/>
      <c r="LH398" s="127"/>
      <c r="LI398" s="127"/>
      <c r="LJ398" s="127"/>
      <c r="LK398" s="127"/>
      <c r="LL398" s="127"/>
      <c r="LM398" s="127"/>
      <c r="LN398" s="127"/>
      <c r="LO398" s="127"/>
      <c r="LP398" s="127"/>
      <c r="OG398" s="127"/>
      <c r="OH398" s="127"/>
      <c r="OI398" s="127"/>
      <c r="OJ398" s="127"/>
      <c r="OK398" s="127"/>
      <c r="OL398" s="127"/>
      <c r="OM398" s="127"/>
      <c r="ON398" s="127"/>
      <c r="OO398" s="127"/>
      <c r="OP398" s="127"/>
      <c r="OQ398" s="127"/>
      <c r="OR398" s="127"/>
      <c r="OS398" s="127"/>
      <c r="OT398" s="127"/>
      <c r="OU398" s="127"/>
    </row>
    <row r="399" spans="1:411">
      <c r="A399">
        <v>62</v>
      </c>
      <c r="B399">
        <v>758</v>
      </c>
      <c r="C399" t="s">
        <v>72</v>
      </c>
      <c r="D399" t="s">
        <v>254</v>
      </c>
      <c r="E399" s="232" t="s">
        <v>8726</v>
      </c>
      <c r="F399" t="s">
        <v>71</v>
      </c>
      <c r="G399">
        <v>2</v>
      </c>
      <c r="H399">
        <v>902.24099999999999</v>
      </c>
      <c r="I399">
        <v>899.64800000000002</v>
      </c>
      <c r="J399">
        <v>896.89400000000001</v>
      </c>
      <c r="K399">
        <v>891.07899999999995</v>
      </c>
      <c r="L399">
        <v>884.17399999999998</v>
      </c>
      <c r="M399" s="233" t="s">
        <v>532</v>
      </c>
      <c r="N399" s="233" t="s">
        <v>533</v>
      </c>
      <c r="O399" s="3" t="s">
        <v>900</v>
      </c>
      <c r="BM399" s="127"/>
      <c r="BN399" s="127"/>
      <c r="BO399" s="127"/>
      <c r="BP399" s="127"/>
      <c r="BQ399" s="127"/>
      <c r="BR399" s="127"/>
      <c r="BS399" s="127"/>
      <c r="BT399" s="127"/>
      <c r="BU399" s="127"/>
      <c r="BV399" s="127"/>
      <c r="BW399" s="127"/>
      <c r="BX399" s="127"/>
      <c r="BY399" s="127"/>
      <c r="BZ399" s="127"/>
      <c r="CA399" s="127"/>
      <c r="ER399" s="127"/>
      <c r="ES399" s="127"/>
      <c r="ET399" s="127"/>
      <c r="EU399" s="127"/>
      <c r="EV399" s="127"/>
      <c r="EW399" s="127"/>
      <c r="EX399" s="127"/>
      <c r="EY399" s="127"/>
      <c r="EZ399" s="127"/>
      <c r="FA399" s="127"/>
      <c r="FB399" s="127"/>
      <c r="FC399" s="127"/>
      <c r="FD399" s="127"/>
      <c r="FE399" s="127"/>
      <c r="FF399" s="127"/>
      <c r="HW399" s="127"/>
      <c r="HX399" s="127"/>
      <c r="HY399" s="127"/>
      <c r="HZ399" s="127"/>
      <c r="IA399" s="127"/>
      <c r="IB399" s="127"/>
      <c r="IC399" s="127"/>
      <c r="ID399" s="127"/>
      <c r="IE399" s="127"/>
      <c r="IF399" s="127"/>
      <c r="IG399" s="127"/>
      <c r="IH399" s="127"/>
      <c r="II399" s="127"/>
      <c r="IJ399" s="127"/>
      <c r="IK399" s="127"/>
      <c r="LB399" s="127"/>
      <c r="LC399" s="127"/>
      <c r="LD399" s="127"/>
      <c r="LE399" s="127"/>
      <c r="LF399" s="127"/>
      <c r="LG399" s="127"/>
      <c r="LH399" s="127"/>
      <c r="LI399" s="127"/>
      <c r="LJ399" s="127"/>
      <c r="LK399" s="127"/>
      <c r="LL399" s="127"/>
      <c r="LM399" s="127"/>
      <c r="LN399" s="127"/>
      <c r="LO399" s="127"/>
      <c r="LP399" s="127"/>
      <c r="OG399" s="127"/>
      <c r="OH399" s="127"/>
      <c r="OI399" s="127"/>
      <c r="OJ399" s="127"/>
      <c r="OK399" s="127"/>
      <c r="OL399" s="127"/>
      <c r="OM399" s="127"/>
      <c r="ON399" s="127"/>
      <c r="OO399" s="127"/>
      <c r="OP399" s="127"/>
      <c r="OQ399" s="127"/>
      <c r="OR399" s="127"/>
      <c r="OS399" s="127"/>
      <c r="OT399" s="127"/>
      <c r="OU399" s="127"/>
    </row>
    <row r="400" spans="1:411">
      <c r="A400">
        <v>62</v>
      </c>
      <c r="B400">
        <v>765</v>
      </c>
      <c r="C400" t="s">
        <v>72</v>
      </c>
      <c r="D400" t="s">
        <v>254</v>
      </c>
      <c r="E400" s="232" t="s">
        <v>8534</v>
      </c>
      <c r="F400" t="s">
        <v>71</v>
      </c>
      <c r="G400">
        <v>2</v>
      </c>
      <c r="H400">
        <v>901.86199999999997</v>
      </c>
      <c r="I400">
        <v>899.46799999999996</v>
      </c>
      <c r="J400">
        <v>896.11800000000005</v>
      </c>
      <c r="K400">
        <v>890.31500000000005</v>
      </c>
      <c r="L400">
        <v>883.89700000000005</v>
      </c>
      <c r="M400" s="233" t="s">
        <v>532</v>
      </c>
      <c r="N400" s="233" t="s">
        <v>533</v>
      </c>
      <c r="O400" s="3" t="s">
        <v>901</v>
      </c>
      <c r="BM400" s="127"/>
      <c r="BN400" s="127"/>
      <c r="BO400" s="127"/>
      <c r="BP400" s="127"/>
      <c r="BQ400" s="127"/>
      <c r="BR400" s="127"/>
      <c r="BS400" s="127"/>
      <c r="BT400" s="127"/>
      <c r="BU400" s="127"/>
      <c r="BV400" s="127"/>
      <c r="BW400" s="127"/>
      <c r="BX400" s="127"/>
      <c r="BY400" s="127"/>
      <c r="BZ400" s="127"/>
      <c r="CA400" s="127"/>
      <c r="ER400" s="127"/>
      <c r="ES400" s="127"/>
      <c r="ET400" s="127"/>
      <c r="EU400" s="127"/>
      <c r="EV400" s="127"/>
      <c r="EW400" s="127"/>
      <c r="EX400" s="127"/>
      <c r="EY400" s="127"/>
      <c r="EZ400" s="127"/>
      <c r="FA400" s="127"/>
      <c r="FB400" s="127"/>
      <c r="FC400" s="127"/>
      <c r="FD400" s="127"/>
      <c r="FE400" s="127"/>
      <c r="FF400" s="127"/>
      <c r="HW400" s="127"/>
      <c r="HX400" s="127"/>
      <c r="HY400" s="127"/>
      <c r="HZ400" s="127"/>
      <c r="IA400" s="127"/>
      <c r="IB400" s="127"/>
      <c r="IC400" s="127"/>
      <c r="ID400" s="127"/>
      <c r="IE400" s="127"/>
      <c r="IF400" s="127"/>
      <c r="IG400" s="127"/>
      <c r="IH400" s="127"/>
      <c r="II400" s="127"/>
      <c r="IJ400" s="127"/>
      <c r="IK400" s="127"/>
      <c r="LB400" s="127"/>
      <c r="LC400" s="127"/>
      <c r="LD400" s="127"/>
      <c r="LE400" s="127"/>
      <c r="LF400" s="127"/>
      <c r="LG400" s="127"/>
      <c r="LH400" s="127"/>
      <c r="LI400" s="127"/>
      <c r="LJ400" s="127"/>
      <c r="LK400" s="127"/>
      <c r="LL400" s="127"/>
      <c r="LM400" s="127"/>
      <c r="LN400" s="127"/>
      <c r="LO400" s="127"/>
      <c r="LP400" s="127"/>
      <c r="OG400" s="127"/>
      <c r="OH400" s="127"/>
      <c r="OI400" s="127"/>
      <c r="OJ400" s="127"/>
      <c r="OK400" s="127"/>
      <c r="OL400" s="127"/>
      <c r="OM400" s="127"/>
      <c r="ON400" s="127"/>
      <c r="OO400" s="127"/>
      <c r="OP400" s="127"/>
      <c r="OQ400" s="127"/>
      <c r="OR400" s="127"/>
      <c r="OS400" s="127"/>
      <c r="OT400" s="127"/>
      <c r="OU400" s="127"/>
    </row>
    <row r="401" spans="1:411">
      <c r="A401">
        <v>62</v>
      </c>
      <c r="B401">
        <v>744</v>
      </c>
      <c r="C401" t="s">
        <v>72</v>
      </c>
      <c r="D401" t="s">
        <v>254</v>
      </c>
      <c r="E401" s="232" t="s">
        <v>10261</v>
      </c>
      <c r="F401" t="s">
        <v>71</v>
      </c>
      <c r="G401">
        <v>2</v>
      </c>
      <c r="H401">
        <v>901.86199999999997</v>
      </c>
      <c r="I401">
        <v>899.46799999999996</v>
      </c>
      <c r="J401">
        <v>895.93799999999999</v>
      </c>
      <c r="K401">
        <v>890.077</v>
      </c>
      <c r="L401">
        <v>883.65899999999999</v>
      </c>
      <c r="M401" s="233" t="s">
        <v>532</v>
      </c>
      <c r="N401" s="233" t="s">
        <v>533</v>
      </c>
      <c r="O401" s="3" t="s">
        <v>902</v>
      </c>
      <c r="BM401" s="127"/>
      <c r="BN401" s="127"/>
      <c r="BO401" s="127"/>
      <c r="BP401" s="127"/>
      <c r="BQ401" s="127"/>
      <c r="BR401" s="127"/>
      <c r="BS401" s="127"/>
      <c r="BT401" s="127"/>
      <c r="BU401" s="127"/>
      <c r="BV401" s="127"/>
      <c r="BW401" s="127"/>
      <c r="BX401" s="127"/>
      <c r="BY401" s="127"/>
      <c r="BZ401" s="127"/>
      <c r="CA401" s="127"/>
      <c r="ER401" s="127"/>
      <c r="ES401" s="127"/>
      <c r="ET401" s="127"/>
      <c r="EU401" s="127"/>
      <c r="EV401" s="127"/>
      <c r="EW401" s="127"/>
      <c r="EX401" s="127"/>
      <c r="EY401" s="127"/>
      <c r="EZ401" s="127"/>
      <c r="FA401" s="127"/>
      <c r="FB401" s="127"/>
      <c r="FC401" s="127"/>
      <c r="FD401" s="127"/>
      <c r="FE401" s="127"/>
      <c r="FF401" s="127"/>
      <c r="HW401" s="127"/>
      <c r="HX401" s="127"/>
      <c r="HY401" s="127"/>
      <c r="HZ401" s="127"/>
      <c r="IA401" s="127"/>
      <c r="IB401" s="127"/>
      <c r="IC401" s="127"/>
      <c r="ID401" s="127"/>
      <c r="IE401" s="127"/>
      <c r="IF401" s="127"/>
      <c r="IG401" s="127"/>
      <c r="IH401" s="127"/>
      <c r="II401" s="127"/>
      <c r="IJ401" s="127"/>
      <c r="IK401" s="127"/>
      <c r="LB401" s="127"/>
      <c r="LC401" s="127"/>
      <c r="LD401" s="127"/>
      <c r="LE401" s="127"/>
      <c r="LF401" s="127"/>
      <c r="LG401" s="127"/>
      <c r="LH401" s="127"/>
      <c r="LI401" s="127"/>
      <c r="LJ401" s="127"/>
      <c r="LK401" s="127"/>
      <c r="LL401" s="127"/>
      <c r="LM401" s="127"/>
      <c r="LN401" s="127"/>
      <c r="LO401" s="127"/>
      <c r="LP401" s="127"/>
      <c r="OG401" s="127"/>
      <c r="OH401" s="127"/>
      <c r="OI401" s="127"/>
      <c r="OJ401" s="127"/>
      <c r="OK401" s="127"/>
      <c r="OL401" s="127"/>
      <c r="OM401" s="127"/>
      <c r="ON401" s="127"/>
      <c r="OO401" s="127"/>
      <c r="OP401" s="127"/>
      <c r="OQ401" s="127"/>
      <c r="OR401" s="127"/>
      <c r="OS401" s="127"/>
      <c r="OT401" s="127"/>
      <c r="OU401" s="127"/>
    </row>
    <row r="402" spans="1:411">
      <c r="A402">
        <v>62</v>
      </c>
      <c r="B402">
        <v>749</v>
      </c>
      <c r="C402" t="s">
        <v>72</v>
      </c>
      <c r="D402" t="s">
        <v>254</v>
      </c>
      <c r="E402" s="232" t="s">
        <v>8787</v>
      </c>
      <c r="F402" t="s">
        <v>71</v>
      </c>
      <c r="G402">
        <v>2</v>
      </c>
      <c r="H402">
        <v>900.56500000000005</v>
      </c>
      <c r="I402">
        <v>898.45500000000004</v>
      </c>
      <c r="J402">
        <v>895.03399999999999</v>
      </c>
      <c r="K402">
        <v>889.16</v>
      </c>
      <c r="L402">
        <v>882.87300000000005</v>
      </c>
      <c r="M402" s="233" t="s">
        <v>532</v>
      </c>
      <c r="N402" s="233" t="s">
        <v>533</v>
      </c>
      <c r="O402" s="3" t="s">
        <v>903</v>
      </c>
      <c r="BM402" s="127"/>
      <c r="BN402" s="127"/>
      <c r="BO402" s="127"/>
      <c r="BP402" s="127"/>
      <c r="BQ402" s="127"/>
      <c r="BR402" s="127"/>
      <c r="BS402" s="127"/>
      <c r="BT402" s="127"/>
      <c r="BU402" s="127"/>
      <c r="BV402" s="127"/>
      <c r="BW402" s="127"/>
      <c r="BX402" s="127"/>
      <c r="BY402" s="127"/>
      <c r="BZ402" s="127"/>
      <c r="CA402" s="127"/>
      <c r="ER402" s="127"/>
      <c r="ES402" s="127"/>
      <c r="ET402" s="127"/>
      <c r="EU402" s="127"/>
      <c r="EV402" s="127"/>
      <c r="EW402" s="127"/>
      <c r="EX402" s="127"/>
      <c r="EY402" s="127"/>
      <c r="EZ402" s="127"/>
      <c r="FA402" s="127"/>
      <c r="FB402" s="127"/>
      <c r="FC402" s="127"/>
      <c r="FD402" s="127"/>
      <c r="FE402" s="127"/>
      <c r="FF402" s="127"/>
      <c r="HW402" s="127"/>
      <c r="HX402" s="127"/>
      <c r="HY402" s="127"/>
      <c r="HZ402" s="127"/>
      <c r="IA402" s="127"/>
      <c r="IB402" s="127"/>
      <c r="IC402" s="127"/>
      <c r="ID402" s="127"/>
      <c r="IE402" s="127"/>
      <c r="IF402" s="127"/>
      <c r="IG402" s="127"/>
      <c r="IH402" s="127"/>
      <c r="II402" s="127"/>
      <c r="IJ402" s="127"/>
      <c r="IK402" s="127"/>
      <c r="LB402" s="127"/>
      <c r="LC402" s="127"/>
      <c r="LD402" s="127"/>
      <c r="LE402" s="127"/>
      <c r="LF402" s="127"/>
      <c r="LG402" s="127"/>
      <c r="LH402" s="127"/>
      <c r="LI402" s="127"/>
      <c r="LJ402" s="127"/>
      <c r="LK402" s="127"/>
      <c r="LL402" s="127"/>
      <c r="LM402" s="127"/>
      <c r="LN402" s="127"/>
      <c r="LO402" s="127"/>
      <c r="LP402" s="127"/>
      <c r="OG402" s="127"/>
      <c r="OH402" s="127"/>
      <c r="OI402" s="127"/>
      <c r="OJ402" s="127"/>
      <c r="OK402" s="127"/>
      <c r="OL402" s="127"/>
      <c r="OM402" s="127"/>
      <c r="ON402" s="127"/>
      <c r="OO402" s="127"/>
      <c r="OP402" s="127"/>
      <c r="OQ402" s="127"/>
      <c r="OR402" s="127"/>
      <c r="OS402" s="127"/>
      <c r="OT402" s="127"/>
      <c r="OU402" s="127"/>
    </row>
    <row r="403" spans="1:411">
      <c r="A403">
        <v>62</v>
      </c>
      <c r="B403">
        <v>750</v>
      </c>
      <c r="C403" t="s">
        <v>72</v>
      </c>
      <c r="D403" t="s">
        <v>254</v>
      </c>
      <c r="E403" s="232" t="s">
        <v>9921</v>
      </c>
      <c r="F403" t="s">
        <v>71</v>
      </c>
      <c r="G403">
        <v>2</v>
      </c>
      <c r="H403">
        <v>900.80200000000002</v>
      </c>
      <c r="I403">
        <v>898.45500000000004</v>
      </c>
      <c r="J403">
        <v>894.41700000000003</v>
      </c>
      <c r="K403">
        <v>888.83900000000006</v>
      </c>
      <c r="L403">
        <v>881.774</v>
      </c>
      <c r="M403" s="233" t="s">
        <v>532</v>
      </c>
      <c r="N403" s="233" t="s">
        <v>533</v>
      </c>
      <c r="O403" s="3" t="s">
        <v>904</v>
      </c>
      <c r="BM403" s="127"/>
      <c r="BN403" s="127"/>
      <c r="BO403" s="127"/>
      <c r="BP403" s="127"/>
      <c r="BQ403" s="127"/>
      <c r="BR403" s="127"/>
      <c r="BS403" s="127"/>
      <c r="BT403" s="127"/>
      <c r="BU403" s="127"/>
      <c r="BV403" s="127"/>
      <c r="BW403" s="127"/>
      <c r="BX403" s="127"/>
      <c r="BY403" s="127"/>
      <c r="BZ403" s="127"/>
      <c r="CA403" s="127"/>
      <c r="ER403" s="127"/>
      <c r="ES403" s="127"/>
      <c r="ET403" s="127"/>
      <c r="EU403" s="127"/>
      <c r="EV403" s="127"/>
      <c r="EW403" s="127"/>
      <c r="EX403" s="127"/>
      <c r="EY403" s="127"/>
      <c r="EZ403" s="127"/>
      <c r="FA403" s="127"/>
      <c r="FB403" s="127"/>
      <c r="FC403" s="127"/>
      <c r="FD403" s="127"/>
      <c r="FE403" s="127"/>
      <c r="FF403" s="127"/>
      <c r="HW403" s="127"/>
      <c r="HX403" s="127"/>
      <c r="HY403" s="127"/>
      <c r="HZ403" s="127"/>
      <c r="IA403" s="127"/>
      <c r="IB403" s="127"/>
      <c r="IC403" s="127"/>
      <c r="ID403" s="127"/>
      <c r="IE403" s="127"/>
      <c r="IF403" s="127"/>
      <c r="IG403" s="127"/>
      <c r="IH403" s="127"/>
      <c r="II403" s="127"/>
      <c r="IJ403" s="127"/>
      <c r="IK403" s="127"/>
      <c r="LB403" s="127"/>
      <c r="LC403" s="127"/>
      <c r="LD403" s="127"/>
      <c r="LE403" s="127"/>
      <c r="LF403" s="127"/>
      <c r="LG403" s="127"/>
      <c r="LH403" s="127"/>
      <c r="LI403" s="127"/>
      <c r="LJ403" s="127"/>
      <c r="LK403" s="127"/>
      <c r="LL403" s="127"/>
      <c r="LM403" s="127"/>
      <c r="LN403" s="127"/>
      <c r="LO403" s="127"/>
      <c r="LP403" s="127"/>
      <c r="OG403" s="127"/>
      <c r="OH403" s="127"/>
      <c r="OI403" s="127"/>
      <c r="OJ403" s="127"/>
      <c r="OK403" s="127"/>
      <c r="OL403" s="127"/>
      <c r="OM403" s="127"/>
      <c r="ON403" s="127"/>
      <c r="OO403" s="127"/>
      <c r="OP403" s="127"/>
      <c r="OQ403" s="127"/>
      <c r="OR403" s="127"/>
      <c r="OS403" s="127"/>
      <c r="OT403" s="127"/>
      <c r="OU403" s="127"/>
    </row>
    <row r="404" spans="1:411">
      <c r="A404">
        <v>62</v>
      </c>
      <c r="B404">
        <v>760</v>
      </c>
      <c r="C404" t="s">
        <v>72</v>
      </c>
      <c r="D404" t="s">
        <v>254</v>
      </c>
      <c r="E404" s="232" t="s">
        <v>10365</v>
      </c>
      <c r="F404" t="s">
        <v>71</v>
      </c>
      <c r="G404">
        <v>2</v>
      </c>
      <c r="H404">
        <v>899.64800000000002</v>
      </c>
      <c r="I404">
        <v>897.39800000000002</v>
      </c>
      <c r="J404">
        <v>894.23699999999997</v>
      </c>
      <c r="K404">
        <v>888.49099999999999</v>
      </c>
      <c r="L404">
        <v>881.774</v>
      </c>
      <c r="M404" s="233" t="s">
        <v>532</v>
      </c>
      <c r="N404" s="233" t="s">
        <v>533</v>
      </c>
      <c r="O404" s="3" t="s">
        <v>905</v>
      </c>
      <c r="BM404" s="127"/>
      <c r="BN404" s="127"/>
      <c r="BO404" s="127"/>
      <c r="BP404" s="127"/>
      <c r="BQ404" s="127"/>
      <c r="BR404" s="127"/>
      <c r="BS404" s="127"/>
      <c r="BT404" s="127"/>
      <c r="BU404" s="127"/>
      <c r="BV404" s="127"/>
      <c r="BW404" s="127"/>
      <c r="BX404" s="127"/>
      <c r="BY404" s="127"/>
      <c r="BZ404" s="127"/>
      <c r="CA404" s="127"/>
      <c r="ER404" s="127"/>
      <c r="ES404" s="127"/>
      <c r="ET404" s="127"/>
      <c r="EU404" s="127"/>
      <c r="EV404" s="127"/>
      <c r="EW404" s="127"/>
      <c r="EX404" s="127"/>
      <c r="EY404" s="127"/>
      <c r="EZ404" s="127"/>
      <c r="FA404" s="127"/>
      <c r="FB404" s="127"/>
      <c r="FC404" s="127"/>
      <c r="FD404" s="127"/>
      <c r="FE404" s="127"/>
      <c r="FF404" s="127"/>
      <c r="HW404" s="127"/>
      <c r="HX404" s="127"/>
      <c r="HY404" s="127"/>
      <c r="HZ404" s="127"/>
      <c r="IA404" s="127"/>
      <c r="IB404" s="127"/>
      <c r="IC404" s="127"/>
      <c r="ID404" s="127"/>
      <c r="IE404" s="127"/>
      <c r="IF404" s="127"/>
      <c r="IG404" s="127"/>
      <c r="IH404" s="127"/>
      <c r="II404" s="127"/>
      <c r="IJ404" s="127"/>
      <c r="IK404" s="127"/>
      <c r="LB404" s="127"/>
      <c r="LC404" s="127"/>
      <c r="LD404" s="127"/>
      <c r="LE404" s="127"/>
      <c r="LF404" s="127"/>
      <c r="LG404" s="127"/>
      <c r="LH404" s="127"/>
      <c r="LI404" s="127"/>
      <c r="LJ404" s="127"/>
      <c r="LK404" s="127"/>
      <c r="LL404" s="127"/>
      <c r="LM404" s="127"/>
      <c r="LN404" s="127"/>
      <c r="LO404" s="127"/>
      <c r="LP404" s="127"/>
      <c r="OG404" s="127"/>
      <c r="OH404" s="127"/>
      <c r="OI404" s="127"/>
      <c r="OJ404" s="127"/>
      <c r="OK404" s="127"/>
      <c r="OL404" s="127"/>
      <c r="OM404" s="127"/>
      <c r="ON404" s="127"/>
      <c r="OO404" s="127"/>
      <c r="OP404" s="127"/>
      <c r="OQ404" s="127"/>
      <c r="OR404" s="127"/>
      <c r="OS404" s="127"/>
      <c r="OT404" s="127"/>
      <c r="OU404" s="127"/>
    </row>
    <row r="405" spans="1:411">
      <c r="A405">
        <v>62</v>
      </c>
      <c r="B405">
        <v>752</v>
      </c>
      <c r="C405" t="s">
        <v>72</v>
      </c>
      <c r="D405" t="s">
        <v>254</v>
      </c>
      <c r="E405" s="232" t="s">
        <v>10371</v>
      </c>
      <c r="F405" t="s">
        <v>71</v>
      </c>
      <c r="G405">
        <v>2</v>
      </c>
      <c r="H405">
        <v>899.88599999999997</v>
      </c>
      <c r="I405">
        <v>897.53800000000001</v>
      </c>
      <c r="J405">
        <v>893.85799999999995</v>
      </c>
      <c r="K405">
        <v>888.35</v>
      </c>
      <c r="L405">
        <v>881.39499999999998</v>
      </c>
      <c r="M405" s="233" t="s">
        <v>532</v>
      </c>
      <c r="N405" s="233" t="s">
        <v>533</v>
      </c>
      <c r="O405" s="3" t="s">
        <v>906</v>
      </c>
      <c r="BM405" s="127"/>
      <c r="BN405" s="127"/>
      <c r="BO405" s="127"/>
      <c r="BP405" s="127"/>
      <c r="BQ405" s="127"/>
      <c r="BR405" s="127"/>
      <c r="BS405" s="127"/>
      <c r="BT405" s="127"/>
      <c r="BU405" s="127"/>
      <c r="BV405" s="127"/>
      <c r="BW405" s="127"/>
      <c r="BX405" s="127"/>
      <c r="BY405" s="127"/>
      <c r="BZ405" s="127"/>
      <c r="CA405" s="127"/>
      <c r="ER405" s="127"/>
      <c r="ES405" s="127"/>
      <c r="ET405" s="127"/>
      <c r="EU405" s="127"/>
      <c r="EV405" s="127"/>
      <c r="EW405" s="127"/>
      <c r="EX405" s="127"/>
      <c r="EY405" s="127"/>
      <c r="EZ405" s="127"/>
      <c r="FA405" s="127"/>
      <c r="FB405" s="127"/>
      <c r="FC405" s="127"/>
      <c r="FD405" s="127"/>
      <c r="FE405" s="127"/>
      <c r="FF405" s="127"/>
      <c r="HW405" s="127"/>
      <c r="HX405" s="127"/>
      <c r="HY405" s="127"/>
      <c r="HZ405" s="127"/>
      <c r="IA405" s="127"/>
      <c r="IB405" s="127"/>
      <c r="IC405" s="127"/>
      <c r="ID405" s="127"/>
      <c r="IE405" s="127"/>
      <c r="IF405" s="127"/>
      <c r="IG405" s="127"/>
      <c r="IH405" s="127"/>
      <c r="II405" s="127"/>
      <c r="IJ405" s="127"/>
      <c r="IK405" s="127"/>
      <c r="LB405" s="127"/>
      <c r="LC405" s="127"/>
      <c r="LD405" s="127"/>
      <c r="LE405" s="127"/>
      <c r="LF405" s="127"/>
      <c r="LG405" s="127"/>
      <c r="LH405" s="127"/>
      <c r="LI405" s="127"/>
      <c r="LJ405" s="127"/>
      <c r="LK405" s="127"/>
      <c r="LL405" s="127"/>
      <c r="LM405" s="127"/>
      <c r="LN405" s="127"/>
      <c r="LO405" s="127"/>
      <c r="LP405" s="127"/>
      <c r="OG405" s="127"/>
      <c r="OH405" s="127"/>
      <c r="OI405" s="127"/>
      <c r="OJ405" s="127"/>
      <c r="OK405" s="127"/>
      <c r="OL405" s="127"/>
      <c r="OM405" s="127"/>
      <c r="ON405" s="127"/>
      <c r="OO405" s="127"/>
      <c r="OP405" s="127"/>
      <c r="OQ405" s="127"/>
      <c r="OR405" s="127"/>
      <c r="OS405" s="127"/>
      <c r="OT405" s="127"/>
      <c r="OU405" s="127"/>
    </row>
    <row r="406" spans="1:411">
      <c r="A406">
        <v>62</v>
      </c>
      <c r="B406">
        <v>766</v>
      </c>
      <c r="C406" t="s">
        <v>72</v>
      </c>
      <c r="D406" t="s">
        <v>254</v>
      </c>
      <c r="E406" s="232" t="s">
        <v>10378</v>
      </c>
      <c r="F406" t="s">
        <v>71</v>
      </c>
      <c r="G406">
        <v>2</v>
      </c>
      <c r="H406">
        <v>898.99300000000005</v>
      </c>
      <c r="I406">
        <v>897.03499999999997</v>
      </c>
      <c r="J406">
        <v>893.85799999999995</v>
      </c>
      <c r="K406">
        <v>888.35</v>
      </c>
      <c r="L406">
        <v>880.49</v>
      </c>
      <c r="M406" s="233" t="s">
        <v>532</v>
      </c>
      <c r="N406" s="233" t="s">
        <v>533</v>
      </c>
      <c r="O406" s="3" t="s">
        <v>907</v>
      </c>
      <c r="BM406" s="127"/>
      <c r="BN406" s="127"/>
      <c r="BO406" s="127"/>
      <c r="BP406" s="127"/>
      <c r="BQ406" s="127"/>
      <c r="BR406" s="127"/>
      <c r="BS406" s="127"/>
      <c r="BT406" s="127"/>
      <c r="BU406" s="127"/>
      <c r="BV406" s="127"/>
      <c r="BW406" s="127"/>
      <c r="BX406" s="127"/>
      <c r="BY406" s="127"/>
      <c r="BZ406" s="127"/>
      <c r="CA406" s="127"/>
      <c r="ER406" s="127"/>
      <c r="ES406" s="127"/>
      <c r="ET406" s="127"/>
      <c r="EU406" s="127"/>
      <c r="EV406" s="127"/>
      <c r="EW406" s="127"/>
      <c r="EX406" s="127"/>
      <c r="EY406" s="127"/>
      <c r="EZ406" s="127"/>
      <c r="FA406" s="127"/>
      <c r="FB406" s="127"/>
      <c r="FC406" s="127"/>
      <c r="FD406" s="127"/>
      <c r="FE406" s="127"/>
      <c r="FF406" s="127"/>
      <c r="HW406" s="127"/>
      <c r="HX406" s="127"/>
      <c r="HY406" s="127"/>
      <c r="HZ406" s="127"/>
      <c r="IA406" s="127"/>
      <c r="IB406" s="127"/>
      <c r="IC406" s="127"/>
      <c r="ID406" s="127"/>
      <c r="IE406" s="127"/>
      <c r="IF406" s="127"/>
      <c r="IG406" s="127"/>
      <c r="IH406" s="127"/>
      <c r="II406" s="127"/>
      <c r="IJ406" s="127"/>
      <c r="IK406" s="127"/>
      <c r="LB406" s="127"/>
      <c r="LC406" s="127"/>
      <c r="LD406" s="127"/>
      <c r="LE406" s="127"/>
      <c r="LF406" s="127"/>
      <c r="LG406" s="127"/>
      <c r="LH406" s="127"/>
      <c r="LI406" s="127"/>
      <c r="LJ406" s="127"/>
      <c r="LK406" s="127"/>
      <c r="LL406" s="127"/>
      <c r="LM406" s="127"/>
      <c r="LN406" s="127"/>
      <c r="LO406" s="127"/>
      <c r="LP406" s="127"/>
      <c r="OG406" s="127"/>
      <c r="OH406" s="127"/>
      <c r="OI406" s="127"/>
      <c r="OJ406" s="127"/>
      <c r="OK406" s="127"/>
      <c r="OL406" s="127"/>
      <c r="OM406" s="127"/>
      <c r="ON406" s="127"/>
      <c r="OO406" s="127"/>
      <c r="OP406" s="127"/>
      <c r="OQ406" s="127"/>
      <c r="OR406" s="127"/>
      <c r="OS406" s="127"/>
      <c r="OT406" s="127"/>
      <c r="OU406" s="127"/>
    </row>
    <row r="407" spans="1:411">
      <c r="A407">
        <v>62</v>
      </c>
      <c r="B407">
        <v>757</v>
      </c>
      <c r="C407" t="s">
        <v>72</v>
      </c>
      <c r="D407" t="s">
        <v>254</v>
      </c>
      <c r="E407" s="232" t="s">
        <v>10416</v>
      </c>
      <c r="F407" t="s">
        <v>71</v>
      </c>
      <c r="G407">
        <v>2</v>
      </c>
      <c r="H407">
        <v>899.64800000000002</v>
      </c>
      <c r="I407">
        <v>897.03499999999997</v>
      </c>
      <c r="J407">
        <v>893.678</v>
      </c>
      <c r="K407">
        <v>888.05</v>
      </c>
      <c r="L407">
        <v>881.35599999999999</v>
      </c>
      <c r="M407" s="233" t="s">
        <v>532</v>
      </c>
      <c r="N407" s="233" t="s">
        <v>533</v>
      </c>
      <c r="O407" s="3" t="s">
        <v>908</v>
      </c>
      <c r="BM407" s="127"/>
      <c r="BN407" s="127"/>
      <c r="BO407" s="127"/>
      <c r="BP407" s="127"/>
      <c r="BQ407" s="127"/>
      <c r="BR407" s="127"/>
      <c r="BS407" s="127"/>
      <c r="BT407" s="127"/>
      <c r="BU407" s="127"/>
      <c r="BV407" s="127"/>
      <c r="BW407" s="127"/>
      <c r="BX407" s="127"/>
      <c r="BY407" s="127"/>
      <c r="BZ407" s="127"/>
      <c r="CA407" s="127"/>
      <c r="ER407" s="127"/>
      <c r="ES407" s="127"/>
      <c r="ET407" s="127"/>
      <c r="EU407" s="127"/>
      <c r="EV407" s="127"/>
      <c r="EW407" s="127"/>
      <c r="EX407" s="127"/>
      <c r="EY407" s="127"/>
      <c r="EZ407" s="127"/>
      <c r="FA407" s="127"/>
      <c r="FB407" s="127"/>
      <c r="FC407" s="127"/>
      <c r="FD407" s="127"/>
      <c r="FE407" s="127"/>
      <c r="FF407" s="127"/>
      <c r="HW407" s="127"/>
      <c r="HX407" s="127"/>
      <c r="HY407" s="127"/>
      <c r="HZ407" s="127"/>
      <c r="IA407" s="127"/>
      <c r="IB407" s="127"/>
      <c r="IC407" s="127"/>
      <c r="ID407" s="127"/>
      <c r="IE407" s="127"/>
      <c r="IF407" s="127"/>
      <c r="IG407" s="127"/>
      <c r="IH407" s="127"/>
      <c r="II407" s="127"/>
      <c r="IJ407" s="127"/>
      <c r="IK407" s="127"/>
      <c r="LB407" s="127"/>
      <c r="LC407" s="127"/>
      <c r="LD407" s="127"/>
      <c r="LE407" s="127"/>
      <c r="LF407" s="127"/>
      <c r="LG407" s="127"/>
      <c r="LH407" s="127"/>
      <c r="LI407" s="127"/>
      <c r="LJ407" s="127"/>
      <c r="LK407" s="127"/>
      <c r="LL407" s="127"/>
      <c r="LM407" s="127"/>
      <c r="LN407" s="127"/>
      <c r="LO407" s="127"/>
      <c r="LP407" s="127"/>
      <c r="OG407" s="127"/>
      <c r="OH407" s="127"/>
      <c r="OI407" s="127"/>
      <c r="OJ407" s="127"/>
      <c r="OK407" s="127"/>
      <c r="OL407" s="127"/>
      <c r="OM407" s="127"/>
      <c r="ON407" s="127"/>
      <c r="OO407" s="127"/>
      <c r="OP407" s="127"/>
      <c r="OQ407" s="127"/>
      <c r="OR407" s="127"/>
      <c r="OS407" s="127"/>
      <c r="OT407" s="127"/>
      <c r="OU407" s="127"/>
    </row>
    <row r="408" spans="1:411">
      <c r="A408">
        <v>62</v>
      </c>
      <c r="B408">
        <v>756</v>
      </c>
      <c r="C408" t="s">
        <v>72</v>
      </c>
      <c r="D408" t="s">
        <v>254</v>
      </c>
      <c r="E408" s="232" t="s">
        <v>9953</v>
      </c>
      <c r="F408" t="s">
        <v>71</v>
      </c>
      <c r="G408">
        <v>2</v>
      </c>
      <c r="H408">
        <v>898.87300000000005</v>
      </c>
      <c r="I408">
        <v>896.61699999999996</v>
      </c>
      <c r="J408">
        <v>893.03399999999999</v>
      </c>
      <c r="K408">
        <v>887.57500000000005</v>
      </c>
      <c r="L408">
        <v>880.86900000000003</v>
      </c>
      <c r="M408" s="233" t="s">
        <v>532</v>
      </c>
      <c r="N408" s="233" t="s">
        <v>533</v>
      </c>
      <c r="O408" s="3" t="s">
        <v>909</v>
      </c>
      <c r="BM408" s="127"/>
      <c r="BN408" s="127"/>
      <c r="BO408" s="127"/>
      <c r="BP408" s="127"/>
      <c r="BQ408" s="127"/>
      <c r="BR408" s="127"/>
      <c r="BS408" s="127"/>
      <c r="BT408" s="127"/>
      <c r="BU408" s="127"/>
      <c r="BV408" s="127"/>
      <c r="BW408" s="127"/>
      <c r="BX408" s="127"/>
      <c r="BY408" s="127"/>
      <c r="BZ408" s="127"/>
      <c r="CA408" s="127"/>
      <c r="ER408" s="127"/>
      <c r="ES408" s="127"/>
      <c r="ET408" s="127"/>
      <c r="EU408" s="127"/>
      <c r="EV408" s="127"/>
      <c r="EW408" s="127"/>
      <c r="EX408" s="127"/>
      <c r="EY408" s="127"/>
      <c r="EZ408" s="127"/>
      <c r="FA408" s="127"/>
      <c r="FB408" s="127"/>
      <c r="FC408" s="127"/>
      <c r="FD408" s="127"/>
      <c r="FE408" s="127"/>
      <c r="FF408" s="127"/>
      <c r="HW408" s="127"/>
      <c r="HX408" s="127"/>
      <c r="HY408" s="127"/>
      <c r="HZ408" s="127"/>
      <c r="IA408" s="127"/>
      <c r="IB408" s="127"/>
      <c r="IC408" s="127"/>
      <c r="ID408" s="127"/>
      <c r="IE408" s="127"/>
      <c r="IF408" s="127"/>
      <c r="IG408" s="127"/>
      <c r="IH408" s="127"/>
      <c r="II408" s="127"/>
      <c r="IJ408" s="127"/>
      <c r="IK408" s="127"/>
      <c r="LB408" s="127"/>
      <c r="LC408" s="127"/>
      <c r="LD408" s="127"/>
      <c r="LE408" s="127"/>
      <c r="LF408" s="127"/>
      <c r="LG408" s="127"/>
      <c r="LH408" s="127"/>
      <c r="LI408" s="127"/>
      <c r="LJ408" s="127"/>
      <c r="LK408" s="127"/>
      <c r="LL408" s="127"/>
      <c r="LM408" s="127"/>
      <c r="LN408" s="127"/>
      <c r="LO408" s="127"/>
      <c r="LP408" s="127"/>
      <c r="OG408" s="127"/>
      <c r="OH408" s="127"/>
      <c r="OI408" s="127"/>
      <c r="OJ408" s="127"/>
      <c r="OK408" s="127"/>
      <c r="OL408" s="127"/>
      <c r="OM408" s="127"/>
      <c r="ON408" s="127"/>
      <c r="OO408" s="127"/>
      <c r="OP408" s="127"/>
      <c r="OQ408" s="127"/>
      <c r="OR408" s="127"/>
      <c r="OS408" s="127"/>
      <c r="OT408" s="127"/>
      <c r="OU408" s="127"/>
    </row>
    <row r="409" spans="1:411">
      <c r="A409">
        <v>62</v>
      </c>
      <c r="B409">
        <v>753</v>
      </c>
      <c r="C409" t="s">
        <v>72</v>
      </c>
      <c r="D409" t="s">
        <v>254</v>
      </c>
      <c r="E409" s="232" t="s">
        <v>10449</v>
      </c>
      <c r="F409" t="s">
        <v>71</v>
      </c>
      <c r="G409">
        <v>2</v>
      </c>
      <c r="H409">
        <v>898.63499999999999</v>
      </c>
      <c r="I409">
        <v>896.61699999999996</v>
      </c>
      <c r="J409">
        <v>892.65499999999997</v>
      </c>
      <c r="K409">
        <v>887.33699999999999</v>
      </c>
      <c r="L409">
        <v>880.72799999999995</v>
      </c>
      <c r="M409" s="233" t="s">
        <v>532</v>
      </c>
      <c r="N409" s="233" t="s">
        <v>533</v>
      </c>
      <c r="O409" s="3" t="s">
        <v>910</v>
      </c>
      <c r="BM409" s="127"/>
      <c r="BN409" s="127"/>
      <c r="BO409" s="127"/>
      <c r="BP409" s="127"/>
      <c r="BQ409" s="127"/>
      <c r="BR409" s="127"/>
      <c r="BS409" s="127"/>
      <c r="BT409" s="127"/>
      <c r="BU409" s="127"/>
      <c r="BV409" s="127"/>
      <c r="BW409" s="127"/>
      <c r="BX409" s="127"/>
      <c r="BY409" s="127"/>
      <c r="BZ409" s="127"/>
      <c r="CA409" s="127"/>
      <c r="ER409" s="127"/>
      <c r="ES409" s="127"/>
      <c r="ET409" s="127"/>
      <c r="EU409" s="127"/>
      <c r="EV409" s="127"/>
      <c r="EW409" s="127"/>
      <c r="EX409" s="127"/>
      <c r="EY409" s="127"/>
      <c r="EZ409" s="127"/>
      <c r="FA409" s="127"/>
      <c r="FB409" s="127"/>
      <c r="FC409" s="127"/>
      <c r="FD409" s="127"/>
      <c r="FE409" s="127"/>
      <c r="FF409" s="127"/>
      <c r="HW409" s="127"/>
      <c r="HX409" s="127"/>
      <c r="HY409" s="127"/>
      <c r="HZ409" s="127"/>
      <c r="IA409" s="127"/>
      <c r="IB409" s="127"/>
      <c r="IC409" s="127"/>
      <c r="ID409" s="127"/>
      <c r="IE409" s="127"/>
      <c r="IF409" s="127"/>
      <c r="IG409" s="127"/>
      <c r="IH409" s="127"/>
      <c r="II409" s="127"/>
      <c r="IJ409" s="127"/>
      <c r="IK409" s="127"/>
      <c r="LB409" s="127"/>
      <c r="LC409" s="127"/>
      <c r="LD409" s="127"/>
      <c r="LE409" s="127"/>
      <c r="LF409" s="127"/>
      <c r="LG409" s="127"/>
      <c r="LH409" s="127"/>
      <c r="LI409" s="127"/>
      <c r="LJ409" s="127"/>
      <c r="LK409" s="127"/>
      <c r="LL409" s="127"/>
      <c r="LM409" s="127"/>
      <c r="LN409" s="127"/>
      <c r="LO409" s="127"/>
      <c r="LP409" s="127"/>
      <c r="OG409" s="127"/>
      <c r="OH409" s="127"/>
      <c r="OI409" s="127"/>
      <c r="OJ409" s="127"/>
      <c r="OK409" s="127"/>
      <c r="OL409" s="127"/>
      <c r="OM409" s="127"/>
      <c r="ON409" s="127"/>
      <c r="OO409" s="127"/>
      <c r="OP409" s="127"/>
      <c r="OQ409" s="127"/>
      <c r="OR409" s="127"/>
      <c r="OS409" s="127"/>
      <c r="OT409" s="127"/>
      <c r="OU409" s="127"/>
    </row>
    <row r="410" spans="1:411">
      <c r="A410">
        <v>62</v>
      </c>
      <c r="B410">
        <v>748</v>
      </c>
      <c r="C410" t="s">
        <v>72</v>
      </c>
      <c r="D410" t="s">
        <v>254</v>
      </c>
      <c r="E410" s="232" t="s">
        <v>10499</v>
      </c>
      <c r="F410" t="s">
        <v>71</v>
      </c>
      <c r="G410">
        <v>2</v>
      </c>
      <c r="H410">
        <v>897.53800000000001</v>
      </c>
      <c r="I410">
        <v>895.03399999999999</v>
      </c>
      <c r="J410">
        <v>891.25900000000001</v>
      </c>
      <c r="K410">
        <v>886.29499999999996</v>
      </c>
      <c r="L410">
        <v>879.94299999999998</v>
      </c>
      <c r="M410" s="233" t="s">
        <v>532</v>
      </c>
      <c r="N410" s="233" t="s">
        <v>533</v>
      </c>
      <c r="O410" s="3" t="s">
        <v>911</v>
      </c>
      <c r="BM410" s="127"/>
      <c r="BN410" s="127"/>
      <c r="BO410" s="127"/>
      <c r="BP410" s="127"/>
      <c r="BQ410" s="127"/>
      <c r="BR410" s="127"/>
      <c r="BS410" s="127"/>
      <c r="BT410" s="127"/>
      <c r="BU410" s="127"/>
      <c r="BV410" s="127"/>
      <c r="BW410" s="127"/>
      <c r="BX410" s="127"/>
      <c r="BY410" s="127"/>
      <c r="BZ410" s="127"/>
      <c r="CA410" s="127"/>
      <c r="ER410" s="127"/>
      <c r="ES410" s="127"/>
      <c r="ET410" s="127"/>
      <c r="EU410" s="127"/>
      <c r="EV410" s="127"/>
      <c r="EW410" s="127"/>
      <c r="EX410" s="127"/>
      <c r="EY410" s="127"/>
      <c r="EZ410" s="127"/>
      <c r="FA410" s="127"/>
      <c r="FB410" s="127"/>
      <c r="FC410" s="127"/>
      <c r="FD410" s="127"/>
      <c r="FE410" s="127"/>
      <c r="FF410" s="127"/>
      <c r="HW410" s="127"/>
      <c r="HX410" s="127"/>
      <c r="HY410" s="127"/>
      <c r="HZ410" s="127"/>
      <c r="IA410" s="127"/>
      <c r="IB410" s="127"/>
      <c r="IC410" s="127"/>
      <c r="ID410" s="127"/>
      <c r="IE410" s="127"/>
      <c r="IF410" s="127"/>
      <c r="IG410" s="127"/>
      <c r="IH410" s="127"/>
      <c r="II410" s="127"/>
      <c r="IJ410" s="127"/>
      <c r="IK410" s="127"/>
      <c r="LB410" s="127"/>
      <c r="LC410" s="127"/>
      <c r="LD410" s="127"/>
      <c r="LE410" s="127"/>
      <c r="LF410" s="127"/>
      <c r="LG410" s="127"/>
      <c r="LH410" s="127"/>
      <c r="LI410" s="127"/>
      <c r="LJ410" s="127"/>
      <c r="LK410" s="127"/>
      <c r="LL410" s="127"/>
      <c r="LM410" s="127"/>
      <c r="LN410" s="127"/>
      <c r="LO410" s="127"/>
      <c r="LP410" s="127"/>
      <c r="OG410" s="127"/>
      <c r="OH410" s="127"/>
      <c r="OI410" s="127"/>
      <c r="OJ410" s="127"/>
      <c r="OK410" s="127"/>
      <c r="OL410" s="127"/>
      <c r="OM410" s="127"/>
      <c r="ON410" s="127"/>
      <c r="OO410" s="127"/>
      <c r="OP410" s="127"/>
      <c r="OQ410" s="127"/>
      <c r="OR410" s="127"/>
      <c r="OS410" s="127"/>
      <c r="OT410" s="127"/>
      <c r="OU410" s="127"/>
    </row>
    <row r="411" spans="1:411">
      <c r="A411">
        <v>62</v>
      </c>
      <c r="B411">
        <v>754</v>
      </c>
      <c r="C411" t="s">
        <v>72</v>
      </c>
      <c r="D411" t="s">
        <v>254</v>
      </c>
      <c r="E411" s="232" t="s">
        <v>10531</v>
      </c>
      <c r="F411" t="s">
        <v>71</v>
      </c>
      <c r="G411">
        <v>2</v>
      </c>
      <c r="H411">
        <v>896.61699999999996</v>
      </c>
      <c r="I411">
        <v>894.23699999999997</v>
      </c>
      <c r="J411">
        <v>891.07899999999995</v>
      </c>
      <c r="K411">
        <v>886.154</v>
      </c>
      <c r="L411">
        <v>879.70500000000004</v>
      </c>
      <c r="M411" s="233" t="s">
        <v>532</v>
      </c>
      <c r="N411" s="233" t="s">
        <v>533</v>
      </c>
      <c r="O411" s="3" t="s">
        <v>912</v>
      </c>
      <c r="BM411" s="127"/>
      <c r="BN411" s="127"/>
      <c r="BO411" s="127"/>
      <c r="BP411" s="127"/>
      <c r="BQ411" s="127"/>
      <c r="BR411" s="127"/>
      <c r="BS411" s="127"/>
      <c r="BT411" s="127"/>
      <c r="BU411" s="127"/>
      <c r="BV411" s="127"/>
      <c r="BW411" s="127"/>
      <c r="BX411" s="127"/>
      <c r="BY411" s="127"/>
      <c r="BZ411" s="127"/>
      <c r="CA411" s="127"/>
      <c r="ER411" s="127"/>
      <c r="ES411" s="127"/>
      <c r="ET411" s="127"/>
      <c r="EU411" s="127"/>
      <c r="EV411" s="127"/>
      <c r="EW411" s="127"/>
      <c r="EX411" s="127"/>
      <c r="EY411" s="127"/>
      <c r="EZ411" s="127"/>
      <c r="FA411" s="127"/>
      <c r="FB411" s="127"/>
      <c r="FC411" s="127"/>
      <c r="FD411" s="127"/>
      <c r="FE411" s="127"/>
      <c r="FF411" s="127"/>
      <c r="HW411" s="127"/>
      <c r="HX411" s="127"/>
      <c r="HY411" s="127"/>
      <c r="HZ411" s="127"/>
      <c r="IA411" s="127"/>
      <c r="IB411" s="127"/>
      <c r="IC411" s="127"/>
      <c r="ID411" s="127"/>
      <c r="IE411" s="127"/>
      <c r="IF411" s="127"/>
      <c r="IG411" s="127"/>
      <c r="IH411" s="127"/>
      <c r="II411" s="127"/>
      <c r="IJ411" s="127"/>
      <c r="IK411" s="127"/>
      <c r="LB411" s="127"/>
      <c r="LC411" s="127"/>
      <c r="LD411" s="127"/>
      <c r="LE411" s="127"/>
      <c r="LF411" s="127"/>
      <c r="LG411" s="127"/>
      <c r="LH411" s="127"/>
      <c r="LI411" s="127"/>
      <c r="LJ411" s="127"/>
      <c r="LK411" s="127"/>
      <c r="LL411" s="127"/>
      <c r="LM411" s="127"/>
      <c r="LN411" s="127"/>
      <c r="LO411" s="127"/>
      <c r="LP411" s="127"/>
      <c r="OG411" s="127"/>
      <c r="OH411" s="127"/>
      <c r="OI411" s="127"/>
      <c r="OJ411" s="127"/>
      <c r="OK411" s="127"/>
      <c r="OL411" s="127"/>
      <c r="OM411" s="127"/>
      <c r="ON411" s="127"/>
      <c r="OO411" s="127"/>
      <c r="OP411" s="127"/>
      <c r="OQ411" s="127"/>
      <c r="OR411" s="127"/>
      <c r="OS411" s="127"/>
      <c r="OT411" s="127"/>
      <c r="OU411" s="127"/>
    </row>
    <row r="412" spans="1:411">
      <c r="A412">
        <v>62</v>
      </c>
      <c r="B412">
        <v>755</v>
      </c>
      <c r="C412" t="s">
        <v>72</v>
      </c>
      <c r="D412" t="s">
        <v>254</v>
      </c>
      <c r="E412" s="232" t="s">
        <v>491</v>
      </c>
      <c r="F412" t="s">
        <v>71</v>
      </c>
      <c r="G412">
        <v>2</v>
      </c>
      <c r="H412">
        <v>899.64800000000002</v>
      </c>
      <c r="I412">
        <v>896.61699999999996</v>
      </c>
      <c r="J412">
        <v>891.07899999999995</v>
      </c>
      <c r="K412">
        <v>886.154</v>
      </c>
      <c r="L412">
        <v>879.70500000000004</v>
      </c>
      <c r="M412" s="233" t="s">
        <v>532</v>
      </c>
      <c r="N412" s="233" t="s">
        <v>533</v>
      </c>
      <c r="O412" s="3" t="s">
        <v>913</v>
      </c>
      <c r="BM412" s="127"/>
      <c r="BN412" s="127"/>
      <c r="BO412" s="127"/>
      <c r="BP412" s="127"/>
      <c r="BQ412" s="127"/>
      <c r="BR412" s="127"/>
      <c r="BS412" s="127"/>
      <c r="BT412" s="127"/>
      <c r="BU412" s="127"/>
      <c r="BV412" s="127"/>
      <c r="BW412" s="127"/>
      <c r="BX412" s="127"/>
      <c r="BY412" s="127"/>
      <c r="BZ412" s="127"/>
      <c r="CA412" s="127"/>
      <c r="ER412" s="127"/>
      <c r="ES412" s="127"/>
      <c r="ET412" s="127"/>
      <c r="EU412" s="127"/>
      <c r="EV412" s="127"/>
      <c r="EW412" s="127"/>
      <c r="EX412" s="127"/>
      <c r="EY412" s="127"/>
      <c r="EZ412" s="127"/>
      <c r="FA412" s="127"/>
      <c r="FB412" s="127"/>
      <c r="FC412" s="127"/>
      <c r="FD412" s="127"/>
      <c r="FE412" s="127"/>
      <c r="FF412" s="127"/>
      <c r="HW412" s="127"/>
      <c r="HX412" s="127"/>
      <c r="HY412" s="127"/>
      <c r="HZ412" s="127"/>
      <c r="IA412" s="127"/>
      <c r="IB412" s="127"/>
      <c r="IC412" s="127"/>
      <c r="ID412" s="127"/>
      <c r="IE412" s="127"/>
      <c r="IF412" s="127"/>
      <c r="IG412" s="127"/>
      <c r="IH412" s="127"/>
      <c r="II412" s="127"/>
      <c r="IJ412" s="127"/>
      <c r="IK412" s="127"/>
      <c r="LB412" s="127"/>
      <c r="LC412" s="127"/>
      <c r="LD412" s="127"/>
      <c r="LE412" s="127"/>
      <c r="LF412" s="127"/>
      <c r="LG412" s="127"/>
      <c r="LH412" s="127"/>
      <c r="LI412" s="127"/>
      <c r="LJ412" s="127"/>
      <c r="LK412" s="127"/>
      <c r="LL412" s="127"/>
      <c r="LM412" s="127"/>
      <c r="LN412" s="127"/>
      <c r="LO412" s="127"/>
      <c r="LP412" s="127"/>
      <c r="OG412" s="127"/>
      <c r="OH412" s="127"/>
      <c r="OI412" s="127"/>
      <c r="OJ412" s="127"/>
      <c r="OK412" s="127"/>
      <c r="OL412" s="127"/>
      <c r="OM412" s="127"/>
      <c r="ON412" s="127"/>
      <c r="OO412" s="127"/>
      <c r="OP412" s="127"/>
      <c r="OQ412" s="127"/>
      <c r="OR412" s="127"/>
      <c r="OS412" s="127"/>
      <c r="OT412" s="127"/>
      <c r="OU412" s="127"/>
    </row>
    <row r="413" spans="1:411">
      <c r="A413">
        <v>62</v>
      </c>
      <c r="B413">
        <v>763</v>
      </c>
      <c r="C413" t="s">
        <v>72</v>
      </c>
      <c r="D413" t="s">
        <v>254</v>
      </c>
      <c r="E413" s="232" t="s">
        <v>10502</v>
      </c>
      <c r="F413" t="s">
        <v>71</v>
      </c>
      <c r="G413">
        <v>2</v>
      </c>
      <c r="H413">
        <v>897.39800000000002</v>
      </c>
      <c r="I413">
        <v>895.31100000000004</v>
      </c>
      <c r="J413">
        <v>891.07899999999995</v>
      </c>
      <c r="K413">
        <v>886.154</v>
      </c>
      <c r="L413">
        <v>879.70500000000004</v>
      </c>
      <c r="M413" s="233" t="s">
        <v>532</v>
      </c>
      <c r="N413" s="233" t="s">
        <v>533</v>
      </c>
      <c r="O413" s="3" t="s">
        <v>914</v>
      </c>
      <c r="BM413" s="127"/>
      <c r="BN413" s="127"/>
      <c r="BO413" s="127"/>
      <c r="BP413" s="127"/>
      <c r="BQ413" s="127"/>
      <c r="BR413" s="127"/>
      <c r="BS413" s="127"/>
      <c r="BT413" s="127"/>
      <c r="BU413" s="127"/>
      <c r="BV413" s="127"/>
      <c r="BW413" s="127"/>
      <c r="BX413" s="127"/>
      <c r="BY413" s="127"/>
      <c r="BZ413" s="127"/>
      <c r="CA413" s="127"/>
      <c r="ER413" s="127"/>
      <c r="ES413" s="127"/>
      <c r="ET413" s="127"/>
      <c r="EU413" s="127"/>
      <c r="EV413" s="127"/>
      <c r="EW413" s="127"/>
      <c r="EX413" s="127"/>
      <c r="EY413" s="127"/>
      <c r="EZ413" s="127"/>
      <c r="FA413" s="127"/>
      <c r="FB413" s="127"/>
      <c r="FC413" s="127"/>
      <c r="FD413" s="127"/>
      <c r="FE413" s="127"/>
      <c r="FF413" s="127"/>
      <c r="HW413" s="127"/>
      <c r="HX413" s="127"/>
      <c r="HY413" s="127"/>
      <c r="HZ413" s="127"/>
      <c r="IA413" s="127"/>
      <c r="IB413" s="127"/>
      <c r="IC413" s="127"/>
      <c r="ID413" s="127"/>
      <c r="IE413" s="127"/>
      <c r="IF413" s="127"/>
      <c r="IG413" s="127"/>
      <c r="IH413" s="127"/>
      <c r="II413" s="127"/>
      <c r="IJ413" s="127"/>
      <c r="IK413" s="127"/>
      <c r="LB413" s="127"/>
      <c r="LC413" s="127"/>
      <c r="LD413" s="127"/>
      <c r="LE413" s="127"/>
      <c r="LF413" s="127"/>
      <c r="LG413" s="127"/>
      <c r="LH413" s="127"/>
      <c r="LI413" s="127"/>
      <c r="LJ413" s="127"/>
      <c r="LK413" s="127"/>
      <c r="LL413" s="127"/>
      <c r="LM413" s="127"/>
      <c r="LN413" s="127"/>
      <c r="LO413" s="127"/>
      <c r="LP413" s="127"/>
      <c r="OG413" s="127"/>
      <c r="OH413" s="127"/>
      <c r="OI413" s="127"/>
      <c r="OJ413" s="127"/>
      <c r="OK413" s="127"/>
      <c r="OL413" s="127"/>
      <c r="OM413" s="127"/>
      <c r="ON413" s="127"/>
      <c r="OO413" s="127"/>
      <c r="OP413" s="127"/>
      <c r="OQ413" s="127"/>
      <c r="OR413" s="127"/>
      <c r="OS413" s="127"/>
      <c r="OT413" s="127"/>
      <c r="OU413" s="127"/>
    </row>
    <row r="414" spans="1:411">
      <c r="A414">
        <v>62</v>
      </c>
      <c r="B414">
        <v>743</v>
      </c>
      <c r="C414" t="s">
        <v>72</v>
      </c>
      <c r="D414" t="s">
        <v>254</v>
      </c>
      <c r="E414" s="232" t="s">
        <v>8934</v>
      </c>
      <c r="F414" t="s">
        <v>71</v>
      </c>
      <c r="G414">
        <v>2</v>
      </c>
      <c r="H414">
        <v>897.03499999999997</v>
      </c>
      <c r="I414">
        <v>894.41700000000003</v>
      </c>
      <c r="J414">
        <v>890.31500000000005</v>
      </c>
      <c r="K414">
        <v>885.87699999999995</v>
      </c>
      <c r="L414">
        <v>879.44299999999998</v>
      </c>
      <c r="M414" s="233" t="s">
        <v>532</v>
      </c>
      <c r="N414" s="233" t="s">
        <v>533</v>
      </c>
      <c r="O414" s="3" t="s">
        <v>915</v>
      </c>
      <c r="BM414" s="127"/>
      <c r="BN414" s="127"/>
      <c r="BO414" s="127"/>
      <c r="BP414" s="127"/>
      <c r="BQ414" s="127"/>
      <c r="BR414" s="127"/>
      <c r="BS414" s="127"/>
      <c r="BT414" s="127"/>
      <c r="BU414" s="127"/>
      <c r="BV414" s="127"/>
      <c r="BW414" s="127"/>
      <c r="BX414" s="127"/>
      <c r="BY414" s="127"/>
      <c r="BZ414" s="127"/>
      <c r="CA414" s="127"/>
      <c r="ER414" s="127"/>
      <c r="ES414" s="127"/>
      <c r="ET414" s="127"/>
      <c r="EU414" s="127"/>
      <c r="EV414" s="127"/>
      <c r="EW414" s="127"/>
      <c r="EX414" s="127"/>
      <c r="EY414" s="127"/>
      <c r="EZ414" s="127"/>
      <c r="FA414" s="127"/>
      <c r="FB414" s="127"/>
      <c r="FC414" s="127"/>
      <c r="FD414" s="127"/>
      <c r="FE414" s="127"/>
      <c r="FF414" s="127"/>
      <c r="HW414" s="127"/>
      <c r="HX414" s="127"/>
      <c r="HY414" s="127"/>
      <c r="HZ414" s="127"/>
      <c r="IA414" s="127"/>
      <c r="IB414" s="127"/>
      <c r="IC414" s="127"/>
      <c r="ID414" s="127"/>
      <c r="IE414" s="127"/>
      <c r="IF414" s="127"/>
      <c r="IG414" s="127"/>
      <c r="IH414" s="127"/>
      <c r="II414" s="127"/>
      <c r="IJ414" s="127"/>
      <c r="IK414" s="127"/>
      <c r="LB414" s="127"/>
      <c r="LC414" s="127"/>
      <c r="LD414" s="127"/>
      <c r="LE414" s="127"/>
      <c r="LF414" s="127"/>
      <c r="LG414" s="127"/>
      <c r="LH414" s="127"/>
      <c r="LI414" s="127"/>
      <c r="LJ414" s="127"/>
      <c r="LK414" s="127"/>
      <c r="LL414" s="127"/>
      <c r="LM414" s="127"/>
      <c r="LN414" s="127"/>
      <c r="LO414" s="127"/>
      <c r="LP414" s="127"/>
      <c r="OG414" s="127"/>
      <c r="OH414" s="127"/>
      <c r="OI414" s="127"/>
      <c r="OJ414" s="127"/>
      <c r="OK414" s="127"/>
      <c r="OL414" s="127"/>
      <c r="OM414" s="127"/>
      <c r="ON414" s="127"/>
      <c r="OO414" s="127"/>
      <c r="OP414" s="127"/>
      <c r="OQ414" s="127"/>
      <c r="OR414" s="127"/>
      <c r="OS414" s="127"/>
      <c r="OT414" s="127"/>
      <c r="OU414" s="127"/>
    </row>
    <row r="415" spans="1:411">
      <c r="A415">
        <v>62</v>
      </c>
      <c r="B415">
        <v>745</v>
      </c>
      <c r="C415" t="s">
        <v>72</v>
      </c>
      <c r="D415" t="s">
        <v>254</v>
      </c>
      <c r="E415" s="232" t="s">
        <v>10553</v>
      </c>
      <c r="F415" t="s">
        <v>71</v>
      </c>
      <c r="G415">
        <v>2</v>
      </c>
      <c r="H415">
        <v>896.61699999999996</v>
      </c>
      <c r="I415">
        <v>894.23699999999997</v>
      </c>
      <c r="J415">
        <v>890.31500000000005</v>
      </c>
      <c r="K415">
        <v>885.87699999999995</v>
      </c>
      <c r="L415">
        <v>879.44299999999998</v>
      </c>
      <c r="M415" s="233" t="s">
        <v>532</v>
      </c>
      <c r="N415" s="233" t="s">
        <v>533</v>
      </c>
      <c r="O415" s="3" t="s">
        <v>916</v>
      </c>
      <c r="BM415" s="127"/>
      <c r="BN415" s="127"/>
      <c r="BO415" s="127"/>
      <c r="BP415" s="127"/>
      <c r="BQ415" s="127"/>
      <c r="BR415" s="127"/>
      <c r="BS415" s="127"/>
      <c r="BT415" s="127"/>
      <c r="BU415" s="127"/>
      <c r="BV415" s="127"/>
      <c r="BW415" s="127"/>
      <c r="BX415" s="127"/>
      <c r="BY415" s="127"/>
      <c r="BZ415" s="127"/>
      <c r="CA415" s="127"/>
      <c r="ER415" s="127"/>
      <c r="ES415" s="127"/>
      <c r="ET415" s="127"/>
      <c r="EU415" s="127"/>
      <c r="EV415" s="127"/>
      <c r="EW415" s="127"/>
      <c r="EX415" s="127"/>
      <c r="EY415" s="127"/>
      <c r="EZ415" s="127"/>
      <c r="FA415" s="127"/>
      <c r="FB415" s="127"/>
      <c r="FC415" s="127"/>
      <c r="FD415" s="127"/>
      <c r="FE415" s="127"/>
      <c r="FF415" s="127"/>
      <c r="HW415" s="127"/>
      <c r="HX415" s="127"/>
      <c r="HY415" s="127"/>
      <c r="HZ415" s="127"/>
      <c r="IA415" s="127"/>
      <c r="IB415" s="127"/>
      <c r="IC415" s="127"/>
      <c r="ID415" s="127"/>
      <c r="IE415" s="127"/>
      <c r="IF415" s="127"/>
      <c r="IG415" s="127"/>
      <c r="IH415" s="127"/>
      <c r="II415" s="127"/>
      <c r="IJ415" s="127"/>
      <c r="IK415" s="127"/>
      <c r="LB415" s="127"/>
      <c r="LC415" s="127"/>
      <c r="LD415" s="127"/>
      <c r="LE415" s="127"/>
      <c r="LF415" s="127"/>
      <c r="LG415" s="127"/>
      <c r="LH415" s="127"/>
      <c r="LI415" s="127"/>
      <c r="LJ415" s="127"/>
      <c r="LK415" s="127"/>
      <c r="LL415" s="127"/>
      <c r="LM415" s="127"/>
      <c r="LN415" s="127"/>
      <c r="LO415" s="127"/>
      <c r="LP415" s="127"/>
      <c r="OG415" s="127"/>
      <c r="OH415" s="127"/>
      <c r="OI415" s="127"/>
      <c r="OJ415" s="127"/>
      <c r="OK415" s="127"/>
      <c r="OL415" s="127"/>
      <c r="OM415" s="127"/>
      <c r="ON415" s="127"/>
      <c r="OO415" s="127"/>
      <c r="OP415" s="127"/>
      <c r="OQ415" s="127"/>
      <c r="OR415" s="127"/>
      <c r="OS415" s="127"/>
      <c r="OT415" s="127"/>
      <c r="OU415" s="127"/>
    </row>
    <row r="416" spans="1:411">
      <c r="A416">
        <v>62</v>
      </c>
      <c r="B416">
        <v>764</v>
      </c>
      <c r="C416" t="s">
        <v>72</v>
      </c>
      <c r="D416" t="s">
        <v>254</v>
      </c>
      <c r="E416" s="232" t="s">
        <v>10575</v>
      </c>
      <c r="F416" t="s">
        <v>71</v>
      </c>
      <c r="G416">
        <v>2</v>
      </c>
      <c r="H416">
        <v>896.61699999999996</v>
      </c>
      <c r="I416">
        <v>893.85799999999995</v>
      </c>
      <c r="J416">
        <v>890.077</v>
      </c>
      <c r="K416">
        <v>885.75099999999998</v>
      </c>
      <c r="L416">
        <v>879.20500000000004</v>
      </c>
      <c r="M416" s="233" t="s">
        <v>532</v>
      </c>
      <c r="N416" s="233" t="s">
        <v>533</v>
      </c>
      <c r="O416" s="3" t="s">
        <v>917</v>
      </c>
      <c r="BM416" s="127"/>
      <c r="BN416" s="127"/>
      <c r="BO416" s="127"/>
      <c r="BP416" s="127"/>
      <c r="BQ416" s="127"/>
      <c r="BR416" s="127"/>
      <c r="BS416" s="127"/>
      <c r="BT416" s="127"/>
      <c r="BU416" s="127"/>
      <c r="BV416" s="127"/>
      <c r="BW416" s="127"/>
      <c r="BX416" s="127"/>
      <c r="BY416" s="127"/>
      <c r="BZ416" s="127"/>
      <c r="CA416" s="127"/>
      <c r="ER416" s="127"/>
      <c r="ES416" s="127"/>
      <c r="ET416" s="127"/>
      <c r="EU416" s="127"/>
      <c r="EV416" s="127"/>
      <c r="EW416" s="127"/>
      <c r="EX416" s="127"/>
      <c r="EY416" s="127"/>
      <c r="EZ416" s="127"/>
      <c r="FA416" s="127"/>
      <c r="FB416" s="127"/>
      <c r="FC416" s="127"/>
      <c r="FD416" s="127"/>
      <c r="FE416" s="127"/>
      <c r="FF416" s="127"/>
      <c r="HW416" s="127"/>
      <c r="HX416" s="127"/>
      <c r="HY416" s="127"/>
      <c r="HZ416" s="127"/>
      <c r="IA416" s="127"/>
      <c r="IB416" s="127"/>
      <c r="IC416" s="127"/>
      <c r="ID416" s="127"/>
      <c r="IE416" s="127"/>
      <c r="IF416" s="127"/>
      <c r="IG416" s="127"/>
      <c r="IH416" s="127"/>
      <c r="II416" s="127"/>
      <c r="IJ416" s="127"/>
      <c r="IK416" s="127"/>
      <c r="LB416" s="127"/>
      <c r="LC416" s="127"/>
      <c r="LD416" s="127"/>
      <c r="LE416" s="127"/>
      <c r="LF416" s="127"/>
      <c r="LG416" s="127"/>
      <c r="LH416" s="127"/>
      <c r="LI416" s="127"/>
      <c r="LJ416" s="127"/>
      <c r="LK416" s="127"/>
      <c r="LL416" s="127"/>
      <c r="LM416" s="127"/>
      <c r="LN416" s="127"/>
      <c r="LO416" s="127"/>
      <c r="LP416" s="127"/>
      <c r="OG416" s="127"/>
      <c r="OH416" s="127"/>
      <c r="OI416" s="127"/>
      <c r="OJ416" s="127"/>
      <c r="OK416" s="127"/>
      <c r="OL416" s="127"/>
      <c r="OM416" s="127"/>
      <c r="ON416" s="127"/>
      <c r="OO416" s="127"/>
      <c r="OP416" s="127"/>
      <c r="OQ416" s="127"/>
      <c r="OR416" s="127"/>
      <c r="OS416" s="127"/>
      <c r="OT416" s="127"/>
      <c r="OU416" s="127"/>
    </row>
    <row r="417" spans="1:411">
      <c r="A417">
        <v>62</v>
      </c>
      <c r="B417">
        <v>761</v>
      </c>
      <c r="C417" t="s">
        <v>72</v>
      </c>
      <c r="D417" t="s">
        <v>254</v>
      </c>
      <c r="E417" s="232" t="s">
        <v>10609</v>
      </c>
      <c r="F417" t="s">
        <v>71</v>
      </c>
      <c r="G417">
        <v>2</v>
      </c>
      <c r="H417">
        <v>895.59299999999996</v>
      </c>
      <c r="I417">
        <v>893.03399999999999</v>
      </c>
      <c r="J417">
        <v>889.51800000000003</v>
      </c>
      <c r="K417">
        <v>885.21299999999997</v>
      </c>
      <c r="L417">
        <v>878.82600000000002</v>
      </c>
      <c r="M417" s="233" t="s">
        <v>532</v>
      </c>
      <c r="N417" s="233" t="s">
        <v>533</v>
      </c>
      <c r="O417" s="3" t="s">
        <v>918</v>
      </c>
      <c r="BM417" s="127"/>
      <c r="BN417" s="127"/>
      <c r="BO417" s="127"/>
      <c r="BP417" s="127"/>
      <c r="BQ417" s="127"/>
      <c r="BR417" s="127"/>
      <c r="BS417" s="127"/>
      <c r="BT417" s="127"/>
      <c r="BU417" s="127"/>
      <c r="BV417" s="127"/>
      <c r="BW417" s="127"/>
      <c r="BX417" s="127"/>
      <c r="BY417" s="127"/>
      <c r="BZ417" s="127"/>
      <c r="CA417" s="127"/>
      <c r="ER417" s="127"/>
      <c r="ES417" s="127"/>
      <c r="ET417" s="127"/>
      <c r="EU417" s="127"/>
      <c r="EV417" s="127"/>
      <c r="EW417" s="127"/>
      <c r="EX417" s="127"/>
      <c r="EY417" s="127"/>
      <c r="EZ417" s="127"/>
      <c r="FA417" s="127"/>
      <c r="FB417" s="127"/>
      <c r="FC417" s="127"/>
      <c r="FD417" s="127"/>
      <c r="FE417" s="127"/>
      <c r="FF417" s="127"/>
      <c r="HW417" s="127"/>
      <c r="HX417" s="127"/>
      <c r="HY417" s="127"/>
      <c r="HZ417" s="127"/>
      <c r="IA417" s="127"/>
      <c r="IB417" s="127"/>
      <c r="IC417" s="127"/>
      <c r="ID417" s="127"/>
      <c r="IE417" s="127"/>
      <c r="IF417" s="127"/>
      <c r="IG417" s="127"/>
      <c r="IH417" s="127"/>
      <c r="II417" s="127"/>
      <c r="IJ417" s="127"/>
      <c r="IK417" s="127"/>
      <c r="LB417" s="127"/>
      <c r="LC417" s="127"/>
      <c r="LD417" s="127"/>
      <c r="LE417" s="127"/>
      <c r="LF417" s="127"/>
      <c r="LG417" s="127"/>
      <c r="LH417" s="127"/>
      <c r="LI417" s="127"/>
      <c r="LJ417" s="127"/>
      <c r="LK417" s="127"/>
      <c r="LL417" s="127"/>
      <c r="LM417" s="127"/>
      <c r="LN417" s="127"/>
      <c r="LO417" s="127"/>
      <c r="LP417" s="127"/>
      <c r="OG417" s="127"/>
      <c r="OH417" s="127"/>
      <c r="OI417" s="127"/>
      <c r="OJ417" s="127"/>
      <c r="OK417" s="127"/>
      <c r="OL417" s="127"/>
      <c r="OM417" s="127"/>
      <c r="ON417" s="127"/>
      <c r="OO417" s="127"/>
      <c r="OP417" s="127"/>
      <c r="OQ417" s="127"/>
      <c r="OR417" s="127"/>
      <c r="OS417" s="127"/>
      <c r="OT417" s="127"/>
      <c r="OU417" s="127"/>
    </row>
    <row r="418" spans="1:411">
      <c r="A418">
        <v>62</v>
      </c>
      <c r="B418">
        <v>762</v>
      </c>
      <c r="C418" t="s">
        <v>72</v>
      </c>
      <c r="D418" t="s">
        <v>254</v>
      </c>
      <c r="E418" s="232" t="s">
        <v>10624</v>
      </c>
      <c r="F418" t="s">
        <v>71</v>
      </c>
      <c r="G418">
        <v>2</v>
      </c>
      <c r="H418">
        <v>895.31100000000004</v>
      </c>
      <c r="I418">
        <v>893.03399999999999</v>
      </c>
      <c r="J418">
        <v>888.98</v>
      </c>
      <c r="K418">
        <v>884.83399999999995</v>
      </c>
      <c r="L418">
        <v>878.40800000000002</v>
      </c>
      <c r="M418" s="233" t="s">
        <v>532</v>
      </c>
      <c r="N418" s="233" t="s">
        <v>533</v>
      </c>
      <c r="O418" s="3" t="s">
        <v>919</v>
      </c>
      <c r="BM418" s="127"/>
      <c r="BN418" s="127"/>
      <c r="BO418" s="127"/>
      <c r="BP418" s="127"/>
      <c r="BQ418" s="127"/>
      <c r="BR418" s="127"/>
      <c r="BS418" s="127"/>
      <c r="BT418" s="127"/>
      <c r="BU418" s="127"/>
      <c r="BV418" s="127"/>
      <c r="BW418" s="127"/>
      <c r="BX418" s="127"/>
      <c r="BY418" s="127"/>
      <c r="BZ418" s="127"/>
      <c r="CA418" s="127"/>
      <c r="ER418" s="127"/>
      <c r="ES418" s="127"/>
      <c r="ET418" s="127"/>
      <c r="EU418" s="127"/>
      <c r="EV418" s="127"/>
      <c r="EW418" s="127"/>
      <c r="EX418" s="127"/>
      <c r="EY418" s="127"/>
      <c r="EZ418" s="127"/>
      <c r="FA418" s="127"/>
      <c r="FB418" s="127"/>
      <c r="FC418" s="127"/>
      <c r="FD418" s="127"/>
      <c r="FE418" s="127"/>
      <c r="FF418" s="127"/>
      <c r="HW418" s="127"/>
      <c r="HX418" s="127"/>
      <c r="HY418" s="127"/>
      <c r="HZ418" s="127"/>
      <c r="IA418" s="127"/>
      <c r="IB418" s="127"/>
      <c r="IC418" s="127"/>
      <c r="ID418" s="127"/>
      <c r="IE418" s="127"/>
      <c r="IF418" s="127"/>
      <c r="IG418" s="127"/>
      <c r="IH418" s="127"/>
      <c r="II418" s="127"/>
      <c r="IJ418" s="127"/>
      <c r="IK418" s="127"/>
      <c r="LB418" s="127"/>
      <c r="LC418" s="127"/>
      <c r="LD418" s="127"/>
      <c r="LE418" s="127"/>
      <c r="LF418" s="127"/>
      <c r="LG418" s="127"/>
      <c r="LH418" s="127"/>
      <c r="LI418" s="127"/>
      <c r="LJ418" s="127"/>
      <c r="LK418" s="127"/>
      <c r="LL418" s="127"/>
      <c r="LM418" s="127"/>
      <c r="LN418" s="127"/>
      <c r="LO418" s="127"/>
      <c r="LP418" s="127"/>
      <c r="OG418" s="127"/>
      <c r="OH418" s="127"/>
      <c r="OI418" s="127"/>
      <c r="OJ418" s="127"/>
      <c r="OK418" s="127"/>
      <c r="OL418" s="127"/>
      <c r="OM418" s="127"/>
      <c r="ON418" s="127"/>
      <c r="OO418" s="127"/>
      <c r="OP418" s="127"/>
      <c r="OQ418" s="127"/>
      <c r="OR418" s="127"/>
      <c r="OS418" s="127"/>
      <c r="OT418" s="127"/>
      <c r="OU418" s="127"/>
    </row>
    <row r="419" spans="1:411">
      <c r="A419">
        <v>62</v>
      </c>
      <c r="B419">
        <v>751</v>
      </c>
      <c r="C419" t="s">
        <v>72</v>
      </c>
      <c r="D419" t="s">
        <v>254</v>
      </c>
      <c r="E419" s="232" t="s">
        <v>8953</v>
      </c>
      <c r="F419" t="s">
        <v>71</v>
      </c>
      <c r="G419">
        <v>2</v>
      </c>
      <c r="H419">
        <v>895.03399999999999</v>
      </c>
      <c r="I419">
        <v>892.51400000000001</v>
      </c>
      <c r="J419">
        <v>888.83900000000006</v>
      </c>
      <c r="K419">
        <v>884.57600000000002</v>
      </c>
      <c r="L419">
        <v>878.3</v>
      </c>
      <c r="M419" s="233" t="s">
        <v>532</v>
      </c>
      <c r="N419" s="233" t="s">
        <v>533</v>
      </c>
      <c r="O419" s="3" t="s">
        <v>920</v>
      </c>
      <c r="BM419" s="127"/>
      <c r="BN419" s="127"/>
      <c r="BO419" s="127"/>
      <c r="BP419" s="127"/>
      <c r="BQ419" s="127"/>
      <c r="BR419" s="127"/>
      <c r="BS419" s="127"/>
      <c r="BT419" s="127"/>
      <c r="BU419" s="127"/>
      <c r="BV419" s="127"/>
      <c r="BW419" s="127"/>
      <c r="BX419" s="127"/>
      <c r="BY419" s="127"/>
      <c r="BZ419" s="127"/>
      <c r="CA419" s="127"/>
      <c r="ER419" s="127"/>
      <c r="ES419" s="127"/>
      <c r="ET419" s="127"/>
      <c r="EU419" s="127"/>
      <c r="EV419" s="127"/>
      <c r="EW419" s="127"/>
      <c r="EX419" s="127"/>
      <c r="EY419" s="127"/>
      <c r="EZ419" s="127"/>
      <c r="FA419" s="127"/>
      <c r="FB419" s="127"/>
      <c r="FC419" s="127"/>
      <c r="FD419" s="127"/>
      <c r="FE419" s="127"/>
      <c r="FF419" s="127"/>
      <c r="HW419" s="127"/>
      <c r="HX419" s="127"/>
      <c r="HY419" s="127"/>
      <c r="HZ419" s="127"/>
      <c r="IA419" s="127"/>
      <c r="IB419" s="127"/>
      <c r="IC419" s="127"/>
      <c r="ID419" s="127"/>
      <c r="IE419" s="127"/>
      <c r="IF419" s="127"/>
      <c r="IG419" s="127"/>
      <c r="IH419" s="127"/>
      <c r="II419" s="127"/>
      <c r="IJ419" s="127"/>
      <c r="IK419" s="127"/>
      <c r="LB419" s="127"/>
      <c r="LC419" s="127"/>
      <c r="LD419" s="127"/>
      <c r="LE419" s="127"/>
      <c r="LF419" s="127"/>
      <c r="LG419" s="127"/>
      <c r="LH419" s="127"/>
      <c r="LI419" s="127"/>
      <c r="LJ419" s="127"/>
      <c r="LK419" s="127"/>
      <c r="LL419" s="127"/>
      <c r="LM419" s="127"/>
      <c r="LN419" s="127"/>
      <c r="LO419" s="127"/>
      <c r="LP419" s="127"/>
      <c r="OG419" s="127"/>
      <c r="OH419" s="127"/>
      <c r="OI419" s="127"/>
      <c r="OJ419" s="127"/>
      <c r="OK419" s="127"/>
      <c r="OL419" s="127"/>
      <c r="OM419" s="127"/>
      <c r="ON419" s="127"/>
      <c r="OO419" s="127"/>
      <c r="OP419" s="127"/>
      <c r="OQ419" s="127"/>
      <c r="OR419" s="127"/>
      <c r="OS419" s="127"/>
      <c r="OT419" s="127"/>
      <c r="OU419" s="127"/>
    </row>
    <row r="420" spans="1:411">
      <c r="A420">
        <v>62</v>
      </c>
      <c r="B420">
        <v>759</v>
      </c>
      <c r="C420" t="s">
        <v>72</v>
      </c>
      <c r="D420" t="s">
        <v>254</v>
      </c>
      <c r="E420" s="232" t="s">
        <v>10655</v>
      </c>
      <c r="F420" t="s">
        <v>71</v>
      </c>
      <c r="G420">
        <v>2</v>
      </c>
      <c r="H420">
        <v>894.23699999999997</v>
      </c>
      <c r="I420">
        <v>891.49699999999996</v>
      </c>
      <c r="J420">
        <v>888.49099999999999</v>
      </c>
      <c r="K420">
        <v>884.31500000000005</v>
      </c>
      <c r="L420">
        <v>878.03899999999999</v>
      </c>
      <c r="M420" s="233" t="s">
        <v>532</v>
      </c>
      <c r="N420" s="233" t="s">
        <v>533</v>
      </c>
      <c r="O420" s="3" t="s">
        <v>921</v>
      </c>
      <c r="BM420" s="127"/>
      <c r="BN420" s="127"/>
      <c r="BO420" s="127"/>
      <c r="BP420" s="127"/>
      <c r="BQ420" s="127"/>
      <c r="BR420" s="127"/>
      <c r="BS420" s="127"/>
      <c r="BT420" s="127"/>
      <c r="BU420" s="127"/>
      <c r="BV420" s="127"/>
      <c r="BW420" s="127"/>
      <c r="BX420" s="127"/>
      <c r="BY420" s="127"/>
      <c r="BZ420" s="127"/>
      <c r="CA420" s="127"/>
      <c r="ER420" s="127"/>
      <c r="ES420" s="127"/>
      <c r="ET420" s="127"/>
      <c r="EU420" s="127"/>
      <c r="EV420" s="127"/>
      <c r="EW420" s="127"/>
      <c r="EX420" s="127"/>
      <c r="EY420" s="127"/>
      <c r="EZ420" s="127"/>
      <c r="FA420" s="127"/>
      <c r="FB420" s="127"/>
      <c r="FC420" s="127"/>
      <c r="FD420" s="127"/>
      <c r="FE420" s="127"/>
      <c r="FF420" s="127"/>
      <c r="HW420" s="127"/>
      <c r="HX420" s="127"/>
      <c r="HY420" s="127"/>
      <c r="HZ420" s="127"/>
      <c r="IA420" s="127"/>
      <c r="IB420" s="127"/>
      <c r="IC420" s="127"/>
      <c r="ID420" s="127"/>
      <c r="IE420" s="127"/>
      <c r="IF420" s="127"/>
      <c r="IG420" s="127"/>
      <c r="IH420" s="127"/>
      <c r="II420" s="127"/>
      <c r="IJ420" s="127"/>
      <c r="IK420" s="127"/>
      <c r="LB420" s="127"/>
      <c r="LC420" s="127"/>
      <c r="LD420" s="127"/>
      <c r="LE420" s="127"/>
      <c r="LF420" s="127"/>
      <c r="LG420" s="127"/>
      <c r="LH420" s="127"/>
      <c r="LI420" s="127"/>
      <c r="LJ420" s="127"/>
      <c r="LK420" s="127"/>
      <c r="LL420" s="127"/>
      <c r="LM420" s="127"/>
      <c r="LN420" s="127"/>
      <c r="LO420" s="127"/>
      <c r="LP420" s="127"/>
      <c r="OG420" s="127"/>
      <c r="OH420" s="127"/>
      <c r="OI420" s="127"/>
      <c r="OJ420" s="127"/>
      <c r="OK420" s="127"/>
      <c r="OL420" s="127"/>
      <c r="OM420" s="127"/>
      <c r="ON420" s="127"/>
      <c r="OO420" s="127"/>
      <c r="OP420" s="127"/>
      <c r="OQ420" s="127"/>
      <c r="OR420" s="127"/>
      <c r="OS420" s="127"/>
      <c r="OT420" s="127"/>
      <c r="OU420" s="127"/>
    </row>
    <row r="421" spans="1:411">
      <c r="A421">
        <v>62</v>
      </c>
      <c r="B421">
        <v>746</v>
      </c>
      <c r="C421" t="s">
        <v>72</v>
      </c>
      <c r="D421" t="s">
        <v>254</v>
      </c>
      <c r="E421" s="232" t="s">
        <v>489</v>
      </c>
      <c r="F421" t="s">
        <v>71</v>
      </c>
      <c r="G421">
        <v>2</v>
      </c>
      <c r="H421">
        <v>888.98</v>
      </c>
      <c r="I421">
        <v>886.67399999999998</v>
      </c>
      <c r="J421">
        <v>884.31500000000005</v>
      </c>
      <c r="K421">
        <v>879.94299999999998</v>
      </c>
      <c r="L421">
        <v>874.28</v>
      </c>
      <c r="M421" s="233" t="s">
        <v>532</v>
      </c>
      <c r="N421" s="233" t="s">
        <v>533</v>
      </c>
      <c r="O421" s="3" t="s">
        <v>922</v>
      </c>
      <c r="BM421" s="127"/>
      <c r="BN421" s="127"/>
      <c r="BO421" s="127"/>
      <c r="BP421" s="127"/>
      <c r="BQ421" s="127"/>
      <c r="BR421" s="127"/>
      <c r="BS421" s="127"/>
      <c r="BT421" s="127"/>
      <c r="BU421" s="127"/>
      <c r="BV421" s="127"/>
      <c r="BW421" s="127"/>
      <c r="BX421" s="127"/>
      <c r="BY421" s="127"/>
      <c r="BZ421" s="127"/>
      <c r="CA421" s="127"/>
      <c r="ER421" s="127"/>
      <c r="ES421" s="127"/>
      <c r="ET421" s="127"/>
      <c r="EU421" s="127"/>
      <c r="EV421" s="127"/>
      <c r="EW421" s="127"/>
      <c r="EX421" s="127"/>
      <c r="EY421" s="127"/>
      <c r="EZ421" s="127"/>
      <c r="FA421" s="127"/>
      <c r="FB421" s="127"/>
      <c r="FC421" s="127"/>
      <c r="FD421" s="127"/>
      <c r="FE421" s="127"/>
      <c r="FF421" s="127"/>
      <c r="HW421" s="127"/>
      <c r="HX421" s="127"/>
      <c r="HY421" s="127"/>
      <c r="HZ421" s="127"/>
      <c r="IA421" s="127"/>
      <c r="IB421" s="127"/>
      <c r="IC421" s="127"/>
      <c r="ID421" s="127"/>
      <c r="IE421" s="127"/>
      <c r="IF421" s="127"/>
      <c r="IG421" s="127"/>
      <c r="IH421" s="127"/>
      <c r="II421" s="127"/>
      <c r="IJ421" s="127"/>
      <c r="IK421" s="127"/>
      <c r="LB421" s="127"/>
      <c r="LC421" s="127"/>
      <c r="LD421" s="127"/>
      <c r="LE421" s="127"/>
      <c r="LF421" s="127"/>
      <c r="LG421" s="127"/>
      <c r="LH421" s="127"/>
      <c r="LI421" s="127"/>
      <c r="LJ421" s="127"/>
      <c r="LK421" s="127"/>
      <c r="LL421" s="127"/>
      <c r="LM421" s="127"/>
      <c r="LN421" s="127"/>
      <c r="LO421" s="127"/>
      <c r="LP421" s="127"/>
      <c r="OG421" s="127"/>
      <c r="OH421" s="127"/>
      <c r="OI421" s="127"/>
      <c r="OJ421" s="127"/>
      <c r="OK421" s="127"/>
      <c r="OL421" s="127"/>
      <c r="OM421" s="127"/>
      <c r="ON421" s="127"/>
      <c r="OO421" s="127"/>
      <c r="OP421" s="127"/>
      <c r="OQ421" s="127"/>
      <c r="OR421" s="127"/>
      <c r="OS421" s="127"/>
      <c r="OT421" s="127"/>
      <c r="OU421" s="127"/>
    </row>
    <row r="422" spans="1:411">
      <c r="A422">
        <v>85</v>
      </c>
      <c r="B422">
        <v>813</v>
      </c>
      <c r="C422" t="s">
        <v>72</v>
      </c>
      <c r="D422" t="s">
        <v>9189</v>
      </c>
      <c r="E422" s="232" t="s">
        <v>9515</v>
      </c>
      <c r="F422" t="s">
        <v>70</v>
      </c>
      <c r="G422">
        <v>2</v>
      </c>
      <c r="H422">
        <v>924.33600000000001</v>
      </c>
      <c r="I422">
        <v>922.07899999999995</v>
      </c>
      <c r="J422">
        <v>919.36</v>
      </c>
      <c r="K422">
        <v>915.30499999999995</v>
      </c>
      <c r="L422">
        <v>907.47299999999996</v>
      </c>
      <c r="M422" s="233" t="s">
        <v>532</v>
      </c>
      <c r="N422" s="233" t="s">
        <v>532</v>
      </c>
      <c r="O422" s="3" t="s">
        <v>923</v>
      </c>
      <c r="BM422" s="127"/>
      <c r="BN422" s="127"/>
      <c r="BO422" s="127"/>
      <c r="BP422" s="127"/>
      <c r="BQ422" s="127"/>
      <c r="BR422" s="127"/>
      <c r="BS422" s="127"/>
      <c r="BT422" s="127"/>
      <c r="BU422" s="127"/>
      <c r="BV422" s="127"/>
      <c r="BW422" s="127"/>
      <c r="BX422" s="127"/>
      <c r="BY422" s="127"/>
      <c r="BZ422" s="127"/>
      <c r="CA422" s="127"/>
      <c r="ER422" s="127"/>
      <c r="ES422" s="127"/>
      <c r="ET422" s="127"/>
      <c r="EU422" s="127"/>
      <c r="EV422" s="127"/>
      <c r="EW422" s="127"/>
      <c r="EX422" s="127"/>
      <c r="EY422" s="127"/>
      <c r="EZ422" s="127"/>
      <c r="FA422" s="127"/>
      <c r="FB422" s="127"/>
      <c r="FC422" s="127"/>
      <c r="FD422" s="127"/>
      <c r="FE422" s="127"/>
      <c r="FF422" s="127"/>
      <c r="HW422" s="127"/>
      <c r="HX422" s="127"/>
      <c r="HY422" s="127"/>
      <c r="HZ422" s="127"/>
      <c r="IA422" s="127"/>
      <c r="IB422" s="127"/>
      <c r="IC422" s="127"/>
      <c r="ID422" s="127"/>
      <c r="IE422" s="127"/>
      <c r="IF422" s="127"/>
      <c r="IG422" s="127"/>
      <c r="IH422" s="127"/>
      <c r="II422" s="127"/>
      <c r="IJ422" s="127"/>
      <c r="IK422" s="127"/>
      <c r="LB422" s="127"/>
      <c r="LC422" s="127"/>
      <c r="LD422" s="127"/>
      <c r="LE422" s="127"/>
      <c r="LF422" s="127"/>
      <c r="LG422" s="127"/>
      <c r="LH422" s="127"/>
      <c r="LI422" s="127"/>
      <c r="LJ422" s="127"/>
      <c r="LK422" s="127"/>
      <c r="LL422" s="127"/>
      <c r="LM422" s="127"/>
      <c r="LN422" s="127"/>
      <c r="LO422" s="127"/>
      <c r="LP422" s="127"/>
      <c r="OG422" s="127"/>
      <c r="OH422" s="127"/>
      <c r="OI422" s="127"/>
      <c r="OJ422" s="127"/>
      <c r="OK422" s="127"/>
      <c r="OL422" s="127"/>
      <c r="OM422" s="127"/>
      <c r="ON422" s="127"/>
      <c r="OO422" s="127"/>
      <c r="OP422" s="127"/>
      <c r="OQ422" s="127"/>
      <c r="OR422" s="127"/>
      <c r="OS422" s="127"/>
      <c r="OT422" s="127"/>
      <c r="OU422" s="127"/>
    </row>
    <row r="423" spans="1:411">
      <c r="A423">
        <v>85</v>
      </c>
      <c r="B423">
        <v>814</v>
      </c>
      <c r="C423" t="s">
        <v>72</v>
      </c>
      <c r="D423" t="s">
        <v>9189</v>
      </c>
      <c r="E423" s="232" t="s">
        <v>9665</v>
      </c>
      <c r="F423" t="s">
        <v>70</v>
      </c>
      <c r="G423">
        <v>2</v>
      </c>
      <c r="H423">
        <v>920.625</v>
      </c>
      <c r="I423">
        <v>919.36</v>
      </c>
      <c r="J423">
        <v>916.77099999999996</v>
      </c>
      <c r="K423">
        <v>912.221</v>
      </c>
      <c r="L423">
        <v>904.45100000000002</v>
      </c>
      <c r="M423" s="233" t="s">
        <v>532</v>
      </c>
      <c r="N423" s="233" t="s">
        <v>532</v>
      </c>
      <c r="O423" s="3" t="s">
        <v>924</v>
      </c>
      <c r="BM423" s="127"/>
      <c r="BN423" s="127"/>
      <c r="BO423" s="127"/>
      <c r="BP423" s="127"/>
      <c r="BQ423" s="127"/>
      <c r="BR423" s="127"/>
      <c r="BS423" s="127"/>
      <c r="BT423" s="127"/>
      <c r="BU423" s="127"/>
      <c r="BV423" s="127"/>
      <c r="BW423" s="127"/>
      <c r="BX423" s="127"/>
      <c r="BY423" s="127"/>
      <c r="BZ423" s="127"/>
      <c r="CA423" s="127"/>
      <c r="ER423" s="127"/>
      <c r="ES423" s="127"/>
      <c r="ET423" s="127"/>
      <c r="EU423" s="127"/>
      <c r="EV423" s="127"/>
      <c r="EW423" s="127"/>
      <c r="EX423" s="127"/>
      <c r="EY423" s="127"/>
      <c r="EZ423" s="127"/>
      <c r="FA423" s="127"/>
      <c r="FB423" s="127"/>
      <c r="FC423" s="127"/>
      <c r="FD423" s="127"/>
      <c r="FE423" s="127"/>
      <c r="FF423" s="127"/>
      <c r="HW423" s="127"/>
      <c r="HX423" s="127"/>
      <c r="HY423" s="127"/>
      <c r="HZ423" s="127"/>
      <c r="IA423" s="127"/>
      <c r="IB423" s="127"/>
      <c r="IC423" s="127"/>
      <c r="ID423" s="127"/>
      <c r="IE423" s="127"/>
      <c r="IF423" s="127"/>
      <c r="IG423" s="127"/>
      <c r="IH423" s="127"/>
      <c r="II423" s="127"/>
      <c r="IJ423" s="127"/>
      <c r="IK423" s="127"/>
      <c r="LB423" s="127"/>
      <c r="LC423" s="127"/>
      <c r="LD423" s="127"/>
      <c r="LE423" s="127"/>
      <c r="LF423" s="127"/>
      <c r="LG423" s="127"/>
      <c r="LH423" s="127"/>
      <c r="LI423" s="127"/>
      <c r="LJ423" s="127"/>
      <c r="LK423" s="127"/>
      <c r="LL423" s="127"/>
      <c r="LM423" s="127"/>
      <c r="LN423" s="127"/>
      <c r="LO423" s="127"/>
      <c r="LP423" s="127"/>
      <c r="OG423" s="127"/>
      <c r="OH423" s="127"/>
      <c r="OI423" s="127"/>
      <c r="OJ423" s="127"/>
      <c r="OK423" s="127"/>
      <c r="OL423" s="127"/>
      <c r="OM423" s="127"/>
      <c r="ON423" s="127"/>
      <c r="OO423" s="127"/>
      <c r="OP423" s="127"/>
      <c r="OQ423" s="127"/>
      <c r="OR423" s="127"/>
      <c r="OS423" s="127"/>
      <c r="OT423" s="127"/>
      <c r="OU423" s="127"/>
    </row>
    <row r="424" spans="1:411">
      <c r="A424">
        <v>85</v>
      </c>
      <c r="B424">
        <v>817</v>
      </c>
      <c r="C424" t="s">
        <v>72</v>
      </c>
      <c r="D424" t="s">
        <v>9189</v>
      </c>
      <c r="E424" s="232" t="s">
        <v>8856</v>
      </c>
      <c r="F424" t="s">
        <v>70</v>
      </c>
      <c r="G424">
        <v>2</v>
      </c>
      <c r="H424">
        <v>917.43100000000004</v>
      </c>
      <c r="I424">
        <v>915.30499999999995</v>
      </c>
      <c r="J424">
        <v>911.96900000000005</v>
      </c>
      <c r="K424">
        <v>907.78099999999995</v>
      </c>
      <c r="L424">
        <v>899.52700000000004</v>
      </c>
      <c r="M424" s="233" t="s">
        <v>532</v>
      </c>
      <c r="N424" s="233" t="s">
        <v>532</v>
      </c>
      <c r="O424" s="3" t="s">
        <v>925</v>
      </c>
      <c r="BM424" s="127"/>
      <c r="BN424" s="127"/>
      <c r="BO424" s="127"/>
      <c r="BP424" s="127"/>
      <c r="BQ424" s="127"/>
      <c r="BR424" s="127"/>
      <c r="BS424" s="127"/>
      <c r="BT424" s="127"/>
      <c r="BU424" s="127"/>
      <c r="BV424" s="127"/>
      <c r="BW424" s="127"/>
      <c r="BX424" s="127"/>
      <c r="BY424" s="127"/>
      <c r="BZ424" s="127"/>
      <c r="CA424" s="127"/>
      <c r="ER424" s="127"/>
      <c r="ES424" s="127"/>
      <c r="ET424" s="127"/>
      <c r="EU424" s="127"/>
      <c r="EV424" s="127"/>
      <c r="EW424" s="127"/>
      <c r="EX424" s="127"/>
      <c r="EY424" s="127"/>
      <c r="EZ424" s="127"/>
      <c r="FA424" s="127"/>
      <c r="FB424" s="127"/>
      <c r="FC424" s="127"/>
      <c r="FD424" s="127"/>
      <c r="FE424" s="127"/>
      <c r="FF424" s="127"/>
      <c r="HW424" s="127"/>
      <c r="HX424" s="127"/>
      <c r="HY424" s="127"/>
      <c r="HZ424" s="127"/>
      <c r="IA424" s="127"/>
      <c r="IB424" s="127"/>
      <c r="IC424" s="127"/>
      <c r="ID424" s="127"/>
      <c r="IE424" s="127"/>
      <c r="IF424" s="127"/>
      <c r="IG424" s="127"/>
      <c r="IH424" s="127"/>
      <c r="II424" s="127"/>
      <c r="IJ424" s="127"/>
      <c r="IK424" s="127"/>
      <c r="LB424" s="127"/>
      <c r="LC424" s="127"/>
      <c r="LD424" s="127"/>
      <c r="LE424" s="127"/>
      <c r="LF424" s="127"/>
      <c r="LG424" s="127"/>
      <c r="LH424" s="127"/>
      <c r="LI424" s="127"/>
      <c r="LJ424" s="127"/>
      <c r="LK424" s="127"/>
      <c r="LL424" s="127"/>
      <c r="LM424" s="127"/>
      <c r="LN424" s="127"/>
      <c r="LO424" s="127"/>
      <c r="LP424" s="127"/>
      <c r="OG424" s="127"/>
      <c r="OH424" s="127"/>
      <c r="OI424" s="127"/>
      <c r="OJ424" s="127"/>
      <c r="OK424" s="127"/>
      <c r="OL424" s="127"/>
      <c r="OM424" s="127"/>
      <c r="ON424" s="127"/>
      <c r="OO424" s="127"/>
      <c r="OP424" s="127"/>
      <c r="OQ424" s="127"/>
      <c r="OR424" s="127"/>
      <c r="OS424" s="127"/>
      <c r="OT424" s="127"/>
      <c r="OU424" s="127"/>
    </row>
    <row r="425" spans="1:411">
      <c r="A425">
        <v>85</v>
      </c>
      <c r="B425">
        <v>824</v>
      </c>
      <c r="C425" t="s">
        <v>72</v>
      </c>
      <c r="D425" t="s">
        <v>9189</v>
      </c>
      <c r="E425" s="232" t="s">
        <v>9888</v>
      </c>
      <c r="F425" t="s">
        <v>70</v>
      </c>
      <c r="G425">
        <v>2</v>
      </c>
      <c r="H425">
        <v>916.90800000000002</v>
      </c>
      <c r="I425">
        <v>914.59100000000001</v>
      </c>
      <c r="J425">
        <v>911.25300000000004</v>
      </c>
      <c r="K425">
        <v>907.01099999999997</v>
      </c>
      <c r="L425">
        <v>898.64099999999996</v>
      </c>
      <c r="M425" s="233" t="s">
        <v>532</v>
      </c>
      <c r="N425" s="233" t="s">
        <v>532</v>
      </c>
      <c r="O425" s="3" t="s">
        <v>926</v>
      </c>
      <c r="BM425" s="127"/>
      <c r="BN425" s="127"/>
      <c r="BO425" s="127"/>
      <c r="BP425" s="127"/>
      <c r="BQ425" s="127"/>
      <c r="BR425" s="127"/>
      <c r="BS425" s="127"/>
      <c r="BT425" s="127"/>
      <c r="BU425" s="127"/>
      <c r="BV425" s="127"/>
      <c r="BW425" s="127"/>
      <c r="BX425" s="127"/>
      <c r="BY425" s="127"/>
      <c r="BZ425" s="127"/>
      <c r="CA425" s="127"/>
      <c r="ER425" s="127"/>
      <c r="ES425" s="127"/>
      <c r="ET425" s="127"/>
      <c r="EU425" s="127"/>
      <c r="EV425" s="127"/>
      <c r="EW425" s="127"/>
      <c r="EX425" s="127"/>
      <c r="EY425" s="127"/>
      <c r="EZ425" s="127"/>
      <c r="FA425" s="127"/>
      <c r="FB425" s="127"/>
      <c r="FC425" s="127"/>
      <c r="FD425" s="127"/>
      <c r="FE425" s="127"/>
      <c r="FF425" s="127"/>
      <c r="HW425" s="127"/>
      <c r="HX425" s="127"/>
      <c r="HY425" s="127"/>
      <c r="HZ425" s="127"/>
      <c r="IA425" s="127"/>
      <c r="IB425" s="127"/>
      <c r="IC425" s="127"/>
      <c r="ID425" s="127"/>
      <c r="IE425" s="127"/>
      <c r="IF425" s="127"/>
      <c r="IG425" s="127"/>
      <c r="IH425" s="127"/>
      <c r="II425" s="127"/>
      <c r="IJ425" s="127"/>
      <c r="IK425" s="127"/>
      <c r="LB425" s="127"/>
      <c r="LC425" s="127"/>
      <c r="LD425" s="127"/>
      <c r="LE425" s="127"/>
      <c r="LF425" s="127"/>
      <c r="LG425" s="127"/>
      <c r="LH425" s="127"/>
      <c r="LI425" s="127"/>
      <c r="LJ425" s="127"/>
      <c r="LK425" s="127"/>
      <c r="LL425" s="127"/>
      <c r="LM425" s="127"/>
      <c r="LN425" s="127"/>
      <c r="LO425" s="127"/>
      <c r="LP425" s="127"/>
      <c r="OG425" s="127"/>
      <c r="OH425" s="127"/>
      <c r="OI425" s="127"/>
      <c r="OJ425" s="127"/>
      <c r="OK425" s="127"/>
      <c r="OL425" s="127"/>
      <c r="OM425" s="127"/>
      <c r="ON425" s="127"/>
      <c r="OO425" s="127"/>
      <c r="OP425" s="127"/>
      <c r="OQ425" s="127"/>
      <c r="OR425" s="127"/>
      <c r="OS425" s="127"/>
      <c r="OT425" s="127"/>
      <c r="OU425" s="127"/>
    </row>
    <row r="426" spans="1:411">
      <c r="A426">
        <v>85</v>
      </c>
      <c r="B426">
        <v>815</v>
      </c>
      <c r="C426" t="s">
        <v>72</v>
      </c>
      <c r="D426" t="s">
        <v>9189</v>
      </c>
      <c r="E426" s="232" t="s">
        <v>8835</v>
      </c>
      <c r="F426" t="s">
        <v>70</v>
      </c>
      <c r="G426">
        <v>2</v>
      </c>
      <c r="H426">
        <v>916.27300000000002</v>
      </c>
      <c r="I426">
        <v>913.56899999999996</v>
      </c>
      <c r="J426">
        <v>910.67499999999995</v>
      </c>
      <c r="K426">
        <v>906.125</v>
      </c>
      <c r="L426">
        <v>897.92700000000002</v>
      </c>
      <c r="M426" s="233" t="s">
        <v>532</v>
      </c>
      <c r="N426" s="233" t="s">
        <v>532</v>
      </c>
      <c r="O426" s="3" t="s">
        <v>927</v>
      </c>
      <c r="BM426" s="127"/>
      <c r="BN426" s="127"/>
      <c r="BO426" s="127"/>
      <c r="BP426" s="127"/>
      <c r="BQ426" s="127"/>
      <c r="BR426" s="127"/>
      <c r="BS426" s="127"/>
      <c r="BT426" s="127"/>
      <c r="BU426" s="127"/>
      <c r="BV426" s="127"/>
      <c r="BW426" s="127"/>
      <c r="BX426" s="127"/>
      <c r="BY426" s="127"/>
      <c r="BZ426" s="127"/>
      <c r="CA426" s="127"/>
      <c r="ER426" s="127"/>
      <c r="ES426" s="127"/>
      <c r="ET426" s="127"/>
      <c r="EU426" s="127"/>
      <c r="EV426" s="127"/>
      <c r="EW426" s="127"/>
      <c r="EX426" s="127"/>
      <c r="EY426" s="127"/>
      <c r="EZ426" s="127"/>
      <c r="FA426" s="127"/>
      <c r="FB426" s="127"/>
      <c r="FC426" s="127"/>
      <c r="FD426" s="127"/>
      <c r="FE426" s="127"/>
      <c r="FF426" s="127"/>
      <c r="HW426" s="127"/>
      <c r="HX426" s="127"/>
      <c r="HY426" s="127"/>
      <c r="HZ426" s="127"/>
      <c r="IA426" s="127"/>
      <c r="IB426" s="127"/>
      <c r="IC426" s="127"/>
      <c r="ID426" s="127"/>
      <c r="IE426" s="127"/>
      <c r="IF426" s="127"/>
      <c r="IG426" s="127"/>
      <c r="IH426" s="127"/>
      <c r="II426" s="127"/>
      <c r="IJ426" s="127"/>
      <c r="IK426" s="127"/>
      <c r="LB426" s="127"/>
      <c r="LC426" s="127"/>
      <c r="LD426" s="127"/>
      <c r="LE426" s="127"/>
      <c r="LF426" s="127"/>
      <c r="LG426" s="127"/>
      <c r="LH426" s="127"/>
      <c r="LI426" s="127"/>
      <c r="LJ426" s="127"/>
      <c r="LK426" s="127"/>
      <c r="LL426" s="127"/>
      <c r="LM426" s="127"/>
      <c r="LN426" s="127"/>
      <c r="LO426" s="127"/>
      <c r="LP426" s="127"/>
      <c r="OG426" s="127"/>
      <c r="OH426" s="127"/>
      <c r="OI426" s="127"/>
      <c r="OJ426" s="127"/>
      <c r="OK426" s="127"/>
      <c r="OL426" s="127"/>
      <c r="OM426" s="127"/>
      <c r="ON426" s="127"/>
      <c r="OO426" s="127"/>
      <c r="OP426" s="127"/>
      <c r="OQ426" s="127"/>
      <c r="OR426" s="127"/>
      <c r="OS426" s="127"/>
      <c r="OT426" s="127"/>
      <c r="OU426" s="127"/>
    </row>
    <row r="427" spans="1:411">
      <c r="A427">
        <v>85</v>
      </c>
      <c r="B427">
        <v>820</v>
      </c>
      <c r="C427" t="s">
        <v>72</v>
      </c>
      <c r="D427" t="s">
        <v>9189</v>
      </c>
      <c r="E427" s="232" t="s">
        <v>10133</v>
      </c>
      <c r="F427" t="s">
        <v>70</v>
      </c>
      <c r="G427">
        <v>2</v>
      </c>
      <c r="H427">
        <v>913.24300000000005</v>
      </c>
      <c r="I427">
        <v>910.67499999999995</v>
      </c>
      <c r="J427">
        <v>907.47299999999996</v>
      </c>
      <c r="K427">
        <v>902.59900000000005</v>
      </c>
      <c r="L427">
        <v>895.88300000000004</v>
      </c>
      <c r="M427" s="233" t="s">
        <v>532</v>
      </c>
      <c r="N427" s="233" t="s">
        <v>532</v>
      </c>
      <c r="O427" s="3" t="s">
        <v>928</v>
      </c>
      <c r="BM427" s="127"/>
      <c r="BN427" s="127"/>
      <c r="BO427" s="127"/>
      <c r="BP427" s="127"/>
      <c r="BQ427" s="127"/>
      <c r="BR427" s="127"/>
      <c r="BS427" s="127"/>
      <c r="BT427" s="127"/>
      <c r="BU427" s="127"/>
      <c r="BV427" s="127"/>
      <c r="BW427" s="127"/>
      <c r="BX427" s="127"/>
      <c r="BY427" s="127"/>
      <c r="BZ427" s="127"/>
      <c r="CA427" s="127"/>
      <c r="ER427" s="127"/>
      <c r="ES427" s="127"/>
      <c r="ET427" s="127"/>
      <c r="EU427" s="127"/>
      <c r="EV427" s="127"/>
      <c r="EW427" s="127"/>
      <c r="EX427" s="127"/>
      <c r="EY427" s="127"/>
      <c r="EZ427" s="127"/>
      <c r="FA427" s="127"/>
      <c r="FB427" s="127"/>
      <c r="FC427" s="127"/>
      <c r="FD427" s="127"/>
      <c r="FE427" s="127"/>
      <c r="FF427" s="127"/>
      <c r="HW427" s="127"/>
      <c r="HX427" s="127"/>
      <c r="HY427" s="127"/>
      <c r="HZ427" s="127"/>
      <c r="IA427" s="127"/>
      <c r="IB427" s="127"/>
      <c r="IC427" s="127"/>
      <c r="ID427" s="127"/>
      <c r="IE427" s="127"/>
      <c r="IF427" s="127"/>
      <c r="IG427" s="127"/>
      <c r="IH427" s="127"/>
      <c r="II427" s="127"/>
      <c r="IJ427" s="127"/>
      <c r="IK427" s="127"/>
      <c r="LB427" s="127"/>
      <c r="LC427" s="127"/>
      <c r="LD427" s="127"/>
      <c r="LE427" s="127"/>
      <c r="LF427" s="127"/>
      <c r="LG427" s="127"/>
      <c r="LH427" s="127"/>
      <c r="LI427" s="127"/>
      <c r="LJ427" s="127"/>
      <c r="LK427" s="127"/>
      <c r="LL427" s="127"/>
      <c r="LM427" s="127"/>
      <c r="LN427" s="127"/>
      <c r="LO427" s="127"/>
      <c r="LP427" s="127"/>
      <c r="OG427" s="127"/>
      <c r="OH427" s="127"/>
      <c r="OI427" s="127"/>
      <c r="OJ427" s="127"/>
      <c r="OK427" s="127"/>
      <c r="OL427" s="127"/>
      <c r="OM427" s="127"/>
      <c r="ON427" s="127"/>
      <c r="OO427" s="127"/>
      <c r="OP427" s="127"/>
      <c r="OQ427" s="127"/>
      <c r="OR427" s="127"/>
      <c r="OS427" s="127"/>
      <c r="OT427" s="127"/>
      <c r="OU427" s="127"/>
    </row>
    <row r="428" spans="1:411">
      <c r="A428">
        <v>85</v>
      </c>
      <c r="B428">
        <v>822</v>
      </c>
      <c r="C428" t="s">
        <v>72</v>
      </c>
      <c r="D428" t="s">
        <v>9189</v>
      </c>
      <c r="E428" s="232" t="s">
        <v>10129</v>
      </c>
      <c r="F428" t="s">
        <v>70</v>
      </c>
      <c r="G428">
        <v>2</v>
      </c>
      <c r="H428">
        <v>913.24300000000005</v>
      </c>
      <c r="I428">
        <v>910.67499999999995</v>
      </c>
      <c r="J428">
        <v>907.47299999999996</v>
      </c>
      <c r="K428">
        <v>902.59900000000005</v>
      </c>
      <c r="L428">
        <v>895.88300000000004</v>
      </c>
      <c r="M428" s="233" t="s">
        <v>532</v>
      </c>
      <c r="N428" s="233" t="s">
        <v>532</v>
      </c>
      <c r="O428" s="3" t="s">
        <v>929</v>
      </c>
      <c r="BM428" s="127"/>
      <c r="BN428" s="127"/>
      <c r="BO428" s="127"/>
      <c r="BP428" s="127"/>
      <c r="BQ428" s="127"/>
      <c r="BR428" s="127"/>
      <c r="BS428" s="127"/>
      <c r="BT428" s="127"/>
      <c r="BU428" s="127"/>
      <c r="BV428" s="127"/>
      <c r="BW428" s="127"/>
      <c r="BX428" s="127"/>
      <c r="BY428" s="127"/>
      <c r="BZ428" s="127"/>
      <c r="CA428" s="127"/>
      <c r="ER428" s="127"/>
      <c r="ES428" s="127"/>
      <c r="ET428" s="127"/>
      <c r="EU428" s="127"/>
      <c r="EV428" s="127"/>
      <c r="EW428" s="127"/>
      <c r="EX428" s="127"/>
      <c r="EY428" s="127"/>
      <c r="EZ428" s="127"/>
      <c r="FA428" s="127"/>
      <c r="FB428" s="127"/>
      <c r="FC428" s="127"/>
      <c r="FD428" s="127"/>
      <c r="FE428" s="127"/>
      <c r="FF428" s="127"/>
      <c r="HW428" s="127"/>
      <c r="HX428" s="127"/>
      <c r="HY428" s="127"/>
      <c r="HZ428" s="127"/>
      <c r="IA428" s="127"/>
      <c r="IB428" s="127"/>
      <c r="IC428" s="127"/>
      <c r="ID428" s="127"/>
      <c r="IE428" s="127"/>
      <c r="IF428" s="127"/>
      <c r="IG428" s="127"/>
      <c r="IH428" s="127"/>
      <c r="II428" s="127"/>
      <c r="IJ428" s="127"/>
      <c r="IK428" s="127"/>
      <c r="LB428" s="127"/>
      <c r="LC428" s="127"/>
      <c r="LD428" s="127"/>
      <c r="LE428" s="127"/>
      <c r="LF428" s="127"/>
      <c r="LG428" s="127"/>
      <c r="LH428" s="127"/>
      <c r="LI428" s="127"/>
      <c r="LJ428" s="127"/>
      <c r="LK428" s="127"/>
      <c r="LL428" s="127"/>
      <c r="LM428" s="127"/>
      <c r="LN428" s="127"/>
      <c r="LO428" s="127"/>
      <c r="LP428" s="127"/>
      <c r="OG428" s="127"/>
      <c r="OH428" s="127"/>
      <c r="OI428" s="127"/>
      <c r="OJ428" s="127"/>
      <c r="OK428" s="127"/>
      <c r="OL428" s="127"/>
      <c r="OM428" s="127"/>
      <c r="ON428" s="127"/>
      <c r="OO428" s="127"/>
      <c r="OP428" s="127"/>
      <c r="OQ428" s="127"/>
      <c r="OR428" s="127"/>
      <c r="OS428" s="127"/>
      <c r="OT428" s="127"/>
      <c r="OU428" s="127"/>
    </row>
    <row r="429" spans="1:411">
      <c r="A429">
        <v>85</v>
      </c>
      <c r="B429">
        <v>816</v>
      </c>
      <c r="C429" t="s">
        <v>72</v>
      </c>
      <c r="D429" t="s">
        <v>9189</v>
      </c>
      <c r="E429" s="232" t="s">
        <v>9971</v>
      </c>
      <c r="F429" t="s">
        <v>70</v>
      </c>
      <c r="G429">
        <v>2</v>
      </c>
      <c r="H429">
        <v>912.221</v>
      </c>
      <c r="I429">
        <v>909.84299999999996</v>
      </c>
      <c r="J429">
        <v>906.68499999999995</v>
      </c>
      <c r="K429">
        <v>901.51499999999999</v>
      </c>
      <c r="L429">
        <v>895.62900000000002</v>
      </c>
      <c r="M429" s="233" t="s">
        <v>532</v>
      </c>
      <c r="N429" s="233" t="s">
        <v>532</v>
      </c>
      <c r="O429" s="3" t="s">
        <v>930</v>
      </c>
      <c r="BM429" s="127"/>
      <c r="BN429" s="127"/>
      <c r="BO429" s="127"/>
      <c r="BP429" s="127"/>
      <c r="BQ429" s="127"/>
      <c r="BR429" s="127"/>
      <c r="BS429" s="127"/>
      <c r="BT429" s="127"/>
      <c r="BU429" s="127"/>
      <c r="BV429" s="127"/>
      <c r="BW429" s="127"/>
      <c r="BX429" s="127"/>
      <c r="BY429" s="127"/>
      <c r="BZ429" s="127"/>
      <c r="CA429" s="127"/>
      <c r="ER429" s="127"/>
      <c r="ES429" s="127"/>
      <c r="ET429" s="127"/>
      <c r="EU429" s="127"/>
      <c r="EV429" s="127"/>
      <c r="EW429" s="127"/>
      <c r="EX429" s="127"/>
      <c r="EY429" s="127"/>
      <c r="EZ429" s="127"/>
      <c r="FA429" s="127"/>
      <c r="FB429" s="127"/>
      <c r="FC429" s="127"/>
      <c r="FD429" s="127"/>
      <c r="FE429" s="127"/>
      <c r="FF429" s="127"/>
      <c r="HW429" s="127"/>
      <c r="HX429" s="127"/>
      <c r="HY429" s="127"/>
      <c r="HZ429" s="127"/>
      <c r="IA429" s="127"/>
      <c r="IB429" s="127"/>
      <c r="IC429" s="127"/>
      <c r="ID429" s="127"/>
      <c r="IE429" s="127"/>
      <c r="IF429" s="127"/>
      <c r="IG429" s="127"/>
      <c r="IH429" s="127"/>
      <c r="II429" s="127"/>
      <c r="IJ429" s="127"/>
      <c r="IK429" s="127"/>
      <c r="LB429" s="127"/>
      <c r="LC429" s="127"/>
      <c r="LD429" s="127"/>
      <c r="LE429" s="127"/>
      <c r="LF429" s="127"/>
      <c r="LG429" s="127"/>
      <c r="LH429" s="127"/>
      <c r="LI429" s="127"/>
      <c r="LJ429" s="127"/>
      <c r="LK429" s="127"/>
      <c r="LL429" s="127"/>
      <c r="LM429" s="127"/>
      <c r="LN429" s="127"/>
      <c r="LO429" s="127"/>
      <c r="LP429" s="127"/>
      <c r="OG429" s="127"/>
      <c r="OH429" s="127"/>
      <c r="OI429" s="127"/>
      <c r="OJ429" s="127"/>
      <c r="OK429" s="127"/>
      <c r="OL429" s="127"/>
      <c r="OM429" s="127"/>
      <c r="ON429" s="127"/>
      <c r="OO429" s="127"/>
      <c r="OP429" s="127"/>
      <c r="OQ429" s="127"/>
      <c r="OR429" s="127"/>
      <c r="OS429" s="127"/>
      <c r="OT429" s="127"/>
      <c r="OU429" s="127"/>
    </row>
    <row r="430" spans="1:411">
      <c r="A430">
        <v>85</v>
      </c>
      <c r="B430">
        <v>821</v>
      </c>
      <c r="C430" t="s">
        <v>72</v>
      </c>
      <c r="D430" t="s">
        <v>9189</v>
      </c>
      <c r="E430" s="232" t="s">
        <v>8480</v>
      </c>
      <c r="F430" t="s">
        <v>70</v>
      </c>
      <c r="G430">
        <v>2</v>
      </c>
      <c r="H430">
        <v>911.64300000000003</v>
      </c>
      <c r="I430">
        <v>909.38099999999997</v>
      </c>
      <c r="J430">
        <v>906.125</v>
      </c>
      <c r="K430">
        <v>900.74699999999996</v>
      </c>
      <c r="L430">
        <v>894.53</v>
      </c>
      <c r="M430" s="233" t="s">
        <v>532</v>
      </c>
      <c r="N430" s="233" t="s">
        <v>532</v>
      </c>
      <c r="O430" s="3" t="s">
        <v>931</v>
      </c>
      <c r="BM430" s="127"/>
      <c r="BN430" s="127"/>
      <c r="BO430" s="127"/>
      <c r="BP430" s="127"/>
      <c r="BQ430" s="127"/>
      <c r="BR430" s="127"/>
      <c r="BS430" s="127"/>
      <c r="BT430" s="127"/>
      <c r="BU430" s="127"/>
      <c r="BV430" s="127"/>
      <c r="BW430" s="127"/>
      <c r="BX430" s="127"/>
      <c r="BY430" s="127"/>
      <c r="BZ430" s="127"/>
      <c r="CA430" s="127"/>
      <c r="ER430" s="127"/>
      <c r="ES430" s="127"/>
      <c r="ET430" s="127"/>
      <c r="EU430" s="127"/>
      <c r="EV430" s="127"/>
      <c r="EW430" s="127"/>
      <c r="EX430" s="127"/>
      <c r="EY430" s="127"/>
      <c r="EZ430" s="127"/>
      <c r="FA430" s="127"/>
      <c r="FB430" s="127"/>
      <c r="FC430" s="127"/>
      <c r="FD430" s="127"/>
      <c r="FE430" s="127"/>
      <c r="FF430" s="127"/>
      <c r="HW430" s="127"/>
      <c r="HX430" s="127"/>
      <c r="HY430" s="127"/>
      <c r="HZ430" s="127"/>
      <c r="IA430" s="127"/>
      <c r="IB430" s="127"/>
      <c r="IC430" s="127"/>
      <c r="ID430" s="127"/>
      <c r="IE430" s="127"/>
      <c r="IF430" s="127"/>
      <c r="IG430" s="127"/>
      <c r="IH430" s="127"/>
      <c r="II430" s="127"/>
      <c r="IJ430" s="127"/>
      <c r="IK430" s="127"/>
      <c r="LB430" s="127"/>
      <c r="LC430" s="127"/>
      <c r="LD430" s="127"/>
      <c r="LE430" s="127"/>
      <c r="LF430" s="127"/>
      <c r="LG430" s="127"/>
      <c r="LH430" s="127"/>
      <c r="LI430" s="127"/>
      <c r="LJ430" s="127"/>
      <c r="LK430" s="127"/>
      <c r="LL430" s="127"/>
      <c r="LM430" s="127"/>
      <c r="LN430" s="127"/>
      <c r="LO430" s="127"/>
      <c r="LP430" s="127"/>
      <c r="OG430" s="127"/>
      <c r="OH430" s="127"/>
      <c r="OI430" s="127"/>
      <c r="OJ430" s="127"/>
      <c r="OK430" s="127"/>
      <c r="OL430" s="127"/>
      <c r="OM430" s="127"/>
      <c r="ON430" s="127"/>
      <c r="OO430" s="127"/>
      <c r="OP430" s="127"/>
      <c r="OQ430" s="127"/>
      <c r="OR430" s="127"/>
      <c r="OS430" s="127"/>
      <c r="OT430" s="127"/>
      <c r="OU430" s="127"/>
    </row>
    <row r="431" spans="1:411">
      <c r="A431">
        <v>85</v>
      </c>
      <c r="B431">
        <v>819</v>
      </c>
      <c r="C431" t="s">
        <v>72</v>
      </c>
      <c r="D431" t="s">
        <v>9189</v>
      </c>
      <c r="E431" s="232" t="s">
        <v>10163</v>
      </c>
      <c r="F431" t="s">
        <v>70</v>
      </c>
      <c r="G431">
        <v>2</v>
      </c>
      <c r="H431">
        <v>911.00099999999998</v>
      </c>
      <c r="I431">
        <v>907.91700000000003</v>
      </c>
      <c r="J431">
        <v>905.08500000000004</v>
      </c>
      <c r="K431">
        <v>899.91499999999996</v>
      </c>
      <c r="L431">
        <v>893.75900000000001</v>
      </c>
      <c r="M431" s="233" t="s">
        <v>532</v>
      </c>
      <c r="N431" s="233" t="s">
        <v>532</v>
      </c>
      <c r="O431" s="3" t="s">
        <v>932</v>
      </c>
      <c r="BM431" s="127"/>
      <c r="BN431" s="127"/>
      <c r="BO431" s="127"/>
      <c r="BP431" s="127"/>
      <c r="BQ431" s="127"/>
      <c r="BR431" s="127"/>
      <c r="BS431" s="127"/>
      <c r="BT431" s="127"/>
      <c r="BU431" s="127"/>
      <c r="BV431" s="127"/>
      <c r="BW431" s="127"/>
      <c r="BX431" s="127"/>
      <c r="BY431" s="127"/>
      <c r="BZ431" s="127"/>
      <c r="CA431" s="127"/>
      <c r="ER431" s="127"/>
      <c r="ES431" s="127"/>
      <c r="ET431" s="127"/>
      <c r="EU431" s="127"/>
      <c r="EV431" s="127"/>
      <c r="EW431" s="127"/>
      <c r="EX431" s="127"/>
      <c r="EY431" s="127"/>
      <c r="EZ431" s="127"/>
      <c r="FA431" s="127"/>
      <c r="FB431" s="127"/>
      <c r="FC431" s="127"/>
      <c r="FD431" s="127"/>
      <c r="FE431" s="127"/>
      <c r="FF431" s="127"/>
      <c r="HW431" s="127"/>
      <c r="HX431" s="127"/>
      <c r="HY431" s="127"/>
      <c r="HZ431" s="127"/>
      <c r="IA431" s="127"/>
      <c r="IB431" s="127"/>
      <c r="IC431" s="127"/>
      <c r="ID431" s="127"/>
      <c r="IE431" s="127"/>
      <c r="IF431" s="127"/>
      <c r="IG431" s="127"/>
      <c r="IH431" s="127"/>
      <c r="II431" s="127"/>
      <c r="IJ431" s="127"/>
      <c r="IK431" s="127"/>
      <c r="LB431" s="127"/>
      <c r="LC431" s="127"/>
      <c r="LD431" s="127"/>
      <c r="LE431" s="127"/>
      <c r="LF431" s="127"/>
      <c r="LG431" s="127"/>
      <c r="LH431" s="127"/>
      <c r="LI431" s="127"/>
      <c r="LJ431" s="127"/>
      <c r="LK431" s="127"/>
      <c r="LL431" s="127"/>
      <c r="LM431" s="127"/>
      <c r="LN431" s="127"/>
      <c r="LO431" s="127"/>
      <c r="LP431" s="127"/>
      <c r="OG431" s="127"/>
      <c r="OH431" s="127"/>
      <c r="OI431" s="127"/>
      <c r="OJ431" s="127"/>
      <c r="OK431" s="127"/>
      <c r="OL431" s="127"/>
      <c r="OM431" s="127"/>
      <c r="ON431" s="127"/>
      <c r="OO431" s="127"/>
      <c r="OP431" s="127"/>
      <c r="OQ431" s="127"/>
      <c r="OR431" s="127"/>
      <c r="OS431" s="127"/>
      <c r="OT431" s="127"/>
      <c r="OU431" s="127"/>
    </row>
    <row r="432" spans="1:411">
      <c r="A432">
        <v>85</v>
      </c>
      <c r="B432">
        <v>840</v>
      </c>
      <c r="C432" t="s">
        <v>72</v>
      </c>
      <c r="D432" t="s">
        <v>9189</v>
      </c>
      <c r="E432" s="232" t="s">
        <v>10216</v>
      </c>
      <c r="F432" t="s">
        <v>70</v>
      </c>
      <c r="G432">
        <v>2</v>
      </c>
      <c r="H432">
        <v>910.34900000000005</v>
      </c>
      <c r="I432">
        <v>907.78099999999995</v>
      </c>
      <c r="J432">
        <v>904.06299999999999</v>
      </c>
      <c r="K432">
        <v>898.83100000000002</v>
      </c>
      <c r="L432">
        <v>892.41099999999994</v>
      </c>
      <c r="M432" s="233" t="s">
        <v>532</v>
      </c>
      <c r="N432" s="233" t="s">
        <v>532</v>
      </c>
      <c r="O432" s="3" t="s">
        <v>933</v>
      </c>
      <c r="BM432" s="127"/>
      <c r="BN432" s="127"/>
      <c r="BO432" s="127"/>
      <c r="BP432" s="127"/>
      <c r="BQ432" s="127"/>
      <c r="BR432" s="127"/>
      <c r="BS432" s="127"/>
      <c r="BT432" s="127"/>
      <c r="BU432" s="127"/>
      <c r="BV432" s="127"/>
      <c r="BW432" s="127"/>
      <c r="BX432" s="127"/>
      <c r="BY432" s="127"/>
      <c r="BZ432" s="127"/>
      <c r="CA432" s="127"/>
      <c r="ER432" s="127"/>
      <c r="ES432" s="127"/>
      <c r="ET432" s="127"/>
      <c r="EU432" s="127"/>
      <c r="EV432" s="127"/>
      <c r="EW432" s="127"/>
      <c r="EX432" s="127"/>
      <c r="EY432" s="127"/>
      <c r="EZ432" s="127"/>
      <c r="FA432" s="127"/>
      <c r="FB432" s="127"/>
      <c r="FC432" s="127"/>
      <c r="FD432" s="127"/>
      <c r="FE432" s="127"/>
      <c r="FF432" s="127"/>
      <c r="HW432" s="127"/>
      <c r="HX432" s="127"/>
      <c r="HY432" s="127"/>
      <c r="HZ432" s="127"/>
      <c r="IA432" s="127"/>
      <c r="IB432" s="127"/>
      <c r="IC432" s="127"/>
      <c r="ID432" s="127"/>
      <c r="IE432" s="127"/>
      <c r="IF432" s="127"/>
      <c r="IG432" s="127"/>
      <c r="IH432" s="127"/>
      <c r="II432" s="127"/>
      <c r="IJ432" s="127"/>
      <c r="IK432" s="127"/>
      <c r="LB432" s="127"/>
      <c r="LC432" s="127"/>
      <c r="LD432" s="127"/>
      <c r="LE432" s="127"/>
      <c r="LF432" s="127"/>
      <c r="LG432" s="127"/>
      <c r="LH432" s="127"/>
      <c r="LI432" s="127"/>
      <c r="LJ432" s="127"/>
      <c r="LK432" s="127"/>
      <c r="LL432" s="127"/>
      <c r="LM432" s="127"/>
      <c r="LN432" s="127"/>
      <c r="LO432" s="127"/>
      <c r="LP432" s="127"/>
      <c r="OG432" s="127"/>
      <c r="OH432" s="127"/>
      <c r="OI432" s="127"/>
      <c r="OJ432" s="127"/>
      <c r="OK432" s="127"/>
      <c r="OL432" s="127"/>
      <c r="OM432" s="127"/>
      <c r="ON432" s="127"/>
      <c r="OO432" s="127"/>
      <c r="OP432" s="127"/>
      <c r="OQ432" s="127"/>
      <c r="OR432" s="127"/>
      <c r="OS432" s="127"/>
      <c r="OT432" s="127"/>
      <c r="OU432" s="127"/>
    </row>
    <row r="433" spans="1:411">
      <c r="A433">
        <v>85</v>
      </c>
      <c r="B433">
        <v>825</v>
      </c>
      <c r="C433" t="s">
        <v>72</v>
      </c>
      <c r="D433" t="s">
        <v>9189</v>
      </c>
      <c r="E433" s="232" t="s">
        <v>10267</v>
      </c>
      <c r="F433" t="s">
        <v>70</v>
      </c>
      <c r="G433">
        <v>2</v>
      </c>
      <c r="H433">
        <v>907.91700000000003</v>
      </c>
      <c r="I433">
        <v>905.41099999999994</v>
      </c>
      <c r="J433">
        <v>901.90300000000002</v>
      </c>
      <c r="K433">
        <v>897.92700000000002</v>
      </c>
      <c r="L433">
        <v>892.16</v>
      </c>
      <c r="M433" s="233" t="s">
        <v>532</v>
      </c>
      <c r="N433" s="233" t="s">
        <v>532</v>
      </c>
      <c r="O433" s="3" t="s">
        <v>934</v>
      </c>
      <c r="BM433" s="127"/>
      <c r="BN433" s="127"/>
      <c r="BO433" s="127"/>
      <c r="BP433" s="127"/>
      <c r="BQ433" s="127"/>
      <c r="BR433" s="127"/>
      <c r="BS433" s="127"/>
      <c r="BT433" s="127"/>
      <c r="BU433" s="127"/>
      <c r="BV433" s="127"/>
      <c r="BW433" s="127"/>
      <c r="BX433" s="127"/>
      <c r="BY433" s="127"/>
      <c r="BZ433" s="127"/>
      <c r="CA433" s="127"/>
      <c r="ER433" s="127"/>
      <c r="ES433" s="127"/>
      <c r="ET433" s="127"/>
      <c r="EU433" s="127"/>
      <c r="EV433" s="127"/>
      <c r="EW433" s="127"/>
      <c r="EX433" s="127"/>
      <c r="EY433" s="127"/>
      <c r="EZ433" s="127"/>
      <c r="FA433" s="127"/>
      <c r="FB433" s="127"/>
      <c r="FC433" s="127"/>
      <c r="FD433" s="127"/>
      <c r="FE433" s="127"/>
      <c r="FF433" s="127"/>
      <c r="HW433" s="127"/>
      <c r="HX433" s="127"/>
      <c r="HY433" s="127"/>
      <c r="HZ433" s="127"/>
      <c r="IA433" s="127"/>
      <c r="IB433" s="127"/>
      <c r="IC433" s="127"/>
      <c r="ID433" s="127"/>
      <c r="IE433" s="127"/>
      <c r="IF433" s="127"/>
      <c r="IG433" s="127"/>
      <c r="IH433" s="127"/>
      <c r="II433" s="127"/>
      <c r="IJ433" s="127"/>
      <c r="IK433" s="127"/>
      <c r="LB433" s="127"/>
      <c r="LC433" s="127"/>
      <c r="LD433" s="127"/>
      <c r="LE433" s="127"/>
      <c r="LF433" s="127"/>
      <c r="LG433" s="127"/>
      <c r="LH433" s="127"/>
      <c r="LI433" s="127"/>
      <c r="LJ433" s="127"/>
      <c r="LK433" s="127"/>
      <c r="LL433" s="127"/>
      <c r="LM433" s="127"/>
      <c r="LN433" s="127"/>
      <c r="LO433" s="127"/>
      <c r="LP433" s="127"/>
      <c r="OG433" s="127"/>
      <c r="OH433" s="127"/>
      <c r="OI433" s="127"/>
      <c r="OJ433" s="127"/>
      <c r="OK433" s="127"/>
      <c r="OL433" s="127"/>
      <c r="OM433" s="127"/>
      <c r="ON433" s="127"/>
      <c r="OO433" s="127"/>
      <c r="OP433" s="127"/>
      <c r="OQ433" s="127"/>
      <c r="OR433" s="127"/>
      <c r="OS433" s="127"/>
      <c r="OT433" s="127"/>
      <c r="OU433" s="127"/>
    </row>
    <row r="434" spans="1:411">
      <c r="A434">
        <v>85</v>
      </c>
      <c r="B434">
        <v>829</v>
      </c>
      <c r="C434" t="s">
        <v>72</v>
      </c>
      <c r="D434" t="s">
        <v>9189</v>
      </c>
      <c r="E434" s="232" t="s">
        <v>10307</v>
      </c>
      <c r="F434" t="s">
        <v>70</v>
      </c>
      <c r="G434">
        <v>2</v>
      </c>
      <c r="H434">
        <v>907.91700000000003</v>
      </c>
      <c r="I434">
        <v>905.41099999999994</v>
      </c>
      <c r="J434">
        <v>901.90300000000002</v>
      </c>
      <c r="K434">
        <v>897.92700000000002</v>
      </c>
      <c r="L434">
        <v>892.16</v>
      </c>
      <c r="M434" s="233" t="s">
        <v>532</v>
      </c>
      <c r="N434" s="233" t="s">
        <v>532</v>
      </c>
      <c r="O434" s="3" t="s">
        <v>935</v>
      </c>
      <c r="BM434" s="127"/>
      <c r="BN434" s="127"/>
      <c r="BO434" s="127"/>
      <c r="BP434" s="127"/>
      <c r="BQ434" s="127"/>
      <c r="BR434" s="127"/>
      <c r="BS434" s="127"/>
      <c r="BT434" s="127"/>
      <c r="BU434" s="127"/>
      <c r="BV434" s="127"/>
      <c r="BW434" s="127"/>
      <c r="BX434" s="127"/>
      <c r="BY434" s="127"/>
      <c r="BZ434" s="127"/>
      <c r="CA434" s="127"/>
      <c r="ER434" s="127"/>
      <c r="ES434" s="127"/>
      <c r="ET434" s="127"/>
      <c r="EU434" s="127"/>
      <c r="EV434" s="127"/>
      <c r="EW434" s="127"/>
      <c r="EX434" s="127"/>
      <c r="EY434" s="127"/>
      <c r="EZ434" s="127"/>
      <c r="FA434" s="127"/>
      <c r="FB434" s="127"/>
      <c r="FC434" s="127"/>
      <c r="FD434" s="127"/>
      <c r="FE434" s="127"/>
      <c r="FF434" s="127"/>
      <c r="HW434" s="127"/>
      <c r="HX434" s="127"/>
      <c r="HY434" s="127"/>
      <c r="HZ434" s="127"/>
      <c r="IA434" s="127"/>
      <c r="IB434" s="127"/>
      <c r="IC434" s="127"/>
      <c r="ID434" s="127"/>
      <c r="IE434" s="127"/>
      <c r="IF434" s="127"/>
      <c r="IG434" s="127"/>
      <c r="IH434" s="127"/>
      <c r="II434" s="127"/>
      <c r="IJ434" s="127"/>
      <c r="IK434" s="127"/>
      <c r="LB434" s="127"/>
      <c r="LC434" s="127"/>
      <c r="LD434" s="127"/>
      <c r="LE434" s="127"/>
      <c r="LF434" s="127"/>
      <c r="LG434" s="127"/>
      <c r="LH434" s="127"/>
      <c r="LI434" s="127"/>
      <c r="LJ434" s="127"/>
      <c r="LK434" s="127"/>
      <c r="LL434" s="127"/>
      <c r="LM434" s="127"/>
      <c r="LN434" s="127"/>
      <c r="LO434" s="127"/>
      <c r="LP434" s="127"/>
      <c r="OG434" s="127"/>
      <c r="OH434" s="127"/>
      <c r="OI434" s="127"/>
      <c r="OJ434" s="127"/>
      <c r="OK434" s="127"/>
      <c r="OL434" s="127"/>
      <c r="OM434" s="127"/>
      <c r="ON434" s="127"/>
      <c r="OO434" s="127"/>
      <c r="OP434" s="127"/>
      <c r="OQ434" s="127"/>
      <c r="OR434" s="127"/>
      <c r="OS434" s="127"/>
      <c r="OT434" s="127"/>
      <c r="OU434" s="127"/>
    </row>
    <row r="435" spans="1:411">
      <c r="A435">
        <v>85</v>
      </c>
      <c r="B435">
        <v>833</v>
      </c>
      <c r="C435" t="s">
        <v>72</v>
      </c>
      <c r="D435" t="s">
        <v>9189</v>
      </c>
      <c r="E435" s="232" t="s">
        <v>10345</v>
      </c>
      <c r="F435" t="s">
        <v>70</v>
      </c>
      <c r="G435">
        <v>2</v>
      </c>
      <c r="H435">
        <v>907.14700000000005</v>
      </c>
      <c r="I435">
        <v>904.45100000000002</v>
      </c>
      <c r="J435">
        <v>900.74699999999996</v>
      </c>
      <c r="K435">
        <v>897.23099999999999</v>
      </c>
      <c r="L435">
        <v>891.64400000000001</v>
      </c>
      <c r="M435" s="233" t="s">
        <v>532</v>
      </c>
      <c r="N435" s="233" t="s">
        <v>532</v>
      </c>
      <c r="O435" s="3" t="s">
        <v>936</v>
      </c>
      <c r="BM435" s="127"/>
      <c r="BN435" s="127"/>
      <c r="BO435" s="127"/>
      <c r="BP435" s="127"/>
      <c r="BQ435" s="127"/>
      <c r="BR435" s="127"/>
      <c r="BS435" s="127"/>
      <c r="BT435" s="127"/>
      <c r="BU435" s="127"/>
      <c r="BV435" s="127"/>
      <c r="BW435" s="127"/>
      <c r="BX435" s="127"/>
      <c r="BY435" s="127"/>
      <c r="BZ435" s="127"/>
      <c r="CA435" s="127"/>
      <c r="ER435" s="127"/>
      <c r="ES435" s="127"/>
      <c r="ET435" s="127"/>
      <c r="EU435" s="127"/>
      <c r="EV435" s="127"/>
      <c r="EW435" s="127"/>
      <c r="EX435" s="127"/>
      <c r="EY435" s="127"/>
      <c r="EZ435" s="127"/>
      <c r="FA435" s="127"/>
      <c r="FB435" s="127"/>
      <c r="FC435" s="127"/>
      <c r="FD435" s="127"/>
      <c r="FE435" s="127"/>
      <c r="FF435" s="127"/>
      <c r="HW435" s="127"/>
      <c r="HX435" s="127"/>
      <c r="HY435" s="127"/>
      <c r="HZ435" s="127"/>
      <c r="IA435" s="127"/>
      <c r="IB435" s="127"/>
      <c r="IC435" s="127"/>
      <c r="ID435" s="127"/>
      <c r="IE435" s="127"/>
      <c r="IF435" s="127"/>
      <c r="IG435" s="127"/>
      <c r="IH435" s="127"/>
      <c r="II435" s="127"/>
      <c r="IJ435" s="127"/>
      <c r="IK435" s="127"/>
      <c r="LB435" s="127"/>
      <c r="LC435" s="127"/>
      <c r="LD435" s="127"/>
      <c r="LE435" s="127"/>
      <c r="LF435" s="127"/>
      <c r="LG435" s="127"/>
      <c r="LH435" s="127"/>
      <c r="LI435" s="127"/>
      <c r="LJ435" s="127"/>
      <c r="LK435" s="127"/>
      <c r="LL435" s="127"/>
      <c r="LM435" s="127"/>
      <c r="LN435" s="127"/>
      <c r="LO435" s="127"/>
      <c r="LP435" s="127"/>
      <c r="OG435" s="127"/>
      <c r="OH435" s="127"/>
      <c r="OI435" s="127"/>
      <c r="OJ435" s="127"/>
      <c r="OK435" s="127"/>
      <c r="OL435" s="127"/>
      <c r="OM435" s="127"/>
      <c r="ON435" s="127"/>
      <c r="OO435" s="127"/>
      <c r="OP435" s="127"/>
      <c r="OQ435" s="127"/>
      <c r="OR435" s="127"/>
      <c r="OS435" s="127"/>
      <c r="OT435" s="127"/>
      <c r="OU435" s="127"/>
    </row>
    <row r="436" spans="1:411">
      <c r="A436">
        <v>85</v>
      </c>
      <c r="B436">
        <v>837</v>
      </c>
      <c r="C436" t="s">
        <v>72</v>
      </c>
      <c r="D436" t="s">
        <v>9189</v>
      </c>
      <c r="E436" s="232" t="s">
        <v>10464</v>
      </c>
      <c r="F436" t="s">
        <v>70</v>
      </c>
      <c r="G436">
        <v>2</v>
      </c>
      <c r="H436">
        <v>903.17700000000002</v>
      </c>
      <c r="I436">
        <v>900.35699999999997</v>
      </c>
      <c r="J436">
        <v>897.55700000000002</v>
      </c>
      <c r="K436">
        <v>893.75900000000001</v>
      </c>
      <c r="L436">
        <v>888.74699999999996</v>
      </c>
      <c r="M436" s="233" t="s">
        <v>532</v>
      </c>
      <c r="N436" s="233" t="s">
        <v>532</v>
      </c>
      <c r="O436" s="3" t="s">
        <v>937</v>
      </c>
      <c r="BM436" s="127"/>
      <c r="BN436" s="127"/>
      <c r="BO436" s="127"/>
      <c r="BP436" s="127"/>
      <c r="BQ436" s="127"/>
      <c r="BR436" s="127"/>
      <c r="BS436" s="127"/>
      <c r="BT436" s="127"/>
      <c r="BU436" s="127"/>
      <c r="BV436" s="127"/>
      <c r="BW436" s="127"/>
      <c r="BX436" s="127"/>
      <c r="BY436" s="127"/>
      <c r="BZ436" s="127"/>
      <c r="CA436" s="127"/>
      <c r="ER436" s="127"/>
      <c r="ES436" s="127"/>
      <c r="ET436" s="127"/>
      <c r="EU436" s="127"/>
      <c r="EV436" s="127"/>
      <c r="EW436" s="127"/>
      <c r="EX436" s="127"/>
      <c r="EY436" s="127"/>
      <c r="EZ436" s="127"/>
      <c r="FA436" s="127"/>
      <c r="FB436" s="127"/>
      <c r="FC436" s="127"/>
      <c r="FD436" s="127"/>
      <c r="FE436" s="127"/>
      <c r="FF436" s="127"/>
      <c r="HW436" s="127"/>
      <c r="HX436" s="127"/>
      <c r="HY436" s="127"/>
      <c r="HZ436" s="127"/>
      <c r="IA436" s="127"/>
      <c r="IB436" s="127"/>
      <c r="IC436" s="127"/>
      <c r="ID436" s="127"/>
      <c r="IE436" s="127"/>
      <c r="IF436" s="127"/>
      <c r="IG436" s="127"/>
      <c r="IH436" s="127"/>
      <c r="II436" s="127"/>
      <c r="IJ436" s="127"/>
      <c r="IK436" s="127"/>
      <c r="LB436" s="127"/>
      <c r="LC436" s="127"/>
      <c r="LD436" s="127"/>
      <c r="LE436" s="127"/>
      <c r="LF436" s="127"/>
      <c r="LG436" s="127"/>
      <c r="LH436" s="127"/>
      <c r="LI436" s="127"/>
      <c r="LJ436" s="127"/>
      <c r="LK436" s="127"/>
      <c r="LL436" s="127"/>
      <c r="LM436" s="127"/>
      <c r="LN436" s="127"/>
      <c r="LO436" s="127"/>
      <c r="LP436" s="127"/>
      <c r="OG436" s="127"/>
      <c r="OH436" s="127"/>
      <c r="OI436" s="127"/>
      <c r="OJ436" s="127"/>
      <c r="OK436" s="127"/>
      <c r="OL436" s="127"/>
      <c r="OM436" s="127"/>
      <c r="ON436" s="127"/>
      <c r="OO436" s="127"/>
      <c r="OP436" s="127"/>
      <c r="OQ436" s="127"/>
      <c r="OR436" s="127"/>
      <c r="OS436" s="127"/>
      <c r="OT436" s="127"/>
      <c r="OU436" s="127"/>
    </row>
    <row r="437" spans="1:411">
      <c r="A437">
        <v>85</v>
      </c>
      <c r="B437">
        <v>830</v>
      </c>
      <c r="C437" t="s">
        <v>72</v>
      </c>
      <c r="D437" t="s">
        <v>9189</v>
      </c>
      <c r="E437" s="232" t="s">
        <v>9544</v>
      </c>
      <c r="F437" t="s">
        <v>70</v>
      </c>
      <c r="G437">
        <v>2</v>
      </c>
      <c r="H437">
        <v>902.59900000000005</v>
      </c>
      <c r="I437">
        <v>899.91499999999996</v>
      </c>
      <c r="J437">
        <v>897.42100000000005</v>
      </c>
      <c r="K437">
        <v>893.75900000000001</v>
      </c>
      <c r="L437">
        <v>889.00199999999995</v>
      </c>
      <c r="M437" s="233" t="s">
        <v>532</v>
      </c>
      <c r="N437" s="233" t="s">
        <v>532</v>
      </c>
      <c r="O437" s="3" t="s">
        <v>938</v>
      </c>
      <c r="BM437" s="127"/>
      <c r="BN437" s="127"/>
      <c r="BO437" s="127"/>
      <c r="BP437" s="127"/>
      <c r="BQ437" s="127"/>
      <c r="BR437" s="127"/>
      <c r="BS437" s="127"/>
      <c r="BT437" s="127"/>
      <c r="BU437" s="127"/>
      <c r="BV437" s="127"/>
      <c r="BW437" s="127"/>
      <c r="BX437" s="127"/>
      <c r="BY437" s="127"/>
      <c r="BZ437" s="127"/>
      <c r="CA437" s="127"/>
      <c r="ER437" s="127"/>
      <c r="ES437" s="127"/>
      <c r="ET437" s="127"/>
      <c r="EU437" s="127"/>
      <c r="EV437" s="127"/>
      <c r="EW437" s="127"/>
      <c r="EX437" s="127"/>
      <c r="EY437" s="127"/>
      <c r="EZ437" s="127"/>
      <c r="FA437" s="127"/>
      <c r="FB437" s="127"/>
      <c r="FC437" s="127"/>
      <c r="FD437" s="127"/>
      <c r="FE437" s="127"/>
      <c r="FF437" s="127"/>
      <c r="HW437" s="127"/>
      <c r="HX437" s="127"/>
      <c r="HY437" s="127"/>
      <c r="HZ437" s="127"/>
      <c r="IA437" s="127"/>
      <c r="IB437" s="127"/>
      <c r="IC437" s="127"/>
      <c r="ID437" s="127"/>
      <c r="IE437" s="127"/>
      <c r="IF437" s="127"/>
      <c r="IG437" s="127"/>
      <c r="IH437" s="127"/>
      <c r="II437" s="127"/>
      <c r="IJ437" s="127"/>
      <c r="IK437" s="127"/>
      <c r="LB437" s="127"/>
      <c r="LC437" s="127"/>
      <c r="LD437" s="127"/>
      <c r="LE437" s="127"/>
      <c r="LF437" s="127"/>
      <c r="LG437" s="127"/>
      <c r="LH437" s="127"/>
      <c r="LI437" s="127"/>
      <c r="LJ437" s="127"/>
      <c r="LK437" s="127"/>
      <c r="LL437" s="127"/>
      <c r="LM437" s="127"/>
      <c r="LN437" s="127"/>
      <c r="LO437" s="127"/>
      <c r="LP437" s="127"/>
      <c r="OG437" s="127"/>
      <c r="OH437" s="127"/>
      <c r="OI437" s="127"/>
      <c r="OJ437" s="127"/>
      <c r="OK437" s="127"/>
      <c r="OL437" s="127"/>
      <c r="OM437" s="127"/>
      <c r="ON437" s="127"/>
      <c r="OO437" s="127"/>
      <c r="OP437" s="127"/>
      <c r="OQ437" s="127"/>
      <c r="OR437" s="127"/>
      <c r="OS437" s="127"/>
      <c r="OT437" s="127"/>
      <c r="OU437" s="127"/>
    </row>
    <row r="438" spans="1:411">
      <c r="A438">
        <v>85</v>
      </c>
      <c r="B438">
        <v>832</v>
      </c>
      <c r="C438" t="s">
        <v>72</v>
      </c>
      <c r="D438" t="s">
        <v>9189</v>
      </c>
      <c r="E438" s="232" t="s">
        <v>10547</v>
      </c>
      <c r="F438" t="s">
        <v>70</v>
      </c>
      <c r="G438">
        <v>2</v>
      </c>
      <c r="H438">
        <v>902.21100000000001</v>
      </c>
      <c r="I438">
        <v>899.779</v>
      </c>
      <c r="J438">
        <v>897.23099999999999</v>
      </c>
      <c r="K438">
        <v>893.57</v>
      </c>
      <c r="L438">
        <v>889.00199999999995</v>
      </c>
      <c r="M438" s="233" t="s">
        <v>532</v>
      </c>
      <c r="N438" s="233" t="s">
        <v>532</v>
      </c>
      <c r="O438" s="3" t="s">
        <v>939</v>
      </c>
      <c r="BM438" s="127"/>
      <c r="BN438" s="127"/>
      <c r="BO438" s="127"/>
      <c r="BP438" s="127"/>
      <c r="BQ438" s="127"/>
      <c r="BR438" s="127"/>
      <c r="BS438" s="127"/>
      <c r="BT438" s="127"/>
      <c r="BU438" s="127"/>
      <c r="BV438" s="127"/>
      <c r="BW438" s="127"/>
      <c r="BX438" s="127"/>
      <c r="BY438" s="127"/>
      <c r="BZ438" s="127"/>
      <c r="CA438" s="127"/>
      <c r="ER438" s="127"/>
      <c r="ES438" s="127"/>
      <c r="ET438" s="127"/>
      <c r="EU438" s="127"/>
      <c r="EV438" s="127"/>
      <c r="EW438" s="127"/>
      <c r="EX438" s="127"/>
      <c r="EY438" s="127"/>
      <c r="EZ438" s="127"/>
      <c r="FA438" s="127"/>
      <c r="FB438" s="127"/>
      <c r="FC438" s="127"/>
      <c r="FD438" s="127"/>
      <c r="FE438" s="127"/>
      <c r="FF438" s="127"/>
      <c r="HW438" s="127"/>
      <c r="HX438" s="127"/>
      <c r="HY438" s="127"/>
      <c r="HZ438" s="127"/>
      <c r="IA438" s="127"/>
      <c r="IB438" s="127"/>
      <c r="IC438" s="127"/>
      <c r="ID438" s="127"/>
      <c r="IE438" s="127"/>
      <c r="IF438" s="127"/>
      <c r="IG438" s="127"/>
      <c r="IH438" s="127"/>
      <c r="II438" s="127"/>
      <c r="IJ438" s="127"/>
      <c r="IK438" s="127"/>
      <c r="LB438" s="127"/>
      <c r="LC438" s="127"/>
      <c r="LD438" s="127"/>
      <c r="LE438" s="127"/>
      <c r="LF438" s="127"/>
      <c r="LG438" s="127"/>
      <c r="LH438" s="127"/>
      <c r="LI438" s="127"/>
      <c r="LJ438" s="127"/>
      <c r="LK438" s="127"/>
      <c r="LL438" s="127"/>
      <c r="LM438" s="127"/>
      <c r="LN438" s="127"/>
      <c r="LO438" s="127"/>
      <c r="LP438" s="127"/>
      <c r="OG438" s="127"/>
      <c r="OH438" s="127"/>
      <c r="OI438" s="127"/>
      <c r="OJ438" s="127"/>
      <c r="OK438" s="127"/>
      <c r="OL438" s="127"/>
      <c r="OM438" s="127"/>
      <c r="ON438" s="127"/>
      <c r="OO438" s="127"/>
      <c r="OP438" s="127"/>
      <c r="OQ438" s="127"/>
      <c r="OR438" s="127"/>
      <c r="OS438" s="127"/>
      <c r="OT438" s="127"/>
      <c r="OU438" s="127"/>
    </row>
    <row r="439" spans="1:411">
      <c r="A439">
        <v>85</v>
      </c>
      <c r="B439">
        <v>836</v>
      </c>
      <c r="C439" t="s">
        <v>72</v>
      </c>
      <c r="D439" t="s">
        <v>9189</v>
      </c>
      <c r="E439" s="232" t="s">
        <v>10734</v>
      </c>
      <c r="F439" t="s">
        <v>70</v>
      </c>
      <c r="G439">
        <v>2</v>
      </c>
      <c r="H439">
        <v>897.23099999999999</v>
      </c>
      <c r="I439">
        <v>895.62900000000002</v>
      </c>
      <c r="J439">
        <v>892.85599999999999</v>
      </c>
      <c r="K439">
        <v>890.16</v>
      </c>
      <c r="L439">
        <v>885.66300000000001</v>
      </c>
      <c r="M439" s="233" t="s">
        <v>532</v>
      </c>
      <c r="N439" s="233" t="s">
        <v>532</v>
      </c>
      <c r="O439" s="3" t="s">
        <v>940</v>
      </c>
      <c r="BM439" s="127"/>
      <c r="BN439" s="127"/>
      <c r="BO439" s="127"/>
      <c r="BP439" s="127"/>
      <c r="BQ439" s="127"/>
      <c r="BR439" s="127"/>
      <c r="BS439" s="127"/>
      <c r="BT439" s="127"/>
      <c r="BU439" s="127"/>
      <c r="BV439" s="127"/>
      <c r="BW439" s="127"/>
      <c r="BX439" s="127"/>
      <c r="BY439" s="127"/>
      <c r="BZ439" s="127"/>
      <c r="CA439" s="127"/>
      <c r="ER439" s="127"/>
      <c r="ES439" s="127"/>
      <c r="ET439" s="127"/>
      <c r="EU439" s="127"/>
      <c r="EV439" s="127"/>
      <c r="EW439" s="127"/>
      <c r="EX439" s="127"/>
      <c r="EY439" s="127"/>
      <c r="EZ439" s="127"/>
      <c r="FA439" s="127"/>
      <c r="FB439" s="127"/>
      <c r="FC439" s="127"/>
      <c r="FD439" s="127"/>
      <c r="FE439" s="127"/>
      <c r="FF439" s="127"/>
      <c r="HW439" s="127"/>
      <c r="HX439" s="127"/>
      <c r="HY439" s="127"/>
      <c r="HZ439" s="127"/>
      <c r="IA439" s="127"/>
      <c r="IB439" s="127"/>
      <c r="IC439" s="127"/>
      <c r="ID439" s="127"/>
      <c r="IE439" s="127"/>
      <c r="IF439" s="127"/>
      <c r="IG439" s="127"/>
      <c r="IH439" s="127"/>
      <c r="II439" s="127"/>
      <c r="IJ439" s="127"/>
      <c r="IK439" s="127"/>
      <c r="LB439" s="127"/>
      <c r="LC439" s="127"/>
      <c r="LD439" s="127"/>
      <c r="LE439" s="127"/>
      <c r="LF439" s="127"/>
      <c r="LG439" s="127"/>
      <c r="LH439" s="127"/>
      <c r="LI439" s="127"/>
      <c r="LJ439" s="127"/>
      <c r="LK439" s="127"/>
      <c r="LL439" s="127"/>
      <c r="LM439" s="127"/>
      <c r="LN439" s="127"/>
      <c r="LO439" s="127"/>
      <c r="LP439" s="127"/>
      <c r="OG439" s="127"/>
      <c r="OH439" s="127"/>
      <c r="OI439" s="127"/>
      <c r="OJ439" s="127"/>
      <c r="OK439" s="127"/>
      <c r="OL439" s="127"/>
      <c r="OM439" s="127"/>
      <c r="ON439" s="127"/>
      <c r="OO439" s="127"/>
      <c r="OP439" s="127"/>
      <c r="OQ439" s="127"/>
      <c r="OR439" s="127"/>
      <c r="OS439" s="127"/>
      <c r="OT439" s="127"/>
      <c r="OU439" s="127"/>
    </row>
    <row r="440" spans="1:411">
      <c r="A440">
        <v>84</v>
      </c>
      <c r="B440">
        <v>842</v>
      </c>
      <c r="C440" t="s">
        <v>72</v>
      </c>
      <c r="D440" t="s">
        <v>9189</v>
      </c>
      <c r="E440" s="232" t="s">
        <v>9190</v>
      </c>
      <c r="F440" t="s">
        <v>71</v>
      </c>
      <c r="G440">
        <v>2</v>
      </c>
      <c r="H440">
        <v>921.08799999999997</v>
      </c>
      <c r="I440">
        <v>919.30499999999995</v>
      </c>
      <c r="J440">
        <v>915.73900000000003</v>
      </c>
      <c r="K440">
        <v>912.03399999999999</v>
      </c>
      <c r="L440">
        <v>904.94500000000005</v>
      </c>
      <c r="M440" s="233" t="s">
        <v>532</v>
      </c>
      <c r="N440" s="233" t="s">
        <v>532</v>
      </c>
      <c r="O440" s="3" t="s">
        <v>941</v>
      </c>
      <c r="BM440" s="127"/>
      <c r="BN440" s="127"/>
      <c r="BO440" s="127"/>
      <c r="BP440" s="127"/>
      <c r="BQ440" s="127"/>
      <c r="BR440" s="127"/>
      <c r="BS440" s="127"/>
      <c r="BT440" s="127"/>
      <c r="BU440" s="127"/>
      <c r="BV440" s="127"/>
      <c r="BW440" s="127"/>
      <c r="BX440" s="127"/>
      <c r="BY440" s="127"/>
      <c r="BZ440" s="127"/>
      <c r="CA440" s="127"/>
      <c r="ER440" s="127"/>
      <c r="ES440" s="127"/>
      <c r="ET440" s="127"/>
      <c r="EU440" s="127"/>
      <c r="EV440" s="127"/>
      <c r="EW440" s="127"/>
      <c r="EX440" s="127"/>
      <c r="EY440" s="127"/>
      <c r="EZ440" s="127"/>
      <c r="FA440" s="127"/>
      <c r="FB440" s="127"/>
      <c r="FC440" s="127"/>
      <c r="FD440" s="127"/>
      <c r="FE440" s="127"/>
      <c r="FF440" s="127"/>
      <c r="HW440" s="127"/>
      <c r="HX440" s="127"/>
      <c r="HY440" s="127"/>
      <c r="HZ440" s="127"/>
      <c r="IA440" s="127"/>
      <c r="IB440" s="127"/>
      <c r="IC440" s="127"/>
      <c r="ID440" s="127"/>
      <c r="IE440" s="127"/>
      <c r="IF440" s="127"/>
      <c r="IG440" s="127"/>
      <c r="IH440" s="127"/>
      <c r="II440" s="127"/>
      <c r="IJ440" s="127"/>
      <c r="IK440" s="127"/>
      <c r="LB440" s="127"/>
      <c r="LC440" s="127"/>
      <c r="LD440" s="127"/>
      <c r="LE440" s="127"/>
      <c r="LF440" s="127"/>
      <c r="LG440" s="127"/>
      <c r="LH440" s="127"/>
      <c r="LI440" s="127"/>
      <c r="LJ440" s="127"/>
      <c r="LK440" s="127"/>
      <c r="LL440" s="127"/>
      <c r="LM440" s="127"/>
      <c r="LN440" s="127"/>
      <c r="LO440" s="127"/>
      <c r="LP440" s="127"/>
      <c r="OG440" s="127"/>
      <c r="OH440" s="127"/>
      <c r="OI440" s="127"/>
      <c r="OJ440" s="127"/>
      <c r="OK440" s="127"/>
      <c r="OL440" s="127"/>
      <c r="OM440" s="127"/>
      <c r="ON440" s="127"/>
      <c r="OO440" s="127"/>
      <c r="OP440" s="127"/>
      <c r="OQ440" s="127"/>
      <c r="OR440" s="127"/>
      <c r="OS440" s="127"/>
      <c r="OT440" s="127"/>
      <c r="OU440" s="127"/>
    </row>
    <row r="441" spans="1:411">
      <c r="A441">
        <v>84</v>
      </c>
      <c r="B441">
        <v>843</v>
      </c>
      <c r="C441" t="s">
        <v>72</v>
      </c>
      <c r="D441" t="s">
        <v>9189</v>
      </c>
      <c r="E441" s="232" t="s">
        <v>9851</v>
      </c>
      <c r="F441" t="s">
        <v>71</v>
      </c>
      <c r="G441">
        <v>2</v>
      </c>
      <c r="H441">
        <v>909.57299999999998</v>
      </c>
      <c r="I441">
        <v>907.46600000000001</v>
      </c>
      <c r="J441">
        <v>904.38</v>
      </c>
      <c r="K441">
        <v>900.04700000000003</v>
      </c>
      <c r="L441">
        <v>892.30499999999995</v>
      </c>
      <c r="M441" s="233" t="s">
        <v>532</v>
      </c>
      <c r="N441" s="233" t="s">
        <v>532</v>
      </c>
      <c r="O441" s="3" t="s">
        <v>942</v>
      </c>
      <c r="BM441" s="127"/>
      <c r="BN441" s="127"/>
      <c r="BO441" s="127"/>
      <c r="BP441" s="127"/>
      <c r="BQ441" s="127"/>
      <c r="BR441" s="127"/>
      <c r="BS441" s="127"/>
      <c r="BT441" s="127"/>
      <c r="BU441" s="127"/>
      <c r="BV441" s="127"/>
      <c r="BW441" s="127"/>
      <c r="BX441" s="127"/>
      <c r="BY441" s="127"/>
      <c r="BZ441" s="127"/>
      <c r="CA441" s="127"/>
      <c r="ER441" s="127"/>
      <c r="ES441" s="127"/>
      <c r="ET441" s="127"/>
      <c r="EU441" s="127"/>
      <c r="EV441" s="127"/>
      <c r="EW441" s="127"/>
      <c r="EX441" s="127"/>
      <c r="EY441" s="127"/>
      <c r="EZ441" s="127"/>
      <c r="FA441" s="127"/>
      <c r="FB441" s="127"/>
      <c r="FC441" s="127"/>
      <c r="FD441" s="127"/>
      <c r="FE441" s="127"/>
      <c r="FF441" s="127"/>
      <c r="HW441" s="127"/>
      <c r="HX441" s="127"/>
      <c r="HY441" s="127"/>
      <c r="HZ441" s="127"/>
      <c r="IA441" s="127"/>
      <c r="IB441" s="127"/>
      <c r="IC441" s="127"/>
      <c r="ID441" s="127"/>
      <c r="IE441" s="127"/>
      <c r="IF441" s="127"/>
      <c r="IG441" s="127"/>
      <c r="IH441" s="127"/>
      <c r="II441" s="127"/>
      <c r="IJ441" s="127"/>
      <c r="IK441" s="127"/>
      <c r="LB441" s="127"/>
      <c r="LC441" s="127"/>
      <c r="LD441" s="127"/>
      <c r="LE441" s="127"/>
      <c r="LF441" s="127"/>
      <c r="LG441" s="127"/>
      <c r="LH441" s="127"/>
      <c r="LI441" s="127"/>
      <c r="LJ441" s="127"/>
      <c r="LK441" s="127"/>
      <c r="LL441" s="127"/>
      <c r="LM441" s="127"/>
      <c r="LN441" s="127"/>
      <c r="LO441" s="127"/>
      <c r="LP441" s="127"/>
      <c r="OG441" s="127"/>
      <c r="OH441" s="127"/>
      <c r="OI441" s="127"/>
      <c r="OJ441" s="127"/>
      <c r="OK441" s="127"/>
      <c r="OL441" s="127"/>
      <c r="OM441" s="127"/>
      <c r="ON441" s="127"/>
      <c r="OO441" s="127"/>
      <c r="OP441" s="127"/>
      <c r="OQ441" s="127"/>
      <c r="OR441" s="127"/>
      <c r="OS441" s="127"/>
      <c r="OT441" s="127"/>
      <c r="OU441" s="127"/>
    </row>
    <row r="442" spans="1:411">
      <c r="A442">
        <v>84</v>
      </c>
      <c r="B442">
        <v>847</v>
      </c>
      <c r="C442" t="s">
        <v>72</v>
      </c>
      <c r="D442" t="s">
        <v>9189</v>
      </c>
      <c r="E442" s="232" t="s">
        <v>9960</v>
      </c>
      <c r="F442" t="s">
        <v>71</v>
      </c>
      <c r="G442">
        <v>2</v>
      </c>
      <c r="H442">
        <v>907.96900000000005</v>
      </c>
      <c r="I442">
        <v>906.01400000000001</v>
      </c>
      <c r="J442">
        <v>902.74699999999996</v>
      </c>
      <c r="K442">
        <v>898.476</v>
      </c>
      <c r="L442">
        <v>890.55499999999995</v>
      </c>
      <c r="M442" s="233" t="s">
        <v>532</v>
      </c>
      <c r="N442" s="233" t="s">
        <v>532</v>
      </c>
      <c r="O442" s="3" t="s">
        <v>943</v>
      </c>
      <c r="BM442" s="127"/>
      <c r="BN442" s="127"/>
      <c r="BO442" s="127"/>
      <c r="BP442" s="127"/>
      <c r="BQ442" s="127"/>
      <c r="BR442" s="127"/>
      <c r="BS442" s="127"/>
      <c r="BT442" s="127"/>
      <c r="BU442" s="127"/>
      <c r="BV442" s="127"/>
      <c r="BW442" s="127"/>
      <c r="BX442" s="127"/>
      <c r="BY442" s="127"/>
      <c r="BZ442" s="127"/>
      <c r="CA442" s="127"/>
      <c r="ER442" s="127"/>
      <c r="ES442" s="127"/>
      <c r="ET442" s="127"/>
      <c r="EU442" s="127"/>
      <c r="EV442" s="127"/>
      <c r="EW442" s="127"/>
      <c r="EX442" s="127"/>
      <c r="EY442" s="127"/>
      <c r="EZ442" s="127"/>
      <c r="FA442" s="127"/>
      <c r="FB442" s="127"/>
      <c r="FC442" s="127"/>
      <c r="FD442" s="127"/>
      <c r="FE442" s="127"/>
      <c r="FF442" s="127"/>
      <c r="HW442" s="127"/>
      <c r="HX442" s="127"/>
      <c r="HY442" s="127"/>
      <c r="HZ442" s="127"/>
      <c r="IA442" s="127"/>
      <c r="IB442" s="127"/>
      <c r="IC442" s="127"/>
      <c r="ID442" s="127"/>
      <c r="IE442" s="127"/>
      <c r="IF442" s="127"/>
      <c r="IG442" s="127"/>
      <c r="IH442" s="127"/>
      <c r="II442" s="127"/>
      <c r="IJ442" s="127"/>
      <c r="IK442" s="127"/>
      <c r="LB442" s="127"/>
      <c r="LC442" s="127"/>
      <c r="LD442" s="127"/>
      <c r="LE442" s="127"/>
      <c r="LF442" s="127"/>
      <c r="LG442" s="127"/>
      <c r="LH442" s="127"/>
      <c r="LI442" s="127"/>
      <c r="LJ442" s="127"/>
      <c r="LK442" s="127"/>
      <c r="LL442" s="127"/>
      <c r="LM442" s="127"/>
      <c r="LN442" s="127"/>
      <c r="LO442" s="127"/>
      <c r="LP442" s="127"/>
      <c r="OG442" s="127"/>
      <c r="OH442" s="127"/>
      <c r="OI442" s="127"/>
      <c r="OJ442" s="127"/>
      <c r="OK442" s="127"/>
      <c r="OL442" s="127"/>
      <c r="OM442" s="127"/>
      <c r="ON442" s="127"/>
      <c r="OO442" s="127"/>
      <c r="OP442" s="127"/>
      <c r="OQ442" s="127"/>
      <c r="OR442" s="127"/>
      <c r="OS442" s="127"/>
      <c r="OT442" s="127"/>
      <c r="OU442" s="127"/>
    </row>
    <row r="443" spans="1:411">
      <c r="A443">
        <v>84</v>
      </c>
      <c r="B443">
        <v>844</v>
      </c>
      <c r="C443" t="s">
        <v>72</v>
      </c>
      <c r="D443" t="s">
        <v>9189</v>
      </c>
      <c r="E443" s="232" t="s">
        <v>10143</v>
      </c>
      <c r="F443" t="s">
        <v>71</v>
      </c>
      <c r="G443">
        <v>2</v>
      </c>
      <c r="H443">
        <v>904.38</v>
      </c>
      <c r="I443">
        <v>902.245</v>
      </c>
      <c r="J443">
        <v>898.97900000000004</v>
      </c>
      <c r="K443">
        <v>894.52800000000002</v>
      </c>
      <c r="L443">
        <v>887.67200000000003</v>
      </c>
      <c r="M443" s="233" t="s">
        <v>532</v>
      </c>
      <c r="N443" s="233" t="s">
        <v>532</v>
      </c>
      <c r="O443" s="3" t="s">
        <v>944</v>
      </c>
      <c r="BM443" s="127"/>
      <c r="BN443" s="127"/>
      <c r="BO443" s="127"/>
      <c r="BP443" s="127"/>
      <c r="BQ443" s="127"/>
      <c r="BR443" s="127"/>
      <c r="BS443" s="127"/>
      <c r="BT443" s="127"/>
      <c r="BU443" s="127"/>
      <c r="BV443" s="127"/>
      <c r="BW443" s="127"/>
      <c r="BX443" s="127"/>
      <c r="BY443" s="127"/>
      <c r="BZ443" s="127"/>
      <c r="CA443" s="127"/>
      <c r="ER443" s="127"/>
      <c r="ES443" s="127"/>
      <c r="ET443" s="127"/>
      <c r="EU443" s="127"/>
      <c r="EV443" s="127"/>
      <c r="EW443" s="127"/>
      <c r="EX443" s="127"/>
      <c r="EY443" s="127"/>
      <c r="EZ443" s="127"/>
      <c r="FA443" s="127"/>
      <c r="FB443" s="127"/>
      <c r="FC443" s="127"/>
      <c r="FD443" s="127"/>
      <c r="FE443" s="127"/>
      <c r="FF443" s="127"/>
      <c r="HW443" s="127"/>
      <c r="HX443" s="127"/>
      <c r="HY443" s="127"/>
      <c r="HZ443" s="127"/>
      <c r="IA443" s="127"/>
      <c r="IB443" s="127"/>
      <c r="IC443" s="127"/>
      <c r="ID443" s="127"/>
      <c r="IE443" s="127"/>
      <c r="IF443" s="127"/>
      <c r="IG443" s="127"/>
      <c r="IH443" s="127"/>
      <c r="II443" s="127"/>
      <c r="IJ443" s="127"/>
      <c r="IK443" s="127"/>
      <c r="LB443" s="127"/>
      <c r="LC443" s="127"/>
      <c r="LD443" s="127"/>
      <c r="LE443" s="127"/>
      <c r="LF443" s="127"/>
      <c r="LG443" s="127"/>
      <c r="LH443" s="127"/>
      <c r="LI443" s="127"/>
      <c r="LJ443" s="127"/>
      <c r="LK443" s="127"/>
      <c r="LL443" s="127"/>
      <c r="LM443" s="127"/>
      <c r="LN443" s="127"/>
      <c r="LO443" s="127"/>
      <c r="LP443" s="127"/>
      <c r="OG443" s="127"/>
      <c r="OH443" s="127"/>
      <c r="OI443" s="127"/>
      <c r="OJ443" s="127"/>
      <c r="OK443" s="127"/>
      <c r="OL443" s="127"/>
      <c r="OM443" s="127"/>
      <c r="ON443" s="127"/>
      <c r="OO443" s="127"/>
      <c r="OP443" s="127"/>
      <c r="OQ443" s="127"/>
      <c r="OR443" s="127"/>
      <c r="OS443" s="127"/>
      <c r="OT443" s="127"/>
      <c r="OU443" s="127"/>
    </row>
    <row r="444" spans="1:411">
      <c r="A444">
        <v>84</v>
      </c>
      <c r="B444">
        <v>846</v>
      </c>
      <c r="C444" t="s">
        <v>72</v>
      </c>
      <c r="D444" t="s">
        <v>9189</v>
      </c>
      <c r="E444" s="232" t="s">
        <v>8726</v>
      </c>
      <c r="F444" t="s">
        <v>71</v>
      </c>
      <c r="G444">
        <v>2</v>
      </c>
      <c r="H444">
        <v>903.697</v>
      </c>
      <c r="I444">
        <v>901.17700000000002</v>
      </c>
      <c r="J444">
        <v>898.476</v>
      </c>
      <c r="K444">
        <v>893.75800000000004</v>
      </c>
      <c r="L444">
        <v>886.96600000000001</v>
      </c>
      <c r="M444" s="233" t="s">
        <v>532</v>
      </c>
      <c r="N444" s="233" t="s">
        <v>532</v>
      </c>
      <c r="O444" s="3" t="s">
        <v>945</v>
      </c>
      <c r="BM444" s="127"/>
      <c r="BN444" s="127"/>
      <c r="BO444" s="127"/>
      <c r="BP444" s="127"/>
      <c r="BQ444" s="127"/>
      <c r="BR444" s="127"/>
      <c r="BS444" s="127"/>
      <c r="BT444" s="127"/>
      <c r="BU444" s="127"/>
      <c r="BV444" s="127"/>
      <c r="BW444" s="127"/>
      <c r="BX444" s="127"/>
      <c r="BY444" s="127"/>
      <c r="BZ444" s="127"/>
      <c r="CA444" s="127"/>
      <c r="ER444" s="127"/>
      <c r="ES444" s="127"/>
      <c r="ET444" s="127"/>
      <c r="EU444" s="127"/>
      <c r="EV444" s="127"/>
      <c r="EW444" s="127"/>
      <c r="EX444" s="127"/>
      <c r="EY444" s="127"/>
      <c r="EZ444" s="127"/>
      <c r="FA444" s="127"/>
      <c r="FB444" s="127"/>
      <c r="FC444" s="127"/>
      <c r="FD444" s="127"/>
      <c r="FE444" s="127"/>
      <c r="FF444" s="127"/>
      <c r="HW444" s="127"/>
      <c r="HX444" s="127"/>
      <c r="HY444" s="127"/>
      <c r="HZ444" s="127"/>
      <c r="IA444" s="127"/>
      <c r="IB444" s="127"/>
      <c r="IC444" s="127"/>
      <c r="ID444" s="127"/>
      <c r="IE444" s="127"/>
      <c r="IF444" s="127"/>
      <c r="IG444" s="127"/>
      <c r="IH444" s="127"/>
      <c r="II444" s="127"/>
      <c r="IJ444" s="127"/>
      <c r="IK444" s="127"/>
      <c r="LB444" s="127"/>
      <c r="LC444" s="127"/>
      <c r="LD444" s="127"/>
      <c r="LE444" s="127"/>
      <c r="LF444" s="127"/>
      <c r="LG444" s="127"/>
      <c r="LH444" s="127"/>
      <c r="LI444" s="127"/>
      <c r="LJ444" s="127"/>
      <c r="LK444" s="127"/>
      <c r="LL444" s="127"/>
      <c r="LM444" s="127"/>
      <c r="LN444" s="127"/>
      <c r="LO444" s="127"/>
      <c r="LP444" s="127"/>
      <c r="OG444" s="127"/>
      <c r="OH444" s="127"/>
      <c r="OI444" s="127"/>
      <c r="OJ444" s="127"/>
      <c r="OK444" s="127"/>
      <c r="OL444" s="127"/>
      <c r="OM444" s="127"/>
      <c r="ON444" s="127"/>
      <c r="OO444" s="127"/>
      <c r="OP444" s="127"/>
      <c r="OQ444" s="127"/>
      <c r="OR444" s="127"/>
      <c r="OS444" s="127"/>
      <c r="OT444" s="127"/>
      <c r="OU444" s="127"/>
    </row>
    <row r="445" spans="1:411">
      <c r="A445">
        <v>84</v>
      </c>
      <c r="B445">
        <v>845</v>
      </c>
      <c r="C445" t="s">
        <v>72</v>
      </c>
      <c r="D445" t="s">
        <v>9189</v>
      </c>
      <c r="E445" s="232" t="s">
        <v>8654</v>
      </c>
      <c r="F445" t="s">
        <v>71</v>
      </c>
      <c r="G445">
        <v>2</v>
      </c>
      <c r="H445">
        <v>902.44899999999996</v>
      </c>
      <c r="I445">
        <v>899.92899999999997</v>
      </c>
      <c r="J445">
        <v>897.024</v>
      </c>
      <c r="K445">
        <v>892.30499999999995</v>
      </c>
      <c r="L445">
        <v>886.10199999999998</v>
      </c>
      <c r="M445" s="233" t="s">
        <v>532</v>
      </c>
      <c r="N445" s="233" t="s">
        <v>532</v>
      </c>
      <c r="O445" s="3" t="s">
        <v>946</v>
      </c>
      <c r="BM445" s="127"/>
      <c r="BN445" s="127"/>
      <c r="BO445" s="127"/>
      <c r="BP445" s="127"/>
      <c r="BQ445" s="127"/>
      <c r="BR445" s="127"/>
      <c r="BS445" s="127"/>
      <c r="BT445" s="127"/>
      <c r="BU445" s="127"/>
      <c r="BV445" s="127"/>
      <c r="BW445" s="127"/>
      <c r="BX445" s="127"/>
      <c r="BY445" s="127"/>
      <c r="BZ445" s="127"/>
      <c r="CA445" s="127"/>
      <c r="ER445" s="127"/>
      <c r="ES445" s="127"/>
      <c r="ET445" s="127"/>
      <c r="EU445" s="127"/>
      <c r="EV445" s="127"/>
      <c r="EW445" s="127"/>
      <c r="EX445" s="127"/>
      <c r="EY445" s="127"/>
      <c r="EZ445" s="127"/>
      <c r="FA445" s="127"/>
      <c r="FB445" s="127"/>
      <c r="FC445" s="127"/>
      <c r="FD445" s="127"/>
      <c r="FE445" s="127"/>
      <c r="FF445" s="127"/>
      <c r="HW445" s="127"/>
      <c r="HX445" s="127"/>
      <c r="HY445" s="127"/>
      <c r="HZ445" s="127"/>
      <c r="IA445" s="127"/>
      <c r="IB445" s="127"/>
      <c r="IC445" s="127"/>
      <c r="ID445" s="127"/>
      <c r="IE445" s="127"/>
      <c r="IF445" s="127"/>
      <c r="IG445" s="127"/>
      <c r="IH445" s="127"/>
      <c r="II445" s="127"/>
      <c r="IJ445" s="127"/>
      <c r="IK445" s="127"/>
      <c r="LB445" s="127"/>
      <c r="LC445" s="127"/>
      <c r="LD445" s="127"/>
      <c r="LE445" s="127"/>
      <c r="LF445" s="127"/>
      <c r="LG445" s="127"/>
      <c r="LH445" s="127"/>
      <c r="LI445" s="127"/>
      <c r="LJ445" s="127"/>
      <c r="LK445" s="127"/>
      <c r="LL445" s="127"/>
      <c r="LM445" s="127"/>
      <c r="LN445" s="127"/>
      <c r="LO445" s="127"/>
      <c r="LP445" s="127"/>
      <c r="OG445" s="127"/>
      <c r="OH445" s="127"/>
      <c r="OI445" s="127"/>
      <c r="OJ445" s="127"/>
      <c r="OK445" s="127"/>
      <c r="OL445" s="127"/>
      <c r="OM445" s="127"/>
      <c r="ON445" s="127"/>
      <c r="OO445" s="127"/>
      <c r="OP445" s="127"/>
      <c r="OQ445" s="127"/>
      <c r="OR445" s="127"/>
      <c r="OS445" s="127"/>
      <c r="OT445" s="127"/>
      <c r="OU445" s="127"/>
    </row>
    <row r="446" spans="1:411">
      <c r="A446">
        <v>75</v>
      </c>
      <c r="B446">
        <v>851</v>
      </c>
      <c r="C446" t="s">
        <v>72</v>
      </c>
      <c r="D446" t="s">
        <v>236</v>
      </c>
      <c r="E446" s="232" t="s">
        <v>9090</v>
      </c>
      <c r="F446" t="s">
        <v>70</v>
      </c>
      <c r="G446">
        <v>2</v>
      </c>
      <c r="H446">
        <v>918.41899999999998</v>
      </c>
      <c r="I446">
        <v>913.52099999999996</v>
      </c>
      <c r="J446">
        <v>909.05200000000002</v>
      </c>
      <c r="K446">
        <v>905.15800000000002</v>
      </c>
      <c r="L446">
        <v>899.51499999999999</v>
      </c>
      <c r="M446" s="233" t="s">
        <v>532</v>
      </c>
      <c r="N446" s="233" t="s">
        <v>533</v>
      </c>
      <c r="O446" s="3" t="s">
        <v>947</v>
      </c>
      <c r="BM446" s="127"/>
      <c r="BN446" s="127"/>
      <c r="BO446" s="127"/>
      <c r="BP446" s="127"/>
      <c r="BQ446" s="127"/>
      <c r="BR446" s="127"/>
      <c r="BS446" s="127"/>
      <c r="BT446" s="127"/>
      <c r="BU446" s="127"/>
      <c r="BV446" s="127"/>
      <c r="BW446" s="127"/>
      <c r="BX446" s="127"/>
      <c r="BY446" s="127"/>
      <c r="BZ446" s="127"/>
      <c r="CA446" s="127"/>
      <c r="ER446" s="127"/>
      <c r="ES446" s="127"/>
      <c r="ET446" s="127"/>
      <c r="EU446" s="127"/>
      <c r="EV446" s="127"/>
      <c r="EW446" s="127"/>
      <c r="EX446" s="127"/>
      <c r="EY446" s="127"/>
      <c r="EZ446" s="127"/>
      <c r="FA446" s="127"/>
      <c r="FB446" s="127"/>
      <c r="FC446" s="127"/>
      <c r="FD446" s="127"/>
      <c r="FE446" s="127"/>
      <c r="FF446" s="127"/>
      <c r="HW446" s="127"/>
      <c r="HX446" s="127"/>
      <c r="HY446" s="127"/>
      <c r="HZ446" s="127"/>
      <c r="IA446" s="127"/>
      <c r="IB446" s="127"/>
      <c r="IC446" s="127"/>
      <c r="ID446" s="127"/>
      <c r="IE446" s="127"/>
      <c r="IF446" s="127"/>
      <c r="IG446" s="127"/>
      <c r="IH446" s="127"/>
      <c r="II446" s="127"/>
      <c r="IJ446" s="127"/>
      <c r="IK446" s="127"/>
      <c r="LB446" s="127"/>
      <c r="LC446" s="127"/>
      <c r="LD446" s="127"/>
      <c r="LE446" s="127"/>
      <c r="LF446" s="127"/>
      <c r="LG446" s="127"/>
      <c r="LH446" s="127"/>
      <c r="LI446" s="127"/>
      <c r="LJ446" s="127"/>
      <c r="LK446" s="127"/>
      <c r="LL446" s="127"/>
      <c r="LM446" s="127"/>
      <c r="LN446" s="127"/>
      <c r="LO446" s="127"/>
      <c r="LP446" s="127"/>
      <c r="OG446" s="127"/>
      <c r="OH446" s="127"/>
      <c r="OI446" s="127"/>
      <c r="OJ446" s="127"/>
      <c r="OK446" s="127"/>
      <c r="OL446" s="127"/>
      <c r="OM446" s="127"/>
      <c r="ON446" s="127"/>
      <c r="OO446" s="127"/>
      <c r="OP446" s="127"/>
      <c r="OQ446" s="127"/>
      <c r="OR446" s="127"/>
      <c r="OS446" s="127"/>
      <c r="OT446" s="127"/>
      <c r="OU446" s="127"/>
    </row>
    <row r="447" spans="1:411">
      <c r="A447">
        <v>75</v>
      </c>
      <c r="B447">
        <v>856</v>
      </c>
      <c r="C447" t="s">
        <v>72</v>
      </c>
      <c r="D447" t="s">
        <v>236</v>
      </c>
      <c r="E447" s="232" t="s">
        <v>10184</v>
      </c>
      <c r="F447" t="s">
        <v>70</v>
      </c>
      <c r="G447">
        <v>2</v>
      </c>
      <c r="H447">
        <v>914.86699999999996</v>
      </c>
      <c r="I447">
        <v>909.63300000000004</v>
      </c>
      <c r="J447">
        <v>905.16099999999994</v>
      </c>
      <c r="K447">
        <v>901.47500000000002</v>
      </c>
      <c r="L447">
        <v>893.60900000000004</v>
      </c>
      <c r="M447" s="233" t="s">
        <v>532</v>
      </c>
      <c r="N447" s="233" t="s">
        <v>533</v>
      </c>
      <c r="O447" s="3" t="s">
        <v>948</v>
      </c>
      <c r="BM447" s="127"/>
      <c r="BN447" s="127"/>
      <c r="BO447" s="127"/>
      <c r="BP447" s="127"/>
      <c r="BQ447" s="127"/>
      <c r="BR447" s="127"/>
      <c r="BS447" s="127"/>
      <c r="BT447" s="127"/>
      <c r="BU447" s="127"/>
      <c r="BV447" s="127"/>
      <c r="BW447" s="127"/>
      <c r="BX447" s="127"/>
      <c r="BY447" s="127"/>
      <c r="BZ447" s="127"/>
      <c r="CA447" s="127"/>
      <c r="ER447" s="127"/>
      <c r="ES447" s="127"/>
      <c r="ET447" s="127"/>
      <c r="EU447" s="127"/>
      <c r="EV447" s="127"/>
      <c r="EW447" s="127"/>
      <c r="EX447" s="127"/>
      <c r="EY447" s="127"/>
      <c r="EZ447" s="127"/>
      <c r="FA447" s="127"/>
      <c r="FB447" s="127"/>
      <c r="FC447" s="127"/>
      <c r="FD447" s="127"/>
      <c r="FE447" s="127"/>
      <c r="FF447" s="127"/>
      <c r="HW447" s="127"/>
      <c r="HX447" s="127"/>
      <c r="HY447" s="127"/>
      <c r="HZ447" s="127"/>
      <c r="IA447" s="127"/>
      <c r="IB447" s="127"/>
      <c r="IC447" s="127"/>
      <c r="ID447" s="127"/>
      <c r="IE447" s="127"/>
      <c r="IF447" s="127"/>
      <c r="IG447" s="127"/>
      <c r="IH447" s="127"/>
      <c r="II447" s="127"/>
      <c r="IJ447" s="127"/>
      <c r="IK447" s="127"/>
      <c r="LB447" s="127"/>
      <c r="LC447" s="127"/>
      <c r="LD447" s="127"/>
      <c r="LE447" s="127"/>
      <c r="LF447" s="127"/>
      <c r="LG447" s="127"/>
      <c r="LH447" s="127"/>
      <c r="LI447" s="127"/>
      <c r="LJ447" s="127"/>
      <c r="LK447" s="127"/>
      <c r="LL447" s="127"/>
      <c r="LM447" s="127"/>
      <c r="LN447" s="127"/>
      <c r="LO447" s="127"/>
      <c r="LP447" s="127"/>
      <c r="OG447" s="127"/>
      <c r="OH447" s="127"/>
      <c r="OI447" s="127"/>
      <c r="OJ447" s="127"/>
      <c r="OK447" s="127"/>
      <c r="OL447" s="127"/>
      <c r="OM447" s="127"/>
      <c r="ON447" s="127"/>
      <c r="OO447" s="127"/>
      <c r="OP447" s="127"/>
      <c r="OQ447" s="127"/>
      <c r="OR447" s="127"/>
      <c r="OS447" s="127"/>
      <c r="OT447" s="127"/>
      <c r="OU447" s="127"/>
    </row>
    <row r="448" spans="1:411">
      <c r="A448">
        <v>75</v>
      </c>
      <c r="B448">
        <v>855</v>
      </c>
      <c r="C448" t="s">
        <v>72</v>
      </c>
      <c r="D448" t="s">
        <v>236</v>
      </c>
      <c r="E448" s="232" t="s">
        <v>10283</v>
      </c>
      <c r="F448" t="s">
        <v>70</v>
      </c>
      <c r="G448">
        <v>2</v>
      </c>
      <c r="H448">
        <v>912.33799999999997</v>
      </c>
      <c r="I448">
        <v>907.15899999999999</v>
      </c>
      <c r="J448">
        <v>903.03399999999999</v>
      </c>
      <c r="K448">
        <v>898.68899999999996</v>
      </c>
      <c r="L448">
        <v>891.05499999999995</v>
      </c>
      <c r="M448" s="233" t="s">
        <v>532</v>
      </c>
      <c r="N448" s="233" t="s">
        <v>533</v>
      </c>
      <c r="O448" s="3" t="s">
        <v>949</v>
      </c>
      <c r="BM448" s="127"/>
      <c r="BN448" s="127"/>
      <c r="BO448" s="127"/>
      <c r="BP448" s="127"/>
      <c r="BQ448" s="127"/>
      <c r="BR448" s="127"/>
      <c r="BS448" s="127"/>
      <c r="BT448" s="127"/>
      <c r="BU448" s="127"/>
      <c r="BV448" s="127"/>
      <c r="BW448" s="127"/>
      <c r="BX448" s="127"/>
      <c r="BY448" s="127"/>
      <c r="BZ448" s="127"/>
      <c r="CA448" s="127"/>
      <c r="ER448" s="127"/>
      <c r="ES448" s="127"/>
      <c r="ET448" s="127"/>
      <c r="EU448" s="127"/>
      <c r="EV448" s="127"/>
      <c r="EW448" s="127"/>
      <c r="EX448" s="127"/>
      <c r="EY448" s="127"/>
      <c r="EZ448" s="127"/>
      <c r="FA448" s="127"/>
      <c r="FB448" s="127"/>
      <c r="FC448" s="127"/>
      <c r="FD448" s="127"/>
      <c r="FE448" s="127"/>
      <c r="FF448" s="127"/>
      <c r="HW448" s="127"/>
      <c r="HX448" s="127"/>
      <c r="HY448" s="127"/>
      <c r="HZ448" s="127"/>
      <c r="IA448" s="127"/>
      <c r="IB448" s="127"/>
      <c r="IC448" s="127"/>
      <c r="ID448" s="127"/>
      <c r="IE448" s="127"/>
      <c r="IF448" s="127"/>
      <c r="IG448" s="127"/>
      <c r="IH448" s="127"/>
      <c r="II448" s="127"/>
      <c r="IJ448" s="127"/>
      <c r="IK448" s="127"/>
      <c r="LB448" s="127"/>
      <c r="LC448" s="127"/>
      <c r="LD448" s="127"/>
      <c r="LE448" s="127"/>
      <c r="LF448" s="127"/>
      <c r="LG448" s="127"/>
      <c r="LH448" s="127"/>
      <c r="LI448" s="127"/>
      <c r="LJ448" s="127"/>
      <c r="LK448" s="127"/>
      <c r="LL448" s="127"/>
      <c r="LM448" s="127"/>
      <c r="LN448" s="127"/>
      <c r="LO448" s="127"/>
      <c r="LP448" s="127"/>
      <c r="OG448" s="127"/>
      <c r="OH448" s="127"/>
      <c r="OI448" s="127"/>
      <c r="OJ448" s="127"/>
      <c r="OK448" s="127"/>
      <c r="OL448" s="127"/>
      <c r="OM448" s="127"/>
      <c r="ON448" s="127"/>
      <c r="OO448" s="127"/>
      <c r="OP448" s="127"/>
      <c r="OQ448" s="127"/>
      <c r="OR448" s="127"/>
      <c r="OS448" s="127"/>
      <c r="OT448" s="127"/>
      <c r="OU448" s="127"/>
    </row>
    <row r="449" spans="1:411">
      <c r="A449">
        <v>75</v>
      </c>
      <c r="B449">
        <v>859</v>
      </c>
      <c r="C449" t="s">
        <v>72</v>
      </c>
      <c r="D449" t="s">
        <v>236</v>
      </c>
      <c r="E449" s="232" t="s">
        <v>10559</v>
      </c>
      <c r="F449" t="s">
        <v>70</v>
      </c>
      <c r="G449">
        <v>2</v>
      </c>
      <c r="H449">
        <v>906.90599999999995</v>
      </c>
      <c r="I449">
        <v>901.86599999999999</v>
      </c>
      <c r="J449">
        <v>896.91</v>
      </c>
      <c r="K449">
        <v>893.90200000000004</v>
      </c>
      <c r="L449">
        <v>887.53599999999994</v>
      </c>
      <c r="M449" s="233" t="s">
        <v>532</v>
      </c>
      <c r="N449" s="233" t="s">
        <v>533</v>
      </c>
      <c r="O449" s="3" t="s">
        <v>950</v>
      </c>
      <c r="BM449" s="127"/>
      <c r="BN449" s="127"/>
      <c r="BO449" s="127"/>
      <c r="BP449" s="127"/>
      <c r="BQ449" s="127"/>
      <c r="BR449" s="127"/>
      <c r="BS449" s="127"/>
      <c r="BT449" s="127"/>
      <c r="BU449" s="127"/>
      <c r="BV449" s="127"/>
      <c r="BW449" s="127"/>
      <c r="BX449" s="127"/>
      <c r="BY449" s="127"/>
      <c r="BZ449" s="127"/>
      <c r="CA449" s="127"/>
      <c r="ER449" s="127"/>
      <c r="ES449" s="127"/>
      <c r="ET449" s="127"/>
      <c r="EU449" s="127"/>
      <c r="EV449" s="127"/>
      <c r="EW449" s="127"/>
      <c r="EX449" s="127"/>
      <c r="EY449" s="127"/>
      <c r="EZ449" s="127"/>
      <c r="FA449" s="127"/>
      <c r="FB449" s="127"/>
      <c r="FC449" s="127"/>
      <c r="FD449" s="127"/>
      <c r="FE449" s="127"/>
      <c r="FF449" s="127"/>
      <c r="HW449" s="127"/>
      <c r="HX449" s="127"/>
      <c r="HY449" s="127"/>
      <c r="HZ449" s="127"/>
      <c r="IA449" s="127"/>
      <c r="IB449" s="127"/>
      <c r="IC449" s="127"/>
      <c r="ID449" s="127"/>
      <c r="IE449" s="127"/>
      <c r="IF449" s="127"/>
      <c r="IG449" s="127"/>
      <c r="IH449" s="127"/>
      <c r="II449" s="127"/>
      <c r="IJ449" s="127"/>
      <c r="IK449" s="127"/>
      <c r="LB449" s="127"/>
      <c r="LC449" s="127"/>
      <c r="LD449" s="127"/>
      <c r="LE449" s="127"/>
      <c r="LF449" s="127"/>
      <c r="LG449" s="127"/>
      <c r="LH449" s="127"/>
      <c r="LI449" s="127"/>
      <c r="LJ449" s="127"/>
      <c r="LK449" s="127"/>
      <c r="LL449" s="127"/>
      <c r="LM449" s="127"/>
      <c r="LN449" s="127"/>
      <c r="LO449" s="127"/>
      <c r="LP449" s="127"/>
      <c r="OG449" s="127"/>
      <c r="OH449" s="127"/>
      <c r="OI449" s="127"/>
      <c r="OJ449" s="127"/>
      <c r="OK449" s="127"/>
      <c r="OL449" s="127"/>
      <c r="OM449" s="127"/>
      <c r="ON449" s="127"/>
      <c r="OO449" s="127"/>
      <c r="OP449" s="127"/>
      <c r="OQ449" s="127"/>
      <c r="OR449" s="127"/>
      <c r="OS449" s="127"/>
      <c r="OT449" s="127"/>
      <c r="OU449" s="127"/>
    </row>
    <row r="450" spans="1:411">
      <c r="A450">
        <v>76</v>
      </c>
      <c r="B450">
        <v>880</v>
      </c>
      <c r="C450" t="s">
        <v>72</v>
      </c>
      <c r="D450" t="s">
        <v>236</v>
      </c>
      <c r="E450" s="232" t="s">
        <v>9835</v>
      </c>
      <c r="F450" t="s">
        <v>71</v>
      </c>
      <c r="G450">
        <v>2</v>
      </c>
      <c r="H450">
        <v>906.93600000000004</v>
      </c>
      <c r="I450">
        <v>901.28800000000001</v>
      </c>
      <c r="J450">
        <v>897.42399999999998</v>
      </c>
      <c r="K450">
        <v>894.18100000000004</v>
      </c>
      <c r="L450">
        <v>886.3</v>
      </c>
      <c r="M450" s="233" t="s">
        <v>532</v>
      </c>
      <c r="N450" s="233" t="s">
        <v>533</v>
      </c>
      <c r="O450" s="3" t="s">
        <v>951</v>
      </c>
      <c r="BM450" s="127"/>
      <c r="BN450" s="127"/>
      <c r="BO450" s="127"/>
      <c r="BP450" s="127"/>
      <c r="BQ450" s="127"/>
      <c r="BR450" s="127"/>
      <c r="BS450" s="127"/>
      <c r="BT450" s="127"/>
      <c r="BU450" s="127"/>
      <c r="BV450" s="127"/>
      <c r="BW450" s="127"/>
      <c r="BX450" s="127"/>
      <c r="BY450" s="127"/>
      <c r="BZ450" s="127"/>
      <c r="CA450" s="127"/>
      <c r="ER450" s="127"/>
      <c r="ES450" s="127"/>
      <c r="ET450" s="127"/>
      <c r="EU450" s="127"/>
      <c r="EV450" s="127"/>
      <c r="EW450" s="127"/>
      <c r="EX450" s="127"/>
      <c r="EY450" s="127"/>
      <c r="EZ450" s="127"/>
      <c r="FA450" s="127"/>
      <c r="FB450" s="127"/>
      <c r="FC450" s="127"/>
      <c r="FD450" s="127"/>
      <c r="FE450" s="127"/>
      <c r="FF450" s="127"/>
      <c r="HW450" s="127"/>
      <c r="HX450" s="127"/>
      <c r="HY450" s="127"/>
      <c r="HZ450" s="127"/>
      <c r="IA450" s="127"/>
      <c r="IB450" s="127"/>
      <c r="IC450" s="127"/>
      <c r="ID450" s="127"/>
      <c r="IE450" s="127"/>
      <c r="IF450" s="127"/>
      <c r="IG450" s="127"/>
      <c r="IH450" s="127"/>
      <c r="II450" s="127"/>
      <c r="IJ450" s="127"/>
      <c r="IK450" s="127"/>
      <c r="LB450" s="127"/>
      <c r="LC450" s="127"/>
      <c r="LD450" s="127"/>
      <c r="LE450" s="127"/>
      <c r="LF450" s="127"/>
      <c r="LG450" s="127"/>
      <c r="LH450" s="127"/>
      <c r="LI450" s="127"/>
      <c r="LJ450" s="127"/>
      <c r="LK450" s="127"/>
      <c r="LL450" s="127"/>
      <c r="LM450" s="127"/>
      <c r="LN450" s="127"/>
      <c r="LO450" s="127"/>
      <c r="LP450" s="127"/>
      <c r="OG450" s="127"/>
      <c r="OH450" s="127"/>
      <c r="OI450" s="127"/>
      <c r="OJ450" s="127"/>
      <c r="OK450" s="127"/>
      <c r="OL450" s="127"/>
      <c r="OM450" s="127"/>
      <c r="ON450" s="127"/>
      <c r="OO450" s="127"/>
      <c r="OP450" s="127"/>
      <c r="OQ450" s="127"/>
      <c r="OR450" s="127"/>
      <c r="OS450" s="127"/>
      <c r="OT450" s="127"/>
      <c r="OU450" s="127"/>
    </row>
    <row r="451" spans="1:411">
      <c r="A451">
        <v>76</v>
      </c>
      <c r="B451">
        <v>890</v>
      </c>
      <c r="C451" t="s">
        <v>72</v>
      </c>
      <c r="D451" t="s">
        <v>236</v>
      </c>
      <c r="E451" s="232" t="s">
        <v>8534</v>
      </c>
      <c r="F451" t="s">
        <v>71</v>
      </c>
      <c r="G451">
        <v>2</v>
      </c>
      <c r="H451">
        <v>902.34100000000001</v>
      </c>
      <c r="I451">
        <v>899.89499999999998</v>
      </c>
      <c r="J451">
        <v>896.25</v>
      </c>
      <c r="K451">
        <v>893.00400000000002</v>
      </c>
      <c r="L451">
        <v>885.68</v>
      </c>
      <c r="M451" s="233" t="s">
        <v>532</v>
      </c>
      <c r="N451" s="233" t="s">
        <v>533</v>
      </c>
      <c r="O451" s="3" t="s">
        <v>952</v>
      </c>
      <c r="BM451" s="127"/>
      <c r="BN451" s="127"/>
      <c r="BO451" s="127"/>
      <c r="BP451" s="127"/>
      <c r="BQ451" s="127"/>
      <c r="BR451" s="127"/>
      <c r="BS451" s="127"/>
      <c r="BT451" s="127"/>
      <c r="BU451" s="127"/>
      <c r="BV451" s="127"/>
      <c r="BW451" s="127"/>
      <c r="BX451" s="127"/>
      <c r="BY451" s="127"/>
      <c r="BZ451" s="127"/>
      <c r="CA451" s="127"/>
      <c r="ER451" s="127"/>
      <c r="ES451" s="127"/>
      <c r="ET451" s="127"/>
      <c r="EU451" s="127"/>
      <c r="EV451" s="127"/>
      <c r="EW451" s="127"/>
      <c r="EX451" s="127"/>
      <c r="EY451" s="127"/>
      <c r="EZ451" s="127"/>
      <c r="FA451" s="127"/>
      <c r="FB451" s="127"/>
      <c r="FC451" s="127"/>
      <c r="FD451" s="127"/>
      <c r="FE451" s="127"/>
      <c r="FF451" s="127"/>
      <c r="HW451" s="127"/>
      <c r="HX451" s="127"/>
      <c r="HY451" s="127"/>
      <c r="HZ451" s="127"/>
      <c r="IA451" s="127"/>
      <c r="IB451" s="127"/>
      <c r="IC451" s="127"/>
      <c r="ID451" s="127"/>
      <c r="IE451" s="127"/>
      <c r="IF451" s="127"/>
      <c r="IG451" s="127"/>
      <c r="IH451" s="127"/>
      <c r="II451" s="127"/>
      <c r="IJ451" s="127"/>
      <c r="IK451" s="127"/>
      <c r="LB451" s="127"/>
      <c r="LC451" s="127"/>
      <c r="LD451" s="127"/>
      <c r="LE451" s="127"/>
      <c r="LF451" s="127"/>
      <c r="LG451" s="127"/>
      <c r="LH451" s="127"/>
      <c r="LI451" s="127"/>
      <c r="LJ451" s="127"/>
      <c r="LK451" s="127"/>
      <c r="LL451" s="127"/>
      <c r="LM451" s="127"/>
      <c r="LN451" s="127"/>
      <c r="LO451" s="127"/>
      <c r="LP451" s="127"/>
      <c r="OG451" s="127"/>
      <c r="OH451" s="127"/>
      <c r="OI451" s="127"/>
      <c r="OJ451" s="127"/>
      <c r="OK451" s="127"/>
      <c r="OL451" s="127"/>
      <c r="OM451" s="127"/>
      <c r="ON451" s="127"/>
      <c r="OO451" s="127"/>
      <c r="OP451" s="127"/>
      <c r="OQ451" s="127"/>
      <c r="OR451" s="127"/>
      <c r="OS451" s="127"/>
      <c r="OT451" s="127"/>
      <c r="OU451" s="127"/>
    </row>
    <row r="452" spans="1:411">
      <c r="A452">
        <v>76</v>
      </c>
      <c r="B452">
        <v>876</v>
      </c>
      <c r="C452" t="s">
        <v>72</v>
      </c>
      <c r="D452" t="s">
        <v>236</v>
      </c>
      <c r="E452" s="232" t="s">
        <v>10339</v>
      </c>
      <c r="F452" t="s">
        <v>71</v>
      </c>
      <c r="G452">
        <v>2</v>
      </c>
      <c r="H452">
        <v>905.28</v>
      </c>
      <c r="I452">
        <v>899.89499999999998</v>
      </c>
      <c r="J452">
        <v>895.73900000000003</v>
      </c>
      <c r="K452">
        <v>892.23699999999997</v>
      </c>
      <c r="L452">
        <v>885.53599999999994</v>
      </c>
      <c r="M452" s="233" t="s">
        <v>532</v>
      </c>
      <c r="N452" s="233" t="s">
        <v>533</v>
      </c>
      <c r="O452" s="3" t="s">
        <v>953</v>
      </c>
      <c r="BM452" s="127"/>
      <c r="BN452" s="127"/>
      <c r="BO452" s="127"/>
      <c r="BP452" s="127"/>
      <c r="BQ452" s="127"/>
      <c r="BR452" s="127"/>
      <c r="BS452" s="127"/>
      <c r="BT452" s="127"/>
      <c r="BU452" s="127"/>
      <c r="BV452" s="127"/>
      <c r="BW452" s="127"/>
      <c r="BX452" s="127"/>
      <c r="BY452" s="127"/>
      <c r="BZ452" s="127"/>
      <c r="CA452" s="127"/>
      <c r="ER452" s="127"/>
      <c r="ES452" s="127"/>
      <c r="ET452" s="127"/>
      <c r="EU452" s="127"/>
      <c r="EV452" s="127"/>
      <c r="EW452" s="127"/>
      <c r="EX452" s="127"/>
      <c r="EY452" s="127"/>
      <c r="EZ452" s="127"/>
      <c r="FA452" s="127"/>
      <c r="FB452" s="127"/>
      <c r="FC452" s="127"/>
      <c r="FD452" s="127"/>
      <c r="FE452" s="127"/>
      <c r="FF452" s="127"/>
      <c r="HW452" s="127"/>
      <c r="HX452" s="127"/>
      <c r="HY452" s="127"/>
      <c r="HZ452" s="127"/>
      <c r="IA452" s="127"/>
      <c r="IB452" s="127"/>
      <c r="IC452" s="127"/>
      <c r="ID452" s="127"/>
      <c r="IE452" s="127"/>
      <c r="IF452" s="127"/>
      <c r="IG452" s="127"/>
      <c r="IH452" s="127"/>
      <c r="II452" s="127"/>
      <c r="IJ452" s="127"/>
      <c r="IK452" s="127"/>
      <c r="LB452" s="127"/>
      <c r="LC452" s="127"/>
      <c r="LD452" s="127"/>
      <c r="LE452" s="127"/>
      <c r="LF452" s="127"/>
      <c r="LG452" s="127"/>
      <c r="LH452" s="127"/>
      <c r="LI452" s="127"/>
      <c r="LJ452" s="127"/>
      <c r="LK452" s="127"/>
      <c r="LL452" s="127"/>
      <c r="LM452" s="127"/>
      <c r="LN452" s="127"/>
      <c r="LO452" s="127"/>
      <c r="LP452" s="127"/>
      <c r="OG452" s="127"/>
      <c r="OH452" s="127"/>
      <c r="OI452" s="127"/>
      <c r="OJ452" s="127"/>
      <c r="OK452" s="127"/>
      <c r="OL452" s="127"/>
      <c r="OM452" s="127"/>
      <c r="ON452" s="127"/>
      <c r="OO452" s="127"/>
      <c r="OP452" s="127"/>
      <c r="OQ452" s="127"/>
      <c r="OR452" s="127"/>
      <c r="OS452" s="127"/>
      <c r="OT452" s="127"/>
      <c r="OU452" s="127"/>
    </row>
    <row r="453" spans="1:411">
      <c r="A453">
        <v>77</v>
      </c>
      <c r="B453">
        <v>877</v>
      </c>
      <c r="C453" t="s">
        <v>72</v>
      </c>
      <c r="D453" t="s">
        <v>236</v>
      </c>
      <c r="E453" s="232" t="s">
        <v>9757</v>
      </c>
      <c r="F453" t="s">
        <v>71</v>
      </c>
      <c r="G453">
        <v>2</v>
      </c>
      <c r="H453">
        <v>906.22299999999996</v>
      </c>
      <c r="I453">
        <v>900.76800000000003</v>
      </c>
      <c r="J453">
        <v>897.05799999999999</v>
      </c>
      <c r="K453">
        <v>893.65099999999995</v>
      </c>
      <c r="L453">
        <v>886.77300000000002</v>
      </c>
      <c r="M453" s="233" t="s">
        <v>532</v>
      </c>
      <c r="N453" s="233" t="s">
        <v>533</v>
      </c>
      <c r="O453" s="3" t="s">
        <v>954</v>
      </c>
      <c r="BM453" s="127"/>
      <c r="BN453" s="127"/>
      <c r="BO453" s="127"/>
      <c r="BP453" s="127"/>
      <c r="BQ453" s="127"/>
      <c r="BR453" s="127"/>
      <c r="BS453" s="127"/>
      <c r="BT453" s="127"/>
      <c r="BU453" s="127"/>
      <c r="BV453" s="127"/>
      <c r="BW453" s="127"/>
      <c r="BX453" s="127"/>
      <c r="BY453" s="127"/>
      <c r="BZ453" s="127"/>
      <c r="CA453" s="127"/>
      <c r="ER453" s="127"/>
      <c r="ES453" s="127"/>
      <c r="ET453" s="127"/>
      <c r="EU453" s="127"/>
      <c r="EV453" s="127"/>
      <c r="EW453" s="127"/>
      <c r="EX453" s="127"/>
      <c r="EY453" s="127"/>
      <c r="EZ453" s="127"/>
      <c r="FA453" s="127"/>
      <c r="FB453" s="127"/>
      <c r="FC453" s="127"/>
      <c r="FD453" s="127"/>
      <c r="FE453" s="127"/>
      <c r="FF453" s="127"/>
      <c r="HW453" s="127"/>
      <c r="HX453" s="127"/>
      <c r="HY453" s="127"/>
      <c r="HZ453" s="127"/>
      <c r="IA453" s="127"/>
      <c r="IB453" s="127"/>
      <c r="IC453" s="127"/>
      <c r="ID453" s="127"/>
      <c r="IE453" s="127"/>
      <c r="IF453" s="127"/>
      <c r="IG453" s="127"/>
      <c r="IH453" s="127"/>
      <c r="II453" s="127"/>
      <c r="IJ453" s="127"/>
      <c r="IK453" s="127"/>
      <c r="LB453" s="127"/>
      <c r="LC453" s="127"/>
      <c r="LD453" s="127"/>
      <c r="LE453" s="127"/>
      <c r="LF453" s="127"/>
      <c r="LG453" s="127"/>
      <c r="LH453" s="127"/>
      <c r="LI453" s="127"/>
      <c r="LJ453" s="127"/>
      <c r="LK453" s="127"/>
      <c r="LL453" s="127"/>
      <c r="LM453" s="127"/>
      <c r="LN453" s="127"/>
      <c r="LO453" s="127"/>
      <c r="LP453" s="127"/>
      <c r="OG453" s="127"/>
      <c r="OH453" s="127"/>
      <c r="OI453" s="127"/>
      <c r="OJ453" s="127"/>
      <c r="OK453" s="127"/>
      <c r="OL453" s="127"/>
      <c r="OM453" s="127"/>
      <c r="ON453" s="127"/>
      <c r="OO453" s="127"/>
      <c r="OP453" s="127"/>
      <c r="OQ453" s="127"/>
      <c r="OR453" s="127"/>
      <c r="OS453" s="127"/>
      <c r="OT453" s="127"/>
      <c r="OU453" s="127"/>
    </row>
    <row r="454" spans="1:411">
      <c r="A454">
        <v>77</v>
      </c>
      <c r="B454">
        <v>879</v>
      </c>
      <c r="C454" t="s">
        <v>72</v>
      </c>
      <c r="D454" t="s">
        <v>236</v>
      </c>
      <c r="E454" s="232" t="s">
        <v>10279</v>
      </c>
      <c r="F454" t="s">
        <v>71</v>
      </c>
      <c r="G454">
        <v>2</v>
      </c>
      <c r="H454">
        <v>906.22299999999996</v>
      </c>
      <c r="I454">
        <v>900.76800000000003</v>
      </c>
      <c r="J454">
        <v>897.05799999999999</v>
      </c>
      <c r="K454">
        <v>893.65099999999995</v>
      </c>
      <c r="L454">
        <v>886.77300000000002</v>
      </c>
      <c r="M454" s="233" t="s">
        <v>532</v>
      </c>
      <c r="N454" s="233" t="s">
        <v>533</v>
      </c>
      <c r="O454" s="3" t="s">
        <v>955</v>
      </c>
      <c r="BM454" s="127"/>
      <c r="BN454" s="127"/>
      <c r="BO454" s="127"/>
      <c r="BP454" s="127"/>
      <c r="BQ454" s="127"/>
      <c r="BR454" s="127"/>
      <c r="BS454" s="127"/>
      <c r="BT454" s="127"/>
      <c r="BU454" s="127"/>
      <c r="BV454" s="127"/>
      <c r="BW454" s="127"/>
      <c r="BX454" s="127"/>
      <c r="BY454" s="127"/>
      <c r="BZ454" s="127"/>
      <c r="CA454" s="127"/>
      <c r="ER454" s="127"/>
      <c r="ES454" s="127"/>
      <c r="ET454" s="127"/>
      <c r="EU454" s="127"/>
      <c r="EV454" s="127"/>
      <c r="EW454" s="127"/>
      <c r="EX454" s="127"/>
      <c r="EY454" s="127"/>
      <c r="EZ454" s="127"/>
      <c r="FA454" s="127"/>
      <c r="FB454" s="127"/>
      <c r="FC454" s="127"/>
      <c r="FD454" s="127"/>
      <c r="FE454" s="127"/>
      <c r="FF454" s="127"/>
      <c r="HW454" s="127"/>
      <c r="HX454" s="127"/>
      <c r="HY454" s="127"/>
      <c r="HZ454" s="127"/>
      <c r="IA454" s="127"/>
      <c r="IB454" s="127"/>
      <c r="IC454" s="127"/>
      <c r="ID454" s="127"/>
      <c r="IE454" s="127"/>
      <c r="IF454" s="127"/>
      <c r="IG454" s="127"/>
      <c r="IH454" s="127"/>
      <c r="II454" s="127"/>
      <c r="IJ454" s="127"/>
      <c r="IK454" s="127"/>
      <c r="LB454" s="127"/>
      <c r="LC454" s="127"/>
      <c r="LD454" s="127"/>
      <c r="LE454" s="127"/>
      <c r="LF454" s="127"/>
      <c r="LG454" s="127"/>
      <c r="LH454" s="127"/>
      <c r="LI454" s="127"/>
      <c r="LJ454" s="127"/>
      <c r="LK454" s="127"/>
      <c r="LL454" s="127"/>
      <c r="LM454" s="127"/>
      <c r="LN454" s="127"/>
      <c r="LO454" s="127"/>
      <c r="LP454" s="127"/>
      <c r="OG454" s="127"/>
      <c r="OH454" s="127"/>
      <c r="OI454" s="127"/>
      <c r="OJ454" s="127"/>
      <c r="OK454" s="127"/>
      <c r="OL454" s="127"/>
      <c r="OM454" s="127"/>
      <c r="ON454" s="127"/>
      <c r="OO454" s="127"/>
      <c r="OP454" s="127"/>
      <c r="OQ454" s="127"/>
      <c r="OR454" s="127"/>
      <c r="OS454" s="127"/>
      <c r="OT454" s="127"/>
      <c r="OU454" s="127"/>
    </row>
    <row r="455" spans="1:411">
      <c r="A455">
        <v>76</v>
      </c>
      <c r="B455">
        <v>878</v>
      </c>
      <c r="C455" t="s">
        <v>72</v>
      </c>
      <c r="D455" t="s">
        <v>236</v>
      </c>
      <c r="E455" s="232" t="s">
        <v>10466</v>
      </c>
      <c r="F455" t="s">
        <v>71</v>
      </c>
      <c r="G455">
        <v>2</v>
      </c>
      <c r="H455">
        <v>903.33600000000001</v>
      </c>
      <c r="I455">
        <v>897.8</v>
      </c>
      <c r="J455">
        <v>893.53</v>
      </c>
      <c r="K455">
        <v>890.47500000000002</v>
      </c>
      <c r="L455">
        <v>882.93700000000001</v>
      </c>
      <c r="M455" s="233" t="s">
        <v>532</v>
      </c>
      <c r="N455" s="233" t="s">
        <v>533</v>
      </c>
      <c r="O455" s="3" t="s">
        <v>956</v>
      </c>
      <c r="BM455" s="127"/>
      <c r="BN455" s="127"/>
      <c r="BO455" s="127"/>
      <c r="BP455" s="127"/>
      <c r="BQ455" s="127"/>
      <c r="BR455" s="127"/>
      <c r="BS455" s="127"/>
      <c r="BT455" s="127"/>
      <c r="BU455" s="127"/>
      <c r="BV455" s="127"/>
      <c r="BW455" s="127"/>
      <c r="BX455" s="127"/>
      <c r="BY455" s="127"/>
      <c r="BZ455" s="127"/>
      <c r="CA455" s="127"/>
      <c r="ER455" s="127"/>
      <c r="ES455" s="127"/>
      <c r="ET455" s="127"/>
      <c r="EU455" s="127"/>
      <c r="EV455" s="127"/>
      <c r="EW455" s="127"/>
      <c r="EX455" s="127"/>
      <c r="EY455" s="127"/>
      <c r="EZ455" s="127"/>
      <c r="FA455" s="127"/>
      <c r="FB455" s="127"/>
      <c r="FC455" s="127"/>
      <c r="FD455" s="127"/>
      <c r="FE455" s="127"/>
      <c r="FF455" s="127"/>
      <c r="HW455" s="127"/>
      <c r="HX455" s="127"/>
      <c r="HY455" s="127"/>
      <c r="HZ455" s="127"/>
      <c r="IA455" s="127"/>
      <c r="IB455" s="127"/>
      <c r="IC455" s="127"/>
      <c r="ID455" s="127"/>
      <c r="IE455" s="127"/>
      <c r="IF455" s="127"/>
      <c r="IG455" s="127"/>
      <c r="IH455" s="127"/>
      <c r="II455" s="127"/>
      <c r="IJ455" s="127"/>
      <c r="IK455" s="127"/>
      <c r="LB455" s="127"/>
      <c r="LC455" s="127"/>
      <c r="LD455" s="127"/>
      <c r="LE455" s="127"/>
      <c r="LF455" s="127"/>
      <c r="LG455" s="127"/>
      <c r="LH455" s="127"/>
      <c r="LI455" s="127"/>
      <c r="LJ455" s="127"/>
      <c r="LK455" s="127"/>
      <c r="LL455" s="127"/>
      <c r="LM455" s="127"/>
      <c r="LN455" s="127"/>
      <c r="LO455" s="127"/>
      <c r="LP455" s="127"/>
      <c r="OG455" s="127"/>
      <c r="OH455" s="127"/>
      <c r="OI455" s="127"/>
      <c r="OJ455" s="127"/>
      <c r="OK455" s="127"/>
      <c r="OL455" s="127"/>
      <c r="OM455" s="127"/>
      <c r="ON455" s="127"/>
      <c r="OO455" s="127"/>
      <c r="OP455" s="127"/>
      <c r="OQ455" s="127"/>
      <c r="OR455" s="127"/>
      <c r="OS455" s="127"/>
      <c r="OT455" s="127"/>
      <c r="OU455" s="127"/>
    </row>
    <row r="456" spans="1:411">
      <c r="A456">
        <v>77</v>
      </c>
      <c r="B456">
        <v>870</v>
      </c>
      <c r="C456" t="s">
        <v>72</v>
      </c>
      <c r="D456" t="s">
        <v>236</v>
      </c>
      <c r="E456" s="232" t="s">
        <v>489</v>
      </c>
      <c r="F456" t="s">
        <v>71</v>
      </c>
      <c r="G456">
        <v>2</v>
      </c>
      <c r="H456">
        <v>903.88099999999997</v>
      </c>
      <c r="I456">
        <v>898.38300000000004</v>
      </c>
      <c r="J456">
        <v>894.59100000000001</v>
      </c>
      <c r="K456">
        <v>891.44299999999998</v>
      </c>
      <c r="L456">
        <v>884.30399999999997</v>
      </c>
      <c r="M456" s="233" t="s">
        <v>532</v>
      </c>
      <c r="N456" s="233" t="s">
        <v>533</v>
      </c>
      <c r="O456" s="3" t="s">
        <v>957</v>
      </c>
      <c r="BM456" s="127"/>
      <c r="BN456" s="127"/>
      <c r="BO456" s="127"/>
      <c r="BP456" s="127"/>
      <c r="BQ456" s="127"/>
      <c r="BR456" s="127"/>
      <c r="BS456" s="127"/>
      <c r="BT456" s="127"/>
      <c r="BU456" s="127"/>
      <c r="BV456" s="127"/>
      <c r="BW456" s="127"/>
      <c r="BX456" s="127"/>
      <c r="BY456" s="127"/>
      <c r="BZ456" s="127"/>
      <c r="CA456" s="127"/>
      <c r="ER456" s="127"/>
      <c r="ES456" s="127"/>
      <c r="ET456" s="127"/>
      <c r="EU456" s="127"/>
      <c r="EV456" s="127"/>
      <c r="EW456" s="127"/>
      <c r="EX456" s="127"/>
      <c r="EY456" s="127"/>
      <c r="EZ456" s="127"/>
      <c r="FA456" s="127"/>
      <c r="FB456" s="127"/>
      <c r="FC456" s="127"/>
      <c r="FD456" s="127"/>
      <c r="FE456" s="127"/>
      <c r="FF456" s="127"/>
      <c r="HW456" s="127"/>
      <c r="HX456" s="127"/>
      <c r="HY456" s="127"/>
      <c r="HZ456" s="127"/>
      <c r="IA456" s="127"/>
      <c r="IB456" s="127"/>
      <c r="IC456" s="127"/>
      <c r="ID456" s="127"/>
      <c r="IE456" s="127"/>
      <c r="IF456" s="127"/>
      <c r="IG456" s="127"/>
      <c r="IH456" s="127"/>
      <c r="II456" s="127"/>
      <c r="IJ456" s="127"/>
      <c r="IK456" s="127"/>
      <c r="LB456" s="127"/>
      <c r="LC456" s="127"/>
      <c r="LD456" s="127"/>
      <c r="LE456" s="127"/>
      <c r="LF456" s="127"/>
      <c r="LG456" s="127"/>
      <c r="LH456" s="127"/>
      <c r="LI456" s="127"/>
      <c r="LJ456" s="127"/>
      <c r="LK456" s="127"/>
      <c r="LL456" s="127"/>
      <c r="LM456" s="127"/>
      <c r="LN456" s="127"/>
      <c r="LO456" s="127"/>
      <c r="LP456" s="127"/>
      <c r="OG456" s="127"/>
      <c r="OH456" s="127"/>
      <c r="OI456" s="127"/>
      <c r="OJ456" s="127"/>
      <c r="OK456" s="127"/>
      <c r="OL456" s="127"/>
      <c r="OM456" s="127"/>
      <c r="ON456" s="127"/>
      <c r="OO456" s="127"/>
      <c r="OP456" s="127"/>
      <c r="OQ456" s="127"/>
      <c r="OR456" s="127"/>
      <c r="OS456" s="127"/>
      <c r="OT456" s="127"/>
      <c r="OU456" s="127"/>
    </row>
    <row r="457" spans="1:411">
      <c r="A457">
        <v>77</v>
      </c>
      <c r="B457">
        <v>871</v>
      </c>
      <c r="C457" t="s">
        <v>72</v>
      </c>
      <c r="D457" t="s">
        <v>236</v>
      </c>
      <c r="E457" s="232" t="s">
        <v>8659</v>
      </c>
      <c r="F457" t="s">
        <v>71</v>
      </c>
      <c r="G457">
        <v>2</v>
      </c>
      <c r="H457">
        <v>902.96</v>
      </c>
      <c r="I457">
        <v>897.57299999999998</v>
      </c>
      <c r="J457">
        <v>893.65099999999995</v>
      </c>
      <c r="K457">
        <v>890.81899999999996</v>
      </c>
      <c r="L457">
        <v>883.85400000000004</v>
      </c>
      <c r="M457" s="233" t="s">
        <v>532</v>
      </c>
      <c r="N457" s="233" t="s">
        <v>533</v>
      </c>
      <c r="O457" s="3" t="s">
        <v>958</v>
      </c>
      <c r="BM457" s="127"/>
      <c r="BN457" s="127"/>
      <c r="BO457" s="127"/>
      <c r="BP457" s="127"/>
      <c r="BQ457" s="127"/>
      <c r="BR457" s="127"/>
      <c r="BS457" s="127"/>
      <c r="BT457" s="127"/>
      <c r="BU457" s="127"/>
      <c r="BV457" s="127"/>
      <c r="BW457" s="127"/>
      <c r="BX457" s="127"/>
      <c r="BY457" s="127"/>
      <c r="BZ457" s="127"/>
      <c r="CA457" s="127"/>
      <c r="ER457" s="127"/>
      <c r="ES457" s="127"/>
      <c r="ET457" s="127"/>
      <c r="EU457" s="127"/>
      <c r="EV457" s="127"/>
      <c r="EW457" s="127"/>
      <c r="EX457" s="127"/>
      <c r="EY457" s="127"/>
      <c r="EZ457" s="127"/>
      <c r="FA457" s="127"/>
      <c r="FB457" s="127"/>
      <c r="FC457" s="127"/>
      <c r="FD457" s="127"/>
      <c r="FE457" s="127"/>
      <c r="FF457" s="127"/>
      <c r="HW457" s="127"/>
      <c r="HX457" s="127"/>
      <c r="HY457" s="127"/>
      <c r="HZ457" s="127"/>
      <c r="IA457" s="127"/>
      <c r="IB457" s="127"/>
      <c r="IC457" s="127"/>
      <c r="ID457" s="127"/>
      <c r="IE457" s="127"/>
      <c r="IF457" s="127"/>
      <c r="IG457" s="127"/>
      <c r="IH457" s="127"/>
      <c r="II457" s="127"/>
      <c r="IJ457" s="127"/>
      <c r="IK457" s="127"/>
      <c r="LB457" s="127"/>
      <c r="LC457" s="127"/>
      <c r="LD457" s="127"/>
      <c r="LE457" s="127"/>
      <c r="LF457" s="127"/>
      <c r="LG457" s="127"/>
      <c r="LH457" s="127"/>
      <c r="LI457" s="127"/>
      <c r="LJ457" s="127"/>
      <c r="LK457" s="127"/>
      <c r="LL457" s="127"/>
      <c r="LM457" s="127"/>
      <c r="LN457" s="127"/>
      <c r="LO457" s="127"/>
      <c r="LP457" s="127"/>
      <c r="OG457" s="127"/>
      <c r="OH457" s="127"/>
      <c r="OI457" s="127"/>
      <c r="OJ457" s="127"/>
      <c r="OK457" s="127"/>
      <c r="OL457" s="127"/>
      <c r="OM457" s="127"/>
      <c r="ON457" s="127"/>
      <c r="OO457" s="127"/>
      <c r="OP457" s="127"/>
      <c r="OQ457" s="127"/>
      <c r="OR457" s="127"/>
      <c r="OS457" s="127"/>
      <c r="OT457" s="127"/>
      <c r="OU457" s="127"/>
    </row>
    <row r="458" spans="1:411">
      <c r="A458">
        <v>76</v>
      </c>
      <c r="B458">
        <v>872</v>
      </c>
      <c r="C458" t="s">
        <v>72</v>
      </c>
      <c r="D458" t="s">
        <v>236</v>
      </c>
      <c r="E458" s="232" t="s">
        <v>10555</v>
      </c>
      <c r="F458" t="s">
        <v>71</v>
      </c>
      <c r="G458">
        <v>2</v>
      </c>
      <c r="H458">
        <v>901.67</v>
      </c>
      <c r="I458">
        <v>896.10599999999999</v>
      </c>
      <c r="J458">
        <v>891.99900000000002</v>
      </c>
      <c r="K458">
        <v>889.18299999999999</v>
      </c>
      <c r="L458">
        <v>881.90099999999995</v>
      </c>
      <c r="M458" s="233" t="s">
        <v>532</v>
      </c>
      <c r="N458" s="233" t="s">
        <v>533</v>
      </c>
      <c r="O458" s="3" t="s">
        <v>959</v>
      </c>
      <c r="BM458" s="127"/>
      <c r="BN458" s="127"/>
      <c r="BO458" s="127"/>
      <c r="BP458" s="127"/>
      <c r="BQ458" s="127"/>
      <c r="BR458" s="127"/>
      <c r="BS458" s="127"/>
      <c r="BT458" s="127"/>
      <c r="BU458" s="127"/>
      <c r="BV458" s="127"/>
      <c r="BW458" s="127"/>
      <c r="BX458" s="127"/>
      <c r="BY458" s="127"/>
      <c r="BZ458" s="127"/>
      <c r="CA458" s="127"/>
      <c r="ER458" s="127"/>
      <c r="ES458" s="127"/>
      <c r="ET458" s="127"/>
      <c r="EU458" s="127"/>
      <c r="EV458" s="127"/>
      <c r="EW458" s="127"/>
      <c r="EX458" s="127"/>
      <c r="EY458" s="127"/>
      <c r="EZ458" s="127"/>
      <c r="FA458" s="127"/>
      <c r="FB458" s="127"/>
      <c r="FC458" s="127"/>
      <c r="FD458" s="127"/>
      <c r="FE458" s="127"/>
      <c r="FF458" s="127"/>
      <c r="HW458" s="127"/>
      <c r="HX458" s="127"/>
      <c r="HY458" s="127"/>
      <c r="HZ458" s="127"/>
      <c r="IA458" s="127"/>
      <c r="IB458" s="127"/>
      <c r="IC458" s="127"/>
      <c r="ID458" s="127"/>
      <c r="IE458" s="127"/>
      <c r="IF458" s="127"/>
      <c r="IG458" s="127"/>
      <c r="IH458" s="127"/>
      <c r="II458" s="127"/>
      <c r="IJ458" s="127"/>
      <c r="IK458" s="127"/>
      <c r="LB458" s="127"/>
      <c r="LC458" s="127"/>
      <c r="LD458" s="127"/>
      <c r="LE458" s="127"/>
      <c r="LF458" s="127"/>
      <c r="LG458" s="127"/>
      <c r="LH458" s="127"/>
      <c r="LI458" s="127"/>
      <c r="LJ458" s="127"/>
      <c r="LK458" s="127"/>
      <c r="LL458" s="127"/>
      <c r="LM458" s="127"/>
      <c r="LN458" s="127"/>
      <c r="LO458" s="127"/>
      <c r="LP458" s="127"/>
      <c r="OG458" s="127"/>
      <c r="OH458" s="127"/>
      <c r="OI458" s="127"/>
      <c r="OJ458" s="127"/>
      <c r="OK458" s="127"/>
      <c r="OL458" s="127"/>
      <c r="OM458" s="127"/>
      <c r="ON458" s="127"/>
      <c r="OO458" s="127"/>
      <c r="OP458" s="127"/>
      <c r="OQ458" s="127"/>
      <c r="OR458" s="127"/>
      <c r="OS458" s="127"/>
      <c r="OT458" s="127"/>
      <c r="OU458" s="127"/>
    </row>
    <row r="459" spans="1:411">
      <c r="A459">
        <v>76</v>
      </c>
      <c r="B459">
        <v>881</v>
      </c>
      <c r="C459" t="s">
        <v>72</v>
      </c>
      <c r="D459" t="s">
        <v>236</v>
      </c>
      <c r="E459" s="232" t="s">
        <v>10571</v>
      </c>
      <c r="F459" t="s">
        <v>71</v>
      </c>
      <c r="G459">
        <v>2</v>
      </c>
      <c r="H459">
        <v>901.43200000000002</v>
      </c>
      <c r="I459">
        <v>895.73900000000003</v>
      </c>
      <c r="J459">
        <v>891.63199999999995</v>
      </c>
      <c r="K459">
        <v>889.18299999999999</v>
      </c>
      <c r="L459">
        <v>881.77200000000005</v>
      </c>
      <c r="M459" s="233" t="s">
        <v>532</v>
      </c>
      <c r="N459" s="233" t="s">
        <v>533</v>
      </c>
      <c r="O459" s="3" t="s">
        <v>960</v>
      </c>
      <c r="BM459" s="127"/>
      <c r="BN459" s="127"/>
      <c r="BO459" s="127"/>
      <c r="BP459" s="127"/>
      <c r="BQ459" s="127"/>
      <c r="BR459" s="127"/>
      <c r="BS459" s="127"/>
      <c r="BT459" s="127"/>
      <c r="BU459" s="127"/>
      <c r="BV459" s="127"/>
      <c r="BW459" s="127"/>
      <c r="BX459" s="127"/>
      <c r="BY459" s="127"/>
      <c r="BZ459" s="127"/>
      <c r="CA459" s="127"/>
      <c r="ER459" s="127"/>
      <c r="ES459" s="127"/>
      <c r="ET459" s="127"/>
      <c r="EU459" s="127"/>
      <c r="EV459" s="127"/>
      <c r="EW459" s="127"/>
      <c r="EX459" s="127"/>
      <c r="EY459" s="127"/>
      <c r="EZ459" s="127"/>
      <c r="FA459" s="127"/>
      <c r="FB459" s="127"/>
      <c r="FC459" s="127"/>
      <c r="FD459" s="127"/>
      <c r="FE459" s="127"/>
      <c r="FF459" s="127"/>
      <c r="HW459" s="127"/>
      <c r="HX459" s="127"/>
      <c r="HY459" s="127"/>
      <c r="HZ459" s="127"/>
      <c r="IA459" s="127"/>
      <c r="IB459" s="127"/>
      <c r="IC459" s="127"/>
      <c r="ID459" s="127"/>
      <c r="IE459" s="127"/>
      <c r="IF459" s="127"/>
      <c r="IG459" s="127"/>
      <c r="IH459" s="127"/>
      <c r="II459" s="127"/>
      <c r="IJ459" s="127"/>
      <c r="IK459" s="127"/>
      <c r="LB459" s="127"/>
      <c r="LC459" s="127"/>
      <c r="LD459" s="127"/>
      <c r="LE459" s="127"/>
      <c r="LF459" s="127"/>
      <c r="LG459" s="127"/>
      <c r="LH459" s="127"/>
      <c r="LI459" s="127"/>
      <c r="LJ459" s="127"/>
      <c r="LK459" s="127"/>
      <c r="LL459" s="127"/>
      <c r="LM459" s="127"/>
      <c r="LN459" s="127"/>
      <c r="LO459" s="127"/>
      <c r="LP459" s="127"/>
      <c r="OG459" s="127"/>
      <c r="OH459" s="127"/>
      <c r="OI459" s="127"/>
      <c r="OJ459" s="127"/>
      <c r="OK459" s="127"/>
      <c r="OL459" s="127"/>
      <c r="OM459" s="127"/>
      <c r="ON459" s="127"/>
      <c r="OO459" s="127"/>
      <c r="OP459" s="127"/>
      <c r="OQ459" s="127"/>
      <c r="OR459" s="127"/>
      <c r="OS459" s="127"/>
      <c r="OT459" s="127"/>
      <c r="OU459" s="127"/>
    </row>
    <row r="460" spans="1:411">
      <c r="A460">
        <v>76</v>
      </c>
      <c r="B460">
        <v>885</v>
      </c>
      <c r="C460" t="s">
        <v>72</v>
      </c>
      <c r="D460" t="s">
        <v>236</v>
      </c>
      <c r="E460" s="232" t="s">
        <v>10567</v>
      </c>
      <c r="F460" t="s">
        <v>71</v>
      </c>
      <c r="G460">
        <v>2</v>
      </c>
      <c r="H460">
        <v>901.43200000000002</v>
      </c>
      <c r="I460">
        <v>895.73900000000003</v>
      </c>
      <c r="J460">
        <v>891.63199999999995</v>
      </c>
      <c r="K460">
        <v>889.18299999999999</v>
      </c>
      <c r="L460">
        <v>881.77200000000005</v>
      </c>
      <c r="M460" s="233" t="s">
        <v>532</v>
      </c>
      <c r="N460" s="233" t="s">
        <v>533</v>
      </c>
      <c r="O460" s="3" t="s">
        <v>961</v>
      </c>
      <c r="BM460" s="127"/>
      <c r="BN460" s="127"/>
      <c r="BO460" s="127"/>
      <c r="BP460" s="127"/>
      <c r="BQ460" s="127"/>
      <c r="BR460" s="127"/>
      <c r="BS460" s="127"/>
      <c r="BT460" s="127"/>
      <c r="BU460" s="127"/>
      <c r="BV460" s="127"/>
      <c r="BW460" s="127"/>
      <c r="BX460" s="127"/>
      <c r="BY460" s="127"/>
      <c r="BZ460" s="127"/>
      <c r="CA460" s="127"/>
      <c r="ER460" s="127"/>
      <c r="ES460" s="127"/>
      <c r="ET460" s="127"/>
      <c r="EU460" s="127"/>
      <c r="EV460" s="127"/>
      <c r="EW460" s="127"/>
      <c r="EX460" s="127"/>
      <c r="EY460" s="127"/>
      <c r="EZ460" s="127"/>
      <c r="FA460" s="127"/>
      <c r="FB460" s="127"/>
      <c r="FC460" s="127"/>
      <c r="FD460" s="127"/>
      <c r="FE460" s="127"/>
      <c r="FF460" s="127"/>
      <c r="HW460" s="127"/>
      <c r="HX460" s="127"/>
      <c r="HY460" s="127"/>
      <c r="HZ460" s="127"/>
      <c r="IA460" s="127"/>
      <c r="IB460" s="127"/>
      <c r="IC460" s="127"/>
      <c r="ID460" s="127"/>
      <c r="IE460" s="127"/>
      <c r="IF460" s="127"/>
      <c r="IG460" s="127"/>
      <c r="IH460" s="127"/>
      <c r="II460" s="127"/>
      <c r="IJ460" s="127"/>
      <c r="IK460" s="127"/>
      <c r="LB460" s="127"/>
      <c r="LC460" s="127"/>
      <c r="LD460" s="127"/>
      <c r="LE460" s="127"/>
      <c r="LF460" s="127"/>
      <c r="LG460" s="127"/>
      <c r="LH460" s="127"/>
      <c r="LI460" s="127"/>
      <c r="LJ460" s="127"/>
      <c r="LK460" s="127"/>
      <c r="LL460" s="127"/>
      <c r="LM460" s="127"/>
      <c r="LN460" s="127"/>
      <c r="LO460" s="127"/>
      <c r="LP460" s="127"/>
      <c r="OG460" s="127"/>
      <c r="OH460" s="127"/>
      <c r="OI460" s="127"/>
      <c r="OJ460" s="127"/>
      <c r="OK460" s="127"/>
      <c r="OL460" s="127"/>
      <c r="OM460" s="127"/>
      <c r="ON460" s="127"/>
      <c r="OO460" s="127"/>
      <c r="OP460" s="127"/>
      <c r="OQ460" s="127"/>
      <c r="OR460" s="127"/>
      <c r="OS460" s="127"/>
      <c r="OT460" s="127"/>
      <c r="OU460" s="127"/>
    </row>
    <row r="461" spans="1:411">
      <c r="A461">
        <v>76</v>
      </c>
      <c r="B461">
        <v>888</v>
      </c>
      <c r="C461" t="s">
        <v>72</v>
      </c>
      <c r="D461" t="s">
        <v>236</v>
      </c>
      <c r="E461" s="232" t="s">
        <v>561</v>
      </c>
      <c r="F461" t="s">
        <v>71</v>
      </c>
      <c r="G461">
        <v>2</v>
      </c>
      <c r="H461">
        <v>901.28800000000001</v>
      </c>
      <c r="I461">
        <v>895.59500000000003</v>
      </c>
      <c r="J461">
        <v>891.48800000000006</v>
      </c>
      <c r="K461">
        <v>888.65</v>
      </c>
      <c r="L461">
        <v>881.53399999999999</v>
      </c>
      <c r="M461" s="233" t="s">
        <v>532</v>
      </c>
      <c r="N461" s="233" t="s">
        <v>533</v>
      </c>
      <c r="O461" s="3" t="s">
        <v>962</v>
      </c>
      <c r="BM461" s="127"/>
      <c r="BN461" s="127"/>
      <c r="BO461" s="127"/>
      <c r="BP461" s="127"/>
      <c r="BQ461" s="127"/>
      <c r="BR461" s="127"/>
      <c r="BS461" s="127"/>
      <c r="BT461" s="127"/>
      <c r="BU461" s="127"/>
      <c r="BV461" s="127"/>
      <c r="BW461" s="127"/>
      <c r="BX461" s="127"/>
      <c r="BY461" s="127"/>
      <c r="BZ461" s="127"/>
      <c r="CA461" s="127"/>
      <c r="ER461" s="127"/>
      <c r="ES461" s="127"/>
      <c r="ET461" s="127"/>
      <c r="EU461" s="127"/>
      <c r="EV461" s="127"/>
      <c r="EW461" s="127"/>
      <c r="EX461" s="127"/>
      <c r="EY461" s="127"/>
      <c r="EZ461" s="127"/>
      <c r="FA461" s="127"/>
      <c r="FB461" s="127"/>
      <c r="FC461" s="127"/>
      <c r="FD461" s="127"/>
      <c r="FE461" s="127"/>
      <c r="FF461" s="127"/>
      <c r="HW461" s="127"/>
      <c r="HX461" s="127"/>
      <c r="HY461" s="127"/>
      <c r="HZ461" s="127"/>
      <c r="IA461" s="127"/>
      <c r="IB461" s="127"/>
      <c r="IC461" s="127"/>
      <c r="ID461" s="127"/>
      <c r="IE461" s="127"/>
      <c r="IF461" s="127"/>
      <c r="IG461" s="127"/>
      <c r="IH461" s="127"/>
      <c r="II461" s="127"/>
      <c r="IJ461" s="127"/>
      <c r="IK461" s="127"/>
      <c r="LB461" s="127"/>
      <c r="LC461" s="127"/>
      <c r="LD461" s="127"/>
      <c r="LE461" s="127"/>
      <c r="LF461" s="127"/>
      <c r="LG461" s="127"/>
      <c r="LH461" s="127"/>
      <c r="LI461" s="127"/>
      <c r="LJ461" s="127"/>
      <c r="LK461" s="127"/>
      <c r="LL461" s="127"/>
      <c r="LM461" s="127"/>
      <c r="LN461" s="127"/>
      <c r="LO461" s="127"/>
      <c r="LP461" s="127"/>
      <c r="OG461" s="127"/>
      <c r="OH461" s="127"/>
      <c r="OI461" s="127"/>
      <c r="OJ461" s="127"/>
      <c r="OK461" s="127"/>
      <c r="OL461" s="127"/>
      <c r="OM461" s="127"/>
      <c r="ON461" s="127"/>
      <c r="OO461" s="127"/>
      <c r="OP461" s="127"/>
      <c r="OQ461" s="127"/>
      <c r="OR461" s="127"/>
      <c r="OS461" s="127"/>
      <c r="OT461" s="127"/>
      <c r="OU461" s="127"/>
    </row>
    <row r="462" spans="1:411">
      <c r="A462">
        <v>76</v>
      </c>
      <c r="B462">
        <v>887</v>
      </c>
      <c r="C462" t="s">
        <v>72</v>
      </c>
      <c r="D462" t="s">
        <v>236</v>
      </c>
      <c r="E462" s="232" t="s">
        <v>8618</v>
      </c>
      <c r="F462" t="s">
        <v>71</v>
      </c>
      <c r="G462">
        <v>2</v>
      </c>
      <c r="H462">
        <v>900.80399999999997</v>
      </c>
      <c r="I462">
        <v>895.197</v>
      </c>
      <c r="J462">
        <v>891.09</v>
      </c>
      <c r="K462">
        <v>888.52099999999996</v>
      </c>
      <c r="L462">
        <v>881.35900000000004</v>
      </c>
      <c r="M462" s="233" t="s">
        <v>532</v>
      </c>
      <c r="N462" s="233" t="s">
        <v>533</v>
      </c>
      <c r="O462" s="3" t="s">
        <v>963</v>
      </c>
      <c r="BM462" s="127"/>
      <c r="BN462" s="127"/>
      <c r="BO462" s="127"/>
      <c r="BP462" s="127"/>
      <c r="BQ462" s="127"/>
      <c r="BR462" s="127"/>
      <c r="BS462" s="127"/>
      <c r="BT462" s="127"/>
      <c r="BU462" s="127"/>
      <c r="BV462" s="127"/>
      <c r="BW462" s="127"/>
      <c r="BX462" s="127"/>
      <c r="BY462" s="127"/>
      <c r="BZ462" s="127"/>
      <c r="CA462" s="127"/>
      <c r="ER462" s="127"/>
      <c r="ES462" s="127"/>
      <c r="ET462" s="127"/>
      <c r="EU462" s="127"/>
      <c r="EV462" s="127"/>
      <c r="EW462" s="127"/>
      <c r="EX462" s="127"/>
      <c r="EY462" s="127"/>
      <c r="EZ462" s="127"/>
      <c r="FA462" s="127"/>
      <c r="FB462" s="127"/>
      <c r="FC462" s="127"/>
      <c r="FD462" s="127"/>
      <c r="FE462" s="127"/>
      <c r="FF462" s="127"/>
      <c r="HW462" s="127"/>
      <c r="HX462" s="127"/>
      <c r="HY462" s="127"/>
      <c r="HZ462" s="127"/>
      <c r="IA462" s="127"/>
      <c r="IB462" s="127"/>
      <c r="IC462" s="127"/>
      <c r="ID462" s="127"/>
      <c r="IE462" s="127"/>
      <c r="IF462" s="127"/>
      <c r="IG462" s="127"/>
      <c r="IH462" s="127"/>
      <c r="II462" s="127"/>
      <c r="IJ462" s="127"/>
      <c r="IK462" s="127"/>
      <c r="LB462" s="127"/>
      <c r="LC462" s="127"/>
      <c r="LD462" s="127"/>
      <c r="LE462" s="127"/>
      <c r="LF462" s="127"/>
      <c r="LG462" s="127"/>
      <c r="LH462" s="127"/>
      <c r="LI462" s="127"/>
      <c r="LJ462" s="127"/>
      <c r="LK462" s="127"/>
      <c r="LL462" s="127"/>
      <c r="LM462" s="127"/>
      <c r="LN462" s="127"/>
      <c r="LO462" s="127"/>
      <c r="LP462" s="127"/>
      <c r="OG462" s="127"/>
      <c r="OH462" s="127"/>
      <c r="OI462" s="127"/>
      <c r="OJ462" s="127"/>
      <c r="OK462" s="127"/>
      <c r="OL462" s="127"/>
      <c r="OM462" s="127"/>
      <c r="ON462" s="127"/>
      <c r="OO462" s="127"/>
      <c r="OP462" s="127"/>
      <c r="OQ462" s="127"/>
      <c r="OR462" s="127"/>
      <c r="OS462" s="127"/>
      <c r="OT462" s="127"/>
      <c r="OU462" s="127"/>
    </row>
    <row r="463" spans="1:411">
      <c r="A463">
        <v>76</v>
      </c>
      <c r="B463">
        <v>883</v>
      </c>
      <c r="C463" t="s">
        <v>72</v>
      </c>
      <c r="D463" t="s">
        <v>236</v>
      </c>
      <c r="E463" s="232" t="s">
        <v>8753</v>
      </c>
      <c r="F463" t="s">
        <v>71</v>
      </c>
      <c r="G463">
        <v>2</v>
      </c>
      <c r="H463">
        <v>900.64400000000001</v>
      </c>
      <c r="I463">
        <v>894.91499999999996</v>
      </c>
      <c r="J463">
        <v>890.94600000000003</v>
      </c>
      <c r="K463">
        <v>888.28200000000004</v>
      </c>
      <c r="L463">
        <v>881.24599999999998</v>
      </c>
      <c r="M463" s="233" t="s">
        <v>532</v>
      </c>
      <c r="N463" s="233" t="s">
        <v>533</v>
      </c>
      <c r="O463" s="3" t="s">
        <v>964</v>
      </c>
      <c r="BM463" s="127"/>
      <c r="BN463" s="127"/>
      <c r="BO463" s="127"/>
      <c r="BP463" s="127"/>
      <c r="BQ463" s="127"/>
      <c r="BR463" s="127"/>
      <c r="BS463" s="127"/>
      <c r="BT463" s="127"/>
      <c r="BU463" s="127"/>
      <c r="BV463" s="127"/>
      <c r="BW463" s="127"/>
      <c r="BX463" s="127"/>
      <c r="BY463" s="127"/>
      <c r="BZ463" s="127"/>
      <c r="CA463" s="127"/>
      <c r="ER463" s="127"/>
      <c r="ES463" s="127"/>
      <c r="ET463" s="127"/>
      <c r="EU463" s="127"/>
      <c r="EV463" s="127"/>
      <c r="EW463" s="127"/>
      <c r="EX463" s="127"/>
      <c r="EY463" s="127"/>
      <c r="EZ463" s="127"/>
      <c r="FA463" s="127"/>
      <c r="FB463" s="127"/>
      <c r="FC463" s="127"/>
      <c r="FD463" s="127"/>
      <c r="FE463" s="127"/>
      <c r="FF463" s="127"/>
      <c r="HW463" s="127"/>
      <c r="HX463" s="127"/>
      <c r="HY463" s="127"/>
      <c r="HZ463" s="127"/>
      <c r="IA463" s="127"/>
      <c r="IB463" s="127"/>
      <c r="IC463" s="127"/>
      <c r="ID463" s="127"/>
      <c r="IE463" s="127"/>
      <c r="IF463" s="127"/>
      <c r="IG463" s="127"/>
      <c r="IH463" s="127"/>
      <c r="II463" s="127"/>
      <c r="IJ463" s="127"/>
      <c r="IK463" s="127"/>
      <c r="LB463" s="127"/>
      <c r="LC463" s="127"/>
      <c r="LD463" s="127"/>
      <c r="LE463" s="127"/>
      <c r="LF463" s="127"/>
      <c r="LG463" s="127"/>
      <c r="LH463" s="127"/>
      <c r="LI463" s="127"/>
      <c r="LJ463" s="127"/>
      <c r="LK463" s="127"/>
      <c r="LL463" s="127"/>
      <c r="LM463" s="127"/>
      <c r="LN463" s="127"/>
      <c r="LO463" s="127"/>
      <c r="LP463" s="127"/>
      <c r="OG463" s="127"/>
      <c r="OH463" s="127"/>
      <c r="OI463" s="127"/>
      <c r="OJ463" s="127"/>
      <c r="OK463" s="127"/>
      <c r="OL463" s="127"/>
      <c r="OM463" s="127"/>
      <c r="ON463" s="127"/>
      <c r="OO463" s="127"/>
      <c r="OP463" s="127"/>
      <c r="OQ463" s="127"/>
      <c r="OR463" s="127"/>
      <c r="OS463" s="127"/>
      <c r="OT463" s="127"/>
      <c r="OU463" s="127"/>
    </row>
    <row r="464" spans="1:411">
      <c r="A464">
        <v>76</v>
      </c>
      <c r="B464">
        <v>886</v>
      </c>
      <c r="C464" t="s">
        <v>72</v>
      </c>
      <c r="D464" t="s">
        <v>236</v>
      </c>
      <c r="E464" s="232" t="s">
        <v>8804</v>
      </c>
      <c r="F464" t="s">
        <v>71</v>
      </c>
      <c r="G464">
        <v>2</v>
      </c>
      <c r="H464">
        <v>900.40599999999995</v>
      </c>
      <c r="I464">
        <v>894.548</v>
      </c>
      <c r="J464">
        <v>890.81700000000001</v>
      </c>
      <c r="K464">
        <v>888.15300000000002</v>
      </c>
      <c r="L464">
        <v>881.00699999999995</v>
      </c>
      <c r="M464" s="233" t="s">
        <v>532</v>
      </c>
      <c r="N464" s="233" t="s">
        <v>533</v>
      </c>
      <c r="O464" s="3" t="s">
        <v>965</v>
      </c>
      <c r="BM464" s="127"/>
      <c r="BN464" s="127"/>
      <c r="BO464" s="127"/>
      <c r="BP464" s="127"/>
      <c r="BQ464" s="127"/>
      <c r="BR464" s="127"/>
      <c r="BS464" s="127"/>
      <c r="BT464" s="127"/>
      <c r="BU464" s="127"/>
      <c r="BV464" s="127"/>
      <c r="BW464" s="127"/>
      <c r="BX464" s="127"/>
      <c r="BY464" s="127"/>
      <c r="BZ464" s="127"/>
      <c r="CA464" s="127"/>
      <c r="ER464" s="127"/>
      <c r="ES464" s="127"/>
      <c r="ET464" s="127"/>
      <c r="EU464" s="127"/>
      <c r="EV464" s="127"/>
      <c r="EW464" s="127"/>
      <c r="EX464" s="127"/>
      <c r="EY464" s="127"/>
      <c r="EZ464" s="127"/>
      <c r="FA464" s="127"/>
      <c r="FB464" s="127"/>
      <c r="FC464" s="127"/>
      <c r="FD464" s="127"/>
      <c r="FE464" s="127"/>
      <c r="FF464" s="127"/>
      <c r="HW464" s="127"/>
      <c r="HX464" s="127"/>
      <c r="HY464" s="127"/>
      <c r="HZ464" s="127"/>
      <c r="IA464" s="127"/>
      <c r="IB464" s="127"/>
      <c r="IC464" s="127"/>
      <c r="ID464" s="127"/>
      <c r="IE464" s="127"/>
      <c r="IF464" s="127"/>
      <c r="IG464" s="127"/>
      <c r="IH464" s="127"/>
      <c r="II464" s="127"/>
      <c r="IJ464" s="127"/>
      <c r="IK464" s="127"/>
      <c r="LB464" s="127"/>
      <c r="LC464" s="127"/>
      <c r="LD464" s="127"/>
      <c r="LE464" s="127"/>
      <c r="LF464" s="127"/>
      <c r="LG464" s="127"/>
      <c r="LH464" s="127"/>
      <c r="LI464" s="127"/>
      <c r="LJ464" s="127"/>
      <c r="LK464" s="127"/>
      <c r="LL464" s="127"/>
      <c r="LM464" s="127"/>
      <c r="LN464" s="127"/>
      <c r="LO464" s="127"/>
      <c r="LP464" s="127"/>
      <c r="OG464" s="127"/>
      <c r="OH464" s="127"/>
      <c r="OI464" s="127"/>
      <c r="OJ464" s="127"/>
      <c r="OK464" s="127"/>
      <c r="OL464" s="127"/>
      <c r="OM464" s="127"/>
      <c r="ON464" s="127"/>
      <c r="OO464" s="127"/>
      <c r="OP464" s="127"/>
      <c r="OQ464" s="127"/>
      <c r="OR464" s="127"/>
      <c r="OS464" s="127"/>
      <c r="OT464" s="127"/>
      <c r="OU464" s="127"/>
    </row>
    <row r="465" spans="1:411">
      <c r="A465">
        <v>77</v>
      </c>
      <c r="B465">
        <v>873</v>
      </c>
      <c r="C465" t="s">
        <v>72</v>
      </c>
      <c r="D465" t="s">
        <v>236</v>
      </c>
      <c r="E465" s="232" t="s">
        <v>10544</v>
      </c>
      <c r="F465" t="s">
        <v>71</v>
      </c>
      <c r="G465">
        <v>2</v>
      </c>
      <c r="H465">
        <v>901.31299999999999</v>
      </c>
      <c r="I465">
        <v>895.19299999999998</v>
      </c>
      <c r="J465">
        <v>891.61300000000006</v>
      </c>
      <c r="K465">
        <v>889.53300000000002</v>
      </c>
      <c r="L465">
        <v>882.59500000000003</v>
      </c>
      <c r="M465" s="233" t="s">
        <v>532</v>
      </c>
      <c r="N465" s="233" t="s">
        <v>533</v>
      </c>
      <c r="O465" s="3" t="s">
        <v>966</v>
      </c>
      <c r="BM465" s="127"/>
      <c r="BN465" s="127"/>
      <c r="BO465" s="127"/>
      <c r="BP465" s="127"/>
      <c r="BQ465" s="127"/>
      <c r="BR465" s="127"/>
      <c r="BS465" s="127"/>
      <c r="BT465" s="127"/>
      <c r="BU465" s="127"/>
      <c r="BV465" s="127"/>
      <c r="BW465" s="127"/>
      <c r="BX465" s="127"/>
      <c r="BY465" s="127"/>
      <c r="BZ465" s="127"/>
      <c r="CA465" s="127"/>
      <c r="ER465" s="127"/>
      <c r="ES465" s="127"/>
      <c r="ET465" s="127"/>
      <c r="EU465" s="127"/>
      <c r="EV465" s="127"/>
      <c r="EW465" s="127"/>
      <c r="EX465" s="127"/>
      <c r="EY465" s="127"/>
      <c r="EZ465" s="127"/>
      <c r="FA465" s="127"/>
      <c r="FB465" s="127"/>
      <c r="FC465" s="127"/>
      <c r="FD465" s="127"/>
      <c r="FE465" s="127"/>
      <c r="FF465" s="127"/>
      <c r="HW465" s="127"/>
      <c r="HX465" s="127"/>
      <c r="HY465" s="127"/>
      <c r="HZ465" s="127"/>
      <c r="IA465" s="127"/>
      <c r="IB465" s="127"/>
      <c r="IC465" s="127"/>
      <c r="ID465" s="127"/>
      <c r="IE465" s="127"/>
      <c r="IF465" s="127"/>
      <c r="IG465" s="127"/>
      <c r="IH465" s="127"/>
      <c r="II465" s="127"/>
      <c r="IJ465" s="127"/>
      <c r="IK465" s="127"/>
      <c r="LB465" s="127"/>
      <c r="LC465" s="127"/>
      <c r="LD465" s="127"/>
      <c r="LE465" s="127"/>
      <c r="LF465" s="127"/>
      <c r="LG465" s="127"/>
      <c r="LH465" s="127"/>
      <c r="LI465" s="127"/>
      <c r="LJ465" s="127"/>
      <c r="LK465" s="127"/>
      <c r="LL465" s="127"/>
      <c r="LM465" s="127"/>
      <c r="LN465" s="127"/>
      <c r="LO465" s="127"/>
      <c r="LP465" s="127"/>
      <c r="OG465" s="127"/>
      <c r="OH465" s="127"/>
      <c r="OI465" s="127"/>
      <c r="OJ465" s="127"/>
      <c r="OK465" s="127"/>
      <c r="OL465" s="127"/>
      <c r="OM465" s="127"/>
      <c r="ON465" s="127"/>
      <c r="OO465" s="127"/>
      <c r="OP465" s="127"/>
      <c r="OQ465" s="127"/>
      <c r="OR465" s="127"/>
      <c r="OS465" s="127"/>
      <c r="OT465" s="127"/>
      <c r="OU465" s="127"/>
    </row>
    <row r="466" spans="1:411">
      <c r="A466">
        <v>76</v>
      </c>
      <c r="B466">
        <v>884</v>
      </c>
      <c r="C466" t="s">
        <v>72</v>
      </c>
      <c r="D466" t="s">
        <v>236</v>
      </c>
      <c r="E466" s="232" t="s">
        <v>8863</v>
      </c>
      <c r="F466" t="s">
        <v>71</v>
      </c>
      <c r="G466">
        <v>2</v>
      </c>
      <c r="H466">
        <v>899.22400000000005</v>
      </c>
      <c r="I466">
        <v>893.14800000000002</v>
      </c>
      <c r="J466">
        <v>889.56500000000005</v>
      </c>
      <c r="K466">
        <v>887.22299999999996</v>
      </c>
      <c r="L466">
        <v>880.13699999999994</v>
      </c>
      <c r="M466" s="233" t="s">
        <v>532</v>
      </c>
      <c r="N466" s="233" t="s">
        <v>533</v>
      </c>
      <c r="O466" s="3" t="s">
        <v>967</v>
      </c>
      <c r="BM466" s="127"/>
      <c r="BN466" s="127"/>
      <c r="BO466" s="127"/>
      <c r="BP466" s="127"/>
      <c r="BQ466" s="127"/>
      <c r="BR466" s="127"/>
      <c r="BS466" s="127"/>
      <c r="BT466" s="127"/>
      <c r="BU466" s="127"/>
      <c r="BV466" s="127"/>
      <c r="BW466" s="127"/>
      <c r="BX466" s="127"/>
      <c r="BY466" s="127"/>
      <c r="BZ466" s="127"/>
      <c r="CA466" s="127"/>
      <c r="ER466" s="127"/>
      <c r="ES466" s="127"/>
      <c r="ET466" s="127"/>
      <c r="EU466" s="127"/>
      <c r="EV466" s="127"/>
      <c r="EW466" s="127"/>
      <c r="EX466" s="127"/>
      <c r="EY466" s="127"/>
      <c r="EZ466" s="127"/>
      <c r="FA466" s="127"/>
      <c r="FB466" s="127"/>
      <c r="FC466" s="127"/>
      <c r="FD466" s="127"/>
      <c r="FE466" s="127"/>
      <c r="FF466" s="127"/>
      <c r="HW466" s="127"/>
      <c r="HX466" s="127"/>
      <c r="HY466" s="127"/>
      <c r="HZ466" s="127"/>
      <c r="IA466" s="127"/>
      <c r="IB466" s="127"/>
      <c r="IC466" s="127"/>
      <c r="ID466" s="127"/>
      <c r="IE466" s="127"/>
      <c r="IF466" s="127"/>
      <c r="IG466" s="127"/>
      <c r="IH466" s="127"/>
      <c r="II466" s="127"/>
      <c r="IJ466" s="127"/>
      <c r="IK466" s="127"/>
      <c r="LB466" s="127"/>
      <c r="LC466" s="127"/>
      <c r="LD466" s="127"/>
      <c r="LE466" s="127"/>
      <c r="LF466" s="127"/>
      <c r="LG466" s="127"/>
      <c r="LH466" s="127"/>
      <c r="LI466" s="127"/>
      <c r="LJ466" s="127"/>
      <c r="LK466" s="127"/>
      <c r="LL466" s="127"/>
      <c r="LM466" s="127"/>
      <c r="LN466" s="127"/>
      <c r="LO466" s="127"/>
      <c r="LP466" s="127"/>
      <c r="OG466" s="127"/>
      <c r="OH466" s="127"/>
      <c r="OI466" s="127"/>
      <c r="OJ466" s="127"/>
      <c r="OK466" s="127"/>
      <c r="OL466" s="127"/>
      <c r="OM466" s="127"/>
      <c r="ON466" s="127"/>
      <c r="OO466" s="127"/>
      <c r="OP466" s="127"/>
      <c r="OQ466" s="127"/>
      <c r="OR466" s="127"/>
      <c r="OS466" s="127"/>
      <c r="OT466" s="127"/>
      <c r="OU466" s="127"/>
    </row>
    <row r="467" spans="1:411">
      <c r="A467">
        <v>77</v>
      </c>
      <c r="B467">
        <v>875</v>
      </c>
      <c r="C467" t="s">
        <v>72</v>
      </c>
      <c r="D467" t="s">
        <v>236</v>
      </c>
      <c r="E467" s="232" t="s">
        <v>10604</v>
      </c>
      <c r="F467" t="s">
        <v>71</v>
      </c>
      <c r="G467">
        <v>2</v>
      </c>
      <c r="H467">
        <v>900.26800000000003</v>
      </c>
      <c r="I467">
        <v>894.59100000000001</v>
      </c>
      <c r="J467">
        <v>891.03399999999999</v>
      </c>
      <c r="K467">
        <v>888.81700000000001</v>
      </c>
      <c r="L467">
        <v>881.92899999999997</v>
      </c>
      <c r="M467" s="233" t="s">
        <v>532</v>
      </c>
      <c r="N467" s="233" t="s">
        <v>533</v>
      </c>
      <c r="O467" s="3" t="s">
        <v>968</v>
      </c>
      <c r="BM467" s="127"/>
      <c r="BN467" s="127"/>
      <c r="BO467" s="127"/>
      <c r="BP467" s="127"/>
      <c r="BQ467" s="127"/>
      <c r="BR467" s="127"/>
      <c r="BS467" s="127"/>
      <c r="BT467" s="127"/>
      <c r="BU467" s="127"/>
      <c r="BV467" s="127"/>
      <c r="BW467" s="127"/>
      <c r="BX467" s="127"/>
      <c r="BY467" s="127"/>
      <c r="BZ467" s="127"/>
      <c r="CA467" s="127"/>
      <c r="ER467" s="127"/>
      <c r="ES467" s="127"/>
      <c r="ET467" s="127"/>
      <c r="EU467" s="127"/>
      <c r="EV467" s="127"/>
      <c r="EW467" s="127"/>
      <c r="EX467" s="127"/>
      <c r="EY467" s="127"/>
      <c r="EZ467" s="127"/>
      <c r="FA467" s="127"/>
      <c r="FB467" s="127"/>
      <c r="FC467" s="127"/>
      <c r="FD467" s="127"/>
      <c r="FE467" s="127"/>
      <c r="FF467" s="127"/>
      <c r="HW467" s="127"/>
      <c r="HX467" s="127"/>
      <c r="HY467" s="127"/>
      <c r="HZ467" s="127"/>
      <c r="IA467" s="127"/>
      <c r="IB467" s="127"/>
      <c r="IC467" s="127"/>
      <c r="ID467" s="127"/>
      <c r="IE467" s="127"/>
      <c r="IF467" s="127"/>
      <c r="IG467" s="127"/>
      <c r="IH467" s="127"/>
      <c r="II467" s="127"/>
      <c r="IJ467" s="127"/>
      <c r="IK467" s="127"/>
      <c r="LB467" s="127"/>
      <c r="LC467" s="127"/>
      <c r="LD467" s="127"/>
      <c r="LE467" s="127"/>
      <c r="LF467" s="127"/>
      <c r="LG467" s="127"/>
      <c r="LH467" s="127"/>
      <c r="LI467" s="127"/>
      <c r="LJ467" s="127"/>
      <c r="LK467" s="127"/>
      <c r="LL467" s="127"/>
      <c r="LM467" s="127"/>
      <c r="LN467" s="127"/>
      <c r="LO467" s="127"/>
      <c r="LP467" s="127"/>
      <c r="OG467" s="127"/>
      <c r="OH467" s="127"/>
      <c r="OI467" s="127"/>
      <c r="OJ467" s="127"/>
      <c r="OK467" s="127"/>
      <c r="OL467" s="127"/>
      <c r="OM467" s="127"/>
      <c r="ON467" s="127"/>
      <c r="OO467" s="127"/>
      <c r="OP467" s="127"/>
      <c r="OQ467" s="127"/>
      <c r="OR467" s="127"/>
      <c r="OS467" s="127"/>
      <c r="OT467" s="127"/>
      <c r="OU467" s="127"/>
    </row>
    <row r="468" spans="1:411">
      <c r="A468">
        <v>67</v>
      </c>
      <c r="B468">
        <v>769</v>
      </c>
      <c r="C468" t="s">
        <v>72</v>
      </c>
      <c r="D468" t="s">
        <v>237</v>
      </c>
      <c r="E468" s="232" t="s">
        <v>9929</v>
      </c>
      <c r="F468" t="s">
        <v>70</v>
      </c>
      <c r="G468">
        <v>2</v>
      </c>
      <c r="H468">
        <v>709.12800000000004</v>
      </c>
      <c r="I468">
        <v>706.59400000000005</v>
      </c>
      <c r="J468">
        <v>704.41800000000001</v>
      </c>
      <c r="K468">
        <v>701.45799999999997</v>
      </c>
      <c r="L468">
        <v>696.577</v>
      </c>
      <c r="M468" s="233" t="s">
        <v>530</v>
      </c>
      <c r="N468" s="233" t="s">
        <v>530</v>
      </c>
      <c r="O468" s="3" t="s">
        <v>969</v>
      </c>
      <c r="BM468" s="127"/>
      <c r="BN468" s="127"/>
      <c r="BO468" s="127"/>
      <c r="BP468" s="127"/>
      <c r="BQ468" s="127"/>
      <c r="BR468" s="127"/>
      <c r="BS468" s="127"/>
      <c r="BT468" s="127"/>
      <c r="BU468" s="127"/>
      <c r="BV468" s="127"/>
      <c r="BW468" s="127"/>
      <c r="BX468" s="127"/>
      <c r="BY468" s="127"/>
      <c r="BZ468" s="127"/>
      <c r="CA468" s="127"/>
      <c r="ER468" s="127"/>
      <c r="ES468" s="127"/>
      <c r="ET468" s="127"/>
      <c r="EU468" s="127"/>
      <c r="EV468" s="127"/>
      <c r="EW468" s="127"/>
      <c r="EX468" s="127"/>
      <c r="EY468" s="127"/>
      <c r="EZ468" s="127"/>
      <c r="FA468" s="127"/>
      <c r="FB468" s="127"/>
      <c r="FC468" s="127"/>
      <c r="FD468" s="127"/>
      <c r="FE468" s="127"/>
      <c r="FF468" s="127"/>
      <c r="HW468" s="127"/>
      <c r="HX468" s="127"/>
      <c r="HY468" s="127"/>
      <c r="HZ468" s="127"/>
      <c r="IA468" s="127"/>
      <c r="IB468" s="127"/>
      <c r="IC468" s="127"/>
      <c r="ID468" s="127"/>
      <c r="IE468" s="127"/>
      <c r="IF468" s="127"/>
      <c r="IG468" s="127"/>
      <c r="IH468" s="127"/>
      <c r="II468" s="127"/>
      <c r="IJ468" s="127"/>
      <c r="IK468" s="127"/>
      <c r="LB468" s="127"/>
      <c r="LC468" s="127"/>
      <c r="LD468" s="127"/>
      <c r="LE468" s="127"/>
      <c r="LF468" s="127"/>
      <c r="LG468" s="127"/>
      <c r="LH468" s="127"/>
      <c r="LI468" s="127"/>
      <c r="LJ468" s="127"/>
      <c r="LK468" s="127"/>
      <c r="LL468" s="127"/>
      <c r="LM468" s="127"/>
      <c r="LN468" s="127"/>
      <c r="LO468" s="127"/>
      <c r="LP468" s="127"/>
      <c r="OG468" s="127"/>
      <c r="OH468" s="127"/>
      <c r="OI468" s="127"/>
      <c r="OJ468" s="127"/>
      <c r="OK468" s="127"/>
      <c r="OL468" s="127"/>
      <c r="OM468" s="127"/>
      <c r="ON468" s="127"/>
      <c r="OO468" s="127"/>
      <c r="OP468" s="127"/>
      <c r="OQ468" s="127"/>
      <c r="OR468" s="127"/>
      <c r="OS468" s="127"/>
      <c r="OT468" s="127"/>
      <c r="OU468" s="127"/>
    </row>
    <row r="469" spans="1:411">
      <c r="A469">
        <v>67</v>
      </c>
      <c r="B469">
        <v>774</v>
      </c>
      <c r="C469" t="s">
        <v>72</v>
      </c>
      <c r="D469" t="s">
        <v>237</v>
      </c>
      <c r="E469" s="232" t="s">
        <v>10198</v>
      </c>
      <c r="F469" t="s">
        <v>70</v>
      </c>
      <c r="G469">
        <v>2</v>
      </c>
      <c r="H469">
        <v>704.31799999999998</v>
      </c>
      <c r="I469">
        <v>702.39599999999996</v>
      </c>
      <c r="J469">
        <v>700.47500000000002</v>
      </c>
      <c r="K469">
        <v>696.47699999999998</v>
      </c>
      <c r="L469">
        <v>691.43299999999999</v>
      </c>
      <c r="M469" s="233" t="s">
        <v>530</v>
      </c>
      <c r="N469" s="233" t="s">
        <v>530</v>
      </c>
      <c r="O469" s="3" t="s">
        <v>970</v>
      </c>
      <c r="BM469" s="127"/>
      <c r="BN469" s="127"/>
      <c r="BO469" s="127"/>
      <c r="BP469" s="127"/>
      <c r="BQ469" s="127"/>
      <c r="BR469" s="127"/>
      <c r="BS469" s="127"/>
      <c r="BT469" s="127"/>
      <c r="BU469" s="127"/>
      <c r="BV469" s="127"/>
      <c r="BW469" s="127"/>
      <c r="BX469" s="127"/>
      <c r="BY469" s="127"/>
      <c r="BZ469" s="127"/>
      <c r="CA469" s="127"/>
      <c r="ER469" s="127"/>
      <c r="ES469" s="127"/>
      <c r="ET469" s="127"/>
      <c r="EU469" s="127"/>
      <c r="EV469" s="127"/>
      <c r="EW469" s="127"/>
      <c r="EX469" s="127"/>
      <c r="EY469" s="127"/>
      <c r="EZ469" s="127"/>
      <c r="FA469" s="127"/>
      <c r="FB469" s="127"/>
      <c r="FC469" s="127"/>
      <c r="FD469" s="127"/>
      <c r="FE469" s="127"/>
      <c r="FF469" s="127"/>
      <c r="HW469" s="127"/>
      <c r="HX469" s="127"/>
      <c r="HY469" s="127"/>
      <c r="HZ469" s="127"/>
      <c r="IA469" s="127"/>
      <c r="IB469" s="127"/>
      <c r="IC469" s="127"/>
      <c r="ID469" s="127"/>
      <c r="IE469" s="127"/>
      <c r="IF469" s="127"/>
      <c r="IG469" s="127"/>
      <c r="IH469" s="127"/>
      <c r="II469" s="127"/>
      <c r="IJ469" s="127"/>
      <c r="IK469" s="127"/>
      <c r="LB469" s="127"/>
      <c r="LC469" s="127"/>
      <c r="LD469" s="127"/>
      <c r="LE469" s="127"/>
      <c r="LF469" s="127"/>
      <c r="LG469" s="127"/>
      <c r="LH469" s="127"/>
      <c r="LI469" s="127"/>
      <c r="LJ469" s="127"/>
      <c r="LK469" s="127"/>
      <c r="LL469" s="127"/>
      <c r="LM469" s="127"/>
      <c r="LN469" s="127"/>
      <c r="LO469" s="127"/>
      <c r="LP469" s="127"/>
      <c r="OG469" s="127"/>
      <c r="OH469" s="127"/>
      <c r="OI469" s="127"/>
      <c r="OJ469" s="127"/>
      <c r="OK469" s="127"/>
      <c r="OL469" s="127"/>
      <c r="OM469" s="127"/>
      <c r="ON469" s="127"/>
      <c r="OO469" s="127"/>
      <c r="OP469" s="127"/>
      <c r="OQ469" s="127"/>
      <c r="OR469" s="127"/>
      <c r="OS469" s="127"/>
      <c r="OT469" s="127"/>
      <c r="OU469" s="127"/>
    </row>
    <row r="470" spans="1:411">
      <c r="A470">
        <v>67</v>
      </c>
      <c r="B470">
        <v>775</v>
      </c>
      <c r="C470" t="s">
        <v>72</v>
      </c>
      <c r="D470" t="s">
        <v>237</v>
      </c>
      <c r="E470" s="232" t="s">
        <v>16602</v>
      </c>
      <c r="F470" t="s">
        <v>70</v>
      </c>
      <c r="G470">
        <v>2</v>
      </c>
      <c r="H470">
        <v>703.63400000000001</v>
      </c>
      <c r="I470">
        <v>701.71299999999997</v>
      </c>
      <c r="J470">
        <v>699.69100000000003</v>
      </c>
      <c r="K470">
        <v>695.84799999999996</v>
      </c>
      <c r="L470">
        <v>690.92100000000005</v>
      </c>
      <c r="M470" s="233" t="s">
        <v>530</v>
      </c>
      <c r="N470" s="233" t="s">
        <v>530</v>
      </c>
      <c r="O470" s="3" t="s">
        <v>971</v>
      </c>
      <c r="BM470" s="127"/>
      <c r="BN470" s="127"/>
      <c r="BO470" s="127"/>
      <c r="BP470" s="127"/>
      <c r="BQ470" s="127"/>
      <c r="BR470" s="127"/>
      <c r="BS470" s="127"/>
      <c r="BT470" s="127"/>
      <c r="BU470" s="127"/>
      <c r="BV470" s="127"/>
      <c r="BW470" s="127"/>
      <c r="BX470" s="127"/>
      <c r="BY470" s="127"/>
      <c r="BZ470" s="127"/>
      <c r="CA470" s="127"/>
      <c r="ER470" s="127"/>
      <c r="ES470" s="127"/>
      <c r="ET470" s="127"/>
      <c r="EU470" s="127"/>
      <c r="EV470" s="127"/>
      <c r="EW470" s="127"/>
      <c r="EX470" s="127"/>
      <c r="EY470" s="127"/>
      <c r="EZ470" s="127"/>
      <c r="FA470" s="127"/>
      <c r="FB470" s="127"/>
      <c r="FC470" s="127"/>
      <c r="FD470" s="127"/>
      <c r="FE470" s="127"/>
      <c r="FF470" s="127"/>
      <c r="HW470" s="127"/>
      <c r="HX470" s="127"/>
      <c r="HY470" s="127"/>
      <c r="HZ470" s="127"/>
      <c r="IA470" s="127"/>
      <c r="IB470" s="127"/>
      <c r="IC470" s="127"/>
      <c r="ID470" s="127"/>
      <c r="IE470" s="127"/>
      <c r="IF470" s="127"/>
      <c r="IG470" s="127"/>
      <c r="IH470" s="127"/>
      <c r="II470" s="127"/>
      <c r="IJ470" s="127"/>
      <c r="IK470" s="127"/>
      <c r="LB470" s="127"/>
      <c r="LC470" s="127"/>
      <c r="LD470" s="127"/>
      <c r="LE470" s="127"/>
      <c r="LF470" s="127"/>
      <c r="LG470" s="127"/>
      <c r="LH470" s="127"/>
      <c r="LI470" s="127"/>
      <c r="LJ470" s="127"/>
      <c r="LK470" s="127"/>
      <c r="LL470" s="127"/>
      <c r="LM470" s="127"/>
      <c r="LN470" s="127"/>
      <c r="LO470" s="127"/>
      <c r="LP470" s="127"/>
      <c r="OG470" s="127"/>
      <c r="OH470" s="127"/>
      <c r="OI470" s="127"/>
      <c r="OJ470" s="127"/>
      <c r="OK470" s="127"/>
      <c r="OL470" s="127"/>
      <c r="OM470" s="127"/>
      <c r="ON470" s="127"/>
      <c r="OO470" s="127"/>
      <c r="OP470" s="127"/>
      <c r="OQ470" s="127"/>
      <c r="OR470" s="127"/>
      <c r="OS470" s="127"/>
      <c r="OT470" s="127"/>
      <c r="OU470" s="127"/>
    </row>
    <row r="471" spans="1:411">
      <c r="A471">
        <v>67</v>
      </c>
      <c r="B471">
        <v>780</v>
      </c>
      <c r="C471" t="s">
        <v>72</v>
      </c>
      <c r="D471" t="s">
        <v>237</v>
      </c>
      <c r="E471" s="232" t="s">
        <v>16603</v>
      </c>
      <c r="F471" t="s">
        <v>70</v>
      </c>
      <c r="G471">
        <v>2</v>
      </c>
      <c r="H471">
        <v>702.39599999999996</v>
      </c>
      <c r="I471">
        <v>699.59100000000001</v>
      </c>
      <c r="J471">
        <v>697.08600000000001</v>
      </c>
      <c r="K471">
        <v>693.95399999999995</v>
      </c>
      <c r="L471">
        <v>690.00199999999995</v>
      </c>
      <c r="M471" s="233" t="s">
        <v>530</v>
      </c>
      <c r="N471" s="233" t="s">
        <v>530</v>
      </c>
      <c r="O471" s="3" t="s">
        <v>972</v>
      </c>
      <c r="BM471" s="127"/>
      <c r="BN471" s="127"/>
      <c r="BO471" s="127"/>
      <c r="BP471" s="127"/>
      <c r="BQ471" s="127"/>
      <c r="BR471" s="127"/>
      <c r="BS471" s="127"/>
      <c r="BT471" s="127"/>
      <c r="BU471" s="127"/>
      <c r="BV471" s="127"/>
      <c r="BW471" s="127"/>
      <c r="BX471" s="127"/>
      <c r="BY471" s="127"/>
      <c r="BZ471" s="127"/>
      <c r="CA471" s="127"/>
      <c r="ER471" s="127"/>
      <c r="ES471" s="127"/>
      <c r="ET471" s="127"/>
      <c r="EU471" s="127"/>
      <c r="EV471" s="127"/>
      <c r="EW471" s="127"/>
      <c r="EX471" s="127"/>
      <c r="EY471" s="127"/>
      <c r="EZ471" s="127"/>
      <c r="FA471" s="127"/>
      <c r="FB471" s="127"/>
      <c r="FC471" s="127"/>
      <c r="FD471" s="127"/>
      <c r="FE471" s="127"/>
      <c r="FF471" s="127"/>
      <c r="HW471" s="127"/>
      <c r="HX471" s="127"/>
      <c r="HY471" s="127"/>
      <c r="HZ471" s="127"/>
      <c r="IA471" s="127"/>
      <c r="IB471" s="127"/>
      <c r="IC471" s="127"/>
      <c r="ID471" s="127"/>
      <c r="IE471" s="127"/>
      <c r="IF471" s="127"/>
      <c r="IG471" s="127"/>
      <c r="IH471" s="127"/>
      <c r="II471" s="127"/>
      <c r="IJ471" s="127"/>
      <c r="IK471" s="127"/>
      <c r="LB471" s="127"/>
      <c r="LC471" s="127"/>
      <c r="LD471" s="127"/>
      <c r="LE471" s="127"/>
      <c r="LF471" s="127"/>
      <c r="LG471" s="127"/>
      <c r="LH471" s="127"/>
      <c r="LI471" s="127"/>
      <c r="LJ471" s="127"/>
      <c r="LK471" s="127"/>
      <c r="LL471" s="127"/>
      <c r="LM471" s="127"/>
      <c r="LN471" s="127"/>
      <c r="LO471" s="127"/>
      <c r="LP471" s="127"/>
      <c r="OG471" s="127"/>
      <c r="OH471" s="127"/>
      <c r="OI471" s="127"/>
      <c r="OJ471" s="127"/>
      <c r="OK471" s="127"/>
      <c r="OL471" s="127"/>
      <c r="OM471" s="127"/>
      <c r="ON471" s="127"/>
      <c r="OO471" s="127"/>
      <c r="OP471" s="127"/>
      <c r="OQ471" s="127"/>
      <c r="OR471" s="127"/>
      <c r="OS471" s="127"/>
      <c r="OT471" s="127"/>
      <c r="OU471" s="127"/>
    </row>
    <row r="472" spans="1:411">
      <c r="A472">
        <v>67</v>
      </c>
      <c r="B472">
        <v>773</v>
      </c>
      <c r="C472" t="s">
        <v>72</v>
      </c>
      <c r="D472" t="s">
        <v>237</v>
      </c>
      <c r="E472" s="232" t="s">
        <v>16604</v>
      </c>
      <c r="F472" t="s">
        <v>70</v>
      </c>
      <c r="G472">
        <v>2</v>
      </c>
      <c r="H472">
        <v>701.86699999999996</v>
      </c>
      <c r="I472">
        <v>699.06200000000001</v>
      </c>
      <c r="J472">
        <v>696.73199999999997</v>
      </c>
      <c r="K472">
        <v>693.54499999999996</v>
      </c>
      <c r="L472">
        <v>688.41700000000003</v>
      </c>
      <c r="M472" s="233" t="s">
        <v>530</v>
      </c>
      <c r="N472" s="233" t="s">
        <v>530</v>
      </c>
      <c r="O472" s="3" t="s">
        <v>973</v>
      </c>
      <c r="BM472" s="127"/>
      <c r="BN472" s="127"/>
      <c r="BO472" s="127"/>
      <c r="BP472" s="127"/>
      <c r="BQ472" s="127"/>
      <c r="BR472" s="127"/>
      <c r="BS472" s="127"/>
      <c r="BT472" s="127"/>
      <c r="BU472" s="127"/>
      <c r="BV472" s="127"/>
      <c r="BW472" s="127"/>
      <c r="BX472" s="127"/>
      <c r="BY472" s="127"/>
      <c r="BZ472" s="127"/>
      <c r="CA472" s="127"/>
      <c r="ER472" s="127"/>
      <c r="ES472" s="127"/>
      <c r="ET472" s="127"/>
      <c r="EU472" s="127"/>
      <c r="EV472" s="127"/>
      <c r="EW472" s="127"/>
      <c r="EX472" s="127"/>
      <c r="EY472" s="127"/>
      <c r="EZ472" s="127"/>
      <c r="FA472" s="127"/>
      <c r="FB472" s="127"/>
      <c r="FC472" s="127"/>
      <c r="FD472" s="127"/>
      <c r="FE472" s="127"/>
      <c r="FF472" s="127"/>
      <c r="HW472" s="127"/>
      <c r="HX472" s="127"/>
      <c r="HY472" s="127"/>
      <c r="HZ472" s="127"/>
      <c r="IA472" s="127"/>
      <c r="IB472" s="127"/>
      <c r="IC472" s="127"/>
      <c r="ID472" s="127"/>
      <c r="IE472" s="127"/>
      <c r="IF472" s="127"/>
      <c r="IG472" s="127"/>
      <c r="IH472" s="127"/>
      <c r="II472" s="127"/>
      <c r="IJ472" s="127"/>
      <c r="IK472" s="127"/>
      <c r="LB472" s="127"/>
      <c r="LC472" s="127"/>
      <c r="LD472" s="127"/>
      <c r="LE472" s="127"/>
      <c r="LF472" s="127"/>
      <c r="LG472" s="127"/>
      <c r="LH472" s="127"/>
      <c r="LI472" s="127"/>
      <c r="LJ472" s="127"/>
      <c r="LK472" s="127"/>
      <c r="LL472" s="127"/>
      <c r="LM472" s="127"/>
      <c r="LN472" s="127"/>
      <c r="LO472" s="127"/>
      <c r="LP472" s="127"/>
      <c r="OG472" s="127"/>
      <c r="OH472" s="127"/>
      <c r="OI472" s="127"/>
      <c r="OJ472" s="127"/>
      <c r="OK472" s="127"/>
      <c r="OL472" s="127"/>
      <c r="OM472" s="127"/>
      <c r="ON472" s="127"/>
      <c r="OO472" s="127"/>
      <c r="OP472" s="127"/>
      <c r="OQ472" s="127"/>
      <c r="OR472" s="127"/>
      <c r="OS472" s="127"/>
      <c r="OT472" s="127"/>
      <c r="OU472" s="127"/>
    </row>
    <row r="473" spans="1:411">
      <c r="A473">
        <v>67</v>
      </c>
      <c r="B473">
        <v>778</v>
      </c>
      <c r="C473" t="s">
        <v>72</v>
      </c>
      <c r="D473" t="s">
        <v>237</v>
      </c>
      <c r="E473" s="232" t="s">
        <v>7353</v>
      </c>
      <c r="F473" t="s">
        <v>70</v>
      </c>
      <c r="G473">
        <v>2</v>
      </c>
      <c r="H473">
        <v>701.35799999999995</v>
      </c>
      <c r="I473">
        <v>698.63499999999999</v>
      </c>
      <c r="J473">
        <v>696.10299999999995</v>
      </c>
      <c r="K473">
        <v>692.952</v>
      </c>
      <c r="L473">
        <v>689.40899999999999</v>
      </c>
      <c r="M473" s="233" t="s">
        <v>530</v>
      </c>
      <c r="N473" s="233" t="s">
        <v>530</v>
      </c>
      <c r="O473" s="3" t="s">
        <v>974</v>
      </c>
      <c r="BM473" s="127"/>
      <c r="BN473" s="127"/>
      <c r="BO473" s="127"/>
      <c r="BP473" s="127"/>
      <c r="BQ473" s="127"/>
      <c r="BR473" s="127"/>
      <c r="BS473" s="127"/>
      <c r="BT473" s="127"/>
      <c r="BU473" s="127"/>
      <c r="BV473" s="127"/>
      <c r="BW473" s="127"/>
      <c r="BX473" s="127"/>
      <c r="BY473" s="127"/>
      <c r="BZ473" s="127"/>
      <c r="CA473" s="127"/>
      <c r="ER473" s="127"/>
      <c r="ES473" s="127"/>
      <c r="ET473" s="127"/>
      <c r="EU473" s="127"/>
      <c r="EV473" s="127"/>
      <c r="EW473" s="127"/>
      <c r="EX473" s="127"/>
      <c r="EY473" s="127"/>
      <c r="EZ473" s="127"/>
      <c r="FA473" s="127"/>
      <c r="FB473" s="127"/>
      <c r="FC473" s="127"/>
      <c r="FD473" s="127"/>
      <c r="FE473" s="127"/>
      <c r="FF473" s="127"/>
      <c r="HW473" s="127"/>
      <c r="HX473" s="127"/>
      <c r="HY473" s="127"/>
      <c r="HZ473" s="127"/>
      <c r="IA473" s="127"/>
      <c r="IB473" s="127"/>
      <c r="IC473" s="127"/>
      <c r="ID473" s="127"/>
      <c r="IE473" s="127"/>
      <c r="IF473" s="127"/>
      <c r="IG473" s="127"/>
      <c r="IH473" s="127"/>
      <c r="II473" s="127"/>
      <c r="IJ473" s="127"/>
      <c r="IK473" s="127"/>
      <c r="LB473" s="127"/>
      <c r="LC473" s="127"/>
      <c r="LD473" s="127"/>
      <c r="LE473" s="127"/>
      <c r="LF473" s="127"/>
      <c r="LG473" s="127"/>
      <c r="LH473" s="127"/>
      <c r="LI473" s="127"/>
      <c r="LJ473" s="127"/>
      <c r="LK473" s="127"/>
      <c r="LL473" s="127"/>
      <c r="LM473" s="127"/>
      <c r="LN473" s="127"/>
      <c r="LO473" s="127"/>
      <c r="LP473" s="127"/>
      <c r="OG473" s="127"/>
      <c r="OH473" s="127"/>
      <c r="OI473" s="127"/>
      <c r="OJ473" s="127"/>
      <c r="OK473" s="127"/>
      <c r="OL473" s="127"/>
      <c r="OM473" s="127"/>
      <c r="ON473" s="127"/>
      <c r="OO473" s="127"/>
      <c r="OP473" s="127"/>
      <c r="OQ473" s="127"/>
      <c r="OR473" s="127"/>
      <c r="OS473" s="127"/>
      <c r="OT473" s="127"/>
      <c r="OU473" s="127"/>
    </row>
    <row r="474" spans="1:411">
      <c r="A474">
        <v>69</v>
      </c>
      <c r="B474">
        <v>790</v>
      </c>
      <c r="C474" t="s">
        <v>72</v>
      </c>
      <c r="D474" t="s">
        <v>237</v>
      </c>
      <c r="E474" s="232" t="s">
        <v>16605</v>
      </c>
      <c r="F474" t="s">
        <v>70</v>
      </c>
      <c r="G474">
        <v>2</v>
      </c>
      <c r="H474">
        <v>675.09500000000003</v>
      </c>
      <c r="I474">
        <v>672.45500000000004</v>
      </c>
      <c r="J474">
        <v>669.56</v>
      </c>
      <c r="K474">
        <v>666.13400000000001</v>
      </c>
      <c r="L474">
        <v>662.81</v>
      </c>
      <c r="M474" s="233" t="s">
        <v>530</v>
      </c>
      <c r="N474" s="233" t="s">
        <v>530</v>
      </c>
      <c r="O474" s="3" t="s">
        <v>975</v>
      </c>
      <c r="BM474" s="127"/>
      <c r="BN474" s="127"/>
      <c r="BO474" s="127"/>
      <c r="BP474" s="127"/>
      <c r="BQ474" s="127"/>
      <c r="BR474" s="127"/>
      <c r="BS474" s="127"/>
      <c r="BT474" s="127"/>
      <c r="BU474" s="127"/>
      <c r="BV474" s="127"/>
      <c r="BW474" s="127"/>
      <c r="BX474" s="127"/>
      <c r="BY474" s="127"/>
      <c r="BZ474" s="127"/>
      <c r="CA474" s="127"/>
      <c r="ER474" s="127"/>
      <c r="ES474" s="127"/>
      <c r="ET474" s="127"/>
      <c r="EU474" s="127"/>
      <c r="EV474" s="127"/>
      <c r="EW474" s="127"/>
      <c r="EX474" s="127"/>
      <c r="EY474" s="127"/>
      <c r="EZ474" s="127"/>
      <c r="FA474" s="127"/>
      <c r="FB474" s="127"/>
      <c r="FC474" s="127"/>
      <c r="FD474" s="127"/>
      <c r="FE474" s="127"/>
      <c r="FF474" s="127"/>
      <c r="HW474" s="127"/>
      <c r="HX474" s="127"/>
      <c r="HY474" s="127"/>
      <c r="HZ474" s="127"/>
      <c r="IA474" s="127"/>
      <c r="IB474" s="127"/>
      <c r="IC474" s="127"/>
      <c r="ID474" s="127"/>
      <c r="IE474" s="127"/>
      <c r="IF474" s="127"/>
      <c r="IG474" s="127"/>
      <c r="IH474" s="127"/>
      <c r="II474" s="127"/>
      <c r="IJ474" s="127"/>
      <c r="IK474" s="127"/>
      <c r="LB474" s="127"/>
      <c r="LC474" s="127"/>
      <c r="LD474" s="127"/>
      <c r="LE474" s="127"/>
      <c r="LF474" s="127"/>
      <c r="LG474" s="127"/>
      <c r="LH474" s="127"/>
      <c r="LI474" s="127"/>
      <c r="LJ474" s="127"/>
      <c r="LK474" s="127"/>
      <c r="LL474" s="127"/>
      <c r="LM474" s="127"/>
      <c r="LN474" s="127"/>
      <c r="LO474" s="127"/>
      <c r="LP474" s="127"/>
      <c r="OG474" s="127"/>
      <c r="OH474" s="127"/>
      <c r="OI474" s="127"/>
      <c r="OJ474" s="127"/>
      <c r="OK474" s="127"/>
      <c r="OL474" s="127"/>
      <c r="OM474" s="127"/>
      <c r="ON474" s="127"/>
      <c r="OO474" s="127"/>
      <c r="OP474" s="127"/>
      <c r="OQ474" s="127"/>
      <c r="OR474" s="127"/>
      <c r="OS474" s="127"/>
      <c r="OT474" s="127"/>
      <c r="OU474" s="127"/>
    </row>
    <row r="475" spans="1:411">
      <c r="A475">
        <v>67</v>
      </c>
      <c r="B475">
        <v>787</v>
      </c>
      <c r="C475" t="s">
        <v>72</v>
      </c>
      <c r="D475" t="s">
        <v>237</v>
      </c>
      <c r="E475" s="232" t="s">
        <v>10674</v>
      </c>
      <c r="F475" t="s">
        <v>70</v>
      </c>
      <c r="G475">
        <v>2</v>
      </c>
      <c r="H475">
        <v>698.53499999999997</v>
      </c>
      <c r="I475">
        <v>695.43899999999996</v>
      </c>
      <c r="J475">
        <v>692.625</v>
      </c>
      <c r="K475">
        <v>690.80399999999997</v>
      </c>
      <c r="L475">
        <v>682.77</v>
      </c>
      <c r="M475" s="233" t="s">
        <v>530</v>
      </c>
      <c r="N475" s="233" t="s">
        <v>530</v>
      </c>
      <c r="O475" s="3" t="s">
        <v>976</v>
      </c>
      <c r="BM475" s="127"/>
      <c r="BN475" s="127"/>
      <c r="BO475" s="127"/>
      <c r="BP475" s="127"/>
      <c r="BQ475" s="127"/>
      <c r="BR475" s="127"/>
      <c r="BS475" s="127"/>
      <c r="BT475" s="127"/>
      <c r="BU475" s="127"/>
      <c r="BV475" s="127"/>
      <c r="BW475" s="127"/>
      <c r="BX475" s="127"/>
      <c r="BY475" s="127"/>
      <c r="BZ475" s="127"/>
      <c r="CA475" s="127"/>
      <c r="ER475" s="127"/>
      <c r="ES475" s="127"/>
      <c r="ET475" s="127"/>
      <c r="EU475" s="127"/>
      <c r="EV475" s="127"/>
      <c r="EW475" s="127"/>
      <c r="EX475" s="127"/>
      <c r="EY475" s="127"/>
      <c r="EZ475" s="127"/>
      <c r="FA475" s="127"/>
      <c r="FB475" s="127"/>
      <c r="FC475" s="127"/>
      <c r="FD475" s="127"/>
      <c r="FE475" s="127"/>
      <c r="FF475" s="127"/>
      <c r="HW475" s="127"/>
      <c r="HX475" s="127"/>
      <c r="HY475" s="127"/>
      <c r="HZ475" s="127"/>
      <c r="IA475" s="127"/>
      <c r="IB475" s="127"/>
      <c r="IC475" s="127"/>
      <c r="ID475" s="127"/>
      <c r="IE475" s="127"/>
      <c r="IF475" s="127"/>
      <c r="IG475" s="127"/>
      <c r="IH475" s="127"/>
      <c r="II475" s="127"/>
      <c r="IJ475" s="127"/>
      <c r="IK475" s="127"/>
      <c r="LB475" s="127"/>
      <c r="LC475" s="127"/>
      <c r="LD475" s="127"/>
      <c r="LE475" s="127"/>
      <c r="LF475" s="127"/>
      <c r="LG475" s="127"/>
      <c r="LH475" s="127"/>
      <c r="LI475" s="127"/>
      <c r="LJ475" s="127"/>
      <c r="LK475" s="127"/>
      <c r="LL475" s="127"/>
      <c r="LM475" s="127"/>
      <c r="LN475" s="127"/>
      <c r="LO475" s="127"/>
      <c r="LP475" s="127"/>
      <c r="OG475" s="127"/>
      <c r="OH475" s="127"/>
      <c r="OI475" s="127"/>
      <c r="OJ475" s="127"/>
      <c r="OK475" s="127"/>
      <c r="OL475" s="127"/>
      <c r="OM475" s="127"/>
      <c r="ON475" s="127"/>
      <c r="OO475" s="127"/>
      <c r="OP475" s="127"/>
      <c r="OQ475" s="127"/>
      <c r="OR475" s="127"/>
      <c r="OS475" s="127"/>
      <c r="OT475" s="127"/>
      <c r="OU475" s="127"/>
    </row>
    <row r="476" spans="1:411">
      <c r="A476">
        <v>67</v>
      </c>
      <c r="B476">
        <v>777</v>
      </c>
      <c r="C476" t="s">
        <v>72</v>
      </c>
      <c r="D476" t="s">
        <v>237</v>
      </c>
      <c r="E476" s="232" t="s">
        <v>16606</v>
      </c>
      <c r="F476" t="s">
        <v>70</v>
      </c>
      <c r="G476">
        <v>2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s="233" t="s">
        <v>530</v>
      </c>
      <c r="N476" s="233" t="s">
        <v>530</v>
      </c>
      <c r="O476" s="3" t="s">
        <v>2623</v>
      </c>
      <c r="BM476" s="127"/>
      <c r="BN476" s="127"/>
      <c r="BO476" s="127"/>
      <c r="BP476" s="127"/>
      <c r="BQ476" s="127"/>
      <c r="BR476" s="127"/>
      <c r="BS476" s="127"/>
      <c r="BT476" s="127"/>
      <c r="BU476" s="127"/>
      <c r="BV476" s="127"/>
      <c r="BW476" s="127"/>
      <c r="BX476" s="127"/>
      <c r="BY476" s="127"/>
      <c r="BZ476" s="127"/>
      <c r="CA476" s="127"/>
      <c r="ER476" s="127"/>
      <c r="ES476" s="127"/>
      <c r="ET476" s="127"/>
      <c r="EU476" s="127"/>
      <c r="EV476" s="127"/>
      <c r="EW476" s="127"/>
      <c r="EX476" s="127"/>
      <c r="EY476" s="127"/>
      <c r="EZ476" s="127"/>
      <c r="FA476" s="127"/>
      <c r="FB476" s="127"/>
      <c r="FC476" s="127"/>
      <c r="FD476" s="127"/>
      <c r="FE476" s="127"/>
      <c r="FF476" s="127"/>
      <c r="HW476" s="127"/>
      <c r="HX476" s="127"/>
      <c r="HY476" s="127"/>
      <c r="HZ476" s="127"/>
      <c r="IA476" s="127"/>
      <c r="IB476" s="127"/>
      <c r="IC476" s="127"/>
      <c r="ID476" s="127"/>
      <c r="IE476" s="127"/>
      <c r="IF476" s="127"/>
      <c r="IG476" s="127"/>
      <c r="IH476" s="127"/>
      <c r="II476" s="127"/>
      <c r="IJ476" s="127"/>
      <c r="IK476" s="127"/>
      <c r="LB476" s="127"/>
      <c r="LC476" s="127"/>
      <c r="LD476" s="127"/>
      <c r="LE476" s="127"/>
      <c r="LF476" s="127"/>
      <c r="LG476" s="127"/>
      <c r="LH476" s="127"/>
      <c r="LI476" s="127"/>
      <c r="LJ476" s="127"/>
      <c r="LK476" s="127"/>
      <c r="LL476" s="127"/>
      <c r="LM476" s="127"/>
      <c r="LN476" s="127"/>
      <c r="LO476" s="127"/>
      <c r="LP476" s="127"/>
      <c r="OG476" s="127"/>
      <c r="OH476" s="127"/>
      <c r="OI476" s="127"/>
      <c r="OJ476" s="127"/>
      <c r="OK476" s="127"/>
      <c r="OL476" s="127"/>
      <c r="OM476" s="127"/>
      <c r="ON476" s="127"/>
      <c r="OO476" s="127"/>
      <c r="OP476" s="127"/>
      <c r="OQ476" s="127"/>
      <c r="OR476" s="127"/>
      <c r="OS476" s="127"/>
      <c r="OT476" s="127"/>
      <c r="OU476" s="127"/>
    </row>
    <row r="477" spans="1:411">
      <c r="A477">
        <v>67</v>
      </c>
      <c r="B477">
        <v>781</v>
      </c>
      <c r="C477" t="s">
        <v>72</v>
      </c>
      <c r="D477" t="s">
        <v>237</v>
      </c>
      <c r="E477" s="232" t="s">
        <v>16607</v>
      </c>
      <c r="F477" t="s">
        <v>70</v>
      </c>
      <c r="G477">
        <v>2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s="233" t="s">
        <v>530</v>
      </c>
      <c r="N477" s="233" t="s">
        <v>530</v>
      </c>
      <c r="O477" s="3" t="s">
        <v>2623</v>
      </c>
      <c r="BM477" s="127"/>
      <c r="BN477" s="127"/>
      <c r="BO477" s="127"/>
      <c r="BP477" s="127"/>
      <c r="BQ477" s="127"/>
      <c r="BR477" s="127"/>
      <c r="BS477" s="127"/>
      <c r="BT477" s="127"/>
      <c r="BU477" s="127"/>
      <c r="BV477" s="127"/>
      <c r="BW477" s="127"/>
      <c r="BX477" s="127"/>
      <c r="BY477" s="127"/>
      <c r="BZ477" s="127"/>
      <c r="CA477" s="127"/>
      <c r="ER477" s="127"/>
      <c r="ES477" s="127"/>
      <c r="ET477" s="127"/>
      <c r="EU477" s="127"/>
      <c r="EV477" s="127"/>
      <c r="EW477" s="127"/>
      <c r="EX477" s="127"/>
      <c r="EY477" s="127"/>
      <c r="EZ477" s="127"/>
      <c r="FA477" s="127"/>
      <c r="FB477" s="127"/>
      <c r="FC477" s="127"/>
      <c r="FD477" s="127"/>
      <c r="FE477" s="127"/>
      <c r="FF477" s="127"/>
      <c r="HW477" s="127"/>
      <c r="HX477" s="127"/>
      <c r="HY477" s="127"/>
      <c r="HZ477" s="127"/>
      <c r="IA477" s="127"/>
      <c r="IB477" s="127"/>
      <c r="IC477" s="127"/>
      <c r="ID477" s="127"/>
      <c r="IE477" s="127"/>
      <c r="IF477" s="127"/>
      <c r="IG477" s="127"/>
      <c r="IH477" s="127"/>
      <c r="II477" s="127"/>
      <c r="IJ477" s="127"/>
      <c r="IK477" s="127"/>
      <c r="LB477" s="127"/>
      <c r="LC477" s="127"/>
      <c r="LD477" s="127"/>
      <c r="LE477" s="127"/>
      <c r="LF477" s="127"/>
      <c r="LG477" s="127"/>
      <c r="LH477" s="127"/>
      <c r="LI477" s="127"/>
      <c r="LJ477" s="127"/>
      <c r="LK477" s="127"/>
      <c r="LL477" s="127"/>
      <c r="LM477" s="127"/>
      <c r="LN477" s="127"/>
      <c r="LO477" s="127"/>
      <c r="LP477" s="127"/>
      <c r="OG477" s="127"/>
      <c r="OH477" s="127"/>
      <c r="OI477" s="127"/>
      <c r="OJ477" s="127"/>
      <c r="OK477" s="127"/>
      <c r="OL477" s="127"/>
      <c r="OM477" s="127"/>
      <c r="ON477" s="127"/>
      <c r="OO477" s="127"/>
      <c r="OP477" s="127"/>
      <c r="OQ477" s="127"/>
      <c r="OR477" s="127"/>
      <c r="OS477" s="127"/>
      <c r="OT477" s="127"/>
      <c r="OU477" s="127"/>
    </row>
    <row r="478" spans="1:411">
      <c r="A478">
        <v>67</v>
      </c>
      <c r="B478">
        <v>785</v>
      </c>
      <c r="C478" t="s">
        <v>72</v>
      </c>
      <c r="D478" t="s">
        <v>237</v>
      </c>
      <c r="E478" s="232" t="s">
        <v>8307</v>
      </c>
      <c r="F478" t="s">
        <v>70</v>
      </c>
      <c r="G478">
        <v>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s="233" t="s">
        <v>530</v>
      </c>
      <c r="N478" s="233" t="s">
        <v>530</v>
      </c>
      <c r="O478" s="3" t="s">
        <v>2623</v>
      </c>
      <c r="BM478" s="127"/>
      <c r="BN478" s="127"/>
      <c r="BO478" s="127"/>
      <c r="BP478" s="127"/>
      <c r="BQ478" s="127"/>
      <c r="BR478" s="127"/>
      <c r="BS478" s="127"/>
      <c r="BT478" s="127"/>
      <c r="BU478" s="127"/>
      <c r="BV478" s="127"/>
      <c r="BW478" s="127"/>
      <c r="BX478" s="127"/>
      <c r="BY478" s="127"/>
      <c r="BZ478" s="127"/>
      <c r="CA478" s="127"/>
      <c r="ER478" s="127"/>
      <c r="ES478" s="127"/>
      <c r="ET478" s="127"/>
      <c r="EU478" s="127"/>
      <c r="EV478" s="127"/>
      <c r="EW478" s="127"/>
      <c r="EX478" s="127"/>
      <c r="EY478" s="127"/>
      <c r="EZ478" s="127"/>
      <c r="FA478" s="127"/>
      <c r="FB478" s="127"/>
      <c r="FC478" s="127"/>
      <c r="FD478" s="127"/>
      <c r="FE478" s="127"/>
      <c r="FF478" s="127"/>
      <c r="HW478" s="127"/>
      <c r="HX478" s="127"/>
      <c r="HY478" s="127"/>
      <c r="HZ478" s="127"/>
      <c r="IA478" s="127"/>
      <c r="IB478" s="127"/>
      <c r="IC478" s="127"/>
      <c r="ID478" s="127"/>
      <c r="IE478" s="127"/>
      <c r="IF478" s="127"/>
      <c r="IG478" s="127"/>
      <c r="IH478" s="127"/>
      <c r="II478" s="127"/>
      <c r="IJ478" s="127"/>
      <c r="IK478" s="127"/>
      <c r="LB478" s="127"/>
      <c r="LC478" s="127"/>
      <c r="LD478" s="127"/>
      <c r="LE478" s="127"/>
      <c r="LF478" s="127"/>
      <c r="LG478" s="127"/>
      <c r="LH478" s="127"/>
      <c r="LI478" s="127"/>
      <c r="LJ478" s="127"/>
      <c r="LK478" s="127"/>
      <c r="LL478" s="127"/>
      <c r="LM478" s="127"/>
      <c r="LN478" s="127"/>
      <c r="LO478" s="127"/>
      <c r="LP478" s="127"/>
      <c r="OG478" s="127"/>
      <c r="OH478" s="127"/>
      <c r="OI478" s="127"/>
      <c r="OJ478" s="127"/>
      <c r="OK478" s="127"/>
      <c r="OL478" s="127"/>
      <c r="OM478" s="127"/>
      <c r="ON478" s="127"/>
      <c r="OO478" s="127"/>
      <c r="OP478" s="127"/>
      <c r="OQ478" s="127"/>
      <c r="OR478" s="127"/>
      <c r="OS478" s="127"/>
      <c r="OT478" s="127"/>
      <c r="OU478" s="127"/>
    </row>
    <row r="479" spans="1:411">
      <c r="A479">
        <v>68</v>
      </c>
      <c r="B479">
        <v>802</v>
      </c>
      <c r="C479" t="s">
        <v>72</v>
      </c>
      <c r="D479" t="s">
        <v>237</v>
      </c>
      <c r="E479" s="232" t="s">
        <v>489</v>
      </c>
      <c r="F479" t="s">
        <v>71</v>
      </c>
      <c r="G479">
        <v>2</v>
      </c>
      <c r="H479">
        <v>696.2</v>
      </c>
      <c r="I479">
        <v>693.60599999999999</v>
      </c>
      <c r="J479">
        <v>691.04600000000005</v>
      </c>
      <c r="K479">
        <v>687.78599999999994</v>
      </c>
      <c r="L479">
        <v>682.76599999999996</v>
      </c>
      <c r="M479" s="233" t="s">
        <v>530</v>
      </c>
      <c r="N479" s="233" t="s">
        <v>530</v>
      </c>
      <c r="O479" s="3" t="s">
        <v>977</v>
      </c>
      <c r="BM479" s="127"/>
      <c r="BN479" s="127"/>
      <c r="BO479" s="127"/>
      <c r="BP479" s="127"/>
      <c r="BQ479" s="127"/>
      <c r="BR479" s="127"/>
      <c r="BS479" s="127"/>
      <c r="BT479" s="127"/>
      <c r="BU479" s="127"/>
      <c r="BV479" s="127"/>
      <c r="BW479" s="127"/>
      <c r="BX479" s="127"/>
      <c r="BY479" s="127"/>
      <c r="BZ479" s="127"/>
      <c r="CA479" s="127"/>
      <c r="ER479" s="127"/>
      <c r="ES479" s="127"/>
      <c r="ET479" s="127"/>
      <c r="EU479" s="127"/>
      <c r="EV479" s="127"/>
      <c r="EW479" s="127"/>
      <c r="EX479" s="127"/>
      <c r="EY479" s="127"/>
      <c r="EZ479" s="127"/>
      <c r="FA479" s="127"/>
      <c r="FB479" s="127"/>
      <c r="FC479" s="127"/>
      <c r="FD479" s="127"/>
      <c r="FE479" s="127"/>
      <c r="FF479" s="127"/>
      <c r="HW479" s="127"/>
      <c r="HX479" s="127"/>
      <c r="HY479" s="127"/>
      <c r="HZ479" s="127"/>
      <c r="IA479" s="127"/>
      <c r="IB479" s="127"/>
      <c r="IC479" s="127"/>
      <c r="ID479" s="127"/>
      <c r="IE479" s="127"/>
      <c r="IF479" s="127"/>
      <c r="IG479" s="127"/>
      <c r="IH479" s="127"/>
      <c r="II479" s="127"/>
      <c r="IJ479" s="127"/>
      <c r="IK479" s="127"/>
      <c r="LB479" s="127"/>
      <c r="LC479" s="127"/>
      <c r="LD479" s="127"/>
      <c r="LE479" s="127"/>
      <c r="LF479" s="127"/>
      <c r="LG479" s="127"/>
      <c r="LH479" s="127"/>
      <c r="LI479" s="127"/>
      <c r="LJ479" s="127"/>
      <c r="LK479" s="127"/>
      <c r="LL479" s="127"/>
      <c r="LM479" s="127"/>
      <c r="LN479" s="127"/>
      <c r="LO479" s="127"/>
      <c r="LP479" s="127"/>
      <c r="OG479" s="127"/>
      <c r="OH479" s="127"/>
      <c r="OI479" s="127"/>
      <c r="OJ479" s="127"/>
      <c r="OK479" s="127"/>
      <c r="OL479" s="127"/>
      <c r="OM479" s="127"/>
      <c r="ON479" s="127"/>
      <c r="OO479" s="127"/>
      <c r="OP479" s="127"/>
      <c r="OQ479" s="127"/>
      <c r="OR479" s="127"/>
      <c r="OS479" s="127"/>
      <c r="OT479" s="127"/>
      <c r="OU479" s="127"/>
    </row>
    <row r="480" spans="1:411">
      <c r="A480">
        <v>70</v>
      </c>
      <c r="B480">
        <v>791</v>
      </c>
      <c r="C480" t="s">
        <v>72</v>
      </c>
      <c r="D480" t="s">
        <v>237</v>
      </c>
      <c r="E480" s="232" t="s">
        <v>16608</v>
      </c>
      <c r="F480" t="s">
        <v>71</v>
      </c>
      <c r="G480">
        <v>2</v>
      </c>
      <c r="H480">
        <v>661.84</v>
      </c>
      <c r="I480">
        <v>659.30899999999997</v>
      </c>
      <c r="J480">
        <v>656.28</v>
      </c>
      <c r="K480">
        <v>653.44899999999996</v>
      </c>
      <c r="L480">
        <v>650.26900000000001</v>
      </c>
      <c r="M480" s="233" t="s">
        <v>530</v>
      </c>
      <c r="N480" s="233" t="s">
        <v>530</v>
      </c>
      <c r="O480" s="3" t="s">
        <v>978</v>
      </c>
      <c r="BM480" s="127"/>
      <c r="BN480" s="127"/>
      <c r="BO480" s="127"/>
      <c r="BP480" s="127"/>
      <c r="BQ480" s="127"/>
      <c r="BR480" s="127"/>
      <c r="BS480" s="127"/>
      <c r="BT480" s="127"/>
      <c r="BU480" s="127"/>
      <c r="BV480" s="127"/>
      <c r="BW480" s="127"/>
      <c r="BX480" s="127"/>
      <c r="BY480" s="127"/>
      <c r="BZ480" s="127"/>
      <c r="CA480" s="127"/>
      <c r="ER480" s="127"/>
      <c r="ES480" s="127"/>
      <c r="ET480" s="127"/>
      <c r="EU480" s="127"/>
      <c r="EV480" s="127"/>
      <c r="EW480" s="127"/>
      <c r="EX480" s="127"/>
      <c r="EY480" s="127"/>
      <c r="EZ480" s="127"/>
      <c r="FA480" s="127"/>
      <c r="FB480" s="127"/>
      <c r="FC480" s="127"/>
      <c r="FD480" s="127"/>
      <c r="FE480" s="127"/>
      <c r="FF480" s="127"/>
      <c r="HW480" s="127"/>
      <c r="HX480" s="127"/>
      <c r="HY480" s="127"/>
      <c r="HZ480" s="127"/>
      <c r="IA480" s="127"/>
      <c r="IB480" s="127"/>
      <c r="IC480" s="127"/>
      <c r="ID480" s="127"/>
      <c r="IE480" s="127"/>
      <c r="IF480" s="127"/>
      <c r="IG480" s="127"/>
      <c r="IH480" s="127"/>
      <c r="II480" s="127"/>
      <c r="IJ480" s="127"/>
      <c r="IK480" s="127"/>
      <c r="LB480" s="127"/>
      <c r="LC480" s="127"/>
      <c r="LD480" s="127"/>
      <c r="LE480" s="127"/>
      <c r="LF480" s="127"/>
      <c r="LG480" s="127"/>
      <c r="LH480" s="127"/>
      <c r="LI480" s="127"/>
      <c r="LJ480" s="127"/>
      <c r="LK480" s="127"/>
      <c r="LL480" s="127"/>
      <c r="LM480" s="127"/>
      <c r="LN480" s="127"/>
      <c r="LO480" s="127"/>
      <c r="LP480" s="127"/>
      <c r="OG480" s="127"/>
      <c r="OH480" s="127"/>
      <c r="OI480" s="127"/>
      <c r="OJ480" s="127"/>
      <c r="OK480" s="127"/>
      <c r="OL480" s="127"/>
      <c r="OM480" s="127"/>
      <c r="ON480" s="127"/>
      <c r="OO480" s="127"/>
      <c r="OP480" s="127"/>
      <c r="OQ480" s="127"/>
      <c r="OR480" s="127"/>
      <c r="OS480" s="127"/>
      <c r="OT480" s="127"/>
      <c r="OU480" s="127"/>
    </row>
    <row r="481" spans="1:411">
      <c r="A481">
        <v>68</v>
      </c>
      <c r="B481">
        <v>797</v>
      </c>
      <c r="C481" t="s">
        <v>72</v>
      </c>
      <c r="D481" t="s">
        <v>237</v>
      </c>
      <c r="E481" s="232" t="s">
        <v>16609</v>
      </c>
      <c r="F481" t="s">
        <v>71</v>
      </c>
      <c r="G481">
        <v>2</v>
      </c>
      <c r="H481">
        <v>694.94399999999996</v>
      </c>
      <c r="I481">
        <v>692.37</v>
      </c>
      <c r="J481">
        <v>689.91</v>
      </c>
      <c r="K481">
        <v>687.3</v>
      </c>
      <c r="L481">
        <v>682.43</v>
      </c>
      <c r="M481" s="233" t="s">
        <v>530</v>
      </c>
      <c r="N481" s="233" t="s">
        <v>530</v>
      </c>
      <c r="O481" s="3" t="s">
        <v>979</v>
      </c>
      <c r="BM481" s="127"/>
      <c r="BN481" s="127"/>
      <c r="BO481" s="127"/>
      <c r="BP481" s="127"/>
      <c r="BQ481" s="127"/>
      <c r="BR481" s="127"/>
      <c r="BS481" s="127"/>
      <c r="BT481" s="127"/>
      <c r="BU481" s="127"/>
      <c r="BV481" s="127"/>
      <c r="BW481" s="127"/>
      <c r="BX481" s="127"/>
      <c r="BY481" s="127"/>
      <c r="BZ481" s="127"/>
      <c r="CA481" s="127"/>
      <c r="ER481" s="127"/>
      <c r="ES481" s="127"/>
      <c r="ET481" s="127"/>
      <c r="EU481" s="127"/>
      <c r="EV481" s="127"/>
      <c r="EW481" s="127"/>
      <c r="EX481" s="127"/>
      <c r="EY481" s="127"/>
      <c r="EZ481" s="127"/>
      <c r="FA481" s="127"/>
      <c r="FB481" s="127"/>
      <c r="FC481" s="127"/>
      <c r="FD481" s="127"/>
      <c r="FE481" s="127"/>
      <c r="FF481" s="127"/>
      <c r="HW481" s="127"/>
      <c r="HX481" s="127"/>
      <c r="HY481" s="127"/>
      <c r="HZ481" s="127"/>
      <c r="IA481" s="127"/>
      <c r="IB481" s="127"/>
      <c r="IC481" s="127"/>
      <c r="ID481" s="127"/>
      <c r="IE481" s="127"/>
      <c r="IF481" s="127"/>
      <c r="IG481" s="127"/>
      <c r="IH481" s="127"/>
      <c r="II481" s="127"/>
      <c r="IJ481" s="127"/>
      <c r="IK481" s="127"/>
      <c r="LB481" s="127"/>
      <c r="LC481" s="127"/>
      <c r="LD481" s="127"/>
      <c r="LE481" s="127"/>
      <c r="LF481" s="127"/>
      <c r="LG481" s="127"/>
      <c r="LH481" s="127"/>
      <c r="LI481" s="127"/>
      <c r="LJ481" s="127"/>
      <c r="LK481" s="127"/>
      <c r="LL481" s="127"/>
      <c r="LM481" s="127"/>
      <c r="LN481" s="127"/>
      <c r="LO481" s="127"/>
      <c r="LP481" s="127"/>
      <c r="OG481" s="127"/>
      <c r="OH481" s="127"/>
      <c r="OI481" s="127"/>
      <c r="OJ481" s="127"/>
      <c r="OK481" s="127"/>
      <c r="OL481" s="127"/>
      <c r="OM481" s="127"/>
      <c r="ON481" s="127"/>
      <c r="OO481" s="127"/>
      <c r="OP481" s="127"/>
      <c r="OQ481" s="127"/>
      <c r="OR481" s="127"/>
      <c r="OS481" s="127"/>
      <c r="OT481" s="127"/>
      <c r="OU481" s="127"/>
    </row>
    <row r="482" spans="1:411">
      <c r="A482">
        <v>68</v>
      </c>
      <c r="B482">
        <v>805</v>
      </c>
      <c r="C482" t="s">
        <v>72</v>
      </c>
      <c r="D482" t="s">
        <v>237</v>
      </c>
      <c r="E482" s="232" t="s">
        <v>8772</v>
      </c>
      <c r="F482" t="s">
        <v>71</v>
      </c>
      <c r="G482">
        <v>2</v>
      </c>
      <c r="H482">
        <v>689.76</v>
      </c>
      <c r="I482">
        <v>687.51599999999996</v>
      </c>
      <c r="J482">
        <v>685.31</v>
      </c>
      <c r="K482">
        <v>683.05</v>
      </c>
      <c r="L482">
        <v>680.39</v>
      </c>
      <c r="M482" s="233" t="s">
        <v>530</v>
      </c>
      <c r="N482" s="233" t="s">
        <v>530</v>
      </c>
      <c r="O482" s="3" t="s">
        <v>980</v>
      </c>
      <c r="BM482" s="127"/>
      <c r="BN482" s="127"/>
      <c r="BO482" s="127"/>
      <c r="BP482" s="127"/>
      <c r="BQ482" s="127"/>
      <c r="BR482" s="127"/>
      <c r="BS482" s="127"/>
      <c r="BT482" s="127"/>
      <c r="BU482" s="127"/>
      <c r="BV482" s="127"/>
      <c r="BW482" s="127"/>
      <c r="BX482" s="127"/>
      <c r="BY482" s="127"/>
      <c r="BZ482" s="127"/>
      <c r="CA482" s="127"/>
      <c r="ER482" s="127"/>
      <c r="ES482" s="127"/>
      <c r="ET482" s="127"/>
      <c r="EU482" s="127"/>
      <c r="EV482" s="127"/>
      <c r="EW482" s="127"/>
      <c r="EX482" s="127"/>
      <c r="EY482" s="127"/>
      <c r="EZ482" s="127"/>
      <c r="FA482" s="127"/>
      <c r="FB482" s="127"/>
      <c r="FC482" s="127"/>
      <c r="FD482" s="127"/>
      <c r="FE482" s="127"/>
      <c r="FF482" s="127"/>
      <c r="HW482" s="127"/>
      <c r="HX482" s="127"/>
      <c r="HY482" s="127"/>
      <c r="HZ482" s="127"/>
      <c r="IA482" s="127"/>
      <c r="IB482" s="127"/>
      <c r="IC482" s="127"/>
      <c r="ID482" s="127"/>
      <c r="IE482" s="127"/>
      <c r="IF482" s="127"/>
      <c r="IG482" s="127"/>
      <c r="IH482" s="127"/>
      <c r="II482" s="127"/>
      <c r="IJ482" s="127"/>
      <c r="IK482" s="127"/>
      <c r="LB482" s="127"/>
      <c r="LC482" s="127"/>
      <c r="LD482" s="127"/>
      <c r="LE482" s="127"/>
      <c r="LF482" s="127"/>
      <c r="LG482" s="127"/>
      <c r="LH482" s="127"/>
      <c r="LI482" s="127"/>
      <c r="LJ482" s="127"/>
      <c r="LK482" s="127"/>
      <c r="LL482" s="127"/>
      <c r="LM482" s="127"/>
      <c r="LN482" s="127"/>
      <c r="LO482" s="127"/>
      <c r="LP482" s="127"/>
      <c r="OG482" s="127"/>
      <c r="OH482" s="127"/>
      <c r="OI482" s="127"/>
      <c r="OJ482" s="127"/>
      <c r="OK482" s="127"/>
      <c r="OL482" s="127"/>
      <c r="OM482" s="127"/>
      <c r="ON482" s="127"/>
      <c r="OO482" s="127"/>
      <c r="OP482" s="127"/>
      <c r="OQ482" s="127"/>
      <c r="OR482" s="127"/>
      <c r="OS482" s="127"/>
      <c r="OT482" s="127"/>
      <c r="OU482" s="127"/>
    </row>
    <row r="483" spans="1:411">
      <c r="A483">
        <v>79</v>
      </c>
      <c r="B483">
        <v>892</v>
      </c>
      <c r="C483" t="s">
        <v>72</v>
      </c>
      <c r="D483" t="s">
        <v>301</v>
      </c>
      <c r="E483" s="232" t="s">
        <v>419</v>
      </c>
      <c r="F483" t="s">
        <v>70</v>
      </c>
      <c r="G483">
        <v>2</v>
      </c>
      <c r="H483">
        <v>713.11599999999999</v>
      </c>
      <c r="I483">
        <v>710.60599999999999</v>
      </c>
      <c r="J483">
        <v>706.61699999999996</v>
      </c>
      <c r="K483">
        <v>704.68200000000002</v>
      </c>
      <c r="L483">
        <v>700.928</v>
      </c>
      <c r="M483" s="233" t="s">
        <v>530</v>
      </c>
      <c r="N483" s="233" t="s">
        <v>531</v>
      </c>
      <c r="O483" s="3" t="s">
        <v>981</v>
      </c>
      <c r="BM483" s="127"/>
      <c r="BN483" s="127"/>
      <c r="BO483" s="127"/>
      <c r="BP483" s="127"/>
      <c r="BQ483" s="127"/>
      <c r="BR483" s="127"/>
      <c r="BS483" s="127"/>
      <c r="BT483" s="127"/>
      <c r="BU483" s="127"/>
      <c r="BV483" s="127"/>
      <c r="BW483" s="127"/>
      <c r="BX483" s="127"/>
      <c r="BY483" s="127"/>
      <c r="BZ483" s="127"/>
      <c r="CA483" s="127"/>
      <c r="ER483" s="127"/>
      <c r="ES483" s="127"/>
      <c r="ET483" s="127"/>
      <c r="EU483" s="127"/>
      <c r="EV483" s="127"/>
      <c r="EW483" s="127"/>
      <c r="EX483" s="127"/>
      <c r="EY483" s="127"/>
      <c r="EZ483" s="127"/>
      <c r="FA483" s="127"/>
      <c r="FB483" s="127"/>
      <c r="FC483" s="127"/>
      <c r="FD483" s="127"/>
      <c r="FE483" s="127"/>
      <c r="FF483" s="127"/>
      <c r="HW483" s="127"/>
      <c r="HX483" s="127"/>
      <c r="HY483" s="127"/>
      <c r="HZ483" s="127"/>
      <c r="IA483" s="127"/>
      <c r="IB483" s="127"/>
      <c r="IC483" s="127"/>
      <c r="ID483" s="127"/>
      <c r="IE483" s="127"/>
      <c r="IF483" s="127"/>
      <c r="IG483" s="127"/>
      <c r="IH483" s="127"/>
      <c r="II483" s="127"/>
      <c r="IJ483" s="127"/>
      <c r="IK483" s="127"/>
      <c r="LB483" s="127"/>
      <c r="LC483" s="127"/>
      <c r="LD483" s="127"/>
      <c r="LE483" s="127"/>
      <c r="LF483" s="127"/>
      <c r="LG483" s="127"/>
      <c r="LH483" s="127"/>
      <c r="LI483" s="127"/>
      <c r="LJ483" s="127"/>
      <c r="LK483" s="127"/>
      <c r="LL483" s="127"/>
      <c r="LM483" s="127"/>
      <c r="LN483" s="127"/>
      <c r="LO483" s="127"/>
      <c r="LP483" s="127"/>
      <c r="OG483" s="127"/>
      <c r="OH483" s="127"/>
      <c r="OI483" s="127"/>
      <c r="OJ483" s="127"/>
      <c r="OK483" s="127"/>
      <c r="OL483" s="127"/>
      <c r="OM483" s="127"/>
      <c r="ON483" s="127"/>
      <c r="OO483" s="127"/>
      <c r="OP483" s="127"/>
      <c r="OQ483" s="127"/>
      <c r="OR483" s="127"/>
      <c r="OS483" s="127"/>
      <c r="OT483" s="127"/>
      <c r="OU483" s="127"/>
    </row>
    <row r="484" spans="1:411">
      <c r="A484">
        <v>79</v>
      </c>
      <c r="B484">
        <v>898</v>
      </c>
      <c r="C484" t="s">
        <v>72</v>
      </c>
      <c r="D484" t="s">
        <v>301</v>
      </c>
      <c r="E484" s="232" t="s">
        <v>10867</v>
      </c>
      <c r="F484" t="s">
        <v>70</v>
      </c>
      <c r="G484">
        <v>2</v>
      </c>
      <c r="H484">
        <v>708.46500000000003</v>
      </c>
      <c r="I484">
        <v>705.74599999999998</v>
      </c>
      <c r="J484">
        <v>703.08199999999999</v>
      </c>
      <c r="K484">
        <v>701.35400000000004</v>
      </c>
      <c r="L484">
        <v>698.11900000000003</v>
      </c>
      <c r="M484" s="233" t="s">
        <v>530</v>
      </c>
      <c r="N484" s="233" t="s">
        <v>531</v>
      </c>
      <c r="O484" s="3" t="s">
        <v>982</v>
      </c>
      <c r="BM484" s="127"/>
      <c r="BN484" s="127"/>
      <c r="BO484" s="127"/>
      <c r="BP484" s="127"/>
      <c r="BQ484" s="127"/>
      <c r="BR484" s="127"/>
      <c r="BS484" s="127"/>
      <c r="BT484" s="127"/>
      <c r="BU484" s="127"/>
      <c r="BV484" s="127"/>
      <c r="BW484" s="127"/>
      <c r="BX484" s="127"/>
      <c r="BY484" s="127"/>
      <c r="BZ484" s="127"/>
      <c r="CA484" s="127"/>
      <c r="ER484" s="127"/>
      <c r="ES484" s="127"/>
      <c r="ET484" s="127"/>
      <c r="EU484" s="127"/>
      <c r="EV484" s="127"/>
      <c r="EW484" s="127"/>
      <c r="EX484" s="127"/>
      <c r="EY484" s="127"/>
      <c r="EZ484" s="127"/>
      <c r="FA484" s="127"/>
      <c r="FB484" s="127"/>
      <c r="FC484" s="127"/>
      <c r="FD484" s="127"/>
      <c r="FE484" s="127"/>
      <c r="FF484" s="127"/>
      <c r="HW484" s="127"/>
      <c r="HX484" s="127"/>
      <c r="HY484" s="127"/>
      <c r="HZ484" s="127"/>
      <c r="IA484" s="127"/>
      <c r="IB484" s="127"/>
      <c r="IC484" s="127"/>
      <c r="ID484" s="127"/>
      <c r="IE484" s="127"/>
      <c r="IF484" s="127"/>
      <c r="IG484" s="127"/>
      <c r="IH484" s="127"/>
      <c r="II484" s="127"/>
      <c r="IJ484" s="127"/>
      <c r="IK484" s="127"/>
      <c r="LB484" s="127"/>
      <c r="LC484" s="127"/>
      <c r="LD484" s="127"/>
      <c r="LE484" s="127"/>
      <c r="LF484" s="127"/>
      <c r="LG484" s="127"/>
      <c r="LH484" s="127"/>
      <c r="LI484" s="127"/>
      <c r="LJ484" s="127"/>
      <c r="LK484" s="127"/>
      <c r="LL484" s="127"/>
      <c r="LM484" s="127"/>
      <c r="LN484" s="127"/>
      <c r="LO484" s="127"/>
      <c r="LP484" s="127"/>
      <c r="OG484" s="127"/>
      <c r="OH484" s="127"/>
      <c r="OI484" s="127"/>
      <c r="OJ484" s="127"/>
      <c r="OK484" s="127"/>
      <c r="OL484" s="127"/>
      <c r="OM484" s="127"/>
      <c r="ON484" s="127"/>
      <c r="OO484" s="127"/>
      <c r="OP484" s="127"/>
      <c r="OQ484" s="127"/>
      <c r="OR484" s="127"/>
      <c r="OS484" s="127"/>
      <c r="OT484" s="127"/>
      <c r="OU484" s="127"/>
    </row>
    <row r="485" spans="1:411">
      <c r="A485">
        <v>78</v>
      </c>
      <c r="B485">
        <v>897</v>
      </c>
      <c r="C485" t="s">
        <v>72</v>
      </c>
      <c r="D485" t="s">
        <v>301</v>
      </c>
      <c r="E485" s="232" t="s">
        <v>10785</v>
      </c>
      <c r="F485" t="s">
        <v>70</v>
      </c>
      <c r="G485">
        <v>2</v>
      </c>
      <c r="H485">
        <v>714.82500000000005</v>
      </c>
      <c r="I485">
        <v>712.39599999999996</v>
      </c>
      <c r="J485">
        <v>709.82600000000002</v>
      </c>
      <c r="K485">
        <v>708.08900000000006</v>
      </c>
      <c r="L485">
        <v>704.85199999999998</v>
      </c>
      <c r="M485" s="233" t="s">
        <v>530</v>
      </c>
      <c r="N485" s="233" t="s">
        <v>531</v>
      </c>
      <c r="O485" s="3" t="s">
        <v>983</v>
      </c>
      <c r="BM485" s="127"/>
      <c r="BN485" s="127"/>
      <c r="BO485" s="127"/>
      <c r="BP485" s="127"/>
      <c r="BQ485" s="127"/>
      <c r="BR485" s="127"/>
      <c r="BS485" s="127"/>
      <c r="BT485" s="127"/>
      <c r="BU485" s="127"/>
      <c r="BV485" s="127"/>
      <c r="BW485" s="127"/>
      <c r="BX485" s="127"/>
      <c r="BY485" s="127"/>
      <c r="BZ485" s="127"/>
      <c r="CA485" s="127"/>
      <c r="ER485" s="127"/>
      <c r="ES485" s="127"/>
      <c r="ET485" s="127"/>
      <c r="EU485" s="127"/>
      <c r="EV485" s="127"/>
      <c r="EW485" s="127"/>
      <c r="EX485" s="127"/>
      <c r="EY485" s="127"/>
      <c r="EZ485" s="127"/>
      <c r="FA485" s="127"/>
      <c r="FB485" s="127"/>
      <c r="FC485" s="127"/>
      <c r="FD485" s="127"/>
      <c r="FE485" s="127"/>
      <c r="FF485" s="127"/>
      <c r="HW485" s="127"/>
      <c r="HX485" s="127"/>
      <c r="HY485" s="127"/>
      <c r="HZ485" s="127"/>
      <c r="IA485" s="127"/>
      <c r="IB485" s="127"/>
      <c r="IC485" s="127"/>
      <c r="ID485" s="127"/>
      <c r="IE485" s="127"/>
      <c r="IF485" s="127"/>
      <c r="IG485" s="127"/>
      <c r="IH485" s="127"/>
      <c r="II485" s="127"/>
      <c r="IJ485" s="127"/>
      <c r="IK485" s="127"/>
      <c r="LB485" s="127"/>
      <c r="LC485" s="127"/>
      <c r="LD485" s="127"/>
      <c r="LE485" s="127"/>
      <c r="LF485" s="127"/>
      <c r="LG485" s="127"/>
      <c r="LH485" s="127"/>
      <c r="LI485" s="127"/>
      <c r="LJ485" s="127"/>
      <c r="LK485" s="127"/>
      <c r="LL485" s="127"/>
      <c r="LM485" s="127"/>
      <c r="LN485" s="127"/>
      <c r="LO485" s="127"/>
      <c r="LP485" s="127"/>
      <c r="OG485" s="127"/>
      <c r="OH485" s="127"/>
      <c r="OI485" s="127"/>
      <c r="OJ485" s="127"/>
      <c r="OK485" s="127"/>
      <c r="OL485" s="127"/>
      <c r="OM485" s="127"/>
      <c r="ON485" s="127"/>
      <c r="OO485" s="127"/>
      <c r="OP485" s="127"/>
      <c r="OQ485" s="127"/>
      <c r="OR485" s="127"/>
      <c r="OS485" s="127"/>
      <c r="OT485" s="127"/>
      <c r="OU485" s="127"/>
    </row>
    <row r="486" spans="1:411">
      <c r="A486">
        <v>78</v>
      </c>
      <c r="B486">
        <v>894</v>
      </c>
      <c r="C486" t="s">
        <v>72</v>
      </c>
      <c r="D486" t="s">
        <v>301</v>
      </c>
      <c r="E486" s="232" t="s">
        <v>10927</v>
      </c>
      <c r="F486" t="s">
        <v>70</v>
      </c>
      <c r="G486">
        <v>2</v>
      </c>
      <c r="H486">
        <v>713.98199999999997</v>
      </c>
      <c r="I486">
        <v>712.02300000000002</v>
      </c>
      <c r="J486">
        <v>709.34699999999998</v>
      </c>
      <c r="K486">
        <v>707.66800000000001</v>
      </c>
      <c r="L486">
        <v>704.327</v>
      </c>
      <c r="M486" s="233" t="s">
        <v>530</v>
      </c>
      <c r="N486" s="233" t="s">
        <v>531</v>
      </c>
      <c r="O486" s="3" t="s">
        <v>984</v>
      </c>
      <c r="BM486" s="127"/>
      <c r="BN486" s="127"/>
      <c r="BO486" s="127"/>
      <c r="BP486" s="127"/>
      <c r="BQ486" s="127"/>
      <c r="BR486" s="127"/>
      <c r="BS486" s="127"/>
      <c r="BT486" s="127"/>
      <c r="BU486" s="127"/>
      <c r="BV486" s="127"/>
      <c r="BW486" s="127"/>
      <c r="BX486" s="127"/>
      <c r="BY486" s="127"/>
      <c r="BZ486" s="127"/>
      <c r="CA486" s="127"/>
      <c r="ER486" s="127"/>
      <c r="ES486" s="127"/>
      <c r="ET486" s="127"/>
      <c r="EU486" s="127"/>
      <c r="EV486" s="127"/>
      <c r="EW486" s="127"/>
      <c r="EX486" s="127"/>
      <c r="EY486" s="127"/>
      <c r="EZ486" s="127"/>
      <c r="FA486" s="127"/>
      <c r="FB486" s="127"/>
      <c r="FC486" s="127"/>
      <c r="FD486" s="127"/>
      <c r="FE486" s="127"/>
      <c r="FF486" s="127"/>
      <c r="HW486" s="127"/>
      <c r="HX486" s="127"/>
      <c r="HY486" s="127"/>
      <c r="HZ486" s="127"/>
      <c r="IA486" s="127"/>
      <c r="IB486" s="127"/>
      <c r="IC486" s="127"/>
      <c r="ID486" s="127"/>
      <c r="IE486" s="127"/>
      <c r="IF486" s="127"/>
      <c r="IG486" s="127"/>
      <c r="IH486" s="127"/>
      <c r="II486" s="127"/>
      <c r="IJ486" s="127"/>
      <c r="IK486" s="127"/>
      <c r="LB486" s="127"/>
      <c r="LC486" s="127"/>
      <c r="LD486" s="127"/>
      <c r="LE486" s="127"/>
      <c r="LF486" s="127"/>
      <c r="LG486" s="127"/>
      <c r="LH486" s="127"/>
      <c r="LI486" s="127"/>
      <c r="LJ486" s="127"/>
      <c r="LK486" s="127"/>
      <c r="LL486" s="127"/>
      <c r="LM486" s="127"/>
      <c r="LN486" s="127"/>
      <c r="LO486" s="127"/>
      <c r="LP486" s="127"/>
      <c r="OG486" s="127"/>
      <c r="OH486" s="127"/>
      <c r="OI486" s="127"/>
      <c r="OJ486" s="127"/>
      <c r="OK486" s="127"/>
      <c r="OL486" s="127"/>
      <c r="OM486" s="127"/>
      <c r="ON486" s="127"/>
      <c r="OO486" s="127"/>
      <c r="OP486" s="127"/>
      <c r="OQ486" s="127"/>
      <c r="OR486" s="127"/>
      <c r="OS486" s="127"/>
      <c r="OT486" s="127"/>
      <c r="OU486" s="127"/>
    </row>
    <row r="487" spans="1:411">
      <c r="A487">
        <v>79</v>
      </c>
      <c r="B487">
        <v>900</v>
      </c>
      <c r="C487" t="s">
        <v>72</v>
      </c>
      <c r="D487" t="s">
        <v>301</v>
      </c>
      <c r="E487" s="232" t="s">
        <v>545</v>
      </c>
      <c r="F487" t="s">
        <v>70</v>
      </c>
      <c r="G487">
        <v>2</v>
      </c>
      <c r="H487">
        <v>691.63499999999999</v>
      </c>
      <c r="I487">
        <v>689.06299999999999</v>
      </c>
      <c r="J487">
        <v>687.90099999999995</v>
      </c>
      <c r="K487">
        <v>682.17700000000002</v>
      </c>
      <c r="L487">
        <v>675.03599999999994</v>
      </c>
      <c r="M487" s="233" t="s">
        <v>530</v>
      </c>
      <c r="N487" s="233" t="s">
        <v>531</v>
      </c>
      <c r="O487" s="3" t="s">
        <v>985</v>
      </c>
      <c r="BM487" s="127"/>
      <c r="BN487" s="127"/>
      <c r="BO487" s="127"/>
      <c r="BP487" s="127"/>
      <c r="BQ487" s="127"/>
      <c r="BR487" s="127"/>
      <c r="BS487" s="127"/>
      <c r="BT487" s="127"/>
      <c r="BU487" s="127"/>
      <c r="BV487" s="127"/>
      <c r="BW487" s="127"/>
      <c r="BX487" s="127"/>
      <c r="BY487" s="127"/>
      <c r="BZ487" s="127"/>
      <c r="CA487" s="127"/>
      <c r="ER487" s="127"/>
      <c r="ES487" s="127"/>
      <c r="ET487" s="127"/>
      <c r="EU487" s="127"/>
      <c r="EV487" s="127"/>
      <c r="EW487" s="127"/>
      <c r="EX487" s="127"/>
      <c r="EY487" s="127"/>
      <c r="EZ487" s="127"/>
      <c r="FA487" s="127"/>
      <c r="FB487" s="127"/>
      <c r="FC487" s="127"/>
      <c r="FD487" s="127"/>
      <c r="FE487" s="127"/>
      <c r="FF487" s="127"/>
      <c r="HW487" s="127"/>
      <c r="HX487" s="127"/>
      <c r="HY487" s="127"/>
      <c r="HZ487" s="127"/>
      <c r="IA487" s="127"/>
      <c r="IB487" s="127"/>
      <c r="IC487" s="127"/>
      <c r="ID487" s="127"/>
      <c r="IE487" s="127"/>
      <c r="IF487" s="127"/>
      <c r="IG487" s="127"/>
      <c r="IH487" s="127"/>
      <c r="II487" s="127"/>
      <c r="IJ487" s="127"/>
      <c r="IK487" s="127"/>
      <c r="LB487" s="127"/>
      <c r="LC487" s="127"/>
      <c r="LD487" s="127"/>
      <c r="LE487" s="127"/>
      <c r="LF487" s="127"/>
      <c r="LG487" s="127"/>
      <c r="LH487" s="127"/>
      <c r="LI487" s="127"/>
      <c r="LJ487" s="127"/>
      <c r="LK487" s="127"/>
      <c r="LL487" s="127"/>
      <c r="LM487" s="127"/>
      <c r="LN487" s="127"/>
      <c r="LO487" s="127"/>
      <c r="LP487" s="127"/>
      <c r="OG487" s="127"/>
      <c r="OH487" s="127"/>
      <c r="OI487" s="127"/>
      <c r="OJ487" s="127"/>
      <c r="OK487" s="127"/>
      <c r="OL487" s="127"/>
      <c r="OM487" s="127"/>
      <c r="ON487" s="127"/>
      <c r="OO487" s="127"/>
      <c r="OP487" s="127"/>
      <c r="OQ487" s="127"/>
      <c r="OR487" s="127"/>
      <c r="OS487" s="127"/>
      <c r="OT487" s="127"/>
      <c r="OU487" s="127"/>
    </row>
    <row r="488" spans="1:411">
      <c r="A488">
        <v>79</v>
      </c>
      <c r="B488">
        <v>904</v>
      </c>
      <c r="C488" t="s">
        <v>72</v>
      </c>
      <c r="D488" t="s">
        <v>301</v>
      </c>
      <c r="E488" s="232" t="s">
        <v>12200</v>
      </c>
      <c r="F488" t="s">
        <v>70</v>
      </c>
      <c r="G488">
        <v>2</v>
      </c>
      <c r="H488">
        <v>689.93899999999996</v>
      </c>
      <c r="I488">
        <v>688.37199999999996</v>
      </c>
      <c r="J488">
        <v>685.59900000000005</v>
      </c>
      <c r="K488">
        <v>682.81200000000001</v>
      </c>
      <c r="L488">
        <v>679.23400000000004</v>
      </c>
      <c r="M488" s="233" t="s">
        <v>530</v>
      </c>
      <c r="N488" s="233" t="s">
        <v>531</v>
      </c>
      <c r="O488" s="3" t="s">
        <v>986</v>
      </c>
      <c r="BM488" s="127"/>
      <c r="BN488" s="127"/>
      <c r="BO488" s="127"/>
      <c r="BP488" s="127"/>
      <c r="BQ488" s="127"/>
      <c r="BR488" s="127"/>
      <c r="BS488" s="127"/>
      <c r="BT488" s="127"/>
      <c r="BU488" s="127"/>
      <c r="BV488" s="127"/>
      <c r="BW488" s="127"/>
      <c r="BX488" s="127"/>
      <c r="BY488" s="127"/>
      <c r="BZ488" s="127"/>
      <c r="CA488" s="127"/>
      <c r="ER488" s="127"/>
      <c r="ES488" s="127"/>
      <c r="ET488" s="127"/>
      <c r="EU488" s="127"/>
      <c r="EV488" s="127"/>
      <c r="EW488" s="127"/>
      <c r="EX488" s="127"/>
      <c r="EY488" s="127"/>
      <c r="EZ488" s="127"/>
      <c r="FA488" s="127"/>
      <c r="FB488" s="127"/>
      <c r="FC488" s="127"/>
      <c r="FD488" s="127"/>
      <c r="FE488" s="127"/>
      <c r="FF488" s="127"/>
      <c r="HW488" s="127"/>
      <c r="HX488" s="127"/>
      <c r="HY488" s="127"/>
      <c r="HZ488" s="127"/>
      <c r="IA488" s="127"/>
      <c r="IB488" s="127"/>
      <c r="IC488" s="127"/>
      <c r="ID488" s="127"/>
      <c r="IE488" s="127"/>
      <c r="IF488" s="127"/>
      <c r="IG488" s="127"/>
      <c r="IH488" s="127"/>
      <c r="II488" s="127"/>
      <c r="IJ488" s="127"/>
      <c r="IK488" s="127"/>
      <c r="LB488" s="127"/>
      <c r="LC488" s="127"/>
      <c r="LD488" s="127"/>
      <c r="LE488" s="127"/>
      <c r="LF488" s="127"/>
      <c r="LG488" s="127"/>
      <c r="LH488" s="127"/>
      <c r="LI488" s="127"/>
      <c r="LJ488" s="127"/>
      <c r="LK488" s="127"/>
      <c r="LL488" s="127"/>
      <c r="LM488" s="127"/>
      <c r="LN488" s="127"/>
      <c r="LO488" s="127"/>
      <c r="LP488" s="127"/>
      <c r="OG488" s="127"/>
      <c r="OH488" s="127"/>
      <c r="OI488" s="127"/>
      <c r="OJ488" s="127"/>
      <c r="OK488" s="127"/>
      <c r="OL488" s="127"/>
      <c r="OM488" s="127"/>
      <c r="ON488" s="127"/>
      <c r="OO488" s="127"/>
      <c r="OP488" s="127"/>
      <c r="OQ488" s="127"/>
      <c r="OR488" s="127"/>
      <c r="OS488" s="127"/>
      <c r="OT488" s="127"/>
      <c r="OU488" s="127"/>
    </row>
    <row r="489" spans="1:411">
      <c r="A489">
        <v>78</v>
      </c>
      <c r="B489">
        <v>899</v>
      </c>
      <c r="C489" t="s">
        <v>72</v>
      </c>
      <c r="D489" t="s">
        <v>301</v>
      </c>
      <c r="E489" s="232" t="s">
        <v>12331</v>
      </c>
      <c r="F489" t="s">
        <v>70</v>
      </c>
      <c r="G489">
        <v>2</v>
      </c>
      <c r="H489">
        <v>694.947</v>
      </c>
      <c r="I489">
        <v>693.28300000000002</v>
      </c>
      <c r="J489">
        <v>690.64</v>
      </c>
      <c r="K489">
        <v>688.09900000000005</v>
      </c>
      <c r="L489">
        <v>684.42700000000002</v>
      </c>
      <c r="M489" s="233" t="s">
        <v>530</v>
      </c>
      <c r="N489" s="233" t="s">
        <v>531</v>
      </c>
      <c r="O489" s="3" t="s">
        <v>987</v>
      </c>
      <c r="BM489" s="127"/>
      <c r="BN489" s="127"/>
      <c r="BO489" s="127"/>
      <c r="BP489" s="127"/>
      <c r="BQ489" s="127"/>
      <c r="BR489" s="127"/>
      <c r="BS489" s="127"/>
      <c r="BT489" s="127"/>
      <c r="BU489" s="127"/>
      <c r="BV489" s="127"/>
      <c r="BW489" s="127"/>
      <c r="BX489" s="127"/>
      <c r="BY489" s="127"/>
      <c r="BZ489" s="127"/>
      <c r="CA489" s="127"/>
      <c r="ER489" s="127"/>
      <c r="ES489" s="127"/>
      <c r="ET489" s="127"/>
      <c r="EU489" s="127"/>
      <c r="EV489" s="127"/>
      <c r="EW489" s="127"/>
      <c r="EX489" s="127"/>
      <c r="EY489" s="127"/>
      <c r="EZ489" s="127"/>
      <c r="FA489" s="127"/>
      <c r="FB489" s="127"/>
      <c r="FC489" s="127"/>
      <c r="FD489" s="127"/>
      <c r="FE489" s="127"/>
      <c r="FF489" s="127"/>
      <c r="HW489" s="127"/>
      <c r="HX489" s="127"/>
      <c r="HY489" s="127"/>
      <c r="HZ489" s="127"/>
      <c r="IA489" s="127"/>
      <c r="IB489" s="127"/>
      <c r="IC489" s="127"/>
      <c r="ID489" s="127"/>
      <c r="IE489" s="127"/>
      <c r="IF489" s="127"/>
      <c r="IG489" s="127"/>
      <c r="IH489" s="127"/>
      <c r="II489" s="127"/>
      <c r="IJ489" s="127"/>
      <c r="IK489" s="127"/>
      <c r="LB489" s="127"/>
      <c r="LC489" s="127"/>
      <c r="LD489" s="127"/>
      <c r="LE489" s="127"/>
      <c r="LF489" s="127"/>
      <c r="LG489" s="127"/>
      <c r="LH489" s="127"/>
      <c r="LI489" s="127"/>
      <c r="LJ489" s="127"/>
      <c r="LK489" s="127"/>
      <c r="LL489" s="127"/>
      <c r="LM489" s="127"/>
      <c r="LN489" s="127"/>
      <c r="LO489" s="127"/>
      <c r="LP489" s="127"/>
      <c r="OG489" s="127"/>
      <c r="OH489" s="127"/>
      <c r="OI489" s="127"/>
      <c r="OJ489" s="127"/>
      <c r="OK489" s="127"/>
      <c r="OL489" s="127"/>
      <c r="OM489" s="127"/>
      <c r="ON489" s="127"/>
      <c r="OO489" s="127"/>
      <c r="OP489" s="127"/>
      <c r="OQ489" s="127"/>
      <c r="OR489" s="127"/>
      <c r="OS489" s="127"/>
      <c r="OT489" s="127"/>
      <c r="OU489" s="127"/>
    </row>
    <row r="490" spans="1:411">
      <c r="A490">
        <v>80</v>
      </c>
      <c r="B490">
        <v>911</v>
      </c>
      <c r="C490" t="s">
        <v>72</v>
      </c>
      <c r="D490" t="s">
        <v>301</v>
      </c>
      <c r="E490" s="232" t="s">
        <v>10742</v>
      </c>
      <c r="F490" t="s">
        <v>71</v>
      </c>
      <c r="G490">
        <v>2</v>
      </c>
      <c r="H490">
        <v>701.2</v>
      </c>
      <c r="I490">
        <v>698.43200000000002</v>
      </c>
      <c r="J490">
        <v>695.72199999999998</v>
      </c>
      <c r="K490">
        <v>693.20100000000002</v>
      </c>
      <c r="L490">
        <v>689.63099999999997</v>
      </c>
      <c r="M490" s="233" t="s">
        <v>530</v>
      </c>
      <c r="N490" s="233" t="s">
        <v>531</v>
      </c>
      <c r="O490" s="3" t="s">
        <v>988</v>
      </c>
      <c r="BM490" s="127"/>
      <c r="BN490" s="127"/>
      <c r="BO490" s="127"/>
      <c r="BP490" s="127"/>
      <c r="BQ490" s="127"/>
      <c r="BR490" s="127"/>
      <c r="BS490" s="127"/>
      <c r="BT490" s="127"/>
      <c r="BU490" s="127"/>
      <c r="BV490" s="127"/>
      <c r="BW490" s="127"/>
      <c r="BX490" s="127"/>
      <c r="BY490" s="127"/>
      <c r="BZ490" s="127"/>
      <c r="CA490" s="127"/>
      <c r="ER490" s="127"/>
      <c r="ES490" s="127"/>
      <c r="ET490" s="127"/>
      <c r="EU490" s="127"/>
      <c r="EV490" s="127"/>
      <c r="EW490" s="127"/>
      <c r="EX490" s="127"/>
      <c r="EY490" s="127"/>
      <c r="EZ490" s="127"/>
      <c r="FA490" s="127"/>
      <c r="FB490" s="127"/>
      <c r="FC490" s="127"/>
      <c r="FD490" s="127"/>
      <c r="FE490" s="127"/>
      <c r="FF490" s="127"/>
      <c r="HW490" s="127"/>
      <c r="HX490" s="127"/>
      <c r="HY490" s="127"/>
      <c r="HZ490" s="127"/>
      <c r="IA490" s="127"/>
      <c r="IB490" s="127"/>
      <c r="IC490" s="127"/>
      <c r="ID490" s="127"/>
      <c r="IE490" s="127"/>
      <c r="IF490" s="127"/>
      <c r="IG490" s="127"/>
      <c r="IH490" s="127"/>
      <c r="II490" s="127"/>
      <c r="IJ490" s="127"/>
      <c r="IK490" s="127"/>
      <c r="LB490" s="127"/>
      <c r="LC490" s="127"/>
      <c r="LD490" s="127"/>
      <c r="LE490" s="127"/>
      <c r="LF490" s="127"/>
      <c r="LG490" s="127"/>
      <c r="LH490" s="127"/>
      <c r="LI490" s="127"/>
      <c r="LJ490" s="127"/>
      <c r="LK490" s="127"/>
      <c r="LL490" s="127"/>
      <c r="LM490" s="127"/>
      <c r="LN490" s="127"/>
      <c r="LO490" s="127"/>
      <c r="LP490" s="127"/>
      <c r="OG490" s="127"/>
      <c r="OH490" s="127"/>
      <c r="OI490" s="127"/>
      <c r="OJ490" s="127"/>
      <c r="OK490" s="127"/>
      <c r="OL490" s="127"/>
      <c r="OM490" s="127"/>
      <c r="ON490" s="127"/>
      <c r="OO490" s="127"/>
      <c r="OP490" s="127"/>
      <c r="OQ490" s="127"/>
      <c r="OR490" s="127"/>
      <c r="OS490" s="127"/>
      <c r="OT490" s="127"/>
      <c r="OU490" s="127"/>
    </row>
    <row r="491" spans="1:411">
      <c r="A491">
        <v>80</v>
      </c>
      <c r="B491">
        <v>912</v>
      </c>
      <c r="C491" t="s">
        <v>72</v>
      </c>
      <c r="D491" t="s">
        <v>301</v>
      </c>
      <c r="E491" s="232" t="s">
        <v>12284</v>
      </c>
      <c r="F491" t="s">
        <v>71</v>
      </c>
      <c r="G491">
        <v>2</v>
      </c>
      <c r="H491">
        <v>678.33100000000002</v>
      </c>
      <c r="I491">
        <v>676.85</v>
      </c>
      <c r="J491">
        <v>674.31700000000001</v>
      </c>
      <c r="K491">
        <v>671.72699999999998</v>
      </c>
      <c r="L491">
        <v>667.72500000000002</v>
      </c>
      <c r="M491" s="233" t="s">
        <v>530</v>
      </c>
      <c r="N491" s="233" t="s">
        <v>531</v>
      </c>
      <c r="O491" s="3" t="s">
        <v>989</v>
      </c>
      <c r="BM491" s="127"/>
      <c r="BN491" s="127"/>
      <c r="BO491" s="127"/>
      <c r="BP491" s="127"/>
      <c r="BQ491" s="127"/>
      <c r="BR491" s="127"/>
      <c r="BS491" s="127"/>
      <c r="BT491" s="127"/>
      <c r="BU491" s="127"/>
      <c r="BV491" s="127"/>
      <c r="BW491" s="127"/>
      <c r="BX491" s="127"/>
      <c r="BY491" s="127"/>
      <c r="BZ491" s="127"/>
      <c r="CA491" s="127"/>
      <c r="ER491" s="127"/>
      <c r="ES491" s="127"/>
      <c r="ET491" s="127"/>
      <c r="EU491" s="127"/>
      <c r="EV491" s="127"/>
      <c r="EW491" s="127"/>
      <c r="EX491" s="127"/>
      <c r="EY491" s="127"/>
      <c r="EZ491" s="127"/>
      <c r="FA491" s="127"/>
      <c r="FB491" s="127"/>
      <c r="FC491" s="127"/>
      <c r="FD491" s="127"/>
      <c r="FE491" s="127"/>
      <c r="FF491" s="127"/>
      <c r="HW491" s="127"/>
      <c r="HX491" s="127"/>
      <c r="HY491" s="127"/>
      <c r="HZ491" s="127"/>
      <c r="IA491" s="127"/>
      <c r="IB491" s="127"/>
      <c r="IC491" s="127"/>
      <c r="ID491" s="127"/>
      <c r="IE491" s="127"/>
      <c r="IF491" s="127"/>
      <c r="IG491" s="127"/>
      <c r="IH491" s="127"/>
      <c r="II491" s="127"/>
      <c r="IJ491" s="127"/>
      <c r="IK491" s="127"/>
      <c r="LB491" s="127"/>
      <c r="LC491" s="127"/>
      <c r="LD491" s="127"/>
      <c r="LE491" s="127"/>
      <c r="LF491" s="127"/>
      <c r="LG491" s="127"/>
      <c r="LH491" s="127"/>
      <c r="LI491" s="127"/>
      <c r="LJ491" s="127"/>
      <c r="LK491" s="127"/>
      <c r="LL491" s="127"/>
      <c r="LM491" s="127"/>
      <c r="LN491" s="127"/>
      <c r="LO491" s="127"/>
      <c r="LP491" s="127"/>
      <c r="OG491" s="127"/>
      <c r="OH491" s="127"/>
      <c r="OI491" s="127"/>
      <c r="OJ491" s="127"/>
      <c r="OK491" s="127"/>
      <c r="OL491" s="127"/>
      <c r="OM491" s="127"/>
      <c r="ON491" s="127"/>
      <c r="OO491" s="127"/>
      <c r="OP491" s="127"/>
      <c r="OQ491" s="127"/>
      <c r="OR491" s="127"/>
      <c r="OS491" s="127"/>
      <c r="OT491" s="127"/>
      <c r="OU491" s="127"/>
    </row>
    <row r="492" spans="1:411">
      <c r="A492">
        <v>115</v>
      </c>
      <c r="B492">
        <v>923</v>
      </c>
      <c r="C492" t="s">
        <v>72</v>
      </c>
      <c r="D492" t="s">
        <v>238</v>
      </c>
      <c r="E492" s="232" t="s">
        <v>9439</v>
      </c>
      <c r="F492" t="s">
        <v>70</v>
      </c>
      <c r="G492">
        <v>2</v>
      </c>
      <c r="H492">
        <v>892.56700000000001</v>
      </c>
      <c r="I492">
        <v>887.86800000000005</v>
      </c>
      <c r="J492">
        <v>884.16300000000001</v>
      </c>
      <c r="K492">
        <v>881.08799999999997</v>
      </c>
      <c r="L492">
        <v>876.90499999999997</v>
      </c>
      <c r="M492" s="233" t="s">
        <v>532</v>
      </c>
      <c r="N492" s="233" t="s">
        <v>533</v>
      </c>
      <c r="O492" s="3" t="s">
        <v>990</v>
      </c>
      <c r="BM492" s="127"/>
      <c r="BN492" s="127"/>
      <c r="BO492" s="127"/>
      <c r="BP492" s="127"/>
      <c r="BQ492" s="127"/>
      <c r="BR492" s="127"/>
      <c r="BS492" s="127"/>
      <c r="BT492" s="127"/>
      <c r="BU492" s="127"/>
      <c r="BV492" s="127"/>
      <c r="BW492" s="127"/>
      <c r="BX492" s="127"/>
      <c r="BY492" s="127"/>
      <c r="BZ492" s="127"/>
      <c r="CA492" s="127"/>
      <c r="ER492" s="127"/>
      <c r="ES492" s="127"/>
      <c r="ET492" s="127"/>
      <c r="EU492" s="127"/>
      <c r="EV492" s="127"/>
      <c r="EW492" s="127"/>
      <c r="EX492" s="127"/>
      <c r="EY492" s="127"/>
      <c r="EZ492" s="127"/>
      <c r="FA492" s="127"/>
      <c r="FB492" s="127"/>
      <c r="FC492" s="127"/>
      <c r="FD492" s="127"/>
      <c r="FE492" s="127"/>
      <c r="FF492" s="127"/>
      <c r="HW492" s="127"/>
      <c r="HX492" s="127"/>
      <c r="HY492" s="127"/>
      <c r="HZ492" s="127"/>
      <c r="IA492" s="127"/>
      <c r="IB492" s="127"/>
      <c r="IC492" s="127"/>
      <c r="ID492" s="127"/>
      <c r="IE492" s="127"/>
      <c r="IF492" s="127"/>
      <c r="IG492" s="127"/>
      <c r="IH492" s="127"/>
      <c r="II492" s="127"/>
      <c r="IJ492" s="127"/>
      <c r="IK492" s="127"/>
      <c r="LB492" s="127"/>
      <c r="LC492" s="127"/>
      <c r="LD492" s="127"/>
      <c r="LE492" s="127"/>
      <c r="LF492" s="127"/>
      <c r="LG492" s="127"/>
      <c r="LH492" s="127"/>
      <c r="LI492" s="127"/>
      <c r="LJ492" s="127"/>
      <c r="LK492" s="127"/>
      <c r="LL492" s="127"/>
      <c r="LM492" s="127"/>
      <c r="LN492" s="127"/>
      <c r="LO492" s="127"/>
      <c r="LP492" s="127"/>
      <c r="OG492" s="127"/>
      <c r="OH492" s="127"/>
      <c r="OI492" s="127"/>
      <c r="OJ492" s="127"/>
      <c r="OK492" s="127"/>
      <c r="OL492" s="127"/>
      <c r="OM492" s="127"/>
      <c r="ON492" s="127"/>
      <c r="OO492" s="127"/>
      <c r="OP492" s="127"/>
      <c r="OQ492" s="127"/>
      <c r="OR492" s="127"/>
      <c r="OS492" s="127"/>
      <c r="OT492" s="127"/>
      <c r="OU492" s="127"/>
    </row>
    <row r="493" spans="1:411">
      <c r="A493">
        <v>115</v>
      </c>
      <c r="B493">
        <v>940</v>
      </c>
      <c r="C493" t="s">
        <v>72</v>
      </c>
      <c r="D493" t="s">
        <v>238</v>
      </c>
      <c r="E493" s="232" t="s">
        <v>559</v>
      </c>
      <c r="F493" t="s">
        <v>70</v>
      </c>
      <c r="G493">
        <v>2</v>
      </c>
      <c r="H493">
        <v>891.24199999999996</v>
      </c>
      <c r="I493">
        <v>887.08</v>
      </c>
      <c r="J493">
        <v>883.33900000000006</v>
      </c>
      <c r="K493">
        <v>880.51900000000001</v>
      </c>
      <c r="L493">
        <v>876.26700000000005</v>
      </c>
      <c r="M493" s="233" t="s">
        <v>532</v>
      </c>
      <c r="N493" s="233" t="s">
        <v>533</v>
      </c>
      <c r="O493" s="3" t="s">
        <v>991</v>
      </c>
      <c r="BM493" s="127"/>
      <c r="BN493" s="127"/>
      <c r="BO493" s="127"/>
      <c r="BP493" s="127"/>
      <c r="BQ493" s="127"/>
      <c r="BR493" s="127"/>
      <c r="BS493" s="127"/>
      <c r="BT493" s="127"/>
      <c r="BU493" s="127"/>
      <c r="BV493" s="127"/>
      <c r="BW493" s="127"/>
      <c r="BX493" s="127"/>
      <c r="BY493" s="127"/>
      <c r="BZ493" s="127"/>
      <c r="CA493" s="127"/>
      <c r="ER493" s="127"/>
      <c r="ES493" s="127"/>
      <c r="ET493" s="127"/>
      <c r="EU493" s="127"/>
      <c r="EV493" s="127"/>
      <c r="EW493" s="127"/>
      <c r="EX493" s="127"/>
      <c r="EY493" s="127"/>
      <c r="EZ493" s="127"/>
      <c r="FA493" s="127"/>
      <c r="FB493" s="127"/>
      <c r="FC493" s="127"/>
      <c r="FD493" s="127"/>
      <c r="FE493" s="127"/>
      <c r="FF493" s="127"/>
      <c r="HW493" s="127"/>
      <c r="HX493" s="127"/>
      <c r="HY493" s="127"/>
      <c r="HZ493" s="127"/>
      <c r="IA493" s="127"/>
      <c r="IB493" s="127"/>
      <c r="IC493" s="127"/>
      <c r="ID493" s="127"/>
      <c r="IE493" s="127"/>
      <c r="IF493" s="127"/>
      <c r="IG493" s="127"/>
      <c r="IH493" s="127"/>
      <c r="II493" s="127"/>
      <c r="IJ493" s="127"/>
      <c r="IK493" s="127"/>
      <c r="LB493" s="127"/>
      <c r="LC493" s="127"/>
      <c r="LD493" s="127"/>
      <c r="LE493" s="127"/>
      <c r="LF493" s="127"/>
      <c r="LG493" s="127"/>
      <c r="LH493" s="127"/>
      <c r="LI493" s="127"/>
      <c r="LJ493" s="127"/>
      <c r="LK493" s="127"/>
      <c r="LL493" s="127"/>
      <c r="LM493" s="127"/>
      <c r="LN493" s="127"/>
      <c r="LO493" s="127"/>
      <c r="LP493" s="127"/>
      <c r="OG493" s="127"/>
      <c r="OH493" s="127"/>
      <c r="OI493" s="127"/>
      <c r="OJ493" s="127"/>
      <c r="OK493" s="127"/>
      <c r="OL493" s="127"/>
      <c r="OM493" s="127"/>
      <c r="ON493" s="127"/>
      <c r="OO493" s="127"/>
      <c r="OP493" s="127"/>
      <c r="OQ493" s="127"/>
      <c r="OR493" s="127"/>
      <c r="OS493" s="127"/>
      <c r="OT493" s="127"/>
      <c r="OU493" s="127"/>
    </row>
    <row r="494" spans="1:411">
      <c r="A494">
        <v>115</v>
      </c>
      <c r="B494">
        <v>937</v>
      </c>
      <c r="C494" t="s">
        <v>72</v>
      </c>
      <c r="D494" t="s">
        <v>238</v>
      </c>
      <c r="E494" s="232" t="s">
        <v>418</v>
      </c>
      <c r="F494" t="s">
        <v>70</v>
      </c>
      <c r="G494">
        <v>2</v>
      </c>
      <c r="H494">
        <v>888.74099999999999</v>
      </c>
      <c r="I494">
        <v>885.75300000000004</v>
      </c>
      <c r="J494">
        <v>882.65899999999999</v>
      </c>
      <c r="K494">
        <v>879.79300000000001</v>
      </c>
      <c r="L494">
        <v>875.77099999999996</v>
      </c>
      <c r="M494" s="233" t="s">
        <v>532</v>
      </c>
      <c r="N494" s="233" t="s">
        <v>533</v>
      </c>
      <c r="O494" s="3" t="s">
        <v>992</v>
      </c>
      <c r="BM494" s="127"/>
      <c r="BN494" s="127"/>
      <c r="BO494" s="127"/>
      <c r="BP494" s="127"/>
      <c r="BQ494" s="127"/>
      <c r="BR494" s="127"/>
      <c r="BS494" s="127"/>
      <c r="BT494" s="127"/>
      <c r="BU494" s="127"/>
      <c r="BV494" s="127"/>
      <c r="BW494" s="127"/>
      <c r="BX494" s="127"/>
      <c r="BY494" s="127"/>
      <c r="BZ494" s="127"/>
      <c r="CA494" s="127"/>
      <c r="ER494" s="127"/>
      <c r="ES494" s="127"/>
      <c r="ET494" s="127"/>
      <c r="EU494" s="127"/>
      <c r="EV494" s="127"/>
      <c r="EW494" s="127"/>
      <c r="EX494" s="127"/>
      <c r="EY494" s="127"/>
      <c r="EZ494" s="127"/>
      <c r="FA494" s="127"/>
      <c r="FB494" s="127"/>
      <c r="FC494" s="127"/>
      <c r="FD494" s="127"/>
      <c r="FE494" s="127"/>
      <c r="FF494" s="127"/>
      <c r="HW494" s="127"/>
      <c r="HX494" s="127"/>
      <c r="HY494" s="127"/>
      <c r="HZ494" s="127"/>
      <c r="IA494" s="127"/>
      <c r="IB494" s="127"/>
      <c r="IC494" s="127"/>
      <c r="ID494" s="127"/>
      <c r="IE494" s="127"/>
      <c r="IF494" s="127"/>
      <c r="IG494" s="127"/>
      <c r="IH494" s="127"/>
      <c r="II494" s="127"/>
      <c r="IJ494" s="127"/>
      <c r="IK494" s="127"/>
      <c r="LB494" s="127"/>
      <c r="LC494" s="127"/>
      <c r="LD494" s="127"/>
      <c r="LE494" s="127"/>
      <c r="LF494" s="127"/>
      <c r="LG494" s="127"/>
      <c r="LH494" s="127"/>
      <c r="LI494" s="127"/>
      <c r="LJ494" s="127"/>
      <c r="LK494" s="127"/>
      <c r="LL494" s="127"/>
      <c r="LM494" s="127"/>
      <c r="LN494" s="127"/>
      <c r="LO494" s="127"/>
      <c r="LP494" s="127"/>
      <c r="OG494" s="127"/>
      <c r="OH494" s="127"/>
      <c r="OI494" s="127"/>
      <c r="OJ494" s="127"/>
      <c r="OK494" s="127"/>
      <c r="OL494" s="127"/>
      <c r="OM494" s="127"/>
      <c r="ON494" s="127"/>
      <c r="OO494" s="127"/>
      <c r="OP494" s="127"/>
      <c r="OQ494" s="127"/>
      <c r="OR494" s="127"/>
      <c r="OS494" s="127"/>
      <c r="OT494" s="127"/>
      <c r="OU494" s="127"/>
    </row>
    <row r="495" spans="1:411">
      <c r="A495">
        <v>115</v>
      </c>
      <c r="B495">
        <v>936</v>
      </c>
      <c r="C495" t="s">
        <v>72</v>
      </c>
      <c r="D495" t="s">
        <v>238</v>
      </c>
      <c r="E495" s="232" t="s">
        <v>10547</v>
      </c>
      <c r="F495" t="s">
        <v>70</v>
      </c>
      <c r="G495">
        <v>2</v>
      </c>
      <c r="H495">
        <v>887.86800000000005</v>
      </c>
      <c r="I495">
        <v>884.51900000000001</v>
      </c>
      <c r="J495">
        <v>880.779</v>
      </c>
      <c r="K495">
        <v>878.452</v>
      </c>
      <c r="L495">
        <v>874.08100000000002</v>
      </c>
      <c r="M495" s="233" t="s">
        <v>532</v>
      </c>
      <c r="N495" s="233" t="s">
        <v>533</v>
      </c>
      <c r="O495" s="3" t="s">
        <v>993</v>
      </c>
      <c r="BM495" s="127"/>
      <c r="BN495" s="127"/>
      <c r="BO495" s="127"/>
      <c r="BP495" s="127"/>
      <c r="BQ495" s="127"/>
      <c r="BR495" s="127"/>
      <c r="BS495" s="127"/>
      <c r="BT495" s="127"/>
      <c r="BU495" s="127"/>
      <c r="BV495" s="127"/>
      <c r="BW495" s="127"/>
      <c r="BX495" s="127"/>
      <c r="BY495" s="127"/>
      <c r="BZ495" s="127"/>
      <c r="CA495" s="127"/>
      <c r="ER495" s="127"/>
      <c r="ES495" s="127"/>
      <c r="ET495" s="127"/>
      <c r="EU495" s="127"/>
      <c r="EV495" s="127"/>
      <c r="EW495" s="127"/>
      <c r="EX495" s="127"/>
      <c r="EY495" s="127"/>
      <c r="EZ495" s="127"/>
      <c r="FA495" s="127"/>
      <c r="FB495" s="127"/>
      <c r="FC495" s="127"/>
      <c r="FD495" s="127"/>
      <c r="FE495" s="127"/>
      <c r="FF495" s="127"/>
      <c r="HW495" s="127"/>
      <c r="HX495" s="127"/>
      <c r="HY495" s="127"/>
      <c r="HZ495" s="127"/>
      <c r="IA495" s="127"/>
      <c r="IB495" s="127"/>
      <c r="IC495" s="127"/>
      <c r="ID495" s="127"/>
      <c r="IE495" s="127"/>
      <c r="IF495" s="127"/>
      <c r="IG495" s="127"/>
      <c r="IH495" s="127"/>
      <c r="II495" s="127"/>
      <c r="IJ495" s="127"/>
      <c r="IK495" s="127"/>
      <c r="LB495" s="127"/>
      <c r="LC495" s="127"/>
      <c r="LD495" s="127"/>
      <c r="LE495" s="127"/>
      <c r="LF495" s="127"/>
      <c r="LG495" s="127"/>
      <c r="LH495" s="127"/>
      <c r="LI495" s="127"/>
      <c r="LJ495" s="127"/>
      <c r="LK495" s="127"/>
      <c r="LL495" s="127"/>
      <c r="LM495" s="127"/>
      <c r="LN495" s="127"/>
      <c r="LO495" s="127"/>
      <c r="LP495" s="127"/>
      <c r="OG495" s="127"/>
      <c r="OH495" s="127"/>
      <c r="OI495" s="127"/>
      <c r="OJ495" s="127"/>
      <c r="OK495" s="127"/>
      <c r="OL495" s="127"/>
      <c r="OM495" s="127"/>
      <c r="ON495" s="127"/>
      <c r="OO495" s="127"/>
      <c r="OP495" s="127"/>
      <c r="OQ495" s="127"/>
      <c r="OR495" s="127"/>
      <c r="OS495" s="127"/>
      <c r="OT495" s="127"/>
      <c r="OU495" s="127"/>
    </row>
    <row r="496" spans="1:411">
      <c r="A496">
        <v>127</v>
      </c>
      <c r="B496">
        <v>1106</v>
      </c>
      <c r="C496" t="s">
        <v>72</v>
      </c>
      <c r="D496" t="s">
        <v>478</v>
      </c>
      <c r="E496" s="232" t="s">
        <v>7351</v>
      </c>
      <c r="F496" t="s">
        <v>70</v>
      </c>
      <c r="G496">
        <v>2</v>
      </c>
      <c r="H496">
        <v>892.04700000000003</v>
      </c>
      <c r="I496">
        <v>888.40099999999995</v>
      </c>
      <c r="J496">
        <v>885.45699999999999</v>
      </c>
      <c r="K496">
        <v>882.13300000000004</v>
      </c>
      <c r="L496">
        <v>880.13900000000001</v>
      </c>
      <c r="M496" s="233" t="s">
        <v>532</v>
      </c>
      <c r="N496" s="233" t="s">
        <v>533</v>
      </c>
      <c r="O496" s="3" t="s">
        <v>994</v>
      </c>
      <c r="BM496" s="127"/>
      <c r="BN496" s="127"/>
      <c r="BO496" s="127"/>
      <c r="BP496" s="127"/>
      <c r="BQ496" s="127"/>
      <c r="BR496" s="127"/>
      <c r="BS496" s="127"/>
      <c r="BT496" s="127"/>
      <c r="BU496" s="127"/>
      <c r="BV496" s="127"/>
      <c r="BW496" s="127"/>
      <c r="BX496" s="127"/>
      <c r="BY496" s="127"/>
      <c r="BZ496" s="127"/>
      <c r="CA496" s="127"/>
      <c r="ER496" s="127"/>
      <c r="ES496" s="127"/>
      <c r="ET496" s="127"/>
      <c r="EU496" s="127"/>
      <c r="EV496" s="127"/>
      <c r="EW496" s="127"/>
      <c r="EX496" s="127"/>
      <c r="EY496" s="127"/>
      <c r="EZ496" s="127"/>
      <c r="FA496" s="127"/>
      <c r="FB496" s="127"/>
      <c r="FC496" s="127"/>
      <c r="FD496" s="127"/>
      <c r="FE496" s="127"/>
      <c r="FF496" s="127"/>
      <c r="HW496" s="127"/>
      <c r="HX496" s="127"/>
      <c r="HY496" s="127"/>
      <c r="HZ496" s="127"/>
      <c r="IA496" s="127"/>
      <c r="IB496" s="127"/>
      <c r="IC496" s="127"/>
      <c r="ID496" s="127"/>
      <c r="IE496" s="127"/>
      <c r="IF496" s="127"/>
      <c r="IG496" s="127"/>
      <c r="IH496" s="127"/>
      <c r="II496" s="127"/>
      <c r="IJ496" s="127"/>
      <c r="IK496" s="127"/>
      <c r="LB496" s="127"/>
      <c r="LC496" s="127"/>
      <c r="LD496" s="127"/>
      <c r="LE496" s="127"/>
      <c r="LF496" s="127"/>
      <c r="LG496" s="127"/>
      <c r="LH496" s="127"/>
      <c r="LI496" s="127"/>
      <c r="LJ496" s="127"/>
      <c r="LK496" s="127"/>
      <c r="LL496" s="127"/>
      <c r="LM496" s="127"/>
      <c r="LN496" s="127"/>
      <c r="LO496" s="127"/>
      <c r="LP496" s="127"/>
      <c r="OG496" s="127"/>
      <c r="OH496" s="127"/>
      <c r="OI496" s="127"/>
      <c r="OJ496" s="127"/>
      <c r="OK496" s="127"/>
      <c r="OL496" s="127"/>
      <c r="OM496" s="127"/>
      <c r="ON496" s="127"/>
      <c r="OO496" s="127"/>
      <c r="OP496" s="127"/>
      <c r="OQ496" s="127"/>
      <c r="OR496" s="127"/>
      <c r="OS496" s="127"/>
      <c r="OT496" s="127"/>
      <c r="OU496" s="127"/>
    </row>
    <row r="497" spans="1:411">
      <c r="A497">
        <v>127</v>
      </c>
      <c r="B497">
        <v>1124</v>
      </c>
      <c r="C497" t="s">
        <v>72</v>
      </c>
      <c r="D497" t="s">
        <v>478</v>
      </c>
      <c r="E497" s="232" t="s">
        <v>11009</v>
      </c>
      <c r="F497" t="s">
        <v>70</v>
      </c>
      <c r="G497">
        <v>2</v>
      </c>
      <c r="H497">
        <v>891.72</v>
      </c>
      <c r="I497">
        <v>887.952</v>
      </c>
      <c r="J497">
        <v>883.70500000000004</v>
      </c>
      <c r="K497">
        <v>879.74</v>
      </c>
      <c r="L497">
        <v>877.77499999999998</v>
      </c>
      <c r="M497" s="233" t="s">
        <v>532</v>
      </c>
      <c r="N497" s="233" t="s">
        <v>533</v>
      </c>
      <c r="O497" s="3" t="s">
        <v>995</v>
      </c>
      <c r="BM497" s="127"/>
      <c r="BN497" s="127"/>
      <c r="BO497" s="127"/>
      <c r="BP497" s="127"/>
      <c r="BQ497" s="127"/>
      <c r="BR497" s="127"/>
      <c r="BS497" s="127"/>
      <c r="BT497" s="127"/>
      <c r="BU497" s="127"/>
      <c r="BV497" s="127"/>
      <c r="BW497" s="127"/>
      <c r="BX497" s="127"/>
      <c r="BY497" s="127"/>
      <c r="BZ497" s="127"/>
      <c r="CA497" s="127"/>
      <c r="ER497" s="127"/>
      <c r="ES497" s="127"/>
      <c r="ET497" s="127"/>
      <c r="EU497" s="127"/>
      <c r="EV497" s="127"/>
      <c r="EW497" s="127"/>
      <c r="EX497" s="127"/>
      <c r="EY497" s="127"/>
      <c r="EZ497" s="127"/>
      <c r="FA497" s="127"/>
      <c r="FB497" s="127"/>
      <c r="FC497" s="127"/>
      <c r="FD497" s="127"/>
      <c r="FE497" s="127"/>
      <c r="FF497" s="127"/>
      <c r="HW497" s="127"/>
      <c r="HX497" s="127"/>
      <c r="HY497" s="127"/>
      <c r="HZ497" s="127"/>
      <c r="IA497" s="127"/>
      <c r="IB497" s="127"/>
      <c r="IC497" s="127"/>
      <c r="ID497" s="127"/>
      <c r="IE497" s="127"/>
      <c r="IF497" s="127"/>
      <c r="IG497" s="127"/>
      <c r="IH497" s="127"/>
      <c r="II497" s="127"/>
      <c r="IJ497" s="127"/>
      <c r="IK497" s="127"/>
      <c r="LB497" s="127"/>
      <c r="LC497" s="127"/>
      <c r="LD497" s="127"/>
      <c r="LE497" s="127"/>
      <c r="LF497" s="127"/>
      <c r="LG497" s="127"/>
      <c r="LH497" s="127"/>
      <c r="LI497" s="127"/>
      <c r="LJ497" s="127"/>
      <c r="LK497" s="127"/>
      <c r="LL497" s="127"/>
      <c r="LM497" s="127"/>
      <c r="LN497" s="127"/>
      <c r="LO497" s="127"/>
      <c r="LP497" s="127"/>
      <c r="OG497" s="127"/>
      <c r="OH497" s="127"/>
      <c r="OI497" s="127"/>
      <c r="OJ497" s="127"/>
      <c r="OK497" s="127"/>
      <c r="OL497" s="127"/>
      <c r="OM497" s="127"/>
      <c r="ON497" s="127"/>
      <c r="OO497" s="127"/>
      <c r="OP497" s="127"/>
      <c r="OQ497" s="127"/>
      <c r="OR497" s="127"/>
      <c r="OS497" s="127"/>
      <c r="OT497" s="127"/>
      <c r="OU497" s="127"/>
    </row>
    <row r="498" spans="1:411">
      <c r="A498">
        <v>126</v>
      </c>
      <c r="B498">
        <v>1111</v>
      </c>
      <c r="C498" t="s">
        <v>72</v>
      </c>
      <c r="D498" t="s">
        <v>478</v>
      </c>
      <c r="E498" s="232" t="s">
        <v>74</v>
      </c>
      <c r="F498" t="s">
        <v>70</v>
      </c>
      <c r="G498">
        <v>2</v>
      </c>
      <c r="H498">
        <v>896.33399999999995</v>
      </c>
      <c r="I498">
        <v>893.46699999999998</v>
      </c>
      <c r="J498">
        <v>889.48800000000006</v>
      </c>
      <c r="K498">
        <v>885.98599999999999</v>
      </c>
      <c r="L498">
        <v>883.72900000000004</v>
      </c>
      <c r="M498" s="233" t="s">
        <v>532</v>
      </c>
      <c r="N498" s="233" t="s">
        <v>533</v>
      </c>
      <c r="O498" s="3" t="s">
        <v>996</v>
      </c>
      <c r="BM498" s="127"/>
      <c r="BN498" s="127"/>
      <c r="BO498" s="127"/>
      <c r="BP498" s="127"/>
      <c r="BQ498" s="127"/>
      <c r="BR498" s="127"/>
      <c r="BS498" s="127"/>
      <c r="BT498" s="127"/>
      <c r="BU498" s="127"/>
      <c r="BV498" s="127"/>
      <c r="BW498" s="127"/>
      <c r="BX498" s="127"/>
      <c r="BY498" s="127"/>
      <c r="BZ498" s="127"/>
      <c r="CA498" s="127"/>
      <c r="ER498" s="127"/>
      <c r="ES498" s="127"/>
      <c r="ET498" s="127"/>
      <c r="EU498" s="127"/>
      <c r="EV498" s="127"/>
      <c r="EW498" s="127"/>
      <c r="EX498" s="127"/>
      <c r="EY498" s="127"/>
      <c r="EZ498" s="127"/>
      <c r="FA498" s="127"/>
      <c r="FB498" s="127"/>
      <c r="FC498" s="127"/>
      <c r="FD498" s="127"/>
      <c r="FE498" s="127"/>
      <c r="FF498" s="127"/>
      <c r="HW498" s="127"/>
      <c r="HX498" s="127"/>
      <c r="HY498" s="127"/>
      <c r="HZ498" s="127"/>
      <c r="IA498" s="127"/>
      <c r="IB498" s="127"/>
      <c r="IC498" s="127"/>
      <c r="ID498" s="127"/>
      <c r="IE498" s="127"/>
      <c r="IF498" s="127"/>
      <c r="IG498" s="127"/>
      <c r="IH498" s="127"/>
      <c r="II498" s="127"/>
      <c r="IJ498" s="127"/>
      <c r="IK498" s="127"/>
      <c r="LB498" s="127"/>
      <c r="LC498" s="127"/>
      <c r="LD498" s="127"/>
      <c r="LE498" s="127"/>
      <c r="LF498" s="127"/>
      <c r="LG498" s="127"/>
      <c r="LH498" s="127"/>
      <c r="LI498" s="127"/>
      <c r="LJ498" s="127"/>
      <c r="LK498" s="127"/>
      <c r="LL498" s="127"/>
      <c r="LM498" s="127"/>
      <c r="LN498" s="127"/>
      <c r="LO498" s="127"/>
      <c r="LP498" s="127"/>
      <c r="OG498" s="127"/>
      <c r="OH498" s="127"/>
      <c r="OI498" s="127"/>
      <c r="OJ498" s="127"/>
      <c r="OK498" s="127"/>
      <c r="OL498" s="127"/>
      <c r="OM498" s="127"/>
      <c r="ON498" s="127"/>
      <c r="OO498" s="127"/>
      <c r="OP498" s="127"/>
      <c r="OQ498" s="127"/>
      <c r="OR498" s="127"/>
      <c r="OS498" s="127"/>
      <c r="OT498" s="127"/>
      <c r="OU498" s="127"/>
    </row>
    <row r="499" spans="1:411">
      <c r="A499">
        <v>126</v>
      </c>
      <c r="B499">
        <v>1110</v>
      </c>
      <c r="C499" t="s">
        <v>72</v>
      </c>
      <c r="D499" t="s">
        <v>478</v>
      </c>
      <c r="E499" s="232" t="s">
        <v>300</v>
      </c>
      <c r="F499" t="s">
        <v>70</v>
      </c>
      <c r="G499">
        <v>2</v>
      </c>
      <c r="H499">
        <v>895.46500000000003</v>
      </c>
      <c r="I499">
        <v>892.99699999999996</v>
      </c>
      <c r="J499">
        <v>889.00400000000002</v>
      </c>
      <c r="K499">
        <v>885.53</v>
      </c>
      <c r="L499">
        <v>882.91099999999994</v>
      </c>
      <c r="M499" s="233" t="s">
        <v>532</v>
      </c>
      <c r="N499" s="233" t="s">
        <v>533</v>
      </c>
      <c r="O499" s="3" t="s">
        <v>997</v>
      </c>
      <c r="BM499" s="127"/>
      <c r="BN499" s="127"/>
      <c r="BO499" s="127"/>
      <c r="BP499" s="127"/>
      <c r="BQ499" s="127"/>
      <c r="BR499" s="127"/>
      <c r="BS499" s="127"/>
      <c r="BT499" s="127"/>
      <c r="BU499" s="127"/>
      <c r="BV499" s="127"/>
      <c r="BW499" s="127"/>
      <c r="BX499" s="127"/>
      <c r="BY499" s="127"/>
      <c r="BZ499" s="127"/>
      <c r="CA499" s="127"/>
      <c r="ER499" s="127"/>
      <c r="ES499" s="127"/>
      <c r="ET499" s="127"/>
      <c r="EU499" s="127"/>
      <c r="EV499" s="127"/>
      <c r="EW499" s="127"/>
      <c r="EX499" s="127"/>
      <c r="EY499" s="127"/>
      <c r="EZ499" s="127"/>
      <c r="FA499" s="127"/>
      <c r="FB499" s="127"/>
      <c r="FC499" s="127"/>
      <c r="FD499" s="127"/>
      <c r="FE499" s="127"/>
      <c r="FF499" s="127"/>
      <c r="HW499" s="127"/>
      <c r="HX499" s="127"/>
      <c r="HY499" s="127"/>
      <c r="HZ499" s="127"/>
      <c r="IA499" s="127"/>
      <c r="IB499" s="127"/>
      <c r="IC499" s="127"/>
      <c r="ID499" s="127"/>
      <c r="IE499" s="127"/>
      <c r="IF499" s="127"/>
      <c r="IG499" s="127"/>
      <c r="IH499" s="127"/>
      <c r="II499" s="127"/>
      <c r="IJ499" s="127"/>
      <c r="IK499" s="127"/>
      <c r="LB499" s="127"/>
      <c r="LC499" s="127"/>
      <c r="LD499" s="127"/>
      <c r="LE499" s="127"/>
      <c r="LF499" s="127"/>
      <c r="LG499" s="127"/>
      <c r="LH499" s="127"/>
      <c r="LI499" s="127"/>
      <c r="LJ499" s="127"/>
      <c r="LK499" s="127"/>
      <c r="LL499" s="127"/>
      <c r="LM499" s="127"/>
      <c r="LN499" s="127"/>
      <c r="LO499" s="127"/>
      <c r="LP499" s="127"/>
      <c r="OG499" s="127"/>
      <c r="OH499" s="127"/>
      <c r="OI499" s="127"/>
      <c r="OJ499" s="127"/>
      <c r="OK499" s="127"/>
      <c r="OL499" s="127"/>
      <c r="OM499" s="127"/>
      <c r="ON499" s="127"/>
      <c r="OO499" s="127"/>
      <c r="OP499" s="127"/>
      <c r="OQ499" s="127"/>
      <c r="OR499" s="127"/>
      <c r="OS499" s="127"/>
      <c r="OT499" s="127"/>
      <c r="OU499" s="127"/>
    </row>
    <row r="500" spans="1:411">
      <c r="A500">
        <v>126</v>
      </c>
      <c r="B500">
        <v>1121</v>
      </c>
      <c r="C500" t="s">
        <v>72</v>
      </c>
      <c r="D500" t="s">
        <v>478</v>
      </c>
      <c r="E500" s="232" t="s">
        <v>11112</v>
      </c>
      <c r="F500" t="s">
        <v>70</v>
      </c>
      <c r="G500">
        <v>2</v>
      </c>
      <c r="H500">
        <v>895.88699999999994</v>
      </c>
      <c r="I500">
        <v>892.37699999999995</v>
      </c>
      <c r="J500">
        <v>888.75199999999995</v>
      </c>
      <c r="K500">
        <v>885.53</v>
      </c>
      <c r="L500">
        <v>883.08100000000002</v>
      </c>
      <c r="M500" s="233" t="s">
        <v>532</v>
      </c>
      <c r="N500" s="233" t="s">
        <v>533</v>
      </c>
      <c r="O500" s="3" t="s">
        <v>998</v>
      </c>
      <c r="BM500" s="127"/>
      <c r="BN500" s="127"/>
      <c r="BO500" s="127"/>
      <c r="BP500" s="127"/>
      <c r="BQ500" s="127"/>
      <c r="BR500" s="127"/>
      <c r="BS500" s="127"/>
      <c r="BT500" s="127"/>
      <c r="BU500" s="127"/>
      <c r="BV500" s="127"/>
      <c r="BW500" s="127"/>
      <c r="BX500" s="127"/>
      <c r="BY500" s="127"/>
      <c r="BZ500" s="127"/>
      <c r="CA500" s="127"/>
      <c r="ER500" s="127"/>
      <c r="ES500" s="127"/>
      <c r="ET500" s="127"/>
      <c r="EU500" s="127"/>
      <c r="EV500" s="127"/>
      <c r="EW500" s="127"/>
      <c r="EX500" s="127"/>
      <c r="EY500" s="127"/>
      <c r="EZ500" s="127"/>
      <c r="FA500" s="127"/>
      <c r="FB500" s="127"/>
      <c r="FC500" s="127"/>
      <c r="FD500" s="127"/>
      <c r="FE500" s="127"/>
      <c r="FF500" s="127"/>
      <c r="HW500" s="127"/>
      <c r="HX500" s="127"/>
      <c r="HY500" s="127"/>
      <c r="HZ500" s="127"/>
      <c r="IA500" s="127"/>
      <c r="IB500" s="127"/>
      <c r="IC500" s="127"/>
      <c r="ID500" s="127"/>
      <c r="IE500" s="127"/>
      <c r="IF500" s="127"/>
      <c r="IG500" s="127"/>
      <c r="IH500" s="127"/>
      <c r="II500" s="127"/>
      <c r="IJ500" s="127"/>
      <c r="IK500" s="127"/>
      <c r="LB500" s="127"/>
      <c r="LC500" s="127"/>
      <c r="LD500" s="127"/>
      <c r="LE500" s="127"/>
      <c r="LF500" s="127"/>
      <c r="LG500" s="127"/>
      <c r="LH500" s="127"/>
      <c r="LI500" s="127"/>
      <c r="LJ500" s="127"/>
      <c r="LK500" s="127"/>
      <c r="LL500" s="127"/>
      <c r="LM500" s="127"/>
      <c r="LN500" s="127"/>
      <c r="LO500" s="127"/>
      <c r="LP500" s="127"/>
      <c r="OG500" s="127"/>
      <c r="OH500" s="127"/>
      <c r="OI500" s="127"/>
      <c r="OJ500" s="127"/>
      <c r="OK500" s="127"/>
      <c r="OL500" s="127"/>
      <c r="OM500" s="127"/>
      <c r="ON500" s="127"/>
      <c r="OO500" s="127"/>
      <c r="OP500" s="127"/>
      <c r="OQ500" s="127"/>
      <c r="OR500" s="127"/>
      <c r="OS500" s="127"/>
      <c r="OT500" s="127"/>
      <c r="OU500" s="127"/>
    </row>
    <row r="501" spans="1:411">
      <c r="A501">
        <v>126</v>
      </c>
      <c r="B501">
        <v>1116</v>
      </c>
      <c r="C501" t="s">
        <v>72</v>
      </c>
      <c r="D501" t="s">
        <v>478</v>
      </c>
      <c r="E501" s="232" t="s">
        <v>11115</v>
      </c>
      <c r="F501" t="s">
        <v>70</v>
      </c>
      <c r="G501">
        <v>2</v>
      </c>
      <c r="H501">
        <v>896.72799999999995</v>
      </c>
      <c r="I501">
        <v>892.37699999999995</v>
      </c>
      <c r="J501">
        <v>888.09</v>
      </c>
      <c r="K501">
        <v>884.31100000000004</v>
      </c>
      <c r="L501">
        <v>882.10400000000004</v>
      </c>
      <c r="M501" s="233" t="s">
        <v>532</v>
      </c>
      <c r="N501" s="233" t="s">
        <v>533</v>
      </c>
      <c r="O501" s="3" t="s">
        <v>999</v>
      </c>
      <c r="BM501" s="127"/>
      <c r="BN501" s="127"/>
      <c r="BO501" s="127"/>
      <c r="BP501" s="127"/>
      <c r="BQ501" s="127"/>
      <c r="BR501" s="127"/>
      <c r="BS501" s="127"/>
      <c r="BT501" s="127"/>
      <c r="BU501" s="127"/>
      <c r="BV501" s="127"/>
      <c r="BW501" s="127"/>
      <c r="BX501" s="127"/>
      <c r="BY501" s="127"/>
      <c r="BZ501" s="127"/>
      <c r="CA501" s="127"/>
      <c r="ER501" s="127"/>
      <c r="ES501" s="127"/>
      <c r="ET501" s="127"/>
      <c r="EU501" s="127"/>
      <c r="EV501" s="127"/>
      <c r="EW501" s="127"/>
      <c r="EX501" s="127"/>
      <c r="EY501" s="127"/>
      <c r="EZ501" s="127"/>
      <c r="FA501" s="127"/>
      <c r="FB501" s="127"/>
      <c r="FC501" s="127"/>
      <c r="FD501" s="127"/>
      <c r="FE501" s="127"/>
      <c r="FF501" s="127"/>
      <c r="HW501" s="127"/>
      <c r="HX501" s="127"/>
      <c r="HY501" s="127"/>
      <c r="HZ501" s="127"/>
      <c r="IA501" s="127"/>
      <c r="IB501" s="127"/>
      <c r="IC501" s="127"/>
      <c r="ID501" s="127"/>
      <c r="IE501" s="127"/>
      <c r="IF501" s="127"/>
      <c r="IG501" s="127"/>
      <c r="IH501" s="127"/>
      <c r="II501" s="127"/>
      <c r="IJ501" s="127"/>
      <c r="IK501" s="127"/>
      <c r="LB501" s="127"/>
      <c r="LC501" s="127"/>
      <c r="LD501" s="127"/>
      <c r="LE501" s="127"/>
      <c r="LF501" s="127"/>
      <c r="LG501" s="127"/>
      <c r="LH501" s="127"/>
      <c r="LI501" s="127"/>
      <c r="LJ501" s="127"/>
      <c r="LK501" s="127"/>
      <c r="LL501" s="127"/>
      <c r="LM501" s="127"/>
      <c r="LN501" s="127"/>
      <c r="LO501" s="127"/>
      <c r="LP501" s="127"/>
      <c r="OG501" s="127"/>
      <c r="OH501" s="127"/>
      <c r="OI501" s="127"/>
      <c r="OJ501" s="127"/>
      <c r="OK501" s="127"/>
      <c r="OL501" s="127"/>
      <c r="OM501" s="127"/>
      <c r="ON501" s="127"/>
      <c r="OO501" s="127"/>
      <c r="OP501" s="127"/>
      <c r="OQ501" s="127"/>
      <c r="OR501" s="127"/>
      <c r="OS501" s="127"/>
      <c r="OT501" s="127"/>
      <c r="OU501" s="127"/>
    </row>
    <row r="502" spans="1:411">
      <c r="A502">
        <v>126</v>
      </c>
      <c r="B502">
        <v>1122</v>
      </c>
      <c r="C502" t="s">
        <v>72</v>
      </c>
      <c r="D502" t="s">
        <v>478</v>
      </c>
      <c r="E502" s="232" t="s">
        <v>11177</v>
      </c>
      <c r="F502" t="s">
        <v>70</v>
      </c>
      <c r="G502">
        <v>2</v>
      </c>
      <c r="H502">
        <v>894.44899999999996</v>
      </c>
      <c r="I502">
        <v>891.39499999999998</v>
      </c>
      <c r="J502">
        <v>888.09</v>
      </c>
      <c r="K502">
        <v>884.56299999999999</v>
      </c>
      <c r="L502">
        <v>882.10400000000004</v>
      </c>
      <c r="M502" s="233" t="s">
        <v>532</v>
      </c>
      <c r="N502" s="233" t="s">
        <v>533</v>
      </c>
      <c r="O502" s="3" t="s">
        <v>1000</v>
      </c>
      <c r="BM502" s="127"/>
      <c r="BN502" s="127"/>
      <c r="BO502" s="127"/>
      <c r="BP502" s="127"/>
      <c r="BQ502" s="127"/>
      <c r="BR502" s="127"/>
      <c r="BS502" s="127"/>
      <c r="BT502" s="127"/>
      <c r="BU502" s="127"/>
      <c r="BV502" s="127"/>
      <c r="BW502" s="127"/>
      <c r="BX502" s="127"/>
      <c r="BY502" s="127"/>
      <c r="BZ502" s="127"/>
      <c r="CA502" s="127"/>
      <c r="ER502" s="127"/>
      <c r="ES502" s="127"/>
      <c r="ET502" s="127"/>
      <c r="EU502" s="127"/>
      <c r="EV502" s="127"/>
      <c r="EW502" s="127"/>
      <c r="EX502" s="127"/>
      <c r="EY502" s="127"/>
      <c r="EZ502" s="127"/>
      <c r="FA502" s="127"/>
      <c r="FB502" s="127"/>
      <c r="FC502" s="127"/>
      <c r="FD502" s="127"/>
      <c r="FE502" s="127"/>
      <c r="FF502" s="127"/>
      <c r="HW502" s="127"/>
      <c r="HX502" s="127"/>
      <c r="HY502" s="127"/>
      <c r="HZ502" s="127"/>
      <c r="IA502" s="127"/>
      <c r="IB502" s="127"/>
      <c r="IC502" s="127"/>
      <c r="ID502" s="127"/>
      <c r="IE502" s="127"/>
      <c r="IF502" s="127"/>
      <c r="IG502" s="127"/>
      <c r="IH502" s="127"/>
      <c r="II502" s="127"/>
      <c r="IJ502" s="127"/>
      <c r="IK502" s="127"/>
      <c r="LB502" s="127"/>
      <c r="LC502" s="127"/>
      <c r="LD502" s="127"/>
      <c r="LE502" s="127"/>
      <c r="LF502" s="127"/>
      <c r="LG502" s="127"/>
      <c r="LH502" s="127"/>
      <c r="LI502" s="127"/>
      <c r="LJ502" s="127"/>
      <c r="LK502" s="127"/>
      <c r="LL502" s="127"/>
      <c r="LM502" s="127"/>
      <c r="LN502" s="127"/>
      <c r="LO502" s="127"/>
      <c r="LP502" s="127"/>
      <c r="OG502" s="127"/>
      <c r="OH502" s="127"/>
      <c r="OI502" s="127"/>
      <c r="OJ502" s="127"/>
      <c r="OK502" s="127"/>
      <c r="OL502" s="127"/>
      <c r="OM502" s="127"/>
      <c r="ON502" s="127"/>
      <c r="OO502" s="127"/>
      <c r="OP502" s="127"/>
      <c r="OQ502" s="127"/>
      <c r="OR502" s="127"/>
      <c r="OS502" s="127"/>
      <c r="OT502" s="127"/>
      <c r="OU502" s="127"/>
    </row>
    <row r="503" spans="1:411">
      <c r="A503">
        <v>126</v>
      </c>
      <c r="B503">
        <v>1123</v>
      </c>
      <c r="C503" t="s">
        <v>72</v>
      </c>
      <c r="D503" t="s">
        <v>478</v>
      </c>
      <c r="E503" s="232" t="s">
        <v>7259</v>
      </c>
      <c r="F503" t="s">
        <v>70</v>
      </c>
      <c r="G503">
        <v>2</v>
      </c>
      <c r="H503">
        <v>894.44899999999996</v>
      </c>
      <c r="I503">
        <v>891.53700000000003</v>
      </c>
      <c r="J503">
        <v>887.94799999999998</v>
      </c>
      <c r="K503">
        <v>884.14099999999996</v>
      </c>
      <c r="L503">
        <v>881.70899999999995</v>
      </c>
      <c r="M503" s="233" t="s">
        <v>532</v>
      </c>
      <c r="N503" s="233" t="s">
        <v>533</v>
      </c>
      <c r="O503" s="3" t="s">
        <v>1001</v>
      </c>
      <c r="BM503" s="127"/>
      <c r="BN503" s="127"/>
      <c r="BO503" s="127"/>
      <c r="BP503" s="127"/>
      <c r="BQ503" s="127"/>
      <c r="BR503" s="127"/>
      <c r="BS503" s="127"/>
      <c r="BT503" s="127"/>
      <c r="BU503" s="127"/>
      <c r="BV503" s="127"/>
      <c r="BW503" s="127"/>
      <c r="BX503" s="127"/>
      <c r="BY503" s="127"/>
      <c r="BZ503" s="127"/>
      <c r="CA503" s="127"/>
      <c r="ER503" s="127"/>
      <c r="ES503" s="127"/>
      <c r="ET503" s="127"/>
      <c r="EU503" s="127"/>
      <c r="EV503" s="127"/>
      <c r="EW503" s="127"/>
      <c r="EX503" s="127"/>
      <c r="EY503" s="127"/>
      <c r="EZ503" s="127"/>
      <c r="FA503" s="127"/>
      <c r="FB503" s="127"/>
      <c r="FC503" s="127"/>
      <c r="FD503" s="127"/>
      <c r="FE503" s="127"/>
      <c r="FF503" s="127"/>
      <c r="HW503" s="127"/>
      <c r="HX503" s="127"/>
      <c r="HY503" s="127"/>
      <c r="HZ503" s="127"/>
      <c r="IA503" s="127"/>
      <c r="IB503" s="127"/>
      <c r="IC503" s="127"/>
      <c r="ID503" s="127"/>
      <c r="IE503" s="127"/>
      <c r="IF503" s="127"/>
      <c r="IG503" s="127"/>
      <c r="IH503" s="127"/>
      <c r="II503" s="127"/>
      <c r="IJ503" s="127"/>
      <c r="IK503" s="127"/>
      <c r="LB503" s="127"/>
      <c r="LC503" s="127"/>
      <c r="LD503" s="127"/>
      <c r="LE503" s="127"/>
      <c r="LF503" s="127"/>
      <c r="LG503" s="127"/>
      <c r="LH503" s="127"/>
      <c r="LI503" s="127"/>
      <c r="LJ503" s="127"/>
      <c r="LK503" s="127"/>
      <c r="LL503" s="127"/>
      <c r="LM503" s="127"/>
      <c r="LN503" s="127"/>
      <c r="LO503" s="127"/>
      <c r="LP503" s="127"/>
      <c r="OG503" s="127"/>
      <c r="OH503" s="127"/>
      <c r="OI503" s="127"/>
      <c r="OJ503" s="127"/>
      <c r="OK503" s="127"/>
      <c r="OL503" s="127"/>
      <c r="OM503" s="127"/>
      <c r="ON503" s="127"/>
      <c r="OO503" s="127"/>
      <c r="OP503" s="127"/>
      <c r="OQ503" s="127"/>
      <c r="OR503" s="127"/>
      <c r="OS503" s="127"/>
      <c r="OT503" s="127"/>
      <c r="OU503" s="127"/>
    </row>
    <row r="504" spans="1:411">
      <c r="A504">
        <v>127</v>
      </c>
      <c r="B504">
        <v>1104</v>
      </c>
      <c r="C504" t="s">
        <v>72</v>
      </c>
      <c r="D504" t="s">
        <v>478</v>
      </c>
      <c r="E504" s="232" t="s">
        <v>11214</v>
      </c>
      <c r="F504" t="s">
        <v>70</v>
      </c>
      <c r="G504">
        <v>2</v>
      </c>
      <c r="H504">
        <v>886.30700000000002</v>
      </c>
      <c r="I504">
        <v>883.81399999999996</v>
      </c>
      <c r="J504">
        <v>880.80799999999999</v>
      </c>
      <c r="K504">
        <v>877.52800000000002</v>
      </c>
      <c r="L504">
        <v>875.13699999999994</v>
      </c>
      <c r="M504" s="233" t="s">
        <v>532</v>
      </c>
      <c r="N504" s="233" t="s">
        <v>533</v>
      </c>
      <c r="O504" s="3" t="s">
        <v>1002</v>
      </c>
      <c r="BM504" s="127"/>
      <c r="BN504" s="127"/>
      <c r="BO504" s="127"/>
      <c r="BP504" s="127"/>
      <c r="BQ504" s="127"/>
      <c r="BR504" s="127"/>
      <c r="BS504" s="127"/>
      <c r="BT504" s="127"/>
      <c r="BU504" s="127"/>
      <c r="BV504" s="127"/>
      <c r="BW504" s="127"/>
      <c r="BX504" s="127"/>
      <c r="BY504" s="127"/>
      <c r="BZ504" s="127"/>
      <c r="CA504" s="127"/>
      <c r="ER504" s="127"/>
      <c r="ES504" s="127"/>
      <c r="ET504" s="127"/>
      <c r="EU504" s="127"/>
      <c r="EV504" s="127"/>
      <c r="EW504" s="127"/>
      <c r="EX504" s="127"/>
      <c r="EY504" s="127"/>
      <c r="EZ504" s="127"/>
      <c r="FA504" s="127"/>
      <c r="FB504" s="127"/>
      <c r="FC504" s="127"/>
      <c r="FD504" s="127"/>
      <c r="FE504" s="127"/>
      <c r="FF504" s="127"/>
      <c r="HW504" s="127"/>
      <c r="HX504" s="127"/>
      <c r="HY504" s="127"/>
      <c r="HZ504" s="127"/>
      <c r="IA504" s="127"/>
      <c r="IB504" s="127"/>
      <c r="IC504" s="127"/>
      <c r="ID504" s="127"/>
      <c r="IE504" s="127"/>
      <c r="IF504" s="127"/>
      <c r="IG504" s="127"/>
      <c r="IH504" s="127"/>
      <c r="II504" s="127"/>
      <c r="IJ504" s="127"/>
      <c r="IK504" s="127"/>
      <c r="LB504" s="127"/>
      <c r="LC504" s="127"/>
      <c r="LD504" s="127"/>
      <c r="LE504" s="127"/>
      <c r="LF504" s="127"/>
      <c r="LG504" s="127"/>
      <c r="LH504" s="127"/>
      <c r="LI504" s="127"/>
      <c r="LJ504" s="127"/>
      <c r="LK504" s="127"/>
      <c r="LL504" s="127"/>
      <c r="LM504" s="127"/>
      <c r="LN504" s="127"/>
      <c r="LO504" s="127"/>
      <c r="LP504" s="127"/>
      <c r="OG504" s="127"/>
      <c r="OH504" s="127"/>
      <c r="OI504" s="127"/>
      <c r="OJ504" s="127"/>
      <c r="OK504" s="127"/>
      <c r="OL504" s="127"/>
      <c r="OM504" s="127"/>
      <c r="ON504" s="127"/>
      <c r="OO504" s="127"/>
      <c r="OP504" s="127"/>
      <c r="OQ504" s="127"/>
      <c r="OR504" s="127"/>
      <c r="OS504" s="127"/>
      <c r="OT504" s="127"/>
      <c r="OU504" s="127"/>
    </row>
    <row r="505" spans="1:411">
      <c r="A505">
        <v>126</v>
      </c>
      <c r="B505">
        <v>1115</v>
      </c>
      <c r="C505" t="s">
        <v>72</v>
      </c>
      <c r="D505" t="s">
        <v>478</v>
      </c>
      <c r="E505" s="232" t="s">
        <v>11199</v>
      </c>
      <c r="F505" t="s">
        <v>70</v>
      </c>
      <c r="G505">
        <v>2</v>
      </c>
      <c r="H505">
        <v>895.46500000000003</v>
      </c>
      <c r="I505">
        <v>890.97299999999996</v>
      </c>
      <c r="J505">
        <v>886.89599999999996</v>
      </c>
      <c r="K505">
        <v>883.22400000000005</v>
      </c>
      <c r="L505">
        <v>880.86300000000006</v>
      </c>
      <c r="M505" s="233" t="s">
        <v>532</v>
      </c>
      <c r="N505" s="233" t="s">
        <v>533</v>
      </c>
      <c r="O505" s="3" t="s">
        <v>1003</v>
      </c>
      <c r="BM505" s="127"/>
      <c r="BN505" s="127"/>
      <c r="BO505" s="127"/>
      <c r="BP505" s="127"/>
      <c r="BQ505" s="127"/>
      <c r="BR505" s="127"/>
      <c r="BS505" s="127"/>
      <c r="BT505" s="127"/>
      <c r="BU505" s="127"/>
      <c r="BV505" s="127"/>
      <c r="BW505" s="127"/>
      <c r="BX505" s="127"/>
      <c r="BY505" s="127"/>
      <c r="BZ505" s="127"/>
      <c r="CA505" s="127"/>
      <c r="ER505" s="127"/>
      <c r="ES505" s="127"/>
      <c r="ET505" s="127"/>
      <c r="EU505" s="127"/>
      <c r="EV505" s="127"/>
      <c r="EW505" s="127"/>
      <c r="EX505" s="127"/>
      <c r="EY505" s="127"/>
      <c r="EZ505" s="127"/>
      <c r="FA505" s="127"/>
      <c r="FB505" s="127"/>
      <c r="FC505" s="127"/>
      <c r="FD505" s="127"/>
      <c r="FE505" s="127"/>
      <c r="FF505" s="127"/>
      <c r="HW505" s="127"/>
      <c r="HX505" s="127"/>
      <c r="HY505" s="127"/>
      <c r="HZ505" s="127"/>
      <c r="IA505" s="127"/>
      <c r="IB505" s="127"/>
      <c r="IC505" s="127"/>
      <c r="ID505" s="127"/>
      <c r="IE505" s="127"/>
      <c r="IF505" s="127"/>
      <c r="IG505" s="127"/>
      <c r="IH505" s="127"/>
      <c r="II505" s="127"/>
      <c r="IJ505" s="127"/>
      <c r="IK505" s="127"/>
      <c r="LB505" s="127"/>
      <c r="LC505" s="127"/>
      <c r="LD505" s="127"/>
      <c r="LE505" s="127"/>
      <c r="LF505" s="127"/>
      <c r="LG505" s="127"/>
      <c r="LH505" s="127"/>
      <c r="LI505" s="127"/>
      <c r="LJ505" s="127"/>
      <c r="LK505" s="127"/>
      <c r="LL505" s="127"/>
      <c r="LM505" s="127"/>
      <c r="LN505" s="127"/>
      <c r="LO505" s="127"/>
      <c r="LP505" s="127"/>
      <c r="OG505" s="127"/>
      <c r="OH505" s="127"/>
      <c r="OI505" s="127"/>
      <c r="OJ505" s="127"/>
      <c r="OK505" s="127"/>
      <c r="OL505" s="127"/>
      <c r="OM505" s="127"/>
      <c r="ON505" s="127"/>
      <c r="OO505" s="127"/>
      <c r="OP505" s="127"/>
      <c r="OQ505" s="127"/>
      <c r="OR505" s="127"/>
      <c r="OS505" s="127"/>
      <c r="OT505" s="127"/>
      <c r="OU505" s="127"/>
    </row>
    <row r="506" spans="1:411">
      <c r="A506">
        <v>126</v>
      </c>
      <c r="B506">
        <v>1114</v>
      </c>
      <c r="C506" t="s">
        <v>72</v>
      </c>
      <c r="D506" t="s">
        <v>478</v>
      </c>
      <c r="E506" s="232" t="s">
        <v>11169</v>
      </c>
      <c r="F506" t="s">
        <v>70</v>
      </c>
      <c r="G506">
        <v>2</v>
      </c>
      <c r="H506">
        <v>894.74900000000002</v>
      </c>
      <c r="I506">
        <v>890.803</v>
      </c>
      <c r="J506">
        <v>886.71900000000005</v>
      </c>
      <c r="K506">
        <v>882.82799999999997</v>
      </c>
      <c r="L506">
        <v>880.86300000000006</v>
      </c>
      <c r="M506" s="233" t="s">
        <v>532</v>
      </c>
      <c r="N506" s="233" t="s">
        <v>533</v>
      </c>
      <c r="O506" s="3" t="s">
        <v>1004</v>
      </c>
      <c r="BM506" s="127"/>
      <c r="BN506" s="127"/>
      <c r="BO506" s="127"/>
      <c r="BP506" s="127"/>
      <c r="BQ506" s="127"/>
      <c r="BR506" s="127"/>
      <c r="BS506" s="127"/>
      <c r="BT506" s="127"/>
      <c r="BU506" s="127"/>
      <c r="BV506" s="127"/>
      <c r="BW506" s="127"/>
      <c r="BX506" s="127"/>
      <c r="BY506" s="127"/>
      <c r="BZ506" s="127"/>
      <c r="CA506" s="127"/>
      <c r="ER506" s="127"/>
      <c r="ES506" s="127"/>
      <c r="ET506" s="127"/>
      <c r="EU506" s="127"/>
      <c r="EV506" s="127"/>
      <c r="EW506" s="127"/>
      <c r="EX506" s="127"/>
      <c r="EY506" s="127"/>
      <c r="EZ506" s="127"/>
      <c r="FA506" s="127"/>
      <c r="FB506" s="127"/>
      <c r="FC506" s="127"/>
      <c r="FD506" s="127"/>
      <c r="FE506" s="127"/>
      <c r="FF506" s="127"/>
      <c r="HW506" s="127"/>
      <c r="HX506" s="127"/>
      <c r="HY506" s="127"/>
      <c r="HZ506" s="127"/>
      <c r="IA506" s="127"/>
      <c r="IB506" s="127"/>
      <c r="IC506" s="127"/>
      <c r="ID506" s="127"/>
      <c r="IE506" s="127"/>
      <c r="IF506" s="127"/>
      <c r="IG506" s="127"/>
      <c r="IH506" s="127"/>
      <c r="II506" s="127"/>
      <c r="IJ506" s="127"/>
      <c r="IK506" s="127"/>
      <c r="LB506" s="127"/>
      <c r="LC506" s="127"/>
      <c r="LD506" s="127"/>
      <c r="LE506" s="127"/>
      <c r="LF506" s="127"/>
      <c r="LG506" s="127"/>
      <c r="LH506" s="127"/>
      <c r="LI506" s="127"/>
      <c r="LJ506" s="127"/>
      <c r="LK506" s="127"/>
      <c r="LL506" s="127"/>
      <c r="LM506" s="127"/>
      <c r="LN506" s="127"/>
      <c r="LO506" s="127"/>
      <c r="LP506" s="127"/>
      <c r="OG506" s="127"/>
      <c r="OH506" s="127"/>
      <c r="OI506" s="127"/>
      <c r="OJ506" s="127"/>
      <c r="OK506" s="127"/>
      <c r="OL506" s="127"/>
      <c r="OM506" s="127"/>
      <c r="ON506" s="127"/>
      <c r="OO506" s="127"/>
      <c r="OP506" s="127"/>
      <c r="OQ506" s="127"/>
      <c r="OR506" s="127"/>
      <c r="OS506" s="127"/>
      <c r="OT506" s="127"/>
      <c r="OU506" s="127"/>
    </row>
    <row r="507" spans="1:411">
      <c r="A507">
        <v>127</v>
      </c>
      <c r="B507">
        <v>1125</v>
      </c>
      <c r="C507" t="s">
        <v>72</v>
      </c>
      <c r="D507" t="s">
        <v>478</v>
      </c>
      <c r="E507" s="232" t="s">
        <v>84</v>
      </c>
      <c r="F507" t="s">
        <v>70</v>
      </c>
      <c r="G507">
        <v>2</v>
      </c>
      <c r="H507">
        <v>887.13800000000003</v>
      </c>
      <c r="I507">
        <v>883.70500000000004</v>
      </c>
      <c r="J507">
        <v>880.13900000000001</v>
      </c>
      <c r="K507">
        <v>876.09199999999998</v>
      </c>
      <c r="L507">
        <v>873.57299999999998</v>
      </c>
      <c r="M507" s="233" t="s">
        <v>532</v>
      </c>
      <c r="N507" s="233" t="s">
        <v>533</v>
      </c>
      <c r="O507" s="3" t="s">
        <v>1005</v>
      </c>
      <c r="BM507" s="127"/>
      <c r="BN507" s="127"/>
      <c r="BO507" s="127"/>
      <c r="BP507" s="127"/>
      <c r="BQ507" s="127"/>
      <c r="BR507" s="127"/>
      <c r="BS507" s="127"/>
      <c r="BT507" s="127"/>
      <c r="BU507" s="127"/>
      <c r="BV507" s="127"/>
      <c r="BW507" s="127"/>
      <c r="BX507" s="127"/>
      <c r="BY507" s="127"/>
      <c r="BZ507" s="127"/>
      <c r="CA507" s="127"/>
      <c r="ER507" s="127"/>
      <c r="ES507" s="127"/>
      <c r="ET507" s="127"/>
      <c r="EU507" s="127"/>
      <c r="EV507" s="127"/>
      <c r="EW507" s="127"/>
      <c r="EX507" s="127"/>
      <c r="EY507" s="127"/>
      <c r="EZ507" s="127"/>
      <c r="FA507" s="127"/>
      <c r="FB507" s="127"/>
      <c r="FC507" s="127"/>
      <c r="FD507" s="127"/>
      <c r="FE507" s="127"/>
      <c r="FF507" s="127"/>
      <c r="HW507" s="127"/>
      <c r="HX507" s="127"/>
      <c r="HY507" s="127"/>
      <c r="HZ507" s="127"/>
      <c r="IA507" s="127"/>
      <c r="IB507" s="127"/>
      <c r="IC507" s="127"/>
      <c r="ID507" s="127"/>
      <c r="IE507" s="127"/>
      <c r="IF507" s="127"/>
      <c r="IG507" s="127"/>
      <c r="IH507" s="127"/>
      <c r="II507" s="127"/>
      <c r="IJ507" s="127"/>
      <c r="IK507" s="127"/>
      <c r="LB507" s="127"/>
      <c r="LC507" s="127"/>
      <c r="LD507" s="127"/>
      <c r="LE507" s="127"/>
      <c r="LF507" s="127"/>
      <c r="LG507" s="127"/>
      <c r="LH507" s="127"/>
      <c r="LI507" s="127"/>
      <c r="LJ507" s="127"/>
      <c r="LK507" s="127"/>
      <c r="LL507" s="127"/>
      <c r="LM507" s="127"/>
      <c r="LN507" s="127"/>
      <c r="LO507" s="127"/>
      <c r="LP507" s="127"/>
      <c r="OG507" s="127"/>
      <c r="OH507" s="127"/>
      <c r="OI507" s="127"/>
      <c r="OJ507" s="127"/>
      <c r="OK507" s="127"/>
      <c r="OL507" s="127"/>
      <c r="OM507" s="127"/>
      <c r="ON507" s="127"/>
      <c r="OO507" s="127"/>
      <c r="OP507" s="127"/>
      <c r="OQ507" s="127"/>
      <c r="OR507" s="127"/>
      <c r="OS507" s="127"/>
      <c r="OT507" s="127"/>
      <c r="OU507" s="127"/>
    </row>
    <row r="508" spans="1:411">
      <c r="A508">
        <v>127</v>
      </c>
      <c r="B508">
        <v>1128</v>
      </c>
      <c r="C508" t="s">
        <v>72</v>
      </c>
      <c r="D508" t="s">
        <v>478</v>
      </c>
      <c r="E508" s="232" t="s">
        <v>11230</v>
      </c>
      <c r="F508" t="s">
        <v>70</v>
      </c>
      <c r="G508">
        <v>2</v>
      </c>
      <c r="H508">
        <v>887.51800000000003</v>
      </c>
      <c r="I508">
        <v>883.81399999999996</v>
      </c>
      <c r="J508">
        <v>880.13900000000001</v>
      </c>
      <c r="K508">
        <v>876.09199999999998</v>
      </c>
      <c r="L508">
        <v>873.57299999999998</v>
      </c>
      <c r="M508" s="233" t="s">
        <v>532</v>
      </c>
      <c r="N508" s="233" t="s">
        <v>533</v>
      </c>
      <c r="O508" s="3" t="s">
        <v>1006</v>
      </c>
      <c r="BM508" s="127"/>
      <c r="BN508" s="127"/>
      <c r="BO508" s="127"/>
      <c r="BP508" s="127"/>
      <c r="BQ508" s="127"/>
      <c r="BR508" s="127"/>
      <c r="BS508" s="127"/>
      <c r="BT508" s="127"/>
      <c r="BU508" s="127"/>
      <c r="BV508" s="127"/>
      <c r="BW508" s="127"/>
      <c r="BX508" s="127"/>
      <c r="BY508" s="127"/>
      <c r="BZ508" s="127"/>
      <c r="CA508" s="127"/>
      <c r="ER508" s="127"/>
      <c r="ES508" s="127"/>
      <c r="ET508" s="127"/>
      <c r="EU508" s="127"/>
      <c r="EV508" s="127"/>
      <c r="EW508" s="127"/>
      <c r="EX508" s="127"/>
      <c r="EY508" s="127"/>
      <c r="EZ508" s="127"/>
      <c r="FA508" s="127"/>
      <c r="FB508" s="127"/>
      <c r="FC508" s="127"/>
      <c r="FD508" s="127"/>
      <c r="FE508" s="127"/>
      <c r="FF508" s="127"/>
      <c r="HW508" s="127"/>
      <c r="HX508" s="127"/>
      <c r="HY508" s="127"/>
      <c r="HZ508" s="127"/>
      <c r="IA508" s="127"/>
      <c r="IB508" s="127"/>
      <c r="IC508" s="127"/>
      <c r="ID508" s="127"/>
      <c r="IE508" s="127"/>
      <c r="IF508" s="127"/>
      <c r="IG508" s="127"/>
      <c r="IH508" s="127"/>
      <c r="II508" s="127"/>
      <c r="IJ508" s="127"/>
      <c r="IK508" s="127"/>
      <c r="LB508" s="127"/>
      <c r="LC508" s="127"/>
      <c r="LD508" s="127"/>
      <c r="LE508" s="127"/>
      <c r="LF508" s="127"/>
      <c r="LG508" s="127"/>
      <c r="LH508" s="127"/>
      <c r="LI508" s="127"/>
      <c r="LJ508" s="127"/>
      <c r="LK508" s="127"/>
      <c r="LL508" s="127"/>
      <c r="LM508" s="127"/>
      <c r="LN508" s="127"/>
      <c r="LO508" s="127"/>
      <c r="LP508" s="127"/>
      <c r="OG508" s="127"/>
      <c r="OH508" s="127"/>
      <c r="OI508" s="127"/>
      <c r="OJ508" s="127"/>
      <c r="OK508" s="127"/>
      <c r="OL508" s="127"/>
      <c r="OM508" s="127"/>
      <c r="ON508" s="127"/>
      <c r="OO508" s="127"/>
      <c r="OP508" s="127"/>
      <c r="OQ508" s="127"/>
      <c r="OR508" s="127"/>
      <c r="OS508" s="127"/>
      <c r="OT508" s="127"/>
      <c r="OU508" s="127"/>
    </row>
    <row r="509" spans="1:411">
      <c r="A509">
        <v>126</v>
      </c>
      <c r="B509">
        <v>1117</v>
      </c>
      <c r="C509" t="s">
        <v>72</v>
      </c>
      <c r="D509" t="s">
        <v>478</v>
      </c>
      <c r="E509" s="232" t="s">
        <v>11254</v>
      </c>
      <c r="F509" t="s">
        <v>70</v>
      </c>
      <c r="G509">
        <v>2</v>
      </c>
      <c r="H509">
        <v>893.63699999999994</v>
      </c>
      <c r="I509">
        <v>889.851</v>
      </c>
      <c r="J509">
        <v>885.81600000000003</v>
      </c>
      <c r="K509">
        <v>881.70899999999995</v>
      </c>
      <c r="L509">
        <v>879.70299999999997</v>
      </c>
      <c r="M509" s="233" t="s">
        <v>532</v>
      </c>
      <c r="N509" s="233" t="s">
        <v>533</v>
      </c>
      <c r="O509" s="3" t="s">
        <v>1007</v>
      </c>
      <c r="BM509" s="127"/>
      <c r="BN509" s="127"/>
      <c r="BO509" s="127"/>
      <c r="BP509" s="127"/>
      <c r="BQ509" s="127"/>
      <c r="BR509" s="127"/>
      <c r="BS509" s="127"/>
      <c r="BT509" s="127"/>
      <c r="BU509" s="127"/>
      <c r="BV509" s="127"/>
      <c r="BW509" s="127"/>
      <c r="BX509" s="127"/>
      <c r="BY509" s="127"/>
      <c r="BZ509" s="127"/>
      <c r="CA509" s="127"/>
      <c r="ER509" s="127"/>
      <c r="ES509" s="127"/>
      <c r="ET509" s="127"/>
      <c r="EU509" s="127"/>
      <c r="EV509" s="127"/>
      <c r="EW509" s="127"/>
      <c r="EX509" s="127"/>
      <c r="EY509" s="127"/>
      <c r="EZ509" s="127"/>
      <c r="FA509" s="127"/>
      <c r="FB509" s="127"/>
      <c r="FC509" s="127"/>
      <c r="FD509" s="127"/>
      <c r="FE509" s="127"/>
      <c r="FF509" s="127"/>
      <c r="HW509" s="127"/>
      <c r="HX509" s="127"/>
      <c r="HY509" s="127"/>
      <c r="HZ509" s="127"/>
      <c r="IA509" s="127"/>
      <c r="IB509" s="127"/>
      <c r="IC509" s="127"/>
      <c r="ID509" s="127"/>
      <c r="IE509" s="127"/>
      <c r="IF509" s="127"/>
      <c r="IG509" s="127"/>
      <c r="IH509" s="127"/>
      <c r="II509" s="127"/>
      <c r="IJ509" s="127"/>
      <c r="IK509" s="127"/>
      <c r="LB509" s="127"/>
      <c r="LC509" s="127"/>
      <c r="LD509" s="127"/>
      <c r="LE509" s="127"/>
      <c r="LF509" s="127"/>
      <c r="LG509" s="127"/>
      <c r="LH509" s="127"/>
      <c r="LI509" s="127"/>
      <c r="LJ509" s="127"/>
      <c r="LK509" s="127"/>
      <c r="LL509" s="127"/>
      <c r="LM509" s="127"/>
      <c r="LN509" s="127"/>
      <c r="LO509" s="127"/>
      <c r="LP509" s="127"/>
      <c r="OG509" s="127"/>
      <c r="OH509" s="127"/>
      <c r="OI509" s="127"/>
      <c r="OJ509" s="127"/>
      <c r="OK509" s="127"/>
      <c r="OL509" s="127"/>
      <c r="OM509" s="127"/>
      <c r="ON509" s="127"/>
      <c r="OO509" s="127"/>
      <c r="OP509" s="127"/>
      <c r="OQ509" s="127"/>
      <c r="OR509" s="127"/>
      <c r="OS509" s="127"/>
      <c r="OT509" s="127"/>
      <c r="OU509" s="127"/>
    </row>
    <row r="510" spans="1:411">
      <c r="A510">
        <v>127</v>
      </c>
      <c r="B510">
        <v>1129</v>
      </c>
      <c r="C510" t="s">
        <v>72</v>
      </c>
      <c r="D510" t="s">
        <v>478</v>
      </c>
      <c r="E510" s="232" t="s">
        <v>69</v>
      </c>
      <c r="F510" t="s">
        <v>70</v>
      </c>
      <c r="G510">
        <v>2</v>
      </c>
      <c r="H510">
        <v>886.66800000000001</v>
      </c>
      <c r="I510">
        <v>882.91</v>
      </c>
      <c r="J510">
        <v>879.11800000000005</v>
      </c>
      <c r="K510">
        <v>874.82399999999996</v>
      </c>
      <c r="L510">
        <v>872.82299999999998</v>
      </c>
      <c r="M510" s="233" t="s">
        <v>532</v>
      </c>
      <c r="N510" s="233" t="s">
        <v>533</v>
      </c>
      <c r="O510" s="3" t="s">
        <v>1008</v>
      </c>
      <c r="BM510" s="127"/>
      <c r="BN510" s="127"/>
      <c r="BO510" s="127"/>
      <c r="BP510" s="127"/>
      <c r="BQ510" s="127"/>
      <c r="BR510" s="127"/>
      <c r="BS510" s="127"/>
      <c r="BT510" s="127"/>
      <c r="BU510" s="127"/>
      <c r="BV510" s="127"/>
      <c r="BW510" s="127"/>
      <c r="BX510" s="127"/>
      <c r="BY510" s="127"/>
      <c r="BZ510" s="127"/>
      <c r="CA510" s="127"/>
      <c r="ER510" s="127"/>
      <c r="ES510" s="127"/>
      <c r="ET510" s="127"/>
      <c r="EU510" s="127"/>
      <c r="EV510" s="127"/>
      <c r="EW510" s="127"/>
      <c r="EX510" s="127"/>
      <c r="EY510" s="127"/>
      <c r="EZ510" s="127"/>
      <c r="FA510" s="127"/>
      <c r="FB510" s="127"/>
      <c r="FC510" s="127"/>
      <c r="FD510" s="127"/>
      <c r="FE510" s="127"/>
      <c r="FF510" s="127"/>
      <c r="HW510" s="127"/>
      <c r="HX510" s="127"/>
      <c r="HY510" s="127"/>
      <c r="HZ510" s="127"/>
      <c r="IA510" s="127"/>
      <c r="IB510" s="127"/>
      <c r="IC510" s="127"/>
      <c r="ID510" s="127"/>
      <c r="IE510" s="127"/>
      <c r="IF510" s="127"/>
      <c r="IG510" s="127"/>
      <c r="IH510" s="127"/>
      <c r="II510" s="127"/>
      <c r="IJ510" s="127"/>
      <c r="IK510" s="127"/>
      <c r="LB510" s="127"/>
      <c r="LC510" s="127"/>
      <c r="LD510" s="127"/>
      <c r="LE510" s="127"/>
      <c r="LF510" s="127"/>
      <c r="LG510" s="127"/>
      <c r="LH510" s="127"/>
      <c r="LI510" s="127"/>
      <c r="LJ510" s="127"/>
      <c r="LK510" s="127"/>
      <c r="LL510" s="127"/>
      <c r="LM510" s="127"/>
      <c r="LN510" s="127"/>
      <c r="LO510" s="127"/>
      <c r="LP510" s="127"/>
      <c r="OG510" s="127"/>
      <c r="OH510" s="127"/>
      <c r="OI510" s="127"/>
      <c r="OJ510" s="127"/>
      <c r="OK510" s="127"/>
      <c r="OL510" s="127"/>
      <c r="OM510" s="127"/>
      <c r="ON510" s="127"/>
      <c r="OO510" s="127"/>
      <c r="OP510" s="127"/>
      <c r="OQ510" s="127"/>
      <c r="OR510" s="127"/>
      <c r="OS510" s="127"/>
      <c r="OT510" s="127"/>
      <c r="OU510" s="127"/>
    </row>
    <row r="511" spans="1:411">
      <c r="A511">
        <v>126</v>
      </c>
      <c r="B511">
        <v>1118</v>
      </c>
      <c r="C511" t="s">
        <v>72</v>
      </c>
      <c r="D511" t="s">
        <v>478</v>
      </c>
      <c r="E511" s="232" t="s">
        <v>7258</v>
      </c>
      <c r="F511" t="s">
        <v>70</v>
      </c>
      <c r="G511">
        <v>2</v>
      </c>
      <c r="H511">
        <v>891.53700000000003</v>
      </c>
      <c r="I511">
        <v>888.40300000000002</v>
      </c>
      <c r="J511">
        <v>885.19600000000003</v>
      </c>
      <c r="K511">
        <v>881.31899999999996</v>
      </c>
      <c r="L511">
        <v>879.12300000000005</v>
      </c>
      <c r="M511" s="233" t="s">
        <v>532</v>
      </c>
      <c r="N511" s="233" t="s">
        <v>533</v>
      </c>
      <c r="O511" s="3" t="s">
        <v>1009</v>
      </c>
      <c r="BM511" s="127"/>
      <c r="BN511" s="127"/>
      <c r="BO511" s="127"/>
      <c r="BP511" s="127"/>
      <c r="BQ511" s="127"/>
      <c r="BR511" s="127"/>
      <c r="BS511" s="127"/>
      <c r="BT511" s="127"/>
      <c r="BU511" s="127"/>
      <c r="BV511" s="127"/>
      <c r="BW511" s="127"/>
      <c r="BX511" s="127"/>
      <c r="BY511" s="127"/>
      <c r="BZ511" s="127"/>
      <c r="CA511" s="127"/>
      <c r="ER511" s="127"/>
      <c r="ES511" s="127"/>
      <c r="ET511" s="127"/>
      <c r="EU511" s="127"/>
      <c r="EV511" s="127"/>
      <c r="EW511" s="127"/>
      <c r="EX511" s="127"/>
      <c r="EY511" s="127"/>
      <c r="EZ511" s="127"/>
      <c r="FA511" s="127"/>
      <c r="FB511" s="127"/>
      <c r="FC511" s="127"/>
      <c r="FD511" s="127"/>
      <c r="FE511" s="127"/>
      <c r="FF511" s="127"/>
      <c r="HW511" s="127"/>
      <c r="HX511" s="127"/>
      <c r="HY511" s="127"/>
      <c r="HZ511" s="127"/>
      <c r="IA511" s="127"/>
      <c r="IB511" s="127"/>
      <c r="IC511" s="127"/>
      <c r="ID511" s="127"/>
      <c r="IE511" s="127"/>
      <c r="IF511" s="127"/>
      <c r="IG511" s="127"/>
      <c r="IH511" s="127"/>
      <c r="II511" s="127"/>
      <c r="IJ511" s="127"/>
      <c r="IK511" s="127"/>
      <c r="LB511" s="127"/>
      <c r="LC511" s="127"/>
      <c r="LD511" s="127"/>
      <c r="LE511" s="127"/>
      <c r="LF511" s="127"/>
      <c r="LG511" s="127"/>
      <c r="LH511" s="127"/>
      <c r="LI511" s="127"/>
      <c r="LJ511" s="127"/>
      <c r="LK511" s="127"/>
      <c r="LL511" s="127"/>
      <c r="LM511" s="127"/>
      <c r="LN511" s="127"/>
      <c r="LO511" s="127"/>
      <c r="LP511" s="127"/>
      <c r="OG511" s="127"/>
      <c r="OH511" s="127"/>
      <c r="OI511" s="127"/>
      <c r="OJ511" s="127"/>
      <c r="OK511" s="127"/>
      <c r="OL511" s="127"/>
      <c r="OM511" s="127"/>
      <c r="ON511" s="127"/>
      <c r="OO511" s="127"/>
      <c r="OP511" s="127"/>
      <c r="OQ511" s="127"/>
      <c r="OR511" s="127"/>
      <c r="OS511" s="127"/>
      <c r="OT511" s="127"/>
      <c r="OU511" s="127"/>
    </row>
    <row r="512" spans="1:411">
      <c r="A512">
        <v>126</v>
      </c>
      <c r="B512">
        <v>1105</v>
      </c>
      <c r="C512" t="s">
        <v>72</v>
      </c>
      <c r="D512" t="s">
        <v>478</v>
      </c>
      <c r="E512" s="232" t="s">
        <v>7257</v>
      </c>
      <c r="F512" t="s">
        <v>70</v>
      </c>
      <c r="G512">
        <v>2</v>
      </c>
      <c r="H512">
        <v>890.10299999999995</v>
      </c>
      <c r="I512">
        <v>887.94799999999998</v>
      </c>
      <c r="J512">
        <v>885.02599999999995</v>
      </c>
      <c r="K512">
        <v>881.17600000000004</v>
      </c>
      <c r="L512">
        <v>879.12300000000005</v>
      </c>
      <c r="M512" s="233" t="s">
        <v>532</v>
      </c>
      <c r="N512" s="233" t="s">
        <v>533</v>
      </c>
      <c r="O512" s="3" t="s">
        <v>1010</v>
      </c>
      <c r="BM512" s="127"/>
      <c r="BN512" s="127"/>
      <c r="BO512" s="127"/>
      <c r="BP512" s="127"/>
      <c r="BQ512" s="127"/>
      <c r="BR512" s="127"/>
      <c r="BS512" s="127"/>
      <c r="BT512" s="127"/>
      <c r="BU512" s="127"/>
      <c r="BV512" s="127"/>
      <c r="BW512" s="127"/>
      <c r="BX512" s="127"/>
      <c r="BY512" s="127"/>
      <c r="BZ512" s="127"/>
      <c r="CA512" s="127"/>
      <c r="ER512" s="127"/>
      <c r="ES512" s="127"/>
      <c r="ET512" s="127"/>
      <c r="EU512" s="127"/>
      <c r="EV512" s="127"/>
      <c r="EW512" s="127"/>
      <c r="EX512" s="127"/>
      <c r="EY512" s="127"/>
      <c r="EZ512" s="127"/>
      <c r="FA512" s="127"/>
      <c r="FB512" s="127"/>
      <c r="FC512" s="127"/>
      <c r="FD512" s="127"/>
      <c r="FE512" s="127"/>
      <c r="FF512" s="127"/>
      <c r="HW512" s="127"/>
      <c r="HX512" s="127"/>
      <c r="HY512" s="127"/>
      <c r="HZ512" s="127"/>
      <c r="IA512" s="127"/>
      <c r="IB512" s="127"/>
      <c r="IC512" s="127"/>
      <c r="ID512" s="127"/>
      <c r="IE512" s="127"/>
      <c r="IF512" s="127"/>
      <c r="IG512" s="127"/>
      <c r="IH512" s="127"/>
      <c r="II512" s="127"/>
      <c r="IJ512" s="127"/>
      <c r="IK512" s="127"/>
      <c r="LB512" s="127"/>
      <c r="LC512" s="127"/>
      <c r="LD512" s="127"/>
      <c r="LE512" s="127"/>
      <c r="LF512" s="127"/>
      <c r="LG512" s="127"/>
      <c r="LH512" s="127"/>
      <c r="LI512" s="127"/>
      <c r="LJ512" s="127"/>
      <c r="LK512" s="127"/>
      <c r="LL512" s="127"/>
      <c r="LM512" s="127"/>
      <c r="LN512" s="127"/>
      <c r="LO512" s="127"/>
      <c r="LP512" s="127"/>
      <c r="OG512" s="127"/>
      <c r="OH512" s="127"/>
      <c r="OI512" s="127"/>
      <c r="OJ512" s="127"/>
      <c r="OK512" s="127"/>
      <c r="OL512" s="127"/>
      <c r="OM512" s="127"/>
      <c r="ON512" s="127"/>
      <c r="OO512" s="127"/>
      <c r="OP512" s="127"/>
      <c r="OQ512" s="127"/>
      <c r="OR512" s="127"/>
      <c r="OS512" s="127"/>
      <c r="OT512" s="127"/>
      <c r="OU512" s="127"/>
    </row>
    <row r="513" spans="1:411">
      <c r="A513">
        <v>127</v>
      </c>
      <c r="B513">
        <v>1107</v>
      </c>
      <c r="C513" t="s">
        <v>72</v>
      </c>
      <c r="D513" t="s">
        <v>478</v>
      </c>
      <c r="E513" s="232" t="s">
        <v>16610</v>
      </c>
      <c r="F513" t="s">
        <v>70</v>
      </c>
      <c r="G513">
        <v>2</v>
      </c>
      <c r="H513">
        <v>883.70500000000004</v>
      </c>
      <c r="I513">
        <v>881.23</v>
      </c>
      <c r="J513">
        <v>878.79</v>
      </c>
      <c r="K513">
        <v>875.13699999999994</v>
      </c>
      <c r="L513">
        <v>873.15099999999995</v>
      </c>
      <c r="M513" s="233" t="s">
        <v>532</v>
      </c>
      <c r="N513" s="233" t="s">
        <v>533</v>
      </c>
      <c r="O513" s="3" t="s">
        <v>1011</v>
      </c>
      <c r="BM513" s="127"/>
      <c r="BN513" s="127"/>
      <c r="BO513" s="127"/>
      <c r="BP513" s="127"/>
      <c r="BQ513" s="127"/>
      <c r="BR513" s="127"/>
      <c r="BS513" s="127"/>
      <c r="BT513" s="127"/>
      <c r="BU513" s="127"/>
      <c r="BV513" s="127"/>
      <c r="BW513" s="127"/>
      <c r="BX513" s="127"/>
      <c r="BY513" s="127"/>
      <c r="BZ513" s="127"/>
      <c r="CA513" s="127"/>
      <c r="ER513" s="127"/>
      <c r="ES513" s="127"/>
      <c r="ET513" s="127"/>
      <c r="EU513" s="127"/>
      <c r="EV513" s="127"/>
      <c r="EW513" s="127"/>
      <c r="EX513" s="127"/>
      <c r="EY513" s="127"/>
      <c r="EZ513" s="127"/>
      <c r="FA513" s="127"/>
      <c r="FB513" s="127"/>
      <c r="FC513" s="127"/>
      <c r="FD513" s="127"/>
      <c r="FE513" s="127"/>
      <c r="FF513" s="127"/>
      <c r="HW513" s="127"/>
      <c r="HX513" s="127"/>
      <c r="HY513" s="127"/>
      <c r="HZ513" s="127"/>
      <c r="IA513" s="127"/>
      <c r="IB513" s="127"/>
      <c r="IC513" s="127"/>
      <c r="ID513" s="127"/>
      <c r="IE513" s="127"/>
      <c r="IF513" s="127"/>
      <c r="IG513" s="127"/>
      <c r="IH513" s="127"/>
      <c r="II513" s="127"/>
      <c r="IJ513" s="127"/>
      <c r="IK513" s="127"/>
      <c r="LB513" s="127"/>
      <c r="LC513" s="127"/>
      <c r="LD513" s="127"/>
      <c r="LE513" s="127"/>
      <c r="LF513" s="127"/>
      <c r="LG513" s="127"/>
      <c r="LH513" s="127"/>
      <c r="LI513" s="127"/>
      <c r="LJ513" s="127"/>
      <c r="LK513" s="127"/>
      <c r="LL513" s="127"/>
      <c r="LM513" s="127"/>
      <c r="LN513" s="127"/>
      <c r="LO513" s="127"/>
      <c r="LP513" s="127"/>
      <c r="OG513" s="127"/>
      <c r="OH513" s="127"/>
      <c r="OI513" s="127"/>
      <c r="OJ513" s="127"/>
      <c r="OK513" s="127"/>
      <c r="OL513" s="127"/>
      <c r="OM513" s="127"/>
      <c r="ON513" s="127"/>
      <c r="OO513" s="127"/>
      <c r="OP513" s="127"/>
      <c r="OQ513" s="127"/>
      <c r="OR513" s="127"/>
      <c r="OS513" s="127"/>
      <c r="OT513" s="127"/>
      <c r="OU513" s="127"/>
    </row>
    <row r="514" spans="1:411">
      <c r="A514">
        <v>127</v>
      </c>
      <c r="B514">
        <v>1126</v>
      </c>
      <c r="C514" t="s">
        <v>72</v>
      </c>
      <c r="D514" t="s">
        <v>478</v>
      </c>
      <c r="E514" s="232" t="s">
        <v>68</v>
      </c>
      <c r="F514" t="s">
        <v>70</v>
      </c>
      <c r="G514">
        <v>2</v>
      </c>
      <c r="H514">
        <v>886.05499999999995</v>
      </c>
      <c r="I514">
        <v>882.47299999999996</v>
      </c>
      <c r="J514">
        <v>878.79</v>
      </c>
      <c r="K514">
        <v>874.68100000000004</v>
      </c>
      <c r="L514">
        <v>872.18700000000001</v>
      </c>
      <c r="M514" s="233" t="s">
        <v>532</v>
      </c>
      <c r="N514" s="233" t="s">
        <v>533</v>
      </c>
      <c r="O514" s="3" t="s">
        <v>1012</v>
      </c>
      <c r="BM514" s="127"/>
      <c r="BN514" s="127"/>
      <c r="BO514" s="127"/>
      <c r="BP514" s="127"/>
      <c r="BQ514" s="127"/>
      <c r="BR514" s="127"/>
      <c r="BS514" s="127"/>
      <c r="BT514" s="127"/>
      <c r="BU514" s="127"/>
      <c r="BV514" s="127"/>
      <c r="BW514" s="127"/>
      <c r="BX514" s="127"/>
      <c r="BY514" s="127"/>
      <c r="BZ514" s="127"/>
      <c r="CA514" s="127"/>
      <c r="ER514" s="127"/>
      <c r="ES514" s="127"/>
      <c r="ET514" s="127"/>
      <c r="EU514" s="127"/>
      <c r="EV514" s="127"/>
      <c r="EW514" s="127"/>
      <c r="EX514" s="127"/>
      <c r="EY514" s="127"/>
      <c r="EZ514" s="127"/>
      <c r="FA514" s="127"/>
      <c r="FB514" s="127"/>
      <c r="FC514" s="127"/>
      <c r="FD514" s="127"/>
      <c r="FE514" s="127"/>
      <c r="FF514" s="127"/>
      <c r="HW514" s="127"/>
      <c r="HX514" s="127"/>
      <c r="HY514" s="127"/>
      <c r="HZ514" s="127"/>
      <c r="IA514" s="127"/>
      <c r="IB514" s="127"/>
      <c r="IC514" s="127"/>
      <c r="ID514" s="127"/>
      <c r="IE514" s="127"/>
      <c r="IF514" s="127"/>
      <c r="IG514" s="127"/>
      <c r="IH514" s="127"/>
      <c r="II514" s="127"/>
      <c r="IJ514" s="127"/>
      <c r="IK514" s="127"/>
      <c r="LB514" s="127"/>
      <c r="LC514" s="127"/>
      <c r="LD514" s="127"/>
      <c r="LE514" s="127"/>
      <c r="LF514" s="127"/>
      <c r="LG514" s="127"/>
      <c r="LH514" s="127"/>
      <c r="LI514" s="127"/>
      <c r="LJ514" s="127"/>
      <c r="LK514" s="127"/>
      <c r="LL514" s="127"/>
      <c r="LM514" s="127"/>
      <c r="LN514" s="127"/>
      <c r="LO514" s="127"/>
      <c r="LP514" s="127"/>
      <c r="OG514" s="127"/>
      <c r="OH514" s="127"/>
      <c r="OI514" s="127"/>
      <c r="OJ514" s="127"/>
      <c r="OK514" s="127"/>
      <c r="OL514" s="127"/>
      <c r="OM514" s="127"/>
      <c r="ON514" s="127"/>
      <c r="OO514" s="127"/>
      <c r="OP514" s="127"/>
      <c r="OQ514" s="127"/>
      <c r="OR514" s="127"/>
      <c r="OS514" s="127"/>
      <c r="OT514" s="127"/>
      <c r="OU514" s="127"/>
    </row>
    <row r="515" spans="1:411">
      <c r="A515">
        <v>126</v>
      </c>
      <c r="B515">
        <v>1112</v>
      </c>
      <c r="C515" t="s">
        <v>72</v>
      </c>
      <c r="D515" t="s">
        <v>478</v>
      </c>
      <c r="E515" s="232" t="s">
        <v>11328</v>
      </c>
      <c r="F515" t="s">
        <v>70</v>
      </c>
      <c r="G515">
        <v>2</v>
      </c>
      <c r="H515">
        <v>892.99699999999996</v>
      </c>
      <c r="I515">
        <v>888.75199999999995</v>
      </c>
      <c r="J515">
        <v>884.85599999999999</v>
      </c>
      <c r="K515">
        <v>880.86300000000006</v>
      </c>
      <c r="L515">
        <v>878.43799999999999</v>
      </c>
      <c r="M515" s="233" t="s">
        <v>532</v>
      </c>
      <c r="N515" s="233" t="s">
        <v>533</v>
      </c>
      <c r="O515" s="3" t="s">
        <v>1013</v>
      </c>
      <c r="BM515" s="127"/>
      <c r="BN515" s="127"/>
      <c r="BO515" s="127"/>
      <c r="BP515" s="127"/>
      <c r="BQ515" s="127"/>
      <c r="BR515" s="127"/>
      <c r="BS515" s="127"/>
      <c r="BT515" s="127"/>
      <c r="BU515" s="127"/>
      <c r="BV515" s="127"/>
      <c r="BW515" s="127"/>
      <c r="BX515" s="127"/>
      <c r="BY515" s="127"/>
      <c r="BZ515" s="127"/>
      <c r="CA515" s="127"/>
      <c r="ER515" s="127"/>
      <c r="ES515" s="127"/>
      <c r="ET515" s="127"/>
      <c r="EU515" s="127"/>
      <c r="EV515" s="127"/>
      <c r="EW515" s="127"/>
      <c r="EX515" s="127"/>
      <c r="EY515" s="127"/>
      <c r="EZ515" s="127"/>
      <c r="FA515" s="127"/>
      <c r="FB515" s="127"/>
      <c r="FC515" s="127"/>
      <c r="FD515" s="127"/>
      <c r="FE515" s="127"/>
      <c r="FF515" s="127"/>
      <c r="HW515" s="127"/>
      <c r="HX515" s="127"/>
      <c r="HY515" s="127"/>
      <c r="HZ515" s="127"/>
      <c r="IA515" s="127"/>
      <c r="IB515" s="127"/>
      <c r="IC515" s="127"/>
      <c r="ID515" s="127"/>
      <c r="IE515" s="127"/>
      <c r="IF515" s="127"/>
      <c r="IG515" s="127"/>
      <c r="IH515" s="127"/>
      <c r="II515" s="127"/>
      <c r="IJ515" s="127"/>
      <c r="IK515" s="127"/>
      <c r="LB515" s="127"/>
      <c r="LC515" s="127"/>
      <c r="LD515" s="127"/>
      <c r="LE515" s="127"/>
      <c r="LF515" s="127"/>
      <c r="LG515" s="127"/>
      <c r="LH515" s="127"/>
      <c r="LI515" s="127"/>
      <c r="LJ515" s="127"/>
      <c r="LK515" s="127"/>
      <c r="LL515" s="127"/>
      <c r="LM515" s="127"/>
      <c r="LN515" s="127"/>
      <c r="LO515" s="127"/>
      <c r="LP515" s="127"/>
      <c r="OG515" s="127"/>
      <c r="OH515" s="127"/>
      <c r="OI515" s="127"/>
      <c r="OJ515" s="127"/>
      <c r="OK515" s="127"/>
      <c r="OL515" s="127"/>
      <c r="OM515" s="127"/>
      <c r="ON515" s="127"/>
      <c r="OO515" s="127"/>
      <c r="OP515" s="127"/>
      <c r="OQ515" s="127"/>
      <c r="OR515" s="127"/>
      <c r="OS515" s="127"/>
      <c r="OT515" s="127"/>
      <c r="OU515" s="127"/>
    </row>
    <row r="516" spans="1:411">
      <c r="A516">
        <v>126</v>
      </c>
      <c r="B516">
        <v>1113</v>
      </c>
      <c r="C516" t="s">
        <v>72</v>
      </c>
      <c r="D516" t="s">
        <v>478</v>
      </c>
      <c r="E516" s="232" t="s">
        <v>11342</v>
      </c>
      <c r="F516" t="s">
        <v>70</v>
      </c>
      <c r="G516">
        <v>2</v>
      </c>
      <c r="H516">
        <v>892.12699999999995</v>
      </c>
      <c r="I516">
        <v>888.62300000000005</v>
      </c>
      <c r="J516">
        <v>884.85599999999999</v>
      </c>
      <c r="K516">
        <v>880.46299999999997</v>
      </c>
      <c r="L516">
        <v>878.18600000000004</v>
      </c>
      <c r="M516" s="233" t="s">
        <v>532</v>
      </c>
      <c r="N516" s="233" t="s">
        <v>533</v>
      </c>
      <c r="O516" s="3" t="s">
        <v>1014</v>
      </c>
      <c r="BM516" s="127"/>
      <c r="BN516" s="127"/>
      <c r="BO516" s="127"/>
      <c r="BP516" s="127"/>
      <c r="BQ516" s="127"/>
      <c r="BR516" s="127"/>
      <c r="BS516" s="127"/>
      <c r="BT516" s="127"/>
      <c r="BU516" s="127"/>
      <c r="BV516" s="127"/>
      <c r="BW516" s="127"/>
      <c r="BX516" s="127"/>
      <c r="BY516" s="127"/>
      <c r="BZ516" s="127"/>
      <c r="CA516" s="127"/>
      <c r="ER516" s="127"/>
      <c r="ES516" s="127"/>
      <c r="ET516" s="127"/>
      <c r="EU516" s="127"/>
      <c r="EV516" s="127"/>
      <c r="EW516" s="127"/>
      <c r="EX516" s="127"/>
      <c r="EY516" s="127"/>
      <c r="EZ516" s="127"/>
      <c r="FA516" s="127"/>
      <c r="FB516" s="127"/>
      <c r="FC516" s="127"/>
      <c r="FD516" s="127"/>
      <c r="FE516" s="127"/>
      <c r="FF516" s="127"/>
      <c r="HW516" s="127"/>
      <c r="HX516" s="127"/>
      <c r="HY516" s="127"/>
      <c r="HZ516" s="127"/>
      <c r="IA516" s="127"/>
      <c r="IB516" s="127"/>
      <c r="IC516" s="127"/>
      <c r="ID516" s="127"/>
      <c r="IE516" s="127"/>
      <c r="IF516" s="127"/>
      <c r="IG516" s="127"/>
      <c r="IH516" s="127"/>
      <c r="II516" s="127"/>
      <c r="IJ516" s="127"/>
      <c r="IK516" s="127"/>
      <c r="LB516" s="127"/>
      <c r="LC516" s="127"/>
      <c r="LD516" s="127"/>
      <c r="LE516" s="127"/>
      <c r="LF516" s="127"/>
      <c r="LG516" s="127"/>
      <c r="LH516" s="127"/>
      <c r="LI516" s="127"/>
      <c r="LJ516" s="127"/>
      <c r="LK516" s="127"/>
      <c r="LL516" s="127"/>
      <c r="LM516" s="127"/>
      <c r="LN516" s="127"/>
      <c r="LO516" s="127"/>
      <c r="LP516" s="127"/>
      <c r="OG516" s="127"/>
      <c r="OH516" s="127"/>
      <c r="OI516" s="127"/>
      <c r="OJ516" s="127"/>
      <c r="OK516" s="127"/>
      <c r="OL516" s="127"/>
      <c r="OM516" s="127"/>
      <c r="ON516" s="127"/>
      <c r="OO516" s="127"/>
      <c r="OP516" s="127"/>
      <c r="OQ516" s="127"/>
      <c r="OR516" s="127"/>
      <c r="OS516" s="127"/>
      <c r="OT516" s="127"/>
      <c r="OU516" s="127"/>
    </row>
    <row r="517" spans="1:411">
      <c r="A517">
        <v>126</v>
      </c>
      <c r="B517">
        <v>1120</v>
      </c>
      <c r="C517" t="s">
        <v>72</v>
      </c>
      <c r="D517" t="s">
        <v>478</v>
      </c>
      <c r="E517" s="232" t="s">
        <v>234</v>
      </c>
      <c r="F517" t="s">
        <v>70</v>
      </c>
      <c r="G517">
        <v>2</v>
      </c>
      <c r="H517">
        <v>892.12699999999995</v>
      </c>
      <c r="I517">
        <v>888.40300000000002</v>
      </c>
      <c r="J517">
        <v>884.31100000000004</v>
      </c>
      <c r="K517">
        <v>880.17700000000002</v>
      </c>
      <c r="L517">
        <v>877.976</v>
      </c>
      <c r="M517" s="233" t="s">
        <v>532</v>
      </c>
      <c r="N517" s="233" t="s">
        <v>533</v>
      </c>
      <c r="O517" s="3" t="s">
        <v>1015</v>
      </c>
      <c r="BM517" s="127"/>
      <c r="BN517" s="127"/>
      <c r="BO517" s="127"/>
      <c r="BP517" s="127"/>
      <c r="BQ517" s="127"/>
      <c r="BR517" s="127"/>
      <c r="BS517" s="127"/>
      <c r="BT517" s="127"/>
      <c r="BU517" s="127"/>
      <c r="BV517" s="127"/>
      <c r="BW517" s="127"/>
      <c r="BX517" s="127"/>
      <c r="BY517" s="127"/>
      <c r="BZ517" s="127"/>
      <c r="CA517" s="127"/>
      <c r="ER517" s="127"/>
      <c r="ES517" s="127"/>
      <c r="ET517" s="127"/>
      <c r="EU517" s="127"/>
      <c r="EV517" s="127"/>
      <c r="EW517" s="127"/>
      <c r="EX517" s="127"/>
      <c r="EY517" s="127"/>
      <c r="EZ517" s="127"/>
      <c r="FA517" s="127"/>
      <c r="FB517" s="127"/>
      <c r="FC517" s="127"/>
      <c r="FD517" s="127"/>
      <c r="FE517" s="127"/>
      <c r="FF517" s="127"/>
      <c r="HW517" s="127"/>
      <c r="HX517" s="127"/>
      <c r="HY517" s="127"/>
      <c r="HZ517" s="127"/>
      <c r="IA517" s="127"/>
      <c r="IB517" s="127"/>
      <c r="IC517" s="127"/>
      <c r="ID517" s="127"/>
      <c r="IE517" s="127"/>
      <c r="IF517" s="127"/>
      <c r="IG517" s="127"/>
      <c r="IH517" s="127"/>
      <c r="II517" s="127"/>
      <c r="IJ517" s="127"/>
      <c r="IK517" s="127"/>
      <c r="LB517" s="127"/>
      <c r="LC517" s="127"/>
      <c r="LD517" s="127"/>
      <c r="LE517" s="127"/>
      <c r="LF517" s="127"/>
      <c r="LG517" s="127"/>
      <c r="LH517" s="127"/>
      <c r="LI517" s="127"/>
      <c r="LJ517" s="127"/>
      <c r="LK517" s="127"/>
      <c r="LL517" s="127"/>
      <c r="LM517" s="127"/>
      <c r="LN517" s="127"/>
      <c r="LO517" s="127"/>
      <c r="LP517" s="127"/>
      <c r="OG517" s="127"/>
      <c r="OH517" s="127"/>
      <c r="OI517" s="127"/>
      <c r="OJ517" s="127"/>
      <c r="OK517" s="127"/>
      <c r="OL517" s="127"/>
      <c r="OM517" s="127"/>
      <c r="ON517" s="127"/>
      <c r="OO517" s="127"/>
      <c r="OP517" s="127"/>
      <c r="OQ517" s="127"/>
      <c r="OR517" s="127"/>
      <c r="OS517" s="127"/>
      <c r="OT517" s="127"/>
      <c r="OU517" s="127"/>
    </row>
    <row r="518" spans="1:411">
      <c r="A518">
        <v>126</v>
      </c>
      <c r="B518">
        <v>1103</v>
      </c>
      <c r="C518" t="s">
        <v>72</v>
      </c>
      <c r="D518" t="s">
        <v>478</v>
      </c>
      <c r="E518" s="232" t="s">
        <v>11156</v>
      </c>
      <c r="F518" t="s">
        <v>70</v>
      </c>
      <c r="G518">
        <v>2</v>
      </c>
      <c r="H518">
        <v>890.97299999999996</v>
      </c>
      <c r="I518">
        <v>887.94799999999998</v>
      </c>
      <c r="J518">
        <v>883.99800000000005</v>
      </c>
      <c r="K518">
        <v>880.15</v>
      </c>
      <c r="L518">
        <v>877.66300000000001</v>
      </c>
      <c r="M518" s="233" t="s">
        <v>532</v>
      </c>
      <c r="N518" s="233" t="s">
        <v>533</v>
      </c>
      <c r="O518" s="3" t="s">
        <v>1016</v>
      </c>
      <c r="BM518" s="127"/>
      <c r="BN518" s="127"/>
      <c r="BO518" s="127"/>
      <c r="BP518" s="127"/>
      <c r="BQ518" s="127"/>
      <c r="BR518" s="127"/>
      <c r="BS518" s="127"/>
      <c r="BT518" s="127"/>
      <c r="BU518" s="127"/>
      <c r="BV518" s="127"/>
      <c r="BW518" s="127"/>
      <c r="BX518" s="127"/>
      <c r="BY518" s="127"/>
      <c r="BZ518" s="127"/>
      <c r="CA518" s="127"/>
      <c r="ER518" s="127"/>
      <c r="ES518" s="127"/>
      <c r="ET518" s="127"/>
      <c r="EU518" s="127"/>
      <c r="EV518" s="127"/>
      <c r="EW518" s="127"/>
      <c r="EX518" s="127"/>
      <c r="EY518" s="127"/>
      <c r="EZ518" s="127"/>
      <c r="FA518" s="127"/>
      <c r="FB518" s="127"/>
      <c r="FC518" s="127"/>
      <c r="FD518" s="127"/>
      <c r="FE518" s="127"/>
      <c r="FF518" s="127"/>
      <c r="HW518" s="127"/>
      <c r="HX518" s="127"/>
      <c r="HY518" s="127"/>
      <c r="HZ518" s="127"/>
      <c r="IA518" s="127"/>
      <c r="IB518" s="127"/>
      <c r="IC518" s="127"/>
      <c r="ID518" s="127"/>
      <c r="IE518" s="127"/>
      <c r="IF518" s="127"/>
      <c r="IG518" s="127"/>
      <c r="IH518" s="127"/>
      <c r="II518" s="127"/>
      <c r="IJ518" s="127"/>
      <c r="IK518" s="127"/>
      <c r="LB518" s="127"/>
      <c r="LC518" s="127"/>
      <c r="LD518" s="127"/>
      <c r="LE518" s="127"/>
      <c r="LF518" s="127"/>
      <c r="LG518" s="127"/>
      <c r="LH518" s="127"/>
      <c r="LI518" s="127"/>
      <c r="LJ518" s="127"/>
      <c r="LK518" s="127"/>
      <c r="LL518" s="127"/>
      <c r="LM518" s="127"/>
      <c r="LN518" s="127"/>
      <c r="LO518" s="127"/>
      <c r="LP518" s="127"/>
      <c r="OG518" s="127"/>
      <c r="OH518" s="127"/>
      <c r="OI518" s="127"/>
      <c r="OJ518" s="127"/>
      <c r="OK518" s="127"/>
      <c r="OL518" s="127"/>
      <c r="OM518" s="127"/>
      <c r="ON518" s="127"/>
      <c r="OO518" s="127"/>
      <c r="OP518" s="127"/>
      <c r="OQ518" s="127"/>
      <c r="OR518" s="127"/>
      <c r="OS518" s="127"/>
      <c r="OT518" s="127"/>
      <c r="OU518" s="127"/>
    </row>
    <row r="519" spans="1:411">
      <c r="A519">
        <v>126</v>
      </c>
      <c r="B519">
        <v>1119</v>
      </c>
      <c r="C519" t="s">
        <v>72</v>
      </c>
      <c r="D519" t="s">
        <v>478</v>
      </c>
      <c r="E519" s="232" t="s">
        <v>11473</v>
      </c>
      <c r="F519" t="s">
        <v>70</v>
      </c>
      <c r="G519">
        <v>2</v>
      </c>
      <c r="H519">
        <v>890.10299999999995</v>
      </c>
      <c r="I519">
        <v>886.54899999999998</v>
      </c>
      <c r="J519">
        <v>882.28899999999999</v>
      </c>
      <c r="K519">
        <v>878.18600000000004</v>
      </c>
      <c r="L519">
        <v>875.95399999999995</v>
      </c>
      <c r="M519" s="233" t="s">
        <v>532</v>
      </c>
      <c r="N519" s="233" t="s">
        <v>533</v>
      </c>
      <c r="O519" s="3" t="s">
        <v>1017</v>
      </c>
      <c r="BM519" s="127"/>
      <c r="BN519" s="127"/>
      <c r="BO519" s="127"/>
      <c r="BP519" s="127"/>
      <c r="BQ519" s="127"/>
      <c r="BR519" s="127"/>
      <c r="BS519" s="127"/>
      <c r="BT519" s="127"/>
      <c r="BU519" s="127"/>
      <c r="BV519" s="127"/>
      <c r="BW519" s="127"/>
      <c r="BX519" s="127"/>
      <c r="BY519" s="127"/>
      <c r="BZ519" s="127"/>
      <c r="CA519" s="127"/>
      <c r="ER519" s="127"/>
      <c r="ES519" s="127"/>
      <c r="ET519" s="127"/>
      <c r="EU519" s="127"/>
      <c r="EV519" s="127"/>
      <c r="EW519" s="127"/>
      <c r="EX519" s="127"/>
      <c r="EY519" s="127"/>
      <c r="EZ519" s="127"/>
      <c r="FA519" s="127"/>
      <c r="FB519" s="127"/>
      <c r="FC519" s="127"/>
      <c r="FD519" s="127"/>
      <c r="FE519" s="127"/>
      <c r="FF519" s="127"/>
      <c r="HW519" s="127"/>
      <c r="HX519" s="127"/>
      <c r="HY519" s="127"/>
      <c r="HZ519" s="127"/>
      <c r="IA519" s="127"/>
      <c r="IB519" s="127"/>
      <c r="IC519" s="127"/>
      <c r="ID519" s="127"/>
      <c r="IE519" s="127"/>
      <c r="IF519" s="127"/>
      <c r="IG519" s="127"/>
      <c r="IH519" s="127"/>
      <c r="II519" s="127"/>
      <c r="IJ519" s="127"/>
      <c r="IK519" s="127"/>
      <c r="LB519" s="127"/>
      <c r="LC519" s="127"/>
      <c r="LD519" s="127"/>
      <c r="LE519" s="127"/>
      <c r="LF519" s="127"/>
      <c r="LG519" s="127"/>
      <c r="LH519" s="127"/>
      <c r="LI519" s="127"/>
      <c r="LJ519" s="127"/>
      <c r="LK519" s="127"/>
      <c r="LL519" s="127"/>
      <c r="LM519" s="127"/>
      <c r="LN519" s="127"/>
      <c r="LO519" s="127"/>
      <c r="LP519" s="127"/>
      <c r="OG519" s="127"/>
      <c r="OH519" s="127"/>
      <c r="OI519" s="127"/>
      <c r="OJ519" s="127"/>
      <c r="OK519" s="127"/>
      <c r="OL519" s="127"/>
      <c r="OM519" s="127"/>
      <c r="ON519" s="127"/>
      <c r="OO519" s="127"/>
      <c r="OP519" s="127"/>
      <c r="OQ519" s="127"/>
      <c r="OR519" s="127"/>
      <c r="OS519" s="127"/>
      <c r="OT519" s="127"/>
      <c r="OU519" s="127"/>
    </row>
    <row r="520" spans="1:411">
      <c r="A520">
        <v>127</v>
      </c>
      <c r="B520">
        <v>1109</v>
      </c>
      <c r="C520" t="s">
        <v>72</v>
      </c>
      <c r="D520" t="s">
        <v>478</v>
      </c>
      <c r="E520" s="232" t="s">
        <v>16611</v>
      </c>
      <c r="F520" t="s">
        <v>70</v>
      </c>
      <c r="G520">
        <v>2</v>
      </c>
      <c r="H520">
        <v>883.20500000000004</v>
      </c>
      <c r="I520">
        <v>879.74</v>
      </c>
      <c r="J520">
        <v>875.51300000000003</v>
      </c>
      <c r="K520">
        <v>871.53099999999995</v>
      </c>
      <c r="L520">
        <v>869.51800000000003</v>
      </c>
      <c r="M520" s="233" t="s">
        <v>532</v>
      </c>
      <c r="N520" s="233" t="s">
        <v>533</v>
      </c>
      <c r="O520" s="3" t="s">
        <v>1018</v>
      </c>
      <c r="BM520" s="127"/>
      <c r="BN520" s="127"/>
      <c r="BO520" s="127"/>
      <c r="BP520" s="127"/>
      <c r="BQ520" s="127"/>
      <c r="BR520" s="127"/>
      <c r="BS520" s="127"/>
      <c r="BT520" s="127"/>
      <c r="BU520" s="127"/>
      <c r="BV520" s="127"/>
      <c r="BW520" s="127"/>
      <c r="BX520" s="127"/>
      <c r="BY520" s="127"/>
      <c r="BZ520" s="127"/>
      <c r="CA520" s="127"/>
      <c r="ER520" s="127"/>
      <c r="ES520" s="127"/>
      <c r="ET520" s="127"/>
      <c r="EU520" s="127"/>
      <c r="EV520" s="127"/>
      <c r="EW520" s="127"/>
      <c r="EX520" s="127"/>
      <c r="EY520" s="127"/>
      <c r="EZ520" s="127"/>
      <c r="FA520" s="127"/>
      <c r="FB520" s="127"/>
      <c r="FC520" s="127"/>
      <c r="FD520" s="127"/>
      <c r="FE520" s="127"/>
      <c r="FF520" s="127"/>
      <c r="HW520" s="127"/>
      <c r="HX520" s="127"/>
      <c r="HY520" s="127"/>
      <c r="HZ520" s="127"/>
      <c r="IA520" s="127"/>
      <c r="IB520" s="127"/>
      <c r="IC520" s="127"/>
      <c r="ID520" s="127"/>
      <c r="IE520" s="127"/>
      <c r="IF520" s="127"/>
      <c r="IG520" s="127"/>
      <c r="IH520" s="127"/>
      <c r="II520" s="127"/>
      <c r="IJ520" s="127"/>
      <c r="IK520" s="127"/>
      <c r="LB520" s="127"/>
      <c r="LC520" s="127"/>
      <c r="LD520" s="127"/>
      <c r="LE520" s="127"/>
      <c r="LF520" s="127"/>
      <c r="LG520" s="127"/>
      <c r="LH520" s="127"/>
      <c r="LI520" s="127"/>
      <c r="LJ520" s="127"/>
      <c r="LK520" s="127"/>
      <c r="LL520" s="127"/>
      <c r="LM520" s="127"/>
      <c r="LN520" s="127"/>
      <c r="LO520" s="127"/>
      <c r="LP520" s="127"/>
      <c r="OG520" s="127"/>
      <c r="OH520" s="127"/>
      <c r="OI520" s="127"/>
      <c r="OJ520" s="127"/>
      <c r="OK520" s="127"/>
      <c r="OL520" s="127"/>
      <c r="OM520" s="127"/>
      <c r="ON520" s="127"/>
      <c r="OO520" s="127"/>
      <c r="OP520" s="127"/>
      <c r="OQ520" s="127"/>
      <c r="OR520" s="127"/>
      <c r="OS520" s="127"/>
      <c r="OT520" s="127"/>
      <c r="OU520" s="127"/>
    </row>
    <row r="521" spans="1:411">
      <c r="A521">
        <v>127</v>
      </c>
      <c r="B521">
        <v>1108</v>
      </c>
      <c r="C521" t="s">
        <v>72</v>
      </c>
      <c r="D521" t="s">
        <v>478</v>
      </c>
      <c r="E521" s="232" t="s">
        <v>16612</v>
      </c>
      <c r="F521" t="s">
        <v>70</v>
      </c>
      <c r="G521">
        <v>2</v>
      </c>
      <c r="H521">
        <v>882.13300000000004</v>
      </c>
      <c r="I521">
        <v>878.62</v>
      </c>
      <c r="J521">
        <v>874.15</v>
      </c>
      <c r="K521">
        <v>870.01599999999996</v>
      </c>
      <c r="L521">
        <v>868.39499999999998</v>
      </c>
      <c r="M521" s="233" t="s">
        <v>532</v>
      </c>
      <c r="N521" s="233" t="s">
        <v>533</v>
      </c>
      <c r="O521" s="3" t="s">
        <v>1019</v>
      </c>
      <c r="BM521" s="127"/>
      <c r="BN521" s="127"/>
      <c r="BO521" s="127"/>
      <c r="BP521" s="127"/>
      <c r="BQ521" s="127"/>
      <c r="BR521" s="127"/>
      <c r="BS521" s="127"/>
      <c r="BT521" s="127"/>
      <c r="BU521" s="127"/>
      <c r="BV521" s="127"/>
      <c r="BW521" s="127"/>
      <c r="BX521" s="127"/>
      <c r="BY521" s="127"/>
      <c r="BZ521" s="127"/>
      <c r="CA521" s="127"/>
      <c r="ER521" s="127"/>
      <c r="ES521" s="127"/>
      <c r="ET521" s="127"/>
      <c r="EU521" s="127"/>
      <c r="EV521" s="127"/>
      <c r="EW521" s="127"/>
      <c r="EX521" s="127"/>
      <c r="EY521" s="127"/>
      <c r="EZ521" s="127"/>
      <c r="FA521" s="127"/>
      <c r="FB521" s="127"/>
      <c r="FC521" s="127"/>
      <c r="FD521" s="127"/>
      <c r="FE521" s="127"/>
      <c r="FF521" s="127"/>
      <c r="HW521" s="127"/>
      <c r="HX521" s="127"/>
      <c r="HY521" s="127"/>
      <c r="HZ521" s="127"/>
      <c r="IA521" s="127"/>
      <c r="IB521" s="127"/>
      <c r="IC521" s="127"/>
      <c r="ID521" s="127"/>
      <c r="IE521" s="127"/>
      <c r="IF521" s="127"/>
      <c r="IG521" s="127"/>
      <c r="IH521" s="127"/>
      <c r="II521" s="127"/>
      <c r="IJ521" s="127"/>
      <c r="IK521" s="127"/>
      <c r="LB521" s="127"/>
      <c r="LC521" s="127"/>
      <c r="LD521" s="127"/>
      <c r="LE521" s="127"/>
      <c r="LF521" s="127"/>
      <c r="LG521" s="127"/>
      <c r="LH521" s="127"/>
      <c r="LI521" s="127"/>
      <c r="LJ521" s="127"/>
      <c r="LK521" s="127"/>
      <c r="LL521" s="127"/>
      <c r="LM521" s="127"/>
      <c r="LN521" s="127"/>
      <c r="LO521" s="127"/>
      <c r="LP521" s="127"/>
      <c r="OG521" s="127"/>
      <c r="OH521" s="127"/>
      <c r="OI521" s="127"/>
      <c r="OJ521" s="127"/>
      <c r="OK521" s="127"/>
      <c r="OL521" s="127"/>
      <c r="OM521" s="127"/>
      <c r="ON521" s="127"/>
      <c r="OO521" s="127"/>
      <c r="OP521" s="127"/>
      <c r="OQ521" s="127"/>
      <c r="OR521" s="127"/>
      <c r="OS521" s="127"/>
      <c r="OT521" s="127"/>
      <c r="OU521" s="127"/>
    </row>
    <row r="522" spans="1:411">
      <c r="A522">
        <v>126</v>
      </c>
      <c r="B522">
        <v>1127</v>
      </c>
      <c r="C522" t="s">
        <v>72</v>
      </c>
      <c r="D522" t="s">
        <v>478</v>
      </c>
      <c r="E522" s="232" t="s">
        <v>7260</v>
      </c>
      <c r="F522" t="s">
        <v>70</v>
      </c>
      <c r="G522">
        <v>2</v>
      </c>
      <c r="H522">
        <v>887.46</v>
      </c>
      <c r="I522">
        <v>884.14099999999996</v>
      </c>
      <c r="J522">
        <v>879.73</v>
      </c>
      <c r="K522">
        <v>875.625</v>
      </c>
      <c r="L522">
        <v>873.63800000000003</v>
      </c>
      <c r="M522" s="233" t="s">
        <v>532</v>
      </c>
      <c r="N522" s="233" t="s">
        <v>533</v>
      </c>
      <c r="O522" s="3" t="s">
        <v>1020</v>
      </c>
      <c r="BM522" s="127"/>
      <c r="BN522" s="127"/>
      <c r="BO522" s="127"/>
      <c r="BP522" s="127"/>
      <c r="BQ522" s="127"/>
      <c r="BR522" s="127"/>
      <c r="BS522" s="127"/>
      <c r="BT522" s="127"/>
      <c r="BU522" s="127"/>
      <c r="BV522" s="127"/>
      <c r="BW522" s="127"/>
      <c r="BX522" s="127"/>
      <c r="BY522" s="127"/>
      <c r="BZ522" s="127"/>
      <c r="CA522" s="127"/>
      <c r="ER522" s="127"/>
      <c r="ES522" s="127"/>
      <c r="ET522" s="127"/>
      <c r="EU522" s="127"/>
      <c r="EV522" s="127"/>
      <c r="EW522" s="127"/>
      <c r="EX522" s="127"/>
      <c r="EY522" s="127"/>
      <c r="EZ522" s="127"/>
      <c r="FA522" s="127"/>
      <c r="FB522" s="127"/>
      <c r="FC522" s="127"/>
      <c r="FD522" s="127"/>
      <c r="FE522" s="127"/>
      <c r="FF522" s="127"/>
      <c r="HW522" s="127"/>
      <c r="HX522" s="127"/>
      <c r="HY522" s="127"/>
      <c r="HZ522" s="127"/>
      <c r="IA522" s="127"/>
      <c r="IB522" s="127"/>
      <c r="IC522" s="127"/>
      <c r="ID522" s="127"/>
      <c r="IE522" s="127"/>
      <c r="IF522" s="127"/>
      <c r="IG522" s="127"/>
      <c r="IH522" s="127"/>
      <c r="II522" s="127"/>
      <c r="IJ522" s="127"/>
      <c r="IK522" s="127"/>
      <c r="LB522" s="127"/>
      <c r="LC522" s="127"/>
      <c r="LD522" s="127"/>
      <c r="LE522" s="127"/>
      <c r="LF522" s="127"/>
      <c r="LG522" s="127"/>
      <c r="LH522" s="127"/>
      <c r="LI522" s="127"/>
      <c r="LJ522" s="127"/>
      <c r="LK522" s="127"/>
      <c r="LL522" s="127"/>
      <c r="LM522" s="127"/>
      <c r="LN522" s="127"/>
      <c r="LO522" s="127"/>
      <c r="LP522" s="127"/>
      <c r="OG522" s="127"/>
      <c r="OH522" s="127"/>
      <c r="OI522" s="127"/>
      <c r="OJ522" s="127"/>
      <c r="OK522" s="127"/>
      <c r="OL522" s="127"/>
      <c r="OM522" s="127"/>
      <c r="ON522" s="127"/>
      <c r="OO522" s="127"/>
      <c r="OP522" s="127"/>
      <c r="OQ522" s="127"/>
      <c r="OR522" s="127"/>
      <c r="OS522" s="127"/>
      <c r="OT522" s="127"/>
      <c r="OU522" s="127"/>
    </row>
    <row r="523" spans="1:411">
      <c r="A523">
        <v>125</v>
      </c>
      <c r="B523">
        <v>1132</v>
      </c>
      <c r="C523" t="s">
        <v>72</v>
      </c>
      <c r="D523" t="s">
        <v>478</v>
      </c>
      <c r="E523" s="232" t="s">
        <v>235</v>
      </c>
      <c r="F523" t="s">
        <v>71</v>
      </c>
      <c r="G523">
        <v>2</v>
      </c>
      <c r="H523">
        <v>895.98699999999997</v>
      </c>
      <c r="I523">
        <v>893.07600000000002</v>
      </c>
      <c r="J523">
        <v>889.23</v>
      </c>
      <c r="K523">
        <v>885.10199999999998</v>
      </c>
      <c r="L523">
        <v>882.75400000000002</v>
      </c>
      <c r="M523" s="233" t="s">
        <v>532</v>
      </c>
      <c r="N523" s="233" t="s">
        <v>533</v>
      </c>
      <c r="O523" s="3" t="s">
        <v>1021</v>
      </c>
      <c r="BM523" s="127"/>
      <c r="BN523" s="127"/>
      <c r="BO523" s="127"/>
      <c r="BP523" s="127"/>
      <c r="BQ523" s="127"/>
      <c r="BR523" s="127"/>
      <c r="BS523" s="127"/>
      <c r="BT523" s="127"/>
      <c r="BU523" s="127"/>
      <c r="BV523" s="127"/>
      <c r="BW523" s="127"/>
      <c r="BX523" s="127"/>
      <c r="BY523" s="127"/>
      <c r="BZ523" s="127"/>
      <c r="CA523" s="127"/>
      <c r="ER523" s="127"/>
      <c r="ES523" s="127"/>
      <c r="ET523" s="127"/>
      <c r="EU523" s="127"/>
      <c r="EV523" s="127"/>
      <c r="EW523" s="127"/>
      <c r="EX523" s="127"/>
      <c r="EY523" s="127"/>
      <c r="EZ523" s="127"/>
      <c r="FA523" s="127"/>
      <c r="FB523" s="127"/>
      <c r="FC523" s="127"/>
      <c r="FD523" s="127"/>
      <c r="FE523" s="127"/>
      <c r="FF523" s="127"/>
      <c r="HW523" s="127"/>
      <c r="HX523" s="127"/>
      <c r="HY523" s="127"/>
      <c r="HZ523" s="127"/>
      <c r="IA523" s="127"/>
      <c r="IB523" s="127"/>
      <c r="IC523" s="127"/>
      <c r="ID523" s="127"/>
      <c r="IE523" s="127"/>
      <c r="IF523" s="127"/>
      <c r="IG523" s="127"/>
      <c r="IH523" s="127"/>
      <c r="II523" s="127"/>
      <c r="IJ523" s="127"/>
      <c r="IK523" s="127"/>
      <c r="LB523" s="127"/>
      <c r="LC523" s="127"/>
      <c r="LD523" s="127"/>
      <c r="LE523" s="127"/>
      <c r="LF523" s="127"/>
      <c r="LG523" s="127"/>
      <c r="LH523" s="127"/>
      <c r="LI523" s="127"/>
      <c r="LJ523" s="127"/>
      <c r="LK523" s="127"/>
      <c r="LL523" s="127"/>
      <c r="LM523" s="127"/>
      <c r="LN523" s="127"/>
      <c r="LO523" s="127"/>
      <c r="LP523" s="127"/>
      <c r="OG523" s="127"/>
      <c r="OH523" s="127"/>
      <c r="OI523" s="127"/>
      <c r="OJ523" s="127"/>
      <c r="OK523" s="127"/>
      <c r="OL523" s="127"/>
      <c r="OM523" s="127"/>
      <c r="ON523" s="127"/>
      <c r="OO523" s="127"/>
      <c r="OP523" s="127"/>
      <c r="OQ523" s="127"/>
      <c r="OR523" s="127"/>
      <c r="OS523" s="127"/>
      <c r="OT523" s="127"/>
      <c r="OU523" s="127"/>
    </row>
    <row r="524" spans="1:411">
      <c r="A524">
        <v>125</v>
      </c>
      <c r="B524">
        <v>1130</v>
      </c>
      <c r="C524" t="s">
        <v>72</v>
      </c>
      <c r="D524" t="s">
        <v>478</v>
      </c>
      <c r="E524" s="232" t="s">
        <v>76</v>
      </c>
      <c r="F524" t="s">
        <v>71</v>
      </c>
      <c r="G524">
        <v>2</v>
      </c>
      <c r="H524">
        <v>895.98699999999997</v>
      </c>
      <c r="I524">
        <v>892.19299999999998</v>
      </c>
      <c r="J524">
        <v>887.53599999999994</v>
      </c>
      <c r="K524">
        <v>883.43899999999996</v>
      </c>
      <c r="L524">
        <v>881.21799999999996</v>
      </c>
      <c r="M524" s="233" t="s">
        <v>532</v>
      </c>
      <c r="N524" s="233" t="s">
        <v>533</v>
      </c>
      <c r="O524" s="3" t="s">
        <v>1022</v>
      </c>
      <c r="BM524" s="127"/>
      <c r="BN524" s="127"/>
      <c r="BO524" s="127"/>
      <c r="BP524" s="127"/>
      <c r="BQ524" s="127"/>
      <c r="BR524" s="127"/>
      <c r="BS524" s="127"/>
      <c r="BT524" s="127"/>
      <c r="BU524" s="127"/>
      <c r="BV524" s="127"/>
      <c r="BW524" s="127"/>
      <c r="BX524" s="127"/>
      <c r="BY524" s="127"/>
      <c r="BZ524" s="127"/>
      <c r="CA524" s="127"/>
      <c r="ER524" s="127"/>
      <c r="ES524" s="127"/>
      <c r="ET524" s="127"/>
      <c r="EU524" s="127"/>
      <c r="EV524" s="127"/>
      <c r="EW524" s="127"/>
      <c r="EX524" s="127"/>
      <c r="EY524" s="127"/>
      <c r="EZ524" s="127"/>
      <c r="FA524" s="127"/>
      <c r="FB524" s="127"/>
      <c r="FC524" s="127"/>
      <c r="FD524" s="127"/>
      <c r="FE524" s="127"/>
      <c r="FF524" s="127"/>
      <c r="HW524" s="127"/>
      <c r="HX524" s="127"/>
      <c r="HY524" s="127"/>
      <c r="HZ524" s="127"/>
      <c r="IA524" s="127"/>
      <c r="IB524" s="127"/>
      <c r="IC524" s="127"/>
      <c r="ID524" s="127"/>
      <c r="IE524" s="127"/>
      <c r="IF524" s="127"/>
      <c r="IG524" s="127"/>
      <c r="IH524" s="127"/>
      <c r="II524" s="127"/>
      <c r="IJ524" s="127"/>
      <c r="IK524" s="127"/>
      <c r="LB524" s="127"/>
      <c r="LC524" s="127"/>
      <c r="LD524" s="127"/>
      <c r="LE524" s="127"/>
      <c r="LF524" s="127"/>
      <c r="LG524" s="127"/>
      <c r="LH524" s="127"/>
      <c r="LI524" s="127"/>
      <c r="LJ524" s="127"/>
      <c r="LK524" s="127"/>
      <c r="LL524" s="127"/>
      <c r="LM524" s="127"/>
      <c r="LN524" s="127"/>
      <c r="LO524" s="127"/>
      <c r="LP524" s="127"/>
      <c r="OG524" s="127"/>
      <c r="OH524" s="127"/>
      <c r="OI524" s="127"/>
      <c r="OJ524" s="127"/>
      <c r="OK524" s="127"/>
      <c r="OL524" s="127"/>
      <c r="OM524" s="127"/>
      <c r="ON524" s="127"/>
      <c r="OO524" s="127"/>
      <c r="OP524" s="127"/>
      <c r="OQ524" s="127"/>
      <c r="OR524" s="127"/>
      <c r="OS524" s="127"/>
      <c r="OT524" s="127"/>
      <c r="OU524" s="127"/>
    </row>
    <row r="525" spans="1:411">
      <c r="A525">
        <v>125</v>
      </c>
      <c r="B525">
        <v>1134</v>
      </c>
      <c r="C525" t="s">
        <v>72</v>
      </c>
      <c r="D525" t="s">
        <v>478</v>
      </c>
      <c r="E525" s="232" t="s">
        <v>232</v>
      </c>
      <c r="F525" t="s">
        <v>71</v>
      </c>
      <c r="G525">
        <v>2</v>
      </c>
      <c r="H525">
        <v>893.07600000000002</v>
      </c>
      <c r="I525">
        <v>889.43399999999997</v>
      </c>
      <c r="J525">
        <v>885.24300000000005</v>
      </c>
      <c r="K525">
        <v>881.01400000000001</v>
      </c>
      <c r="L525">
        <v>878.71400000000006</v>
      </c>
      <c r="M525" s="233" t="s">
        <v>532</v>
      </c>
      <c r="N525" s="233" t="s">
        <v>533</v>
      </c>
      <c r="O525" s="3" t="s">
        <v>1023</v>
      </c>
      <c r="BM525" s="127"/>
      <c r="BN525" s="127"/>
      <c r="BO525" s="127"/>
      <c r="BP525" s="127"/>
      <c r="BQ525" s="127"/>
      <c r="BR525" s="127"/>
      <c r="BS525" s="127"/>
      <c r="BT525" s="127"/>
      <c r="BU525" s="127"/>
      <c r="BV525" s="127"/>
      <c r="BW525" s="127"/>
      <c r="BX525" s="127"/>
      <c r="BY525" s="127"/>
      <c r="BZ525" s="127"/>
      <c r="CA525" s="127"/>
      <c r="ER525" s="127"/>
      <c r="ES525" s="127"/>
      <c r="ET525" s="127"/>
      <c r="EU525" s="127"/>
      <c r="EV525" s="127"/>
      <c r="EW525" s="127"/>
      <c r="EX525" s="127"/>
      <c r="EY525" s="127"/>
      <c r="EZ525" s="127"/>
      <c r="FA525" s="127"/>
      <c r="FB525" s="127"/>
      <c r="FC525" s="127"/>
      <c r="FD525" s="127"/>
      <c r="FE525" s="127"/>
      <c r="FF525" s="127"/>
      <c r="HW525" s="127"/>
      <c r="HX525" s="127"/>
      <c r="HY525" s="127"/>
      <c r="HZ525" s="127"/>
      <c r="IA525" s="127"/>
      <c r="IB525" s="127"/>
      <c r="IC525" s="127"/>
      <c r="ID525" s="127"/>
      <c r="IE525" s="127"/>
      <c r="IF525" s="127"/>
      <c r="IG525" s="127"/>
      <c r="IH525" s="127"/>
      <c r="II525" s="127"/>
      <c r="IJ525" s="127"/>
      <c r="IK525" s="127"/>
      <c r="LB525" s="127"/>
      <c r="LC525" s="127"/>
      <c r="LD525" s="127"/>
      <c r="LE525" s="127"/>
      <c r="LF525" s="127"/>
      <c r="LG525" s="127"/>
      <c r="LH525" s="127"/>
      <c r="LI525" s="127"/>
      <c r="LJ525" s="127"/>
      <c r="LK525" s="127"/>
      <c r="LL525" s="127"/>
      <c r="LM525" s="127"/>
      <c r="LN525" s="127"/>
      <c r="LO525" s="127"/>
      <c r="LP525" s="127"/>
      <c r="OG525" s="127"/>
      <c r="OH525" s="127"/>
      <c r="OI525" s="127"/>
      <c r="OJ525" s="127"/>
      <c r="OK525" s="127"/>
      <c r="OL525" s="127"/>
      <c r="OM525" s="127"/>
      <c r="ON525" s="127"/>
      <c r="OO525" s="127"/>
      <c r="OP525" s="127"/>
      <c r="OQ525" s="127"/>
      <c r="OR525" s="127"/>
      <c r="OS525" s="127"/>
      <c r="OT525" s="127"/>
      <c r="OU525" s="127"/>
    </row>
    <row r="526" spans="1:411">
      <c r="A526">
        <v>128</v>
      </c>
      <c r="B526">
        <v>1131</v>
      </c>
      <c r="C526" t="s">
        <v>72</v>
      </c>
      <c r="D526" t="s">
        <v>478</v>
      </c>
      <c r="E526" s="232" t="s">
        <v>11049</v>
      </c>
      <c r="F526" t="s">
        <v>71</v>
      </c>
      <c r="G526">
        <v>2</v>
      </c>
      <c r="H526">
        <v>874.72199999999998</v>
      </c>
      <c r="I526">
        <v>871.64300000000003</v>
      </c>
      <c r="J526">
        <v>867.36800000000005</v>
      </c>
      <c r="K526">
        <v>863.46699999999998</v>
      </c>
      <c r="L526">
        <v>860.87800000000004</v>
      </c>
      <c r="M526" s="233" t="s">
        <v>532</v>
      </c>
      <c r="N526" s="233" t="s">
        <v>533</v>
      </c>
      <c r="O526" s="3" t="s">
        <v>1024</v>
      </c>
      <c r="BM526" s="127"/>
      <c r="BN526" s="127"/>
      <c r="BO526" s="127"/>
      <c r="BP526" s="127"/>
      <c r="BQ526" s="127"/>
      <c r="BR526" s="127"/>
      <c r="BS526" s="127"/>
      <c r="BT526" s="127"/>
      <c r="BU526" s="127"/>
      <c r="BV526" s="127"/>
      <c r="BW526" s="127"/>
      <c r="BX526" s="127"/>
      <c r="BY526" s="127"/>
      <c r="BZ526" s="127"/>
      <c r="CA526" s="127"/>
      <c r="ER526" s="127"/>
      <c r="ES526" s="127"/>
      <c r="ET526" s="127"/>
      <c r="EU526" s="127"/>
      <c r="EV526" s="127"/>
      <c r="EW526" s="127"/>
      <c r="EX526" s="127"/>
      <c r="EY526" s="127"/>
      <c r="EZ526" s="127"/>
      <c r="FA526" s="127"/>
      <c r="FB526" s="127"/>
      <c r="FC526" s="127"/>
      <c r="FD526" s="127"/>
      <c r="FE526" s="127"/>
      <c r="FF526" s="127"/>
      <c r="HW526" s="127"/>
      <c r="HX526" s="127"/>
      <c r="HY526" s="127"/>
      <c r="HZ526" s="127"/>
      <c r="IA526" s="127"/>
      <c r="IB526" s="127"/>
      <c r="IC526" s="127"/>
      <c r="ID526" s="127"/>
      <c r="IE526" s="127"/>
      <c r="IF526" s="127"/>
      <c r="IG526" s="127"/>
      <c r="IH526" s="127"/>
      <c r="II526" s="127"/>
      <c r="IJ526" s="127"/>
      <c r="IK526" s="127"/>
      <c r="LB526" s="127"/>
      <c r="LC526" s="127"/>
      <c r="LD526" s="127"/>
      <c r="LE526" s="127"/>
      <c r="LF526" s="127"/>
      <c r="LG526" s="127"/>
      <c r="LH526" s="127"/>
      <c r="LI526" s="127"/>
      <c r="LJ526" s="127"/>
      <c r="LK526" s="127"/>
      <c r="LL526" s="127"/>
      <c r="LM526" s="127"/>
      <c r="LN526" s="127"/>
      <c r="LO526" s="127"/>
      <c r="LP526" s="127"/>
      <c r="OG526" s="127"/>
      <c r="OH526" s="127"/>
      <c r="OI526" s="127"/>
      <c r="OJ526" s="127"/>
      <c r="OK526" s="127"/>
      <c r="OL526" s="127"/>
      <c r="OM526" s="127"/>
      <c r="ON526" s="127"/>
      <c r="OO526" s="127"/>
      <c r="OP526" s="127"/>
      <c r="OQ526" s="127"/>
      <c r="OR526" s="127"/>
      <c r="OS526" s="127"/>
      <c r="OT526" s="127"/>
      <c r="OU526" s="127"/>
    </row>
    <row r="527" spans="1:411">
      <c r="A527">
        <v>125</v>
      </c>
      <c r="B527">
        <v>1133</v>
      </c>
      <c r="C527" t="s">
        <v>72</v>
      </c>
      <c r="D527" t="s">
        <v>478</v>
      </c>
      <c r="E527" s="232" t="s">
        <v>11319</v>
      </c>
      <c r="F527" t="s">
        <v>71</v>
      </c>
      <c r="G527">
        <v>2</v>
      </c>
      <c r="H527">
        <v>892.93499999999995</v>
      </c>
      <c r="I527">
        <v>888.84199999999998</v>
      </c>
      <c r="J527">
        <v>884.54</v>
      </c>
      <c r="K527">
        <v>880.65599999999995</v>
      </c>
      <c r="L527">
        <v>878.06899999999996</v>
      </c>
      <c r="M527" s="233" t="s">
        <v>532</v>
      </c>
      <c r="N527" s="233" t="s">
        <v>533</v>
      </c>
      <c r="O527" s="3" t="s">
        <v>1025</v>
      </c>
      <c r="BM527" s="127"/>
      <c r="BN527" s="127"/>
      <c r="BO527" s="127"/>
      <c r="BP527" s="127"/>
      <c r="BQ527" s="127"/>
      <c r="BR527" s="127"/>
      <c r="BS527" s="127"/>
      <c r="BT527" s="127"/>
      <c r="BU527" s="127"/>
      <c r="BV527" s="127"/>
      <c r="BW527" s="127"/>
      <c r="BX527" s="127"/>
      <c r="BY527" s="127"/>
      <c r="BZ527" s="127"/>
      <c r="CA527" s="127"/>
      <c r="ER527" s="127"/>
      <c r="ES527" s="127"/>
      <c r="ET527" s="127"/>
      <c r="EU527" s="127"/>
      <c r="EV527" s="127"/>
      <c r="EW527" s="127"/>
      <c r="EX527" s="127"/>
      <c r="EY527" s="127"/>
      <c r="EZ527" s="127"/>
      <c r="FA527" s="127"/>
      <c r="FB527" s="127"/>
      <c r="FC527" s="127"/>
      <c r="FD527" s="127"/>
      <c r="FE527" s="127"/>
      <c r="FF527" s="127"/>
      <c r="HW527" s="127"/>
      <c r="HX527" s="127"/>
      <c r="HY527" s="127"/>
      <c r="HZ527" s="127"/>
      <c r="IA527" s="127"/>
      <c r="IB527" s="127"/>
      <c r="IC527" s="127"/>
      <c r="ID527" s="127"/>
      <c r="IE527" s="127"/>
      <c r="IF527" s="127"/>
      <c r="IG527" s="127"/>
      <c r="IH527" s="127"/>
      <c r="II527" s="127"/>
      <c r="IJ527" s="127"/>
      <c r="IK527" s="127"/>
      <c r="LB527" s="127"/>
      <c r="LC527" s="127"/>
      <c r="LD527" s="127"/>
      <c r="LE527" s="127"/>
      <c r="LF527" s="127"/>
      <c r="LG527" s="127"/>
      <c r="LH527" s="127"/>
      <c r="LI527" s="127"/>
      <c r="LJ527" s="127"/>
      <c r="LK527" s="127"/>
      <c r="LL527" s="127"/>
      <c r="LM527" s="127"/>
      <c r="LN527" s="127"/>
      <c r="LO527" s="127"/>
      <c r="LP527" s="127"/>
      <c r="OG527" s="127"/>
      <c r="OH527" s="127"/>
      <c r="OI527" s="127"/>
      <c r="OJ527" s="127"/>
      <c r="OK527" s="127"/>
      <c r="OL527" s="127"/>
      <c r="OM527" s="127"/>
      <c r="ON527" s="127"/>
      <c r="OO527" s="127"/>
      <c r="OP527" s="127"/>
      <c r="OQ527" s="127"/>
      <c r="OR527" s="127"/>
      <c r="OS527" s="127"/>
      <c r="OT527" s="127"/>
      <c r="OU527" s="127"/>
    </row>
    <row r="528" spans="1:411">
      <c r="A528">
        <v>125</v>
      </c>
      <c r="B528">
        <v>1135</v>
      </c>
      <c r="C528" t="s">
        <v>72</v>
      </c>
      <c r="D528" t="s">
        <v>478</v>
      </c>
      <c r="E528" s="232" t="s">
        <v>414</v>
      </c>
      <c r="F528" t="s">
        <v>71</v>
      </c>
      <c r="G528">
        <v>2</v>
      </c>
      <c r="H528">
        <v>891.84699999999998</v>
      </c>
      <c r="I528">
        <v>887.81399999999996</v>
      </c>
      <c r="J528">
        <v>883.43899999999996</v>
      </c>
      <c r="K528">
        <v>878.42600000000004</v>
      </c>
      <c r="L528">
        <v>876.19100000000003</v>
      </c>
      <c r="M528" s="233" t="s">
        <v>532</v>
      </c>
      <c r="N528" s="233" t="s">
        <v>533</v>
      </c>
      <c r="O528" s="3" t="s">
        <v>1026</v>
      </c>
      <c r="BM528" s="127"/>
      <c r="BN528" s="127"/>
      <c r="BO528" s="127"/>
      <c r="BP528" s="127"/>
      <c r="BQ528" s="127"/>
      <c r="BR528" s="127"/>
      <c r="BS528" s="127"/>
      <c r="BT528" s="127"/>
      <c r="BU528" s="127"/>
      <c r="BV528" s="127"/>
      <c r="BW528" s="127"/>
      <c r="BX528" s="127"/>
      <c r="BY528" s="127"/>
      <c r="BZ528" s="127"/>
      <c r="CA528" s="127"/>
      <c r="ER528" s="127"/>
      <c r="ES528" s="127"/>
      <c r="ET528" s="127"/>
      <c r="EU528" s="127"/>
      <c r="EV528" s="127"/>
      <c r="EW528" s="127"/>
      <c r="EX528" s="127"/>
      <c r="EY528" s="127"/>
      <c r="EZ528" s="127"/>
      <c r="FA528" s="127"/>
      <c r="FB528" s="127"/>
      <c r="FC528" s="127"/>
      <c r="FD528" s="127"/>
      <c r="FE528" s="127"/>
      <c r="FF528" s="127"/>
      <c r="HW528" s="127"/>
      <c r="HX528" s="127"/>
      <c r="HY528" s="127"/>
      <c r="HZ528" s="127"/>
      <c r="IA528" s="127"/>
      <c r="IB528" s="127"/>
      <c r="IC528" s="127"/>
      <c r="ID528" s="127"/>
      <c r="IE528" s="127"/>
      <c r="IF528" s="127"/>
      <c r="IG528" s="127"/>
      <c r="IH528" s="127"/>
      <c r="II528" s="127"/>
      <c r="IJ528" s="127"/>
      <c r="IK528" s="127"/>
      <c r="LB528" s="127"/>
      <c r="LC528" s="127"/>
      <c r="LD528" s="127"/>
      <c r="LE528" s="127"/>
      <c r="LF528" s="127"/>
      <c r="LG528" s="127"/>
      <c r="LH528" s="127"/>
      <c r="LI528" s="127"/>
      <c r="LJ528" s="127"/>
      <c r="LK528" s="127"/>
      <c r="LL528" s="127"/>
      <c r="LM528" s="127"/>
      <c r="LN528" s="127"/>
      <c r="LO528" s="127"/>
      <c r="LP528" s="127"/>
      <c r="OG528" s="127"/>
      <c r="OH528" s="127"/>
      <c r="OI528" s="127"/>
      <c r="OJ528" s="127"/>
      <c r="OK528" s="127"/>
      <c r="OL528" s="127"/>
      <c r="OM528" s="127"/>
      <c r="ON528" s="127"/>
      <c r="OO528" s="127"/>
      <c r="OP528" s="127"/>
      <c r="OQ528" s="127"/>
      <c r="OR528" s="127"/>
      <c r="OS528" s="127"/>
      <c r="OT528" s="127"/>
      <c r="OU528" s="127"/>
    </row>
    <row r="529" spans="1:411">
      <c r="A529">
        <v>91</v>
      </c>
      <c r="B529">
        <v>1071</v>
      </c>
      <c r="C529" t="s">
        <v>72</v>
      </c>
      <c r="D529" t="s">
        <v>422</v>
      </c>
      <c r="E529" s="232" t="s">
        <v>8418</v>
      </c>
      <c r="F529" t="s">
        <v>70</v>
      </c>
      <c r="G529">
        <v>2</v>
      </c>
      <c r="H529">
        <v>889.21500000000003</v>
      </c>
      <c r="I529">
        <v>883.08</v>
      </c>
      <c r="J529">
        <v>874.62199999999996</v>
      </c>
      <c r="K529">
        <v>869.85799999999995</v>
      </c>
      <c r="L529">
        <v>860.76199999999994</v>
      </c>
      <c r="M529" s="233" t="s">
        <v>454</v>
      </c>
      <c r="N529" s="233" t="s">
        <v>454</v>
      </c>
      <c r="O529" s="3" t="s">
        <v>1027</v>
      </c>
      <c r="BM529" s="127"/>
      <c r="BN529" s="127"/>
      <c r="BO529" s="127"/>
      <c r="BP529" s="127"/>
      <c r="BQ529" s="127"/>
      <c r="BR529" s="127"/>
      <c r="BS529" s="127"/>
      <c r="BT529" s="127"/>
      <c r="BU529" s="127"/>
      <c r="BV529" s="127"/>
      <c r="BW529" s="127"/>
      <c r="BX529" s="127"/>
      <c r="BY529" s="127"/>
      <c r="BZ529" s="127"/>
      <c r="CA529" s="127"/>
      <c r="ER529" s="127"/>
      <c r="ES529" s="127"/>
      <c r="ET529" s="127"/>
      <c r="EU529" s="127"/>
      <c r="EV529" s="127"/>
      <c r="EW529" s="127"/>
      <c r="EX529" s="127"/>
      <c r="EY529" s="127"/>
      <c r="EZ529" s="127"/>
      <c r="FA529" s="127"/>
      <c r="FB529" s="127"/>
      <c r="FC529" s="127"/>
      <c r="FD529" s="127"/>
      <c r="FE529" s="127"/>
      <c r="FF529" s="127"/>
      <c r="HW529" s="127"/>
      <c r="HX529" s="127"/>
      <c r="HY529" s="127"/>
      <c r="HZ529" s="127"/>
      <c r="IA529" s="127"/>
      <c r="IB529" s="127"/>
      <c r="IC529" s="127"/>
      <c r="ID529" s="127"/>
      <c r="IE529" s="127"/>
      <c r="IF529" s="127"/>
      <c r="IG529" s="127"/>
      <c r="IH529" s="127"/>
      <c r="II529" s="127"/>
      <c r="IJ529" s="127"/>
      <c r="IK529" s="127"/>
      <c r="LB529" s="127"/>
      <c r="LC529" s="127"/>
      <c r="LD529" s="127"/>
      <c r="LE529" s="127"/>
      <c r="LF529" s="127"/>
      <c r="LG529" s="127"/>
      <c r="LH529" s="127"/>
      <c r="LI529" s="127"/>
      <c r="LJ529" s="127"/>
      <c r="LK529" s="127"/>
      <c r="LL529" s="127"/>
      <c r="LM529" s="127"/>
      <c r="LN529" s="127"/>
      <c r="LO529" s="127"/>
      <c r="LP529" s="127"/>
      <c r="OG529" s="127"/>
      <c r="OH529" s="127"/>
      <c r="OI529" s="127"/>
      <c r="OJ529" s="127"/>
      <c r="OK529" s="127"/>
      <c r="OL529" s="127"/>
      <c r="OM529" s="127"/>
      <c r="ON529" s="127"/>
      <c r="OO529" s="127"/>
      <c r="OP529" s="127"/>
      <c r="OQ529" s="127"/>
      <c r="OR529" s="127"/>
      <c r="OS529" s="127"/>
      <c r="OT529" s="127"/>
      <c r="OU529" s="127"/>
    </row>
    <row r="530" spans="1:411">
      <c r="A530">
        <v>91</v>
      </c>
      <c r="B530">
        <v>1076</v>
      </c>
      <c r="C530" t="s">
        <v>72</v>
      </c>
      <c r="D530" t="s">
        <v>422</v>
      </c>
      <c r="E530" s="232" t="s">
        <v>8757</v>
      </c>
      <c r="F530" t="s">
        <v>70</v>
      </c>
      <c r="G530">
        <v>2</v>
      </c>
      <c r="H530">
        <v>881.29700000000003</v>
      </c>
      <c r="I530">
        <v>876.255</v>
      </c>
      <c r="J530">
        <v>868.71299999999997</v>
      </c>
      <c r="K530">
        <v>862.97900000000004</v>
      </c>
      <c r="L530">
        <v>851.87400000000002</v>
      </c>
      <c r="M530" s="233" t="s">
        <v>454</v>
      </c>
      <c r="N530" s="233" t="s">
        <v>454</v>
      </c>
      <c r="O530" s="3" t="s">
        <v>1028</v>
      </c>
      <c r="BM530" s="127"/>
      <c r="BN530" s="127"/>
      <c r="BO530" s="127"/>
      <c r="BP530" s="127"/>
      <c r="BQ530" s="127"/>
      <c r="BR530" s="127"/>
      <c r="BS530" s="127"/>
      <c r="BT530" s="127"/>
      <c r="BU530" s="127"/>
      <c r="BV530" s="127"/>
      <c r="BW530" s="127"/>
      <c r="BX530" s="127"/>
      <c r="BY530" s="127"/>
      <c r="BZ530" s="127"/>
      <c r="CA530" s="127"/>
      <c r="ER530" s="127"/>
      <c r="ES530" s="127"/>
      <c r="ET530" s="127"/>
      <c r="EU530" s="127"/>
      <c r="EV530" s="127"/>
      <c r="EW530" s="127"/>
      <c r="EX530" s="127"/>
      <c r="EY530" s="127"/>
      <c r="EZ530" s="127"/>
      <c r="FA530" s="127"/>
      <c r="FB530" s="127"/>
      <c r="FC530" s="127"/>
      <c r="FD530" s="127"/>
      <c r="FE530" s="127"/>
      <c r="FF530" s="127"/>
      <c r="HW530" s="127"/>
      <c r="HX530" s="127"/>
      <c r="HY530" s="127"/>
      <c r="HZ530" s="127"/>
      <c r="IA530" s="127"/>
      <c r="IB530" s="127"/>
      <c r="IC530" s="127"/>
      <c r="ID530" s="127"/>
      <c r="IE530" s="127"/>
      <c r="IF530" s="127"/>
      <c r="IG530" s="127"/>
      <c r="IH530" s="127"/>
      <c r="II530" s="127"/>
      <c r="IJ530" s="127"/>
      <c r="IK530" s="127"/>
      <c r="LB530" s="127"/>
      <c r="LC530" s="127"/>
      <c r="LD530" s="127"/>
      <c r="LE530" s="127"/>
      <c r="LF530" s="127"/>
      <c r="LG530" s="127"/>
      <c r="LH530" s="127"/>
      <c r="LI530" s="127"/>
      <c r="LJ530" s="127"/>
      <c r="LK530" s="127"/>
      <c r="LL530" s="127"/>
      <c r="LM530" s="127"/>
      <c r="LN530" s="127"/>
      <c r="LO530" s="127"/>
      <c r="LP530" s="127"/>
      <c r="OG530" s="127"/>
      <c r="OH530" s="127"/>
      <c r="OI530" s="127"/>
      <c r="OJ530" s="127"/>
      <c r="OK530" s="127"/>
      <c r="OL530" s="127"/>
      <c r="OM530" s="127"/>
      <c r="ON530" s="127"/>
      <c r="OO530" s="127"/>
      <c r="OP530" s="127"/>
      <c r="OQ530" s="127"/>
      <c r="OR530" s="127"/>
      <c r="OS530" s="127"/>
      <c r="OT530" s="127"/>
      <c r="OU530" s="127"/>
    </row>
    <row r="531" spans="1:411">
      <c r="A531">
        <v>94</v>
      </c>
      <c r="B531">
        <v>1087</v>
      </c>
      <c r="C531" t="s">
        <v>72</v>
      </c>
      <c r="D531" t="s">
        <v>422</v>
      </c>
      <c r="E531" s="232" t="s">
        <v>11191</v>
      </c>
      <c r="F531" t="s">
        <v>71</v>
      </c>
      <c r="G531">
        <v>2</v>
      </c>
      <c r="H531">
        <v>862.29</v>
      </c>
      <c r="I531">
        <v>858.22</v>
      </c>
      <c r="J531">
        <v>850.51</v>
      </c>
      <c r="K531">
        <v>845.24</v>
      </c>
      <c r="L531">
        <v>835.08</v>
      </c>
      <c r="M531" s="233" t="s">
        <v>454</v>
      </c>
      <c r="N531" s="233" t="s">
        <v>454</v>
      </c>
      <c r="O531" s="3" t="s">
        <v>1029</v>
      </c>
      <c r="BM531" s="127"/>
      <c r="BN531" s="127"/>
      <c r="BO531" s="127"/>
      <c r="BP531" s="127"/>
      <c r="BQ531" s="127"/>
      <c r="BR531" s="127"/>
      <c r="BS531" s="127"/>
      <c r="BT531" s="127"/>
      <c r="BU531" s="127"/>
      <c r="BV531" s="127"/>
      <c r="BW531" s="127"/>
      <c r="BX531" s="127"/>
      <c r="BY531" s="127"/>
      <c r="BZ531" s="127"/>
      <c r="CA531" s="127"/>
      <c r="ER531" s="127"/>
      <c r="ES531" s="127"/>
      <c r="ET531" s="127"/>
      <c r="EU531" s="127"/>
      <c r="EV531" s="127"/>
      <c r="EW531" s="127"/>
      <c r="EX531" s="127"/>
      <c r="EY531" s="127"/>
      <c r="EZ531" s="127"/>
      <c r="FA531" s="127"/>
      <c r="FB531" s="127"/>
      <c r="FC531" s="127"/>
      <c r="FD531" s="127"/>
      <c r="FE531" s="127"/>
      <c r="FF531" s="127"/>
      <c r="HW531" s="127"/>
      <c r="HX531" s="127"/>
      <c r="HY531" s="127"/>
      <c r="HZ531" s="127"/>
      <c r="IA531" s="127"/>
      <c r="IB531" s="127"/>
      <c r="IC531" s="127"/>
      <c r="ID531" s="127"/>
      <c r="IE531" s="127"/>
      <c r="IF531" s="127"/>
      <c r="IG531" s="127"/>
      <c r="IH531" s="127"/>
      <c r="II531" s="127"/>
      <c r="IJ531" s="127"/>
      <c r="IK531" s="127"/>
      <c r="LB531" s="127"/>
      <c r="LC531" s="127"/>
      <c r="LD531" s="127"/>
      <c r="LE531" s="127"/>
      <c r="LF531" s="127"/>
      <c r="LG531" s="127"/>
      <c r="LH531" s="127"/>
      <c r="LI531" s="127"/>
      <c r="LJ531" s="127"/>
      <c r="LK531" s="127"/>
      <c r="LL531" s="127"/>
      <c r="LM531" s="127"/>
      <c r="LN531" s="127"/>
      <c r="LO531" s="127"/>
      <c r="LP531" s="127"/>
      <c r="OG531" s="127"/>
      <c r="OH531" s="127"/>
      <c r="OI531" s="127"/>
      <c r="OJ531" s="127"/>
      <c r="OK531" s="127"/>
      <c r="OL531" s="127"/>
      <c r="OM531" s="127"/>
      <c r="ON531" s="127"/>
      <c r="OO531" s="127"/>
      <c r="OP531" s="127"/>
      <c r="OQ531" s="127"/>
      <c r="OR531" s="127"/>
      <c r="OS531" s="127"/>
      <c r="OT531" s="127"/>
      <c r="OU531" s="127"/>
    </row>
    <row r="532" spans="1:411">
      <c r="A532">
        <v>93</v>
      </c>
      <c r="B532">
        <v>1084</v>
      </c>
      <c r="C532" t="s">
        <v>72</v>
      </c>
      <c r="D532" t="s">
        <v>422</v>
      </c>
      <c r="E532" s="232" t="s">
        <v>9411</v>
      </c>
      <c r="F532" t="s">
        <v>71</v>
      </c>
      <c r="G532">
        <v>2</v>
      </c>
      <c r="H532">
        <v>868.86500000000001</v>
      </c>
      <c r="I532">
        <v>864.29499999999996</v>
      </c>
      <c r="J532">
        <v>857.13499999999999</v>
      </c>
      <c r="K532">
        <v>852.09</v>
      </c>
      <c r="L532">
        <v>842.08</v>
      </c>
      <c r="M532" s="233" t="s">
        <v>454</v>
      </c>
      <c r="N532" s="233" t="s">
        <v>454</v>
      </c>
      <c r="O532" s="3" t="s">
        <v>1030</v>
      </c>
      <c r="BM532" s="127"/>
      <c r="BN532" s="127"/>
      <c r="BO532" s="127"/>
      <c r="BP532" s="127"/>
      <c r="BQ532" s="127"/>
      <c r="BR532" s="127"/>
      <c r="BS532" s="127"/>
      <c r="BT532" s="127"/>
      <c r="BU532" s="127"/>
      <c r="BV532" s="127"/>
      <c r="BW532" s="127"/>
      <c r="BX532" s="127"/>
      <c r="BY532" s="127"/>
      <c r="BZ532" s="127"/>
      <c r="CA532" s="127"/>
      <c r="ER532" s="127"/>
      <c r="ES532" s="127"/>
      <c r="ET532" s="127"/>
      <c r="EU532" s="127"/>
      <c r="EV532" s="127"/>
      <c r="EW532" s="127"/>
      <c r="EX532" s="127"/>
      <c r="EY532" s="127"/>
      <c r="EZ532" s="127"/>
      <c r="FA532" s="127"/>
      <c r="FB532" s="127"/>
      <c r="FC532" s="127"/>
      <c r="FD532" s="127"/>
      <c r="FE532" s="127"/>
      <c r="FF532" s="127"/>
      <c r="HW532" s="127"/>
      <c r="HX532" s="127"/>
      <c r="HY532" s="127"/>
      <c r="HZ532" s="127"/>
      <c r="IA532" s="127"/>
      <c r="IB532" s="127"/>
      <c r="IC532" s="127"/>
      <c r="ID532" s="127"/>
      <c r="IE532" s="127"/>
      <c r="IF532" s="127"/>
      <c r="IG532" s="127"/>
      <c r="IH532" s="127"/>
      <c r="II532" s="127"/>
      <c r="IJ532" s="127"/>
      <c r="IK532" s="127"/>
      <c r="LB532" s="127"/>
      <c r="LC532" s="127"/>
      <c r="LD532" s="127"/>
      <c r="LE532" s="127"/>
      <c r="LF532" s="127"/>
      <c r="LG532" s="127"/>
      <c r="LH532" s="127"/>
      <c r="LI532" s="127"/>
      <c r="LJ532" s="127"/>
      <c r="LK532" s="127"/>
      <c r="LL532" s="127"/>
      <c r="LM532" s="127"/>
      <c r="LN532" s="127"/>
      <c r="LO532" s="127"/>
      <c r="LP532" s="127"/>
      <c r="OG532" s="127"/>
      <c r="OH532" s="127"/>
      <c r="OI532" s="127"/>
      <c r="OJ532" s="127"/>
      <c r="OK532" s="127"/>
      <c r="OL532" s="127"/>
      <c r="OM532" s="127"/>
      <c r="ON532" s="127"/>
      <c r="OO532" s="127"/>
      <c r="OP532" s="127"/>
      <c r="OQ532" s="127"/>
      <c r="OR532" s="127"/>
      <c r="OS532" s="127"/>
      <c r="OT532" s="127"/>
      <c r="OU532" s="127"/>
    </row>
    <row r="533" spans="1:411">
      <c r="A533">
        <v>93</v>
      </c>
      <c r="B533">
        <v>1101</v>
      </c>
      <c r="C533" t="s">
        <v>72</v>
      </c>
      <c r="D533" t="s">
        <v>422</v>
      </c>
      <c r="E533" s="232" t="s">
        <v>11238</v>
      </c>
      <c r="F533" t="s">
        <v>71</v>
      </c>
      <c r="G533">
        <v>2</v>
      </c>
      <c r="H533">
        <v>868.39</v>
      </c>
      <c r="I533">
        <v>862.97500000000002</v>
      </c>
      <c r="J533">
        <v>855.63499999999999</v>
      </c>
      <c r="K533">
        <v>850.245</v>
      </c>
      <c r="L533">
        <v>840.53499999999997</v>
      </c>
      <c r="M533" s="233" t="s">
        <v>454</v>
      </c>
      <c r="N533" s="233" t="s">
        <v>454</v>
      </c>
      <c r="O533" s="3" t="s">
        <v>1031</v>
      </c>
      <c r="BM533" s="127"/>
      <c r="BN533" s="127"/>
      <c r="BO533" s="127"/>
      <c r="BP533" s="127"/>
      <c r="BQ533" s="127"/>
      <c r="BR533" s="127"/>
      <c r="BS533" s="127"/>
      <c r="BT533" s="127"/>
      <c r="BU533" s="127"/>
      <c r="BV533" s="127"/>
      <c r="BW533" s="127"/>
      <c r="BX533" s="127"/>
      <c r="BY533" s="127"/>
      <c r="BZ533" s="127"/>
      <c r="CA533" s="127"/>
      <c r="ER533" s="127"/>
      <c r="ES533" s="127"/>
      <c r="ET533" s="127"/>
      <c r="EU533" s="127"/>
      <c r="EV533" s="127"/>
      <c r="EW533" s="127"/>
      <c r="EX533" s="127"/>
      <c r="EY533" s="127"/>
      <c r="EZ533" s="127"/>
      <c r="FA533" s="127"/>
      <c r="FB533" s="127"/>
      <c r="FC533" s="127"/>
      <c r="FD533" s="127"/>
      <c r="FE533" s="127"/>
      <c r="FF533" s="127"/>
      <c r="HW533" s="127"/>
      <c r="HX533" s="127"/>
      <c r="HY533" s="127"/>
      <c r="HZ533" s="127"/>
      <c r="IA533" s="127"/>
      <c r="IB533" s="127"/>
      <c r="IC533" s="127"/>
      <c r="ID533" s="127"/>
      <c r="IE533" s="127"/>
      <c r="IF533" s="127"/>
      <c r="IG533" s="127"/>
      <c r="IH533" s="127"/>
      <c r="II533" s="127"/>
      <c r="IJ533" s="127"/>
      <c r="IK533" s="127"/>
      <c r="LB533" s="127"/>
      <c r="LC533" s="127"/>
      <c r="LD533" s="127"/>
      <c r="LE533" s="127"/>
      <c r="LF533" s="127"/>
      <c r="LG533" s="127"/>
      <c r="LH533" s="127"/>
      <c r="LI533" s="127"/>
      <c r="LJ533" s="127"/>
      <c r="LK533" s="127"/>
      <c r="LL533" s="127"/>
      <c r="LM533" s="127"/>
      <c r="LN533" s="127"/>
      <c r="LO533" s="127"/>
      <c r="LP533" s="127"/>
      <c r="OG533" s="127"/>
      <c r="OH533" s="127"/>
      <c r="OI533" s="127"/>
      <c r="OJ533" s="127"/>
      <c r="OK533" s="127"/>
      <c r="OL533" s="127"/>
      <c r="OM533" s="127"/>
      <c r="ON533" s="127"/>
      <c r="OO533" s="127"/>
      <c r="OP533" s="127"/>
      <c r="OQ533" s="127"/>
      <c r="OR533" s="127"/>
      <c r="OS533" s="127"/>
      <c r="OT533" s="127"/>
      <c r="OU533" s="127"/>
    </row>
    <row r="534" spans="1:411">
      <c r="A534">
        <v>93</v>
      </c>
      <c r="B534">
        <v>1102</v>
      </c>
      <c r="C534" t="s">
        <v>72</v>
      </c>
      <c r="D534" t="s">
        <v>422</v>
      </c>
      <c r="E534" s="232" t="s">
        <v>11296</v>
      </c>
      <c r="F534" t="s">
        <v>71</v>
      </c>
      <c r="G534">
        <v>2</v>
      </c>
      <c r="H534">
        <v>865.79499999999996</v>
      </c>
      <c r="I534">
        <v>860.43</v>
      </c>
      <c r="J534">
        <v>853.29</v>
      </c>
      <c r="K534">
        <v>847.57500000000005</v>
      </c>
      <c r="L534">
        <v>838.73500000000001</v>
      </c>
      <c r="M534" s="233" t="s">
        <v>454</v>
      </c>
      <c r="N534" s="233" t="s">
        <v>454</v>
      </c>
      <c r="O534" s="3" t="s">
        <v>1032</v>
      </c>
      <c r="BM534" s="127"/>
      <c r="BN534" s="127"/>
      <c r="BO534" s="127"/>
      <c r="BP534" s="127"/>
      <c r="BQ534" s="127"/>
      <c r="BR534" s="127"/>
      <c r="BS534" s="127"/>
      <c r="BT534" s="127"/>
      <c r="BU534" s="127"/>
      <c r="BV534" s="127"/>
      <c r="BW534" s="127"/>
      <c r="BX534" s="127"/>
      <c r="BY534" s="127"/>
      <c r="BZ534" s="127"/>
      <c r="CA534" s="127"/>
      <c r="ER534" s="127"/>
      <c r="ES534" s="127"/>
      <c r="ET534" s="127"/>
      <c r="EU534" s="127"/>
      <c r="EV534" s="127"/>
      <c r="EW534" s="127"/>
      <c r="EX534" s="127"/>
      <c r="EY534" s="127"/>
      <c r="EZ534" s="127"/>
      <c r="FA534" s="127"/>
      <c r="FB534" s="127"/>
      <c r="FC534" s="127"/>
      <c r="FD534" s="127"/>
      <c r="FE534" s="127"/>
      <c r="FF534" s="127"/>
      <c r="HW534" s="127"/>
      <c r="HX534" s="127"/>
      <c r="HY534" s="127"/>
      <c r="HZ534" s="127"/>
      <c r="IA534" s="127"/>
      <c r="IB534" s="127"/>
      <c r="IC534" s="127"/>
      <c r="ID534" s="127"/>
      <c r="IE534" s="127"/>
      <c r="IF534" s="127"/>
      <c r="IG534" s="127"/>
      <c r="IH534" s="127"/>
      <c r="II534" s="127"/>
      <c r="IJ534" s="127"/>
      <c r="IK534" s="127"/>
      <c r="LB534" s="127"/>
      <c r="LC534" s="127"/>
      <c r="LD534" s="127"/>
      <c r="LE534" s="127"/>
      <c r="LF534" s="127"/>
      <c r="LG534" s="127"/>
      <c r="LH534" s="127"/>
      <c r="LI534" s="127"/>
      <c r="LJ534" s="127"/>
      <c r="LK534" s="127"/>
      <c r="LL534" s="127"/>
      <c r="LM534" s="127"/>
      <c r="LN534" s="127"/>
      <c r="LO534" s="127"/>
      <c r="LP534" s="127"/>
      <c r="OG534" s="127"/>
      <c r="OH534" s="127"/>
      <c r="OI534" s="127"/>
      <c r="OJ534" s="127"/>
      <c r="OK534" s="127"/>
      <c r="OL534" s="127"/>
      <c r="OM534" s="127"/>
      <c r="ON534" s="127"/>
      <c r="OO534" s="127"/>
      <c r="OP534" s="127"/>
      <c r="OQ534" s="127"/>
      <c r="OR534" s="127"/>
      <c r="OS534" s="127"/>
      <c r="OT534" s="127"/>
      <c r="OU534" s="127"/>
    </row>
    <row r="535" spans="1:411">
      <c r="A535">
        <v>93</v>
      </c>
      <c r="B535">
        <v>1086</v>
      </c>
      <c r="C535" t="s">
        <v>72</v>
      </c>
      <c r="D535" t="s">
        <v>422</v>
      </c>
      <c r="E535" s="232" t="s">
        <v>11301</v>
      </c>
      <c r="F535" t="s">
        <v>71</v>
      </c>
      <c r="G535">
        <v>2</v>
      </c>
      <c r="H535">
        <v>864.64499999999998</v>
      </c>
      <c r="I535">
        <v>860.08</v>
      </c>
      <c r="J535">
        <v>852.44</v>
      </c>
      <c r="K535">
        <v>846.92499999999995</v>
      </c>
      <c r="L535">
        <v>837.54</v>
      </c>
      <c r="M535" s="233" t="s">
        <v>454</v>
      </c>
      <c r="N535" s="233" t="s">
        <v>454</v>
      </c>
      <c r="O535" s="3" t="s">
        <v>1033</v>
      </c>
      <c r="BM535" s="127"/>
      <c r="BN535" s="127"/>
      <c r="BO535" s="127"/>
      <c r="BP535" s="127"/>
      <c r="BQ535" s="127"/>
      <c r="BR535" s="127"/>
      <c r="BS535" s="127"/>
      <c r="BT535" s="127"/>
      <c r="BU535" s="127"/>
      <c r="BV535" s="127"/>
      <c r="BW535" s="127"/>
      <c r="BX535" s="127"/>
      <c r="BY535" s="127"/>
      <c r="BZ535" s="127"/>
      <c r="CA535" s="127"/>
      <c r="ER535" s="127"/>
      <c r="ES535" s="127"/>
      <c r="ET535" s="127"/>
      <c r="EU535" s="127"/>
      <c r="EV535" s="127"/>
      <c r="EW535" s="127"/>
      <c r="EX535" s="127"/>
      <c r="EY535" s="127"/>
      <c r="EZ535" s="127"/>
      <c r="FA535" s="127"/>
      <c r="FB535" s="127"/>
      <c r="FC535" s="127"/>
      <c r="FD535" s="127"/>
      <c r="FE535" s="127"/>
      <c r="FF535" s="127"/>
      <c r="HW535" s="127"/>
      <c r="HX535" s="127"/>
      <c r="HY535" s="127"/>
      <c r="HZ535" s="127"/>
      <c r="IA535" s="127"/>
      <c r="IB535" s="127"/>
      <c r="IC535" s="127"/>
      <c r="ID535" s="127"/>
      <c r="IE535" s="127"/>
      <c r="IF535" s="127"/>
      <c r="IG535" s="127"/>
      <c r="IH535" s="127"/>
      <c r="II535" s="127"/>
      <c r="IJ535" s="127"/>
      <c r="IK535" s="127"/>
      <c r="LB535" s="127"/>
      <c r="LC535" s="127"/>
      <c r="LD535" s="127"/>
      <c r="LE535" s="127"/>
      <c r="LF535" s="127"/>
      <c r="LG535" s="127"/>
      <c r="LH535" s="127"/>
      <c r="LI535" s="127"/>
      <c r="LJ535" s="127"/>
      <c r="LK535" s="127"/>
      <c r="LL535" s="127"/>
      <c r="LM535" s="127"/>
      <c r="LN535" s="127"/>
      <c r="LO535" s="127"/>
      <c r="LP535" s="127"/>
      <c r="OG535" s="127"/>
      <c r="OH535" s="127"/>
      <c r="OI535" s="127"/>
      <c r="OJ535" s="127"/>
      <c r="OK535" s="127"/>
      <c r="OL535" s="127"/>
      <c r="OM535" s="127"/>
      <c r="ON535" s="127"/>
      <c r="OO535" s="127"/>
      <c r="OP535" s="127"/>
      <c r="OQ535" s="127"/>
      <c r="OR535" s="127"/>
      <c r="OS535" s="127"/>
      <c r="OT535" s="127"/>
      <c r="OU535" s="127"/>
    </row>
    <row r="536" spans="1:411">
      <c r="A536">
        <v>93</v>
      </c>
      <c r="B536">
        <v>1090</v>
      </c>
      <c r="C536" t="s">
        <v>72</v>
      </c>
      <c r="D536" t="s">
        <v>422</v>
      </c>
      <c r="E536" s="232" t="s">
        <v>11351</v>
      </c>
      <c r="F536" t="s">
        <v>71</v>
      </c>
      <c r="G536">
        <v>2</v>
      </c>
      <c r="H536">
        <v>862.97500000000002</v>
      </c>
      <c r="I536">
        <v>858.45500000000004</v>
      </c>
      <c r="J536">
        <v>850.77</v>
      </c>
      <c r="K536">
        <v>845</v>
      </c>
      <c r="L536">
        <v>836.04</v>
      </c>
      <c r="M536" s="233" t="s">
        <v>454</v>
      </c>
      <c r="N536" s="233" t="s">
        <v>454</v>
      </c>
      <c r="O536" s="3" t="s">
        <v>1034</v>
      </c>
      <c r="BM536" s="127"/>
      <c r="BN536" s="127"/>
      <c r="BO536" s="127"/>
      <c r="BP536" s="127"/>
      <c r="BQ536" s="127"/>
      <c r="BR536" s="127"/>
      <c r="BS536" s="127"/>
      <c r="BT536" s="127"/>
      <c r="BU536" s="127"/>
      <c r="BV536" s="127"/>
      <c r="BW536" s="127"/>
      <c r="BX536" s="127"/>
      <c r="BY536" s="127"/>
      <c r="BZ536" s="127"/>
      <c r="CA536" s="127"/>
      <c r="ER536" s="127"/>
      <c r="ES536" s="127"/>
      <c r="ET536" s="127"/>
      <c r="EU536" s="127"/>
      <c r="EV536" s="127"/>
      <c r="EW536" s="127"/>
      <c r="EX536" s="127"/>
      <c r="EY536" s="127"/>
      <c r="EZ536" s="127"/>
      <c r="FA536" s="127"/>
      <c r="FB536" s="127"/>
      <c r="FC536" s="127"/>
      <c r="FD536" s="127"/>
      <c r="FE536" s="127"/>
      <c r="FF536" s="127"/>
      <c r="HW536" s="127"/>
      <c r="HX536" s="127"/>
      <c r="HY536" s="127"/>
      <c r="HZ536" s="127"/>
      <c r="IA536" s="127"/>
      <c r="IB536" s="127"/>
      <c r="IC536" s="127"/>
      <c r="ID536" s="127"/>
      <c r="IE536" s="127"/>
      <c r="IF536" s="127"/>
      <c r="IG536" s="127"/>
      <c r="IH536" s="127"/>
      <c r="II536" s="127"/>
      <c r="IJ536" s="127"/>
      <c r="IK536" s="127"/>
      <c r="LB536" s="127"/>
      <c r="LC536" s="127"/>
      <c r="LD536" s="127"/>
      <c r="LE536" s="127"/>
      <c r="LF536" s="127"/>
      <c r="LG536" s="127"/>
      <c r="LH536" s="127"/>
      <c r="LI536" s="127"/>
      <c r="LJ536" s="127"/>
      <c r="LK536" s="127"/>
      <c r="LL536" s="127"/>
      <c r="LM536" s="127"/>
      <c r="LN536" s="127"/>
      <c r="LO536" s="127"/>
      <c r="LP536" s="127"/>
      <c r="OG536" s="127"/>
      <c r="OH536" s="127"/>
      <c r="OI536" s="127"/>
      <c r="OJ536" s="127"/>
      <c r="OK536" s="127"/>
      <c r="OL536" s="127"/>
      <c r="OM536" s="127"/>
      <c r="ON536" s="127"/>
      <c r="OO536" s="127"/>
      <c r="OP536" s="127"/>
      <c r="OQ536" s="127"/>
      <c r="OR536" s="127"/>
      <c r="OS536" s="127"/>
      <c r="OT536" s="127"/>
      <c r="OU536" s="127"/>
    </row>
    <row r="537" spans="1:411">
      <c r="A537">
        <v>96</v>
      </c>
      <c r="B537">
        <v>1006</v>
      </c>
      <c r="C537" t="s">
        <v>72</v>
      </c>
      <c r="D537" t="s">
        <v>423</v>
      </c>
      <c r="E537" s="232" t="s">
        <v>8856</v>
      </c>
      <c r="F537" t="s">
        <v>70</v>
      </c>
      <c r="G537">
        <v>2</v>
      </c>
      <c r="H537">
        <v>699.74400000000003</v>
      </c>
      <c r="I537">
        <v>698.53499999999997</v>
      </c>
      <c r="J537">
        <v>696.64200000000005</v>
      </c>
      <c r="K537">
        <v>693.68499999999995</v>
      </c>
      <c r="L537">
        <v>690.97</v>
      </c>
      <c r="M537" s="233" t="s">
        <v>530</v>
      </c>
      <c r="N537" s="233" t="s">
        <v>531</v>
      </c>
      <c r="O537" s="3" t="s">
        <v>1035</v>
      </c>
      <c r="BM537" s="127"/>
      <c r="BN537" s="127"/>
      <c r="BO537" s="127"/>
      <c r="BP537" s="127"/>
      <c r="BQ537" s="127"/>
      <c r="BR537" s="127"/>
      <c r="BS537" s="127"/>
      <c r="BT537" s="127"/>
      <c r="BU537" s="127"/>
      <c r="BV537" s="127"/>
      <c r="BW537" s="127"/>
      <c r="BX537" s="127"/>
      <c r="BY537" s="127"/>
      <c r="BZ537" s="127"/>
      <c r="CA537" s="127"/>
      <c r="ER537" s="127"/>
      <c r="ES537" s="127"/>
      <c r="ET537" s="127"/>
      <c r="EU537" s="127"/>
      <c r="EV537" s="127"/>
      <c r="EW537" s="127"/>
      <c r="EX537" s="127"/>
      <c r="EY537" s="127"/>
      <c r="EZ537" s="127"/>
      <c r="FA537" s="127"/>
      <c r="FB537" s="127"/>
      <c r="FC537" s="127"/>
      <c r="FD537" s="127"/>
      <c r="FE537" s="127"/>
      <c r="FF537" s="127"/>
      <c r="HW537" s="127"/>
      <c r="HX537" s="127"/>
      <c r="HY537" s="127"/>
      <c r="HZ537" s="127"/>
      <c r="IA537" s="127"/>
      <c r="IB537" s="127"/>
      <c r="IC537" s="127"/>
      <c r="ID537" s="127"/>
      <c r="IE537" s="127"/>
      <c r="IF537" s="127"/>
      <c r="IG537" s="127"/>
      <c r="IH537" s="127"/>
      <c r="II537" s="127"/>
      <c r="IJ537" s="127"/>
      <c r="IK537" s="127"/>
      <c r="LB537" s="127"/>
      <c r="LC537" s="127"/>
      <c r="LD537" s="127"/>
      <c r="LE537" s="127"/>
      <c r="LF537" s="127"/>
      <c r="LG537" s="127"/>
      <c r="LH537" s="127"/>
      <c r="LI537" s="127"/>
      <c r="LJ537" s="127"/>
      <c r="LK537" s="127"/>
      <c r="LL537" s="127"/>
      <c r="LM537" s="127"/>
      <c r="LN537" s="127"/>
      <c r="LO537" s="127"/>
      <c r="LP537" s="127"/>
      <c r="OG537" s="127"/>
      <c r="OH537" s="127"/>
      <c r="OI537" s="127"/>
      <c r="OJ537" s="127"/>
      <c r="OK537" s="127"/>
      <c r="OL537" s="127"/>
      <c r="OM537" s="127"/>
      <c r="ON537" s="127"/>
      <c r="OO537" s="127"/>
      <c r="OP537" s="127"/>
      <c r="OQ537" s="127"/>
      <c r="OR537" s="127"/>
      <c r="OS537" s="127"/>
      <c r="OT537" s="127"/>
      <c r="OU537" s="127"/>
    </row>
    <row r="538" spans="1:411">
      <c r="A538">
        <v>96</v>
      </c>
      <c r="B538">
        <v>1014</v>
      </c>
      <c r="C538" t="s">
        <v>72</v>
      </c>
      <c r="D538" t="s">
        <v>423</v>
      </c>
      <c r="E538" s="232" t="s">
        <v>9611</v>
      </c>
      <c r="F538" t="s">
        <v>70</v>
      </c>
      <c r="G538">
        <v>2</v>
      </c>
      <c r="H538">
        <v>697.74300000000005</v>
      </c>
      <c r="I538">
        <v>695.89800000000002</v>
      </c>
      <c r="J538">
        <v>693.98299999999995</v>
      </c>
      <c r="K538">
        <v>691.327</v>
      </c>
      <c r="L538">
        <v>688.48299999999995</v>
      </c>
      <c r="M538" s="233" t="s">
        <v>530</v>
      </c>
      <c r="N538" s="233" t="s">
        <v>531</v>
      </c>
      <c r="O538" s="3" t="s">
        <v>1036</v>
      </c>
      <c r="BM538" s="127"/>
      <c r="BN538" s="127"/>
      <c r="BO538" s="127"/>
      <c r="BP538" s="127"/>
      <c r="BQ538" s="127"/>
      <c r="BR538" s="127"/>
      <c r="BS538" s="127"/>
      <c r="BT538" s="127"/>
      <c r="BU538" s="127"/>
      <c r="BV538" s="127"/>
      <c r="BW538" s="127"/>
      <c r="BX538" s="127"/>
      <c r="BY538" s="127"/>
      <c r="BZ538" s="127"/>
      <c r="CA538" s="127"/>
      <c r="ER538" s="127"/>
      <c r="ES538" s="127"/>
      <c r="ET538" s="127"/>
      <c r="EU538" s="127"/>
      <c r="EV538" s="127"/>
      <c r="EW538" s="127"/>
      <c r="EX538" s="127"/>
      <c r="EY538" s="127"/>
      <c r="EZ538" s="127"/>
      <c r="FA538" s="127"/>
      <c r="FB538" s="127"/>
      <c r="FC538" s="127"/>
      <c r="FD538" s="127"/>
      <c r="FE538" s="127"/>
      <c r="FF538" s="127"/>
      <c r="HW538" s="127"/>
      <c r="HX538" s="127"/>
      <c r="HY538" s="127"/>
      <c r="HZ538" s="127"/>
      <c r="IA538" s="127"/>
      <c r="IB538" s="127"/>
      <c r="IC538" s="127"/>
      <c r="ID538" s="127"/>
      <c r="IE538" s="127"/>
      <c r="IF538" s="127"/>
      <c r="IG538" s="127"/>
      <c r="IH538" s="127"/>
      <c r="II538" s="127"/>
      <c r="IJ538" s="127"/>
      <c r="IK538" s="127"/>
      <c r="LB538" s="127"/>
      <c r="LC538" s="127"/>
      <c r="LD538" s="127"/>
      <c r="LE538" s="127"/>
      <c r="LF538" s="127"/>
      <c r="LG538" s="127"/>
      <c r="LH538" s="127"/>
      <c r="LI538" s="127"/>
      <c r="LJ538" s="127"/>
      <c r="LK538" s="127"/>
      <c r="LL538" s="127"/>
      <c r="LM538" s="127"/>
      <c r="LN538" s="127"/>
      <c r="LO538" s="127"/>
      <c r="LP538" s="127"/>
      <c r="OG538" s="127"/>
      <c r="OH538" s="127"/>
      <c r="OI538" s="127"/>
      <c r="OJ538" s="127"/>
      <c r="OK538" s="127"/>
      <c r="OL538" s="127"/>
      <c r="OM538" s="127"/>
      <c r="ON538" s="127"/>
      <c r="OO538" s="127"/>
      <c r="OP538" s="127"/>
      <c r="OQ538" s="127"/>
      <c r="OR538" s="127"/>
      <c r="OS538" s="127"/>
      <c r="OT538" s="127"/>
      <c r="OU538" s="127"/>
    </row>
    <row r="539" spans="1:411">
      <c r="A539">
        <v>96</v>
      </c>
      <c r="B539">
        <v>1008</v>
      </c>
      <c r="C539" t="s">
        <v>72</v>
      </c>
      <c r="D539" t="s">
        <v>423</v>
      </c>
      <c r="E539" s="232" t="s">
        <v>11851</v>
      </c>
      <c r="F539" t="s">
        <v>70</v>
      </c>
      <c r="G539">
        <v>2</v>
      </c>
      <c r="H539">
        <v>696.14300000000003</v>
      </c>
      <c r="I539">
        <v>694.89800000000002</v>
      </c>
      <c r="J539">
        <v>693.154</v>
      </c>
      <c r="K539">
        <v>690.36199999999997</v>
      </c>
      <c r="L539">
        <v>687.62199999999996</v>
      </c>
      <c r="M539" s="233" t="s">
        <v>530</v>
      </c>
      <c r="N539" s="233" t="s">
        <v>531</v>
      </c>
      <c r="O539" s="3" t="s">
        <v>1037</v>
      </c>
      <c r="BM539" s="127"/>
      <c r="BN539" s="127"/>
      <c r="BO539" s="127"/>
      <c r="BP539" s="127"/>
      <c r="BQ539" s="127"/>
      <c r="BR539" s="127"/>
      <c r="BS539" s="127"/>
      <c r="BT539" s="127"/>
      <c r="BU539" s="127"/>
      <c r="BV539" s="127"/>
      <c r="BW539" s="127"/>
      <c r="BX539" s="127"/>
      <c r="BY539" s="127"/>
      <c r="BZ539" s="127"/>
      <c r="CA539" s="127"/>
      <c r="ER539" s="127"/>
      <c r="ES539" s="127"/>
      <c r="ET539" s="127"/>
      <c r="EU539" s="127"/>
      <c r="EV539" s="127"/>
      <c r="EW539" s="127"/>
      <c r="EX539" s="127"/>
      <c r="EY539" s="127"/>
      <c r="EZ539" s="127"/>
      <c r="FA539" s="127"/>
      <c r="FB539" s="127"/>
      <c r="FC539" s="127"/>
      <c r="FD539" s="127"/>
      <c r="FE539" s="127"/>
      <c r="FF539" s="127"/>
      <c r="HW539" s="127"/>
      <c r="HX539" s="127"/>
      <c r="HY539" s="127"/>
      <c r="HZ539" s="127"/>
      <c r="IA539" s="127"/>
      <c r="IB539" s="127"/>
      <c r="IC539" s="127"/>
      <c r="ID539" s="127"/>
      <c r="IE539" s="127"/>
      <c r="IF539" s="127"/>
      <c r="IG539" s="127"/>
      <c r="IH539" s="127"/>
      <c r="II539" s="127"/>
      <c r="IJ539" s="127"/>
      <c r="IK539" s="127"/>
      <c r="LB539" s="127"/>
      <c r="LC539" s="127"/>
      <c r="LD539" s="127"/>
      <c r="LE539" s="127"/>
      <c r="LF539" s="127"/>
      <c r="LG539" s="127"/>
      <c r="LH539" s="127"/>
      <c r="LI539" s="127"/>
      <c r="LJ539" s="127"/>
      <c r="LK539" s="127"/>
      <c r="LL539" s="127"/>
      <c r="LM539" s="127"/>
      <c r="LN539" s="127"/>
      <c r="LO539" s="127"/>
      <c r="LP539" s="127"/>
      <c r="OG539" s="127"/>
      <c r="OH539" s="127"/>
      <c r="OI539" s="127"/>
      <c r="OJ539" s="127"/>
      <c r="OK539" s="127"/>
      <c r="OL539" s="127"/>
      <c r="OM539" s="127"/>
      <c r="ON539" s="127"/>
      <c r="OO539" s="127"/>
      <c r="OP539" s="127"/>
      <c r="OQ539" s="127"/>
      <c r="OR539" s="127"/>
      <c r="OS539" s="127"/>
      <c r="OT539" s="127"/>
      <c r="OU539" s="127"/>
    </row>
    <row r="540" spans="1:411">
      <c r="A540">
        <v>96</v>
      </c>
      <c r="B540">
        <v>1012</v>
      </c>
      <c r="C540" t="s">
        <v>72</v>
      </c>
      <c r="D540" t="s">
        <v>423</v>
      </c>
      <c r="E540" s="232" t="s">
        <v>8418</v>
      </c>
      <c r="F540" t="s">
        <v>70</v>
      </c>
      <c r="G540">
        <v>2</v>
      </c>
      <c r="H540">
        <v>696.14300000000003</v>
      </c>
      <c r="I540">
        <v>694.25900000000001</v>
      </c>
      <c r="J540">
        <v>692.58500000000004</v>
      </c>
      <c r="K540">
        <v>689.79100000000005</v>
      </c>
      <c r="L540">
        <v>686.86699999999996</v>
      </c>
      <c r="M540" s="233" t="s">
        <v>530</v>
      </c>
      <c r="N540" s="233" t="s">
        <v>531</v>
      </c>
      <c r="O540" s="3" t="s">
        <v>1038</v>
      </c>
      <c r="BM540" s="127"/>
      <c r="BN540" s="127"/>
      <c r="BO540" s="127"/>
      <c r="BP540" s="127"/>
      <c r="BQ540" s="127"/>
      <c r="BR540" s="127"/>
      <c r="BS540" s="127"/>
      <c r="BT540" s="127"/>
      <c r="BU540" s="127"/>
      <c r="BV540" s="127"/>
      <c r="BW540" s="127"/>
      <c r="BX540" s="127"/>
      <c r="BY540" s="127"/>
      <c r="BZ540" s="127"/>
      <c r="CA540" s="127"/>
      <c r="ER540" s="127"/>
      <c r="ES540" s="127"/>
      <c r="ET540" s="127"/>
      <c r="EU540" s="127"/>
      <c r="EV540" s="127"/>
      <c r="EW540" s="127"/>
      <c r="EX540" s="127"/>
      <c r="EY540" s="127"/>
      <c r="EZ540" s="127"/>
      <c r="FA540" s="127"/>
      <c r="FB540" s="127"/>
      <c r="FC540" s="127"/>
      <c r="FD540" s="127"/>
      <c r="FE540" s="127"/>
      <c r="FF540" s="127"/>
      <c r="HW540" s="127"/>
      <c r="HX540" s="127"/>
      <c r="HY540" s="127"/>
      <c r="HZ540" s="127"/>
      <c r="IA540" s="127"/>
      <c r="IB540" s="127"/>
      <c r="IC540" s="127"/>
      <c r="ID540" s="127"/>
      <c r="IE540" s="127"/>
      <c r="IF540" s="127"/>
      <c r="IG540" s="127"/>
      <c r="IH540" s="127"/>
      <c r="II540" s="127"/>
      <c r="IJ540" s="127"/>
      <c r="IK540" s="127"/>
      <c r="LB540" s="127"/>
      <c r="LC540" s="127"/>
      <c r="LD540" s="127"/>
      <c r="LE540" s="127"/>
      <c r="LF540" s="127"/>
      <c r="LG540" s="127"/>
      <c r="LH540" s="127"/>
      <c r="LI540" s="127"/>
      <c r="LJ540" s="127"/>
      <c r="LK540" s="127"/>
      <c r="LL540" s="127"/>
      <c r="LM540" s="127"/>
      <c r="LN540" s="127"/>
      <c r="LO540" s="127"/>
      <c r="LP540" s="127"/>
      <c r="OG540" s="127"/>
      <c r="OH540" s="127"/>
      <c r="OI540" s="127"/>
      <c r="OJ540" s="127"/>
      <c r="OK540" s="127"/>
      <c r="OL540" s="127"/>
      <c r="OM540" s="127"/>
      <c r="ON540" s="127"/>
      <c r="OO540" s="127"/>
      <c r="OP540" s="127"/>
      <c r="OQ540" s="127"/>
      <c r="OR540" s="127"/>
      <c r="OS540" s="127"/>
      <c r="OT540" s="127"/>
      <c r="OU540" s="127"/>
    </row>
    <row r="541" spans="1:411">
      <c r="A541">
        <v>96</v>
      </c>
      <c r="B541">
        <v>1011</v>
      </c>
      <c r="C541" t="s">
        <v>72</v>
      </c>
      <c r="D541" t="s">
        <v>423</v>
      </c>
      <c r="E541" s="232" t="s">
        <v>9090</v>
      </c>
      <c r="F541" t="s">
        <v>70</v>
      </c>
      <c r="G541">
        <v>2</v>
      </c>
      <c r="H541">
        <v>693.98299999999995</v>
      </c>
      <c r="I541">
        <v>692.89700000000005</v>
      </c>
      <c r="J541">
        <v>691.327</v>
      </c>
      <c r="K541">
        <v>688.48299999999995</v>
      </c>
      <c r="L541">
        <v>685.62199999999996</v>
      </c>
      <c r="M541" s="233" t="s">
        <v>530</v>
      </c>
      <c r="N541" s="233" t="s">
        <v>531</v>
      </c>
      <c r="O541" s="3" t="s">
        <v>1039</v>
      </c>
      <c r="BM541" s="127"/>
      <c r="BN541" s="127"/>
      <c r="BO541" s="127"/>
      <c r="BP541" s="127"/>
      <c r="BQ541" s="127"/>
      <c r="BR541" s="127"/>
      <c r="BS541" s="127"/>
      <c r="BT541" s="127"/>
      <c r="BU541" s="127"/>
      <c r="BV541" s="127"/>
      <c r="BW541" s="127"/>
      <c r="BX541" s="127"/>
      <c r="BY541" s="127"/>
      <c r="BZ541" s="127"/>
      <c r="CA541" s="127"/>
      <c r="ER541" s="127"/>
      <c r="ES541" s="127"/>
      <c r="ET541" s="127"/>
      <c r="EU541" s="127"/>
      <c r="EV541" s="127"/>
      <c r="EW541" s="127"/>
      <c r="EX541" s="127"/>
      <c r="EY541" s="127"/>
      <c r="EZ541" s="127"/>
      <c r="FA541" s="127"/>
      <c r="FB541" s="127"/>
      <c r="FC541" s="127"/>
      <c r="FD541" s="127"/>
      <c r="FE541" s="127"/>
      <c r="FF541" s="127"/>
      <c r="HW541" s="127"/>
      <c r="HX541" s="127"/>
      <c r="HY541" s="127"/>
      <c r="HZ541" s="127"/>
      <c r="IA541" s="127"/>
      <c r="IB541" s="127"/>
      <c r="IC541" s="127"/>
      <c r="ID541" s="127"/>
      <c r="IE541" s="127"/>
      <c r="IF541" s="127"/>
      <c r="IG541" s="127"/>
      <c r="IH541" s="127"/>
      <c r="II541" s="127"/>
      <c r="IJ541" s="127"/>
      <c r="IK541" s="127"/>
      <c r="LB541" s="127"/>
      <c r="LC541" s="127"/>
      <c r="LD541" s="127"/>
      <c r="LE541" s="127"/>
      <c r="LF541" s="127"/>
      <c r="LG541" s="127"/>
      <c r="LH541" s="127"/>
      <c r="LI541" s="127"/>
      <c r="LJ541" s="127"/>
      <c r="LK541" s="127"/>
      <c r="LL541" s="127"/>
      <c r="LM541" s="127"/>
      <c r="LN541" s="127"/>
      <c r="LO541" s="127"/>
      <c r="LP541" s="127"/>
      <c r="OG541" s="127"/>
      <c r="OH541" s="127"/>
      <c r="OI541" s="127"/>
      <c r="OJ541" s="127"/>
      <c r="OK541" s="127"/>
      <c r="OL541" s="127"/>
      <c r="OM541" s="127"/>
      <c r="ON541" s="127"/>
      <c r="OO541" s="127"/>
      <c r="OP541" s="127"/>
      <c r="OQ541" s="127"/>
      <c r="OR541" s="127"/>
      <c r="OS541" s="127"/>
      <c r="OT541" s="127"/>
      <c r="OU541" s="127"/>
    </row>
    <row r="542" spans="1:411">
      <c r="A542">
        <v>96</v>
      </c>
      <c r="B542">
        <v>1016</v>
      </c>
      <c r="C542" t="s">
        <v>72</v>
      </c>
      <c r="D542" t="s">
        <v>423</v>
      </c>
      <c r="E542" s="232" t="s">
        <v>8148</v>
      </c>
      <c r="F542" t="s">
        <v>70</v>
      </c>
      <c r="G542">
        <v>2</v>
      </c>
      <c r="H542">
        <v>693.529</v>
      </c>
      <c r="I542">
        <v>692.02499999999998</v>
      </c>
      <c r="J542">
        <v>689.98199999999997</v>
      </c>
      <c r="K542">
        <v>687.125</v>
      </c>
      <c r="L542">
        <v>681.95899999999995</v>
      </c>
      <c r="M542" s="233" t="s">
        <v>530</v>
      </c>
      <c r="N542" s="233" t="s">
        <v>531</v>
      </c>
      <c r="O542" s="3" t="s">
        <v>1040</v>
      </c>
      <c r="BM542" s="127"/>
      <c r="BN542" s="127"/>
      <c r="BO542" s="127"/>
      <c r="BP542" s="127"/>
      <c r="BQ542" s="127"/>
      <c r="BR542" s="127"/>
      <c r="BS542" s="127"/>
      <c r="BT542" s="127"/>
      <c r="BU542" s="127"/>
      <c r="BV542" s="127"/>
      <c r="BW542" s="127"/>
      <c r="BX542" s="127"/>
      <c r="BY542" s="127"/>
      <c r="BZ542" s="127"/>
      <c r="CA542" s="127"/>
      <c r="ER542" s="127"/>
      <c r="ES542" s="127"/>
      <c r="ET542" s="127"/>
      <c r="EU542" s="127"/>
      <c r="EV542" s="127"/>
      <c r="EW542" s="127"/>
      <c r="EX542" s="127"/>
      <c r="EY542" s="127"/>
      <c r="EZ542" s="127"/>
      <c r="FA542" s="127"/>
      <c r="FB542" s="127"/>
      <c r="FC542" s="127"/>
      <c r="FD542" s="127"/>
      <c r="FE542" s="127"/>
      <c r="FF542" s="127"/>
      <c r="HW542" s="127"/>
      <c r="HX542" s="127"/>
      <c r="HY542" s="127"/>
      <c r="HZ542" s="127"/>
      <c r="IA542" s="127"/>
      <c r="IB542" s="127"/>
      <c r="IC542" s="127"/>
      <c r="ID542" s="127"/>
      <c r="IE542" s="127"/>
      <c r="IF542" s="127"/>
      <c r="IG542" s="127"/>
      <c r="IH542" s="127"/>
      <c r="II542" s="127"/>
      <c r="IJ542" s="127"/>
      <c r="IK542" s="127"/>
      <c r="LB542" s="127"/>
      <c r="LC542" s="127"/>
      <c r="LD542" s="127"/>
      <c r="LE542" s="127"/>
      <c r="LF542" s="127"/>
      <c r="LG542" s="127"/>
      <c r="LH542" s="127"/>
      <c r="LI542" s="127"/>
      <c r="LJ542" s="127"/>
      <c r="LK542" s="127"/>
      <c r="LL542" s="127"/>
      <c r="LM542" s="127"/>
      <c r="LN542" s="127"/>
      <c r="LO542" s="127"/>
      <c r="LP542" s="127"/>
      <c r="OG542" s="127"/>
      <c r="OH542" s="127"/>
      <c r="OI542" s="127"/>
      <c r="OJ542" s="127"/>
      <c r="OK542" s="127"/>
      <c r="OL542" s="127"/>
      <c r="OM542" s="127"/>
      <c r="ON542" s="127"/>
      <c r="OO542" s="127"/>
      <c r="OP542" s="127"/>
      <c r="OQ542" s="127"/>
      <c r="OR542" s="127"/>
      <c r="OS542" s="127"/>
      <c r="OT542" s="127"/>
      <c r="OU542" s="127"/>
    </row>
    <row r="543" spans="1:411">
      <c r="A543">
        <v>96</v>
      </c>
      <c r="B543">
        <v>1017</v>
      </c>
      <c r="C543" t="s">
        <v>72</v>
      </c>
      <c r="D543" t="s">
        <v>423</v>
      </c>
      <c r="E543" s="232" t="s">
        <v>12120</v>
      </c>
      <c r="F543" t="s">
        <v>70</v>
      </c>
      <c r="G543">
        <v>2</v>
      </c>
      <c r="H543">
        <v>692.99300000000005</v>
      </c>
      <c r="I543">
        <v>691.42700000000002</v>
      </c>
      <c r="J543">
        <v>689.79100000000005</v>
      </c>
      <c r="K543">
        <v>686.86699999999996</v>
      </c>
      <c r="L543">
        <v>684.21199999999999</v>
      </c>
      <c r="M543" s="233" t="s">
        <v>530</v>
      </c>
      <c r="N543" s="233" t="s">
        <v>531</v>
      </c>
      <c r="O543" s="3" t="s">
        <v>1041</v>
      </c>
      <c r="BM543" s="127"/>
      <c r="BN543" s="127"/>
      <c r="BO543" s="127"/>
      <c r="BP543" s="127"/>
      <c r="BQ543" s="127"/>
      <c r="BR543" s="127"/>
      <c r="BS543" s="127"/>
      <c r="BT543" s="127"/>
      <c r="BU543" s="127"/>
      <c r="BV543" s="127"/>
      <c r="BW543" s="127"/>
      <c r="BX543" s="127"/>
      <c r="BY543" s="127"/>
      <c r="BZ543" s="127"/>
      <c r="CA543" s="127"/>
      <c r="ER543" s="127"/>
      <c r="ES543" s="127"/>
      <c r="ET543" s="127"/>
      <c r="EU543" s="127"/>
      <c r="EV543" s="127"/>
      <c r="EW543" s="127"/>
      <c r="EX543" s="127"/>
      <c r="EY543" s="127"/>
      <c r="EZ543" s="127"/>
      <c r="FA543" s="127"/>
      <c r="FB543" s="127"/>
      <c r="FC543" s="127"/>
      <c r="FD543" s="127"/>
      <c r="FE543" s="127"/>
      <c r="FF543" s="127"/>
      <c r="HW543" s="127"/>
      <c r="HX543" s="127"/>
      <c r="HY543" s="127"/>
      <c r="HZ543" s="127"/>
      <c r="IA543" s="127"/>
      <c r="IB543" s="127"/>
      <c r="IC543" s="127"/>
      <c r="ID543" s="127"/>
      <c r="IE543" s="127"/>
      <c r="IF543" s="127"/>
      <c r="IG543" s="127"/>
      <c r="IH543" s="127"/>
      <c r="II543" s="127"/>
      <c r="IJ543" s="127"/>
      <c r="IK543" s="127"/>
      <c r="LB543" s="127"/>
      <c r="LC543" s="127"/>
      <c r="LD543" s="127"/>
      <c r="LE543" s="127"/>
      <c r="LF543" s="127"/>
      <c r="LG543" s="127"/>
      <c r="LH543" s="127"/>
      <c r="LI543" s="127"/>
      <c r="LJ543" s="127"/>
      <c r="LK543" s="127"/>
      <c r="LL543" s="127"/>
      <c r="LM543" s="127"/>
      <c r="LN543" s="127"/>
      <c r="LO543" s="127"/>
      <c r="LP543" s="127"/>
      <c r="OG543" s="127"/>
      <c r="OH543" s="127"/>
      <c r="OI543" s="127"/>
      <c r="OJ543" s="127"/>
      <c r="OK543" s="127"/>
      <c r="OL543" s="127"/>
      <c r="OM543" s="127"/>
      <c r="ON543" s="127"/>
      <c r="OO543" s="127"/>
      <c r="OP543" s="127"/>
      <c r="OQ543" s="127"/>
      <c r="OR543" s="127"/>
      <c r="OS543" s="127"/>
      <c r="OT543" s="127"/>
      <c r="OU543" s="127"/>
    </row>
    <row r="544" spans="1:411">
      <c r="A544">
        <v>96</v>
      </c>
      <c r="B544">
        <v>1019</v>
      </c>
      <c r="C544" t="s">
        <v>72</v>
      </c>
      <c r="D544" t="s">
        <v>423</v>
      </c>
      <c r="E544" s="232" t="s">
        <v>551</v>
      </c>
      <c r="F544" t="s">
        <v>70</v>
      </c>
      <c r="G544">
        <v>2</v>
      </c>
      <c r="H544">
        <v>692.89700000000005</v>
      </c>
      <c r="I544">
        <v>690.97</v>
      </c>
      <c r="J544">
        <v>689.16300000000001</v>
      </c>
      <c r="K544">
        <v>686.33399999999995</v>
      </c>
      <c r="L544">
        <v>683.63</v>
      </c>
      <c r="M544" s="233" t="s">
        <v>530</v>
      </c>
      <c r="N544" s="233" t="s">
        <v>531</v>
      </c>
      <c r="O544" s="3" t="s">
        <v>1042</v>
      </c>
      <c r="BM544" s="127"/>
      <c r="BN544" s="127"/>
      <c r="BO544" s="127"/>
      <c r="BP544" s="127"/>
      <c r="BQ544" s="127"/>
      <c r="BR544" s="127"/>
      <c r="BS544" s="127"/>
      <c r="BT544" s="127"/>
      <c r="BU544" s="127"/>
      <c r="BV544" s="127"/>
      <c r="BW544" s="127"/>
      <c r="BX544" s="127"/>
      <c r="BY544" s="127"/>
      <c r="BZ544" s="127"/>
      <c r="CA544" s="127"/>
      <c r="ER544" s="127"/>
      <c r="ES544" s="127"/>
      <c r="ET544" s="127"/>
      <c r="EU544" s="127"/>
      <c r="EV544" s="127"/>
      <c r="EW544" s="127"/>
      <c r="EX544" s="127"/>
      <c r="EY544" s="127"/>
      <c r="EZ544" s="127"/>
      <c r="FA544" s="127"/>
      <c r="FB544" s="127"/>
      <c r="FC544" s="127"/>
      <c r="FD544" s="127"/>
      <c r="FE544" s="127"/>
      <c r="FF544" s="127"/>
      <c r="HW544" s="127"/>
      <c r="HX544" s="127"/>
      <c r="HY544" s="127"/>
      <c r="HZ544" s="127"/>
      <c r="IA544" s="127"/>
      <c r="IB544" s="127"/>
      <c r="IC544" s="127"/>
      <c r="ID544" s="127"/>
      <c r="IE544" s="127"/>
      <c r="IF544" s="127"/>
      <c r="IG544" s="127"/>
      <c r="IH544" s="127"/>
      <c r="II544" s="127"/>
      <c r="IJ544" s="127"/>
      <c r="IK544" s="127"/>
      <c r="LB544" s="127"/>
      <c r="LC544" s="127"/>
      <c r="LD544" s="127"/>
      <c r="LE544" s="127"/>
      <c r="LF544" s="127"/>
      <c r="LG544" s="127"/>
      <c r="LH544" s="127"/>
      <c r="LI544" s="127"/>
      <c r="LJ544" s="127"/>
      <c r="LK544" s="127"/>
      <c r="LL544" s="127"/>
      <c r="LM544" s="127"/>
      <c r="LN544" s="127"/>
      <c r="LO544" s="127"/>
      <c r="LP544" s="127"/>
      <c r="OG544" s="127"/>
      <c r="OH544" s="127"/>
      <c r="OI544" s="127"/>
      <c r="OJ544" s="127"/>
      <c r="OK544" s="127"/>
      <c r="OL544" s="127"/>
      <c r="OM544" s="127"/>
      <c r="ON544" s="127"/>
      <c r="OO544" s="127"/>
      <c r="OP544" s="127"/>
      <c r="OQ544" s="127"/>
      <c r="OR544" s="127"/>
      <c r="OS544" s="127"/>
      <c r="OT544" s="127"/>
      <c r="OU544" s="127"/>
    </row>
    <row r="545" spans="1:411">
      <c r="A545">
        <v>96</v>
      </c>
      <c r="B545">
        <v>1038</v>
      </c>
      <c r="C545" t="s">
        <v>72</v>
      </c>
      <c r="D545" t="s">
        <v>423</v>
      </c>
      <c r="E545" s="232" t="s">
        <v>12428</v>
      </c>
      <c r="F545" t="s">
        <v>70</v>
      </c>
      <c r="G545">
        <v>2</v>
      </c>
      <c r="H545">
        <v>687.18899999999996</v>
      </c>
      <c r="I545">
        <v>685.62199999999996</v>
      </c>
      <c r="J545">
        <v>683.63400000000001</v>
      </c>
      <c r="K545">
        <v>681.28399999999999</v>
      </c>
      <c r="L545">
        <v>678.98800000000006</v>
      </c>
      <c r="M545" s="233" t="s">
        <v>530</v>
      </c>
      <c r="N545" s="233" t="s">
        <v>531</v>
      </c>
      <c r="O545" s="3" t="s">
        <v>1043</v>
      </c>
      <c r="BM545" s="127"/>
      <c r="BN545" s="127"/>
      <c r="BO545" s="127"/>
      <c r="BP545" s="127"/>
      <c r="BQ545" s="127"/>
      <c r="BR545" s="127"/>
      <c r="BS545" s="127"/>
      <c r="BT545" s="127"/>
      <c r="BU545" s="127"/>
      <c r="BV545" s="127"/>
      <c r="BW545" s="127"/>
      <c r="BX545" s="127"/>
      <c r="BY545" s="127"/>
      <c r="BZ545" s="127"/>
      <c r="CA545" s="127"/>
      <c r="ER545" s="127"/>
      <c r="ES545" s="127"/>
      <c r="ET545" s="127"/>
      <c r="EU545" s="127"/>
      <c r="EV545" s="127"/>
      <c r="EW545" s="127"/>
      <c r="EX545" s="127"/>
      <c r="EY545" s="127"/>
      <c r="EZ545" s="127"/>
      <c r="FA545" s="127"/>
      <c r="FB545" s="127"/>
      <c r="FC545" s="127"/>
      <c r="FD545" s="127"/>
      <c r="FE545" s="127"/>
      <c r="FF545" s="127"/>
      <c r="HW545" s="127"/>
      <c r="HX545" s="127"/>
      <c r="HY545" s="127"/>
      <c r="HZ545" s="127"/>
      <c r="IA545" s="127"/>
      <c r="IB545" s="127"/>
      <c r="IC545" s="127"/>
      <c r="ID545" s="127"/>
      <c r="IE545" s="127"/>
      <c r="IF545" s="127"/>
      <c r="IG545" s="127"/>
      <c r="IH545" s="127"/>
      <c r="II545" s="127"/>
      <c r="IJ545" s="127"/>
      <c r="IK545" s="127"/>
      <c r="LB545" s="127"/>
      <c r="LC545" s="127"/>
      <c r="LD545" s="127"/>
      <c r="LE545" s="127"/>
      <c r="LF545" s="127"/>
      <c r="LG545" s="127"/>
      <c r="LH545" s="127"/>
      <c r="LI545" s="127"/>
      <c r="LJ545" s="127"/>
      <c r="LK545" s="127"/>
      <c r="LL545" s="127"/>
      <c r="LM545" s="127"/>
      <c r="LN545" s="127"/>
      <c r="LO545" s="127"/>
      <c r="LP545" s="127"/>
      <c r="OG545" s="127"/>
      <c r="OH545" s="127"/>
      <c r="OI545" s="127"/>
      <c r="OJ545" s="127"/>
      <c r="OK545" s="127"/>
      <c r="OL545" s="127"/>
      <c r="OM545" s="127"/>
      <c r="ON545" s="127"/>
      <c r="OO545" s="127"/>
      <c r="OP545" s="127"/>
      <c r="OQ545" s="127"/>
      <c r="OR545" s="127"/>
      <c r="OS545" s="127"/>
      <c r="OT545" s="127"/>
      <c r="OU545" s="127"/>
    </row>
    <row r="546" spans="1:411">
      <c r="A546">
        <v>96</v>
      </c>
      <c r="B546">
        <v>1027</v>
      </c>
      <c r="C546" t="s">
        <v>72</v>
      </c>
      <c r="D546" t="s">
        <v>423</v>
      </c>
      <c r="E546" s="232" t="s">
        <v>12908</v>
      </c>
      <c r="F546" t="s">
        <v>70</v>
      </c>
      <c r="G546">
        <v>2</v>
      </c>
      <c r="H546">
        <v>677.29100000000005</v>
      </c>
      <c r="I546">
        <v>675.74</v>
      </c>
      <c r="J546">
        <v>673.79700000000003</v>
      </c>
      <c r="K546">
        <v>671.33799999999997</v>
      </c>
      <c r="L546">
        <v>668.64400000000001</v>
      </c>
      <c r="M546" s="233" t="s">
        <v>530</v>
      </c>
      <c r="N546" s="233" t="s">
        <v>531</v>
      </c>
      <c r="O546" s="3" t="s">
        <v>1044</v>
      </c>
      <c r="BM546" s="127"/>
      <c r="BN546" s="127"/>
      <c r="BO546" s="127"/>
      <c r="BP546" s="127"/>
      <c r="BQ546" s="127"/>
      <c r="BR546" s="127"/>
      <c r="BS546" s="127"/>
      <c r="BT546" s="127"/>
      <c r="BU546" s="127"/>
      <c r="BV546" s="127"/>
      <c r="BW546" s="127"/>
      <c r="BX546" s="127"/>
      <c r="BY546" s="127"/>
      <c r="BZ546" s="127"/>
      <c r="CA546" s="127"/>
      <c r="ER546" s="127"/>
      <c r="ES546" s="127"/>
      <c r="ET546" s="127"/>
      <c r="EU546" s="127"/>
      <c r="EV546" s="127"/>
      <c r="EW546" s="127"/>
      <c r="EX546" s="127"/>
      <c r="EY546" s="127"/>
      <c r="EZ546" s="127"/>
      <c r="FA546" s="127"/>
      <c r="FB546" s="127"/>
      <c r="FC546" s="127"/>
      <c r="FD546" s="127"/>
      <c r="FE546" s="127"/>
      <c r="FF546" s="127"/>
      <c r="HW546" s="127"/>
      <c r="HX546" s="127"/>
      <c r="HY546" s="127"/>
      <c r="HZ546" s="127"/>
      <c r="IA546" s="127"/>
      <c r="IB546" s="127"/>
      <c r="IC546" s="127"/>
      <c r="ID546" s="127"/>
      <c r="IE546" s="127"/>
      <c r="IF546" s="127"/>
      <c r="IG546" s="127"/>
      <c r="IH546" s="127"/>
      <c r="II546" s="127"/>
      <c r="IJ546" s="127"/>
      <c r="IK546" s="127"/>
      <c r="LB546" s="127"/>
      <c r="LC546" s="127"/>
      <c r="LD546" s="127"/>
      <c r="LE546" s="127"/>
      <c r="LF546" s="127"/>
      <c r="LG546" s="127"/>
      <c r="LH546" s="127"/>
      <c r="LI546" s="127"/>
      <c r="LJ546" s="127"/>
      <c r="LK546" s="127"/>
      <c r="LL546" s="127"/>
      <c r="LM546" s="127"/>
      <c r="LN546" s="127"/>
      <c r="LO546" s="127"/>
      <c r="LP546" s="127"/>
      <c r="OG546" s="127"/>
      <c r="OH546" s="127"/>
      <c r="OI546" s="127"/>
      <c r="OJ546" s="127"/>
      <c r="OK546" s="127"/>
      <c r="OL546" s="127"/>
      <c r="OM546" s="127"/>
      <c r="ON546" s="127"/>
      <c r="OO546" s="127"/>
      <c r="OP546" s="127"/>
      <c r="OQ546" s="127"/>
      <c r="OR546" s="127"/>
      <c r="OS546" s="127"/>
      <c r="OT546" s="127"/>
      <c r="OU546" s="127"/>
    </row>
    <row r="547" spans="1:411">
      <c r="A547">
        <v>96</v>
      </c>
      <c r="B547">
        <v>1023</v>
      </c>
      <c r="C547" t="s">
        <v>72</v>
      </c>
      <c r="D547" t="s">
        <v>423</v>
      </c>
      <c r="E547" s="232" t="s">
        <v>13031</v>
      </c>
      <c r="F547" t="s">
        <v>70</v>
      </c>
      <c r="G547">
        <v>2</v>
      </c>
      <c r="H547">
        <v>675.40599999999995</v>
      </c>
      <c r="I547">
        <v>673.79700000000003</v>
      </c>
      <c r="J547">
        <v>671.77599999999995</v>
      </c>
      <c r="K547">
        <v>668.96500000000003</v>
      </c>
      <c r="L547">
        <v>665.89700000000005</v>
      </c>
      <c r="M547" s="233" t="s">
        <v>530</v>
      </c>
      <c r="N547" s="233" t="s">
        <v>531</v>
      </c>
      <c r="O547" s="3" t="s">
        <v>1045</v>
      </c>
      <c r="BM547" s="127"/>
      <c r="BN547" s="127"/>
      <c r="BO547" s="127"/>
      <c r="BP547" s="127"/>
      <c r="BQ547" s="127"/>
      <c r="BR547" s="127"/>
      <c r="BS547" s="127"/>
      <c r="BT547" s="127"/>
      <c r="BU547" s="127"/>
      <c r="BV547" s="127"/>
      <c r="BW547" s="127"/>
      <c r="BX547" s="127"/>
      <c r="BY547" s="127"/>
      <c r="BZ547" s="127"/>
      <c r="CA547" s="127"/>
      <c r="ER547" s="127"/>
      <c r="ES547" s="127"/>
      <c r="ET547" s="127"/>
      <c r="EU547" s="127"/>
      <c r="EV547" s="127"/>
      <c r="EW547" s="127"/>
      <c r="EX547" s="127"/>
      <c r="EY547" s="127"/>
      <c r="EZ547" s="127"/>
      <c r="FA547" s="127"/>
      <c r="FB547" s="127"/>
      <c r="FC547" s="127"/>
      <c r="FD547" s="127"/>
      <c r="FE547" s="127"/>
      <c r="FF547" s="127"/>
      <c r="HW547" s="127"/>
      <c r="HX547" s="127"/>
      <c r="HY547" s="127"/>
      <c r="HZ547" s="127"/>
      <c r="IA547" s="127"/>
      <c r="IB547" s="127"/>
      <c r="IC547" s="127"/>
      <c r="ID547" s="127"/>
      <c r="IE547" s="127"/>
      <c r="IF547" s="127"/>
      <c r="IG547" s="127"/>
      <c r="IH547" s="127"/>
      <c r="II547" s="127"/>
      <c r="IJ547" s="127"/>
      <c r="IK547" s="127"/>
      <c r="LB547" s="127"/>
      <c r="LC547" s="127"/>
      <c r="LD547" s="127"/>
      <c r="LE547" s="127"/>
      <c r="LF547" s="127"/>
      <c r="LG547" s="127"/>
      <c r="LH547" s="127"/>
      <c r="LI547" s="127"/>
      <c r="LJ547" s="127"/>
      <c r="LK547" s="127"/>
      <c r="LL547" s="127"/>
      <c r="LM547" s="127"/>
      <c r="LN547" s="127"/>
      <c r="LO547" s="127"/>
      <c r="LP547" s="127"/>
      <c r="OG547" s="127"/>
      <c r="OH547" s="127"/>
      <c r="OI547" s="127"/>
      <c r="OJ547" s="127"/>
      <c r="OK547" s="127"/>
      <c r="OL547" s="127"/>
      <c r="OM547" s="127"/>
      <c r="ON547" s="127"/>
      <c r="OO547" s="127"/>
      <c r="OP547" s="127"/>
      <c r="OQ547" s="127"/>
      <c r="OR547" s="127"/>
      <c r="OS547" s="127"/>
      <c r="OT547" s="127"/>
      <c r="OU547" s="127"/>
    </row>
    <row r="548" spans="1:411">
      <c r="A548">
        <v>96</v>
      </c>
      <c r="B548">
        <v>1040</v>
      </c>
      <c r="C548" t="s">
        <v>72</v>
      </c>
      <c r="D548" t="s">
        <v>423</v>
      </c>
      <c r="E548" s="232" t="s">
        <v>13197</v>
      </c>
      <c r="F548" t="s">
        <v>70</v>
      </c>
      <c r="G548">
        <v>2</v>
      </c>
      <c r="H548">
        <v>673.005</v>
      </c>
      <c r="I548">
        <v>671.43399999999997</v>
      </c>
      <c r="J548">
        <v>669.404</v>
      </c>
      <c r="K548">
        <v>666.49900000000002</v>
      </c>
      <c r="L548">
        <v>663.91800000000001</v>
      </c>
      <c r="M548" s="233" t="s">
        <v>530</v>
      </c>
      <c r="N548" s="233" t="s">
        <v>531</v>
      </c>
      <c r="O548" s="3" t="s">
        <v>1046</v>
      </c>
      <c r="BM548" s="127"/>
      <c r="BN548" s="127"/>
      <c r="BO548" s="127"/>
      <c r="BP548" s="127"/>
      <c r="BQ548" s="127"/>
      <c r="BR548" s="127"/>
      <c r="BS548" s="127"/>
      <c r="BT548" s="127"/>
      <c r="BU548" s="127"/>
      <c r="BV548" s="127"/>
      <c r="BW548" s="127"/>
      <c r="BX548" s="127"/>
      <c r="BY548" s="127"/>
      <c r="BZ548" s="127"/>
      <c r="CA548" s="127"/>
      <c r="ER548" s="127"/>
      <c r="ES548" s="127"/>
      <c r="ET548" s="127"/>
      <c r="EU548" s="127"/>
      <c r="EV548" s="127"/>
      <c r="EW548" s="127"/>
      <c r="EX548" s="127"/>
      <c r="EY548" s="127"/>
      <c r="EZ548" s="127"/>
      <c r="FA548" s="127"/>
      <c r="FB548" s="127"/>
      <c r="FC548" s="127"/>
      <c r="FD548" s="127"/>
      <c r="FE548" s="127"/>
      <c r="FF548" s="127"/>
      <c r="HW548" s="127"/>
      <c r="HX548" s="127"/>
      <c r="HY548" s="127"/>
      <c r="HZ548" s="127"/>
      <c r="IA548" s="127"/>
      <c r="IB548" s="127"/>
      <c r="IC548" s="127"/>
      <c r="ID548" s="127"/>
      <c r="IE548" s="127"/>
      <c r="IF548" s="127"/>
      <c r="IG548" s="127"/>
      <c r="IH548" s="127"/>
      <c r="II548" s="127"/>
      <c r="IJ548" s="127"/>
      <c r="IK548" s="127"/>
      <c r="LB548" s="127"/>
      <c r="LC548" s="127"/>
      <c r="LD548" s="127"/>
      <c r="LE548" s="127"/>
      <c r="LF548" s="127"/>
      <c r="LG548" s="127"/>
      <c r="LH548" s="127"/>
      <c r="LI548" s="127"/>
      <c r="LJ548" s="127"/>
      <c r="LK548" s="127"/>
      <c r="LL548" s="127"/>
      <c r="LM548" s="127"/>
      <c r="LN548" s="127"/>
      <c r="LO548" s="127"/>
      <c r="LP548" s="127"/>
      <c r="OG548" s="127"/>
      <c r="OH548" s="127"/>
      <c r="OI548" s="127"/>
      <c r="OJ548" s="127"/>
      <c r="OK548" s="127"/>
      <c r="OL548" s="127"/>
      <c r="OM548" s="127"/>
      <c r="ON548" s="127"/>
      <c r="OO548" s="127"/>
      <c r="OP548" s="127"/>
      <c r="OQ548" s="127"/>
      <c r="OR548" s="127"/>
      <c r="OS548" s="127"/>
      <c r="OT548" s="127"/>
      <c r="OU548" s="127"/>
    </row>
    <row r="549" spans="1:411">
      <c r="A549">
        <v>96</v>
      </c>
      <c r="B549">
        <v>1022</v>
      </c>
      <c r="C549" t="s">
        <v>72</v>
      </c>
      <c r="D549" t="s">
        <v>423</v>
      </c>
      <c r="E549" s="232" t="s">
        <v>13229</v>
      </c>
      <c r="F549" t="s">
        <v>70</v>
      </c>
      <c r="G549">
        <v>2</v>
      </c>
      <c r="H549">
        <v>672.56700000000001</v>
      </c>
      <c r="I549">
        <v>670.9</v>
      </c>
      <c r="J549">
        <v>668.86500000000001</v>
      </c>
      <c r="K549">
        <v>666.31899999999996</v>
      </c>
      <c r="L549">
        <v>663.39499999999998</v>
      </c>
      <c r="M549" s="233" t="s">
        <v>530</v>
      </c>
      <c r="N549" s="233" t="s">
        <v>531</v>
      </c>
      <c r="O549" s="3" t="s">
        <v>1047</v>
      </c>
      <c r="BM549" s="127"/>
      <c r="BN549" s="127"/>
      <c r="BO549" s="127"/>
      <c r="BP549" s="127"/>
      <c r="BQ549" s="127"/>
      <c r="BR549" s="127"/>
      <c r="BS549" s="127"/>
      <c r="BT549" s="127"/>
      <c r="BU549" s="127"/>
      <c r="BV549" s="127"/>
      <c r="BW549" s="127"/>
      <c r="BX549" s="127"/>
      <c r="BY549" s="127"/>
      <c r="BZ549" s="127"/>
      <c r="CA549" s="127"/>
      <c r="ER549" s="127"/>
      <c r="ES549" s="127"/>
      <c r="ET549" s="127"/>
      <c r="EU549" s="127"/>
      <c r="EV549" s="127"/>
      <c r="EW549" s="127"/>
      <c r="EX549" s="127"/>
      <c r="EY549" s="127"/>
      <c r="EZ549" s="127"/>
      <c r="FA549" s="127"/>
      <c r="FB549" s="127"/>
      <c r="FC549" s="127"/>
      <c r="FD549" s="127"/>
      <c r="FE549" s="127"/>
      <c r="FF549" s="127"/>
      <c r="HW549" s="127"/>
      <c r="HX549" s="127"/>
      <c r="HY549" s="127"/>
      <c r="HZ549" s="127"/>
      <c r="IA549" s="127"/>
      <c r="IB549" s="127"/>
      <c r="IC549" s="127"/>
      <c r="ID549" s="127"/>
      <c r="IE549" s="127"/>
      <c r="IF549" s="127"/>
      <c r="IG549" s="127"/>
      <c r="IH549" s="127"/>
      <c r="II549" s="127"/>
      <c r="IJ549" s="127"/>
      <c r="IK549" s="127"/>
      <c r="LB549" s="127"/>
      <c r="LC549" s="127"/>
      <c r="LD549" s="127"/>
      <c r="LE549" s="127"/>
      <c r="LF549" s="127"/>
      <c r="LG549" s="127"/>
      <c r="LH549" s="127"/>
      <c r="LI549" s="127"/>
      <c r="LJ549" s="127"/>
      <c r="LK549" s="127"/>
      <c r="LL549" s="127"/>
      <c r="LM549" s="127"/>
      <c r="LN549" s="127"/>
      <c r="LO549" s="127"/>
      <c r="LP549" s="127"/>
      <c r="OG549" s="127"/>
      <c r="OH549" s="127"/>
      <c r="OI549" s="127"/>
      <c r="OJ549" s="127"/>
      <c r="OK549" s="127"/>
      <c r="OL549" s="127"/>
      <c r="OM549" s="127"/>
      <c r="ON549" s="127"/>
      <c r="OO549" s="127"/>
      <c r="OP549" s="127"/>
      <c r="OQ549" s="127"/>
      <c r="OR549" s="127"/>
      <c r="OS549" s="127"/>
      <c r="OT549" s="127"/>
      <c r="OU549" s="127"/>
    </row>
    <row r="550" spans="1:411">
      <c r="A550">
        <v>96</v>
      </c>
      <c r="B550">
        <v>1025</v>
      </c>
      <c r="C550" t="s">
        <v>72</v>
      </c>
      <c r="D550" t="s">
        <v>423</v>
      </c>
      <c r="E550" s="232" t="s">
        <v>13248</v>
      </c>
      <c r="F550" t="s">
        <v>70</v>
      </c>
      <c r="G550">
        <v>2</v>
      </c>
      <c r="H550">
        <v>672.029</v>
      </c>
      <c r="I550">
        <v>670.37300000000005</v>
      </c>
      <c r="J550">
        <v>668.09199999999998</v>
      </c>
      <c r="K550">
        <v>665.03099999999995</v>
      </c>
      <c r="L550">
        <v>661.52499999999998</v>
      </c>
      <c r="M550" s="233" t="s">
        <v>530</v>
      </c>
      <c r="N550" s="233" t="s">
        <v>531</v>
      </c>
      <c r="O550" s="3" t="s">
        <v>1048</v>
      </c>
      <c r="BM550" s="127"/>
      <c r="BN550" s="127"/>
      <c r="BO550" s="127"/>
      <c r="BP550" s="127"/>
      <c r="BQ550" s="127"/>
      <c r="BR550" s="127"/>
      <c r="BS550" s="127"/>
      <c r="BT550" s="127"/>
      <c r="BU550" s="127"/>
      <c r="BV550" s="127"/>
      <c r="BW550" s="127"/>
      <c r="BX550" s="127"/>
      <c r="BY550" s="127"/>
      <c r="BZ550" s="127"/>
      <c r="CA550" s="127"/>
      <c r="ER550" s="127"/>
      <c r="ES550" s="127"/>
      <c r="ET550" s="127"/>
      <c r="EU550" s="127"/>
      <c r="EV550" s="127"/>
      <c r="EW550" s="127"/>
      <c r="EX550" s="127"/>
      <c r="EY550" s="127"/>
      <c r="EZ550" s="127"/>
      <c r="FA550" s="127"/>
      <c r="FB550" s="127"/>
      <c r="FC550" s="127"/>
      <c r="FD550" s="127"/>
      <c r="FE550" s="127"/>
      <c r="FF550" s="127"/>
      <c r="HW550" s="127"/>
      <c r="HX550" s="127"/>
      <c r="HY550" s="127"/>
      <c r="HZ550" s="127"/>
      <c r="IA550" s="127"/>
      <c r="IB550" s="127"/>
      <c r="IC550" s="127"/>
      <c r="ID550" s="127"/>
      <c r="IE550" s="127"/>
      <c r="IF550" s="127"/>
      <c r="IG550" s="127"/>
      <c r="IH550" s="127"/>
      <c r="II550" s="127"/>
      <c r="IJ550" s="127"/>
      <c r="IK550" s="127"/>
      <c r="LB550" s="127"/>
      <c r="LC550" s="127"/>
      <c r="LD550" s="127"/>
      <c r="LE550" s="127"/>
      <c r="LF550" s="127"/>
      <c r="LG550" s="127"/>
      <c r="LH550" s="127"/>
      <c r="LI550" s="127"/>
      <c r="LJ550" s="127"/>
      <c r="LK550" s="127"/>
      <c r="LL550" s="127"/>
      <c r="LM550" s="127"/>
      <c r="LN550" s="127"/>
      <c r="LO550" s="127"/>
      <c r="LP550" s="127"/>
      <c r="OG550" s="127"/>
      <c r="OH550" s="127"/>
      <c r="OI550" s="127"/>
      <c r="OJ550" s="127"/>
      <c r="OK550" s="127"/>
      <c r="OL550" s="127"/>
      <c r="OM550" s="127"/>
      <c r="ON550" s="127"/>
      <c r="OO550" s="127"/>
      <c r="OP550" s="127"/>
      <c r="OQ550" s="127"/>
      <c r="OR550" s="127"/>
      <c r="OS550" s="127"/>
      <c r="OT550" s="127"/>
      <c r="OU550" s="127"/>
    </row>
    <row r="551" spans="1:411">
      <c r="A551">
        <v>96</v>
      </c>
      <c r="B551">
        <v>1031</v>
      </c>
      <c r="C551" t="s">
        <v>72</v>
      </c>
      <c r="D551" t="s">
        <v>423</v>
      </c>
      <c r="E551" s="232" t="s">
        <v>13284</v>
      </c>
      <c r="F551" t="s">
        <v>70</v>
      </c>
      <c r="G551">
        <v>2</v>
      </c>
      <c r="H551">
        <v>671.23800000000006</v>
      </c>
      <c r="I551">
        <v>669.601</v>
      </c>
      <c r="J551">
        <v>667.70600000000002</v>
      </c>
      <c r="K551">
        <v>665.21400000000006</v>
      </c>
      <c r="L551">
        <v>662.1</v>
      </c>
      <c r="M551" s="233" t="s">
        <v>530</v>
      </c>
      <c r="N551" s="233" t="s">
        <v>531</v>
      </c>
      <c r="O551" s="3" t="s">
        <v>1049</v>
      </c>
      <c r="BM551" s="127"/>
      <c r="BN551" s="127"/>
      <c r="BO551" s="127"/>
      <c r="BP551" s="127"/>
      <c r="BQ551" s="127"/>
      <c r="BR551" s="127"/>
      <c r="BS551" s="127"/>
      <c r="BT551" s="127"/>
      <c r="BU551" s="127"/>
      <c r="BV551" s="127"/>
      <c r="BW551" s="127"/>
      <c r="BX551" s="127"/>
      <c r="BY551" s="127"/>
      <c r="BZ551" s="127"/>
      <c r="CA551" s="127"/>
      <c r="ER551" s="127"/>
      <c r="ES551" s="127"/>
      <c r="ET551" s="127"/>
      <c r="EU551" s="127"/>
      <c r="EV551" s="127"/>
      <c r="EW551" s="127"/>
      <c r="EX551" s="127"/>
      <c r="EY551" s="127"/>
      <c r="EZ551" s="127"/>
      <c r="FA551" s="127"/>
      <c r="FB551" s="127"/>
      <c r="FC551" s="127"/>
      <c r="FD551" s="127"/>
      <c r="FE551" s="127"/>
      <c r="FF551" s="127"/>
      <c r="HW551" s="127"/>
      <c r="HX551" s="127"/>
      <c r="HY551" s="127"/>
      <c r="HZ551" s="127"/>
      <c r="IA551" s="127"/>
      <c r="IB551" s="127"/>
      <c r="IC551" s="127"/>
      <c r="ID551" s="127"/>
      <c r="IE551" s="127"/>
      <c r="IF551" s="127"/>
      <c r="IG551" s="127"/>
      <c r="IH551" s="127"/>
      <c r="II551" s="127"/>
      <c r="IJ551" s="127"/>
      <c r="IK551" s="127"/>
      <c r="LB551" s="127"/>
      <c r="LC551" s="127"/>
      <c r="LD551" s="127"/>
      <c r="LE551" s="127"/>
      <c r="LF551" s="127"/>
      <c r="LG551" s="127"/>
      <c r="LH551" s="127"/>
      <c r="LI551" s="127"/>
      <c r="LJ551" s="127"/>
      <c r="LK551" s="127"/>
      <c r="LL551" s="127"/>
      <c r="LM551" s="127"/>
      <c r="LN551" s="127"/>
      <c r="LO551" s="127"/>
      <c r="LP551" s="127"/>
      <c r="OG551" s="127"/>
      <c r="OH551" s="127"/>
      <c r="OI551" s="127"/>
      <c r="OJ551" s="127"/>
      <c r="OK551" s="127"/>
      <c r="OL551" s="127"/>
      <c r="OM551" s="127"/>
      <c r="ON551" s="127"/>
      <c r="OO551" s="127"/>
      <c r="OP551" s="127"/>
      <c r="OQ551" s="127"/>
      <c r="OR551" s="127"/>
      <c r="OS551" s="127"/>
      <c r="OT551" s="127"/>
      <c r="OU551" s="127"/>
    </row>
    <row r="552" spans="1:411">
      <c r="A552">
        <v>96</v>
      </c>
      <c r="B552">
        <v>1042</v>
      </c>
      <c r="C552" t="s">
        <v>72</v>
      </c>
      <c r="D552" t="s">
        <v>423</v>
      </c>
      <c r="E552" s="232" t="s">
        <v>13358</v>
      </c>
      <c r="F552" t="s">
        <v>70</v>
      </c>
      <c r="G552">
        <v>2</v>
      </c>
      <c r="H552">
        <v>668.36099999999999</v>
      </c>
      <c r="I552">
        <v>666.98099999999999</v>
      </c>
      <c r="J552">
        <v>665.12699999999995</v>
      </c>
      <c r="K552">
        <v>662</v>
      </c>
      <c r="L552">
        <v>658.72199999999998</v>
      </c>
      <c r="M552" s="233" t="s">
        <v>530</v>
      </c>
      <c r="N552" s="233" t="s">
        <v>531</v>
      </c>
      <c r="O552" s="3" t="s">
        <v>1050</v>
      </c>
      <c r="BM552" s="127"/>
      <c r="BN552" s="127"/>
      <c r="BO552" s="127"/>
      <c r="BP552" s="127"/>
      <c r="BQ552" s="127"/>
      <c r="BR552" s="127"/>
      <c r="BS552" s="127"/>
      <c r="BT552" s="127"/>
      <c r="BU552" s="127"/>
      <c r="BV552" s="127"/>
      <c r="BW552" s="127"/>
      <c r="BX552" s="127"/>
      <c r="BY552" s="127"/>
      <c r="BZ552" s="127"/>
      <c r="CA552" s="127"/>
      <c r="ER552" s="127"/>
      <c r="ES552" s="127"/>
      <c r="ET552" s="127"/>
      <c r="EU552" s="127"/>
      <c r="EV552" s="127"/>
      <c r="EW552" s="127"/>
      <c r="EX552" s="127"/>
      <c r="EY552" s="127"/>
      <c r="EZ552" s="127"/>
      <c r="FA552" s="127"/>
      <c r="FB552" s="127"/>
      <c r="FC552" s="127"/>
      <c r="FD552" s="127"/>
      <c r="FE552" s="127"/>
      <c r="FF552" s="127"/>
      <c r="HW552" s="127"/>
      <c r="HX552" s="127"/>
      <c r="HY552" s="127"/>
      <c r="HZ552" s="127"/>
      <c r="IA552" s="127"/>
      <c r="IB552" s="127"/>
      <c r="IC552" s="127"/>
      <c r="ID552" s="127"/>
      <c r="IE552" s="127"/>
      <c r="IF552" s="127"/>
      <c r="IG552" s="127"/>
      <c r="IH552" s="127"/>
      <c r="II552" s="127"/>
      <c r="IJ552" s="127"/>
      <c r="IK552" s="127"/>
      <c r="LB552" s="127"/>
      <c r="LC552" s="127"/>
      <c r="LD552" s="127"/>
      <c r="LE552" s="127"/>
      <c r="LF552" s="127"/>
      <c r="LG552" s="127"/>
      <c r="LH552" s="127"/>
      <c r="LI552" s="127"/>
      <c r="LJ552" s="127"/>
      <c r="LK552" s="127"/>
      <c r="LL552" s="127"/>
      <c r="LM552" s="127"/>
      <c r="LN552" s="127"/>
      <c r="LO552" s="127"/>
      <c r="LP552" s="127"/>
      <c r="OG552" s="127"/>
      <c r="OH552" s="127"/>
      <c r="OI552" s="127"/>
      <c r="OJ552" s="127"/>
      <c r="OK552" s="127"/>
      <c r="OL552" s="127"/>
      <c r="OM552" s="127"/>
      <c r="ON552" s="127"/>
      <c r="OO552" s="127"/>
      <c r="OP552" s="127"/>
      <c r="OQ552" s="127"/>
      <c r="OR552" s="127"/>
      <c r="OS552" s="127"/>
      <c r="OT552" s="127"/>
      <c r="OU552" s="127"/>
    </row>
    <row r="553" spans="1:411">
      <c r="A553">
        <v>96</v>
      </c>
      <c r="B553">
        <v>1041</v>
      </c>
      <c r="C553" t="s">
        <v>72</v>
      </c>
      <c r="D553" t="s">
        <v>423</v>
      </c>
      <c r="E553" s="232" t="s">
        <v>13446</v>
      </c>
      <c r="F553" t="s">
        <v>70</v>
      </c>
      <c r="G553">
        <v>2</v>
      </c>
      <c r="H553">
        <v>666.19399999999996</v>
      </c>
      <c r="I553">
        <v>664.71699999999998</v>
      </c>
      <c r="J553">
        <v>663.29499999999996</v>
      </c>
      <c r="K553">
        <v>661.15800000000002</v>
      </c>
      <c r="L553">
        <v>659.05899999999997</v>
      </c>
      <c r="M553" s="233" t="s">
        <v>530</v>
      </c>
      <c r="N553" s="233" t="s">
        <v>531</v>
      </c>
      <c r="O553" s="3" t="s">
        <v>1051</v>
      </c>
      <c r="BM553" s="127"/>
      <c r="BN553" s="127"/>
      <c r="BO553" s="127"/>
      <c r="BP553" s="127"/>
      <c r="BQ553" s="127"/>
      <c r="BR553" s="127"/>
      <c r="BS553" s="127"/>
      <c r="BT553" s="127"/>
      <c r="BU553" s="127"/>
      <c r="BV553" s="127"/>
      <c r="BW553" s="127"/>
      <c r="BX553" s="127"/>
      <c r="BY553" s="127"/>
      <c r="BZ553" s="127"/>
      <c r="CA553" s="127"/>
      <c r="ER553" s="127"/>
      <c r="ES553" s="127"/>
      <c r="ET553" s="127"/>
      <c r="EU553" s="127"/>
      <c r="EV553" s="127"/>
      <c r="EW553" s="127"/>
      <c r="EX553" s="127"/>
      <c r="EY553" s="127"/>
      <c r="EZ553" s="127"/>
      <c r="FA553" s="127"/>
      <c r="FB553" s="127"/>
      <c r="FC553" s="127"/>
      <c r="FD553" s="127"/>
      <c r="FE553" s="127"/>
      <c r="FF553" s="127"/>
      <c r="HW553" s="127"/>
      <c r="HX553" s="127"/>
      <c r="HY553" s="127"/>
      <c r="HZ553" s="127"/>
      <c r="IA553" s="127"/>
      <c r="IB553" s="127"/>
      <c r="IC553" s="127"/>
      <c r="ID553" s="127"/>
      <c r="IE553" s="127"/>
      <c r="IF553" s="127"/>
      <c r="IG553" s="127"/>
      <c r="IH553" s="127"/>
      <c r="II553" s="127"/>
      <c r="IJ553" s="127"/>
      <c r="IK553" s="127"/>
      <c r="LB553" s="127"/>
      <c r="LC553" s="127"/>
      <c r="LD553" s="127"/>
      <c r="LE553" s="127"/>
      <c r="LF553" s="127"/>
      <c r="LG553" s="127"/>
      <c r="LH553" s="127"/>
      <c r="LI553" s="127"/>
      <c r="LJ553" s="127"/>
      <c r="LK553" s="127"/>
      <c r="LL553" s="127"/>
      <c r="LM553" s="127"/>
      <c r="LN553" s="127"/>
      <c r="LO553" s="127"/>
      <c r="LP553" s="127"/>
      <c r="OG553" s="127"/>
      <c r="OH553" s="127"/>
      <c r="OI553" s="127"/>
      <c r="OJ553" s="127"/>
      <c r="OK553" s="127"/>
      <c r="OL553" s="127"/>
      <c r="OM553" s="127"/>
      <c r="ON553" s="127"/>
      <c r="OO553" s="127"/>
      <c r="OP553" s="127"/>
      <c r="OQ553" s="127"/>
      <c r="OR553" s="127"/>
      <c r="OS553" s="127"/>
      <c r="OT553" s="127"/>
      <c r="OU553" s="127"/>
    </row>
    <row r="554" spans="1:411">
      <c r="A554">
        <v>96</v>
      </c>
      <c r="B554">
        <v>1024</v>
      </c>
      <c r="C554" t="s">
        <v>72</v>
      </c>
      <c r="D554" t="s">
        <v>423</v>
      </c>
      <c r="E554" s="232" t="s">
        <v>13474</v>
      </c>
      <c r="F554" t="s">
        <v>70</v>
      </c>
      <c r="G554">
        <v>2</v>
      </c>
      <c r="H554">
        <v>664.39099999999996</v>
      </c>
      <c r="I554">
        <v>663.49199999999996</v>
      </c>
      <c r="J554">
        <v>662.197</v>
      </c>
      <c r="K554">
        <v>660.16800000000001</v>
      </c>
      <c r="L554">
        <v>658.03499999999997</v>
      </c>
      <c r="M554" s="233" t="s">
        <v>530</v>
      </c>
      <c r="N554" s="233" t="s">
        <v>531</v>
      </c>
      <c r="O554" s="3" t="s">
        <v>1052</v>
      </c>
      <c r="BM554" s="127"/>
      <c r="BN554" s="127"/>
      <c r="BO554" s="127"/>
      <c r="BP554" s="127"/>
      <c r="BQ554" s="127"/>
      <c r="BR554" s="127"/>
      <c r="BS554" s="127"/>
      <c r="BT554" s="127"/>
      <c r="BU554" s="127"/>
      <c r="BV554" s="127"/>
      <c r="BW554" s="127"/>
      <c r="BX554" s="127"/>
      <c r="BY554" s="127"/>
      <c r="BZ554" s="127"/>
      <c r="CA554" s="127"/>
      <c r="ER554" s="127"/>
      <c r="ES554" s="127"/>
      <c r="ET554" s="127"/>
      <c r="EU554" s="127"/>
      <c r="EV554" s="127"/>
      <c r="EW554" s="127"/>
      <c r="EX554" s="127"/>
      <c r="EY554" s="127"/>
      <c r="EZ554" s="127"/>
      <c r="FA554" s="127"/>
      <c r="FB554" s="127"/>
      <c r="FC554" s="127"/>
      <c r="FD554" s="127"/>
      <c r="FE554" s="127"/>
      <c r="FF554" s="127"/>
      <c r="HW554" s="127"/>
      <c r="HX554" s="127"/>
      <c r="HY554" s="127"/>
      <c r="HZ554" s="127"/>
      <c r="IA554" s="127"/>
      <c r="IB554" s="127"/>
      <c r="IC554" s="127"/>
      <c r="ID554" s="127"/>
      <c r="IE554" s="127"/>
      <c r="IF554" s="127"/>
      <c r="IG554" s="127"/>
      <c r="IH554" s="127"/>
      <c r="II554" s="127"/>
      <c r="IJ554" s="127"/>
      <c r="IK554" s="127"/>
      <c r="LB554" s="127"/>
      <c r="LC554" s="127"/>
      <c r="LD554" s="127"/>
      <c r="LE554" s="127"/>
      <c r="LF554" s="127"/>
      <c r="LG554" s="127"/>
      <c r="LH554" s="127"/>
      <c r="LI554" s="127"/>
      <c r="LJ554" s="127"/>
      <c r="LK554" s="127"/>
      <c r="LL554" s="127"/>
      <c r="LM554" s="127"/>
      <c r="LN554" s="127"/>
      <c r="LO554" s="127"/>
      <c r="LP554" s="127"/>
      <c r="OG554" s="127"/>
      <c r="OH554" s="127"/>
      <c r="OI554" s="127"/>
      <c r="OJ554" s="127"/>
      <c r="OK554" s="127"/>
      <c r="OL554" s="127"/>
      <c r="OM554" s="127"/>
      <c r="ON554" s="127"/>
      <c r="OO554" s="127"/>
      <c r="OP554" s="127"/>
      <c r="OQ554" s="127"/>
      <c r="OR554" s="127"/>
      <c r="OS554" s="127"/>
      <c r="OT554" s="127"/>
      <c r="OU554" s="127"/>
    </row>
    <row r="555" spans="1:411">
      <c r="A555">
        <v>132</v>
      </c>
      <c r="B555">
        <v>1155</v>
      </c>
      <c r="C555" t="s">
        <v>72</v>
      </c>
      <c r="D555" t="s">
        <v>446</v>
      </c>
      <c r="E555" s="232" t="s">
        <v>486</v>
      </c>
      <c r="F555" t="s">
        <v>70</v>
      </c>
      <c r="G555">
        <v>2</v>
      </c>
      <c r="H555">
        <v>824.4</v>
      </c>
      <c r="I555">
        <v>815.82</v>
      </c>
      <c r="J555">
        <v>802.64</v>
      </c>
      <c r="K555">
        <v>793.23</v>
      </c>
      <c r="L555">
        <v>781.83</v>
      </c>
      <c r="M555" s="233" t="s">
        <v>454</v>
      </c>
      <c r="N555" s="233" t="s">
        <v>454</v>
      </c>
      <c r="O555" s="3" t="s">
        <v>1053</v>
      </c>
      <c r="BM555" s="127"/>
      <c r="BN555" s="127"/>
      <c r="BO555" s="127"/>
      <c r="BP555" s="127"/>
      <c r="BQ555" s="127"/>
      <c r="BR555" s="127"/>
      <c r="BS555" s="127"/>
      <c r="BT555" s="127"/>
      <c r="BU555" s="127"/>
      <c r="BV555" s="127"/>
      <c r="BW555" s="127"/>
      <c r="BX555" s="127"/>
      <c r="BY555" s="127"/>
      <c r="BZ555" s="127"/>
      <c r="CA555" s="127"/>
      <c r="ER555" s="127"/>
      <c r="ES555" s="127"/>
      <c r="ET555" s="127"/>
      <c r="EU555" s="127"/>
      <c r="EV555" s="127"/>
      <c r="EW555" s="127"/>
      <c r="EX555" s="127"/>
      <c r="EY555" s="127"/>
      <c r="EZ555" s="127"/>
      <c r="FA555" s="127"/>
      <c r="FB555" s="127"/>
      <c r="FC555" s="127"/>
      <c r="FD555" s="127"/>
      <c r="FE555" s="127"/>
      <c r="FF555" s="127"/>
      <c r="HW555" s="127"/>
      <c r="HX555" s="127"/>
      <c r="HY555" s="127"/>
      <c r="HZ555" s="127"/>
      <c r="IA555" s="127"/>
      <c r="IB555" s="127"/>
      <c r="IC555" s="127"/>
      <c r="ID555" s="127"/>
      <c r="IE555" s="127"/>
      <c r="IF555" s="127"/>
      <c r="IG555" s="127"/>
      <c r="IH555" s="127"/>
      <c r="II555" s="127"/>
      <c r="IJ555" s="127"/>
      <c r="IK555" s="127"/>
      <c r="LB555" s="127"/>
      <c r="LC555" s="127"/>
      <c r="LD555" s="127"/>
      <c r="LE555" s="127"/>
      <c r="LF555" s="127"/>
      <c r="LG555" s="127"/>
      <c r="LH555" s="127"/>
      <c r="LI555" s="127"/>
      <c r="LJ555" s="127"/>
      <c r="LK555" s="127"/>
      <c r="LL555" s="127"/>
      <c r="LM555" s="127"/>
      <c r="LN555" s="127"/>
      <c r="LO555" s="127"/>
      <c r="LP555" s="127"/>
      <c r="OG555" s="127"/>
      <c r="OH555" s="127"/>
      <c r="OI555" s="127"/>
      <c r="OJ555" s="127"/>
      <c r="OK555" s="127"/>
      <c r="OL555" s="127"/>
      <c r="OM555" s="127"/>
      <c r="ON555" s="127"/>
      <c r="OO555" s="127"/>
      <c r="OP555" s="127"/>
      <c r="OQ555" s="127"/>
      <c r="OR555" s="127"/>
      <c r="OS555" s="127"/>
      <c r="OT555" s="127"/>
      <c r="OU555" s="127"/>
    </row>
    <row r="556" spans="1:411">
      <c r="A556">
        <v>132</v>
      </c>
      <c r="B556">
        <v>1154</v>
      </c>
      <c r="C556" t="s">
        <v>72</v>
      </c>
      <c r="D556" t="s">
        <v>446</v>
      </c>
      <c r="E556" s="232" t="s">
        <v>8283</v>
      </c>
      <c r="F556" t="s">
        <v>70</v>
      </c>
      <c r="G556">
        <v>2</v>
      </c>
      <c r="H556">
        <v>817.74</v>
      </c>
      <c r="I556">
        <v>808.01</v>
      </c>
      <c r="J556">
        <v>797.51</v>
      </c>
      <c r="K556">
        <v>787.85</v>
      </c>
      <c r="L556">
        <v>776.67</v>
      </c>
      <c r="M556" s="233" t="s">
        <v>454</v>
      </c>
      <c r="N556" s="233" t="s">
        <v>454</v>
      </c>
      <c r="O556" s="3" t="s">
        <v>1054</v>
      </c>
      <c r="BM556" s="127"/>
      <c r="BN556" s="127"/>
      <c r="BO556" s="127"/>
      <c r="BP556" s="127"/>
      <c r="BQ556" s="127"/>
      <c r="BR556" s="127"/>
      <c r="BS556" s="127"/>
      <c r="BT556" s="127"/>
      <c r="BU556" s="127"/>
      <c r="BV556" s="127"/>
      <c r="BW556" s="127"/>
      <c r="BX556" s="127"/>
      <c r="BY556" s="127"/>
      <c r="BZ556" s="127"/>
      <c r="CA556" s="127"/>
      <c r="ER556" s="127"/>
      <c r="ES556" s="127"/>
      <c r="ET556" s="127"/>
      <c r="EU556" s="127"/>
      <c r="EV556" s="127"/>
      <c r="EW556" s="127"/>
      <c r="EX556" s="127"/>
      <c r="EY556" s="127"/>
      <c r="EZ556" s="127"/>
      <c r="FA556" s="127"/>
      <c r="FB556" s="127"/>
      <c r="FC556" s="127"/>
      <c r="FD556" s="127"/>
      <c r="FE556" s="127"/>
      <c r="FF556" s="127"/>
      <c r="HW556" s="127"/>
      <c r="HX556" s="127"/>
      <c r="HY556" s="127"/>
      <c r="HZ556" s="127"/>
      <c r="IA556" s="127"/>
      <c r="IB556" s="127"/>
      <c r="IC556" s="127"/>
      <c r="ID556" s="127"/>
      <c r="IE556" s="127"/>
      <c r="IF556" s="127"/>
      <c r="IG556" s="127"/>
      <c r="IH556" s="127"/>
      <c r="II556" s="127"/>
      <c r="IJ556" s="127"/>
      <c r="IK556" s="127"/>
      <c r="LB556" s="127"/>
      <c r="LC556" s="127"/>
      <c r="LD556" s="127"/>
      <c r="LE556" s="127"/>
      <c r="LF556" s="127"/>
      <c r="LG556" s="127"/>
      <c r="LH556" s="127"/>
      <c r="LI556" s="127"/>
      <c r="LJ556" s="127"/>
      <c r="LK556" s="127"/>
      <c r="LL556" s="127"/>
      <c r="LM556" s="127"/>
      <c r="LN556" s="127"/>
      <c r="LO556" s="127"/>
      <c r="LP556" s="127"/>
      <c r="OG556" s="127"/>
      <c r="OH556" s="127"/>
      <c r="OI556" s="127"/>
      <c r="OJ556" s="127"/>
      <c r="OK556" s="127"/>
      <c r="OL556" s="127"/>
      <c r="OM556" s="127"/>
      <c r="ON556" s="127"/>
      <c r="OO556" s="127"/>
      <c r="OP556" s="127"/>
      <c r="OQ556" s="127"/>
      <c r="OR556" s="127"/>
      <c r="OS556" s="127"/>
      <c r="OT556" s="127"/>
      <c r="OU556" s="127"/>
    </row>
    <row r="557" spans="1:411">
      <c r="A557">
        <v>132</v>
      </c>
      <c r="B557">
        <v>1158</v>
      </c>
      <c r="C557" t="s">
        <v>72</v>
      </c>
      <c r="D557" t="s">
        <v>446</v>
      </c>
      <c r="E557" s="232" t="s">
        <v>9074</v>
      </c>
      <c r="F557" t="s">
        <v>70</v>
      </c>
      <c r="G557">
        <v>2</v>
      </c>
      <c r="H557">
        <v>820.13</v>
      </c>
      <c r="I557">
        <v>809.38</v>
      </c>
      <c r="J557">
        <v>797.51</v>
      </c>
      <c r="K557">
        <v>787.92</v>
      </c>
      <c r="L557">
        <v>778.27</v>
      </c>
      <c r="M557" s="233" t="s">
        <v>454</v>
      </c>
      <c r="N557" s="233" t="s">
        <v>454</v>
      </c>
      <c r="O557" s="3" t="s">
        <v>1055</v>
      </c>
      <c r="BM557" s="127"/>
      <c r="BN557" s="127"/>
      <c r="BO557" s="127"/>
      <c r="BP557" s="127"/>
      <c r="BQ557" s="127"/>
      <c r="BR557" s="127"/>
      <c r="BS557" s="127"/>
      <c r="BT557" s="127"/>
      <c r="BU557" s="127"/>
      <c r="BV557" s="127"/>
      <c r="BW557" s="127"/>
      <c r="BX557" s="127"/>
      <c r="BY557" s="127"/>
      <c r="BZ557" s="127"/>
      <c r="CA557" s="127"/>
      <c r="ER557" s="127"/>
      <c r="ES557" s="127"/>
      <c r="ET557" s="127"/>
      <c r="EU557" s="127"/>
      <c r="EV557" s="127"/>
      <c r="EW557" s="127"/>
      <c r="EX557" s="127"/>
      <c r="EY557" s="127"/>
      <c r="EZ557" s="127"/>
      <c r="FA557" s="127"/>
      <c r="FB557" s="127"/>
      <c r="FC557" s="127"/>
      <c r="FD557" s="127"/>
      <c r="FE557" s="127"/>
      <c r="FF557" s="127"/>
      <c r="HW557" s="127"/>
      <c r="HX557" s="127"/>
      <c r="HY557" s="127"/>
      <c r="HZ557" s="127"/>
      <c r="IA557" s="127"/>
      <c r="IB557" s="127"/>
      <c r="IC557" s="127"/>
      <c r="ID557" s="127"/>
      <c r="IE557" s="127"/>
      <c r="IF557" s="127"/>
      <c r="IG557" s="127"/>
      <c r="IH557" s="127"/>
      <c r="II557" s="127"/>
      <c r="IJ557" s="127"/>
      <c r="IK557" s="127"/>
      <c r="LB557" s="127"/>
      <c r="LC557" s="127"/>
      <c r="LD557" s="127"/>
      <c r="LE557" s="127"/>
      <c r="LF557" s="127"/>
      <c r="LG557" s="127"/>
      <c r="LH557" s="127"/>
      <c r="LI557" s="127"/>
      <c r="LJ557" s="127"/>
      <c r="LK557" s="127"/>
      <c r="LL557" s="127"/>
      <c r="LM557" s="127"/>
      <c r="LN557" s="127"/>
      <c r="LO557" s="127"/>
      <c r="LP557" s="127"/>
      <c r="OG557" s="127"/>
      <c r="OH557" s="127"/>
      <c r="OI557" s="127"/>
      <c r="OJ557" s="127"/>
      <c r="OK557" s="127"/>
      <c r="OL557" s="127"/>
      <c r="OM557" s="127"/>
      <c r="ON557" s="127"/>
      <c r="OO557" s="127"/>
      <c r="OP557" s="127"/>
      <c r="OQ557" s="127"/>
      <c r="OR557" s="127"/>
      <c r="OS557" s="127"/>
      <c r="OT557" s="127"/>
      <c r="OU557" s="127"/>
    </row>
    <row r="558" spans="1:411">
      <c r="A558">
        <v>132</v>
      </c>
      <c r="B558">
        <v>1142</v>
      </c>
      <c r="C558" t="s">
        <v>72</v>
      </c>
      <c r="D558" t="s">
        <v>446</v>
      </c>
      <c r="E558" s="232" t="s">
        <v>9611</v>
      </c>
      <c r="F558" t="s">
        <v>70</v>
      </c>
      <c r="G558">
        <v>2</v>
      </c>
      <c r="H558">
        <v>812.83</v>
      </c>
      <c r="I558">
        <v>801.68</v>
      </c>
      <c r="J558">
        <v>789.75</v>
      </c>
      <c r="K558">
        <v>780.7</v>
      </c>
      <c r="L558">
        <v>772.58</v>
      </c>
      <c r="M558" s="233" t="s">
        <v>454</v>
      </c>
      <c r="N558" s="233" t="s">
        <v>454</v>
      </c>
      <c r="O558" s="3" t="s">
        <v>1056</v>
      </c>
      <c r="BM558" s="127"/>
      <c r="BN558" s="127"/>
      <c r="BO558" s="127"/>
      <c r="BP558" s="127"/>
      <c r="BQ558" s="127"/>
      <c r="BR558" s="127"/>
      <c r="BS558" s="127"/>
      <c r="BT558" s="127"/>
      <c r="BU558" s="127"/>
      <c r="BV558" s="127"/>
      <c r="BW558" s="127"/>
      <c r="BX558" s="127"/>
      <c r="BY558" s="127"/>
      <c r="BZ558" s="127"/>
      <c r="CA558" s="127"/>
      <c r="ER558" s="127"/>
      <c r="ES558" s="127"/>
      <c r="ET558" s="127"/>
      <c r="EU558" s="127"/>
      <c r="EV558" s="127"/>
      <c r="EW558" s="127"/>
      <c r="EX558" s="127"/>
      <c r="EY558" s="127"/>
      <c r="EZ558" s="127"/>
      <c r="FA558" s="127"/>
      <c r="FB558" s="127"/>
      <c r="FC558" s="127"/>
      <c r="FD558" s="127"/>
      <c r="FE558" s="127"/>
      <c r="FF558" s="127"/>
      <c r="HW558" s="127"/>
      <c r="HX558" s="127"/>
      <c r="HY558" s="127"/>
      <c r="HZ558" s="127"/>
      <c r="IA558" s="127"/>
      <c r="IB558" s="127"/>
      <c r="IC558" s="127"/>
      <c r="ID558" s="127"/>
      <c r="IE558" s="127"/>
      <c r="IF558" s="127"/>
      <c r="IG558" s="127"/>
      <c r="IH558" s="127"/>
      <c r="II558" s="127"/>
      <c r="IJ558" s="127"/>
      <c r="IK558" s="127"/>
      <c r="LB558" s="127"/>
      <c r="LC558" s="127"/>
      <c r="LD558" s="127"/>
      <c r="LE558" s="127"/>
      <c r="LF558" s="127"/>
      <c r="LG558" s="127"/>
      <c r="LH558" s="127"/>
      <c r="LI558" s="127"/>
      <c r="LJ558" s="127"/>
      <c r="LK558" s="127"/>
      <c r="LL558" s="127"/>
      <c r="LM558" s="127"/>
      <c r="LN558" s="127"/>
      <c r="LO558" s="127"/>
      <c r="LP558" s="127"/>
      <c r="OG558" s="127"/>
      <c r="OH558" s="127"/>
      <c r="OI558" s="127"/>
      <c r="OJ558" s="127"/>
      <c r="OK558" s="127"/>
      <c r="OL558" s="127"/>
      <c r="OM558" s="127"/>
      <c r="ON558" s="127"/>
      <c r="OO558" s="127"/>
      <c r="OP558" s="127"/>
      <c r="OQ558" s="127"/>
      <c r="OR558" s="127"/>
      <c r="OS558" s="127"/>
      <c r="OT558" s="127"/>
      <c r="OU558" s="127"/>
    </row>
    <row r="559" spans="1:411">
      <c r="A559">
        <v>132</v>
      </c>
      <c r="B559">
        <v>1145</v>
      </c>
      <c r="C559" t="s">
        <v>72</v>
      </c>
      <c r="D559" t="s">
        <v>446</v>
      </c>
      <c r="E559" s="232" t="s">
        <v>8757</v>
      </c>
      <c r="F559" t="s">
        <v>70</v>
      </c>
      <c r="G559">
        <v>2</v>
      </c>
      <c r="H559">
        <v>810.72</v>
      </c>
      <c r="I559">
        <v>800.2</v>
      </c>
      <c r="J559">
        <v>787.85</v>
      </c>
      <c r="K559">
        <v>780.38</v>
      </c>
      <c r="L559">
        <v>771.67</v>
      </c>
      <c r="M559" s="233" t="s">
        <v>454</v>
      </c>
      <c r="N559" s="233" t="s">
        <v>454</v>
      </c>
      <c r="O559" s="3" t="s">
        <v>1057</v>
      </c>
      <c r="BM559" s="127"/>
      <c r="BN559" s="127"/>
      <c r="BO559" s="127"/>
      <c r="BP559" s="127"/>
      <c r="BQ559" s="127"/>
      <c r="BR559" s="127"/>
      <c r="BS559" s="127"/>
      <c r="BT559" s="127"/>
      <c r="BU559" s="127"/>
      <c r="BV559" s="127"/>
      <c r="BW559" s="127"/>
      <c r="BX559" s="127"/>
      <c r="BY559" s="127"/>
      <c r="BZ559" s="127"/>
      <c r="CA559" s="127"/>
      <c r="ER559" s="127"/>
      <c r="ES559" s="127"/>
      <c r="ET559" s="127"/>
      <c r="EU559" s="127"/>
      <c r="EV559" s="127"/>
      <c r="EW559" s="127"/>
      <c r="EX559" s="127"/>
      <c r="EY559" s="127"/>
      <c r="EZ559" s="127"/>
      <c r="FA559" s="127"/>
      <c r="FB559" s="127"/>
      <c r="FC559" s="127"/>
      <c r="FD559" s="127"/>
      <c r="FE559" s="127"/>
      <c r="FF559" s="127"/>
      <c r="HW559" s="127"/>
      <c r="HX559" s="127"/>
      <c r="HY559" s="127"/>
      <c r="HZ559" s="127"/>
      <c r="IA559" s="127"/>
      <c r="IB559" s="127"/>
      <c r="IC559" s="127"/>
      <c r="ID559" s="127"/>
      <c r="IE559" s="127"/>
      <c r="IF559" s="127"/>
      <c r="IG559" s="127"/>
      <c r="IH559" s="127"/>
      <c r="II559" s="127"/>
      <c r="IJ559" s="127"/>
      <c r="IK559" s="127"/>
      <c r="LB559" s="127"/>
      <c r="LC559" s="127"/>
      <c r="LD559" s="127"/>
      <c r="LE559" s="127"/>
      <c r="LF559" s="127"/>
      <c r="LG559" s="127"/>
      <c r="LH559" s="127"/>
      <c r="LI559" s="127"/>
      <c r="LJ559" s="127"/>
      <c r="LK559" s="127"/>
      <c r="LL559" s="127"/>
      <c r="LM559" s="127"/>
      <c r="LN559" s="127"/>
      <c r="LO559" s="127"/>
      <c r="LP559" s="127"/>
      <c r="OG559" s="127"/>
      <c r="OH559" s="127"/>
      <c r="OI559" s="127"/>
      <c r="OJ559" s="127"/>
      <c r="OK559" s="127"/>
      <c r="OL559" s="127"/>
      <c r="OM559" s="127"/>
      <c r="ON559" s="127"/>
      <c r="OO559" s="127"/>
      <c r="OP559" s="127"/>
      <c r="OQ559" s="127"/>
      <c r="OR559" s="127"/>
      <c r="OS559" s="127"/>
      <c r="OT559" s="127"/>
      <c r="OU559" s="127"/>
    </row>
    <row r="560" spans="1:411">
      <c r="A560">
        <v>132</v>
      </c>
      <c r="B560">
        <v>1143</v>
      </c>
      <c r="C560" t="s">
        <v>72</v>
      </c>
      <c r="D560" t="s">
        <v>446</v>
      </c>
      <c r="E560" s="232" t="s">
        <v>11943</v>
      </c>
      <c r="F560" t="s">
        <v>70</v>
      </c>
      <c r="G560">
        <v>2</v>
      </c>
      <c r="H560">
        <v>808.61</v>
      </c>
      <c r="I560">
        <v>798.87</v>
      </c>
      <c r="J560">
        <v>786.14</v>
      </c>
      <c r="K560">
        <v>778.27</v>
      </c>
      <c r="L560">
        <v>768.87</v>
      </c>
      <c r="M560" s="233" t="s">
        <v>454</v>
      </c>
      <c r="N560" s="233" t="s">
        <v>454</v>
      </c>
      <c r="O560" s="3" t="s">
        <v>1058</v>
      </c>
      <c r="BM560" s="127"/>
      <c r="BN560" s="127"/>
      <c r="BO560" s="127"/>
      <c r="BP560" s="127"/>
      <c r="BQ560" s="127"/>
      <c r="BR560" s="127"/>
      <c r="BS560" s="127"/>
      <c r="BT560" s="127"/>
      <c r="BU560" s="127"/>
      <c r="BV560" s="127"/>
      <c r="BW560" s="127"/>
      <c r="BX560" s="127"/>
      <c r="BY560" s="127"/>
      <c r="BZ560" s="127"/>
      <c r="CA560" s="127"/>
      <c r="ER560" s="127"/>
      <c r="ES560" s="127"/>
      <c r="ET560" s="127"/>
      <c r="EU560" s="127"/>
      <c r="EV560" s="127"/>
      <c r="EW560" s="127"/>
      <c r="EX560" s="127"/>
      <c r="EY560" s="127"/>
      <c r="EZ560" s="127"/>
      <c r="FA560" s="127"/>
      <c r="FB560" s="127"/>
      <c r="FC560" s="127"/>
      <c r="FD560" s="127"/>
      <c r="FE560" s="127"/>
      <c r="FF560" s="127"/>
      <c r="HW560" s="127"/>
      <c r="HX560" s="127"/>
      <c r="HY560" s="127"/>
      <c r="HZ560" s="127"/>
      <c r="IA560" s="127"/>
      <c r="IB560" s="127"/>
      <c r="IC560" s="127"/>
      <c r="ID560" s="127"/>
      <c r="IE560" s="127"/>
      <c r="IF560" s="127"/>
      <c r="IG560" s="127"/>
      <c r="IH560" s="127"/>
      <c r="II560" s="127"/>
      <c r="IJ560" s="127"/>
      <c r="IK560" s="127"/>
      <c r="LB560" s="127"/>
      <c r="LC560" s="127"/>
      <c r="LD560" s="127"/>
      <c r="LE560" s="127"/>
      <c r="LF560" s="127"/>
      <c r="LG560" s="127"/>
      <c r="LH560" s="127"/>
      <c r="LI560" s="127"/>
      <c r="LJ560" s="127"/>
      <c r="LK560" s="127"/>
      <c r="LL560" s="127"/>
      <c r="LM560" s="127"/>
      <c r="LN560" s="127"/>
      <c r="LO560" s="127"/>
      <c r="LP560" s="127"/>
      <c r="OG560" s="127"/>
      <c r="OH560" s="127"/>
      <c r="OI560" s="127"/>
      <c r="OJ560" s="127"/>
      <c r="OK560" s="127"/>
      <c r="OL560" s="127"/>
      <c r="OM560" s="127"/>
      <c r="ON560" s="127"/>
      <c r="OO560" s="127"/>
      <c r="OP560" s="127"/>
      <c r="OQ560" s="127"/>
      <c r="OR560" s="127"/>
      <c r="OS560" s="127"/>
      <c r="OT560" s="127"/>
      <c r="OU560" s="127"/>
    </row>
    <row r="561" spans="1:411">
      <c r="A561">
        <v>132</v>
      </c>
      <c r="B561">
        <v>1141</v>
      </c>
      <c r="C561" t="s">
        <v>72</v>
      </c>
      <c r="D561" t="s">
        <v>446</v>
      </c>
      <c r="E561" s="232" t="s">
        <v>11479</v>
      </c>
      <c r="F561" t="s">
        <v>70</v>
      </c>
      <c r="G561">
        <v>2</v>
      </c>
      <c r="H561">
        <v>801.11</v>
      </c>
      <c r="I561">
        <v>790.68</v>
      </c>
      <c r="J561">
        <v>781.33</v>
      </c>
      <c r="K561">
        <v>772.69</v>
      </c>
      <c r="L561">
        <v>762.03</v>
      </c>
      <c r="M561" s="233" t="s">
        <v>454</v>
      </c>
      <c r="N561" s="233" t="s">
        <v>454</v>
      </c>
      <c r="O561" s="3" t="s">
        <v>1059</v>
      </c>
      <c r="BM561" s="127"/>
      <c r="BN561" s="127"/>
      <c r="BO561" s="127"/>
      <c r="BP561" s="127"/>
      <c r="BQ561" s="127"/>
      <c r="BR561" s="127"/>
      <c r="BS561" s="127"/>
      <c r="BT561" s="127"/>
      <c r="BU561" s="127"/>
      <c r="BV561" s="127"/>
      <c r="BW561" s="127"/>
      <c r="BX561" s="127"/>
      <c r="BY561" s="127"/>
      <c r="BZ561" s="127"/>
      <c r="CA561" s="127"/>
      <c r="ER561" s="127"/>
      <c r="ES561" s="127"/>
      <c r="ET561" s="127"/>
      <c r="EU561" s="127"/>
      <c r="EV561" s="127"/>
      <c r="EW561" s="127"/>
      <c r="EX561" s="127"/>
      <c r="EY561" s="127"/>
      <c r="EZ561" s="127"/>
      <c r="FA561" s="127"/>
      <c r="FB561" s="127"/>
      <c r="FC561" s="127"/>
      <c r="FD561" s="127"/>
      <c r="FE561" s="127"/>
      <c r="FF561" s="127"/>
      <c r="HW561" s="127"/>
      <c r="HX561" s="127"/>
      <c r="HY561" s="127"/>
      <c r="HZ561" s="127"/>
      <c r="IA561" s="127"/>
      <c r="IB561" s="127"/>
      <c r="IC561" s="127"/>
      <c r="ID561" s="127"/>
      <c r="IE561" s="127"/>
      <c r="IF561" s="127"/>
      <c r="IG561" s="127"/>
      <c r="IH561" s="127"/>
      <c r="II561" s="127"/>
      <c r="IJ561" s="127"/>
      <c r="IK561" s="127"/>
      <c r="LB561" s="127"/>
      <c r="LC561" s="127"/>
      <c r="LD561" s="127"/>
      <c r="LE561" s="127"/>
      <c r="LF561" s="127"/>
      <c r="LG561" s="127"/>
      <c r="LH561" s="127"/>
      <c r="LI561" s="127"/>
      <c r="LJ561" s="127"/>
      <c r="LK561" s="127"/>
      <c r="LL561" s="127"/>
      <c r="LM561" s="127"/>
      <c r="LN561" s="127"/>
      <c r="LO561" s="127"/>
      <c r="LP561" s="127"/>
      <c r="OG561" s="127"/>
      <c r="OH561" s="127"/>
      <c r="OI561" s="127"/>
      <c r="OJ561" s="127"/>
      <c r="OK561" s="127"/>
      <c r="OL561" s="127"/>
      <c r="OM561" s="127"/>
      <c r="ON561" s="127"/>
      <c r="OO561" s="127"/>
      <c r="OP561" s="127"/>
      <c r="OQ561" s="127"/>
      <c r="OR561" s="127"/>
      <c r="OS561" s="127"/>
      <c r="OT561" s="127"/>
      <c r="OU561" s="127"/>
    </row>
    <row r="562" spans="1:411">
      <c r="A562">
        <v>132</v>
      </c>
      <c r="B562">
        <v>1138</v>
      </c>
      <c r="C562" t="s">
        <v>72</v>
      </c>
      <c r="D562" t="s">
        <v>446</v>
      </c>
      <c r="E562" s="232" t="s">
        <v>12105</v>
      </c>
      <c r="F562" t="s">
        <v>70</v>
      </c>
      <c r="G562">
        <v>2</v>
      </c>
      <c r="H562">
        <v>797.96</v>
      </c>
      <c r="I562">
        <v>788.17</v>
      </c>
      <c r="J562">
        <v>779.64</v>
      </c>
      <c r="K562">
        <v>770.75</v>
      </c>
      <c r="L562">
        <v>759.42</v>
      </c>
      <c r="M562" s="233" t="s">
        <v>454</v>
      </c>
      <c r="N562" s="233" t="s">
        <v>454</v>
      </c>
      <c r="O562" s="3" t="s">
        <v>1060</v>
      </c>
      <c r="BM562" s="127"/>
      <c r="BN562" s="127"/>
      <c r="BO562" s="127"/>
      <c r="BP562" s="127"/>
      <c r="BQ562" s="127"/>
      <c r="BR562" s="127"/>
      <c r="BS562" s="127"/>
      <c r="BT562" s="127"/>
      <c r="BU562" s="127"/>
      <c r="BV562" s="127"/>
      <c r="BW562" s="127"/>
      <c r="BX562" s="127"/>
      <c r="BY562" s="127"/>
      <c r="BZ562" s="127"/>
      <c r="CA562" s="127"/>
      <c r="ER562" s="127"/>
      <c r="ES562" s="127"/>
      <c r="ET562" s="127"/>
      <c r="EU562" s="127"/>
      <c r="EV562" s="127"/>
      <c r="EW562" s="127"/>
      <c r="EX562" s="127"/>
      <c r="EY562" s="127"/>
      <c r="EZ562" s="127"/>
      <c r="FA562" s="127"/>
      <c r="FB562" s="127"/>
      <c r="FC562" s="127"/>
      <c r="FD562" s="127"/>
      <c r="FE562" s="127"/>
      <c r="FF562" s="127"/>
      <c r="HW562" s="127"/>
      <c r="HX562" s="127"/>
      <c r="HY562" s="127"/>
      <c r="HZ562" s="127"/>
      <c r="IA562" s="127"/>
      <c r="IB562" s="127"/>
      <c r="IC562" s="127"/>
      <c r="ID562" s="127"/>
      <c r="IE562" s="127"/>
      <c r="IF562" s="127"/>
      <c r="IG562" s="127"/>
      <c r="IH562" s="127"/>
      <c r="II562" s="127"/>
      <c r="IJ562" s="127"/>
      <c r="IK562" s="127"/>
      <c r="LB562" s="127"/>
      <c r="LC562" s="127"/>
      <c r="LD562" s="127"/>
      <c r="LE562" s="127"/>
      <c r="LF562" s="127"/>
      <c r="LG562" s="127"/>
      <c r="LH562" s="127"/>
      <c r="LI562" s="127"/>
      <c r="LJ562" s="127"/>
      <c r="LK562" s="127"/>
      <c r="LL562" s="127"/>
      <c r="LM562" s="127"/>
      <c r="LN562" s="127"/>
      <c r="LO562" s="127"/>
      <c r="LP562" s="127"/>
      <c r="OG562" s="127"/>
      <c r="OH562" s="127"/>
      <c r="OI562" s="127"/>
      <c r="OJ562" s="127"/>
      <c r="OK562" s="127"/>
      <c r="OL562" s="127"/>
      <c r="OM562" s="127"/>
      <c r="ON562" s="127"/>
      <c r="OO562" s="127"/>
      <c r="OP562" s="127"/>
      <c r="OQ562" s="127"/>
      <c r="OR562" s="127"/>
      <c r="OS562" s="127"/>
      <c r="OT562" s="127"/>
      <c r="OU562" s="127"/>
    </row>
    <row r="563" spans="1:411">
      <c r="A563">
        <v>132</v>
      </c>
      <c r="B563">
        <v>1149</v>
      </c>
      <c r="C563" t="s">
        <v>72</v>
      </c>
      <c r="D563" t="s">
        <v>446</v>
      </c>
      <c r="E563" s="232" t="s">
        <v>12094</v>
      </c>
      <c r="F563" t="s">
        <v>70</v>
      </c>
      <c r="G563">
        <v>2</v>
      </c>
      <c r="H563">
        <v>799.3</v>
      </c>
      <c r="I563">
        <v>789.75</v>
      </c>
      <c r="J563">
        <v>778.27</v>
      </c>
      <c r="K563">
        <v>770.75</v>
      </c>
      <c r="L563">
        <v>761</v>
      </c>
      <c r="M563" s="233" t="s">
        <v>454</v>
      </c>
      <c r="N563" s="233" t="s">
        <v>454</v>
      </c>
      <c r="O563" s="3" t="s">
        <v>1061</v>
      </c>
      <c r="BM563" s="127"/>
      <c r="BN563" s="127"/>
      <c r="BO563" s="127"/>
      <c r="BP563" s="127"/>
      <c r="BQ563" s="127"/>
      <c r="BR563" s="127"/>
      <c r="BS563" s="127"/>
      <c r="BT563" s="127"/>
      <c r="BU563" s="127"/>
      <c r="BV563" s="127"/>
      <c r="BW563" s="127"/>
      <c r="BX563" s="127"/>
      <c r="BY563" s="127"/>
      <c r="BZ563" s="127"/>
      <c r="CA563" s="127"/>
      <c r="ER563" s="127"/>
      <c r="ES563" s="127"/>
      <c r="ET563" s="127"/>
      <c r="EU563" s="127"/>
      <c r="EV563" s="127"/>
      <c r="EW563" s="127"/>
      <c r="EX563" s="127"/>
      <c r="EY563" s="127"/>
      <c r="EZ563" s="127"/>
      <c r="FA563" s="127"/>
      <c r="FB563" s="127"/>
      <c r="FC563" s="127"/>
      <c r="FD563" s="127"/>
      <c r="FE563" s="127"/>
      <c r="FF563" s="127"/>
      <c r="HW563" s="127"/>
      <c r="HX563" s="127"/>
      <c r="HY563" s="127"/>
      <c r="HZ563" s="127"/>
      <c r="IA563" s="127"/>
      <c r="IB563" s="127"/>
      <c r="IC563" s="127"/>
      <c r="ID563" s="127"/>
      <c r="IE563" s="127"/>
      <c r="IF563" s="127"/>
      <c r="IG563" s="127"/>
      <c r="IH563" s="127"/>
      <c r="II563" s="127"/>
      <c r="IJ563" s="127"/>
      <c r="IK563" s="127"/>
      <c r="LB563" s="127"/>
      <c r="LC563" s="127"/>
      <c r="LD563" s="127"/>
      <c r="LE563" s="127"/>
      <c r="LF563" s="127"/>
      <c r="LG563" s="127"/>
      <c r="LH563" s="127"/>
      <c r="LI563" s="127"/>
      <c r="LJ563" s="127"/>
      <c r="LK563" s="127"/>
      <c r="LL563" s="127"/>
      <c r="LM563" s="127"/>
      <c r="LN563" s="127"/>
      <c r="LO563" s="127"/>
      <c r="LP563" s="127"/>
      <c r="OG563" s="127"/>
      <c r="OH563" s="127"/>
      <c r="OI563" s="127"/>
      <c r="OJ563" s="127"/>
      <c r="OK563" s="127"/>
      <c r="OL563" s="127"/>
      <c r="OM563" s="127"/>
      <c r="ON563" s="127"/>
      <c r="OO563" s="127"/>
      <c r="OP563" s="127"/>
      <c r="OQ563" s="127"/>
      <c r="OR563" s="127"/>
      <c r="OS563" s="127"/>
      <c r="OT563" s="127"/>
      <c r="OU563" s="127"/>
    </row>
    <row r="564" spans="1:411">
      <c r="A564">
        <v>132</v>
      </c>
      <c r="B564">
        <v>1139</v>
      </c>
      <c r="C564" t="s">
        <v>72</v>
      </c>
      <c r="D564" t="s">
        <v>446</v>
      </c>
      <c r="E564" s="232" t="s">
        <v>12103</v>
      </c>
      <c r="F564" t="s">
        <v>70</v>
      </c>
      <c r="G564">
        <v>2</v>
      </c>
      <c r="H564">
        <v>799.18</v>
      </c>
      <c r="I564">
        <v>789.07</v>
      </c>
      <c r="J564">
        <v>778.02</v>
      </c>
      <c r="K564">
        <v>770.43</v>
      </c>
      <c r="L564">
        <v>760.95</v>
      </c>
      <c r="M564" s="233" t="s">
        <v>454</v>
      </c>
      <c r="N564" s="233" t="s">
        <v>454</v>
      </c>
      <c r="O564" s="3" t="s">
        <v>1062</v>
      </c>
      <c r="BM564" s="127"/>
      <c r="BN564" s="127"/>
      <c r="BO564" s="127"/>
      <c r="BP564" s="127"/>
      <c r="BQ564" s="127"/>
      <c r="BR564" s="127"/>
      <c r="BS564" s="127"/>
      <c r="BT564" s="127"/>
      <c r="BU564" s="127"/>
      <c r="BV564" s="127"/>
      <c r="BW564" s="127"/>
      <c r="BX564" s="127"/>
      <c r="BY564" s="127"/>
      <c r="BZ564" s="127"/>
      <c r="CA564" s="127"/>
      <c r="ER564" s="127"/>
      <c r="ES564" s="127"/>
      <c r="ET564" s="127"/>
      <c r="EU564" s="127"/>
      <c r="EV564" s="127"/>
      <c r="EW564" s="127"/>
      <c r="EX564" s="127"/>
      <c r="EY564" s="127"/>
      <c r="EZ564" s="127"/>
      <c r="FA564" s="127"/>
      <c r="FB564" s="127"/>
      <c r="FC564" s="127"/>
      <c r="FD564" s="127"/>
      <c r="FE564" s="127"/>
      <c r="FF564" s="127"/>
      <c r="HW564" s="127"/>
      <c r="HX564" s="127"/>
      <c r="HY564" s="127"/>
      <c r="HZ564" s="127"/>
      <c r="IA564" s="127"/>
      <c r="IB564" s="127"/>
      <c r="IC564" s="127"/>
      <c r="ID564" s="127"/>
      <c r="IE564" s="127"/>
      <c r="IF564" s="127"/>
      <c r="IG564" s="127"/>
      <c r="IH564" s="127"/>
      <c r="II564" s="127"/>
      <c r="IJ564" s="127"/>
      <c r="IK564" s="127"/>
      <c r="LB564" s="127"/>
      <c r="LC564" s="127"/>
      <c r="LD564" s="127"/>
      <c r="LE564" s="127"/>
      <c r="LF564" s="127"/>
      <c r="LG564" s="127"/>
      <c r="LH564" s="127"/>
      <c r="LI564" s="127"/>
      <c r="LJ564" s="127"/>
      <c r="LK564" s="127"/>
      <c r="LL564" s="127"/>
      <c r="LM564" s="127"/>
      <c r="LN564" s="127"/>
      <c r="LO564" s="127"/>
      <c r="LP564" s="127"/>
      <c r="OG564" s="127"/>
      <c r="OH564" s="127"/>
      <c r="OI564" s="127"/>
      <c r="OJ564" s="127"/>
      <c r="OK564" s="127"/>
      <c r="OL564" s="127"/>
      <c r="OM564" s="127"/>
      <c r="ON564" s="127"/>
      <c r="OO564" s="127"/>
      <c r="OP564" s="127"/>
      <c r="OQ564" s="127"/>
      <c r="OR564" s="127"/>
      <c r="OS564" s="127"/>
      <c r="OT564" s="127"/>
      <c r="OU564" s="127"/>
    </row>
    <row r="565" spans="1:411">
      <c r="A565">
        <v>132</v>
      </c>
      <c r="B565">
        <v>1144</v>
      </c>
      <c r="C565" t="s">
        <v>72</v>
      </c>
      <c r="D565" t="s">
        <v>446</v>
      </c>
      <c r="E565" s="232" t="s">
        <v>10636</v>
      </c>
      <c r="F565" t="s">
        <v>70</v>
      </c>
      <c r="G565">
        <v>2</v>
      </c>
      <c r="H565">
        <v>796.19</v>
      </c>
      <c r="I565">
        <v>784.31</v>
      </c>
      <c r="J565">
        <v>774.94</v>
      </c>
      <c r="K565">
        <v>767.86</v>
      </c>
      <c r="L565">
        <v>759.42</v>
      </c>
      <c r="M565" s="233" t="s">
        <v>454</v>
      </c>
      <c r="N565" s="233" t="s">
        <v>454</v>
      </c>
      <c r="O565" s="3" t="s">
        <v>1063</v>
      </c>
      <c r="BM565" s="127"/>
      <c r="BN565" s="127"/>
      <c r="BO565" s="127"/>
      <c r="BP565" s="127"/>
      <c r="BQ565" s="127"/>
      <c r="BR565" s="127"/>
      <c r="BS565" s="127"/>
      <c r="BT565" s="127"/>
      <c r="BU565" s="127"/>
      <c r="BV565" s="127"/>
      <c r="BW565" s="127"/>
      <c r="BX565" s="127"/>
      <c r="BY565" s="127"/>
      <c r="BZ565" s="127"/>
      <c r="CA565" s="127"/>
      <c r="ER565" s="127"/>
      <c r="ES565" s="127"/>
      <c r="ET565" s="127"/>
      <c r="EU565" s="127"/>
      <c r="EV565" s="127"/>
      <c r="EW565" s="127"/>
      <c r="EX565" s="127"/>
      <c r="EY565" s="127"/>
      <c r="EZ565" s="127"/>
      <c r="FA565" s="127"/>
      <c r="FB565" s="127"/>
      <c r="FC565" s="127"/>
      <c r="FD565" s="127"/>
      <c r="FE565" s="127"/>
      <c r="FF565" s="127"/>
      <c r="HW565" s="127"/>
      <c r="HX565" s="127"/>
      <c r="HY565" s="127"/>
      <c r="HZ565" s="127"/>
      <c r="IA565" s="127"/>
      <c r="IB565" s="127"/>
      <c r="IC565" s="127"/>
      <c r="ID565" s="127"/>
      <c r="IE565" s="127"/>
      <c r="IF565" s="127"/>
      <c r="IG565" s="127"/>
      <c r="IH565" s="127"/>
      <c r="II565" s="127"/>
      <c r="IJ565" s="127"/>
      <c r="IK565" s="127"/>
      <c r="LB565" s="127"/>
      <c r="LC565" s="127"/>
      <c r="LD565" s="127"/>
      <c r="LE565" s="127"/>
      <c r="LF565" s="127"/>
      <c r="LG565" s="127"/>
      <c r="LH565" s="127"/>
      <c r="LI565" s="127"/>
      <c r="LJ565" s="127"/>
      <c r="LK565" s="127"/>
      <c r="LL565" s="127"/>
      <c r="LM565" s="127"/>
      <c r="LN565" s="127"/>
      <c r="LO565" s="127"/>
      <c r="LP565" s="127"/>
      <c r="OG565" s="127"/>
      <c r="OH565" s="127"/>
      <c r="OI565" s="127"/>
      <c r="OJ565" s="127"/>
      <c r="OK565" s="127"/>
      <c r="OL565" s="127"/>
      <c r="OM565" s="127"/>
      <c r="ON565" s="127"/>
      <c r="OO565" s="127"/>
      <c r="OP565" s="127"/>
      <c r="OQ565" s="127"/>
      <c r="OR565" s="127"/>
      <c r="OS565" s="127"/>
      <c r="OT565" s="127"/>
      <c r="OU565" s="127"/>
    </row>
    <row r="566" spans="1:411">
      <c r="A566">
        <v>132</v>
      </c>
      <c r="B566">
        <v>1157</v>
      </c>
      <c r="C566" t="s">
        <v>72</v>
      </c>
      <c r="D566" t="s">
        <v>446</v>
      </c>
      <c r="E566" s="232" t="s">
        <v>12231</v>
      </c>
      <c r="F566" t="s">
        <v>70</v>
      </c>
      <c r="G566">
        <v>2</v>
      </c>
      <c r="H566">
        <v>791.13</v>
      </c>
      <c r="I566">
        <v>781.83</v>
      </c>
      <c r="J566">
        <v>771.67</v>
      </c>
      <c r="K566">
        <v>763.96</v>
      </c>
      <c r="L566">
        <v>753.54</v>
      </c>
      <c r="M566" s="233" t="s">
        <v>454</v>
      </c>
      <c r="N566" s="233" t="s">
        <v>454</v>
      </c>
      <c r="O566" s="3" t="s">
        <v>1064</v>
      </c>
      <c r="BM566" s="127"/>
      <c r="BN566" s="127"/>
      <c r="BO566" s="127"/>
      <c r="BP566" s="127"/>
      <c r="BQ566" s="127"/>
      <c r="BR566" s="127"/>
      <c r="BS566" s="127"/>
      <c r="BT566" s="127"/>
      <c r="BU566" s="127"/>
      <c r="BV566" s="127"/>
      <c r="BW566" s="127"/>
      <c r="BX566" s="127"/>
      <c r="BY566" s="127"/>
      <c r="BZ566" s="127"/>
      <c r="CA566" s="127"/>
      <c r="ER566" s="127"/>
      <c r="ES566" s="127"/>
      <c r="ET566" s="127"/>
      <c r="EU566" s="127"/>
      <c r="EV566" s="127"/>
      <c r="EW566" s="127"/>
      <c r="EX566" s="127"/>
      <c r="EY566" s="127"/>
      <c r="EZ566" s="127"/>
      <c r="FA566" s="127"/>
      <c r="FB566" s="127"/>
      <c r="FC566" s="127"/>
      <c r="FD566" s="127"/>
      <c r="FE566" s="127"/>
      <c r="FF566" s="127"/>
      <c r="HW566" s="127"/>
      <c r="HX566" s="127"/>
      <c r="HY566" s="127"/>
      <c r="HZ566" s="127"/>
      <c r="IA566" s="127"/>
      <c r="IB566" s="127"/>
      <c r="IC566" s="127"/>
      <c r="ID566" s="127"/>
      <c r="IE566" s="127"/>
      <c r="IF566" s="127"/>
      <c r="IG566" s="127"/>
      <c r="IH566" s="127"/>
      <c r="II566" s="127"/>
      <c r="IJ566" s="127"/>
      <c r="IK566" s="127"/>
      <c r="LB566" s="127"/>
      <c r="LC566" s="127"/>
      <c r="LD566" s="127"/>
      <c r="LE566" s="127"/>
      <c r="LF566" s="127"/>
      <c r="LG566" s="127"/>
      <c r="LH566" s="127"/>
      <c r="LI566" s="127"/>
      <c r="LJ566" s="127"/>
      <c r="LK566" s="127"/>
      <c r="LL566" s="127"/>
      <c r="LM566" s="127"/>
      <c r="LN566" s="127"/>
      <c r="LO566" s="127"/>
      <c r="LP566" s="127"/>
      <c r="OG566" s="127"/>
      <c r="OH566" s="127"/>
      <c r="OI566" s="127"/>
      <c r="OJ566" s="127"/>
      <c r="OK566" s="127"/>
      <c r="OL566" s="127"/>
      <c r="OM566" s="127"/>
      <c r="ON566" s="127"/>
      <c r="OO566" s="127"/>
      <c r="OP566" s="127"/>
      <c r="OQ566" s="127"/>
      <c r="OR566" s="127"/>
      <c r="OS566" s="127"/>
      <c r="OT566" s="127"/>
      <c r="OU566" s="127"/>
    </row>
    <row r="567" spans="1:411">
      <c r="A567">
        <v>132</v>
      </c>
      <c r="B567">
        <v>1152</v>
      </c>
      <c r="C567" t="s">
        <v>72</v>
      </c>
      <c r="D567" t="s">
        <v>446</v>
      </c>
      <c r="E567" s="232" t="s">
        <v>9439</v>
      </c>
      <c r="F567" t="s">
        <v>70</v>
      </c>
      <c r="G567">
        <v>2</v>
      </c>
      <c r="H567">
        <v>788.17</v>
      </c>
      <c r="I567">
        <v>778.27</v>
      </c>
      <c r="J567">
        <v>768.11</v>
      </c>
      <c r="K567">
        <v>760.95</v>
      </c>
      <c r="L567">
        <v>752.22</v>
      </c>
      <c r="M567" s="233" t="s">
        <v>454</v>
      </c>
      <c r="N567" s="233" t="s">
        <v>454</v>
      </c>
      <c r="O567" s="3" t="s">
        <v>1065</v>
      </c>
      <c r="BM567" s="127"/>
      <c r="BN567" s="127"/>
      <c r="BO567" s="127"/>
      <c r="BP567" s="127"/>
      <c r="BQ567" s="127"/>
      <c r="BR567" s="127"/>
      <c r="BS567" s="127"/>
      <c r="BT567" s="127"/>
      <c r="BU567" s="127"/>
      <c r="BV567" s="127"/>
      <c r="BW567" s="127"/>
      <c r="BX567" s="127"/>
      <c r="BY567" s="127"/>
      <c r="BZ567" s="127"/>
      <c r="CA567" s="127"/>
      <c r="ER567" s="127"/>
      <c r="ES567" s="127"/>
      <c r="ET567" s="127"/>
      <c r="EU567" s="127"/>
      <c r="EV567" s="127"/>
      <c r="EW567" s="127"/>
      <c r="EX567" s="127"/>
      <c r="EY567" s="127"/>
      <c r="EZ567" s="127"/>
      <c r="FA567" s="127"/>
      <c r="FB567" s="127"/>
      <c r="FC567" s="127"/>
      <c r="FD567" s="127"/>
      <c r="FE567" s="127"/>
      <c r="FF567" s="127"/>
      <c r="HW567" s="127"/>
      <c r="HX567" s="127"/>
      <c r="HY567" s="127"/>
      <c r="HZ567" s="127"/>
      <c r="IA567" s="127"/>
      <c r="IB567" s="127"/>
      <c r="IC567" s="127"/>
      <c r="ID567" s="127"/>
      <c r="IE567" s="127"/>
      <c r="IF567" s="127"/>
      <c r="IG567" s="127"/>
      <c r="IH567" s="127"/>
      <c r="II567" s="127"/>
      <c r="IJ567" s="127"/>
      <c r="IK567" s="127"/>
      <c r="LB567" s="127"/>
      <c r="LC567" s="127"/>
      <c r="LD567" s="127"/>
      <c r="LE567" s="127"/>
      <c r="LF567" s="127"/>
      <c r="LG567" s="127"/>
      <c r="LH567" s="127"/>
      <c r="LI567" s="127"/>
      <c r="LJ567" s="127"/>
      <c r="LK567" s="127"/>
      <c r="LL567" s="127"/>
      <c r="LM567" s="127"/>
      <c r="LN567" s="127"/>
      <c r="LO567" s="127"/>
      <c r="LP567" s="127"/>
      <c r="OG567" s="127"/>
      <c r="OH567" s="127"/>
      <c r="OI567" s="127"/>
      <c r="OJ567" s="127"/>
      <c r="OK567" s="127"/>
      <c r="OL567" s="127"/>
      <c r="OM567" s="127"/>
      <c r="ON567" s="127"/>
      <c r="OO567" s="127"/>
      <c r="OP567" s="127"/>
      <c r="OQ567" s="127"/>
      <c r="OR567" s="127"/>
      <c r="OS567" s="127"/>
      <c r="OT567" s="127"/>
      <c r="OU567" s="127"/>
    </row>
    <row r="568" spans="1:411">
      <c r="A568">
        <v>129</v>
      </c>
      <c r="B568">
        <v>1162</v>
      </c>
      <c r="C568" t="s">
        <v>72</v>
      </c>
      <c r="D568" t="s">
        <v>446</v>
      </c>
      <c r="E568" s="232" t="s">
        <v>8232</v>
      </c>
      <c r="F568" t="s">
        <v>71</v>
      </c>
      <c r="G568">
        <v>2</v>
      </c>
      <c r="H568">
        <v>846.06</v>
      </c>
      <c r="I568">
        <v>840.27499999999998</v>
      </c>
      <c r="J568">
        <v>834.505</v>
      </c>
      <c r="K568">
        <v>824.52499999999998</v>
      </c>
      <c r="L568">
        <v>814.88</v>
      </c>
      <c r="M568" s="233" t="s">
        <v>454</v>
      </c>
      <c r="N568" s="233" t="s">
        <v>454</v>
      </c>
      <c r="O568" s="3" t="s">
        <v>1066</v>
      </c>
      <c r="BM568" s="127"/>
      <c r="BN568" s="127"/>
      <c r="BO568" s="127"/>
      <c r="BP568" s="127"/>
      <c r="BQ568" s="127"/>
      <c r="BR568" s="127"/>
      <c r="BS568" s="127"/>
      <c r="BT568" s="127"/>
      <c r="BU568" s="127"/>
      <c r="BV568" s="127"/>
      <c r="BW568" s="127"/>
      <c r="BX568" s="127"/>
      <c r="BY568" s="127"/>
      <c r="BZ568" s="127"/>
      <c r="CA568" s="127"/>
      <c r="ER568" s="127"/>
      <c r="ES568" s="127"/>
      <c r="ET568" s="127"/>
      <c r="EU568" s="127"/>
      <c r="EV568" s="127"/>
      <c r="EW568" s="127"/>
      <c r="EX568" s="127"/>
      <c r="EY568" s="127"/>
      <c r="EZ568" s="127"/>
      <c r="FA568" s="127"/>
      <c r="FB568" s="127"/>
      <c r="FC568" s="127"/>
      <c r="FD568" s="127"/>
      <c r="FE568" s="127"/>
      <c r="FF568" s="127"/>
      <c r="HW568" s="127"/>
      <c r="HX568" s="127"/>
      <c r="HY568" s="127"/>
      <c r="HZ568" s="127"/>
      <c r="IA568" s="127"/>
      <c r="IB568" s="127"/>
      <c r="IC568" s="127"/>
      <c r="ID568" s="127"/>
      <c r="IE568" s="127"/>
      <c r="IF568" s="127"/>
      <c r="IG568" s="127"/>
      <c r="IH568" s="127"/>
      <c r="II568" s="127"/>
      <c r="IJ568" s="127"/>
      <c r="IK568" s="127"/>
      <c r="LB568" s="127"/>
      <c r="LC568" s="127"/>
      <c r="LD568" s="127"/>
      <c r="LE568" s="127"/>
      <c r="LF568" s="127"/>
      <c r="LG568" s="127"/>
      <c r="LH568" s="127"/>
      <c r="LI568" s="127"/>
      <c r="LJ568" s="127"/>
      <c r="LK568" s="127"/>
      <c r="LL568" s="127"/>
      <c r="LM568" s="127"/>
      <c r="LN568" s="127"/>
      <c r="LO568" s="127"/>
      <c r="LP568" s="127"/>
      <c r="OG568" s="127"/>
      <c r="OH568" s="127"/>
      <c r="OI568" s="127"/>
      <c r="OJ568" s="127"/>
      <c r="OK568" s="127"/>
      <c r="OL568" s="127"/>
      <c r="OM568" s="127"/>
      <c r="ON568" s="127"/>
      <c r="OO568" s="127"/>
      <c r="OP568" s="127"/>
      <c r="OQ568" s="127"/>
      <c r="OR568" s="127"/>
      <c r="OS568" s="127"/>
      <c r="OT568" s="127"/>
      <c r="OU568" s="127"/>
    </row>
    <row r="569" spans="1:411">
      <c r="A569">
        <v>129</v>
      </c>
      <c r="B569">
        <v>1167</v>
      </c>
      <c r="C569" t="s">
        <v>72</v>
      </c>
      <c r="D569" t="s">
        <v>446</v>
      </c>
      <c r="E569" s="232" t="s">
        <v>11543</v>
      </c>
      <c r="F569" t="s">
        <v>71</v>
      </c>
      <c r="G569">
        <v>2</v>
      </c>
      <c r="H569">
        <v>832.90499999999997</v>
      </c>
      <c r="I569">
        <v>826.93499999999995</v>
      </c>
      <c r="J569">
        <v>819.94</v>
      </c>
      <c r="K569">
        <v>810.59500000000003</v>
      </c>
      <c r="L569">
        <v>802.11500000000001</v>
      </c>
      <c r="M569" s="233" t="s">
        <v>454</v>
      </c>
      <c r="N569" s="233" t="s">
        <v>454</v>
      </c>
      <c r="O569" s="3" t="s">
        <v>1067</v>
      </c>
      <c r="BM569" s="127"/>
      <c r="BN569" s="127"/>
      <c r="BO569" s="127"/>
      <c r="BP569" s="127"/>
      <c r="BQ569" s="127"/>
      <c r="BR569" s="127"/>
      <c r="BS569" s="127"/>
      <c r="BT569" s="127"/>
      <c r="BU569" s="127"/>
      <c r="BV569" s="127"/>
      <c r="BW569" s="127"/>
      <c r="BX569" s="127"/>
      <c r="BY569" s="127"/>
      <c r="BZ569" s="127"/>
      <c r="CA569" s="127"/>
      <c r="ER569" s="127"/>
      <c r="ES569" s="127"/>
      <c r="ET569" s="127"/>
      <c r="EU569" s="127"/>
      <c r="EV569" s="127"/>
      <c r="EW569" s="127"/>
      <c r="EX569" s="127"/>
      <c r="EY569" s="127"/>
      <c r="EZ569" s="127"/>
      <c r="FA569" s="127"/>
      <c r="FB569" s="127"/>
      <c r="FC569" s="127"/>
      <c r="FD569" s="127"/>
      <c r="FE569" s="127"/>
      <c r="FF569" s="127"/>
      <c r="HW569" s="127"/>
      <c r="HX569" s="127"/>
      <c r="HY569" s="127"/>
      <c r="HZ569" s="127"/>
      <c r="IA569" s="127"/>
      <c r="IB569" s="127"/>
      <c r="IC569" s="127"/>
      <c r="ID569" s="127"/>
      <c r="IE569" s="127"/>
      <c r="IF569" s="127"/>
      <c r="IG569" s="127"/>
      <c r="IH569" s="127"/>
      <c r="II569" s="127"/>
      <c r="IJ569" s="127"/>
      <c r="IK569" s="127"/>
      <c r="LB569" s="127"/>
      <c r="LC569" s="127"/>
      <c r="LD569" s="127"/>
      <c r="LE569" s="127"/>
      <c r="LF569" s="127"/>
      <c r="LG569" s="127"/>
      <c r="LH569" s="127"/>
      <c r="LI569" s="127"/>
      <c r="LJ569" s="127"/>
      <c r="LK569" s="127"/>
      <c r="LL569" s="127"/>
      <c r="LM569" s="127"/>
      <c r="LN569" s="127"/>
      <c r="LO569" s="127"/>
      <c r="LP569" s="127"/>
      <c r="OG569" s="127"/>
      <c r="OH569" s="127"/>
      <c r="OI569" s="127"/>
      <c r="OJ569" s="127"/>
      <c r="OK569" s="127"/>
      <c r="OL569" s="127"/>
      <c r="OM569" s="127"/>
      <c r="ON569" s="127"/>
      <c r="OO569" s="127"/>
      <c r="OP569" s="127"/>
      <c r="OQ569" s="127"/>
      <c r="OR569" s="127"/>
      <c r="OS569" s="127"/>
      <c r="OT569" s="127"/>
      <c r="OU569" s="127"/>
    </row>
    <row r="570" spans="1:411">
      <c r="A570">
        <v>129</v>
      </c>
      <c r="B570">
        <v>1163</v>
      </c>
      <c r="C570" t="s">
        <v>72</v>
      </c>
      <c r="D570" t="s">
        <v>446</v>
      </c>
      <c r="E570" s="232" t="s">
        <v>9141</v>
      </c>
      <c r="F570" t="s">
        <v>71</v>
      </c>
      <c r="G570">
        <v>2</v>
      </c>
      <c r="H570">
        <v>830.82</v>
      </c>
      <c r="I570">
        <v>824.67499999999995</v>
      </c>
      <c r="J570">
        <v>817.74</v>
      </c>
      <c r="K570">
        <v>809.53499999999997</v>
      </c>
      <c r="L570">
        <v>800.61500000000001</v>
      </c>
      <c r="M570" s="233" t="s">
        <v>454</v>
      </c>
      <c r="N570" s="233" t="s">
        <v>454</v>
      </c>
      <c r="O570" s="3" t="s">
        <v>1068</v>
      </c>
      <c r="BM570" s="127"/>
      <c r="BN570" s="127"/>
      <c r="BO570" s="127"/>
      <c r="BP570" s="127"/>
      <c r="BQ570" s="127"/>
      <c r="BR570" s="127"/>
      <c r="BS570" s="127"/>
      <c r="BT570" s="127"/>
      <c r="BU570" s="127"/>
      <c r="BV570" s="127"/>
      <c r="BW570" s="127"/>
      <c r="BX570" s="127"/>
      <c r="BY570" s="127"/>
      <c r="BZ570" s="127"/>
      <c r="CA570" s="127"/>
      <c r="ER570" s="127"/>
      <c r="ES570" s="127"/>
      <c r="ET570" s="127"/>
      <c r="EU570" s="127"/>
      <c r="EV570" s="127"/>
      <c r="EW570" s="127"/>
      <c r="EX570" s="127"/>
      <c r="EY570" s="127"/>
      <c r="EZ570" s="127"/>
      <c r="FA570" s="127"/>
      <c r="FB570" s="127"/>
      <c r="FC570" s="127"/>
      <c r="FD570" s="127"/>
      <c r="FE570" s="127"/>
      <c r="FF570" s="127"/>
      <c r="HW570" s="127"/>
      <c r="HX570" s="127"/>
      <c r="HY570" s="127"/>
      <c r="HZ570" s="127"/>
      <c r="IA570" s="127"/>
      <c r="IB570" s="127"/>
      <c r="IC570" s="127"/>
      <c r="ID570" s="127"/>
      <c r="IE570" s="127"/>
      <c r="IF570" s="127"/>
      <c r="IG570" s="127"/>
      <c r="IH570" s="127"/>
      <c r="II570" s="127"/>
      <c r="IJ570" s="127"/>
      <c r="IK570" s="127"/>
      <c r="LB570" s="127"/>
      <c r="LC570" s="127"/>
      <c r="LD570" s="127"/>
      <c r="LE570" s="127"/>
      <c r="LF570" s="127"/>
      <c r="LG570" s="127"/>
      <c r="LH570" s="127"/>
      <c r="LI570" s="127"/>
      <c r="LJ570" s="127"/>
      <c r="LK570" s="127"/>
      <c r="LL570" s="127"/>
      <c r="LM570" s="127"/>
      <c r="LN570" s="127"/>
      <c r="LO570" s="127"/>
      <c r="LP570" s="127"/>
      <c r="OG570" s="127"/>
      <c r="OH570" s="127"/>
      <c r="OI570" s="127"/>
      <c r="OJ570" s="127"/>
      <c r="OK570" s="127"/>
      <c r="OL570" s="127"/>
      <c r="OM570" s="127"/>
      <c r="ON570" s="127"/>
      <c r="OO570" s="127"/>
      <c r="OP570" s="127"/>
      <c r="OQ570" s="127"/>
      <c r="OR570" s="127"/>
      <c r="OS570" s="127"/>
      <c r="OT570" s="127"/>
      <c r="OU570" s="127"/>
    </row>
    <row r="571" spans="1:411">
      <c r="A571">
        <v>129</v>
      </c>
      <c r="B571">
        <v>1170</v>
      </c>
      <c r="C571" t="s">
        <v>72</v>
      </c>
      <c r="D571" t="s">
        <v>446</v>
      </c>
      <c r="E571" s="232" t="s">
        <v>489</v>
      </c>
      <c r="F571" t="s">
        <v>71</v>
      </c>
      <c r="G571">
        <v>2</v>
      </c>
      <c r="H571">
        <v>820.09</v>
      </c>
      <c r="I571">
        <v>814.88</v>
      </c>
      <c r="J571">
        <v>808.16</v>
      </c>
      <c r="K571">
        <v>800.61500000000001</v>
      </c>
      <c r="L571">
        <v>791.16</v>
      </c>
      <c r="M571" s="233" t="s">
        <v>454</v>
      </c>
      <c r="N571" s="233" t="s">
        <v>454</v>
      </c>
      <c r="O571" s="3" t="s">
        <v>1069</v>
      </c>
      <c r="BM571" s="127"/>
      <c r="BN571" s="127"/>
      <c r="BO571" s="127"/>
      <c r="BP571" s="127"/>
      <c r="BQ571" s="127"/>
      <c r="BR571" s="127"/>
      <c r="BS571" s="127"/>
      <c r="BT571" s="127"/>
      <c r="BU571" s="127"/>
      <c r="BV571" s="127"/>
      <c r="BW571" s="127"/>
      <c r="BX571" s="127"/>
      <c r="BY571" s="127"/>
      <c r="BZ571" s="127"/>
      <c r="CA571" s="127"/>
      <c r="ER571" s="127"/>
      <c r="ES571" s="127"/>
      <c r="ET571" s="127"/>
      <c r="EU571" s="127"/>
      <c r="EV571" s="127"/>
      <c r="EW571" s="127"/>
      <c r="EX571" s="127"/>
      <c r="EY571" s="127"/>
      <c r="EZ571" s="127"/>
      <c r="FA571" s="127"/>
      <c r="FB571" s="127"/>
      <c r="FC571" s="127"/>
      <c r="FD571" s="127"/>
      <c r="FE571" s="127"/>
      <c r="FF571" s="127"/>
      <c r="HW571" s="127"/>
      <c r="HX571" s="127"/>
      <c r="HY571" s="127"/>
      <c r="HZ571" s="127"/>
      <c r="IA571" s="127"/>
      <c r="IB571" s="127"/>
      <c r="IC571" s="127"/>
      <c r="ID571" s="127"/>
      <c r="IE571" s="127"/>
      <c r="IF571" s="127"/>
      <c r="IG571" s="127"/>
      <c r="IH571" s="127"/>
      <c r="II571" s="127"/>
      <c r="IJ571" s="127"/>
      <c r="IK571" s="127"/>
      <c r="LB571" s="127"/>
      <c r="LC571" s="127"/>
      <c r="LD571" s="127"/>
      <c r="LE571" s="127"/>
      <c r="LF571" s="127"/>
      <c r="LG571" s="127"/>
      <c r="LH571" s="127"/>
      <c r="LI571" s="127"/>
      <c r="LJ571" s="127"/>
      <c r="LK571" s="127"/>
      <c r="LL571" s="127"/>
      <c r="LM571" s="127"/>
      <c r="LN571" s="127"/>
      <c r="LO571" s="127"/>
      <c r="LP571" s="127"/>
      <c r="OG571" s="127"/>
      <c r="OH571" s="127"/>
      <c r="OI571" s="127"/>
      <c r="OJ571" s="127"/>
      <c r="OK571" s="127"/>
      <c r="OL571" s="127"/>
      <c r="OM571" s="127"/>
      <c r="ON571" s="127"/>
      <c r="OO571" s="127"/>
      <c r="OP571" s="127"/>
      <c r="OQ571" s="127"/>
      <c r="OR571" s="127"/>
      <c r="OS571" s="127"/>
      <c r="OT571" s="127"/>
      <c r="OU571" s="127"/>
    </row>
    <row r="572" spans="1:411">
      <c r="A572">
        <v>129</v>
      </c>
      <c r="B572">
        <v>1165</v>
      </c>
      <c r="C572" t="s">
        <v>72</v>
      </c>
      <c r="D572" t="s">
        <v>446</v>
      </c>
      <c r="E572" s="232" t="s">
        <v>8190</v>
      </c>
      <c r="F572" t="s">
        <v>71</v>
      </c>
      <c r="G572">
        <v>2</v>
      </c>
      <c r="H572">
        <v>809.08500000000004</v>
      </c>
      <c r="I572">
        <v>803.67499999999995</v>
      </c>
      <c r="J572">
        <v>798.08</v>
      </c>
      <c r="K572">
        <v>789.86</v>
      </c>
      <c r="L572">
        <v>782.48</v>
      </c>
      <c r="M572" s="233" t="s">
        <v>454</v>
      </c>
      <c r="N572" s="233" t="s">
        <v>454</v>
      </c>
      <c r="O572" s="3" t="s">
        <v>1070</v>
      </c>
      <c r="BM572" s="127"/>
      <c r="BN572" s="127"/>
      <c r="BO572" s="127"/>
      <c r="BP572" s="127"/>
      <c r="BQ572" s="127"/>
      <c r="BR572" s="127"/>
      <c r="BS572" s="127"/>
      <c r="BT572" s="127"/>
      <c r="BU572" s="127"/>
      <c r="BV572" s="127"/>
      <c r="BW572" s="127"/>
      <c r="BX572" s="127"/>
      <c r="BY572" s="127"/>
      <c r="BZ572" s="127"/>
      <c r="CA572" s="127"/>
      <c r="ER572" s="127"/>
      <c r="ES572" s="127"/>
      <c r="ET572" s="127"/>
      <c r="EU572" s="127"/>
      <c r="EV572" s="127"/>
      <c r="EW572" s="127"/>
      <c r="EX572" s="127"/>
      <c r="EY572" s="127"/>
      <c r="EZ572" s="127"/>
      <c r="FA572" s="127"/>
      <c r="FB572" s="127"/>
      <c r="FC572" s="127"/>
      <c r="FD572" s="127"/>
      <c r="FE572" s="127"/>
      <c r="FF572" s="127"/>
      <c r="HW572" s="127"/>
      <c r="HX572" s="127"/>
      <c r="HY572" s="127"/>
      <c r="HZ572" s="127"/>
      <c r="IA572" s="127"/>
      <c r="IB572" s="127"/>
      <c r="IC572" s="127"/>
      <c r="ID572" s="127"/>
      <c r="IE572" s="127"/>
      <c r="IF572" s="127"/>
      <c r="IG572" s="127"/>
      <c r="IH572" s="127"/>
      <c r="II572" s="127"/>
      <c r="IJ572" s="127"/>
      <c r="IK572" s="127"/>
      <c r="LB572" s="127"/>
      <c r="LC572" s="127"/>
      <c r="LD572" s="127"/>
      <c r="LE572" s="127"/>
      <c r="LF572" s="127"/>
      <c r="LG572" s="127"/>
      <c r="LH572" s="127"/>
      <c r="LI572" s="127"/>
      <c r="LJ572" s="127"/>
      <c r="LK572" s="127"/>
      <c r="LL572" s="127"/>
      <c r="LM572" s="127"/>
      <c r="LN572" s="127"/>
      <c r="LO572" s="127"/>
      <c r="LP572" s="127"/>
      <c r="OG572" s="127"/>
      <c r="OH572" s="127"/>
      <c r="OI572" s="127"/>
      <c r="OJ572" s="127"/>
      <c r="OK572" s="127"/>
      <c r="OL572" s="127"/>
      <c r="OM572" s="127"/>
      <c r="ON572" s="127"/>
      <c r="OO572" s="127"/>
      <c r="OP572" s="127"/>
      <c r="OQ572" s="127"/>
      <c r="OR572" s="127"/>
      <c r="OS572" s="127"/>
      <c r="OT572" s="127"/>
      <c r="OU572" s="127"/>
    </row>
    <row r="573" spans="1:411">
      <c r="A573">
        <v>129</v>
      </c>
      <c r="B573">
        <v>1188</v>
      </c>
      <c r="C573" t="s">
        <v>72</v>
      </c>
      <c r="D573" t="s">
        <v>446</v>
      </c>
      <c r="E573" s="232" t="s">
        <v>8527</v>
      </c>
      <c r="F573" t="s">
        <v>71</v>
      </c>
      <c r="G573">
        <v>2</v>
      </c>
      <c r="H573">
        <v>807.36</v>
      </c>
      <c r="I573">
        <v>802.76499999999999</v>
      </c>
      <c r="J573">
        <v>796.73</v>
      </c>
      <c r="K573">
        <v>785.29</v>
      </c>
      <c r="L573">
        <v>775.18499999999995</v>
      </c>
      <c r="M573" s="233" t="s">
        <v>454</v>
      </c>
      <c r="N573" s="233" t="s">
        <v>454</v>
      </c>
      <c r="O573" s="3" t="s">
        <v>1071</v>
      </c>
      <c r="BM573" s="127"/>
      <c r="BN573" s="127"/>
      <c r="BO573" s="127"/>
      <c r="BP573" s="127"/>
      <c r="BQ573" s="127"/>
      <c r="BR573" s="127"/>
      <c r="BS573" s="127"/>
      <c r="BT573" s="127"/>
      <c r="BU573" s="127"/>
      <c r="BV573" s="127"/>
      <c r="BW573" s="127"/>
      <c r="BX573" s="127"/>
      <c r="BY573" s="127"/>
      <c r="BZ573" s="127"/>
      <c r="CA573" s="127"/>
      <c r="ER573" s="127"/>
      <c r="ES573" s="127"/>
      <c r="ET573" s="127"/>
      <c r="EU573" s="127"/>
      <c r="EV573" s="127"/>
      <c r="EW573" s="127"/>
      <c r="EX573" s="127"/>
      <c r="EY573" s="127"/>
      <c r="EZ573" s="127"/>
      <c r="FA573" s="127"/>
      <c r="FB573" s="127"/>
      <c r="FC573" s="127"/>
      <c r="FD573" s="127"/>
      <c r="FE573" s="127"/>
      <c r="FF573" s="127"/>
      <c r="HW573" s="127"/>
      <c r="HX573" s="127"/>
      <c r="HY573" s="127"/>
      <c r="HZ573" s="127"/>
      <c r="IA573" s="127"/>
      <c r="IB573" s="127"/>
      <c r="IC573" s="127"/>
      <c r="ID573" s="127"/>
      <c r="IE573" s="127"/>
      <c r="IF573" s="127"/>
      <c r="IG573" s="127"/>
      <c r="IH573" s="127"/>
      <c r="II573" s="127"/>
      <c r="IJ573" s="127"/>
      <c r="IK573" s="127"/>
      <c r="LB573" s="127"/>
      <c r="LC573" s="127"/>
      <c r="LD573" s="127"/>
      <c r="LE573" s="127"/>
      <c r="LF573" s="127"/>
      <c r="LG573" s="127"/>
      <c r="LH573" s="127"/>
      <c r="LI573" s="127"/>
      <c r="LJ573" s="127"/>
      <c r="LK573" s="127"/>
      <c r="LL573" s="127"/>
      <c r="LM573" s="127"/>
      <c r="LN573" s="127"/>
      <c r="LO573" s="127"/>
      <c r="LP573" s="127"/>
      <c r="OG573" s="127"/>
      <c r="OH573" s="127"/>
      <c r="OI573" s="127"/>
      <c r="OJ573" s="127"/>
      <c r="OK573" s="127"/>
      <c r="OL573" s="127"/>
      <c r="OM573" s="127"/>
      <c r="ON573" s="127"/>
      <c r="OO573" s="127"/>
      <c r="OP573" s="127"/>
      <c r="OQ573" s="127"/>
      <c r="OR573" s="127"/>
      <c r="OS573" s="127"/>
      <c r="OT573" s="127"/>
      <c r="OU573" s="127"/>
    </row>
    <row r="574" spans="1:411">
      <c r="A574">
        <v>129</v>
      </c>
      <c r="B574">
        <v>1187</v>
      </c>
      <c r="C574" t="s">
        <v>72</v>
      </c>
      <c r="D574" t="s">
        <v>446</v>
      </c>
      <c r="E574" s="232" t="s">
        <v>12016</v>
      </c>
      <c r="F574" t="s">
        <v>71</v>
      </c>
      <c r="G574">
        <v>2</v>
      </c>
      <c r="H574">
        <v>805.55</v>
      </c>
      <c r="I574">
        <v>800.79</v>
      </c>
      <c r="J574">
        <v>794.84500000000003</v>
      </c>
      <c r="K574">
        <v>787.4</v>
      </c>
      <c r="L574">
        <v>778.84500000000003</v>
      </c>
      <c r="M574" s="233" t="s">
        <v>454</v>
      </c>
      <c r="N574" s="233" t="s">
        <v>454</v>
      </c>
      <c r="O574" s="3" t="s">
        <v>1072</v>
      </c>
      <c r="BM574" s="127"/>
      <c r="BN574" s="127"/>
      <c r="BO574" s="127"/>
      <c r="BP574" s="127"/>
      <c r="BQ574" s="127"/>
      <c r="BR574" s="127"/>
      <c r="BS574" s="127"/>
      <c r="BT574" s="127"/>
      <c r="BU574" s="127"/>
      <c r="BV574" s="127"/>
      <c r="BW574" s="127"/>
      <c r="BX574" s="127"/>
      <c r="BY574" s="127"/>
      <c r="BZ574" s="127"/>
      <c r="CA574" s="127"/>
      <c r="ER574" s="127"/>
      <c r="ES574" s="127"/>
      <c r="ET574" s="127"/>
      <c r="EU574" s="127"/>
      <c r="EV574" s="127"/>
      <c r="EW574" s="127"/>
      <c r="EX574" s="127"/>
      <c r="EY574" s="127"/>
      <c r="EZ574" s="127"/>
      <c r="FA574" s="127"/>
      <c r="FB574" s="127"/>
      <c r="FC574" s="127"/>
      <c r="FD574" s="127"/>
      <c r="FE574" s="127"/>
      <c r="FF574" s="127"/>
      <c r="HW574" s="127"/>
      <c r="HX574" s="127"/>
      <c r="HY574" s="127"/>
      <c r="HZ574" s="127"/>
      <c r="IA574" s="127"/>
      <c r="IB574" s="127"/>
      <c r="IC574" s="127"/>
      <c r="ID574" s="127"/>
      <c r="IE574" s="127"/>
      <c r="IF574" s="127"/>
      <c r="IG574" s="127"/>
      <c r="IH574" s="127"/>
      <c r="II574" s="127"/>
      <c r="IJ574" s="127"/>
      <c r="IK574" s="127"/>
      <c r="LB574" s="127"/>
      <c r="LC574" s="127"/>
      <c r="LD574" s="127"/>
      <c r="LE574" s="127"/>
      <c r="LF574" s="127"/>
      <c r="LG574" s="127"/>
      <c r="LH574" s="127"/>
      <c r="LI574" s="127"/>
      <c r="LJ574" s="127"/>
      <c r="LK574" s="127"/>
      <c r="LL574" s="127"/>
      <c r="LM574" s="127"/>
      <c r="LN574" s="127"/>
      <c r="LO574" s="127"/>
      <c r="LP574" s="127"/>
      <c r="OG574" s="127"/>
      <c r="OH574" s="127"/>
      <c r="OI574" s="127"/>
      <c r="OJ574" s="127"/>
      <c r="OK574" s="127"/>
      <c r="OL574" s="127"/>
      <c r="OM574" s="127"/>
      <c r="ON574" s="127"/>
      <c r="OO574" s="127"/>
      <c r="OP574" s="127"/>
      <c r="OQ574" s="127"/>
      <c r="OR574" s="127"/>
      <c r="OS574" s="127"/>
      <c r="OT574" s="127"/>
      <c r="OU574" s="127"/>
    </row>
    <row r="575" spans="1:411">
      <c r="A575">
        <v>129</v>
      </c>
      <c r="B575">
        <v>1178</v>
      </c>
      <c r="C575" t="s">
        <v>72</v>
      </c>
      <c r="D575" t="s">
        <v>446</v>
      </c>
      <c r="E575" s="232" t="s">
        <v>499</v>
      </c>
      <c r="F575" t="s">
        <v>71</v>
      </c>
      <c r="G575">
        <v>2</v>
      </c>
      <c r="H575">
        <v>804.92499999999995</v>
      </c>
      <c r="I575">
        <v>799.08</v>
      </c>
      <c r="J575">
        <v>793.42</v>
      </c>
      <c r="K575">
        <v>785.85</v>
      </c>
      <c r="L575">
        <v>777.82</v>
      </c>
      <c r="M575" s="233" t="s">
        <v>454</v>
      </c>
      <c r="N575" s="233" t="s">
        <v>454</v>
      </c>
      <c r="O575" s="3" t="s">
        <v>1073</v>
      </c>
      <c r="BM575" s="127"/>
      <c r="BN575" s="127"/>
      <c r="BO575" s="127"/>
      <c r="BP575" s="127"/>
      <c r="BQ575" s="127"/>
      <c r="BR575" s="127"/>
      <c r="BS575" s="127"/>
      <c r="BT575" s="127"/>
      <c r="BU575" s="127"/>
      <c r="BV575" s="127"/>
      <c r="BW575" s="127"/>
      <c r="BX575" s="127"/>
      <c r="BY575" s="127"/>
      <c r="BZ575" s="127"/>
      <c r="CA575" s="127"/>
      <c r="ER575" s="127"/>
      <c r="ES575" s="127"/>
      <c r="ET575" s="127"/>
      <c r="EU575" s="127"/>
      <c r="EV575" s="127"/>
      <c r="EW575" s="127"/>
      <c r="EX575" s="127"/>
      <c r="EY575" s="127"/>
      <c r="EZ575" s="127"/>
      <c r="FA575" s="127"/>
      <c r="FB575" s="127"/>
      <c r="FC575" s="127"/>
      <c r="FD575" s="127"/>
      <c r="FE575" s="127"/>
      <c r="FF575" s="127"/>
      <c r="HW575" s="127"/>
      <c r="HX575" s="127"/>
      <c r="HY575" s="127"/>
      <c r="HZ575" s="127"/>
      <c r="IA575" s="127"/>
      <c r="IB575" s="127"/>
      <c r="IC575" s="127"/>
      <c r="ID575" s="127"/>
      <c r="IE575" s="127"/>
      <c r="IF575" s="127"/>
      <c r="IG575" s="127"/>
      <c r="IH575" s="127"/>
      <c r="II575" s="127"/>
      <c r="IJ575" s="127"/>
      <c r="IK575" s="127"/>
      <c r="LB575" s="127"/>
      <c r="LC575" s="127"/>
      <c r="LD575" s="127"/>
      <c r="LE575" s="127"/>
      <c r="LF575" s="127"/>
      <c r="LG575" s="127"/>
      <c r="LH575" s="127"/>
      <c r="LI575" s="127"/>
      <c r="LJ575" s="127"/>
      <c r="LK575" s="127"/>
      <c r="LL575" s="127"/>
      <c r="LM575" s="127"/>
      <c r="LN575" s="127"/>
      <c r="LO575" s="127"/>
      <c r="LP575" s="127"/>
      <c r="OG575" s="127"/>
      <c r="OH575" s="127"/>
      <c r="OI575" s="127"/>
      <c r="OJ575" s="127"/>
      <c r="OK575" s="127"/>
      <c r="OL575" s="127"/>
      <c r="OM575" s="127"/>
      <c r="ON575" s="127"/>
      <c r="OO575" s="127"/>
      <c r="OP575" s="127"/>
      <c r="OQ575" s="127"/>
      <c r="OR575" s="127"/>
      <c r="OS575" s="127"/>
      <c r="OT575" s="127"/>
      <c r="OU575" s="127"/>
    </row>
    <row r="576" spans="1:411">
      <c r="A576">
        <v>129</v>
      </c>
      <c r="B576">
        <v>1172</v>
      </c>
      <c r="C576" t="s">
        <v>72</v>
      </c>
      <c r="D576" t="s">
        <v>446</v>
      </c>
      <c r="E576" s="232" t="s">
        <v>8216</v>
      </c>
      <c r="F576" t="s">
        <v>71</v>
      </c>
      <c r="G576">
        <v>2</v>
      </c>
      <c r="H576">
        <v>803.15</v>
      </c>
      <c r="I576">
        <v>798.40499999999997</v>
      </c>
      <c r="J576">
        <v>792.23500000000001</v>
      </c>
      <c r="K576">
        <v>785.11500000000001</v>
      </c>
      <c r="L576">
        <v>777.19500000000005</v>
      </c>
      <c r="M576" s="233" t="s">
        <v>454</v>
      </c>
      <c r="N576" s="233" t="s">
        <v>454</v>
      </c>
      <c r="O576" s="3" t="s">
        <v>1074</v>
      </c>
      <c r="BM576" s="127"/>
      <c r="BN576" s="127"/>
      <c r="BO576" s="127"/>
      <c r="BP576" s="127"/>
      <c r="BQ576" s="127"/>
      <c r="BR576" s="127"/>
      <c r="BS576" s="127"/>
      <c r="BT576" s="127"/>
      <c r="BU576" s="127"/>
      <c r="BV576" s="127"/>
      <c r="BW576" s="127"/>
      <c r="BX576" s="127"/>
      <c r="BY576" s="127"/>
      <c r="BZ576" s="127"/>
      <c r="CA576" s="127"/>
      <c r="ER576" s="127"/>
      <c r="ES576" s="127"/>
      <c r="ET576" s="127"/>
      <c r="EU576" s="127"/>
      <c r="EV576" s="127"/>
      <c r="EW576" s="127"/>
      <c r="EX576" s="127"/>
      <c r="EY576" s="127"/>
      <c r="EZ576" s="127"/>
      <c r="FA576" s="127"/>
      <c r="FB576" s="127"/>
      <c r="FC576" s="127"/>
      <c r="FD576" s="127"/>
      <c r="FE576" s="127"/>
      <c r="FF576" s="127"/>
      <c r="HW576" s="127"/>
      <c r="HX576" s="127"/>
      <c r="HY576" s="127"/>
      <c r="HZ576" s="127"/>
      <c r="IA576" s="127"/>
      <c r="IB576" s="127"/>
      <c r="IC576" s="127"/>
      <c r="ID576" s="127"/>
      <c r="IE576" s="127"/>
      <c r="IF576" s="127"/>
      <c r="IG576" s="127"/>
      <c r="IH576" s="127"/>
      <c r="II576" s="127"/>
      <c r="IJ576" s="127"/>
      <c r="IK576" s="127"/>
      <c r="LB576" s="127"/>
      <c r="LC576" s="127"/>
      <c r="LD576" s="127"/>
      <c r="LE576" s="127"/>
      <c r="LF576" s="127"/>
      <c r="LG576" s="127"/>
      <c r="LH576" s="127"/>
      <c r="LI576" s="127"/>
      <c r="LJ576" s="127"/>
      <c r="LK576" s="127"/>
      <c r="LL576" s="127"/>
      <c r="LM576" s="127"/>
      <c r="LN576" s="127"/>
      <c r="LO576" s="127"/>
      <c r="LP576" s="127"/>
      <c r="OG576" s="127"/>
      <c r="OH576" s="127"/>
      <c r="OI576" s="127"/>
      <c r="OJ576" s="127"/>
      <c r="OK576" s="127"/>
      <c r="OL576" s="127"/>
      <c r="OM576" s="127"/>
      <c r="ON576" s="127"/>
      <c r="OO576" s="127"/>
      <c r="OP576" s="127"/>
      <c r="OQ576" s="127"/>
      <c r="OR576" s="127"/>
      <c r="OS576" s="127"/>
      <c r="OT576" s="127"/>
      <c r="OU576" s="127"/>
    </row>
    <row r="577" spans="1:411">
      <c r="A577">
        <v>129</v>
      </c>
      <c r="B577">
        <v>1174</v>
      </c>
      <c r="C577" t="s">
        <v>72</v>
      </c>
      <c r="D577" t="s">
        <v>446</v>
      </c>
      <c r="E577" s="232" t="s">
        <v>8618</v>
      </c>
      <c r="F577" t="s">
        <v>71</v>
      </c>
      <c r="G577">
        <v>2</v>
      </c>
      <c r="H577">
        <v>803.15</v>
      </c>
      <c r="I577">
        <v>798.40499999999997</v>
      </c>
      <c r="J577">
        <v>792.23500000000001</v>
      </c>
      <c r="K577">
        <v>785.11500000000001</v>
      </c>
      <c r="L577">
        <v>777.19500000000005</v>
      </c>
      <c r="M577" s="233" t="s">
        <v>454</v>
      </c>
      <c r="N577" s="233" t="s">
        <v>454</v>
      </c>
      <c r="O577" s="3" t="s">
        <v>1075</v>
      </c>
      <c r="BM577" s="127"/>
      <c r="BN577" s="127"/>
      <c r="BO577" s="127"/>
      <c r="BP577" s="127"/>
      <c r="BQ577" s="127"/>
      <c r="BR577" s="127"/>
      <c r="BS577" s="127"/>
      <c r="BT577" s="127"/>
      <c r="BU577" s="127"/>
      <c r="BV577" s="127"/>
      <c r="BW577" s="127"/>
      <c r="BX577" s="127"/>
      <c r="BY577" s="127"/>
      <c r="BZ577" s="127"/>
      <c r="CA577" s="127"/>
      <c r="ER577" s="127"/>
      <c r="ES577" s="127"/>
      <c r="ET577" s="127"/>
      <c r="EU577" s="127"/>
      <c r="EV577" s="127"/>
      <c r="EW577" s="127"/>
      <c r="EX577" s="127"/>
      <c r="EY577" s="127"/>
      <c r="EZ577" s="127"/>
      <c r="FA577" s="127"/>
      <c r="FB577" s="127"/>
      <c r="FC577" s="127"/>
      <c r="FD577" s="127"/>
      <c r="FE577" s="127"/>
      <c r="FF577" s="127"/>
      <c r="HW577" s="127"/>
      <c r="HX577" s="127"/>
      <c r="HY577" s="127"/>
      <c r="HZ577" s="127"/>
      <c r="IA577" s="127"/>
      <c r="IB577" s="127"/>
      <c r="IC577" s="127"/>
      <c r="ID577" s="127"/>
      <c r="IE577" s="127"/>
      <c r="IF577" s="127"/>
      <c r="IG577" s="127"/>
      <c r="IH577" s="127"/>
      <c r="II577" s="127"/>
      <c r="IJ577" s="127"/>
      <c r="IK577" s="127"/>
      <c r="LB577" s="127"/>
      <c r="LC577" s="127"/>
      <c r="LD577" s="127"/>
      <c r="LE577" s="127"/>
      <c r="LF577" s="127"/>
      <c r="LG577" s="127"/>
      <c r="LH577" s="127"/>
      <c r="LI577" s="127"/>
      <c r="LJ577" s="127"/>
      <c r="LK577" s="127"/>
      <c r="LL577" s="127"/>
      <c r="LM577" s="127"/>
      <c r="LN577" s="127"/>
      <c r="LO577" s="127"/>
      <c r="LP577" s="127"/>
      <c r="OG577" s="127"/>
      <c r="OH577" s="127"/>
      <c r="OI577" s="127"/>
      <c r="OJ577" s="127"/>
      <c r="OK577" s="127"/>
      <c r="OL577" s="127"/>
      <c r="OM577" s="127"/>
      <c r="ON577" s="127"/>
      <c r="OO577" s="127"/>
      <c r="OP577" s="127"/>
      <c r="OQ577" s="127"/>
      <c r="OR577" s="127"/>
      <c r="OS577" s="127"/>
      <c r="OT577" s="127"/>
      <c r="OU577" s="127"/>
    </row>
    <row r="578" spans="1:411">
      <c r="A578">
        <v>129</v>
      </c>
      <c r="B578">
        <v>1180</v>
      </c>
      <c r="C578" t="s">
        <v>72</v>
      </c>
      <c r="D578" t="s">
        <v>446</v>
      </c>
      <c r="E578" s="232" t="s">
        <v>8654</v>
      </c>
      <c r="F578" t="s">
        <v>71</v>
      </c>
      <c r="G578">
        <v>2</v>
      </c>
      <c r="H578">
        <v>803.15</v>
      </c>
      <c r="I578">
        <v>798.40499999999997</v>
      </c>
      <c r="J578">
        <v>792.23500000000001</v>
      </c>
      <c r="K578">
        <v>785.11500000000001</v>
      </c>
      <c r="L578">
        <v>777.19500000000005</v>
      </c>
      <c r="M578" s="233" t="s">
        <v>454</v>
      </c>
      <c r="N578" s="233" t="s">
        <v>454</v>
      </c>
      <c r="O578" s="3" t="s">
        <v>1076</v>
      </c>
      <c r="BM578" s="127"/>
      <c r="BN578" s="127"/>
      <c r="BO578" s="127"/>
      <c r="BP578" s="127"/>
      <c r="BQ578" s="127"/>
      <c r="BR578" s="127"/>
      <c r="BS578" s="127"/>
      <c r="BT578" s="127"/>
      <c r="BU578" s="127"/>
      <c r="BV578" s="127"/>
      <c r="BW578" s="127"/>
      <c r="BX578" s="127"/>
      <c r="BY578" s="127"/>
      <c r="BZ578" s="127"/>
      <c r="CA578" s="127"/>
      <c r="ER578" s="127"/>
      <c r="ES578" s="127"/>
      <c r="ET578" s="127"/>
      <c r="EU578" s="127"/>
      <c r="EV578" s="127"/>
      <c r="EW578" s="127"/>
      <c r="EX578" s="127"/>
      <c r="EY578" s="127"/>
      <c r="EZ578" s="127"/>
      <c r="FA578" s="127"/>
      <c r="FB578" s="127"/>
      <c r="FC578" s="127"/>
      <c r="FD578" s="127"/>
      <c r="FE578" s="127"/>
      <c r="FF578" s="127"/>
      <c r="HW578" s="127"/>
      <c r="HX578" s="127"/>
      <c r="HY578" s="127"/>
      <c r="HZ578" s="127"/>
      <c r="IA578" s="127"/>
      <c r="IB578" s="127"/>
      <c r="IC578" s="127"/>
      <c r="ID578" s="127"/>
      <c r="IE578" s="127"/>
      <c r="IF578" s="127"/>
      <c r="IG578" s="127"/>
      <c r="IH578" s="127"/>
      <c r="II578" s="127"/>
      <c r="IJ578" s="127"/>
      <c r="IK578" s="127"/>
      <c r="LB578" s="127"/>
      <c r="LC578" s="127"/>
      <c r="LD578" s="127"/>
      <c r="LE578" s="127"/>
      <c r="LF578" s="127"/>
      <c r="LG578" s="127"/>
      <c r="LH578" s="127"/>
      <c r="LI578" s="127"/>
      <c r="LJ578" s="127"/>
      <c r="LK578" s="127"/>
      <c r="LL578" s="127"/>
      <c r="LM578" s="127"/>
      <c r="LN578" s="127"/>
      <c r="LO578" s="127"/>
      <c r="LP578" s="127"/>
      <c r="OG578" s="127"/>
      <c r="OH578" s="127"/>
      <c r="OI578" s="127"/>
      <c r="OJ578" s="127"/>
      <c r="OK578" s="127"/>
      <c r="OL578" s="127"/>
      <c r="OM578" s="127"/>
      <c r="ON578" s="127"/>
      <c r="OO578" s="127"/>
      <c r="OP578" s="127"/>
      <c r="OQ578" s="127"/>
      <c r="OR578" s="127"/>
      <c r="OS578" s="127"/>
      <c r="OT578" s="127"/>
      <c r="OU578" s="127"/>
    </row>
    <row r="579" spans="1:411">
      <c r="A579">
        <v>129</v>
      </c>
      <c r="B579">
        <v>1182</v>
      </c>
      <c r="C579" t="s">
        <v>72</v>
      </c>
      <c r="D579" t="s">
        <v>446</v>
      </c>
      <c r="E579" s="232" t="s">
        <v>8953</v>
      </c>
      <c r="F579" t="s">
        <v>71</v>
      </c>
      <c r="G579">
        <v>2</v>
      </c>
      <c r="H579">
        <v>802.91499999999996</v>
      </c>
      <c r="I579">
        <v>798.08</v>
      </c>
      <c r="J579">
        <v>791.91</v>
      </c>
      <c r="K579">
        <v>784.66499999999996</v>
      </c>
      <c r="L579">
        <v>775.77</v>
      </c>
      <c r="M579" s="233" t="s">
        <v>454</v>
      </c>
      <c r="N579" s="233" t="s">
        <v>454</v>
      </c>
      <c r="O579" s="3" t="s">
        <v>1077</v>
      </c>
      <c r="BM579" s="127"/>
      <c r="BN579" s="127"/>
      <c r="BO579" s="127"/>
      <c r="BP579" s="127"/>
      <c r="BQ579" s="127"/>
      <c r="BR579" s="127"/>
      <c r="BS579" s="127"/>
      <c r="BT579" s="127"/>
      <c r="BU579" s="127"/>
      <c r="BV579" s="127"/>
      <c r="BW579" s="127"/>
      <c r="BX579" s="127"/>
      <c r="BY579" s="127"/>
      <c r="BZ579" s="127"/>
      <c r="CA579" s="127"/>
      <c r="ER579" s="127"/>
      <c r="ES579" s="127"/>
      <c r="ET579" s="127"/>
      <c r="EU579" s="127"/>
      <c r="EV579" s="127"/>
      <c r="EW579" s="127"/>
      <c r="EX579" s="127"/>
      <c r="EY579" s="127"/>
      <c r="EZ579" s="127"/>
      <c r="FA579" s="127"/>
      <c r="FB579" s="127"/>
      <c r="FC579" s="127"/>
      <c r="FD579" s="127"/>
      <c r="FE579" s="127"/>
      <c r="FF579" s="127"/>
      <c r="HW579" s="127"/>
      <c r="HX579" s="127"/>
      <c r="HY579" s="127"/>
      <c r="HZ579" s="127"/>
      <c r="IA579" s="127"/>
      <c r="IB579" s="127"/>
      <c r="IC579" s="127"/>
      <c r="ID579" s="127"/>
      <c r="IE579" s="127"/>
      <c r="IF579" s="127"/>
      <c r="IG579" s="127"/>
      <c r="IH579" s="127"/>
      <c r="II579" s="127"/>
      <c r="IJ579" s="127"/>
      <c r="IK579" s="127"/>
      <c r="LB579" s="127"/>
      <c r="LC579" s="127"/>
      <c r="LD579" s="127"/>
      <c r="LE579" s="127"/>
      <c r="LF579" s="127"/>
      <c r="LG579" s="127"/>
      <c r="LH579" s="127"/>
      <c r="LI579" s="127"/>
      <c r="LJ579" s="127"/>
      <c r="LK579" s="127"/>
      <c r="LL579" s="127"/>
      <c r="LM579" s="127"/>
      <c r="LN579" s="127"/>
      <c r="LO579" s="127"/>
      <c r="LP579" s="127"/>
      <c r="OG579" s="127"/>
      <c r="OH579" s="127"/>
      <c r="OI579" s="127"/>
      <c r="OJ579" s="127"/>
      <c r="OK579" s="127"/>
      <c r="OL579" s="127"/>
      <c r="OM579" s="127"/>
      <c r="ON579" s="127"/>
      <c r="OO579" s="127"/>
      <c r="OP579" s="127"/>
      <c r="OQ579" s="127"/>
      <c r="OR579" s="127"/>
      <c r="OS579" s="127"/>
      <c r="OT579" s="127"/>
      <c r="OU579" s="127"/>
    </row>
    <row r="580" spans="1:411">
      <c r="A580">
        <v>129</v>
      </c>
      <c r="B580">
        <v>1181</v>
      </c>
      <c r="C580" t="s">
        <v>72</v>
      </c>
      <c r="D580" t="s">
        <v>446</v>
      </c>
      <c r="E580" s="232" t="s">
        <v>560</v>
      </c>
      <c r="F580" t="s">
        <v>71</v>
      </c>
      <c r="G580">
        <v>2</v>
      </c>
      <c r="H580">
        <v>798.93</v>
      </c>
      <c r="I580">
        <v>793.94500000000005</v>
      </c>
      <c r="J580">
        <v>788.22500000000002</v>
      </c>
      <c r="K580">
        <v>780.78</v>
      </c>
      <c r="L580">
        <v>772.18499999999995</v>
      </c>
      <c r="M580" s="233" t="s">
        <v>454</v>
      </c>
      <c r="N580" s="233" t="s">
        <v>454</v>
      </c>
      <c r="O580" s="3" t="s">
        <v>1078</v>
      </c>
      <c r="BM580" s="127"/>
      <c r="BN580" s="127"/>
      <c r="BO580" s="127"/>
      <c r="BP580" s="127"/>
      <c r="BQ580" s="127"/>
      <c r="BR580" s="127"/>
      <c r="BS580" s="127"/>
      <c r="BT580" s="127"/>
      <c r="BU580" s="127"/>
      <c r="BV580" s="127"/>
      <c r="BW580" s="127"/>
      <c r="BX580" s="127"/>
      <c r="BY580" s="127"/>
      <c r="BZ580" s="127"/>
      <c r="CA580" s="127"/>
      <c r="ER580" s="127"/>
      <c r="ES580" s="127"/>
      <c r="ET580" s="127"/>
      <c r="EU580" s="127"/>
      <c r="EV580" s="127"/>
      <c r="EW580" s="127"/>
      <c r="EX580" s="127"/>
      <c r="EY580" s="127"/>
      <c r="EZ580" s="127"/>
      <c r="FA580" s="127"/>
      <c r="FB580" s="127"/>
      <c r="FC580" s="127"/>
      <c r="FD580" s="127"/>
      <c r="FE580" s="127"/>
      <c r="FF580" s="127"/>
      <c r="HW580" s="127"/>
      <c r="HX580" s="127"/>
      <c r="HY580" s="127"/>
      <c r="HZ580" s="127"/>
      <c r="IA580" s="127"/>
      <c r="IB580" s="127"/>
      <c r="IC580" s="127"/>
      <c r="ID580" s="127"/>
      <c r="IE580" s="127"/>
      <c r="IF580" s="127"/>
      <c r="IG580" s="127"/>
      <c r="IH580" s="127"/>
      <c r="II580" s="127"/>
      <c r="IJ580" s="127"/>
      <c r="IK580" s="127"/>
      <c r="LB580" s="127"/>
      <c r="LC580" s="127"/>
      <c r="LD580" s="127"/>
      <c r="LE580" s="127"/>
      <c r="LF580" s="127"/>
      <c r="LG580" s="127"/>
      <c r="LH580" s="127"/>
      <c r="LI580" s="127"/>
      <c r="LJ580" s="127"/>
      <c r="LK580" s="127"/>
      <c r="LL580" s="127"/>
      <c r="LM580" s="127"/>
      <c r="LN580" s="127"/>
      <c r="LO580" s="127"/>
      <c r="LP580" s="127"/>
      <c r="OG580" s="127"/>
      <c r="OH580" s="127"/>
      <c r="OI580" s="127"/>
      <c r="OJ580" s="127"/>
      <c r="OK580" s="127"/>
      <c r="OL580" s="127"/>
      <c r="OM580" s="127"/>
      <c r="ON580" s="127"/>
      <c r="OO580" s="127"/>
      <c r="OP580" s="127"/>
      <c r="OQ580" s="127"/>
      <c r="OR580" s="127"/>
      <c r="OS580" s="127"/>
      <c r="OT580" s="127"/>
      <c r="OU580" s="127"/>
    </row>
    <row r="581" spans="1:411">
      <c r="A581">
        <v>129</v>
      </c>
      <c r="B581">
        <v>1186</v>
      </c>
      <c r="C581" t="s">
        <v>72</v>
      </c>
      <c r="D581" t="s">
        <v>446</v>
      </c>
      <c r="E581" s="232" t="s">
        <v>12171</v>
      </c>
      <c r="F581" t="s">
        <v>71</v>
      </c>
      <c r="G581">
        <v>2</v>
      </c>
      <c r="H581">
        <v>798.40499999999997</v>
      </c>
      <c r="I581">
        <v>793.42</v>
      </c>
      <c r="J581">
        <v>787.72500000000002</v>
      </c>
      <c r="K581">
        <v>780.78</v>
      </c>
      <c r="L581">
        <v>772.125</v>
      </c>
      <c r="M581" s="233" t="s">
        <v>454</v>
      </c>
      <c r="N581" s="233" t="s">
        <v>454</v>
      </c>
      <c r="O581" s="3" t="s">
        <v>1079</v>
      </c>
      <c r="BM581" s="127"/>
      <c r="BN581" s="127"/>
      <c r="BO581" s="127"/>
      <c r="BP581" s="127"/>
      <c r="BQ581" s="127"/>
      <c r="BR581" s="127"/>
      <c r="BS581" s="127"/>
      <c r="BT581" s="127"/>
      <c r="BU581" s="127"/>
      <c r="BV581" s="127"/>
      <c r="BW581" s="127"/>
      <c r="BX581" s="127"/>
      <c r="BY581" s="127"/>
      <c r="BZ581" s="127"/>
      <c r="CA581" s="127"/>
      <c r="ER581" s="127"/>
      <c r="ES581" s="127"/>
      <c r="ET581" s="127"/>
      <c r="EU581" s="127"/>
      <c r="EV581" s="127"/>
      <c r="EW581" s="127"/>
      <c r="EX581" s="127"/>
      <c r="EY581" s="127"/>
      <c r="EZ581" s="127"/>
      <c r="FA581" s="127"/>
      <c r="FB581" s="127"/>
      <c r="FC581" s="127"/>
      <c r="FD581" s="127"/>
      <c r="FE581" s="127"/>
      <c r="FF581" s="127"/>
      <c r="HW581" s="127"/>
      <c r="HX581" s="127"/>
      <c r="HY581" s="127"/>
      <c r="HZ581" s="127"/>
      <c r="IA581" s="127"/>
      <c r="IB581" s="127"/>
      <c r="IC581" s="127"/>
      <c r="ID581" s="127"/>
      <c r="IE581" s="127"/>
      <c r="IF581" s="127"/>
      <c r="IG581" s="127"/>
      <c r="IH581" s="127"/>
      <c r="II581" s="127"/>
      <c r="IJ581" s="127"/>
      <c r="IK581" s="127"/>
      <c r="LB581" s="127"/>
      <c r="LC581" s="127"/>
      <c r="LD581" s="127"/>
      <c r="LE581" s="127"/>
      <c r="LF581" s="127"/>
      <c r="LG581" s="127"/>
      <c r="LH581" s="127"/>
      <c r="LI581" s="127"/>
      <c r="LJ581" s="127"/>
      <c r="LK581" s="127"/>
      <c r="LL581" s="127"/>
      <c r="LM581" s="127"/>
      <c r="LN581" s="127"/>
      <c r="LO581" s="127"/>
      <c r="LP581" s="127"/>
      <c r="OG581" s="127"/>
      <c r="OH581" s="127"/>
      <c r="OI581" s="127"/>
      <c r="OJ581" s="127"/>
      <c r="OK581" s="127"/>
      <c r="OL581" s="127"/>
      <c r="OM581" s="127"/>
      <c r="ON581" s="127"/>
      <c r="OO581" s="127"/>
      <c r="OP581" s="127"/>
      <c r="OQ581" s="127"/>
      <c r="OR581" s="127"/>
      <c r="OS581" s="127"/>
      <c r="OT581" s="127"/>
      <c r="OU581" s="127"/>
    </row>
    <row r="582" spans="1:411">
      <c r="A582">
        <v>129</v>
      </c>
      <c r="B582">
        <v>1183</v>
      </c>
      <c r="C582" t="s">
        <v>72</v>
      </c>
      <c r="D582" t="s">
        <v>446</v>
      </c>
      <c r="E582" s="232" t="s">
        <v>561</v>
      </c>
      <c r="F582" t="s">
        <v>71</v>
      </c>
      <c r="G582">
        <v>2</v>
      </c>
      <c r="H582">
        <v>798.08</v>
      </c>
      <c r="I582">
        <v>792.44500000000005</v>
      </c>
      <c r="J582">
        <v>787.55</v>
      </c>
      <c r="K582">
        <v>779.98</v>
      </c>
      <c r="L582">
        <v>771.65</v>
      </c>
      <c r="M582" s="233" t="s">
        <v>454</v>
      </c>
      <c r="N582" s="233" t="s">
        <v>454</v>
      </c>
      <c r="O582" s="3" t="s">
        <v>1080</v>
      </c>
      <c r="BM582" s="127"/>
      <c r="BN582" s="127"/>
      <c r="BO582" s="127"/>
      <c r="BP582" s="127"/>
      <c r="BQ582" s="127"/>
      <c r="BR582" s="127"/>
      <c r="BS582" s="127"/>
      <c r="BT582" s="127"/>
      <c r="BU582" s="127"/>
      <c r="BV582" s="127"/>
      <c r="BW582" s="127"/>
      <c r="BX582" s="127"/>
      <c r="BY582" s="127"/>
      <c r="BZ582" s="127"/>
      <c r="CA582" s="127"/>
      <c r="ER582" s="127"/>
      <c r="ES582" s="127"/>
      <c r="ET582" s="127"/>
      <c r="EU582" s="127"/>
      <c r="EV582" s="127"/>
      <c r="EW582" s="127"/>
      <c r="EX582" s="127"/>
      <c r="EY582" s="127"/>
      <c r="EZ582" s="127"/>
      <c r="FA582" s="127"/>
      <c r="FB582" s="127"/>
      <c r="FC582" s="127"/>
      <c r="FD582" s="127"/>
      <c r="FE582" s="127"/>
      <c r="FF582" s="127"/>
      <c r="HW582" s="127"/>
      <c r="HX582" s="127"/>
      <c r="HY582" s="127"/>
      <c r="HZ582" s="127"/>
      <c r="IA582" s="127"/>
      <c r="IB582" s="127"/>
      <c r="IC582" s="127"/>
      <c r="ID582" s="127"/>
      <c r="IE582" s="127"/>
      <c r="IF582" s="127"/>
      <c r="IG582" s="127"/>
      <c r="IH582" s="127"/>
      <c r="II582" s="127"/>
      <c r="IJ582" s="127"/>
      <c r="IK582" s="127"/>
      <c r="LB582" s="127"/>
      <c r="LC582" s="127"/>
      <c r="LD582" s="127"/>
      <c r="LE582" s="127"/>
      <c r="LF582" s="127"/>
      <c r="LG582" s="127"/>
      <c r="LH582" s="127"/>
      <c r="LI582" s="127"/>
      <c r="LJ582" s="127"/>
      <c r="LK582" s="127"/>
      <c r="LL582" s="127"/>
      <c r="LM582" s="127"/>
      <c r="LN582" s="127"/>
      <c r="LO582" s="127"/>
      <c r="LP582" s="127"/>
      <c r="OG582" s="127"/>
      <c r="OH582" s="127"/>
      <c r="OI582" s="127"/>
      <c r="OJ582" s="127"/>
      <c r="OK582" s="127"/>
      <c r="OL582" s="127"/>
      <c r="OM582" s="127"/>
      <c r="ON582" s="127"/>
      <c r="OO582" s="127"/>
      <c r="OP582" s="127"/>
      <c r="OQ582" s="127"/>
      <c r="OR582" s="127"/>
      <c r="OS582" s="127"/>
      <c r="OT582" s="127"/>
      <c r="OU582" s="127"/>
    </row>
    <row r="583" spans="1:411">
      <c r="A583">
        <v>129</v>
      </c>
      <c r="B583">
        <v>1179</v>
      </c>
      <c r="C583" t="s">
        <v>72</v>
      </c>
      <c r="D583" t="s">
        <v>446</v>
      </c>
      <c r="E583" s="232" t="s">
        <v>12228</v>
      </c>
      <c r="F583" t="s">
        <v>71</v>
      </c>
      <c r="G583">
        <v>2</v>
      </c>
      <c r="H583">
        <v>795.17</v>
      </c>
      <c r="I583">
        <v>790.01</v>
      </c>
      <c r="J583">
        <v>785.11500000000001</v>
      </c>
      <c r="K583">
        <v>777.37</v>
      </c>
      <c r="L583">
        <v>769.1</v>
      </c>
      <c r="M583" s="233" t="s">
        <v>454</v>
      </c>
      <c r="N583" s="233" t="s">
        <v>454</v>
      </c>
      <c r="O583" s="3" t="s">
        <v>1081</v>
      </c>
      <c r="BM583" s="127"/>
      <c r="BN583" s="127"/>
      <c r="BO583" s="127"/>
      <c r="BP583" s="127"/>
      <c r="BQ583" s="127"/>
      <c r="BR583" s="127"/>
      <c r="BS583" s="127"/>
      <c r="BT583" s="127"/>
      <c r="BU583" s="127"/>
      <c r="BV583" s="127"/>
      <c r="BW583" s="127"/>
      <c r="BX583" s="127"/>
      <c r="BY583" s="127"/>
      <c r="BZ583" s="127"/>
      <c r="CA583" s="127"/>
      <c r="ER583" s="127"/>
      <c r="ES583" s="127"/>
      <c r="ET583" s="127"/>
      <c r="EU583" s="127"/>
      <c r="EV583" s="127"/>
      <c r="EW583" s="127"/>
      <c r="EX583" s="127"/>
      <c r="EY583" s="127"/>
      <c r="EZ583" s="127"/>
      <c r="FA583" s="127"/>
      <c r="FB583" s="127"/>
      <c r="FC583" s="127"/>
      <c r="FD583" s="127"/>
      <c r="FE583" s="127"/>
      <c r="FF583" s="127"/>
      <c r="HW583" s="127"/>
      <c r="HX583" s="127"/>
      <c r="HY583" s="127"/>
      <c r="HZ583" s="127"/>
      <c r="IA583" s="127"/>
      <c r="IB583" s="127"/>
      <c r="IC583" s="127"/>
      <c r="ID583" s="127"/>
      <c r="IE583" s="127"/>
      <c r="IF583" s="127"/>
      <c r="IG583" s="127"/>
      <c r="IH583" s="127"/>
      <c r="II583" s="127"/>
      <c r="IJ583" s="127"/>
      <c r="IK583" s="127"/>
      <c r="LB583" s="127"/>
      <c r="LC583" s="127"/>
      <c r="LD583" s="127"/>
      <c r="LE583" s="127"/>
      <c r="LF583" s="127"/>
      <c r="LG583" s="127"/>
      <c r="LH583" s="127"/>
      <c r="LI583" s="127"/>
      <c r="LJ583" s="127"/>
      <c r="LK583" s="127"/>
      <c r="LL583" s="127"/>
      <c r="LM583" s="127"/>
      <c r="LN583" s="127"/>
      <c r="LO583" s="127"/>
      <c r="LP583" s="127"/>
      <c r="OG583" s="127"/>
      <c r="OH583" s="127"/>
      <c r="OI583" s="127"/>
      <c r="OJ583" s="127"/>
      <c r="OK583" s="127"/>
      <c r="OL583" s="127"/>
      <c r="OM583" s="127"/>
      <c r="ON583" s="127"/>
      <c r="OO583" s="127"/>
      <c r="OP583" s="127"/>
      <c r="OQ583" s="127"/>
      <c r="OR583" s="127"/>
      <c r="OS583" s="127"/>
      <c r="OT583" s="127"/>
      <c r="OU583" s="127"/>
    </row>
    <row r="584" spans="1:411">
      <c r="A584">
        <v>129</v>
      </c>
      <c r="B584">
        <v>1173</v>
      </c>
      <c r="C584" t="s">
        <v>72</v>
      </c>
      <c r="D584" t="s">
        <v>446</v>
      </c>
      <c r="E584" s="232" t="s">
        <v>501</v>
      </c>
      <c r="F584" t="s">
        <v>71</v>
      </c>
      <c r="G584">
        <v>2</v>
      </c>
      <c r="H584">
        <v>790.18499999999995</v>
      </c>
      <c r="I584">
        <v>785.85</v>
      </c>
      <c r="J584">
        <v>780.78</v>
      </c>
      <c r="K584">
        <v>772.86</v>
      </c>
      <c r="L584">
        <v>764.42499999999995</v>
      </c>
      <c r="M584" s="233" t="s">
        <v>454</v>
      </c>
      <c r="N584" s="233" t="s">
        <v>454</v>
      </c>
      <c r="O584" s="3" t="s">
        <v>1082</v>
      </c>
      <c r="BM584" s="127"/>
      <c r="BN584" s="127"/>
      <c r="BO584" s="127"/>
      <c r="BP584" s="127"/>
      <c r="BQ584" s="127"/>
      <c r="BR584" s="127"/>
      <c r="BS584" s="127"/>
      <c r="BT584" s="127"/>
      <c r="BU584" s="127"/>
      <c r="BV584" s="127"/>
      <c r="BW584" s="127"/>
      <c r="BX584" s="127"/>
      <c r="BY584" s="127"/>
      <c r="BZ584" s="127"/>
      <c r="CA584" s="127"/>
      <c r="ER584" s="127"/>
      <c r="ES584" s="127"/>
      <c r="ET584" s="127"/>
      <c r="EU584" s="127"/>
      <c r="EV584" s="127"/>
      <c r="EW584" s="127"/>
      <c r="EX584" s="127"/>
      <c r="EY584" s="127"/>
      <c r="EZ584" s="127"/>
      <c r="FA584" s="127"/>
      <c r="FB584" s="127"/>
      <c r="FC584" s="127"/>
      <c r="FD584" s="127"/>
      <c r="FE584" s="127"/>
      <c r="FF584" s="127"/>
      <c r="HW584" s="127"/>
      <c r="HX584" s="127"/>
      <c r="HY584" s="127"/>
      <c r="HZ584" s="127"/>
      <c r="IA584" s="127"/>
      <c r="IB584" s="127"/>
      <c r="IC584" s="127"/>
      <c r="ID584" s="127"/>
      <c r="IE584" s="127"/>
      <c r="IF584" s="127"/>
      <c r="IG584" s="127"/>
      <c r="IH584" s="127"/>
      <c r="II584" s="127"/>
      <c r="IJ584" s="127"/>
      <c r="IK584" s="127"/>
      <c r="LB584" s="127"/>
      <c r="LC584" s="127"/>
      <c r="LD584" s="127"/>
      <c r="LE584" s="127"/>
      <c r="LF584" s="127"/>
      <c r="LG584" s="127"/>
      <c r="LH584" s="127"/>
      <c r="LI584" s="127"/>
      <c r="LJ584" s="127"/>
      <c r="LK584" s="127"/>
      <c r="LL584" s="127"/>
      <c r="LM584" s="127"/>
      <c r="LN584" s="127"/>
      <c r="LO584" s="127"/>
      <c r="LP584" s="127"/>
      <c r="OG584" s="127"/>
      <c r="OH584" s="127"/>
      <c r="OI584" s="127"/>
      <c r="OJ584" s="127"/>
      <c r="OK584" s="127"/>
      <c r="OL584" s="127"/>
      <c r="OM584" s="127"/>
      <c r="ON584" s="127"/>
      <c r="OO584" s="127"/>
      <c r="OP584" s="127"/>
      <c r="OQ584" s="127"/>
      <c r="OR584" s="127"/>
      <c r="OS584" s="127"/>
      <c r="OT584" s="127"/>
      <c r="OU584" s="127"/>
    </row>
    <row r="585" spans="1:411">
      <c r="A585">
        <v>129</v>
      </c>
      <c r="B585">
        <v>1164</v>
      </c>
      <c r="C585" t="s">
        <v>72</v>
      </c>
      <c r="D585" t="s">
        <v>446</v>
      </c>
      <c r="E585" s="232" t="s">
        <v>8337</v>
      </c>
      <c r="F585" t="s">
        <v>71</v>
      </c>
      <c r="G585">
        <v>2</v>
      </c>
      <c r="H585">
        <v>787.72500000000002</v>
      </c>
      <c r="I585">
        <v>783.21500000000003</v>
      </c>
      <c r="J585">
        <v>777.37</v>
      </c>
      <c r="K585">
        <v>769.77499999999998</v>
      </c>
      <c r="L585">
        <v>760.7</v>
      </c>
      <c r="M585" s="233" t="s">
        <v>454</v>
      </c>
      <c r="N585" s="233" t="s">
        <v>454</v>
      </c>
      <c r="O585" s="3" t="s">
        <v>1083</v>
      </c>
      <c r="BM585" s="127"/>
      <c r="BN585" s="127"/>
      <c r="BO585" s="127"/>
      <c r="BP585" s="127"/>
      <c r="BQ585" s="127"/>
      <c r="BR585" s="127"/>
      <c r="BS585" s="127"/>
      <c r="BT585" s="127"/>
      <c r="BU585" s="127"/>
      <c r="BV585" s="127"/>
      <c r="BW585" s="127"/>
      <c r="BX585" s="127"/>
      <c r="BY585" s="127"/>
      <c r="BZ585" s="127"/>
      <c r="CA585" s="127"/>
      <c r="ER585" s="127"/>
      <c r="ES585" s="127"/>
      <c r="ET585" s="127"/>
      <c r="EU585" s="127"/>
      <c r="EV585" s="127"/>
      <c r="EW585" s="127"/>
      <c r="EX585" s="127"/>
      <c r="EY585" s="127"/>
      <c r="EZ585" s="127"/>
      <c r="FA585" s="127"/>
      <c r="FB585" s="127"/>
      <c r="FC585" s="127"/>
      <c r="FD585" s="127"/>
      <c r="FE585" s="127"/>
      <c r="FF585" s="127"/>
      <c r="HW585" s="127"/>
      <c r="HX585" s="127"/>
      <c r="HY585" s="127"/>
      <c r="HZ585" s="127"/>
      <c r="IA585" s="127"/>
      <c r="IB585" s="127"/>
      <c r="IC585" s="127"/>
      <c r="ID585" s="127"/>
      <c r="IE585" s="127"/>
      <c r="IF585" s="127"/>
      <c r="IG585" s="127"/>
      <c r="IH585" s="127"/>
      <c r="II585" s="127"/>
      <c r="IJ585" s="127"/>
      <c r="IK585" s="127"/>
      <c r="LB585" s="127"/>
      <c r="LC585" s="127"/>
      <c r="LD585" s="127"/>
      <c r="LE585" s="127"/>
      <c r="LF585" s="127"/>
      <c r="LG585" s="127"/>
      <c r="LH585" s="127"/>
      <c r="LI585" s="127"/>
      <c r="LJ585" s="127"/>
      <c r="LK585" s="127"/>
      <c r="LL585" s="127"/>
      <c r="LM585" s="127"/>
      <c r="LN585" s="127"/>
      <c r="LO585" s="127"/>
      <c r="LP585" s="127"/>
      <c r="OG585" s="127"/>
      <c r="OH585" s="127"/>
      <c r="OI585" s="127"/>
      <c r="OJ585" s="127"/>
      <c r="OK585" s="127"/>
      <c r="OL585" s="127"/>
      <c r="OM585" s="127"/>
      <c r="ON585" s="127"/>
      <c r="OO585" s="127"/>
      <c r="OP585" s="127"/>
      <c r="OQ585" s="127"/>
      <c r="OR585" s="127"/>
      <c r="OS585" s="127"/>
      <c r="OT585" s="127"/>
      <c r="OU585" s="127"/>
    </row>
    <row r="586" spans="1:411">
      <c r="A586">
        <v>254</v>
      </c>
      <c r="B586">
        <v>1190</v>
      </c>
      <c r="C586" t="s">
        <v>72</v>
      </c>
      <c r="D586" t="s">
        <v>479</v>
      </c>
      <c r="E586" s="232" t="s">
        <v>9564</v>
      </c>
      <c r="F586" t="s">
        <v>70</v>
      </c>
      <c r="G586">
        <v>2</v>
      </c>
      <c r="H586">
        <v>441.14499999999998</v>
      </c>
      <c r="I586">
        <v>438.77</v>
      </c>
      <c r="J586">
        <v>435.84500000000003</v>
      </c>
      <c r="K586">
        <v>434.185</v>
      </c>
      <c r="L586">
        <v>432.67500000000001</v>
      </c>
      <c r="M586" s="233" t="s">
        <v>454</v>
      </c>
      <c r="N586" s="233" t="s">
        <v>454</v>
      </c>
      <c r="O586" s="3" t="s">
        <v>1084</v>
      </c>
      <c r="BM586" s="127"/>
      <c r="BN586" s="127"/>
      <c r="BO586" s="127"/>
      <c r="BP586" s="127"/>
      <c r="BQ586" s="127"/>
      <c r="BR586" s="127"/>
      <c r="BS586" s="127"/>
      <c r="BT586" s="127"/>
      <c r="BU586" s="127"/>
      <c r="BV586" s="127"/>
      <c r="BW586" s="127"/>
      <c r="BX586" s="127"/>
      <c r="BY586" s="127"/>
      <c r="BZ586" s="127"/>
      <c r="CA586" s="127"/>
      <c r="ER586" s="127"/>
      <c r="ES586" s="127"/>
      <c r="ET586" s="127"/>
      <c r="EU586" s="127"/>
      <c r="EV586" s="127"/>
      <c r="EW586" s="127"/>
      <c r="EX586" s="127"/>
      <c r="EY586" s="127"/>
      <c r="EZ586" s="127"/>
      <c r="FA586" s="127"/>
      <c r="FB586" s="127"/>
      <c r="FC586" s="127"/>
      <c r="FD586" s="127"/>
      <c r="FE586" s="127"/>
      <c r="FF586" s="127"/>
      <c r="HW586" s="127"/>
      <c r="HX586" s="127"/>
      <c r="HY586" s="127"/>
      <c r="HZ586" s="127"/>
      <c r="IA586" s="127"/>
      <c r="IB586" s="127"/>
      <c r="IC586" s="127"/>
      <c r="ID586" s="127"/>
      <c r="IE586" s="127"/>
      <c r="IF586" s="127"/>
      <c r="IG586" s="127"/>
      <c r="IH586" s="127"/>
      <c r="II586" s="127"/>
      <c r="IJ586" s="127"/>
      <c r="IK586" s="127"/>
      <c r="LB586" s="127"/>
      <c r="LC586" s="127"/>
      <c r="LD586" s="127"/>
      <c r="LE586" s="127"/>
      <c r="LF586" s="127"/>
      <c r="LG586" s="127"/>
      <c r="LH586" s="127"/>
      <c r="LI586" s="127"/>
      <c r="LJ586" s="127"/>
      <c r="LK586" s="127"/>
      <c r="LL586" s="127"/>
      <c r="LM586" s="127"/>
      <c r="LN586" s="127"/>
      <c r="LO586" s="127"/>
      <c r="LP586" s="127"/>
      <c r="OG586" s="127"/>
      <c r="OH586" s="127"/>
      <c r="OI586" s="127"/>
      <c r="OJ586" s="127"/>
      <c r="OK586" s="127"/>
      <c r="OL586" s="127"/>
      <c r="OM586" s="127"/>
      <c r="ON586" s="127"/>
      <c r="OO586" s="127"/>
      <c r="OP586" s="127"/>
      <c r="OQ586" s="127"/>
      <c r="OR586" s="127"/>
      <c r="OS586" s="127"/>
      <c r="OT586" s="127"/>
      <c r="OU586" s="127"/>
    </row>
    <row r="587" spans="1:411">
      <c r="A587">
        <v>249</v>
      </c>
      <c r="B587">
        <v>1195</v>
      </c>
      <c r="C587" t="s">
        <v>72</v>
      </c>
      <c r="D587" t="s">
        <v>479</v>
      </c>
      <c r="E587" s="232" t="s">
        <v>481</v>
      </c>
      <c r="F587" t="s">
        <v>70</v>
      </c>
      <c r="G587">
        <v>2</v>
      </c>
      <c r="H587">
        <v>444.565</v>
      </c>
      <c r="I587">
        <v>440.745</v>
      </c>
      <c r="J587">
        <v>435.84500000000003</v>
      </c>
      <c r="K587">
        <v>431.24</v>
      </c>
      <c r="L587">
        <v>428.84500000000003</v>
      </c>
      <c r="M587" s="233" t="s">
        <v>454</v>
      </c>
      <c r="N587" s="233" t="s">
        <v>454</v>
      </c>
      <c r="O587" s="3" t="s">
        <v>1085</v>
      </c>
      <c r="BM587" s="127"/>
      <c r="BN587" s="127"/>
      <c r="BO587" s="127"/>
      <c r="BP587" s="127"/>
      <c r="BQ587" s="127"/>
      <c r="BR587" s="127"/>
      <c r="BS587" s="127"/>
      <c r="BT587" s="127"/>
      <c r="BU587" s="127"/>
      <c r="BV587" s="127"/>
      <c r="BW587" s="127"/>
      <c r="BX587" s="127"/>
      <c r="BY587" s="127"/>
      <c r="BZ587" s="127"/>
      <c r="CA587" s="127"/>
      <c r="ER587" s="127"/>
      <c r="ES587" s="127"/>
      <c r="ET587" s="127"/>
      <c r="EU587" s="127"/>
      <c r="EV587" s="127"/>
      <c r="EW587" s="127"/>
      <c r="EX587" s="127"/>
      <c r="EY587" s="127"/>
      <c r="EZ587" s="127"/>
      <c r="FA587" s="127"/>
      <c r="FB587" s="127"/>
      <c r="FC587" s="127"/>
      <c r="FD587" s="127"/>
      <c r="FE587" s="127"/>
      <c r="FF587" s="127"/>
      <c r="HW587" s="127"/>
      <c r="HX587" s="127"/>
      <c r="HY587" s="127"/>
      <c r="HZ587" s="127"/>
      <c r="IA587" s="127"/>
      <c r="IB587" s="127"/>
      <c r="IC587" s="127"/>
      <c r="ID587" s="127"/>
      <c r="IE587" s="127"/>
      <c r="IF587" s="127"/>
      <c r="IG587" s="127"/>
      <c r="IH587" s="127"/>
      <c r="II587" s="127"/>
      <c r="IJ587" s="127"/>
      <c r="IK587" s="127"/>
      <c r="LB587" s="127"/>
      <c r="LC587" s="127"/>
      <c r="LD587" s="127"/>
      <c r="LE587" s="127"/>
      <c r="LF587" s="127"/>
      <c r="LG587" s="127"/>
      <c r="LH587" s="127"/>
      <c r="LI587" s="127"/>
      <c r="LJ587" s="127"/>
      <c r="LK587" s="127"/>
      <c r="LL587" s="127"/>
      <c r="LM587" s="127"/>
      <c r="LN587" s="127"/>
      <c r="LO587" s="127"/>
      <c r="LP587" s="127"/>
      <c r="OG587" s="127"/>
      <c r="OH587" s="127"/>
      <c r="OI587" s="127"/>
      <c r="OJ587" s="127"/>
      <c r="OK587" s="127"/>
      <c r="OL587" s="127"/>
      <c r="OM587" s="127"/>
      <c r="ON587" s="127"/>
      <c r="OO587" s="127"/>
      <c r="OP587" s="127"/>
      <c r="OQ587" s="127"/>
      <c r="OR587" s="127"/>
      <c r="OS587" s="127"/>
      <c r="OT587" s="127"/>
      <c r="OU587" s="127"/>
    </row>
    <row r="588" spans="1:411">
      <c r="A588">
        <v>250</v>
      </c>
      <c r="B588">
        <v>1196</v>
      </c>
      <c r="C588" t="s">
        <v>72</v>
      </c>
      <c r="D588" t="s">
        <v>479</v>
      </c>
      <c r="E588" s="232" t="s">
        <v>11412</v>
      </c>
      <c r="F588" t="s">
        <v>70</v>
      </c>
      <c r="G588">
        <v>2</v>
      </c>
      <c r="H588">
        <v>433.73</v>
      </c>
      <c r="I588">
        <v>430.54500000000002</v>
      </c>
      <c r="J588">
        <v>425.39499999999998</v>
      </c>
      <c r="K588">
        <v>419.66</v>
      </c>
      <c r="L588">
        <v>416.35</v>
      </c>
      <c r="M588" s="233" t="s">
        <v>454</v>
      </c>
      <c r="N588" s="233" t="s">
        <v>454</v>
      </c>
      <c r="O588" s="3" t="s">
        <v>1086</v>
      </c>
      <c r="BM588" s="127"/>
      <c r="BN588" s="127"/>
      <c r="BO588" s="127"/>
      <c r="BP588" s="127"/>
      <c r="BQ588" s="127"/>
      <c r="BR588" s="127"/>
      <c r="BS588" s="127"/>
      <c r="BT588" s="127"/>
      <c r="BU588" s="127"/>
      <c r="BV588" s="127"/>
      <c r="BW588" s="127"/>
      <c r="BX588" s="127"/>
      <c r="BY588" s="127"/>
      <c r="BZ588" s="127"/>
      <c r="CA588" s="127"/>
      <c r="ER588" s="127"/>
      <c r="ES588" s="127"/>
      <c r="ET588" s="127"/>
      <c r="EU588" s="127"/>
      <c r="EV588" s="127"/>
      <c r="EW588" s="127"/>
      <c r="EX588" s="127"/>
      <c r="EY588" s="127"/>
      <c r="EZ588" s="127"/>
      <c r="FA588" s="127"/>
      <c r="FB588" s="127"/>
      <c r="FC588" s="127"/>
      <c r="FD588" s="127"/>
      <c r="FE588" s="127"/>
      <c r="FF588" s="127"/>
      <c r="HW588" s="127"/>
      <c r="HX588" s="127"/>
      <c r="HY588" s="127"/>
      <c r="HZ588" s="127"/>
      <c r="IA588" s="127"/>
      <c r="IB588" s="127"/>
      <c r="IC588" s="127"/>
      <c r="ID588" s="127"/>
      <c r="IE588" s="127"/>
      <c r="IF588" s="127"/>
      <c r="IG588" s="127"/>
      <c r="IH588" s="127"/>
      <c r="II588" s="127"/>
      <c r="IJ588" s="127"/>
      <c r="IK588" s="127"/>
      <c r="LB588" s="127"/>
      <c r="LC588" s="127"/>
      <c r="LD588" s="127"/>
      <c r="LE588" s="127"/>
      <c r="LF588" s="127"/>
      <c r="LG588" s="127"/>
      <c r="LH588" s="127"/>
      <c r="LI588" s="127"/>
      <c r="LJ588" s="127"/>
      <c r="LK588" s="127"/>
      <c r="LL588" s="127"/>
      <c r="LM588" s="127"/>
      <c r="LN588" s="127"/>
      <c r="LO588" s="127"/>
      <c r="LP588" s="127"/>
      <c r="OG588" s="127"/>
      <c r="OH588" s="127"/>
      <c r="OI588" s="127"/>
      <c r="OJ588" s="127"/>
      <c r="OK588" s="127"/>
      <c r="OL588" s="127"/>
      <c r="OM588" s="127"/>
      <c r="ON588" s="127"/>
      <c r="OO588" s="127"/>
      <c r="OP588" s="127"/>
      <c r="OQ588" s="127"/>
      <c r="OR588" s="127"/>
      <c r="OS588" s="127"/>
      <c r="OT588" s="127"/>
      <c r="OU588" s="127"/>
    </row>
    <row r="589" spans="1:411">
      <c r="A589">
        <v>249</v>
      </c>
      <c r="B589">
        <v>1192</v>
      </c>
      <c r="C589" t="s">
        <v>72</v>
      </c>
      <c r="D589" t="s">
        <v>479</v>
      </c>
      <c r="E589" s="232" t="s">
        <v>482</v>
      </c>
      <c r="F589" t="s">
        <v>70</v>
      </c>
      <c r="G589">
        <v>2</v>
      </c>
      <c r="H589">
        <v>432.065</v>
      </c>
      <c r="I589">
        <v>428.94499999999999</v>
      </c>
      <c r="J589">
        <v>422.88</v>
      </c>
      <c r="K589">
        <v>417.42</v>
      </c>
      <c r="L589">
        <v>414.63</v>
      </c>
      <c r="M589" s="233" t="s">
        <v>454</v>
      </c>
      <c r="N589" s="233" t="s">
        <v>454</v>
      </c>
      <c r="O589" s="3" t="s">
        <v>1087</v>
      </c>
      <c r="BM589" s="127"/>
      <c r="BN589" s="127"/>
      <c r="BO589" s="127"/>
      <c r="BP589" s="127"/>
      <c r="BQ589" s="127"/>
      <c r="BR589" s="127"/>
      <c r="BS589" s="127"/>
      <c r="BT589" s="127"/>
      <c r="BU589" s="127"/>
      <c r="BV589" s="127"/>
      <c r="BW589" s="127"/>
      <c r="BX589" s="127"/>
      <c r="BY589" s="127"/>
      <c r="BZ589" s="127"/>
      <c r="CA589" s="127"/>
      <c r="ER589" s="127"/>
      <c r="ES589" s="127"/>
      <c r="ET589" s="127"/>
      <c r="EU589" s="127"/>
      <c r="EV589" s="127"/>
      <c r="EW589" s="127"/>
      <c r="EX589" s="127"/>
      <c r="EY589" s="127"/>
      <c r="EZ589" s="127"/>
      <c r="FA589" s="127"/>
      <c r="FB589" s="127"/>
      <c r="FC589" s="127"/>
      <c r="FD589" s="127"/>
      <c r="FE589" s="127"/>
      <c r="FF589" s="127"/>
      <c r="HW589" s="127"/>
      <c r="HX589" s="127"/>
      <c r="HY589" s="127"/>
      <c r="HZ589" s="127"/>
      <c r="IA589" s="127"/>
      <c r="IB589" s="127"/>
      <c r="IC589" s="127"/>
      <c r="ID589" s="127"/>
      <c r="IE589" s="127"/>
      <c r="IF589" s="127"/>
      <c r="IG589" s="127"/>
      <c r="IH589" s="127"/>
      <c r="II589" s="127"/>
      <c r="IJ589" s="127"/>
      <c r="IK589" s="127"/>
      <c r="LB589" s="127"/>
      <c r="LC589" s="127"/>
      <c r="LD589" s="127"/>
      <c r="LE589" s="127"/>
      <c r="LF589" s="127"/>
      <c r="LG589" s="127"/>
      <c r="LH589" s="127"/>
      <c r="LI589" s="127"/>
      <c r="LJ589" s="127"/>
      <c r="LK589" s="127"/>
      <c r="LL589" s="127"/>
      <c r="LM589" s="127"/>
      <c r="LN589" s="127"/>
      <c r="LO589" s="127"/>
      <c r="LP589" s="127"/>
      <c r="OG589" s="127"/>
      <c r="OH589" s="127"/>
      <c r="OI589" s="127"/>
      <c r="OJ589" s="127"/>
      <c r="OK589" s="127"/>
      <c r="OL589" s="127"/>
      <c r="OM589" s="127"/>
      <c r="ON589" s="127"/>
      <c r="OO589" s="127"/>
      <c r="OP589" s="127"/>
      <c r="OQ589" s="127"/>
      <c r="OR589" s="127"/>
      <c r="OS589" s="127"/>
      <c r="OT589" s="127"/>
      <c r="OU589" s="127"/>
    </row>
    <row r="590" spans="1:411">
      <c r="A590">
        <v>251</v>
      </c>
      <c r="B590">
        <v>1201</v>
      </c>
      <c r="C590" t="s">
        <v>72</v>
      </c>
      <c r="D590" t="s">
        <v>479</v>
      </c>
      <c r="E590" s="232" t="s">
        <v>480</v>
      </c>
      <c r="F590" t="s">
        <v>70</v>
      </c>
      <c r="G590">
        <v>2</v>
      </c>
      <c r="H590">
        <v>441.71499999999997</v>
      </c>
      <c r="I590">
        <v>439.09</v>
      </c>
      <c r="J590">
        <v>434.91</v>
      </c>
      <c r="K590">
        <v>429.81</v>
      </c>
      <c r="L590">
        <v>426.46499999999997</v>
      </c>
      <c r="M590" s="233" t="s">
        <v>454</v>
      </c>
      <c r="N590" s="233" t="s">
        <v>454</v>
      </c>
      <c r="O590" s="3" t="s">
        <v>1088</v>
      </c>
      <c r="BM590" s="127"/>
      <c r="BN590" s="127"/>
      <c r="BO590" s="127"/>
      <c r="BP590" s="127"/>
      <c r="BQ590" s="127"/>
      <c r="BR590" s="127"/>
      <c r="BS590" s="127"/>
      <c r="BT590" s="127"/>
      <c r="BU590" s="127"/>
      <c r="BV590" s="127"/>
      <c r="BW590" s="127"/>
      <c r="BX590" s="127"/>
      <c r="BY590" s="127"/>
      <c r="BZ590" s="127"/>
      <c r="CA590" s="127"/>
      <c r="ER590" s="127"/>
      <c r="ES590" s="127"/>
      <c r="ET590" s="127"/>
      <c r="EU590" s="127"/>
      <c r="EV590" s="127"/>
      <c r="EW590" s="127"/>
      <c r="EX590" s="127"/>
      <c r="EY590" s="127"/>
      <c r="EZ590" s="127"/>
      <c r="FA590" s="127"/>
      <c r="FB590" s="127"/>
      <c r="FC590" s="127"/>
      <c r="FD590" s="127"/>
      <c r="FE590" s="127"/>
      <c r="FF590" s="127"/>
      <c r="HW590" s="127"/>
      <c r="HX590" s="127"/>
      <c r="HY590" s="127"/>
      <c r="HZ590" s="127"/>
      <c r="IA590" s="127"/>
      <c r="IB590" s="127"/>
      <c r="IC590" s="127"/>
      <c r="ID590" s="127"/>
      <c r="IE590" s="127"/>
      <c r="IF590" s="127"/>
      <c r="IG590" s="127"/>
      <c r="IH590" s="127"/>
      <c r="II590" s="127"/>
      <c r="IJ590" s="127"/>
      <c r="IK590" s="127"/>
      <c r="LB590" s="127"/>
      <c r="LC590" s="127"/>
      <c r="LD590" s="127"/>
      <c r="LE590" s="127"/>
      <c r="LF590" s="127"/>
      <c r="LG590" s="127"/>
      <c r="LH590" s="127"/>
      <c r="LI590" s="127"/>
      <c r="LJ590" s="127"/>
      <c r="LK590" s="127"/>
      <c r="LL590" s="127"/>
      <c r="LM590" s="127"/>
      <c r="LN590" s="127"/>
      <c r="LO590" s="127"/>
      <c r="LP590" s="127"/>
      <c r="OG590" s="127"/>
      <c r="OH590" s="127"/>
      <c r="OI590" s="127"/>
      <c r="OJ590" s="127"/>
      <c r="OK590" s="127"/>
      <c r="OL590" s="127"/>
      <c r="OM590" s="127"/>
      <c r="ON590" s="127"/>
      <c r="OO590" s="127"/>
      <c r="OP590" s="127"/>
      <c r="OQ590" s="127"/>
      <c r="OR590" s="127"/>
      <c r="OS590" s="127"/>
      <c r="OT590" s="127"/>
      <c r="OU590" s="127"/>
    </row>
    <row r="591" spans="1:411">
      <c r="A591">
        <v>255</v>
      </c>
      <c r="B591">
        <v>1206</v>
      </c>
      <c r="C591" t="s">
        <v>72</v>
      </c>
      <c r="D591" t="s">
        <v>479</v>
      </c>
      <c r="E591" s="232" t="s">
        <v>9423</v>
      </c>
      <c r="F591" t="s">
        <v>71</v>
      </c>
      <c r="G591">
        <v>2</v>
      </c>
      <c r="H591">
        <v>447.40499999999997</v>
      </c>
      <c r="I591">
        <v>442.95</v>
      </c>
      <c r="J591">
        <v>437.91</v>
      </c>
      <c r="K591">
        <v>432.06</v>
      </c>
      <c r="L591">
        <v>428.48</v>
      </c>
      <c r="M591" s="233" t="s">
        <v>454</v>
      </c>
      <c r="N591" s="233" t="s">
        <v>454</v>
      </c>
      <c r="O591" s="3" t="s">
        <v>1089</v>
      </c>
      <c r="BM591" s="127"/>
      <c r="BN591" s="127"/>
      <c r="BO591" s="127"/>
      <c r="BP591" s="127"/>
      <c r="BQ591" s="127"/>
      <c r="BR591" s="127"/>
      <c r="BS591" s="127"/>
      <c r="BT591" s="127"/>
      <c r="BU591" s="127"/>
      <c r="BV591" s="127"/>
      <c r="BW591" s="127"/>
      <c r="BX591" s="127"/>
      <c r="BY591" s="127"/>
      <c r="BZ591" s="127"/>
      <c r="CA591" s="127"/>
      <c r="ER591" s="127"/>
      <c r="ES591" s="127"/>
      <c r="ET591" s="127"/>
      <c r="EU591" s="127"/>
      <c r="EV591" s="127"/>
      <c r="EW591" s="127"/>
      <c r="EX591" s="127"/>
      <c r="EY591" s="127"/>
      <c r="EZ591" s="127"/>
      <c r="FA591" s="127"/>
      <c r="FB591" s="127"/>
      <c r="FC591" s="127"/>
      <c r="FD591" s="127"/>
      <c r="FE591" s="127"/>
      <c r="FF591" s="127"/>
      <c r="HW591" s="127"/>
      <c r="HX591" s="127"/>
      <c r="HY591" s="127"/>
      <c r="HZ591" s="127"/>
      <c r="IA591" s="127"/>
      <c r="IB591" s="127"/>
      <c r="IC591" s="127"/>
      <c r="ID591" s="127"/>
      <c r="IE591" s="127"/>
      <c r="IF591" s="127"/>
      <c r="IG591" s="127"/>
      <c r="IH591" s="127"/>
      <c r="II591" s="127"/>
      <c r="IJ591" s="127"/>
      <c r="IK591" s="127"/>
      <c r="LB591" s="127"/>
      <c r="LC591" s="127"/>
      <c r="LD591" s="127"/>
      <c r="LE591" s="127"/>
      <c r="LF591" s="127"/>
      <c r="LG591" s="127"/>
      <c r="LH591" s="127"/>
      <c r="LI591" s="127"/>
      <c r="LJ591" s="127"/>
      <c r="LK591" s="127"/>
      <c r="LL591" s="127"/>
      <c r="LM591" s="127"/>
      <c r="LN591" s="127"/>
      <c r="LO591" s="127"/>
      <c r="LP591" s="127"/>
      <c r="OG591" s="127"/>
      <c r="OH591" s="127"/>
      <c r="OI591" s="127"/>
      <c r="OJ591" s="127"/>
      <c r="OK591" s="127"/>
      <c r="OL591" s="127"/>
      <c r="OM591" s="127"/>
      <c r="ON591" s="127"/>
      <c r="OO591" s="127"/>
      <c r="OP591" s="127"/>
      <c r="OQ591" s="127"/>
      <c r="OR591" s="127"/>
      <c r="OS591" s="127"/>
      <c r="OT591" s="127"/>
      <c r="OU591" s="127"/>
    </row>
    <row r="592" spans="1:411">
      <c r="A592">
        <v>256</v>
      </c>
      <c r="B592">
        <v>1204</v>
      </c>
      <c r="C592" t="s">
        <v>72</v>
      </c>
      <c r="D592" t="s">
        <v>479</v>
      </c>
      <c r="E592" s="232" t="s">
        <v>8772</v>
      </c>
      <c r="F592" t="s">
        <v>71</v>
      </c>
      <c r="G592">
        <v>2</v>
      </c>
      <c r="H592">
        <v>438.74</v>
      </c>
      <c r="I592">
        <v>435.23500000000001</v>
      </c>
      <c r="J592">
        <v>430.54500000000002</v>
      </c>
      <c r="K592">
        <v>426.21499999999997</v>
      </c>
      <c r="L592">
        <v>424.40499999999997</v>
      </c>
      <c r="M592" s="233" t="s">
        <v>454</v>
      </c>
      <c r="N592" s="233" t="s">
        <v>454</v>
      </c>
      <c r="O592" s="3" t="s">
        <v>1090</v>
      </c>
      <c r="BM592" s="127"/>
      <c r="BN592" s="127"/>
      <c r="BO592" s="127"/>
      <c r="BP592" s="127"/>
      <c r="BQ592" s="127"/>
      <c r="BR592" s="127"/>
      <c r="BS592" s="127"/>
      <c r="BT592" s="127"/>
      <c r="BU592" s="127"/>
      <c r="BV592" s="127"/>
      <c r="BW592" s="127"/>
      <c r="BX592" s="127"/>
      <c r="BY592" s="127"/>
      <c r="BZ592" s="127"/>
      <c r="CA592" s="127"/>
      <c r="ER592" s="127"/>
      <c r="ES592" s="127"/>
      <c r="ET592" s="127"/>
      <c r="EU592" s="127"/>
      <c r="EV592" s="127"/>
      <c r="EW592" s="127"/>
      <c r="EX592" s="127"/>
      <c r="EY592" s="127"/>
      <c r="EZ592" s="127"/>
      <c r="FA592" s="127"/>
      <c r="FB592" s="127"/>
      <c r="FC592" s="127"/>
      <c r="FD592" s="127"/>
      <c r="FE592" s="127"/>
      <c r="FF592" s="127"/>
      <c r="HW592" s="127"/>
      <c r="HX592" s="127"/>
      <c r="HY592" s="127"/>
      <c r="HZ592" s="127"/>
      <c r="IA592" s="127"/>
      <c r="IB592" s="127"/>
      <c r="IC592" s="127"/>
      <c r="ID592" s="127"/>
      <c r="IE592" s="127"/>
      <c r="IF592" s="127"/>
      <c r="IG592" s="127"/>
      <c r="IH592" s="127"/>
      <c r="II592" s="127"/>
      <c r="IJ592" s="127"/>
      <c r="IK592" s="127"/>
      <c r="LB592" s="127"/>
      <c r="LC592" s="127"/>
      <c r="LD592" s="127"/>
      <c r="LE592" s="127"/>
      <c r="LF592" s="127"/>
      <c r="LG592" s="127"/>
      <c r="LH592" s="127"/>
      <c r="LI592" s="127"/>
      <c r="LJ592" s="127"/>
      <c r="LK592" s="127"/>
      <c r="LL592" s="127"/>
      <c r="LM592" s="127"/>
      <c r="LN592" s="127"/>
      <c r="LO592" s="127"/>
      <c r="LP592" s="127"/>
      <c r="OG592" s="127"/>
      <c r="OH592" s="127"/>
      <c r="OI592" s="127"/>
      <c r="OJ592" s="127"/>
      <c r="OK592" s="127"/>
      <c r="OL592" s="127"/>
      <c r="OM592" s="127"/>
      <c r="ON592" s="127"/>
      <c r="OO592" s="127"/>
      <c r="OP592" s="127"/>
      <c r="OQ592" s="127"/>
      <c r="OR592" s="127"/>
      <c r="OS592" s="127"/>
      <c r="OT592" s="127"/>
      <c r="OU592" s="127"/>
    </row>
    <row r="593" spans="1:411">
      <c r="A593">
        <v>256</v>
      </c>
      <c r="B593">
        <v>1210</v>
      </c>
      <c r="C593" t="s">
        <v>72</v>
      </c>
      <c r="D593" t="s">
        <v>479</v>
      </c>
      <c r="E593" s="232" t="s">
        <v>8337</v>
      </c>
      <c r="F593" t="s">
        <v>71</v>
      </c>
      <c r="G593">
        <v>2</v>
      </c>
      <c r="H593">
        <v>433.49</v>
      </c>
      <c r="I593">
        <v>430.745</v>
      </c>
      <c r="J593">
        <v>426.77499999999998</v>
      </c>
      <c r="K593">
        <v>422.27</v>
      </c>
      <c r="L593">
        <v>419.82499999999999</v>
      </c>
      <c r="M593" s="233" t="s">
        <v>454</v>
      </c>
      <c r="N593" s="233" t="s">
        <v>454</v>
      </c>
      <c r="O593" s="3" t="s">
        <v>1091</v>
      </c>
      <c r="BM593" s="127"/>
      <c r="BN593" s="127"/>
      <c r="BO593" s="127"/>
      <c r="BP593" s="127"/>
      <c r="BQ593" s="127"/>
      <c r="BR593" s="127"/>
      <c r="BS593" s="127"/>
      <c r="BT593" s="127"/>
      <c r="BU593" s="127"/>
      <c r="BV593" s="127"/>
      <c r="BW593" s="127"/>
      <c r="BX593" s="127"/>
      <c r="BY593" s="127"/>
      <c r="BZ593" s="127"/>
      <c r="CA593" s="127"/>
      <c r="ER593" s="127"/>
      <c r="ES593" s="127"/>
      <c r="ET593" s="127"/>
      <c r="EU593" s="127"/>
      <c r="EV593" s="127"/>
      <c r="EW593" s="127"/>
      <c r="EX593" s="127"/>
      <c r="EY593" s="127"/>
      <c r="EZ593" s="127"/>
      <c r="FA593" s="127"/>
      <c r="FB593" s="127"/>
      <c r="FC593" s="127"/>
      <c r="FD593" s="127"/>
      <c r="FE593" s="127"/>
      <c r="FF593" s="127"/>
      <c r="HW593" s="127"/>
      <c r="HX593" s="127"/>
      <c r="HY593" s="127"/>
      <c r="HZ593" s="127"/>
      <c r="IA593" s="127"/>
      <c r="IB593" s="127"/>
      <c r="IC593" s="127"/>
      <c r="ID593" s="127"/>
      <c r="IE593" s="127"/>
      <c r="IF593" s="127"/>
      <c r="IG593" s="127"/>
      <c r="IH593" s="127"/>
      <c r="II593" s="127"/>
      <c r="IJ593" s="127"/>
      <c r="IK593" s="127"/>
      <c r="LB593" s="127"/>
      <c r="LC593" s="127"/>
      <c r="LD593" s="127"/>
      <c r="LE593" s="127"/>
      <c r="LF593" s="127"/>
      <c r="LG593" s="127"/>
      <c r="LH593" s="127"/>
      <c r="LI593" s="127"/>
      <c r="LJ593" s="127"/>
      <c r="LK593" s="127"/>
      <c r="LL593" s="127"/>
      <c r="LM593" s="127"/>
      <c r="LN593" s="127"/>
      <c r="LO593" s="127"/>
      <c r="LP593" s="127"/>
      <c r="OG593" s="127"/>
      <c r="OH593" s="127"/>
      <c r="OI593" s="127"/>
      <c r="OJ593" s="127"/>
      <c r="OK593" s="127"/>
      <c r="OL593" s="127"/>
      <c r="OM593" s="127"/>
      <c r="ON593" s="127"/>
      <c r="OO593" s="127"/>
      <c r="OP593" s="127"/>
      <c r="OQ593" s="127"/>
      <c r="OR593" s="127"/>
      <c r="OS593" s="127"/>
      <c r="OT593" s="127"/>
      <c r="OU593" s="127"/>
    </row>
    <row r="594" spans="1:411">
      <c r="A594">
        <v>256</v>
      </c>
      <c r="B594">
        <v>1208</v>
      </c>
      <c r="C594" t="s">
        <v>72</v>
      </c>
      <c r="D594" t="s">
        <v>479</v>
      </c>
      <c r="E594" s="232" t="s">
        <v>501</v>
      </c>
      <c r="F594" t="s">
        <v>71</v>
      </c>
      <c r="G594">
        <v>2</v>
      </c>
      <c r="H594">
        <v>433.49</v>
      </c>
      <c r="I594">
        <v>430.84500000000003</v>
      </c>
      <c r="J594">
        <v>426.21499999999997</v>
      </c>
      <c r="K594">
        <v>422.12</v>
      </c>
      <c r="L594">
        <v>419.55</v>
      </c>
      <c r="M594" s="233" t="s">
        <v>454</v>
      </c>
      <c r="N594" s="233" t="s">
        <v>454</v>
      </c>
      <c r="O594" s="3" t="s">
        <v>1092</v>
      </c>
      <c r="BM594" s="127"/>
      <c r="BN594" s="127"/>
      <c r="BO594" s="127"/>
      <c r="BP594" s="127"/>
      <c r="BQ594" s="127"/>
      <c r="BR594" s="127"/>
      <c r="BS594" s="127"/>
      <c r="BT594" s="127"/>
      <c r="BU594" s="127"/>
      <c r="BV594" s="127"/>
      <c r="BW594" s="127"/>
      <c r="BX594" s="127"/>
      <c r="BY594" s="127"/>
      <c r="BZ594" s="127"/>
      <c r="CA594" s="127"/>
      <c r="ER594" s="127"/>
      <c r="ES594" s="127"/>
      <c r="ET594" s="127"/>
      <c r="EU594" s="127"/>
      <c r="EV594" s="127"/>
      <c r="EW594" s="127"/>
      <c r="EX594" s="127"/>
      <c r="EY594" s="127"/>
      <c r="EZ594" s="127"/>
      <c r="FA594" s="127"/>
      <c r="FB594" s="127"/>
      <c r="FC594" s="127"/>
      <c r="FD594" s="127"/>
      <c r="FE594" s="127"/>
      <c r="FF594" s="127"/>
      <c r="HW594" s="127"/>
      <c r="HX594" s="127"/>
      <c r="HY594" s="127"/>
      <c r="HZ594" s="127"/>
      <c r="IA594" s="127"/>
      <c r="IB594" s="127"/>
      <c r="IC594" s="127"/>
      <c r="ID594" s="127"/>
      <c r="IE594" s="127"/>
      <c r="IF594" s="127"/>
      <c r="IG594" s="127"/>
      <c r="IH594" s="127"/>
      <c r="II594" s="127"/>
      <c r="IJ594" s="127"/>
      <c r="IK594" s="127"/>
      <c r="LB594" s="127"/>
      <c r="LC594" s="127"/>
      <c r="LD594" s="127"/>
      <c r="LE594" s="127"/>
      <c r="LF594" s="127"/>
      <c r="LG594" s="127"/>
      <c r="LH594" s="127"/>
      <c r="LI594" s="127"/>
      <c r="LJ594" s="127"/>
      <c r="LK594" s="127"/>
      <c r="LL594" s="127"/>
      <c r="LM594" s="127"/>
      <c r="LN594" s="127"/>
      <c r="LO594" s="127"/>
      <c r="LP594" s="127"/>
      <c r="OG594" s="127"/>
      <c r="OH594" s="127"/>
      <c r="OI594" s="127"/>
      <c r="OJ594" s="127"/>
      <c r="OK594" s="127"/>
      <c r="OL594" s="127"/>
      <c r="OM594" s="127"/>
      <c r="ON594" s="127"/>
      <c r="OO594" s="127"/>
      <c r="OP594" s="127"/>
      <c r="OQ594" s="127"/>
      <c r="OR594" s="127"/>
      <c r="OS594" s="127"/>
      <c r="OT594" s="127"/>
      <c r="OU594" s="127"/>
    </row>
    <row r="595" spans="1:411">
      <c r="A595">
        <v>256</v>
      </c>
      <c r="B595">
        <v>1207</v>
      </c>
      <c r="C595" t="s">
        <v>72</v>
      </c>
      <c r="D595" t="s">
        <v>479</v>
      </c>
      <c r="E595" s="232" t="s">
        <v>8269</v>
      </c>
      <c r="F595" t="s">
        <v>71</v>
      </c>
      <c r="G595">
        <v>2</v>
      </c>
      <c r="H595">
        <v>432.84</v>
      </c>
      <c r="I595">
        <v>430.54500000000002</v>
      </c>
      <c r="J595">
        <v>425.91500000000002</v>
      </c>
      <c r="K595">
        <v>421.36</v>
      </c>
      <c r="L595">
        <v>418.67500000000001</v>
      </c>
      <c r="M595" s="233" t="s">
        <v>454</v>
      </c>
      <c r="N595" s="233" t="s">
        <v>454</v>
      </c>
      <c r="O595" s="3" t="s">
        <v>1093</v>
      </c>
      <c r="BM595" s="127"/>
      <c r="BN595" s="127"/>
      <c r="BO595" s="127"/>
      <c r="BP595" s="127"/>
      <c r="BQ595" s="127"/>
      <c r="BR595" s="127"/>
      <c r="BS595" s="127"/>
      <c r="BT595" s="127"/>
      <c r="BU595" s="127"/>
      <c r="BV595" s="127"/>
      <c r="BW595" s="127"/>
      <c r="BX595" s="127"/>
      <c r="BY595" s="127"/>
      <c r="BZ595" s="127"/>
      <c r="CA595" s="127"/>
      <c r="ER595" s="127"/>
      <c r="ES595" s="127"/>
      <c r="ET595" s="127"/>
      <c r="EU595" s="127"/>
      <c r="EV595" s="127"/>
      <c r="EW595" s="127"/>
      <c r="EX595" s="127"/>
      <c r="EY595" s="127"/>
      <c r="EZ595" s="127"/>
      <c r="FA595" s="127"/>
      <c r="FB595" s="127"/>
      <c r="FC595" s="127"/>
      <c r="FD595" s="127"/>
      <c r="FE595" s="127"/>
      <c r="FF595" s="127"/>
      <c r="HW595" s="127"/>
      <c r="HX595" s="127"/>
      <c r="HY595" s="127"/>
      <c r="HZ595" s="127"/>
      <c r="IA595" s="127"/>
      <c r="IB595" s="127"/>
      <c r="IC595" s="127"/>
      <c r="ID595" s="127"/>
      <c r="IE595" s="127"/>
      <c r="IF595" s="127"/>
      <c r="IG595" s="127"/>
      <c r="IH595" s="127"/>
      <c r="II595" s="127"/>
      <c r="IJ595" s="127"/>
      <c r="IK595" s="127"/>
      <c r="LB595" s="127"/>
      <c r="LC595" s="127"/>
      <c r="LD595" s="127"/>
      <c r="LE595" s="127"/>
      <c r="LF595" s="127"/>
      <c r="LG595" s="127"/>
      <c r="LH595" s="127"/>
      <c r="LI595" s="127"/>
      <c r="LJ595" s="127"/>
      <c r="LK595" s="127"/>
      <c r="LL595" s="127"/>
      <c r="LM595" s="127"/>
      <c r="LN595" s="127"/>
      <c r="LO595" s="127"/>
      <c r="LP595" s="127"/>
      <c r="OG595" s="127"/>
      <c r="OH595" s="127"/>
      <c r="OI595" s="127"/>
      <c r="OJ595" s="127"/>
      <c r="OK595" s="127"/>
      <c r="OL595" s="127"/>
      <c r="OM595" s="127"/>
      <c r="ON595" s="127"/>
      <c r="OO595" s="127"/>
      <c r="OP595" s="127"/>
      <c r="OQ595" s="127"/>
      <c r="OR595" s="127"/>
      <c r="OS595" s="127"/>
      <c r="OT595" s="127"/>
      <c r="OU595" s="127"/>
    </row>
    <row r="596" spans="1:411">
      <c r="A596">
        <v>256</v>
      </c>
      <c r="B596">
        <v>1205</v>
      </c>
      <c r="C596" t="s">
        <v>72</v>
      </c>
      <c r="D596" t="s">
        <v>479</v>
      </c>
      <c r="E596" s="232" t="s">
        <v>8974</v>
      </c>
      <c r="F596" t="s">
        <v>71</v>
      </c>
      <c r="G596">
        <v>2</v>
      </c>
      <c r="H596">
        <v>431.63</v>
      </c>
      <c r="I596">
        <v>428.53500000000003</v>
      </c>
      <c r="J596">
        <v>424.45499999999998</v>
      </c>
      <c r="K596">
        <v>418.32499999999999</v>
      </c>
      <c r="L596">
        <v>416.33</v>
      </c>
      <c r="M596" s="233" t="s">
        <v>454</v>
      </c>
      <c r="N596" s="233" t="s">
        <v>454</v>
      </c>
      <c r="O596" s="3" t="s">
        <v>1094</v>
      </c>
      <c r="BM596" s="127"/>
      <c r="BN596" s="127"/>
      <c r="BO596" s="127"/>
      <c r="BP596" s="127"/>
      <c r="BQ596" s="127"/>
      <c r="BR596" s="127"/>
      <c r="BS596" s="127"/>
      <c r="BT596" s="127"/>
      <c r="BU596" s="127"/>
      <c r="BV596" s="127"/>
      <c r="BW596" s="127"/>
      <c r="BX596" s="127"/>
      <c r="BY596" s="127"/>
      <c r="BZ596" s="127"/>
      <c r="CA596" s="127"/>
      <c r="ER596" s="127"/>
      <c r="ES596" s="127"/>
      <c r="ET596" s="127"/>
      <c r="EU596" s="127"/>
      <c r="EV596" s="127"/>
      <c r="EW596" s="127"/>
      <c r="EX596" s="127"/>
      <c r="EY596" s="127"/>
      <c r="EZ596" s="127"/>
      <c r="FA596" s="127"/>
      <c r="FB596" s="127"/>
      <c r="FC596" s="127"/>
      <c r="FD596" s="127"/>
      <c r="FE596" s="127"/>
      <c r="FF596" s="127"/>
      <c r="HW596" s="127"/>
      <c r="HX596" s="127"/>
      <c r="HY596" s="127"/>
      <c r="HZ596" s="127"/>
      <c r="IA596" s="127"/>
      <c r="IB596" s="127"/>
      <c r="IC596" s="127"/>
      <c r="ID596" s="127"/>
      <c r="IE596" s="127"/>
      <c r="IF596" s="127"/>
      <c r="IG596" s="127"/>
      <c r="IH596" s="127"/>
      <c r="II596" s="127"/>
      <c r="IJ596" s="127"/>
      <c r="IK596" s="127"/>
      <c r="LB596" s="127"/>
      <c r="LC596" s="127"/>
      <c r="LD596" s="127"/>
      <c r="LE596" s="127"/>
      <c r="LF596" s="127"/>
      <c r="LG596" s="127"/>
      <c r="LH596" s="127"/>
      <c r="LI596" s="127"/>
      <c r="LJ596" s="127"/>
      <c r="LK596" s="127"/>
      <c r="LL596" s="127"/>
      <c r="LM596" s="127"/>
      <c r="LN596" s="127"/>
      <c r="LO596" s="127"/>
      <c r="LP596" s="127"/>
      <c r="OG596" s="127"/>
      <c r="OH596" s="127"/>
      <c r="OI596" s="127"/>
      <c r="OJ596" s="127"/>
      <c r="OK596" s="127"/>
      <c r="OL596" s="127"/>
      <c r="OM596" s="127"/>
      <c r="ON596" s="127"/>
      <c r="OO596" s="127"/>
      <c r="OP596" s="127"/>
      <c r="OQ596" s="127"/>
      <c r="OR596" s="127"/>
      <c r="OS596" s="127"/>
      <c r="OT596" s="127"/>
      <c r="OU596" s="127"/>
    </row>
    <row r="597" spans="1:411">
      <c r="A597">
        <v>257</v>
      </c>
      <c r="B597">
        <v>1209</v>
      </c>
      <c r="C597" t="s">
        <v>72</v>
      </c>
      <c r="D597" t="s">
        <v>479</v>
      </c>
      <c r="E597" s="232" t="s">
        <v>11430</v>
      </c>
      <c r="F597" t="s">
        <v>71</v>
      </c>
      <c r="G597">
        <v>2</v>
      </c>
      <c r="H597">
        <v>425.74</v>
      </c>
      <c r="I597">
        <v>422.92</v>
      </c>
      <c r="J597">
        <v>417.86500000000001</v>
      </c>
      <c r="K597">
        <v>413.88499999999999</v>
      </c>
      <c r="L597">
        <v>411.35</v>
      </c>
      <c r="M597" s="233" t="s">
        <v>454</v>
      </c>
      <c r="N597" s="233" t="s">
        <v>454</v>
      </c>
      <c r="O597" s="3" t="s">
        <v>1095</v>
      </c>
      <c r="BM597" s="127"/>
      <c r="BN597" s="127"/>
      <c r="BO597" s="127"/>
      <c r="BP597" s="127"/>
      <c r="BQ597" s="127"/>
      <c r="BR597" s="127"/>
      <c r="BS597" s="127"/>
      <c r="BT597" s="127"/>
      <c r="BU597" s="127"/>
      <c r="BV597" s="127"/>
      <c r="BW597" s="127"/>
      <c r="BX597" s="127"/>
      <c r="BY597" s="127"/>
      <c r="BZ597" s="127"/>
      <c r="CA597" s="127"/>
      <c r="ER597" s="127"/>
      <c r="ES597" s="127"/>
      <c r="ET597" s="127"/>
      <c r="EU597" s="127"/>
      <c r="EV597" s="127"/>
      <c r="EW597" s="127"/>
      <c r="EX597" s="127"/>
      <c r="EY597" s="127"/>
      <c r="EZ597" s="127"/>
      <c r="FA597" s="127"/>
      <c r="FB597" s="127"/>
      <c r="FC597" s="127"/>
      <c r="FD597" s="127"/>
      <c r="FE597" s="127"/>
      <c r="FF597" s="127"/>
      <c r="HW597" s="127"/>
      <c r="HX597" s="127"/>
      <c r="HY597" s="127"/>
      <c r="HZ597" s="127"/>
      <c r="IA597" s="127"/>
      <c r="IB597" s="127"/>
      <c r="IC597" s="127"/>
      <c r="ID597" s="127"/>
      <c r="IE597" s="127"/>
      <c r="IF597" s="127"/>
      <c r="IG597" s="127"/>
      <c r="IH597" s="127"/>
      <c r="II597" s="127"/>
      <c r="IJ597" s="127"/>
      <c r="IK597" s="127"/>
      <c r="LB597" s="127"/>
      <c r="LC597" s="127"/>
      <c r="LD597" s="127"/>
      <c r="LE597" s="127"/>
      <c r="LF597" s="127"/>
      <c r="LG597" s="127"/>
      <c r="LH597" s="127"/>
      <c r="LI597" s="127"/>
      <c r="LJ597" s="127"/>
      <c r="LK597" s="127"/>
      <c r="LL597" s="127"/>
      <c r="LM597" s="127"/>
      <c r="LN597" s="127"/>
      <c r="LO597" s="127"/>
      <c r="LP597" s="127"/>
      <c r="OG597" s="127"/>
      <c r="OH597" s="127"/>
      <c r="OI597" s="127"/>
      <c r="OJ597" s="127"/>
      <c r="OK597" s="127"/>
      <c r="OL597" s="127"/>
      <c r="OM597" s="127"/>
      <c r="ON597" s="127"/>
      <c r="OO597" s="127"/>
      <c r="OP597" s="127"/>
      <c r="OQ597" s="127"/>
      <c r="OR597" s="127"/>
      <c r="OS597" s="127"/>
      <c r="OT597" s="127"/>
      <c r="OU597" s="127"/>
    </row>
    <row r="598" spans="1:411">
      <c r="A598">
        <v>105</v>
      </c>
      <c r="B598">
        <v>1269</v>
      </c>
      <c r="C598" t="s">
        <v>72</v>
      </c>
      <c r="D598" t="s">
        <v>239</v>
      </c>
      <c r="E598" s="232" t="s">
        <v>10462</v>
      </c>
      <c r="F598" t="s">
        <v>70</v>
      </c>
      <c r="G598">
        <v>2</v>
      </c>
      <c r="H598">
        <v>894.9</v>
      </c>
      <c r="I598">
        <v>890.28</v>
      </c>
      <c r="J598">
        <v>882.52</v>
      </c>
      <c r="K598">
        <v>875.52</v>
      </c>
      <c r="L598">
        <v>863.44</v>
      </c>
      <c r="M598" s="233" t="s">
        <v>454</v>
      </c>
      <c r="N598" s="233" t="s">
        <v>454</v>
      </c>
      <c r="O598" s="3" t="s">
        <v>1096</v>
      </c>
      <c r="BM598" s="127"/>
      <c r="BN598" s="127"/>
      <c r="BO598" s="127"/>
      <c r="BP598" s="127"/>
      <c r="BQ598" s="127"/>
      <c r="BR598" s="127"/>
      <c r="BS598" s="127"/>
      <c r="BT598" s="127"/>
      <c r="BU598" s="127"/>
      <c r="BV598" s="127"/>
      <c r="BW598" s="127"/>
      <c r="BX598" s="127"/>
      <c r="BY598" s="127"/>
      <c r="BZ598" s="127"/>
      <c r="CA598" s="127"/>
      <c r="ER598" s="127"/>
      <c r="ES598" s="127"/>
      <c r="ET598" s="127"/>
      <c r="EU598" s="127"/>
      <c r="EV598" s="127"/>
      <c r="EW598" s="127"/>
      <c r="EX598" s="127"/>
      <c r="EY598" s="127"/>
      <c r="EZ598" s="127"/>
      <c r="FA598" s="127"/>
      <c r="FB598" s="127"/>
      <c r="FC598" s="127"/>
      <c r="FD598" s="127"/>
      <c r="FE598" s="127"/>
      <c r="FF598" s="127"/>
      <c r="HW598" s="127"/>
      <c r="HX598" s="127"/>
      <c r="HY598" s="127"/>
      <c r="HZ598" s="127"/>
      <c r="IA598" s="127"/>
      <c r="IB598" s="127"/>
      <c r="IC598" s="127"/>
      <c r="ID598" s="127"/>
      <c r="IE598" s="127"/>
      <c r="IF598" s="127"/>
      <c r="IG598" s="127"/>
      <c r="IH598" s="127"/>
      <c r="II598" s="127"/>
      <c r="IJ598" s="127"/>
      <c r="IK598" s="127"/>
      <c r="LB598" s="127"/>
      <c r="LC598" s="127"/>
      <c r="LD598" s="127"/>
      <c r="LE598" s="127"/>
      <c r="LF598" s="127"/>
      <c r="LG598" s="127"/>
      <c r="LH598" s="127"/>
      <c r="LI598" s="127"/>
      <c r="LJ598" s="127"/>
      <c r="LK598" s="127"/>
      <c r="LL598" s="127"/>
      <c r="LM598" s="127"/>
      <c r="LN598" s="127"/>
      <c r="LO598" s="127"/>
      <c r="LP598" s="127"/>
      <c r="OG598" s="127"/>
      <c r="OH598" s="127"/>
      <c r="OI598" s="127"/>
      <c r="OJ598" s="127"/>
      <c r="OK598" s="127"/>
      <c r="OL598" s="127"/>
      <c r="OM598" s="127"/>
      <c r="ON598" s="127"/>
      <c r="OO598" s="127"/>
      <c r="OP598" s="127"/>
      <c r="OQ598" s="127"/>
      <c r="OR598" s="127"/>
      <c r="OS598" s="127"/>
      <c r="OT598" s="127"/>
      <c r="OU598" s="127"/>
    </row>
    <row r="599" spans="1:411">
      <c r="A599">
        <v>105</v>
      </c>
      <c r="B599">
        <v>1270</v>
      </c>
      <c r="C599" t="s">
        <v>72</v>
      </c>
      <c r="D599" t="s">
        <v>239</v>
      </c>
      <c r="E599" s="232" t="s">
        <v>8410</v>
      </c>
      <c r="F599" t="s">
        <v>70</v>
      </c>
      <c r="G599">
        <v>2</v>
      </c>
      <c r="H599">
        <v>873.86</v>
      </c>
      <c r="I599">
        <v>868.72</v>
      </c>
      <c r="J599">
        <v>862.74</v>
      </c>
      <c r="K599">
        <v>855.42</v>
      </c>
      <c r="L599">
        <v>846.2</v>
      </c>
      <c r="M599" s="233" t="s">
        <v>454</v>
      </c>
      <c r="N599" s="233" t="s">
        <v>454</v>
      </c>
      <c r="O599" s="3" t="s">
        <v>1097</v>
      </c>
      <c r="BM599" s="127"/>
      <c r="BN599" s="127"/>
      <c r="BO599" s="127"/>
      <c r="BP599" s="127"/>
      <c r="BQ599" s="127"/>
      <c r="BR599" s="127"/>
      <c r="BS599" s="127"/>
      <c r="BT599" s="127"/>
      <c r="BU599" s="127"/>
      <c r="BV599" s="127"/>
      <c r="BW599" s="127"/>
      <c r="BX599" s="127"/>
      <c r="BY599" s="127"/>
      <c r="BZ599" s="127"/>
      <c r="CA599" s="127"/>
      <c r="ER599" s="127"/>
      <c r="ES599" s="127"/>
      <c r="ET599" s="127"/>
      <c r="EU599" s="127"/>
      <c r="EV599" s="127"/>
      <c r="EW599" s="127"/>
      <c r="EX599" s="127"/>
      <c r="EY599" s="127"/>
      <c r="EZ599" s="127"/>
      <c r="FA599" s="127"/>
      <c r="FB599" s="127"/>
      <c r="FC599" s="127"/>
      <c r="FD599" s="127"/>
      <c r="FE599" s="127"/>
      <c r="FF599" s="127"/>
      <c r="HW599" s="127"/>
      <c r="HX599" s="127"/>
      <c r="HY599" s="127"/>
      <c r="HZ599" s="127"/>
      <c r="IA599" s="127"/>
      <c r="IB599" s="127"/>
      <c r="IC599" s="127"/>
      <c r="ID599" s="127"/>
      <c r="IE599" s="127"/>
      <c r="IF599" s="127"/>
      <c r="IG599" s="127"/>
      <c r="IH599" s="127"/>
      <c r="II599" s="127"/>
      <c r="IJ599" s="127"/>
      <c r="IK599" s="127"/>
      <c r="LB599" s="127"/>
      <c r="LC599" s="127"/>
      <c r="LD599" s="127"/>
      <c r="LE599" s="127"/>
      <c r="LF599" s="127"/>
      <c r="LG599" s="127"/>
      <c r="LH599" s="127"/>
      <c r="LI599" s="127"/>
      <c r="LJ599" s="127"/>
      <c r="LK599" s="127"/>
      <c r="LL599" s="127"/>
      <c r="LM599" s="127"/>
      <c r="LN599" s="127"/>
      <c r="LO599" s="127"/>
      <c r="LP599" s="127"/>
      <c r="OG599" s="127"/>
      <c r="OH599" s="127"/>
      <c r="OI599" s="127"/>
      <c r="OJ599" s="127"/>
      <c r="OK599" s="127"/>
      <c r="OL599" s="127"/>
      <c r="OM599" s="127"/>
      <c r="ON599" s="127"/>
      <c r="OO599" s="127"/>
      <c r="OP599" s="127"/>
      <c r="OQ599" s="127"/>
      <c r="OR599" s="127"/>
      <c r="OS599" s="127"/>
      <c r="OT599" s="127"/>
      <c r="OU599" s="127"/>
    </row>
    <row r="600" spans="1:411">
      <c r="A600">
        <v>107</v>
      </c>
      <c r="B600">
        <v>1277</v>
      </c>
      <c r="C600" t="s">
        <v>72</v>
      </c>
      <c r="D600" t="s">
        <v>239</v>
      </c>
      <c r="E600" s="232" t="s">
        <v>10052</v>
      </c>
      <c r="F600" t="s">
        <v>71</v>
      </c>
      <c r="G600">
        <v>2</v>
      </c>
      <c r="H600">
        <v>841.28</v>
      </c>
      <c r="I600">
        <v>834.7</v>
      </c>
      <c r="J600">
        <v>824.92</v>
      </c>
      <c r="K600">
        <v>812.96</v>
      </c>
      <c r="L600">
        <v>796.5</v>
      </c>
      <c r="M600" s="233" t="s">
        <v>454</v>
      </c>
      <c r="N600" s="233" t="s">
        <v>454</v>
      </c>
      <c r="O600" s="3" t="s">
        <v>1098</v>
      </c>
      <c r="BM600" s="127"/>
      <c r="BN600" s="127"/>
      <c r="BO600" s="127"/>
      <c r="BP600" s="127"/>
      <c r="BQ600" s="127"/>
      <c r="BR600" s="127"/>
      <c r="BS600" s="127"/>
      <c r="BT600" s="127"/>
      <c r="BU600" s="127"/>
      <c r="BV600" s="127"/>
      <c r="BW600" s="127"/>
      <c r="BX600" s="127"/>
      <c r="BY600" s="127"/>
      <c r="BZ600" s="127"/>
      <c r="CA600" s="127"/>
      <c r="ER600" s="127"/>
      <c r="ES600" s="127"/>
      <c r="ET600" s="127"/>
      <c r="EU600" s="127"/>
      <c r="EV600" s="127"/>
      <c r="EW600" s="127"/>
      <c r="EX600" s="127"/>
      <c r="EY600" s="127"/>
      <c r="EZ600" s="127"/>
      <c r="FA600" s="127"/>
      <c r="FB600" s="127"/>
      <c r="FC600" s="127"/>
      <c r="FD600" s="127"/>
      <c r="FE600" s="127"/>
      <c r="FF600" s="127"/>
      <c r="HW600" s="127"/>
      <c r="HX600" s="127"/>
      <c r="HY600" s="127"/>
      <c r="HZ600" s="127"/>
      <c r="IA600" s="127"/>
      <c r="IB600" s="127"/>
      <c r="IC600" s="127"/>
      <c r="ID600" s="127"/>
      <c r="IE600" s="127"/>
      <c r="IF600" s="127"/>
      <c r="IG600" s="127"/>
      <c r="IH600" s="127"/>
      <c r="II600" s="127"/>
      <c r="IJ600" s="127"/>
      <c r="IK600" s="127"/>
      <c r="LB600" s="127"/>
      <c r="LC600" s="127"/>
      <c r="LD600" s="127"/>
      <c r="LE600" s="127"/>
      <c r="LF600" s="127"/>
      <c r="LG600" s="127"/>
      <c r="LH600" s="127"/>
      <c r="LI600" s="127"/>
      <c r="LJ600" s="127"/>
      <c r="LK600" s="127"/>
      <c r="LL600" s="127"/>
      <c r="LM600" s="127"/>
      <c r="LN600" s="127"/>
      <c r="LO600" s="127"/>
      <c r="LP600" s="127"/>
      <c r="OG600" s="127"/>
      <c r="OH600" s="127"/>
      <c r="OI600" s="127"/>
      <c r="OJ600" s="127"/>
      <c r="OK600" s="127"/>
      <c r="OL600" s="127"/>
      <c r="OM600" s="127"/>
      <c r="ON600" s="127"/>
      <c r="OO600" s="127"/>
      <c r="OP600" s="127"/>
      <c r="OQ600" s="127"/>
      <c r="OR600" s="127"/>
      <c r="OS600" s="127"/>
      <c r="OT600" s="127"/>
      <c r="OU600" s="127"/>
    </row>
    <row r="601" spans="1:411">
      <c r="A601">
        <v>106</v>
      </c>
      <c r="B601">
        <v>1280</v>
      </c>
      <c r="C601" t="s">
        <v>72</v>
      </c>
      <c r="D601" t="s">
        <v>239</v>
      </c>
      <c r="E601" s="232" t="s">
        <v>7262</v>
      </c>
      <c r="F601" t="s">
        <v>71</v>
      </c>
      <c r="G601">
        <v>2</v>
      </c>
      <c r="H601">
        <v>858.25</v>
      </c>
      <c r="I601">
        <v>852.65</v>
      </c>
      <c r="J601">
        <v>845.65</v>
      </c>
      <c r="K601">
        <v>836.1</v>
      </c>
      <c r="L601">
        <v>827.45</v>
      </c>
      <c r="M601" s="233" t="s">
        <v>454</v>
      </c>
      <c r="N601" s="233" t="s">
        <v>454</v>
      </c>
      <c r="O601" s="3" t="s">
        <v>1099</v>
      </c>
      <c r="BM601" s="127"/>
      <c r="BN601" s="127"/>
      <c r="BO601" s="127"/>
      <c r="BP601" s="127"/>
      <c r="BQ601" s="127"/>
      <c r="BR601" s="127"/>
      <c r="BS601" s="127"/>
      <c r="BT601" s="127"/>
      <c r="BU601" s="127"/>
      <c r="BV601" s="127"/>
      <c r="BW601" s="127"/>
      <c r="BX601" s="127"/>
      <c r="BY601" s="127"/>
      <c r="BZ601" s="127"/>
      <c r="CA601" s="127"/>
      <c r="ER601" s="127"/>
      <c r="ES601" s="127"/>
      <c r="ET601" s="127"/>
      <c r="EU601" s="127"/>
      <c r="EV601" s="127"/>
      <c r="EW601" s="127"/>
      <c r="EX601" s="127"/>
      <c r="EY601" s="127"/>
      <c r="EZ601" s="127"/>
      <c r="FA601" s="127"/>
      <c r="FB601" s="127"/>
      <c r="FC601" s="127"/>
      <c r="FD601" s="127"/>
      <c r="FE601" s="127"/>
      <c r="FF601" s="127"/>
      <c r="HW601" s="127"/>
      <c r="HX601" s="127"/>
      <c r="HY601" s="127"/>
      <c r="HZ601" s="127"/>
      <c r="IA601" s="127"/>
      <c r="IB601" s="127"/>
      <c r="IC601" s="127"/>
      <c r="ID601" s="127"/>
      <c r="IE601" s="127"/>
      <c r="IF601" s="127"/>
      <c r="IG601" s="127"/>
      <c r="IH601" s="127"/>
      <c r="II601" s="127"/>
      <c r="IJ601" s="127"/>
      <c r="IK601" s="127"/>
      <c r="LB601" s="127"/>
      <c r="LC601" s="127"/>
      <c r="LD601" s="127"/>
      <c r="LE601" s="127"/>
      <c r="LF601" s="127"/>
      <c r="LG601" s="127"/>
      <c r="LH601" s="127"/>
      <c r="LI601" s="127"/>
      <c r="LJ601" s="127"/>
      <c r="LK601" s="127"/>
      <c r="LL601" s="127"/>
      <c r="LM601" s="127"/>
      <c r="LN601" s="127"/>
      <c r="LO601" s="127"/>
      <c r="LP601" s="127"/>
      <c r="OG601" s="127"/>
      <c r="OH601" s="127"/>
      <c r="OI601" s="127"/>
      <c r="OJ601" s="127"/>
      <c r="OK601" s="127"/>
      <c r="OL601" s="127"/>
      <c r="OM601" s="127"/>
      <c r="ON601" s="127"/>
      <c r="OO601" s="127"/>
      <c r="OP601" s="127"/>
      <c r="OQ601" s="127"/>
      <c r="OR601" s="127"/>
      <c r="OS601" s="127"/>
      <c r="OT601" s="127"/>
      <c r="OU601" s="127"/>
    </row>
    <row r="602" spans="1:411">
      <c r="A602">
        <v>106</v>
      </c>
      <c r="B602">
        <v>1279</v>
      </c>
      <c r="C602" t="s">
        <v>72</v>
      </c>
      <c r="D602" t="s">
        <v>239</v>
      </c>
      <c r="E602" s="232" t="s">
        <v>9657</v>
      </c>
      <c r="F602" t="s">
        <v>71</v>
      </c>
      <c r="G602">
        <v>2</v>
      </c>
      <c r="H602">
        <v>850.85</v>
      </c>
      <c r="I602">
        <v>846.1</v>
      </c>
      <c r="J602">
        <v>840.25</v>
      </c>
      <c r="K602">
        <v>832</v>
      </c>
      <c r="L602">
        <v>824.4</v>
      </c>
      <c r="M602" s="233" t="s">
        <v>454</v>
      </c>
      <c r="N602" s="233" t="s">
        <v>454</v>
      </c>
      <c r="O602" s="3" t="s">
        <v>1100</v>
      </c>
      <c r="BM602" s="127"/>
      <c r="BN602" s="127"/>
      <c r="BO602" s="127"/>
      <c r="BP602" s="127"/>
      <c r="BQ602" s="127"/>
      <c r="BR602" s="127"/>
      <c r="BS602" s="127"/>
      <c r="BT602" s="127"/>
      <c r="BU602" s="127"/>
      <c r="BV602" s="127"/>
      <c r="BW602" s="127"/>
      <c r="BX602" s="127"/>
      <c r="BY602" s="127"/>
      <c r="BZ602" s="127"/>
      <c r="CA602" s="127"/>
      <c r="ER602" s="127"/>
      <c r="ES602" s="127"/>
      <c r="ET602" s="127"/>
      <c r="EU602" s="127"/>
      <c r="EV602" s="127"/>
      <c r="EW602" s="127"/>
      <c r="EX602" s="127"/>
      <c r="EY602" s="127"/>
      <c r="EZ602" s="127"/>
      <c r="FA602" s="127"/>
      <c r="FB602" s="127"/>
      <c r="FC602" s="127"/>
      <c r="FD602" s="127"/>
      <c r="FE602" s="127"/>
      <c r="FF602" s="127"/>
      <c r="HW602" s="127"/>
      <c r="HX602" s="127"/>
      <c r="HY602" s="127"/>
      <c r="HZ602" s="127"/>
      <c r="IA602" s="127"/>
      <c r="IB602" s="127"/>
      <c r="IC602" s="127"/>
      <c r="ID602" s="127"/>
      <c r="IE602" s="127"/>
      <c r="IF602" s="127"/>
      <c r="IG602" s="127"/>
      <c r="IH602" s="127"/>
      <c r="II602" s="127"/>
      <c r="IJ602" s="127"/>
      <c r="IK602" s="127"/>
      <c r="LB602" s="127"/>
      <c r="LC602" s="127"/>
      <c r="LD602" s="127"/>
      <c r="LE602" s="127"/>
      <c r="LF602" s="127"/>
      <c r="LG602" s="127"/>
      <c r="LH602" s="127"/>
      <c r="LI602" s="127"/>
      <c r="LJ602" s="127"/>
      <c r="LK602" s="127"/>
      <c r="LL602" s="127"/>
      <c r="LM602" s="127"/>
      <c r="LN602" s="127"/>
      <c r="LO602" s="127"/>
      <c r="LP602" s="127"/>
      <c r="OG602" s="127"/>
      <c r="OH602" s="127"/>
      <c r="OI602" s="127"/>
      <c r="OJ602" s="127"/>
      <c r="OK602" s="127"/>
      <c r="OL602" s="127"/>
      <c r="OM602" s="127"/>
      <c r="ON602" s="127"/>
      <c r="OO602" s="127"/>
      <c r="OP602" s="127"/>
      <c r="OQ602" s="127"/>
      <c r="OR602" s="127"/>
      <c r="OS602" s="127"/>
      <c r="OT602" s="127"/>
      <c r="OU602" s="127"/>
    </row>
    <row r="603" spans="1:411">
      <c r="A603">
        <v>101</v>
      </c>
      <c r="B603">
        <v>1232</v>
      </c>
      <c r="C603" t="s">
        <v>72</v>
      </c>
      <c r="D603" t="s">
        <v>424</v>
      </c>
      <c r="E603" s="232" t="s">
        <v>11700</v>
      </c>
      <c r="F603" t="s">
        <v>70</v>
      </c>
      <c r="G603">
        <v>2</v>
      </c>
      <c r="H603">
        <v>853.7</v>
      </c>
      <c r="I603">
        <v>848.99</v>
      </c>
      <c r="J603">
        <v>844.28</v>
      </c>
      <c r="K603">
        <v>834.81</v>
      </c>
      <c r="L603">
        <v>826.28</v>
      </c>
      <c r="M603" s="233" t="s">
        <v>454</v>
      </c>
      <c r="N603" s="233" t="s">
        <v>454</v>
      </c>
      <c r="O603" s="3" t="s">
        <v>1101</v>
      </c>
      <c r="BM603" s="127"/>
      <c r="BN603" s="127"/>
      <c r="BO603" s="127"/>
      <c r="BP603" s="127"/>
      <c r="BQ603" s="127"/>
      <c r="BR603" s="127"/>
      <c r="BS603" s="127"/>
      <c r="BT603" s="127"/>
      <c r="BU603" s="127"/>
      <c r="BV603" s="127"/>
      <c r="BW603" s="127"/>
      <c r="BX603" s="127"/>
      <c r="BY603" s="127"/>
      <c r="BZ603" s="127"/>
      <c r="CA603" s="127"/>
      <c r="ER603" s="127"/>
      <c r="ES603" s="127"/>
      <c r="ET603" s="127"/>
      <c r="EU603" s="127"/>
      <c r="EV603" s="127"/>
      <c r="EW603" s="127"/>
      <c r="EX603" s="127"/>
      <c r="EY603" s="127"/>
      <c r="EZ603" s="127"/>
      <c r="FA603" s="127"/>
      <c r="FB603" s="127"/>
      <c r="FC603" s="127"/>
      <c r="FD603" s="127"/>
      <c r="FE603" s="127"/>
      <c r="FF603" s="127"/>
      <c r="HW603" s="127"/>
      <c r="HX603" s="127"/>
      <c r="HY603" s="127"/>
      <c r="HZ603" s="127"/>
      <c r="IA603" s="127"/>
      <c r="IB603" s="127"/>
      <c r="IC603" s="127"/>
      <c r="ID603" s="127"/>
      <c r="IE603" s="127"/>
      <c r="IF603" s="127"/>
      <c r="IG603" s="127"/>
      <c r="IH603" s="127"/>
      <c r="II603" s="127"/>
      <c r="IJ603" s="127"/>
      <c r="IK603" s="127"/>
      <c r="LB603" s="127"/>
      <c r="LC603" s="127"/>
      <c r="LD603" s="127"/>
      <c r="LE603" s="127"/>
      <c r="LF603" s="127"/>
      <c r="LG603" s="127"/>
      <c r="LH603" s="127"/>
      <c r="LI603" s="127"/>
      <c r="LJ603" s="127"/>
      <c r="LK603" s="127"/>
      <c r="LL603" s="127"/>
      <c r="LM603" s="127"/>
      <c r="LN603" s="127"/>
      <c r="LO603" s="127"/>
      <c r="LP603" s="127"/>
      <c r="OG603" s="127"/>
      <c r="OH603" s="127"/>
      <c r="OI603" s="127"/>
      <c r="OJ603" s="127"/>
      <c r="OK603" s="127"/>
      <c r="OL603" s="127"/>
      <c r="OM603" s="127"/>
      <c r="ON603" s="127"/>
      <c r="OO603" s="127"/>
      <c r="OP603" s="127"/>
      <c r="OQ603" s="127"/>
      <c r="OR603" s="127"/>
      <c r="OS603" s="127"/>
      <c r="OT603" s="127"/>
      <c r="OU603" s="127"/>
    </row>
    <row r="604" spans="1:411">
      <c r="A604">
        <v>101</v>
      </c>
      <c r="B604">
        <v>1233</v>
      </c>
      <c r="C604" t="s">
        <v>72</v>
      </c>
      <c r="D604" t="s">
        <v>424</v>
      </c>
      <c r="E604" s="232" t="s">
        <v>11768</v>
      </c>
      <c r="F604" t="s">
        <v>70</v>
      </c>
      <c r="G604">
        <v>2</v>
      </c>
      <c r="H604">
        <v>851.48</v>
      </c>
      <c r="I604">
        <v>846.72</v>
      </c>
      <c r="J604">
        <v>840.81</v>
      </c>
      <c r="K604">
        <v>831.66</v>
      </c>
      <c r="L604">
        <v>823.59</v>
      </c>
      <c r="M604" s="233" t="s">
        <v>454</v>
      </c>
      <c r="N604" s="233" t="s">
        <v>454</v>
      </c>
      <c r="O604" s="3" t="s">
        <v>1102</v>
      </c>
      <c r="BM604" s="127"/>
      <c r="BN604" s="127"/>
      <c r="BO604" s="127"/>
      <c r="BP604" s="127"/>
      <c r="BQ604" s="127"/>
      <c r="BR604" s="127"/>
      <c r="BS604" s="127"/>
      <c r="BT604" s="127"/>
      <c r="BU604" s="127"/>
      <c r="BV604" s="127"/>
      <c r="BW604" s="127"/>
      <c r="BX604" s="127"/>
      <c r="BY604" s="127"/>
      <c r="BZ604" s="127"/>
      <c r="CA604" s="127"/>
      <c r="ER604" s="127"/>
      <c r="ES604" s="127"/>
      <c r="ET604" s="127"/>
      <c r="EU604" s="127"/>
      <c r="EV604" s="127"/>
      <c r="EW604" s="127"/>
      <c r="EX604" s="127"/>
      <c r="EY604" s="127"/>
      <c r="EZ604" s="127"/>
      <c r="FA604" s="127"/>
      <c r="FB604" s="127"/>
      <c r="FC604" s="127"/>
      <c r="FD604" s="127"/>
      <c r="FE604" s="127"/>
      <c r="FF604" s="127"/>
      <c r="HW604" s="127"/>
      <c r="HX604" s="127"/>
      <c r="HY604" s="127"/>
      <c r="HZ604" s="127"/>
      <c r="IA604" s="127"/>
      <c r="IB604" s="127"/>
      <c r="IC604" s="127"/>
      <c r="ID604" s="127"/>
      <c r="IE604" s="127"/>
      <c r="IF604" s="127"/>
      <c r="IG604" s="127"/>
      <c r="IH604" s="127"/>
      <c r="II604" s="127"/>
      <c r="IJ604" s="127"/>
      <c r="IK604" s="127"/>
      <c r="LB604" s="127"/>
      <c r="LC604" s="127"/>
      <c r="LD604" s="127"/>
      <c r="LE604" s="127"/>
      <c r="LF604" s="127"/>
      <c r="LG604" s="127"/>
      <c r="LH604" s="127"/>
      <c r="LI604" s="127"/>
      <c r="LJ604" s="127"/>
      <c r="LK604" s="127"/>
      <c r="LL604" s="127"/>
      <c r="LM604" s="127"/>
      <c r="LN604" s="127"/>
      <c r="LO604" s="127"/>
      <c r="LP604" s="127"/>
      <c r="OG604" s="127"/>
      <c r="OH604" s="127"/>
      <c r="OI604" s="127"/>
      <c r="OJ604" s="127"/>
      <c r="OK604" s="127"/>
      <c r="OL604" s="127"/>
      <c r="OM604" s="127"/>
      <c r="ON604" s="127"/>
      <c r="OO604" s="127"/>
      <c r="OP604" s="127"/>
      <c r="OQ604" s="127"/>
      <c r="OR604" s="127"/>
      <c r="OS604" s="127"/>
      <c r="OT604" s="127"/>
      <c r="OU604" s="127"/>
    </row>
    <row r="605" spans="1:411">
      <c r="A605">
        <v>100</v>
      </c>
      <c r="B605">
        <v>1236</v>
      </c>
      <c r="C605" t="s">
        <v>72</v>
      </c>
      <c r="D605" t="s">
        <v>424</v>
      </c>
      <c r="E605" s="232" t="s">
        <v>11197</v>
      </c>
      <c r="F605" t="s">
        <v>71</v>
      </c>
      <c r="G605">
        <v>2</v>
      </c>
      <c r="H605">
        <v>865.43</v>
      </c>
      <c r="I605">
        <v>861.45</v>
      </c>
      <c r="J605">
        <v>857.32</v>
      </c>
      <c r="K605">
        <v>848.80499999999995</v>
      </c>
      <c r="L605">
        <v>839.01499999999999</v>
      </c>
      <c r="M605" s="233" t="s">
        <v>454</v>
      </c>
      <c r="N605" s="233" t="s">
        <v>454</v>
      </c>
      <c r="O605" s="3" t="s">
        <v>1103</v>
      </c>
      <c r="BM605" s="127"/>
      <c r="BN605" s="127"/>
      <c r="BO605" s="127"/>
      <c r="BP605" s="127"/>
      <c r="BQ605" s="127"/>
      <c r="BR605" s="127"/>
      <c r="BS605" s="127"/>
      <c r="BT605" s="127"/>
      <c r="BU605" s="127"/>
      <c r="BV605" s="127"/>
      <c r="BW605" s="127"/>
      <c r="BX605" s="127"/>
      <c r="BY605" s="127"/>
      <c r="BZ605" s="127"/>
      <c r="CA605" s="127"/>
      <c r="ER605" s="127"/>
      <c r="ES605" s="127"/>
      <c r="ET605" s="127"/>
      <c r="EU605" s="127"/>
      <c r="EV605" s="127"/>
      <c r="EW605" s="127"/>
      <c r="EX605" s="127"/>
      <c r="EY605" s="127"/>
      <c r="EZ605" s="127"/>
      <c r="FA605" s="127"/>
      <c r="FB605" s="127"/>
      <c r="FC605" s="127"/>
      <c r="FD605" s="127"/>
      <c r="FE605" s="127"/>
      <c r="FF605" s="127"/>
      <c r="HW605" s="127"/>
      <c r="HX605" s="127"/>
      <c r="HY605" s="127"/>
      <c r="HZ605" s="127"/>
      <c r="IA605" s="127"/>
      <c r="IB605" s="127"/>
      <c r="IC605" s="127"/>
      <c r="ID605" s="127"/>
      <c r="IE605" s="127"/>
      <c r="IF605" s="127"/>
      <c r="IG605" s="127"/>
      <c r="IH605" s="127"/>
      <c r="II605" s="127"/>
      <c r="IJ605" s="127"/>
      <c r="IK605" s="127"/>
      <c r="LB605" s="127"/>
      <c r="LC605" s="127"/>
      <c r="LD605" s="127"/>
      <c r="LE605" s="127"/>
      <c r="LF605" s="127"/>
      <c r="LG605" s="127"/>
      <c r="LH605" s="127"/>
      <c r="LI605" s="127"/>
      <c r="LJ605" s="127"/>
      <c r="LK605" s="127"/>
      <c r="LL605" s="127"/>
      <c r="LM605" s="127"/>
      <c r="LN605" s="127"/>
      <c r="LO605" s="127"/>
      <c r="LP605" s="127"/>
      <c r="OG605" s="127"/>
      <c r="OH605" s="127"/>
      <c r="OI605" s="127"/>
      <c r="OJ605" s="127"/>
      <c r="OK605" s="127"/>
      <c r="OL605" s="127"/>
      <c r="OM605" s="127"/>
      <c r="ON605" s="127"/>
      <c r="OO605" s="127"/>
      <c r="OP605" s="127"/>
      <c r="OQ605" s="127"/>
      <c r="OR605" s="127"/>
      <c r="OS605" s="127"/>
      <c r="OT605" s="127"/>
      <c r="OU605" s="127"/>
    </row>
    <row r="606" spans="1:411">
      <c r="A606">
        <v>244</v>
      </c>
      <c r="B606">
        <v>1293</v>
      </c>
      <c r="C606" t="s">
        <v>72</v>
      </c>
      <c r="D606" t="s">
        <v>195</v>
      </c>
      <c r="E606" s="232" t="s">
        <v>16613</v>
      </c>
      <c r="F606" t="s">
        <v>70</v>
      </c>
      <c r="G606">
        <v>2</v>
      </c>
      <c r="H606">
        <v>88.873999999999995</v>
      </c>
      <c r="I606">
        <v>88.501999999999995</v>
      </c>
      <c r="J606">
        <v>87.753</v>
      </c>
      <c r="K606">
        <v>87.134</v>
      </c>
      <c r="L606">
        <v>85.882000000000005</v>
      </c>
      <c r="M606" s="233" t="s">
        <v>454</v>
      </c>
      <c r="N606" s="233" t="s">
        <v>454</v>
      </c>
      <c r="O606" s="3" t="s">
        <v>1104</v>
      </c>
      <c r="BM606" s="127"/>
      <c r="BN606" s="127"/>
      <c r="BO606" s="127"/>
      <c r="BP606" s="127"/>
      <c r="BQ606" s="127"/>
      <c r="BR606" s="127"/>
      <c r="BS606" s="127"/>
      <c r="BT606" s="127"/>
      <c r="BU606" s="127"/>
      <c r="BV606" s="127"/>
      <c r="BW606" s="127"/>
      <c r="BX606" s="127"/>
      <c r="BY606" s="127"/>
      <c r="BZ606" s="127"/>
      <c r="CA606" s="127"/>
      <c r="ER606" s="127"/>
      <c r="ES606" s="127"/>
      <c r="ET606" s="127"/>
      <c r="EU606" s="127"/>
      <c r="EV606" s="127"/>
      <c r="EW606" s="127"/>
      <c r="EX606" s="127"/>
      <c r="EY606" s="127"/>
      <c r="EZ606" s="127"/>
      <c r="FA606" s="127"/>
      <c r="FB606" s="127"/>
      <c r="FC606" s="127"/>
      <c r="FD606" s="127"/>
      <c r="FE606" s="127"/>
      <c r="FF606" s="127"/>
      <c r="HW606" s="127"/>
      <c r="HX606" s="127"/>
      <c r="HY606" s="127"/>
      <c r="HZ606" s="127"/>
      <c r="IA606" s="127"/>
      <c r="IB606" s="127"/>
      <c r="IC606" s="127"/>
      <c r="ID606" s="127"/>
      <c r="IE606" s="127"/>
      <c r="IF606" s="127"/>
      <c r="IG606" s="127"/>
      <c r="IH606" s="127"/>
      <c r="II606" s="127"/>
      <c r="IJ606" s="127"/>
      <c r="IK606" s="127"/>
      <c r="LB606" s="127"/>
      <c r="LC606" s="127"/>
      <c r="LD606" s="127"/>
      <c r="LE606" s="127"/>
      <c r="LF606" s="127"/>
      <c r="LG606" s="127"/>
      <c r="LH606" s="127"/>
      <c r="LI606" s="127"/>
      <c r="LJ606" s="127"/>
      <c r="LK606" s="127"/>
      <c r="LL606" s="127"/>
      <c r="LM606" s="127"/>
      <c r="LN606" s="127"/>
      <c r="LO606" s="127"/>
      <c r="LP606" s="127"/>
      <c r="OG606" s="127"/>
      <c r="OH606" s="127"/>
      <c r="OI606" s="127"/>
      <c r="OJ606" s="127"/>
      <c r="OK606" s="127"/>
      <c r="OL606" s="127"/>
      <c r="OM606" s="127"/>
      <c r="ON606" s="127"/>
      <c r="OO606" s="127"/>
      <c r="OP606" s="127"/>
      <c r="OQ606" s="127"/>
      <c r="OR606" s="127"/>
      <c r="OS606" s="127"/>
      <c r="OT606" s="127"/>
      <c r="OU606" s="127"/>
    </row>
    <row r="607" spans="1:411">
      <c r="A607">
        <v>244</v>
      </c>
      <c r="B607">
        <v>1301</v>
      </c>
      <c r="C607" t="s">
        <v>72</v>
      </c>
      <c r="D607" t="s">
        <v>195</v>
      </c>
      <c r="E607" s="232" t="s">
        <v>16614</v>
      </c>
      <c r="F607" t="s">
        <v>70</v>
      </c>
      <c r="G607">
        <v>2</v>
      </c>
      <c r="H607">
        <v>86.373999999999995</v>
      </c>
      <c r="I607">
        <v>85.882000000000005</v>
      </c>
      <c r="J607">
        <v>85.343000000000004</v>
      </c>
      <c r="K607">
        <v>84.712999999999994</v>
      </c>
      <c r="L607">
        <v>84.182000000000002</v>
      </c>
      <c r="M607" s="233" t="s">
        <v>454</v>
      </c>
      <c r="N607" s="233" t="s">
        <v>454</v>
      </c>
      <c r="O607" s="3" t="s">
        <v>1105</v>
      </c>
      <c r="BM607" s="127"/>
      <c r="BN607" s="127"/>
      <c r="BO607" s="127"/>
      <c r="BP607" s="127"/>
      <c r="BQ607" s="127"/>
      <c r="BR607" s="127"/>
      <c r="BS607" s="127"/>
      <c r="BT607" s="127"/>
      <c r="BU607" s="127"/>
      <c r="BV607" s="127"/>
      <c r="BW607" s="127"/>
      <c r="BX607" s="127"/>
      <c r="BY607" s="127"/>
      <c r="BZ607" s="127"/>
      <c r="CA607" s="127"/>
      <c r="ER607" s="127"/>
      <c r="ES607" s="127"/>
      <c r="ET607" s="127"/>
      <c r="EU607" s="127"/>
      <c r="EV607" s="127"/>
      <c r="EW607" s="127"/>
      <c r="EX607" s="127"/>
      <c r="EY607" s="127"/>
      <c r="EZ607" s="127"/>
      <c r="FA607" s="127"/>
      <c r="FB607" s="127"/>
      <c r="FC607" s="127"/>
      <c r="FD607" s="127"/>
      <c r="FE607" s="127"/>
      <c r="FF607" s="127"/>
      <c r="HW607" s="127"/>
      <c r="HX607" s="127"/>
      <c r="HY607" s="127"/>
      <c r="HZ607" s="127"/>
      <c r="IA607" s="127"/>
      <c r="IB607" s="127"/>
      <c r="IC607" s="127"/>
      <c r="ID607" s="127"/>
      <c r="IE607" s="127"/>
      <c r="IF607" s="127"/>
      <c r="IG607" s="127"/>
      <c r="IH607" s="127"/>
      <c r="II607" s="127"/>
      <c r="IJ607" s="127"/>
      <c r="IK607" s="127"/>
      <c r="LB607" s="127"/>
      <c r="LC607" s="127"/>
      <c r="LD607" s="127"/>
      <c r="LE607" s="127"/>
      <c r="LF607" s="127"/>
      <c r="LG607" s="127"/>
      <c r="LH607" s="127"/>
      <c r="LI607" s="127"/>
      <c r="LJ607" s="127"/>
      <c r="LK607" s="127"/>
      <c r="LL607" s="127"/>
      <c r="LM607" s="127"/>
      <c r="LN607" s="127"/>
      <c r="LO607" s="127"/>
      <c r="LP607" s="127"/>
      <c r="OG607" s="127"/>
      <c r="OH607" s="127"/>
      <c r="OI607" s="127"/>
      <c r="OJ607" s="127"/>
      <c r="OK607" s="127"/>
      <c r="OL607" s="127"/>
      <c r="OM607" s="127"/>
      <c r="ON607" s="127"/>
      <c r="OO607" s="127"/>
      <c r="OP607" s="127"/>
      <c r="OQ607" s="127"/>
      <c r="OR607" s="127"/>
      <c r="OS607" s="127"/>
      <c r="OT607" s="127"/>
      <c r="OU607" s="127"/>
    </row>
    <row r="608" spans="1:411">
      <c r="A608">
        <v>244</v>
      </c>
      <c r="B608">
        <v>1296</v>
      </c>
      <c r="C608" t="s">
        <v>72</v>
      </c>
      <c r="D608" t="s">
        <v>195</v>
      </c>
      <c r="E608" s="232" t="s">
        <v>16615</v>
      </c>
      <c r="F608" t="s">
        <v>70</v>
      </c>
      <c r="G608">
        <v>2</v>
      </c>
      <c r="H608">
        <v>86.224000000000004</v>
      </c>
      <c r="I608">
        <v>85.814999999999998</v>
      </c>
      <c r="J608">
        <v>85.290999999999997</v>
      </c>
      <c r="K608">
        <v>84.578999999999994</v>
      </c>
      <c r="L608">
        <v>83.778999999999996</v>
      </c>
      <c r="M608" s="233" t="s">
        <v>454</v>
      </c>
      <c r="N608" s="233" t="s">
        <v>454</v>
      </c>
      <c r="O608" s="3" t="s">
        <v>1106</v>
      </c>
      <c r="BM608" s="127"/>
      <c r="BN608" s="127"/>
      <c r="BO608" s="127"/>
      <c r="BP608" s="127"/>
      <c r="BQ608" s="127"/>
      <c r="BR608" s="127"/>
      <c r="BS608" s="127"/>
      <c r="BT608" s="127"/>
      <c r="BU608" s="127"/>
      <c r="BV608" s="127"/>
      <c r="BW608" s="127"/>
      <c r="BX608" s="127"/>
      <c r="BY608" s="127"/>
      <c r="BZ608" s="127"/>
      <c r="CA608" s="127"/>
      <c r="ER608" s="127"/>
      <c r="ES608" s="127"/>
      <c r="ET608" s="127"/>
      <c r="EU608" s="127"/>
      <c r="EV608" s="127"/>
      <c r="EW608" s="127"/>
      <c r="EX608" s="127"/>
      <c r="EY608" s="127"/>
      <c r="EZ608" s="127"/>
      <c r="FA608" s="127"/>
      <c r="FB608" s="127"/>
      <c r="FC608" s="127"/>
      <c r="FD608" s="127"/>
      <c r="FE608" s="127"/>
      <c r="FF608" s="127"/>
      <c r="HW608" s="127"/>
      <c r="HX608" s="127"/>
      <c r="HY608" s="127"/>
      <c r="HZ608" s="127"/>
      <c r="IA608" s="127"/>
      <c r="IB608" s="127"/>
      <c r="IC608" s="127"/>
      <c r="ID608" s="127"/>
      <c r="IE608" s="127"/>
      <c r="IF608" s="127"/>
      <c r="IG608" s="127"/>
      <c r="IH608" s="127"/>
      <c r="II608" s="127"/>
      <c r="IJ608" s="127"/>
      <c r="IK608" s="127"/>
      <c r="LB608" s="127"/>
      <c r="LC608" s="127"/>
      <c r="LD608" s="127"/>
      <c r="LE608" s="127"/>
      <c r="LF608" s="127"/>
      <c r="LG608" s="127"/>
      <c r="LH608" s="127"/>
      <c r="LI608" s="127"/>
      <c r="LJ608" s="127"/>
      <c r="LK608" s="127"/>
      <c r="LL608" s="127"/>
      <c r="LM608" s="127"/>
      <c r="LN608" s="127"/>
      <c r="LO608" s="127"/>
      <c r="LP608" s="127"/>
      <c r="OG608" s="127"/>
      <c r="OH608" s="127"/>
      <c r="OI608" s="127"/>
      <c r="OJ608" s="127"/>
      <c r="OK608" s="127"/>
      <c r="OL608" s="127"/>
      <c r="OM608" s="127"/>
      <c r="ON608" s="127"/>
      <c r="OO608" s="127"/>
      <c r="OP608" s="127"/>
      <c r="OQ608" s="127"/>
      <c r="OR608" s="127"/>
      <c r="OS608" s="127"/>
      <c r="OT608" s="127"/>
      <c r="OU608" s="127"/>
    </row>
    <row r="609" spans="1:411">
      <c r="A609">
        <v>244</v>
      </c>
      <c r="B609">
        <v>1305</v>
      </c>
      <c r="C609" t="s">
        <v>72</v>
      </c>
      <c r="D609" t="s">
        <v>195</v>
      </c>
      <c r="E609" s="232" t="s">
        <v>16616</v>
      </c>
      <c r="F609" t="s">
        <v>70</v>
      </c>
      <c r="G609">
        <v>2</v>
      </c>
      <c r="H609">
        <v>86.183000000000007</v>
      </c>
      <c r="I609">
        <v>85.762</v>
      </c>
      <c r="J609">
        <v>85.203999999999994</v>
      </c>
      <c r="K609">
        <v>84.534000000000006</v>
      </c>
      <c r="L609">
        <v>84.116</v>
      </c>
      <c r="M609" s="233" t="s">
        <v>454</v>
      </c>
      <c r="N609" s="233" t="s">
        <v>454</v>
      </c>
      <c r="O609" s="3" t="s">
        <v>1107</v>
      </c>
      <c r="BM609" s="127"/>
      <c r="BN609" s="127"/>
      <c r="BO609" s="127"/>
      <c r="BP609" s="127"/>
      <c r="BQ609" s="127"/>
      <c r="BR609" s="127"/>
      <c r="BS609" s="127"/>
      <c r="BT609" s="127"/>
      <c r="BU609" s="127"/>
      <c r="BV609" s="127"/>
      <c r="BW609" s="127"/>
      <c r="BX609" s="127"/>
      <c r="BY609" s="127"/>
      <c r="BZ609" s="127"/>
      <c r="CA609" s="127"/>
      <c r="ER609" s="127"/>
      <c r="ES609" s="127"/>
      <c r="ET609" s="127"/>
      <c r="EU609" s="127"/>
      <c r="EV609" s="127"/>
      <c r="EW609" s="127"/>
      <c r="EX609" s="127"/>
      <c r="EY609" s="127"/>
      <c r="EZ609" s="127"/>
      <c r="FA609" s="127"/>
      <c r="FB609" s="127"/>
      <c r="FC609" s="127"/>
      <c r="FD609" s="127"/>
      <c r="FE609" s="127"/>
      <c r="FF609" s="127"/>
      <c r="HW609" s="127"/>
      <c r="HX609" s="127"/>
      <c r="HY609" s="127"/>
      <c r="HZ609" s="127"/>
      <c r="IA609" s="127"/>
      <c r="IB609" s="127"/>
      <c r="IC609" s="127"/>
      <c r="ID609" s="127"/>
      <c r="IE609" s="127"/>
      <c r="IF609" s="127"/>
      <c r="IG609" s="127"/>
      <c r="IH609" s="127"/>
      <c r="II609" s="127"/>
      <c r="IJ609" s="127"/>
      <c r="IK609" s="127"/>
      <c r="LB609" s="127"/>
      <c r="LC609" s="127"/>
      <c r="LD609" s="127"/>
      <c r="LE609" s="127"/>
      <c r="LF609" s="127"/>
      <c r="LG609" s="127"/>
      <c r="LH609" s="127"/>
      <c r="LI609" s="127"/>
      <c r="LJ609" s="127"/>
      <c r="LK609" s="127"/>
      <c r="LL609" s="127"/>
      <c r="LM609" s="127"/>
      <c r="LN609" s="127"/>
      <c r="LO609" s="127"/>
      <c r="LP609" s="127"/>
      <c r="OG609" s="127"/>
      <c r="OH609" s="127"/>
      <c r="OI609" s="127"/>
      <c r="OJ609" s="127"/>
      <c r="OK609" s="127"/>
      <c r="OL609" s="127"/>
      <c r="OM609" s="127"/>
      <c r="ON609" s="127"/>
      <c r="OO609" s="127"/>
      <c r="OP609" s="127"/>
      <c r="OQ609" s="127"/>
      <c r="OR609" s="127"/>
      <c r="OS609" s="127"/>
      <c r="OT609" s="127"/>
      <c r="OU609" s="127"/>
    </row>
    <row r="610" spans="1:411">
      <c r="A610">
        <v>244</v>
      </c>
      <c r="B610">
        <v>1304</v>
      </c>
      <c r="C610" t="s">
        <v>72</v>
      </c>
      <c r="D610" t="s">
        <v>195</v>
      </c>
      <c r="E610" s="232" t="s">
        <v>16617</v>
      </c>
      <c r="F610" t="s">
        <v>70</v>
      </c>
      <c r="G610">
        <v>2</v>
      </c>
      <c r="H610">
        <v>85.814999999999998</v>
      </c>
      <c r="I610">
        <v>85.492999999999995</v>
      </c>
      <c r="J610">
        <v>84.814999999999998</v>
      </c>
      <c r="K610">
        <v>84.182000000000002</v>
      </c>
      <c r="L610">
        <v>83.67</v>
      </c>
      <c r="M610" s="233" t="s">
        <v>454</v>
      </c>
      <c r="N610" s="233" t="s">
        <v>454</v>
      </c>
      <c r="O610" s="3" t="s">
        <v>1108</v>
      </c>
      <c r="BM610" s="127"/>
      <c r="BN610" s="127"/>
      <c r="BO610" s="127"/>
      <c r="BP610" s="127"/>
      <c r="BQ610" s="127"/>
      <c r="BR610" s="127"/>
      <c r="BS610" s="127"/>
      <c r="BT610" s="127"/>
      <c r="BU610" s="127"/>
      <c r="BV610" s="127"/>
      <c r="BW610" s="127"/>
      <c r="BX610" s="127"/>
      <c r="BY610" s="127"/>
      <c r="BZ610" s="127"/>
      <c r="CA610" s="127"/>
      <c r="ER610" s="127"/>
      <c r="ES610" s="127"/>
      <c r="ET610" s="127"/>
      <c r="EU610" s="127"/>
      <c r="EV610" s="127"/>
      <c r="EW610" s="127"/>
      <c r="EX610" s="127"/>
      <c r="EY610" s="127"/>
      <c r="EZ610" s="127"/>
      <c r="FA610" s="127"/>
      <c r="FB610" s="127"/>
      <c r="FC610" s="127"/>
      <c r="FD610" s="127"/>
      <c r="FE610" s="127"/>
      <c r="FF610" s="127"/>
      <c r="HW610" s="127"/>
      <c r="HX610" s="127"/>
      <c r="HY610" s="127"/>
      <c r="HZ610" s="127"/>
      <c r="IA610" s="127"/>
      <c r="IB610" s="127"/>
      <c r="IC610" s="127"/>
      <c r="ID610" s="127"/>
      <c r="IE610" s="127"/>
      <c r="IF610" s="127"/>
      <c r="IG610" s="127"/>
      <c r="IH610" s="127"/>
      <c r="II610" s="127"/>
      <c r="IJ610" s="127"/>
      <c r="IK610" s="127"/>
      <c r="LB610" s="127"/>
      <c r="LC610" s="127"/>
      <c r="LD610" s="127"/>
      <c r="LE610" s="127"/>
      <c r="LF610" s="127"/>
      <c r="LG610" s="127"/>
      <c r="LH610" s="127"/>
      <c r="LI610" s="127"/>
      <c r="LJ610" s="127"/>
      <c r="LK610" s="127"/>
      <c r="LL610" s="127"/>
      <c r="LM610" s="127"/>
      <c r="LN610" s="127"/>
      <c r="LO610" s="127"/>
      <c r="LP610" s="127"/>
      <c r="OG610" s="127"/>
      <c r="OH610" s="127"/>
      <c r="OI610" s="127"/>
      <c r="OJ610" s="127"/>
      <c r="OK610" s="127"/>
      <c r="OL610" s="127"/>
      <c r="OM610" s="127"/>
      <c r="ON610" s="127"/>
      <c r="OO610" s="127"/>
      <c r="OP610" s="127"/>
      <c r="OQ610" s="127"/>
      <c r="OR610" s="127"/>
      <c r="OS610" s="127"/>
      <c r="OT610" s="127"/>
      <c r="OU610" s="127"/>
    </row>
    <row r="611" spans="1:411">
      <c r="A611">
        <v>244</v>
      </c>
      <c r="B611">
        <v>1302</v>
      </c>
      <c r="C611" t="s">
        <v>72</v>
      </c>
      <c r="D611" t="s">
        <v>195</v>
      </c>
      <c r="E611" s="232" t="s">
        <v>16618</v>
      </c>
      <c r="F611" t="s">
        <v>70</v>
      </c>
      <c r="G611">
        <v>2</v>
      </c>
      <c r="H611">
        <v>85.317999999999998</v>
      </c>
      <c r="I611">
        <v>84.823999999999998</v>
      </c>
      <c r="J611">
        <v>84.24</v>
      </c>
      <c r="K611">
        <v>83.451999999999998</v>
      </c>
      <c r="L611">
        <v>82.972999999999999</v>
      </c>
      <c r="M611" s="233" t="s">
        <v>454</v>
      </c>
      <c r="N611" s="233" t="s">
        <v>454</v>
      </c>
      <c r="O611" s="3" t="s">
        <v>1109</v>
      </c>
      <c r="BM611" s="127"/>
      <c r="BN611" s="127"/>
      <c r="BO611" s="127"/>
      <c r="BP611" s="127"/>
      <c r="BQ611" s="127"/>
      <c r="BR611" s="127"/>
      <c r="BS611" s="127"/>
      <c r="BT611" s="127"/>
      <c r="BU611" s="127"/>
      <c r="BV611" s="127"/>
      <c r="BW611" s="127"/>
      <c r="BX611" s="127"/>
      <c r="BY611" s="127"/>
      <c r="BZ611" s="127"/>
      <c r="CA611" s="127"/>
      <c r="ER611" s="127"/>
      <c r="ES611" s="127"/>
      <c r="ET611" s="127"/>
      <c r="EU611" s="127"/>
      <c r="EV611" s="127"/>
      <c r="EW611" s="127"/>
      <c r="EX611" s="127"/>
      <c r="EY611" s="127"/>
      <c r="EZ611" s="127"/>
      <c r="FA611" s="127"/>
      <c r="FB611" s="127"/>
      <c r="FC611" s="127"/>
      <c r="FD611" s="127"/>
      <c r="FE611" s="127"/>
      <c r="FF611" s="127"/>
      <c r="HW611" s="127"/>
      <c r="HX611" s="127"/>
      <c r="HY611" s="127"/>
      <c r="HZ611" s="127"/>
      <c r="IA611" s="127"/>
      <c r="IB611" s="127"/>
      <c r="IC611" s="127"/>
      <c r="ID611" s="127"/>
      <c r="IE611" s="127"/>
      <c r="IF611" s="127"/>
      <c r="IG611" s="127"/>
      <c r="IH611" s="127"/>
      <c r="II611" s="127"/>
      <c r="IJ611" s="127"/>
      <c r="IK611" s="127"/>
      <c r="LB611" s="127"/>
      <c r="LC611" s="127"/>
      <c r="LD611" s="127"/>
      <c r="LE611" s="127"/>
      <c r="LF611" s="127"/>
      <c r="LG611" s="127"/>
      <c r="LH611" s="127"/>
      <c r="LI611" s="127"/>
      <c r="LJ611" s="127"/>
      <c r="LK611" s="127"/>
      <c r="LL611" s="127"/>
      <c r="LM611" s="127"/>
      <c r="LN611" s="127"/>
      <c r="LO611" s="127"/>
      <c r="LP611" s="127"/>
      <c r="OG611" s="127"/>
      <c r="OH611" s="127"/>
      <c r="OI611" s="127"/>
      <c r="OJ611" s="127"/>
      <c r="OK611" s="127"/>
      <c r="OL611" s="127"/>
      <c r="OM611" s="127"/>
      <c r="ON611" s="127"/>
      <c r="OO611" s="127"/>
      <c r="OP611" s="127"/>
      <c r="OQ611" s="127"/>
      <c r="OR611" s="127"/>
      <c r="OS611" s="127"/>
      <c r="OT611" s="127"/>
      <c r="OU611" s="127"/>
    </row>
    <row r="612" spans="1:411">
      <c r="A612">
        <v>245</v>
      </c>
      <c r="B612">
        <v>1312</v>
      </c>
      <c r="C612" t="s">
        <v>72</v>
      </c>
      <c r="D612" t="s">
        <v>195</v>
      </c>
      <c r="E612" s="232" t="s">
        <v>16619</v>
      </c>
      <c r="F612" t="s">
        <v>71</v>
      </c>
      <c r="G612">
        <v>2</v>
      </c>
      <c r="H612">
        <v>86.941999999999993</v>
      </c>
      <c r="I612">
        <v>86.518000000000001</v>
      </c>
      <c r="J612">
        <v>85.936000000000007</v>
      </c>
      <c r="K612">
        <v>85.331999999999994</v>
      </c>
      <c r="L612">
        <v>84.911000000000001</v>
      </c>
      <c r="M612" s="233" t="s">
        <v>454</v>
      </c>
      <c r="N612" s="233" t="s">
        <v>454</v>
      </c>
      <c r="O612" s="3" t="s">
        <v>1110</v>
      </c>
      <c r="BM612" s="127"/>
      <c r="BN612" s="127"/>
      <c r="BO612" s="127"/>
      <c r="BP612" s="127"/>
      <c r="BQ612" s="127"/>
      <c r="BR612" s="127"/>
      <c r="BS612" s="127"/>
      <c r="BT612" s="127"/>
      <c r="BU612" s="127"/>
      <c r="BV612" s="127"/>
      <c r="BW612" s="127"/>
      <c r="BX612" s="127"/>
      <c r="BY612" s="127"/>
      <c r="BZ612" s="127"/>
      <c r="CA612" s="127"/>
      <c r="ER612" s="127"/>
      <c r="ES612" s="127"/>
      <c r="ET612" s="127"/>
      <c r="EU612" s="127"/>
      <c r="EV612" s="127"/>
      <c r="EW612" s="127"/>
      <c r="EX612" s="127"/>
      <c r="EY612" s="127"/>
      <c r="EZ612" s="127"/>
      <c r="FA612" s="127"/>
      <c r="FB612" s="127"/>
      <c r="FC612" s="127"/>
      <c r="FD612" s="127"/>
      <c r="FE612" s="127"/>
      <c r="FF612" s="127"/>
      <c r="HW612" s="127"/>
      <c r="HX612" s="127"/>
      <c r="HY612" s="127"/>
      <c r="HZ612" s="127"/>
      <c r="IA612" s="127"/>
      <c r="IB612" s="127"/>
      <c r="IC612" s="127"/>
      <c r="ID612" s="127"/>
      <c r="IE612" s="127"/>
      <c r="IF612" s="127"/>
      <c r="IG612" s="127"/>
      <c r="IH612" s="127"/>
      <c r="II612" s="127"/>
      <c r="IJ612" s="127"/>
      <c r="IK612" s="127"/>
      <c r="LB612" s="127"/>
      <c r="LC612" s="127"/>
      <c r="LD612" s="127"/>
      <c r="LE612" s="127"/>
      <c r="LF612" s="127"/>
      <c r="LG612" s="127"/>
      <c r="LH612" s="127"/>
      <c r="LI612" s="127"/>
      <c r="LJ612" s="127"/>
      <c r="LK612" s="127"/>
      <c r="LL612" s="127"/>
      <c r="LM612" s="127"/>
      <c r="LN612" s="127"/>
      <c r="LO612" s="127"/>
      <c r="LP612" s="127"/>
      <c r="OG612" s="127"/>
      <c r="OH612" s="127"/>
      <c r="OI612" s="127"/>
      <c r="OJ612" s="127"/>
      <c r="OK612" s="127"/>
      <c r="OL612" s="127"/>
      <c r="OM612" s="127"/>
      <c r="ON612" s="127"/>
      <c r="OO612" s="127"/>
      <c r="OP612" s="127"/>
      <c r="OQ612" s="127"/>
      <c r="OR612" s="127"/>
      <c r="OS612" s="127"/>
      <c r="OT612" s="127"/>
      <c r="OU612" s="127"/>
    </row>
    <row r="613" spans="1:411">
      <c r="A613">
        <v>245</v>
      </c>
      <c r="B613">
        <v>1320</v>
      </c>
      <c r="C613" t="s">
        <v>72</v>
      </c>
      <c r="D613" t="s">
        <v>195</v>
      </c>
      <c r="E613" s="232" t="s">
        <v>16620</v>
      </c>
      <c r="F613" t="s">
        <v>71</v>
      </c>
      <c r="G613">
        <v>2</v>
      </c>
      <c r="H613">
        <v>86.733999999999995</v>
      </c>
      <c r="I613">
        <v>86.325000000000003</v>
      </c>
      <c r="J613">
        <v>85.686999999999998</v>
      </c>
      <c r="K613">
        <v>85.081999999999994</v>
      </c>
      <c r="L613">
        <v>84.582999999999998</v>
      </c>
      <c r="M613" s="233" t="s">
        <v>454</v>
      </c>
      <c r="N613" s="233" t="s">
        <v>454</v>
      </c>
      <c r="O613" s="3" t="s">
        <v>1111</v>
      </c>
      <c r="BM613" s="127"/>
      <c r="BN613" s="127"/>
      <c r="BO613" s="127"/>
      <c r="BP613" s="127"/>
      <c r="BQ613" s="127"/>
      <c r="BR613" s="127"/>
      <c r="BS613" s="127"/>
      <c r="BT613" s="127"/>
      <c r="BU613" s="127"/>
      <c r="BV613" s="127"/>
      <c r="BW613" s="127"/>
      <c r="BX613" s="127"/>
      <c r="BY613" s="127"/>
      <c r="BZ613" s="127"/>
      <c r="CA613" s="127"/>
      <c r="ER613" s="127"/>
      <c r="ES613" s="127"/>
      <c r="ET613" s="127"/>
      <c r="EU613" s="127"/>
      <c r="EV613" s="127"/>
      <c r="EW613" s="127"/>
      <c r="EX613" s="127"/>
      <c r="EY613" s="127"/>
      <c r="EZ613" s="127"/>
      <c r="FA613" s="127"/>
      <c r="FB613" s="127"/>
      <c r="FC613" s="127"/>
      <c r="FD613" s="127"/>
      <c r="FE613" s="127"/>
      <c r="FF613" s="127"/>
      <c r="HW613" s="127"/>
      <c r="HX613" s="127"/>
      <c r="HY613" s="127"/>
      <c r="HZ613" s="127"/>
      <c r="IA613" s="127"/>
      <c r="IB613" s="127"/>
      <c r="IC613" s="127"/>
      <c r="ID613" s="127"/>
      <c r="IE613" s="127"/>
      <c r="IF613" s="127"/>
      <c r="IG613" s="127"/>
      <c r="IH613" s="127"/>
      <c r="II613" s="127"/>
      <c r="IJ613" s="127"/>
      <c r="IK613" s="127"/>
      <c r="LB613" s="127"/>
      <c r="LC613" s="127"/>
      <c r="LD613" s="127"/>
      <c r="LE613" s="127"/>
      <c r="LF613" s="127"/>
      <c r="LG613" s="127"/>
      <c r="LH613" s="127"/>
      <c r="LI613" s="127"/>
      <c r="LJ613" s="127"/>
      <c r="LK613" s="127"/>
      <c r="LL613" s="127"/>
      <c r="LM613" s="127"/>
      <c r="LN613" s="127"/>
      <c r="LO613" s="127"/>
      <c r="LP613" s="127"/>
      <c r="OG613" s="127"/>
      <c r="OH613" s="127"/>
      <c r="OI613" s="127"/>
      <c r="OJ613" s="127"/>
      <c r="OK613" s="127"/>
      <c r="OL613" s="127"/>
      <c r="OM613" s="127"/>
      <c r="ON613" s="127"/>
      <c r="OO613" s="127"/>
      <c r="OP613" s="127"/>
      <c r="OQ613" s="127"/>
      <c r="OR613" s="127"/>
      <c r="OS613" s="127"/>
      <c r="OT613" s="127"/>
      <c r="OU613" s="127"/>
    </row>
    <row r="614" spans="1:411">
      <c r="A614">
        <v>245</v>
      </c>
      <c r="B614">
        <v>1311</v>
      </c>
      <c r="C614" t="s">
        <v>72</v>
      </c>
      <c r="D614" t="s">
        <v>195</v>
      </c>
      <c r="E614" s="232" t="s">
        <v>16621</v>
      </c>
      <c r="F614" t="s">
        <v>71</v>
      </c>
      <c r="G614">
        <v>2</v>
      </c>
      <c r="H614">
        <v>86.484999999999999</v>
      </c>
      <c r="I614">
        <v>86.075000000000003</v>
      </c>
      <c r="J614">
        <v>85.481999999999999</v>
      </c>
      <c r="K614">
        <v>84.671000000000006</v>
      </c>
      <c r="L614">
        <v>84.191999999999993</v>
      </c>
      <c r="M614" s="233" t="s">
        <v>454</v>
      </c>
      <c r="N614" s="233" t="s">
        <v>454</v>
      </c>
      <c r="O614" s="3" t="s">
        <v>1112</v>
      </c>
      <c r="BM614" s="127"/>
      <c r="BN614" s="127"/>
      <c r="BO614" s="127"/>
      <c r="BP614" s="127"/>
      <c r="BQ614" s="127"/>
      <c r="BR614" s="127"/>
      <c r="BS614" s="127"/>
      <c r="BT614" s="127"/>
      <c r="BU614" s="127"/>
      <c r="BV614" s="127"/>
      <c r="BW614" s="127"/>
      <c r="BX614" s="127"/>
      <c r="BY614" s="127"/>
      <c r="BZ614" s="127"/>
      <c r="CA614" s="127"/>
      <c r="ER614" s="127"/>
      <c r="ES614" s="127"/>
      <c r="ET614" s="127"/>
      <c r="EU614" s="127"/>
      <c r="EV614" s="127"/>
      <c r="EW614" s="127"/>
      <c r="EX614" s="127"/>
      <c r="EY614" s="127"/>
      <c r="EZ614" s="127"/>
      <c r="FA614" s="127"/>
      <c r="FB614" s="127"/>
      <c r="FC614" s="127"/>
      <c r="FD614" s="127"/>
      <c r="FE614" s="127"/>
      <c r="FF614" s="127"/>
      <c r="HW614" s="127"/>
      <c r="HX614" s="127"/>
      <c r="HY614" s="127"/>
      <c r="HZ614" s="127"/>
      <c r="IA614" s="127"/>
      <c r="IB614" s="127"/>
      <c r="IC614" s="127"/>
      <c r="ID614" s="127"/>
      <c r="IE614" s="127"/>
      <c r="IF614" s="127"/>
      <c r="IG614" s="127"/>
      <c r="IH614" s="127"/>
      <c r="II614" s="127"/>
      <c r="IJ614" s="127"/>
      <c r="IK614" s="127"/>
      <c r="LB614" s="127"/>
      <c r="LC614" s="127"/>
      <c r="LD614" s="127"/>
      <c r="LE614" s="127"/>
      <c r="LF614" s="127"/>
      <c r="LG614" s="127"/>
      <c r="LH614" s="127"/>
      <c r="LI614" s="127"/>
      <c r="LJ614" s="127"/>
      <c r="LK614" s="127"/>
      <c r="LL614" s="127"/>
      <c r="LM614" s="127"/>
      <c r="LN614" s="127"/>
      <c r="LO614" s="127"/>
      <c r="LP614" s="127"/>
      <c r="OG614" s="127"/>
      <c r="OH614" s="127"/>
      <c r="OI614" s="127"/>
      <c r="OJ614" s="127"/>
      <c r="OK614" s="127"/>
      <c r="OL614" s="127"/>
      <c r="OM614" s="127"/>
      <c r="ON614" s="127"/>
      <c r="OO614" s="127"/>
      <c r="OP614" s="127"/>
      <c r="OQ614" s="127"/>
      <c r="OR614" s="127"/>
      <c r="OS614" s="127"/>
      <c r="OT614" s="127"/>
      <c r="OU614" s="127"/>
    </row>
    <row r="615" spans="1:411">
      <c r="A615">
        <v>245</v>
      </c>
      <c r="B615">
        <v>1319</v>
      </c>
      <c r="C615" t="s">
        <v>72</v>
      </c>
      <c r="D615" t="s">
        <v>195</v>
      </c>
      <c r="E615" s="232" t="s">
        <v>16622</v>
      </c>
      <c r="F615" t="s">
        <v>71</v>
      </c>
      <c r="G615">
        <v>2</v>
      </c>
      <c r="H615">
        <v>86.174999999999997</v>
      </c>
      <c r="I615">
        <v>85.765000000000001</v>
      </c>
      <c r="J615">
        <v>85.15</v>
      </c>
      <c r="K615">
        <v>84.388000000000005</v>
      </c>
      <c r="L615">
        <v>83.858999999999995</v>
      </c>
      <c r="M615" s="233" t="s">
        <v>454</v>
      </c>
      <c r="N615" s="233" t="s">
        <v>454</v>
      </c>
      <c r="O615" s="3" t="s">
        <v>1113</v>
      </c>
      <c r="BM615" s="127"/>
      <c r="BN615" s="127"/>
      <c r="BO615" s="127"/>
      <c r="BP615" s="127"/>
      <c r="BQ615" s="127"/>
      <c r="BR615" s="127"/>
      <c r="BS615" s="127"/>
      <c r="BT615" s="127"/>
      <c r="BU615" s="127"/>
      <c r="BV615" s="127"/>
      <c r="BW615" s="127"/>
      <c r="BX615" s="127"/>
      <c r="BY615" s="127"/>
      <c r="BZ615" s="127"/>
      <c r="CA615" s="127"/>
      <c r="ER615" s="127"/>
      <c r="ES615" s="127"/>
      <c r="ET615" s="127"/>
      <c r="EU615" s="127"/>
      <c r="EV615" s="127"/>
      <c r="EW615" s="127"/>
      <c r="EX615" s="127"/>
      <c r="EY615" s="127"/>
      <c r="EZ615" s="127"/>
      <c r="FA615" s="127"/>
      <c r="FB615" s="127"/>
      <c r="FC615" s="127"/>
      <c r="FD615" s="127"/>
      <c r="FE615" s="127"/>
      <c r="FF615" s="127"/>
      <c r="HW615" s="127"/>
      <c r="HX615" s="127"/>
      <c r="HY615" s="127"/>
      <c r="HZ615" s="127"/>
      <c r="IA615" s="127"/>
      <c r="IB615" s="127"/>
      <c r="IC615" s="127"/>
      <c r="ID615" s="127"/>
      <c r="IE615" s="127"/>
      <c r="IF615" s="127"/>
      <c r="IG615" s="127"/>
      <c r="IH615" s="127"/>
      <c r="II615" s="127"/>
      <c r="IJ615" s="127"/>
      <c r="IK615" s="127"/>
      <c r="LB615" s="127"/>
      <c r="LC615" s="127"/>
      <c r="LD615" s="127"/>
      <c r="LE615" s="127"/>
      <c r="LF615" s="127"/>
      <c r="LG615" s="127"/>
      <c r="LH615" s="127"/>
      <c r="LI615" s="127"/>
      <c r="LJ615" s="127"/>
      <c r="LK615" s="127"/>
      <c r="LL615" s="127"/>
      <c r="LM615" s="127"/>
      <c r="LN615" s="127"/>
      <c r="LO615" s="127"/>
      <c r="LP615" s="127"/>
      <c r="OG615" s="127"/>
      <c r="OH615" s="127"/>
      <c r="OI615" s="127"/>
      <c r="OJ615" s="127"/>
      <c r="OK615" s="127"/>
      <c r="OL615" s="127"/>
      <c r="OM615" s="127"/>
      <c r="ON615" s="127"/>
      <c r="OO615" s="127"/>
      <c r="OP615" s="127"/>
      <c r="OQ615" s="127"/>
      <c r="OR615" s="127"/>
      <c r="OS615" s="127"/>
      <c r="OT615" s="127"/>
      <c r="OU615" s="127"/>
    </row>
    <row r="616" spans="1:411">
      <c r="A616">
        <v>245</v>
      </c>
      <c r="B616">
        <v>1310</v>
      </c>
      <c r="C616" t="s">
        <v>72</v>
      </c>
      <c r="D616" t="s">
        <v>195</v>
      </c>
      <c r="E616" s="232" t="s">
        <v>16623</v>
      </c>
      <c r="F616" t="s">
        <v>71</v>
      </c>
      <c r="G616">
        <v>2</v>
      </c>
      <c r="H616">
        <v>86.075000000000003</v>
      </c>
      <c r="I616">
        <v>85.697999999999993</v>
      </c>
      <c r="J616">
        <v>85.081999999999994</v>
      </c>
      <c r="K616">
        <v>84.281999999999996</v>
      </c>
      <c r="L616">
        <v>83.805000000000007</v>
      </c>
      <c r="M616" s="233" t="s">
        <v>454</v>
      </c>
      <c r="N616" s="233" t="s">
        <v>454</v>
      </c>
      <c r="O616" s="3" t="s">
        <v>1114</v>
      </c>
      <c r="BM616" s="127"/>
      <c r="BN616" s="127"/>
      <c r="BO616" s="127"/>
      <c r="BP616" s="127"/>
      <c r="BQ616" s="127"/>
      <c r="BR616" s="127"/>
      <c r="BS616" s="127"/>
      <c r="BT616" s="127"/>
      <c r="BU616" s="127"/>
      <c r="BV616" s="127"/>
      <c r="BW616" s="127"/>
      <c r="BX616" s="127"/>
      <c r="BY616" s="127"/>
      <c r="BZ616" s="127"/>
      <c r="CA616" s="127"/>
      <c r="ER616" s="127"/>
      <c r="ES616" s="127"/>
      <c r="ET616" s="127"/>
      <c r="EU616" s="127"/>
      <c r="EV616" s="127"/>
      <c r="EW616" s="127"/>
      <c r="EX616" s="127"/>
      <c r="EY616" s="127"/>
      <c r="EZ616" s="127"/>
      <c r="FA616" s="127"/>
      <c r="FB616" s="127"/>
      <c r="FC616" s="127"/>
      <c r="FD616" s="127"/>
      <c r="FE616" s="127"/>
      <c r="FF616" s="127"/>
      <c r="HW616" s="127"/>
      <c r="HX616" s="127"/>
      <c r="HY616" s="127"/>
      <c r="HZ616" s="127"/>
      <c r="IA616" s="127"/>
      <c r="IB616" s="127"/>
      <c r="IC616" s="127"/>
      <c r="ID616" s="127"/>
      <c r="IE616" s="127"/>
      <c r="IF616" s="127"/>
      <c r="IG616" s="127"/>
      <c r="IH616" s="127"/>
      <c r="II616" s="127"/>
      <c r="IJ616" s="127"/>
      <c r="IK616" s="127"/>
      <c r="LB616" s="127"/>
      <c r="LC616" s="127"/>
      <c r="LD616" s="127"/>
      <c r="LE616" s="127"/>
      <c r="LF616" s="127"/>
      <c r="LG616" s="127"/>
      <c r="LH616" s="127"/>
      <c r="LI616" s="127"/>
      <c r="LJ616" s="127"/>
      <c r="LK616" s="127"/>
      <c r="LL616" s="127"/>
      <c r="LM616" s="127"/>
      <c r="LN616" s="127"/>
      <c r="LO616" s="127"/>
      <c r="LP616" s="127"/>
      <c r="OG616" s="127"/>
      <c r="OH616" s="127"/>
      <c r="OI616" s="127"/>
      <c r="OJ616" s="127"/>
      <c r="OK616" s="127"/>
      <c r="OL616" s="127"/>
      <c r="OM616" s="127"/>
      <c r="ON616" s="127"/>
      <c r="OO616" s="127"/>
      <c r="OP616" s="127"/>
      <c r="OQ616" s="127"/>
      <c r="OR616" s="127"/>
      <c r="OS616" s="127"/>
      <c r="OT616" s="127"/>
      <c r="OU616" s="127"/>
    </row>
    <row r="617" spans="1:411">
      <c r="A617">
        <v>245</v>
      </c>
      <c r="B617">
        <v>1322</v>
      </c>
      <c r="C617" t="s">
        <v>72</v>
      </c>
      <c r="D617" t="s">
        <v>195</v>
      </c>
      <c r="E617" s="232" t="s">
        <v>16624</v>
      </c>
      <c r="F617" t="s">
        <v>71</v>
      </c>
      <c r="G617">
        <v>2</v>
      </c>
      <c r="H617">
        <v>85.593000000000004</v>
      </c>
      <c r="I617">
        <v>85.105000000000004</v>
      </c>
      <c r="J617">
        <v>84.388000000000005</v>
      </c>
      <c r="K617">
        <v>83.793000000000006</v>
      </c>
      <c r="L617">
        <v>83.382000000000005</v>
      </c>
      <c r="M617" s="233" t="s">
        <v>454</v>
      </c>
      <c r="N617" s="233" t="s">
        <v>454</v>
      </c>
      <c r="O617" s="3" t="s">
        <v>1115</v>
      </c>
      <c r="BM617" s="127"/>
      <c r="BN617" s="127"/>
      <c r="BO617" s="127"/>
      <c r="BP617" s="127"/>
      <c r="BQ617" s="127"/>
      <c r="BR617" s="127"/>
      <c r="BS617" s="127"/>
      <c r="BT617" s="127"/>
      <c r="BU617" s="127"/>
      <c r="BV617" s="127"/>
      <c r="BW617" s="127"/>
      <c r="BX617" s="127"/>
      <c r="BY617" s="127"/>
      <c r="BZ617" s="127"/>
      <c r="CA617" s="127"/>
      <c r="ER617" s="127"/>
      <c r="ES617" s="127"/>
      <c r="ET617" s="127"/>
      <c r="EU617" s="127"/>
      <c r="EV617" s="127"/>
      <c r="EW617" s="127"/>
      <c r="EX617" s="127"/>
      <c r="EY617" s="127"/>
      <c r="EZ617" s="127"/>
      <c r="FA617" s="127"/>
      <c r="FB617" s="127"/>
      <c r="FC617" s="127"/>
      <c r="FD617" s="127"/>
      <c r="FE617" s="127"/>
      <c r="FF617" s="127"/>
      <c r="HW617" s="127"/>
      <c r="HX617" s="127"/>
      <c r="HY617" s="127"/>
      <c r="HZ617" s="127"/>
      <c r="IA617" s="127"/>
      <c r="IB617" s="127"/>
      <c r="IC617" s="127"/>
      <c r="ID617" s="127"/>
      <c r="IE617" s="127"/>
      <c r="IF617" s="127"/>
      <c r="IG617" s="127"/>
      <c r="IH617" s="127"/>
      <c r="II617" s="127"/>
      <c r="IJ617" s="127"/>
      <c r="IK617" s="127"/>
      <c r="LB617" s="127"/>
      <c r="LC617" s="127"/>
      <c r="LD617" s="127"/>
      <c r="LE617" s="127"/>
      <c r="LF617" s="127"/>
      <c r="LG617" s="127"/>
      <c r="LH617" s="127"/>
      <c r="LI617" s="127"/>
      <c r="LJ617" s="127"/>
      <c r="LK617" s="127"/>
      <c r="LL617" s="127"/>
      <c r="LM617" s="127"/>
      <c r="LN617" s="127"/>
      <c r="LO617" s="127"/>
      <c r="LP617" s="127"/>
      <c r="OG617" s="127"/>
      <c r="OH617" s="127"/>
      <c r="OI617" s="127"/>
      <c r="OJ617" s="127"/>
      <c r="OK617" s="127"/>
      <c r="OL617" s="127"/>
      <c r="OM617" s="127"/>
      <c r="ON617" s="127"/>
      <c r="OO617" s="127"/>
      <c r="OP617" s="127"/>
      <c r="OQ617" s="127"/>
      <c r="OR617" s="127"/>
      <c r="OS617" s="127"/>
      <c r="OT617" s="127"/>
      <c r="OU617" s="127"/>
    </row>
    <row r="618" spans="1:411">
      <c r="A618">
        <v>246</v>
      </c>
      <c r="B618">
        <v>1338</v>
      </c>
      <c r="C618" t="s">
        <v>72</v>
      </c>
      <c r="D618" t="s">
        <v>485</v>
      </c>
      <c r="E618" s="232" t="s">
        <v>16625</v>
      </c>
      <c r="F618" t="s">
        <v>70</v>
      </c>
      <c r="G618">
        <v>2</v>
      </c>
      <c r="H618">
        <v>83.277000000000001</v>
      </c>
      <c r="I618">
        <v>82.927000000000007</v>
      </c>
      <c r="J618">
        <v>81.959000000000003</v>
      </c>
      <c r="K618">
        <v>81.218000000000004</v>
      </c>
      <c r="L618">
        <v>80.222999999999999</v>
      </c>
      <c r="M618" s="233" t="s">
        <v>454</v>
      </c>
      <c r="N618" s="233" t="s">
        <v>454</v>
      </c>
      <c r="O618" s="3" t="s">
        <v>1116</v>
      </c>
      <c r="BM618" s="127"/>
      <c r="BN618" s="127"/>
      <c r="BO618" s="127"/>
      <c r="BP618" s="127"/>
      <c r="BQ618" s="127"/>
      <c r="BR618" s="127"/>
      <c r="BS618" s="127"/>
      <c r="BT618" s="127"/>
      <c r="BU618" s="127"/>
      <c r="BV618" s="127"/>
      <c r="BW618" s="127"/>
      <c r="BX618" s="127"/>
      <c r="BY618" s="127"/>
      <c r="BZ618" s="127"/>
      <c r="CA618" s="127"/>
      <c r="ER618" s="127"/>
      <c r="ES618" s="127"/>
      <c r="ET618" s="127"/>
      <c r="EU618" s="127"/>
      <c r="EV618" s="127"/>
      <c r="EW618" s="127"/>
      <c r="EX618" s="127"/>
      <c r="EY618" s="127"/>
      <c r="EZ618" s="127"/>
      <c r="FA618" s="127"/>
      <c r="FB618" s="127"/>
      <c r="FC618" s="127"/>
      <c r="FD618" s="127"/>
      <c r="FE618" s="127"/>
      <c r="FF618" s="127"/>
      <c r="HW618" s="127"/>
      <c r="HX618" s="127"/>
      <c r="HY618" s="127"/>
      <c r="HZ618" s="127"/>
      <c r="IA618" s="127"/>
      <c r="IB618" s="127"/>
      <c r="IC618" s="127"/>
      <c r="ID618" s="127"/>
      <c r="IE618" s="127"/>
      <c r="IF618" s="127"/>
      <c r="IG618" s="127"/>
      <c r="IH618" s="127"/>
      <c r="II618" s="127"/>
      <c r="IJ618" s="127"/>
      <c r="IK618" s="127"/>
      <c r="LB618" s="127"/>
      <c r="LC618" s="127"/>
      <c r="LD618" s="127"/>
      <c r="LE618" s="127"/>
      <c r="LF618" s="127"/>
      <c r="LG618" s="127"/>
      <c r="LH618" s="127"/>
      <c r="LI618" s="127"/>
      <c r="LJ618" s="127"/>
      <c r="LK618" s="127"/>
      <c r="LL618" s="127"/>
      <c r="LM618" s="127"/>
      <c r="LN618" s="127"/>
      <c r="LO618" s="127"/>
      <c r="LP618" s="127"/>
      <c r="OG618" s="127"/>
      <c r="OH618" s="127"/>
      <c r="OI618" s="127"/>
      <c r="OJ618" s="127"/>
      <c r="OK618" s="127"/>
      <c r="OL618" s="127"/>
      <c r="OM618" s="127"/>
      <c r="ON618" s="127"/>
      <c r="OO618" s="127"/>
      <c r="OP618" s="127"/>
      <c r="OQ618" s="127"/>
      <c r="OR618" s="127"/>
      <c r="OS618" s="127"/>
      <c r="OT618" s="127"/>
      <c r="OU618" s="127"/>
    </row>
    <row r="619" spans="1:411">
      <c r="A619">
        <v>247</v>
      </c>
      <c r="B619">
        <v>1348</v>
      </c>
      <c r="C619" t="s">
        <v>72</v>
      </c>
      <c r="D619" t="s">
        <v>485</v>
      </c>
      <c r="E619" s="232" t="s">
        <v>9002</v>
      </c>
      <c r="F619" t="s">
        <v>71</v>
      </c>
      <c r="G619">
        <v>2</v>
      </c>
      <c r="H619">
        <v>82.372</v>
      </c>
      <c r="I619">
        <v>81.822999999999993</v>
      </c>
      <c r="J619">
        <v>81.001000000000005</v>
      </c>
      <c r="K619">
        <v>80.316000000000003</v>
      </c>
      <c r="L619">
        <v>79.352000000000004</v>
      </c>
      <c r="M619" s="233" t="s">
        <v>454</v>
      </c>
      <c r="N619" s="233" t="s">
        <v>454</v>
      </c>
      <c r="O619" s="3" t="s">
        <v>1117</v>
      </c>
      <c r="BM619" s="127"/>
      <c r="BN619" s="127"/>
      <c r="BO619" s="127"/>
      <c r="BP619" s="127"/>
      <c r="BQ619" s="127"/>
      <c r="BR619" s="127"/>
      <c r="BS619" s="127"/>
      <c r="BT619" s="127"/>
      <c r="BU619" s="127"/>
      <c r="BV619" s="127"/>
      <c r="BW619" s="127"/>
      <c r="BX619" s="127"/>
      <c r="BY619" s="127"/>
      <c r="BZ619" s="127"/>
      <c r="CA619" s="127"/>
      <c r="ER619" s="127"/>
      <c r="ES619" s="127"/>
      <c r="ET619" s="127"/>
      <c r="EU619" s="127"/>
      <c r="EV619" s="127"/>
      <c r="EW619" s="127"/>
      <c r="EX619" s="127"/>
      <c r="EY619" s="127"/>
      <c r="EZ619" s="127"/>
      <c r="FA619" s="127"/>
      <c r="FB619" s="127"/>
      <c r="FC619" s="127"/>
      <c r="FD619" s="127"/>
      <c r="FE619" s="127"/>
      <c r="FF619" s="127"/>
      <c r="HW619" s="127"/>
      <c r="HX619" s="127"/>
      <c r="HY619" s="127"/>
      <c r="HZ619" s="127"/>
      <c r="IA619" s="127"/>
      <c r="IB619" s="127"/>
      <c r="IC619" s="127"/>
      <c r="ID619" s="127"/>
      <c r="IE619" s="127"/>
      <c r="IF619" s="127"/>
      <c r="IG619" s="127"/>
      <c r="IH619" s="127"/>
      <c r="II619" s="127"/>
      <c r="IJ619" s="127"/>
      <c r="IK619" s="127"/>
      <c r="LB619" s="127"/>
      <c r="LC619" s="127"/>
      <c r="LD619" s="127"/>
      <c r="LE619" s="127"/>
      <c r="LF619" s="127"/>
      <c r="LG619" s="127"/>
      <c r="LH619" s="127"/>
      <c r="LI619" s="127"/>
      <c r="LJ619" s="127"/>
      <c r="LK619" s="127"/>
      <c r="LL619" s="127"/>
      <c r="LM619" s="127"/>
      <c r="LN619" s="127"/>
      <c r="LO619" s="127"/>
      <c r="LP619" s="127"/>
      <c r="OG619" s="127"/>
      <c r="OH619" s="127"/>
      <c r="OI619" s="127"/>
      <c r="OJ619" s="127"/>
      <c r="OK619" s="127"/>
      <c r="OL619" s="127"/>
      <c r="OM619" s="127"/>
      <c r="ON619" s="127"/>
      <c r="OO619" s="127"/>
      <c r="OP619" s="127"/>
      <c r="OQ619" s="127"/>
      <c r="OR619" s="127"/>
      <c r="OS619" s="127"/>
      <c r="OT619" s="127"/>
      <c r="OU619" s="127"/>
    </row>
    <row r="620" spans="1:411">
      <c r="A620">
        <v>134</v>
      </c>
      <c r="B620">
        <v>1362</v>
      </c>
      <c r="C620" t="s">
        <v>72</v>
      </c>
      <c r="D620" t="s">
        <v>494</v>
      </c>
      <c r="E620" s="232" t="s">
        <v>9971</v>
      </c>
      <c r="F620" t="s">
        <v>70</v>
      </c>
      <c r="G620">
        <v>2</v>
      </c>
      <c r="H620">
        <v>810.16800000000001</v>
      </c>
      <c r="I620">
        <v>807.803</v>
      </c>
      <c r="J620">
        <v>804.327</v>
      </c>
      <c r="K620">
        <v>800.91899999999998</v>
      </c>
      <c r="L620">
        <v>798.19</v>
      </c>
      <c r="M620" s="233" t="s">
        <v>532</v>
      </c>
      <c r="N620" s="233" t="s">
        <v>533</v>
      </c>
      <c r="O620" s="3" t="s">
        <v>1118</v>
      </c>
      <c r="BM620" s="127"/>
      <c r="BN620" s="127"/>
      <c r="BO620" s="127"/>
      <c r="BP620" s="127"/>
      <c r="BQ620" s="127"/>
      <c r="BR620" s="127"/>
      <c r="BS620" s="127"/>
      <c r="BT620" s="127"/>
      <c r="BU620" s="127"/>
      <c r="BV620" s="127"/>
      <c r="BW620" s="127"/>
      <c r="BX620" s="127"/>
      <c r="BY620" s="127"/>
      <c r="BZ620" s="127"/>
      <c r="CA620" s="127"/>
      <c r="ER620" s="127"/>
      <c r="ES620" s="127"/>
      <c r="ET620" s="127"/>
      <c r="EU620" s="127"/>
      <c r="EV620" s="127"/>
      <c r="EW620" s="127"/>
      <c r="EX620" s="127"/>
      <c r="EY620" s="127"/>
      <c r="EZ620" s="127"/>
      <c r="FA620" s="127"/>
      <c r="FB620" s="127"/>
      <c r="FC620" s="127"/>
      <c r="FD620" s="127"/>
      <c r="FE620" s="127"/>
      <c r="FF620" s="127"/>
      <c r="HW620" s="127"/>
      <c r="HX620" s="127"/>
      <c r="HY620" s="127"/>
      <c r="HZ620" s="127"/>
      <c r="IA620" s="127"/>
      <c r="IB620" s="127"/>
      <c r="IC620" s="127"/>
      <c r="ID620" s="127"/>
      <c r="IE620" s="127"/>
      <c r="IF620" s="127"/>
      <c r="IG620" s="127"/>
      <c r="IH620" s="127"/>
      <c r="II620" s="127"/>
      <c r="IJ620" s="127"/>
      <c r="IK620" s="127"/>
      <c r="LB620" s="127"/>
      <c r="LC620" s="127"/>
      <c r="LD620" s="127"/>
      <c r="LE620" s="127"/>
      <c r="LF620" s="127"/>
      <c r="LG620" s="127"/>
      <c r="LH620" s="127"/>
      <c r="LI620" s="127"/>
      <c r="LJ620" s="127"/>
      <c r="LK620" s="127"/>
      <c r="LL620" s="127"/>
      <c r="LM620" s="127"/>
      <c r="LN620" s="127"/>
      <c r="LO620" s="127"/>
      <c r="LP620" s="127"/>
      <c r="OG620" s="127"/>
      <c r="OH620" s="127"/>
      <c r="OI620" s="127"/>
      <c r="OJ620" s="127"/>
      <c r="OK620" s="127"/>
      <c r="OL620" s="127"/>
      <c r="OM620" s="127"/>
      <c r="ON620" s="127"/>
      <c r="OO620" s="127"/>
      <c r="OP620" s="127"/>
      <c r="OQ620" s="127"/>
      <c r="OR620" s="127"/>
      <c r="OS620" s="127"/>
      <c r="OT620" s="127"/>
      <c r="OU620" s="127"/>
    </row>
    <row r="621" spans="1:411">
      <c r="A621">
        <v>133</v>
      </c>
      <c r="B621">
        <v>1377</v>
      </c>
      <c r="C621" t="s">
        <v>72</v>
      </c>
      <c r="D621" t="s">
        <v>494</v>
      </c>
      <c r="E621" s="232" t="s">
        <v>16626</v>
      </c>
      <c r="F621" t="s">
        <v>70</v>
      </c>
      <c r="G621">
        <v>2</v>
      </c>
      <c r="H621">
        <v>815.76499999999999</v>
      </c>
      <c r="I621">
        <v>813.375</v>
      </c>
      <c r="J621">
        <v>809.86599999999999</v>
      </c>
      <c r="K621">
        <v>806.423</v>
      </c>
      <c r="L621">
        <v>803.66800000000001</v>
      </c>
      <c r="M621" s="233" t="s">
        <v>532</v>
      </c>
      <c r="N621" s="233" t="s">
        <v>533</v>
      </c>
      <c r="O621" s="3" t="s">
        <v>1119</v>
      </c>
      <c r="BM621" s="127"/>
      <c r="BN621" s="127"/>
      <c r="BO621" s="127"/>
      <c r="BP621" s="127"/>
      <c r="BQ621" s="127"/>
      <c r="BR621" s="127"/>
      <c r="BS621" s="127"/>
      <c r="BT621" s="127"/>
      <c r="BU621" s="127"/>
      <c r="BV621" s="127"/>
      <c r="BW621" s="127"/>
      <c r="BX621" s="127"/>
      <c r="BY621" s="127"/>
      <c r="BZ621" s="127"/>
      <c r="CA621" s="127"/>
      <c r="ER621" s="127"/>
      <c r="ES621" s="127"/>
      <c r="ET621" s="127"/>
      <c r="EU621" s="127"/>
      <c r="EV621" s="127"/>
      <c r="EW621" s="127"/>
      <c r="EX621" s="127"/>
      <c r="EY621" s="127"/>
      <c r="EZ621" s="127"/>
      <c r="FA621" s="127"/>
      <c r="FB621" s="127"/>
      <c r="FC621" s="127"/>
      <c r="FD621" s="127"/>
      <c r="FE621" s="127"/>
      <c r="FF621" s="127"/>
      <c r="HW621" s="127"/>
      <c r="HX621" s="127"/>
      <c r="HY621" s="127"/>
      <c r="HZ621" s="127"/>
      <c r="IA621" s="127"/>
      <c r="IB621" s="127"/>
      <c r="IC621" s="127"/>
      <c r="ID621" s="127"/>
      <c r="IE621" s="127"/>
      <c r="IF621" s="127"/>
      <c r="IG621" s="127"/>
      <c r="IH621" s="127"/>
      <c r="II621" s="127"/>
      <c r="IJ621" s="127"/>
      <c r="IK621" s="127"/>
      <c r="LB621" s="127"/>
      <c r="LC621" s="127"/>
      <c r="LD621" s="127"/>
      <c r="LE621" s="127"/>
      <c r="LF621" s="127"/>
      <c r="LG621" s="127"/>
      <c r="LH621" s="127"/>
      <c r="LI621" s="127"/>
      <c r="LJ621" s="127"/>
      <c r="LK621" s="127"/>
      <c r="LL621" s="127"/>
      <c r="LM621" s="127"/>
      <c r="LN621" s="127"/>
      <c r="LO621" s="127"/>
      <c r="LP621" s="127"/>
      <c r="OG621" s="127"/>
      <c r="OH621" s="127"/>
      <c r="OI621" s="127"/>
      <c r="OJ621" s="127"/>
      <c r="OK621" s="127"/>
      <c r="OL621" s="127"/>
      <c r="OM621" s="127"/>
      <c r="ON621" s="127"/>
      <c r="OO621" s="127"/>
      <c r="OP621" s="127"/>
      <c r="OQ621" s="127"/>
      <c r="OR621" s="127"/>
      <c r="OS621" s="127"/>
      <c r="OT621" s="127"/>
      <c r="OU621" s="127"/>
    </row>
    <row r="622" spans="1:411">
      <c r="A622">
        <v>134</v>
      </c>
      <c r="B622">
        <v>1373</v>
      </c>
      <c r="C622" t="s">
        <v>72</v>
      </c>
      <c r="D622" t="s">
        <v>494</v>
      </c>
      <c r="E622" s="232" t="s">
        <v>13649</v>
      </c>
      <c r="F622" t="s">
        <v>70</v>
      </c>
      <c r="G622">
        <v>2</v>
      </c>
      <c r="H622">
        <v>807.55799999999999</v>
      </c>
      <c r="I622">
        <v>804.82799999999997</v>
      </c>
      <c r="J622">
        <v>801.60299999999995</v>
      </c>
      <c r="K622">
        <v>798.19</v>
      </c>
      <c r="L622">
        <v>795.65200000000004</v>
      </c>
      <c r="M622" s="233" t="s">
        <v>532</v>
      </c>
      <c r="N622" s="233" t="s">
        <v>533</v>
      </c>
      <c r="O622" s="3" t="s">
        <v>1120</v>
      </c>
      <c r="BM622" s="127"/>
      <c r="BN622" s="127"/>
      <c r="BO622" s="127"/>
      <c r="BP622" s="127"/>
      <c r="BQ622" s="127"/>
      <c r="BR622" s="127"/>
      <c r="BS622" s="127"/>
      <c r="BT622" s="127"/>
      <c r="BU622" s="127"/>
      <c r="BV622" s="127"/>
      <c r="BW622" s="127"/>
      <c r="BX622" s="127"/>
      <c r="BY622" s="127"/>
      <c r="BZ622" s="127"/>
      <c r="CA622" s="127"/>
      <c r="ER622" s="127"/>
      <c r="ES622" s="127"/>
      <c r="ET622" s="127"/>
      <c r="EU622" s="127"/>
      <c r="EV622" s="127"/>
      <c r="EW622" s="127"/>
      <c r="EX622" s="127"/>
      <c r="EY622" s="127"/>
      <c r="EZ622" s="127"/>
      <c r="FA622" s="127"/>
      <c r="FB622" s="127"/>
      <c r="FC622" s="127"/>
      <c r="FD622" s="127"/>
      <c r="FE622" s="127"/>
      <c r="FF622" s="127"/>
      <c r="HW622" s="127"/>
      <c r="HX622" s="127"/>
      <c r="HY622" s="127"/>
      <c r="HZ622" s="127"/>
      <c r="IA622" s="127"/>
      <c r="IB622" s="127"/>
      <c r="IC622" s="127"/>
      <c r="ID622" s="127"/>
      <c r="IE622" s="127"/>
      <c r="IF622" s="127"/>
      <c r="IG622" s="127"/>
      <c r="IH622" s="127"/>
      <c r="II622" s="127"/>
      <c r="IJ622" s="127"/>
      <c r="IK622" s="127"/>
      <c r="LB622" s="127"/>
      <c r="LC622" s="127"/>
      <c r="LD622" s="127"/>
      <c r="LE622" s="127"/>
      <c r="LF622" s="127"/>
      <c r="LG622" s="127"/>
      <c r="LH622" s="127"/>
      <c r="LI622" s="127"/>
      <c r="LJ622" s="127"/>
      <c r="LK622" s="127"/>
      <c r="LL622" s="127"/>
      <c r="LM622" s="127"/>
      <c r="LN622" s="127"/>
      <c r="LO622" s="127"/>
      <c r="LP622" s="127"/>
      <c r="OG622" s="127"/>
      <c r="OH622" s="127"/>
      <c r="OI622" s="127"/>
      <c r="OJ622" s="127"/>
      <c r="OK622" s="127"/>
      <c r="OL622" s="127"/>
      <c r="OM622" s="127"/>
      <c r="ON622" s="127"/>
      <c r="OO622" s="127"/>
      <c r="OP622" s="127"/>
      <c r="OQ622" s="127"/>
      <c r="OR622" s="127"/>
      <c r="OS622" s="127"/>
      <c r="OT622" s="127"/>
      <c r="OU622" s="127"/>
    </row>
    <row r="623" spans="1:411">
      <c r="A623">
        <v>134</v>
      </c>
      <c r="B623">
        <v>1372</v>
      </c>
      <c r="C623" t="s">
        <v>72</v>
      </c>
      <c r="D623" t="s">
        <v>494</v>
      </c>
      <c r="E623" s="232" t="s">
        <v>10236</v>
      </c>
      <c r="F623" t="s">
        <v>70</v>
      </c>
      <c r="G623">
        <v>2</v>
      </c>
      <c r="H623">
        <v>804.82799999999997</v>
      </c>
      <c r="I623">
        <v>802.70100000000002</v>
      </c>
      <c r="J623">
        <v>799.221</v>
      </c>
      <c r="K623">
        <v>795.65200000000004</v>
      </c>
      <c r="L623">
        <v>792.49699999999996</v>
      </c>
      <c r="M623" s="233" t="s">
        <v>532</v>
      </c>
      <c r="N623" s="233" t="s">
        <v>533</v>
      </c>
      <c r="O623" s="3" t="s">
        <v>1121</v>
      </c>
      <c r="BM623" s="127"/>
      <c r="BN623" s="127"/>
      <c r="BO623" s="127"/>
      <c r="BP623" s="127"/>
      <c r="BQ623" s="127"/>
      <c r="BR623" s="127"/>
      <c r="BS623" s="127"/>
      <c r="BT623" s="127"/>
      <c r="BU623" s="127"/>
      <c r="BV623" s="127"/>
      <c r="BW623" s="127"/>
      <c r="BX623" s="127"/>
      <c r="BY623" s="127"/>
      <c r="BZ623" s="127"/>
      <c r="CA623" s="127"/>
      <c r="ER623" s="127"/>
      <c r="ES623" s="127"/>
      <c r="ET623" s="127"/>
      <c r="EU623" s="127"/>
      <c r="EV623" s="127"/>
      <c r="EW623" s="127"/>
      <c r="EX623" s="127"/>
      <c r="EY623" s="127"/>
      <c r="EZ623" s="127"/>
      <c r="FA623" s="127"/>
      <c r="FB623" s="127"/>
      <c r="FC623" s="127"/>
      <c r="FD623" s="127"/>
      <c r="FE623" s="127"/>
      <c r="FF623" s="127"/>
      <c r="HW623" s="127"/>
      <c r="HX623" s="127"/>
      <c r="HY623" s="127"/>
      <c r="HZ623" s="127"/>
      <c r="IA623" s="127"/>
      <c r="IB623" s="127"/>
      <c r="IC623" s="127"/>
      <c r="ID623" s="127"/>
      <c r="IE623" s="127"/>
      <c r="IF623" s="127"/>
      <c r="IG623" s="127"/>
      <c r="IH623" s="127"/>
      <c r="II623" s="127"/>
      <c r="IJ623" s="127"/>
      <c r="IK623" s="127"/>
      <c r="LB623" s="127"/>
      <c r="LC623" s="127"/>
      <c r="LD623" s="127"/>
      <c r="LE623" s="127"/>
      <c r="LF623" s="127"/>
      <c r="LG623" s="127"/>
      <c r="LH623" s="127"/>
      <c r="LI623" s="127"/>
      <c r="LJ623" s="127"/>
      <c r="LK623" s="127"/>
      <c r="LL623" s="127"/>
      <c r="LM623" s="127"/>
      <c r="LN623" s="127"/>
      <c r="LO623" s="127"/>
      <c r="LP623" s="127"/>
      <c r="OG623" s="127"/>
      <c r="OH623" s="127"/>
      <c r="OI623" s="127"/>
      <c r="OJ623" s="127"/>
      <c r="OK623" s="127"/>
      <c r="OL623" s="127"/>
      <c r="OM623" s="127"/>
      <c r="ON623" s="127"/>
      <c r="OO623" s="127"/>
      <c r="OP623" s="127"/>
      <c r="OQ623" s="127"/>
      <c r="OR623" s="127"/>
      <c r="OS623" s="127"/>
      <c r="OT623" s="127"/>
      <c r="OU623" s="127"/>
    </row>
    <row r="624" spans="1:411">
      <c r="A624">
        <v>138</v>
      </c>
      <c r="B624">
        <v>1386</v>
      </c>
      <c r="C624" t="s">
        <v>72</v>
      </c>
      <c r="D624" t="s">
        <v>494</v>
      </c>
      <c r="E624" s="232" t="s">
        <v>13221</v>
      </c>
      <c r="F624" t="s">
        <v>71</v>
      </c>
      <c r="G624">
        <v>2</v>
      </c>
      <c r="H624">
        <v>829.96299999999997</v>
      </c>
      <c r="I624">
        <v>827.55899999999997</v>
      </c>
      <c r="J624">
        <v>822.51300000000003</v>
      </c>
      <c r="K624">
        <v>818.41700000000003</v>
      </c>
      <c r="L624">
        <v>816.20600000000002</v>
      </c>
      <c r="M624" s="233" t="s">
        <v>532</v>
      </c>
      <c r="N624" s="233" t="s">
        <v>533</v>
      </c>
      <c r="O624" s="3" t="s">
        <v>1122</v>
      </c>
      <c r="BM624" s="127"/>
      <c r="BN624" s="127"/>
      <c r="BO624" s="127"/>
      <c r="BP624" s="127"/>
      <c r="BQ624" s="127"/>
      <c r="BR624" s="127"/>
      <c r="BS624" s="127"/>
      <c r="BT624" s="127"/>
      <c r="BU624" s="127"/>
      <c r="BV624" s="127"/>
      <c r="BW624" s="127"/>
      <c r="BX624" s="127"/>
      <c r="BY624" s="127"/>
      <c r="BZ624" s="127"/>
      <c r="CA624" s="127"/>
      <c r="ER624" s="127"/>
      <c r="ES624" s="127"/>
      <c r="ET624" s="127"/>
      <c r="EU624" s="127"/>
      <c r="EV624" s="127"/>
      <c r="EW624" s="127"/>
      <c r="EX624" s="127"/>
      <c r="EY624" s="127"/>
      <c r="EZ624" s="127"/>
      <c r="FA624" s="127"/>
      <c r="FB624" s="127"/>
      <c r="FC624" s="127"/>
      <c r="FD624" s="127"/>
      <c r="FE624" s="127"/>
      <c r="FF624" s="127"/>
      <c r="HW624" s="127"/>
      <c r="HX624" s="127"/>
      <c r="HY624" s="127"/>
      <c r="HZ624" s="127"/>
      <c r="IA624" s="127"/>
      <c r="IB624" s="127"/>
      <c r="IC624" s="127"/>
      <c r="ID624" s="127"/>
      <c r="IE624" s="127"/>
      <c r="IF624" s="127"/>
      <c r="IG624" s="127"/>
      <c r="IH624" s="127"/>
      <c r="II624" s="127"/>
      <c r="IJ624" s="127"/>
      <c r="IK624" s="127"/>
      <c r="LB624" s="127"/>
      <c r="LC624" s="127"/>
      <c r="LD624" s="127"/>
      <c r="LE624" s="127"/>
      <c r="LF624" s="127"/>
      <c r="LG624" s="127"/>
      <c r="LH624" s="127"/>
      <c r="LI624" s="127"/>
      <c r="LJ624" s="127"/>
      <c r="LK624" s="127"/>
      <c r="LL624" s="127"/>
      <c r="LM624" s="127"/>
      <c r="LN624" s="127"/>
      <c r="LO624" s="127"/>
      <c r="LP624" s="127"/>
      <c r="OG624" s="127"/>
      <c r="OH624" s="127"/>
      <c r="OI624" s="127"/>
      <c r="OJ624" s="127"/>
      <c r="OK624" s="127"/>
      <c r="OL624" s="127"/>
      <c r="OM624" s="127"/>
      <c r="ON624" s="127"/>
      <c r="OO624" s="127"/>
      <c r="OP624" s="127"/>
      <c r="OQ624" s="127"/>
      <c r="OR624" s="127"/>
      <c r="OS624" s="127"/>
      <c r="OT624" s="127"/>
      <c r="OU624" s="127"/>
    </row>
    <row r="625" spans="1:411">
      <c r="A625">
        <v>138</v>
      </c>
      <c r="B625">
        <v>1387</v>
      </c>
      <c r="C625" t="s">
        <v>72</v>
      </c>
      <c r="D625" t="s">
        <v>494</v>
      </c>
      <c r="E625" s="232" t="s">
        <v>495</v>
      </c>
      <c r="F625" t="s">
        <v>71</v>
      </c>
      <c r="G625">
        <v>2</v>
      </c>
      <c r="H625">
        <v>825.97</v>
      </c>
      <c r="I625">
        <v>822.58699999999999</v>
      </c>
      <c r="J625">
        <v>818.76300000000003</v>
      </c>
      <c r="K625">
        <v>814.44100000000003</v>
      </c>
      <c r="L625">
        <v>811.64700000000005</v>
      </c>
      <c r="M625" s="233" t="s">
        <v>532</v>
      </c>
      <c r="N625" s="233" t="s">
        <v>533</v>
      </c>
      <c r="O625" s="3" t="s">
        <v>1123</v>
      </c>
      <c r="BM625" s="127"/>
      <c r="BN625" s="127"/>
      <c r="BO625" s="127"/>
      <c r="BP625" s="127"/>
      <c r="BQ625" s="127"/>
      <c r="BR625" s="127"/>
      <c r="BS625" s="127"/>
      <c r="BT625" s="127"/>
      <c r="BU625" s="127"/>
      <c r="BV625" s="127"/>
      <c r="BW625" s="127"/>
      <c r="BX625" s="127"/>
      <c r="BY625" s="127"/>
      <c r="BZ625" s="127"/>
      <c r="CA625" s="127"/>
      <c r="ER625" s="127"/>
      <c r="ES625" s="127"/>
      <c r="ET625" s="127"/>
      <c r="EU625" s="127"/>
      <c r="EV625" s="127"/>
      <c r="EW625" s="127"/>
      <c r="EX625" s="127"/>
      <c r="EY625" s="127"/>
      <c r="EZ625" s="127"/>
      <c r="FA625" s="127"/>
      <c r="FB625" s="127"/>
      <c r="FC625" s="127"/>
      <c r="FD625" s="127"/>
      <c r="FE625" s="127"/>
      <c r="FF625" s="127"/>
      <c r="HW625" s="127"/>
      <c r="HX625" s="127"/>
      <c r="HY625" s="127"/>
      <c r="HZ625" s="127"/>
      <c r="IA625" s="127"/>
      <c r="IB625" s="127"/>
      <c r="IC625" s="127"/>
      <c r="ID625" s="127"/>
      <c r="IE625" s="127"/>
      <c r="IF625" s="127"/>
      <c r="IG625" s="127"/>
      <c r="IH625" s="127"/>
      <c r="II625" s="127"/>
      <c r="IJ625" s="127"/>
      <c r="IK625" s="127"/>
      <c r="LB625" s="127"/>
      <c r="LC625" s="127"/>
      <c r="LD625" s="127"/>
      <c r="LE625" s="127"/>
      <c r="LF625" s="127"/>
      <c r="LG625" s="127"/>
      <c r="LH625" s="127"/>
      <c r="LI625" s="127"/>
      <c r="LJ625" s="127"/>
      <c r="LK625" s="127"/>
      <c r="LL625" s="127"/>
      <c r="LM625" s="127"/>
      <c r="LN625" s="127"/>
      <c r="LO625" s="127"/>
      <c r="LP625" s="127"/>
      <c r="OG625" s="127"/>
      <c r="OH625" s="127"/>
      <c r="OI625" s="127"/>
      <c r="OJ625" s="127"/>
      <c r="OK625" s="127"/>
      <c r="OL625" s="127"/>
      <c r="OM625" s="127"/>
      <c r="ON625" s="127"/>
      <c r="OO625" s="127"/>
      <c r="OP625" s="127"/>
      <c r="OQ625" s="127"/>
      <c r="OR625" s="127"/>
      <c r="OS625" s="127"/>
      <c r="OT625" s="127"/>
      <c r="OU625" s="127"/>
    </row>
    <row r="626" spans="1:411">
      <c r="A626">
        <v>138</v>
      </c>
      <c r="B626">
        <v>1385</v>
      </c>
      <c r="C626" t="s">
        <v>72</v>
      </c>
      <c r="D626" t="s">
        <v>494</v>
      </c>
      <c r="E626" s="232" t="s">
        <v>13508</v>
      </c>
      <c r="F626" t="s">
        <v>71</v>
      </c>
      <c r="G626">
        <v>2</v>
      </c>
      <c r="H626">
        <v>816.62599999999998</v>
      </c>
      <c r="I626">
        <v>813.65700000000004</v>
      </c>
      <c r="J626">
        <v>809.798</v>
      </c>
      <c r="K626">
        <v>806.33500000000004</v>
      </c>
      <c r="L626">
        <v>804.19799999999998</v>
      </c>
      <c r="M626" s="233" t="s">
        <v>532</v>
      </c>
      <c r="N626" s="233" t="s">
        <v>533</v>
      </c>
      <c r="O626" s="3" t="s">
        <v>1124</v>
      </c>
    </row>
    <row r="627" spans="1:411">
      <c r="A627">
        <v>261</v>
      </c>
      <c r="B627">
        <v>1389</v>
      </c>
      <c r="C627" t="s">
        <v>72</v>
      </c>
      <c r="D627" t="s">
        <v>496</v>
      </c>
      <c r="E627" s="232" t="s">
        <v>10125</v>
      </c>
      <c r="F627" t="s">
        <v>70</v>
      </c>
      <c r="G627">
        <v>2</v>
      </c>
      <c r="H627">
        <v>675.45799999999997</v>
      </c>
      <c r="I627">
        <v>672.70500000000004</v>
      </c>
      <c r="J627">
        <v>667.70299999999997</v>
      </c>
      <c r="K627">
        <v>662.495</v>
      </c>
      <c r="L627">
        <v>659.04300000000001</v>
      </c>
      <c r="M627" s="233" t="s">
        <v>530</v>
      </c>
      <c r="N627" s="233" t="s">
        <v>531</v>
      </c>
      <c r="O627" s="3" t="s">
        <v>1125</v>
      </c>
    </row>
    <row r="628" spans="1:411">
      <c r="A628">
        <v>261</v>
      </c>
      <c r="B628">
        <v>1390</v>
      </c>
      <c r="C628" t="s">
        <v>72</v>
      </c>
      <c r="D628" t="s">
        <v>496</v>
      </c>
      <c r="E628" s="232" t="s">
        <v>10721</v>
      </c>
      <c r="F628" t="s">
        <v>70</v>
      </c>
      <c r="G628">
        <v>2</v>
      </c>
      <c r="H628">
        <v>673.67</v>
      </c>
      <c r="I628">
        <v>670.11800000000005</v>
      </c>
      <c r="J628">
        <v>665.31500000000005</v>
      </c>
      <c r="K628">
        <v>660.51499999999999</v>
      </c>
      <c r="L628">
        <v>657.86900000000003</v>
      </c>
      <c r="M628" s="233" t="s">
        <v>530</v>
      </c>
      <c r="N628" s="233" t="s">
        <v>531</v>
      </c>
      <c r="O628" s="3" t="s">
        <v>1126</v>
      </c>
    </row>
    <row r="629" spans="1:411">
      <c r="A629">
        <v>261</v>
      </c>
      <c r="B629">
        <v>1391</v>
      </c>
      <c r="C629" t="s">
        <v>72</v>
      </c>
      <c r="D629" t="s">
        <v>496</v>
      </c>
      <c r="E629" s="232" t="s">
        <v>12715</v>
      </c>
      <c r="F629" t="s">
        <v>70</v>
      </c>
      <c r="G629">
        <v>2</v>
      </c>
      <c r="H629">
        <v>632.37300000000005</v>
      </c>
      <c r="I629">
        <v>630.59900000000005</v>
      </c>
      <c r="J629">
        <v>627.57299999999998</v>
      </c>
      <c r="K629">
        <v>624.23800000000006</v>
      </c>
      <c r="L629">
        <v>621.82299999999998</v>
      </c>
      <c r="M629" s="233" t="s">
        <v>530</v>
      </c>
      <c r="N629" s="233" t="s">
        <v>531</v>
      </c>
      <c r="O629" s="3" t="s">
        <v>1127</v>
      </c>
    </row>
    <row r="630" spans="1:411">
      <c r="A630">
        <v>261</v>
      </c>
      <c r="B630">
        <v>1393</v>
      </c>
      <c r="C630" t="s">
        <v>72</v>
      </c>
      <c r="D630" t="s">
        <v>496</v>
      </c>
      <c r="E630" s="232" t="s">
        <v>9090</v>
      </c>
      <c r="F630" t="s">
        <v>70</v>
      </c>
      <c r="G630">
        <v>2</v>
      </c>
      <c r="H630">
        <v>629.29999999999995</v>
      </c>
      <c r="I630">
        <v>627.57299999999998</v>
      </c>
      <c r="J630">
        <v>624.76499999999999</v>
      </c>
      <c r="K630">
        <v>621.63499999999999</v>
      </c>
      <c r="L630">
        <v>619.26900000000001</v>
      </c>
      <c r="M630" s="233" t="s">
        <v>530</v>
      </c>
      <c r="N630" s="233" t="s">
        <v>531</v>
      </c>
      <c r="O630" s="3" t="s">
        <v>1128</v>
      </c>
    </row>
    <row r="631" spans="1:411">
      <c r="A631">
        <v>261</v>
      </c>
      <c r="B631">
        <v>1394</v>
      </c>
      <c r="C631" t="s">
        <v>72</v>
      </c>
      <c r="D631" t="s">
        <v>496</v>
      </c>
      <c r="E631" s="232" t="s">
        <v>13036</v>
      </c>
      <c r="F631" t="s">
        <v>70</v>
      </c>
      <c r="G631">
        <v>2</v>
      </c>
      <c r="H631">
        <v>625.60299999999995</v>
      </c>
      <c r="I631">
        <v>623.52300000000002</v>
      </c>
      <c r="J631">
        <v>620.33500000000004</v>
      </c>
      <c r="K631">
        <v>617.01800000000003</v>
      </c>
      <c r="L631">
        <v>615.12</v>
      </c>
      <c r="M631" s="233" t="s">
        <v>530</v>
      </c>
      <c r="N631" s="233" t="s">
        <v>531</v>
      </c>
      <c r="O631" s="3" t="s">
        <v>1129</v>
      </c>
    </row>
    <row r="632" spans="1:411">
      <c r="A632">
        <v>261</v>
      </c>
      <c r="B632">
        <v>1392</v>
      </c>
      <c r="C632" t="s">
        <v>72</v>
      </c>
      <c r="D632" t="s">
        <v>496</v>
      </c>
      <c r="E632" s="232" t="s">
        <v>8396</v>
      </c>
      <c r="F632" t="s">
        <v>70</v>
      </c>
      <c r="G632">
        <v>2</v>
      </c>
      <c r="H632">
        <v>624.23800000000006</v>
      </c>
      <c r="I632">
        <v>621.82299999999998</v>
      </c>
      <c r="J632">
        <v>618.06799999999998</v>
      </c>
      <c r="K632">
        <v>614.48599999999999</v>
      </c>
      <c r="L632">
        <v>612.46799999999996</v>
      </c>
      <c r="M632" s="233" t="s">
        <v>530</v>
      </c>
      <c r="N632" s="233" t="s">
        <v>531</v>
      </c>
      <c r="O632" s="3" t="s">
        <v>1130</v>
      </c>
    </row>
    <row r="633" spans="1:411">
      <c r="A633">
        <v>262</v>
      </c>
      <c r="B633">
        <v>1395</v>
      </c>
      <c r="C633" t="s">
        <v>72</v>
      </c>
      <c r="D633" t="s">
        <v>496</v>
      </c>
      <c r="E633" s="232" t="s">
        <v>8633</v>
      </c>
      <c r="F633" t="s">
        <v>71</v>
      </c>
      <c r="G633">
        <v>2</v>
      </c>
      <c r="H633">
        <v>679.45100000000002</v>
      </c>
      <c r="I633">
        <v>676.298</v>
      </c>
      <c r="J633">
        <v>671.90899999999999</v>
      </c>
      <c r="K633">
        <v>667.33100000000002</v>
      </c>
      <c r="L633">
        <v>663.58900000000006</v>
      </c>
      <c r="M633" s="233" t="s">
        <v>530</v>
      </c>
      <c r="N633" s="233" t="s">
        <v>531</v>
      </c>
      <c r="O633" s="3" t="s">
        <v>1131</v>
      </c>
    </row>
    <row r="634" spans="1:411">
      <c r="A634">
        <v>262</v>
      </c>
      <c r="B634">
        <v>1396</v>
      </c>
      <c r="C634" t="s">
        <v>72</v>
      </c>
      <c r="D634" t="s">
        <v>496</v>
      </c>
      <c r="E634" s="232" t="s">
        <v>10246</v>
      </c>
      <c r="F634" t="s">
        <v>71</v>
      </c>
      <c r="G634">
        <v>2</v>
      </c>
      <c r="H634">
        <v>660.82299999999998</v>
      </c>
      <c r="I634">
        <v>658</v>
      </c>
      <c r="J634">
        <v>655.24300000000005</v>
      </c>
      <c r="K634">
        <v>651.99400000000003</v>
      </c>
      <c r="L634">
        <v>649.36500000000001</v>
      </c>
      <c r="M634" s="233" t="s">
        <v>530</v>
      </c>
      <c r="N634" s="233" t="s">
        <v>531</v>
      </c>
      <c r="O634" s="3" t="s">
        <v>1132</v>
      </c>
    </row>
    <row r="635" spans="1:411">
      <c r="A635">
        <v>262</v>
      </c>
      <c r="B635">
        <v>1399</v>
      </c>
      <c r="C635" t="s">
        <v>72</v>
      </c>
      <c r="D635" t="s">
        <v>496</v>
      </c>
      <c r="E635" s="232" t="s">
        <v>540</v>
      </c>
      <c r="F635" t="s">
        <v>71</v>
      </c>
      <c r="G635">
        <v>2</v>
      </c>
      <c r="H635">
        <v>644.73099999999999</v>
      </c>
      <c r="I635">
        <v>643.61099999999999</v>
      </c>
      <c r="J635">
        <v>641.79999999999995</v>
      </c>
      <c r="K635">
        <v>639.154</v>
      </c>
      <c r="L635">
        <v>636.56299999999999</v>
      </c>
      <c r="M635" s="233" t="s">
        <v>530</v>
      </c>
      <c r="N635" s="233" t="s">
        <v>531</v>
      </c>
      <c r="O635" s="3" t="s">
        <v>1133</v>
      </c>
    </row>
    <row r="636" spans="1:411">
      <c r="A636">
        <v>262</v>
      </c>
      <c r="B636">
        <v>1398</v>
      </c>
      <c r="C636" t="s">
        <v>72</v>
      </c>
      <c r="D636" t="s">
        <v>496</v>
      </c>
      <c r="E636" s="232" t="s">
        <v>11776</v>
      </c>
      <c r="F636" t="s">
        <v>71</v>
      </c>
      <c r="G636">
        <v>2</v>
      </c>
      <c r="H636">
        <v>646.78899999999999</v>
      </c>
      <c r="I636">
        <v>644.125</v>
      </c>
      <c r="J636">
        <v>640.65099999999995</v>
      </c>
      <c r="K636">
        <v>637.20000000000005</v>
      </c>
      <c r="L636">
        <v>635.40099999999995</v>
      </c>
      <c r="M636" s="233" t="s">
        <v>530</v>
      </c>
      <c r="N636" s="233" t="s">
        <v>531</v>
      </c>
      <c r="O636" s="3" t="s">
        <v>1134</v>
      </c>
    </row>
    <row r="637" spans="1:411">
      <c r="A637">
        <v>262</v>
      </c>
      <c r="B637">
        <v>1397</v>
      </c>
      <c r="C637" t="s">
        <v>72</v>
      </c>
      <c r="D637" t="s">
        <v>496</v>
      </c>
      <c r="E637" s="232" t="s">
        <v>12421</v>
      </c>
      <c r="F637" t="s">
        <v>71</v>
      </c>
      <c r="G637">
        <v>2</v>
      </c>
      <c r="H637">
        <v>641.51400000000001</v>
      </c>
      <c r="I637">
        <v>639.05799999999999</v>
      </c>
      <c r="J637">
        <v>635.25800000000004</v>
      </c>
      <c r="K637">
        <v>631.61099999999999</v>
      </c>
      <c r="L637">
        <v>629.44000000000005</v>
      </c>
      <c r="M637" s="233" t="s">
        <v>530</v>
      </c>
      <c r="N637" s="233" t="s">
        <v>531</v>
      </c>
      <c r="O637" s="3" t="s">
        <v>1135</v>
      </c>
    </row>
    <row r="638" spans="1:411">
      <c r="A638">
        <v>187</v>
      </c>
      <c r="B638">
        <v>1404</v>
      </c>
      <c r="C638" t="s">
        <v>72</v>
      </c>
      <c r="D638" t="s">
        <v>197</v>
      </c>
      <c r="E638" s="232" t="s">
        <v>9754</v>
      </c>
      <c r="F638" t="s">
        <v>70</v>
      </c>
      <c r="G638">
        <v>3</v>
      </c>
      <c r="H638">
        <v>401.36599999999999</v>
      </c>
      <c r="I638">
        <v>398.536</v>
      </c>
      <c r="J638">
        <v>392.55200000000002</v>
      </c>
      <c r="K638">
        <v>386.54599999999999</v>
      </c>
      <c r="L638">
        <v>378.42700000000002</v>
      </c>
      <c r="M638" s="233" t="s">
        <v>454</v>
      </c>
      <c r="N638" s="233" t="s">
        <v>454</v>
      </c>
      <c r="O638" s="3" t="s">
        <v>1136</v>
      </c>
    </row>
    <row r="639" spans="1:411">
      <c r="A639">
        <v>187</v>
      </c>
      <c r="B639">
        <v>1425</v>
      </c>
      <c r="C639" t="s">
        <v>72</v>
      </c>
      <c r="D639" t="s">
        <v>197</v>
      </c>
      <c r="E639" s="232" t="s">
        <v>8323</v>
      </c>
      <c r="F639" t="s">
        <v>70</v>
      </c>
      <c r="G639">
        <v>3</v>
      </c>
      <c r="H639">
        <v>390.29899999999998</v>
      </c>
      <c r="I639">
        <v>387.67099999999999</v>
      </c>
      <c r="J639">
        <v>381.36700000000002</v>
      </c>
      <c r="K639">
        <v>375.18200000000002</v>
      </c>
      <c r="L639">
        <v>368.38</v>
      </c>
      <c r="M639" s="233" t="s">
        <v>454</v>
      </c>
      <c r="N639" s="233" t="s">
        <v>454</v>
      </c>
      <c r="O639" s="3" t="s">
        <v>1137</v>
      </c>
    </row>
    <row r="640" spans="1:411">
      <c r="A640">
        <v>187</v>
      </c>
      <c r="B640">
        <v>1421</v>
      </c>
      <c r="C640" t="s">
        <v>72</v>
      </c>
      <c r="D640" t="s">
        <v>197</v>
      </c>
      <c r="E640" s="232" t="s">
        <v>12993</v>
      </c>
      <c r="F640" t="s">
        <v>70</v>
      </c>
      <c r="G640">
        <v>3</v>
      </c>
      <c r="H640">
        <v>385.45600000000002</v>
      </c>
      <c r="I640">
        <v>382.63900000000001</v>
      </c>
      <c r="J640">
        <v>376.49200000000002</v>
      </c>
      <c r="K640">
        <v>370.64600000000002</v>
      </c>
      <c r="L640">
        <v>364.39400000000001</v>
      </c>
      <c r="M640" s="233" t="s">
        <v>454</v>
      </c>
      <c r="N640" s="233" t="s">
        <v>454</v>
      </c>
      <c r="O640" s="3" t="s">
        <v>1138</v>
      </c>
    </row>
    <row r="641" spans="1:15">
      <c r="A641">
        <v>186</v>
      </c>
      <c r="B641">
        <v>1410</v>
      </c>
      <c r="C641" t="s">
        <v>72</v>
      </c>
      <c r="D641" t="s">
        <v>197</v>
      </c>
      <c r="E641" s="232" t="s">
        <v>13082</v>
      </c>
      <c r="F641" t="s">
        <v>70</v>
      </c>
      <c r="G641">
        <v>3</v>
      </c>
      <c r="H641">
        <v>393.24700000000001</v>
      </c>
      <c r="I641">
        <v>390.024</v>
      </c>
      <c r="J641">
        <v>383.66500000000002</v>
      </c>
      <c r="K641">
        <v>377.96100000000001</v>
      </c>
      <c r="L641">
        <v>371.65300000000002</v>
      </c>
      <c r="M641" s="233" t="s">
        <v>454</v>
      </c>
      <c r="N641" s="233" t="s">
        <v>454</v>
      </c>
      <c r="O641" s="3" t="s">
        <v>1139</v>
      </c>
    </row>
    <row r="642" spans="1:15">
      <c r="A642">
        <v>187</v>
      </c>
      <c r="B642">
        <v>1423</v>
      </c>
      <c r="C642" t="s">
        <v>72</v>
      </c>
      <c r="D642" t="s">
        <v>197</v>
      </c>
      <c r="E642" s="232" t="s">
        <v>13059</v>
      </c>
      <c r="F642" t="s">
        <v>70</v>
      </c>
      <c r="G642">
        <v>3</v>
      </c>
      <c r="H642">
        <v>383.58600000000001</v>
      </c>
      <c r="I642">
        <v>380.41699999999997</v>
      </c>
      <c r="J642">
        <v>374.178</v>
      </c>
      <c r="K642">
        <v>369.00099999999998</v>
      </c>
      <c r="L642">
        <v>363.11599999999999</v>
      </c>
      <c r="M642" s="233" t="s">
        <v>454</v>
      </c>
      <c r="N642" s="233" t="s">
        <v>454</v>
      </c>
      <c r="O642" s="3" t="s">
        <v>1140</v>
      </c>
    </row>
    <row r="643" spans="1:15">
      <c r="A643">
        <v>187</v>
      </c>
      <c r="B643">
        <v>1422</v>
      </c>
      <c r="C643" t="s">
        <v>72</v>
      </c>
      <c r="D643" t="s">
        <v>197</v>
      </c>
      <c r="E643" s="232" t="s">
        <v>16627</v>
      </c>
      <c r="F643" t="s">
        <v>70</v>
      </c>
      <c r="G643">
        <v>3</v>
      </c>
      <c r="H643">
        <v>382.63900000000001</v>
      </c>
      <c r="I643">
        <v>379.35199999999998</v>
      </c>
      <c r="J643">
        <v>373.572</v>
      </c>
      <c r="K643">
        <v>368.38</v>
      </c>
      <c r="L643">
        <v>362.07600000000002</v>
      </c>
      <c r="M643" s="233" t="s">
        <v>454</v>
      </c>
      <c r="N643" s="233" t="s">
        <v>454</v>
      </c>
      <c r="O643" s="3" t="s">
        <v>1141</v>
      </c>
    </row>
    <row r="644" spans="1:15">
      <c r="A644">
        <v>187</v>
      </c>
      <c r="B644">
        <v>1428</v>
      </c>
      <c r="C644" t="s">
        <v>72</v>
      </c>
      <c r="D644" t="s">
        <v>197</v>
      </c>
      <c r="E644" s="232" t="s">
        <v>13141</v>
      </c>
      <c r="F644" t="s">
        <v>70</v>
      </c>
      <c r="G644">
        <v>3</v>
      </c>
      <c r="H644">
        <v>381.36700000000002</v>
      </c>
      <c r="I644">
        <v>378.87599999999998</v>
      </c>
      <c r="J644">
        <v>372.99700000000001</v>
      </c>
      <c r="K644">
        <v>367.78</v>
      </c>
      <c r="L644">
        <v>361.61799999999999</v>
      </c>
      <c r="M644" s="233" t="s">
        <v>454</v>
      </c>
      <c r="N644" s="233" t="s">
        <v>454</v>
      </c>
      <c r="O644" s="3" t="s">
        <v>1142</v>
      </c>
    </row>
    <row r="645" spans="1:15">
      <c r="A645">
        <v>187</v>
      </c>
      <c r="B645">
        <v>1427</v>
      </c>
      <c r="C645" t="s">
        <v>72</v>
      </c>
      <c r="D645" t="s">
        <v>197</v>
      </c>
      <c r="E645" s="232" t="s">
        <v>13154</v>
      </c>
      <c r="F645" t="s">
        <v>70</v>
      </c>
      <c r="G645">
        <v>3</v>
      </c>
      <c r="H645">
        <v>381.12400000000002</v>
      </c>
      <c r="I645">
        <v>378.42700000000002</v>
      </c>
      <c r="J645">
        <v>372.65199999999999</v>
      </c>
      <c r="K645">
        <v>367.45499999999998</v>
      </c>
      <c r="L645">
        <v>361.02100000000002</v>
      </c>
      <c r="M645" s="233" t="s">
        <v>454</v>
      </c>
      <c r="N645" s="233" t="s">
        <v>454</v>
      </c>
      <c r="O645" s="3" t="s">
        <v>1143</v>
      </c>
    </row>
    <row r="646" spans="1:15">
      <c r="A646">
        <v>186</v>
      </c>
      <c r="B646">
        <v>1417</v>
      </c>
      <c r="C646" t="s">
        <v>72</v>
      </c>
      <c r="D646" t="s">
        <v>197</v>
      </c>
      <c r="E646" s="232" t="s">
        <v>13206</v>
      </c>
      <c r="F646" t="s">
        <v>70</v>
      </c>
      <c r="G646">
        <v>3</v>
      </c>
      <c r="H646">
        <v>389.327</v>
      </c>
      <c r="I646">
        <v>386.53199999999998</v>
      </c>
      <c r="J646">
        <v>380.42200000000003</v>
      </c>
      <c r="K646">
        <v>374.97800000000001</v>
      </c>
      <c r="L646">
        <v>368.87099999999998</v>
      </c>
      <c r="M646" s="233" t="s">
        <v>454</v>
      </c>
      <c r="N646" s="233" t="s">
        <v>454</v>
      </c>
      <c r="O646" s="3" t="s">
        <v>1144</v>
      </c>
    </row>
    <row r="647" spans="1:15">
      <c r="A647">
        <v>187</v>
      </c>
      <c r="B647">
        <v>1418</v>
      </c>
      <c r="C647" t="s">
        <v>72</v>
      </c>
      <c r="D647" t="s">
        <v>197</v>
      </c>
      <c r="E647" s="232" t="s">
        <v>8744</v>
      </c>
      <c r="F647" t="s">
        <v>70</v>
      </c>
      <c r="G647">
        <v>3</v>
      </c>
      <c r="H647">
        <v>380.20400000000001</v>
      </c>
      <c r="I647">
        <v>377.529</v>
      </c>
      <c r="J647">
        <v>371.63099999999997</v>
      </c>
      <c r="K647">
        <v>366.48200000000003</v>
      </c>
      <c r="L647">
        <v>360.226</v>
      </c>
      <c r="M647" s="233" t="s">
        <v>454</v>
      </c>
      <c r="N647" s="233" t="s">
        <v>454</v>
      </c>
      <c r="O647" s="3" t="s">
        <v>1145</v>
      </c>
    </row>
    <row r="648" spans="1:15">
      <c r="A648">
        <v>187</v>
      </c>
      <c r="B648">
        <v>1439</v>
      </c>
      <c r="C648" t="s">
        <v>72</v>
      </c>
      <c r="D648" t="s">
        <v>197</v>
      </c>
      <c r="E648" s="232" t="s">
        <v>13211</v>
      </c>
      <c r="F648" t="s">
        <v>70</v>
      </c>
      <c r="G648">
        <v>3</v>
      </c>
      <c r="H648">
        <v>379.27199999999999</v>
      </c>
      <c r="I648">
        <v>376.49200000000002</v>
      </c>
      <c r="J648">
        <v>371.05099999999999</v>
      </c>
      <c r="K648">
        <v>365.84</v>
      </c>
      <c r="L648">
        <v>359.471</v>
      </c>
      <c r="M648" s="233" t="s">
        <v>454</v>
      </c>
      <c r="N648" s="233" t="s">
        <v>454</v>
      </c>
      <c r="O648" s="3" t="s">
        <v>1146</v>
      </c>
    </row>
    <row r="649" spans="1:15">
      <c r="A649">
        <v>186</v>
      </c>
      <c r="B649">
        <v>1409</v>
      </c>
      <c r="C649" t="s">
        <v>72</v>
      </c>
      <c r="D649" t="s">
        <v>197</v>
      </c>
      <c r="E649" s="232" t="s">
        <v>13292</v>
      </c>
      <c r="F649" t="s">
        <v>70</v>
      </c>
      <c r="G649">
        <v>3</v>
      </c>
      <c r="H649">
        <v>385.26</v>
      </c>
      <c r="I649">
        <v>382.23500000000001</v>
      </c>
      <c r="J649">
        <v>376.87799999999999</v>
      </c>
      <c r="K649">
        <v>371.73899999999998</v>
      </c>
      <c r="L649">
        <v>365.26</v>
      </c>
      <c r="M649" s="233" t="s">
        <v>454</v>
      </c>
      <c r="N649" s="233" t="s">
        <v>454</v>
      </c>
      <c r="O649" s="3" t="s">
        <v>1147</v>
      </c>
    </row>
    <row r="650" spans="1:15">
      <c r="A650">
        <v>187</v>
      </c>
      <c r="B650">
        <v>1415</v>
      </c>
      <c r="C650" t="s">
        <v>72</v>
      </c>
      <c r="D650" t="s">
        <v>197</v>
      </c>
      <c r="E650" s="232" t="s">
        <v>10030</v>
      </c>
      <c r="F650" t="s">
        <v>70</v>
      </c>
      <c r="G650">
        <v>3</v>
      </c>
      <c r="H650">
        <v>376.49200000000002</v>
      </c>
      <c r="I650">
        <v>373.572</v>
      </c>
      <c r="J650">
        <v>368.43299999999999</v>
      </c>
      <c r="K650">
        <v>363.51900000000001</v>
      </c>
      <c r="L650">
        <v>357.28</v>
      </c>
      <c r="M650" s="233" t="s">
        <v>454</v>
      </c>
      <c r="N650" s="233" t="s">
        <v>454</v>
      </c>
      <c r="O650" s="3" t="s">
        <v>1148</v>
      </c>
    </row>
    <row r="651" spans="1:15">
      <c r="A651">
        <v>187</v>
      </c>
      <c r="B651">
        <v>1405</v>
      </c>
      <c r="C651" t="s">
        <v>72</v>
      </c>
      <c r="D651" t="s">
        <v>197</v>
      </c>
      <c r="E651" s="232" t="s">
        <v>13367</v>
      </c>
      <c r="F651" t="s">
        <v>70</v>
      </c>
      <c r="G651">
        <v>3</v>
      </c>
      <c r="H651">
        <v>371.084</v>
      </c>
      <c r="I651">
        <v>368.90100000000001</v>
      </c>
      <c r="J651">
        <v>364.39400000000001</v>
      </c>
      <c r="K651">
        <v>359.25799999999998</v>
      </c>
      <c r="L651">
        <v>352.40699999999998</v>
      </c>
      <c r="M651" s="233" t="s">
        <v>454</v>
      </c>
      <c r="N651" s="233" t="s">
        <v>454</v>
      </c>
      <c r="O651" s="3" t="s">
        <v>1149</v>
      </c>
    </row>
    <row r="652" spans="1:15">
      <c r="A652">
        <v>185</v>
      </c>
      <c r="B652">
        <v>1445</v>
      </c>
      <c r="C652" t="s">
        <v>72</v>
      </c>
      <c r="D652" t="s">
        <v>197</v>
      </c>
      <c r="E652" s="232" t="s">
        <v>9141</v>
      </c>
      <c r="F652" t="s">
        <v>71</v>
      </c>
      <c r="G652">
        <v>3</v>
      </c>
      <c r="H652">
        <v>418.476</v>
      </c>
      <c r="I652">
        <v>415.87400000000002</v>
      </c>
      <c r="J652">
        <v>410.976</v>
      </c>
      <c r="K652">
        <v>405.42099999999999</v>
      </c>
      <c r="L652">
        <v>398.67500000000001</v>
      </c>
      <c r="M652" s="233" t="s">
        <v>454</v>
      </c>
      <c r="N652" s="233" t="s">
        <v>454</v>
      </c>
      <c r="O652" s="3" t="s">
        <v>1150</v>
      </c>
    </row>
    <row r="653" spans="1:15">
      <c r="A653">
        <v>185</v>
      </c>
      <c r="B653">
        <v>1456</v>
      </c>
      <c r="C653" t="s">
        <v>72</v>
      </c>
      <c r="D653" t="s">
        <v>197</v>
      </c>
      <c r="E653" s="232" t="s">
        <v>12632</v>
      </c>
      <c r="F653" t="s">
        <v>71</v>
      </c>
      <c r="G653">
        <v>3</v>
      </c>
      <c r="H653">
        <v>405.57100000000003</v>
      </c>
      <c r="I653">
        <v>403.39400000000001</v>
      </c>
      <c r="J653">
        <v>398.32499999999999</v>
      </c>
      <c r="K653">
        <v>392.88400000000001</v>
      </c>
      <c r="L653">
        <v>387.02100000000002</v>
      </c>
      <c r="M653" s="233" t="s">
        <v>454</v>
      </c>
      <c r="N653" s="233" t="s">
        <v>454</v>
      </c>
      <c r="O653" s="3" t="s">
        <v>1151</v>
      </c>
    </row>
    <row r="654" spans="1:15">
      <c r="A654">
        <v>185</v>
      </c>
      <c r="B654">
        <v>1449</v>
      </c>
      <c r="C654" t="s">
        <v>72</v>
      </c>
      <c r="D654" t="s">
        <v>197</v>
      </c>
      <c r="E654" s="232" t="s">
        <v>12762</v>
      </c>
      <c r="F654" t="s">
        <v>71</v>
      </c>
      <c r="G654">
        <v>3</v>
      </c>
      <c r="H654">
        <v>401.86399999999998</v>
      </c>
      <c r="I654">
        <v>399.60500000000002</v>
      </c>
      <c r="J654">
        <v>394.39600000000002</v>
      </c>
      <c r="K654">
        <v>389.62</v>
      </c>
      <c r="L654">
        <v>383.17099999999999</v>
      </c>
      <c r="M654" s="233" t="s">
        <v>454</v>
      </c>
      <c r="N654" s="233" t="s">
        <v>454</v>
      </c>
      <c r="O654" s="3" t="s">
        <v>1152</v>
      </c>
    </row>
    <row r="655" spans="1:15">
      <c r="A655">
        <v>185</v>
      </c>
      <c r="B655">
        <v>1450</v>
      </c>
      <c r="C655" t="s">
        <v>72</v>
      </c>
      <c r="D655" t="s">
        <v>197</v>
      </c>
      <c r="E655" s="232" t="s">
        <v>8726</v>
      </c>
      <c r="F655" t="s">
        <v>71</v>
      </c>
      <c r="G655">
        <v>3</v>
      </c>
      <c r="H655">
        <v>401.13099999999997</v>
      </c>
      <c r="I655">
        <v>398.4</v>
      </c>
      <c r="J655">
        <v>393.56</v>
      </c>
      <c r="K655">
        <v>388.49400000000003</v>
      </c>
      <c r="L655">
        <v>382.50599999999997</v>
      </c>
      <c r="M655" s="233" t="s">
        <v>454</v>
      </c>
      <c r="N655" s="233" t="s">
        <v>454</v>
      </c>
      <c r="O655" s="3" t="s">
        <v>1153</v>
      </c>
    </row>
    <row r="656" spans="1:15">
      <c r="A656">
        <v>185</v>
      </c>
      <c r="B656">
        <v>1454</v>
      </c>
      <c r="C656" t="s">
        <v>72</v>
      </c>
      <c r="D656" t="s">
        <v>197</v>
      </c>
      <c r="E656" s="232" t="s">
        <v>9652</v>
      </c>
      <c r="F656" t="s">
        <v>71</v>
      </c>
      <c r="G656">
        <v>3</v>
      </c>
      <c r="H656">
        <v>400.33</v>
      </c>
      <c r="I656">
        <v>397.66399999999999</v>
      </c>
      <c r="J656">
        <v>392.78399999999999</v>
      </c>
      <c r="K656">
        <v>387.99400000000003</v>
      </c>
      <c r="L656">
        <v>381.97</v>
      </c>
      <c r="M656" s="233" t="s">
        <v>454</v>
      </c>
      <c r="N656" s="233" t="s">
        <v>454</v>
      </c>
      <c r="O656" s="3" t="s">
        <v>1154</v>
      </c>
    </row>
    <row r="657" spans="1:15">
      <c r="A657">
        <v>185</v>
      </c>
      <c r="B657">
        <v>1460</v>
      </c>
      <c r="C657" t="s">
        <v>72</v>
      </c>
      <c r="D657" t="s">
        <v>197</v>
      </c>
      <c r="E657" s="232" t="s">
        <v>12852</v>
      </c>
      <c r="F657" t="s">
        <v>71</v>
      </c>
      <c r="G657">
        <v>3</v>
      </c>
      <c r="H657">
        <v>399.05</v>
      </c>
      <c r="I657">
        <v>396.613</v>
      </c>
      <c r="J657">
        <v>391.74799999999999</v>
      </c>
      <c r="K657">
        <v>387.24599999999998</v>
      </c>
      <c r="L657">
        <v>381.19799999999998</v>
      </c>
      <c r="M657" s="233" t="s">
        <v>454</v>
      </c>
      <c r="N657" s="233" t="s">
        <v>454</v>
      </c>
      <c r="O657" s="3" t="s">
        <v>1155</v>
      </c>
    </row>
    <row r="658" spans="1:15">
      <c r="A658">
        <v>185</v>
      </c>
      <c r="B658">
        <v>1457</v>
      </c>
      <c r="C658" t="s">
        <v>72</v>
      </c>
      <c r="D658" t="s">
        <v>197</v>
      </c>
      <c r="E658" s="232" t="s">
        <v>8217</v>
      </c>
      <c r="F658" t="s">
        <v>71</v>
      </c>
      <c r="G658">
        <v>3</v>
      </c>
      <c r="H658">
        <v>397.86399999999998</v>
      </c>
      <c r="I658">
        <v>395.33600000000001</v>
      </c>
      <c r="J658">
        <v>390.94600000000003</v>
      </c>
      <c r="K658">
        <v>386.06</v>
      </c>
      <c r="L658">
        <v>380.62299999999999</v>
      </c>
      <c r="M658" s="233" t="s">
        <v>454</v>
      </c>
      <c r="N658" s="233" t="s">
        <v>454</v>
      </c>
      <c r="O658" s="3" t="s">
        <v>1156</v>
      </c>
    </row>
    <row r="659" spans="1:15">
      <c r="A659">
        <v>185</v>
      </c>
      <c r="B659">
        <v>1448</v>
      </c>
      <c r="C659" t="s">
        <v>72</v>
      </c>
      <c r="D659" t="s">
        <v>197</v>
      </c>
      <c r="E659" s="232" t="s">
        <v>12937</v>
      </c>
      <c r="F659" t="s">
        <v>71</v>
      </c>
      <c r="G659">
        <v>3</v>
      </c>
      <c r="H659">
        <v>396.613</v>
      </c>
      <c r="I659">
        <v>394.24599999999998</v>
      </c>
      <c r="J659">
        <v>389.67</v>
      </c>
      <c r="K659">
        <v>384.959</v>
      </c>
      <c r="L659">
        <v>379.43900000000002</v>
      </c>
      <c r="M659" s="233" t="s">
        <v>454</v>
      </c>
      <c r="N659" s="233" t="s">
        <v>454</v>
      </c>
      <c r="O659" s="3" t="s">
        <v>1157</v>
      </c>
    </row>
    <row r="660" spans="1:15">
      <c r="A660">
        <v>185</v>
      </c>
      <c r="B660">
        <v>1452</v>
      </c>
      <c r="C660" t="s">
        <v>72</v>
      </c>
      <c r="D660" t="s">
        <v>197</v>
      </c>
      <c r="E660" s="232" t="s">
        <v>9540</v>
      </c>
      <c r="F660" t="s">
        <v>71</v>
      </c>
      <c r="G660">
        <v>3</v>
      </c>
      <c r="H660">
        <v>396.613</v>
      </c>
      <c r="I660">
        <v>394.24599999999998</v>
      </c>
      <c r="J660">
        <v>389.67</v>
      </c>
      <c r="K660">
        <v>384.959</v>
      </c>
      <c r="L660">
        <v>379.43900000000002</v>
      </c>
      <c r="M660" s="233" t="s">
        <v>454</v>
      </c>
      <c r="N660" s="233" t="s">
        <v>454</v>
      </c>
      <c r="O660" s="3" t="s">
        <v>1158</v>
      </c>
    </row>
    <row r="661" spans="1:15">
      <c r="A661">
        <v>185</v>
      </c>
      <c r="B661">
        <v>1447</v>
      </c>
      <c r="C661" t="s">
        <v>72</v>
      </c>
      <c r="D661" t="s">
        <v>197</v>
      </c>
      <c r="E661" s="232" t="s">
        <v>11380</v>
      </c>
      <c r="F661" t="s">
        <v>71</v>
      </c>
      <c r="G661">
        <v>3</v>
      </c>
      <c r="H661">
        <v>396.238</v>
      </c>
      <c r="I661">
        <v>393.71</v>
      </c>
      <c r="J661">
        <v>389.39499999999998</v>
      </c>
      <c r="K661">
        <v>384.27300000000002</v>
      </c>
      <c r="L661">
        <v>379.23899999999998</v>
      </c>
      <c r="M661" s="233" t="s">
        <v>454</v>
      </c>
      <c r="N661" s="233" t="s">
        <v>454</v>
      </c>
      <c r="O661" s="3" t="s">
        <v>1159</v>
      </c>
    </row>
    <row r="662" spans="1:15">
      <c r="A662">
        <v>185</v>
      </c>
      <c r="B662">
        <v>1451</v>
      </c>
      <c r="C662" t="s">
        <v>72</v>
      </c>
      <c r="D662" t="s">
        <v>197</v>
      </c>
      <c r="E662" s="232" t="s">
        <v>8534</v>
      </c>
      <c r="F662" t="s">
        <v>71</v>
      </c>
      <c r="G662">
        <v>3</v>
      </c>
      <c r="H662">
        <v>393.71</v>
      </c>
      <c r="I662">
        <v>391.58300000000003</v>
      </c>
      <c r="J662">
        <v>387.24599999999998</v>
      </c>
      <c r="K662">
        <v>382.43099999999998</v>
      </c>
      <c r="L662">
        <v>377.01100000000002</v>
      </c>
      <c r="M662" s="233" t="s">
        <v>454</v>
      </c>
      <c r="N662" s="233" t="s">
        <v>454</v>
      </c>
      <c r="O662" s="3" t="s">
        <v>1160</v>
      </c>
    </row>
    <row r="663" spans="1:15">
      <c r="A663">
        <v>185</v>
      </c>
      <c r="B663">
        <v>1453</v>
      </c>
      <c r="C663" t="s">
        <v>72</v>
      </c>
      <c r="D663" t="s">
        <v>197</v>
      </c>
      <c r="E663" s="232" t="s">
        <v>9220</v>
      </c>
      <c r="F663" t="s">
        <v>71</v>
      </c>
      <c r="G663">
        <v>3</v>
      </c>
      <c r="H663">
        <v>393.56</v>
      </c>
      <c r="I663">
        <v>391.53300000000002</v>
      </c>
      <c r="J663">
        <v>387.24599999999998</v>
      </c>
      <c r="K663">
        <v>382.43099999999998</v>
      </c>
      <c r="L663">
        <v>376.93599999999998</v>
      </c>
      <c r="M663" s="233" t="s">
        <v>454</v>
      </c>
      <c r="N663" s="233" t="s">
        <v>454</v>
      </c>
      <c r="O663" s="3" t="s">
        <v>1161</v>
      </c>
    </row>
    <row r="664" spans="1:15">
      <c r="A664">
        <v>292</v>
      </c>
      <c r="B664">
        <v>1466</v>
      </c>
      <c r="C664" t="s">
        <v>72</v>
      </c>
      <c r="D664" t="s">
        <v>497</v>
      </c>
      <c r="E664" s="232" t="s">
        <v>16628</v>
      </c>
      <c r="F664" t="s">
        <v>71</v>
      </c>
      <c r="G664">
        <v>3</v>
      </c>
      <c r="H664">
        <v>235.06</v>
      </c>
      <c r="I664">
        <v>232.43</v>
      </c>
      <c r="J664">
        <v>228.63</v>
      </c>
      <c r="K664">
        <v>225.14</v>
      </c>
      <c r="L664">
        <v>221.75</v>
      </c>
      <c r="M664" s="233" t="s">
        <v>454</v>
      </c>
      <c r="N664" s="233" t="s">
        <v>454</v>
      </c>
      <c r="O664" s="3" t="s">
        <v>1162</v>
      </c>
    </row>
    <row r="665" spans="1:15">
      <c r="A665">
        <v>292</v>
      </c>
      <c r="B665">
        <v>1481</v>
      </c>
      <c r="C665" t="s">
        <v>72</v>
      </c>
      <c r="D665" t="s">
        <v>497</v>
      </c>
      <c r="E665" s="232" t="s">
        <v>16629</v>
      </c>
      <c r="F665" t="s">
        <v>71</v>
      </c>
      <c r="G665">
        <v>3</v>
      </c>
      <c r="H665">
        <v>217.9</v>
      </c>
      <c r="I665">
        <v>213.46</v>
      </c>
      <c r="J665">
        <v>211.64</v>
      </c>
      <c r="K665">
        <v>206.68</v>
      </c>
      <c r="L665">
        <v>198.9</v>
      </c>
      <c r="M665" s="233" t="s">
        <v>454</v>
      </c>
      <c r="N665" s="233" t="s">
        <v>454</v>
      </c>
      <c r="O665" s="3" t="s">
        <v>1163</v>
      </c>
    </row>
    <row r="666" spans="1:15">
      <c r="A666">
        <v>196</v>
      </c>
      <c r="B666">
        <v>1582</v>
      </c>
      <c r="C666" t="s">
        <v>72</v>
      </c>
      <c r="D666" t="s">
        <v>215</v>
      </c>
      <c r="E666" s="232" t="s">
        <v>8461</v>
      </c>
      <c r="F666" t="s">
        <v>70</v>
      </c>
      <c r="G666">
        <v>2</v>
      </c>
      <c r="H666">
        <v>702.62</v>
      </c>
      <c r="I666">
        <v>701.85400000000004</v>
      </c>
      <c r="J666">
        <v>699.25599999999997</v>
      </c>
      <c r="K666">
        <v>697.48500000000001</v>
      </c>
      <c r="L666">
        <v>693.35799999999995</v>
      </c>
      <c r="M666" s="233" t="s">
        <v>530</v>
      </c>
      <c r="N666" s="233" t="s">
        <v>531</v>
      </c>
      <c r="O666" s="3" t="s">
        <v>1164</v>
      </c>
    </row>
    <row r="667" spans="1:15">
      <c r="A667">
        <v>195</v>
      </c>
      <c r="B667">
        <v>1583</v>
      </c>
      <c r="C667" t="s">
        <v>72</v>
      </c>
      <c r="D667" t="s">
        <v>215</v>
      </c>
      <c r="E667" s="232" t="s">
        <v>486</v>
      </c>
      <c r="F667" t="s">
        <v>70</v>
      </c>
      <c r="G667">
        <v>2</v>
      </c>
      <c r="H667">
        <v>685.32</v>
      </c>
      <c r="I667">
        <v>682.78899999999999</v>
      </c>
      <c r="J667">
        <v>677.94799999999998</v>
      </c>
      <c r="K667">
        <v>673.75900000000001</v>
      </c>
      <c r="L667">
        <v>667.52700000000004</v>
      </c>
      <c r="M667" s="233" t="s">
        <v>530</v>
      </c>
      <c r="N667" s="233" t="s">
        <v>531</v>
      </c>
      <c r="O667" s="3" t="s">
        <v>1165</v>
      </c>
    </row>
    <row r="668" spans="1:15">
      <c r="A668">
        <v>195</v>
      </c>
      <c r="B668">
        <v>1629</v>
      </c>
      <c r="C668" t="s">
        <v>72</v>
      </c>
      <c r="D668" t="s">
        <v>215</v>
      </c>
      <c r="E668" s="232" t="s">
        <v>10314</v>
      </c>
      <c r="F668" t="s">
        <v>70</v>
      </c>
      <c r="G668">
        <v>2</v>
      </c>
      <c r="H668">
        <v>679.09100000000001</v>
      </c>
      <c r="I668">
        <v>677.38099999999997</v>
      </c>
      <c r="J668">
        <v>674.38199999999995</v>
      </c>
      <c r="K668">
        <v>670.93799999999999</v>
      </c>
      <c r="L668">
        <v>667.17100000000005</v>
      </c>
      <c r="M668" s="233" t="s">
        <v>530</v>
      </c>
      <c r="N668" s="233" t="s">
        <v>531</v>
      </c>
      <c r="O668" s="3" t="s">
        <v>1166</v>
      </c>
    </row>
    <row r="669" spans="1:15">
      <c r="A669">
        <v>195</v>
      </c>
      <c r="B669">
        <v>1585</v>
      </c>
      <c r="C669" t="s">
        <v>72</v>
      </c>
      <c r="D669" t="s">
        <v>215</v>
      </c>
      <c r="E669" s="232" t="s">
        <v>8633</v>
      </c>
      <c r="F669" t="s">
        <v>70</v>
      </c>
      <c r="G669">
        <v>2</v>
      </c>
      <c r="H669">
        <v>681.77099999999996</v>
      </c>
      <c r="I669">
        <v>678.95699999999999</v>
      </c>
      <c r="J669">
        <v>674.23400000000004</v>
      </c>
      <c r="K669">
        <v>669.77200000000005</v>
      </c>
      <c r="L669">
        <v>663.78700000000003</v>
      </c>
      <c r="M669" s="233" t="s">
        <v>530</v>
      </c>
      <c r="N669" s="233" t="s">
        <v>531</v>
      </c>
      <c r="O669" s="3" t="s">
        <v>1167</v>
      </c>
    </row>
    <row r="670" spans="1:15">
      <c r="A670">
        <v>195</v>
      </c>
      <c r="B670">
        <v>1588</v>
      </c>
      <c r="C670" t="s">
        <v>72</v>
      </c>
      <c r="D670" t="s">
        <v>215</v>
      </c>
      <c r="E670" s="232" t="s">
        <v>10514</v>
      </c>
      <c r="F670" t="s">
        <v>70</v>
      </c>
      <c r="G670">
        <v>2</v>
      </c>
      <c r="H670">
        <v>677.76900000000001</v>
      </c>
      <c r="I670">
        <v>675.27800000000002</v>
      </c>
      <c r="J670">
        <v>669.89700000000005</v>
      </c>
      <c r="K670">
        <v>666.66899999999998</v>
      </c>
      <c r="L670">
        <v>661.67399999999998</v>
      </c>
      <c r="M670" s="233" t="s">
        <v>530</v>
      </c>
      <c r="N670" s="233" t="s">
        <v>531</v>
      </c>
      <c r="O670" s="3" t="s">
        <v>1168</v>
      </c>
    </row>
    <row r="671" spans="1:15">
      <c r="A671">
        <v>195</v>
      </c>
      <c r="B671">
        <v>1584</v>
      </c>
      <c r="C671" t="s">
        <v>72</v>
      </c>
      <c r="D671" t="s">
        <v>215</v>
      </c>
      <c r="E671" s="232" t="s">
        <v>16630</v>
      </c>
      <c r="F671" t="s">
        <v>70</v>
      </c>
      <c r="G671">
        <v>2</v>
      </c>
      <c r="H671">
        <v>674.23400000000004</v>
      </c>
      <c r="I671">
        <v>671.279</v>
      </c>
      <c r="J671">
        <v>667.17100000000005</v>
      </c>
      <c r="K671">
        <v>663.68200000000002</v>
      </c>
      <c r="L671">
        <v>659.55100000000004</v>
      </c>
      <c r="M671" s="233" t="s">
        <v>530</v>
      </c>
      <c r="N671" s="233" t="s">
        <v>531</v>
      </c>
      <c r="O671" s="3" t="s">
        <v>1169</v>
      </c>
    </row>
    <row r="672" spans="1:15">
      <c r="A672">
        <v>195</v>
      </c>
      <c r="B672">
        <v>1586</v>
      </c>
      <c r="C672" t="s">
        <v>72</v>
      </c>
      <c r="D672" t="s">
        <v>215</v>
      </c>
      <c r="E672" s="232" t="s">
        <v>16631</v>
      </c>
      <c r="F672" t="s">
        <v>70</v>
      </c>
      <c r="G672">
        <v>2</v>
      </c>
      <c r="H672">
        <v>673.654</v>
      </c>
      <c r="I672">
        <v>670.47699999999998</v>
      </c>
      <c r="J672">
        <v>666.66899999999998</v>
      </c>
      <c r="K672">
        <v>663.02499999999998</v>
      </c>
      <c r="L672">
        <v>659.34299999999996</v>
      </c>
      <c r="M672" s="233" t="s">
        <v>530</v>
      </c>
      <c r="N672" s="233" t="s">
        <v>531</v>
      </c>
      <c r="O672" s="3" t="s">
        <v>1170</v>
      </c>
    </row>
    <row r="673" spans="1:15">
      <c r="A673">
        <v>195</v>
      </c>
      <c r="B673">
        <v>1594</v>
      </c>
      <c r="C673" t="s">
        <v>72</v>
      </c>
      <c r="D673" t="s">
        <v>215</v>
      </c>
      <c r="E673" s="232" t="s">
        <v>8478</v>
      </c>
      <c r="F673" t="s">
        <v>70</v>
      </c>
      <c r="G673">
        <v>2</v>
      </c>
      <c r="H673">
        <v>672.14800000000002</v>
      </c>
      <c r="I673">
        <v>668.82399999999996</v>
      </c>
      <c r="J673">
        <v>664.33100000000002</v>
      </c>
      <c r="K673">
        <v>660.32500000000005</v>
      </c>
      <c r="L673">
        <v>654.97699999999998</v>
      </c>
      <c r="M673" s="233" t="s">
        <v>530</v>
      </c>
      <c r="N673" s="233" t="s">
        <v>531</v>
      </c>
      <c r="O673" s="3" t="s">
        <v>1171</v>
      </c>
    </row>
    <row r="674" spans="1:15">
      <c r="A674">
        <v>195</v>
      </c>
      <c r="B674">
        <v>1634</v>
      </c>
      <c r="C674" t="s">
        <v>72</v>
      </c>
      <c r="D674" t="s">
        <v>215</v>
      </c>
      <c r="E674" s="232" t="s">
        <v>11043</v>
      </c>
      <c r="F674" t="s">
        <v>70</v>
      </c>
      <c r="G674">
        <v>2</v>
      </c>
      <c r="H674">
        <v>669.04200000000003</v>
      </c>
      <c r="I674">
        <v>666.95100000000002</v>
      </c>
      <c r="J674">
        <v>663.02499999999998</v>
      </c>
      <c r="K674">
        <v>660.45100000000002</v>
      </c>
      <c r="L674">
        <v>656.01499999999999</v>
      </c>
      <c r="M674" s="233" t="s">
        <v>530</v>
      </c>
      <c r="N674" s="233" t="s">
        <v>531</v>
      </c>
      <c r="O674" s="3" t="s">
        <v>1172</v>
      </c>
    </row>
    <row r="675" spans="1:15">
      <c r="A675">
        <v>195</v>
      </c>
      <c r="B675">
        <v>1596</v>
      </c>
      <c r="C675" t="s">
        <v>72</v>
      </c>
      <c r="D675" t="s">
        <v>215</v>
      </c>
      <c r="E675" s="232" t="s">
        <v>10769</v>
      </c>
      <c r="F675" t="s">
        <v>70</v>
      </c>
      <c r="G675">
        <v>2</v>
      </c>
      <c r="H675">
        <v>668.38699999999994</v>
      </c>
      <c r="I675">
        <v>665.255</v>
      </c>
      <c r="J675">
        <v>661.67399999999998</v>
      </c>
      <c r="K675">
        <v>657.98500000000001</v>
      </c>
      <c r="L675">
        <v>652.553</v>
      </c>
      <c r="M675" s="233" t="s">
        <v>530</v>
      </c>
      <c r="N675" s="233" t="s">
        <v>531</v>
      </c>
      <c r="O675" s="3" t="s">
        <v>1173</v>
      </c>
    </row>
    <row r="676" spans="1:15">
      <c r="A676">
        <v>195</v>
      </c>
      <c r="B676">
        <v>1633</v>
      </c>
      <c r="C676" t="s">
        <v>72</v>
      </c>
      <c r="D676" t="s">
        <v>215</v>
      </c>
      <c r="E676" s="232" t="s">
        <v>11222</v>
      </c>
      <c r="F676" t="s">
        <v>70</v>
      </c>
      <c r="G676">
        <v>2</v>
      </c>
      <c r="H676">
        <v>665.06700000000001</v>
      </c>
      <c r="I676">
        <v>663.78700000000003</v>
      </c>
      <c r="J676">
        <v>661.44399999999996</v>
      </c>
      <c r="K676">
        <v>658.86099999999999</v>
      </c>
      <c r="L676">
        <v>654.97699999999998</v>
      </c>
      <c r="M676" s="233" t="s">
        <v>530</v>
      </c>
      <c r="N676" s="233" t="s">
        <v>531</v>
      </c>
      <c r="O676" s="3" t="s">
        <v>1174</v>
      </c>
    </row>
    <row r="677" spans="1:15">
      <c r="A677">
        <v>195</v>
      </c>
      <c r="B677">
        <v>1595</v>
      </c>
      <c r="C677" t="s">
        <v>72</v>
      </c>
      <c r="D677" t="s">
        <v>215</v>
      </c>
      <c r="E677" s="232" t="s">
        <v>11233</v>
      </c>
      <c r="F677" t="s">
        <v>70</v>
      </c>
      <c r="G677">
        <v>2</v>
      </c>
      <c r="H677">
        <v>666.56299999999999</v>
      </c>
      <c r="I677">
        <v>663.78700000000003</v>
      </c>
      <c r="J677">
        <v>660.86900000000003</v>
      </c>
      <c r="K677">
        <v>657.63599999999997</v>
      </c>
      <c r="L677">
        <v>652.74</v>
      </c>
      <c r="M677" s="233" t="s">
        <v>530</v>
      </c>
      <c r="N677" s="233" t="s">
        <v>531</v>
      </c>
      <c r="O677" s="3" t="s">
        <v>1175</v>
      </c>
    </row>
    <row r="678" spans="1:15">
      <c r="A678">
        <v>195</v>
      </c>
      <c r="B678">
        <v>1601</v>
      </c>
      <c r="C678" t="s">
        <v>72</v>
      </c>
      <c r="D678" t="s">
        <v>215</v>
      </c>
      <c r="E678" s="232" t="s">
        <v>11331</v>
      </c>
      <c r="F678" t="s">
        <v>70</v>
      </c>
      <c r="G678">
        <v>2</v>
      </c>
      <c r="H678">
        <v>664.88300000000004</v>
      </c>
      <c r="I678">
        <v>662.63300000000004</v>
      </c>
      <c r="J678">
        <v>659.46900000000005</v>
      </c>
      <c r="K678">
        <v>655.78399999999999</v>
      </c>
      <c r="L678">
        <v>650.346</v>
      </c>
      <c r="M678" s="233" t="s">
        <v>530</v>
      </c>
      <c r="N678" s="233" t="s">
        <v>531</v>
      </c>
      <c r="O678" s="3" t="s">
        <v>1176</v>
      </c>
    </row>
    <row r="679" spans="1:15">
      <c r="A679">
        <v>195</v>
      </c>
      <c r="B679">
        <v>1600</v>
      </c>
      <c r="C679" t="s">
        <v>72</v>
      </c>
      <c r="D679" t="s">
        <v>215</v>
      </c>
      <c r="E679" s="232" t="s">
        <v>551</v>
      </c>
      <c r="F679" t="s">
        <v>70</v>
      </c>
      <c r="G679">
        <v>2</v>
      </c>
      <c r="H679">
        <v>663.91200000000003</v>
      </c>
      <c r="I679">
        <v>662.15</v>
      </c>
      <c r="J679">
        <v>659.34299999999996</v>
      </c>
      <c r="K679">
        <v>656.12099999999998</v>
      </c>
      <c r="L679">
        <v>651.25099999999998</v>
      </c>
      <c r="M679" s="233" t="s">
        <v>530</v>
      </c>
      <c r="N679" s="233" t="s">
        <v>531</v>
      </c>
      <c r="O679" s="3" t="s">
        <v>1177</v>
      </c>
    </row>
    <row r="680" spans="1:15">
      <c r="A680">
        <v>195</v>
      </c>
      <c r="B680">
        <v>1605</v>
      </c>
      <c r="C680" t="s">
        <v>72</v>
      </c>
      <c r="D680" t="s">
        <v>215</v>
      </c>
      <c r="E680" s="232" t="s">
        <v>8316</v>
      </c>
      <c r="F680" t="s">
        <v>70</v>
      </c>
      <c r="G680">
        <v>2</v>
      </c>
      <c r="H680">
        <v>663.02499999999998</v>
      </c>
      <c r="I680">
        <v>661.44399999999996</v>
      </c>
      <c r="J680">
        <v>658.56399999999996</v>
      </c>
      <c r="K680">
        <v>652.28099999999995</v>
      </c>
      <c r="L680">
        <v>645.73</v>
      </c>
      <c r="M680" s="233" t="s">
        <v>530</v>
      </c>
      <c r="N680" s="233" t="s">
        <v>531</v>
      </c>
      <c r="O680" s="3" t="s">
        <v>1178</v>
      </c>
    </row>
    <row r="681" spans="1:15">
      <c r="A681">
        <v>195</v>
      </c>
      <c r="B681">
        <v>1620</v>
      </c>
      <c r="C681" t="s">
        <v>72</v>
      </c>
      <c r="D681" t="s">
        <v>215</v>
      </c>
      <c r="E681" s="232" t="s">
        <v>541</v>
      </c>
      <c r="F681" t="s">
        <v>70</v>
      </c>
      <c r="G681">
        <v>2</v>
      </c>
      <c r="H681">
        <v>663.02499999999998</v>
      </c>
      <c r="I681">
        <v>661.44399999999996</v>
      </c>
      <c r="J681">
        <v>658.56399999999996</v>
      </c>
      <c r="K681">
        <v>652.28099999999995</v>
      </c>
      <c r="L681">
        <v>645.73</v>
      </c>
      <c r="M681" s="233" t="s">
        <v>530</v>
      </c>
      <c r="N681" s="233" t="s">
        <v>531</v>
      </c>
      <c r="O681" s="3" t="s">
        <v>1179</v>
      </c>
    </row>
    <row r="682" spans="1:15">
      <c r="A682">
        <v>195</v>
      </c>
      <c r="B682">
        <v>1621</v>
      </c>
      <c r="C682" t="s">
        <v>72</v>
      </c>
      <c r="D682" t="s">
        <v>215</v>
      </c>
      <c r="E682" s="232" t="s">
        <v>8224</v>
      </c>
      <c r="F682" t="s">
        <v>70</v>
      </c>
      <c r="G682">
        <v>2</v>
      </c>
      <c r="H682">
        <v>663.02499999999998</v>
      </c>
      <c r="I682">
        <v>661.44399999999996</v>
      </c>
      <c r="J682">
        <v>658.56399999999996</v>
      </c>
      <c r="K682">
        <v>652.28099999999995</v>
      </c>
      <c r="L682">
        <v>645.73</v>
      </c>
      <c r="M682" s="233" t="s">
        <v>530</v>
      </c>
      <c r="N682" s="233" t="s">
        <v>531</v>
      </c>
      <c r="O682" s="3" t="s">
        <v>1180</v>
      </c>
    </row>
    <row r="683" spans="1:15">
      <c r="A683">
        <v>195</v>
      </c>
      <c r="B683">
        <v>1615</v>
      </c>
      <c r="C683" t="s">
        <v>72</v>
      </c>
      <c r="D683" t="s">
        <v>215</v>
      </c>
      <c r="E683" s="232" t="s">
        <v>11541</v>
      </c>
      <c r="F683" t="s">
        <v>70</v>
      </c>
      <c r="G683">
        <v>2</v>
      </c>
      <c r="H683">
        <v>662.91899999999998</v>
      </c>
      <c r="I683">
        <v>660.65700000000004</v>
      </c>
      <c r="J683">
        <v>656.99699999999996</v>
      </c>
      <c r="K683">
        <v>652.553</v>
      </c>
      <c r="L683">
        <v>646.59699999999998</v>
      </c>
      <c r="M683" s="233" t="s">
        <v>530</v>
      </c>
      <c r="N683" s="233" t="s">
        <v>531</v>
      </c>
      <c r="O683" s="3" t="s">
        <v>1181</v>
      </c>
    </row>
    <row r="684" spans="1:15">
      <c r="A684">
        <v>195</v>
      </c>
      <c r="B684">
        <v>1602</v>
      </c>
      <c r="C684" t="s">
        <v>72</v>
      </c>
      <c r="D684" t="s">
        <v>215</v>
      </c>
      <c r="E684" s="232" t="s">
        <v>9339</v>
      </c>
      <c r="F684" t="s">
        <v>70</v>
      </c>
      <c r="G684">
        <v>2</v>
      </c>
      <c r="H684">
        <v>661.08799999999997</v>
      </c>
      <c r="I684">
        <v>659.34299999999996</v>
      </c>
      <c r="J684">
        <v>656.01499999999999</v>
      </c>
      <c r="K684">
        <v>652.28099999999995</v>
      </c>
      <c r="L684">
        <v>647.00099999999998</v>
      </c>
      <c r="M684" s="233" t="s">
        <v>530</v>
      </c>
      <c r="N684" s="233" t="s">
        <v>531</v>
      </c>
      <c r="O684" s="3" t="s">
        <v>1182</v>
      </c>
    </row>
    <row r="685" spans="1:15">
      <c r="A685">
        <v>195</v>
      </c>
      <c r="B685">
        <v>1625</v>
      </c>
      <c r="C685" t="s">
        <v>72</v>
      </c>
      <c r="D685" t="s">
        <v>215</v>
      </c>
      <c r="E685" s="232" t="s">
        <v>11657</v>
      </c>
      <c r="F685" t="s">
        <v>70</v>
      </c>
      <c r="G685">
        <v>2</v>
      </c>
      <c r="H685">
        <v>660.57600000000002</v>
      </c>
      <c r="I685">
        <v>658.56399999999996</v>
      </c>
      <c r="J685">
        <v>654.76499999999999</v>
      </c>
      <c r="K685">
        <v>650.346</v>
      </c>
      <c r="L685">
        <v>644.39800000000002</v>
      </c>
      <c r="M685" s="233" t="s">
        <v>530</v>
      </c>
      <c r="N685" s="233" t="s">
        <v>531</v>
      </c>
      <c r="O685" s="3" t="s">
        <v>1183</v>
      </c>
    </row>
    <row r="686" spans="1:15">
      <c r="A686">
        <v>195</v>
      </c>
      <c r="B686">
        <v>1612</v>
      </c>
      <c r="C686" t="s">
        <v>72</v>
      </c>
      <c r="D686" t="s">
        <v>215</v>
      </c>
      <c r="E686" s="232" t="s">
        <v>11676</v>
      </c>
      <c r="F686" t="s">
        <v>70</v>
      </c>
      <c r="G686">
        <v>2</v>
      </c>
      <c r="H686">
        <v>660.2</v>
      </c>
      <c r="I686">
        <v>658.14499999999998</v>
      </c>
      <c r="J686">
        <v>654.32799999999997</v>
      </c>
      <c r="K686">
        <v>650.01800000000003</v>
      </c>
      <c r="L686">
        <v>644.03800000000001</v>
      </c>
      <c r="M686" s="233" t="s">
        <v>530</v>
      </c>
      <c r="N686" s="233" t="s">
        <v>531</v>
      </c>
      <c r="O686" s="3" t="s">
        <v>1184</v>
      </c>
    </row>
    <row r="687" spans="1:15">
      <c r="A687">
        <v>195</v>
      </c>
      <c r="B687">
        <v>1622</v>
      </c>
      <c r="C687" t="s">
        <v>72</v>
      </c>
      <c r="D687" t="s">
        <v>215</v>
      </c>
      <c r="E687" s="232" t="s">
        <v>8742</v>
      </c>
      <c r="F687" t="s">
        <v>70</v>
      </c>
      <c r="G687">
        <v>2</v>
      </c>
      <c r="H687">
        <v>656.62199999999996</v>
      </c>
      <c r="I687">
        <v>656.32799999999997</v>
      </c>
      <c r="J687">
        <v>653.56899999999996</v>
      </c>
      <c r="K687">
        <v>647.23199999999997</v>
      </c>
      <c r="L687">
        <v>640.83199999999999</v>
      </c>
      <c r="M687" s="233" t="s">
        <v>530</v>
      </c>
      <c r="N687" s="233" t="s">
        <v>531</v>
      </c>
      <c r="O687" s="3" t="s">
        <v>1185</v>
      </c>
    </row>
    <row r="688" spans="1:15">
      <c r="A688">
        <v>195</v>
      </c>
      <c r="B688">
        <v>1608</v>
      </c>
      <c r="C688" t="s">
        <v>72</v>
      </c>
      <c r="D688" t="s">
        <v>215</v>
      </c>
      <c r="E688" s="232" t="s">
        <v>11782</v>
      </c>
      <c r="F688" t="s">
        <v>70</v>
      </c>
      <c r="G688">
        <v>2</v>
      </c>
      <c r="H688">
        <v>658.56399999999996</v>
      </c>
      <c r="I688">
        <v>656.32799999999997</v>
      </c>
      <c r="J688">
        <v>652.74</v>
      </c>
      <c r="K688">
        <v>648.26900000000001</v>
      </c>
      <c r="L688">
        <v>642.29600000000005</v>
      </c>
      <c r="M688" s="233" t="s">
        <v>530</v>
      </c>
      <c r="N688" s="233" t="s">
        <v>531</v>
      </c>
      <c r="O688" s="3" t="s">
        <v>1186</v>
      </c>
    </row>
    <row r="689" spans="1:15">
      <c r="A689">
        <v>195</v>
      </c>
      <c r="B689">
        <v>1606</v>
      </c>
      <c r="C689" t="s">
        <v>72</v>
      </c>
      <c r="D689" t="s">
        <v>215</v>
      </c>
      <c r="E689" s="232" t="s">
        <v>11954</v>
      </c>
      <c r="F689" t="s">
        <v>70</v>
      </c>
      <c r="G689">
        <v>2</v>
      </c>
      <c r="H689">
        <v>656.32799999999997</v>
      </c>
      <c r="I689">
        <v>654.32799999999997</v>
      </c>
      <c r="J689">
        <v>650.57799999999997</v>
      </c>
      <c r="K689">
        <v>646.28499999999997</v>
      </c>
      <c r="L689">
        <v>640.29600000000005</v>
      </c>
      <c r="M689" s="233" t="s">
        <v>530</v>
      </c>
      <c r="N689" s="233" t="s">
        <v>531</v>
      </c>
      <c r="O689" s="3" t="s">
        <v>1187</v>
      </c>
    </row>
    <row r="690" spans="1:15">
      <c r="A690">
        <v>195</v>
      </c>
      <c r="B690">
        <v>1623</v>
      </c>
      <c r="C690" t="s">
        <v>72</v>
      </c>
      <c r="D690" t="s">
        <v>215</v>
      </c>
      <c r="E690" s="232" t="s">
        <v>12277</v>
      </c>
      <c r="F690" t="s">
        <v>70</v>
      </c>
      <c r="G690">
        <v>2</v>
      </c>
      <c r="H690">
        <v>651.35699999999997</v>
      </c>
      <c r="I690">
        <v>649.45600000000002</v>
      </c>
      <c r="J690">
        <v>645.41700000000003</v>
      </c>
      <c r="K690">
        <v>641.06299999999999</v>
      </c>
      <c r="L690">
        <v>636.12400000000002</v>
      </c>
      <c r="M690" s="233" t="s">
        <v>530</v>
      </c>
      <c r="N690" s="233" t="s">
        <v>531</v>
      </c>
      <c r="O690" s="3" t="s">
        <v>1188</v>
      </c>
    </row>
    <row r="691" spans="1:15">
      <c r="A691">
        <v>195</v>
      </c>
      <c r="B691">
        <v>1597</v>
      </c>
      <c r="C691" t="s">
        <v>72</v>
      </c>
      <c r="D691" t="s">
        <v>215</v>
      </c>
      <c r="E691" s="232" t="s">
        <v>9649</v>
      </c>
      <c r="F691" t="s">
        <v>70</v>
      </c>
      <c r="G691">
        <v>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s="233" t="s">
        <v>530</v>
      </c>
      <c r="N691" s="233" t="s">
        <v>531</v>
      </c>
      <c r="O691" s="3" t="s">
        <v>2623</v>
      </c>
    </row>
    <row r="692" spans="1:15">
      <c r="A692">
        <v>193</v>
      </c>
      <c r="B692">
        <v>1660</v>
      </c>
      <c r="C692" t="s">
        <v>72</v>
      </c>
      <c r="D692" t="s">
        <v>215</v>
      </c>
      <c r="E692" s="232" t="s">
        <v>8214</v>
      </c>
      <c r="F692" t="s">
        <v>71</v>
      </c>
      <c r="G692">
        <v>2</v>
      </c>
      <c r="H692">
        <v>684.13</v>
      </c>
      <c r="I692">
        <v>680.97699999999998</v>
      </c>
      <c r="J692">
        <v>675.68799999999999</v>
      </c>
      <c r="K692">
        <v>670.22299999999996</v>
      </c>
      <c r="L692">
        <v>664.12300000000005</v>
      </c>
      <c r="M692" s="233" t="s">
        <v>530</v>
      </c>
      <c r="N692" s="233" t="s">
        <v>531</v>
      </c>
      <c r="O692" s="3" t="s">
        <v>1189</v>
      </c>
    </row>
    <row r="693" spans="1:15">
      <c r="A693">
        <v>193</v>
      </c>
      <c r="B693">
        <v>1657</v>
      </c>
      <c r="C693" t="s">
        <v>72</v>
      </c>
      <c r="D693" t="s">
        <v>215</v>
      </c>
      <c r="E693" s="232" t="s">
        <v>489</v>
      </c>
      <c r="F693" t="s">
        <v>71</v>
      </c>
      <c r="G693">
        <v>2</v>
      </c>
      <c r="H693">
        <v>680.12099999999998</v>
      </c>
      <c r="I693">
        <v>678.60500000000002</v>
      </c>
      <c r="J693">
        <v>673.81600000000003</v>
      </c>
      <c r="K693">
        <v>669.74199999999996</v>
      </c>
      <c r="L693">
        <v>664.66800000000001</v>
      </c>
      <c r="M693" s="233" t="s">
        <v>530</v>
      </c>
      <c r="N693" s="233" t="s">
        <v>531</v>
      </c>
      <c r="O693" s="3" t="s">
        <v>1190</v>
      </c>
    </row>
    <row r="694" spans="1:15">
      <c r="A694">
        <v>193</v>
      </c>
      <c r="B694">
        <v>1662</v>
      </c>
      <c r="C694" t="s">
        <v>72</v>
      </c>
      <c r="D694" t="s">
        <v>215</v>
      </c>
      <c r="E694" s="232" t="s">
        <v>8216</v>
      </c>
      <c r="F694" t="s">
        <v>71</v>
      </c>
      <c r="G694">
        <v>2</v>
      </c>
      <c r="H694">
        <v>674.00400000000002</v>
      </c>
      <c r="I694">
        <v>671.96</v>
      </c>
      <c r="J694">
        <v>668.74099999999999</v>
      </c>
      <c r="K694">
        <v>664.12300000000005</v>
      </c>
      <c r="L694">
        <v>658.83799999999997</v>
      </c>
      <c r="M694" s="233" t="s">
        <v>530</v>
      </c>
      <c r="N694" s="233" t="s">
        <v>531</v>
      </c>
      <c r="O694" s="3" t="s">
        <v>1191</v>
      </c>
    </row>
    <row r="695" spans="1:15">
      <c r="A695">
        <v>193</v>
      </c>
      <c r="B695">
        <v>1685</v>
      </c>
      <c r="C695" t="s">
        <v>72</v>
      </c>
      <c r="D695" t="s">
        <v>215</v>
      </c>
      <c r="E695" s="232" t="s">
        <v>11132</v>
      </c>
      <c r="F695" t="s">
        <v>71</v>
      </c>
      <c r="G695">
        <v>2</v>
      </c>
      <c r="H695">
        <v>668.91300000000001</v>
      </c>
      <c r="I695">
        <v>666.053</v>
      </c>
      <c r="J695">
        <v>663.09299999999996</v>
      </c>
      <c r="K695">
        <v>659.53700000000003</v>
      </c>
      <c r="L695">
        <v>654.68299999999999</v>
      </c>
      <c r="M695" s="233" t="s">
        <v>530</v>
      </c>
      <c r="N695" s="233" t="s">
        <v>531</v>
      </c>
      <c r="O695" s="3" t="s">
        <v>1192</v>
      </c>
    </row>
    <row r="696" spans="1:15">
      <c r="A696">
        <v>193</v>
      </c>
      <c r="B696">
        <v>1669</v>
      </c>
      <c r="C696" t="s">
        <v>72</v>
      </c>
      <c r="D696" t="s">
        <v>215</v>
      </c>
      <c r="E696" s="232" t="s">
        <v>8217</v>
      </c>
      <c r="F696" t="s">
        <v>71</v>
      </c>
      <c r="G696">
        <v>2</v>
      </c>
      <c r="H696">
        <v>669.33</v>
      </c>
      <c r="I696">
        <v>666.36500000000001</v>
      </c>
      <c r="J696">
        <v>662.90599999999995</v>
      </c>
      <c r="K696">
        <v>659.02499999999998</v>
      </c>
      <c r="L696">
        <v>653.90800000000002</v>
      </c>
      <c r="M696" s="233" t="s">
        <v>530</v>
      </c>
      <c r="N696" s="233" t="s">
        <v>531</v>
      </c>
      <c r="O696" s="3" t="s">
        <v>1193</v>
      </c>
    </row>
    <row r="697" spans="1:15">
      <c r="A697">
        <v>193</v>
      </c>
      <c r="B697">
        <v>1680</v>
      </c>
      <c r="C697" t="s">
        <v>72</v>
      </c>
      <c r="D697" t="s">
        <v>215</v>
      </c>
      <c r="E697" s="232" t="s">
        <v>8877</v>
      </c>
      <c r="F697" t="s">
        <v>71</v>
      </c>
      <c r="G697">
        <v>2</v>
      </c>
      <c r="H697">
        <v>668.74099999999999</v>
      </c>
      <c r="I697">
        <v>665.673</v>
      </c>
      <c r="J697">
        <v>662.202</v>
      </c>
      <c r="K697">
        <v>658.4</v>
      </c>
      <c r="L697">
        <v>653.178</v>
      </c>
      <c r="M697" s="233" t="s">
        <v>530</v>
      </c>
      <c r="N697" s="233" t="s">
        <v>531</v>
      </c>
      <c r="O697" s="3" t="s">
        <v>1194</v>
      </c>
    </row>
    <row r="698" spans="1:15">
      <c r="A698">
        <v>193</v>
      </c>
      <c r="B698">
        <v>1655</v>
      </c>
      <c r="C698" t="s">
        <v>72</v>
      </c>
      <c r="D698" t="s">
        <v>215</v>
      </c>
      <c r="E698" s="232" t="s">
        <v>8337</v>
      </c>
      <c r="F698" t="s">
        <v>71</v>
      </c>
      <c r="G698">
        <v>2</v>
      </c>
      <c r="H698">
        <v>664.60299999999995</v>
      </c>
      <c r="I698">
        <v>663.19899999999996</v>
      </c>
      <c r="J698">
        <v>660.15</v>
      </c>
      <c r="K698">
        <v>656.50300000000004</v>
      </c>
      <c r="L698">
        <v>651.52200000000005</v>
      </c>
      <c r="M698" s="233" t="s">
        <v>530</v>
      </c>
      <c r="N698" s="233" t="s">
        <v>531</v>
      </c>
      <c r="O698" s="3" t="s">
        <v>1195</v>
      </c>
    </row>
    <row r="699" spans="1:15">
      <c r="A699">
        <v>193</v>
      </c>
      <c r="B699">
        <v>1682</v>
      </c>
      <c r="C699" t="s">
        <v>72</v>
      </c>
      <c r="D699" t="s">
        <v>215</v>
      </c>
      <c r="E699" s="232" t="s">
        <v>11323</v>
      </c>
      <c r="F699" t="s">
        <v>71</v>
      </c>
      <c r="G699">
        <v>2</v>
      </c>
      <c r="H699">
        <v>664.01700000000005</v>
      </c>
      <c r="I699">
        <v>662.53800000000001</v>
      </c>
      <c r="J699">
        <v>659.72400000000005</v>
      </c>
      <c r="K699">
        <v>653.90800000000002</v>
      </c>
      <c r="L699">
        <v>647.20299999999997</v>
      </c>
      <c r="M699" s="233" t="s">
        <v>530</v>
      </c>
      <c r="N699" s="233" t="s">
        <v>531</v>
      </c>
      <c r="O699" s="3" t="s">
        <v>1196</v>
      </c>
    </row>
    <row r="700" spans="1:15">
      <c r="A700">
        <v>193</v>
      </c>
      <c r="B700">
        <v>1677</v>
      </c>
      <c r="C700" t="s">
        <v>72</v>
      </c>
      <c r="D700" t="s">
        <v>215</v>
      </c>
      <c r="E700" s="232" t="s">
        <v>8107</v>
      </c>
      <c r="F700" t="s">
        <v>71</v>
      </c>
      <c r="G700">
        <v>2</v>
      </c>
      <c r="H700">
        <v>664.81200000000001</v>
      </c>
      <c r="I700">
        <v>662.726</v>
      </c>
      <c r="J700">
        <v>659.20100000000002</v>
      </c>
      <c r="K700">
        <v>655.29999999999995</v>
      </c>
      <c r="L700">
        <v>650.08799999999997</v>
      </c>
      <c r="M700" s="233" t="s">
        <v>530</v>
      </c>
      <c r="N700" s="233" t="s">
        <v>531</v>
      </c>
      <c r="O700" s="3" t="s">
        <v>1197</v>
      </c>
    </row>
    <row r="701" spans="1:15">
      <c r="A701">
        <v>193</v>
      </c>
      <c r="B701">
        <v>1672</v>
      </c>
      <c r="C701" t="s">
        <v>72</v>
      </c>
      <c r="D701" t="s">
        <v>215</v>
      </c>
      <c r="E701" s="232" t="s">
        <v>561</v>
      </c>
      <c r="F701" t="s">
        <v>71</v>
      </c>
      <c r="G701">
        <v>2</v>
      </c>
      <c r="H701">
        <v>664.60299999999995</v>
      </c>
      <c r="I701">
        <v>662.43299999999999</v>
      </c>
      <c r="J701">
        <v>658.83799999999997</v>
      </c>
      <c r="K701">
        <v>655.00699999999995</v>
      </c>
      <c r="L701">
        <v>649.85799999999995</v>
      </c>
      <c r="M701" s="233" t="s">
        <v>530</v>
      </c>
      <c r="N701" s="233" t="s">
        <v>531</v>
      </c>
      <c r="O701" s="3" t="s">
        <v>1198</v>
      </c>
    </row>
    <row r="702" spans="1:15">
      <c r="A702">
        <v>193</v>
      </c>
      <c r="B702">
        <v>1683</v>
      </c>
      <c r="C702" t="s">
        <v>72</v>
      </c>
      <c r="D702" t="s">
        <v>215</v>
      </c>
      <c r="E702" s="232" t="s">
        <v>8883</v>
      </c>
      <c r="F702" t="s">
        <v>71</v>
      </c>
      <c r="G702">
        <v>2</v>
      </c>
      <c r="H702">
        <v>663.49199999999996</v>
      </c>
      <c r="I702">
        <v>661.22900000000004</v>
      </c>
      <c r="J702">
        <v>657.61900000000003</v>
      </c>
      <c r="K702">
        <v>653.90800000000002</v>
      </c>
      <c r="L702">
        <v>648.96299999999997</v>
      </c>
      <c r="M702" s="233" t="s">
        <v>530</v>
      </c>
      <c r="N702" s="233" t="s">
        <v>531</v>
      </c>
      <c r="O702" s="3" t="s">
        <v>1199</v>
      </c>
    </row>
    <row r="703" spans="1:15">
      <c r="A703">
        <v>193</v>
      </c>
      <c r="B703">
        <v>1687</v>
      </c>
      <c r="C703" t="s">
        <v>72</v>
      </c>
      <c r="D703" t="s">
        <v>215</v>
      </c>
      <c r="E703" s="232" t="s">
        <v>16632</v>
      </c>
      <c r="F703" t="s">
        <v>71</v>
      </c>
      <c r="G703">
        <v>2</v>
      </c>
      <c r="H703">
        <v>661.54100000000005</v>
      </c>
      <c r="I703">
        <v>660.13</v>
      </c>
      <c r="J703">
        <v>657.18100000000004</v>
      </c>
      <c r="K703">
        <v>651.52200000000005</v>
      </c>
      <c r="L703">
        <v>645.50800000000004</v>
      </c>
      <c r="M703" s="233" t="s">
        <v>530</v>
      </c>
      <c r="N703" s="233" t="s">
        <v>531</v>
      </c>
      <c r="O703" s="3" t="s">
        <v>1200</v>
      </c>
    </row>
    <row r="704" spans="1:15">
      <c r="A704">
        <v>193</v>
      </c>
      <c r="B704">
        <v>1671</v>
      </c>
      <c r="C704" t="s">
        <v>72</v>
      </c>
      <c r="D704" t="s">
        <v>215</v>
      </c>
      <c r="E704" s="232" t="s">
        <v>8863</v>
      </c>
      <c r="F704" t="s">
        <v>71</v>
      </c>
      <c r="G704">
        <v>2</v>
      </c>
      <c r="H704">
        <v>660.65</v>
      </c>
      <c r="I704">
        <v>658.50599999999997</v>
      </c>
      <c r="J704">
        <v>655.00699999999995</v>
      </c>
      <c r="K704">
        <v>651.52200000000005</v>
      </c>
      <c r="L704">
        <v>646.54600000000005</v>
      </c>
      <c r="M704" s="233" t="s">
        <v>530</v>
      </c>
      <c r="N704" s="233" t="s">
        <v>531</v>
      </c>
      <c r="O704" s="3" t="s">
        <v>1201</v>
      </c>
    </row>
    <row r="705" spans="1:15">
      <c r="A705">
        <v>193</v>
      </c>
      <c r="B705">
        <v>1678</v>
      </c>
      <c r="C705" t="s">
        <v>72</v>
      </c>
      <c r="D705" t="s">
        <v>215</v>
      </c>
      <c r="E705" s="232" t="s">
        <v>8753</v>
      </c>
      <c r="F705" t="s">
        <v>71</v>
      </c>
      <c r="G705">
        <v>2</v>
      </c>
      <c r="H705">
        <v>660.65</v>
      </c>
      <c r="I705">
        <v>658.50599999999997</v>
      </c>
      <c r="J705">
        <v>655.00699999999995</v>
      </c>
      <c r="K705">
        <v>651.52200000000005</v>
      </c>
      <c r="L705">
        <v>646.54600000000005</v>
      </c>
      <c r="M705" s="233" t="s">
        <v>530</v>
      </c>
      <c r="N705" s="233" t="s">
        <v>531</v>
      </c>
      <c r="O705" s="3" t="s">
        <v>1202</v>
      </c>
    </row>
    <row r="706" spans="1:15">
      <c r="A706">
        <v>193</v>
      </c>
      <c r="B706">
        <v>1670</v>
      </c>
      <c r="C706" t="s">
        <v>72</v>
      </c>
      <c r="D706" t="s">
        <v>215</v>
      </c>
      <c r="E706" s="232" t="s">
        <v>8618</v>
      </c>
      <c r="F706" t="s">
        <v>71</v>
      </c>
      <c r="G706">
        <v>2</v>
      </c>
      <c r="H706">
        <v>658.71299999999997</v>
      </c>
      <c r="I706">
        <v>656.71</v>
      </c>
      <c r="J706">
        <v>653.072</v>
      </c>
      <c r="K706">
        <v>649.75199999999995</v>
      </c>
      <c r="L706">
        <v>644.98800000000006</v>
      </c>
      <c r="M706" s="233" t="s">
        <v>530</v>
      </c>
      <c r="N706" s="233" t="s">
        <v>531</v>
      </c>
      <c r="O706" s="3" t="s">
        <v>1203</v>
      </c>
    </row>
    <row r="707" spans="1:15">
      <c r="A707">
        <v>193</v>
      </c>
      <c r="B707">
        <v>1673</v>
      </c>
      <c r="C707" t="s">
        <v>72</v>
      </c>
      <c r="D707" t="s">
        <v>215</v>
      </c>
      <c r="E707" s="232" t="s">
        <v>8797</v>
      </c>
      <c r="F707" t="s">
        <v>71</v>
      </c>
      <c r="G707">
        <v>2</v>
      </c>
      <c r="H707">
        <v>656.50300000000004</v>
      </c>
      <c r="I707">
        <v>654.39</v>
      </c>
      <c r="J707">
        <v>651.05999999999995</v>
      </c>
      <c r="K707">
        <v>647.62099999999998</v>
      </c>
      <c r="L707">
        <v>643.19500000000005</v>
      </c>
      <c r="M707" s="233" t="s">
        <v>530</v>
      </c>
      <c r="N707" s="233" t="s">
        <v>531</v>
      </c>
      <c r="O707" s="3" t="s">
        <v>1204</v>
      </c>
    </row>
    <row r="708" spans="1:15">
      <c r="A708">
        <v>197</v>
      </c>
      <c r="B708">
        <v>1636</v>
      </c>
      <c r="C708" t="s">
        <v>72</v>
      </c>
      <c r="D708" t="s">
        <v>215</v>
      </c>
      <c r="E708" s="232" t="s">
        <v>13468</v>
      </c>
      <c r="F708" t="s">
        <v>71</v>
      </c>
      <c r="G708">
        <v>2</v>
      </c>
      <c r="H708">
        <v>665.12</v>
      </c>
      <c r="I708">
        <v>662.73500000000001</v>
      </c>
      <c r="J708">
        <v>659.15300000000002</v>
      </c>
      <c r="K708">
        <v>655.24300000000005</v>
      </c>
      <c r="L708">
        <v>649.61199999999997</v>
      </c>
      <c r="M708" s="233" t="s">
        <v>530</v>
      </c>
      <c r="N708" s="233" t="s">
        <v>531</v>
      </c>
      <c r="O708" s="3" t="s">
        <v>1205</v>
      </c>
    </row>
    <row r="709" spans="1:15">
      <c r="A709">
        <v>197</v>
      </c>
      <c r="B709">
        <v>1652</v>
      </c>
      <c r="C709" t="s">
        <v>72</v>
      </c>
      <c r="D709" t="s">
        <v>215</v>
      </c>
      <c r="E709" s="232" t="s">
        <v>11776</v>
      </c>
      <c r="F709" t="s">
        <v>71</v>
      </c>
      <c r="G709">
        <v>2</v>
      </c>
      <c r="H709">
        <v>660.596</v>
      </c>
      <c r="I709">
        <v>659.91600000000005</v>
      </c>
      <c r="J709">
        <v>658.39099999999996</v>
      </c>
      <c r="K709">
        <v>657.02700000000004</v>
      </c>
      <c r="L709">
        <v>655.24300000000005</v>
      </c>
      <c r="M709" s="233" t="s">
        <v>530</v>
      </c>
      <c r="N709" s="233" t="s">
        <v>531</v>
      </c>
      <c r="O709" s="3" t="s">
        <v>1206</v>
      </c>
    </row>
    <row r="710" spans="1:15">
      <c r="A710">
        <v>197</v>
      </c>
      <c r="B710">
        <v>1639</v>
      </c>
      <c r="C710" t="s">
        <v>72</v>
      </c>
      <c r="D710" t="s">
        <v>215</v>
      </c>
      <c r="E710" s="232" t="s">
        <v>13517</v>
      </c>
      <c r="F710" t="s">
        <v>71</v>
      </c>
      <c r="G710">
        <v>2</v>
      </c>
      <c r="H710">
        <v>662.81899999999996</v>
      </c>
      <c r="I710">
        <v>660.76400000000001</v>
      </c>
      <c r="J710">
        <v>657.27700000000004</v>
      </c>
      <c r="K710">
        <v>653.327</v>
      </c>
      <c r="L710">
        <v>647.43499999999995</v>
      </c>
      <c r="M710" s="233" t="s">
        <v>530</v>
      </c>
      <c r="N710" s="233" t="s">
        <v>531</v>
      </c>
      <c r="O710" s="3" t="s">
        <v>1207</v>
      </c>
    </row>
    <row r="711" spans="1:15">
      <c r="A711">
        <v>197</v>
      </c>
      <c r="B711">
        <v>1635</v>
      </c>
      <c r="C711" t="s">
        <v>72</v>
      </c>
      <c r="D711" t="s">
        <v>215</v>
      </c>
      <c r="E711" s="232" t="s">
        <v>12645</v>
      </c>
      <c r="F711" t="s">
        <v>71</v>
      </c>
      <c r="G711">
        <v>2</v>
      </c>
      <c r="H711">
        <v>658.04700000000003</v>
      </c>
      <c r="I711">
        <v>656.25699999999995</v>
      </c>
      <c r="J711">
        <v>652.70799999999997</v>
      </c>
      <c r="K711">
        <v>647.52</v>
      </c>
      <c r="L711">
        <v>642.99699999999996</v>
      </c>
      <c r="M711" s="233" t="s">
        <v>530</v>
      </c>
      <c r="N711" s="233" t="s">
        <v>531</v>
      </c>
      <c r="O711" s="3" t="s">
        <v>1208</v>
      </c>
    </row>
    <row r="712" spans="1:15">
      <c r="A712">
        <v>197</v>
      </c>
      <c r="B712">
        <v>1641</v>
      </c>
      <c r="C712" t="s">
        <v>72</v>
      </c>
      <c r="D712" t="s">
        <v>215</v>
      </c>
      <c r="E712" s="232" t="s">
        <v>13673</v>
      </c>
      <c r="F712" t="s">
        <v>71</v>
      </c>
      <c r="G712">
        <v>2</v>
      </c>
      <c r="H712">
        <v>657.62800000000004</v>
      </c>
      <c r="I712">
        <v>656.00699999999995</v>
      </c>
      <c r="J712">
        <v>652.20799999999997</v>
      </c>
      <c r="K712">
        <v>647.43499999999995</v>
      </c>
      <c r="L712">
        <v>642.74699999999996</v>
      </c>
      <c r="M712" s="233" t="s">
        <v>530</v>
      </c>
      <c r="N712" s="233" t="s">
        <v>531</v>
      </c>
      <c r="O712" s="3" t="s">
        <v>1209</v>
      </c>
    </row>
    <row r="713" spans="1:15">
      <c r="A713">
        <v>197</v>
      </c>
      <c r="B713">
        <v>1642</v>
      </c>
      <c r="C713" t="s">
        <v>72</v>
      </c>
      <c r="D713" t="s">
        <v>215</v>
      </c>
      <c r="E713" s="232" t="s">
        <v>10846</v>
      </c>
      <c r="F713" t="s">
        <v>71</v>
      </c>
      <c r="G713">
        <v>2</v>
      </c>
      <c r="H713">
        <v>655.49300000000005</v>
      </c>
      <c r="I713">
        <v>654.46799999999996</v>
      </c>
      <c r="J713">
        <v>652.20799999999997</v>
      </c>
      <c r="K713">
        <v>649.61199999999997</v>
      </c>
      <c r="L713">
        <v>646.38099999999997</v>
      </c>
      <c r="M713" s="233" t="s">
        <v>530</v>
      </c>
      <c r="N713" s="233" t="s">
        <v>531</v>
      </c>
      <c r="O713" s="3" t="s">
        <v>1210</v>
      </c>
    </row>
    <row r="714" spans="1:15">
      <c r="A714">
        <v>197</v>
      </c>
      <c r="B714">
        <v>1643</v>
      </c>
      <c r="C714" t="s">
        <v>72</v>
      </c>
      <c r="D714" t="s">
        <v>215</v>
      </c>
      <c r="E714" s="232" t="s">
        <v>13760</v>
      </c>
      <c r="F714" t="s">
        <v>71</v>
      </c>
      <c r="G714">
        <v>2</v>
      </c>
      <c r="H714">
        <v>654.02800000000002</v>
      </c>
      <c r="I714">
        <v>652.20799999999997</v>
      </c>
      <c r="J714">
        <v>650.13800000000003</v>
      </c>
      <c r="K714">
        <v>647.35</v>
      </c>
      <c r="L714">
        <v>644.28300000000002</v>
      </c>
      <c r="M714" s="233" t="s">
        <v>530</v>
      </c>
      <c r="N714" s="233" t="s">
        <v>531</v>
      </c>
      <c r="O714" s="3" t="s">
        <v>1211</v>
      </c>
    </row>
    <row r="715" spans="1:15">
      <c r="A715">
        <v>197</v>
      </c>
      <c r="B715">
        <v>1649</v>
      </c>
      <c r="C715" t="s">
        <v>72</v>
      </c>
      <c r="D715" t="s">
        <v>215</v>
      </c>
      <c r="E715" s="232" t="s">
        <v>13756</v>
      </c>
      <c r="F715" t="s">
        <v>71</v>
      </c>
      <c r="G715">
        <v>2</v>
      </c>
      <c r="H715">
        <v>655.49300000000005</v>
      </c>
      <c r="I715">
        <v>653.327</v>
      </c>
      <c r="J715">
        <v>649.27800000000002</v>
      </c>
      <c r="K715">
        <v>645.24300000000005</v>
      </c>
      <c r="L715">
        <v>640.53899999999999</v>
      </c>
      <c r="M715" s="233" t="s">
        <v>530</v>
      </c>
      <c r="N715" s="233" t="s">
        <v>531</v>
      </c>
      <c r="O715" s="3" t="s">
        <v>1212</v>
      </c>
    </row>
    <row r="716" spans="1:15">
      <c r="A716">
        <v>197</v>
      </c>
      <c r="B716">
        <v>1648</v>
      </c>
      <c r="C716" t="s">
        <v>72</v>
      </c>
      <c r="D716" t="s">
        <v>215</v>
      </c>
      <c r="E716" s="232" t="s">
        <v>13810</v>
      </c>
      <c r="F716" t="s">
        <v>71</v>
      </c>
      <c r="G716">
        <v>2</v>
      </c>
      <c r="H716">
        <v>651.87300000000005</v>
      </c>
      <c r="I716">
        <v>649.27800000000002</v>
      </c>
      <c r="J716">
        <v>645.41200000000003</v>
      </c>
      <c r="K716">
        <v>641.79999999999995</v>
      </c>
      <c r="L716">
        <v>637.12300000000005</v>
      </c>
      <c r="M716" s="233" t="s">
        <v>530</v>
      </c>
      <c r="N716" s="233" t="s">
        <v>531</v>
      </c>
      <c r="O716" s="3" t="s">
        <v>1213</v>
      </c>
    </row>
    <row r="717" spans="1:15">
      <c r="A717">
        <v>197</v>
      </c>
      <c r="B717">
        <v>1645</v>
      </c>
      <c r="C717" t="s">
        <v>72</v>
      </c>
      <c r="D717" t="s">
        <v>215</v>
      </c>
      <c r="E717" s="232" t="s">
        <v>8491</v>
      </c>
      <c r="F717" t="s">
        <v>71</v>
      </c>
      <c r="G717">
        <v>2</v>
      </c>
      <c r="H717">
        <v>641.36800000000005</v>
      </c>
      <c r="I717">
        <v>640.45500000000004</v>
      </c>
      <c r="J717">
        <v>639.45699999999999</v>
      </c>
      <c r="K717">
        <v>638.45799999999997</v>
      </c>
      <c r="L717">
        <v>635.79499999999996</v>
      </c>
      <c r="M717" s="233" t="s">
        <v>530</v>
      </c>
      <c r="N717" s="233" t="s">
        <v>531</v>
      </c>
      <c r="O717" s="3" t="s">
        <v>1214</v>
      </c>
    </row>
    <row r="718" spans="1:15">
      <c r="A718">
        <v>193</v>
      </c>
      <c r="B718">
        <v>1684</v>
      </c>
      <c r="C718" t="s">
        <v>72</v>
      </c>
      <c r="D718" t="s">
        <v>215</v>
      </c>
      <c r="E718" s="232" t="s">
        <v>13945</v>
      </c>
      <c r="F718" t="s">
        <v>71</v>
      </c>
      <c r="G718">
        <v>2</v>
      </c>
      <c r="H718">
        <v>600.44799999999998</v>
      </c>
      <c r="I718">
        <v>598.66300000000001</v>
      </c>
      <c r="J718">
        <v>595.37099999999998</v>
      </c>
      <c r="K718">
        <v>591.48199999999997</v>
      </c>
      <c r="L718">
        <v>585.39400000000001</v>
      </c>
      <c r="M718" s="233" t="s">
        <v>530</v>
      </c>
      <c r="N718" s="233" t="s">
        <v>531</v>
      </c>
      <c r="O718" s="3" t="s">
        <v>1215</v>
      </c>
    </row>
    <row r="719" spans="1:15">
      <c r="A719">
        <v>190</v>
      </c>
      <c r="B719">
        <v>1484</v>
      </c>
      <c r="C719" t="s">
        <v>72</v>
      </c>
      <c r="D719" t="s">
        <v>8000</v>
      </c>
      <c r="E719" s="232" t="s">
        <v>11074</v>
      </c>
      <c r="F719" t="s">
        <v>70</v>
      </c>
      <c r="G719">
        <v>3</v>
      </c>
      <c r="H719">
        <v>853.072</v>
      </c>
      <c r="I719">
        <v>849.97799999999995</v>
      </c>
      <c r="J719">
        <v>846.21600000000001</v>
      </c>
      <c r="K719">
        <v>843.08900000000006</v>
      </c>
      <c r="L719">
        <v>830.81799999999998</v>
      </c>
      <c r="M719" s="233" t="s">
        <v>532</v>
      </c>
      <c r="N719" s="233" t="s">
        <v>532</v>
      </c>
      <c r="O719" s="3" t="s">
        <v>1216</v>
      </c>
    </row>
    <row r="720" spans="1:15">
      <c r="A720">
        <v>190</v>
      </c>
      <c r="B720">
        <v>1486</v>
      </c>
      <c r="C720" t="s">
        <v>72</v>
      </c>
      <c r="D720" t="s">
        <v>8000</v>
      </c>
      <c r="E720" s="232" t="s">
        <v>8633</v>
      </c>
      <c r="F720" t="s">
        <v>70</v>
      </c>
      <c r="G720">
        <v>3</v>
      </c>
      <c r="H720">
        <v>847.76800000000003</v>
      </c>
      <c r="I720">
        <v>845.61900000000003</v>
      </c>
      <c r="J720">
        <v>841.34900000000005</v>
      </c>
      <c r="K720">
        <v>836.47</v>
      </c>
      <c r="L720">
        <v>830.19399999999996</v>
      </c>
      <c r="M720" s="233" t="s">
        <v>532</v>
      </c>
      <c r="N720" s="233" t="s">
        <v>532</v>
      </c>
      <c r="O720" s="3" t="s">
        <v>1217</v>
      </c>
    </row>
    <row r="721" spans="1:15">
      <c r="A721">
        <v>190</v>
      </c>
      <c r="B721">
        <v>1496</v>
      </c>
      <c r="C721" t="s">
        <v>72</v>
      </c>
      <c r="D721" t="s">
        <v>8000</v>
      </c>
      <c r="E721" s="232" t="s">
        <v>8283</v>
      </c>
      <c r="F721" t="s">
        <v>70</v>
      </c>
      <c r="G721">
        <v>3</v>
      </c>
      <c r="H721">
        <v>844.45299999999997</v>
      </c>
      <c r="I721">
        <v>842.25199999999995</v>
      </c>
      <c r="J721">
        <v>837.84</v>
      </c>
      <c r="K721">
        <v>832.93899999999996</v>
      </c>
      <c r="L721">
        <v>826.54200000000003</v>
      </c>
      <c r="M721" s="233" t="s">
        <v>532</v>
      </c>
      <c r="N721" s="233" t="s">
        <v>532</v>
      </c>
      <c r="O721" s="3" t="s">
        <v>1218</v>
      </c>
    </row>
    <row r="722" spans="1:15">
      <c r="A722">
        <v>190</v>
      </c>
      <c r="B722">
        <v>1490</v>
      </c>
      <c r="C722" t="s">
        <v>72</v>
      </c>
      <c r="D722" t="s">
        <v>8000</v>
      </c>
      <c r="E722" s="232" t="s">
        <v>541</v>
      </c>
      <c r="F722" t="s">
        <v>70</v>
      </c>
      <c r="G722">
        <v>3</v>
      </c>
      <c r="H722">
        <v>824.46699999999998</v>
      </c>
      <c r="I722">
        <v>821.947</v>
      </c>
      <c r="J722">
        <v>817.68299999999999</v>
      </c>
      <c r="K722">
        <v>813.23699999999997</v>
      </c>
      <c r="L722">
        <v>807.93200000000002</v>
      </c>
      <c r="M722" s="233" t="s">
        <v>532</v>
      </c>
      <c r="N722" s="233" t="s">
        <v>532</v>
      </c>
      <c r="O722" s="3" t="s">
        <v>1219</v>
      </c>
    </row>
    <row r="723" spans="1:15">
      <c r="A723">
        <v>190</v>
      </c>
      <c r="B723">
        <v>1524</v>
      </c>
      <c r="C723" t="s">
        <v>72</v>
      </c>
      <c r="D723" t="s">
        <v>8000</v>
      </c>
      <c r="E723" s="232" t="s">
        <v>8224</v>
      </c>
      <c r="F723" t="s">
        <v>70</v>
      </c>
      <c r="G723">
        <v>3</v>
      </c>
      <c r="H723">
        <v>815.5</v>
      </c>
      <c r="I723">
        <v>813.40700000000004</v>
      </c>
      <c r="J723">
        <v>809.48400000000004</v>
      </c>
      <c r="K723">
        <v>805.21400000000006</v>
      </c>
      <c r="L723">
        <v>800.74099999999999</v>
      </c>
      <c r="M723" s="233" t="s">
        <v>532</v>
      </c>
      <c r="N723" s="233" t="s">
        <v>532</v>
      </c>
      <c r="O723" s="3" t="s">
        <v>1220</v>
      </c>
    </row>
    <row r="724" spans="1:15">
      <c r="A724">
        <v>190</v>
      </c>
      <c r="B724">
        <v>1533</v>
      </c>
      <c r="C724" t="s">
        <v>72</v>
      </c>
      <c r="D724" t="s">
        <v>8000</v>
      </c>
      <c r="E724" s="232" t="s">
        <v>8316</v>
      </c>
      <c r="F724" t="s">
        <v>70</v>
      </c>
      <c r="G724">
        <v>3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s="233" t="s">
        <v>532</v>
      </c>
      <c r="N724" s="233" t="s">
        <v>532</v>
      </c>
      <c r="O724" s="3" t="s">
        <v>2623</v>
      </c>
    </row>
    <row r="725" spans="1:15">
      <c r="A725">
        <v>189</v>
      </c>
      <c r="B725">
        <v>1554</v>
      </c>
      <c r="C725" t="s">
        <v>72</v>
      </c>
      <c r="D725" t="s">
        <v>8000</v>
      </c>
      <c r="E725" s="232" t="s">
        <v>11323</v>
      </c>
      <c r="F725" t="s">
        <v>71</v>
      </c>
      <c r="G725">
        <v>3</v>
      </c>
      <c r="H725">
        <v>860.303</v>
      </c>
      <c r="I725">
        <v>857.68</v>
      </c>
      <c r="J725">
        <v>852.48900000000003</v>
      </c>
      <c r="K725">
        <v>847.16099999999994</v>
      </c>
      <c r="L725">
        <v>840.91499999999996</v>
      </c>
      <c r="M725" s="233" t="s">
        <v>532</v>
      </c>
      <c r="N725" s="233" t="s">
        <v>532</v>
      </c>
      <c r="O725" s="3" t="s">
        <v>1221</v>
      </c>
    </row>
    <row r="726" spans="1:15">
      <c r="A726">
        <v>189</v>
      </c>
      <c r="B726">
        <v>1561</v>
      </c>
      <c r="C726" t="s">
        <v>72</v>
      </c>
      <c r="D726" t="s">
        <v>8000</v>
      </c>
      <c r="E726" s="232" t="s">
        <v>8190</v>
      </c>
      <c r="F726" t="s">
        <v>71</v>
      </c>
      <c r="G726">
        <v>3</v>
      </c>
      <c r="H726">
        <v>847.34500000000003</v>
      </c>
      <c r="I726">
        <v>844.93700000000001</v>
      </c>
      <c r="J726">
        <v>840.35699999999997</v>
      </c>
      <c r="K726">
        <v>835.5</v>
      </c>
      <c r="L726">
        <v>829.01099999999997</v>
      </c>
      <c r="M726" s="233" t="s">
        <v>532</v>
      </c>
      <c r="N726" s="233" t="s">
        <v>532</v>
      </c>
      <c r="O726" s="3" t="s">
        <v>1222</v>
      </c>
    </row>
    <row r="727" spans="1:15">
      <c r="A727">
        <v>189</v>
      </c>
      <c r="B727">
        <v>1556</v>
      </c>
      <c r="C727" t="s">
        <v>72</v>
      </c>
      <c r="D727" t="s">
        <v>8000</v>
      </c>
      <c r="E727" s="232" t="s">
        <v>8337</v>
      </c>
      <c r="F727" t="s">
        <v>71</v>
      </c>
      <c r="G727">
        <v>3</v>
      </c>
      <c r="H727">
        <v>842.32100000000003</v>
      </c>
      <c r="I727">
        <v>840.09699999999998</v>
      </c>
      <c r="J727">
        <v>835.5</v>
      </c>
      <c r="K727">
        <v>830.38</v>
      </c>
      <c r="L727">
        <v>824.19500000000005</v>
      </c>
      <c r="M727" s="233" t="s">
        <v>532</v>
      </c>
      <c r="N727" s="233" t="s">
        <v>532</v>
      </c>
      <c r="O727" s="3" t="s">
        <v>1223</v>
      </c>
    </row>
    <row r="728" spans="1:15">
      <c r="A728">
        <v>189</v>
      </c>
      <c r="B728">
        <v>1547</v>
      </c>
      <c r="C728" t="s">
        <v>72</v>
      </c>
      <c r="D728" t="s">
        <v>8000</v>
      </c>
      <c r="E728" s="232" t="s">
        <v>8232</v>
      </c>
      <c r="F728" t="s">
        <v>71</v>
      </c>
      <c r="G728">
        <v>3</v>
      </c>
      <c r="H728">
        <v>839.50099999999998</v>
      </c>
      <c r="I728">
        <v>837.54399999999998</v>
      </c>
      <c r="J728">
        <v>832.74800000000005</v>
      </c>
      <c r="K728">
        <v>827.80899999999997</v>
      </c>
      <c r="L728">
        <v>821.89099999999996</v>
      </c>
      <c r="M728" s="233" t="s">
        <v>532</v>
      </c>
      <c r="N728" s="233" t="s">
        <v>532</v>
      </c>
      <c r="O728" s="3" t="s">
        <v>1224</v>
      </c>
    </row>
    <row r="729" spans="1:15">
      <c r="A729">
        <v>189</v>
      </c>
      <c r="B729">
        <v>1550</v>
      </c>
      <c r="C729" t="s">
        <v>72</v>
      </c>
      <c r="D729" t="s">
        <v>8000</v>
      </c>
      <c r="E729" s="232" t="s">
        <v>542</v>
      </c>
      <c r="F729" t="s">
        <v>71</v>
      </c>
      <c r="G729">
        <v>3</v>
      </c>
      <c r="H729">
        <v>838.13199999999995</v>
      </c>
      <c r="I729">
        <v>835.89099999999996</v>
      </c>
      <c r="J729">
        <v>830.97500000000002</v>
      </c>
      <c r="K729">
        <v>826.03499999999997</v>
      </c>
      <c r="L729">
        <v>820.21699999999998</v>
      </c>
      <c r="M729" s="233" t="s">
        <v>532</v>
      </c>
      <c r="N729" s="233" t="s">
        <v>532</v>
      </c>
      <c r="O729" s="3" t="s">
        <v>1225</v>
      </c>
    </row>
    <row r="730" spans="1:15">
      <c r="A730">
        <v>189</v>
      </c>
      <c r="B730">
        <v>1549</v>
      </c>
      <c r="C730" t="s">
        <v>72</v>
      </c>
      <c r="D730" t="s">
        <v>8000</v>
      </c>
      <c r="E730" s="232" t="s">
        <v>8216</v>
      </c>
      <c r="F730" t="s">
        <v>71</v>
      </c>
      <c r="G730">
        <v>3</v>
      </c>
      <c r="H730">
        <v>831.97299999999996</v>
      </c>
      <c r="I730">
        <v>829.56200000000001</v>
      </c>
      <c r="J730">
        <v>825.01300000000003</v>
      </c>
      <c r="K730">
        <v>820.48400000000004</v>
      </c>
      <c r="L730">
        <v>814.90599999999995</v>
      </c>
      <c r="M730" s="233" t="s">
        <v>532</v>
      </c>
      <c r="N730" s="233" t="s">
        <v>532</v>
      </c>
      <c r="O730" s="3" t="s">
        <v>1226</v>
      </c>
    </row>
    <row r="731" spans="1:15">
      <c r="A731">
        <v>189</v>
      </c>
      <c r="B731">
        <v>1555</v>
      </c>
      <c r="C731" t="s">
        <v>72</v>
      </c>
      <c r="D731" t="s">
        <v>8000</v>
      </c>
      <c r="E731" s="232" t="s">
        <v>491</v>
      </c>
      <c r="F731" t="s">
        <v>71</v>
      </c>
      <c r="G731">
        <v>3</v>
      </c>
      <c r="H731">
        <v>831.97299999999996</v>
      </c>
      <c r="I731">
        <v>829.56200000000001</v>
      </c>
      <c r="J731">
        <v>825.01300000000003</v>
      </c>
      <c r="K731">
        <v>820.48400000000004</v>
      </c>
      <c r="L731">
        <v>814.90599999999995</v>
      </c>
      <c r="M731" s="233" t="s">
        <v>532</v>
      </c>
      <c r="N731" s="233" t="s">
        <v>532</v>
      </c>
      <c r="O731" s="3" t="s">
        <v>1227</v>
      </c>
    </row>
    <row r="732" spans="1:15">
      <c r="A732">
        <v>189</v>
      </c>
      <c r="B732">
        <v>1552</v>
      </c>
      <c r="C732" t="s">
        <v>72</v>
      </c>
      <c r="D732" t="s">
        <v>8000</v>
      </c>
      <c r="E732" s="232" t="s">
        <v>9141</v>
      </c>
      <c r="F732" t="s">
        <v>71</v>
      </c>
      <c r="G732">
        <v>3</v>
      </c>
      <c r="H732">
        <v>831.15499999999997</v>
      </c>
      <c r="I732">
        <v>828.83100000000002</v>
      </c>
      <c r="J732">
        <v>824.38199999999995</v>
      </c>
      <c r="K732">
        <v>819.83299999999997</v>
      </c>
      <c r="L732">
        <v>813.90800000000002</v>
      </c>
      <c r="M732" s="233" t="s">
        <v>532</v>
      </c>
      <c r="N732" s="233" t="s">
        <v>532</v>
      </c>
      <c r="O732" s="3" t="s">
        <v>1228</v>
      </c>
    </row>
    <row r="733" spans="1:15">
      <c r="A733">
        <v>189</v>
      </c>
      <c r="B733">
        <v>1548</v>
      </c>
      <c r="C733" t="s">
        <v>72</v>
      </c>
      <c r="D733" t="s">
        <v>8000</v>
      </c>
      <c r="E733" s="232" t="s">
        <v>8772</v>
      </c>
      <c r="F733" t="s">
        <v>71</v>
      </c>
      <c r="G733">
        <v>3</v>
      </c>
      <c r="H733">
        <v>829.95299999999997</v>
      </c>
      <c r="I733">
        <v>827.62900000000002</v>
      </c>
      <c r="J733">
        <v>823.26</v>
      </c>
      <c r="K733">
        <v>818.62400000000002</v>
      </c>
      <c r="L733">
        <v>812.97299999999996</v>
      </c>
      <c r="M733" s="233" t="s">
        <v>532</v>
      </c>
      <c r="N733" s="233" t="s">
        <v>532</v>
      </c>
      <c r="O733" s="3" t="s">
        <v>1229</v>
      </c>
    </row>
    <row r="734" spans="1:15">
      <c r="A734">
        <v>189</v>
      </c>
      <c r="B734">
        <v>1558</v>
      </c>
      <c r="C734" t="s">
        <v>72</v>
      </c>
      <c r="D734" t="s">
        <v>8000</v>
      </c>
      <c r="E734" s="232" t="s">
        <v>9921</v>
      </c>
      <c r="F734" t="s">
        <v>71</v>
      </c>
      <c r="G734">
        <v>3</v>
      </c>
      <c r="H734">
        <v>827.15700000000004</v>
      </c>
      <c r="I734">
        <v>825.01300000000003</v>
      </c>
      <c r="J734">
        <v>820.86800000000005</v>
      </c>
      <c r="K734">
        <v>816.31200000000001</v>
      </c>
      <c r="L734">
        <v>810.21900000000005</v>
      </c>
      <c r="M734" s="233" t="s">
        <v>532</v>
      </c>
      <c r="N734" s="233" t="s">
        <v>532</v>
      </c>
      <c r="O734" s="3" t="s">
        <v>1230</v>
      </c>
    </row>
    <row r="735" spans="1:15">
      <c r="A735">
        <v>189</v>
      </c>
      <c r="B735">
        <v>1553</v>
      </c>
      <c r="C735" t="s">
        <v>72</v>
      </c>
      <c r="D735" t="s">
        <v>8000</v>
      </c>
      <c r="E735" s="232" t="s">
        <v>8214</v>
      </c>
      <c r="F735" t="s">
        <v>71</v>
      </c>
      <c r="G735">
        <v>3</v>
      </c>
      <c r="H735">
        <v>825.01300000000003</v>
      </c>
      <c r="I735">
        <v>822.80899999999997</v>
      </c>
      <c r="J735">
        <v>818.62400000000002</v>
      </c>
      <c r="K735">
        <v>813.90800000000002</v>
      </c>
      <c r="L735">
        <v>808.08199999999999</v>
      </c>
      <c r="M735" s="233" t="s">
        <v>532</v>
      </c>
      <c r="N735" s="233" t="s">
        <v>532</v>
      </c>
      <c r="O735" s="3" t="s">
        <v>1231</v>
      </c>
    </row>
    <row r="736" spans="1:15">
      <c r="A736">
        <v>189</v>
      </c>
      <c r="B736">
        <v>1566</v>
      </c>
      <c r="C736" t="s">
        <v>72</v>
      </c>
      <c r="D736" t="s">
        <v>8000</v>
      </c>
      <c r="E736" s="232" t="s">
        <v>501</v>
      </c>
      <c r="F736" t="s">
        <v>71</v>
      </c>
      <c r="G736">
        <v>3</v>
      </c>
      <c r="H736">
        <v>820.84799999999996</v>
      </c>
      <c r="I736">
        <v>819.07799999999997</v>
      </c>
      <c r="J736">
        <v>814.73900000000003</v>
      </c>
      <c r="K736">
        <v>809.86199999999997</v>
      </c>
      <c r="L736">
        <v>804.30799999999999</v>
      </c>
      <c r="M736" s="233" t="s">
        <v>532</v>
      </c>
      <c r="N736" s="233" t="s">
        <v>532</v>
      </c>
      <c r="O736" s="3" t="s">
        <v>1232</v>
      </c>
    </row>
    <row r="737" spans="1:15">
      <c r="A737">
        <v>189</v>
      </c>
      <c r="B737">
        <v>1573</v>
      </c>
      <c r="C737" t="s">
        <v>72</v>
      </c>
      <c r="D737" t="s">
        <v>8000</v>
      </c>
      <c r="E737" s="232" t="s">
        <v>8726</v>
      </c>
      <c r="F737" t="s">
        <v>71</v>
      </c>
      <c r="G737">
        <v>3</v>
      </c>
      <c r="H737">
        <v>816.31200000000001</v>
      </c>
      <c r="I737">
        <v>814.08799999999997</v>
      </c>
      <c r="J737">
        <v>809.67499999999995</v>
      </c>
      <c r="K737">
        <v>805.32299999999998</v>
      </c>
      <c r="L737">
        <v>800.10699999999997</v>
      </c>
      <c r="M737" s="233" t="s">
        <v>532</v>
      </c>
      <c r="N737" s="233" t="s">
        <v>532</v>
      </c>
      <c r="O737" s="3" t="s">
        <v>1233</v>
      </c>
    </row>
    <row r="738" spans="1:15">
      <c r="A738">
        <v>189</v>
      </c>
      <c r="B738">
        <v>1565</v>
      </c>
      <c r="C738" t="s">
        <v>72</v>
      </c>
      <c r="D738" t="s">
        <v>8000</v>
      </c>
      <c r="E738" s="232" t="s">
        <v>8217</v>
      </c>
      <c r="F738" t="s">
        <v>71</v>
      </c>
      <c r="G738">
        <v>3</v>
      </c>
      <c r="H738">
        <v>815.84799999999996</v>
      </c>
      <c r="I738">
        <v>813.721</v>
      </c>
      <c r="J738">
        <v>809.01700000000005</v>
      </c>
      <c r="K738">
        <v>804.85900000000004</v>
      </c>
      <c r="L738">
        <v>799.947</v>
      </c>
      <c r="M738" s="233" t="s">
        <v>532</v>
      </c>
      <c r="N738" s="233" t="s">
        <v>532</v>
      </c>
      <c r="O738" s="3" t="s">
        <v>1234</v>
      </c>
    </row>
    <row r="739" spans="1:15">
      <c r="A739">
        <v>189</v>
      </c>
      <c r="B739">
        <v>1559</v>
      </c>
      <c r="C739" t="s">
        <v>72</v>
      </c>
      <c r="D739" t="s">
        <v>8000</v>
      </c>
      <c r="E739" s="232" t="s">
        <v>9709</v>
      </c>
      <c r="F739" t="s">
        <v>71</v>
      </c>
      <c r="G739">
        <v>3</v>
      </c>
      <c r="H739">
        <v>813.15300000000002</v>
      </c>
      <c r="I739">
        <v>810.79</v>
      </c>
      <c r="J739">
        <v>806.69200000000001</v>
      </c>
      <c r="K739">
        <v>802.33100000000002</v>
      </c>
      <c r="L739">
        <v>797.53499999999997</v>
      </c>
      <c r="M739" s="233" t="s">
        <v>532</v>
      </c>
      <c r="N739" s="233" t="s">
        <v>532</v>
      </c>
      <c r="O739" s="3" t="s">
        <v>1235</v>
      </c>
    </row>
    <row r="740" spans="1:15">
      <c r="A740">
        <v>189</v>
      </c>
      <c r="B740">
        <v>1580</v>
      </c>
      <c r="C740" t="s">
        <v>72</v>
      </c>
      <c r="D740" t="s">
        <v>8000</v>
      </c>
      <c r="E740" s="232" t="s">
        <v>12228</v>
      </c>
      <c r="F740" t="s">
        <v>71</v>
      </c>
      <c r="G740">
        <v>3</v>
      </c>
      <c r="H740">
        <v>812.70600000000002</v>
      </c>
      <c r="I740">
        <v>810.423</v>
      </c>
      <c r="J740">
        <v>806.24900000000002</v>
      </c>
      <c r="K740">
        <v>801.97699999999998</v>
      </c>
      <c r="L740">
        <v>797.33100000000002</v>
      </c>
      <c r="M740" s="233" t="s">
        <v>532</v>
      </c>
      <c r="N740" s="233" t="s">
        <v>532</v>
      </c>
      <c r="O740" s="3" t="s">
        <v>1236</v>
      </c>
    </row>
    <row r="741" spans="1:15">
      <c r="A741">
        <v>189</v>
      </c>
      <c r="B741">
        <v>1575</v>
      </c>
      <c r="C741" t="s">
        <v>72</v>
      </c>
      <c r="D741" t="s">
        <v>8000</v>
      </c>
      <c r="E741" s="232" t="s">
        <v>8534</v>
      </c>
      <c r="F741" t="s">
        <v>71</v>
      </c>
      <c r="G741">
        <v>3</v>
      </c>
      <c r="H741">
        <v>809.48800000000006</v>
      </c>
      <c r="I741">
        <v>807.46799999999996</v>
      </c>
      <c r="J741">
        <v>803.55</v>
      </c>
      <c r="K741">
        <v>799.76</v>
      </c>
      <c r="L741">
        <v>794.26</v>
      </c>
      <c r="M741" s="233" t="s">
        <v>532</v>
      </c>
      <c r="N741" s="233" t="s">
        <v>532</v>
      </c>
      <c r="O741" s="3" t="s">
        <v>1237</v>
      </c>
    </row>
    <row r="742" spans="1:15">
      <c r="A742">
        <v>189</v>
      </c>
      <c r="B742">
        <v>1571</v>
      </c>
      <c r="C742" t="s">
        <v>72</v>
      </c>
      <c r="D742" t="s">
        <v>8000</v>
      </c>
      <c r="E742" s="232" t="s">
        <v>9285</v>
      </c>
      <c r="F742" t="s">
        <v>71</v>
      </c>
      <c r="G742">
        <v>3</v>
      </c>
      <c r="H742">
        <v>797.77499999999998</v>
      </c>
      <c r="I742">
        <v>795.74199999999996</v>
      </c>
      <c r="J742">
        <v>790.928</v>
      </c>
      <c r="K742">
        <v>785.49400000000003</v>
      </c>
      <c r="L742">
        <v>779.85900000000004</v>
      </c>
      <c r="M742" s="233" t="s">
        <v>532</v>
      </c>
      <c r="N742" s="233" t="s">
        <v>532</v>
      </c>
      <c r="O742" s="3" t="s">
        <v>1238</v>
      </c>
    </row>
    <row r="743" spans="1:15">
      <c r="A743">
        <v>287</v>
      </c>
      <c r="B743">
        <v>1690</v>
      </c>
      <c r="C743" t="s">
        <v>72</v>
      </c>
      <c r="D743" t="s">
        <v>209</v>
      </c>
      <c r="E743" s="232" t="s">
        <v>8480</v>
      </c>
      <c r="F743" t="s">
        <v>70</v>
      </c>
      <c r="G743">
        <v>2</v>
      </c>
      <c r="H743">
        <v>711.56</v>
      </c>
      <c r="I743">
        <v>709.59</v>
      </c>
      <c r="J743">
        <v>705.88699999999994</v>
      </c>
      <c r="K743">
        <v>701.94600000000003</v>
      </c>
      <c r="L743">
        <v>695.34400000000005</v>
      </c>
      <c r="M743" s="233" t="s">
        <v>530</v>
      </c>
      <c r="N743" s="233" t="s">
        <v>530</v>
      </c>
      <c r="O743" s="3" t="s">
        <v>1239</v>
      </c>
    </row>
    <row r="744" spans="1:15">
      <c r="A744">
        <v>287</v>
      </c>
      <c r="B744">
        <v>1689</v>
      </c>
      <c r="C744" t="s">
        <v>72</v>
      </c>
      <c r="D744" t="s">
        <v>209</v>
      </c>
      <c r="E744" s="232" t="s">
        <v>10382</v>
      </c>
      <c r="F744" t="s">
        <v>70</v>
      </c>
      <c r="G744">
        <v>2</v>
      </c>
      <c r="H744">
        <v>704</v>
      </c>
      <c r="I744">
        <v>701.73</v>
      </c>
      <c r="J744">
        <v>697.596</v>
      </c>
      <c r="K744">
        <v>693.54</v>
      </c>
      <c r="L744">
        <v>689.18</v>
      </c>
      <c r="M744" s="233" t="s">
        <v>530</v>
      </c>
      <c r="N744" s="233" t="s">
        <v>530</v>
      </c>
      <c r="O744" s="3" t="s">
        <v>1240</v>
      </c>
    </row>
    <row r="745" spans="1:15">
      <c r="A745">
        <v>287</v>
      </c>
      <c r="B745">
        <v>1694</v>
      </c>
      <c r="C745" t="s">
        <v>72</v>
      </c>
      <c r="D745" t="s">
        <v>209</v>
      </c>
      <c r="E745" s="232" t="s">
        <v>10480</v>
      </c>
      <c r="F745" t="s">
        <v>70</v>
      </c>
      <c r="G745">
        <v>2</v>
      </c>
      <c r="H745">
        <v>703.04</v>
      </c>
      <c r="I745">
        <v>700.80399999999997</v>
      </c>
      <c r="J745">
        <v>696.62</v>
      </c>
      <c r="K745">
        <v>692.83</v>
      </c>
      <c r="L745">
        <v>688.62</v>
      </c>
      <c r="M745" s="233" t="s">
        <v>530</v>
      </c>
      <c r="N745" s="233" t="s">
        <v>530</v>
      </c>
      <c r="O745" s="3" t="s">
        <v>1241</v>
      </c>
    </row>
    <row r="746" spans="1:15">
      <c r="A746">
        <v>289</v>
      </c>
      <c r="B746">
        <v>1703</v>
      </c>
      <c r="C746" t="s">
        <v>72</v>
      </c>
      <c r="D746" t="s">
        <v>209</v>
      </c>
      <c r="E746" s="232" t="s">
        <v>8148</v>
      </c>
      <c r="F746" t="s">
        <v>70</v>
      </c>
      <c r="G746">
        <v>2</v>
      </c>
      <c r="H746">
        <v>701.83</v>
      </c>
      <c r="I746">
        <v>699.5</v>
      </c>
      <c r="J746">
        <v>695.21</v>
      </c>
      <c r="K746">
        <v>692.10400000000004</v>
      </c>
      <c r="L746">
        <v>687.83600000000001</v>
      </c>
      <c r="M746" s="233" t="s">
        <v>530</v>
      </c>
      <c r="N746" s="233" t="s">
        <v>530</v>
      </c>
      <c r="O746" s="3" t="s">
        <v>1242</v>
      </c>
    </row>
    <row r="747" spans="1:15">
      <c r="A747">
        <v>286</v>
      </c>
      <c r="B747">
        <v>1693</v>
      </c>
      <c r="C747" t="s">
        <v>72</v>
      </c>
      <c r="D747" t="s">
        <v>209</v>
      </c>
      <c r="E747" s="232" t="s">
        <v>8283</v>
      </c>
      <c r="F747" t="s">
        <v>70</v>
      </c>
      <c r="G747">
        <v>2</v>
      </c>
      <c r="H747">
        <v>701.42</v>
      </c>
      <c r="I747">
        <v>699.15</v>
      </c>
      <c r="J747">
        <v>694.81600000000003</v>
      </c>
      <c r="K747">
        <v>691.87</v>
      </c>
      <c r="L747">
        <v>687.51</v>
      </c>
      <c r="M747" s="233" t="s">
        <v>530</v>
      </c>
      <c r="N747" s="233" t="s">
        <v>530</v>
      </c>
      <c r="O747" s="3" t="s">
        <v>1243</v>
      </c>
    </row>
    <row r="748" spans="1:15">
      <c r="A748">
        <v>287</v>
      </c>
      <c r="B748">
        <v>1691</v>
      </c>
      <c r="C748" t="s">
        <v>72</v>
      </c>
      <c r="D748" t="s">
        <v>209</v>
      </c>
      <c r="E748" s="232" t="s">
        <v>10618</v>
      </c>
      <c r="F748" t="s">
        <v>70</v>
      </c>
      <c r="G748">
        <v>2</v>
      </c>
      <c r="H748">
        <v>701.02</v>
      </c>
      <c r="I748">
        <v>698.64</v>
      </c>
      <c r="J748">
        <v>694.5</v>
      </c>
      <c r="K748">
        <v>691.57600000000002</v>
      </c>
      <c r="L748">
        <v>687.27599999999995</v>
      </c>
      <c r="M748" s="233" t="s">
        <v>530</v>
      </c>
      <c r="N748" s="233" t="s">
        <v>530</v>
      </c>
      <c r="O748" s="3" t="s">
        <v>1244</v>
      </c>
    </row>
    <row r="749" spans="1:15">
      <c r="A749">
        <v>287</v>
      </c>
      <c r="B749">
        <v>1736</v>
      </c>
      <c r="C749" t="s">
        <v>72</v>
      </c>
      <c r="D749" t="s">
        <v>209</v>
      </c>
      <c r="E749" s="232" t="s">
        <v>10700</v>
      </c>
      <c r="F749" t="s">
        <v>70</v>
      </c>
      <c r="G749">
        <v>2</v>
      </c>
      <c r="H749">
        <v>699.15</v>
      </c>
      <c r="I749">
        <v>696.62</v>
      </c>
      <c r="J749">
        <v>692.83</v>
      </c>
      <c r="K749">
        <v>689.99</v>
      </c>
      <c r="L749">
        <v>686.2</v>
      </c>
      <c r="M749" s="233" t="s">
        <v>530</v>
      </c>
      <c r="N749" s="233" t="s">
        <v>530</v>
      </c>
      <c r="O749" s="3" t="s">
        <v>1245</v>
      </c>
    </row>
    <row r="750" spans="1:15">
      <c r="A750">
        <v>289</v>
      </c>
      <c r="B750">
        <v>1740</v>
      </c>
      <c r="C750" t="s">
        <v>72</v>
      </c>
      <c r="D750" t="s">
        <v>209</v>
      </c>
      <c r="E750" s="232" t="s">
        <v>8640</v>
      </c>
      <c r="F750" t="s">
        <v>70</v>
      </c>
      <c r="G750">
        <v>2</v>
      </c>
      <c r="H750">
        <v>699</v>
      </c>
      <c r="I750">
        <v>695.86</v>
      </c>
      <c r="J750">
        <v>692.22</v>
      </c>
      <c r="K750">
        <v>689.41399999999999</v>
      </c>
      <c r="L750">
        <v>685.49</v>
      </c>
      <c r="M750" s="233" t="s">
        <v>530</v>
      </c>
      <c r="N750" s="233" t="s">
        <v>530</v>
      </c>
      <c r="O750" s="3" t="s">
        <v>1246</v>
      </c>
    </row>
    <row r="751" spans="1:15">
      <c r="A751">
        <v>287</v>
      </c>
      <c r="B751">
        <v>1696</v>
      </c>
      <c r="C751" t="s">
        <v>72</v>
      </c>
      <c r="D751" t="s">
        <v>209</v>
      </c>
      <c r="E751" s="232" t="s">
        <v>8633</v>
      </c>
      <c r="F751" t="s">
        <v>70</v>
      </c>
      <c r="G751">
        <v>2</v>
      </c>
      <c r="H751">
        <v>697.596</v>
      </c>
      <c r="I751">
        <v>694.91600000000005</v>
      </c>
      <c r="J751">
        <v>692.00400000000002</v>
      </c>
      <c r="K751">
        <v>689.18</v>
      </c>
      <c r="L751">
        <v>685.34</v>
      </c>
      <c r="M751" s="233" t="s">
        <v>530</v>
      </c>
      <c r="N751" s="233" t="s">
        <v>530</v>
      </c>
      <c r="O751" s="3" t="s">
        <v>1247</v>
      </c>
    </row>
    <row r="752" spans="1:15">
      <c r="A752">
        <v>287</v>
      </c>
      <c r="B752">
        <v>1719</v>
      </c>
      <c r="C752" t="s">
        <v>72</v>
      </c>
      <c r="D752" t="s">
        <v>209</v>
      </c>
      <c r="E752" s="232" t="s">
        <v>11074</v>
      </c>
      <c r="F752" t="s">
        <v>70</v>
      </c>
      <c r="G752">
        <v>2</v>
      </c>
      <c r="H752">
        <v>692.83</v>
      </c>
      <c r="I752">
        <v>691.87</v>
      </c>
      <c r="J752">
        <v>689.75599999999997</v>
      </c>
      <c r="K752">
        <v>688.32</v>
      </c>
      <c r="L752">
        <v>686.91</v>
      </c>
      <c r="M752" s="233" t="s">
        <v>530</v>
      </c>
      <c r="N752" s="233" t="s">
        <v>530</v>
      </c>
      <c r="O752" s="3" t="s">
        <v>1248</v>
      </c>
    </row>
    <row r="753" spans="1:15">
      <c r="A753">
        <v>288</v>
      </c>
      <c r="B753">
        <v>1701</v>
      </c>
      <c r="C753" t="s">
        <v>72</v>
      </c>
      <c r="D753" t="s">
        <v>209</v>
      </c>
      <c r="E753" s="232" t="s">
        <v>8011</v>
      </c>
      <c r="F753" t="s">
        <v>70</v>
      </c>
      <c r="G753">
        <v>2</v>
      </c>
      <c r="H753">
        <v>699.27099999999996</v>
      </c>
      <c r="I753">
        <v>697.745</v>
      </c>
      <c r="J753">
        <v>695.28399999999999</v>
      </c>
      <c r="K753">
        <v>692.89</v>
      </c>
      <c r="L753">
        <v>688.89599999999996</v>
      </c>
      <c r="M753" s="233" t="s">
        <v>530</v>
      </c>
      <c r="N753" s="233" t="s">
        <v>530</v>
      </c>
      <c r="O753" s="3" t="s">
        <v>1249</v>
      </c>
    </row>
    <row r="754" spans="1:15">
      <c r="A754">
        <v>287</v>
      </c>
      <c r="B754">
        <v>1711</v>
      </c>
      <c r="C754" t="s">
        <v>72</v>
      </c>
      <c r="D754" t="s">
        <v>209</v>
      </c>
      <c r="E754" s="232" t="s">
        <v>8744</v>
      </c>
      <c r="F754" t="s">
        <v>70</v>
      </c>
      <c r="G754">
        <v>2</v>
      </c>
      <c r="H754">
        <v>689.89</v>
      </c>
      <c r="I754">
        <v>688.47</v>
      </c>
      <c r="J754">
        <v>685.75599999999997</v>
      </c>
      <c r="K754">
        <v>683.32</v>
      </c>
      <c r="L754">
        <v>679.39599999999996</v>
      </c>
      <c r="M754" s="233" t="s">
        <v>530</v>
      </c>
      <c r="N754" s="233" t="s">
        <v>530</v>
      </c>
      <c r="O754" s="3" t="s">
        <v>1250</v>
      </c>
    </row>
    <row r="755" spans="1:15">
      <c r="A755">
        <v>287</v>
      </c>
      <c r="B755">
        <v>1717</v>
      </c>
      <c r="C755" t="s">
        <v>72</v>
      </c>
      <c r="D755" t="s">
        <v>209</v>
      </c>
      <c r="E755" s="232" t="s">
        <v>11423</v>
      </c>
      <c r="F755" t="s">
        <v>70</v>
      </c>
      <c r="G755">
        <v>2</v>
      </c>
      <c r="H755">
        <v>689.89</v>
      </c>
      <c r="I755">
        <v>688.20399999999995</v>
      </c>
      <c r="J755">
        <v>685.49</v>
      </c>
      <c r="K755">
        <v>683.08600000000001</v>
      </c>
      <c r="L755">
        <v>679.11400000000003</v>
      </c>
      <c r="M755" s="233" t="s">
        <v>530</v>
      </c>
      <c r="N755" s="233" t="s">
        <v>530</v>
      </c>
      <c r="O755" s="3" t="s">
        <v>1251</v>
      </c>
    </row>
    <row r="756" spans="1:15">
      <c r="A756">
        <v>287</v>
      </c>
      <c r="B756">
        <v>1715</v>
      </c>
      <c r="C756" t="s">
        <v>72</v>
      </c>
      <c r="D756" t="s">
        <v>209</v>
      </c>
      <c r="E756" s="232" t="s">
        <v>11452</v>
      </c>
      <c r="F756" t="s">
        <v>70</v>
      </c>
      <c r="G756">
        <v>2</v>
      </c>
      <c r="H756">
        <v>689.75599999999997</v>
      </c>
      <c r="I756">
        <v>687.97</v>
      </c>
      <c r="J756">
        <v>685.34</v>
      </c>
      <c r="K756">
        <v>682.84400000000005</v>
      </c>
      <c r="L756">
        <v>678.98</v>
      </c>
      <c r="M756" s="233" t="s">
        <v>530</v>
      </c>
      <c r="N756" s="233" t="s">
        <v>530</v>
      </c>
      <c r="O756" s="3" t="s">
        <v>1252</v>
      </c>
    </row>
    <row r="757" spans="1:15">
      <c r="A757">
        <v>288</v>
      </c>
      <c r="B757">
        <v>1704</v>
      </c>
      <c r="C757" t="s">
        <v>72</v>
      </c>
      <c r="D757" t="s">
        <v>209</v>
      </c>
      <c r="E757" s="232" t="s">
        <v>7910</v>
      </c>
      <c r="F757" t="s">
        <v>70</v>
      </c>
      <c r="G757">
        <v>2</v>
      </c>
      <c r="H757">
        <v>697.17700000000002</v>
      </c>
      <c r="I757">
        <v>695.73699999999997</v>
      </c>
      <c r="J757">
        <v>693.30499999999995</v>
      </c>
      <c r="K757">
        <v>690.78899999999999</v>
      </c>
      <c r="L757">
        <v>686.75900000000001</v>
      </c>
      <c r="M757" s="233" t="s">
        <v>530</v>
      </c>
      <c r="N757" s="233" t="s">
        <v>530</v>
      </c>
      <c r="O757" s="3" t="s">
        <v>1253</v>
      </c>
    </row>
    <row r="758" spans="1:15">
      <c r="A758">
        <v>287</v>
      </c>
      <c r="B758">
        <v>1709</v>
      </c>
      <c r="C758" t="s">
        <v>72</v>
      </c>
      <c r="D758" t="s">
        <v>209</v>
      </c>
      <c r="E758" s="232" t="s">
        <v>11627</v>
      </c>
      <c r="F758" t="s">
        <v>70</v>
      </c>
      <c r="G758">
        <v>2</v>
      </c>
      <c r="H758">
        <v>687.16</v>
      </c>
      <c r="I758">
        <v>685.49</v>
      </c>
      <c r="J758">
        <v>682.71</v>
      </c>
      <c r="K758">
        <v>680.37400000000002</v>
      </c>
      <c r="L758">
        <v>676.4</v>
      </c>
      <c r="M758" s="233" t="s">
        <v>530</v>
      </c>
      <c r="N758" s="233" t="s">
        <v>530</v>
      </c>
      <c r="O758" s="3" t="s">
        <v>1254</v>
      </c>
    </row>
    <row r="759" spans="1:15">
      <c r="A759">
        <v>287</v>
      </c>
      <c r="B759">
        <v>1713</v>
      </c>
      <c r="C759" t="s">
        <v>72</v>
      </c>
      <c r="D759" t="s">
        <v>209</v>
      </c>
      <c r="E759" s="232" t="s">
        <v>8026</v>
      </c>
      <c r="F759" t="s">
        <v>70</v>
      </c>
      <c r="G759">
        <v>2</v>
      </c>
      <c r="H759">
        <v>685.65599999999995</v>
      </c>
      <c r="I759">
        <v>684.14599999999996</v>
      </c>
      <c r="J759">
        <v>681.76599999999996</v>
      </c>
      <c r="K759">
        <v>679.24599999999998</v>
      </c>
      <c r="L759">
        <v>675.44</v>
      </c>
      <c r="M759" s="233" t="s">
        <v>530</v>
      </c>
      <c r="N759" s="233" t="s">
        <v>530</v>
      </c>
      <c r="O759" s="3" t="s">
        <v>1255</v>
      </c>
    </row>
    <row r="760" spans="1:15">
      <c r="A760">
        <v>287</v>
      </c>
      <c r="B760">
        <v>1725</v>
      </c>
      <c r="C760" t="s">
        <v>72</v>
      </c>
      <c r="D760" t="s">
        <v>209</v>
      </c>
      <c r="E760" s="232" t="s">
        <v>8224</v>
      </c>
      <c r="F760" t="s">
        <v>70</v>
      </c>
      <c r="G760">
        <v>2</v>
      </c>
      <c r="H760">
        <v>685.24</v>
      </c>
      <c r="I760">
        <v>683.72</v>
      </c>
      <c r="J760">
        <v>680.95</v>
      </c>
      <c r="K760">
        <v>678.47</v>
      </c>
      <c r="L760">
        <v>672.63599999999997</v>
      </c>
      <c r="M760" s="233" t="s">
        <v>530</v>
      </c>
      <c r="N760" s="233" t="s">
        <v>530</v>
      </c>
      <c r="O760" s="3" t="s">
        <v>1256</v>
      </c>
    </row>
    <row r="761" spans="1:15">
      <c r="A761">
        <v>287</v>
      </c>
      <c r="B761">
        <v>1718</v>
      </c>
      <c r="C761" t="s">
        <v>72</v>
      </c>
      <c r="D761" t="s">
        <v>209</v>
      </c>
      <c r="E761" s="232" t="s">
        <v>9703</v>
      </c>
      <c r="F761" t="s">
        <v>70</v>
      </c>
      <c r="G761">
        <v>2</v>
      </c>
      <c r="H761">
        <v>684.66399999999999</v>
      </c>
      <c r="I761">
        <v>683.08600000000001</v>
      </c>
      <c r="J761">
        <v>680.22400000000005</v>
      </c>
      <c r="K761">
        <v>677.68600000000004</v>
      </c>
      <c r="L761">
        <v>673.88</v>
      </c>
      <c r="M761" s="233" t="s">
        <v>530</v>
      </c>
      <c r="N761" s="233" t="s">
        <v>530</v>
      </c>
      <c r="O761" s="3" t="s">
        <v>1257</v>
      </c>
    </row>
    <row r="762" spans="1:15">
      <c r="A762">
        <v>287</v>
      </c>
      <c r="B762">
        <v>1697</v>
      </c>
      <c r="C762" t="s">
        <v>72</v>
      </c>
      <c r="D762" t="s">
        <v>209</v>
      </c>
      <c r="E762" s="232" t="s">
        <v>8316</v>
      </c>
      <c r="F762" t="s">
        <v>70</v>
      </c>
      <c r="G762">
        <v>2</v>
      </c>
      <c r="H762">
        <v>683.72</v>
      </c>
      <c r="I762">
        <v>682.34400000000005</v>
      </c>
      <c r="J762">
        <v>679.53</v>
      </c>
      <c r="K762">
        <v>677.11</v>
      </c>
      <c r="L762">
        <v>671.33399999999995</v>
      </c>
      <c r="M762" s="233" t="s">
        <v>530</v>
      </c>
      <c r="N762" s="233" t="s">
        <v>530</v>
      </c>
      <c r="O762" s="3" t="s">
        <v>1258</v>
      </c>
    </row>
    <row r="763" spans="1:15">
      <c r="A763">
        <v>287</v>
      </c>
      <c r="B763">
        <v>1716</v>
      </c>
      <c r="C763" t="s">
        <v>72</v>
      </c>
      <c r="D763" t="s">
        <v>209</v>
      </c>
      <c r="E763" s="232" t="s">
        <v>8307</v>
      </c>
      <c r="F763" t="s">
        <v>70</v>
      </c>
      <c r="G763">
        <v>2</v>
      </c>
      <c r="H763">
        <v>684.03</v>
      </c>
      <c r="I763">
        <v>682.34400000000005</v>
      </c>
      <c r="J763">
        <v>679.53</v>
      </c>
      <c r="K763">
        <v>677.11</v>
      </c>
      <c r="L763">
        <v>673.27</v>
      </c>
      <c r="M763" s="233" t="s">
        <v>530</v>
      </c>
      <c r="N763" s="233" t="s">
        <v>530</v>
      </c>
      <c r="O763" s="3" t="s">
        <v>1259</v>
      </c>
    </row>
    <row r="764" spans="1:15">
      <c r="A764">
        <v>286</v>
      </c>
      <c r="B764">
        <v>1722</v>
      </c>
      <c r="C764" t="s">
        <v>72</v>
      </c>
      <c r="D764" t="s">
        <v>209</v>
      </c>
      <c r="E764" s="232" t="s">
        <v>541</v>
      </c>
      <c r="F764" t="s">
        <v>70</v>
      </c>
      <c r="G764">
        <v>2</v>
      </c>
      <c r="H764">
        <v>683.22</v>
      </c>
      <c r="I764">
        <v>681.76599999999996</v>
      </c>
      <c r="J764">
        <v>678.98</v>
      </c>
      <c r="K764">
        <v>676.5</v>
      </c>
      <c r="L764">
        <v>670.9</v>
      </c>
      <c r="M764" s="233" t="s">
        <v>530</v>
      </c>
      <c r="N764" s="233" t="s">
        <v>530</v>
      </c>
      <c r="O764" s="3" t="s">
        <v>1260</v>
      </c>
    </row>
    <row r="765" spans="1:15">
      <c r="A765">
        <v>287</v>
      </c>
      <c r="B765">
        <v>1720</v>
      </c>
      <c r="C765" t="s">
        <v>72</v>
      </c>
      <c r="D765" t="s">
        <v>209</v>
      </c>
      <c r="E765" s="232" t="s">
        <v>550</v>
      </c>
      <c r="F765" t="s">
        <v>70</v>
      </c>
      <c r="G765">
        <v>2</v>
      </c>
      <c r="H765">
        <v>683.32</v>
      </c>
      <c r="I765">
        <v>681.6</v>
      </c>
      <c r="J765">
        <v>678.846</v>
      </c>
      <c r="K765">
        <v>676.4</v>
      </c>
      <c r="L765">
        <v>672.77</v>
      </c>
      <c r="M765" s="233" t="s">
        <v>530</v>
      </c>
      <c r="N765" s="233" t="s">
        <v>530</v>
      </c>
      <c r="O765" s="3" t="s">
        <v>1261</v>
      </c>
    </row>
    <row r="766" spans="1:15">
      <c r="A766">
        <v>287</v>
      </c>
      <c r="B766">
        <v>1712</v>
      </c>
      <c r="C766" t="s">
        <v>72</v>
      </c>
      <c r="D766" t="s">
        <v>209</v>
      </c>
      <c r="E766" s="232" t="s">
        <v>8305</v>
      </c>
      <c r="F766" t="s">
        <v>70</v>
      </c>
      <c r="G766">
        <v>2</v>
      </c>
      <c r="H766">
        <v>681.76599999999996</v>
      </c>
      <c r="I766">
        <v>680.37400000000002</v>
      </c>
      <c r="J766">
        <v>677.51</v>
      </c>
      <c r="K766">
        <v>675.15599999999995</v>
      </c>
      <c r="L766">
        <v>669.79</v>
      </c>
      <c r="M766" s="233" t="s">
        <v>530</v>
      </c>
      <c r="N766" s="233" t="s">
        <v>530</v>
      </c>
      <c r="O766" s="3" t="s">
        <v>1262</v>
      </c>
    </row>
    <row r="767" spans="1:15">
      <c r="A767">
        <v>287</v>
      </c>
      <c r="B767">
        <v>1707</v>
      </c>
      <c r="C767" t="s">
        <v>72</v>
      </c>
      <c r="D767" t="s">
        <v>209</v>
      </c>
      <c r="E767" s="232" t="s">
        <v>10547</v>
      </c>
      <c r="F767" t="s">
        <v>70</v>
      </c>
      <c r="G767">
        <v>2</v>
      </c>
      <c r="H767">
        <v>678.75400000000002</v>
      </c>
      <c r="I767">
        <v>677.41</v>
      </c>
      <c r="J767">
        <v>675.024</v>
      </c>
      <c r="K767">
        <v>672.63599999999997</v>
      </c>
      <c r="L767">
        <v>669.51400000000001</v>
      </c>
      <c r="M767" s="233" t="s">
        <v>530</v>
      </c>
      <c r="N767" s="233" t="s">
        <v>530</v>
      </c>
      <c r="O767" s="3" t="s">
        <v>1263</v>
      </c>
    </row>
    <row r="768" spans="1:15">
      <c r="A768">
        <v>289</v>
      </c>
      <c r="B768">
        <v>1726</v>
      </c>
      <c r="C768" t="s">
        <v>72</v>
      </c>
      <c r="D768" t="s">
        <v>209</v>
      </c>
      <c r="E768" s="232" t="s">
        <v>9622</v>
      </c>
      <c r="F768" t="s">
        <v>70</v>
      </c>
      <c r="G768">
        <v>2</v>
      </c>
      <c r="H768">
        <v>671.77599999999995</v>
      </c>
      <c r="I768">
        <v>670.30600000000004</v>
      </c>
      <c r="J768">
        <v>668.25400000000002</v>
      </c>
      <c r="K768">
        <v>666.4</v>
      </c>
      <c r="L768">
        <v>663.2</v>
      </c>
      <c r="M768" s="233" t="s">
        <v>530</v>
      </c>
      <c r="N768" s="233" t="s">
        <v>530</v>
      </c>
      <c r="O768" s="3" t="s">
        <v>1264</v>
      </c>
    </row>
    <row r="769" spans="1:15">
      <c r="A769">
        <v>287</v>
      </c>
      <c r="B769">
        <v>1724</v>
      </c>
      <c r="C769" t="s">
        <v>72</v>
      </c>
      <c r="D769" t="s">
        <v>209</v>
      </c>
      <c r="E769" s="232" t="s">
        <v>12977</v>
      </c>
      <c r="F769" t="s">
        <v>70</v>
      </c>
      <c r="G769">
        <v>2</v>
      </c>
      <c r="H769">
        <v>664.76599999999996</v>
      </c>
      <c r="I769">
        <v>663.48400000000004</v>
      </c>
      <c r="J769">
        <v>661.06600000000003</v>
      </c>
      <c r="K769">
        <v>658.96600000000001</v>
      </c>
      <c r="L769">
        <v>655.48400000000004</v>
      </c>
      <c r="M769" s="233" t="s">
        <v>530</v>
      </c>
      <c r="N769" s="233" t="s">
        <v>530</v>
      </c>
      <c r="O769" s="3" t="s">
        <v>1265</v>
      </c>
    </row>
    <row r="770" spans="1:15">
      <c r="A770">
        <v>288</v>
      </c>
      <c r="B770">
        <v>1729</v>
      </c>
      <c r="C770" t="s">
        <v>72</v>
      </c>
      <c r="D770" t="s">
        <v>209</v>
      </c>
      <c r="E770" s="232" t="s">
        <v>13116</v>
      </c>
      <c r="F770" t="s">
        <v>70</v>
      </c>
      <c r="G770">
        <v>2</v>
      </c>
      <c r="H770">
        <v>671.25900000000001</v>
      </c>
      <c r="I770">
        <v>669.81500000000005</v>
      </c>
      <c r="J770">
        <v>667.57</v>
      </c>
      <c r="K770">
        <v>665.31700000000001</v>
      </c>
      <c r="L770">
        <v>661.67700000000002</v>
      </c>
      <c r="M770" s="233" t="s">
        <v>530</v>
      </c>
      <c r="N770" s="233" t="s">
        <v>530</v>
      </c>
      <c r="O770" s="3" t="s">
        <v>1266</v>
      </c>
    </row>
    <row r="771" spans="1:15">
      <c r="A771">
        <v>287</v>
      </c>
      <c r="B771">
        <v>1706</v>
      </c>
      <c r="C771" t="s">
        <v>72</v>
      </c>
      <c r="D771" t="s">
        <v>209</v>
      </c>
      <c r="E771" s="232" t="s">
        <v>13354</v>
      </c>
      <c r="F771" t="s">
        <v>70</v>
      </c>
      <c r="G771">
        <v>2</v>
      </c>
      <c r="H771">
        <v>657.41600000000005</v>
      </c>
      <c r="I771">
        <v>656.25</v>
      </c>
      <c r="J771">
        <v>654.04999999999995</v>
      </c>
      <c r="K771">
        <v>651.85</v>
      </c>
      <c r="L771">
        <v>648.71600000000001</v>
      </c>
      <c r="M771" s="233" t="s">
        <v>530</v>
      </c>
      <c r="N771" s="233" t="s">
        <v>530</v>
      </c>
      <c r="O771" s="3" t="s">
        <v>1267</v>
      </c>
    </row>
    <row r="772" spans="1:15">
      <c r="A772">
        <v>287</v>
      </c>
      <c r="B772">
        <v>1728</v>
      </c>
      <c r="C772" t="s">
        <v>72</v>
      </c>
      <c r="D772" t="s">
        <v>209</v>
      </c>
      <c r="E772" s="232" t="s">
        <v>13353</v>
      </c>
      <c r="F772" t="s">
        <v>70</v>
      </c>
      <c r="G772">
        <v>2</v>
      </c>
      <c r="H772">
        <v>657.83399999999995</v>
      </c>
      <c r="I772">
        <v>656.25</v>
      </c>
      <c r="J772">
        <v>653.91600000000005</v>
      </c>
      <c r="K772">
        <v>651.70000000000005</v>
      </c>
      <c r="L772">
        <v>648.6</v>
      </c>
      <c r="M772" s="233" t="s">
        <v>530</v>
      </c>
      <c r="N772" s="233" t="s">
        <v>530</v>
      </c>
      <c r="O772" s="3" t="s">
        <v>1268</v>
      </c>
    </row>
    <row r="773" spans="1:15">
      <c r="A773">
        <v>287</v>
      </c>
      <c r="B773">
        <v>1732</v>
      </c>
      <c r="C773" t="s">
        <v>72</v>
      </c>
      <c r="D773" t="s">
        <v>209</v>
      </c>
      <c r="E773" s="232" t="s">
        <v>16633</v>
      </c>
      <c r="F773" t="s">
        <v>70</v>
      </c>
      <c r="G773">
        <v>2</v>
      </c>
      <c r="H773">
        <v>649.33399999999995</v>
      </c>
      <c r="I773">
        <v>648.04999999999995</v>
      </c>
      <c r="J773">
        <v>645.95000000000005</v>
      </c>
      <c r="K773">
        <v>644.04999999999995</v>
      </c>
      <c r="L773">
        <v>641.25</v>
      </c>
      <c r="M773" s="233" t="s">
        <v>530</v>
      </c>
      <c r="N773" s="233" t="s">
        <v>530</v>
      </c>
      <c r="O773" s="3" t="s">
        <v>1269</v>
      </c>
    </row>
    <row r="774" spans="1:15">
      <c r="A774">
        <v>287</v>
      </c>
      <c r="B774">
        <v>1735</v>
      </c>
      <c r="C774" t="s">
        <v>72</v>
      </c>
      <c r="D774" t="s">
        <v>209</v>
      </c>
      <c r="E774" s="232" t="s">
        <v>13611</v>
      </c>
      <c r="F774" t="s">
        <v>70</v>
      </c>
      <c r="G774">
        <v>2</v>
      </c>
      <c r="H774">
        <v>649.33399999999995</v>
      </c>
      <c r="I774">
        <v>648.04999999999995</v>
      </c>
      <c r="J774">
        <v>645.95000000000005</v>
      </c>
      <c r="K774">
        <v>644.04999999999995</v>
      </c>
      <c r="L774">
        <v>641.25</v>
      </c>
      <c r="M774" s="233" t="s">
        <v>530</v>
      </c>
      <c r="N774" s="233" t="s">
        <v>530</v>
      </c>
      <c r="O774" s="3" t="s">
        <v>1270</v>
      </c>
    </row>
    <row r="775" spans="1:15">
      <c r="A775">
        <v>287</v>
      </c>
      <c r="B775">
        <v>1734</v>
      </c>
      <c r="C775" t="s">
        <v>72</v>
      </c>
      <c r="D775" t="s">
        <v>209</v>
      </c>
      <c r="E775" s="232" t="s">
        <v>13692</v>
      </c>
      <c r="F775" t="s">
        <v>70</v>
      </c>
      <c r="G775">
        <v>2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s="233" t="s">
        <v>530</v>
      </c>
      <c r="N775" s="233" t="s">
        <v>530</v>
      </c>
      <c r="O775" s="3" t="s">
        <v>2623</v>
      </c>
    </row>
    <row r="776" spans="1:15">
      <c r="A776">
        <v>284</v>
      </c>
      <c r="B776">
        <v>1742</v>
      </c>
      <c r="C776" t="s">
        <v>72</v>
      </c>
      <c r="D776" t="s">
        <v>209</v>
      </c>
      <c r="E776" s="232" t="s">
        <v>8696</v>
      </c>
      <c r="F776" t="s">
        <v>71</v>
      </c>
      <c r="G776">
        <v>2</v>
      </c>
      <c r="H776">
        <v>709.76900000000001</v>
      </c>
      <c r="I776">
        <v>707.49</v>
      </c>
      <c r="J776">
        <v>703.53099999999995</v>
      </c>
      <c r="K776">
        <v>699.8</v>
      </c>
      <c r="L776">
        <v>694.98099999999999</v>
      </c>
      <c r="M776" s="233" t="s">
        <v>530</v>
      </c>
      <c r="N776" s="233" t="s">
        <v>530</v>
      </c>
      <c r="O776" s="3" t="s">
        <v>1271</v>
      </c>
    </row>
    <row r="777" spans="1:15">
      <c r="A777">
        <v>284</v>
      </c>
      <c r="B777">
        <v>1746</v>
      </c>
      <c r="C777" t="s">
        <v>72</v>
      </c>
      <c r="D777" t="s">
        <v>209</v>
      </c>
      <c r="E777" s="232" t="s">
        <v>10509</v>
      </c>
      <c r="F777" t="s">
        <v>71</v>
      </c>
      <c r="G777">
        <v>2</v>
      </c>
      <c r="H777">
        <v>707.49</v>
      </c>
      <c r="I777">
        <v>705.27599999999995</v>
      </c>
      <c r="J777">
        <v>701.12</v>
      </c>
      <c r="K777">
        <v>698.05499999999995</v>
      </c>
      <c r="L777">
        <v>693.37</v>
      </c>
      <c r="M777" s="233" t="s">
        <v>530</v>
      </c>
      <c r="N777" s="233" t="s">
        <v>530</v>
      </c>
      <c r="O777" s="3" t="s">
        <v>1272</v>
      </c>
    </row>
    <row r="778" spans="1:15">
      <c r="A778">
        <v>284</v>
      </c>
      <c r="B778">
        <v>1744</v>
      </c>
      <c r="C778" t="s">
        <v>72</v>
      </c>
      <c r="D778" t="s">
        <v>209</v>
      </c>
      <c r="E778" s="232" t="s">
        <v>8190</v>
      </c>
      <c r="F778" t="s">
        <v>71</v>
      </c>
      <c r="G778">
        <v>2</v>
      </c>
      <c r="H778">
        <v>706.88900000000001</v>
      </c>
      <c r="I778">
        <v>704.54100000000005</v>
      </c>
      <c r="J778">
        <v>700.53499999999997</v>
      </c>
      <c r="K778">
        <v>697.47</v>
      </c>
      <c r="L778">
        <v>692.82899999999995</v>
      </c>
      <c r="M778" s="233" t="s">
        <v>530</v>
      </c>
      <c r="N778" s="233" t="s">
        <v>530</v>
      </c>
      <c r="O778" s="3" t="s">
        <v>1273</v>
      </c>
    </row>
    <row r="779" spans="1:15">
      <c r="A779">
        <v>284</v>
      </c>
      <c r="B779">
        <v>1753</v>
      </c>
      <c r="C779" t="s">
        <v>72</v>
      </c>
      <c r="D779" t="s">
        <v>209</v>
      </c>
      <c r="E779" s="232" t="s">
        <v>9141</v>
      </c>
      <c r="F779" t="s">
        <v>71</v>
      </c>
      <c r="G779">
        <v>2</v>
      </c>
      <c r="H779">
        <v>706.02</v>
      </c>
      <c r="I779">
        <v>703.53099999999995</v>
      </c>
      <c r="J779">
        <v>699.8</v>
      </c>
      <c r="K779">
        <v>696.86900000000003</v>
      </c>
      <c r="L779">
        <v>692.21</v>
      </c>
      <c r="M779" s="233" t="s">
        <v>530</v>
      </c>
      <c r="N779" s="233" t="s">
        <v>530</v>
      </c>
      <c r="O779" s="3" t="s">
        <v>1274</v>
      </c>
    </row>
    <row r="780" spans="1:15">
      <c r="A780">
        <v>284</v>
      </c>
      <c r="B780">
        <v>1745</v>
      </c>
      <c r="C780" t="s">
        <v>72</v>
      </c>
      <c r="D780" t="s">
        <v>209</v>
      </c>
      <c r="E780" s="232" t="s">
        <v>8216</v>
      </c>
      <c r="F780" t="s">
        <v>71</v>
      </c>
      <c r="G780">
        <v>2</v>
      </c>
      <c r="H780">
        <v>705.27599999999995</v>
      </c>
      <c r="I780">
        <v>702.85599999999999</v>
      </c>
      <c r="J780">
        <v>699.21500000000003</v>
      </c>
      <c r="K780">
        <v>695.94100000000003</v>
      </c>
      <c r="L780">
        <v>691.68499999999995</v>
      </c>
      <c r="M780" s="233" t="s">
        <v>530</v>
      </c>
      <c r="N780" s="233" t="s">
        <v>530</v>
      </c>
      <c r="O780" s="3" t="s">
        <v>1275</v>
      </c>
    </row>
    <row r="781" spans="1:15">
      <c r="A781">
        <v>284</v>
      </c>
      <c r="B781">
        <v>1768</v>
      </c>
      <c r="C781" t="s">
        <v>72</v>
      </c>
      <c r="D781" t="s">
        <v>209</v>
      </c>
      <c r="E781" s="232" t="s">
        <v>7365</v>
      </c>
      <c r="F781" t="s">
        <v>71</v>
      </c>
      <c r="G781">
        <v>2</v>
      </c>
      <c r="H781">
        <v>705.27599999999995</v>
      </c>
      <c r="I781">
        <v>702.85599999999999</v>
      </c>
      <c r="J781">
        <v>699.21500000000003</v>
      </c>
      <c r="K781">
        <v>695.94100000000003</v>
      </c>
      <c r="L781">
        <v>691.68499999999995</v>
      </c>
      <c r="M781" s="233" t="s">
        <v>530</v>
      </c>
      <c r="N781" s="233" t="s">
        <v>530</v>
      </c>
      <c r="O781" s="3" t="s">
        <v>1276</v>
      </c>
    </row>
    <row r="782" spans="1:15">
      <c r="A782">
        <v>284</v>
      </c>
      <c r="B782">
        <v>1754</v>
      </c>
      <c r="C782" t="s">
        <v>72</v>
      </c>
      <c r="D782" t="s">
        <v>209</v>
      </c>
      <c r="E782" s="232" t="s">
        <v>8337</v>
      </c>
      <c r="F782" t="s">
        <v>71</v>
      </c>
      <c r="G782">
        <v>2</v>
      </c>
      <c r="H782">
        <v>699.06500000000005</v>
      </c>
      <c r="I782">
        <v>697.47</v>
      </c>
      <c r="J782">
        <v>694.38</v>
      </c>
      <c r="K782">
        <v>691.68499999999995</v>
      </c>
      <c r="L782">
        <v>687.52</v>
      </c>
      <c r="M782" s="233" t="s">
        <v>530</v>
      </c>
      <c r="N782" s="233" t="s">
        <v>530</v>
      </c>
      <c r="O782" s="3" t="s">
        <v>1277</v>
      </c>
    </row>
    <row r="783" spans="1:15">
      <c r="A783">
        <v>284</v>
      </c>
      <c r="B783">
        <v>1750</v>
      </c>
      <c r="C783" t="s">
        <v>72</v>
      </c>
      <c r="D783" t="s">
        <v>209</v>
      </c>
      <c r="E783" s="232" t="s">
        <v>11082</v>
      </c>
      <c r="F783" t="s">
        <v>71</v>
      </c>
      <c r="G783">
        <v>2</v>
      </c>
      <c r="H783">
        <v>697.47</v>
      </c>
      <c r="I783">
        <v>695.50599999999997</v>
      </c>
      <c r="J783">
        <v>692.82899999999995</v>
      </c>
      <c r="K783">
        <v>690.22400000000005</v>
      </c>
      <c r="L783">
        <v>686.2</v>
      </c>
      <c r="M783" s="233" t="s">
        <v>530</v>
      </c>
      <c r="N783" s="233" t="s">
        <v>530</v>
      </c>
      <c r="O783" s="3" t="s">
        <v>1278</v>
      </c>
    </row>
    <row r="784" spans="1:15">
      <c r="A784">
        <v>284</v>
      </c>
      <c r="B784">
        <v>1759</v>
      </c>
      <c r="C784" t="s">
        <v>72</v>
      </c>
      <c r="D784" t="s">
        <v>209</v>
      </c>
      <c r="E784" s="232" t="s">
        <v>8772</v>
      </c>
      <c r="F784" t="s">
        <v>71</v>
      </c>
      <c r="G784">
        <v>2</v>
      </c>
      <c r="H784">
        <v>696.22500000000002</v>
      </c>
      <c r="I784">
        <v>694.66399999999999</v>
      </c>
      <c r="J784">
        <v>691.96900000000005</v>
      </c>
      <c r="K784">
        <v>689.20500000000004</v>
      </c>
      <c r="L784">
        <v>685.19</v>
      </c>
      <c r="M784" s="233" t="s">
        <v>530</v>
      </c>
      <c r="N784" s="233" t="s">
        <v>530</v>
      </c>
      <c r="O784" s="3" t="s">
        <v>1279</v>
      </c>
    </row>
    <row r="785" spans="1:15">
      <c r="A785">
        <v>284</v>
      </c>
      <c r="B785">
        <v>1761</v>
      </c>
      <c r="C785" t="s">
        <v>72</v>
      </c>
      <c r="D785" t="s">
        <v>209</v>
      </c>
      <c r="E785" s="232" t="s">
        <v>8953</v>
      </c>
      <c r="F785" t="s">
        <v>71</v>
      </c>
      <c r="G785">
        <v>2</v>
      </c>
      <c r="H785">
        <v>695.50599999999997</v>
      </c>
      <c r="I785">
        <v>693.95500000000004</v>
      </c>
      <c r="J785">
        <v>691.22500000000002</v>
      </c>
      <c r="K785">
        <v>688.68</v>
      </c>
      <c r="L785">
        <v>684.64</v>
      </c>
      <c r="M785" s="233" t="s">
        <v>530</v>
      </c>
      <c r="N785" s="233" t="s">
        <v>530</v>
      </c>
      <c r="O785" s="3" t="s">
        <v>1280</v>
      </c>
    </row>
    <row r="786" spans="1:15">
      <c r="A786">
        <v>284</v>
      </c>
      <c r="B786">
        <v>1777</v>
      </c>
      <c r="C786" t="s">
        <v>72</v>
      </c>
      <c r="D786" t="s">
        <v>209</v>
      </c>
      <c r="E786" s="232" t="s">
        <v>542</v>
      </c>
      <c r="F786" t="s">
        <v>71</v>
      </c>
      <c r="G786">
        <v>2</v>
      </c>
      <c r="H786">
        <v>695.22299999999996</v>
      </c>
      <c r="I786">
        <v>693.64499999999998</v>
      </c>
      <c r="J786">
        <v>691.08399999999995</v>
      </c>
      <c r="K786">
        <v>688.34500000000003</v>
      </c>
      <c r="L786">
        <v>684.38099999999997</v>
      </c>
      <c r="M786" s="233" t="s">
        <v>530</v>
      </c>
      <c r="N786" s="233" t="s">
        <v>530</v>
      </c>
      <c r="O786" s="3" t="s">
        <v>1281</v>
      </c>
    </row>
    <row r="787" spans="1:15">
      <c r="A787">
        <v>284</v>
      </c>
      <c r="B787">
        <v>1756</v>
      </c>
      <c r="C787" t="s">
        <v>72</v>
      </c>
      <c r="D787" t="s">
        <v>209</v>
      </c>
      <c r="E787" s="232" t="s">
        <v>8232</v>
      </c>
      <c r="F787" t="s">
        <v>71</v>
      </c>
      <c r="G787">
        <v>2</v>
      </c>
      <c r="H787">
        <v>695.11500000000001</v>
      </c>
      <c r="I787">
        <v>693.37</v>
      </c>
      <c r="J787">
        <v>690.80899999999997</v>
      </c>
      <c r="K787">
        <v>688.19500000000005</v>
      </c>
      <c r="L787">
        <v>684.18899999999996</v>
      </c>
      <c r="M787" s="233" t="s">
        <v>530</v>
      </c>
      <c r="N787" s="233" t="s">
        <v>530</v>
      </c>
      <c r="O787" s="3" t="s">
        <v>1282</v>
      </c>
    </row>
    <row r="788" spans="1:15">
      <c r="A788">
        <v>284</v>
      </c>
      <c r="B788">
        <v>1778</v>
      </c>
      <c r="C788" t="s">
        <v>72</v>
      </c>
      <c r="D788" t="s">
        <v>209</v>
      </c>
      <c r="E788" s="232" t="s">
        <v>11266</v>
      </c>
      <c r="F788" t="s">
        <v>71</v>
      </c>
      <c r="G788">
        <v>2</v>
      </c>
      <c r="H788">
        <v>694.83100000000002</v>
      </c>
      <c r="I788">
        <v>693.23599999999999</v>
      </c>
      <c r="J788">
        <v>690.61500000000001</v>
      </c>
      <c r="K788">
        <v>687.94500000000005</v>
      </c>
      <c r="L788">
        <v>684.03899999999999</v>
      </c>
      <c r="M788" s="233" t="s">
        <v>530</v>
      </c>
      <c r="N788" s="233" t="s">
        <v>530</v>
      </c>
      <c r="O788" s="3" t="s">
        <v>1283</v>
      </c>
    </row>
    <row r="789" spans="1:15">
      <c r="A789">
        <v>284</v>
      </c>
      <c r="B789">
        <v>1765</v>
      </c>
      <c r="C789" t="s">
        <v>72</v>
      </c>
      <c r="D789" t="s">
        <v>209</v>
      </c>
      <c r="E789" s="232" t="s">
        <v>8804</v>
      </c>
      <c r="F789" t="s">
        <v>71</v>
      </c>
      <c r="G789">
        <v>2</v>
      </c>
      <c r="H789">
        <v>694.23</v>
      </c>
      <c r="I789">
        <v>692.50099999999998</v>
      </c>
      <c r="J789">
        <v>689.95600000000002</v>
      </c>
      <c r="K789">
        <v>687.32600000000002</v>
      </c>
      <c r="L789">
        <v>683.49599999999998</v>
      </c>
      <c r="M789" s="233" t="s">
        <v>530</v>
      </c>
      <c r="N789" s="233" t="s">
        <v>530</v>
      </c>
      <c r="O789" s="3" t="s">
        <v>1284</v>
      </c>
    </row>
    <row r="790" spans="1:15">
      <c r="A790">
        <v>284</v>
      </c>
      <c r="B790">
        <v>1752</v>
      </c>
      <c r="C790" t="s">
        <v>72</v>
      </c>
      <c r="D790" t="s">
        <v>209</v>
      </c>
      <c r="E790" s="232" t="s">
        <v>11323</v>
      </c>
      <c r="F790" t="s">
        <v>71</v>
      </c>
      <c r="G790">
        <v>2</v>
      </c>
      <c r="H790">
        <v>694.096</v>
      </c>
      <c r="I790">
        <v>692.36</v>
      </c>
      <c r="J790">
        <v>689.84</v>
      </c>
      <c r="K790">
        <v>687.17600000000004</v>
      </c>
      <c r="L790">
        <v>683.346</v>
      </c>
      <c r="M790" s="233" t="s">
        <v>530</v>
      </c>
      <c r="N790" s="233" t="s">
        <v>530</v>
      </c>
      <c r="O790" s="3" t="s">
        <v>1285</v>
      </c>
    </row>
    <row r="791" spans="1:15">
      <c r="A791">
        <v>284</v>
      </c>
      <c r="B791">
        <v>1766</v>
      </c>
      <c r="C791" t="s">
        <v>72</v>
      </c>
      <c r="D791" t="s">
        <v>209</v>
      </c>
      <c r="E791" s="232" t="s">
        <v>561</v>
      </c>
      <c r="F791" t="s">
        <v>71</v>
      </c>
      <c r="G791">
        <v>2</v>
      </c>
      <c r="H791">
        <v>692.36</v>
      </c>
      <c r="I791">
        <v>690.80899999999997</v>
      </c>
      <c r="J791">
        <v>688.19500000000005</v>
      </c>
      <c r="K791">
        <v>685.65899999999999</v>
      </c>
      <c r="L791">
        <v>681.88499999999999</v>
      </c>
      <c r="M791" s="233" t="s">
        <v>530</v>
      </c>
      <c r="N791" s="233" t="s">
        <v>530</v>
      </c>
      <c r="O791" s="3" t="s">
        <v>1286</v>
      </c>
    </row>
    <row r="792" spans="1:15">
      <c r="A792">
        <v>284</v>
      </c>
      <c r="B792">
        <v>1764</v>
      </c>
      <c r="C792" t="s">
        <v>72</v>
      </c>
      <c r="D792" t="s">
        <v>209</v>
      </c>
      <c r="E792" s="232" t="s">
        <v>8753</v>
      </c>
      <c r="F792" t="s">
        <v>71</v>
      </c>
      <c r="G792">
        <v>2</v>
      </c>
      <c r="H792">
        <v>692.21</v>
      </c>
      <c r="I792">
        <v>690.61500000000001</v>
      </c>
      <c r="J792">
        <v>687.94500000000005</v>
      </c>
      <c r="K792">
        <v>685.39099999999996</v>
      </c>
      <c r="L792">
        <v>681.63499999999999</v>
      </c>
      <c r="M792" s="233" t="s">
        <v>530</v>
      </c>
      <c r="N792" s="233" t="s">
        <v>530</v>
      </c>
      <c r="O792" s="3" t="s">
        <v>1287</v>
      </c>
    </row>
    <row r="793" spans="1:15">
      <c r="A793">
        <v>284</v>
      </c>
      <c r="B793">
        <v>1757</v>
      </c>
      <c r="C793" t="s">
        <v>72</v>
      </c>
      <c r="D793" t="s">
        <v>209</v>
      </c>
      <c r="E793" s="232" t="s">
        <v>8197</v>
      </c>
      <c r="F793" t="s">
        <v>71</v>
      </c>
      <c r="G793">
        <v>2</v>
      </c>
      <c r="H793">
        <v>691.68499999999995</v>
      </c>
      <c r="I793">
        <v>690.09</v>
      </c>
      <c r="J793">
        <v>687.52</v>
      </c>
      <c r="K793">
        <v>684.90599999999995</v>
      </c>
      <c r="L793">
        <v>681.15</v>
      </c>
      <c r="M793" s="233" t="s">
        <v>530</v>
      </c>
      <c r="N793" s="233" t="s">
        <v>530</v>
      </c>
      <c r="O793" s="3" t="s">
        <v>1288</v>
      </c>
    </row>
    <row r="794" spans="1:15">
      <c r="A794">
        <v>284</v>
      </c>
      <c r="B794">
        <v>1772</v>
      </c>
      <c r="C794" t="s">
        <v>72</v>
      </c>
      <c r="D794" t="s">
        <v>209</v>
      </c>
      <c r="E794" s="232" t="s">
        <v>11554</v>
      </c>
      <c r="F794" t="s">
        <v>71</v>
      </c>
      <c r="G794">
        <v>2</v>
      </c>
      <c r="H794">
        <v>691.08399999999995</v>
      </c>
      <c r="I794">
        <v>689.48900000000003</v>
      </c>
      <c r="J794">
        <v>686.91899999999998</v>
      </c>
      <c r="K794">
        <v>684.38099999999997</v>
      </c>
      <c r="L794">
        <v>680.625</v>
      </c>
      <c r="M794" s="233" t="s">
        <v>530</v>
      </c>
      <c r="N794" s="233" t="s">
        <v>530</v>
      </c>
      <c r="O794" s="3" t="s">
        <v>1289</v>
      </c>
    </row>
    <row r="795" spans="1:15">
      <c r="A795">
        <v>284</v>
      </c>
      <c r="B795">
        <v>1774</v>
      </c>
      <c r="C795" t="s">
        <v>72</v>
      </c>
      <c r="D795" t="s">
        <v>209</v>
      </c>
      <c r="E795" s="232" t="s">
        <v>499</v>
      </c>
      <c r="F795" t="s">
        <v>71</v>
      </c>
      <c r="G795">
        <v>2</v>
      </c>
      <c r="H795">
        <v>690.80899999999997</v>
      </c>
      <c r="I795">
        <v>689.20500000000004</v>
      </c>
      <c r="J795">
        <v>686.65099999999995</v>
      </c>
      <c r="K795">
        <v>684.18899999999996</v>
      </c>
      <c r="L795">
        <v>680.34100000000001</v>
      </c>
      <c r="M795" s="233" t="s">
        <v>530</v>
      </c>
      <c r="N795" s="233" t="s">
        <v>530</v>
      </c>
      <c r="O795" s="3" t="s">
        <v>1290</v>
      </c>
    </row>
    <row r="796" spans="1:15">
      <c r="A796">
        <v>284</v>
      </c>
      <c r="B796">
        <v>1769</v>
      </c>
      <c r="C796" t="s">
        <v>72</v>
      </c>
      <c r="D796" t="s">
        <v>209</v>
      </c>
      <c r="E796" s="232" t="s">
        <v>501</v>
      </c>
      <c r="F796" t="s">
        <v>71</v>
      </c>
      <c r="G796">
        <v>2</v>
      </c>
      <c r="H796">
        <v>690.49900000000002</v>
      </c>
      <c r="I796">
        <v>688.94600000000003</v>
      </c>
      <c r="J796">
        <v>686.33399999999995</v>
      </c>
      <c r="K796">
        <v>683.755</v>
      </c>
      <c r="L796">
        <v>680.01499999999999</v>
      </c>
      <c r="M796" s="233" t="s">
        <v>530</v>
      </c>
      <c r="N796" s="233" t="s">
        <v>530</v>
      </c>
      <c r="O796" s="3" t="s">
        <v>1291</v>
      </c>
    </row>
    <row r="797" spans="1:15">
      <c r="A797">
        <v>284</v>
      </c>
      <c r="B797">
        <v>1775</v>
      </c>
      <c r="C797" t="s">
        <v>72</v>
      </c>
      <c r="D797" t="s">
        <v>209</v>
      </c>
      <c r="E797" s="232" t="s">
        <v>8797</v>
      </c>
      <c r="F797" t="s">
        <v>71</v>
      </c>
      <c r="G797">
        <v>2</v>
      </c>
      <c r="H797">
        <v>690.49900000000002</v>
      </c>
      <c r="I797">
        <v>688.94600000000003</v>
      </c>
      <c r="J797">
        <v>686.33399999999995</v>
      </c>
      <c r="K797">
        <v>683.755</v>
      </c>
      <c r="L797">
        <v>680.01499999999999</v>
      </c>
      <c r="M797" s="233" t="s">
        <v>530</v>
      </c>
      <c r="N797" s="233" t="s">
        <v>530</v>
      </c>
      <c r="O797" s="3" t="s">
        <v>1292</v>
      </c>
    </row>
    <row r="798" spans="1:15">
      <c r="A798">
        <v>284</v>
      </c>
      <c r="B798">
        <v>1770</v>
      </c>
      <c r="C798" t="s">
        <v>72</v>
      </c>
      <c r="D798" t="s">
        <v>209</v>
      </c>
      <c r="E798" s="232" t="s">
        <v>9657</v>
      </c>
      <c r="F798" t="s">
        <v>71</v>
      </c>
      <c r="G798">
        <v>2</v>
      </c>
      <c r="H798">
        <v>687.94500000000005</v>
      </c>
      <c r="I798">
        <v>686.33399999999995</v>
      </c>
      <c r="J798">
        <v>683.755</v>
      </c>
      <c r="K798">
        <v>681.50099999999998</v>
      </c>
      <c r="L798">
        <v>677.87900000000002</v>
      </c>
      <c r="M798" s="233" t="s">
        <v>530</v>
      </c>
      <c r="N798" s="233" t="s">
        <v>530</v>
      </c>
      <c r="O798" s="3" t="s">
        <v>1293</v>
      </c>
    </row>
    <row r="799" spans="1:15">
      <c r="A799">
        <v>284</v>
      </c>
      <c r="B799">
        <v>1763</v>
      </c>
      <c r="C799" t="s">
        <v>72</v>
      </c>
      <c r="D799" t="s">
        <v>209</v>
      </c>
      <c r="E799" s="232" t="s">
        <v>560</v>
      </c>
      <c r="F799" t="s">
        <v>71</v>
      </c>
      <c r="G799">
        <v>2</v>
      </c>
      <c r="H799">
        <v>686.65099999999995</v>
      </c>
      <c r="I799">
        <v>685.19</v>
      </c>
      <c r="J799">
        <v>682.745</v>
      </c>
      <c r="K799">
        <v>680.34100000000001</v>
      </c>
      <c r="L799">
        <v>676.87699999999995</v>
      </c>
      <c r="M799" s="233" t="s">
        <v>530</v>
      </c>
      <c r="N799" s="233" t="s">
        <v>530</v>
      </c>
      <c r="O799" s="3" t="s">
        <v>1294</v>
      </c>
    </row>
    <row r="800" spans="1:15">
      <c r="A800">
        <v>206</v>
      </c>
      <c r="B800">
        <v>1780</v>
      </c>
      <c r="C800" t="s">
        <v>72</v>
      </c>
      <c r="D800" t="s">
        <v>212</v>
      </c>
      <c r="E800" s="232" t="s">
        <v>9611</v>
      </c>
      <c r="F800" t="s">
        <v>70</v>
      </c>
      <c r="G800">
        <v>2</v>
      </c>
      <c r="H800">
        <v>913.06100000000004</v>
      </c>
      <c r="I800">
        <v>909.64099999999996</v>
      </c>
      <c r="J800">
        <v>903.94</v>
      </c>
      <c r="K800">
        <v>898.23800000000006</v>
      </c>
      <c r="L800">
        <v>888.62599999999998</v>
      </c>
      <c r="M800" s="233" t="s">
        <v>532</v>
      </c>
      <c r="N800" s="233" t="s">
        <v>532</v>
      </c>
      <c r="O800" s="3" t="s">
        <v>1295</v>
      </c>
    </row>
    <row r="801" spans="1:15">
      <c r="A801">
        <v>206</v>
      </c>
      <c r="B801">
        <v>1784</v>
      </c>
      <c r="C801" t="s">
        <v>72</v>
      </c>
      <c r="D801" t="s">
        <v>212</v>
      </c>
      <c r="E801" s="232" t="s">
        <v>8283</v>
      </c>
      <c r="F801" t="s">
        <v>70</v>
      </c>
      <c r="G801">
        <v>2</v>
      </c>
      <c r="H801">
        <v>890.27800000000002</v>
      </c>
      <c r="I801">
        <v>886.19799999999998</v>
      </c>
      <c r="J801">
        <v>881.35599999999999</v>
      </c>
      <c r="K801">
        <v>874.75599999999997</v>
      </c>
      <c r="L801">
        <v>869.048</v>
      </c>
      <c r="M801" s="233" t="s">
        <v>532</v>
      </c>
      <c r="N801" s="233" t="s">
        <v>532</v>
      </c>
      <c r="O801" s="3" t="s">
        <v>1296</v>
      </c>
    </row>
    <row r="802" spans="1:15">
      <c r="A802">
        <v>204</v>
      </c>
      <c r="B802">
        <v>1782</v>
      </c>
      <c r="C802" t="s">
        <v>72</v>
      </c>
      <c r="D802" t="s">
        <v>212</v>
      </c>
      <c r="E802" s="232" t="s">
        <v>8633</v>
      </c>
      <c r="F802" t="s">
        <v>70</v>
      </c>
      <c r="G802">
        <v>2</v>
      </c>
      <c r="H802">
        <v>889.55200000000002</v>
      </c>
      <c r="I802">
        <v>884.69</v>
      </c>
      <c r="J802">
        <v>880.26</v>
      </c>
      <c r="K802">
        <v>873.84900000000005</v>
      </c>
      <c r="L802">
        <v>867.25699999999995</v>
      </c>
      <c r="M802" s="233" t="s">
        <v>532</v>
      </c>
      <c r="N802" s="233" t="s">
        <v>532</v>
      </c>
      <c r="O802" s="3" t="s">
        <v>1297</v>
      </c>
    </row>
    <row r="803" spans="1:15">
      <c r="A803">
        <v>204</v>
      </c>
      <c r="B803">
        <v>1781</v>
      </c>
      <c r="C803" t="s">
        <v>72</v>
      </c>
      <c r="D803" t="s">
        <v>212</v>
      </c>
      <c r="E803" s="232" t="s">
        <v>11074</v>
      </c>
      <c r="F803" t="s">
        <v>70</v>
      </c>
      <c r="G803">
        <v>2</v>
      </c>
      <c r="H803">
        <v>872.06899999999996</v>
      </c>
      <c r="I803">
        <v>870.97900000000004</v>
      </c>
      <c r="J803">
        <v>869.77499999999998</v>
      </c>
      <c r="K803">
        <v>867.02700000000004</v>
      </c>
      <c r="L803">
        <v>862.17200000000003</v>
      </c>
      <c r="M803" s="233" t="s">
        <v>532</v>
      </c>
      <c r="N803" s="233" t="s">
        <v>532</v>
      </c>
      <c r="O803" s="3" t="s">
        <v>1298</v>
      </c>
    </row>
    <row r="804" spans="1:15">
      <c r="A804">
        <v>206</v>
      </c>
      <c r="B804">
        <v>1783</v>
      </c>
      <c r="C804" t="s">
        <v>72</v>
      </c>
      <c r="D804" t="s">
        <v>212</v>
      </c>
      <c r="E804" s="232" t="s">
        <v>11568</v>
      </c>
      <c r="F804" t="s">
        <v>70</v>
      </c>
      <c r="G804">
        <v>2</v>
      </c>
      <c r="H804">
        <v>874.91899999999998</v>
      </c>
      <c r="I804">
        <v>872.40099999999995</v>
      </c>
      <c r="J804">
        <v>868.84799999999996</v>
      </c>
      <c r="K804">
        <v>863.83100000000002</v>
      </c>
      <c r="L804">
        <v>857.41399999999999</v>
      </c>
      <c r="M804" s="233" t="s">
        <v>532</v>
      </c>
      <c r="N804" s="233" t="s">
        <v>532</v>
      </c>
      <c r="O804" s="3" t="s">
        <v>1299</v>
      </c>
    </row>
    <row r="805" spans="1:15">
      <c r="A805">
        <v>206</v>
      </c>
      <c r="B805">
        <v>1787</v>
      </c>
      <c r="C805" t="s">
        <v>72</v>
      </c>
      <c r="D805" t="s">
        <v>212</v>
      </c>
      <c r="E805" s="232" t="s">
        <v>8384</v>
      </c>
      <c r="F805" t="s">
        <v>70</v>
      </c>
      <c r="G805">
        <v>2</v>
      </c>
      <c r="H805">
        <v>871.34699999999998</v>
      </c>
      <c r="I805">
        <v>869.048</v>
      </c>
      <c r="J805">
        <v>865.11500000000001</v>
      </c>
      <c r="K805">
        <v>859.40499999999997</v>
      </c>
      <c r="L805">
        <v>852.601</v>
      </c>
      <c r="M805" s="233" t="s">
        <v>532</v>
      </c>
      <c r="N805" s="233" t="s">
        <v>532</v>
      </c>
      <c r="O805" s="3" t="s">
        <v>1300</v>
      </c>
    </row>
    <row r="806" spans="1:15">
      <c r="A806">
        <v>206</v>
      </c>
      <c r="B806">
        <v>1789</v>
      </c>
      <c r="C806" t="s">
        <v>72</v>
      </c>
      <c r="D806" t="s">
        <v>212</v>
      </c>
      <c r="E806" s="232" t="s">
        <v>9345</v>
      </c>
      <c r="F806" t="s">
        <v>70</v>
      </c>
      <c r="G806">
        <v>2</v>
      </c>
      <c r="H806">
        <v>869.19299999999998</v>
      </c>
      <c r="I806">
        <v>866.71299999999997</v>
      </c>
      <c r="J806">
        <v>862.31600000000003</v>
      </c>
      <c r="K806">
        <v>857.20899999999995</v>
      </c>
      <c r="L806">
        <v>850.173</v>
      </c>
      <c r="M806" s="233" t="s">
        <v>532</v>
      </c>
      <c r="N806" s="233" t="s">
        <v>532</v>
      </c>
      <c r="O806" s="3" t="s">
        <v>1301</v>
      </c>
    </row>
    <row r="807" spans="1:15">
      <c r="A807">
        <v>206</v>
      </c>
      <c r="B807">
        <v>1823</v>
      </c>
      <c r="C807" t="s">
        <v>72</v>
      </c>
      <c r="D807" t="s">
        <v>212</v>
      </c>
      <c r="E807" s="232" t="s">
        <v>8168</v>
      </c>
      <c r="F807" t="s">
        <v>70</v>
      </c>
      <c r="G807">
        <v>2</v>
      </c>
      <c r="H807">
        <v>867.76400000000001</v>
      </c>
      <c r="I807">
        <v>865.42899999999997</v>
      </c>
      <c r="J807">
        <v>861.07</v>
      </c>
      <c r="K807">
        <v>855.92499999999995</v>
      </c>
      <c r="L807">
        <v>849.25800000000004</v>
      </c>
      <c r="M807" s="233" t="s">
        <v>532</v>
      </c>
      <c r="N807" s="233" t="s">
        <v>532</v>
      </c>
      <c r="O807" s="3" t="s">
        <v>1302</v>
      </c>
    </row>
    <row r="808" spans="1:15">
      <c r="A808">
        <v>205</v>
      </c>
      <c r="B808">
        <v>1792</v>
      </c>
      <c r="C808" t="s">
        <v>72</v>
      </c>
      <c r="D808" t="s">
        <v>212</v>
      </c>
      <c r="E808" s="232" t="s">
        <v>7910</v>
      </c>
      <c r="F808" t="s">
        <v>70</v>
      </c>
      <c r="G808">
        <v>2</v>
      </c>
      <c r="H808">
        <v>867.02700000000004</v>
      </c>
      <c r="I808">
        <v>864.73800000000006</v>
      </c>
      <c r="J808">
        <v>860.17399999999998</v>
      </c>
      <c r="K808">
        <v>854.82899999999995</v>
      </c>
      <c r="L808">
        <v>848.31</v>
      </c>
      <c r="M808" s="233" t="s">
        <v>532</v>
      </c>
      <c r="N808" s="233" t="s">
        <v>532</v>
      </c>
      <c r="O808" s="3" t="s">
        <v>1303</v>
      </c>
    </row>
    <row r="809" spans="1:15">
      <c r="A809">
        <v>206</v>
      </c>
      <c r="B809">
        <v>1786</v>
      </c>
      <c r="C809" t="s">
        <v>72</v>
      </c>
      <c r="D809" t="s">
        <v>212</v>
      </c>
      <c r="E809" s="232" t="s">
        <v>418</v>
      </c>
      <c r="F809" t="s">
        <v>70</v>
      </c>
      <c r="G809">
        <v>2</v>
      </c>
      <c r="H809">
        <v>864.14400000000001</v>
      </c>
      <c r="I809">
        <v>861.77200000000005</v>
      </c>
      <c r="J809">
        <v>857.75300000000004</v>
      </c>
      <c r="K809">
        <v>852.43100000000004</v>
      </c>
      <c r="L809">
        <v>846.46199999999999</v>
      </c>
      <c r="M809" s="233" t="s">
        <v>532</v>
      </c>
      <c r="N809" s="233" t="s">
        <v>532</v>
      </c>
      <c r="O809" s="3" t="s">
        <v>1304</v>
      </c>
    </row>
    <row r="810" spans="1:15">
      <c r="A810">
        <v>206</v>
      </c>
      <c r="B810">
        <v>1794</v>
      </c>
      <c r="C810" t="s">
        <v>72</v>
      </c>
      <c r="D810" t="s">
        <v>212</v>
      </c>
      <c r="E810" s="232" t="s">
        <v>8305</v>
      </c>
      <c r="F810" t="s">
        <v>70</v>
      </c>
      <c r="G810">
        <v>2</v>
      </c>
      <c r="H810">
        <v>859.82399999999996</v>
      </c>
      <c r="I810">
        <v>857.41399999999999</v>
      </c>
      <c r="J810">
        <v>852.76400000000001</v>
      </c>
      <c r="K810">
        <v>848.12099999999998</v>
      </c>
      <c r="L810">
        <v>842.48400000000004</v>
      </c>
      <c r="M810" s="233" t="s">
        <v>532</v>
      </c>
      <c r="N810" s="233" t="s">
        <v>532</v>
      </c>
      <c r="O810" s="3" t="s">
        <v>1305</v>
      </c>
    </row>
    <row r="811" spans="1:15">
      <c r="A811">
        <v>204</v>
      </c>
      <c r="B811">
        <v>1820</v>
      </c>
      <c r="C811" t="s">
        <v>72</v>
      </c>
      <c r="D811" t="s">
        <v>212</v>
      </c>
      <c r="E811" s="232" t="s">
        <v>12482</v>
      </c>
      <c r="F811" t="s">
        <v>70</v>
      </c>
      <c r="G811">
        <v>2</v>
      </c>
      <c r="H811">
        <v>855.92499999999995</v>
      </c>
      <c r="I811">
        <v>853.327</v>
      </c>
      <c r="J811">
        <v>849.428</v>
      </c>
      <c r="K811">
        <v>845.20299999999997</v>
      </c>
      <c r="L811">
        <v>839.91899999999998</v>
      </c>
      <c r="M811" s="233" t="s">
        <v>532</v>
      </c>
      <c r="N811" s="233" t="s">
        <v>532</v>
      </c>
      <c r="O811" s="3" t="s">
        <v>1306</v>
      </c>
    </row>
    <row r="812" spans="1:15">
      <c r="A812">
        <v>204</v>
      </c>
      <c r="B812">
        <v>1793</v>
      </c>
      <c r="C812" t="s">
        <v>72</v>
      </c>
      <c r="D812" t="s">
        <v>212</v>
      </c>
      <c r="E812" s="232" t="s">
        <v>8669</v>
      </c>
      <c r="F812" t="s">
        <v>70</v>
      </c>
      <c r="G812">
        <v>2</v>
      </c>
      <c r="H812">
        <v>855.73599999999999</v>
      </c>
      <c r="I812">
        <v>853.13900000000001</v>
      </c>
      <c r="J812">
        <v>848.70899999999995</v>
      </c>
      <c r="K812">
        <v>844.50099999999998</v>
      </c>
      <c r="L812">
        <v>838.96699999999998</v>
      </c>
      <c r="M812" s="233" t="s">
        <v>532</v>
      </c>
      <c r="N812" s="233" t="s">
        <v>532</v>
      </c>
      <c r="O812" s="3" t="s">
        <v>1307</v>
      </c>
    </row>
    <row r="813" spans="1:15">
      <c r="A813">
        <v>204</v>
      </c>
      <c r="B813">
        <v>1797</v>
      </c>
      <c r="C813" t="s">
        <v>72</v>
      </c>
      <c r="D813" t="s">
        <v>212</v>
      </c>
      <c r="E813" s="232" t="s">
        <v>555</v>
      </c>
      <c r="F813" t="s">
        <v>70</v>
      </c>
      <c r="G813">
        <v>2</v>
      </c>
      <c r="H813">
        <v>854.41</v>
      </c>
      <c r="I813">
        <v>852.01300000000003</v>
      </c>
      <c r="J813">
        <v>848.12099999999998</v>
      </c>
      <c r="K813">
        <v>843.79399999999998</v>
      </c>
      <c r="L813">
        <v>838.49</v>
      </c>
      <c r="M813" s="233" t="s">
        <v>532</v>
      </c>
      <c r="N813" s="233" t="s">
        <v>532</v>
      </c>
      <c r="O813" s="3" t="s">
        <v>1308</v>
      </c>
    </row>
    <row r="814" spans="1:15">
      <c r="A814">
        <v>206</v>
      </c>
      <c r="B814">
        <v>1790</v>
      </c>
      <c r="C814" t="s">
        <v>72</v>
      </c>
      <c r="D814" t="s">
        <v>212</v>
      </c>
      <c r="E814" s="232" t="s">
        <v>7353</v>
      </c>
      <c r="F814" t="s">
        <v>70</v>
      </c>
      <c r="G814">
        <v>2</v>
      </c>
      <c r="H814">
        <v>853.90800000000002</v>
      </c>
      <c r="I814">
        <v>851.505</v>
      </c>
      <c r="J814">
        <v>847.97699999999998</v>
      </c>
      <c r="K814">
        <v>843.60500000000002</v>
      </c>
      <c r="L814">
        <v>838.30100000000004</v>
      </c>
      <c r="M814" s="233" t="s">
        <v>532</v>
      </c>
      <c r="N814" s="233" t="s">
        <v>532</v>
      </c>
      <c r="O814" s="3" t="s">
        <v>1309</v>
      </c>
    </row>
    <row r="815" spans="1:15">
      <c r="A815">
        <v>204</v>
      </c>
      <c r="B815">
        <v>1808</v>
      </c>
      <c r="C815" t="s">
        <v>72</v>
      </c>
      <c r="D815" t="s">
        <v>212</v>
      </c>
      <c r="E815" s="232" t="s">
        <v>12689</v>
      </c>
      <c r="F815" t="s">
        <v>70</v>
      </c>
      <c r="G815">
        <v>2</v>
      </c>
      <c r="H815">
        <v>850.173</v>
      </c>
      <c r="I815">
        <v>848.12099999999998</v>
      </c>
      <c r="J815">
        <v>844.10799999999995</v>
      </c>
      <c r="K815">
        <v>840.08799999999997</v>
      </c>
      <c r="L815">
        <v>834.42899999999997</v>
      </c>
      <c r="M815" s="233" t="s">
        <v>532</v>
      </c>
      <c r="N815" s="233" t="s">
        <v>532</v>
      </c>
      <c r="O815" s="3" t="s">
        <v>1310</v>
      </c>
    </row>
    <row r="816" spans="1:15">
      <c r="A816">
        <v>204</v>
      </c>
      <c r="B816">
        <v>1804</v>
      </c>
      <c r="C816" t="s">
        <v>72</v>
      </c>
      <c r="D816" t="s">
        <v>212</v>
      </c>
      <c r="E816" s="232" t="s">
        <v>12712</v>
      </c>
      <c r="F816" t="s">
        <v>70</v>
      </c>
      <c r="G816">
        <v>2</v>
      </c>
      <c r="H816">
        <v>849.84699999999998</v>
      </c>
      <c r="I816">
        <v>847.78800000000001</v>
      </c>
      <c r="J816">
        <v>843.93799999999999</v>
      </c>
      <c r="K816">
        <v>839.91899999999998</v>
      </c>
      <c r="L816">
        <v>834.07100000000003</v>
      </c>
      <c r="M816" s="233" t="s">
        <v>532</v>
      </c>
      <c r="N816" s="233" t="s">
        <v>532</v>
      </c>
      <c r="O816" s="3" t="s">
        <v>1311</v>
      </c>
    </row>
    <row r="817" spans="1:15">
      <c r="A817">
        <v>206</v>
      </c>
      <c r="B817">
        <v>1813</v>
      </c>
      <c r="C817" t="s">
        <v>72</v>
      </c>
      <c r="D817" t="s">
        <v>212</v>
      </c>
      <c r="E817" s="232" t="s">
        <v>541</v>
      </c>
      <c r="F817" t="s">
        <v>70</v>
      </c>
      <c r="G817">
        <v>2</v>
      </c>
      <c r="H817">
        <v>846.46199999999999</v>
      </c>
      <c r="I817">
        <v>844.33799999999997</v>
      </c>
      <c r="J817">
        <v>840.81399999999996</v>
      </c>
      <c r="K817">
        <v>836.43600000000004</v>
      </c>
      <c r="L817">
        <v>830.72799999999995</v>
      </c>
      <c r="M817" s="233" t="s">
        <v>532</v>
      </c>
      <c r="N817" s="233" t="s">
        <v>532</v>
      </c>
      <c r="O817" s="3" t="s">
        <v>1312</v>
      </c>
    </row>
    <row r="818" spans="1:15">
      <c r="A818">
        <v>206</v>
      </c>
      <c r="B818">
        <v>1799</v>
      </c>
      <c r="C818" t="s">
        <v>72</v>
      </c>
      <c r="D818" t="s">
        <v>212</v>
      </c>
      <c r="E818" s="232" t="s">
        <v>8323</v>
      </c>
      <c r="F818" t="s">
        <v>70</v>
      </c>
      <c r="G818">
        <v>2</v>
      </c>
      <c r="H818">
        <v>844.64499999999998</v>
      </c>
      <c r="I818">
        <v>842.84199999999998</v>
      </c>
      <c r="J818">
        <v>839.74900000000002</v>
      </c>
      <c r="K818">
        <v>835.16700000000003</v>
      </c>
      <c r="L818">
        <v>829.42100000000005</v>
      </c>
      <c r="M818" s="233" t="s">
        <v>532</v>
      </c>
      <c r="N818" s="233" t="s">
        <v>532</v>
      </c>
      <c r="O818" s="3" t="s">
        <v>1313</v>
      </c>
    </row>
    <row r="819" spans="1:15">
      <c r="A819">
        <v>206</v>
      </c>
      <c r="B819">
        <v>1815</v>
      </c>
      <c r="C819" t="s">
        <v>72</v>
      </c>
      <c r="D819" t="s">
        <v>212</v>
      </c>
      <c r="E819" s="232" t="s">
        <v>12952</v>
      </c>
      <c r="F819" t="s">
        <v>70</v>
      </c>
      <c r="G819">
        <v>2</v>
      </c>
      <c r="H819">
        <v>843.40499999999997</v>
      </c>
      <c r="I819">
        <v>841.577</v>
      </c>
      <c r="J819">
        <v>838.30100000000004</v>
      </c>
      <c r="K819">
        <v>833.71900000000005</v>
      </c>
      <c r="L819">
        <v>827.99300000000005</v>
      </c>
      <c r="M819" s="233" t="s">
        <v>532</v>
      </c>
      <c r="N819" s="233" t="s">
        <v>532</v>
      </c>
      <c r="O819" s="3" t="s">
        <v>1314</v>
      </c>
    </row>
    <row r="820" spans="1:15">
      <c r="A820">
        <v>204</v>
      </c>
      <c r="B820">
        <v>1788</v>
      </c>
      <c r="C820" t="s">
        <v>72</v>
      </c>
      <c r="D820" t="s">
        <v>212</v>
      </c>
      <c r="E820" s="232" t="s">
        <v>12954</v>
      </c>
      <c r="F820" t="s">
        <v>70</v>
      </c>
      <c r="G820">
        <v>2</v>
      </c>
      <c r="H820">
        <v>843.60500000000002</v>
      </c>
      <c r="I820">
        <v>841.74699999999996</v>
      </c>
      <c r="J820">
        <v>837.721</v>
      </c>
      <c r="K820">
        <v>833.30799999999999</v>
      </c>
      <c r="L820">
        <v>827.45399999999995</v>
      </c>
      <c r="M820" s="233" t="s">
        <v>532</v>
      </c>
      <c r="N820" s="233" t="s">
        <v>532</v>
      </c>
      <c r="O820" s="3" t="s">
        <v>1315</v>
      </c>
    </row>
    <row r="821" spans="1:15">
      <c r="A821">
        <v>204</v>
      </c>
      <c r="B821">
        <v>1814</v>
      </c>
      <c r="C821" t="s">
        <v>72</v>
      </c>
      <c r="D821" t="s">
        <v>212</v>
      </c>
      <c r="E821" s="232" t="s">
        <v>12991</v>
      </c>
      <c r="F821" t="s">
        <v>70</v>
      </c>
      <c r="G821">
        <v>2</v>
      </c>
      <c r="H821">
        <v>842.84199999999998</v>
      </c>
      <c r="I821">
        <v>841.18399999999997</v>
      </c>
      <c r="J821">
        <v>837.15800000000002</v>
      </c>
      <c r="K821">
        <v>832.745</v>
      </c>
      <c r="L821">
        <v>826.89099999999996</v>
      </c>
      <c r="M821" s="233" t="s">
        <v>532</v>
      </c>
      <c r="N821" s="233" t="s">
        <v>532</v>
      </c>
      <c r="O821" s="3" t="s">
        <v>1316</v>
      </c>
    </row>
    <row r="822" spans="1:15">
      <c r="A822">
        <v>204</v>
      </c>
      <c r="B822">
        <v>1801</v>
      </c>
      <c r="C822" t="s">
        <v>72</v>
      </c>
      <c r="D822" t="s">
        <v>212</v>
      </c>
      <c r="E822" s="232" t="s">
        <v>8197</v>
      </c>
      <c r="F822" t="s">
        <v>70</v>
      </c>
      <c r="G822">
        <v>2</v>
      </c>
      <c r="H822">
        <v>840.625</v>
      </c>
      <c r="I822">
        <v>838.82299999999998</v>
      </c>
      <c r="J822">
        <v>834.61400000000003</v>
      </c>
      <c r="K822">
        <v>830.31700000000001</v>
      </c>
      <c r="L822">
        <v>824.51900000000001</v>
      </c>
      <c r="M822" s="233" t="s">
        <v>532</v>
      </c>
      <c r="N822" s="233" t="s">
        <v>532</v>
      </c>
      <c r="O822" s="3" t="s">
        <v>1317</v>
      </c>
    </row>
    <row r="823" spans="1:15">
      <c r="A823">
        <v>204</v>
      </c>
      <c r="B823">
        <v>1825</v>
      </c>
      <c r="C823" t="s">
        <v>72</v>
      </c>
      <c r="D823" t="s">
        <v>212</v>
      </c>
      <c r="E823" s="232" t="s">
        <v>13235</v>
      </c>
      <c r="F823" t="s">
        <v>70</v>
      </c>
      <c r="G823">
        <v>2</v>
      </c>
      <c r="H823">
        <v>838.49</v>
      </c>
      <c r="I823">
        <v>836.06200000000001</v>
      </c>
      <c r="J823">
        <v>832.745</v>
      </c>
      <c r="K823">
        <v>828.34500000000003</v>
      </c>
      <c r="L823">
        <v>822.34299999999996</v>
      </c>
      <c r="M823" s="233" t="s">
        <v>532</v>
      </c>
      <c r="N823" s="233" t="s">
        <v>532</v>
      </c>
      <c r="O823" s="3" t="s">
        <v>1318</v>
      </c>
    </row>
    <row r="824" spans="1:15">
      <c r="A824">
        <v>204</v>
      </c>
      <c r="B824">
        <v>1798</v>
      </c>
      <c r="C824" t="s">
        <v>72</v>
      </c>
      <c r="D824" t="s">
        <v>212</v>
      </c>
      <c r="E824" s="232" t="s">
        <v>13240</v>
      </c>
      <c r="F824" t="s">
        <v>70</v>
      </c>
      <c r="G824">
        <v>2</v>
      </c>
      <c r="H824">
        <v>838.30100000000004</v>
      </c>
      <c r="I824">
        <v>836.06200000000001</v>
      </c>
      <c r="J824">
        <v>832.04300000000001</v>
      </c>
      <c r="K824">
        <v>827.45399999999995</v>
      </c>
      <c r="L824">
        <v>821.82600000000002</v>
      </c>
      <c r="M824" s="233" t="s">
        <v>532</v>
      </c>
      <c r="N824" s="233" t="s">
        <v>532</v>
      </c>
      <c r="O824" s="3" t="s">
        <v>1319</v>
      </c>
    </row>
    <row r="825" spans="1:15">
      <c r="A825">
        <v>204</v>
      </c>
      <c r="B825">
        <v>1810</v>
      </c>
      <c r="C825" t="s">
        <v>72</v>
      </c>
      <c r="D825" t="s">
        <v>212</v>
      </c>
      <c r="E825" s="232" t="s">
        <v>13253</v>
      </c>
      <c r="F825" t="s">
        <v>70</v>
      </c>
      <c r="G825">
        <v>2</v>
      </c>
      <c r="H825">
        <v>837.55799999999999</v>
      </c>
      <c r="I825">
        <v>835.72900000000004</v>
      </c>
      <c r="J825">
        <v>831.649</v>
      </c>
      <c r="K825">
        <v>827.06</v>
      </c>
      <c r="L825">
        <v>821.27800000000002</v>
      </c>
      <c r="M825" s="233" t="s">
        <v>532</v>
      </c>
      <c r="N825" s="233" t="s">
        <v>532</v>
      </c>
      <c r="O825" s="3" t="s">
        <v>1320</v>
      </c>
    </row>
    <row r="826" spans="1:15">
      <c r="A826">
        <v>204</v>
      </c>
      <c r="B826">
        <v>1796</v>
      </c>
      <c r="C826" t="s">
        <v>72</v>
      </c>
      <c r="D826" t="s">
        <v>212</v>
      </c>
      <c r="E826" s="232" t="s">
        <v>8742</v>
      </c>
      <c r="F826" t="s">
        <v>70</v>
      </c>
      <c r="G826">
        <v>2</v>
      </c>
      <c r="H826">
        <v>823.96100000000001</v>
      </c>
      <c r="I826">
        <v>821.96900000000005</v>
      </c>
      <c r="J826">
        <v>818.30700000000002</v>
      </c>
      <c r="K826">
        <v>814.11800000000005</v>
      </c>
      <c r="L826">
        <v>809.21600000000001</v>
      </c>
      <c r="M826" s="233" t="s">
        <v>532</v>
      </c>
      <c r="N826" s="233" t="s">
        <v>532</v>
      </c>
      <c r="O826" s="3" t="s">
        <v>1321</v>
      </c>
    </row>
    <row r="827" spans="1:15">
      <c r="A827">
        <v>203</v>
      </c>
      <c r="B827">
        <v>1827</v>
      </c>
      <c r="C827" t="s">
        <v>72</v>
      </c>
      <c r="D827" t="s">
        <v>212</v>
      </c>
      <c r="E827" s="232" t="s">
        <v>7355</v>
      </c>
      <c r="F827" t="s">
        <v>71</v>
      </c>
      <c r="G827">
        <v>2</v>
      </c>
      <c r="H827">
        <v>896.20699999999999</v>
      </c>
      <c r="I827">
        <v>890.52300000000002</v>
      </c>
      <c r="J827">
        <v>886.11099999999999</v>
      </c>
      <c r="K827">
        <v>879.99300000000005</v>
      </c>
      <c r="L827">
        <v>875.78399999999999</v>
      </c>
      <c r="M827" s="233" t="s">
        <v>532</v>
      </c>
      <c r="N827" s="233" t="s">
        <v>532</v>
      </c>
      <c r="O827" s="3" t="s">
        <v>1322</v>
      </c>
    </row>
    <row r="828" spans="1:15">
      <c r="A828">
        <v>203</v>
      </c>
      <c r="B828">
        <v>1829</v>
      </c>
      <c r="C828" t="s">
        <v>72</v>
      </c>
      <c r="D828" t="s">
        <v>212</v>
      </c>
      <c r="E828" s="232" t="s">
        <v>8190</v>
      </c>
      <c r="F828" t="s">
        <v>71</v>
      </c>
      <c r="G828">
        <v>2</v>
      </c>
      <c r="H828">
        <v>875.03700000000003</v>
      </c>
      <c r="I828">
        <v>872.16300000000001</v>
      </c>
      <c r="J828">
        <v>866.75800000000004</v>
      </c>
      <c r="K828">
        <v>861.20100000000002</v>
      </c>
      <c r="L828">
        <v>854.57100000000003</v>
      </c>
      <c r="M828" s="233" t="s">
        <v>532</v>
      </c>
      <c r="N828" s="233" t="s">
        <v>532</v>
      </c>
      <c r="O828" s="3" t="s">
        <v>1323</v>
      </c>
    </row>
    <row r="829" spans="1:15">
      <c r="A829">
        <v>203</v>
      </c>
      <c r="B829">
        <v>1834</v>
      </c>
      <c r="C829" t="s">
        <v>72</v>
      </c>
      <c r="D829" t="s">
        <v>212</v>
      </c>
      <c r="E829" s="232" t="s">
        <v>489</v>
      </c>
      <c r="F829" t="s">
        <v>71</v>
      </c>
      <c r="G829">
        <v>2</v>
      </c>
      <c r="H829">
        <v>870.06700000000001</v>
      </c>
      <c r="I829">
        <v>867.52300000000002</v>
      </c>
      <c r="J829">
        <v>862.19299999999998</v>
      </c>
      <c r="K829">
        <v>856.84</v>
      </c>
      <c r="L829">
        <v>850.58299999999997</v>
      </c>
      <c r="M829" s="233" t="s">
        <v>532</v>
      </c>
      <c r="N829" s="233" t="s">
        <v>532</v>
      </c>
      <c r="O829" s="3" t="s">
        <v>1324</v>
      </c>
    </row>
    <row r="830" spans="1:15">
      <c r="A830">
        <v>203</v>
      </c>
      <c r="B830">
        <v>1835</v>
      </c>
      <c r="C830" t="s">
        <v>72</v>
      </c>
      <c r="D830" t="s">
        <v>212</v>
      </c>
      <c r="E830" s="232" t="s">
        <v>9141</v>
      </c>
      <c r="F830" t="s">
        <v>71</v>
      </c>
      <c r="G830">
        <v>2</v>
      </c>
      <c r="H830">
        <v>865.47199999999998</v>
      </c>
      <c r="I830">
        <v>862.95799999999997</v>
      </c>
      <c r="J830">
        <v>857.80100000000004</v>
      </c>
      <c r="K830">
        <v>853.05200000000002</v>
      </c>
      <c r="L830">
        <v>846.58900000000006</v>
      </c>
      <c r="M830" s="233" t="s">
        <v>532</v>
      </c>
      <c r="N830" s="233" t="s">
        <v>532</v>
      </c>
      <c r="O830" s="3" t="s">
        <v>1325</v>
      </c>
    </row>
    <row r="831" spans="1:15">
      <c r="A831">
        <v>203</v>
      </c>
      <c r="B831">
        <v>1839</v>
      </c>
      <c r="C831" t="s">
        <v>72</v>
      </c>
      <c r="D831" t="s">
        <v>212</v>
      </c>
      <c r="E831" s="232" t="s">
        <v>542</v>
      </c>
      <c r="F831" t="s">
        <v>71</v>
      </c>
      <c r="G831">
        <v>2</v>
      </c>
      <c r="H831">
        <v>865.47199999999998</v>
      </c>
      <c r="I831">
        <v>862.95799999999997</v>
      </c>
      <c r="J831">
        <v>857.80100000000004</v>
      </c>
      <c r="K831">
        <v>853.05200000000002</v>
      </c>
      <c r="L831">
        <v>846.58900000000006</v>
      </c>
      <c r="M831" s="233" t="s">
        <v>532</v>
      </c>
      <c r="N831" s="233" t="s">
        <v>532</v>
      </c>
      <c r="O831" s="3" t="s">
        <v>1326</v>
      </c>
    </row>
    <row r="832" spans="1:15">
      <c r="A832">
        <v>203</v>
      </c>
      <c r="B832">
        <v>1847</v>
      </c>
      <c r="C832" t="s">
        <v>72</v>
      </c>
      <c r="D832" t="s">
        <v>212</v>
      </c>
      <c r="E832" s="232" t="s">
        <v>8726</v>
      </c>
      <c r="F832" t="s">
        <v>71</v>
      </c>
      <c r="G832">
        <v>2</v>
      </c>
      <c r="H832">
        <v>864.28899999999999</v>
      </c>
      <c r="I832">
        <v>861.97500000000002</v>
      </c>
      <c r="J832">
        <v>856.84</v>
      </c>
      <c r="K832">
        <v>851.93399999999997</v>
      </c>
      <c r="L832">
        <v>845.44</v>
      </c>
      <c r="M832" s="233" t="s">
        <v>532</v>
      </c>
      <c r="N832" s="233" t="s">
        <v>532</v>
      </c>
      <c r="O832" s="3" t="s">
        <v>1327</v>
      </c>
    </row>
    <row r="833" spans="1:15">
      <c r="A833">
        <v>203</v>
      </c>
      <c r="B833">
        <v>1828</v>
      </c>
      <c r="C833" t="s">
        <v>72</v>
      </c>
      <c r="D833" t="s">
        <v>212</v>
      </c>
      <c r="E833" s="232" t="s">
        <v>7356</v>
      </c>
      <c r="F833" t="s">
        <v>71</v>
      </c>
      <c r="G833">
        <v>2</v>
      </c>
      <c r="H833">
        <v>862.19299999999998</v>
      </c>
      <c r="I833">
        <v>858.96299999999997</v>
      </c>
      <c r="J833">
        <v>855.71900000000005</v>
      </c>
      <c r="K833">
        <v>851.904</v>
      </c>
      <c r="L833">
        <v>848.67</v>
      </c>
      <c r="M833" s="233" t="s">
        <v>532</v>
      </c>
      <c r="N833" s="233" t="s">
        <v>532</v>
      </c>
      <c r="O833" s="3" t="s">
        <v>1328</v>
      </c>
    </row>
    <row r="834" spans="1:15">
      <c r="A834">
        <v>203</v>
      </c>
      <c r="B834">
        <v>1853</v>
      </c>
      <c r="C834" t="s">
        <v>72</v>
      </c>
      <c r="D834" t="s">
        <v>212</v>
      </c>
      <c r="E834" s="232" t="s">
        <v>8217</v>
      </c>
      <c r="F834" t="s">
        <v>71</v>
      </c>
      <c r="G834">
        <v>2</v>
      </c>
      <c r="H834">
        <v>856.07899999999995</v>
      </c>
      <c r="I834">
        <v>853.827</v>
      </c>
      <c r="J834">
        <v>849.21699999999998</v>
      </c>
      <c r="K834">
        <v>844.47900000000004</v>
      </c>
      <c r="L834">
        <v>838.39200000000005</v>
      </c>
      <c r="M834" s="233" t="s">
        <v>532</v>
      </c>
      <c r="N834" s="233" t="s">
        <v>532</v>
      </c>
      <c r="O834" s="3" t="s">
        <v>1329</v>
      </c>
    </row>
    <row r="835" spans="1:15">
      <c r="A835">
        <v>203</v>
      </c>
      <c r="B835">
        <v>1844</v>
      </c>
      <c r="C835" t="s">
        <v>72</v>
      </c>
      <c r="D835" t="s">
        <v>212</v>
      </c>
      <c r="E835" s="232" t="s">
        <v>8654</v>
      </c>
      <c r="F835" t="s">
        <v>71</v>
      </c>
      <c r="G835">
        <v>2</v>
      </c>
      <c r="H835">
        <v>851.93399999999997</v>
      </c>
      <c r="I835">
        <v>849.80799999999999</v>
      </c>
      <c r="J835">
        <v>845.25300000000004</v>
      </c>
      <c r="K835">
        <v>840.68799999999999</v>
      </c>
      <c r="L835">
        <v>834.94399999999996</v>
      </c>
      <c r="M835" s="233" t="s">
        <v>532</v>
      </c>
      <c r="N835" s="233" t="s">
        <v>532</v>
      </c>
      <c r="O835" s="3" t="s">
        <v>1330</v>
      </c>
    </row>
    <row r="836" spans="1:15">
      <c r="A836">
        <v>203</v>
      </c>
      <c r="B836">
        <v>1838</v>
      </c>
      <c r="C836" t="s">
        <v>72</v>
      </c>
      <c r="D836" t="s">
        <v>212</v>
      </c>
      <c r="E836" s="232" t="s">
        <v>8883</v>
      </c>
      <c r="F836" t="s">
        <v>71</v>
      </c>
      <c r="G836">
        <v>2</v>
      </c>
      <c r="H836">
        <v>849.44799999999998</v>
      </c>
      <c r="I836">
        <v>847.16600000000005</v>
      </c>
      <c r="J836">
        <v>842.81899999999996</v>
      </c>
      <c r="K836">
        <v>838.39200000000005</v>
      </c>
      <c r="L836">
        <v>832.66300000000001</v>
      </c>
      <c r="M836" s="233" t="s">
        <v>532</v>
      </c>
      <c r="N836" s="233" t="s">
        <v>532</v>
      </c>
      <c r="O836" s="3" t="s">
        <v>1331</v>
      </c>
    </row>
    <row r="837" spans="1:15">
      <c r="A837">
        <v>203</v>
      </c>
      <c r="B837">
        <v>1837</v>
      </c>
      <c r="C837" t="s">
        <v>72</v>
      </c>
      <c r="D837" t="s">
        <v>212</v>
      </c>
      <c r="E837" s="232" t="s">
        <v>12710</v>
      </c>
      <c r="F837" t="s">
        <v>71</v>
      </c>
      <c r="G837">
        <v>2</v>
      </c>
      <c r="H837">
        <v>848.67</v>
      </c>
      <c r="I837">
        <v>846.58900000000006</v>
      </c>
      <c r="J837">
        <v>842.24099999999999</v>
      </c>
      <c r="K837">
        <v>837.63099999999997</v>
      </c>
      <c r="L837">
        <v>831.89800000000002</v>
      </c>
      <c r="M837" s="233" t="s">
        <v>532</v>
      </c>
      <c r="N837" s="233" t="s">
        <v>532</v>
      </c>
      <c r="O837" s="3" t="s">
        <v>1332</v>
      </c>
    </row>
    <row r="838" spans="1:15">
      <c r="A838">
        <v>203</v>
      </c>
      <c r="B838">
        <v>1849</v>
      </c>
      <c r="C838" t="s">
        <v>72</v>
      </c>
      <c r="D838" t="s">
        <v>212</v>
      </c>
      <c r="E838" s="232" t="s">
        <v>12837</v>
      </c>
      <c r="F838" t="s">
        <v>71</v>
      </c>
      <c r="G838">
        <v>2</v>
      </c>
      <c r="H838">
        <v>844.10500000000002</v>
      </c>
      <c r="I838">
        <v>842.24099999999999</v>
      </c>
      <c r="J838">
        <v>838.18899999999996</v>
      </c>
      <c r="K838">
        <v>833.62400000000002</v>
      </c>
      <c r="L838">
        <v>827.56500000000005</v>
      </c>
      <c r="M838" s="233" t="s">
        <v>532</v>
      </c>
      <c r="N838" s="233" t="s">
        <v>532</v>
      </c>
      <c r="O838" s="3" t="s">
        <v>1333</v>
      </c>
    </row>
    <row r="839" spans="1:15">
      <c r="A839">
        <v>203</v>
      </c>
      <c r="B839">
        <v>1854</v>
      </c>
      <c r="C839" t="s">
        <v>72</v>
      </c>
      <c r="D839" t="s">
        <v>212</v>
      </c>
      <c r="E839" s="232" t="s">
        <v>12240</v>
      </c>
      <c r="F839" t="s">
        <v>71</v>
      </c>
      <c r="G839">
        <v>2</v>
      </c>
      <c r="H839">
        <v>844.10500000000002</v>
      </c>
      <c r="I839">
        <v>842.24099999999999</v>
      </c>
      <c r="J839">
        <v>838.18899999999996</v>
      </c>
      <c r="K839">
        <v>833.62400000000002</v>
      </c>
      <c r="L839">
        <v>827.56500000000005</v>
      </c>
      <c r="M839" s="233" t="s">
        <v>532</v>
      </c>
      <c r="N839" s="233" t="s">
        <v>532</v>
      </c>
      <c r="O839" s="3" t="s">
        <v>1334</v>
      </c>
    </row>
    <row r="840" spans="1:15">
      <c r="A840">
        <v>203</v>
      </c>
      <c r="B840">
        <v>1846</v>
      </c>
      <c r="C840" t="s">
        <v>72</v>
      </c>
      <c r="D840" t="s">
        <v>212</v>
      </c>
      <c r="E840" s="232" t="s">
        <v>8753</v>
      </c>
      <c r="F840" t="s">
        <v>71</v>
      </c>
      <c r="G840">
        <v>2</v>
      </c>
      <c r="H840">
        <v>844.10500000000002</v>
      </c>
      <c r="I840">
        <v>842.02300000000002</v>
      </c>
      <c r="J840">
        <v>838.03599999999994</v>
      </c>
      <c r="K840">
        <v>833.62400000000002</v>
      </c>
      <c r="L840">
        <v>827.56500000000005</v>
      </c>
      <c r="M840" s="233" t="s">
        <v>532</v>
      </c>
      <c r="N840" s="233" t="s">
        <v>532</v>
      </c>
      <c r="O840" s="3" t="s">
        <v>1335</v>
      </c>
    </row>
    <row r="841" spans="1:15">
      <c r="A841">
        <v>203</v>
      </c>
      <c r="B841">
        <v>1843</v>
      </c>
      <c r="C841" t="s">
        <v>72</v>
      </c>
      <c r="D841" t="s">
        <v>212</v>
      </c>
      <c r="E841" s="232" t="s">
        <v>12874</v>
      </c>
      <c r="F841" t="s">
        <v>71</v>
      </c>
      <c r="G841">
        <v>2</v>
      </c>
      <c r="H841">
        <v>842.971</v>
      </c>
      <c r="I841">
        <v>841.06200000000001</v>
      </c>
      <c r="J841">
        <v>836.63599999999997</v>
      </c>
      <c r="K841">
        <v>832.44500000000005</v>
      </c>
      <c r="L841">
        <v>826.41700000000003</v>
      </c>
      <c r="M841" s="233" t="s">
        <v>532</v>
      </c>
      <c r="N841" s="233" t="s">
        <v>532</v>
      </c>
      <c r="O841" s="3" t="s">
        <v>1336</v>
      </c>
    </row>
    <row r="842" spans="1:15">
      <c r="A842">
        <v>203</v>
      </c>
      <c r="B842">
        <v>1832</v>
      </c>
      <c r="C842" t="s">
        <v>72</v>
      </c>
      <c r="D842" t="s">
        <v>212</v>
      </c>
      <c r="E842" s="232" t="s">
        <v>8772</v>
      </c>
      <c r="F842" t="s">
        <v>71</v>
      </c>
      <c r="G842">
        <v>2</v>
      </c>
      <c r="H842">
        <v>838.39200000000005</v>
      </c>
      <c r="I842">
        <v>836.48299999999995</v>
      </c>
      <c r="J842">
        <v>832.44500000000005</v>
      </c>
      <c r="K842">
        <v>827.71799999999996</v>
      </c>
      <c r="L842">
        <v>822.077</v>
      </c>
      <c r="M842" s="233" t="s">
        <v>532</v>
      </c>
      <c r="N842" s="233" t="s">
        <v>532</v>
      </c>
      <c r="O842" s="3" t="s">
        <v>1337</v>
      </c>
    </row>
    <row r="843" spans="1:15">
      <c r="A843">
        <v>211</v>
      </c>
      <c r="B843">
        <v>1860</v>
      </c>
      <c r="C843" t="s">
        <v>72</v>
      </c>
      <c r="D843" t="s">
        <v>211</v>
      </c>
      <c r="E843" s="232" t="s">
        <v>8283</v>
      </c>
      <c r="F843" t="s">
        <v>70</v>
      </c>
      <c r="G843">
        <v>3</v>
      </c>
      <c r="H843">
        <v>333.19900000000001</v>
      </c>
      <c r="I843">
        <v>331.83600000000001</v>
      </c>
      <c r="J843">
        <v>329.52</v>
      </c>
      <c r="K843">
        <v>326</v>
      </c>
      <c r="L843">
        <v>321.65600000000001</v>
      </c>
      <c r="M843" s="233" t="s">
        <v>530</v>
      </c>
      <c r="N843" s="233" t="s">
        <v>531</v>
      </c>
      <c r="O843" s="3" t="s">
        <v>1338</v>
      </c>
    </row>
    <row r="844" spans="1:15">
      <c r="A844">
        <v>208</v>
      </c>
      <c r="B844">
        <v>1859</v>
      </c>
      <c r="C844" t="s">
        <v>72</v>
      </c>
      <c r="D844" t="s">
        <v>211</v>
      </c>
      <c r="E844" s="232" t="s">
        <v>13389</v>
      </c>
      <c r="F844" t="s">
        <v>70</v>
      </c>
      <c r="G844">
        <v>3</v>
      </c>
      <c r="H844">
        <v>315.52800000000002</v>
      </c>
      <c r="I844">
        <v>314.42599999999999</v>
      </c>
      <c r="J844">
        <v>312.37799999999999</v>
      </c>
      <c r="K844">
        <v>309.13499999999999</v>
      </c>
      <c r="L844">
        <v>305.38600000000002</v>
      </c>
      <c r="M844" s="233" t="s">
        <v>530</v>
      </c>
      <c r="N844" s="233" t="s">
        <v>531</v>
      </c>
      <c r="O844" s="3" t="s">
        <v>1339</v>
      </c>
    </row>
    <row r="845" spans="1:15">
      <c r="A845">
        <v>209</v>
      </c>
      <c r="B845">
        <v>1861</v>
      </c>
      <c r="C845" t="s">
        <v>72</v>
      </c>
      <c r="D845" t="s">
        <v>211</v>
      </c>
      <c r="E845" s="232" t="s">
        <v>7359</v>
      </c>
      <c r="F845" t="s">
        <v>70</v>
      </c>
      <c r="G845">
        <v>3</v>
      </c>
      <c r="H845">
        <v>305.416</v>
      </c>
      <c r="I845">
        <v>304.26600000000002</v>
      </c>
      <c r="J845">
        <v>302.38</v>
      </c>
      <c r="K845">
        <v>299.00799999999998</v>
      </c>
      <c r="L845">
        <v>295.87200000000001</v>
      </c>
      <c r="M845" s="233" t="s">
        <v>530</v>
      </c>
      <c r="N845" s="233" t="s">
        <v>531</v>
      </c>
      <c r="O845" s="3" t="s">
        <v>1340</v>
      </c>
    </row>
    <row r="846" spans="1:15">
      <c r="A846">
        <v>208</v>
      </c>
      <c r="B846">
        <v>1863</v>
      </c>
      <c r="C846" t="s">
        <v>72</v>
      </c>
      <c r="D846" t="s">
        <v>211</v>
      </c>
      <c r="E846" s="232" t="s">
        <v>7361</v>
      </c>
      <c r="F846" t="s">
        <v>70</v>
      </c>
      <c r="G846">
        <v>3</v>
      </c>
      <c r="H846">
        <v>313.51799999999997</v>
      </c>
      <c r="I846">
        <v>312.52800000000002</v>
      </c>
      <c r="J846">
        <v>311.08600000000001</v>
      </c>
      <c r="K846">
        <v>307.89699999999999</v>
      </c>
      <c r="L846">
        <v>304.23599999999999</v>
      </c>
      <c r="M846" s="233" t="s">
        <v>530</v>
      </c>
      <c r="N846" s="233" t="s">
        <v>531</v>
      </c>
      <c r="O846" s="3" t="s">
        <v>1341</v>
      </c>
    </row>
    <row r="847" spans="1:15">
      <c r="A847">
        <v>208</v>
      </c>
      <c r="B847">
        <v>1864</v>
      </c>
      <c r="C847" t="s">
        <v>72</v>
      </c>
      <c r="D847" t="s">
        <v>211</v>
      </c>
      <c r="E847" s="232" t="s">
        <v>7362</v>
      </c>
      <c r="F847" t="s">
        <v>70</v>
      </c>
      <c r="G847">
        <v>3</v>
      </c>
      <c r="H847">
        <v>311.81099999999998</v>
      </c>
      <c r="I847">
        <v>310.71100000000001</v>
      </c>
      <c r="J847">
        <v>308.79199999999997</v>
      </c>
      <c r="K847">
        <v>305.46100000000001</v>
      </c>
      <c r="L847">
        <v>302.70600000000002</v>
      </c>
      <c r="M847" s="233" t="s">
        <v>530</v>
      </c>
      <c r="N847" s="233" t="s">
        <v>531</v>
      </c>
      <c r="O847" s="3" t="s">
        <v>1342</v>
      </c>
    </row>
    <row r="848" spans="1:15">
      <c r="A848">
        <v>208</v>
      </c>
      <c r="B848">
        <v>1862</v>
      </c>
      <c r="C848" t="s">
        <v>72</v>
      </c>
      <c r="D848" t="s">
        <v>211</v>
      </c>
      <c r="E848" s="232" t="s">
        <v>7360</v>
      </c>
      <c r="F848" t="s">
        <v>70</v>
      </c>
      <c r="G848">
        <v>3</v>
      </c>
      <c r="H848">
        <v>311.56700000000001</v>
      </c>
      <c r="I848">
        <v>310.49299999999999</v>
      </c>
      <c r="J848">
        <v>308.71699999999998</v>
      </c>
      <c r="K848">
        <v>305.94600000000003</v>
      </c>
      <c r="L848">
        <v>302.858</v>
      </c>
      <c r="M848" s="233" t="s">
        <v>530</v>
      </c>
      <c r="N848" s="233" t="s">
        <v>531</v>
      </c>
      <c r="O848" s="3" t="s">
        <v>1343</v>
      </c>
    </row>
    <row r="849" spans="1:15">
      <c r="A849">
        <v>207</v>
      </c>
      <c r="B849">
        <v>1869</v>
      </c>
      <c r="C849" t="s">
        <v>72</v>
      </c>
      <c r="D849" t="s">
        <v>211</v>
      </c>
      <c r="E849" s="232" t="s">
        <v>8190</v>
      </c>
      <c r="F849" t="s">
        <v>71</v>
      </c>
      <c r="G849">
        <v>3</v>
      </c>
      <c r="H849">
        <v>326.49900000000002</v>
      </c>
      <c r="I849">
        <v>325.23700000000002</v>
      </c>
      <c r="J849">
        <v>322.93700000000001</v>
      </c>
      <c r="K849">
        <v>319.53399999999999</v>
      </c>
      <c r="L849">
        <v>315.24599999999998</v>
      </c>
      <c r="M849" s="233" t="s">
        <v>530</v>
      </c>
      <c r="N849" s="233" t="s">
        <v>531</v>
      </c>
      <c r="O849" s="3" t="s">
        <v>1344</v>
      </c>
    </row>
    <row r="850" spans="1:15">
      <c r="A850">
        <v>207</v>
      </c>
      <c r="B850">
        <v>1873</v>
      </c>
      <c r="C850" t="s">
        <v>72</v>
      </c>
      <c r="D850" t="s">
        <v>211</v>
      </c>
      <c r="E850" s="232" t="s">
        <v>7364</v>
      </c>
      <c r="F850" t="s">
        <v>71</v>
      </c>
      <c r="G850">
        <v>3</v>
      </c>
      <c r="H850">
        <v>323.80200000000002</v>
      </c>
      <c r="I850">
        <v>322.93700000000001</v>
      </c>
      <c r="J850">
        <v>321.34399999999999</v>
      </c>
      <c r="K850">
        <v>318.90800000000002</v>
      </c>
      <c r="L850">
        <v>315.24599999999998</v>
      </c>
      <c r="M850" s="233" t="s">
        <v>530</v>
      </c>
      <c r="N850" s="233" t="s">
        <v>531</v>
      </c>
      <c r="O850" s="3" t="s">
        <v>1345</v>
      </c>
    </row>
    <row r="851" spans="1:15">
      <c r="A851">
        <v>207</v>
      </c>
      <c r="B851">
        <v>1872</v>
      </c>
      <c r="C851" t="s">
        <v>72</v>
      </c>
      <c r="D851" t="s">
        <v>211</v>
      </c>
      <c r="E851" s="232" t="s">
        <v>8772</v>
      </c>
      <c r="F851" t="s">
        <v>71</v>
      </c>
      <c r="G851">
        <v>3</v>
      </c>
      <c r="H851">
        <v>320.35599999999999</v>
      </c>
      <c r="I851">
        <v>319.10899999999998</v>
      </c>
      <c r="J851">
        <v>316.85899999999998</v>
      </c>
      <c r="K851">
        <v>313.09399999999999</v>
      </c>
      <c r="L851">
        <v>309.12900000000002</v>
      </c>
      <c r="M851" s="233" t="s">
        <v>530</v>
      </c>
      <c r="N851" s="233" t="s">
        <v>531</v>
      </c>
      <c r="O851" s="3" t="s">
        <v>1346</v>
      </c>
    </row>
    <row r="852" spans="1:15">
      <c r="A852">
        <v>207</v>
      </c>
      <c r="B852">
        <v>1871</v>
      </c>
      <c r="C852" t="s">
        <v>72</v>
      </c>
      <c r="D852" t="s">
        <v>211</v>
      </c>
      <c r="E852" s="232" t="s">
        <v>8216</v>
      </c>
      <c r="F852" t="s">
        <v>71</v>
      </c>
      <c r="G852">
        <v>3</v>
      </c>
      <c r="H852">
        <v>320.16300000000001</v>
      </c>
      <c r="I852">
        <v>318.74799999999999</v>
      </c>
      <c r="J852">
        <v>316.64100000000002</v>
      </c>
      <c r="K852">
        <v>312.738</v>
      </c>
      <c r="L852">
        <v>308.75</v>
      </c>
      <c r="M852" s="233" t="s">
        <v>530</v>
      </c>
      <c r="N852" s="233" t="s">
        <v>531</v>
      </c>
      <c r="O852" s="3" t="s">
        <v>1347</v>
      </c>
    </row>
    <row r="853" spans="1:15">
      <c r="A853">
        <v>207</v>
      </c>
      <c r="B853">
        <v>1870</v>
      </c>
      <c r="C853" t="s">
        <v>72</v>
      </c>
      <c r="D853" t="s">
        <v>211</v>
      </c>
      <c r="E853" s="232" t="s">
        <v>421</v>
      </c>
      <c r="F853" t="s">
        <v>71</v>
      </c>
      <c r="G853">
        <v>3</v>
      </c>
      <c r="H853">
        <v>317.03399999999999</v>
      </c>
      <c r="I853">
        <v>316.01100000000002</v>
      </c>
      <c r="J853">
        <v>314.322</v>
      </c>
      <c r="K853">
        <v>311.29000000000002</v>
      </c>
      <c r="L853">
        <v>308.077</v>
      </c>
      <c r="M853" s="233" t="s">
        <v>530</v>
      </c>
      <c r="N853" s="233" t="s">
        <v>531</v>
      </c>
      <c r="O853" s="3" t="s">
        <v>1348</v>
      </c>
    </row>
    <row r="854" spans="1:15">
      <c r="A854">
        <v>207</v>
      </c>
      <c r="B854">
        <v>1874</v>
      </c>
      <c r="C854" t="s">
        <v>72</v>
      </c>
      <c r="D854" t="s">
        <v>211</v>
      </c>
      <c r="E854" s="232" t="s">
        <v>229</v>
      </c>
      <c r="F854" t="s">
        <v>71</v>
      </c>
      <c r="G854">
        <v>3</v>
      </c>
      <c r="H854">
        <v>314.851</v>
      </c>
      <c r="I854">
        <v>313.67099999999999</v>
      </c>
      <c r="J854">
        <v>311.74700000000001</v>
      </c>
      <c r="K854">
        <v>308.98899999999998</v>
      </c>
      <c r="L854">
        <v>305.20800000000003</v>
      </c>
      <c r="M854" s="233" t="s">
        <v>530</v>
      </c>
      <c r="N854" s="233" t="s">
        <v>531</v>
      </c>
      <c r="O854" s="3" t="s">
        <v>1349</v>
      </c>
    </row>
    <row r="855" spans="1:15">
      <c r="A855">
        <v>207</v>
      </c>
      <c r="B855">
        <v>1868</v>
      </c>
      <c r="C855" t="s">
        <v>72</v>
      </c>
      <c r="D855" t="s">
        <v>211</v>
      </c>
      <c r="E855" s="232" t="s">
        <v>547</v>
      </c>
      <c r="F855" t="s">
        <v>71</v>
      </c>
      <c r="G855">
        <v>3</v>
      </c>
      <c r="H855">
        <v>314.084</v>
      </c>
      <c r="I855">
        <v>313.09399999999999</v>
      </c>
      <c r="J855">
        <v>311.29000000000002</v>
      </c>
      <c r="K855">
        <v>308.53100000000001</v>
      </c>
      <c r="L855">
        <v>305.46199999999999</v>
      </c>
      <c r="M855" s="233" t="s">
        <v>530</v>
      </c>
      <c r="N855" s="233" t="s">
        <v>531</v>
      </c>
      <c r="O855" s="3" t="s">
        <v>1350</v>
      </c>
    </row>
    <row r="856" spans="1:15">
      <c r="A856">
        <v>207</v>
      </c>
      <c r="B856">
        <v>1867</v>
      </c>
      <c r="C856" t="s">
        <v>72</v>
      </c>
      <c r="D856" t="s">
        <v>211</v>
      </c>
      <c r="E856" s="232" t="s">
        <v>16634</v>
      </c>
      <c r="F856" t="s">
        <v>71</v>
      </c>
      <c r="G856">
        <v>3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s="233" t="s">
        <v>530</v>
      </c>
      <c r="N856" s="233" t="s">
        <v>531</v>
      </c>
      <c r="O856" s="3" t="s">
        <v>2623</v>
      </c>
    </row>
    <row r="857" spans="1:15">
      <c r="A857">
        <v>223</v>
      </c>
      <c r="B857">
        <v>1962</v>
      </c>
      <c r="C857" t="s">
        <v>72</v>
      </c>
      <c r="D857" t="s">
        <v>216</v>
      </c>
      <c r="E857" s="232" t="s">
        <v>8856</v>
      </c>
      <c r="F857" t="s">
        <v>70</v>
      </c>
      <c r="G857">
        <v>2</v>
      </c>
      <c r="H857">
        <v>190.012</v>
      </c>
      <c r="I857">
        <v>188.928</v>
      </c>
      <c r="J857">
        <v>186.471</v>
      </c>
      <c r="K857">
        <v>183.86199999999999</v>
      </c>
      <c r="L857">
        <v>181.614</v>
      </c>
      <c r="M857" s="233" t="s">
        <v>530</v>
      </c>
      <c r="N857" s="233" t="s">
        <v>530</v>
      </c>
      <c r="O857" s="3" t="s">
        <v>1351</v>
      </c>
    </row>
    <row r="858" spans="1:15">
      <c r="A858">
        <v>226</v>
      </c>
      <c r="B858">
        <v>1982</v>
      </c>
      <c r="C858" t="s">
        <v>72</v>
      </c>
      <c r="D858" t="s">
        <v>216</v>
      </c>
      <c r="E858" s="232" t="s">
        <v>10891</v>
      </c>
      <c r="F858" t="s">
        <v>70</v>
      </c>
      <c r="G858">
        <v>2</v>
      </c>
      <c r="H858">
        <v>181.285</v>
      </c>
      <c r="I858">
        <v>180.62</v>
      </c>
      <c r="J858">
        <v>179.29</v>
      </c>
      <c r="K858">
        <v>177.54300000000001</v>
      </c>
      <c r="L858">
        <v>175.91499999999999</v>
      </c>
      <c r="M858" s="233" t="s">
        <v>530</v>
      </c>
      <c r="N858" s="233" t="s">
        <v>530</v>
      </c>
      <c r="O858" s="3" t="s">
        <v>1352</v>
      </c>
    </row>
    <row r="859" spans="1:15">
      <c r="A859">
        <v>223</v>
      </c>
      <c r="B859">
        <v>1944</v>
      </c>
      <c r="C859" t="s">
        <v>72</v>
      </c>
      <c r="D859" t="s">
        <v>216</v>
      </c>
      <c r="E859" s="232" t="s">
        <v>9611</v>
      </c>
      <c r="F859" t="s">
        <v>70</v>
      </c>
      <c r="G859">
        <v>2</v>
      </c>
      <c r="H859">
        <v>184.79499999999999</v>
      </c>
      <c r="I859">
        <v>183.70500000000001</v>
      </c>
      <c r="J859">
        <v>182.31800000000001</v>
      </c>
      <c r="K859">
        <v>180.58199999999999</v>
      </c>
      <c r="L859">
        <v>178.26599999999999</v>
      </c>
      <c r="M859" s="233" t="s">
        <v>530</v>
      </c>
      <c r="N859" s="233" t="s">
        <v>530</v>
      </c>
      <c r="O859" s="3" t="s">
        <v>1353</v>
      </c>
    </row>
    <row r="860" spans="1:15">
      <c r="A860">
        <v>223</v>
      </c>
      <c r="B860">
        <v>1961</v>
      </c>
      <c r="C860" t="s">
        <v>72</v>
      </c>
      <c r="D860" t="s">
        <v>216</v>
      </c>
      <c r="E860" s="232" t="s">
        <v>8168</v>
      </c>
      <c r="F860" t="s">
        <v>70</v>
      </c>
      <c r="G860">
        <v>2</v>
      </c>
      <c r="H860">
        <v>183.61</v>
      </c>
      <c r="I860">
        <v>182.98</v>
      </c>
      <c r="J860">
        <v>181.614</v>
      </c>
      <c r="K860">
        <v>179.82599999999999</v>
      </c>
      <c r="L860">
        <v>177.60300000000001</v>
      </c>
      <c r="M860" s="233" t="s">
        <v>530</v>
      </c>
      <c r="N860" s="233" t="s">
        <v>530</v>
      </c>
      <c r="O860" s="3" t="s">
        <v>1354</v>
      </c>
    </row>
    <row r="861" spans="1:15">
      <c r="A861">
        <v>223</v>
      </c>
      <c r="B861">
        <v>1967</v>
      </c>
      <c r="C861" t="s">
        <v>72</v>
      </c>
      <c r="D861" t="s">
        <v>216</v>
      </c>
      <c r="E861" s="232" t="s">
        <v>11712</v>
      </c>
      <c r="F861" t="s">
        <v>70</v>
      </c>
      <c r="G861">
        <v>2</v>
      </c>
      <c r="H861">
        <v>182.054</v>
      </c>
      <c r="I861">
        <v>181.42599999999999</v>
      </c>
      <c r="J861">
        <v>180.01599999999999</v>
      </c>
      <c r="K861">
        <v>178.26599999999999</v>
      </c>
      <c r="L861">
        <v>176.11</v>
      </c>
      <c r="M861" s="233" t="s">
        <v>530</v>
      </c>
      <c r="N861" s="233" t="s">
        <v>530</v>
      </c>
      <c r="O861" s="3" t="s">
        <v>1355</v>
      </c>
    </row>
    <row r="862" spans="1:15">
      <c r="A862">
        <v>224</v>
      </c>
      <c r="B862">
        <v>1951</v>
      </c>
      <c r="C862" t="s">
        <v>72</v>
      </c>
      <c r="D862" t="s">
        <v>216</v>
      </c>
      <c r="E862" s="232" t="s">
        <v>10979</v>
      </c>
      <c r="F862" t="s">
        <v>70</v>
      </c>
      <c r="G862">
        <v>2</v>
      </c>
      <c r="H862">
        <v>176.16499999999999</v>
      </c>
      <c r="I862">
        <v>175.548</v>
      </c>
      <c r="J862">
        <v>174.203</v>
      </c>
      <c r="K862">
        <v>172.52500000000001</v>
      </c>
      <c r="L862">
        <v>170.53800000000001</v>
      </c>
      <c r="M862" s="233" t="s">
        <v>530</v>
      </c>
      <c r="N862" s="233" t="s">
        <v>530</v>
      </c>
      <c r="O862" s="3" t="s">
        <v>1356</v>
      </c>
    </row>
    <row r="863" spans="1:15">
      <c r="A863">
        <v>223</v>
      </c>
      <c r="B863">
        <v>1941</v>
      </c>
      <c r="C863" t="s">
        <v>72</v>
      </c>
      <c r="D863" t="s">
        <v>216</v>
      </c>
      <c r="E863" s="232" t="s">
        <v>11894</v>
      </c>
      <c r="F863" t="s">
        <v>70</v>
      </c>
      <c r="G863">
        <v>2</v>
      </c>
      <c r="H863">
        <v>181.291</v>
      </c>
      <c r="I863">
        <v>180.70099999999999</v>
      </c>
      <c r="J863">
        <v>179.285</v>
      </c>
      <c r="K863">
        <v>177.429</v>
      </c>
      <c r="L863">
        <v>175.53700000000001</v>
      </c>
      <c r="M863" s="233" t="s">
        <v>530</v>
      </c>
      <c r="N863" s="233" t="s">
        <v>530</v>
      </c>
      <c r="O863" s="3" t="s">
        <v>1357</v>
      </c>
    </row>
    <row r="864" spans="1:15">
      <c r="A864">
        <v>223</v>
      </c>
      <c r="B864">
        <v>1946</v>
      </c>
      <c r="C864" t="s">
        <v>72</v>
      </c>
      <c r="D864" t="s">
        <v>216</v>
      </c>
      <c r="E864" s="232" t="s">
        <v>8056</v>
      </c>
      <c r="F864" t="s">
        <v>70</v>
      </c>
      <c r="G864">
        <v>2</v>
      </c>
      <c r="H864">
        <v>181.05</v>
      </c>
      <c r="I864">
        <v>180.34800000000001</v>
      </c>
      <c r="J864">
        <v>178.983</v>
      </c>
      <c r="K864">
        <v>177.23699999999999</v>
      </c>
      <c r="L864">
        <v>175.251</v>
      </c>
      <c r="M864" s="233" t="s">
        <v>530</v>
      </c>
      <c r="N864" s="233" t="s">
        <v>530</v>
      </c>
      <c r="O864" s="3" t="s">
        <v>1358</v>
      </c>
    </row>
    <row r="865" spans="1:15">
      <c r="A865">
        <v>223</v>
      </c>
      <c r="B865">
        <v>1972</v>
      </c>
      <c r="C865" t="s">
        <v>72</v>
      </c>
      <c r="D865" t="s">
        <v>216</v>
      </c>
      <c r="E865" s="232" t="s">
        <v>12117</v>
      </c>
      <c r="F865" t="s">
        <v>70</v>
      </c>
      <c r="G865">
        <v>2</v>
      </c>
      <c r="H865">
        <v>180.233</v>
      </c>
      <c r="I865">
        <v>179.541</v>
      </c>
      <c r="J865">
        <v>178.22800000000001</v>
      </c>
      <c r="K865">
        <v>176.47900000000001</v>
      </c>
      <c r="L865">
        <v>174.63300000000001</v>
      </c>
      <c r="M865" s="233" t="s">
        <v>530</v>
      </c>
      <c r="N865" s="233" t="s">
        <v>530</v>
      </c>
      <c r="O865" s="3" t="s">
        <v>1359</v>
      </c>
    </row>
    <row r="866" spans="1:15">
      <c r="A866">
        <v>223</v>
      </c>
      <c r="B866">
        <v>1969</v>
      </c>
      <c r="C866" t="s">
        <v>72</v>
      </c>
      <c r="D866" t="s">
        <v>216</v>
      </c>
      <c r="E866" s="232" t="s">
        <v>12154</v>
      </c>
      <c r="F866" t="s">
        <v>70</v>
      </c>
      <c r="G866">
        <v>2</v>
      </c>
      <c r="H866">
        <v>180.14400000000001</v>
      </c>
      <c r="I866">
        <v>179.42099999999999</v>
      </c>
      <c r="J866">
        <v>178.10900000000001</v>
      </c>
      <c r="K866">
        <v>176.36</v>
      </c>
      <c r="L866">
        <v>174.54599999999999</v>
      </c>
      <c r="M866" s="233" t="s">
        <v>530</v>
      </c>
      <c r="N866" s="233" t="s">
        <v>530</v>
      </c>
      <c r="O866" s="3" t="s">
        <v>1360</v>
      </c>
    </row>
    <row r="867" spans="1:15">
      <c r="A867">
        <v>223</v>
      </c>
      <c r="B867">
        <v>1970</v>
      </c>
      <c r="C867" t="s">
        <v>72</v>
      </c>
      <c r="D867" t="s">
        <v>216</v>
      </c>
      <c r="E867" s="232" t="s">
        <v>12143</v>
      </c>
      <c r="F867" t="s">
        <v>70</v>
      </c>
      <c r="G867">
        <v>2</v>
      </c>
      <c r="H867">
        <v>180.14400000000001</v>
      </c>
      <c r="I867">
        <v>179.42099999999999</v>
      </c>
      <c r="J867">
        <v>178.10900000000001</v>
      </c>
      <c r="K867">
        <v>176.36</v>
      </c>
      <c r="L867">
        <v>174.54599999999999</v>
      </c>
      <c r="M867" s="233" t="s">
        <v>530</v>
      </c>
      <c r="N867" s="233" t="s">
        <v>530</v>
      </c>
      <c r="O867" s="3" t="s">
        <v>1361</v>
      </c>
    </row>
    <row r="868" spans="1:15">
      <c r="A868">
        <v>223</v>
      </c>
      <c r="B868">
        <v>1943</v>
      </c>
      <c r="C868" t="s">
        <v>72</v>
      </c>
      <c r="D868" t="s">
        <v>216</v>
      </c>
      <c r="E868" s="232" t="s">
        <v>7251</v>
      </c>
      <c r="F868" t="s">
        <v>70</v>
      </c>
      <c r="G868">
        <v>2</v>
      </c>
      <c r="H868">
        <v>179.89400000000001</v>
      </c>
      <c r="I868">
        <v>179.178</v>
      </c>
      <c r="J868">
        <v>177.85900000000001</v>
      </c>
      <c r="K868">
        <v>176.11</v>
      </c>
      <c r="L868">
        <v>174.49600000000001</v>
      </c>
      <c r="M868" s="233" t="s">
        <v>530</v>
      </c>
      <c r="N868" s="233" t="s">
        <v>530</v>
      </c>
      <c r="O868" s="3" t="s">
        <v>1362</v>
      </c>
    </row>
    <row r="869" spans="1:15">
      <c r="A869">
        <v>223</v>
      </c>
      <c r="B869">
        <v>1957</v>
      </c>
      <c r="C869" t="s">
        <v>72</v>
      </c>
      <c r="D869" t="s">
        <v>216</v>
      </c>
      <c r="E869" s="232" t="s">
        <v>8415</v>
      </c>
      <c r="F869" t="s">
        <v>70</v>
      </c>
      <c r="G869">
        <v>2</v>
      </c>
      <c r="H869">
        <v>179.33699999999999</v>
      </c>
      <c r="I869">
        <v>178.666</v>
      </c>
      <c r="J869">
        <v>177.274</v>
      </c>
      <c r="K869">
        <v>175.68899999999999</v>
      </c>
      <c r="L869">
        <v>173.928</v>
      </c>
      <c r="M869" s="233" t="s">
        <v>530</v>
      </c>
      <c r="N869" s="233" t="s">
        <v>530</v>
      </c>
      <c r="O869" s="3" t="s">
        <v>1363</v>
      </c>
    </row>
    <row r="870" spans="1:15">
      <c r="A870">
        <v>223</v>
      </c>
      <c r="B870">
        <v>1950</v>
      </c>
      <c r="C870" t="s">
        <v>72</v>
      </c>
      <c r="D870" t="s">
        <v>216</v>
      </c>
      <c r="E870" s="232" t="s">
        <v>12326</v>
      </c>
      <c r="F870" t="s">
        <v>70</v>
      </c>
      <c r="G870">
        <v>2</v>
      </c>
      <c r="H870">
        <v>179.178</v>
      </c>
      <c r="I870">
        <v>178.56700000000001</v>
      </c>
      <c r="J870">
        <v>177.18700000000001</v>
      </c>
      <c r="K870">
        <v>175.60499999999999</v>
      </c>
      <c r="L870">
        <v>173.84100000000001</v>
      </c>
      <c r="M870" s="233" t="s">
        <v>530</v>
      </c>
      <c r="N870" s="233" t="s">
        <v>530</v>
      </c>
      <c r="O870" s="3" t="s">
        <v>1364</v>
      </c>
    </row>
    <row r="871" spans="1:15">
      <c r="A871">
        <v>225</v>
      </c>
      <c r="B871">
        <v>1953</v>
      </c>
      <c r="C871" t="s">
        <v>72</v>
      </c>
      <c r="D871" t="s">
        <v>216</v>
      </c>
      <c r="E871" s="232" t="s">
        <v>8283</v>
      </c>
      <c r="F871" t="s">
        <v>70</v>
      </c>
      <c r="G871">
        <v>2</v>
      </c>
      <c r="H871">
        <v>173.75299999999999</v>
      </c>
      <c r="I871">
        <v>173.11799999999999</v>
      </c>
      <c r="J871">
        <v>171.828</v>
      </c>
      <c r="K871">
        <v>170.34</v>
      </c>
      <c r="L871">
        <v>168.685</v>
      </c>
      <c r="M871" s="233" t="s">
        <v>530</v>
      </c>
      <c r="N871" s="233" t="s">
        <v>530</v>
      </c>
      <c r="O871" s="3" t="s">
        <v>1365</v>
      </c>
    </row>
    <row r="872" spans="1:15">
      <c r="A872">
        <v>223</v>
      </c>
      <c r="B872">
        <v>1968</v>
      </c>
      <c r="C872" t="s">
        <v>72</v>
      </c>
      <c r="D872" t="s">
        <v>216</v>
      </c>
      <c r="E872" s="232" t="s">
        <v>9339</v>
      </c>
      <c r="F872" t="s">
        <v>70</v>
      </c>
      <c r="G872">
        <v>2</v>
      </c>
      <c r="H872">
        <v>178.869</v>
      </c>
      <c r="I872">
        <v>178.22800000000001</v>
      </c>
      <c r="J872">
        <v>176.886</v>
      </c>
      <c r="K872">
        <v>175.35300000000001</v>
      </c>
      <c r="L872">
        <v>173.59200000000001</v>
      </c>
      <c r="M872" s="233" t="s">
        <v>530</v>
      </c>
      <c r="N872" s="233" t="s">
        <v>530</v>
      </c>
      <c r="O872" s="3" t="s">
        <v>1366</v>
      </c>
    </row>
    <row r="873" spans="1:15">
      <c r="A873">
        <v>223</v>
      </c>
      <c r="B873">
        <v>1965</v>
      </c>
      <c r="C873" t="s">
        <v>72</v>
      </c>
      <c r="D873" t="s">
        <v>216</v>
      </c>
      <c r="E873" s="232" t="s">
        <v>12523</v>
      </c>
      <c r="F873" t="s">
        <v>70</v>
      </c>
      <c r="G873">
        <v>2</v>
      </c>
      <c r="H873">
        <v>177.655</v>
      </c>
      <c r="I873">
        <v>176.935</v>
      </c>
      <c r="J873">
        <v>175.727</v>
      </c>
      <c r="K873">
        <v>174.31899999999999</v>
      </c>
      <c r="L873">
        <v>172.58099999999999</v>
      </c>
      <c r="M873" s="233" t="s">
        <v>530</v>
      </c>
      <c r="N873" s="233" t="s">
        <v>530</v>
      </c>
      <c r="O873" s="3" t="s">
        <v>1367</v>
      </c>
    </row>
    <row r="874" spans="1:15">
      <c r="A874">
        <v>222</v>
      </c>
      <c r="B874">
        <v>1964</v>
      </c>
      <c r="C874" t="s">
        <v>72</v>
      </c>
      <c r="D874" t="s">
        <v>216</v>
      </c>
      <c r="E874" s="232" t="s">
        <v>8307</v>
      </c>
      <c r="F874" t="s">
        <v>70</v>
      </c>
      <c r="G874">
        <v>2</v>
      </c>
      <c r="H874">
        <v>171.86500000000001</v>
      </c>
      <c r="I874">
        <v>171.267</v>
      </c>
      <c r="J874">
        <v>170.19499999999999</v>
      </c>
      <c r="K874">
        <v>168.88</v>
      </c>
      <c r="L874">
        <v>167.119</v>
      </c>
      <c r="M874" s="233" t="s">
        <v>530</v>
      </c>
      <c r="N874" s="233" t="s">
        <v>530</v>
      </c>
      <c r="O874" s="3" t="s">
        <v>1368</v>
      </c>
    </row>
    <row r="875" spans="1:15">
      <c r="A875">
        <v>223</v>
      </c>
      <c r="B875">
        <v>1947</v>
      </c>
      <c r="C875" t="s">
        <v>72</v>
      </c>
      <c r="D875" t="s">
        <v>216</v>
      </c>
      <c r="E875" s="232" t="s">
        <v>12608</v>
      </c>
      <c r="F875" t="s">
        <v>70</v>
      </c>
      <c r="G875">
        <v>2</v>
      </c>
      <c r="H875">
        <v>176.935</v>
      </c>
      <c r="I875">
        <v>176.36</v>
      </c>
      <c r="J875">
        <v>175.251</v>
      </c>
      <c r="K875">
        <v>173.84100000000001</v>
      </c>
      <c r="L875">
        <v>172.035</v>
      </c>
      <c r="M875" s="233" t="s">
        <v>530</v>
      </c>
      <c r="N875" s="233" t="s">
        <v>530</v>
      </c>
      <c r="O875" s="3" t="s">
        <v>1369</v>
      </c>
    </row>
    <row r="876" spans="1:15">
      <c r="A876">
        <v>223</v>
      </c>
      <c r="B876">
        <v>1948</v>
      </c>
      <c r="C876" t="s">
        <v>72</v>
      </c>
      <c r="D876" t="s">
        <v>216</v>
      </c>
      <c r="E876" s="232" t="s">
        <v>10547</v>
      </c>
      <c r="F876" t="s">
        <v>70</v>
      </c>
      <c r="G876">
        <v>2</v>
      </c>
      <c r="H876">
        <v>176.47900000000001</v>
      </c>
      <c r="I876">
        <v>175.90600000000001</v>
      </c>
      <c r="J876">
        <v>174.84700000000001</v>
      </c>
      <c r="K876">
        <v>173.43700000000001</v>
      </c>
      <c r="L876">
        <v>171.559</v>
      </c>
      <c r="M876" s="233" t="s">
        <v>530</v>
      </c>
      <c r="N876" s="233" t="s">
        <v>530</v>
      </c>
      <c r="O876" s="3" t="s">
        <v>1370</v>
      </c>
    </row>
    <row r="877" spans="1:15">
      <c r="A877">
        <v>223</v>
      </c>
      <c r="B877">
        <v>1983</v>
      </c>
      <c r="C877" t="s">
        <v>72</v>
      </c>
      <c r="D877" t="s">
        <v>216</v>
      </c>
      <c r="E877" s="232" t="s">
        <v>12698</v>
      </c>
      <c r="F877" t="s">
        <v>70</v>
      </c>
      <c r="G877">
        <v>2</v>
      </c>
      <c r="H877">
        <v>176.36</v>
      </c>
      <c r="I877">
        <v>175.79400000000001</v>
      </c>
      <c r="J877">
        <v>174.76</v>
      </c>
      <c r="K877">
        <v>173.40199999999999</v>
      </c>
      <c r="L877">
        <v>171.45400000000001</v>
      </c>
      <c r="M877" s="233" t="s">
        <v>530</v>
      </c>
      <c r="N877" s="233" t="s">
        <v>530</v>
      </c>
      <c r="O877" s="3" t="s">
        <v>1371</v>
      </c>
    </row>
    <row r="878" spans="1:15">
      <c r="A878">
        <v>223</v>
      </c>
      <c r="B878">
        <v>1956</v>
      </c>
      <c r="C878" t="s">
        <v>72</v>
      </c>
      <c r="D878" t="s">
        <v>216</v>
      </c>
      <c r="E878" s="232" t="s">
        <v>8197</v>
      </c>
      <c r="F878" t="s">
        <v>70</v>
      </c>
      <c r="G878">
        <v>2</v>
      </c>
      <c r="H878">
        <v>175.60499999999999</v>
      </c>
      <c r="I878">
        <v>175.03899999999999</v>
      </c>
      <c r="J878">
        <v>174.04</v>
      </c>
      <c r="K878">
        <v>172.58099999999999</v>
      </c>
      <c r="L878">
        <v>170.685</v>
      </c>
      <c r="M878" s="233" t="s">
        <v>530</v>
      </c>
      <c r="N878" s="233" t="s">
        <v>530</v>
      </c>
      <c r="O878" s="3" t="s">
        <v>1372</v>
      </c>
    </row>
    <row r="879" spans="1:15">
      <c r="A879">
        <v>223</v>
      </c>
      <c r="B879">
        <v>1980</v>
      </c>
      <c r="C879" t="s">
        <v>72</v>
      </c>
      <c r="D879" t="s">
        <v>216</v>
      </c>
      <c r="E879" s="232" t="s">
        <v>12996</v>
      </c>
      <c r="F879" t="s">
        <v>70</v>
      </c>
      <c r="G879">
        <v>2</v>
      </c>
      <c r="H879">
        <v>174.333</v>
      </c>
      <c r="I879">
        <v>173.85599999999999</v>
      </c>
      <c r="J879">
        <v>172.66800000000001</v>
      </c>
      <c r="K879">
        <v>171.25</v>
      </c>
      <c r="L879">
        <v>169.31100000000001</v>
      </c>
      <c r="M879" s="233" t="s">
        <v>530</v>
      </c>
      <c r="N879" s="233" t="s">
        <v>530</v>
      </c>
      <c r="O879" s="3" t="s">
        <v>1373</v>
      </c>
    </row>
    <row r="880" spans="1:15">
      <c r="A880">
        <v>223</v>
      </c>
      <c r="B880">
        <v>1960</v>
      </c>
      <c r="C880" t="s">
        <v>72</v>
      </c>
      <c r="D880" t="s">
        <v>216</v>
      </c>
      <c r="E880" s="232" t="s">
        <v>13092</v>
      </c>
      <c r="F880" t="s">
        <v>70</v>
      </c>
      <c r="G880">
        <v>2</v>
      </c>
      <c r="H880">
        <v>174.04</v>
      </c>
      <c r="I880">
        <v>173.47200000000001</v>
      </c>
      <c r="J880">
        <v>172.36600000000001</v>
      </c>
      <c r="K880">
        <v>170.899</v>
      </c>
      <c r="L880">
        <v>168.97200000000001</v>
      </c>
      <c r="M880" s="233" t="s">
        <v>530</v>
      </c>
      <c r="N880" s="233" t="s">
        <v>530</v>
      </c>
      <c r="O880" s="3" t="s">
        <v>1374</v>
      </c>
    </row>
    <row r="881" spans="1:15">
      <c r="A881">
        <v>223</v>
      </c>
      <c r="B881">
        <v>1955</v>
      </c>
      <c r="C881" t="s">
        <v>72</v>
      </c>
      <c r="D881" t="s">
        <v>216</v>
      </c>
      <c r="E881" s="232" t="s">
        <v>13168</v>
      </c>
      <c r="F881" t="s">
        <v>70</v>
      </c>
      <c r="G881">
        <v>2</v>
      </c>
      <c r="H881">
        <v>173.739</v>
      </c>
      <c r="I881">
        <v>173.08600000000001</v>
      </c>
      <c r="J881">
        <v>172.035</v>
      </c>
      <c r="K881">
        <v>170.53200000000001</v>
      </c>
      <c r="L881">
        <v>168.631</v>
      </c>
      <c r="M881" s="233" t="s">
        <v>530</v>
      </c>
      <c r="N881" s="233" t="s">
        <v>530</v>
      </c>
      <c r="O881" s="3" t="s">
        <v>1375</v>
      </c>
    </row>
    <row r="882" spans="1:15">
      <c r="A882">
        <v>223</v>
      </c>
      <c r="B882">
        <v>1958</v>
      </c>
      <c r="C882" t="s">
        <v>72</v>
      </c>
      <c r="D882" t="s">
        <v>216</v>
      </c>
      <c r="E882" s="232" t="s">
        <v>13263</v>
      </c>
      <c r="F882" t="s">
        <v>70</v>
      </c>
      <c r="G882">
        <v>2</v>
      </c>
      <c r="H882">
        <v>172.934</v>
      </c>
      <c r="I882">
        <v>172.31399999999999</v>
      </c>
      <c r="J882">
        <v>171.25</v>
      </c>
      <c r="K882">
        <v>169.727</v>
      </c>
      <c r="L882">
        <v>167.86199999999999</v>
      </c>
      <c r="M882" s="233" t="s">
        <v>530</v>
      </c>
      <c r="N882" s="233" t="s">
        <v>530</v>
      </c>
      <c r="O882" s="3" t="s">
        <v>1376</v>
      </c>
    </row>
    <row r="883" spans="1:15">
      <c r="A883">
        <v>223</v>
      </c>
      <c r="B883">
        <v>1940</v>
      </c>
      <c r="C883" t="s">
        <v>72</v>
      </c>
      <c r="D883" t="s">
        <v>216</v>
      </c>
      <c r="E883" s="232" t="s">
        <v>13306</v>
      </c>
      <c r="F883" t="s">
        <v>70</v>
      </c>
      <c r="G883">
        <v>2</v>
      </c>
      <c r="H883">
        <v>172.61600000000001</v>
      </c>
      <c r="I883">
        <v>172.125</v>
      </c>
      <c r="J883">
        <v>170.93700000000001</v>
      </c>
      <c r="K883">
        <v>169.47200000000001</v>
      </c>
      <c r="L883">
        <v>167.548</v>
      </c>
      <c r="M883" s="233" t="s">
        <v>530</v>
      </c>
      <c r="N883" s="233" t="s">
        <v>530</v>
      </c>
      <c r="O883" s="3" t="s">
        <v>1377</v>
      </c>
    </row>
    <row r="884" spans="1:15">
      <c r="A884">
        <v>223</v>
      </c>
      <c r="B884">
        <v>1939</v>
      </c>
      <c r="C884" t="s">
        <v>72</v>
      </c>
      <c r="D884" t="s">
        <v>216</v>
      </c>
      <c r="E884" s="232" t="s">
        <v>13503</v>
      </c>
      <c r="F884" t="s">
        <v>70</v>
      </c>
      <c r="G884">
        <v>2</v>
      </c>
      <c r="H884">
        <v>170.44300000000001</v>
      </c>
      <c r="I884">
        <v>169.83</v>
      </c>
      <c r="J884">
        <v>168.71799999999999</v>
      </c>
      <c r="K884">
        <v>167.30699999999999</v>
      </c>
      <c r="L884">
        <v>165.62799999999999</v>
      </c>
      <c r="M884" s="233" t="s">
        <v>530</v>
      </c>
      <c r="N884" s="233" t="s">
        <v>530</v>
      </c>
      <c r="O884" s="3" t="s">
        <v>1378</v>
      </c>
    </row>
    <row r="885" spans="1:15">
      <c r="A885">
        <v>223</v>
      </c>
      <c r="B885">
        <v>1966</v>
      </c>
      <c r="C885" t="s">
        <v>72</v>
      </c>
      <c r="D885" t="s">
        <v>216</v>
      </c>
      <c r="E885" s="232" t="s">
        <v>9074</v>
      </c>
      <c r="F885" t="s">
        <v>70</v>
      </c>
      <c r="G885">
        <v>2</v>
      </c>
      <c r="H885">
        <v>169.94</v>
      </c>
      <c r="I885">
        <v>169.36</v>
      </c>
      <c r="J885">
        <v>168.21299999999999</v>
      </c>
      <c r="K885">
        <v>166.851</v>
      </c>
      <c r="L885">
        <v>165.227</v>
      </c>
      <c r="M885" s="233" t="s">
        <v>530</v>
      </c>
      <c r="N885" s="233" t="s">
        <v>530</v>
      </c>
      <c r="O885" s="3" t="s">
        <v>1379</v>
      </c>
    </row>
    <row r="886" spans="1:15">
      <c r="A886">
        <v>223</v>
      </c>
      <c r="B886">
        <v>1945</v>
      </c>
      <c r="C886" t="s">
        <v>72</v>
      </c>
      <c r="D886" t="s">
        <v>216</v>
      </c>
      <c r="E886" s="232" t="s">
        <v>8026</v>
      </c>
      <c r="F886" t="s">
        <v>70</v>
      </c>
      <c r="G886">
        <v>2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s="233" t="s">
        <v>530</v>
      </c>
      <c r="N886" s="233" t="s">
        <v>530</v>
      </c>
      <c r="O886" s="3" t="s">
        <v>2623</v>
      </c>
    </row>
    <row r="887" spans="1:15">
      <c r="A887">
        <v>223</v>
      </c>
      <c r="B887">
        <v>1954</v>
      </c>
      <c r="C887" t="s">
        <v>72</v>
      </c>
      <c r="D887" t="s">
        <v>216</v>
      </c>
      <c r="E887" s="232" t="s">
        <v>16635</v>
      </c>
      <c r="F887" t="s">
        <v>70</v>
      </c>
      <c r="G887">
        <v>2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s="233" t="s">
        <v>530</v>
      </c>
      <c r="N887" s="233" t="s">
        <v>530</v>
      </c>
      <c r="O887" s="3" t="s">
        <v>2623</v>
      </c>
    </row>
    <row r="888" spans="1:15">
      <c r="A888">
        <v>223</v>
      </c>
      <c r="B888">
        <v>1981</v>
      </c>
      <c r="C888" t="s">
        <v>72</v>
      </c>
      <c r="D888" t="s">
        <v>216</v>
      </c>
      <c r="E888" s="232" t="s">
        <v>16635</v>
      </c>
      <c r="F888" t="s">
        <v>70</v>
      </c>
      <c r="G888">
        <v>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s="233" t="s">
        <v>530</v>
      </c>
      <c r="N888" s="233" t="s">
        <v>530</v>
      </c>
      <c r="O888" s="3" t="s">
        <v>2623</v>
      </c>
    </row>
    <row r="889" spans="1:15">
      <c r="A889">
        <v>221</v>
      </c>
      <c r="B889">
        <v>2012</v>
      </c>
      <c r="C889" t="s">
        <v>72</v>
      </c>
      <c r="D889" t="s">
        <v>216</v>
      </c>
      <c r="E889" s="232" t="s">
        <v>8214</v>
      </c>
      <c r="F889" t="s">
        <v>71</v>
      </c>
      <c r="G889">
        <v>2</v>
      </c>
      <c r="H889">
        <v>185.29</v>
      </c>
      <c r="I889">
        <v>184.09200000000001</v>
      </c>
      <c r="J889">
        <v>181.947</v>
      </c>
      <c r="K889">
        <v>179.43299999999999</v>
      </c>
      <c r="L889">
        <v>176.98</v>
      </c>
      <c r="M889" s="233" t="s">
        <v>530</v>
      </c>
      <c r="N889" s="233" t="s">
        <v>530</v>
      </c>
      <c r="O889" s="3" t="s">
        <v>1380</v>
      </c>
    </row>
    <row r="890" spans="1:15">
      <c r="A890">
        <v>221</v>
      </c>
      <c r="B890">
        <v>1995</v>
      </c>
      <c r="C890" t="s">
        <v>72</v>
      </c>
      <c r="D890" t="s">
        <v>216</v>
      </c>
      <c r="E890" s="232" t="s">
        <v>10466</v>
      </c>
      <c r="F890" t="s">
        <v>71</v>
      </c>
      <c r="G890">
        <v>2</v>
      </c>
      <c r="H890">
        <v>179.55</v>
      </c>
      <c r="I890">
        <v>178.74299999999999</v>
      </c>
      <c r="J890">
        <v>177.24299999999999</v>
      </c>
      <c r="K890">
        <v>175.27199999999999</v>
      </c>
      <c r="L890">
        <v>173.148</v>
      </c>
      <c r="M890" s="233" t="s">
        <v>530</v>
      </c>
      <c r="N890" s="233" t="s">
        <v>530</v>
      </c>
      <c r="O890" s="3" t="s">
        <v>1381</v>
      </c>
    </row>
    <row r="891" spans="1:15">
      <c r="A891">
        <v>221</v>
      </c>
      <c r="B891">
        <v>2000</v>
      </c>
      <c r="C891" t="s">
        <v>72</v>
      </c>
      <c r="D891" t="s">
        <v>216</v>
      </c>
      <c r="E891" s="232" t="s">
        <v>11622</v>
      </c>
      <c r="F891" t="s">
        <v>71</v>
      </c>
      <c r="G891">
        <v>2</v>
      </c>
      <c r="H891">
        <v>178.93799999999999</v>
      </c>
      <c r="I891">
        <v>178.148</v>
      </c>
      <c r="J891">
        <v>176.87</v>
      </c>
      <c r="K891">
        <v>175.595</v>
      </c>
      <c r="L891">
        <v>173.72</v>
      </c>
      <c r="M891" s="233" t="s">
        <v>530</v>
      </c>
      <c r="N891" s="233" t="s">
        <v>530</v>
      </c>
      <c r="O891" s="3" t="s">
        <v>1382</v>
      </c>
    </row>
    <row r="892" spans="1:15">
      <c r="A892">
        <v>221</v>
      </c>
      <c r="B892">
        <v>1988</v>
      </c>
      <c r="C892" t="s">
        <v>72</v>
      </c>
      <c r="D892" t="s">
        <v>216</v>
      </c>
      <c r="E892" s="232" t="s">
        <v>8534</v>
      </c>
      <c r="F892" t="s">
        <v>71</v>
      </c>
      <c r="G892">
        <v>2</v>
      </c>
      <c r="H892">
        <v>178.148</v>
      </c>
      <c r="I892">
        <v>177.357</v>
      </c>
      <c r="J892">
        <v>175.90799999999999</v>
      </c>
      <c r="K892">
        <v>174.042</v>
      </c>
      <c r="L892">
        <v>171.96799999999999</v>
      </c>
      <c r="M892" s="233" t="s">
        <v>530</v>
      </c>
      <c r="N892" s="233" t="s">
        <v>530</v>
      </c>
      <c r="O892" s="3" t="s">
        <v>1383</v>
      </c>
    </row>
    <row r="893" spans="1:15">
      <c r="A893">
        <v>221</v>
      </c>
      <c r="B893">
        <v>1992</v>
      </c>
      <c r="C893" t="s">
        <v>72</v>
      </c>
      <c r="D893" t="s">
        <v>216</v>
      </c>
      <c r="E893" s="232" t="s">
        <v>8275</v>
      </c>
      <c r="F893" t="s">
        <v>71</v>
      </c>
      <c r="G893">
        <v>2</v>
      </c>
      <c r="H893">
        <v>178.06</v>
      </c>
      <c r="I893">
        <v>177.24299999999999</v>
      </c>
      <c r="J893">
        <v>175.8</v>
      </c>
      <c r="K893">
        <v>174.005</v>
      </c>
      <c r="L893">
        <v>171.86699999999999</v>
      </c>
      <c r="M893" s="233" t="s">
        <v>530</v>
      </c>
      <c r="N893" s="233" t="s">
        <v>530</v>
      </c>
      <c r="O893" s="3" t="s">
        <v>1384</v>
      </c>
    </row>
    <row r="894" spans="1:15">
      <c r="A894">
        <v>221</v>
      </c>
      <c r="B894">
        <v>2008</v>
      </c>
      <c r="C894" t="s">
        <v>72</v>
      </c>
      <c r="D894" t="s">
        <v>216</v>
      </c>
      <c r="E894" s="232" t="s">
        <v>8953</v>
      </c>
      <c r="F894" t="s">
        <v>71</v>
      </c>
      <c r="G894">
        <v>2</v>
      </c>
      <c r="H894">
        <v>178.06</v>
      </c>
      <c r="I894">
        <v>177.24299999999999</v>
      </c>
      <c r="J894">
        <v>175.8</v>
      </c>
      <c r="K894">
        <v>174.005</v>
      </c>
      <c r="L894">
        <v>171.86699999999999</v>
      </c>
      <c r="M894" s="233" t="s">
        <v>530</v>
      </c>
      <c r="N894" s="233" t="s">
        <v>530</v>
      </c>
      <c r="O894" s="3" t="s">
        <v>1385</v>
      </c>
    </row>
    <row r="895" spans="1:15">
      <c r="A895">
        <v>221</v>
      </c>
      <c r="B895">
        <v>1990</v>
      </c>
      <c r="C895" t="s">
        <v>72</v>
      </c>
      <c r="D895" t="s">
        <v>216</v>
      </c>
      <c r="E895" s="232" t="s">
        <v>11935</v>
      </c>
      <c r="F895" t="s">
        <v>71</v>
      </c>
      <c r="G895">
        <v>2</v>
      </c>
      <c r="H895">
        <v>177.048</v>
      </c>
      <c r="I895">
        <v>176.285</v>
      </c>
      <c r="J895">
        <v>174.845</v>
      </c>
      <c r="K895">
        <v>173.148</v>
      </c>
      <c r="L895">
        <v>171.04</v>
      </c>
      <c r="M895" s="233" t="s">
        <v>530</v>
      </c>
      <c r="N895" s="233" t="s">
        <v>530</v>
      </c>
      <c r="O895" s="3" t="s">
        <v>1386</v>
      </c>
    </row>
    <row r="896" spans="1:15">
      <c r="A896">
        <v>221</v>
      </c>
      <c r="B896">
        <v>1999</v>
      </c>
      <c r="C896" t="s">
        <v>72</v>
      </c>
      <c r="D896" t="s">
        <v>216</v>
      </c>
      <c r="E896" s="232" t="s">
        <v>8772</v>
      </c>
      <c r="F896" t="s">
        <v>71</v>
      </c>
      <c r="G896">
        <v>2</v>
      </c>
      <c r="H896">
        <v>176.76300000000001</v>
      </c>
      <c r="I896">
        <v>176.09</v>
      </c>
      <c r="J896">
        <v>174.678</v>
      </c>
      <c r="K896">
        <v>172.94300000000001</v>
      </c>
      <c r="L896">
        <v>170.82499999999999</v>
      </c>
      <c r="M896" s="233" t="s">
        <v>530</v>
      </c>
      <c r="N896" s="233" t="s">
        <v>530</v>
      </c>
      <c r="O896" s="3" t="s">
        <v>1387</v>
      </c>
    </row>
    <row r="897" spans="1:15">
      <c r="A897">
        <v>221</v>
      </c>
      <c r="B897">
        <v>1991</v>
      </c>
      <c r="C897" t="s">
        <v>72</v>
      </c>
      <c r="D897" t="s">
        <v>216</v>
      </c>
      <c r="E897" s="232" t="s">
        <v>563</v>
      </c>
      <c r="F897" t="s">
        <v>71</v>
      </c>
      <c r="G897">
        <v>2</v>
      </c>
      <c r="H897">
        <v>175.595</v>
      </c>
      <c r="I897">
        <v>174.88200000000001</v>
      </c>
      <c r="J897">
        <v>173.55799999999999</v>
      </c>
      <c r="K897">
        <v>171.86699999999999</v>
      </c>
      <c r="L897">
        <v>169.82300000000001</v>
      </c>
      <c r="M897" s="233" t="s">
        <v>530</v>
      </c>
      <c r="N897" s="233" t="s">
        <v>530</v>
      </c>
      <c r="O897" s="3" t="s">
        <v>1388</v>
      </c>
    </row>
    <row r="898" spans="1:15">
      <c r="A898">
        <v>221</v>
      </c>
      <c r="B898">
        <v>1985</v>
      </c>
      <c r="C898" t="s">
        <v>72</v>
      </c>
      <c r="D898" t="s">
        <v>216</v>
      </c>
      <c r="E898" s="232" t="s">
        <v>12337</v>
      </c>
      <c r="F898" t="s">
        <v>71</v>
      </c>
      <c r="G898">
        <v>2</v>
      </c>
      <c r="H898">
        <v>174.93299999999999</v>
      </c>
      <c r="I898">
        <v>174.25</v>
      </c>
      <c r="J898">
        <v>173.09700000000001</v>
      </c>
      <c r="K898">
        <v>171.45</v>
      </c>
      <c r="L898">
        <v>169.5</v>
      </c>
      <c r="M898" s="233" t="s">
        <v>530</v>
      </c>
      <c r="N898" s="233" t="s">
        <v>530</v>
      </c>
      <c r="O898" s="3" t="s">
        <v>1389</v>
      </c>
    </row>
    <row r="899" spans="1:15">
      <c r="A899">
        <v>221</v>
      </c>
      <c r="B899">
        <v>1993</v>
      </c>
      <c r="C899" t="s">
        <v>72</v>
      </c>
      <c r="D899" t="s">
        <v>216</v>
      </c>
      <c r="E899" s="232" t="s">
        <v>499</v>
      </c>
      <c r="F899" t="s">
        <v>71</v>
      </c>
      <c r="G899">
        <v>2</v>
      </c>
      <c r="H899">
        <v>174.678</v>
      </c>
      <c r="I899">
        <v>174.005</v>
      </c>
      <c r="J899">
        <v>172.73500000000001</v>
      </c>
      <c r="K899">
        <v>171.09</v>
      </c>
      <c r="L899">
        <v>169.07300000000001</v>
      </c>
      <c r="M899" s="233" t="s">
        <v>530</v>
      </c>
      <c r="N899" s="233" t="s">
        <v>530</v>
      </c>
      <c r="O899" s="3" t="s">
        <v>1390</v>
      </c>
    </row>
    <row r="900" spans="1:15">
      <c r="A900">
        <v>221</v>
      </c>
      <c r="B900">
        <v>1987</v>
      </c>
      <c r="C900" t="s">
        <v>72</v>
      </c>
      <c r="D900" t="s">
        <v>216</v>
      </c>
      <c r="E900" s="232" t="s">
        <v>8217</v>
      </c>
      <c r="F900" t="s">
        <v>71</v>
      </c>
      <c r="G900">
        <v>2</v>
      </c>
      <c r="H900">
        <v>174.56</v>
      </c>
      <c r="I900">
        <v>173.898</v>
      </c>
      <c r="J900">
        <v>172.71799999999999</v>
      </c>
      <c r="K900">
        <v>171.23500000000001</v>
      </c>
      <c r="L900">
        <v>169.39500000000001</v>
      </c>
      <c r="M900" s="233" t="s">
        <v>530</v>
      </c>
      <c r="N900" s="233" t="s">
        <v>530</v>
      </c>
      <c r="O900" s="3" t="s">
        <v>1391</v>
      </c>
    </row>
    <row r="901" spans="1:15">
      <c r="A901">
        <v>221</v>
      </c>
      <c r="B901">
        <v>2005</v>
      </c>
      <c r="C901" t="s">
        <v>72</v>
      </c>
      <c r="D901" t="s">
        <v>216</v>
      </c>
      <c r="E901" s="232" t="s">
        <v>8216</v>
      </c>
      <c r="F901" t="s">
        <v>71</v>
      </c>
      <c r="G901">
        <v>2</v>
      </c>
      <c r="H901">
        <v>172.71799999999999</v>
      </c>
      <c r="I901">
        <v>172.035</v>
      </c>
      <c r="J901">
        <v>170.785</v>
      </c>
      <c r="K901">
        <v>169.30799999999999</v>
      </c>
      <c r="L901">
        <v>165.49</v>
      </c>
      <c r="M901" s="233" t="s">
        <v>530</v>
      </c>
      <c r="N901" s="233" t="s">
        <v>530</v>
      </c>
      <c r="O901" s="3" t="s">
        <v>1392</v>
      </c>
    </row>
    <row r="902" spans="1:15">
      <c r="A902">
        <v>221</v>
      </c>
      <c r="B902">
        <v>2010</v>
      </c>
      <c r="C902" t="s">
        <v>72</v>
      </c>
      <c r="D902" t="s">
        <v>216</v>
      </c>
      <c r="E902" s="232" t="s">
        <v>8190</v>
      </c>
      <c r="F902" t="s">
        <v>71</v>
      </c>
      <c r="G902">
        <v>2</v>
      </c>
      <c r="H902">
        <v>172.71799999999999</v>
      </c>
      <c r="I902">
        <v>172.035</v>
      </c>
      <c r="J902">
        <v>170.785</v>
      </c>
      <c r="K902">
        <v>169.30799999999999</v>
      </c>
      <c r="L902">
        <v>165.49</v>
      </c>
      <c r="M902" s="233" t="s">
        <v>530</v>
      </c>
      <c r="N902" s="233" t="s">
        <v>530</v>
      </c>
      <c r="O902" s="3" t="s">
        <v>1393</v>
      </c>
    </row>
    <row r="903" spans="1:15">
      <c r="A903">
        <v>230</v>
      </c>
      <c r="B903">
        <v>2016</v>
      </c>
      <c r="C903" t="s">
        <v>72</v>
      </c>
      <c r="D903" t="s">
        <v>214</v>
      </c>
      <c r="E903" s="232" t="s">
        <v>8856</v>
      </c>
      <c r="F903" t="s">
        <v>70</v>
      </c>
      <c r="G903">
        <v>3</v>
      </c>
      <c r="H903">
        <v>969.71100000000001</v>
      </c>
      <c r="I903">
        <v>969.20299999999997</v>
      </c>
      <c r="J903">
        <v>968.22500000000002</v>
      </c>
      <c r="K903">
        <v>967.11</v>
      </c>
      <c r="L903">
        <v>965.84100000000001</v>
      </c>
      <c r="M903" s="233" t="s">
        <v>532</v>
      </c>
      <c r="N903" s="233" t="s">
        <v>532</v>
      </c>
      <c r="O903" s="3" t="s">
        <v>1394</v>
      </c>
    </row>
    <row r="904" spans="1:15">
      <c r="A904">
        <v>230</v>
      </c>
      <c r="B904">
        <v>2021</v>
      </c>
      <c r="C904" t="s">
        <v>72</v>
      </c>
      <c r="D904" t="s">
        <v>214</v>
      </c>
      <c r="E904" s="232" t="s">
        <v>10426</v>
      </c>
      <c r="F904" t="s">
        <v>70</v>
      </c>
      <c r="G904">
        <v>3</v>
      </c>
      <c r="H904">
        <v>969.55399999999997</v>
      </c>
      <c r="I904">
        <v>969.06799999999998</v>
      </c>
      <c r="J904">
        <v>968.11300000000006</v>
      </c>
      <c r="K904">
        <v>966.96</v>
      </c>
      <c r="L904">
        <v>965.69299999999998</v>
      </c>
      <c r="M904" s="233" t="s">
        <v>532</v>
      </c>
      <c r="N904" s="233" t="s">
        <v>532</v>
      </c>
      <c r="O904" s="3" t="s">
        <v>1395</v>
      </c>
    </row>
    <row r="905" spans="1:15">
      <c r="A905">
        <v>228</v>
      </c>
      <c r="B905">
        <v>2044</v>
      </c>
      <c r="C905" t="s">
        <v>72</v>
      </c>
      <c r="D905" t="s">
        <v>214</v>
      </c>
      <c r="E905" s="232" t="s">
        <v>9544</v>
      </c>
      <c r="F905" t="s">
        <v>70</v>
      </c>
      <c r="G905">
        <v>3</v>
      </c>
      <c r="H905">
        <v>968.76599999999996</v>
      </c>
      <c r="I905">
        <v>968.22500000000002</v>
      </c>
      <c r="J905">
        <v>967.26300000000003</v>
      </c>
      <c r="K905">
        <v>966.10500000000002</v>
      </c>
      <c r="L905">
        <v>964.71100000000001</v>
      </c>
      <c r="M905" s="233" t="s">
        <v>532</v>
      </c>
      <c r="N905" s="233" t="s">
        <v>532</v>
      </c>
      <c r="O905" s="3" t="s">
        <v>1396</v>
      </c>
    </row>
    <row r="906" spans="1:15">
      <c r="A906">
        <v>230</v>
      </c>
      <c r="B906">
        <v>2018</v>
      </c>
      <c r="C906" t="s">
        <v>72</v>
      </c>
      <c r="D906" t="s">
        <v>214</v>
      </c>
      <c r="E906" s="232" t="s">
        <v>8835</v>
      </c>
      <c r="F906" t="s">
        <v>70</v>
      </c>
      <c r="G906">
        <v>3</v>
      </c>
      <c r="H906">
        <v>968.44799999999998</v>
      </c>
      <c r="I906">
        <v>968.01</v>
      </c>
      <c r="J906">
        <v>967.17700000000002</v>
      </c>
      <c r="K906">
        <v>966.13300000000004</v>
      </c>
      <c r="L906">
        <v>964.75900000000001</v>
      </c>
      <c r="M906" s="233" t="s">
        <v>532</v>
      </c>
      <c r="N906" s="233" t="s">
        <v>532</v>
      </c>
      <c r="O906" s="3" t="s">
        <v>1397</v>
      </c>
    </row>
    <row r="907" spans="1:15">
      <c r="A907">
        <v>228</v>
      </c>
      <c r="B907">
        <v>2057</v>
      </c>
      <c r="C907" t="s">
        <v>72</v>
      </c>
      <c r="D907" t="s">
        <v>214</v>
      </c>
      <c r="E907" s="232" t="s">
        <v>12195</v>
      </c>
      <c r="F907" t="s">
        <v>70</v>
      </c>
      <c r="G907">
        <v>3</v>
      </c>
      <c r="H907">
        <v>968.42100000000005</v>
      </c>
      <c r="I907">
        <v>967.91800000000001</v>
      </c>
      <c r="J907">
        <v>966.96</v>
      </c>
      <c r="K907">
        <v>965.84100000000001</v>
      </c>
      <c r="L907">
        <v>964.44600000000003</v>
      </c>
      <c r="M907" s="233" t="s">
        <v>532</v>
      </c>
      <c r="N907" s="233" t="s">
        <v>532</v>
      </c>
      <c r="O907" s="3" t="s">
        <v>1398</v>
      </c>
    </row>
    <row r="908" spans="1:15">
      <c r="A908">
        <v>230</v>
      </c>
      <c r="B908">
        <v>2063</v>
      </c>
      <c r="C908" t="s">
        <v>72</v>
      </c>
      <c r="D908" t="s">
        <v>214</v>
      </c>
      <c r="E908" s="232" t="s">
        <v>12430</v>
      </c>
      <c r="F908" t="s">
        <v>70</v>
      </c>
      <c r="G908">
        <v>3</v>
      </c>
      <c r="H908">
        <v>967.11</v>
      </c>
      <c r="I908">
        <v>966.74800000000005</v>
      </c>
      <c r="J908">
        <v>965.98500000000001</v>
      </c>
      <c r="K908">
        <v>965.04600000000005</v>
      </c>
      <c r="L908">
        <v>963.87699999999995</v>
      </c>
      <c r="M908" s="233" t="s">
        <v>532</v>
      </c>
      <c r="N908" s="233" t="s">
        <v>532</v>
      </c>
      <c r="O908" s="3" t="s">
        <v>1399</v>
      </c>
    </row>
    <row r="909" spans="1:15">
      <c r="A909">
        <v>228</v>
      </c>
      <c r="B909">
        <v>2054</v>
      </c>
      <c r="C909" t="s">
        <v>72</v>
      </c>
      <c r="D909" t="s">
        <v>214</v>
      </c>
      <c r="E909" s="232" t="s">
        <v>12468</v>
      </c>
      <c r="F909" t="s">
        <v>70</v>
      </c>
      <c r="G909">
        <v>3</v>
      </c>
      <c r="H909">
        <v>967.07799999999997</v>
      </c>
      <c r="I909">
        <v>966.66300000000001</v>
      </c>
      <c r="J909">
        <v>965.798</v>
      </c>
      <c r="K909">
        <v>964.53099999999995</v>
      </c>
      <c r="L909">
        <v>963.12300000000005</v>
      </c>
      <c r="M909" s="233" t="s">
        <v>532</v>
      </c>
      <c r="N909" s="233" t="s">
        <v>532</v>
      </c>
      <c r="O909" s="3" t="s">
        <v>1400</v>
      </c>
    </row>
    <row r="910" spans="1:15">
      <c r="A910">
        <v>230</v>
      </c>
      <c r="B910">
        <v>2017</v>
      </c>
      <c r="C910" t="s">
        <v>72</v>
      </c>
      <c r="D910" t="s">
        <v>214</v>
      </c>
      <c r="E910" s="232" t="s">
        <v>12492</v>
      </c>
      <c r="F910" t="s">
        <v>70</v>
      </c>
      <c r="G910">
        <v>3</v>
      </c>
      <c r="H910">
        <v>966.88499999999999</v>
      </c>
      <c r="I910">
        <v>966.47799999999995</v>
      </c>
      <c r="J910">
        <v>965.69299999999998</v>
      </c>
      <c r="K910">
        <v>964.64099999999996</v>
      </c>
      <c r="L910">
        <v>963.20299999999997</v>
      </c>
      <c r="M910" s="233" t="s">
        <v>532</v>
      </c>
      <c r="N910" s="233" t="s">
        <v>532</v>
      </c>
      <c r="O910" s="3" t="s">
        <v>1401</v>
      </c>
    </row>
    <row r="911" spans="1:15">
      <c r="A911">
        <v>230</v>
      </c>
      <c r="B911">
        <v>2026</v>
      </c>
      <c r="C911" t="s">
        <v>72</v>
      </c>
      <c r="D911" t="s">
        <v>214</v>
      </c>
      <c r="E911" s="232" t="s">
        <v>12497</v>
      </c>
      <c r="F911" t="s">
        <v>70</v>
      </c>
      <c r="G911">
        <v>3</v>
      </c>
      <c r="H911">
        <v>966.92700000000002</v>
      </c>
      <c r="I911">
        <v>966.51</v>
      </c>
      <c r="J911">
        <v>965.61800000000005</v>
      </c>
      <c r="K911">
        <v>964.37599999999998</v>
      </c>
      <c r="L911">
        <v>962.93399999999997</v>
      </c>
      <c r="M911" s="233" t="s">
        <v>532</v>
      </c>
      <c r="N911" s="233" t="s">
        <v>532</v>
      </c>
      <c r="O911" s="3" t="s">
        <v>1402</v>
      </c>
    </row>
    <row r="912" spans="1:15">
      <c r="A912">
        <v>230</v>
      </c>
      <c r="B912">
        <v>2029</v>
      </c>
      <c r="C912" t="s">
        <v>72</v>
      </c>
      <c r="D912" t="s">
        <v>214</v>
      </c>
      <c r="E912" s="232" t="s">
        <v>555</v>
      </c>
      <c r="F912" t="s">
        <v>70</v>
      </c>
      <c r="G912">
        <v>3</v>
      </c>
      <c r="H912">
        <v>966.36</v>
      </c>
      <c r="I912">
        <v>965.98099999999999</v>
      </c>
      <c r="J912">
        <v>965.00800000000004</v>
      </c>
      <c r="K912">
        <v>963.76099999999997</v>
      </c>
      <c r="L912">
        <v>962.40099999999995</v>
      </c>
      <c r="M912" s="233" t="s">
        <v>532</v>
      </c>
      <c r="N912" s="233" t="s">
        <v>532</v>
      </c>
      <c r="O912" s="3" t="s">
        <v>1403</v>
      </c>
    </row>
    <row r="913" spans="1:15">
      <c r="A913">
        <v>228</v>
      </c>
      <c r="B913">
        <v>2045</v>
      </c>
      <c r="C913" t="s">
        <v>72</v>
      </c>
      <c r="D913" t="s">
        <v>214</v>
      </c>
      <c r="E913" s="232" t="s">
        <v>11747</v>
      </c>
      <c r="F913" t="s">
        <v>70</v>
      </c>
      <c r="G913">
        <v>3</v>
      </c>
      <c r="H913">
        <v>966.245</v>
      </c>
      <c r="I913">
        <v>965.88300000000004</v>
      </c>
      <c r="J913">
        <v>964.90599999999995</v>
      </c>
      <c r="K913">
        <v>963.69</v>
      </c>
      <c r="L913">
        <v>962.25400000000002</v>
      </c>
      <c r="M913" s="233" t="s">
        <v>532</v>
      </c>
      <c r="N913" s="233" t="s">
        <v>532</v>
      </c>
      <c r="O913" s="3" t="s">
        <v>1404</v>
      </c>
    </row>
    <row r="914" spans="1:15">
      <c r="A914">
        <v>228</v>
      </c>
      <c r="B914">
        <v>2048</v>
      </c>
      <c r="C914" t="s">
        <v>72</v>
      </c>
      <c r="D914" t="s">
        <v>214</v>
      </c>
      <c r="E914" s="232" t="s">
        <v>12645</v>
      </c>
      <c r="F914" t="s">
        <v>70</v>
      </c>
      <c r="G914">
        <v>3</v>
      </c>
      <c r="H914">
        <v>966.21799999999996</v>
      </c>
      <c r="I914">
        <v>965.84100000000001</v>
      </c>
      <c r="J914">
        <v>964.86300000000006</v>
      </c>
      <c r="K914">
        <v>963.61800000000005</v>
      </c>
      <c r="L914">
        <v>962.16899999999998</v>
      </c>
      <c r="M914" s="233" t="s">
        <v>532</v>
      </c>
      <c r="N914" s="233" t="s">
        <v>532</v>
      </c>
      <c r="O914" s="3" t="s">
        <v>1405</v>
      </c>
    </row>
    <row r="915" spans="1:15">
      <c r="A915">
        <v>230</v>
      </c>
      <c r="B915">
        <v>2015</v>
      </c>
      <c r="C915" t="s">
        <v>72</v>
      </c>
      <c r="D915" t="s">
        <v>214</v>
      </c>
      <c r="E915" s="232" t="s">
        <v>9090</v>
      </c>
      <c r="F915" t="s">
        <v>70</v>
      </c>
      <c r="G915">
        <v>3</v>
      </c>
      <c r="H915">
        <v>965.91600000000005</v>
      </c>
      <c r="I915">
        <v>965.54899999999998</v>
      </c>
      <c r="J915">
        <v>964.721</v>
      </c>
      <c r="K915">
        <v>963.58100000000002</v>
      </c>
      <c r="L915">
        <v>962.14099999999996</v>
      </c>
      <c r="M915" s="233" t="s">
        <v>532</v>
      </c>
      <c r="N915" s="233" t="s">
        <v>532</v>
      </c>
      <c r="O915" s="3" t="s">
        <v>1406</v>
      </c>
    </row>
    <row r="916" spans="1:15">
      <c r="A916">
        <v>228</v>
      </c>
      <c r="B916">
        <v>2053</v>
      </c>
      <c r="C916" t="s">
        <v>72</v>
      </c>
      <c r="D916" t="s">
        <v>214</v>
      </c>
      <c r="E916" s="232" t="s">
        <v>12675</v>
      </c>
      <c r="F916" t="s">
        <v>70</v>
      </c>
      <c r="G916">
        <v>3</v>
      </c>
      <c r="H916">
        <v>966.06299999999999</v>
      </c>
      <c r="I916">
        <v>965.65</v>
      </c>
      <c r="J916">
        <v>964.721</v>
      </c>
      <c r="K916">
        <v>963.46299999999997</v>
      </c>
      <c r="L916">
        <v>962.029</v>
      </c>
      <c r="M916" s="233" t="s">
        <v>532</v>
      </c>
      <c r="N916" s="233" t="s">
        <v>532</v>
      </c>
      <c r="O916" s="3" t="s">
        <v>1407</v>
      </c>
    </row>
    <row r="917" spans="1:15">
      <c r="A917">
        <v>228</v>
      </c>
      <c r="B917">
        <v>2049</v>
      </c>
      <c r="C917" t="s">
        <v>72</v>
      </c>
      <c r="D917" t="s">
        <v>214</v>
      </c>
      <c r="E917" s="232" t="s">
        <v>12760</v>
      </c>
      <c r="F917" t="s">
        <v>70</v>
      </c>
      <c r="G917">
        <v>3</v>
      </c>
      <c r="H917">
        <v>965.64599999999996</v>
      </c>
      <c r="I917">
        <v>965.23599999999999</v>
      </c>
      <c r="J917">
        <v>964.26800000000003</v>
      </c>
      <c r="K917">
        <v>962.97900000000004</v>
      </c>
      <c r="L917">
        <v>961.56399999999996</v>
      </c>
      <c r="M917" s="233" t="s">
        <v>532</v>
      </c>
      <c r="N917" s="233" t="s">
        <v>532</v>
      </c>
      <c r="O917" s="3" t="s">
        <v>1408</v>
      </c>
    </row>
    <row r="918" spans="1:15">
      <c r="A918">
        <v>230</v>
      </c>
      <c r="B918">
        <v>2023</v>
      </c>
      <c r="C918" t="s">
        <v>72</v>
      </c>
      <c r="D918" t="s">
        <v>214</v>
      </c>
      <c r="E918" s="232" t="s">
        <v>12800</v>
      </c>
      <c r="F918" t="s">
        <v>70</v>
      </c>
      <c r="G918">
        <v>3</v>
      </c>
      <c r="H918">
        <v>965.35400000000004</v>
      </c>
      <c r="I918">
        <v>964.93299999999999</v>
      </c>
      <c r="J918">
        <v>963.99800000000005</v>
      </c>
      <c r="K918">
        <v>962.71400000000006</v>
      </c>
      <c r="L918">
        <v>961.32899999999995</v>
      </c>
      <c r="M918" s="233" t="s">
        <v>532</v>
      </c>
      <c r="N918" s="233" t="s">
        <v>532</v>
      </c>
      <c r="O918" s="3" t="s">
        <v>1409</v>
      </c>
    </row>
    <row r="919" spans="1:15">
      <c r="A919">
        <v>230</v>
      </c>
      <c r="B919">
        <v>2055</v>
      </c>
      <c r="C919" t="s">
        <v>72</v>
      </c>
      <c r="D919" t="s">
        <v>214</v>
      </c>
      <c r="E919" s="232" t="s">
        <v>550</v>
      </c>
      <c r="F919" t="s">
        <v>70</v>
      </c>
      <c r="G919">
        <v>3</v>
      </c>
      <c r="H919">
        <v>965.35400000000004</v>
      </c>
      <c r="I919">
        <v>964.93299999999999</v>
      </c>
      <c r="J919">
        <v>963.99800000000005</v>
      </c>
      <c r="K919">
        <v>962.71400000000006</v>
      </c>
      <c r="L919">
        <v>961.32899999999995</v>
      </c>
      <c r="M919" s="233" t="s">
        <v>532</v>
      </c>
      <c r="N919" s="233" t="s">
        <v>532</v>
      </c>
      <c r="O919" s="3" t="s">
        <v>1410</v>
      </c>
    </row>
    <row r="920" spans="1:15">
      <c r="A920">
        <v>230</v>
      </c>
      <c r="B920">
        <v>2039</v>
      </c>
      <c r="C920" t="s">
        <v>72</v>
      </c>
      <c r="D920" t="s">
        <v>214</v>
      </c>
      <c r="E920" s="232" t="s">
        <v>8778</v>
      </c>
      <c r="F920" t="s">
        <v>70</v>
      </c>
      <c r="G920">
        <v>3</v>
      </c>
      <c r="H920">
        <v>965.31600000000003</v>
      </c>
      <c r="I920">
        <v>964.90599999999995</v>
      </c>
      <c r="J920">
        <v>963.96</v>
      </c>
      <c r="K920">
        <v>962.70799999999997</v>
      </c>
      <c r="L920">
        <v>961.26199999999994</v>
      </c>
      <c r="M920" s="233" t="s">
        <v>532</v>
      </c>
      <c r="N920" s="233" t="s">
        <v>532</v>
      </c>
      <c r="O920" s="3" t="s">
        <v>1411</v>
      </c>
    </row>
    <row r="921" spans="1:15">
      <c r="A921">
        <v>230</v>
      </c>
      <c r="B921">
        <v>2032</v>
      </c>
      <c r="C921" t="s">
        <v>72</v>
      </c>
      <c r="D921" t="s">
        <v>214</v>
      </c>
      <c r="E921" s="232" t="s">
        <v>11452</v>
      </c>
      <c r="F921" t="s">
        <v>70</v>
      </c>
      <c r="G921">
        <v>3</v>
      </c>
      <c r="H921">
        <v>965.23599999999999</v>
      </c>
      <c r="I921">
        <v>964.78599999999994</v>
      </c>
      <c r="J921">
        <v>963.84500000000003</v>
      </c>
      <c r="K921">
        <v>962.54600000000005</v>
      </c>
      <c r="L921">
        <v>961.13400000000001</v>
      </c>
      <c r="M921" s="233" t="s">
        <v>532</v>
      </c>
      <c r="N921" s="233" t="s">
        <v>532</v>
      </c>
      <c r="O921" s="3" t="s">
        <v>1412</v>
      </c>
    </row>
    <row r="922" spans="1:15">
      <c r="A922">
        <v>228</v>
      </c>
      <c r="B922">
        <v>2052</v>
      </c>
      <c r="C922" t="s">
        <v>72</v>
      </c>
      <c r="D922" t="s">
        <v>214</v>
      </c>
      <c r="E922" s="232" t="s">
        <v>12830</v>
      </c>
      <c r="F922" t="s">
        <v>70</v>
      </c>
      <c r="G922">
        <v>3</v>
      </c>
      <c r="H922">
        <v>965.23599999999999</v>
      </c>
      <c r="I922">
        <v>964.78599999999994</v>
      </c>
      <c r="J922">
        <v>963.84500000000003</v>
      </c>
      <c r="K922">
        <v>962.54600000000005</v>
      </c>
      <c r="L922">
        <v>961.13400000000001</v>
      </c>
      <c r="M922" s="233" t="s">
        <v>532</v>
      </c>
      <c r="N922" s="233" t="s">
        <v>532</v>
      </c>
      <c r="O922" s="3" t="s">
        <v>1413</v>
      </c>
    </row>
    <row r="923" spans="1:15">
      <c r="A923">
        <v>228</v>
      </c>
      <c r="B923">
        <v>2051</v>
      </c>
      <c r="C923" t="s">
        <v>72</v>
      </c>
      <c r="D923" t="s">
        <v>214</v>
      </c>
      <c r="E923" s="232" t="s">
        <v>12846</v>
      </c>
      <c r="F923" t="s">
        <v>70</v>
      </c>
      <c r="G923">
        <v>3</v>
      </c>
      <c r="H923">
        <v>965.19899999999996</v>
      </c>
      <c r="I923">
        <v>964.75300000000004</v>
      </c>
      <c r="J923">
        <v>963.76099999999997</v>
      </c>
      <c r="K923">
        <v>962.48099999999999</v>
      </c>
      <c r="L923">
        <v>961.10699999999997</v>
      </c>
      <c r="M923" s="233" t="s">
        <v>532</v>
      </c>
      <c r="N923" s="233" t="s">
        <v>532</v>
      </c>
      <c r="O923" s="3" t="s">
        <v>1414</v>
      </c>
    </row>
    <row r="924" spans="1:15">
      <c r="A924">
        <v>231</v>
      </c>
      <c r="B924">
        <v>2025</v>
      </c>
      <c r="C924" t="s">
        <v>72</v>
      </c>
      <c r="D924" t="s">
        <v>214</v>
      </c>
      <c r="E924" s="232" t="s">
        <v>551</v>
      </c>
      <c r="F924" t="s">
        <v>70</v>
      </c>
      <c r="G924">
        <v>3</v>
      </c>
      <c r="H924">
        <v>965.09400000000005</v>
      </c>
      <c r="I924">
        <v>964.721</v>
      </c>
      <c r="J924">
        <v>963.73299999999995</v>
      </c>
      <c r="K924">
        <v>962.43799999999999</v>
      </c>
      <c r="L924">
        <v>961.07899999999995</v>
      </c>
      <c r="M924" s="233" t="s">
        <v>532</v>
      </c>
      <c r="N924" s="233" t="s">
        <v>532</v>
      </c>
      <c r="O924" s="3" t="s">
        <v>1415</v>
      </c>
    </row>
    <row r="925" spans="1:15">
      <c r="A925">
        <v>228</v>
      </c>
      <c r="B925">
        <v>2058</v>
      </c>
      <c r="C925" t="s">
        <v>72</v>
      </c>
      <c r="D925" t="s">
        <v>214</v>
      </c>
      <c r="E925" s="232" t="s">
        <v>12277</v>
      </c>
      <c r="F925" t="s">
        <v>70</v>
      </c>
      <c r="G925">
        <v>3</v>
      </c>
      <c r="H925">
        <v>965.09400000000005</v>
      </c>
      <c r="I925">
        <v>964.721</v>
      </c>
      <c r="J925">
        <v>963.73299999999995</v>
      </c>
      <c r="K925">
        <v>962.43799999999999</v>
      </c>
      <c r="L925">
        <v>961.07899999999995</v>
      </c>
      <c r="M925" s="233" t="s">
        <v>532</v>
      </c>
      <c r="N925" s="233" t="s">
        <v>532</v>
      </c>
      <c r="O925" s="3" t="s">
        <v>1416</v>
      </c>
    </row>
    <row r="926" spans="1:15">
      <c r="A926">
        <v>230</v>
      </c>
      <c r="B926">
        <v>2042</v>
      </c>
      <c r="C926" t="s">
        <v>72</v>
      </c>
      <c r="D926" t="s">
        <v>214</v>
      </c>
      <c r="E926" s="232" t="s">
        <v>8813</v>
      </c>
      <c r="F926" t="s">
        <v>70</v>
      </c>
      <c r="G926">
        <v>3</v>
      </c>
      <c r="H926">
        <v>964.82299999999998</v>
      </c>
      <c r="I926">
        <v>964.41899999999998</v>
      </c>
      <c r="J926">
        <v>963.46299999999997</v>
      </c>
      <c r="K926">
        <v>962.14099999999996</v>
      </c>
      <c r="L926">
        <v>960.80399999999997</v>
      </c>
      <c r="M926" s="233" t="s">
        <v>532</v>
      </c>
      <c r="N926" s="233" t="s">
        <v>532</v>
      </c>
      <c r="O926" s="3" t="s">
        <v>1417</v>
      </c>
    </row>
    <row r="927" spans="1:15">
      <c r="A927">
        <v>228</v>
      </c>
      <c r="B927">
        <v>2060</v>
      </c>
      <c r="C927" t="s">
        <v>72</v>
      </c>
      <c r="D927" t="s">
        <v>214</v>
      </c>
      <c r="E927" s="232" t="s">
        <v>13077</v>
      </c>
      <c r="F927" t="s">
        <v>70</v>
      </c>
      <c r="G927">
        <v>3</v>
      </c>
      <c r="H927">
        <v>964.30600000000004</v>
      </c>
      <c r="I927">
        <v>963.87699999999995</v>
      </c>
      <c r="J927">
        <v>962.89599999999996</v>
      </c>
      <c r="K927">
        <v>961.60699999999997</v>
      </c>
      <c r="L927">
        <v>960.34900000000005</v>
      </c>
      <c r="M927" s="233" t="s">
        <v>532</v>
      </c>
      <c r="N927" s="233" t="s">
        <v>532</v>
      </c>
      <c r="O927" s="3" t="s">
        <v>1418</v>
      </c>
    </row>
    <row r="928" spans="1:15">
      <c r="A928">
        <v>230</v>
      </c>
      <c r="B928">
        <v>2043</v>
      </c>
      <c r="C928" t="s">
        <v>72</v>
      </c>
      <c r="D928" t="s">
        <v>214</v>
      </c>
      <c r="E928" s="232" t="s">
        <v>13107</v>
      </c>
      <c r="F928" t="s">
        <v>70</v>
      </c>
      <c r="G928">
        <v>3</v>
      </c>
      <c r="H928">
        <v>962.14099999999996</v>
      </c>
      <c r="I928">
        <v>961.72199999999998</v>
      </c>
      <c r="J928">
        <v>960.80399999999997</v>
      </c>
      <c r="K928">
        <v>959.71199999999999</v>
      </c>
      <c r="L928">
        <v>958.58900000000006</v>
      </c>
      <c r="M928" s="233" t="s">
        <v>532</v>
      </c>
      <c r="N928" s="233" t="s">
        <v>532</v>
      </c>
      <c r="O928" s="3" t="s">
        <v>1419</v>
      </c>
    </row>
    <row r="929" spans="1:15">
      <c r="A929">
        <v>230</v>
      </c>
      <c r="B929">
        <v>2038</v>
      </c>
      <c r="C929" t="s">
        <v>72</v>
      </c>
      <c r="D929" t="s">
        <v>214</v>
      </c>
      <c r="E929" s="232" t="s">
        <v>9252</v>
      </c>
      <c r="F929" t="s">
        <v>70</v>
      </c>
      <c r="G929">
        <v>3</v>
      </c>
      <c r="H929">
        <v>961.904</v>
      </c>
      <c r="I929">
        <v>961.52200000000005</v>
      </c>
      <c r="J929">
        <v>960.577</v>
      </c>
      <c r="K929">
        <v>959.53499999999997</v>
      </c>
      <c r="L929">
        <v>958.35699999999997</v>
      </c>
      <c r="M929" s="233" t="s">
        <v>532</v>
      </c>
      <c r="N929" s="233" t="s">
        <v>532</v>
      </c>
      <c r="O929" s="3" t="s">
        <v>1420</v>
      </c>
    </row>
    <row r="930" spans="1:15">
      <c r="A930">
        <v>231</v>
      </c>
      <c r="B930">
        <v>2030</v>
      </c>
      <c r="C930" t="s">
        <v>72</v>
      </c>
      <c r="D930" t="s">
        <v>214</v>
      </c>
      <c r="E930" s="232" t="s">
        <v>554</v>
      </c>
      <c r="F930" t="s">
        <v>70</v>
      </c>
      <c r="G930">
        <v>3</v>
      </c>
      <c r="H930">
        <v>961.87699999999995</v>
      </c>
      <c r="I930">
        <v>961.44600000000003</v>
      </c>
      <c r="J930">
        <v>960.53899999999999</v>
      </c>
      <c r="K930">
        <v>959.48299999999995</v>
      </c>
      <c r="L930">
        <v>958.31399999999996</v>
      </c>
      <c r="M930" s="233" t="s">
        <v>532</v>
      </c>
      <c r="N930" s="233" t="s">
        <v>532</v>
      </c>
      <c r="O930" s="3" t="s">
        <v>1421</v>
      </c>
    </row>
    <row r="931" spans="1:15">
      <c r="A931">
        <v>227</v>
      </c>
      <c r="B931">
        <v>2092</v>
      </c>
      <c r="C931" t="s">
        <v>72</v>
      </c>
      <c r="D931" t="s">
        <v>214</v>
      </c>
      <c r="E931" s="232" t="s">
        <v>489</v>
      </c>
      <c r="F931" t="s">
        <v>71</v>
      </c>
      <c r="G931">
        <v>3</v>
      </c>
      <c r="H931">
        <v>971.13099999999997</v>
      </c>
      <c r="I931">
        <v>970.62199999999996</v>
      </c>
      <c r="J931">
        <v>969.68799999999999</v>
      </c>
      <c r="K931">
        <v>968.59500000000003</v>
      </c>
      <c r="L931">
        <v>967.31200000000001</v>
      </c>
      <c r="M931" s="233" t="s">
        <v>532</v>
      </c>
      <c r="N931" s="233" t="s">
        <v>532</v>
      </c>
      <c r="O931" s="3" t="s">
        <v>1422</v>
      </c>
    </row>
    <row r="932" spans="1:15">
      <c r="A932">
        <v>227</v>
      </c>
      <c r="B932">
        <v>2088</v>
      </c>
      <c r="C932" t="s">
        <v>72</v>
      </c>
      <c r="D932" t="s">
        <v>214</v>
      </c>
      <c r="E932" s="232" t="s">
        <v>9774</v>
      </c>
      <c r="F932" t="s">
        <v>71</v>
      </c>
      <c r="G932">
        <v>3</v>
      </c>
      <c r="H932">
        <v>970.25800000000004</v>
      </c>
      <c r="I932">
        <v>969.798</v>
      </c>
      <c r="J932">
        <v>968.73900000000003</v>
      </c>
      <c r="K932">
        <v>967.57600000000002</v>
      </c>
      <c r="L932">
        <v>966.11699999999996</v>
      </c>
      <c r="M932" s="233" t="s">
        <v>532</v>
      </c>
      <c r="N932" s="233" t="s">
        <v>532</v>
      </c>
      <c r="O932" s="3" t="s">
        <v>1423</v>
      </c>
    </row>
    <row r="933" spans="1:15">
      <c r="A933">
        <v>227</v>
      </c>
      <c r="B933">
        <v>2075</v>
      </c>
      <c r="C933" t="s">
        <v>72</v>
      </c>
      <c r="D933" t="s">
        <v>214</v>
      </c>
      <c r="E933" s="232" t="s">
        <v>8863</v>
      </c>
      <c r="F933" t="s">
        <v>71</v>
      </c>
      <c r="G933">
        <v>3</v>
      </c>
      <c r="H933">
        <v>969.68</v>
      </c>
      <c r="I933">
        <v>969.173</v>
      </c>
      <c r="J933">
        <v>968.279</v>
      </c>
      <c r="K933">
        <v>967.03499999999997</v>
      </c>
      <c r="L933">
        <v>965.60500000000002</v>
      </c>
      <c r="M933" s="233" t="s">
        <v>532</v>
      </c>
      <c r="N933" s="233" t="s">
        <v>532</v>
      </c>
      <c r="O933" s="3" t="s">
        <v>1424</v>
      </c>
    </row>
    <row r="934" spans="1:15">
      <c r="A934">
        <v>227</v>
      </c>
      <c r="B934">
        <v>2067</v>
      </c>
      <c r="C934" t="s">
        <v>72</v>
      </c>
      <c r="D934" t="s">
        <v>214</v>
      </c>
      <c r="E934" s="232" t="s">
        <v>11191</v>
      </c>
      <c r="F934" t="s">
        <v>71</v>
      </c>
      <c r="G934">
        <v>3</v>
      </c>
      <c r="H934">
        <v>969.68799999999999</v>
      </c>
      <c r="I934">
        <v>969.16899999999998</v>
      </c>
      <c r="J934">
        <v>968.23900000000003</v>
      </c>
      <c r="K934">
        <v>967.04399999999998</v>
      </c>
      <c r="L934">
        <v>965.56799999999998</v>
      </c>
      <c r="M934" s="233" t="s">
        <v>532</v>
      </c>
      <c r="N934" s="233" t="s">
        <v>532</v>
      </c>
      <c r="O934" s="3" t="s">
        <v>1425</v>
      </c>
    </row>
    <row r="935" spans="1:15">
      <c r="A935">
        <v>227</v>
      </c>
      <c r="B935">
        <v>2083</v>
      </c>
      <c r="C935" t="s">
        <v>72</v>
      </c>
      <c r="D935" t="s">
        <v>214</v>
      </c>
      <c r="E935" s="232" t="s">
        <v>8654</v>
      </c>
      <c r="F935" t="s">
        <v>71</v>
      </c>
      <c r="G935">
        <v>3</v>
      </c>
      <c r="H935">
        <v>969.36500000000001</v>
      </c>
      <c r="I935">
        <v>968.89599999999996</v>
      </c>
      <c r="J935">
        <v>967.96600000000001</v>
      </c>
      <c r="K935">
        <v>966.77099999999996</v>
      </c>
      <c r="L935">
        <v>965.33199999999999</v>
      </c>
      <c r="M935" s="233" t="s">
        <v>532</v>
      </c>
      <c r="N935" s="233" t="s">
        <v>532</v>
      </c>
      <c r="O935" s="3" t="s">
        <v>1426</v>
      </c>
    </row>
    <row r="936" spans="1:15">
      <c r="A936">
        <v>227</v>
      </c>
      <c r="B936">
        <v>2084</v>
      </c>
      <c r="C936" t="s">
        <v>72</v>
      </c>
      <c r="D936" t="s">
        <v>214</v>
      </c>
      <c r="E936" s="232" t="s">
        <v>8753</v>
      </c>
      <c r="F936" t="s">
        <v>71</v>
      </c>
      <c r="G936">
        <v>3</v>
      </c>
      <c r="H936">
        <v>968.43399999999997</v>
      </c>
      <c r="I936">
        <v>967.96600000000001</v>
      </c>
      <c r="J936">
        <v>967.07600000000002</v>
      </c>
      <c r="K936">
        <v>965.91899999999998</v>
      </c>
      <c r="L936">
        <v>964.56399999999996</v>
      </c>
      <c r="M936" s="233" t="s">
        <v>532</v>
      </c>
      <c r="N936" s="233" t="s">
        <v>532</v>
      </c>
      <c r="O936" s="3" t="s">
        <v>1427</v>
      </c>
    </row>
    <row r="937" spans="1:15">
      <c r="A937">
        <v>227</v>
      </c>
      <c r="B937">
        <v>2090</v>
      </c>
      <c r="C937" t="s">
        <v>72</v>
      </c>
      <c r="D937" t="s">
        <v>214</v>
      </c>
      <c r="E937" s="232" t="s">
        <v>12240</v>
      </c>
      <c r="F937" t="s">
        <v>71</v>
      </c>
      <c r="G937">
        <v>3</v>
      </c>
      <c r="H937">
        <v>968.31200000000001</v>
      </c>
      <c r="I937">
        <v>967.83699999999999</v>
      </c>
      <c r="J937">
        <v>966.92899999999997</v>
      </c>
      <c r="K937">
        <v>965.803</v>
      </c>
      <c r="L937">
        <v>964.40200000000004</v>
      </c>
      <c r="M937" s="233" t="s">
        <v>532</v>
      </c>
      <c r="N937" s="233" t="s">
        <v>532</v>
      </c>
      <c r="O937" s="3" t="s">
        <v>1428</v>
      </c>
    </row>
    <row r="938" spans="1:15">
      <c r="A938">
        <v>227</v>
      </c>
      <c r="B938">
        <v>2079</v>
      </c>
      <c r="C938" t="s">
        <v>72</v>
      </c>
      <c r="D938" t="s">
        <v>214</v>
      </c>
      <c r="E938" s="232" t="s">
        <v>8618</v>
      </c>
      <c r="F938" t="s">
        <v>71</v>
      </c>
      <c r="G938">
        <v>3</v>
      </c>
      <c r="H938">
        <v>968.279</v>
      </c>
      <c r="I938">
        <v>967.80899999999997</v>
      </c>
      <c r="J938">
        <v>966.87800000000004</v>
      </c>
      <c r="K938">
        <v>965.77499999999998</v>
      </c>
      <c r="L938">
        <v>964.37</v>
      </c>
      <c r="M938" s="233" t="s">
        <v>532</v>
      </c>
      <c r="N938" s="233" t="s">
        <v>532</v>
      </c>
      <c r="O938" s="3" t="s">
        <v>1429</v>
      </c>
    </row>
    <row r="939" spans="1:15">
      <c r="A939">
        <v>227</v>
      </c>
      <c r="B939">
        <v>2077</v>
      </c>
      <c r="C939" t="s">
        <v>72</v>
      </c>
      <c r="D939" t="s">
        <v>214</v>
      </c>
      <c r="E939" s="232" t="s">
        <v>12322</v>
      </c>
      <c r="F939" t="s">
        <v>71</v>
      </c>
      <c r="G939">
        <v>3</v>
      </c>
      <c r="H939">
        <v>967.83699999999999</v>
      </c>
      <c r="I939">
        <v>967.38800000000003</v>
      </c>
      <c r="J939">
        <v>966.49800000000005</v>
      </c>
      <c r="K939">
        <v>965.37</v>
      </c>
      <c r="L939">
        <v>964.02700000000004</v>
      </c>
      <c r="M939" s="233" t="s">
        <v>532</v>
      </c>
      <c r="N939" s="233" t="s">
        <v>532</v>
      </c>
      <c r="O939" s="3" t="s">
        <v>1430</v>
      </c>
    </row>
    <row r="940" spans="1:15">
      <c r="A940">
        <v>227</v>
      </c>
      <c r="B940">
        <v>2081</v>
      </c>
      <c r="C940" t="s">
        <v>72</v>
      </c>
      <c r="D940" t="s">
        <v>214</v>
      </c>
      <c r="E940" s="232" t="s">
        <v>12409</v>
      </c>
      <c r="F940" t="s">
        <v>71</v>
      </c>
      <c r="G940">
        <v>3</v>
      </c>
      <c r="H940">
        <v>967.11300000000006</v>
      </c>
      <c r="I940">
        <v>966.68299999999999</v>
      </c>
      <c r="J940">
        <v>965.84100000000001</v>
      </c>
      <c r="K940">
        <v>964.76</v>
      </c>
      <c r="L940">
        <v>963.37800000000004</v>
      </c>
      <c r="M940" s="233" t="s">
        <v>532</v>
      </c>
      <c r="N940" s="233" t="s">
        <v>532</v>
      </c>
      <c r="O940" s="3" t="s">
        <v>1431</v>
      </c>
    </row>
    <row r="941" spans="1:15">
      <c r="A941">
        <v>227</v>
      </c>
      <c r="B941">
        <v>2085</v>
      </c>
      <c r="C941" t="s">
        <v>72</v>
      </c>
      <c r="D941" t="s">
        <v>214</v>
      </c>
      <c r="E941" s="232" t="s">
        <v>8883</v>
      </c>
      <c r="F941" t="s">
        <v>71</v>
      </c>
      <c r="G941">
        <v>3</v>
      </c>
      <c r="H941">
        <v>967.07600000000002</v>
      </c>
      <c r="I941">
        <v>966.60500000000002</v>
      </c>
      <c r="J941">
        <v>965.81200000000001</v>
      </c>
      <c r="K941">
        <v>964.67499999999995</v>
      </c>
      <c r="L941">
        <v>963.26400000000001</v>
      </c>
      <c r="M941" s="233" t="s">
        <v>532</v>
      </c>
      <c r="N941" s="233" t="s">
        <v>532</v>
      </c>
      <c r="O941" s="3" t="s">
        <v>1432</v>
      </c>
    </row>
    <row r="942" spans="1:15">
      <c r="A942">
        <v>227</v>
      </c>
      <c r="B942">
        <v>2080</v>
      </c>
      <c r="C942" t="s">
        <v>72</v>
      </c>
      <c r="D942" t="s">
        <v>214</v>
      </c>
      <c r="E942" s="232" t="s">
        <v>12442</v>
      </c>
      <c r="F942" t="s">
        <v>71</v>
      </c>
      <c r="G942">
        <v>3</v>
      </c>
      <c r="H942">
        <v>967.00699999999995</v>
      </c>
      <c r="I942">
        <v>966.49800000000005</v>
      </c>
      <c r="J942">
        <v>965.68299999999999</v>
      </c>
      <c r="K942">
        <v>964.60500000000002</v>
      </c>
      <c r="L942">
        <v>963.19399999999996</v>
      </c>
      <c r="M942" s="233" t="s">
        <v>532</v>
      </c>
      <c r="N942" s="233" t="s">
        <v>532</v>
      </c>
      <c r="O942" s="3" t="s">
        <v>1433</v>
      </c>
    </row>
    <row r="943" spans="1:15">
      <c r="A943">
        <v>227</v>
      </c>
      <c r="B943">
        <v>2082</v>
      </c>
      <c r="C943" t="s">
        <v>72</v>
      </c>
      <c r="D943" t="s">
        <v>214</v>
      </c>
      <c r="E943" s="232" t="s">
        <v>12617</v>
      </c>
      <c r="F943" t="s">
        <v>71</v>
      </c>
      <c r="G943">
        <v>3</v>
      </c>
      <c r="H943">
        <v>965.87800000000004</v>
      </c>
      <c r="I943">
        <v>965.48800000000006</v>
      </c>
      <c r="J943">
        <v>964.67499999999995</v>
      </c>
      <c r="K943">
        <v>963.48</v>
      </c>
      <c r="L943">
        <v>962.15800000000002</v>
      </c>
      <c r="M943" s="233" t="s">
        <v>532</v>
      </c>
      <c r="N943" s="233" t="s">
        <v>532</v>
      </c>
      <c r="O943" s="3" t="s">
        <v>1434</v>
      </c>
    </row>
    <row r="944" spans="1:15">
      <c r="A944">
        <v>7</v>
      </c>
      <c r="B944">
        <v>2094</v>
      </c>
      <c r="C944" t="s">
        <v>72</v>
      </c>
      <c r="D944" t="s">
        <v>73</v>
      </c>
      <c r="E944" s="232" t="s">
        <v>240</v>
      </c>
      <c r="F944" t="s">
        <v>70</v>
      </c>
      <c r="G944">
        <v>1</v>
      </c>
      <c r="H944">
        <v>657.92899999999997</v>
      </c>
      <c r="I944">
        <v>656.82299999999998</v>
      </c>
      <c r="J944">
        <v>655.35900000000004</v>
      </c>
      <c r="K944">
        <v>654.68200000000002</v>
      </c>
      <c r="L944">
        <v>653.73099999999999</v>
      </c>
      <c r="M944" s="233" t="s">
        <v>530</v>
      </c>
      <c r="N944" s="233" t="s">
        <v>531</v>
      </c>
      <c r="O944" s="3" t="s">
        <v>1435</v>
      </c>
    </row>
    <row r="945" spans="1:15">
      <c r="A945">
        <v>273</v>
      </c>
      <c r="B945">
        <v>2095</v>
      </c>
      <c r="C945" t="s">
        <v>72</v>
      </c>
      <c r="D945" t="s">
        <v>77</v>
      </c>
      <c r="E945" s="232" t="s">
        <v>240</v>
      </c>
      <c r="F945" t="s">
        <v>70</v>
      </c>
      <c r="G945">
        <v>1</v>
      </c>
      <c r="H945">
        <v>689.43700000000001</v>
      </c>
      <c r="I945">
        <v>688.51300000000003</v>
      </c>
      <c r="J945">
        <v>687.6</v>
      </c>
      <c r="K945">
        <v>686.85599999999999</v>
      </c>
      <c r="L945">
        <v>685.99599999999998</v>
      </c>
      <c r="M945" s="233" t="s">
        <v>530</v>
      </c>
      <c r="N945" s="233" t="s">
        <v>531</v>
      </c>
      <c r="O945" s="3" t="s">
        <v>1436</v>
      </c>
    </row>
    <row r="946" spans="1:15">
      <c r="A946">
        <v>108</v>
      </c>
      <c r="B946">
        <v>2096</v>
      </c>
      <c r="C946" t="s">
        <v>72</v>
      </c>
      <c r="D946" t="s">
        <v>239</v>
      </c>
      <c r="E946" s="232" t="s">
        <v>240</v>
      </c>
      <c r="F946" t="s">
        <v>70</v>
      </c>
      <c r="G946">
        <v>1</v>
      </c>
      <c r="H946">
        <v>698.3</v>
      </c>
      <c r="I946">
        <v>697.40099999999995</v>
      </c>
      <c r="J946">
        <v>695.45600000000002</v>
      </c>
      <c r="K946">
        <v>694.74199999999996</v>
      </c>
      <c r="L946">
        <v>693.51599999999996</v>
      </c>
      <c r="M946" s="233" t="s">
        <v>530</v>
      </c>
      <c r="N946" s="233" t="s">
        <v>531</v>
      </c>
      <c r="O946" s="3" t="s">
        <v>1437</v>
      </c>
    </row>
    <row r="947" spans="1:15">
      <c r="A947">
        <v>9</v>
      </c>
      <c r="B947">
        <v>2097</v>
      </c>
      <c r="C947" t="s">
        <v>72</v>
      </c>
      <c r="D947" t="s">
        <v>75</v>
      </c>
      <c r="E947" s="232" t="s">
        <v>7802</v>
      </c>
      <c r="F947" t="s">
        <v>70</v>
      </c>
      <c r="G947">
        <v>1</v>
      </c>
      <c r="H947">
        <v>690.35699999999997</v>
      </c>
      <c r="I947">
        <v>689.86099999999999</v>
      </c>
      <c r="J947">
        <v>687.98099999999999</v>
      </c>
      <c r="K947">
        <v>687.31</v>
      </c>
      <c r="L947">
        <v>686.96799999999996</v>
      </c>
      <c r="M947" s="233" t="s">
        <v>530</v>
      </c>
      <c r="N947" s="233" t="s">
        <v>531</v>
      </c>
      <c r="O947" s="3" t="s">
        <v>1438</v>
      </c>
    </row>
    <row r="948" spans="1:15">
      <c r="A948">
        <v>9</v>
      </c>
      <c r="B948">
        <v>173</v>
      </c>
      <c r="C948" t="s">
        <v>72</v>
      </c>
      <c r="D948" t="s">
        <v>75</v>
      </c>
      <c r="E948" s="232" t="s">
        <v>16558</v>
      </c>
      <c r="F948" t="s">
        <v>70</v>
      </c>
      <c r="G948">
        <v>1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s="233" t="s">
        <v>530</v>
      </c>
      <c r="N948" s="233" t="s">
        <v>531</v>
      </c>
      <c r="O948" s="3" t="s">
        <v>2623</v>
      </c>
    </row>
    <row r="949" spans="1:15">
      <c r="A949">
        <v>174</v>
      </c>
      <c r="B949">
        <v>2098</v>
      </c>
      <c r="C949" t="s">
        <v>72</v>
      </c>
      <c r="D949" t="s">
        <v>241</v>
      </c>
      <c r="E949" s="232" t="s">
        <v>240</v>
      </c>
      <c r="F949" t="s">
        <v>70</v>
      </c>
      <c r="G949">
        <v>1</v>
      </c>
      <c r="H949">
        <v>965.40899999999999</v>
      </c>
      <c r="I949">
        <v>964.923</v>
      </c>
      <c r="J949">
        <v>964.84699999999998</v>
      </c>
      <c r="K949">
        <v>963.82799999999997</v>
      </c>
      <c r="L949">
        <v>963.75</v>
      </c>
      <c r="M949" s="233" t="s">
        <v>532</v>
      </c>
      <c r="N949" s="233" t="s">
        <v>532</v>
      </c>
      <c r="O949" s="3" t="s">
        <v>1439</v>
      </c>
    </row>
    <row r="950" spans="1:15">
      <c r="A950">
        <v>196</v>
      </c>
      <c r="B950">
        <v>2113</v>
      </c>
      <c r="C950" t="s">
        <v>72</v>
      </c>
      <c r="D950" t="s">
        <v>215</v>
      </c>
      <c r="E950" s="232" t="s">
        <v>240</v>
      </c>
      <c r="F950" t="s">
        <v>70</v>
      </c>
      <c r="G950">
        <v>1</v>
      </c>
      <c r="H950">
        <v>730.553</v>
      </c>
      <c r="I950">
        <v>729.66499999999996</v>
      </c>
      <c r="J950">
        <v>728.01499999999999</v>
      </c>
      <c r="K950">
        <v>727.10400000000004</v>
      </c>
      <c r="L950">
        <v>725.04100000000005</v>
      </c>
      <c r="M950" s="233" t="s">
        <v>530</v>
      </c>
      <c r="N950" s="233" t="s">
        <v>531</v>
      </c>
      <c r="O950" s="3" t="s">
        <v>1440</v>
      </c>
    </row>
    <row r="951" spans="1:15">
      <c r="A951">
        <v>196</v>
      </c>
      <c r="B951">
        <v>2114</v>
      </c>
      <c r="C951" t="s">
        <v>72</v>
      </c>
      <c r="D951" t="s">
        <v>215</v>
      </c>
      <c r="E951" s="232" t="s">
        <v>16636</v>
      </c>
      <c r="F951" t="s">
        <v>70</v>
      </c>
      <c r="G951">
        <v>1</v>
      </c>
      <c r="H951">
        <v>727.48</v>
      </c>
      <c r="I951">
        <v>727.10400000000004</v>
      </c>
      <c r="J951">
        <v>725.04100000000005</v>
      </c>
      <c r="K951">
        <v>724.17100000000005</v>
      </c>
      <c r="L951">
        <v>721.41899999999998</v>
      </c>
      <c r="M951" s="233" t="s">
        <v>530</v>
      </c>
      <c r="N951" s="233" t="s">
        <v>531</v>
      </c>
      <c r="O951" s="3" t="s">
        <v>1441</v>
      </c>
    </row>
    <row r="952" spans="1:15">
      <c r="A952">
        <v>178</v>
      </c>
      <c r="B952">
        <v>2106</v>
      </c>
      <c r="C952" t="s">
        <v>72</v>
      </c>
      <c r="D952" t="s">
        <v>242</v>
      </c>
      <c r="E952" s="232" t="s">
        <v>240</v>
      </c>
      <c r="F952" t="s">
        <v>70</v>
      </c>
      <c r="G952">
        <v>1</v>
      </c>
      <c r="H952">
        <v>544.29999999999995</v>
      </c>
      <c r="I952">
        <v>542.79999999999995</v>
      </c>
      <c r="J952">
        <v>542.70000000000005</v>
      </c>
      <c r="K952">
        <v>542.20000000000005</v>
      </c>
      <c r="L952">
        <v>540.79999999999995</v>
      </c>
      <c r="M952" s="233" t="s">
        <v>530</v>
      </c>
      <c r="N952" s="233" t="s">
        <v>530</v>
      </c>
      <c r="O952" s="3" t="s">
        <v>1442</v>
      </c>
    </row>
    <row r="953" spans="1:15">
      <c r="A953">
        <v>178</v>
      </c>
      <c r="B953">
        <v>2107</v>
      </c>
      <c r="C953" t="s">
        <v>72</v>
      </c>
      <c r="D953" t="s">
        <v>242</v>
      </c>
      <c r="E953" s="232" t="s">
        <v>427</v>
      </c>
      <c r="F953" t="s">
        <v>70</v>
      </c>
      <c r="G953">
        <v>1</v>
      </c>
      <c r="H953">
        <v>540.29999999999995</v>
      </c>
      <c r="I953">
        <v>539</v>
      </c>
      <c r="J953">
        <v>537.29999999999995</v>
      </c>
      <c r="K953">
        <v>534.4</v>
      </c>
      <c r="L953">
        <v>530.29999999999995</v>
      </c>
      <c r="M953" s="233" t="s">
        <v>530</v>
      </c>
      <c r="N953" s="233" t="s">
        <v>530</v>
      </c>
      <c r="O953" s="3" t="s">
        <v>1443</v>
      </c>
    </row>
    <row r="954" spans="1:15">
      <c r="A954">
        <v>139</v>
      </c>
      <c r="B954">
        <v>2103</v>
      </c>
      <c r="C954" t="s">
        <v>72</v>
      </c>
      <c r="D954" t="s">
        <v>195</v>
      </c>
      <c r="E954" s="232" t="s">
        <v>240</v>
      </c>
      <c r="F954" t="s">
        <v>70</v>
      </c>
      <c r="G954">
        <v>1</v>
      </c>
      <c r="H954">
        <v>98.206000000000003</v>
      </c>
      <c r="I954">
        <v>98.078999999999994</v>
      </c>
      <c r="J954">
        <v>98.054000000000002</v>
      </c>
      <c r="K954">
        <v>97.828999999999994</v>
      </c>
      <c r="L954">
        <v>97.668999999999997</v>
      </c>
      <c r="M954" s="233" t="s">
        <v>454</v>
      </c>
      <c r="N954" s="233" t="s">
        <v>454</v>
      </c>
      <c r="O954" s="3" t="s">
        <v>1444</v>
      </c>
    </row>
    <row r="955" spans="1:15">
      <c r="A955">
        <v>184</v>
      </c>
      <c r="B955">
        <v>2123</v>
      </c>
      <c r="C955" t="s">
        <v>72</v>
      </c>
      <c r="D955" t="s">
        <v>212</v>
      </c>
      <c r="E955" s="232" t="s">
        <v>426</v>
      </c>
      <c r="F955" t="s">
        <v>70</v>
      </c>
      <c r="G955">
        <v>1</v>
      </c>
      <c r="H955">
        <v>964.90499999999997</v>
      </c>
      <c r="I955">
        <v>964.49099999999999</v>
      </c>
      <c r="J955">
        <v>963.44299999999998</v>
      </c>
      <c r="K955">
        <v>961.09699999999998</v>
      </c>
      <c r="L955">
        <v>956.00900000000001</v>
      </c>
      <c r="M955" s="233" t="s">
        <v>532</v>
      </c>
      <c r="N955" s="233" t="s">
        <v>532</v>
      </c>
      <c r="O955" s="3" t="s">
        <v>1445</v>
      </c>
    </row>
    <row r="956" spans="1:15">
      <c r="A956">
        <v>184</v>
      </c>
      <c r="B956">
        <v>2122</v>
      </c>
      <c r="C956" t="s">
        <v>72</v>
      </c>
      <c r="D956" t="s">
        <v>212</v>
      </c>
      <c r="E956" s="232" t="s">
        <v>7367</v>
      </c>
      <c r="F956" t="s">
        <v>70</v>
      </c>
      <c r="G956">
        <v>1</v>
      </c>
      <c r="H956">
        <v>956.00900000000001</v>
      </c>
      <c r="I956">
        <v>955.14800000000002</v>
      </c>
      <c r="J956">
        <v>954.65099999999995</v>
      </c>
      <c r="K956">
        <v>953.35799999999995</v>
      </c>
      <c r="L956">
        <v>951.702</v>
      </c>
      <c r="M956" s="233" t="s">
        <v>532</v>
      </c>
      <c r="N956" s="233" t="s">
        <v>532</v>
      </c>
      <c r="O956" s="3" t="s">
        <v>1446</v>
      </c>
    </row>
    <row r="957" spans="1:15">
      <c r="A957">
        <v>160</v>
      </c>
      <c r="B957">
        <v>2120</v>
      </c>
      <c r="C957" t="s">
        <v>72</v>
      </c>
      <c r="D957" t="s">
        <v>243</v>
      </c>
      <c r="E957" s="232" t="s">
        <v>240</v>
      </c>
      <c r="F957" t="s">
        <v>70</v>
      </c>
      <c r="G957">
        <v>1</v>
      </c>
      <c r="H957">
        <v>614.88499999999999</v>
      </c>
      <c r="I957">
        <v>613.94200000000001</v>
      </c>
      <c r="J957">
        <v>613.07500000000005</v>
      </c>
      <c r="K957">
        <v>611.82799999999997</v>
      </c>
      <c r="L957">
        <v>611.38499999999999</v>
      </c>
      <c r="M957" s="233" t="s">
        <v>530</v>
      </c>
      <c r="N957" s="233" t="s">
        <v>530</v>
      </c>
      <c r="O957" s="3" t="s">
        <v>1447</v>
      </c>
    </row>
    <row r="958" spans="1:15">
      <c r="A958">
        <v>160</v>
      </c>
      <c r="B958">
        <v>2121</v>
      </c>
      <c r="C958" t="s">
        <v>72</v>
      </c>
      <c r="D958" t="s">
        <v>243</v>
      </c>
      <c r="E958" s="232" t="s">
        <v>427</v>
      </c>
      <c r="F958" t="s">
        <v>70</v>
      </c>
      <c r="G958">
        <v>1</v>
      </c>
      <c r="H958">
        <v>606.93499999999995</v>
      </c>
      <c r="I958">
        <v>605.46500000000003</v>
      </c>
      <c r="J958">
        <v>604.548</v>
      </c>
      <c r="K958">
        <v>603.19000000000005</v>
      </c>
      <c r="L958">
        <v>601.07000000000005</v>
      </c>
      <c r="M958" s="233" t="s">
        <v>530</v>
      </c>
      <c r="N958" s="233" t="s">
        <v>530</v>
      </c>
      <c r="O958" s="3" t="s">
        <v>1448</v>
      </c>
    </row>
    <row r="959" spans="1:15">
      <c r="A959">
        <v>187</v>
      </c>
      <c r="B959">
        <v>2118</v>
      </c>
      <c r="C959" t="s">
        <v>72</v>
      </c>
      <c r="D959" t="s">
        <v>197</v>
      </c>
      <c r="E959" s="232" t="s">
        <v>240</v>
      </c>
      <c r="F959" t="s">
        <v>70</v>
      </c>
      <c r="G959">
        <v>1</v>
      </c>
      <c r="H959">
        <v>505.23200000000003</v>
      </c>
      <c r="I959">
        <v>504.70600000000002</v>
      </c>
      <c r="J959">
        <v>504.07600000000002</v>
      </c>
      <c r="K959">
        <v>503.471</v>
      </c>
      <c r="L959">
        <v>502.79300000000001</v>
      </c>
      <c r="M959" s="233" t="s">
        <v>454</v>
      </c>
      <c r="N959" s="233" t="s">
        <v>454</v>
      </c>
      <c r="O959" s="3" t="s">
        <v>1449</v>
      </c>
    </row>
    <row r="960" spans="1:15">
      <c r="A960">
        <v>187</v>
      </c>
      <c r="B960">
        <v>2119</v>
      </c>
      <c r="C960" t="s">
        <v>72</v>
      </c>
      <c r="D960" t="s">
        <v>197</v>
      </c>
      <c r="E960" s="232" t="s">
        <v>16637</v>
      </c>
      <c r="F960" t="s">
        <v>70</v>
      </c>
      <c r="G960">
        <v>1</v>
      </c>
      <c r="H960">
        <v>498.54700000000003</v>
      </c>
      <c r="I960">
        <v>498.51400000000001</v>
      </c>
      <c r="J960">
        <v>497.85399999999998</v>
      </c>
      <c r="K960">
        <v>490.71100000000001</v>
      </c>
      <c r="L960">
        <v>484.815</v>
      </c>
      <c r="M960" s="233" t="s">
        <v>454</v>
      </c>
      <c r="N960" s="233" t="s">
        <v>454</v>
      </c>
      <c r="O960" s="3" t="s">
        <v>1450</v>
      </c>
    </row>
    <row r="961" spans="1:15">
      <c r="A961">
        <v>191</v>
      </c>
      <c r="B961">
        <v>2139</v>
      </c>
      <c r="C961" t="s">
        <v>72</v>
      </c>
      <c r="D961" t="s">
        <v>8000</v>
      </c>
      <c r="E961" s="232" t="s">
        <v>240</v>
      </c>
      <c r="F961" t="s">
        <v>70</v>
      </c>
      <c r="G961">
        <v>1</v>
      </c>
      <c r="H961">
        <v>953.50199999999995</v>
      </c>
      <c r="I961">
        <v>952.64400000000001</v>
      </c>
      <c r="J961">
        <v>952.27099999999996</v>
      </c>
      <c r="K961">
        <v>950.79300000000001</v>
      </c>
      <c r="L961">
        <v>949.39200000000005</v>
      </c>
      <c r="M961" s="233" t="s">
        <v>532</v>
      </c>
      <c r="N961" s="233" t="s">
        <v>532</v>
      </c>
      <c r="O961" s="3" t="s">
        <v>1451</v>
      </c>
    </row>
    <row r="962" spans="1:15">
      <c r="A962">
        <v>191</v>
      </c>
      <c r="B962">
        <v>2140</v>
      </c>
      <c r="C962" t="s">
        <v>72</v>
      </c>
      <c r="D962" t="s">
        <v>8000</v>
      </c>
      <c r="E962" s="232" t="s">
        <v>427</v>
      </c>
      <c r="F962" t="s">
        <v>70</v>
      </c>
      <c r="G962">
        <v>1</v>
      </c>
      <c r="H962">
        <v>949.56899999999996</v>
      </c>
      <c r="I962">
        <v>948.85599999999999</v>
      </c>
      <c r="J962">
        <v>944.79300000000001</v>
      </c>
      <c r="K962">
        <v>939.24900000000002</v>
      </c>
      <c r="L962">
        <v>933.04300000000001</v>
      </c>
      <c r="M962" s="233" t="s">
        <v>532</v>
      </c>
      <c r="N962" s="233" t="s">
        <v>532</v>
      </c>
      <c r="O962" s="3" t="s">
        <v>1452</v>
      </c>
    </row>
    <row r="963" spans="1:15">
      <c r="A963">
        <v>143</v>
      </c>
      <c r="B963">
        <v>2143</v>
      </c>
      <c r="C963" t="s">
        <v>72</v>
      </c>
      <c r="D963" t="s">
        <v>244</v>
      </c>
      <c r="E963" s="232" t="s">
        <v>426</v>
      </c>
      <c r="F963" t="s">
        <v>70</v>
      </c>
      <c r="G963">
        <v>1</v>
      </c>
      <c r="H963">
        <v>976.53</v>
      </c>
      <c r="I963">
        <v>976.11</v>
      </c>
      <c r="J963">
        <v>975.73</v>
      </c>
      <c r="K963">
        <v>972.83</v>
      </c>
      <c r="L963">
        <v>966.34</v>
      </c>
      <c r="M963" s="233" t="s">
        <v>454</v>
      </c>
      <c r="N963" s="233" t="s">
        <v>454</v>
      </c>
      <c r="O963" s="3" t="s">
        <v>1453</v>
      </c>
    </row>
    <row r="964" spans="1:15">
      <c r="A964">
        <v>5</v>
      </c>
      <c r="B964">
        <v>2151</v>
      </c>
      <c r="C964" t="s">
        <v>72</v>
      </c>
      <c r="D964" t="s">
        <v>73</v>
      </c>
      <c r="E964" s="232" t="s">
        <v>253</v>
      </c>
      <c r="F964" t="s">
        <v>70</v>
      </c>
      <c r="G964">
        <v>1</v>
      </c>
      <c r="H964">
        <v>684.96100000000001</v>
      </c>
      <c r="I964">
        <v>683.846</v>
      </c>
      <c r="J964">
        <v>682.36699999999996</v>
      </c>
      <c r="K964">
        <v>681.36099999999999</v>
      </c>
      <c r="L964">
        <v>675.28599999999994</v>
      </c>
      <c r="M964" s="233" t="s">
        <v>530</v>
      </c>
      <c r="N964" s="233" t="s">
        <v>531</v>
      </c>
      <c r="O964" s="3" t="s">
        <v>1454</v>
      </c>
    </row>
    <row r="965" spans="1:15">
      <c r="A965">
        <v>184</v>
      </c>
      <c r="B965">
        <v>2162</v>
      </c>
      <c r="C965" t="s">
        <v>72</v>
      </c>
      <c r="D965" t="s">
        <v>212</v>
      </c>
      <c r="E965" s="232" t="s">
        <v>16638</v>
      </c>
      <c r="F965" t="s">
        <v>70</v>
      </c>
      <c r="G965">
        <v>1</v>
      </c>
      <c r="H965">
        <v>951.03300000000002</v>
      </c>
      <c r="I965">
        <v>950.70699999999999</v>
      </c>
      <c r="J965">
        <v>950.24599999999998</v>
      </c>
      <c r="K965">
        <v>947.37900000000002</v>
      </c>
      <c r="L965">
        <v>942.93799999999999</v>
      </c>
      <c r="M965" s="233" t="s">
        <v>532</v>
      </c>
      <c r="N965" s="233" t="s">
        <v>532</v>
      </c>
      <c r="O965" s="3" t="s">
        <v>1455</v>
      </c>
    </row>
    <row r="966" spans="1:15">
      <c r="A966">
        <v>184</v>
      </c>
      <c r="B966">
        <v>2163</v>
      </c>
      <c r="C966" t="s">
        <v>72</v>
      </c>
      <c r="D966" t="s">
        <v>212</v>
      </c>
      <c r="E966" s="232" t="s">
        <v>16639</v>
      </c>
      <c r="F966" t="s">
        <v>70</v>
      </c>
      <c r="G966">
        <v>1</v>
      </c>
      <c r="H966">
        <v>948.08500000000004</v>
      </c>
      <c r="I966">
        <v>947.72199999999998</v>
      </c>
      <c r="J966">
        <v>947.053</v>
      </c>
      <c r="K966">
        <v>944.43100000000004</v>
      </c>
      <c r="L966">
        <v>942.44899999999996</v>
      </c>
      <c r="M966" s="233" t="s">
        <v>532</v>
      </c>
      <c r="N966" s="233" t="s">
        <v>532</v>
      </c>
      <c r="O966" s="3" t="s">
        <v>1456</v>
      </c>
    </row>
    <row r="967" spans="1:15">
      <c r="A967">
        <v>210</v>
      </c>
      <c r="B967">
        <v>2156</v>
      </c>
      <c r="C967" t="s">
        <v>72</v>
      </c>
      <c r="D967" t="s">
        <v>211</v>
      </c>
      <c r="E967" s="232" t="s">
        <v>253</v>
      </c>
      <c r="F967" t="s">
        <v>70</v>
      </c>
      <c r="G967">
        <v>1</v>
      </c>
      <c r="H967">
        <v>368.25400000000002</v>
      </c>
      <c r="I967">
        <v>366.58699999999999</v>
      </c>
      <c r="J967">
        <v>366.01900000000001</v>
      </c>
      <c r="K967">
        <v>365.48899999999998</v>
      </c>
      <c r="L967">
        <v>363.78</v>
      </c>
      <c r="M967" s="233" t="s">
        <v>530</v>
      </c>
      <c r="N967" s="233" t="s">
        <v>531</v>
      </c>
      <c r="O967" s="3" t="s">
        <v>1457</v>
      </c>
    </row>
    <row r="968" spans="1:15">
      <c r="A968">
        <v>210</v>
      </c>
      <c r="B968">
        <v>2157</v>
      </c>
      <c r="C968" t="s">
        <v>72</v>
      </c>
      <c r="D968" t="s">
        <v>211</v>
      </c>
      <c r="E968" s="232" t="s">
        <v>429</v>
      </c>
      <c r="F968" t="s">
        <v>70</v>
      </c>
      <c r="G968">
        <v>1</v>
      </c>
      <c r="H968">
        <v>361</v>
      </c>
      <c r="I968">
        <v>360.35599999999999</v>
      </c>
      <c r="J968">
        <v>359.072</v>
      </c>
      <c r="K968">
        <v>357.72</v>
      </c>
      <c r="L968">
        <v>355.26799999999997</v>
      </c>
      <c r="M968" s="233" t="s">
        <v>530</v>
      </c>
      <c r="N968" s="233" t="s">
        <v>531</v>
      </c>
      <c r="O968" s="3" t="s">
        <v>1458</v>
      </c>
    </row>
    <row r="969" spans="1:15">
      <c r="A969">
        <v>181</v>
      </c>
      <c r="B969">
        <v>2160</v>
      </c>
      <c r="C969" t="s">
        <v>72</v>
      </c>
      <c r="D969" t="s">
        <v>245</v>
      </c>
      <c r="E969" s="232" t="s">
        <v>253</v>
      </c>
      <c r="F969" t="s">
        <v>70</v>
      </c>
      <c r="G969">
        <v>1</v>
      </c>
      <c r="H969">
        <v>796.37199999999996</v>
      </c>
      <c r="I969">
        <v>795.99199999999996</v>
      </c>
      <c r="J969">
        <v>795.55600000000004</v>
      </c>
      <c r="K969">
        <v>794.67600000000004</v>
      </c>
      <c r="L969">
        <v>791.44</v>
      </c>
      <c r="M969" s="233" t="s">
        <v>454</v>
      </c>
      <c r="N969" s="233" t="s">
        <v>454</v>
      </c>
      <c r="O969" s="3" t="s">
        <v>1459</v>
      </c>
    </row>
    <row r="970" spans="1:15">
      <c r="A970">
        <v>181</v>
      </c>
      <c r="B970">
        <v>2161</v>
      </c>
      <c r="C970" t="s">
        <v>72</v>
      </c>
      <c r="D970" t="s">
        <v>245</v>
      </c>
      <c r="E970" s="232" t="s">
        <v>429</v>
      </c>
      <c r="F970" t="s">
        <v>70</v>
      </c>
      <c r="G970">
        <v>1</v>
      </c>
      <c r="H970">
        <v>790.46400000000006</v>
      </c>
      <c r="I970">
        <v>790.46400000000006</v>
      </c>
      <c r="J970">
        <v>789.22799999999995</v>
      </c>
      <c r="K970">
        <v>786.34400000000005</v>
      </c>
      <c r="L970">
        <v>784.9</v>
      </c>
      <c r="M970" s="233" t="s">
        <v>454</v>
      </c>
      <c r="N970" s="233" t="s">
        <v>454</v>
      </c>
      <c r="O970" s="3" t="s">
        <v>7645</v>
      </c>
    </row>
    <row r="971" spans="1:15">
      <c r="A971">
        <v>273</v>
      </c>
      <c r="B971">
        <v>2169</v>
      </c>
      <c r="C971" t="s">
        <v>72</v>
      </c>
      <c r="D971" t="s">
        <v>77</v>
      </c>
      <c r="E971" s="232" t="s">
        <v>198</v>
      </c>
      <c r="F971" t="s">
        <v>70</v>
      </c>
      <c r="G971">
        <v>1</v>
      </c>
      <c r="H971">
        <v>676.44600000000003</v>
      </c>
      <c r="I971">
        <v>675.89400000000001</v>
      </c>
      <c r="J971">
        <v>675.30899999999997</v>
      </c>
      <c r="K971">
        <v>673.82299999999998</v>
      </c>
      <c r="L971">
        <v>670.93100000000004</v>
      </c>
      <c r="M971" s="233" t="s">
        <v>530</v>
      </c>
      <c r="N971" s="233" t="s">
        <v>531</v>
      </c>
      <c r="O971" s="3" t="s">
        <v>7646</v>
      </c>
    </row>
    <row r="972" spans="1:15">
      <c r="A972">
        <v>30</v>
      </c>
      <c r="B972">
        <v>2168</v>
      </c>
      <c r="C972" t="s">
        <v>72</v>
      </c>
      <c r="D972" t="s">
        <v>228</v>
      </c>
      <c r="E972" s="232" t="s">
        <v>7981</v>
      </c>
      <c r="F972" t="s">
        <v>70</v>
      </c>
      <c r="G972">
        <v>1</v>
      </c>
      <c r="H972">
        <v>796.10299999999995</v>
      </c>
      <c r="I972">
        <v>795.68</v>
      </c>
      <c r="J972">
        <v>794.65099999999995</v>
      </c>
      <c r="K972">
        <v>792.85900000000004</v>
      </c>
      <c r="L972">
        <v>789.62900000000002</v>
      </c>
      <c r="M972" s="233" t="s">
        <v>530</v>
      </c>
      <c r="N972" s="233" t="s">
        <v>531</v>
      </c>
      <c r="O972" s="3" t="s">
        <v>16640</v>
      </c>
    </row>
    <row r="973" spans="1:15">
      <c r="A973">
        <v>5</v>
      </c>
      <c r="B973">
        <v>2167</v>
      </c>
      <c r="C973" t="s">
        <v>72</v>
      </c>
      <c r="D973" t="s">
        <v>73</v>
      </c>
      <c r="E973" s="232" t="s">
        <v>198</v>
      </c>
      <c r="F973" t="s">
        <v>70</v>
      </c>
      <c r="G973">
        <v>1</v>
      </c>
      <c r="H973">
        <v>674.05799999999999</v>
      </c>
      <c r="I973">
        <v>673.48199999999997</v>
      </c>
      <c r="J973">
        <v>672.15899999999999</v>
      </c>
      <c r="K973">
        <v>669.46299999999997</v>
      </c>
      <c r="L973">
        <v>667.27499999999998</v>
      </c>
      <c r="M973" s="233" t="s">
        <v>530</v>
      </c>
      <c r="N973" s="233" t="s">
        <v>531</v>
      </c>
      <c r="O973" s="3" t="s">
        <v>16641</v>
      </c>
    </row>
    <row r="974" spans="1:15">
      <c r="A974">
        <v>109</v>
      </c>
      <c r="B974">
        <v>2172</v>
      </c>
      <c r="C974" t="s">
        <v>72</v>
      </c>
      <c r="D974" t="s">
        <v>239</v>
      </c>
      <c r="E974" s="232" t="s">
        <v>198</v>
      </c>
      <c r="F974" t="s">
        <v>70</v>
      </c>
      <c r="G974">
        <v>1</v>
      </c>
      <c r="H974">
        <v>676.73500000000001</v>
      </c>
      <c r="I974">
        <v>675.96100000000001</v>
      </c>
      <c r="J974">
        <v>674.57</v>
      </c>
      <c r="K974">
        <v>673.06899999999996</v>
      </c>
      <c r="L974">
        <v>669.98299999999995</v>
      </c>
      <c r="M974" s="233" t="s">
        <v>530</v>
      </c>
      <c r="N974" s="233" t="s">
        <v>531</v>
      </c>
      <c r="O974" s="3" t="s">
        <v>16642</v>
      </c>
    </row>
    <row r="975" spans="1:15">
      <c r="A975">
        <v>126</v>
      </c>
      <c r="B975">
        <v>2173</v>
      </c>
      <c r="C975" t="s">
        <v>72</v>
      </c>
      <c r="D975" t="s">
        <v>478</v>
      </c>
      <c r="E975" s="232" t="s">
        <v>198</v>
      </c>
      <c r="F975" t="s">
        <v>70</v>
      </c>
      <c r="G975">
        <v>1</v>
      </c>
      <c r="H975">
        <v>967.04600000000005</v>
      </c>
      <c r="I975">
        <v>965.024</v>
      </c>
      <c r="J975">
        <v>963.42499999999995</v>
      </c>
      <c r="K975">
        <v>960.91099999999994</v>
      </c>
      <c r="L975">
        <v>956.81799999999998</v>
      </c>
      <c r="M975" s="233" t="s">
        <v>532</v>
      </c>
      <c r="N975" s="233" t="s">
        <v>533</v>
      </c>
      <c r="O975" s="3" t="s">
        <v>16643</v>
      </c>
    </row>
    <row r="976" spans="1:15">
      <c r="A976">
        <v>288</v>
      </c>
      <c r="B976">
        <v>2178</v>
      </c>
      <c r="C976" t="s">
        <v>72</v>
      </c>
      <c r="D976" t="s">
        <v>209</v>
      </c>
      <c r="E976" s="232" t="s">
        <v>7981</v>
      </c>
      <c r="F976" t="s">
        <v>70</v>
      </c>
      <c r="G976">
        <v>1</v>
      </c>
      <c r="H976">
        <v>754.47799999999995</v>
      </c>
      <c r="I976">
        <v>753.86500000000001</v>
      </c>
      <c r="J976">
        <v>752.81</v>
      </c>
      <c r="K976">
        <v>752.31299999999999</v>
      </c>
      <c r="L976">
        <v>749.73</v>
      </c>
      <c r="M976" s="233" t="s">
        <v>530</v>
      </c>
      <c r="N976" s="233" t="s">
        <v>530</v>
      </c>
      <c r="O976" s="3" t="s">
        <v>16644</v>
      </c>
    </row>
    <row r="977" spans="1:15">
      <c r="A977">
        <v>288</v>
      </c>
      <c r="B977">
        <v>2179</v>
      </c>
      <c r="C977" t="s">
        <v>72</v>
      </c>
      <c r="D977" t="s">
        <v>209</v>
      </c>
      <c r="E977" s="232" t="s">
        <v>432</v>
      </c>
      <c r="F977" t="s">
        <v>70</v>
      </c>
      <c r="G977">
        <v>1</v>
      </c>
      <c r="H977">
        <v>748.95299999999997</v>
      </c>
      <c r="I977">
        <v>748.26</v>
      </c>
      <c r="J977">
        <v>747.34</v>
      </c>
      <c r="K977">
        <v>746.26700000000005</v>
      </c>
      <c r="L977">
        <v>744.2</v>
      </c>
      <c r="M977" s="233" t="s">
        <v>530</v>
      </c>
      <c r="N977" s="233" t="s">
        <v>530</v>
      </c>
      <c r="O977" s="3" t="s">
        <v>16645</v>
      </c>
    </row>
    <row r="978" spans="1:15">
      <c r="A978">
        <v>225</v>
      </c>
      <c r="B978">
        <v>2181</v>
      </c>
      <c r="C978" t="s">
        <v>72</v>
      </c>
      <c r="D978" t="s">
        <v>216</v>
      </c>
      <c r="E978" s="232" t="s">
        <v>198</v>
      </c>
      <c r="F978" t="s">
        <v>70</v>
      </c>
      <c r="G978">
        <v>1</v>
      </c>
      <c r="H978">
        <v>199.33500000000001</v>
      </c>
      <c r="I978">
        <v>198.31800000000001</v>
      </c>
      <c r="J978">
        <v>197.86</v>
      </c>
      <c r="K978">
        <v>197.44499999999999</v>
      </c>
      <c r="L978">
        <v>197.07</v>
      </c>
      <c r="M978" s="233" t="s">
        <v>530</v>
      </c>
      <c r="N978" s="233" t="s">
        <v>530</v>
      </c>
      <c r="O978" s="3" t="s">
        <v>16646</v>
      </c>
    </row>
    <row r="979" spans="1:15">
      <c r="A979">
        <v>225</v>
      </c>
      <c r="B979">
        <v>2182</v>
      </c>
      <c r="C979" t="s">
        <v>72</v>
      </c>
      <c r="D979" t="s">
        <v>216</v>
      </c>
      <c r="E979" s="232" t="s">
        <v>432</v>
      </c>
      <c r="F979" t="s">
        <v>70</v>
      </c>
      <c r="G979">
        <v>1</v>
      </c>
      <c r="H979">
        <v>195.73500000000001</v>
      </c>
      <c r="I979">
        <v>195.512</v>
      </c>
      <c r="J979">
        <v>195.23</v>
      </c>
      <c r="K979">
        <v>193.96799999999999</v>
      </c>
      <c r="L979">
        <v>192.928</v>
      </c>
      <c r="M979" s="233" t="s">
        <v>530</v>
      </c>
      <c r="N979" s="233" t="s">
        <v>530</v>
      </c>
      <c r="O979" s="3" t="s">
        <v>16647</v>
      </c>
    </row>
    <row r="980" spans="1:15">
      <c r="A980">
        <v>135</v>
      </c>
      <c r="B980">
        <v>2180</v>
      </c>
      <c r="C980" t="s">
        <v>72</v>
      </c>
      <c r="D980" t="s">
        <v>494</v>
      </c>
      <c r="E980" s="232" t="s">
        <v>198</v>
      </c>
      <c r="F980" t="s">
        <v>70</v>
      </c>
      <c r="G980">
        <v>1</v>
      </c>
      <c r="H980">
        <v>947.66300000000001</v>
      </c>
      <c r="I980">
        <v>946.37900000000002</v>
      </c>
      <c r="J980">
        <v>945.048</v>
      </c>
      <c r="K980">
        <v>943.38099999999997</v>
      </c>
      <c r="L980">
        <v>940.98599999999999</v>
      </c>
      <c r="M980" s="233" t="s">
        <v>532</v>
      </c>
      <c r="N980" s="233" t="s">
        <v>533</v>
      </c>
      <c r="O980" s="3" t="s">
        <v>16648</v>
      </c>
    </row>
    <row r="981" spans="1:15">
      <c r="A981">
        <v>195</v>
      </c>
      <c r="B981">
        <v>2187</v>
      </c>
      <c r="C981" t="s">
        <v>72</v>
      </c>
      <c r="D981" t="s">
        <v>215</v>
      </c>
      <c r="E981" s="232" t="s">
        <v>198</v>
      </c>
      <c r="F981" t="s">
        <v>70</v>
      </c>
      <c r="G981">
        <v>1</v>
      </c>
      <c r="H981">
        <v>726.71500000000003</v>
      </c>
      <c r="I981">
        <v>723.80600000000004</v>
      </c>
      <c r="J981">
        <v>722.34199999999998</v>
      </c>
      <c r="K981">
        <v>721.274</v>
      </c>
      <c r="L981">
        <v>718.66499999999996</v>
      </c>
      <c r="M981" s="233" t="s">
        <v>530</v>
      </c>
      <c r="N981" s="233" t="s">
        <v>531</v>
      </c>
      <c r="O981" s="3" t="s">
        <v>16649</v>
      </c>
    </row>
    <row r="982" spans="1:15">
      <c r="A982">
        <v>139</v>
      </c>
      <c r="B982">
        <v>2177</v>
      </c>
      <c r="C982" t="s">
        <v>72</v>
      </c>
      <c r="D982" t="s">
        <v>195</v>
      </c>
      <c r="E982" s="232" t="s">
        <v>198</v>
      </c>
      <c r="F982" t="s">
        <v>70</v>
      </c>
      <c r="G982">
        <v>1</v>
      </c>
      <c r="H982">
        <v>96.692999999999998</v>
      </c>
      <c r="I982">
        <v>96.593000000000004</v>
      </c>
      <c r="J982">
        <v>96.372</v>
      </c>
      <c r="K982">
        <v>96.201999999999998</v>
      </c>
      <c r="L982">
        <v>95.828000000000003</v>
      </c>
      <c r="M982" s="233" t="s">
        <v>454</v>
      </c>
      <c r="N982" s="233" t="s">
        <v>454</v>
      </c>
      <c r="O982" s="3" t="s">
        <v>16650</v>
      </c>
    </row>
    <row r="983" spans="1:15">
      <c r="A983">
        <v>187</v>
      </c>
      <c r="B983">
        <v>2193</v>
      </c>
      <c r="C983" t="s">
        <v>72</v>
      </c>
      <c r="D983" t="s">
        <v>197</v>
      </c>
      <c r="E983" s="232" t="s">
        <v>198</v>
      </c>
      <c r="F983" t="s">
        <v>70</v>
      </c>
      <c r="G983">
        <v>1</v>
      </c>
      <c r="H983">
        <v>500.96499999999997</v>
      </c>
      <c r="I983">
        <v>498.54700000000003</v>
      </c>
      <c r="J983">
        <v>497.44900000000001</v>
      </c>
      <c r="K983">
        <v>496.31200000000001</v>
      </c>
      <c r="L983">
        <v>495.07</v>
      </c>
      <c r="M983" s="233" t="s">
        <v>454</v>
      </c>
      <c r="N983" s="233" t="s">
        <v>454</v>
      </c>
      <c r="O983" s="3" t="s">
        <v>16651</v>
      </c>
    </row>
    <row r="984" spans="1:15">
      <c r="A984">
        <v>181</v>
      </c>
      <c r="B984">
        <v>2204</v>
      </c>
      <c r="C984" t="s">
        <v>72</v>
      </c>
      <c r="D984" t="s">
        <v>245</v>
      </c>
      <c r="E984" s="232" t="s">
        <v>198</v>
      </c>
      <c r="F984" t="s">
        <v>70</v>
      </c>
      <c r="G984">
        <v>1</v>
      </c>
      <c r="H984">
        <v>796.37199999999996</v>
      </c>
      <c r="I984">
        <v>795.65200000000004</v>
      </c>
      <c r="J984">
        <v>794.77599999999995</v>
      </c>
      <c r="K984">
        <v>791.98</v>
      </c>
      <c r="L984">
        <v>788.62800000000004</v>
      </c>
      <c r="M984" s="233" t="s">
        <v>454</v>
      </c>
      <c r="N984" s="233" t="s">
        <v>454</v>
      </c>
      <c r="O984" s="3" t="s">
        <v>16652</v>
      </c>
    </row>
    <row r="985" spans="1:15">
      <c r="A985">
        <v>181</v>
      </c>
      <c r="B985">
        <v>2205</v>
      </c>
      <c r="C985" t="s">
        <v>72</v>
      </c>
      <c r="D985" t="s">
        <v>245</v>
      </c>
      <c r="E985" s="232" t="s">
        <v>432</v>
      </c>
      <c r="F985" t="s">
        <v>70</v>
      </c>
      <c r="G985">
        <v>1</v>
      </c>
      <c r="H985">
        <v>791.44</v>
      </c>
      <c r="I985">
        <v>789.28399999999999</v>
      </c>
      <c r="J985">
        <v>787.548</v>
      </c>
      <c r="K985">
        <v>785.14</v>
      </c>
      <c r="L985">
        <v>780.13199999999995</v>
      </c>
      <c r="M985" s="233" t="s">
        <v>454</v>
      </c>
      <c r="N985" s="233" t="s">
        <v>454</v>
      </c>
      <c r="O985" s="3" t="s">
        <v>16653</v>
      </c>
    </row>
    <row r="986" spans="1:15">
      <c r="A986">
        <v>144</v>
      </c>
      <c r="B986">
        <v>2203</v>
      </c>
      <c r="C986" t="s">
        <v>72</v>
      </c>
      <c r="D986" t="s">
        <v>256</v>
      </c>
      <c r="E986" s="232" t="s">
        <v>198</v>
      </c>
      <c r="F986" t="s">
        <v>70</v>
      </c>
      <c r="G986">
        <v>1</v>
      </c>
      <c r="H986">
        <v>583.61400000000003</v>
      </c>
      <c r="I986">
        <v>583.47199999999998</v>
      </c>
      <c r="J986">
        <v>582.73199999999997</v>
      </c>
      <c r="K986">
        <v>582</v>
      </c>
      <c r="L986">
        <v>578.99800000000005</v>
      </c>
      <c r="M986" s="233" t="s">
        <v>530</v>
      </c>
      <c r="N986" s="233" t="s">
        <v>530</v>
      </c>
      <c r="O986" s="3" t="s">
        <v>16654</v>
      </c>
    </row>
    <row r="987" spans="1:15">
      <c r="A987">
        <v>191</v>
      </c>
      <c r="B987">
        <v>2207</v>
      </c>
      <c r="C987" t="s">
        <v>72</v>
      </c>
      <c r="D987" t="s">
        <v>8000</v>
      </c>
      <c r="E987" s="232" t="s">
        <v>198</v>
      </c>
      <c r="F987" t="s">
        <v>70</v>
      </c>
      <c r="G987">
        <v>1</v>
      </c>
      <c r="H987">
        <v>941.13199999999995</v>
      </c>
      <c r="I987">
        <v>940.13800000000003</v>
      </c>
      <c r="J987">
        <v>939.596</v>
      </c>
      <c r="K987">
        <v>938.26499999999999</v>
      </c>
      <c r="L987">
        <v>935.78</v>
      </c>
      <c r="M987" s="233" t="s">
        <v>532</v>
      </c>
      <c r="N987" s="233" t="s">
        <v>532</v>
      </c>
      <c r="O987" s="3" t="s">
        <v>16655</v>
      </c>
    </row>
    <row r="988" spans="1:15">
      <c r="A988">
        <v>191</v>
      </c>
      <c r="B988">
        <v>2208</v>
      </c>
      <c r="C988" t="s">
        <v>72</v>
      </c>
      <c r="D988" t="s">
        <v>8000</v>
      </c>
      <c r="E988" s="232" t="s">
        <v>432</v>
      </c>
      <c r="F988" t="s">
        <v>70</v>
      </c>
      <c r="G988">
        <v>1</v>
      </c>
      <c r="H988">
        <v>935.33299999999997</v>
      </c>
      <c r="I988">
        <v>934.23500000000001</v>
      </c>
      <c r="J988">
        <v>933.59900000000005</v>
      </c>
      <c r="K988">
        <v>932.5</v>
      </c>
      <c r="L988">
        <v>926.78399999999999</v>
      </c>
      <c r="M988" s="233" t="s">
        <v>532</v>
      </c>
      <c r="N988" s="233" t="s">
        <v>532</v>
      </c>
      <c r="O988" s="3" t="s">
        <v>16656</v>
      </c>
    </row>
    <row r="989" spans="1:15">
      <c r="A989">
        <v>179</v>
      </c>
      <c r="B989">
        <v>2202</v>
      </c>
      <c r="C989" t="s">
        <v>72</v>
      </c>
      <c r="D989" t="s">
        <v>242</v>
      </c>
      <c r="E989" s="232" t="s">
        <v>432</v>
      </c>
      <c r="F989" t="s">
        <v>70</v>
      </c>
      <c r="G989">
        <v>1</v>
      </c>
      <c r="H989">
        <v>531</v>
      </c>
      <c r="I989">
        <v>530.5</v>
      </c>
      <c r="J989">
        <v>529.9</v>
      </c>
      <c r="K989">
        <v>527.79999999999995</v>
      </c>
      <c r="L989">
        <v>522.9</v>
      </c>
      <c r="M989" s="233" t="s">
        <v>530</v>
      </c>
      <c r="N989" s="233" t="s">
        <v>530</v>
      </c>
      <c r="O989" s="3" t="s">
        <v>16657</v>
      </c>
    </row>
    <row r="990" spans="1:15">
      <c r="A990">
        <v>179</v>
      </c>
      <c r="B990">
        <v>2201</v>
      </c>
      <c r="C990" t="s">
        <v>72</v>
      </c>
      <c r="D990" t="s">
        <v>242</v>
      </c>
      <c r="E990" s="232" t="s">
        <v>198</v>
      </c>
      <c r="F990" t="s">
        <v>70</v>
      </c>
      <c r="G990">
        <v>1</v>
      </c>
      <c r="H990">
        <v>530.5</v>
      </c>
      <c r="I990">
        <v>529.1</v>
      </c>
      <c r="J990">
        <v>528.6</v>
      </c>
      <c r="K990">
        <v>526.9</v>
      </c>
      <c r="L990">
        <v>522.9</v>
      </c>
      <c r="M990" s="233" t="s">
        <v>530</v>
      </c>
      <c r="N990" s="233" t="s">
        <v>530</v>
      </c>
      <c r="O990" s="3" t="s">
        <v>16658</v>
      </c>
    </row>
    <row r="991" spans="1:15">
      <c r="A991">
        <v>148</v>
      </c>
      <c r="B991">
        <v>2198</v>
      </c>
      <c r="C991" t="s">
        <v>72</v>
      </c>
      <c r="D991" t="s">
        <v>251</v>
      </c>
      <c r="E991" s="232" t="s">
        <v>198</v>
      </c>
      <c r="F991" t="s">
        <v>70</v>
      </c>
      <c r="G991">
        <v>1</v>
      </c>
      <c r="H991">
        <v>941.00099999999998</v>
      </c>
      <c r="I991">
        <v>938.23900000000003</v>
      </c>
      <c r="J991">
        <v>935.13699999999994</v>
      </c>
      <c r="K991">
        <v>932.75599999999997</v>
      </c>
      <c r="L991">
        <v>928.23900000000003</v>
      </c>
      <c r="M991" s="233" t="s">
        <v>532</v>
      </c>
      <c r="N991" s="233" t="s">
        <v>454</v>
      </c>
      <c r="O991" s="3" t="s">
        <v>16659</v>
      </c>
    </row>
    <row r="992" spans="1:15">
      <c r="A992">
        <v>154</v>
      </c>
      <c r="B992">
        <v>2199</v>
      </c>
      <c r="C992" t="s">
        <v>72</v>
      </c>
      <c r="D992" t="s">
        <v>255</v>
      </c>
      <c r="E992" s="232" t="s">
        <v>198</v>
      </c>
      <c r="F992" t="s">
        <v>70</v>
      </c>
      <c r="G992">
        <v>1</v>
      </c>
      <c r="H992">
        <v>978.76</v>
      </c>
      <c r="I992">
        <v>974.125</v>
      </c>
      <c r="J992">
        <v>971.85500000000002</v>
      </c>
      <c r="K992">
        <v>968.495</v>
      </c>
      <c r="L992">
        <v>963.28499999999997</v>
      </c>
      <c r="M992" s="233" t="s">
        <v>454</v>
      </c>
      <c r="N992" s="233" t="s">
        <v>454</v>
      </c>
      <c r="O992" s="3" t="s">
        <v>16660</v>
      </c>
    </row>
    <row r="993" spans="1:15">
      <c r="A993">
        <v>286</v>
      </c>
      <c r="B993">
        <v>2227</v>
      </c>
      <c r="C993" t="s">
        <v>72</v>
      </c>
      <c r="D993" t="s">
        <v>209</v>
      </c>
      <c r="E993" s="232" t="s">
        <v>7989</v>
      </c>
      <c r="F993" t="s">
        <v>70</v>
      </c>
      <c r="G993">
        <v>1</v>
      </c>
      <c r="H993">
        <v>745.31</v>
      </c>
      <c r="I993">
        <v>744.77</v>
      </c>
      <c r="J993">
        <v>744.38</v>
      </c>
      <c r="K993">
        <v>742.81600000000003</v>
      </c>
      <c r="L993">
        <v>735.58</v>
      </c>
      <c r="M993" s="233" t="s">
        <v>530</v>
      </c>
      <c r="N993" s="233" t="s">
        <v>530</v>
      </c>
      <c r="O993" s="3" t="s">
        <v>16661</v>
      </c>
    </row>
    <row r="994" spans="1:15">
      <c r="A994">
        <v>140</v>
      </c>
      <c r="B994">
        <v>2217</v>
      </c>
      <c r="C994" t="s">
        <v>72</v>
      </c>
      <c r="D994" t="s">
        <v>195</v>
      </c>
      <c r="E994" s="232" t="s">
        <v>205</v>
      </c>
      <c r="F994" t="s">
        <v>70</v>
      </c>
      <c r="G994">
        <v>1</v>
      </c>
      <c r="H994">
        <v>97.370999999999995</v>
      </c>
      <c r="I994">
        <v>97.228999999999999</v>
      </c>
      <c r="J994">
        <v>97.066999999999993</v>
      </c>
      <c r="K994">
        <v>96.593000000000004</v>
      </c>
      <c r="L994">
        <v>95.513000000000005</v>
      </c>
      <c r="M994" s="233" t="s">
        <v>454</v>
      </c>
      <c r="N994" s="233" t="s">
        <v>454</v>
      </c>
      <c r="O994" s="3" t="s">
        <v>16662</v>
      </c>
    </row>
    <row r="995" spans="1:15">
      <c r="A995">
        <v>149</v>
      </c>
      <c r="B995">
        <v>2220</v>
      </c>
      <c r="C995" t="s">
        <v>72</v>
      </c>
      <c r="D995" t="s">
        <v>203</v>
      </c>
      <c r="E995" s="232" t="s">
        <v>205</v>
      </c>
      <c r="F995" t="s">
        <v>70</v>
      </c>
      <c r="G995">
        <v>1</v>
      </c>
      <c r="H995">
        <v>981.03200000000004</v>
      </c>
      <c r="I995">
        <v>973.72500000000002</v>
      </c>
      <c r="J995">
        <v>972.16300000000001</v>
      </c>
      <c r="K995">
        <v>965.01199999999994</v>
      </c>
      <c r="L995">
        <v>955.92100000000005</v>
      </c>
      <c r="M995" s="233" t="s">
        <v>454</v>
      </c>
      <c r="N995" s="233" t="s">
        <v>454</v>
      </c>
      <c r="O995" s="3" t="s">
        <v>16663</v>
      </c>
    </row>
    <row r="996" spans="1:15">
      <c r="A996">
        <v>149</v>
      </c>
      <c r="B996">
        <v>2221</v>
      </c>
      <c r="C996" t="s">
        <v>72</v>
      </c>
      <c r="D996" t="s">
        <v>203</v>
      </c>
      <c r="E996" s="232" t="s">
        <v>434</v>
      </c>
      <c r="F996" t="s">
        <v>70</v>
      </c>
      <c r="G996">
        <v>1</v>
      </c>
      <c r="H996">
        <v>967.40200000000004</v>
      </c>
      <c r="I996">
        <v>965.63699999999994</v>
      </c>
      <c r="J996">
        <v>964.95799999999997</v>
      </c>
      <c r="K996">
        <v>960.255</v>
      </c>
      <c r="L996">
        <v>950.58399999999995</v>
      </c>
      <c r="M996" s="233" t="s">
        <v>454</v>
      </c>
      <c r="N996" s="233" t="s">
        <v>454</v>
      </c>
      <c r="O996" s="3" t="s">
        <v>16664</v>
      </c>
    </row>
    <row r="997" spans="1:15">
      <c r="A997">
        <v>159</v>
      </c>
      <c r="B997">
        <v>2224</v>
      </c>
      <c r="C997" t="s">
        <v>72</v>
      </c>
      <c r="D997" t="s">
        <v>207</v>
      </c>
      <c r="E997" s="232" t="s">
        <v>205</v>
      </c>
      <c r="F997" t="s">
        <v>70</v>
      </c>
      <c r="G997">
        <v>1</v>
      </c>
      <c r="H997">
        <v>992.94799999999998</v>
      </c>
      <c r="I997">
        <v>991.49300000000005</v>
      </c>
      <c r="J997">
        <v>989.74</v>
      </c>
      <c r="K997">
        <v>979.33799999999997</v>
      </c>
      <c r="L997">
        <v>971.96</v>
      </c>
      <c r="M997" s="233" t="s">
        <v>454</v>
      </c>
      <c r="N997" s="233" t="s">
        <v>454</v>
      </c>
      <c r="O997" s="3" t="s">
        <v>16665</v>
      </c>
    </row>
    <row r="998" spans="1:15">
      <c r="A998">
        <v>47</v>
      </c>
      <c r="B998">
        <v>2235</v>
      </c>
      <c r="C998" t="s">
        <v>72</v>
      </c>
      <c r="D998" t="s">
        <v>217</v>
      </c>
      <c r="E998" s="232" t="s">
        <v>210</v>
      </c>
      <c r="F998" t="s">
        <v>70</v>
      </c>
      <c r="G998">
        <v>1</v>
      </c>
      <c r="H998">
        <v>705.87300000000005</v>
      </c>
      <c r="I998">
        <v>704.68100000000004</v>
      </c>
      <c r="J998">
        <v>702.50099999999998</v>
      </c>
      <c r="K998">
        <v>701.51700000000005</v>
      </c>
      <c r="L998">
        <v>699.23099999999999</v>
      </c>
      <c r="M998" s="233" t="s">
        <v>530</v>
      </c>
      <c r="N998" s="233" t="s">
        <v>531</v>
      </c>
      <c r="O998" s="3" t="s">
        <v>16666</v>
      </c>
    </row>
    <row r="999" spans="1:15">
      <c r="A999">
        <v>187</v>
      </c>
      <c r="B999">
        <v>2236</v>
      </c>
      <c r="C999" t="s">
        <v>72</v>
      </c>
      <c r="D999" t="s">
        <v>197</v>
      </c>
      <c r="E999" s="232" t="s">
        <v>16668</v>
      </c>
      <c r="F999" t="s">
        <v>70</v>
      </c>
      <c r="G999">
        <v>1</v>
      </c>
      <c r="H999">
        <v>500.64</v>
      </c>
      <c r="I999">
        <v>499.56700000000001</v>
      </c>
      <c r="J999">
        <v>498.51400000000001</v>
      </c>
      <c r="K999">
        <v>497.44900000000001</v>
      </c>
      <c r="L999">
        <v>495.67500000000001</v>
      </c>
      <c r="M999" s="233" t="s">
        <v>454</v>
      </c>
      <c r="N999" s="233" t="s">
        <v>454</v>
      </c>
      <c r="O999" s="3" t="s">
        <v>16667</v>
      </c>
    </row>
    <row r="1000" spans="1:15">
      <c r="A1000">
        <v>230</v>
      </c>
      <c r="B1000">
        <v>2244</v>
      </c>
      <c r="C1000" t="s">
        <v>72</v>
      </c>
      <c r="D1000" t="s">
        <v>214</v>
      </c>
      <c r="E1000" s="232" t="s">
        <v>210</v>
      </c>
      <c r="F1000" t="s">
        <v>70</v>
      </c>
      <c r="G1000">
        <v>1</v>
      </c>
      <c r="H1000">
        <v>987.54600000000005</v>
      </c>
      <c r="I1000">
        <v>987.26</v>
      </c>
      <c r="J1000">
        <v>987.00400000000002</v>
      </c>
      <c r="K1000">
        <v>986.75199999999995</v>
      </c>
      <c r="L1000">
        <v>986.30899999999997</v>
      </c>
      <c r="M1000" s="233" t="s">
        <v>532</v>
      </c>
      <c r="N1000" s="233" t="s">
        <v>532</v>
      </c>
      <c r="O1000" s="3" t="s">
        <v>16669</v>
      </c>
    </row>
    <row r="1001" spans="1:15">
      <c r="A1001">
        <v>192</v>
      </c>
      <c r="B1001">
        <v>2238</v>
      </c>
      <c r="C1001" t="s">
        <v>72</v>
      </c>
      <c r="D1001" t="s">
        <v>8000</v>
      </c>
      <c r="E1001" s="232" t="s">
        <v>210</v>
      </c>
      <c r="F1001" t="s">
        <v>70</v>
      </c>
      <c r="G1001">
        <v>1</v>
      </c>
      <c r="H1001">
        <v>944.79300000000001</v>
      </c>
      <c r="I1001">
        <v>943.07600000000002</v>
      </c>
      <c r="J1001">
        <v>942.24599999999998</v>
      </c>
      <c r="K1001">
        <v>941.48699999999997</v>
      </c>
      <c r="L1001">
        <v>937.90700000000004</v>
      </c>
      <c r="M1001" s="233" t="s">
        <v>532</v>
      </c>
      <c r="N1001" s="233" t="s">
        <v>532</v>
      </c>
      <c r="O1001" s="3" t="s">
        <v>16670</v>
      </c>
    </row>
    <row r="1002" spans="1:15">
      <c r="A1002">
        <v>89</v>
      </c>
      <c r="B1002">
        <v>2277</v>
      </c>
      <c r="C1002" t="s">
        <v>72</v>
      </c>
      <c r="D1002" t="s">
        <v>224</v>
      </c>
      <c r="E1002" s="232" t="s">
        <v>9292</v>
      </c>
      <c r="F1002" t="s">
        <v>71</v>
      </c>
      <c r="G1002">
        <v>2</v>
      </c>
      <c r="H1002">
        <v>927.55600000000004</v>
      </c>
      <c r="I1002">
        <v>926.06600000000003</v>
      </c>
      <c r="J1002">
        <v>922.58100000000002</v>
      </c>
      <c r="K1002">
        <v>919.23900000000003</v>
      </c>
      <c r="L1002">
        <v>915.88599999999997</v>
      </c>
      <c r="M1002" s="233" t="s">
        <v>532</v>
      </c>
      <c r="N1002" s="233" t="s">
        <v>533</v>
      </c>
      <c r="O1002" s="3" t="s">
        <v>16671</v>
      </c>
    </row>
    <row r="1003" spans="1:15">
      <c r="A1003">
        <v>243</v>
      </c>
      <c r="B1003">
        <v>2275</v>
      </c>
      <c r="C1003" t="s">
        <v>72</v>
      </c>
      <c r="D1003" t="s">
        <v>407</v>
      </c>
      <c r="E1003" s="232" t="s">
        <v>230</v>
      </c>
      <c r="F1003" t="s">
        <v>71</v>
      </c>
      <c r="G1003">
        <v>3</v>
      </c>
      <c r="H1003">
        <v>368.95</v>
      </c>
      <c r="I1003">
        <v>365.51499999999999</v>
      </c>
      <c r="J1003">
        <v>361.77499999999998</v>
      </c>
      <c r="K1003">
        <v>357.48500000000001</v>
      </c>
      <c r="L1003">
        <v>352.21</v>
      </c>
      <c r="M1003" s="233" t="s">
        <v>454</v>
      </c>
      <c r="N1003" s="233" t="s">
        <v>454</v>
      </c>
      <c r="O1003" s="3" t="s">
        <v>16672</v>
      </c>
    </row>
    <row r="1004" spans="1:15">
      <c r="A1004">
        <v>2</v>
      </c>
      <c r="B1004">
        <v>1</v>
      </c>
      <c r="C1004" t="s">
        <v>79</v>
      </c>
      <c r="D1004" t="s">
        <v>196</v>
      </c>
      <c r="E1004" s="232" t="s">
        <v>7825</v>
      </c>
      <c r="F1004" t="s">
        <v>70</v>
      </c>
      <c r="G1004">
        <v>1</v>
      </c>
      <c r="H1004">
        <v>416.05200000000002</v>
      </c>
      <c r="I1004">
        <v>412.53199999999998</v>
      </c>
      <c r="J1004">
        <v>409.28399999999999</v>
      </c>
      <c r="K1004">
        <v>405.68599999999998</v>
      </c>
      <c r="L1004">
        <v>400.31799999999998</v>
      </c>
      <c r="M1004" s="233" t="s">
        <v>530</v>
      </c>
      <c r="N1004" s="233" t="s">
        <v>530</v>
      </c>
      <c r="O1004" s="3" t="s">
        <v>1460</v>
      </c>
    </row>
    <row r="1005" spans="1:15">
      <c r="A1005">
        <v>2</v>
      </c>
      <c r="B1005">
        <v>9</v>
      </c>
      <c r="C1005" t="s">
        <v>79</v>
      </c>
      <c r="D1005" t="s">
        <v>196</v>
      </c>
      <c r="E1005" s="232" t="s">
        <v>7808</v>
      </c>
      <c r="F1005" t="s">
        <v>70</v>
      </c>
      <c r="G1005">
        <v>1</v>
      </c>
      <c r="H1005">
        <v>413.976</v>
      </c>
      <c r="I1005">
        <v>412.67200000000003</v>
      </c>
      <c r="J1005">
        <v>409.28399999999999</v>
      </c>
      <c r="K1005">
        <v>405.43599999999998</v>
      </c>
      <c r="L1005">
        <v>403.22</v>
      </c>
      <c r="M1005" s="233" t="s">
        <v>530</v>
      </c>
      <c r="N1005" s="233" t="s">
        <v>530</v>
      </c>
      <c r="O1005" s="3" t="s">
        <v>1461</v>
      </c>
    </row>
    <row r="1006" spans="1:15">
      <c r="A1006">
        <v>2</v>
      </c>
      <c r="B1006">
        <v>15</v>
      </c>
      <c r="C1006" t="s">
        <v>79</v>
      </c>
      <c r="D1006" t="s">
        <v>196</v>
      </c>
      <c r="E1006" s="232" t="s">
        <v>7910</v>
      </c>
      <c r="F1006" t="s">
        <v>70</v>
      </c>
      <c r="G1006">
        <v>1</v>
      </c>
      <c r="H1006">
        <v>408.98200000000003</v>
      </c>
      <c r="I1006">
        <v>407.30599999999998</v>
      </c>
      <c r="J1006">
        <v>405.68599999999998</v>
      </c>
      <c r="K1006">
        <v>403.22</v>
      </c>
      <c r="L1006">
        <v>400.59800000000001</v>
      </c>
      <c r="M1006" s="233" t="s">
        <v>530</v>
      </c>
      <c r="N1006" s="233" t="s">
        <v>530</v>
      </c>
      <c r="O1006" s="3" t="s">
        <v>1462</v>
      </c>
    </row>
    <row r="1007" spans="1:15">
      <c r="A1007">
        <v>4</v>
      </c>
      <c r="B1007">
        <v>34</v>
      </c>
      <c r="C1007" t="s">
        <v>79</v>
      </c>
      <c r="D1007" t="s">
        <v>196</v>
      </c>
      <c r="E1007" s="232" t="s">
        <v>7946</v>
      </c>
      <c r="F1007" t="s">
        <v>70</v>
      </c>
      <c r="G1007">
        <v>1</v>
      </c>
      <c r="H1007">
        <v>404.51</v>
      </c>
      <c r="I1007">
        <v>403.3</v>
      </c>
      <c r="J1007">
        <v>402.89</v>
      </c>
      <c r="K1007">
        <v>401.48</v>
      </c>
      <c r="L1007">
        <v>399.59</v>
      </c>
      <c r="M1007" s="233" t="s">
        <v>530</v>
      </c>
      <c r="N1007" s="233" t="s">
        <v>530</v>
      </c>
      <c r="O1007" s="3" t="s">
        <v>1463</v>
      </c>
    </row>
    <row r="1008" spans="1:15">
      <c r="A1008">
        <v>1</v>
      </c>
      <c r="B1008">
        <v>2</v>
      </c>
      <c r="C1008" t="s">
        <v>79</v>
      </c>
      <c r="D1008" t="s">
        <v>196</v>
      </c>
      <c r="E1008" s="232" t="s">
        <v>7905</v>
      </c>
      <c r="F1008" t="s">
        <v>70</v>
      </c>
      <c r="G1008">
        <v>1</v>
      </c>
      <c r="H1008">
        <v>406.58800000000002</v>
      </c>
      <c r="I1008">
        <v>405.78199999999998</v>
      </c>
      <c r="J1008">
        <v>404.90600000000001</v>
      </c>
      <c r="K1008">
        <v>404.13</v>
      </c>
      <c r="L1008">
        <v>399.60599999999999</v>
      </c>
      <c r="M1008" s="233" t="s">
        <v>530</v>
      </c>
      <c r="N1008" s="233" t="s">
        <v>530</v>
      </c>
      <c r="O1008" s="3" t="s">
        <v>1464</v>
      </c>
    </row>
    <row r="1009" spans="1:15">
      <c r="A1009">
        <v>1</v>
      </c>
      <c r="B1009">
        <v>10</v>
      </c>
      <c r="C1009" t="s">
        <v>79</v>
      </c>
      <c r="D1009" t="s">
        <v>196</v>
      </c>
      <c r="E1009" s="232" t="s">
        <v>7978</v>
      </c>
      <c r="F1009" t="s">
        <v>70</v>
      </c>
      <c r="G1009">
        <v>1</v>
      </c>
      <c r="H1009">
        <v>406.58800000000002</v>
      </c>
      <c r="I1009">
        <v>405.71199999999999</v>
      </c>
      <c r="J1009">
        <v>404.90600000000001</v>
      </c>
      <c r="K1009">
        <v>400.92599999999999</v>
      </c>
      <c r="L1009">
        <v>399.17200000000003</v>
      </c>
      <c r="M1009" s="233" t="s">
        <v>530</v>
      </c>
      <c r="N1009" s="233" t="s">
        <v>530</v>
      </c>
      <c r="O1009" s="3" t="s">
        <v>1465</v>
      </c>
    </row>
    <row r="1010" spans="1:15">
      <c r="A1010">
        <v>1</v>
      </c>
      <c r="B1010">
        <v>4</v>
      </c>
      <c r="C1010" t="s">
        <v>79</v>
      </c>
      <c r="D1010" t="s">
        <v>196</v>
      </c>
      <c r="E1010" s="232" t="s">
        <v>8168</v>
      </c>
      <c r="F1010" t="s">
        <v>70</v>
      </c>
      <c r="G1010">
        <v>1</v>
      </c>
      <c r="H1010">
        <v>404.90600000000001</v>
      </c>
      <c r="I1010">
        <v>404.13</v>
      </c>
      <c r="J1010">
        <v>402.73</v>
      </c>
      <c r="K1010">
        <v>401.2</v>
      </c>
      <c r="L1010">
        <v>397.56599999999997</v>
      </c>
      <c r="M1010" s="233" t="s">
        <v>530</v>
      </c>
      <c r="N1010" s="233" t="s">
        <v>530</v>
      </c>
      <c r="O1010" s="3" t="s">
        <v>1466</v>
      </c>
    </row>
    <row r="1011" spans="1:15">
      <c r="A1011">
        <v>2</v>
      </c>
      <c r="B1011">
        <v>20</v>
      </c>
      <c r="C1011" t="s">
        <v>79</v>
      </c>
      <c r="D1011" t="s">
        <v>196</v>
      </c>
      <c r="E1011" s="232" t="s">
        <v>8283</v>
      </c>
      <c r="F1011" t="s">
        <v>70</v>
      </c>
      <c r="G1011">
        <v>1</v>
      </c>
      <c r="H1011">
        <v>405.25799999999998</v>
      </c>
      <c r="I1011">
        <v>404.05</v>
      </c>
      <c r="J1011">
        <v>402.65</v>
      </c>
      <c r="K1011">
        <v>401.488</v>
      </c>
      <c r="L1011">
        <v>400.83800000000002</v>
      </c>
      <c r="M1011" s="233" t="s">
        <v>530</v>
      </c>
      <c r="N1011" s="233" t="s">
        <v>530</v>
      </c>
      <c r="O1011" s="3" t="s">
        <v>1467</v>
      </c>
    </row>
    <row r="1012" spans="1:15">
      <c r="A1012">
        <v>2</v>
      </c>
      <c r="B1012">
        <v>5</v>
      </c>
      <c r="C1012" t="s">
        <v>79</v>
      </c>
      <c r="D1012" t="s">
        <v>196</v>
      </c>
      <c r="E1012" s="232" t="s">
        <v>8023</v>
      </c>
      <c r="F1012" t="s">
        <v>70</v>
      </c>
      <c r="G1012">
        <v>1</v>
      </c>
      <c r="H1012">
        <v>405.43599999999998</v>
      </c>
      <c r="I1012">
        <v>404.26</v>
      </c>
      <c r="J1012">
        <v>402.37799999999999</v>
      </c>
      <c r="K1012">
        <v>400.59800000000001</v>
      </c>
      <c r="L1012">
        <v>397.47800000000001</v>
      </c>
      <c r="M1012" s="233" t="s">
        <v>530</v>
      </c>
      <c r="N1012" s="233" t="s">
        <v>530</v>
      </c>
      <c r="O1012" s="3" t="s">
        <v>1468</v>
      </c>
    </row>
    <row r="1013" spans="1:15">
      <c r="A1013">
        <v>1</v>
      </c>
      <c r="B1013">
        <v>29</v>
      </c>
      <c r="C1013" t="s">
        <v>79</v>
      </c>
      <c r="D1013" t="s">
        <v>196</v>
      </c>
      <c r="E1013" s="232" t="s">
        <v>8279</v>
      </c>
      <c r="F1013" t="s">
        <v>70</v>
      </c>
      <c r="G1013">
        <v>1</v>
      </c>
      <c r="H1013">
        <v>404.90600000000001</v>
      </c>
      <c r="I1013">
        <v>404.13</v>
      </c>
      <c r="J1013">
        <v>402.46600000000001</v>
      </c>
      <c r="K1013">
        <v>400.92599999999999</v>
      </c>
      <c r="L1013">
        <v>398.536</v>
      </c>
      <c r="M1013" s="233" t="s">
        <v>530</v>
      </c>
      <c r="N1013" s="233" t="s">
        <v>530</v>
      </c>
      <c r="O1013" s="3" t="s">
        <v>1469</v>
      </c>
    </row>
    <row r="1014" spans="1:15">
      <c r="A1014">
        <v>1</v>
      </c>
      <c r="B1014">
        <v>19</v>
      </c>
      <c r="C1014" t="s">
        <v>79</v>
      </c>
      <c r="D1014" t="s">
        <v>196</v>
      </c>
      <c r="E1014" s="232" t="s">
        <v>8035</v>
      </c>
      <c r="F1014" t="s">
        <v>70</v>
      </c>
      <c r="G1014">
        <v>1</v>
      </c>
      <c r="H1014">
        <v>405.346</v>
      </c>
      <c r="I1014">
        <v>403.85</v>
      </c>
      <c r="J1014">
        <v>402.26</v>
      </c>
      <c r="K1014">
        <v>399.31599999999997</v>
      </c>
      <c r="L1014">
        <v>398.36200000000002</v>
      </c>
      <c r="M1014" s="233" t="s">
        <v>530</v>
      </c>
      <c r="N1014" s="233" t="s">
        <v>530</v>
      </c>
      <c r="O1014" s="3" t="s">
        <v>1470</v>
      </c>
    </row>
    <row r="1015" spans="1:15">
      <c r="A1015">
        <v>2</v>
      </c>
      <c r="B1015">
        <v>25</v>
      </c>
      <c r="C1015" t="s">
        <v>79</v>
      </c>
      <c r="D1015" t="s">
        <v>196</v>
      </c>
      <c r="E1015" s="232" t="s">
        <v>8033</v>
      </c>
      <c r="F1015" t="s">
        <v>70</v>
      </c>
      <c r="G1015">
        <v>1</v>
      </c>
      <c r="H1015">
        <v>404.81799999999998</v>
      </c>
      <c r="I1015">
        <v>404.05</v>
      </c>
      <c r="J1015">
        <v>402.18</v>
      </c>
      <c r="K1015">
        <v>400.03800000000001</v>
      </c>
      <c r="L1015">
        <v>398.86799999999999</v>
      </c>
      <c r="M1015" s="233" t="s">
        <v>530</v>
      </c>
      <c r="N1015" s="233" t="s">
        <v>530</v>
      </c>
      <c r="O1015" s="3" t="s">
        <v>1471</v>
      </c>
    </row>
    <row r="1016" spans="1:15">
      <c r="A1016">
        <v>2</v>
      </c>
      <c r="B1016">
        <v>33</v>
      </c>
      <c r="C1016" t="s">
        <v>79</v>
      </c>
      <c r="D1016" t="s">
        <v>196</v>
      </c>
      <c r="E1016" s="232" t="s">
        <v>8026</v>
      </c>
      <c r="F1016" t="s">
        <v>70</v>
      </c>
      <c r="G1016">
        <v>1</v>
      </c>
      <c r="H1016">
        <v>405.43599999999998</v>
      </c>
      <c r="I1016">
        <v>404.26</v>
      </c>
      <c r="J1016">
        <v>402.18</v>
      </c>
      <c r="K1016">
        <v>400.03800000000001</v>
      </c>
      <c r="L1016">
        <v>398.10599999999999</v>
      </c>
      <c r="M1016" s="233" t="s">
        <v>530</v>
      </c>
      <c r="N1016" s="233" t="s">
        <v>530</v>
      </c>
      <c r="O1016" s="3" t="s">
        <v>1472</v>
      </c>
    </row>
    <row r="1017" spans="1:15">
      <c r="A1017">
        <v>1</v>
      </c>
      <c r="B1017">
        <v>17</v>
      </c>
      <c r="C1017" t="s">
        <v>79</v>
      </c>
      <c r="D1017" t="s">
        <v>196</v>
      </c>
      <c r="E1017" s="232" t="s">
        <v>8064</v>
      </c>
      <c r="F1017" t="s">
        <v>70</v>
      </c>
      <c r="G1017">
        <v>1</v>
      </c>
      <c r="H1017">
        <v>402.73</v>
      </c>
      <c r="I1017">
        <v>402.46600000000001</v>
      </c>
      <c r="J1017">
        <v>402.19600000000003</v>
      </c>
      <c r="K1017">
        <v>400.68599999999998</v>
      </c>
      <c r="L1017">
        <v>398.36200000000002</v>
      </c>
      <c r="M1017" s="233" t="s">
        <v>530</v>
      </c>
      <c r="N1017" s="233" t="s">
        <v>530</v>
      </c>
      <c r="O1017" s="3" t="s">
        <v>1473</v>
      </c>
    </row>
    <row r="1018" spans="1:15">
      <c r="A1018">
        <v>1</v>
      </c>
      <c r="B1018">
        <v>3</v>
      </c>
      <c r="C1018" t="s">
        <v>79</v>
      </c>
      <c r="D1018" t="s">
        <v>196</v>
      </c>
      <c r="E1018" s="232" t="s">
        <v>8056</v>
      </c>
      <c r="F1018" t="s">
        <v>70</v>
      </c>
      <c r="G1018">
        <v>1</v>
      </c>
      <c r="H1018">
        <v>404.34</v>
      </c>
      <c r="I1018">
        <v>403.3</v>
      </c>
      <c r="J1018">
        <v>401.916</v>
      </c>
      <c r="K1018">
        <v>400.12599999999998</v>
      </c>
      <c r="L1018">
        <v>398.36200000000002</v>
      </c>
      <c r="M1018" s="233" t="s">
        <v>530</v>
      </c>
      <c r="N1018" s="233" t="s">
        <v>530</v>
      </c>
      <c r="O1018" s="3" t="s">
        <v>1474</v>
      </c>
    </row>
    <row r="1019" spans="1:15">
      <c r="A1019">
        <v>2</v>
      </c>
      <c r="B1019">
        <v>8</v>
      </c>
      <c r="C1019" t="s">
        <v>79</v>
      </c>
      <c r="D1019" t="s">
        <v>196</v>
      </c>
      <c r="E1019" s="232" t="s">
        <v>8126</v>
      </c>
      <c r="F1019" t="s">
        <v>70</v>
      </c>
      <c r="G1019">
        <v>1</v>
      </c>
      <c r="H1019">
        <v>401.82799999999997</v>
      </c>
      <c r="I1019">
        <v>401.488</v>
      </c>
      <c r="J1019">
        <v>401.12</v>
      </c>
      <c r="K1019">
        <v>399.07600000000002</v>
      </c>
      <c r="L1019">
        <v>394.298</v>
      </c>
      <c r="M1019" s="233" t="s">
        <v>530</v>
      </c>
      <c r="N1019" s="233" t="s">
        <v>530</v>
      </c>
      <c r="O1019" s="3" t="s">
        <v>1475</v>
      </c>
    </row>
    <row r="1020" spans="1:15">
      <c r="A1020">
        <v>2</v>
      </c>
      <c r="B1020">
        <v>13</v>
      </c>
      <c r="C1020" t="s">
        <v>79</v>
      </c>
      <c r="D1020" t="s">
        <v>196</v>
      </c>
      <c r="E1020" s="232" t="s">
        <v>8148</v>
      </c>
      <c r="F1020" t="s">
        <v>70</v>
      </c>
      <c r="G1020">
        <v>1</v>
      </c>
      <c r="H1020">
        <v>402.108</v>
      </c>
      <c r="I1020">
        <v>401.82799999999997</v>
      </c>
      <c r="J1020">
        <v>401.12</v>
      </c>
      <c r="K1020">
        <v>399.22800000000001</v>
      </c>
      <c r="L1020">
        <v>397.47800000000001</v>
      </c>
      <c r="M1020" s="233" t="s">
        <v>530</v>
      </c>
      <c r="N1020" s="233" t="s">
        <v>530</v>
      </c>
      <c r="O1020" s="3" t="s">
        <v>1476</v>
      </c>
    </row>
    <row r="1021" spans="1:15">
      <c r="A1021">
        <v>2</v>
      </c>
      <c r="B1021">
        <v>14</v>
      </c>
      <c r="C1021" t="s">
        <v>79</v>
      </c>
      <c r="D1021" t="s">
        <v>196</v>
      </c>
      <c r="E1021" s="232" t="s">
        <v>8155</v>
      </c>
      <c r="F1021" t="s">
        <v>70</v>
      </c>
      <c r="G1021">
        <v>1</v>
      </c>
      <c r="H1021">
        <v>402.37799999999999</v>
      </c>
      <c r="I1021">
        <v>401.82799999999997</v>
      </c>
      <c r="J1021">
        <v>401.12</v>
      </c>
      <c r="K1021">
        <v>398.26600000000002</v>
      </c>
      <c r="L1021">
        <v>393.51600000000002</v>
      </c>
      <c r="M1021" s="233" t="s">
        <v>530</v>
      </c>
      <c r="N1021" s="233" t="s">
        <v>530</v>
      </c>
      <c r="O1021" s="3" t="s">
        <v>1477</v>
      </c>
    </row>
    <row r="1022" spans="1:15">
      <c r="A1022">
        <v>2</v>
      </c>
      <c r="B1022">
        <v>16</v>
      </c>
      <c r="C1022" t="s">
        <v>79</v>
      </c>
      <c r="D1022" t="s">
        <v>196</v>
      </c>
      <c r="E1022" s="232" t="s">
        <v>559</v>
      </c>
      <c r="F1022" t="s">
        <v>70</v>
      </c>
      <c r="G1022">
        <v>1</v>
      </c>
      <c r="H1022">
        <v>402.108</v>
      </c>
      <c r="I1022">
        <v>401.82799999999997</v>
      </c>
      <c r="J1022">
        <v>401.12</v>
      </c>
      <c r="K1022">
        <v>398.86799999999999</v>
      </c>
      <c r="L1022">
        <v>395.69799999999998</v>
      </c>
      <c r="M1022" s="233" t="s">
        <v>530</v>
      </c>
      <c r="N1022" s="233" t="s">
        <v>530</v>
      </c>
      <c r="O1022" s="3" t="s">
        <v>1478</v>
      </c>
    </row>
    <row r="1023" spans="1:15">
      <c r="A1023">
        <v>2</v>
      </c>
      <c r="B1023">
        <v>7</v>
      </c>
      <c r="C1023" t="s">
        <v>79</v>
      </c>
      <c r="D1023" t="s">
        <v>196</v>
      </c>
      <c r="E1023" s="232" t="s">
        <v>8080</v>
      </c>
      <c r="F1023" t="s">
        <v>70</v>
      </c>
      <c r="G1023">
        <v>1</v>
      </c>
      <c r="H1023">
        <v>403.77</v>
      </c>
      <c r="I1023">
        <v>403.22</v>
      </c>
      <c r="J1023">
        <v>400.83800000000002</v>
      </c>
      <c r="K1023">
        <v>399.07600000000002</v>
      </c>
      <c r="L1023">
        <v>397.56599999999997</v>
      </c>
      <c r="M1023" s="233" t="s">
        <v>530</v>
      </c>
      <c r="N1023" s="233" t="s">
        <v>530</v>
      </c>
      <c r="O1023" s="3" t="s">
        <v>1479</v>
      </c>
    </row>
    <row r="1024" spans="1:15">
      <c r="A1024">
        <v>2</v>
      </c>
      <c r="B1024">
        <v>6</v>
      </c>
      <c r="C1024" t="s">
        <v>79</v>
      </c>
      <c r="D1024" t="s">
        <v>196</v>
      </c>
      <c r="E1024" s="232" t="s">
        <v>8011</v>
      </c>
      <c r="F1024" t="s">
        <v>70</v>
      </c>
      <c r="G1024">
        <v>1</v>
      </c>
      <c r="H1024">
        <v>402.37799999999999</v>
      </c>
      <c r="I1024">
        <v>401.488</v>
      </c>
      <c r="J1024">
        <v>400.31799999999998</v>
      </c>
      <c r="K1024">
        <v>396.30799999999999</v>
      </c>
      <c r="L1024">
        <v>393.29599999999999</v>
      </c>
      <c r="M1024" s="233" t="s">
        <v>530</v>
      </c>
      <c r="N1024" s="233" t="s">
        <v>530</v>
      </c>
      <c r="O1024" s="3" t="s">
        <v>1480</v>
      </c>
    </row>
    <row r="1025" spans="1:15">
      <c r="A1025">
        <v>2</v>
      </c>
      <c r="B1025">
        <v>24</v>
      </c>
      <c r="C1025" t="s">
        <v>79</v>
      </c>
      <c r="D1025" t="s">
        <v>196</v>
      </c>
      <c r="E1025" s="232" t="s">
        <v>7248</v>
      </c>
      <c r="F1025" t="s">
        <v>70</v>
      </c>
      <c r="G1025">
        <v>1</v>
      </c>
      <c r="H1025">
        <v>403.22</v>
      </c>
      <c r="I1025">
        <v>401.82799999999997</v>
      </c>
      <c r="J1025">
        <v>400.03800000000001</v>
      </c>
      <c r="K1025">
        <v>398.76799999999997</v>
      </c>
      <c r="L1025">
        <v>397.47800000000001</v>
      </c>
      <c r="M1025" s="233" t="s">
        <v>530</v>
      </c>
      <c r="N1025" s="233" t="s">
        <v>530</v>
      </c>
      <c r="O1025" s="3" t="s">
        <v>1481</v>
      </c>
    </row>
    <row r="1026" spans="1:15">
      <c r="A1026">
        <v>1</v>
      </c>
      <c r="B1026">
        <v>18</v>
      </c>
      <c r="C1026" t="s">
        <v>79</v>
      </c>
      <c r="D1026" t="s">
        <v>196</v>
      </c>
      <c r="E1026" s="232" t="s">
        <v>8236</v>
      </c>
      <c r="F1026" t="s">
        <v>70</v>
      </c>
      <c r="G1026">
        <v>1</v>
      </c>
      <c r="H1026">
        <v>401.916</v>
      </c>
      <c r="I1026">
        <v>400.68599999999998</v>
      </c>
      <c r="J1026">
        <v>399.60599999999999</v>
      </c>
      <c r="K1026">
        <v>398.36200000000002</v>
      </c>
      <c r="L1026">
        <v>395.98200000000003</v>
      </c>
      <c r="M1026" s="233" t="s">
        <v>530</v>
      </c>
      <c r="N1026" s="233" t="s">
        <v>530</v>
      </c>
      <c r="O1026" s="3" t="s">
        <v>1482</v>
      </c>
    </row>
    <row r="1027" spans="1:15">
      <c r="A1027">
        <v>2</v>
      </c>
      <c r="B1027">
        <v>28</v>
      </c>
      <c r="C1027" t="s">
        <v>79</v>
      </c>
      <c r="D1027" t="s">
        <v>196</v>
      </c>
      <c r="E1027" s="232" t="s">
        <v>8243</v>
      </c>
      <c r="F1027" t="s">
        <v>70</v>
      </c>
      <c r="G1027">
        <v>1</v>
      </c>
      <c r="H1027">
        <v>400.83800000000002</v>
      </c>
      <c r="I1027">
        <v>400.31799999999998</v>
      </c>
      <c r="J1027">
        <v>399.51799999999997</v>
      </c>
      <c r="K1027">
        <v>397.27800000000002</v>
      </c>
      <c r="L1027">
        <v>393.61599999999999</v>
      </c>
      <c r="M1027" s="233" t="s">
        <v>530</v>
      </c>
      <c r="N1027" s="233" t="s">
        <v>530</v>
      </c>
      <c r="O1027" s="3" t="s">
        <v>1483</v>
      </c>
    </row>
    <row r="1028" spans="1:15">
      <c r="A1028">
        <v>1</v>
      </c>
      <c r="B1028">
        <v>23</v>
      </c>
      <c r="C1028" t="s">
        <v>79</v>
      </c>
      <c r="D1028" t="s">
        <v>196</v>
      </c>
      <c r="E1028" s="232" t="s">
        <v>541</v>
      </c>
      <c r="F1028" t="s">
        <v>70</v>
      </c>
      <c r="G1028">
        <v>1</v>
      </c>
      <c r="H1028">
        <v>404.34</v>
      </c>
      <c r="I1028">
        <v>401.57600000000002</v>
      </c>
      <c r="J1028">
        <v>399.31599999999997</v>
      </c>
      <c r="K1028">
        <v>397.56599999999997</v>
      </c>
      <c r="L1028">
        <v>396.39600000000002</v>
      </c>
      <c r="M1028" s="233" t="s">
        <v>530</v>
      </c>
      <c r="N1028" s="233" t="s">
        <v>530</v>
      </c>
      <c r="O1028" s="3" t="s">
        <v>1484</v>
      </c>
    </row>
    <row r="1029" spans="1:15">
      <c r="A1029">
        <v>1</v>
      </c>
      <c r="B1029">
        <v>12</v>
      </c>
      <c r="C1029" t="s">
        <v>79</v>
      </c>
      <c r="D1029" t="s">
        <v>196</v>
      </c>
      <c r="E1029" s="232" t="s">
        <v>8323</v>
      </c>
      <c r="F1029" t="s">
        <v>70</v>
      </c>
      <c r="G1029">
        <v>1</v>
      </c>
      <c r="H1029">
        <v>401.39600000000002</v>
      </c>
      <c r="I1029">
        <v>400.12599999999998</v>
      </c>
      <c r="J1029">
        <v>399.17200000000003</v>
      </c>
      <c r="K1029">
        <v>398.202</v>
      </c>
      <c r="L1029">
        <v>394.18599999999998</v>
      </c>
      <c r="M1029" s="233" t="s">
        <v>530</v>
      </c>
      <c r="N1029" s="233" t="s">
        <v>530</v>
      </c>
      <c r="O1029" s="3" t="s">
        <v>1485</v>
      </c>
    </row>
    <row r="1030" spans="1:15">
      <c r="A1030">
        <v>1</v>
      </c>
      <c r="B1030">
        <v>22</v>
      </c>
      <c r="C1030" t="s">
        <v>79</v>
      </c>
      <c r="D1030" t="s">
        <v>196</v>
      </c>
      <c r="E1030" s="232" t="s">
        <v>8096</v>
      </c>
      <c r="F1030" t="s">
        <v>70</v>
      </c>
      <c r="G1030">
        <v>1</v>
      </c>
      <c r="H1030">
        <v>400.12599999999998</v>
      </c>
      <c r="I1030">
        <v>399.60599999999999</v>
      </c>
      <c r="J1030">
        <v>399.17200000000003</v>
      </c>
      <c r="K1030">
        <v>398.10199999999998</v>
      </c>
      <c r="L1030">
        <v>394.02199999999999</v>
      </c>
      <c r="M1030" s="233" t="s">
        <v>530</v>
      </c>
      <c r="N1030" s="233" t="s">
        <v>530</v>
      </c>
      <c r="O1030" s="3" t="s">
        <v>1486</v>
      </c>
    </row>
    <row r="1031" spans="1:15">
      <c r="A1031">
        <v>2</v>
      </c>
      <c r="B1031">
        <v>11</v>
      </c>
      <c r="C1031" t="s">
        <v>79</v>
      </c>
      <c r="D1031" t="s">
        <v>196</v>
      </c>
      <c r="E1031" s="232" t="s">
        <v>8098</v>
      </c>
      <c r="F1031" t="s">
        <v>70</v>
      </c>
      <c r="G1031">
        <v>1</v>
      </c>
      <c r="H1031">
        <v>401.12</v>
      </c>
      <c r="I1031">
        <v>399.75799999999998</v>
      </c>
      <c r="J1031">
        <v>398.26600000000002</v>
      </c>
      <c r="K1031">
        <v>396.49599999999998</v>
      </c>
      <c r="L1031">
        <v>392.786</v>
      </c>
      <c r="M1031" s="233" t="s">
        <v>530</v>
      </c>
      <c r="N1031" s="233" t="s">
        <v>530</v>
      </c>
      <c r="O1031" s="3" t="s">
        <v>1487</v>
      </c>
    </row>
    <row r="1032" spans="1:15">
      <c r="A1032">
        <v>2</v>
      </c>
      <c r="B1032">
        <v>26</v>
      </c>
      <c r="C1032" t="s">
        <v>79</v>
      </c>
      <c r="D1032" t="s">
        <v>196</v>
      </c>
      <c r="E1032" s="232" t="s">
        <v>8281</v>
      </c>
      <c r="F1032" t="s">
        <v>70</v>
      </c>
      <c r="G1032">
        <v>1</v>
      </c>
      <c r="H1032">
        <v>399.22800000000001</v>
      </c>
      <c r="I1032">
        <v>398.76799999999997</v>
      </c>
      <c r="J1032">
        <v>398.00599999999997</v>
      </c>
      <c r="K1032">
        <v>396.49599999999998</v>
      </c>
      <c r="L1032">
        <v>395.49799999999999</v>
      </c>
      <c r="M1032" s="233" t="s">
        <v>530</v>
      </c>
      <c r="N1032" s="233" t="s">
        <v>530</v>
      </c>
      <c r="O1032" s="3" t="s">
        <v>1488</v>
      </c>
    </row>
    <row r="1033" spans="1:15">
      <c r="A1033">
        <v>3</v>
      </c>
      <c r="B1033">
        <v>30</v>
      </c>
      <c r="C1033" t="s">
        <v>79</v>
      </c>
      <c r="D1033" t="s">
        <v>196</v>
      </c>
      <c r="E1033" s="232" t="s">
        <v>8307</v>
      </c>
      <c r="F1033" t="s">
        <v>70</v>
      </c>
      <c r="G1033">
        <v>1</v>
      </c>
      <c r="H1033">
        <v>396.38</v>
      </c>
      <c r="I1033">
        <v>395.8</v>
      </c>
      <c r="J1033">
        <v>394.99</v>
      </c>
      <c r="K1033">
        <v>393.52</v>
      </c>
      <c r="L1033">
        <v>391.64</v>
      </c>
      <c r="M1033" s="233" t="s">
        <v>530</v>
      </c>
      <c r="N1033" s="233" t="s">
        <v>530</v>
      </c>
      <c r="O1033" s="3" t="s">
        <v>1489</v>
      </c>
    </row>
    <row r="1034" spans="1:15">
      <c r="A1034">
        <v>2</v>
      </c>
      <c r="B1034">
        <v>32</v>
      </c>
      <c r="C1034" t="s">
        <v>79</v>
      </c>
      <c r="D1034" t="s">
        <v>196</v>
      </c>
      <c r="E1034" s="232" t="s">
        <v>8305</v>
      </c>
      <c r="F1034" t="s">
        <v>70</v>
      </c>
      <c r="G1034">
        <v>1</v>
      </c>
      <c r="H1034">
        <v>399.51799999999997</v>
      </c>
      <c r="I1034">
        <v>398.76799999999997</v>
      </c>
      <c r="J1034">
        <v>397.56599999999997</v>
      </c>
      <c r="K1034">
        <v>396.49599999999998</v>
      </c>
      <c r="L1034">
        <v>393.61599999999999</v>
      </c>
      <c r="M1034" s="233" t="s">
        <v>530</v>
      </c>
      <c r="N1034" s="233" t="s">
        <v>530</v>
      </c>
      <c r="O1034" s="3" t="s">
        <v>1490</v>
      </c>
    </row>
    <row r="1035" spans="1:15">
      <c r="A1035">
        <v>1</v>
      </c>
      <c r="B1035">
        <v>21</v>
      </c>
      <c r="C1035" t="s">
        <v>79</v>
      </c>
      <c r="D1035" t="s">
        <v>196</v>
      </c>
      <c r="E1035" s="232" t="s">
        <v>8245</v>
      </c>
      <c r="F1035" t="s">
        <v>70</v>
      </c>
      <c r="G1035">
        <v>1</v>
      </c>
      <c r="H1035">
        <v>398.536</v>
      </c>
      <c r="I1035">
        <v>398.202</v>
      </c>
      <c r="J1035">
        <v>397.36599999999999</v>
      </c>
      <c r="K1035">
        <v>395.98200000000003</v>
      </c>
      <c r="L1035">
        <v>392.786</v>
      </c>
      <c r="M1035" s="233" t="s">
        <v>530</v>
      </c>
      <c r="N1035" s="233" t="s">
        <v>530</v>
      </c>
      <c r="O1035" s="3" t="s">
        <v>1491</v>
      </c>
    </row>
    <row r="1036" spans="1:15">
      <c r="A1036">
        <v>1</v>
      </c>
      <c r="B1036">
        <v>27</v>
      </c>
      <c r="C1036" t="s">
        <v>79</v>
      </c>
      <c r="D1036" t="s">
        <v>196</v>
      </c>
      <c r="E1036" s="232" t="s">
        <v>8224</v>
      </c>
      <c r="F1036" t="s">
        <v>70</v>
      </c>
      <c r="G1036">
        <v>1</v>
      </c>
      <c r="H1036">
        <v>399.60599999999999</v>
      </c>
      <c r="I1036">
        <v>398.536</v>
      </c>
      <c r="J1036">
        <v>397.23200000000003</v>
      </c>
      <c r="K1036">
        <v>396.39600000000002</v>
      </c>
      <c r="L1036">
        <v>393.31200000000001</v>
      </c>
      <c r="M1036" s="233" t="s">
        <v>530</v>
      </c>
      <c r="N1036" s="233" t="s">
        <v>530</v>
      </c>
      <c r="O1036" s="3" t="s">
        <v>1492</v>
      </c>
    </row>
    <row r="1037" spans="1:15">
      <c r="A1037">
        <v>1</v>
      </c>
      <c r="B1037">
        <v>31</v>
      </c>
      <c r="C1037" t="s">
        <v>79</v>
      </c>
      <c r="D1037" t="s">
        <v>196</v>
      </c>
      <c r="E1037" s="232" t="s">
        <v>8316</v>
      </c>
      <c r="F1037" t="s">
        <v>70</v>
      </c>
      <c r="G1037">
        <v>1</v>
      </c>
      <c r="H1037">
        <v>399.31599999999997</v>
      </c>
      <c r="I1037">
        <v>398.36200000000002</v>
      </c>
      <c r="J1037">
        <v>397.03199999999998</v>
      </c>
      <c r="K1037">
        <v>396.04599999999999</v>
      </c>
      <c r="L1037">
        <v>393.21199999999999</v>
      </c>
      <c r="M1037" s="233" t="s">
        <v>530</v>
      </c>
      <c r="N1037" s="233" t="s">
        <v>530</v>
      </c>
      <c r="O1037" s="3" t="s">
        <v>1493</v>
      </c>
    </row>
    <row r="1038" spans="1:15">
      <c r="A1038">
        <v>4</v>
      </c>
      <c r="B1038">
        <v>35</v>
      </c>
      <c r="C1038" t="s">
        <v>79</v>
      </c>
      <c r="D1038" t="s">
        <v>196</v>
      </c>
      <c r="E1038" s="232" t="s">
        <v>7965</v>
      </c>
      <c r="F1038" t="s">
        <v>71</v>
      </c>
      <c r="G1038">
        <v>1</v>
      </c>
      <c r="H1038">
        <v>403.68</v>
      </c>
      <c r="I1038">
        <v>403.07</v>
      </c>
      <c r="J1038">
        <v>402.82</v>
      </c>
      <c r="K1038">
        <v>401.27</v>
      </c>
      <c r="L1038">
        <v>399.4</v>
      </c>
      <c r="M1038" s="233" t="s">
        <v>530</v>
      </c>
      <c r="N1038" s="233" t="s">
        <v>530</v>
      </c>
      <c r="O1038" s="3" t="s">
        <v>1494</v>
      </c>
    </row>
    <row r="1039" spans="1:15">
      <c r="A1039">
        <v>3</v>
      </c>
      <c r="B1039">
        <v>37</v>
      </c>
      <c r="C1039" t="s">
        <v>79</v>
      </c>
      <c r="D1039" t="s">
        <v>196</v>
      </c>
      <c r="E1039" s="232" t="s">
        <v>7984</v>
      </c>
      <c r="F1039" t="s">
        <v>71</v>
      </c>
      <c r="G1039">
        <v>1</v>
      </c>
      <c r="H1039">
        <v>403.36</v>
      </c>
      <c r="I1039">
        <v>402.23</v>
      </c>
      <c r="J1039">
        <v>400.77</v>
      </c>
      <c r="K1039">
        <v>399.67</v>
      </c>
      <c r="L1039">
        <v>398.7</v>
      </c>
      <c r="M1039" s="233" t="s">
        <v>530</v>
      </c>
      <c r="N1039" s="233" t="s">
        <v>530</v>
      </c>
      <c r="O1039" s="3" t="s">
        <v>1495</v>
      </c>
    </row>
    <row r="1040" spans="1:15">
      <c r="A1040">
        <v>3</v>
      </c>
      <c r="B1040">
        <v>36</v>
      </c>
      <c r="C1040" t="s">
        <v>79</v>
      </c>
      <c r="D1040" t="s">
        <v>196</v>
      </c>
      <c r="E1040" s="232" t="s">
        <v>491</v>
      </c>
      <c r="F1040" t="s">
        <v>71</v>
      </c>
      <c r="G1040">
        <v>1</v>
      </c>
      <c r="H1040">
        <v>402.46</v>
      </c>
      <c r="I1040">
        <v>401.18</v>
      </c>
      <c r="J1040">
        <v>399.96</v>
      </c>
      <c r="K1040">
        <v>398.7</v>
      </c>
      <c r="L1040">
        <v>397.41</v>
      </c>
      <c r="M1040" s="233" t="s">
        <v>530</v>
      </c>
      <c r="N1040" s="233" t="s">
        <v>530</v>
      </c>
      <c r="O1040" s="3" t="s">
        <v>1496</v>
      </c>
    </row>
    <row r="1041" spans="1:15">
      <c r="A1041">
        <v>3</v>
      </c>
      <c r="B1041">
        <v>53</v>
      </c>
      <c r="C1041" t="s">
        <v>79</v>
      </c>
      <c r="D1041" t="s">
        <v>196</v>
      </c>
      <c r="E1041" s="232" t="s">
        <v>8197</v>
      </c>
      <c r="F1041" t="s">
        <v>71</v>
      </c>
      <c r="G1041">
        <v>1</v>
      </c>
      <c r="H1041">
        <v>399.12</v>
      </c>
      <c r="I1041">
        <v>398.44</v>
      </c>
      <c r="J1041">
        <v>397.69</v>
      </c>
      <c r="K1041">
        <v>397.09</v>
      </c>
      <c r="L1041">
        <v>396.5</v>
      </c>
      <c r="M1041" s="233" t="s">
        <v>530</v>
      </c>
      <c r="N1041" s="233" t="s">
        <v>530</v>
      </c>
      <c r="O1041" s="3" t="s">
        <v>1497</v>
      </c>
    </row>
    <row r="1042" spans="1:15">
      <c r="A1042">
        <v>3</v>
      </c>
      <c r="B1042">
        <v>38</v>
      </c>
      <c r="C1042" t="s">
        <v>79</v>
      </c>
      <c r="D1042" t="s">
        <v>196</v>
      </c>
      <c r="E1042" s="232" t="s">
        <v>8130</v>
      </c>
      <c r="F1042" t="s">
        <v>71</v>
      </c>
      <c r="G1042">
        <v>1</v>
      </c>
      <c r="H1042">
        <v>399.02</v>
      </c>
      <c r="I1042">
        <v>398.44</v>
      </c>
      <c r="J1042">
        <v>397.57</v>
      </c>
      <c r="K1042">
        <v>395.96</v>
      </c>
      <c r="L1042">
        <v>393.96</v>
      </c>
      <c r="M1042" s="233" t="s">
        <v>530</v>
      </c>
      <c r="N1042" s="233" t="s">
        <v>530</v>
      </c>
      <c r="O1042" s="3" t="s">
        <v>1498</v>
      </c>
    </row>
    <row r="1043" spans="1:15">
      <c r="A1043">
        <v>3</v>
      </c>
      <c r="B1043">
        <v>39</v>
      </c>
      <c r="C1043" t="s">
        <v>79</v>
      </c>
      <c r="D1043" t="s">
        <v>196</v>
      </c>
      <c r="E1043" s="232" t="s">
        <v>8290</v>
      </c>
      <c r="F1043" t="s">
        <v>71</v>
      </c>
      <c r="G1043">
        <v>1</v>
      </c>
      <c r="H1043">
        <v>398.44</v>
      </c>
      <c r="I1043">
        <v>397.96</v>
      </c>
      <c r="J1043">
        <v>397.09</v>
      </c>
      <c r="K1043">
        <v>395.96</v>
      </c>
      <c r="L1043">
        <v>393.52</v>
      </c>
      <c r="M1043" s="233" t="s">
        <v>530</v>
      </c>
      <c r="N1043" s="233" t="s">
        <v>530</v>
      </c>
      <c r="O1043" s="3" t="s">
        <v>1499</v>
      </c>
    </row>
    <row r="1044" spans="1:15">
      <c r="A1044">
        <v>3</v>
      </c>
      <c r="B1044">
        <v>40</v>
      </c>
      <c r="C1044" t="s">
        <v>79</v>
      </c>
      <c r="D1044" t="s">
        <v>196</v>
      </c>
      <c r="E1044" s="232" t="s">
        <v>229</v>
      </c>
      <c r="F1044" t="s">
        <v>71</v>
      </c>
      <c r="G1044">
        <v>1</v>
      </c>
      <c r="H1044">
        <v>399.25</v>
      </c>
      <c r="I1044">
        <v>397.96</v>
      </c>
      <c r="J1044">
        <v>397.09</v>
      </c>
      <c r="K1044">
        <v>395.96</v>
      </c>
      <c r="L1044">
        <v>395.15</v>
      </c>
      <c r="M1044" s="233" t="s">
        <v>530</v>
      </c>
      <c r="N1044" s="233" t="s">
        <v>530</v>
      </c>
      <c r="O1044" s="3" t="s">
        <v>1500</v>
      </c>
    </row>
    <row r="1045" spans="1:15">
      <c r="A1045">
        <v>3</v>
      </c>
      <c r="B1045">
        <v>55</v>
      </c>
      <c r="C1045" t="s">
        <v>79</v>
      </c>
      <c r="D1045" t="s">
        <v>196</v>
      </c>
      <c r="E1045" s="232" t="s">
        <v>8214</v>
      </c>
      <c r="F1045" t="s">
        <v>71</v>
      </c>
      <c r="G1045">
        <v>1</v>
      </c>
      <c r="H1045">
        <v>399.25</v>
      </c>
      <c r="I1045">
        <v>397.57</v>
      </c>
      <c r="J1045">
        <v>397.09</v>
      </c>
      <c r="K1045">
        <v>395.8</v>
      </c>
      <c r="L1045">
        <v>393.52</v>
      </c>
      <c r="M1045" s="233" t="s">
        <v>530</v>
      </c>
      <c r="N1045" s="233" t="s">
        <v>530</v>
      </c>
      <c r="O1045" s="3" t="s">
        <v>1501</v>
      </c>
    </row>
    <row r="1046" spans="1:15">
      <c r="A1046">
        <v>3</v>
      </c>
      <c r="B1046">
        <v>41</v>
      </c>
      <c r="C1046" t="s">
        <v>79</v>
      </c>
      <c r="D1046" t="s">
        <v>196</v>
      </c>
      <c r="E1046" s="232" t="s">
        <v>8217</v>
      </c>
      <c r="F1046" t="s">
        <v>71</v>
      </c>
      <c r="G1046">
        <v>1</v>
      </c>
      <c r="H1046">
        <v>398.44</v>
      </c>
      <c r="I1046">
        <v>397.09</v>
      </c>
      <c r="J1046">
        <v>396.5</v>
      </c>
      <c r="K1046">
        <v>395.47</v>
      </c>
      <c r="L1046">
        <v>393.52</v>
      </c>
      <c r="M1046" s="233" t="s">
        <v>530</v>
      </c>
      <c r="N1046" s="233" t="s">
        <v>530</v>
      </c>
      <c r="O1046" s="3" t="s">
        <v>1502</v>
      </c>
    </row>
    <row r="1047" spans="1:15">
      <c r="A1047">
        <v>3</v>
      </c>
      <c r="B1047">
        <v>43</v>
      </c>
      <c r="C1047" t="s">
        <v>79</v>
      </c>
      <c r="D1047" t="s">
        <v>196</v>
      </c>
      <c r="E1047" s="232" t="s">
        <v>8269</v>
      </c>
      <c r="F1047" t="s">
        <v>71</v>
      </c>
      <c r="G1047">
        <v>1</v>
      </c>
      <c r="H1047">
        <v>399.12</v>
      </c>
      <c r="I1047">
        <v>397.09</v>
      </c>
      <c r="J1047">
        <v>396.5</v>
      </c>
      <c r="K1047">
        <v>396.16</v>
      </c>
      <c r="L1047">
        <v>394.73</v>
      </c>
      <c r="M1047" s="233" t="s">
        <v>530</v>
      </c>
      <c r="N1047" s="233" t="s">
        <v>530</v>
      </c>
      <c r="O1047" s="3" t="s">
        <v>1503</v>
      </c>
    </row>
    <row r="1048" spans="1:15">
      <c r="A1048">
        <v>3</v>
      </c>
      <c r="B1048">
        <v>44</v>
      </c>
      <c r="C1048" t="s">
        <v>79</v>
      </c>
      <c r="D1048" t="s">
        <v>196</v>
      </c>
      <c r="E1048" s="232" t="s">
        <v>8275</v>
      </c>
      <c r="F1048" t="s">
        <v>71</v>
      </c>
      <c r="G1048">
        <v>1</v>
      </c>
      <c r="H1048">
        <v>399.12</v>
      </c>
      <c r="I1048">
        <v>397.09</v>
      </c>
      <c r="J1048">
        <v>396.5</v>
      </c>
      <c r="K1048">
        <v>396.16</v>
      </c>
      <c r="L1048">
        <v>395.8</v>
      </c>
      <c r="M1048" s="233" t="s">
        <v>530</v>
      </c>
      <c r="N1048" s="233" t="s">
        <v>530</v>
      </c>
      <c r="O1048" s="3" t="s">
        <v>1504</v>
      </c>
    </row>
    <row r="1049" spans="1:15">
      <c r="A1049">
        <v>3</v>
      </c>
      <c r="B1049">
        <v>45</v>
      </c>
      <c r="C1049" t="s">
        <v>79</v>
      </c>
      <c r="D1049" t="s">
        <v>196</v>
      </c>
      <c r="E1049" s="232" t="s">
        <v>8107</v>
      </c>
      <c r="F1049" t="s">
        <v>71</v>
      </c>
      <c r="G1049">
        <v>1</v>
      </c>
      <c r="H1049">
        <v>399.12</v>
      </c>
      <c r="I1049">
        <v>397.09</v>
      </c>
      <c r="J1049">
        <v>396.5</v>
      </c>
      <c r="K1049">
        <v>395.37</v>
      </c>
      <c r="L1049">
        <v>394.24</v>
      </c>
      <c r="M1049" s="233" t="s">
        <v>530</v>
      </c>
      <c r="N1049" s="233" t="s">
        <v>530</v>
      </c>
      <c r="O1049" s="3" t="s">
        <v>1505</v>
      </c>
    </row>
    <row r="1050" spans="1:15">
      <c r="A1050">
        <v>3</v>
      </c>
      <c r="B1050">
        <v>54</v>
      </c>
      <c r="C1050" t="s">
        <v>79</v>
      </c>
      <c r="D1050" t="s">
        <v>196</v>
      </c>
      <c r="E1050" s="232" t="s">
        <v>8255</v>
      </c>
      <c r="F1050" t="s">
        <v>71</v>
      </c>
      <c r="G1050">
        <v>1</v>
      </c>
      <c r="H1050">
        <v>399.02</v>
      </c>
      <c r="I1050">
        <v>397.57</v>
      </c>
      <c r="J1050">
        <v>396.5</v>
      </c>
      <c r="K1050">
        <v>395.8</v>
      </c>
      <c r="L1050">
        <v>395.15</v>
      </c>
      <c r="M1050" s="233" t="s">
        <v>530</v>
      </c>
      <c r="N1050" s="233" t="s">
        <v>530</v>
      </c>
      <c r="O1050" s="3" t="s">
        <v>1506</v>
      </c>
    </row>
    <row r="1051" spans="1:15">
      <c r="A1051">
        <v>3</v>
      </c>
      <c r="B1051">
        <v>42</v>
      </c>
      <c r="C1051" t="s">
        <v>79</v>
      </c>
      <c r="D1051" t="s">
        <v>196</v>
      </c>
      <c r="E1051" s="232" t="s">
        <v>499</v>
      </c>
      <c r="F1051" t="s">
        <v>71</v>
      </c>
      <c r="G1051">
        <v>1</v>
      </c>
      <c r="H1051">
        <v>398.7</v>
      </c>
      <c r="I1051">
        <v>396.93</v>
      </c>
      <c r="J1051">
        <v>396.38</v>
      </c>
      <c r="K1051">
        <v>395.27</v>
      </c>
      <c r="L1051">
        <v>392.45</v>
      </c>
      <c r="M1051" s="233" t="s">
        <v>530</v>
      </c>
      <c r="N1051" s="233" t="s">
        <v>530</v>
      </c>
      <c r="O1051" s="3" t="s">
        <v>1507</v>
      </c>
    </row>
    <row r="1052" spans="1:15">
      <c r="A1052">
        <v>3</v>
      </c>
      <c r="B1052">
        <v>47</v>
      </c>
      <c r="C1052" t="s">
        <v>79</v>
      </c>
      <c r="D1052" t="s">
        <v>196</v>
      </c>
      <c r="E1052" s="232" t="s">
        <v>8190</v>
      </c>
      <c r="F1052" t="s">
        <v>71</v>
      </c>
      <c r="G1052">
        <v>1</v>
      </c>
      <c r="H1052">
        <v>397.69</v>
      </c>
      <c r="I1052">
        <v>397.09</v>
      </c>
      <c r="J1052">
        <v>396.38</v>
      </c>
      <c r="K1052">
        <v>395.8</v>
      </c>
      <c r="L1052">
        <v>395.15</v>
      </c>
      <c r="M1052" s="233" t="s">
        <v>530</v>
      </c>
      <c r="N1052" s="233" t="s">
        <v>530</v>
      </c>
      <c r="O1052" s="3" t="s">
        <v>1508</v>
      </c>
    </row>
    <row r="1053" spans="1:15">
      <c r="A1053">
        <v>3</v>
      </c>
      <c r="B1053">
        <v>48</v>
      </c>
      <c r="C1053" t="s">
        <v>79</v>
      </c>
      <c r="D1053" t="s">
        <v>196</v>
      </c>
      <c r="E1053" s="232" t="s">
        <v>8216</v>
      </c>
      <c r="F1053" t="s">
        <v>71</v>
      </c>
      <c r="G1053">
        <v>1</v>
      </c>
      <c r="H1053">
        <v>398.12</v>
      </c>
      <c r="I1053">
        <v>397.09</v>
      </c>
      <c r="J1053">
        <v>396.38</v>
      </c>
      <c r="K1053">
        <v>395.8</v>
      </c>
      <c r="L1053">
        <v>395.27</v>
      </c>
      <c r="M1053" s="233" t="s">
        <v>530</v>
      </c>
      <c r="N1053" s="233" t="s">
        <v>530</v>
      </c>
      <c r="O1053" s="3" t="s">
        <v>1509</v>
      </c>
    </row>
    <row r="1054" spans="1:15">
      <c r="A1054">
        <v>3</v>
      </c>
      <c r="B1054">
        <v>46</v>
      </c>
      <c r="C1054" t="s">
        <v>79</v>
      </c>
      <c r="D1054" t="s">
        <v>196</v>
      </c>
      <c r="E1054" s="232" t="s">
        <v>8266</v>
      </c>
      <c r="F1054" t="s">
        <v>71</v>
      </c>
      <c r="G1054">
        <v>1</v>
      </c>
      <c r="H1054">
        <v>397.57</v>
      </c>
      <c r="I1054">
        <v>396.5</v>
      </c>
      <c r="J1054">
        <v>395.96</v>
      </c>
      <c r="K1054">
        <v>395.27</v>
      </c>
      <c r="L1054">
        <v>394.61</v>
      </c>
      <c r="M1054" s="233" t="s">
        <v>530</v>
      </c>
      <c r="N1054" s="233" t="s">
        <v>530</v>
      </c>
      <c r="O1054" s="3" t="s">
        <v>1510</v>
      </c>
    </row>
    <row r="1055" spans="1:15">
      <c r="A1055">
        <v>3</v>
      </c>
      <c r="B1055">
        <v>50</v>
      </c>
      <c r="C1055" t="s">
        <v>79</v>
      </c>
      <c r="D1055" t="s">
        <v>196</v>
      </c>
      <c r="E1055" s="232" t="s">
        <v>8319</v>
      </c>
      <c r="F1055" t="s">
        <v>71</v>
      </c>
      <c r="G1055">
        <v>1</v>
      </c>
      <c r="H1055">
        <v>397.69</v>
      </c>
      <c r="I1055">
        <v>396.5</v>
      </c>
      <c r="J1055">
        <v>395.96</v>
      </c>
      <c r="K1055">
        <v>395.15</v>
      </c>
      <c r="L1055">
        <v>394.02</v>
      </c>
      <c r="M1055" s="233" t="s">
        <v>530</v>
      </c>
      <c r="N1055" s="233" t="s">
        <v>530</v>
      </c>
      <c r="O1055" s="3" t="s">
        <v>1511</v>
      </c>
    </row>
    <row r="1056" spans="1:15">
      <c r="A1056">
        <v>3</v>
      </c>
      <c r="B1056">
        <v>56</v>
      </c>
      <c r="C1056" t="s">
        <v>79</v>
      </c>
      <c r="D1056" t="s">
        <v>196</v>
      </c>
      <c r="E1056" s="232" t="s">
        <v>8299</v>
      </c>
      <c r="F1056" t="s">
        <v>71</v>
      </c>
      <c r="G1056">
        <v>1</v>
      </c>
      <c r="H1056">
        <v>397.09</v>
      </c>
      <c r="I1056">
        <v>396.16</v>
      </c>
      <c r="J1056">
        <v>395.8</v>
      </c>
      <c r="K1056">
        <v>395.15</v>
      </c>
      <c r="L1056">
        <v>394.44</v>
      </c>
      <c r="M1056" s="233" t="s">
        <v>530</v>
      </c>
      <c r="N1056" s="233" t="s">
        <v>530</v>
      </c>
      <c r="O1056" s="3" t="s">
        <v>1512</v>
      </c>
    </row>
    <row r="1057" spans="1:15">
      <c r="A1057">
        <v>3</v>
      </c>
      <c r="B1057">
        <v>51</v>
      </c>
      <c r="C1057" t="s">
        <v>79</v>
      </c>
      <c r="D1057" t="s">
        <v>196</v>
      </c>
      <c r="E1057" s="232" t="s">
        <v>8232</v>
      </c>
      <c r="F1057" t="s">
        <v>71</v>
      </c>
      <c r="G1057">
        <v>1</v>
      </c>
      <c r="H1057">
        <v>396.93</v>
      </c>
      <c r="I1057">
        <v>395.96</v>
      </c>
      <c r="J1057">
        <v>395.47</v>
      </c>
      <c r="K1057">
        <v>394.99</v>
      </c>
      <c r="L1057">
        <v>394.24</v>
      </c>
      <c r="M1057" s="233" t="s">
        <v>530</v>
      </c>
      <c r="N1057" s="233" t="s">
        <v>530</v>
      </c>
      <c r="O1057" s="3" t="s">
        <v>1513</v>
      </c>
    </row>
    <row r="1058" spans="1:15">
      <c r="A1058">
        <v>3</v>
      </c>
      <c r="B1058">
        <v>52</v>
      </c>
      <c r="C1058" t="s">
        <v>79</v>
      </c>
      <c r="D1058" t="s">
        <v>196</v>
      </c>
      <c r="E1058" s="232" t="s">
        <v>8337</v>
      </c>
      <c r="F1058" t="s">
        <v>71</v>
      </c>
      <c r="G1058">
        <v>1</v>
      </c>
      <c r="H1058">
        <v>396.83</v>
      </c>
      <c r="I1058">
        <v>395.96</v>
      </c>
      <c r="J1058">
        <v>395.47</v>
      </c>
      <c r="K1058">
        <v>394.99</v>
      </c>
      <c r="L1058">
        <v>394.24</v>
      </c>
      <c r="M1058" s="233" t="s">
        <v>530</v>
      </c>
      <c r="N1058" s="233" t="s">
        <v>530</v>
      </c>
      <c r="O1058" s="3" t="s">
        <v>1514</v>
      </c>
    </row>
    <row r="1059" spans="1:15">
      <c r="A1059">
        <v>3</v>
      </c>
      <c r="B1059">
        <v>57</v>
      </c>
      <c r="C1059" t="s">
        <v>79</v>
      </c>
      <c r="D1059" t="s">
        <v>196</v>
      </c>
      <c r="E1059" s="232" t="s">
        <v>16673</v>
      </c>
      <c r="F1059" t="s">
        <v>71</v>
      </c>
      <c r="G1059">
        <v>1</v>
      </c>
      <c r="H1059">
        <v>396.93</v>
      </c>
      <c r="I1059">
        <v>395.96</v>
      </c>
      <c r="J1059">
        <v>395.47</v>
      </c>
      <c r="K1059">
        <v>394.99</v>
      </c>
      <c r="L1059">
        <v>394.24</v>
      </c>
      <c r="M1059" s="233" t="s">
        <v>530</v>
      </c>
      <c r="N1059" s="233" t="s">
        <v>530</v>
      </c>
      <c r="O1059" s="3" t="s">
        <v>1515</v>
      </c>
    </row>
    <row r="1060" spans="1:15">
      <c r="A1060">
        <v>3</v>
      </c>
      <c r="B1060">
        <v>49</v>
      </c>
      <c r="C1060" t="s">
        <v>79</v>
      </c>
      <c r="D1060" t="s">
        <v>196</v>
      </c>
      <c r="E1060" s="232" t="s">
        <v>542</v>
      </c>
      <c r="F1060" t="s">
        <v>71</v>
      </c>
      <c r="G1060">
        <v>1</v>
      </c>
      <c r="H1060">
        <v>396.93</v>
      </c>
      <c r="I1060">
        <v>396.16</v>
      </c>
      <c r="J1060">
        <v>395.27</v>
      </c>
      <c r="K1060">
        <v>394.61</v>
      </c>
      <c r="L1060">
        <v>393.96</v>
      </c>
      <c r="M1060" s="233" t="s">
        <v>530</v>
      </c>
      <c r="N1060" s="233" t="s">
        <v>530</v>
      </c>
      <c r="O1060" s="3" t="s">
        <v>1516</v>
      </c>
    </row>
    <row r="1061" spans="1:15">
      <c r="A1061">
        <v>14</v>
      </c>
      <c r="B1061">
        <v>249</v>
      </c>
      <c r="C1061" t="s">
        <v>79</v>
      </c>
      <c r="D1061" t="s">
        <v>302</v>
      </c>
      <c r="E1061" s="232" t="s">
        <v>8019</v>
      </c>
      <c r="F1061" t="s">
        <v>70</v>
      </c>
      <c r="G1061">
        <v>1</v>
      </c>
      <c r="H1061">
        <v>513.94799999999998</v>
      </c>
      <c r="I1061">
        <v>513.31200000000001</v>
      </c>
      <c r="J1061">
        <v>513.01199999999994</v>
      </c>
      <c r="K1061">
        <v>511.024</v>
      </c>
      <c r="L1061">
        <v>508.32100000000003</v>
      </c>
      <c r="M1061" s="233" t="s">
        <v>530</v>
      </c>
      <c r="N1061" s="233" t="s">
        <v>531</v>
      </c>
      <c r="O1061" s="3" t="s">
        <v>1517</v>
      </c>
    </row>
    <row r="1062" spans="1:15">
      <c r="A1062">
        <v>14</v>
      </c>
      <c r="B1062">
        <v>251</v>
      </c>
      <c r="C1062" t="s">
        <v>79</v>
      </c>
      <c r="D1062" t="s">
        <v>302</v>
      </c>
      <c r="E1062" s="232" t="s">
        <v>8835</v>
      </c>
      <c r="F1062" t="s">
        <v>70</v>
      </c>
      <c r="G1062">
        <v>1</v>
      </c>
      <c r="H1062">
        <v>505.483</v>
      </c>
      <c r="I1062">
        <v>504.85700000000003</v>
      </c>
      <c r="J1062">
        <v>504.30599999999998</v>
      </c>
      <c r="K1062">
        <v>502.27600000000001</v>
      </c>
      <c r="L1062">
        <v>500.25799999999998</v>
      </c>
      <c r="M1062" s="233" t="s">
        <v>530</v>
      </c>
      <c r="N1062" s="233" t="s">
        <v>531</v>
      </c>
      <c r="O1062" s="3" t="s">
        <v>1518</v>
      </c>
    </row>
    <row r="1063" spans="1:15">
      <c r="A1063">
        <v>14</v>
      </c>
      <c r="B1063">
        <v>253</v>
      </c>
      <c r="C1063" t="s">
        <v>79</v>
      </c>
      <c r="D1063" t="s">
        <v>302</v>
      </c>
      <c r="E1063" s="232" t="s">
        <v>8410</v>
      </c>
      <c r="F1063" t="s">
        <v>70</v>
      </c>
      <c r="G1063">
        <v>1</v>
      </c>
      <c r="H1063">
        <v>505.60300000000001</v>
      </c>
      <c r="I1063">
        <v>504.85700000000003</v>
      </c>
      <c r="J1063">
        <v>504.30599999999998</v>
      </c>
      <c r="K1063">
        <v>502.27600000000001</v>
      </c>
      <c r="L1063">
        <v>500.25799999999998</v>
      </c>
      <c r="M1063" s="233" t="s">
        <v>530</v>
      </c>
      <c r="N1063" s="233" t="s">
        <v>531</v>
      </c>
      <c r="O1063" s="3" t="s">
        <v>1519</v>
      </c>
    </row>
    <row r="1064" spans="1:15">
      <c r="A1064">
        <v>14</v>
      </c>
      <c r="B1064">
        <v>250</v>
      </c>
      <c r="C1064" t="s">
        <v>79</v>
      </c>
      <c r="D1064" t="s">
        <v>302</v>
      </c>
      <c r="E1064" s="232" t="s">
        <v>8856</v>
      </c>
      <c r="F1064" t="s">
        <v>70</v>
      </c>
      <c r="G1064">
        <v>1</v>
      </c>
      <c r="H1064">
        <v>505.60300000000001</v>
      </c>
      <c r="I1064">
        <v>505.09699999999998</v>
      </c>
      <c r="J1064">
        <v>503.90699999999998</v>
      </c>
      <c r="K1064">
        <v>501.97300000000001</v>
      </c>
      <c r="L1064">
        <v>499.89800000000002</v>
      </c>
      <c r="M1064" s="233" t="s">
        <v>530</v>
      </c>
      <c r="N1064" s="233" t="s">
        <v>531</v>
      </c>
      <c r="O1064" s="3" t="s">
        <v>1520</v>
      </c>
    </row>
    <row r="1065" spans="1:15">
      <c r="A1065">
        <v>14</v>
      </c>
      <c r="B1065">
        <v>254</v>
      </c>
      <c r="C1065" t="s">
        <v>79</v>
      </c>
      <c r="D1065" t="s">
        <v>302</v>
      </c>
      <c r="E1065" s="232" t="s">
        <v>8757</v>
      </c>
      <c r="F1065" t="s">
        <v>70</v>
      </c>
      <c r="G1065">
        <v>1</v>
      </c>
      <c r="H1065">
        <v>503.72899999999998</v>
      </c>
      <c r="I1065">
        <v>503.52199999999999</v>
      </c>
      <c r="J1065">
        <v>502.87700000000001</v>
      </c>
      <c r="K1065">
        <v>500.928</v>
      </c>
      <c r="L1065">
        <v>498.82</v>
      </c>
      <c r="M1065" s="233" t="s">
        <v>530</v>
      </c>
      <c r="N1065" s="233" t="s">
        <v>531</v>
      </c>
      <c r="O1065" s="3" t="s">
        <v>1521</v>
      </c>
    </row>
    <row r="1066" spans="1:15">
      <c r="A1066">
        <v>14</v>
      </c>
      <c r="B1066">
        <v>252</v>
      </c>
      <c r="C1066" t="s">
        <v>79</v>
      </c>
      <c r="D1066" t="s">
        <v>302</v>
      </c>
      <c r="E1066" s="232" t="s">
        <v>8480</v>
      </c>
      <c r="F1066" t="s">
        <v>70</v>
      </c>
      <c r="G1066">
        <v>1</v>
      </c>
      <c r="H1066">
        <v>503.36700000000002</v>
      </c>
      <c r="I1066">
        <v>502.87700000000001</v>
      </c>
      <c r="J1066">
        <v>502.58499999999998</v>
      </c>
      <c r="K1066">
        <v>500.56799999999998</v>
      </c>
      <c r="L1066">
        <v>498.39800000000002</v>
      </c>
      <c r="M1066" s="233" t="s">
        <v>530</v>
      </c>
      <c r="N1066" s="233" t="s">
        <v>531</v>
      </c>
      <c r="O1066" s="3" t="s">
        <v>1522</v>
      </c>
    </row>
    <row r="1067" spans="1:15">
      <c r="A1067">
        <v>14</v>
      </c>
      <c r="B1067">
        <v>255</v>
      </c>
      <c r="C1067" t="s">
        <v>79</v>
      </c>
      <c r="D1067" t="s">
        <v>302</v>
      </c>
      <c r="E1067" s="232" t="s">
        <v>550</v>
      </c>
      <c r="F1067" t="s">
        <v>70</v>
      </c>
      <c r="G1067">
        <v>1</v>
      </c>
      <c r="H1067">
        <v>502.75700000000001</v>
      </c>
      <c r="I1067">
        <v>502.27600000000001</v>
      </c>
      <c r="J1067">
        <v>501.65300000000002</v>
      </c>
      <c r="K1067">
        <v>500.31799999999998</v>
      </c>
      <c r="L1067">
        <v>498.94</v>
      </c>
      <c r="M1067" s="233" t="s">
        <v>530</v>
      </c>
      <c r="N1067" s="233" t="s">
        <v>531</v>
      </c>
      <c r="O1067" s="3" t="s">
        <v>1523</v>
      </c>
    </row>
    <row r="1068" spans="1:15">
      <c r="A1068">
        <v>14</v>
      </c>
      <c r="B1068">
        <v>256</v>
      </c>
      <c r="C1068" t="s">
        <v>79</v>
      </c>
      <c r="D1068" t="s">
        <v>302</v>
      </c>
      <c r="E1068" s="232" t="s">
        <v>551</v>
      </c>
      <c r="F1068" t="s">
        <v>70</v>
      </c>
      <c r="G1068">
        <v>1</v>
      </c>
      <c r="H1068">
        <v>502.27600000000001</v>
      </c>
      <c r="I1068">
        <v>501.476</v>
      </c>
      <c r="J1068">
        <v>501.166</v>
      </c>
      <c r="K1068">
        <v>499.78</v>
      </c>
      <c r="L1068">
        <v>498.39800000000002</v>
      </c>
      <c r="M1068" s="233" t="s">
        <v>530</v>
      </c>
      <c r="N1068" s="233" t="s">
        <v>531</v>
      </c>
      <c r="O1068" s="3" t="s">
        <v>1524</v>
      </c>
    </row>
    <row r="1069" spans="1:15">
      <c r="A1069">
        <v>14</v>
      </c>
      <c r="B1069">
        <v>257</v>
      </c>
      <c r="C1069" t="s">
        <v>79</v>
      </c>
      <c r="D1069" t="s">
        <v>302</v>
      </c>
      <c r="E1069" s="232" t="s">
        <v>555</v>
      </c>
      <c r="F1069" t="s">
        <v>70</v>
      </c>
      <c r="G1069">
        <v>1</v>
      </c>
      <c r="H1069">
        <v>502.09300000000002</v>
      </c>
      <c r="I1069">
        <v>501.476</v>
      </c>
      <c r="J1069">
        <v>501.048</v>
      </c>
      <c r="K1069">
        <v>499.66</v>
      </c>
      <c r="L1069">
        <v>498.27800000000002</v>
      </c>
      <c r="M1069" s="233" t="s">
        <v>530</v>
      </c>
      <c r="N1069" s="233" t="s">
        <v>531</v>
      </c>
      <c r="O1069" s="3" t="s">
        <v>1525</v>
      </c>
    </row>
    <row r="1070" spans="1:15">
      <c r="A1070">
        <v>14</v>
      </c>
      <c r="B1070">
        <v>258</v>
      </c>
      <c r="C1070" t="s">
        <v>79</v>
      </c>
      <c r="D1070" t="s">
        <v>302</v>
      </c>
      <c r="E1070" s="232" t="s">
        <v>8538</v>
      </c>
      <c r="F1070" t="s">
        <v>70</v>
      </c>
      <c r="G1070">
        <v>1</v>
      </c>
      <c r="H1070">
        <v>502.09300000000002</v>
      </c>
      <c r="I1070">
        <v>501.476</v>
      </c>
      <c r="J1070">
        <v>501.048</v>
      </c>
      <c r="K1070">
        <v>499.66</v>
      </c>
      <c r="L1070">
        <v>498.27800000000002</v>
      </c>
      <c r="M1070" s="233" t="s">
        <v>530</v>
      </c>
      <c r="N1070" s="233" t="s">
        <v>531</v>
      </c>
      <c r="O1070" s="3" t="s">
        <v>1526</v>
      </c>
    </row>
    <row r="1071" spans="1:15">
      <c r="A1071">
        <v>14</v>
      </c>
      <c r="B1071">
        <v>259</v>
      </c>
      <c r="C1071" t="s">
        <v>79</v>
      </c>
      <c r="D1071" t="s">
        <v>302</v>
      </c>
      <c r="E1071" s="232" t="s">
        <v>8815</v>
      </c>
      <c r="F1071" t="s">
        <v>70</v>
      </c>
      <c r="G1071">
        <v>1</v>
      </c>
      <c r="H1071">
        <v>501.97300000000001</v>
      </c>
      <c r="I1071">
        <v>501.476</v>
      </c>
      <c r="J1071">
        <v>501.048</v>
      </c>
      <c r="K1071">
        <v>498.94</v>
      </c>
      <c r="L1071">
        <v>496.82499999999999</v>
      </c>
      <c r="M1071" s="233" t="s">
        <v>530</v>
      </c>
      <c r="N1071" s="233" t="s">
        <v>531</v>
      </c>
      <c r="O1071" s="3" t="s">
        <v>1527</v>
      </c>
    </row>
    <row r="1072" spans="1:15">
      <c r="A1072">
        <v>15</v>
      </c>
      <c r="B1072">
        <v>261</v>
      </c>
      <c r="C1072" t="s">
        <v>79</v>
      </c>
      <c r="D1072" t="s">
        <v>302</v>
      </c>
      <c r="E1072" s="232" t="s">
        <v>544</v>
      </c>
      <c r="F1072" t="s">
        <v>70</v>
      </c>
      <c r="G1072">
        <v>1</v>
      </c>
      <c r="H1072">
        <v>491.43599999999998</v>
      </c>
      <c r="I1072">
        <v>490.80200000000002</v>
      </c>
      <c r="J1072">
        <v>488.95400000000001</v>
      </c>
      <c r="K1072">
        <v>485.06599999999997</v>
      </c>
      <c r="L1072">
        <v>481.05799999999999</v>
      </c>
      <c r="M1072" s="233" t="s">
        <v>530</v>
      </c>
      <c r="N1072" s="233" t="s">
        <v>531</v>
      </c>
      <c r="O1072" s="3" t="s">
        <v>1528</v>
      </c>
    </row>
    <row r="1073" spans="1:15">
      <c r="A1073">
        <v>15</v>
      </c>
      <c r="B1073">
        <v>262</v>
      </c>
      <c r="C1073" t="s">
        <v>79</v>
      </c>
      <c r="D1073" t="s">
        <v>302</v>
      </c>
      <c r="E1073" s="232" t="s">
        <v>10410</v>
      </c>
      <c r="F1073" t="s">
        <v>70</v>
      </c>
      <c r="G1073">
        <v>1</v>
      </c>
      <c r="H1073">
        <v>486.983</v>
      </c>
      <c r="I1073">
        <v>484.38</v>
      </c>
      <c r="J1073">
        <v>481.75799999999998</v>
      </c>
      <c r="K1073">
        <v>477.39699999999999</v>
      </c>
      <c r="L1073">
        <v>472.726</v>
      </c>
      <c r="M1073" s="233" t="s">
        <v>530</v>
      </c>
      <c r="N1073" s="233" t="s">
        <v>531</v>
      </c>
      <c r="O1073" s="3" t="s">
        <v>1529</v>
      </c>
    </row>
    <row r="1074" spans="1:15">
      <c r="A1074">
        <v>14</v>
      </c>
      <c r="B1074">
        <v>263</v>
      </c>
      <c r="C1074" t="s">
        <v>79</v>
      </c>
      <c r="D1074" t="s">
        <v>302</v>
      </c>
      <c r="E1074" s="232" t="s">
        <v>8659</v>
      </c>
      <c r="F1074" t="s">
        <v>71</v>
      </c>
      <c r="G1074">
        <v>1</v>
      </c>
      <c r="H1074">
        <v>503.36700000000002</v>
      </c>
      <c r="I1074">
        <v>502.75700000000001</v>
      </c>
      <c r="J1074">
        <v>501.97300000000001</v>
      </c>
      <c r="K1074">
        <v>501.166</v>
      </c>
      <c r="L1074">
        <v>499.42</v>
      </c>
      <c r="M1074" s="233" t="s">
        <v>530</v>
      </c>
      <c r="N1074" s="233" t="s">
        <v>531</v>
      </c>
      <c r="O1074" s="3" t="s">
        <v>1530</v>
      </c>
    </row>
    <row r="1075" spans="1:15">
      <c r="A1075">
        <v>14</v>
      </c>
      <c r="B1075">
        <v>264</v>
      </c>
      <c r="C1075" t="s">
        <v>79</v>
      </c>
      <c r="D1075" t="s">
        <v>302</v>
      </c>
      <c r="E1075" s="232" t="s">
        <v>489</v>
      </c>
      <c r="F1075" t="s">
        <v>71</v>
      </c>
      <c r="G1075">
        <v>1</v>
      </c>
      <c r="H1075">
        <v>503.24700000000001</v>
      </c>
      <c r="I1075">
        <v>502.637</v>
      </c>
      <c r="J1075">
        <v>501.733</v>
      </c>
      <c r="K1075">
        <v>501.048</v>
      </c>
      <c r="L1075">
        <v>499.35300000000001</v>
      </c>
      <c r="M1075" s="233" t="s">
        <v>530</v>
      </c>
      <c r="N1075" s="233" t="s">
        <v>531</v>
      </c>
      <c r="O1075" s="3" t="s">
        <v>1531</v>
      </c>
    </row>
    <row r="1076" spans="1:15">
      <c r="A1076">
        <v>14</v>
      </c>
      <c r="B1076">
        <v>266</v>
      </c>
      <c r="C1076" t="s">
        <v>79</v>
      </c>
      <c r="D1076" t="s">
        <v>302</v>
      </c>
      <c r="E1076" s="232" t="s">
        <v>8874</v>
      </c>
      <c r="F1076" t="s">
        <v>71</v>
      </c>
      <c r="G1076">
        <v>1</v>
      </c>
      <c r="H1076">
        <v>501.65300000000002</v>
      </c>
      <c r="I1076">
        <v>501.36700000000002</v>
      </c>
      <c r="J1076">
        <v>500.928</v>
      </c>
      <c r="K1076">
        <v>500.01799999999997</v>
      </c>
      <c r="L1076">
        <v>498.39800000000002</v>
      </c>
      <c r="M1076" s="233" t="s">
        <v>530</v>
      </c>
      <c r="N1076" s="233" t="s">
        <v>531</v>
      </c>
      <c r="O1076" s="3" t="s">
        <v>1532</v>
      </c>
    </row>
    <row r="1077" spans="1:15">
      <c r="A1077">
        <v>14</v>
      </c>
      <c r="B1077">
        <v>268</v>
      </c>
      <c r="C1077" t="s">
        <v>79</v>
      </c>
      <c r="D1077" t="s">
        <v>302</v>
      </c>
      <c r="E1077" s="232" t="s">
        <v>8902</v>
      </c>
      <c r="F1077" t="s">
        <v>71</v>
      </c>
      <c r="G1077">
        <v>1</v>
      </c>
      <c r="H1077">
        <v>502.39600000000002</v>
      </c>
      <c r="I1077">
        <v>501.048</v>
      </c>
      <c r="J1077">
        <v>500.31799999999998</v>
      </c>
      <c r="K1077">
        <v>499.42</v>
      </c>
      <c r="L1077">
        <v>497.93400000000003</v>
      </c>
      <c r="M1077" s="233" t="s">
        <v>530</v>
      </c>
      <c r="N1077" s="233" t="s">
        <v>531</v>
      </c>
      <c r="O1077" s="3" t="s">
        <v>1533</v>
      </c>
    </row>
    <row r="1078" spans="1:15">
      <c r="A1078">
        <v>14</v>
      </c>
      <c r="B1078">
        <v>274</v>
      </c>
      <c r="C1078" t="s">
        <v>79</v>
      </c>
      <c r="D1078" t="s">
        <v>302</v>
      </c>
      <c r="E1078" s="232" t="s">
        <v>8900</v>
      </c>
      <c r="F1078" t="s">
        <v>71</v>
      </c>
      <c r="G1078">
        <v>1</v>
      </c>
      <c r="H1078">
        <v>502.39600000000002</v>
      </c>
      <c r="I1078">
        <v>501.048</v>
      </c>
      <c r="J1078">
        <v>500.31799999999998</v>
      </c>
      <c r="K1078">
        <v>499.66</v>
      </c>
      <c r="L1078">
        <v>498.39800000000002</v>
      </c>
      <c r="M1078" s="233" t="s">
        <v>530</v>
      </c>
      <c r="N1078" s="233" t="s">
        <v>531</v>
      </c>
      <c r="O1078" s="3" t="s">
        <v>1534</v>
      </c>
    </row>
    <row r="1079" spans="1:15">
      <c r="A1079">
        <v>14</v>
      </c>
      <c r="B1079">
        <v>275</v>
      </c>
      <c r="C1079" t="s">
        <v>79</v>
      </c>
      <c r="D1079" t="s">
        <v>302</v>
      </c>
      <c r="E1079" s="232" t="s">
        <v>16674</v>
      </c>
      <c r="F1079" t="s">
        <v>71</v>
      </c>
      <c r="G1079">
        <v>1</v>
      </c>
      <c r="H1079">
        <v>502.39600000000002</v>
      </c>
      <c r="I1079">
        <v>501.048</v>
      </c>
      <c r="J1079">
        <v>500.31799999999998</v>
      </c>
      <c r="K1079">
        <v>499.66</v>
      </c>
      <c r="L1079">
        <v>498.39800000000002</v>
      </c>
      <c r="M1079" s="233" t="s">
        <v>530</v>
      </c>
      <c r="N1079" s="233" t="s">
        <v>531</v>
      </c>
      <c r="O1079" s="3" t="s">
        <v>1535</v>
      </c>
    </row>
    <row r="1080" spans="1:15">
      <c r="A1080">
        <v>14</v>
      </c>
      <c r="B1080">
        <v>269</v>
      </c>
      <c r="C1080" t="s">
        <v>79</v>
      </c>
      <c r="D1080" t="s">
        <v>302</v>
      </c>
      <c r="E1080" s="232" t="s">
        <v>8912</v>
      </c>
      <c r="F1080" t="s">
        <v>71</v>
      </c>
      <c r="G1080">
        <v>1</v>
      </c>
      <c r="H1080">
        <v>501.476</v>
      </c>
      <c r="I1080">
        <v>500.928</v>
      </c>
      <c r="J1080">
        <v>500.01799999999997</v>
      </c>
      <c r="K1080">
        <v>499.113</v>
      </c>
      <c r="L1080">
        <v>497.68400000000003</v>
      </c>
      <c r="M1080" s="233" t="s">
        <v>530</v>
      </c>
      <c r="N1080" s="233" t="s">
        <v>531</v>
      </c>
      <c r="O1080" s="3" t="s">
        <v>1536</v>
      </c>
    </row>
    <row r="1081" spans="1:15">
      <c r="A1081">
        <v>14</v>
      </c>
      <c r="B1081">
        <v>270</v>
      </c>
      <c r="C1081" t="s">
        <v>79</v>
      </c>
      <c r="D1081" t="s">
        <v>302</v>
      </c>
      <c r="E1081" s="232" t="s">
        <v>8889</v>
      </c>
      <c r="F1081" t="s">
        <v>71</v>
      </c>
      <c r="G1081">
        <v>1</v>
      </c>
      <c r="H1081">
        <v>501.97300000000001</v>
      </c>
      <c r="I1081">
        <v>501.35599999999999</v>
      </c>
      <c r="J1081">
        <v>500.01799999999997</v>
      </c>
      <c r="K1081">
        <v>499.113</v>
      </c>
      <c r="L1081">
        <v>497.68400000000003</v>
      </c>
      <c r="M1081" s="233" t="s">
        <v>530</v>
      </c>
      <c r="N1081" s="233" t="s">
        <v>531</v>
      </c>
      <c r="O1081" s="3" t="s">
        <v>1537</v>
      </c>
    </row>
    <row r="1082" spans="1:15">
      <c r="A1082">
        <v>14</v>
      </c>
      <c r="B1082">
        <v>267</v>
      </c>
      <c r="C1082" t="s">
        <v>79</v>
      </c>
      <c r="D1082" t="s">
        <v>302</v>
      </c>
      <c r="E1082" s="232" t="s">
        <v>8947</v>
      </c>
      <c r="F1082" t="s">
        <v>71</v>
      </c>
      <c r="G1082">
        <v>1</v>
      </c>
      <c r="H1082">
        <v>500.68799999999999</v>
      </c>
      <c r="I1082">
        <v>499.89800000000002</v>
      </c>
      <c r="J1082">
        <v>499.113</v>
      </c>
      <c r="K1082">
        <v>498.39800000000002</v>
      </c>
      <c r="L1082">
        <v>496.69499999999999</v>
      </c>
      <c r="M1082" s="233" t="s">
        <v>530</v>
      </c>
      <c r="N1082" s="233" t="s">
        <v>531</v>
      </c>
      <c r="O1082" s="3" t="s">
        <v>1538</v>
      </c>
    </row>
    <row r="1083" spans="1:15">
      <c r="A1083">
        <v>14</v>
      </c>
      <c r="B1083">
        <v>265</v>
      </c>
      <c r="C1083" t="s">
        <v>79</v>
      </c>
      <c r="D1083" t="s">
        <v>302</v>
      </c>
      <c r="E1083" s="232" t="s">
        <v>9002</v>
      </c>
      <c r="F1083" t="s">
        <v>71</v>
      </c>
      <c r="G1083">
        <v>1</v>
      </c>
      <c r="H1083">
        <v>499.78</v>
      </c>
      <c r="I1083">
        <v>498.94</v>
      </c>
      <c r="J1083">
        <v>498.39800000000002</v>
      </c>
      <c r="K1083">
        <v>497.68400000000003</v>
      </c>
      <c r="L1083">
        <v>495.613</v>
      </c>
      <c r="M1083" s="233" t="s">
        <v>530</v>
      </c>
      <c r="N1083" s="233" t="s">
        <v>531</v>
      </c>
      <c r="O1083" s="3" t="s">
        <v>1539</v>
      </c>
    </row>
    <row r="1084" spans="1:15">
      <c r="A1084">
        <v>15</v>
      </c>
      <c r="B1084">
        <v>272</v>
      </c>
      <c r="C1084" t="s">
        <v>79</v>
      </c>
      <c r="D1084" t="s">
        <v>302</v>
      </c>
      <c r="E1084" s="232" t="s">
        <v>9876</v>
      </c>
      <c r="F1084" t="s">
        <v>71</v>
      </c>
      <c r="G1084">
        <v>1</v>
      </c>
      <c r="H1084">
        <v>489.83600000000001</v>
      </c>
      <c r="I1084">
        <v>489.22699999999998</v>
      </c>
      <c r="J1084">
        <v>488.12</v>
      </c>
      <c r="K1084">
        <v>485.47199999999998</v>
      </c>
      <c r="L1084">
        <v>480.01</v>
      </c>
      <c r="M1084" s="233" t="s">
        <v>530</v>
      </c>
      <c r="N1084" s="233" t="s">
        <v>531</v>
      </c>
      <c r="O1084" s="3" t="s">
        <v>1540</v>
      </c>
    </row>
    <row r="1085" spans="1:15">
      <c r="A1085">
        <v>15</v>
      </c>
      <c r="B1085">
        <v>273</v>
      </c>
      <c r="C1085" t="s">
        <v>79</v>
      </c>
      <c r="D1085" t="s">
        <v>302</v>
      </c>
      <c r="E1085" s="232" t="s">
        <v>10685</v>
      </c>
      <c r="F1085" t="s">
        <v>71</v>
      </c>
      <c r="G1085">
        <v>1</v>
      </c>
      <c r="H1085">
        <v>483.61200000000002</v>
      </c>
      <c r="I1085">
        <v>480.899</v>
      </c>
      <c r="J1085">
        <v>478.62400000000002</v>
      </c>
      <c r="K1085">
        <v>475.25</v>
      </c>
      <c r="L1085">
        <v>472.202</v>
      </c>
      <c r="M1085" s="233" t="s">
        <v>530</v>
      </c>
      <c r="N1085" s="233" t="s">
        <v>531</v>
      </c>
      <c r="O1085" s="3" t="s">
        <v>1541</v>
      </c>
    </row>
    <row r="1086" spans="1:15">
      <c r="A1086">
        <v>274</v>
      </c>
      <c r="B1086">
        <v>279</v>
      </c>
      <c r="C1086" t="s">
        <v>79</v>
      </c>
      <c r="D1086" t="s">
        <v>77</v>
      </c>
      <c r="E1086" s="232" t="s">
        <v>8174</v>
      </c>
      <c r="F1086" t="s">
        <v>70</v>
      </c>
      <c r="G1086">
        <v>1</v>
      </c>
      <c r="H1086">
        <v>670.03099999999995</v>
      </c>
      <c r="I1086">
        <v>668.68100000000004</v>
      </c>
      <c r="J1086">
        <v>666.12800000000004</v>
      </c>
      <c r="K1086">
        <v>665.21400000000006</v>
      </c>
      <c r="L1086">
        <v>657.80799999999999</v>
      </c>
      <c r="M1086" s="233" t="s">
        <v>530</v>
      </c>
      <c r="N1086" s="233" t="s">
        <v>531</v>
      </c>
      <c r="O1086" s="3" t="s">
        <v>1542</v>
      </c>
    </row>
    <row r="1087" spans="1:15">
      <c r="A1087">
        <v>274</v>
      </c>
      <c r="B1087">
        <v>292</v>
      </c>
      <c r="C1087" t="s">
        <v>79</v>
      </c>
      <c r="D1087" t="s">
        <v>77</v>
      </c>
      <c r="E1087" s="232" t="s">
        <v>16675</v>
      </c>
      <c r="F1087" t="s">
        <v>70</v>
      </c>
      <c r="G1087">
        <v>1</v>
      </c>
      <c r="H1087">
        <v>659.59299999999996</v>
      </c>
      <c r="I1087">
        <v>658.63</v>
      </c>
      <c r="J1087">
        <v>657.80799999999999</v>
      </c>
      <c r="K1087">
        <v>656.41099999999994</v>
      </c>
      <c r="L1087">
        <v>654.35799999999995</v>
      </c>
      <c r="M1087" s="233" t="s">
        <v>530</v>
      </c>
      <c r="N1087" s="233" t="s">
        <v>531</v>
      </c>
      <c r="O1087" s="3" t="s">
        <v>1543</v>
      </c>
    </row>
    <row r="1088" spans="1:15">
      <c r="A1088">
        <v>274</v>
      </c>
      <c r="B1088">
        <v>280</v>
      </c>
      <c r="C1088" t="s">
        <v>79</v>
      </c>
      <c r="D1088" t="s">
        <v>77</v>
      </c>
      <c r="E1088" s="232" t="s">
        <v>8491</v>
      </c>
      <c r="F1088" t="s">
        <v>70</v>
      </c>
      <c r="G1088">
        <v>1</v>
      </c>
      <c r="H1088">
        <v>658.63</v>
      </c>
      <c r="I1088">
        <v>657.80799999999999</v>
      </c>
      <c r="J1088">
        <v>656.72500000000002</v>
      </c>
      <c r="K1088">
        <v>655.572</v>
      </c>
      <c r="L1088">
        <v>653.55499999999995</v>
      </c>
      <c r="M1088" s="233" t="s">
        <v>530</v>
      </c>
      <c r="N1088" s="233" t="s">
        <v>531</v>
      </c>
      <c r="O1088" s="3" t="s">
        <v>1544</v>
      </c>
    </row>
    <row r="1089" spans="1:15">
      <c r="A1089">
        <v>274</v>
      </c>
      <c r="B1089">
        <v>277</v>
      </c>
      <c r="C1089" t="s">
        <v>79</v>
      </c>
      <c r="D1089" t="s">
        <v>77</v>
      </c>
      <c r="E1089" s="232" t="s">
        <v>8916</v>
      </c>
      <c r="F1089" t="s">
        <v>70</v>
      </c>
      <c r="G1089">
        <v>1</v>
      </c>
      <c r="H1089">
        <v>657.80799999999999</v>
      </c>
      <c r="I1089">
        <v>656.72500000000002</v>
      </c>
      <c r="J1089">
        <v>655.95100000000002</v>
      </c>
      <c r="K1089">
        <v>654.80799999999999</v>
      </c>
      <c r="L1089">
        <v>653.04700000000003</v>
      </c>
      <c r="M1089" s="233" t="s">
        <v>530</v>
      </c>
      <c r="N1089" s="233" t="s">
        <v>531</v>
      </c>
      <c r="O1089" s="3" t="s">
        <v>1545</v>
      </c>
    </row>
    <row r="1090" spans="1:15">
      <c r="A1090">
        <v>274</v>
      </c>
      <c r="B1090">
        <v>281</v>
      </c>
      <c r="C1090" t="s">
        <v>79</v>
      </c>
      <c r="D1090" t="s">
        <v>77</v>
      </c>
      <c r="E1090" s="232" t="s">
        <v>8718</v>
      </c>
      <c r="F1090" t="s">
        <v>70</v>
      </c>
      <c r="G1090">
        <v>1</v>
      </c>
      <c r="H1090">
        <v>655.70100000000002</v>
      </c>
      <c r="I1090">
        <v>655.07299999999998</v>
      </c>
      <c r="J1090">
        <v>654.24900000000002</v>
      </c>
      <c r="K1090">
        <v>653.55499999999995</v>
      </c>
      <c r="L1090">
        <v>652.47699999999998</v>
      </c>
      <c r="M1090" s="233" t="s">
        <v>530</v>
      </c>
      <c r="N1090" s="233" t="s">
        <v>531</v>
      </c>
      <c r="O1090" s="3" t="s">
        <v>1546</v>
      </c>
    </row>
    <row r="1091" spans="1:15">
      <c r="A1091">
        <v>279</v>
      </c>
      <c r="B1091">
        <v>287</v>
      </c>
      <c r="C1091" t="s">
        <v>79</v>
      </c>
      <c r="D1091" t="s">
        <v>77</v>
      </c>
      <c r="E1091" s="232" t="s">
        <v>8283</v>
      </c>
      <c r="F1091" t="s">
        <v>70</v>
      </c>
      <c r="G1091">
        <v>1</v>
      </c>
      <c r="H1091">
        <v>509.85700000000003</v>
      </c>
      <c r="I1091">
        <v>509.404</v>
      </c>
      <c r="J1091">
        <v>508.88</v>
      </c>
      <c r="K1091">
        <v>508.154</v>
      </c>
      <c r="L1091">
        <v>506.27499999999998</v>
      </c>
      <c r="M1091" s="233" t="s">
        <v>530</v>
      </c>
      <c r="N1091" s="233" t="s">
        <v>531</v>
      </c>
      <c r="O1091" s="3" t="s">
        <v>1547</v>
      </c>
    </row>
    <row r="1092" spans="1:15">
      <c r="A1092">
        <v>274</v>
      </c>
      <c r="B1092">
        <v>289</v>
      </c>
      <c r="C1092" t="s">
        <v>79</v>
      </c>
      <c r="D1092" t="s">
        <v>77</v>
      </c>
      <c r="E1092" s="232" t="s">
        <v>8126</v>
      </c>
      <c r="F1092" t="s">
        <v>70</v>
      </c>
      <c r="G1092">
        <v>1</v>
      </c>
      <c r="H1092">
        <v>654.80799999999999</v>
      </c>
      <c r="I1092">
        <v>654.24900000000002</v>
      </c>
      <c r="J1092">
        <v>653.44799999999998</v>
      </c>
      <c r="K1092">
        <v>652.81200000000001</v>
      </c>
      <c r="L1092">
        <v>652.03800000000001</v>
      </c>
      <c r="M1092" s="233" t="s">
        <v>530</v>
      </c>
      <c r="N1092" s="233" t="s">
        <v>531</v>
      </c>
      <c r="O1092" s="3" t="s">
        <v>1548</v>
      </c>
    </row>
    <row r="1093" spans="1:15">
      <c r="A1093">
        <v>277</v>
      </c>
      <c r="B1093">
        <v>297</v>
      </c>
      <c r="C1093" t="s">
        <v>79</v>
      </c>
      <c r="D1093" t="s">
        <v>77</v>
      </c>
      <c r="E1093" s="232" t="s">
        <v>8646</v>
      </c>
      <c r="F1093" t="s">
        <v>71</v>
      </c>
      <c r="G1093">
        <v>1</v>
      </c>
      <c r="H1093">
        <v>656.11599999999999</v>
      </c>
      <c r="I1093">
        <v>654.74800000000005</v>
      </c>
      <c r="J1093">
        <v>653.59299999999996</v>
      </c>
      <c r="K1093">
        <v>650.65099999999995</v>
      </c>
      <c r="L1093">
        <v>649.17700000000002</v>
      </c>
      <c r="M1093" s="233" t="s">
        <v>530</v>
      </c>
      <c r="N1093" s="233" t="s">
        <v>531</v>
      </c>
      <c r="O1093" s="3" t="s">
        <v>1549</v>
      </c>
    </row>
    <row r="1094" spans="1:15">
      <c r="A1094">
        <v>277</v>
      </c>
      <c r="B1094">
        <v>296</v>
      </c>
      <c r="C1094" t="s">
        <v>79</v>
      </c>
      <c r="D1094" t="s">
        <v>77</v>
      </c>
      <c r="E1094" s="232" t="s">
        <v>8696</v>
      </c>
      <c r="F1094" t="s">
        <v>71</v>
      </c>
      <c r="G1094">
        <v>1</v>
      </c>
      <c r="H1094">
        <v>654.15599999999995</v>
      </c>
      <c r="I1094">
        <v>653.01400000000001</v>
      </c>
      <c r="J1094">
        <v>651.05799999999999</v>
      </c>
      <c r="K1094">
        <v>650.04899999999998</v>
      </c>
      <c r="L1094">
        <v>648.84500000000003</v>
      </c>
      <c r="M1094" s="233" t="s">
        <v>530</v>
      </c>
      <c r="N1094" s="233" t="s">
        <v>531</v>
      </c>
      <c r="O1094" s="3" t="s">
        <v>1550</v>
      </c>
    </row>
    <row r="1095" spans="1:15">
      <c r="A1095">
        <v>280</v>
      </c>
      <c r="B1095">
        <v>300</v>
      </c>
      <c r="C1095" t="s">
        <v>79</v>
      </c>
      <c r="D1095" t="s">
        <v>77</v>
      </c>
      <c r="E1095" s="232" t="s">
        <v>8772</v>
      </c>
      <c r="F1095" t="s">
        <v>71</v>
      </c>
      <c r="G1095">
        <v>1</v>
      </c>
      <c r="H1095">
        <v>533.90599999999995</v>
      </c>
      <c r="I1095">
        <v>532.90200000000004</v>
      </c>
      <c r="J1095">
        <v>532.06200000000001</v>
      </c>
      <c r="K1095">
        <v>531.41200000000003</v>
      </c>
      <c r="L1095">
        <v>530.22199999999998</v>
      </c>
      <c r="M1095" s="233" t="s">
        <v>530</v>
      </c>
      <c r="N1095" s="233" t="s">
        <v>531</v>
      </c>
      <c r="O1095" s="3" t="s">
        <v>1551</v>
      </c>
    </row>
    <row r="1096" spans="1:15">
      <c r="A1096">
        <v>280</v>
      </c>
      <c r="B1096">
        <v>301</v>
      </c>
      <c r="C1096" t="s">
        <v>79</v>
      </c>
      <c r="D1096" t="s">
        <v>77</v>
      </c>
      <c r="E1096" s="232" t="s">
        <v>8974</v>
      </c>
      <c r="F1096" t="s">
        <v>71</v>
      </c>
      <c r="G1096">
        <v>1</v>
      </c>
      <c r="H1096">
        <v>533.47699999999998</v>
      </c>
      <c r="I1096">
        <v>532.48199999999997</v>
      </c>
      <c r="J1096">
        <v>531.93600000000004</v>
      </c>
      <c r="K1096">
        <v>531.05200000000002</v>
      </c>
      <c r="L1096">
        <v>529.95799999999997</v>
      </c>
      <c r="M1096" s="233" t="s">
        <v>530</v>
      </c>
      <c r="N1096" s="233" t="s">
        <v>531</v>
      </c>
      <c r="O1096" s="3" t="s">
        <v>1552</v>
      </c>
    </row>
    <row r="1097" spans="1:15">
      <c r="A1097">
        <v>277</v>
      </c>
      <c r="B1097">
        <v>302</v>
      </c>
      <c r="C1097" t="s">
        <v>79</v>
      </c>
      <c r="D1097" t="s">
        <v>77</v>
      </c>
      <c r="E1097" s="232" t="s">
        <v>8969</v>
      </c>
      <c r="F1097" t="s">
        <v>71</v>
      </c>
      <c r="G1097">
        <v>1</v>
      </c>
      <c r="H1097">
        <v>651.05799999999999</v>
      </c>
      <c r="I1097">
        <v>649.81700000000001</v>
      </c>
      <c r="J1097">
        <v>649.13800000000003</v>
      </c>
      <c r="K1097">
        <v>648.03499999999997</v>
      </c>
      <c r="L1097">
        <v>646.66999999999996</v>
      </c>
      <c r="M1097" s="233" t="s">
        <v>530</v>
      </c>
      <c r="N1097" s="233" t="s">
        <v>531</v>
      </c>
      <c r="O1097" s="3" t="s">
        <v>1553</v>
      </c>
    </row>
    <row r="1098" spans="1:15">
      <c r="A1098">
        <v>277</v>
      </c>
      <c r="B1098">
        <v>294</v>
      </c>
      <c r="C1098" t="s">
        <v>79</v>
      </c>
      <c r="D1098" t="s">
        <v>77</v>
      </c>
      <c r="E1098" s="232" t="s">
        <v>8980</v>
      </c>
      <c r="F1098" t="s">
        <v>71</v>
      </c>
      <c r="G1098">
        <v>1</v>
      </c>
      <c r="H1098">
        <v>651.05799999999999</v>
      </c>
      <c r="I1098">
        <v>649.69899999999996</v>
      </c>
      <c r="J1098">
        <v>649.02</v>
      </c>
      <c r="K1098">
        <v>647.39200000000005</v>
      </c>
      <c r="L1098">
        <v>645.84199999999998</v>
      </c>
      <c r="M1098" s="233" t="s">
        <v>530</v>
      </c>
      <c r="N1098" s="233" t="s">
        <v>531</v>
      </c>
      <c r="O1098" s="3" t="s">
        <v>1554</v>
      </c>
    </row>
    <row r="1099" spans="1:15">
      <c r="A1099">
        <v>26</v>
      </c>
      <c r="B1099">
        <v>303</v>
      </c>
      <c r="C1099" t="s">
        <v>79</v>
      </c>
      <c r="D1099" t="s">
        <v>80</v>
      </c>
      <c r="E1099" s="232" t="s">
        <v>8007</v>
      </c>
      <c r="F1099" t="s">
        <v>70</v>
      </c>
      <c r="G1099">
        <v>1</v>
      </c>
      <c r="H1099">
        <v>870.64099999999996</v>
      </c>
      <c r="I1099">
        <v>866.875</v>
      </c>
      <c r="J1099">
        <v>864.54499999999996</v>
      </c>
      <c r="K1099">
        <v>859.63</v>
      </c>
      <c r="L1099">
        <v>857.30499999999995</v>
      </c>
      <c r="M1099" s="233" t="s">
        <v>532</v>
      </c>
      <c r="N1099" s="233" t="s">
        <v>533</v>
      </c>
      <c r="O1099" s="3" t="s">
        <v>1555</v>
      </c>
    </row>
    <row r="1100" spans="1:15">
      <c r="A1100">
        <v>26</v>
      </c>
      <c r="B1100">
        <v>309</v>
      </c>
      <c r="C1100" t="s">
        <v>79</v>
      </c>
      <c r="D1100" t="s">
        <v>80</v>
      </c>
      <c r="E1100" s="232" t="s">
        <v>8239</v>
      </c>
      <c r="F1100" t="s">
        <v>70</v>
      </c>
      <c r="G1100">
        <v>1</v>
      </c>
      <c r="H1100">
        <v>861.41600000000005</v>
      </c>
      <c r="I1100">
        <v>859.16700000000003</v>
      </c>
      <c r="J1100">
        <v>857.59699999999998</v>
      </c>
      <c r="K1100">
        <v>851.01</v>
      </c>
      <c r="L1100">
        <v>848.29200000000003</v>
      </c>
      <c r="M1100" s="233" t="s">
        <v>532</v>
      </c>
      <c r="N1100" s="233" t="s">
        <v>533</v>
      </c>
      <c r="O1100" s="3" t="s">
        <v>1556</v>
      </c>
    </row>
    <row r="1101" spans="1:15">
      <c r="A1101">
        <v>26</v>
      </c>
      <c r="B1101">
        <v>322</v>
      </c>
      <c r="C1101" t="s">
        <v>79</v>
      </c>
      <c r="D1101" t="s">
        <v>80</v>
      </c>
      <c r="E1101" s="232" t="s">
        <v>8396</v>
      </c>
      <c r="F1101" t="s">
        <v>70</v>
      </c>
      <c r="G1101">
        <v>1</v>
      </c>
      <c r="H1101">
        <v>851.58799999999997</v>
      </c>
      <c r="I1101">
        <v>850.85699999999997</v>
      </c>
      <c r="J1101">
        <v>849.79700000000003</v>
      </c>
      <c r="K1101">
        <v>847.83299999999997</v>
      </c>
      <c r="L1101">
        <v>847.12699999999995</v>
      </c>
      <c r="M1101" s="233" t="s">
        <v>532</v>
      </c>
      <c r="N1101" s="233" t="s">
        <v>533</v>
      </c>
      <c r="O1101" s="3" t="s">
        <v>1557</v>
      </c>
    </row>
    <row r="1102" spans="1:15">
      <c r="A1102">
        <v>26</v>
      </c>
      <c r="B1102">
        <v>313</v>
      </c>
      <c r="C1102" t="s">
        <v>79</v>
      </c>
      <c r="D1102" t="s">
        <v>80</v>
      </c>
      <c r="E1102" s="232" t="s">
        <v>8384</v>
      </c>
      <c r="F1102" t="s">
        <v>70</v>
      </c>
      <c r="G1102">
        <v>1</v>
      </c>
      <c r="H1102">
        <v>850.85699999999997</v>
      </c>
      <c r="I1102">
        <v>850.20899999999995</v>
      </c>
      <c r="J1102">
        <v>849.21900000000005</v>
      </c>
      <c r="K1102">
        <v>847.50400000000002</v>
      </c>
      <c r="L1102">
        <v>846.36900000000003</v>
      </c>
      <c r="M1102" s="233" t="s">
        <v>532</v>
      </c>
      <c r="N1102" s="233" t="s">
        <v>533</v>
      </c>
      <c r="O1102" s="3" t="s">
        <v>1558</v>
      </c>
    </row>
    <row r="1103" spans="1:15">
      <c r="A1103">
        <v>26</v>
      </c>
      <c r="B1103">
        <v>317</v>
      </c>
      <c r="C1103" t="s">
        <v>79</v>
      </c>
      <c r="D1103" t="s">
        <v>80</v>
      </c>
      <c r="E1103" s="232" t="s">
        <v>8415</v>
      </c>
      <c r="F1103" t="s">
        <v>70</v>
      </c>
      <c r="G1103">
        <v>1</v>
      </c>
      <c r="H1103">
        <v>855.50099999999998</v>
      </c>
      <c r="I1103">
        <v>851.01</v>
      </c>
      <c r="J1103">
        <v>849.21900000000005</v>
      </c>
      <c r="K1103">
        <v>847.43600000000004</v>
      </c>
      <c r="L1103">
        <v>846.52200000000005</v>
      </c>
      <c r="M1103" s="233" t="s">
        <v>532</v>
      </c>
      <c r="N1103" s="233" t="s">
        <v>533</v>
      </c>
      <c r="O1103" s="3" t="s">
        <v>1559</v>
      </c>
    </row>
    <row r="1104" spans="1:15">
      <c r="A1104">
        <v>26</v>
      </c>
      <c r="B1104">
        <v>314</v>
      </c>
      <c r="C1104" t="s">
        <v>79</v>
      </c>
      <c r="D1104" t="s">
        <v>80</v>
      </c>
      <c r="E1104" s="232" t="s">
        <v>8418</v>
      </c>
      <c r="F1104" t="s">
        <v>70</v>
      </c>
      <c r="G1104">
        <v>1</v>
      </c>
      <c r="H1104">
        <v>854.76199999999994</v>
      </c>
      <c r="I1104">
        <v>851.01</v>
      </c>
      <c r="J1104">
        <v>848.94100000000003</v>
      </c>
      <c r="K1104">
        <v>847.72699999999998</v>
      </c>
      <c r="L1104">
        <v>846.36900000000003</v>
      </c>
      <c r="M1104" s="233" t="s">
        <v>532</v>
      </c>
      <c r="N1104" s="233" t="s">
        <v>533</v>
      </c>
      <c r="O1104" s="3" t="s">
        <v>1560</v>
      </c>
    </row>
    <row r="1105" spans="1:15">
      <c r="A1105">
        <v>26</v>
      </c>
      <c r="B1105">
        <v>310</v>
      </c>
      <c r="C1105" t="s">
        <v>79</v>
      </c>
      <c r="D1105" t="s">
        <v>80</v>
      </c>
      <c r="E1105" s="232" t="s">
        <v>8440</v>
      </c>
      <c r="F1105" t="s">
        <v>70</v>
      </c>
      <c r="G1105">
        <v>1</v>
      </c>
      <c r="H1105">
        <v>850.85699999999997</v>
      </c>
      <c r="I1105">
        <v>849.79700000000003</v>
      </c>
      <c r="J1105">
        <v>848.71900000000005</v>
      </c>
      <c r="K1105">
        <v>846.36900000000003</v>
      </c>
      <c r="L1105">
        <v>844.01099999999997</v>
      </c>
      <c r="M1105" s="233" t="s">
        <v>532</v>
      </c>
      <c r="N1105" s="233" t="s">
        <v>533</v>
      </c>
      <c r="O1105" s="3" t="s">
        <v>1561</v>
      </c>
    </row>
    <row r="1106" spans="1:15">
      <c r="A1106">
        <v>26</v>
      </c>
      <c r="B1106">
        <v>315</v>
      </c>
      <c r="C1106" t="s">
        <v>79</v>
      </c>
      <c r="D1106" t="s">
        <v>80</v>
      </c>
      <c r="E1106" s="232" t="s">
        <v>8443</v>
      </c>
      <c r="F1106" t="s">
        <v>70</v>
      </c>
      <c r="G1106">
        <v>1</v>
      </c>
      <c r="H1106">
        <v>849.21900000000005</v>
      </c>
      <c r="I1106">
        <v>848.71900000000005</v>
      </c>
      <c r="J1106">
        <v>847.72699999999998</v>
      </c>
      <c r="K1106">
        <v>846.21600000000001</v>
      </c>
      <c r="L1106">
        <v>843.35500000000002</v>
      </c>
      <c r="M1106" s="233" t="s">
        <v>532</v>
      </c>
      <c r="N1106" s="233" t="s">
        <v>533</v>
      </c>
      <c r="O1106" s="3" t="s">
        <v>1562</v>
      </c>
    </row>
    <row r="1107" spans="1:15">
      <c r="A1107">
        <v>26</v>
      </c>
      <c r="B1107">
        <v>321</v>
      </c>
      <c r="C1107" t="s">
        <v>79</v>
      </c>
      <c r="D1107" t="s">
        <v>80</v>
      </c>
      <c r="E1107" s="232" t="s">
        <v>8502</v>
      </c>
      <c r="F1107" t="s">
        <v>70</v>
      </c>
      <c r="G1107">
        <v>1</v>
      </c>
      <c r="H1107">
        <v>849.79700000000003</v>
      </c>
      <c r="I1107">
        <v>848.94100000000003</v>
      </c>
      <c r="J1107">
        <v>847.72699999999998</v>
      </c>
      <c r="K1107">
        <v>845.55600000000004</v>
      </c>
      <c r="L1107">
        <v>843.125</v>
      </c>
      <c r="M1107" s="233" t="s">
        <v>532</v>
      </c>
      <c r="N1107" s="233" t="s">
        <v>533</v>
      </c>
      <c r="O1107" s="3" t="s">
        <v>1563</v>
      </c>
    </row>
    <row r="1108" spans="1:15">
      <c r="A1108">
        <v>26</v>
      </c>
      <c r="B1108">
        <v>323</v>
      </c>
      <c r="C1108" t="s">
        <v>79</v>
      </c>
      <c r="D1108" t="s">
        <v>80</v>
      </c>
      <c r="E1108" s="232" t="s">
        <v>551</v>
      </c>
      <c r="F1108" t="s">
        <v>70</v>
      </c>
      <c r="G1108">
        <v>1</v>
      </c>
      <c r="H1108">
        <v>849.60400000000004</v>
      </c>
      <c r="I1108">
        <v>848.71900000000005</v>
      </c>
      <c r="J1108">
        <v>847.72699999999998</v>
      </c>
      <c r="K1108">
        <v>846.21600000000001</v>
      </c>
      <c r="L1108">
        <v>844.553</v>
      </c>
      <c r="M1108" s="233" t="s">
        <v>532</v>
      </c>
      <c r="N1108" s="233" t="s">
        <v>533</v>
      </c>
      <c r="O1108" s="3" t="s">
        <v>1564</v>
      </c>
    </row>
    <row r="1109" spans="1:15">
      <c r="A1109">
        <v>26</v>
      </c>
      <c r="B1109">
        <v>326</v>
      </c>
      <c r="C1109" t="s">
        <v>79</v>
      </c>
      <c r="D1109" t="s">
        <v>80</v>
      </c>
      <c r="E1109" s="232" t="s">
        <v>8538</v>
      </c>
      <c r="F1109" t="s">
        <v>70</v>
      </c>
      <c r="G1109">
        <v>1</v>
      </c>
      <c r="H1109">
        <v>849.60400000000004</v>
      </c>
      <c r="I1109">
        <v>848.71900000000005</v>
      </c>
      <c r="J1109">
        <v>847.72699999999998</v>
      </c>
      <c r="K1109">
        <v>846.52200000000005</v>
      </c>
      <c r="L1109">
        <v>844.69200000000001</v>
      </c>
      <c r="M1109" s="233" t="s">
        <v>532</v>
      </c>
      <c r="N1109" s="233" t="s">
        <v>533</v>
      </c>
      <c r="O1109" s="3" t="s">
        <v>1565</v>
      </c>
    </row>
    <row r="1110" spans="1:15">
      <c r="A1110">
        <v>26</v>
      </c>
      <c r="B1110">
        <v>311</v>
      </c>
      <c r="C1110" t="s">
        <v>79</v>
      </c>
      <c r="D1110" t="s">
        <v>80</v>
      </c>
      <c r="E1110" s="232" t="s">
        <v>8614</v>
      </c>
      <c r="F1110" t="s">
        <v>70</v>
      </c>
      <c r="G1110">
        <v>1</v>
      </c>
      <c r="H1110">
        <v>848.94100000000003</v>
      </c>
      <c r="I1110">
        <v>848.13900000000001</v>
      </c>
      <c r="J1110">
        <v>847.50400000000002</v>
      </c>
      <c r="K1110">
        <v>846.36900000000003</v>
      </c>
      <c r="L1110">
        <v>845.25699999999995</v>
      </c>
      <c r="M1110" s="233" t="s">
        <v>532</v>
      </c>
      <c r="N1110" s="233" t="s">
        <v>533</v>
      </c>
      <c r="O1110" s="3" t="s">
        <v>1566</v>
      </c>
    </row>
    <row r="1111" spans="1:15">
      <c r="A1111">
        <v>29</v>
      </c>
      <c r="B1111">
        <v>352</v>
      </c>
      <c r="C1111" t="s">
        <v>79</v>
      </c>
      <c r="D1111" t="s">
        <v>80</v>
      </c>
      <c r="E1111" s="232" t="s">
        <v>8563</v>
      </c>
      <c r="F1111" t="s">
        <v>71</v>
      </c>
      <c r="G1111">
        <v>1</v>
      </c>
      <c r="H1111">
        <v>849.13900000000001</v>
      </c>
      <c r="I1111">
        <v>848.30399999999997</v>
      </c>
      <c r="J1111">
        <v>846.62</v>
      </c>
      <c r="K1111">
        <v>844.61199999999997</v>
      </c>
      <c r="L1111">
        <v>843.03599999999994</v>
      </c>
      <c r="M1111" s="233" t="s">
        <v>532</v>
      </c>
      <c r="N1111" s="233" t="s">
        <v>533</v>
      </c>
      <c r="O1111" s="3" t="s">
        <v>1567</v>
      </c>
    </row>
    <row r="1112" spans="1:15">
      <c r="A1112">
        <v>29</v>
      </c>
      <c r="B1112">
        <v>346</v>
      </c>
      <c r="C1112" t="s">
        <v>79</v>
      </c>
      <c r="D1112" t="s">
        <v>80</v>
      </c>
      <c r="E1112" s="232" t="s">
        <v>8898</v>
      </c>
      <c r="F1112" t="s">
        <v>71</v>
      </c>
      <c r="G1112">
        <v>1</v>
      </c>
      <c r="H1112">
        <v>844.15700000000004</v>
      </c>
      <c r="I1112">
        <v>843.03599999999994</v>
      </c>
      <c r="J1112">
        <v>841.96400000000006</v>
      </c>
      <c r="K1112">
        <v>841.05600000000004</v>
      </c>
      <c r="L1112">
        <v>837.529</v>
      </c>
      <c r="M1112" s="233" t="s">
        <v>532</v>
      </c>
      <c r="N1112" s="233" t="s">
        <v>533</v>
      </c>
      <c r="O1112" s="3" t="s">
        <v>1568</v>
      </c>
    </row>
    <row r="1113" spans="1:15">
      <c r="A1113">
        <v>28</v>
      </c>
      <c r="B1113">
        <v>341</v>
      </c>
      <c r="C1113" t="s">
        <v>79</v>
      </c>
      <c r="D1113" t="s">
        <v>80</v>
      </c>
      <c r="E1113" s="232" t="s">
        <v>8997</v>
      </c>
      <c r="F1113" t="s">
        <v>71</v>
      </c>
      <c r="G1113">
        <v>1</v>
      </c>
      <c r="H1113">
        <v>843.928</v>
      </c>
      <c r="I1113">
        <v>842.779</v>
      </c>
      <c r="J1113">
        <v>842.04200000000003</v>
      </c>
      <c r="K1113">
        <v>840.48500000000001</v>
      </c>
      <c r="L1113">
        <v>839.57100000000003</v>
      </c>
      <c r="M1113" s="233" t="s">
        <v>532</v>
      </c>
      <c r="N1113" s="233" t="s">
        <v>533</v>
      </c>
      <c r="O1113" s="3" t="s">
        <v>1569</v>
      </c>
    </row>
    <row r="1114" spans="1:15">
      <c r="A1114">
        <v>29</v>
      </c>
      <c r="B1114">
        <v>345</v>
      </c>
      <c r="C1114" t="s">
        <v>79</v>
      </c>
      <c r="D1114" t="s">
        <v>80</v>
      </c>
      <c r="E1114" s="232" t="s">
        <v>489</v>
      </c>
      <c r="F1114" t="s">
        <v>71</v>
      </c>
      <c r="G1114">
        <v>1</v>
      </c>
      <c r="H1114">
        <v>843.06100000000004</v>
      </c>
      <c r="I1114">
        <v>840.68100000000004</v>
      </c>
      <c r="J1114">
        <v>839.60799999999995</v>
      </c>
      <c r="K1114">
        <v>838.68799999999999</v>
      </c>
      <c r="L1114">
        <v>836.30100000000004</v>
      </c>
      <c r="M1114" s="233" t="s">
        <v>532</v>
      </c>
      <c r="N1114" s="233" t="s">
        <v>533</v>
      </c>
      <c r="O1114" s="3" t="s">
        <v>1570</v>
      </c>
    </row>
    <row r="1115" spans="1:15">
      <c r="A1115">
        <v>28</v>
      </c>
      <c r="B1115">
        <v>342</v>
      </c>
      <c r="C1115" t="s">
        <v>79</v>
      </c>
      <c r="D1115" t="s">
        <v>80</v>
      </c>
      <c r="E1115" s="232" t="s">
        <v>9077</v>
      </c>
      <c r="F1115" t="s">
        <v>71</v>
      </c>
      <c r="G1115">
        <v>1</v>
      </c>
      <c r="H1115">
        <v>842.447</v>
      </c>
      <c r="I1115">
        <v>840.21</v>
      </c>
      <c r="J1115">
        <v>839.19600000000003</v>
      </c>
      <c r="K1115">
        <v>838.048</v>
      </c>
      <c r="L1115">
        <v>835.79499999999996</v>
      </c>
      <c r="M1115" s="233" t="s">
        <v>532</v>
      </c>
      <c r="N1115" s="233" t="s">
        <v>533</v>
      </c>
      <c r="O1115" s="3" t="s">
        <v>1571</v>
      </c>
    </row>
    <row r="1116" spans="1:15">
      <c r="A1116">
        <v>28</v>
      </c>
      <c r="B1116">
        <v>340</v>
      </c>
      <c r="C1116" t="s">
        <v>79</v>
      </c>
      <c r="D1116" t="s">
        <v>80</v>
      </c>
      <c r="E1116" s="232" t="s">
        <v>9141</v>
      </c>
      <c r="F1116" t="s">
        <v>71</v>
      </c>
      <c r="G1116">
        <v>1</v>
      </c>
      <c r="H1116">
        <v>840.48500000000001</v>
      </c>
      <c r="I1116">
        <v>838.86400000000003</v>
      </c>
      <c r="J1116">
        <v>837.55899999999997</v>
      </c>
      <c r="K1116">
        <v>836.41800000000001</v>
      </c>
      <c r="L1116">
        <v>833.76</v>
      </c>
      <c r="M1116" s="233" t="s">
        <v>532</v>
      </c>
      <c r="N1116" s="233" t="s">
        <v>533</v>
      </c>
      <c r="O1116" s="3" t="s">
        <v>1572</v>
      </c>
    </row>
    <row r="1117" spans="1:15">
      <c r="A1117">
        <v>28</v>
      </c>
      <c r="B1117">
        <v>343</v>
      </c>
      <c r="C1117" t="s">
        <v>79</v>
      </c>
      <c r="D1117" t="s">
        <v>80</v>
      </c>
      <c r="E1117" s="232" t="s">
        <v>8726</v>
      </c>
      <c r="F1117" t="s">
        <v>71</v>
      </c>
      <c r="G1117">
        <v>1</v>
      </c>
      <c r="H1117">
        <v>841.53399999999999</v>
      </c>
      <c r="I1117">
        <v>839.41099999999994</v>
      </c>
      <c r="J1117">
        <v>836.96400000000006</v>
      </c>
      <c r="K1117">
        <v>833.404</v>
      </c>
      <c r="L1117">
        <v>831.06600000000003</v>
      </c>
      <c r="M1117" s="233" t="s">
        <v>532</v>
      </c>
      <c r="N1117" s="233" t="s">
        <v>533</v>
      </c>
      <c r="O1117" s="3" t="s">
        <v>1573</v>
      </c>
    </row>
    <row r="1118" spans="1:15">
      <c r="A1118">
        <v>30</v>
      </c>
      <c r="B1118">
        <v>355</v>
      </c>
      <c r="C1118" t="s">
        <v>79</v>
      </c>
      <c r="D1118" t="s">
        <v>228</v>
      </c>
      <c r="E1118" s="232" t="s">
        <v>9595</v>
      </c>
      <c r="F1118" t="s">
        <v>70</v>
      </c>
      <c r="G1118">
        <v>1</v>
      </c>
      <c r="H1118">
        <v>764.58699999999999</v>
      </c>
      <c r="I1118">
        <v>763.73699999999997</v>
      </c>
      <c r="J1118">
        <v>762.07600000000002</v>
      </c>
      <c r="K1118">
        <v>759.45600000000002</v>
      </c>
      <c r="L1118">
        <v>755.86099999999999</v>
      </c>
      <c r="M1118" s="233" t="s">
        <v>530</v>
      </c>
      <c r="N1118" s="233" t="s">
        <v>531</v>
      </c>
      <c r="O1118" s="3" t="s">
        <v>1574</v>
      </c>
    </row>
    <row r="1119" spans="1:15">
      <c r="A1119">
        <v>30</v>
      </c>
      <c r="B1119">
        <v>359</v>
      </c>
      <c r="C1119" t="s">
        <v>79</v>
      </c>
      <c r="D1119" t="s">
        <v>228</v>
      </c>
      <c r="E1119" s="232" t="s">
        <v>8538</v>
      </c>
      <c r="F1119" t="s">
        <v>70</v>
      </c>
      <c r="G1119">
        <v>1</v>
      </c>
      <c r="H1119">
        <v>763.73699999999997</v>
      </c>
      <c r="I1119">
        <v>762.40099999999995</v>
      </c>
      <c r="J1119">
        <v>761.23400000000004</v>
      </c>
      <c r="K1119">
        <v>759.78200000000004</v>
      </c>
      <c r="L1119">
        <v>758.024</v>
      </c>
      <c r="M1119" s="233" t="s">
        <v>530</v>
      </c>
      <c r="N1119" s="233" t="s">
        <v>531</v>
      </c>
      <c r="O1119" s="3" t="s">
        <v>1575</v>
      </c>
    </row>
    <row r="1120" spans="1:15">
      <c r="A1120">
        <v>30</v>
      </c>
      <c r="B1120">
        <v>357</v>
      </c>
      <c r="C1120" t="s">
        <v>79</v>
      </c>
      <c r="D1120" t="s">
        <v>228</v>
      </c>
      <c r="E1120" s="232" t="s">
        <v>9425</v>
      </c>
      <c r="F1120" t="s">
        <v>70</v>
      </c>
      <c r="G1120">
        <v>1</v>
      </c>
      <c r="H1120">
        <v>760.29899999999998</v>
      </c>
      <c r="I1120">
        <v>759.78200000000004</v>
      </c>
      <c r="J1120">
        <v>758.524</v>
      </c>
      <c r="K1120">
        <v>756.87900000000002</v>
      </c>
      <c r="L1120">
        <v>754.90899999999999</v>
      </c>
      <c r="M1120" s="233" t="s">
        <v>530</v>
      </c>
      <c r="N1120" s="233" t="s">
        <v>531</v>
      </c>
      <c r="O1120" s="3" t="s">
        <v>1576</v>
      </c>
    </row>
    <row r="1121" spans="1:15">
      <c r="A1121">
        <v>30</v>
      </c>
      <c r="B1121">
        <v>364</v>
      </c>
      <c r="C1121" t="s">
        <v>79</v>
      </c>
      <c r="D1121" t="s">
        <v>228</v>
      </c>
      <c r="E1121" s="232" t="s">
        <v>9378</v>
      </c>
      <c r="F1121" t="s">
        <v>70</v>
      </c>
      <c r="G1121">
        <v>1</v>
      </c>
      <c r="H1121">
        <v>760.90800000000002</v>
      </c>
      <c r="I1121">
        <v>760.29899999999998</v>
      </c>
      <c r="J1121">
        <v>758.524</v>
      </c>
      <c r="K1121">
        <v>756.87900000000002</v>
      </c>
      <c r="L1121">
        <v>755.48400000000004</v>
      </c>
      <c r="M1121" s="233" t="s">
        <v>530</v>
      </c>
      <c r="N1121" s="233" t="s">
        <v>531</v>
      </c>
      <c r="O1121" s="3" t="s">
        <v>1577</v>
      </c>
    </row>
    <row r="1122" spans="1:15">
      <c r="A1122">
        <v>30</v>
      </c>
      <c r="B1122">
        <v>362</v>
      </c>
      <c r="C1122" t="s">
        <v>79</v>
      </c>
      <c r="D1122" t="s">
        <v>228</v>
      </c>
      <c r="E1122" s="232" t="s">
        <v>550</v>
      </c>
      <c r="F1122" t="s">
        <v>70</v>
      </c>
      <c r="G1122">
        <v>1</v>
      </c>
      <c r="H1122">
        <v>761.23400000000004</v>
      </c>
      <c r="I1122">
        <v>759.78200000000004</v>
      </c>
      <c r="J1122">
        <v>758.37400000000002</v>
      </c>
      <c r="K1122">
        <v>756.28599999999994</v>
      </c>
      <c r="L1122">
        <v>754.31200000000001</v>
      </c>
      <c r="M1122" s="233" t="s">
        <v>530</v>
      </c>
      <c r="N1122" s="233" t="s">
        <v>531</v>
      </c>
      <c r="O1122" s="3" t="s">
        <v>1578</v>
      </c>
    </row>
    <row r="1123" spans="1:15">
      <c r="A1123">
        <v>30</v>
      </c>
      <c r="B1123">
        <v>366</v>
      </c>
      <c r="C1123" t="s">
        <v>79</v>
      </c>
      <c r="D1123" t="s">
        <v>228</v>
      </c>
      <c r="E1123" s="232" t="s">
        <v>418</v>
      </c>
      <c r="F1123" t="s">
        <v>70</v>
      </c>
      <c r="G1123">
        <v>1</v>
      </c>
      <c r="H1123">
        <v>759.93200000000002</v>
      </c>
      <c r="I1123">
        <v>759.56500000000005</v>
      </c>
      <c r="J1123">
        <v>757.66399999999999</v>
      </c>
      <c r="K1123">
        <v>756.27</v>
      </c>
      <c r="L1123">
        <v>754.57100000000003</v>
      </c>
      <c r="M1123" s="233" t="s">
        <v>530</v>
      </c>
      <c r="N1123" s="233" t="s">
        <v>531</v>
      </c>
      <c r="O1123" s="3" t="s">
        <v>1579</v>
      </c>
    </row>
    <row r="1124" spans="1:15">
      <c r="A1124">
        <v>30</v>
      </c>
      <c r="B1124">
        <v>361</v>
      </c>
      <c r="C1124" t="s">
        <v>79</v>
      </c>
      <c r="D1124" t="s">
        <v>228</v>
      </c>
      <c r="E1124" s="232" t="s">
        <v>11334</v>
      </c>
      <c r="F1124" t="s">
        <v>70</v>
      </c>
      <c r="G1124">
        <v>1</v>
      </c>
      <c r="H1124">
        <v>728.11500000000001</v>
      </c>
      <c r="I1124">
        <v>727.28899999999999</v>
      </c>
      <c r="J1124">
        <v>726.78</v>
      </c>
      <c r="K1124">
        <v>725.97699999999998</v>
      </c>
      <c r="L1124">
        <v>724.45600000000002</v>
      </c>
      <c r="M1124" s="233" t="s">
        <v>530</v>
      </c>
      <c r="N1124" s="233" t="s">
        <v>531</v>
      </c>
      <c r="O1124" s="3" t="s">
        <v>1580</v>
      </c>
    </row>
    <row r="1125" spans="1:15">
      <c r="A1125">
        <v>30</v>
      </c>
      <c r="B1125">
        <v>368</v>
      </c>
      <c r="C1125" t="s">
        <v>79</v>
      </c>
      <c r="D1125" t="s">
        <v>228</v>
      </c>
      <c r="E1125" s="232" t="s">
        <v>11598</v>
      </c>
      <c r="F1125" t="s">
        <v>70</v>
      </c>
      <c r="G1125">
        <v>1</v>
      </c>
      <c r="H1125">
        <v>730.08600000000001</v>
      </c>
      <c r="I1125">
        <v>724.45600000000002</v>
      </c>
      <c r="J1125">
        <v>719.95299999999997</v>
      </c>
      <c r="K1125">
        <v>715.43499999999995</v>
      </c>
      <c r="L1125">
        <v>710.61400000000003</v>
      </c>
      <c r="M1125" s="233" t="s">
        <v>530</v>
      </c>
      <c r="N1125" s="233" t="s">
        <v>531</v>
      </c>
      <c r="O1125" s="3" t="s">
        <v>1581</v>
      </c>
    </row>
    <row r="1126" spans="1:15">
      <c r="A1126">
        <v>30</v>
      </c>
      <c r="B1126">
        <v>401</v>
      </c>
      <c r="C1126" t="s">
        <v>79</v>
      </c>
      <c r="D1126" t="s">
        <v>228</v>
      </c>
      <c r="E1126" s="232" t="s">
        <v>12351</v>
      </c>
      <c r="F1126" t="s">
        <v>70</v>
      </c>
      <c r="G1126">
        <v>1</v>
      </c>
      <c r="H1126">
        <v>706.40599999999995</v>
      </c>
      <c r="I1126">
        <v>704.87599999999998</v>
      </c>
      <c r="J1126">
        <v>703.97799999999995</v>
      </c>
      <c r="K1126">
        <v>702.5</v>
      </c>
      <c r="L1126">
        <v>700.03</v>
      </c>
      <c r="M1126" s="233" t="s">
        <v>530</v>
      </c>
      <c r="N1126" s="233" t="s">
        <v>531</v>
      </c>
      <c r="O1126" s="3" t="s">
        <v>1582</v>
      </c>
    </row>
    <row r="1127" spans="1:15">
      <c r="A1127">
        <v>31</v>
      </c>
      <c r="B1127">
        <v>390</v>
      </c>
      <c r="C1127" t="s">
        <v>79</v>
      </c>
      <c r="D1127" t="s">
        <v>228</v>
      </c>
      <c r="E1127" s="232" t="s">
        <v>10660</v>
      </c>
      <c r="F1127" t="s">
        <v>71</v>
      </c>
      <c r="G1127">
        <v>1</v>
      </c>
      <c r="H1127">
        <v>766.08500000000004</v>
      </c>
      <c r="I1127">
        <v>764.50900000000001</v>
      </c>
      <c r="J1127">
        <v>763.07899999999995</v>
      </c>
      <c r="K1127">
        <v>760.29600000000005</v>
      </c>
      <c r="L1127">
        <v>755.92499999999995</v>
      </c>
      <c r="M1127" s="233" t="s">
        <v>530</v>
      </c>
      <c r="N1127" s="233" t="s">
        <v>531</v>
      </c>
      <c r="O1127" s="3" t="s">
        <v>1583</v>
      </c>
    </row>
    <row r="1128" spans="1:15">
      <c r="A1128">
        <v>32</v>
      </c>
      <c r="B1128">
        <v>376</v>
      </c>
      <c r="C1128" t="s">
        <v>79</v>
      </c>
      <c r="D1128" t="s">
        <v>228</v>
      </c>
      <c r="E1128" s="232" t="s">
        <v>8775</v>
      </c>
      <c r="F1128" t="s">
        <v>71</v>
      </c>
      <c r="G1128">
        <v>1</v>
      </c>
      <c r="H1128">
        <v>758.64499999999998</v>
      </c>
      <c r="I1128">
        <v>757.63199999999995</v>
      </c>
      <c r="J1128">
        <v>756.625</v>
      </c>
      <c r="K1128">
        <v>755.67700000000002</v>
      </c>
      <c r="L1128">
        <v>754.36199999999997</v>
      </c>
      <c r="M1128" s="233" t="s">
        <v>530</v>
      </c>
      <c r="N1128" s="233" t="s">
        <v>531</v>
      </c>
      <c r="O1128" s="3" t="s">
        <v>1584</v>
      </c>
    </row>
    <row r="1129" spans="1:15">
      <c r="A1129">
        <v>31</v>
      </c>
      <c r="B1129">
        <v>398</v>
      </c>
      <c r="C1129" t="s">
        <v>79</v>
      </c>
      <c r="D1129" t="s">
        <v>228</v>
      </c>
      <c r="E1129" s="232" t="s">
        <v>9275</v>
      </c>
      <c r="F1129" t="s">
        <v>71</v>
      </c>
      <c r="G1129">
        <v>1</v>
      </c>
      <c r="H1129">
        <v>764.04899999999998</v>
      </c>
      <c r="I1129">
        <v>762.12300000000005</v>
      </c>
      <c r="J1129">
        <v>760.79600000000005</v>
      </c>
      <c r="K1129">
        <v>757.96400000000006</v>
      </c>
      <c r="L1129">
        <v>754.51300000000003</v>
      </c>
      <c r="M1129" s="233" t="s">
        <v>530</v>
      </c>
      <c r="N1129" s="233" t="s">
        <v>531</v>
      </c>
      <c r="O1129" s="3" t="s">
        <v>1585</v>
      </c>
    </row>
    <row r="1130" spans="1:15">
      <c r="A1130">
        <v>31</v>
      </c>
      <c r="B1130">
        <v>389</v>
      </c>
      <c r="C1130" t="s">
        <v>79</v>
      </c>
      <c r="D1130" t="s">
        <v>228</v>
      </c>
      <c r="E1130" s="232" t="s">
        <v>8772</v>
      </c>
      <c r="F1130" t="s">
        <v>71</v>
      </c>
      <c r="G1130">
        <v>1</v>
      </c>
      <c r="H1130">
        <v>761.23099999999999</v>
      </c>
      <c r="I1130">
        <v>758.93100000000004</v>
      </c>
      <c r="J1130">
        <v>757.33900000000006</v>
      </c>
      <c r="K1130">
        <v>754.51300000000003</v>
      </c>
      <c r="L1130">
        <v>750.98800000000006</v>
      </c>
      <c r="M1130" s="233" t="s">
        <v>530</v>
      </c>
      <c r="N1130" s="233" t="s">
        <v>531</v>
      </c>
      <c r="O1130" s="3" t="s">
        <v>1586</v>
      </c>
    </row>
    <row r="1131" spans="1:15">
      <c r="A1131">
        <v>32</v>
      </c>
      <c r="B1131">
        <v>378</v>
      </c>
      <c r="C1131" t="s">
        <v>79</v>
      </c>
      <c r="D1131" t="s">
        <v>228</v>
      </c>
      <c r="E1131" s="232" t="s">
        <v>491</v>
      </c>
      <c r="F1131" t="s">
        <v>71</v>
      </c>
      <c r="G1131">
        <v>1</v>
      </c>
      <c r="H1131">
        <v>754.71</v>
      </c>
      <c r="I1131">
        <v>753.69500000000005</v>
      </c>
      <c r="J1131">
        <v>751.34</v>
      </c>
      <c r="K1131">
        <v>749.23500000000001</v>
      </c>
      <c r="L1131">
        <v>747.56299999999999</v>
      </c>
      <c r="M1131" s="233" t="s">
        <v>530</v>
      </c>
      <c r="N1131" s="233" t="s">
        <v>531</v>
      </c>
      <c r="O1131" s="3" t="s">
        <v>1587</v>
      </c>
    </row>
    <row r="1132" spans="1:15">
      <c r="A1132">
        <v>31</v>
      </c>
      <c r="B1132">
        <v>397</v>
      </c>
      <c r="C1132" t="s">
        <v>79</v>
      </c>
      <c r="D1132" t="s">
        <v>228</v>
      </c>
      <c r="E1132" s="232" t="s">
        <v>9447</v>
      </c>
      <c r="F1132" t="s">
        <v>71</v>
      </c>
      <c r="G1132">
        <v>1</v>
      </c>
      <c r="H1132">
        <v>760.79600000000005</v>
      </c>
      <c r="I1132">
        <v>758.57100000000003</v>
      </c>
      <c r="J1132">
        <v>757.01199999999994</v>
      </c>
      <c r="K1132">
        <v>754.51300000000003</v>
      </c>
      <c r="L1132">
        <v>751.27300000000002</v>
      </c>
      <c r="M1132" s="233" t="s">
        <v>530</v>
      </c>
      <c r="N1132" s="233" t="s">
        <v>531</v>
      </c>
      <c r="O1132" s="3" t="s">
        <v>1588</v>
      </c>
    </row>
    <row r="1133" spans="1:15">
      <c r="A1133">
        <v>32</v>
      </c>
      <c r="B1133">
        <v>379</v>
      </c>
      <c r="C1133" t="s">
        <v>79</v>
      </c>
      <c r="D1133" t="s">
        <v>228</v>
      </c>
      <c r="E1133" s="232" t="s">
        <v>9462</v>
      </c>
      <c r="F1133" t="s">
        <v>71</v>
      </c>
      <c r="G1133">
        <v>1</v>
      </c>
      <c r="H1133">
        <v>753.22500000000002</v>
      </c>
      <c r="I1133">
        <v>752.05600000000004</v>
      </c>
      <c r="J1133">
        <v>750.87300000000005</v>
      </c>
      <c r="K1133">
        <v>748.88499999999999</v>
      </c>
      <c r="L1133">
        <v>745.33399999999995</v>
      </c>
      <c r="M1133" s="233" t="s">
        <v>530</v>
      </c>
      <c r="N1133" s="233" t="s">
        <v>531</v>
      </c>
      <c r="O1133" s="3" t="s">
        <v>1589</v>
      </c>
    </row>
    <row r="1134" spans="1:15">
      <c r="A1134">
        <v>31</v>
      </c>
      <c r="B1134">
        <v>388</v>
      </c>
      <c r="C1134" t="s">
        <v>79</v>
      </c>
      <c r="D1134" t="s">
        <v>228</v>
      </c>
      <c r="E1134" s="232" t="s">
        <v>8216</v>
      </c>
      <c r="F1134" t="s">
        <v>71</v>
      </c>
      <c r="G1134">
        <v>1</v>
      </c>
      <c r="H1134">
        <v>763.25400000000002</v>
      </c>
      <c r="I1134">
        <v>759.95</v>
      </c>
      <c r="J1134">
        <v>756.577</v>
      </c>
      <c r="K1134">
        <v>754.83799999999997</v>
      </c>
      <c r="L1134">
        <v>753.16600000000005</v>
      </c>
      <c r="M1134" s="233" t="s">
        <v>530</v>
      </c>
      <c r="N1134" s="233" t="s">
        <v>531</v>
      </c>
      <c r="O1134" s="3" t="s">
        <v>1590</v>
      </c>
    </row>
    <row r="1135" spans="1:15">
      <c r="A1135">
        <v>32</v>
      </c>
      <c r="B1135">
        <v>387</v>
      </c>
      <c r="C1135" t="s">
        <v>79</v>
      </c>
      <c r="D1135" t="s">
        <v>228</v>
      </c>
      <c r="E1135" s="232" t="s">
        <v>8217</v>
      </c>
      <c r="F1135" t="s">
        <v>71</v>
      </c>
      <c r="G1135">
        <v>1</v>
      </c>
      <c r="H1135">
        <v>754.71</v>
      </c>
      <c r="I1135">
        <v>752.37300000000005</v>
      </c>
      <c r="J1135">
        <v>750.673</v>
      </c>
      <c r="K1135">
        <v>749.11800000000005</v>
      </c>
      <c r="L1135">
        <v>747.14200000000005</v>
      </c>
      <c r="M1135" s="233" t="s">
        <v>530</v>
      </c>
      <c r="N1135" s="233" t="s">
        <v>531</v>
      </c>
      <c r="O1135" s="3" t="s">
        <v>1591</v>
      </c>
    </row>
    <row r="1136" spans="1:15">
      <c r="A1136">
        <v>32</v>
      </c>
      <c r="B1136">
        <v>382</v>
      </c>
      <c r="C1136" t="s">
        <v>79</v>
      </c>
      <c r="D1136" t="s">
        <v>228</v>
      </c>
      <c r="E1136" s="232" t="s">
        <v>16676</v>
      </c>
      <c r="F1136" t="s">
        <v>71</v>
      </c>
      <c r="G1136">
        <v>1</v>
      </c>
      <c r="H1136">
        <v>752.05600000000004</v>
      </c>
      <c r="I1136">
        <v>750.87300000000005</v>
      </c>
      <c r="J1136">
        <v>750.51599999999996</v>
      </c>
      <c r="K1136">
        <v>748.76800000000003</v>
      </c>
      <c r="L1136">
        <v>747.64599999999996</v>
      </c>
      <c r="M1136" s="233" t="s">
        <v>530</v>
      </c>
      <c r="N1136" s="233" t="s">
        <v>531</v>
      </c>
      <c r="O1136" s="3" t="s">
        <v>1592</v>
      </c>
    </row>
    <row r="1137" spans="1:15">
      <c r="A1137">
        <v>32</v>
      </c>
      <c r="B1137">
        <v>383</v>
      </c>
      <c r="C1137" t="s">
        <v>79</v>
      </c>
      <c r="D1137" t="s">
        <v>228</v>
      </c>
      <c r="E1137" s="232" t="s">
        <v>8214</v>
      </c>
      <c r="F1137" t="s">
        <v>71</v>
      </c>
      <c r="G1137">
        <v>1</v>
      </c>
      <c r="H1137">
        <v>752.37300000000005</v>
      </c>
      <c r="I1137">
        <v>751.34</v>
      </c>
      <c r="J1137">
        <v>750.51599999999996</v>
      </c>
      <c r="K1137">
        <v>749.54200000000003</v>
      </c>
      <c r="L1137">
        <v>748.03</v>
      </c>
      <c r="M1137" s="233" t="s">
        <v>530</v>
      </c>
      <c r="N1137" s="233" t="s">
        <v>531</v>
      </c>
      <c r="O1137" s="3" t="s">
        <v>1593</v>
      </c>
    </row>
    <row r="1138" spans="1:15">
      <c r="A1138">
        <v>32</v>
      </c>
      <c r="B1138">
        <v>381</v>
      </c>
      <c r="C1138" t="s">
        <v>79</v>
      </c>
      <c r="D1138" t="s">
        <v>228</v>
      </c>
      <c r="E1138" s="232" t="s">
        <v>9423</v>
      </c>
      <c r="F1138" t="s">
        <v>71</v>
      </c>
      <c r="G1138">
        <v>1</v>
      </c>
      <c r="H1138">
        <v>754.89300000000003</v>
      </c>
      <c r="I1138">
        <v>751.34</v>
      </c>
      <c r="J1138">
        <v>750.24</v>
      </c>
      <c r="K1138">
        <v>749.74</v>
      </c>
      <c r="L1138">
        <v>747.79600000000005</v>
      </c>
      <c r="M1138" s="233" t="s">
        <v>530</v>
      </c>
      <c r="N1138" s="233" t="s">
        <v>531</v>
      </c>
      <c r="O1138" s="3" t="s">
        <v>1594</v>
      </c>
    </row>
    <row r="1139" spans="1:15">
      <c r="A1139">
        <v>32</v>
      </c>
      <c r="B1139">
        <v>385</v>
      </c>
      <c r="C1139" t="s">
        <v>79</v>
      </c>
      <c r="D1139" t="s">
        <v>228</v>
      </c>
      <c r="E1139" s="232" t="s">
        <v>9494</v>
      </c>
      <c r="F1139" t="s">
        <v>71</v>
      </c>
      <c r="G1139">
        <v>1</v>
      </c>
      <c r="H1139">
        <v>753.69500000000005</v>
      </c>
      <c r="I1139">
        <v>751.34</v>
      </c>
      <c r="J1139">
        <v>750.04</v>
      </c>
      <c r="K1139">
        <v>747.14200000000005</v>
      </c>
      <c r="L1139">
        <v>743.81200000000001</v>
      </c>
      <c r="M1139" s="233" t="s">
        <v>530</v>
      </c>
      <c r="N1139" s="233" t="s">
        <v>531</v>
      </c>
      <c r="O1139" s="3" t="s">
        <v>1595</v>
      </c>
    </row>
    <row r="1140" spans="1:15">
      <c r="A1140">
        <v>32</v>
      </c>
      <c r="B1140">
        <v>392</v>
      </c>
      <c r="C1140" t="s">
        <v>79</v>
      </c>
      <c r="D1140" t="s">
        <v>228</v>
      </c>
      <c r="E1140" s="232" t="s">
        <v>9709</v>
      </c>
      <c r="F1140" t="s">
        <v>71</v>
      </c>
      <c r="G1140">
        <v>1</v>
      </c>
      <c r="H1140">
        <v>753.69500000000005</v>
      </c>
      <c r="I1140">
        <v>751.34</v>
      </c>
      <c r="J1140">
        <v>750.04</v>
      </c>
      <c r="K1140">
        <v>747.14200000000005</v>
      </c>
      <c r="L1140">
        <v>743.81200000000001</v>
      </c>
      <c r="M1140" s="233" t="s">
        <v>530</v>
      </c>
      <c r="N1140" s="233" t="s">
        <v>531</v>
      </c>
      <c r="O1140" s="3" t="s">
        <v>1596</v>
      </c>
    </row>
    <row r="1141" spans="1:15">
      <c r="A1141">
        <v>283</v>
      </c>
      <c r="B1141">
        <v>399</v>
      </c>
      <c r="C1141" t="s">
        <v>79</v>
      </c>
      <c r="D1141" t="s">
        <v>228</v>
      </c>
      <c r="E1141" s="232" t="s">
        <v>10104</v>
      </c>
      <c r="F1141" t="s">
        <v>71</v>
      </c>
      <c r="G1141">
        <v>1</v>
      </c>
      <c r="H1141">
        <v>749.22500000000002</v>
      </c>
      <c r="I1141">
        <v>747.15700000000004</v>
      </c>
      <c r="J1141">
        <v>745.98900000000003</v>
      </c>
      <c r="K1141">
        <v>743.46299999999997</v>
      </c>
      <c r="L1141">
        <v>739.87</v>
      </c>
      <c r="M1141" s="233" t="s">
        <v>530</v>
      </c>
      <c r="N1141" s="233" t="s">
        <v>531</v>
      </c>
      <c r="O1141" s="3" t="s">
        <v>1597</v>
      </c>
    </row>
    <row r="1142" spans="1:15">
      <c r="A1142">
        <v>283</v>
      </c>
      <c r="B1142">
        <v>400</v>
      </c>
      <c r="C1142" t="s">
        <v>79</v>
      </c>
      <c r="D1142" t="s">
        <v>228</v>
      </c>
      <c r="E1142" s="232" t="s">
        <v>12576</v>
      </c>
      <c r="F1142" t="s">
        <v>71</v>
      </c>
      <c r="G1142">
        <v>1</v>
      </c>
      <c r="H1142">
        <v>700.38</v>
      </c>
      <c r="I1142">
        <v>699.29399999999998</v>
      </c>
      <c r="J1142">
        <v>698.39499999999998</v>
      </c>
      <c r="K1142">
        <v>696.84299999999996</v>
      </c>
      <c r="L1142">
        <v>694.79100000000005</v>
      </c>
      <c r="M1142" s="233" t="s">
        <v>530</v>
      </c>
      <c r="N1142" s="233" t="s">
        <v>531</v>
      </c>
      <c r="O1142" s="3" t="s">
        <v>1598</v>
      </c>
    </row>
    <row r="1143" spans="1:15">
      <c r="A1143">
        <v>33</v>
      </c>
      <c r="B1143">
        <v>417</v>
      </c>
      <c r="C1143" t="s">
        <v>79</v>
      </c>
      <c r="D1143" t="s">
        <v>82</v>
      </c>
      <c r="E1143" s="232" t="s">
        <v>9074</v>
      </c>
      <c r="F1143" t="s">
        <v>70</v>
      </c>
      <c r="G1143">
        <v>2</v>
      </c>
      <c r="H1143">
        <v>389.39</v>
      </c>
      <c r="I1143">
        <v>387.70400000000001</v>
      </c>
      <c r="J1143">
        <v>386.25299999999999</v>
      </c>
      <c r="K1143">
        <v>385.00599999999997</v>
      </c>
      <c r="L1143">
        <v>382.57299999999998</v>
      </c>
      <c r="M1143" s="233" t="s">
        <v>530</v>
      </c>
      <c r="N1143" s="233" t="s">
        <v>531</v>
      </c>
      <c r="O1143" s="3" t="s">
        <v>1599</v>
      </c>
    </row>
    <row r="1144" spans="1:15">
      <c r="A1144">
        <v>33</v>
      </c>
      <c r="B1144">
        <v>430</v>
      </c>
      <c r="C1144" t="s">
        <v>79</v>
      </c>
      <c r="D1144" t="s">
        <v>82</v>
      </c>
      <c r="E1144" s="232" t="s">
        <v>9314</v>
      </c>
      <c r="F1144" t="s">
        <v>70</v>
      </c>
      <c r="G1144">
        <v>2</v>
      </c>
      <c r="H1144">
        <v>388.75200000000001</v>
      </c>
      <c r="I1144">
        <v>387.94400000000002</v>
      </c>
      <c r="J1144">
        <v>385.90699999999998</v>
      </c>
      <c r="K1144">
        <v>385.072</v>
      </c>
      <c r="L1144">
        <v>383.928</v>
      </c>
      <c r="M1144" s="233" t="s">
        <v>530</v>
      </c>
      <c r="N1144" s="233" t="s">
        <v>531</v>
      </c>
      <c r="O1144" s="3" t="s">
        <v>1600</v>
      </c>
    </row>
    <row r="1145" spans="1:15">
      <c r="A1145">
        <v>33</v>
      </c>
      <c r="B1145">
        <v>416</v>
      </c>
      <c r="C1145" t="s">
        <v>79</v>
      </c>
      <c r="D1145" t="s">
        <v>82</v>
      </c>
      <c r="E1145" s="232" t="s">
        <v>8418</v>
      </c>
      <c r="F1145" t="s">
        <v>70</v>
      </c>
      <c r="G1145">
        <v>2</v>
      </c>
      <c r="H1145">
        <v>388.75200000000001</v>
      </c>
      <c r="I1145">
        <v>386.86200000000002</v>
      </c>
      <c r="J1145">
        <v>385.71800000000002</v>
      </c>
      <c r="K1145">
        <v>384.57499999999999</v>
      </c>
      <c r="L1145">
        <v>382.64800000000002</v>
      </c>
      <c r="M1145" s="233" t="s">
        <v>530</v>
      </c>
      <c r="N1145" s="233" t="s">
        <v>531</v>
      </c>
      <c r="O1145" s="3" t="s">
        <v>1601</v>
      </c>
    </row>
    <row r="1146" spans="1:15">
      <c r="A1146">
        <v>33</v>
      </c>
      <c r="B1146">
        <v>413</v>
      </c>
      <c r="C1146" t="s">
        <v>79</v>
      </c>
      <c r="D1146" t="s">
        <v>82</v>
      </c>
      <c r="E1146" s="232" t="s">
        <v>8757</v>
      </c>
      <c r="F1146" t="s">
        <v>70</v>
      </c>
      <c r="G1146">
        <v>2</v>
      </c>
      <c r="H1146">
        <v>388.63600000000002</v>
      </c>
      <c r="I1146">
        <v>386.66699999999997</v>
      </c>
      <c r="J1146">
        <v>385.57799999999997</v>
      </c>
      <c r="K1146">
        <v>384.43400000000003</v>
      </c>
      <c r="L1146">
        <v>381.96100000000001</v>
      </c>
      <c r="M1146" s="233" t="s">
        <v>530</v>
      </c>
      <c r="N1146" s="233" t="s">
        <v>531</v>
      </c>
      <c r="O1146" s="3" t="s">
        <v>1602</v>
      </c>
    </row>
    <row r="1147" spans="1:15">
      <c r="A1147">
        <v>33</v>
      </c>
      <c r="B1147">
        <v>414</v>
      </c>
      <c r="C1147" t="s">
        <v>79</v>
      </c>
      <c r="D1147" t="s">
        <v>82</v>
      </c>
      <c r="E1147" s="232" t="s">
        <v>9439</v>
      </c>
      <c r="F1147" t="s">
        <v>70</v>
      </c>
      <c r="G1147">
        <v>2</v>
      </c>
      <c r="H1147">
        <v>389.94900000000001</v>
      </c>
      <c r="I1147">
        <v>387.48500000000001</v>
      </c>
      <c r="J1147">
        <v>384.87700000000001</v>
      </c>
      <c r="K1147">
        <v>383.07499999999999</v>
      </c>
      <c r="L1147">
        <v>380.49900000000002</v>
      </c>
      <c r="M1147" s="233" t="s">
        <v>530</v>
      </c>
      <c r="N1147" s="233" t="s">
        <v>531</v>
      </c>
      <c r="O1147" s="3" t="s">
        <v>1603</v>
      </c>
    </row>
    <row r="1148" spans="1:15">
      <c r="A1148">
        <v>33</v>
      </c>
      <c r="B1148">
        <v>426</v>
      </c>
      <c r="C1148" t="s">
        <v>79</v>
      </c>
      <c r="D1148" t="s">
        <v>82</v>
      </c>
      <c r="E1148" s="232" t="s">
        <v>9558</v>
      </c>
      <c r="F1148" t="s">
        <v>70</v>
      </c>
      <c r="G1148">
        <v>2</v>
      </c>
      <c r="H1148">
        <v>389.00900000000001</v>
      </c>
      <c r="I1148">
        <v>386.51600000000002</v>
      </c>
      <c r="J1148">
        <v>384.18200000000002</v>
      </c>
      <c r="K1148">
        <v>382.31</v>
      </c>
      <c r="L1148">
        <v>379.70299999999997</v>
      </c>
      <c r="M1148" s="233" t="s">
        <v>530</v>
      </c>
      <c r="N1148" s="233" t="s">
        <v>531</v>
      </c>
      <c r="O1148" s="3" t="s">
        <v>1604</v>
      </c>
    </row>
    <row r="1149" spans="1:15">
      <c r="A1149">
        <v>33</v>
      </c>
      <c r="B1149">
        <v>432</v>
      </c>
      <c r="C1149" t="s">
        <v>79</v>
      </c>
      <c r="D1149" t="s">
        <v>82</v>
      </c>
      <c r="E1149" s="232" t="s">
        <v>9544</v>
      </c>
      <c r="F1149" t="s">
        <v>70</v>
      </c>
      <c r="G1149">
        <v>2</v>
      </c>
      <c r="H1149">
        <v>389.00900000000001</v>
      </c>
      <c r="I1149">
        <v>386.51600000000002</v>
      </c>
      <c r="J1149">
        <v>384.18200000000002</v>
      </c>
      <c r="K1149">
        <v>382.31</v>
      </c>
      <c r="L1149">
        <v>379.70299999999997</v>
      </c>
      <c r="M1149" s="233" t="s">
        <v>530</v>
      </c>
      <c r="N1149" s="233" t="s">
        <v>531</v>
      </c>
      <c r="O1149" s="3" t="s">
        <v>1605</v>
      </c>
    </row>
    <row r="1150" spans="1:15">
      <c r="A1150">
        <v>33</v>
      </c>
      <c r="B1150">
        <v>427</v>
      </c>
      <c r="C1150" t="s">
        <v>79</v>
      </c>
      <c r="D1150" t="s">
        <v>82</v>
      </c>
      <c r="E1150" s="232" t="s">
        <v>9576</v>
      </c>
      <c r="F1150" t="s">
        <v>70</v>
      </c>
      <c r="G1150">
        <v>2</v>
      </c>
      <c r="H1150">
        <v>388.827</v>
      </c>
      <c r="I1150">
        <v>386.44099999999997</v>
      </c>
      <c r="J1150">
        <v>384.00299999999999</v>
      </c>
      <c r="K1150">
        <v>382.24400000000003</v>
      </c>
      <c r="L1150">
        <v>379.46800000000002</v>
      </c>
      <c r="M1150" s="233" t="s">
        <v>530</v>
      </c>
      <c r="N1150" s="233" t="s">
        <v>531</v>
      </c>
      <c r="O1150" s="3" t="s">
        <v>1606</v>
      </c>
    </row>
    <row r="1151" spans="1:15">
      <c r="A1151">
        <v>33</v>
      </c>
      <c r="B1151">
        <v>415</v>
      </c>
      <c r="C1151" t="s">
        <v>79</v>
      </c>
      <c r="D1151" t="s">
        <v>82</v>
      </c>
      <c r="E1151" s="232" t="s">
        <v>8448</v>
      </c>
      <c r="F1151" t="s">
        <v>70</v>
      </c>
      <c r="G1151">
        <v>2</v>
      </c>
      <c r="H1151">
        <v>388.63600000000002</v>
      </c>
      <c r="I1151">
        <v>386.25299999999999</v>
      </c>
      <c r="J1151">
        <v>383.86200000000002</v>
      </c>
      <c r="K1151">
        <v>381.96100000000001</v>
      </c>
      <c r="L1151">
        <v>379.24099999999999</v>
      </c>
      <c r="M1151" s="233" t="s">
        <v>530</v>
      </c>
      <c r="N1151" s="233" t="s">
        <v>531</v>
      </c>
      <c r="O1151" s="3" t="s">
        <v>1607</v>
      </c>
    </row>
    <row r="1152" spans="1:15">
      <c r="A1152">
        <v>33</v>
      </c>
      <c r="B1152">
        <v>420</v>
      </c>
      <c r="C1152" t="s">
        <v>79</v>
      </c>
      <c r="D1152" t="s">
        <v>82</v>
      </c>
      <c r="E1152" s="232" t="s">
        <v>9630</v>
      </c>
      <c r="F1152" t="s">
        <v>70</v>
      </c>
      <c r="G1152">
        <v>2</v>
      </c>
      <c r="H1152">
        <v>388.01900000000001</v>
      </c>
      <c r="I1152">
        <v>385.71800000000002</v>
      </c>
      <c r="J1152">
        <v>383.42399999999998</v>
      </c>
      <c r="K1152">
        <v>381.541</v>
      </c>
      <c r="L1152">
        <v>378.86799999999999</v>
      </c>
      <c r="M1152" s="233" t="s">
        <v>530</v>
      </c>
      <c r="N1152" s="233" t="s">
        <v>531</v>
      </c>
      <c r="O1152" s="3" t="s">
        <v>1608</v>
      </c>
    </row>
    <row r="1153" spans="1:15">
      <c r="A1153">
        <v>33</v>
      </c>
      <c r="B1153">
        <v>428</v>
      </c>
      <c r="C1153" t="s">
        <v>79</v>
      </c>
      <c r="D1153" t="s">
        <v>82</v>
      </c>
      <c r="E1153" s="232" t="s">
        <v>9649</v>
      </c>
      <c r="F1153" t="s">
        <v>70</v>
      </c>
      <c r="G1153">
        <v>2</v>
      </c>
      <c r="H1153">
        <v>387.94400000000002</v>
      </c>
      <c r="I1153">
        <v>385.71800000000002</v>
      </c>
      <c r="J1153">
        <v>383.28300000000002</v>
      </c>
      <c r="K1153">
        <v>381.428</v>
      </c>
      <c r="L1153">
        <v>378.76100000000002</v>
      </c>
      <c r="M1153" s="233" t="s">
        <v>530</v>
      </c>
      <c r="N1153" s="233" t="s">
        <v>531</v>
      </c>
      <c r="O1153" s="3" t="s">
        <v>1609</v>
      </c>
    </row>
    <row r="1154" spans="1:15">
      <c r="A1154">
        <v>33</v>
      </c>
      <c r="B1154">
        <v>433</v>
      </c>
      <c r="C1154" t="s">
        <v>79</v>
      </c>
      <c r="D1154" t="s">
        <v>82</v>
      </c>
      <c r="E1154" s="232" t="s">
        <v>9663</v>
      </c>
      <c r="F1154" t="s">
        <v>70</v>
      </c>
      <c r="G1154">
        <v>2</v>
      </c>
      <c r="H1154">
        <v>387.70400000000001</v>
      </c>
      <c r="I1154">
        <v>385.57799999999997</v>
      </c>
      <c r="J1154">
        <v>383.21800000000002</v>
      </c>
      <c r="K1154">
        <v>381.29899999999998</v>
      </c>
      <c r="L1154">
        <v>377.12799999999999</v>
      </c>
      <c r="M1154" s="233" t="s">
        <v>530</v>
      </c>
      <c r="N1154" s="233" t="s">
        <v>531</v>
      </c>
      <c r="O1154" s="3" t="s">
        <v>1610</v>
      </c>
    </row>
    <row r="1155" spans="1:15">
      <c r="A1155">
        <v>33</v>
      </c>
      <c r="B1155">
        <v>434</v>
      </c>
      <c r="C1155" t="s">
        <v>79</v>
      </c>
      <c r="D1155" t="s">
        <v>82</v>
      </c>
      <c r="E1155" s="232" t="s">
        <v>9754</v>
      </c>
      <c r="F1155" t="s">
        <v>70</v>
      </c>
      <c r="G1155">
        <v>2</v>
      </c>
      <c r="H1155">
        <v>385.137</v>
      </c>
      <c r="I1155">
        <v>384.00299999999999</v>
      </c>
      <c r="J1155">
        <v>383.21800000000002</v>
      </c>
      <c r="K1155">
        <v>381.96100000000001</v>
      </c>
      <c r="L1155">
        <v>380.57400000000001</v>
      </c>
      <c r="M1155" s="233" t="s">
        <v>530</v>
      </c>
      <c r="N1155" s="233" t="s">
        <v>531</v>
      </c>
      <c r="O1155" s="3" t="s">
        <v>1611</v>
      </c>
    </row>
    <row r="1156" spans="1:15">
      <c r="A1156">
        <v>33</v>
      </c>
      <c r="B1156">
        <v>429</v>
      </c>
      <c r="C1156" t="s">
        <v>79</v>
      </c>
      <c r="D1156" t="s">
        <v>82</v>
      </c>
      <c r="E1156" s="232" t="s">
        <v>9674</v>
      </c>
      <c r="F1156" t="s">
        <v>70</v>
      </c>
      <c r="G1156">
        <v>2</v>
      </c>
      <c r="H1156">
        <v>387.48500000000001</v>
      </c>
      <c r="I1156">
        <v>385.44799999999998</v>
      </c>
      <c r="J1156">
        <v>383.07499999999999</v>
      </c>
      <c r="K1156">
        <v>381.11</v>
      </c>
      <c r="L1156">
        <v>378.459</v>
      </c>
      <c r="M1156" s="233" t="s">
        <v>530</v>
      </c>
      <c r="N1156" s="233" t="s">
        <v>531</v>
      </c>
      <c r="O1156" s="3" t="s">
        <v>1612</v>
      </c>
    </row>
    <row r="1157" spans="1:15">
      <c r="A1157">
        <v>33</v>
      </c>
      <c r="B1157">
        <v>419</v>
      </c>
      <c r="C1157" t="s">
        <v>79</v>
      </c>
      <c r="D1157" t="s">
        <v>82</v>
      </c>
      <c r="E1157" s="232" t="s">
        <v>8744</v>
      </c>
      <c r="F1157" t="s">
        <v>70</v>
      </c>
      <c r="G1157">
        <v>2</v>
      </c>
      <c r="H1157">
        <v>387.42</v>
      </c>
      <c r="I1157">
        <v>385.26</v>
      </c>
      <c r="J1157">
        <v>382.90600000000001</v>
      </c>
      <c r="K1157">
        <v>381.03500000000003</v>
      </c>
      <c r="L1157">
        <v>378.38400000000001</v>
      </c>
      <c r="M1157" s="233" t="s">
        <v>530</v>
      </c>
      <c r="N1157" s="233" t="s">
        <v>531</v>
      </c>
      <c r="O1157" s="3" t="s">
        <v>1613</v>
      </c>
    </row>
    <row r="1158" spans="1:15">
      <c r="A1158">
        <v>33</v>
      </c>
      <c r="B1158">
        <v>418</v>
      </c>
      <c r="C1158" t="s">
        <v>79</v>
      </c>
      <c r="D1158" t="s">
        <v>82</v>
      </c>
      <c r="E1158" s="232" t="s">
        <v>9703</v>
      </c>
      <c r="F1158" t="s">
        <v>70</v>
      </c>
      <c r="G1158">
        <v>2</v>
      </c>
      <c r="H1158">
        <v>386.86200000000002</v>
      </c>
      <c r="I1158">
        <v>385.072</v>
      </c>
      <c r="J1158">
        <v>382.64800000000002</v>
      </c>
      <c r="K1158">
        <v>380.70299999999997</v>
      </c>
      <c r="L1158">
        <v>378.00599999999997</v>
      </c>
      <c r="M1158" s="233" t="s">
        <v>530</v>
      </c>
      <c r="N1158" s="233" t="s">
        <v>531</v>
      </c>
      <c r="O1158" s="3" t="s">
        <v>1614</v>
      </c>
    </row>
    <row r="1159" spans="1:15">
      <c r="A1159">
        <v>33</v>
      </c>
      <c r="B1159">
        <v>431</v>
      </c>
      <c r="C1159" t="s">
        <v>79</v>
      </c>
      <c r="D1159" t="s">
        <v>82</v>
      </c>
      <c r="E1159" s="232" t="s">
        <v>9911</v>
      </c>
      <c r="F1159" t="s">
        <v>70</v>
      </c>
      <c r="G1159">
        <v>2</v>
      </c>
      <c r="H1159">
        <v>384.57499999999999</v>
      </c>
      <c r="I1159">
        <v>382.72300000000001</v>
      </c>
      <c r="J1159">
        <v>380.14100000000002</v>
      </c>
      <c r="K1159">
        <v>378.149</v>
      </c>
      <c r="L1159">
        <v>375.48399999999998</v>
      </c>
      <c r="M1159" s="233" t="s">
        <v>530</v>
      </c>
      <c r="N1159" s="233" t="s">
        <v>531</v>
      </c>
      <c r="O1159" s="3" t="s">
        <v>1615</v>
      </c>
    </row>
    <row r="1160" spans="1:15">
      <c r="A1160">
        <v>35</v>
      </c>
      <c r="B1160">
        <v>466</v>
      </c>
      <c r="C1160" t="s">
        <v>79</v>
      </c>
      <c r="D1160" t="s">
        <v>82</v>
      </c>
      <c r="E1160" s="232" t="s">
        <v>9727</v>
      </c>
      <c r="F1160" t="s">
        <v>71</v>
      </c>
      <c r="G1160">
        <v>2</v>
      </c>
      <c r="H1160">
        <v>383.08300000000003</v>
      </c>
      <c r="I1160">
        <v>381.36099999999999</v>
      </c>
      <c r="J1160">
        <v>379.04899999999998</v>
      </c>
      <c r="K1160">
        <v>377.26299999999998</v>
      </c>
      <c r="L1160">
        <v>374.79899999999998</v>
      </c>
      <c r="M1160" s="233" t="s">
        <v>530</v>
      </c>
      <c r="N1160" s="233" t="s">
        <v>531</v>
      </c>
      <c r="O1160" s="3" t="s">
        <v>1616</v>
      </c>
    </row>
    <row r="1161" spans="1:15">
      <c r="A1161">
        <v>44</v>
      </c>
      <c r="B1161">
        <v>469</v>
      </c>
      <c r="C1161" t="s">
        <v>79</v>
      </c>
      <c r="D1161" t="s">
        <v>83</v>
      </c>
      <c r="E1161" s="232" t="s">
        <v>9039</v>
      </c>
      <c r="F1161" t="s">
        <v>70</v>
      </c>
      <c r="G1161">
        <v>2</v>
      </c>
      <c r="H1161">
        <v>917.41700000000003</v>
      </c>
      <c r="I1161">
        <v>914.36</v>
      </c>
      <c r="J1161">
        <v>909.80100000000004</v>
      </c>
      <c r="K1161">
        <v>906.02099999999996</v>
      </c>
      <c r="L1161">
        <v>900.91399999999999</v>
      </c>
      <c r="M1161" s="233" t="s">
        <v>532</v>
      </c>
      <c r="N1161" s="233" t="s">
        <v>533</v>
      </c>
      <c r="O1161" s="3" t="s">
        <v>1617</v>
      </c>
    </row>
    <row r="1162" spans="1:15">
      <c r="A1162">
        <v>44</v>
      </c>
      <c r="B1162">
        <v>475</v>
      </c>
      <c r="C1162" t="s">
        <v>79</v>
      </c>
      <c r="D1162" t="s">
        <v>83</v>
      </c>
      <c r="E1162" s="232" t="s">
        <v>9074</v>
      </c>
      <c r="F1162" t="s">
        <v>70</v>
      </c>
      <c r="G1162">
        <v>2</v>
      </c>
      <c r="H1162">
        <v>915.41800000000001</v>
      </c>
      <c r="I1162">
        <v>912.92399999999998</v>
      </c>
      <c r="J1162">
        <v>909.80100000000004</v>
      </c>
      <c r="K1162">
        <v>907.34500000000003</v>
      </c>
      <c r="L1162">
        <v>901.49900000000002</v>
      </c>
      <c r="M1162" s="233" t="s">
        <v>532</v>
      </c>
      <c r="N1162" s="233" t="s">
        <v>533</v>
      </c>
      <c r="O1162" s="3" t="s">
        <v>1618</v>
      </c>
    </row>
    <row r="1163" spans="1:15">
      <c r="A1163">
        <v>44</v>
      </c>
      <c r="B1163">
        <v>474</v>
      </c>
      <c r="C1163" t="s">
        <v>79</v>
      </c>
      <c r="D1163" t="s">
        <v>83</v>
      </c>
      <c r="E1163" s="232" t="s">
        <v>8418</v>
      </c>
      <c r="F1163" t="s">
        <v>70</v>
      </c>
      <c r="G1163">
        <v>2</v>
      </c>
      <c r="H1163">
        <v>915.05600000000004</v>
      </c>
      <c r="I1163">
        <v>912.37199999999996</v>
      </c>
      <c r="J1163">
        <v>909.28</v>
      </c>
      <c r="K1163">
        <v>902.41800000000001</v>
      </c>
      <c r="L1163">
        <v>899.59400000000005</v>
      </c>
      <c r="M1163" s="233" t="s">
        <v>532</v>
      </c>
      <c r="N1163" s="233" t="s">
        <v>533</v>
      </c>
      <c r="O1163" s="3" t="s">
        <v>1619</v>
      </c>
    </row>
    <row r="1164" spans="1:15">
      <c r="A1164">
        <v>44</v>
      </c>
      <c r="B1164">
        <v>468</v>
      </c>
      <c r="C1164" t="s">
        <v>79</v>
      </c>
      <c r="D1164" t="s">
        <v>83</v>
      </c>
      <c r="E1164" s="232" t="s">
        <v>9124</v>
      </c>
      <c r="F1164" t="s">
        <v>70</v>
      </c>
      <c r="G1164">
        <v>2</v>
      </c>
      <c r="H1164">
        <v>913.93700000000001</v>
      </c>
      <c r="I1164">
        <v>910.76099999999997</v>
      </c>
      <c r="J1164">
        <v>907.91200000000003</v>
      </c>
      <c r="K1164">
        <v>902.93499999999995</v>
      </c>
      <c r="L1164">
        <v>897.98599999999999</v>
      </c>
      <c r="M1164" s="233" t="s">
        <v>532</v>
      </c>
      <c r="N1164" s="233" t="s">
        <v>533</v>
      </c>
      <c r="O1164" s="3" t="s">
        <v>1620</v>
      </c>
    </row>
    <row r="1165" spans="1:15">
      <c r="A1165">
        <v>44</v>
      </c>
      <c r="B1165">
        <v>476</v>
      </c>
      <c r="C1165" t="s">
        <v>79</v>
      </c>
      <c r="D1165" t="s">
        <v>83</v>
      </c>
      <c r="E1165" s="232" t="s">
        <v>9107</v>
      </c>
      <c r="F1165" t="s">
        <v>70</v>
      </c>
      <c r="G1165">
        <v>2</v>
      </c>
      <c r="H1165">
        <v>914.85199999999998</v>
      </c>
      <c r="I1165">
        <v>911.88</v>
      </c>
      <c r="J1165">
        <v>907.70799999999997</v>
      </c>
      <c r="K1165">
        <v>902.05100000000004</v>
      </c>
      <c r="L1165">
        <v>899.42899999999997</v>
      </c>
      <c r="M1165" s="233" t="s">
        <v>532</v>
      </c>
      <c r="N1165" s="233" t="s">
        <v>533</v>
      </c>
      <c r="O1165" s="3" t="s">
        <v>1621</v>
      </c>
    </row>
    <row r="1166" spans="1:15">
      <c r="A1166">
        <v>44</v>
      </c>
      <c r="B1166">
        <v>477</v>
      </c>
      <c r="C1166" t="s">
        <v>79</v>
      </c>
      <c r="D1166" t="s">
        <v>83</v>
      </c>
      <c r="E1166" s="232" t="s">
        <v>7910</v>
      </c>
      <c r="F1166" t="s">
        <v>70</v>
      </c>
      <c r="G1166">
        <v>2</v>
      </c>
      <c r="H1166">
        <v>914.36</v>
      </c>
      <c r="I1166">
        <v>911.67600000000004</v>
      </c>
      <c r="J1166">
        <v>907.51099999999997</v>
      </c>
      <c r="K1166">
        <v>901.99099999999999</v>
      </c>
      <c r="L1166">
        <v>897.98599999999999</v>
      </c>
      <c r="M1166" s="233" t="s">
        <v>532</v>
      </c>
      <c r="N1166" s="233" t="s">
        <v>533</v>
      </c>
      <c r="O1166" s="3" t="s">
        <v>1622</v>
      </c>
    </row>
    <row r="1167" spans="1:15">
      <c r="A1167">
        <v>44</v>
      </c>
      <c r="B1167">
        <v>479</v>
      </c>
      <c r="C1167" t="s">
        <v>79</v>
      </c>
      <c r="D1167" t="s">
        <v>83</v>
      </c>
      <c r="E1167" s="232" t="s">
        <v>8640</v>
      </c>
      <c r="F1167" t="s">
        <v>70</v>
      </c>
      <c r="G1167">
        <v>2</v>
      </c>
      <c r="H1167">
        <v>913.93700000000001</v>
      </c>
      <c r="I1167">
        <v>910.76099999999997</v>
      </c>
      <c r="J1167">
        <v>906.44299999999998</v>
      </c>
      <c r="K1167">
        <v>902.93499999999995</v>
      </c>
      <c r="L1167">
        <v>899.26300000000003</v>
      </c>
      <c r="M1167" s="233" t="s">
        <v>532</v>
      </c>
      <c r="N1167" s="233" t="s">
        <v>533</v>
      </c>
      <c r="O1167" s="3" t="s">
        <v>1623</v>
      </c>
    </row>
    <row r="1168" spans="1:15">
      <c r="A1168">
        <v>44</v>
      </c>
      <c r="B1168">
        <v>478</v>
      </c>
      <c r="C1168" t="s">
        <v>79</v>
      </c>
      <c r="D1168" t="s">
        <v>83</v>
      </c>
      <c r="E1168" s="232" t="s">
        <v>8538</v>
      </c>
      <c r="F1168" t="s">
        <v>70</v>
      </c>
      <c r="G1168">
        <v>2</v>
      </c>
      <c r="H1168">
        <v>913.93700000000001</v>
      </c>
      <c r="I1168">
        <v>909.28</v>
      </c>
      <c r="J1168">
        <v>905.24099999999999</v>
      </c>
      <c r="K1168">
        <v>902.93499999999995</v>
      </c>
      <c r="L1168">
        <v>897.98599999999999</v>
      </c>
      <c r="M1168" s="233" t="s">
        <v>532</v>
      </c>
      <c r="N1168" s="233" t="s">
        <v>533</v>
      </c>
      <c r="O1168" s="3" t="s">
        <v>1624</v>
      </c>
    </row>
    <row r="1169" spans="1:15">
      <c r="A1169">
        <v>44</v>
      </c>
      <c r="B1169">
        <v>480</v>
      </c>
      <c r="C1169" t="s">
        <v>79</v>
      </c>
      <c r="D1169" t="s">
        <v>83</v>
      </c>
      <c r="E1169" s="232" t="s">
        <v>9349</v>
      </c>
      <c r="F1169" t="s">
        <v>70</v>
      </c>
      <c r="G1169">
        <v>2</v>
      </c>
      <c r="H1169">
        <v>911.88</v>
      </c>
      <c r="I1169">
        <v>909.28</v>
      </c>
      <c r="J1169">
        <v>904.75599999999997</v>
      </c>
      <c r="K1169">
        <v>901.28099999999995</v>
      </c>
      <c r="L1169">
        <v>897.98599999999999</v>
      </c>
      <c r="M1169" s="233" t="s">
        <v>532</v>
      </c>
      <c r="N1169" s="233" t="s">
        <v>533</v>
      </c>
      <c r="O1169" s="3" t="s">
        <v>1625</v>
      </c>
    </row>
    <row r="1170" spans="1:15">
      <c r="A1170">
        <v>45</v>
      </c>
      <c r="B1170">
        <v>487</v>
      </c>
      <c r="C1170" t="s">
        <v>79</v>
      </c>
      <c r="D1170" t="s">
        <v>83</v>
      </c>
      <c r="E1170" s="232" t="s">
        <v>9369</v>
      </c>
      <c r="F1170" t="s">
        <v>70</v>
      </c>
      <c r="G1170">
        <v>2</v>
      </c>
      <c r="H1170">
        <v>909.18</v>
      </c>
      <c r="I1170">
        <v>907.26199999999994</v>
      </c>
      <c r="J1170">
        <v>903.66399999999999</v>
      </c>
      <c r="K1170">
        <v>900.98199999999997</v>
      </c>
      <c r="L1170">
        <v>898.25599999999997</v>
      </c>
      <c r="M1170" s="233" t="s">
        <v>532</v>
      </c>
      <c r="N1170" s="233" t="s">
        <v>533</v>
      </c>
      <c r="O1170" s="3" t="s">
        <v>1626</v>
      </c>
    </row>
    <row r="1171" spans="1:15">
      <c r="A1171">
        <v>44</v>
      </c>
      <c r="B1171">
        <v>481</v>
      </c>
      <c r="C1171" t="s">
        <v>79</v>
      </c>
      <c r="D1171" t="s">
        <v>83</v>
      </c>
      <c r="E1171" s="232" t="s">
        <v>550</v>
      </c>
      <c r="F1171" t="s">
        <v>70</v>
      </c>
      <c r="G1171">
        <v>2</v>
      </c>
      <c r="H1171">
        <v>910.76099999999997</v>
      </c>
      <c r="I1171">
        <v>907.91200000000003</v>
      </c>
      <c r="J1171">
        <v>903.68799999999999</v>
      </c>
      <c r="K1171">
        <v>900.91399999999999</v>
      </c>
      <c r="L1171">
        <v>898.35500000000002</v>
      </c>
      <c r="M1171" s="233" t="s">
        <v>532</v>
      </c>
      <c r="N1171" s="233" t="s">
        <v>533</v>
      </c>
      <c r="O1171" s="3" t="s">
        <v>1627</v>
      </c>
    </row>
    <row r="1172" spans="1:15">
      <c r="A1172">
        <v>44</v>
      </c>
      <c r="B1172">
        <v>484</v>
      </c>
      <c r="C1172" t="s">
        <v>79</v>
      </c>
      <c r="D1172" t="s">
        <v>83</v>
      </c>
      <c r="E1172" s="232" t="s">
        <v>551</v>
      </c>
      <c r="F1172" t="s">
        <v>70</v>
      </c>
      <c r="G1172">
        <v>2</v>
      </c>
      <c r="H1172">
        <v>912.92399999999998</v>
      </c>
      <c r="I1172">
        <v>909.64300000000003</v>
      </c>
      <c r="J1172">
        <v>903.42600000000004</v>
      </c>
      <c r="K1172">
        <v>900.91399999999999</v>
      </c>
      <c r="L1172">
        <v>899.42899999999997</v>
      </c>
      <c r="M1172" s="233" t="s">
        <v>532</v>
      </c>
      <c r="N1172" s="233" t="s">
        <v>533</v>
      </c>
      <c r="O1172" s="3" t="s">
        <v>1628</v>
      </c>
    </row>
    <row r="1173" spans="1:15">
      <c r="A1173">
        <v>44</v>
      </c>
      <c r="B1173">
        <v>486</v>
      </c>
      <c r="C1173" t="s">
        <v>79</v>
      </c>
      <c r="D1173" t="s">
        <v>83</v>
      </c>
      <c r="E1173" s="232" t="s">
        <v>9339</v>
      </c>
      <c r="F1173" t="s">
        <v>70</v>
      </c>
      <c r="G1173">
        <v>2</v>
      </c>
      <c r="H1173">
        <v>909.28</v>
      </c>
      <c r="I1173">
        <v>907.51099999999997</v>
      </c>
      <c r="J1173">
        <v>902.93499999999995</v>
      </c>
      <c r="K1173">
        <v>900.54499999999996</v>
      </c>
      <c r="L1173">
        <v>897.07799999999997</v>
      </c>
      <c r="M1173" s="233" t="s">
        <v>532</v>
      </c>
      <c r="N1173" s="233" t="s">
        <v>533</v>
      </c>
      <c r="O1173" s="3" t="s">
        <v>1629</v>
      </c>
    </row>
    <row r="1174" spans="1:15">
      <c r="A1174">
        <v>44</v>
      </c>
      <c r="B1174">
        <v>485</v>
      </c>
      <c r="C1174" t="s">
        <v>79</v>
      </c>
      <c r="D1174" t="s">
        <v>83</v>
      </c>
      <c r="E1174" s="232" t="s">
        <v>9417</v>
      </c>
      <c r="F1174" t="s">
        <v>70</v>
      </c>
      <c r="G1174">
        <v>2</v>
      </c>
      <c r="H1174">
        <v>912.37199999999996</v>
      </c>
      <c r="I1174">
        <v>908.33500000000004</v>
      </c>
      <c r="J1174">
        <v>902.99099999999999</v>
      </c>
      <c r="K1174">
        <v>900.15800000000002</v>
      </c>
      <c r="L1174">
        <v>896.87400000000002</v>
      </c>
      <c r="M1174" s="233" t="s">
        <v>532</v>
      </c>
      <c r="N1174" s="233" t="s">
        <v>533</v>
      </c>
      <c r="O1174" s="3" t="s">
        <v>1630</v>
      </c>
    </row>
    <row r="1175" spans="1:15">
      <c r="A1175">
        <v>44</v>
      </c>
      <c r="B1175">
        <v>483</v>
      </c>
      <c r="C1175" t="s">
        <v>79</v>
      </c>
      <c r="D1175" t="s">
        <v>83</v>
      </c>
      <c r="E1175" s="232" t="s">
        <v>9309</v>
      </c>
      <c r="F1175" t="s">
        <v>70</v>
      </c>
      <c r="G1175">
        <v>2</v>
      </c>
      <c r="H1175">
        <v>911.88</v>
      </c>
      <c r="I1175">
        <v>907.91200000000003</v>
      </c>
      <c r="J1175">
        <v>902.62199999999996</v>
      </c>
      <c r="K1175">
        <v>898.71799999999996</v>
      </c>
      <c r="L1175">
        <v>895.23199999999997</v>
      </c>
      <c r="M1175" s="233" t="s">
        <v>532</v>
      </c>
      <c r="N1175" s="233" t="s">
        <v>533</v>
      </c>
      <c r="O1175" s="3" t="s">
        <v>1631</v>
      </c>
    </row>
    <row r="1176" spans="1:15">
      <c r="A1176">
        <v>44</v>
      </c>
      <c r="B1176">
        <v>482</v>
      </c>
      <c r="C1176" t="s">
        <v>79</v>
      </c>
      <c r="D1176" t="s">
        <v>83</v>
      </c>
      <c r="E1176" s="232" t="s">
        <v>9360</v>
      </c>
      <c r="F1176" t="s">
        <v>70</v>
      </c>
      <c r="G1176">
        <v>2</v>
      </c>
      <c r="H1176">
        <v>909.64300000000003</v>
      </c>
      <c r="I1176">
        <v>906.44299999999998</v>
      </c>
      <c r="J1176">
        <v>902.05100000000004</v>
      </c>
      <c r="K1176">
        <v>899.42899999999997</v>
      </c>
      <c r="L1176">
        <v>895.96</v>
      </c>
      <c r="M1176" s="233" t="s">
        <v>532</v>
      </c>
      <c r="N1176" s="233" t="s">
        <v>533</v>
      </c>
      <c r="O1176" s="3" t="s">
        <v>1632</v>
      </c>
    </row>
    <row r="1177" spans="1:15">
      <c r="A1177">
        <v>45</v>
      </c>
      <c r="B1177">
        <v>489</v>
      </c>
      <c r="C1177" t="s">
        <v>79</v>
      </c>
      <c r="D1177" t="s">
        <v>83</v>
      </c>
      <c r="E1177" s="232" t="s">
        <v>9622</v>
      </c>
      <c r="F1177" t="s">
        <v>70</v>
      </c>
      <c r="G1177">
        <v>2</v>
      </c>
      <c r="H1177">
        <v>909.44399999999996</v>
      </c>
      <c r="I1177">
        <v>903.81700000000001</v>
      </c>
      <c r="J1177">
        <v>897.74099999999999</v>
      </c>
      <c r="K1177">
        <v>893.7</v>
      </c>
      <c r="L1177">
        <v>887.72199999999998</v>
      </c>
      <c r="M1177" s="233" t="s">
        <v>532</v>
      </c>
      <c r="N1177" s="233" t="s">
        <v>533</v>
      </c>
      <c r="O1177" s="3" t="s">
        <v>1633</v>
      </c>
    </row>
    <row r="1178" spans="1:15">
      <c r="A1178">
        <v>45</v>
      </c>
      <c r="B1178">
        <v>490</v>
      </c>
      <c r="C1178" t="s">
        <v>79</v>
      </c>
      <c r="D1178" t="s">
        <v>83</v>
      </c>
      <c r="E1178" s="232" t="s">
        <v>9616</v>
      </c>
      <c r="F1178" t="s">
        <v>70</v>
      </c>
      <c r="G1178">
        <v>2</v>
      </c>
      <c r="H1178">
        <v>909.44399999999996</v>
      </c>
      <c r="I1178">
        <v>903.81700000000001</v>
      </c>
      <c r="J1178">
        <v>897.74099999999999</v>
      </c>
      <c r="K1178">
        <v>893.7</v>
      </c>
      <c r="L1178">
        <v>887.72199999999998</v>
      </c>
      <c r="M1178" s="233" t="s">
        <v>532</v>
      </c>
      <c r="N1178" s="233" t="s">
        <v>533</v>
      </c>
      <c r="O1178" s="3" t="s">
        <v>1634</v>
      </c>
    </row>
    <row r="1179" spans="1:15">
      <c r="A1179">
        <v>41</v>
      </c>
      <c r="B1179">
        <v>491</v>
      </c>
      <c r="C1179" t="s">
        <v>79</v>
      </c>
      <c r="D1179" t="s">
        <v>83</v>
      </c>
      <c r="E1179" s="232" t="s">
        <v>8957</v>
      </c>
      <c r="F1179" t="s">
        <v>71</v>
      </c>
      <c r="G1179">
        <v>2</v>
      </c>
      <c r="H1179">
        <v>922.54300000000001</v>
      </c>
      <c r="I1179">
        <v>919.89400000000001</v>
      </c>
      <c r="J1179">
        <v>917.20399999999995</v>
      </c>
      <c r="K1179">
        <v>910.95100000000002</v>
      </c>
      <c r="L1179">
        <v>908.47699999999998</v>
      </c>
      <c r="M1179" s="233" t="s">
        <v>532</v>
      </c>
      <c r="N1179" s="233" t="s">
        <v>533</v>
      </c>
      <c r="O1179" s="3" t="s">
        <v>1635</v>
      </c>
    </row>
    <row r="1180" spans="1:15">
      <c r="A1180">
        <v>42</v>
      </c>
      <c r="B1180">
        <v>498</v>
      </c>
      <c r="C1180" t="s">
        <v>79</v>
      </c>
      <c r="D1180" t="s">
        <v>83</v>
      </c>
      <c r="E1180" s="232" t="s">
        <v>9332</v>
      </c>
      <c r="F1180" t="s">
        <v>71</v>
      </c>
      <c r="G1180">
        <v>2</v>
      </c>
      <c r="H1180">
        <v>920.87199999999996</v>
      </c>
      <c r="I1180">
        <v>918.55600000000004</v>
      </c>
      <c r="J1180">
        <v>914.00900000000001</v>
      </c>
      <c r="K1180">
        <v>910.35500000000002</v>
      </c>
      <c r="L1180">
        <v>901.697</v>
      </c>
      <c r="M1180" s="233" t="s">
        <v>532</v>
      </c>
      <c r="N1180" s="233" t="s">
        <v>533</v>
      </c>
      <c r="O1180" s="3" t="s">
        <v>1636</v>
      </c>
    </row>
    <row r="1181" spans="1:15">
      <c r="A1181">
        <v>41</v>
      </c>
      <c r="B1181">
        <v>494</v>
      </c>
      <c r="C1181" t="s">
        <v>79</v>
      </c>
      <c r="D1181" t="s">
        <v>83</v>
      </c>
      <c r="E1181" s="232" t="s">
        <v>489</v>
      </c>
      <c r="F1181" t="s">
        <v>71</v>
      </c>
      <c r="G1181">
        <v>2</v>
      </c>
      <c r="H1181">
        <v>916.39099999999996</v>
      </c>
      <c r="I1181">
        <v>913.02800000000002</v>
      </c>
      <c r="J1181">
        <v>909.20500000000004</v>
      </c>
      <c r="K1181">
        <v>904.14499999999998</v>
      </c>
      <c r="L1181">
        <v>900.83</v>
      </c>
      <c r="M1181" s="233" t="s">
        <v>532</v>
      </c>
      <c r="N1181" s="233" t="s">
        <v>533</v>
      </c>
      <c r="O1181" s="3" t="s">
        <v>1637</v>
      </c>
    </row>
    <row r="1182" spans="1:15">
      <c r="A1182">
        <v>42</v>
      </c>
      <c r="B1182">
        <v>495</v>
      </c>
      <c r="C1182" t="s">
        <v>79</v>
      </c>
      <c r="D1182" t="s">
        <v>83</v>
      </c>
      <c r="E1182" s="232" t="s">
        <v>9430</v>
      </c>
      <c r="F1182" t="s">
        <v>71</v>
      </c>
      <c r="G1182">
        <v>2</v>
      </c>
      <c r="H1182">
        <v>916.42700000000002</v>
      </c>
      <c r="I1182">
        <v>915.19600000000003</v>
      </c>
      <c r="J1182">
        <v>912.62199999999996</v>
      </c>
      <c r="K1182">
        <v>907.47500000000002</v>
      </c>
      <c r="L1182">
        <v>902.80899999999997</v>
      </c>
      <c r="M1182" s="233" t="s">
        <v>532</v>
      </c>
      <c r="N1182" s="233" t="s">
        <v>533</v>
      </c>
      <c r="O1182" s="3" t="s">
        <v>1638</v>
      </c>
    </row>
    <row r="1183" spans="1:15">
      <c r="A1183">
        <v>41</v>
      </c>
      <c r="B1183">
        <v>493</v>
      </c>
      <c r="C1183" t="s">
        <v>79</v>
      </c>
      <c r="D1183" t="s">
        <v>83</v>
      </c>
      <c r="E1183" s="232" t="s">
        <v>491</v>
      </c>
      <c r="F1183" t="s">
        <v>71</v>
      </c>
      <c r="G1183">
        <v>2</v>
      </c>
      <c r="H1183">
        <v>916.14</v>
      </c>
      <c r="I1183">
        <v>913.12800000000004</v>
      </c>
      <c r="J1183">
        <v>908.95299999999997</v>
      </c>
      <c r="K1183">
        <v>903.98</v>
      </c>
      <c r="L1183">
        <v>900.35799999999995</v>
      </c>
      <c r="M1183" s="233" t="s">
        <v>532</v>
      </c>
      <c r="N1183" s="233" t="s">
        <v>533</v>
      </c>
      <c r="O1183" s="3" t="s">
        <v>1639</v>
      </c>
    </row>
    <row r="1184" spans="1:15">
      <c r="A1184">
        <v>42</v>
      </c>
      <c r="B1184">
        <v>497</v>
      </c>
      <c r="C1184" t="s">
        <v>79</v>
      </c>
      <c r="D1184" t="s">
        <v>83</v>
      </c>
      <c r="E1184" s="232" t="s">
        <v>8726</v>
      </c>
      <c r="F1184" t="s">
        <v>71</v>
      </c>
      <c r="G1184">
        <v>2</v>
      </c>
      <c r="H1184">
        <v>918.87699999999995</v>
      </c>
      <c r="I1184">
        <v>915.58399999999995</v>
      </c>
      <c r="J1184">
        <v>911.79200000000003</v>
      </c>
      <c r="K1184">
        <v>905.798</v>
      </c>
      <c r="L1184">
        <v>897.79700000000003</v>
      </c>
      <c r="M1184" s="233" t="s">
        <v>532</v>
      </c>
      <c r="N1184" s="233" t="s">
        <v>533</v>
      </c>
      <c r="O1184" s="3" t="s">
        <v>1640</v>
      </c>
    </row>
    <row r="1185" spans="1:15">
      <c r="A1185">
        <v>42</v>
      </c>
      <c r="B1185">
        <v>501</v>
      </c>
      <c r="C1185" t="s">
        <v>79</v>
      </c>
      <c r="D1185" t="s">
        <v>83</v>
      </c>
      <c r="E1185" s="232" t="s">
        <v>8883</v>
      </c>
      <c r="F1185" t="s">
        <v>71</v>
      </c>
      <c r="G1185">
        <v>2</v>
      </c>
      <c r="H1185">
        <v>920.87199999999996</v>
      </c>
      <c r="I1185">
        <v>916.42700000000002</v>
      </c>
      <c r="J1185">
        <v>911.15200000000004</v>
      </c>
      <c r="K1185">
        <v>907.47500000000002</v>
      </c>
      <c r="L1185">
        <v>902.80899999999997</v>
      </c>
      <c r="M1185" s="233" t="s">
        <v>532</v>
      </c>
      <c r="N1185" s="233" t="s">
        <v>533</v>
      </c>
      <c r="O1185" s="3" t="s">
        <v>1641</v>
      </c>
    </row>
    <row r="1186" spans="1:15">
      <c r="A1186">
        <v>42</v>
      </c>
      <c r="B1186">
        <v>499</v>
      </c>
      <c r="C1186" t="s">
        <v>79</v>
      </c>
      <c r="D1186" t="s">
        <v>83</v>
      </c>
      <c r="E1186" s="232" t="s">
        <v>8654</v>
      </c>
      <c r="F1186" t="s">
        <v>71</v>
      </c>
      <c r="G1186">
        <v>2</v>
      </c>
      <c r="H1186">
        <v>920.67499999999995</v>
      </c>
      <c r="I1186">
        <v>916.404</v>
      </c>
      <c r="J1186">
        <v>910.87400000000002</v>
      </c>
      <c r="K1186">
        <v>907.33399999999995</v>
      </c>
      <c r="L1186">
        <v>902.66800000000001</v>
      </c>
      <c r="M1186" s="233" t="s">
        <v>532</v>
      </c>
      <c r="N1186" s="233" t="s">
        <v>533</v>
      </c>
      <c r="O1186" s="3" t="s">
        <v>1642</v>
      </c>
    </row>
    <row r="1187" spans="1:15">
      <c r="A1187">
        <v>42</v>
      </c>
      <c r="B1187">
        <v>502</v>
      </c>
      <c r="C1187" t="s">
        <v>79</v>
      </c>
      <c r="D1187" t="s">
        <v>83</v>
      </c>
      <c r="E1187" s="232" t="s">
        <v>8618</v>
      </c>
      <c r="F1187" t="s">
        <v>71</v>
      </c>
      <c r="G1187">
        <v>2</v>
      </c>
      <c r="H1187">
        <v>920.67499999999995</v>
      </c>
      <c r="I1187">
        <v>916.404</v>
      </c>
      <c r="J1187">
        <v>910.87400000000002</v>
      </c>
      <c r="K1187">
        <v>907.33399999999995</v>
      </c>
      <c r="L1187">
        <v>902.66800000000001</v>
      </c>
      <c r="M1187" s="233" t="s">
        <v>532</v>
      </c>
      <c r="N1187" s="233" t="s">
        <v>533</v>
      </c>
      <c r="O1187" s="3" t="s">
        <v>1643</v>
      </c>
    </row>
    <row r="1188" spans="1:15">
      <c r="A1188">
        <v>42</v>
      </c>
      <c r="B1188">
        <v>503</v>
      </c>
      <c r="C1188" t="s">
        <v>79</v>
      </c>
      <c r="D1188" t="s">
        <v>83</v>
      </c>
      <c r="E1188" s="232" t="s">
        <v>9479</v>
      </c>
      <c r="F1188" t="s">
        <v>71</v>
      </c>
      <c r="G1188">
        <v>2</v>
      </c>
      <c r="H1188">
        <v>920.29600000000005</v>
      </c>
      <c r="I1188">
        <v>915.96299999999997</v>
      </c>
      <c r="J1188">
        <v>910.87400000000002</v>
      </c>
      <c r="K1188">
        <v>907.05700000000002</v>
      </c>
      <c r="L1188">
        <v>902.08900000000006</v>
      </c>
      <c r="M1188" s="233" t="s">
        <v>532</v>
      </c>
      <c r="N1188" s="233" t="s">
        <v>533</v>
      </c>
      <c r="O1188" s="3" t="s">
        <v>1644</v>
      </c>
    </row>
    <row r="1189" spans="1:15">
      <c r="A1189">
        <v>42</v>
      </c>
      <c r="B1189">
        <v>504</v>
      </c>
      <c r="C1189" t="s">
        <v>79</v>
      </c>
      <c r="D1189" t="s">
        <v>83</v>
      </c>
      <c r="E1189" s="232" t="s">
        <v>9511</v>
      </c>
      <c r="F1189" t="s">
        <v>71</v>
      </c>
      <c r="G1189">
        <v>2</v>
      </c>
      <c r="H1189">
        <v>920.29600000000005</v>
      </c>
      <c r="I1189">
        <v>915.96299999999997</v>
      </c>
      <c r="J1189">
        <v>910.87400000000002</v>
      </c>
      <c r="K1189">
        <v>907.05700000000002</v>
      </c>
      <c r="L1189">
        <v>902.08900000000006</v>
      </c>
      <c r="M1189" s="233" t="s">
        <v>532</v>
      </c>
      <c r="N1189" s="233" t="s">
        <v>533</v>
      </c>
      <c r="O1189" s="3" t="s">
        <v>1645</v>
      </c>
    </row>
    <row r="1190" spans="1:15">
      <c r="A1190">
        <v>41</v>
      </c>
      <c r="B1190">
        <v>500</v>
      </c>
      <c r="C1190" t="s">
        <v>79</v>
      </c>
      <c r="D1190" t="s">
        <v>83</v>
      </c>
      <c r="E1190" s="232" t="s">
        <v>499</v>
      </c>
      <c r="F1190" t="s">
        <v>71</v>
      </c>
      <c r="G1190">
        <v>2</v>
      </c>
      <c r="H1190">
        <v>904.14499999999998</v>
      </c>
      <c r="I1190">
        <v>900.83</v>
      </c>
      <c r="J1190">
        <v>894.99800000000005</v>
      </c>
      <c r="K1190">
        <v>890.98099999999999</v>
      </c>
      <c r="L1190">
        <v>884.78200000000004</v>
      </c>
      <c r="M1190" s="233" t="s">
        <v>532</v>
      </c>
      <c r="N1190" s="233" t="s">
        <v>533</v>
      </c>
      <c r="O1190" s="3" t="s">
        <v>1646</v>
      </c>
    </row>
    <row r="1191" spans="1:15">
      <c r="A1191">
        <v>88</v>
      </c>
      <c r="B1191">
        <v>506</v>
      </c>
      <c r="C1191" t="s">
        <v>79</v>
      </c>
      <c r="D1191" t="s">
        <v>224</v>
      </c>
      <c r="E1191" s="232" t="s">
        <v>9245</v>
      </c>
      <c r="F1191" t="s">
        <v>70</v>
      </c>
      <c r="G1191">
        <v>2</v>
      </c>
      <c r="H1191">
        <v>937.39800000000002</v>
      </c>
      <c r="I1191">
        <v>935.83199999999999</v>
      </c>
      <c r="J1191">
        <v>934.83399999999995</v>
      </c>
      <c r="K1191">
        <v>930.875</v>
      </c>
      <c r="L1191">
        <v>925.81899999999996</v>
      </c>
      <c r="M1191" s="233" t="s">
        <v>532</v>
      </c>
      <c r="N1191" s="233" t="s">
        <v>533</v>
      </c>
      <c r="O1191" s="3" t="s">
        <v>1647</v>
      </c>
    </row>
    <row r="1192" spans="1:15">
      <c r="A1192">
        <v>88</v>
      </c>
      <c r="B1192">
        <v>510</v>
      </c>
      <c r="C1192" t="s">
        <v>79</v>
      </c>
      <c r="D1192" t="s">
        <v>224</v>
      </c>
      <c r="E1192" s="232" t="s">
        <v>9503</v>
      </c>
      <c r="F1192" t="s">
        <v>70</v>
      </c>
      <c r="G1192">
        <v>2</v>
      </c>
      <c r="H1192">
        <v>935.83199999999999</v>
      </c>
      <c r="I1192">
        <v>932.54899999999998</v>
      </c>
      <c r="J1192">
        <v>929.56</v>
      </c>
      <c r="K1192">
        <v>927.63400000000001</v>
      </c>
      <c r="L1192">
        <v>925.81899999999996</v>
      </c>
      <c r="M1192" s="233" t="s">
        <v>532</v>
      </c>
      <c r="N1192" s="233" t="s">
        <v>533</v>
      </c>
      <c r="O1192" s="3" t="s">
        <v>1648</v>
      </c>
    </row>
    <row r="1193" spans="1:15">
      <c r="A1193">
        <v>88</v>
      </c>
      <c r="B1193">
        <v>508</v>
      </c>
      <c r="C1193" t="s">
        <v>79</v>
      </c>
      <c r="D1193" t="s">
        <v>224</v>
      </c>
      <c r="E1193" s="232" t="s">
        <v>9627</v>
      </c>
      <c r="F1193" t="s">
        <v>70</v>
      </c>
      <c r="G1193">
        <v>2</v>
      </c>
      <c r="H1193">
        <v>933.39200000000005</v>
      </c>
      <c r="I1193">
        <v>930.02599999999995</v>
      </c>
      <c r="J1193">
        <v>927.63400000000001</v>
      </c>
      <c r="K1193">
        <v>925.22400000000005</v>
      </c>
      <c r="L1193">
        <v>920.66399999999999</v>
      </c>
      <c r="M1193" s="233" t="s">
        <v>532</v>
      </c>
      <c r="N1193" s="233" t="s">
        <v>533</v>
      </c>
      <c r="O1193" s="3" t="s">
        <v>1649</v>
      </c>
    </row>
    <row r="1194" spans="1:15">
      <c r="A1194">
        <v>88</v>
      </c>
      <c r="B1194">
        <v>507</v>
      </c>
      <c r="C1194" t="s">
        <v>79</v>
      </c>
      <c r="D1194" t="s">
        <v>224</v>
      </c>
      <c r="E1194" s="232" t="s">
        <v>9808</v>
      </c>
      <c r="F1194" t="s">
        <v>70</v>
      </c>
      <c r="G1194">
        <v>2</v>
      </c>
      <c r="H1194">
        <v>926.44899999999996</v>
      </c>
      <c r="I1194">
        <v>925.22400000000005</v>
      </c>
      <c r="J1194">
        <v>923.96600000000001</v>
      </c>
      <c r="K1194">
        <v>921.46900000000005</v>
      </c>
      <c r="L1194">
        <v>915.44899999999996</v>
      </c>
      <c r="M1194" s="233" t="s">
        <v>532</v>
      </c>
      <c r="N1194" s="233" t="s">
        <v>533</v>
      </c>
      <c r="O1194" s="3" t="s">
        <v>1650</v>
      </c>
    </row>
    <row r="1195" spans="1:15">
      <c r="A1195">
        <v>89</v>
      </c>
      <c r="B1195">
        <v>519</v>
      </c>
      <c r="C1195" t="s">
        <v>79</v>
      </c>
      <c r="D1195" t="s">
        <v>224</v>
      </c>
      <c r="E1195" s="232" t="s">
        <v>9272</v>
      </c>
      <c r="F1195" t="s">
        <v>71</v>
      </c>
      <c r="G1195">
        <v>2</v>
      </c>
      <c r="H1195">
        <v>930.86699999999996</v>
      </c>
      <c r="I1195">
        <v>926.93200000000002</v>
      </c>
      <c r="J1195">
        <v>925.06799999999998</v>
      </c>
      <c r="K1195">
        <v>923.06700000000001</v>
      </c>
      <c r="L1195">
        <v>919.44399999999996</v>
      </c>
      <c r="M1195" s="233" t="s">
        <v>532</v>
      </c>
      <c r="N1195" s="233" t="s">
        <v>533</v>
      </c>
      <c r="O1195" s="3" t="s">
        <v>1651</v>
      </c>
    </row>
    <row r="1196" spans="1:15">
      <c r="A1196">
        <v>89</v>
      </c>
      <c r="B1196">
        <v>512</v>
      </c>
      <c r="C1196" t="s">
        <v>79</v>
      </c>
      <c r="D1196" t="s">
        <v>224</v>
      </c>
      <c r="E1196" s="232" t="s">
        <v>9586</v>
      </c>
      <c r="F1196" t="s">
        <v>71</v>
      </c>
      <c r="G1196">
        <v>2</v>
      </c>
      <c r="H1196">
        <v>923.48699999999997</v>
      </c>
      <c r="I1196">
        <v>922.92600000000004</v>
      </c>
      <c r="J1196">
        <v>921.76400000000001</v>
      </c>
      <c r="K1196">
        <v>919.44399999999996</v>
      </c>
      <c r="L1196">
        <v>914.81</v>
      </c>
      <c r="M1196" s="233" t="s">
        <v>532</v>
      </c>
      <c r="N1196" s="233" t="s">
        <v>533</v>
      </c>
      <c r="O1196" s="3" t="s">
        <v>1652</v>
      </c>
    </row>
    <row r="1197" spans="1:15">
      <c r="A1197">
        <v>89</v>
      </c>
      <c r="B1197">
        <v>514</v>
      </c>
      <c r="C1197" t="s">
        <v>79</v>
      </c>
      <c r="D1197" t="s">
        <v>224</v>
      </c>
      <c r="E1197" s="232" t="s">
        <v>8772</v>
      </c>
      <c r="F1197" t="s">
        <v>71</v>
      </c>
      <c r="G1197">
        <v>2</v>
      </c>
      <c r="H1197">
        <v>924.08900000000006</v>
      </c>
      <c r="I1197">
        <v>923.06700000000001</v>
      </c>
      <c r="J1197">
        <v>921.76400000000001</v>
      </c>
      <c r="K1197">
        <v>920.4</v>
      </c>
      <c r="L1197">
        <v>918.45699999999999</v>
      </c>
      <c r="M1197" s="233" t="s">
        <v>532</v>
      </c>
      <c r="N1197" s="233" t="s">
        <v>533</v>
      </c>
      <c r="O1197" s="3" t="s">
        <v>1653</v>
      </c>
    </row>
    <row r="1198" spans="1:15">
      <c r="A1198">
        <v>90</v>
      </c>
      <c r="B1198">
        <v>521</v>
      </c>
      <c r="C1198" t="s">
        <v>79</v>
      </c>
      <c r="D1198" t="s">
        <v>224</v>
      </c>
      <c r="E1198" s="232" t="s">
        <v>9508</v>
      </c>
      <c r="F1198" t="s">
        <v>71</v>
      </c>
      <c r="G1198">
        <v>2</v>
      </c>
      <c r="H1198">
        <v>935.27300000000002</v>
      </c>
      <c r="I1198">
        <v>931.98400000000004</v>
      </c>
      <c r="J1198">
        <v>926.39200000000005</v>
      </c>
      <c r="K1198">
        <v>924.91300000000001</v>
      </c>
      <c r="L1198">
        <v>921.65200000000004</v>
      </c>
      <c r="M1198" s="233" t="s">
        <v>532</v>
      </c>
      <c r="N1198" s="233" t="s">
        <v>533</v>
      </c>
      <c r="O1198" s="3" t="s">
        <v>1654</v>
      </c>
    </row>
    <row r="1199" spans="1:15">
      <c r="A1199">
        <v>89</v>
      </c>
      <c r="B1199">
        <v>520</v>
      </c>
      <c r="C1199" t="s">
        <v>79</v>
      </c>
      <c r="D1199" t="s">
        <v>224</v>
      </c>
      <c r="E1199" s="232" t="s">
        <v>9464</v>
      </c>
      <c r="F1199" t="s">
        <v>71</v>
      </c>
      <c r="G1199">
        <v>2</v>
      </c>
      <c r="H1199">
        <v>928.97699999999998</v>
      </c>
      <c r="I1199">
        <v>924.71299999999997</v>
      </c>
      <c r="J1199">
        <v>920.33900000000006</v>
      </c>
      <c r="K1199">
        <v>917.02300000000002</v>
      </c>
      <c r="L1199">
        <v>911.97900000000004</v>
      </c>
      <c r="M1199" s="233" t="s">
        <v>532</v>
      </c>
      <c r="N1199" s="233" t="s">
        <v>533</v>
      </c>
      <c r="O1199" s="3" t="s">
        <v>1655</v>
      </c>
    </row>
    <row r="1200" spans="1:15">
      <c r="A1200">
        <v>40</v>
      </c>
      <c r="B1200">
        <v>528</v>
      </c>
      <c r="C1200" t="s">
        <v>79</v>
      </c>
      <c r="D1200" t="s">
        <v>9336</v>
      </c>
      <c r="E1200" s="232" t="s">
        <v>11409</v>
      </c>
      <c r="F1200" t="s">
        <v>70</v>
      </c>
      <c r="G1200">
        <v>2</v>
      </c>
      <c r="H1200">
        <v>626.92899999999997</v>
      </c>
      <c r="I1200">
        <v>624.69299999999998</v>
      </c>
      <c r="J1200">
        <v>622.71500000000003</v>
      </c>
      <c r="K1200">
        <v>619.75199999999995</v>
      </c>
      <c r="L1200">
        <v>613.52599999999995</v>
      </c>
      <c r="M1200" s="233" t="s">
        <v>532</v>
      </c>
      <c r="N1200" s="233" t="s">
        <v>533</v>
      </c>
      <c r="O1200" s="3" t="s">
        <v>1656</v>
      </c>
    </row>
    <row r="1201" spans="1:15">
      <c r="A1201">
        <v>40</v>
      </c>
      <c r="B1201">
        <v>530</v>
      </c>
      <c r="C1201" t="s">
        <v>79</v>
      </c>
      <c r="D1201" t="s">
        <v>9336</v>
      </c>
      <c r="E1201" s="232" t="s">
        <v>9439</v>
      </c>
      <c r="F1201" t="s">
        <v>70</v>
      </c>
      <c r="G1201">
        <v>2</v>
      </c>
      <c r="H1201">
        <v>625.82500000000005</v>
      </c>
      <c r="I1201">
        <v>623.69100000000003</v>
      </c>
      <c r="J1201">
        <v>621.74300000000005</v>
      </c>
      <c r="K1201">
        <v>619.27499999999998</v>
      </c>
      <c r="L1201">
        <v>615.601</v>
      </c>
      <c r="M1201" s="233" t="s">
        <v>532</v>
      </c>
      <c r="N1201" s="233" t="s">
        <v>533</v>
      </c>
      <c r="O1201" s="3" t="s">
        <v>1657</v>
      </c>
    </row>
    <row r="1202" spans="1:15">
      <c r="A1202">
        <v>40</v>
      </c>
      <c r="B1202">
        <v>527</v>
      </c>
      <c r="C1202" t="s">
        <v>79</v>
      </c>
      <c r="D1202" t="s">
        <v>9336</v>
      </c>
      <c r="E1202" s="232" t="s">
        <v>7825</v>
      </c>
      <c r="F1202" t="s">
        <v>70</v>
      </c>
      <c r="G1202">
        <v>2</v>
      </c>
      <c r="H1202">
        <v>625.37400000000002</v>
      </c>
      <c r="I1202">
        <v>622.98599999999999</v>
      </c>
      <c r="J1202">
        <v>621.26300000000003</v>
      </c>
      <c r="K1202">
        <v>618.88</v>
      </c>
      <c r="L1202">
        <v>611.52</v>
      </c>
      <c r="M1202" s="233" t="s">
        <v>532</v>
      </c>
      <c r="N1202" s="233" t="s">
        <v>533</v>
      </c>
      <c r="O1202" s="3" t="s">
        <v>1658</v>
      </c>
    </row>
    <row r="1203" spans="1:15">
      <c r="A1203">
        <v>40</v>
      </c>
      <c r="B1203">
        <v>537</v>
      </c>
      <c r="C1203" t="s">
        <v>79</v>
      </c>
      <c r="D1203" t="s">
        <v>9336</v>
      </c>
      <c r="E1203" s="232" t="s">
        <v>420</v>
      </c>
      <c r="F1203" t="s">
        <v>70</v>
      </c>
      <c r="G1203">
        <v>2</v>
      </c>
      <c r="H1203">
        <v>624.59799999999996</v>
      </c>
      <c r="I1203">
        <v>622.62300000000005</v>
      </c>
      <c r="J1203">
        <v>620.67600000000004</v>
      </c>
      <c r="K1203">
        <v>618.34</v>
      </c>
      <c r="L1203">
        <v>614.55999999999995</v>
      </c>
      <c r="M1203" s="233" t="s">
        <v>532</v>
      </c>
      <c r="N1203" s="233" t="s">
        <v>533</v>
      </c>
      <c r="O1203" s="3" t="s">
        <v>1659</v>
      </c>
    </row>
    <row r="1204" spans="1:15">
      <c r="A1204">
        <v>40</v>
      </c>
      <c r="B1204">
        <v>536</v>
      </c>
      <c r="C1204" t="s">
        <v>79</v>
      </c>
      <c r="D1204" t="s">
        <v>9336</v>
      </c>
      <c r="E1204" s="232" t="s">
        <v>9795</v>
      </c>
      <c r="F1204" t="s">
        <v>70</v>
      </c>
      <c r="G1204">
        <v>2</v>
      </c>
      <c r="H1204">
        <v>623.59500000000003</v>
      </c>
      <c r="I1204">
        <v>621.64800000000002</v>
      </c>
      <c r="J1204">
        <v>620.04100000000005</v>
      </c>
      <c r="K1204">
        <v>617.68100000000004</v>
      </c>
      <c r="L1204">
        <v>613.75199999999995</v>
      </c>
      <c r="M1204" s="233" t="s">
        <v>532</v>
      </c>
      <c r="N1204" s="233" t="s">
        <v>533</v>
      </c>
      <c r="O1204" s="3" t="s">
        <v>1660</v>
      </c>
    </row>
    <row r="1205" spans="1:15">
      <c r="A1205">
        <v>39</v>
      </c>
      <c r="B1205">
        <v>541</v>
      </c>
      <c r="C1205" t="s">
        <v>79</v>
      </c>
      <c r="D1205" t="s">
        <v>9336</v>
      </c>
      <c r="E1205" s="232" t="s">
        <v>9596</v>
      </c>
      <c r="F1205" t="s">
        <v>71</v>
      </c>
      <c r="G1205">
        <v>2</v>
      </c>
      <c r="H1205">
        <v>652.44500000000005</v>
      </c>
      <c r="I1205">
        <v>651.75400000000002</v>
      </c>
      <c r="J1205">
        <v>649.97</v>
      </c>
      <c r="K1205">
        <v>648.30600000000004</v>
      </c>
      <c r="L1205">
        <v>646.64800000000002</v>
      </c>
      <c r="M1205" s="233" t="s">
        <v>532</v>
      </c>
      <c r="N1205" s="233" t="s">
        <v>533</v>
      </c>
      <c r="O1205" s="3" t="s">
        <v>1661</v>
      </c>
    </row>
    <row r="1206" spans="1:15">
      <c r="A1206">
        <v>39</v>
      </c>
      <c r="B1206">
        <v>544</v>
      </c>
      <c r="C1206" t="s">
        <v>79</v>
      </c>
      <c r="D1206" t="s">
        <v>9336</v>
      </c>
      <c r="E1206" s="232" t="s">
        <v>9633</v>
      </c>
      <c r="F1206" t="s">
        <v>71</v>
      </c>
      <c r="G1206">
        <v>2</v>
      </c>
      <c r="H1206">
        <v>653.36500000000001</v>
      </c>
      <c r="I1206">
        <v>651.15499999999997</v>
      </c>
      <c r="J1206">
        <v>649.03700000000003</v>
      </c>
      <c r="K1206">
        <v>644.55700000000002</v>
      </c>
      <c r="L1206">
        <v>641.31299999999999</v>
      </c>
      <c r="M1206" s="233" t="s">
        <v>532</v>
      </c>
      <c r="N1206" s="233" t="s">
        <v>533</v>
      </c>
      <c r="O1206" s="3" t="s">
        <v>1662</v>
      </c>
    </row>
    <row r="1207" spans="1:15">
      <c r="A1207">
        <v>39</v>
      </c>
      <c r="B1207">
        <v>542</v>
      </c>
      <c r="C1207" t="s">
        <v>79</v>
      </c>
      <c r="D1207" t="s">
        <v>9336</v>
      </c>
      <c r="E1207" s="232" t="s">
        <v>489</v>
      </c>
      <c r="F1207" t="s">
        <v>71</v>
      </c>
      <c r="G1207">
        <v>2</v>
      </c>
      <c r="H1207">
        <v>652.91999999999996</v>
      </c>
      <c r="I1207">
        <v>650.327</v>
      </c>
      <c r="J1207">
        <v>646.84400000000005</v>
      </c>
      <c r="K1207">
        <v>644.62699999999995</v>
      </c>
      <c r="L1207">
        <v>640.88699999999994</v>
      </c>
      <c r="M1207" s="233" t="s">
        <v>532</v>
      </c>
      <c r="N1207" s="233" t="s">
        <v>533</v>
      </c>
      <c r="O1207" s="3" t="s">
        <v>1663</v>
      </c>
    </row>
    <row r="1208" spans="1:15">
      <c r="A1208">
        <v>39</v>
      </c>
      <c r="B1208">
        <v>566</v>
      </c>
      <c r="C1208" t="s">
        <v>79</v>
      </c>
      <c r="D1208" t="s">
        <v>9336</v>
      </c>
      <c r="E1208" s="232" t="s">
        <v>8726</v>
      </c>
      <c r="F1208" t="s">
        <v>71</v>
      </c>
      <c r="G1208">
        <v>2</v>
      </c>
      <c r="H1208">
        <v>652.44500000000005</v>
      </c>
      <c r="I1208">
        <v>649.90099999999995</v>
      </c>
      <c r="J1208">
        <v>646.54100000000005</v>
      </c>
      <c r="K1208">
        <v>644.23800000000006</v>
      </c>
      <c r="L1208">
        <v>639.83600000000001</v>
      </c>
      <c r="M1208" s="233" t="s">
        <v>532</v>
      </c>
      <c r="N1208" s="233" t="s">
        <v>533</v>
      </c>
      <c r="O1208" s="3" t="s">
        <v>1664</v>
      </c>
    </row>
    <row r="1209" spans="1:15">
      <c r="A1209">
        <v>38</v>
      </c>
      <c r="B1209">
        <v>548</v>
      </c>
      <c r="C1209" t="s">
        <v>79</v>
      </c>
      <c r="D1209" t="s">
        <v>9336</v>
      </c>
      <c r="E1209" s="232" t="s">
        <v>9761</v>
      </c>
      <c r="F1209" t="s">
        <v>71</v>
      </c>
      <c r="G1209">
        <v>2</v>
      </c>
      <c r="H1209">
        <v>656.88499999999999</v>
      </c>
      <c r="I1209">
        <v>652.601</v>
      </c>
      <c r="J1209">
        <v>649.63</v>
      </c>
      <c r="K1209">
        <v>646.18100000000004</v>
      </c>
      <c r="L1209">
        <v>642.91099999999994</v>
      </c>
      <c r="M1209" s="233" t="s">
        <v>532</v>
      </c>
      <c r="N1209" s="233" t="s">
        <v>533</v>
      </c>
      <c r="O1209" s="3" t="s">
        <v>1665</v>
      </c>
    </row>
    <row r="1210" spans="1:15">
      <c r="A1210">
        <v>39</v>
      </c>
      <c r="B1210">
        <v>554</v>
      </c>
      <c r="C1210" t="s">
        <v>79</v>
      </c>
      <c r="D1210" t="s">
        <v>9336</v>
      </c>
      <c r="E1210" s="232" t="s">
        <v>8534</v>
      </c>
      <c r="F1210" t="s">
        <v>71</v>
      </c>
      <c r="G1210">
        <v>2</v>
      </c>
      <c r="H1210">
        <v>651.75400000000002</v>
      </c>
      <c r="I1210">
        <v>649.03700000000003</v>
      </c>
      <c r="J1210">
        <v>645.87599999999998</v>
      </c>
      <c r="K1210">
        <v>643.68399999999997</v>
      </c>
      <c r="L1210">
        <v>639.03</v>
      </c>
      <c r="M1210" s="233" t="s">
        <v>532</v>
      </c>
      <c r="N1210" s="233" t="s">
        <v>533</v>
      </c>
      <c r="O1210" s="3" t="s">
        <v>1666</v>
      </c>
    </row>
    <row r="1211" spans="1:15">
      <c r="A1211">
        <v>38</v>
      </c>
      <c r="B1211">
        <v>597</v>
      </c>
      <c r="C1211" t="s">
        <v>79</v>
      </c>
      <c r="D1211" t="s">
        <v>9336</v>
      </c>
      <c r="E1211" s="232" t="s">
        <v>9806</v>
      </c>
      <c r="F1211" t="s">
        <v>71</v>
      </c>
      <c r="G1211">
        <v>2</v>
      </c>
      <c r="H1211">
        <v>654.56500000000005</v>
      </c>
      <c r="I1211">
        <v>652.11699999999996</v>
      </c>
      <c r="J1211">
        <v>649.10199999999998</v>
      </c>
      <c r="K1211">
        <v>646.88</v>
      </c>
      <c r="L1211">
        <v>642.36699999999996</v>
      </c>
      <c r="M1211" s="233" t="s">
        <v>532</v>
      </c>
      <c r="N1211" s="233" t="s">
        <v>533</v>
      </c>
      <c r="O1211" s="3" t="s">
        <v>1667</v>
      </c>
    </row>
    <row r="1212" spans="1:15">
      <c r="A1212">
        <v>38</v>
      </c>
      <c r="B1212">
        <v>547</v>
      </c>
      <c r="C1212" t="s">
        <v>79</v>
      </c>
      <c r="D1212" t="s">
        <v>9336</v>
      </c>
      <c r="E1212" s="232" t="s">
        <v>9818</v>
      </c>
      <c r="F1212" t="s">
        <v>71</v>
      </c>
      <c r="G1212">
        <v>2</v>
      </c>
      <c r="H1212">
        <v>654.27099999999996</v>
      </c>
      <c r="I1212">
        <v>651.73699999999997</v>
      </c>
      <c r="J1212">
        <v>648.70899999999995</v>
      </c>
      <c r="K1212">
        <v>646.18100000000004</v>
      </c>
      <c r="L1212">
        <v>641.97400000000005</v>
      </c>
      <c r="M1212" s="233" t="s">
        <v>532</v>
      </c>
      <c r="N1212" s="233" t="s">
        <v>533</v>
      </c>
      <c r="O1212" s="3" t="s">
        <v>1668</v>
      </c>
    </row>
    <row r="1213" spans="1:15">
      <c r="A1213">
        <v>38</v>
      </c>
      <c r="B1213">
        <v>596</v>
      </c>
      <c r="C1213" t="s">
        <v>79</v>
      </c>
      <c r="D1213" t="s">
        <v>9336</v>
      </c>
      <c r="E1213" s="232" t="s">
        <v>9827</v>
      </c>
      <c r="F1213" t="s">
        <v>71</v>
      </c>
      <c r="G1213">
        <v>2</v>
      </c>
      <c r="H1213">
        <v>654.27099999999996</v>
      </c>
      <c r="I1213">
        <v>651.73699999999997</v>
      </c>
      <c r="J1213">
        <v>648.70899999999995</v>
      </c>
      <c r="K1213">
        <v>646.18100000000004</v>
      </c>
      <c r="L1213">
        <v>641.97400000000005</v>
      </c>
      <c r="M1213" s="233" t="s">
        <v>532</v>
      </c>
      <c r="N1213" s="233" t="s">
        <v>533</v>
      </c>
      <c r="O1213" s="3" t="s">
        <v>1669</v>
      </c>
    </row>
    <row r="1214" spans="1:15">
      <c r="A1214">
        <v>39</v>
      </c>
      <c r="B1214">
        <v>546</v>
      </c>
      <c r="C1214" t="s">
        <v>79</v>
      </c>
      <c r="D1214" t="s">
        <v>9336</v>
      </c>
      <c r="E1214" s="232" t="s">
        <v>491</v>
      </c>
      <c r="F1214" t="s">
        <v>71</v>
      </c>
      <c r="G1214">
        <v>2</v>
      </c>
      <c r="H1214">
        <v>647.22299999999996</v>
      </c>
      <c r="I1214">
        <v>646.16200000000003</v>
      </c>
      <c r="J1214">
        <v>645.13699999999994</v>
      </c>
      <c r="K1214">
        <v>636.06399999999996</v>
      </c>
      <c r="L1214">
        <v>632.95399999999995</v>
      </c>
      <c r="M1214" s="233" t="s">
        <v>532</v>
      </c>
      <c r="N1214" s="233" t="s">
        <v>533</v>
      </c>
      <c r="O1214" s="3" t="s">
        <v>1670</v>
      </c>
    </row>
    <row r="1215" spans="1:15">
      <c r="A1215">
        <v>39</v>
      </c>
      <c r="B1215">
        <v>602</v>
      </c>
      <c r="C1215" t="s">
        <v>79</v>
      </c>
      <c r="D1215" t="s">
        <v>9336</v>
      </c>
      <c r="E1215" s="232" t="s">
        <v>9896</v>
      </c>
      <c r="F1215" t="s">
        <v>71</v>
      </c>
      <c r="G1215">
        <v>2</v>
      </c>
      <c r="H1215">
        <v>648.35500000000002</v>
      </c>
      <c r="I1215">
        <v>646.71699999999998</v>
      </c>
      <c r="J1215">
        <v>645.13699999999994</v>
      </c>
      <c r="K1215">
        <v>638.38199999999995</v>
      </c>
      <c r="L1215">
        <v>635.40200000000004</v>
      </c>
      <c r="M1215" s="233" t="s">
        <v>532</v>
      </c>
      <c r="N1215" s="233" t="s">
        <v>533</v>
      </c>
      <c r="O1215" s="3" t="s">
        <v>1671</v>
      </c>
    </row>
    <row r="1216" spans="1:15">
      <c r="A1216">
        <v>38</v>
      </c>
      <c r="B1216">
        <v>556</v>
      </c>
      <c r="C1216" t="s">
        <v>79</v>
      </c>
      <c r="D1216" t="s">
        <v>9336</v>
      </c>
      <c r="E1216" s="232" t="s">
        <v>9899</v>
      </c>
      <c r="F1216" t="s">
        <v>71</v>
      </c>
      <c r="G1216">
        <v>2</v>
      </c>
      <c r="H1216">
        <v>653.11800000000005</v>
      </c>
      <c r="I1216">
        <v>650.67499999999995</v>
      </c>
      <c r="J1216">
        <v>648.53700000000003</v>
      </c>
      <c r="K1216">
        <v>645.70799999999997</v>
      </c>
      <c r="L1216">
        <v>640.82100000000003</v>
      </c>
      <c r="M1216" s="233" t="s">
        <v>532</v>
      </c>
      <c r="N1216" s="233" t="s">
        <v>533</v>
      </c>
      <c r="O1216" s="3" t="s">
        <v>1672</v>
      </c>
    </row>
    <row r="1217" spans="1:15">
      <c r="A1217">
        <v>38</v>
      </c>
      <c r="B1217">
        <v>562</v>
      </c>
      <c r="C1217" t="s">
        <v>79</v>
      </c>
      <c r="D1217" t="s">
        <v>9336</v>
      </c>
      <c r="E1217" s="232" t="s">
        <v>9907</v>
      </c>
      <c r="F1217" t="s">
        <v>71</v>
      </c>
      <c r="G1217">
        <v>2</v>
      </c>
      <c r="H1217">
        <v>653.11800000000005</v>
      </c>
      <c r="I1217">
        <v>650.67499999999995</v>
      </c>
      <c r="J1217">
        <v>648.53700000000003</v>
      </c>
      <c r="K1217">
        <v>645.70799999999997</v>
      </c>
      <c r="L1217">
        <v>640.82100000000003</v>
      </c>
      <c r="M1217" s="233" t="s">
        <v>532</v>
      </c>
      <c r="N1217" s="233" t="s">
        <v>533</v>
      </c>
      <c r="O1217" s="3" t="s">
        <v>1673</v>
      </c>
    </row>
    <row r="1218" spans="1:15">
      <c r="A1218">
        <v>38</v>
      </c>
      <c r="B1218">
        <v>550</v>
      </c>
      <c r="C1218" t="s">
        <v>79</v>
      </c>
      <c r="D1218" t="s">
        <v>9336</v>
      </c>
      <c r="E1218" s="232" t="s">
        <v>9848</v>
      </c>
      <c r="F1218" t="s">
        <v>71</v>
      </c>
      <c r="G1218">
        <v>2</v>
      </c>
      <c r="H1218">
        <v>653.93100000000004</v>
      </c>
      <c r="I1218">
        <v>651.34100000000001</v>
      </c>
      <c r="J1218">
        <v>648.29600000000005</v>
      </c>
      <c r="K1218">
        <v>645.56500000000005</v>
      </c>
      <c r="L1218">
        <v>641.51599999999996</v>
      </c>
      <c r="M1218" s="233" t="s">
        <v>532</v>
      </c>
      <c r="N1218" s="233" t="s">
        <v>533</v>
      </c>
      <c r="O1218" s="3" t="s">
        <v>1674</v>
      </c>
    </row>
    <row r="1219" spans="1:15">
      <c r="A1219">
        <v>38</v>
      </c>
      <c r="B1219">
        <v>560</v>
      </c>
      <c r="C1219" t="s">
        <v>79</v>
      </c>
      <c r="D1219" t="s">
        <v>9336</v>
      </c>
      <c r="E1219" s="232" t="s">
        <v>9882</v>
      </c>
      <c r="F1219" t="s">
        <v>71</v>
      </c>
      <c r="G1219">
        <v>2</v>
      </c>
      <c r="H1219">
        <v>655.08399999999995</v>
      </c>
      <c r="I1219">
        <v>651.05200000000002</v>
      </c>
      <c r="J1219">
        <v>647.90300000000002</v>
      </c>
      <c r="K1219">
        <v>641.79499999999996</v>
      </c>
      <c r="L1219">
        <v>637.46</v>
      </c>
      <c r="M1219" s="233" t="s">
        <v>532</v>
      </c>
      <c r="N1219" s="233" t="s">
        <v>533</v>
      </c>
      <c r="O1219" s="3" t="s">
        <v>1675</v>
      </c>
    </row>
    <row r="1220" spans="1:15">
      <c r="A1220">
        <v>38</v>
      </c>
      <c r="B1220">
        <v>600</v>
      </c>
      <c r="C1220" t="s">
        <v>79</v>
      </c>
      <c r="D1220" t="s">
        <v>9336</v>
      </c>
      <c r="E1220" s="232" t="s">
        <v>9905</v>
      </c>
      <c r="F1220" t="s">
        <v>71</v>
      </c>
      <c r="G1220">
        <v>2</v>
      </c>
      <c r="H1220">
        <v>653.26099999999997</v>
      </c>
      <c r="I1220">
        <v>650.80999999999995</v>
      </c>
      <c r="J1220">
        <v>647.82100000000003</v>
      </c>
      <c r="K1220">
        <v>644.78599999999994</v>
      </c>
      <c r="L1220">
        <v>640.9</v>
      </c>
      <c r="M1220" s="233" t="s">
        <v>532</v>
      </c>
      <c r="N1220" s="233" t="s">
        <v>533</v>
      </c>
      <c r="O1220" s="3" t="s">
        <v>1676</v>
      </c>
    </row>
    <row r="1221" spans="1:15">
      <c r="A1221">
        <v>38</v>
      </c>
      <c r="B1221">
        <v>563</v>
      </c>
      <c r="C1221" t="s">
        <v>79</v>
      </c>
      <c r="D1221" t="s">
        <v>9336</v>
      </c>
      <c r="E1221" s="232" t="s">
        <v>9950</v>
      </c>
      <c r="F1221" t="s">
        <v>71</v>
      </c>
      <c r="G1221">
        <v>2</v>
      </c>
      <c r="H1221">
        <v>653.11800000000005</v>
      </c>
      <c r="I1221">
        <v>650.67499999999995</v>
      </c>
      <c r="J1221">
        <v>647.82100000000003</v>
      </c>
      <c r="K1221">
        <v>644.64300000000003</v>
      </c>
      <c r="L1221">
        <v>638.74599999999998</v>
      </c>
      <c r="M1221" s="233" t="s">
        <v>532</v>
      </c>
      <c r="N1221" s="233" t="s">
        <v>533</v>
      </c>
      <c r="O1221" s="3" t="s">
        <v>1677</v>
      </c>
    </row>
    <row r="1222" spans="1:15">
      <c r="A1222">
        <v>38</v>
      </c>
      <c r="B1222">
        <v>565</v>
      </c>
      <c r="C1222" t="s">
        <v>79</v>
      </c>
      <c r="D1222" t="s">
        <v>9336</v>
      </c>
      <c r="E1222" s="232" t="s">
        <v>9942</v>
      </c>
      <c r="F1222" t="s">
        <v>71</v>
      </c>
      <c r="G1222">
        <v>2</v>
      </c>
      <c r="H1222">
        <v>653.11800000000005</v>
      </c>
      <c r="I1222">
        <v>650.67499999999995</v>
      </c>
      <c r="J1222">
        <v>647.82100000000003</v>
      </c>
      <c r="K1222">
        <v>644.64300000000003</v>
      </c>
      <c r="L1222">
        <v>640.82100000000003</v>
      </c>
      <c r="M1222" s="233" t="s">
        <v>532</v>
      </c>
      <c r="N1222" s="233" t="s">
        <v>533</v>
      </c>
      <c r="O1222" s="3" t="s">
        <v>1678</v>
      </c>
    </row>
    <row r="1223" spans="1:15">
      <c r="A1223">
        <v>38</v>
      </c>
      <c r="B1223">
        <v>570</v>
      </c>
      <c r="C1223" t="s">
        <v>79</v>
      </c>
      <c r="D1223" t="s">
        <v>9336</v>
      </c>
      <c r="E1223" s="232" t="s">
        <v>9941</v>
      </c>
      <c r="F1223" t="s">
        <v>71</v>
      </c>
      <c r="G1223">
        <v>2</v>
      </c>
      <c r="H1223">
        <v>653.11800000000005</v>
      </c>
      <c r="I1223">
        <v>650.67499999999995</v>
      </c>
      <c r="J1223">
        <v>647.82100000000003</v>
      </c>
      <c r="K1223">
        <v>644.64300000000003</v>
      </c>
      <c r="L1223">
        <v>638.74599999999998</v>
      </c>
      <c r="M1223" s="233" t="s">
        <v>532</v>
      </c>
      <c r="N1223" s="233" t="s">
        <v>533</v>
      </c>
      <c r="O1223" s="3" t="s">
        <v>1679</v>
      </c>
    </row>
    <row r="1224" spans="1:15">
      <c r="A1224">
        <v>38</v>
      </c>
      <c r="B1224">
        <v>561</v>
      </c>
      <c r="C1224" t="s">
        <v>79</v>
      </c>
      <c r="D1224" t="s">
        <v>9336</v>
      </c>
      <c r="E1224" s="232" t="s">
        <v>9983</v>
      </c>
      <c r="F1224" t="s">
        <v>71</v>
      </c>
      <c r="G1224">
        <v>2</v>
      </c>
      <c r="H1224">
        <v>653.06500000000005</v>
      </c>
      <c r="I1224">
        <v>650.43299999999999</v>
      </c>
      <c r="J1224">
        <v>647.52700000000004</v>
      </c>
      <c r="K1224">
        <v>644.49199999999996</v>
      </c>
      <c r="L1224">
        <v>640.57899999999995</v>
      </c>
      <c r="M1224" s="233" t="s">
        <v>532</v>
      </c>
      <c r="N1224" s="233" t="s">
        <v>533</v>
      </c>
      <c r="O1224" s="3" t="s">
        <v>1680</v>
      </c>
    </row>
    <row r="1225" spans="1:15">
      <c r="A1225">
        <v>38</v>
      </c>
      <c r="B1225">
        <v>564</v>
      </c>
      <c r="C1225" t="s">
        <v>79</v>
      </c>
      <c r="D1225" t="s">
        <v>9336</v>
      </c>
      <c r="E1225" s="232" t="s">
        <v>9958</v>
      </c>
      <c r="F1225" t="s">
        <v>71</v>
      </c>
      <c r="G1225">
        <v>2</v>
      </c>
      <c r="H1225">
        <v>653.06500000000005</v>
      </c>
      <c r="I1225">
        <v>650.43299999999999</v>
      </c>
      <c r="J1225">
        <v>647.52700000000004</v>
      </c>
      <c r="K1225">
        <v>644.49199999999996</v>
      </c>
      <c r="L1225">
        <v>638.505</v>
      </c>
      <c r="M1225" s="233" t="s">
        <v>532</v>
      </c>
      <c r="N1225" s="233" t="s">
        <v>533</v>
      </c>
      <c r="O1225" s="3" t="s">
        <v>1681</v>
      </c>
    </row>
    <row r="1226" spans="1:15">
      <c r="A1226">
        <v>38</v>
      </c>
      <c r="B1226">
        <v>599</v>
      </c>
      <c r="C1226" t="s">
        <v>79</v>
      </c>
      <c r="D1226" t="s">
        <v>9336</v>
      </c>
      <c r="E1226" s="232" t="s">
        <v>9891</v>
      </c>
      <c r="F1226" t="s">
        <v>71</v>
      </c>
      <c r="G1226">
        <v>2</v>
      </c>
      <c r="H1226">
        <v>654.56500000000005</v>
      </c>
      <c r="I1226">
        <v>651.34100000000001</v>
      </c>
      <c r="J1226">
        <v>647.52700000000004</v>
      </c>
      <c r="K1226">
        <v>641.51599999999996</v>
      </c>
      <c r="L1226">
        <v>633.51800000000003</v>
      </c>
      <c r="M1226" s="233" t="s">
        <v>532</v>
      </c>
      <c r="N1226" s="233" t="s">
        <v>533</v>
      </c>
      <c r="O1226" s="3" t="s">
        <v>1682</v>
      </c>
    </row>
    <row r="1227" spans="1:15">
      <c r="A1227">
        <v>38</v>
      </c>
      <c r="B1227">
        <v>598</v>
      </c>
      <c r="C1227" t="s">
        <v>79</v>
      </c>
      <c r="D1227" t="s">
        <v>9336</v>
      </c>
      <c r="E1227" s="232" t="s">
        <v>9906</v>
      </c>
      <c r="F1227" t="s">
        <v>71</v>
      </c>
      <c r="G1227">
        <v>2</v>
      </c>
      <c r="H1227">
        <v>654.46600000000001</v>
      </c>
      <c r="I1227">
        <v>651.24300000000005</v>
      </c>
      <c r="J1227">
        <v>647.42899999999997</v>
      </c>
      <c r="K1227">
        <v>641.274</v>
      </c>
      <c r="L1227">
        <v>633.27599999999995</v>
      </c>
      <c r="M1227" s="233" t="s">
        <v>532</v>
      </c>
      <c r="N1227" s="233" t="s">
        <v>533</v>
      </c>
      <c r="O1227" s="3" t="s">
        <v>1683</v>
      </c>
    </row>
    <row r="1228" spans="1:15">
      <c r="A1228">
        <v>38</v>
      </c>
      <c r="B1228">
        <v>601</v>
      </c>
      <c r="C1228" t="s">
        <v>79</v>
      </c>
      <c r="D1228" t="s">
        <v>9336</v>
      </c>
      <c r="E1228" s="232" t="s">
        <v>10017</v>
      </c>
      <c r="F1228" t="s">
        <v>71</v>
      </c>
      <c r="G1228">
        <v>2</v>
      </c>
      <c r="H1228">
        <v>652.50199999999995</v>
      </c>
      <c r="I1228">
        <v>650.05899999999997</v>
      </c>
      <c r="J1228">
        <v>647.18700000000001</v>
      </c>
      <c r="K1228">
        <v>644.25</v>
      </c>
      <c r="L1228">
        <v>640.33799999999997</v>
      </c>
      <c r="M1228" s="233" t="s">
        <v>532</v>
      </c>
      <c r="N1228" s="233" t="s">
        <v>533</v>
      </c>
      <c r="O1228" s="3" t="s">
        <v>1684</v>
      </c>
    </row>
    <row r="1229" spans="1:15">
      <c r="A1229">
        <v>39</v>
      </c>
      <c r="B1229">
        <v>567</v>
      </c>
      <c r="C1229" t="s">
        <v>79</v>
      </c>
      <c r="D1229" t="s">
        <v>9336</v>
      </c>
      <c r="E1229" s="232" t="s">
        <v>9411</v>
      </c>
      <c r="F1229" t="s">
        <v>71</v>
      </c>
      <c r="G1229">
        <v>2</v>
      </c>
      <c r="H1229">
        <v>649.03700000000003</v>
      </c>
      <c r="I1229">
        <v>646.71699999999998</v>
      </c>
      <c r="J1229">
        <v>643.827</v>
      </c>
      <c r="K1229">
        <v>640.50800000000004</v>
      </c>
      <c r="L1229">
        <v>636.55999999999995</v>
      </c>
      <c r="M1229" s="233" t="s">
        <v>532</v>
      </c>
      <c r="N1229" s="233" t="s">
        <v>533</v>
      </c>
      <c r="O1229" s="3" t="s">
        <v>1685</v>
      </c>
    </row>
    <row r="1230" spans="1:15">
      <c r="A1230">
        <v>39</v>
      </c>
      <c r="B1230">
        <v>603</v>
      </c>
      <c r="C1230" t="s">
        <v>79</v>
      </c>
      <c r="D1230" t="s">
        <v>9336</v>
      </c>
      <c r="E1230" s="232" t="s">
        <v>10015</v>
      </c>
      <c r="F1230" t="s">
        <v>71</v>
      </c>
      <c r="G1230">
        <v>2</v>
      </c>
      <c r="H1230">
        <v>649.03700000000003</v>
      </c>
      <c r="I1230">
        <v>646.64800000000002</v>
      </c>
      <c r="J1230">
        <v>643.68399999999997</v>
      </c>
      <c r="K1230">
        <v>640.40099999999995</v>
      </c>
      <c r="L1230">
        <v>636.38300000000004</v>
      </c>
      <c r="M1230" s="233" t="s">
        <v>532</v>
      </c>
      <c r="N1230" s="233" t="s">
        <v>533</v>
      </c>
      <c r="O1230" s="3" t="s">
        <v>1686</v>
      </c>
    </row>
    <row r="1231" spans="1:15">
      <c r="A1231">
        <v>38</v>
      </c>
      <c r="B1231">
        <v>579</v>
      </c>
      <c r="C1231" t="s">
        <v>79</v>
      </c>
      <c r="D1231" t="s">
        <v>9336</v>
      </c>
      <c r="E1231" s="232" t="s">
        <v>11672</v>
      </c>
      <c r="F1231" t="s">
        <v>71</v>
      </c>
      <c r="G1231">
        <v>2</v>
      </c>
      <c r="H1231">
        <v>622.76900000000001</v>
      </c>
      <c r="I1231">
        <v>620.40700000000004</v>
      </c>
      <c r="J1231">
        <v>618.03899999999999</v>
      </c>
      <c r="K1231">
        <v>615.92200000000003</v>
      </c>
      <c r="L1231">
        <v>613.23199999999997</v>
      </c>
      <c r="M1231" s="233" t="s">
        <v>532</v>
      </c>
      <c r="N1231" s="233" t="s">
        <v>533</v>
      </c>
      <c r="O1231" s="3" t="s">
        <v>1687</v>
      </c>
    </row>
    <row r="1232" spans="1:15">
      <c r="A1232">
        <v>38</v>
      </c>
      <c r="B1232">
        <v>605</v>
      </c>
      <c r="C1232" t="s">
        <v>79</v>
      </c>
      <c r="D1232" t="s">
        <v>9336</v>
      </c>
      <c r="E1232" s="232" t="s">
        <v>8883</v>
      </c>
      <c r="F1232" t="s">
        <v>71</v>
      </c>
      <c r="G1232">
        <v>2</v>
      </c>
      <c r="H1232">
        <v>616.60299999999995</v>
      </c>
      <c r="I1232">
        <v>615.29700000000003</v>
      </c>
      <c r="J1232">
        <v>613.99599999999998</v>
      </c>
      <c r="K1232">
        <v>610.31799999999998</v>
      </c>
      <c r="L1232">
        <v>609.14499999999998</v>
      </c>
      <c r="M1232" s="233" t="s">
        <v>532</v>
      </c>
      <c r="N1232" s="233" t="s">
        <v>533</v>
      </c>
      <c r="O1232" s="3" t="s">
        <v>1688</v>
      </c>
    </row>
    <row r="1233" spans="1:15">
      <c r="A1233">
        <v>38</v>
      </c>
      <c r="B1233">
        <v>583</v>
      </c>
      <c r="C1233" t="s">
        <v>79</v>
      </c>
      <c r="D1233" t="s">
        <v>9336</v>
      </c>
      <c r="E1233" s="232" t="s">
        <v>12067</v>
      </c>
      <c r="F1233" t="s">
        <v>71</v>
      </c>
      <c r="G1233">
        <v>2</v>
      </c>
      <c r="H1233">
        <v>618.34500000000003</v>
      </c>
      <c r="I1233">
        <v>616.16399999999999</v>
      </c>
      <c r="J1233">
        <v>613.23199999999997</v>
      </c>
      <c r="K1233">
        <v>610.21400000000006</v>
      </c>
      <c r="L1233">
        <v>605.47299999999996</v>
      </c>
      <c r="M1233" s="233" t="s">
        <v>532</v>
      </c>
      <c r="N1233" s="233" t="s">
        <v>533</v>
      </c>
      <c r="O1233" s="3" t="s">
        <v>1689</v>
      </c>
    </row>
    <row r="1234" spans="1:15">
      <c r="A1234">
        <v>38</v>
      </c>
      <c r="B1234">
        <v>607</v>
      </c>
      <c r="C1234" t="s">
        <v>79</v>
      </c>
      <c r="D1234" t="s">
        <v>9336</v>
      </c>
      <c r="E1234" s="232" t="s">
        <v>12133</v>
      </c>
      <c r="F1234" t="s">
        <v>71</v>
      </c>
      <c r="G1234">
        <v>2</v>
      </c>
      <c r="H1234">
        <v>617.94000000000005</v>
      </c>
      <c r="I1234">
        <v>615.77099999999996</v>
      </c>
      <c r="J1234">
        <v>612.476</v>
      </c>
      <c r="K1234">
        <v>610.21400000000006</v>
      </c>
      <c r="L1234">
        <v>607.41600000000005</v>
      </c>
      <c r="M1234" s="233" t="s">
        <v>532</v>
      </c>
      <c r="N1234" s="233" t="s">
        <v>533</v>
      </c>
      <c r="O1234" s="3" t="s">
        <v>1690</v>
      </c>
    </row>
    <row r="1235" spans="1:15">
      <c r="A1235">
        <v>38</v>
      </c>
      <c r="B1235">
        <v>587</v>
      </c>
      <c r="C1235" t="s">
        <v>79</v>
      </c>
      <c r="D1235" t="s">
        <v>9336</v>
      </c>
      <c r="E1235" s="232" t="s">
        <v>12177</v>
      </c>
      <c r="F1235" t="s">
        <v>71</v>
      </c>
      <c r="G1235">
        <v>2</v>
      </c>
      <c r="H1235">
        <v>616.99599999999998</v>
      </c>
      <c r="I1235">
        <v>614.68100000000004</v>
      </c>
      <c r="J1235">
        <v>611.399</v>
      </c>
      <c r="K1235">
        <v>609.08000000000004</v>
      </c>
      <c r="L1235">
        <v>603.94200000000001</v>
      </c>
      <c r="M1235" s="233" t="s">
        <v>532</v>
      </c>
      <c r="N1235" s="233" t="s">
        <v>533</v>
      </c>
      <c r="O1235" s="3" t="s">
        <v>1691</v>
      </c>
    </row>
    <row r="1236" spans="1:15">
      <c r="A1236">
        <v>38</v>
      </c>
      <c r="B1236">
        <v>584</v>
      </c>
      <c r="C1236" t="s">
        <v>79</v>
      </c>
      <c r="D1236" t="s">
        <v>9336</v>
      </c>
      <c r="E1236" s="232" t="s">
        <v>12207</v>
      </c>
      <c r="F1236" t="s">
        <v>71</v>
      </c>
      <c r="G1236">
        <v>2</v>
      </c>
      <c r="H1236">
        <v>617.68600000000004</v>
      </c>
      <c r="I1236">
        <v>613.99599999999998</v>
      </c>
      <c r="J1236">
        <v>611.02599999999995</v>
      </c>
      <c r="K1236">
        <v>609.53800000000001</v>
      </c>
      <c r="L1236">
        <v>607.69899999999996</v>
      </c>
      <c r="M1236" s="233" t="s">
        <v>532</v>
      </c>
      <c r="N1236" s="233" t="s">
        <v>533</v>
      </c>
      <c r="O1236" s="3" t="s">
        <v>1692</v>
      </c>
    </row>
    <row r="1237" spans="1:15">
      <c r="A1237">
        <v>38</v>
      </c>
      <c r="B1237">
        <v>590</v>
      </c>
      <c r="C1237" t="s">
        <v>79</v>
      </c>
      <c r="D1237" t="s">
        <v>9336</v>
      </c>
      <c r="E1237" s="232" t="s">
        <v>12366</v>
      </c>
      <c r="F1237" t="s">
        <v>71</v>
      </c>
      <c r="G1237">
        <v>2</v>
      </c>
      <c r="H1237">
        <v>612.52</v>
      </c>
      <c r="I1237">
        <v>610.69200000000001</v>
      </c>
      <c r="J1237">
        <v>608.50800000000004</v>
      </c>
      <c r="K1237">
        <v>606.74300000000005</v>
      </c>
      <c r="L1237">
        <v>604.45500000000004</v>
      </c>
      <c r="M1237" s="233" t="s">
        <v>532</v>
      </c>
      <c r="N1237" s="233" t="s">
        <v>533</v>
      </c>
      <c r="O1237" s="3" t="s">
        <v>1693</v>
      </c>
    </row>
    <row r="1238" spans="1:15">
      <c r="A1238">
        <v>38</v>
      </c>
      <c r="B1238">
        <v>588</v>
      </c>
      <c r="C1238" t="s">
        <v>79</v>
      </c>
      <c r="D1238" t="s">
        <v>9336</v>
      </c>
      <c r="E1238" s="232" t="s">
        <v>12436</v>
      </c>
      <c r="F1238" t="s">
        <v>71</v>
      </c>
      <c r="G1238">
        <v>2</v>
      </c>
      <c r="H1238">
        <v>611.077</v>
      </c>
      <c r="I1238">
        <v>609.63699999999994</v>
      </c>
      <c r="J1238">
        <v>607.31700000000001</v>
      </c>
      <c r="K1238">
        <v>605.23099999999999</v>
      </c>
      <c r="L1238">
        <v>602.84799999999996</v>
      </c>
      <c r="M1238" s="233" t="s">
        <v>532</v>
      </c>
      <c r="N1238" s="233" t="s">
        <v>533</v>
      </c>
      <c r="O1238" s="3" t="s">
        <v>1694</v>
      </c>
    </row>
    <row r="1239" spans="1:15">
      <c r="A1239">
        <v>38</v>
      </c>
      <c r="B1239">
        <v>606</v>
      </c>
      <c r="C1239" t="s">
        <v>79</v>
      </c>
      <c r="D1239" t="s">
        <v>9336</v>
      </c>
      <c r="E1239" s="232" t="s">
        <v>8863</v>
      </c>
      <c r="F1239" t="s">
        <v>71</v>
      </c>
      <c r="G1239">
        <v>2</v>
      </c>
      <c r="H1239">
        <v>608.36699999999996</v>
      </c>
      <c r="I1239">
        <v>607.31700000000001</v>
      </c>
      <c r="J1239">
        <v>606.548</v>
      </c>
      <c r="K1239">
        <v>602.64700000000005</v>
      </c>
      <c r="L1239">
        <v>601.49400000000003</v>
      </c>
      <c r="M1239" s="233" t="s">
        <v>532</v>
      </c>
      <c r="N1239" s="233" t="s">
        <v>533</v>
      </c>
      <c r="O1239" s="3" t="s">
        <v>1695</v>
      </c>
    </row>
    <row r="1240" spans="1:15">
      <c r="A1240">
        <v>38</v>
      </c>
      <c r="B1240">
        <v>609</v>
      </c>
      <c r="C1240" t="s">
        <v>79</v>
      </c>
      <c r="D1240" t="s">
        <v>9336</v>
      </c>
      <c r="E1240" s="232" t="s">
        <v>12566</v>
      </c>
      <c r="F1240" t="s">
        <v>71</v>
      </c>
      <c r="G1240">
        <v>2</v>
      </c>
      <c r="H1240">
        <v>608.36699999999996</v>
      </c>
      <c r="I1240">
        <v>606.548</v>
      </c>
      <c r="J1240">
        <v>603.46100000000001</v>
      </c>
      <c r="K1240">
        <v>601.49400000000003</v>
      </c>
      <c r="L1240">
        <v>598.62099999999998</v>
      </c>
      <c r="M1240" s="233" t="s">
        <v>532</v>
      </c>
      <c r="N1240" s="233" t="s">
        <v>533</v>
      </c>
      <c r="O1240" s="3" t="s">
        <v>1696</v>
      </c>
    </row>
    <row r="1241" spans="1:15">
      <c r="A1241">
        <v>38</v>
      </c>
      <c r="B1241">
        <v>608</v>
      </c>
      <c r="C1241" t="s">
        <v>79</v>
      </c>
      <c r="D1241" t="s">
        <v>9336</v>
      </c>
      <c r="E1241" s="232" t="s">
        <v>12667</v>
      </c>
      <c r="F1241" t="s">
        <v>71</v>
      </c>
      <c r="G1241">
        <v>2</v>
      </c>
      <c r="H1241">
        <v>604.93700000000001</v>
      </c>
      <c r="I1241">
        <v>603.46100000000001</v>
      </c>
      <c r="J1241">
        <v>602.64700000000005</v>
      </c>
      <c r="K1241">
        <v>599.75900000000001</v>
      </c>
      <c r="L1241">
        <v>598.06500000000005</v>
      </c>
      <c r="M1241" s="233" t="s">
        <v>532</v>
      </c>
      <c r="N1241" s="233" t="s">
        <v>533</v>
      </c>
      <c r="O1241" s="3" t="s">
        <v>1697</v>
      </c>
    </row>
    <row r="1242" spans="1:15">
      <c r="A1242">
        <v>47</v>
      </c>
      <c r="B1242">
        <v>627</v>
      </c>
      <c r="C1242" t="s">
        <v>79</v>
      </c>
      <c r="D1242" t="s">
        <v>217</v>
      </c>
      <c r="E1242" s="232" t="s">
        <v>9206</v>
      </c>
      <c r="F1242" t="s">
        <v>70</v>
      </c>
      <c r="G1242">
        <v>2</v>
      </c>
      <c r="H1242">
        <v>674.87</v>
      </c>
      <c r="I1242">
        <v>672.08199999999999</v>
      </c>
      <c r="J1242">
        <v>667.30499999999995</v>
      </c>
      <c r="K1242">
        <v>665.11400000000003</v>
      </c>
      <c r="L1242">
        <v>661.32799999999997</v>
      </c>
      <c r="M1242" s="233" t="s">
        <v>530</v>
      </c>
      <c r="N1242" s="233" t="s">
        <v>531</v>
      </c>
      <c r="O1242" s="3" t="s">
        <v>1698</v>
      </c>
    </row>
    <row r="1243" spans="1:15">
      <c r="A1243">
        <v>47</v>
      </c>
      <c r="B1243">
        <v>615</v>
      </c>
      <c r="C1243" t="s">
        <v>79</v>
      </c>
      <c r="D1243" t="s">
        <v>217</v>
      </c>
      <c r="E1243" s="232" t="s">
        <v>551</v>
      </c>
      <c r="F1243" t="s">
        <v>70</v>
      </c>
      <c r="G1243">
        <v>2</v>
      </c>
      <c r="H1243">
        <v>670.98199999999997</v>
      </c>
      <c r="I1243">
        <v>668.19200000000001</v>
      </c>
      <c r="J1243">
        <v>666.53</v>
      </c>
      <c r="K1243">
        <v>663.81600000000003</v>
      </c>
      <c r="L1243">
        <v>657.24199999999996</v>
      </c>
      <c r="M1243" s="233" t="s">
        <v>530</v>
      </c>
      <c r="N1243" s="233" t="s">
        <v>531</v>
      </c>
      <c r="O1243" s="3" t="s">
        <v>1699</v>
      </c>
    </row>
    <row r="1244" spans="1:15">
      <c r="A1244">
        <v>47</v>
      </c>
      <c r="B1244">
        <v>619</v>
      </c>
      <c r="C1244" t="s">
        <v>79</v>
      </c>
      <c r="D1244" t="s">
        <v>217</v>
      </c>
      <c r="E1244" s="232" t="s">
        <v>8011</v>
      </c>
      <c r="F1244" t="s">
        <v>70</v>
      </c>
      <c r="G1244">
        <v>2</v>
      </c>
      <c r="H1244">
        <v>670.73</v>
      </c>
      <c r="I1244">
        <v>667.67499999999995</v>
      </c>
      <c r="J1244">
        <v>665.48900000000003</v>
      </c>
      <c r="K1244">
        <v>663.81600000000003</v>
      </c>
      <c r="L1244">
        <v>661.88</v>
      </c>
      <c r="M1244" s="233" t="s">
        <v>530</v>
      </c>
      <c r="N1244" s="233" t="s">
        <v>531</v>
      </c>
      <c r="O1244" s="3" t="s">
        <v>1700</v>
      </c>
    </row>
    <row r="1245" spans="1:15">
      <c r="A1245">
        <v>47</v>
      </c>
      <c r="B1245">
        <v>630</v>
      </c>
      <c r="C1245" t="s">
        <v>79</v>
      </c>
      <c r="D1245" t="s">
        <v>217</v>
      </c>
      <c r="E1245" s="232" t="s">
        <v>9400</v>
      </c>
      <c r="F1245" t="s">
        <v>70</v>
      </c>
      <c r="G1245">
        <v>2</v>
      </c>
      <c r="H1245">
        <v>669.81600000000003</v>
      </c>
      <c r="I1245">
        <v>667.30499999999995</v>
      </c>
      <c r="J1245">
        <v>665.35</v>
      </c>
      <c r="K1245">
        <v>663.59</v>
      </c>
      <c r="L1245">
        <v>656.30799999999999</v>
      </c>
      <c r="M1245" s="233" t="s">
        <v>530</v>
      </c>
      <c r="N1245" s="233" t="s">
        <v>531</v>
      </c>
      <c r="O1245" s="3" t="s">
        <v>1701</v>
      </c>
    </row>
    <row r="1246" spans="1:15">
      <c r="A1246">
        <v>47</v>
      </c>
      <c r="B1246">
        <v>614</v>
      </c>
      <c r="C1246" t="s">
        <v>79</v>
      </c>
      <c r="D1246" t="s">
        <v>217</v>
      </c>
      <c r="E1246" s="232" t="s">
        <v>555</v>
      </c>
      <c r="F1246" t="s">
        <v>70</v>
      </c>
      <c r="G1246">
        <v>2</v>
      </c>
      <c r="H1246">
        <v>667.02</v>
      </c>
      <c r="I1246">
        <v>665.11400000000003</v>
      </c>
      <c r="J1246">
        <v>663.322</v>
      </c>
      <c r="K1246">
        <v>661.32799999999997</v>
      </c>
      <c r="L1246">
        <v>653.90499999999997</v>
      </c>
      <c r="M1246" s="233" t="s">
        <v>530</v>
      </c>
      <c r="N1246" s="233" t="s">
        <v>531</v>
      </c>
      <c r="O1246" s="3" t="s">
        <v>1702</v>
      </c>
    </row>
    <row r="1247" spans="1:15">
      <c r="A1247">
        <v>47</v>
      </c>
      <c r="B1247">
        <v>617</v>
      </c>
      <c r="C1247" t="s">
        <v>79</v>
      </c>
      <c r="D1247" t="s">
        <v>217</v>
      </c>
      <c r="E1247" s="232" t="s">
        <v>9600</v>
      </c>
      <c r="F1247" t="s">
        <v>70</v>
      </c>
      <c r="G1247">
        <v>2</v>
      </c>
      <c r="H1247">
        <v>669.26599999999996</v>
      </c>
      <c r="I1247">
        <v>666.00699999999995</v>
      </c>
      <c r="J1247">
        <v>662.27800000000002</v>
      </c>
      <c r="K1247">
        <v>659.56200000000001</v>
      </c>
      <c r="L1247">
        <v>655.55799999999999</v>
      </c>
      <c r="M1247" s="233" t="s">
        <v>530</v>
      </c>
      <c r="N1247" s="233" t="s">
        <v>531</v>
      </c>
      <c r="O1247" s="3" t="s">
        <v>1703</v>
      </c>
    </row>
    <row r="1248" spans="1:15">
      <c r="A1248">
        <v>47</v>
      </c>
      <c r="B1248">
        <v>631</v>
      </c>
      <c r="C1248" t="s">
        <v>79</v>
      </c>
      <c r="D1248" t="s">
        <v>217</v>
      </c>
      <c r="E1248" s="232" t="s">
        <v>9670</v>
      </c>
      <c r="F1248" t="s">
        <v>70</v>
      </c>
      <c r="G1248">
        <v>2</v>
      </c>
      <c r="H1248">
        <v>667.72299999999996</v>
      </c>
      <c r="I1248">
        <v>664.85199999999998</v>
      </c>
      <c r="J1248">
        <v>661.26</v>
      </c>
      <c r="K1248">
        <v>658.399</v>
      </c>
      <c r="L1248">
        <v>654.35500000000002</v>
      </c>
      <c r="M1248" s="233" t="s">
        <v>530</v>
      </c>
      <c r="N1248" s="233" t="s">
        <v>531</v>
      </c>
      <c r="O1248" s="3" t="s">
        <v>1704</v>
      </c>
    </row>
    <row r="1249" spans="1:15">
      <c r="A1249">
        <v>47</v>
      </c>
      <c r="B1249">
        <v>633</v>
      </c>
      <c r="C1249" t="s">
        <v>79</v>
      </c>
      <c r="D1249" t="s">
        <v>217</v>
      </c>
      <c r="E1249" s="232" t="s">
        <v>9694</v>
      </c>
      <c r="F1249" t="s">
        <v>70</v>
      </c>
      <c r="G1249">
        <v>2</v>
      </c>
      <c r="H1249">
        <v>667.30499999999995</v>
      </c>
      <c r="I1249">
        <v>664.48599999999999</v>
      </c>
      <c r="J1249">
        <v>660.94399999999996</v>
      </c>
      <c r="K1249">
        <v>657.87599999999998</v>
      </c>
      <c r="L1249">
        <v>653.90499999999997</v>
      </c>
      <c r="M1249" s="233" t="s">
        <v>530</v>
      </c>
      <c r="N1249" s="233" t="s">
        <v>531</v>
      </c>
      <c r="O1249" s="3" t="s">
        <v>1705</v>
      </c>
    </row>
    <row r="1250" spans="1:15">
      <c r="A1250">
        <v>47</v>
      </c>
      <c r="B1250">
        <v>632</v>
      </c>
      <c r="C1250" t="s">
        <v>79</v>
      </c>
      <c r="D1250" t="s">
        <v>217</v>
      </c>
      <c r="E1250" s="232" t="s">
        <v>9759</v>
      </c>
      <c r="F1250" t="s">
        <v>70</v>
      </c>
      <c r="G1250">
        <v>2</v>
      </c>
      <c r="H1250">
        <v>665.48900000000003</v>
      </c>
      <c r="I1250">
        <v>662.80200000000002</v>
      </c>
      <c r="J1250">
        <v>659.15099999999995</v>
      </c>
      <c r="K1250">
        <v>656.15800000000002</v>
      </c>
      <c r="L1250">
        <v>652.47</v>
      </c>
      <c r="M1250" s="233" t="s">
        <v>530</v>
      </c>
      <c r="N1250" s="233" t="s">
        <v>531</v>
      </c>
      <c r="O1250" s="3" t="s">
        <v>1706</v>
      </c>
    </row>
    <row r="1251" spans="1:15">
      <c r="A1251">
        <v>48</v>
      </c>
      <c r="B1251">
        <v>638</v>
      </c>
      <c r="C1251" t="s">
        <v>79</v>
      </c>
      <c r="D1251" t="s">
        <v>217</v>
      </c>
      <c r="E1251" s="232" t="s">
        <v>8654</v>
      </c>
      <c r="F1251" t="s">
        <v>71</v>
      </c>
      <c r="G1251">
        <v>2</v>
      </c>
      <c r="H1251">
        <v>679.42399999999998</v>
      </c>
      <c r="I1251">
        <v>675.98199999999997</v>
      </c>
      <c r="J1251">
        <v>672.32</v>
      </c>
      <c r="K1251">
        <v>669.48400000000004</v>
      </c>
      <c r="L1251">
        <v>665.93399999999997</v>
      </c>
      <c r="M1251" s="233" t="s">
        <v>530</v>
      </c>
      <c r="N1251" s="233" t="s">
        <v>531</v>
      </c>
      <c r="O1251" s="3" t="s">
        <v>1707</v>
      </c>
    </row>
    <row r="1252" spans="1:15">
      <c r="A1252">
        <v>48</v>
      </c>
      <c r="B1252">
        <v>650</v>
      </c>
      <c r="C1252" t="s">
        <v>79</v>
      </c>
      <c r="D1252" t="s">
        <v>217</v>
      </c>
      <c r="E1252" s="232" t="s">
        <v>9017</v>
      </c>
      <c r="F1252" t="s">
        <v>71</v>
      </c>
      <c r="G1252">
        <v>2</v>
      </c>
      <c r="H1252">
        <v>679.14200000000005</v>
      </c>
      <c r="I1252">
        <v>675.51400000000001</v>
      </c>
      <c r="J1252">
        <v>671.91</v>
      </c>
      <c r="K1252">
        <v>669.452</v>
      </c>
      <c r="L1252">
        <v>665.81600000000003</v>
      </c>
      <c r="M1252" s="233" t="s">
        <v>530</v>
      </c>
      <c r="N1252" s="233" t="s">
        <v>531</v>
      </c>
      <c r="O1252" s="3" t="s">
        <v>1708</v>
      </c>
    </row>
    <row r="1253" spans="1:15">
      <c r="A1253">
        <v>48</v>
      </c>
      <c r="B1253">
        <v>640</v>
      </c>
      <c r="C1253" t="s">
        <v>79</v>
      </c>
      <c r="D1253" t="s">
        <v>217</v>
      </c>
      <c r="E1253" s="232" t="s">
        <v>9573</v>
      </c>
      <c r="F1253" t="s">
        <v>71</v>
      </c>
      <c r="G1253">
        <v>2</v>
      </c>
      <c r="H1253">
        <v>678.52800000000002</v>
      </c>
      <c r="I1253">
        <v>675.36400000000003</v>
      </c>
      <c r="J1253">
        <v>671.44200000000001</v>
      </c>
      <c r="K1253">
        <v>669.01800000000003</v>
      </c>
      <c r="L1253">
        <v>665.41800000000001</v>
      </c>
      <c r="M1253" s="233" t="s">
        <v>530</v>
      </c>
      <c r="N1253" s="233" t="s">
        <v>531</v>
      </c>
      <c r="O1253" s="3" t="s">
        <v>1709</v>
      </c>
    </row>
    <row r="1254" spans="1:15">
      <c r="A1254">
        <v>47</v>
      </c>
      <c r="B1254">
        <v>649</v>
      </c>
      <c r="C1254" t="s">
        <v>79</v>
      </c>
      <c r="D1254" t="s">
        <v>217</v>
      </c>
      <c r="E1254" s="232" t="s">
        <v>8775</v>
      </c>
      <c r="F1254" t="s">
        <v>71</v>
      </c>
      <c r="G1254">
        <v>2</v>
      </c>
      <c r="H1254">
        <v>667.45500000000004</v>
      </c>
      <c r="I1254">
        <v>666.00699999999995</v>
      </c>
      <c r="J1254">
        <v>664.48599999999999</v>
      </c>
      <c r="K1254">
        <v>660.82600000000002</v>
      </c>
      <c r="L1254">
        <v>656.30799999999999</v>
      </c>
      <c r="M1254" s="233" t="s">
        <v>530</v>
      </c>
      <c r="N1254" s="233" t="s">
        <v>531</v>
      </c>
      <c r="O1254" s="3" t="s">
        <v>1710</v>
      </c>
    </row>
    <row r="1255" spans="1:15">
      <c r="A1255">
        <v>48</v>
      </c>
      <c r="B1255">
        <v>637</v>
      </c>
      <c r="C1255" t="s">
        <v>79</v>
      </c>
      <c r="D1255" t="s">
        <v>217</v>
      </c>
      <c r="E1255" s="232" t="s">
        <v>8618</v>
      </c>
      <c r="F1255" t="s">
        <v>71</v>
      </c>
      <c r="G1255">
        <v>2</v>
      </c>
      <c r="H1255">
        <v>677.78200000000004</v>
      </c>
      <c r="I1255">
        <v>674.78</v>
      </c>
      <c r="J1255">
        <v>670.95399999999995</v>
      </c>
      <c r="K1255">
        <v>668.48800000000006</v>
      </c>
      <c r="L1255">
        <v>664.65800000000002</v>
      </c>
      <c r="M1255" s="233" t="s">
        <v>530</v>
      </c>
      <c r="N1255" s="233" t="s">
        <v>531</v>
      </c>
      <c r="O1255" s="3" t="s">
        <v>1711</v>
      </c>
    </row>
    <row r="1256" spans="1:15">
      <c r="A1256">
        <v>48</v>
      </c>
      <c r="B1256">
        <v>636</v>
      </c>
      <c r="C1256" t="s">
        <v>79</v>
      </c>
      <c r="D1256" t="s">
        <v>217</v>
      </c>
      <c r="E1256" s="232" t="s">
        <v>8753</v>
      </c>
      <c r="F1256" t="s">
        <v>71</v>
      </c>
      <c r="G1256">
        <v>2</v>
      </c>
      <c r="H1256">
        <v>676.21799999999996</v>
      </c>
      <c r="I1256">
        <v>673.58399999999995</v>
      </c>
      <c r="J1256">
        <v>669.88800000000003</v>
      </c>
      <c r="K1256">
        <v>667.18600000000004</v>
      </c>
      <c r="L1256">
        <v>661.46199999999999</v>
      </c>
      <c r="M1256" s="233" t="s">
        <v>530</v>
      </c>
      <c r="N1256" s="233" t="s">
        <v>531</v>
      </c>
      <c r="O1256" s="3" t="s">
        <v>1712</v>
      </c>
    </row>
    <row r="1257" spans="1:15">
      <c r="A1257">
        <v>48</v>
      </c>
      <c r="B1257">
        <v>635</v>
      </c>
      <c r="C1257" t="s">
        <v>79</v>
      </c>
      <c r="D1257" t="s">
        <v>217</v>
      </c>
      <c r="E1257" s="232" t="s">
        <v>9699</v>
      </c>
      <c r="F1257" t="s">
        <v>71</v>
      </c>
      <c r="G1257">
        <v>2</v>
      </c>
      <c r="H1257">
        <v>676.06799999999998</v>
      </c>
      <c r="I1257">
        <v>673.46600000000001</v>
      </c>
      <c r="J1257">
        <v>669.80200000000002</v>
      </c>
      <c r="K1257">
        <v>667.21799999999996</v>
      </c>
      <c r="L1257">
        <v>663.28800000000001</v>
      </c>
      <c r="M1257" s="233" t="s">
        <v>530</v>
      </c>
      <c r="N1257" s="233" t="s">
        <v>531</v>
      </c>
      <c r="O1257" s="3" t="s">
        <v>1713</v>
      </c>
    </row>
    <row r="1258" spans="1:15">
      <c r="A1258">
        <v>47</v>
      </c>
      <c r="B1258">
        <v>648</v>
      </c>
      <c r="C1258" t="s">
        <v>79</v>
      </c>
      <c r="D1258" t="s">
        <v>217</v>
      </c>
      <c r="E1258" s="232" t="s">
        <v>9540</v>
      </c>
      <c r="F1258" t="s">
        <v>71</v>
      </c>
      <c r="G1258">
        <v>2</v>
      </c>
      <c r="H1258">
        <v>669.66600000000005</v>
      </c>
      <c r="I1258">
        <v>666.27499999999998</v>
      </c>
      <c r="J1258">
        <v>662.39599999999996</v>
      </c>
      <c r="K1258">
        <v>659.79399999999998</v>
      </c>
      <c r="L1258">
        <v>655.87599999999998</v>
      </c>
      <c r="M1258" s="233" t="s">
        <v>530</v>
      </c>
      <c r="N1258" s="233" t="s">
        <v>531</v>
      </c>
      <c r="O1258" s="3" t="s">
        <v>1714</v>
      </c>
    </row>
    <row r="1259" spans="1:15">
      <c r="A1259">
        <v>48</v>
      </c>
      <c r="B1259">
        <v>639</v>
      </c>
      <c r="C1259" t="s">
        <v>79</v>
      </c>
      <c r="D1259" t="s">
        <v>217</v>
      </c>
      <c r="E1259" s="232" t="s">
        <v>8863</v>
      </c>
      <c r="F1259" t="s">
        <v>71</v>
      </c>
      <c r="G1259">
        <v>2</v>
      </c>
      <c r="H1259">
        <v>675.51400000000001</v>
      </c>
      <c r="I1259">
        <v>672.78800000000001</v>
      </c>
      <c r="J1259">
        <v>669.10400000000004</v>
      </c>
      <c r="K1259">
        <v>666.43200000000002</v>
      </c>
      <c r="L1259">
        <v>660.66399999999999</v>
      </c>
      <c r="M1259" s="233" t="s">
        <v>530</v>
      </c>
      <c r="N1259" s="233" t="s">
        <v>531</v>
      </c>
      <c r="O1259" s="3" t="s">
        <v>1715</v>
      </c>
    </row>
    <row r="1260" spans="1:15">
      <c r="A1260">
        <v>47</v>
      </c>
      <c r="B1260">
        <v>642</v>
      </c>
      <c r="C1260" t="s">
        <v>79</v>
      </c>
      <c r="D1260" t="s">
        <v>217</v>
      </c>
      <c r="E1260" s="232" t="s">
        <v>8659</v>
      </c>
      <c r="F1260" t="s">
        <v>71</v>
      </c>
      <c r="G1260">
        <v>2</v>
      </c>
      <c r="H1260">
        <v>667.72299999999996</v>
      </c>
      <c r="I1260">
        <v>664.85199999999998</v>
      </c>
      <c r="J1260">
        <v>661.26</v>
      </c>
      <c r="K1260">
        <v>658.399</v>
      </c>
      <c r="L1260">
        <v>654.35500000000002</v>
      </c>
      <c r="M1260" s="233" t="s">
        <v>530</v>
      </c>
      <c r="N1260" s="233" t="s">
        <v>531</v>
      </c>
      <c r="O1260" s="3" t="s">
        <v>1716</v>
      </c>
    </row>
    <row r="1261" spans="1:15">
      <c r="A1261">
        <v>47</v>
      </c>
      <c r="B1261">
        <v>643</v>
      </c>
      <c r="C1261" t="s">
        <v>79</v>
      </c>
      <c r="D1261" t="s">
        <v>217</v>
      </c>
      <c r="E1261" s="232" t="s">
        <v>8534</v>
      </c>
      <c r="F1261" t="s">
        <v>71</v>
      </c>
      <c r="G1261">
        <v>2</v>
      </c>
      <c r="H1261">
        <v>667.02</v>
      </c>
      <c r="I1261">
        <v>664.21799999999996</v>
      </c>
      <c r="J1261">
        <v>660.54</v>
      </c>
      <c r="K1261">
        <v>657.49699999999996</v>
      </c>
      <c r="L1261">
        <v>653.45000000000005</v>
      </c>
      <c r="M1261" s="233" t="s">
        <v>530</v>
      </c>
      <c r="N1261" s="233" t="s">
        <v>531</v>
      </c>
      <c r="O1261" s="3" t="s">
        <v>1717</v>
      </c>
    </row>
    <row r="1262" spans="1:15">
      <c r="A1262">
        <v>47</v>
      </c>
      <c r="B1262">
        <v>646</v>
      </c>
      <c r="C1262" t="s">
        <v>79</v>
      </c>
      <c r="D1262" t="s">
        <v>217</v>
      </c>
      <c r="E1262" s="232" t="s">
        <v>8696</v>
      </c>
      <c r="F1262" t="s">
        <v>71</v>
      </c>
      <c r="G1262">
        <v>2</v>
      </c>
      <c r="H1262">
        <v>667.02</v>
      </c>
      <c r="I1262">
        <v>664.21799999999996</v>
      </c>
      <c r="J1262">
        <v>660.54</v>
      </c>
      <c r="K1262">
        <v>657.49699999999996</v>
      </c>
      <c r="L1262">
        <v>653.45000000000005</v>
      </c>
      <c r="M1262" s="233" t="s">
        <v>530</v>
      </c>
      <c r="N1262" s="233" t="s">
        <v>531</v>
      </c>
      <c r="O1262" s="3" t="s">
        <v>1718</v>
      </c>
    </row>
    <row r="1263" spans="1:15">
      <c r="A1263">
        <v>47</v>
      </c>
      <c r="B1263">
        <v>644</v>
      </c>
      <c r="C1263" t="s">
        <v>79</v>
      </c>
      <c r="D1263" t="s">
        <v>217</v>
      </c>
      <c r="E1263" s="232" t="s">
        <v>8726</v>
      </c>
      <c r="F1263" t="s">
        <v>71</v>
      </c>
      <c r="G1263">
        <v>2</v>
      </c>
      <c r="H1263">
        <v>666.27499999999998</v>
      </c>
      <c r="I1263">
        <v>663.44</v>
      </c>
      <c r="J1263">
        <v>659.79399999999998</v>
      </c>
      <c r="K1263">
        <v>656.76</v>
      </c>
      <c r="L1263">
        <v>652.94500000000005</v>
      </c>
      <c r="M1263" s="233" t="s">
        <v>530</v>
      </c>
      <c r="N1263" s="233" t="s">
        <v>531</v>
      </c>
      <c r="O1263" s="3" t="s">
        <v>1719</v>
      </c>
    </row>
    <row r="1264" spans="1:15">
      <c r="A1264">
        <v>53</v>
      </c>
      <c r="B1264">
        <v>653</v>
      </c>
      <c r="C1264" t="s">
        <v>79</v>
      </c>
      <c r="D1264" t="s">
        <v>233</v>
      </c>
      <c r="E1264" s="232" t="s">
        <v>9715</v>
      </c>
      <c r="F1264" t="s">
        <v>70</v>
      </c>
      <c r="G1264">
        <v>2</v>
      </c>
      <c r="H1264">
        <v>694.86</v>
      </c>
      <c r="I1264">
        <v>694.12900000000002</v>
      </c>
      <c r="J1264">
        <v>692.17200000000003</v>
      </c>
      <c r="K1264">
        <v>690.85699999999997</v>
      </c>
      <c r="L1264">
        <v>689.62</v>
      </c>
      <c r="M1264" s="233" t="s">
        <v>530</v>
      </c>
      <c r="N1264" s="233" t="s">
        <v>531</v>
      </c>
      <c r="O1264" s="3" t="s">
        <v>1720</v>
      </c>
    </row>
    <row r="1265" spans="1:15">
      <c r="A1265">
        <v>53</v>
      </c>
      <c r="B1265">
        <v>657</v>
      </c>
      <c r="C1265" t="s">
        <v>79</v>
      </c>
      <c r="D1265" t="s">
        <v>233</v>
      </c>
      <c r="E1265" s="232" t="s">
        <v>9764</v>
      </c>
      <c r="F1265" t="s">
        <v>70</v>
      </c>
      <c r="G1265">
        <v>2</v>
      </c>
      <c r="H1265">
        <v>696.57899999999995</v>
      </c>
      <c r="I1265">
        <v>693.90099999999995</v>
      </c>
      <c r="J1265">
        <v>690.35599999999999</v>
      </c>
      <c r="K1265">
        <v>687.40800000000002</v>
      </c>
      <c r="L1265">
        <v>683.505</v>
      </c>
      <c r="M1265" s="233" t="s">
        <v>530</v>
      </c>
      <c r="N1265" s="233" t="s">
        <v>531</v>
      </c>
      <c r="O1265" s="3" t="s">
        <v>1721</v>
      </c>
    </row>
    <row r="1266" spans="1:15">
      <c r="A1266">
        <v>51</v>
      </c>
      <c r="B1266">
        <v>664</v>
      </c>
      <c r="C1266" t="s">
        <v>79</v>
      </c>
      <c r="D1266" t="s">
        <v>233</v>
      </c>
      <c r="E1266" s="232" t="s">
        <v>7910</v>
      </c>
      <c r="F1266" t="s">
        <v>70</v>
      </c>
      <c r="G1266">
        <v>2</v>
      </c>
      <c r="H1266">
        <v>691.45699999999999</v>
      </c>
      <c r="I1266">
        <v>688.90599999999995</v>
      </c>
      <c r="J1266">
        <v>685.42499999999995</v>
      </c>
      <c r="K1266">
        <v>682.60199999999998</v>
      </c>
      <c r="L1266">
        <v>678.87900000000002</v>
      </c>
      <c r="M1266" s="233" t="s">
        <v>530</v>
      </c>
      <c r="N1266" s="233" t="s">
        <v>531</v>
      </c>
      <c r="O1266" s="3" t="s">
        <v>1722</v>
      </c>
    </row>
    <row r="1267" spans="1:15">
      <c r="A1267">
        <v>53</v>
      </c>
      <c r="B1267">
        <v>659</v>
      </c>
      <c r="C1267" t="s">
        <v>79</v>
      </c>
      <c r="D1267" t="s">
        <v>233</v>
      </c>
      <c r="E1267" s="232" t="s">
        <v>9795</v>
      </c>
      <c r="F1267" t="s">
        <v>70</v>
      </c>
      <c r="G1267">
        <v>2</v>
      </c>
      <c r="H1267">
        <v>695.83299999999997</v>
      </c>
      <c r="I1267">
        <v>693.14700000000005</v>
      </c>
      <c r="J1267">
        <v>689.62</v>
      </c>
      <c r="K1267">
        <v>686.68100000000004</v>
      </c>
      <c r="L1267">
        <v>682.99300000000005</v>
      </c>
      <c r="M1267" s="233" t="s">
        <v>530</v>
      </c>
      <c r="N1267" s="233" t="s">
        <v>531</v>
      </c>
      <c r="O1267" s="3" t="s">
        <v>1723</v>
      </c>
    </row>
    <row r="1268" spans="1:15">
      <c r="A1268">
        <v>51</v>
      </c>
      <c r="B1268">
        <v>662</v>
      </c>
      <c r="C1268" t="s">
        <v>79</v>
      </c>
      <c r="D1268" t="s">
        <v>233</v>
      </c>
      <c r="E1268" s="232" t="s">
        <v>551</v>
      </c>
      <c r="F1268" t="s">
        <v>70</v>
      </c>
      <c r="G1268">
        <v>2</v>
      </c>
      <c r="H1268">
        <v>690.23599999999999</v>
      </c>
      <c r="I1268">
        <v>687.572</v>
      </c>
      <c r="J1268">
        <v>684.04899999999998</v>
      </c>
      <c r="K1268">
        <v>681.29899999999998</v>
      </c>
      <c r="L1268">
        <v>677.54100000000005</v>
      </c>
      <c r="M1268" s="233" t="s">
        <v>530</v>
      </c>
      <c r="N1268" s="233" t="s">
        <v>531</v>
      </c>
      <c r="O1268" s="3" t="s">
        <v>1724</v>
      </c>
    </row>
    <row r="1269" spans="1:15">
      <c r="A1269">
        <v>53</v>
      </c>
      <c r="B1269">
        <v>669</v>
      </c>
      <c r="C1269" t="s">
        <v>79</v>
      </c>
      <c r="D1269" t="s">
        <v>233</v>
      </c>
      <c r="E1269" s="232" t="s">
        <v>8624</v>
      </c>
      <c r="F1269" t="s">
        <v>70</v>
      </c>
      <c r="G1269">
        <v>2</v>
      </c>
      <c r="H1269">
        <v>694.12900000000002</v>
      </c>
      <c r="I1269">
        <v>691.28899999999999</v>
      </c>
      <c r="J1269">
        <v>687.67600000000004</v>
      </c>
      <c r="K1269">
        <v>684.76099999999997</v>
      </c>
      <c r="L1269">
        <v>681.11199999999997</v>
      </c>
      <c r="M1269" s="233" t="s">
        <v>530</v>
      </c>
      <c r="N1269" s="233" t="s">
        <v>531</v>
      </c>
      <c r="O1269" s="3" t="s">
        <v>1725</v>
      </c>
    </row>
    <row r="1270" spans="1:15">
      <c r="A1270">
        <v>53</v>
      </c>
      <c r="B1270">
        <v>663</v>
      </c>
      <c r="C1270" t="s">
        <v>79</v>
      </c>
      <c r="D1270" t="s">
        <v>233</v>
      </c>
      <c r="E1270" s="232" t="s">
        <v>10030</v>
      </c>
      <c r="F1270" t="s">
        <v>70</v>
      </c>
      <c r="G1270">
        <v>2</v>
      </c>
      <c r="H1270">
        <v>692.88</v>
      </c>
      <c r="I1270">
        <v>690.154</v>
      </c>
      <c r="J1270">
        <v>686.245</v>
      </c>
      <c r="K1270">
        <v>683.51499999999999</v>
      </c>
      <c r="L1270">
        <v>679.54300000000001</v>
      </c>
      <c r="M1270" s="233" t="s">
        <v>530</v>
      </c>
      <c r="N1270" s="233" t="s">
        <v>531</v>
      </c>
      <c r="O1270" s="3" t="s">
        <v>1726</v>
      </c>
    </row>
    <row r="1271" spans="1:15">
      <c r="A1271">
        <v>53</v>
      </c>
      <c r="B1271">
        <v>672</v>
      </c>
      <c r="C1271" t="s">
        <v>79</v>
      </c>
      <c r="D1271" t="s">
        <v>233</v>
      </c>
      <c r="E1271" s="232" t="s">
        <v>9544</v>
      </c>
      <c r="F1271" t="s">
        <v>70</v>
      </c>
      <c r="G1271">
        <v>2</v>
      </c>
      <c r="H1271">
        <v>692.06899999999996</v>
      </c>
      <c r="I1271">
        <v>689.41800000000001</v>
      </c>
      <c r="J1271">
        <v>685.55</v>
      </c>
      <c r="K1271">
        <v>682.86800000000005</v>
      </c>
      <c r="L1271">
        <v>678.66300000000001</v>
      </c>
      <c r="M1271" s="233" t="s">
        <v>530</v>
      </c>
      <c r="N1271" s="233" t="s">
        <v>531</v>
      </c>
      <c r="O1271" s="3" t="s">
        <v>1727</v>
      </c>
    </row>
    <row r="1272" spans="1:15">
      <c r="A1272">
        <v>54</v>
      </c>
      <c r="B1272">
        <v>676</v>
      </c>
      <c r="C1272" t="s">
        <v>79</v>
      </c>
      <c r="D1272" t="s">
        <v>233</v>
      </c>
      <c r="E1272" s="232" t="s">
        <v>9209</v>
      </c>
      <c r="F1272" t="s">
        <v>71</v>
      </c>
      <c r="G1272">
        <v>2</v>
      </c>
      <c r="H1272">
        <v>701.11500000000001</v>
      </c>
      <c r="I1272">
        <v>698.76099999999997</v>
      </c>
      <c r="J1272">
        <v>695.46500000000003</v>
      </c>
      <c r="K1272">
        <v>692.97500000000002</v>
      </c>
      <c r="L1272">
        <v>688.86</v>
      </c>
      <c r="M1272" s="233" t="s">
        <v>530</v>
      </c>
      <c r="N1272" s="233" t="s">
        <v>531</v>
      </c>
      <c r="O1272" s="3" t="s">
        <v>1728</v>
      </c>
    </row>
    <row r="1273" spans="1:15">
      <c r="A1273">
        <v>54</v>
      </c>
      <c r="B1273">
        <v>681</v>
      </c>
      <c r="C1273" t="s">
        <v>79</v>
      </c>
      <c r="D1273" t="s">
        <v>233</v>
      </c>
      <c r="E1273" s="232" t="s">
        <v>9757</v>
      </c>
      <c r="F1273" t="s">
        <v>71</v>
      </c>
      <c r="G1273">
        <v>2</v>
      </c>
      <c r="H1273">
        <v>694.33500000000004</v>
      </c>
      <c r="I1273">
        <v>691.86500000000001</v>
      </c>
      <c r="J1273">
        <v>688.44399999999996</v>
      </c>
      <c r="K1273">
        <v>685.86400000000003</v>
      </c>
      <c r="L1273">
        <v>680.42899999999997</v>
      </c>
      <c r="M1273" s="233" t="s">
        <v>530</v>
      </c>
      <c r="N1273" s="233" t="s">
        <v>531</v>
      </c>
      <c r="O1273" s="3" t="s">
        <v>1729</v>
      </c>
    </row>
    <row r="1274" spans="1:15">
      <c r="A1274">
        <v>54</v>
      </c>
      <c r="B1274">
        <v>679</v>
      </c>
      <c r="C1274" t="s">
        <v>79</v>
      </c>
      <c r="D1274" t="s">
        <v>233</v>
      </c>
      <c r="E1274" s="232" t="s">
        <v>8696</v>
      </c>
      <c r="F1274" t="s">
        <v>71</v>
      </c>
      <c r="G1274">
        <v>2</v>
      </c>
      <c r="H1274">
        <v>694.06399999999996</v>
      </c>
      <c r="I1274">
        <v>691.48800000000006</v>
      </c>
      <c r="J1274">
        <v>688.01400000000001</v>
      </c>
      <c r="K1274">
        <v>685.53499999999997</v>
      </c>
      <c r="L1274">
        <v>681.99099999999999</v>
      </c>
      <c r="M1274" s="233" t="s">
        <v>530</v>
      </c>
      <c r="N1274" s="233" t="s">
        <v>531</v>
      </c>
      <c r="O1274" s="3" t="s">
        <v>1730</v>
      </c>
    </row>
    <row r="1275" spans="1:15">
      <c r="A1275">
        <v>54</v>
      </c>
      <c r="B1275">
        <v>702</v>
      </c>
      <c r="C1275" t="s">
        <v>79</v>
      </c>
      <c r="D1275" t="s">
        <v>233</v>
      </c>
      <c r="E1275" s="232" t="s">
        <v>8883</v>
      </c>
      <c r="F1275" t="s">
        <v>71</v>
      </c>
      <c r="G1275">
        <v>2</v>
      </c>
      <c r="H1275">
        <v>693.53800000000001</v>
      </c>
      <c r="I1275">
        <v>690.90300000000002</v>
      </c>
      <c r="J1275">
        <v>687.53</v>
      </c>
      <c r="K1275">
        <v>684.92600000000004</v>
      </c>
      <c r="L1275">
        <v>679.52099999999996</v>
      </c>
      <c r="M1275" s="233" t="s">
        <v>530</v>
      </c>
      <c r="N1275" s="233" t="s">
        <v>531</v>
      </c>
      <c r="O1275" s="3" t="s">
        <v>1731</v>
      </c>
    </row>
    <row r="1276" spans="1:15">
      <c r="A1276">
        <v>54</v>
      </c>
      <c r="B1276">
        <v>685</v>
      </c>
      <c r="C1276" t="s">
        <v>79</v>
      </c>
      <c r="D1276" t="s">
        <v>233</v>
      </c>
      <c r="E1276" s="232" t="s">
        <v>9833</v>
      </c>
      <c r="F1276" t="s">
        <v>71</v>
      </c>
      <c r="G1276">
        <v>2</v>
      </c>
      <c r="H1276">
        <v>693.42100000000005</v>
      </c>
      <c r="I1276">
        <v>690.72799999999995</v>
      </c>
      <c r="J1276">
        <v>687.50599999999997</v>
      </c>
      <c r="K1276">
        <v>684.92600000000004</v>
      </c>
      <c r="L1276">
        <v>679.26300000000003</v>
      </c>
      <c r="M1276" s="233" t="s">
        <v>530</v>
      </c>
      <c r="N1276" s="233" t="s">
        <v>531</v>
      </c>
      <c r="O1276" s="3" t="s">
        <v>1732</v>
      </c>
    </row>
    <row r="1277" spans="1:15">
      <c r="A1277">
        <v>54</v>
      </c>
      <c r="B1277">
        <v>686</v>
      </c>
      <c r="C1277" t="s">
        <v>79</v>
      </c>
      <c r="D1277" t="s">
        <v>233</v>
      </c>
      <c r="E1277" s="232" t="s">
        <v>9835</v>
      </c>
      <c r="F1277" t="s">
        <v>71</v>
      </c>
      <c r="G1277">
        <v>2</v>
      </c>
      <c r="H1277">
        <v>693.42100000000005</v>
      </c>
      <c r="I1277">
        <v>690.72799999999995</v>
      </c>
      <c r="J1277">
        <v>687.50599999999997</v>
      </c>
      <c r="K1277">
        <v>684.92600000000004</v>
      </c>
      <c r="L1277">
        <v>679.26300000000003</v>
      </c>
      <c r="M1277" s="233" t="s">
        <v>530</v>
      </c>
      <c r="N1277" s="233" t="s">
        <v>531</v>
      </c>
      <c r="O1277" s="3" t="s">
        <v>1733</v>
      </c>
    </row>
    <row r="1278" spans="1:15">
      <c r="A1278">
        <v>54</v>
      </c>
      <c r="B1278">
        <v>683</v>
      </c>
      <c r="C1278" t="s">
        <v>79</v>
      </c>
      <c r="D1278" t="s">
        <v>233</v>
      </c>
      <c r="E1278" s="232" t="s">
        <v>9475</v>
      </c>
      <c r="F1278" t="s">
        <v>71</v>
      </c>
      <c r="G1278">
        <v>2</v>
      </c>
      <c r="H1278">
        <v>693.1</v>
      </c>
      <c r="I1278">
        <v>690.27099999999996</v>
      </c>
      <c r="J1278">
        <v>687.23</v>
      </c>
      <c r="K1278">
        <v>684.52499999999998</v>
      </c>
      <c r="L1278">
        <v>678.86099999999999</v>
      </c>
      <c r="M1278" s="233" t="s">
        <v>530</v>
      </c>
      <c r="N1278" s="233" t="s">
        <v>531</v>
      </c>
      <c r="O1278" s="3" t="s">
        <v>1734</v>
      </c>
    </row>
    <row r="1279" spans="1:15">
      <c r="A1279">
        <v>54</v>
      </c>
      <c r="B1279">
        <v>698</v>
      </c>
      <c r="C1279" t="s">
        <v>79</v>
      </c>
      <c r="D1279" t="s">
        <v>233</v>
      </c>
      <c r="E1279" s="232" t="s">
        <v>8863</v>
      </c>
      <c r="F1279" t="s">
        <v>71</v>
      </c>
      <c r="G1279">
        <v>2</v>
      </c>
      <c r="H1279">
        <v>692.06399999999996</v>
      </c>
      <c r="I1279">
        <v>689.505</v>
      </c>
      <c r="J1279">
        <v>686.27099999999996</v>
      </c>
      <c r="K1279">
        <v>683.55</v>
      </c>
      <c r="L1279">
        <v>677.95399999999995</v>
      </c>
      <c r="M1279" s="233" t="s">
        <v>530</v>
      </c>
      <c r="N1279" s="233" t="s">
        <v>531</v>
      </c>
      <c r="O1279" s="3" t="s">
        <v>1735</v>
      </c>
    </row>
    <row r="1280" spans="1:15">
      <c r="A1280">
        <v>54</v>
      </c>
      <c r="B1280">
        <v>700</v>
      </c>
      <c r="C1280" t="s">
        <v>79</v>
      </c>
      <c r="D1280" t="s">
        <v>233</v>
      </c>
      <c r="E1280" s="232" t="s">
        <v>9936</v>
      </c>
      <c r="F1280" t="s">
        <v>71</v>
      </c>
      <c r="G1280">
        <v>2</v>
      </c>
      <c r="H1280">
        <v>692.06399999999996</v>
      </c>
      <c r="I1280">
        <v>689.505</v>
      </c>
      <c r="J1280">
        <v>686.27099999999996</v>
      </c>
      <c r="K1280">
        <v>683.55</v>
      </c>
      <c r="L1280">
        <v>677.95399999999995</v>
      </c>
      <c r="M1280" s="233" t="s">
        <v>530</v>
      </c>
      <c r="N1280" s="233" t="s">
        <v>531</v>
      </c>
      <c r="O1280" s="3" t="s">
        <v>1736</v>
      </c>
    </row>
    <row r="1281" spans="1:15">
      <c r="A1281">
        <v>54</v>
      </c>
      <c r="B1281">
        <v>690</v>
      </c>
      <c r="C1281" t="s">
        <v>79</v>
      </c>
      <c r="D1281" t="s">
        <v>233</v>
      </c>
      <c r="E1281" s="232" t="s">
        <v>9963</v>
      </c>
      <c r="F1281" t="s">
        <v>71</v>
      </c>
      <c r="G1281">
        <v>2</v>
      </c>
      <c r="H1281">
        <v>691.86500000000001</v>
      </c>
      <c r="I1281">
        <v>689.404</v>
      </c>
      <c r="J1281">
        <v>686.17</v>
      </c>
      <c r="K1281">
        <v>683.38900000000001</v>
      </c>
      <c r="L1281">
        <v>677.779</v>
      </c>
      <c r="M1281" s="233" t="s">
        <v>530</v>
      </c>
      <c r="N1281" s="233" t="s">
        <v>531</v>
      </c>
      <c r="O1281" s="3" t="s">
        <v>1737</v>
      </c>
    </row>
    <row r="1282" spans="1:15">
      <c r="A1282">
        <v>54</v>
      </c>
      <c r="B1282">
        <v>701</v>
      </c>
      <c r="C1282" t="s">
        <v>79</v>
      </c>
      <c r="D1282" t="s">
        <v>233</v>
      </c>
      <c r="E1282" s="232" t="s">
        <v>9953</v>
      </c>
      <c r="F1282" t="s">
        <v>71</v>
      </c>
      <c r="G1282">
        <v>2</v>
      </c>
      <c r="H1282">
        <v>691.86500000000001</v>
      </c>
      <c r="I1282">
        <v>689.404</v>
      </c>
      <c r="J1282">
        <v>686.17</v>
      </c>
      <c r="K1282">
        <v>683.38900000000001</v>
      </c>
      <c r="L1282">
        <v>677.779</v>
      </c>
      <c r="M1282" s="233" t="s">
        <v>530</v>
      </c>
      <c r="N1282" s="233" t="s">
        <v>531</v>
      </c>
      <c r="O1282" s="3" t="s">
        <v>1738</v>
      </c>
    </row>
    <row r="1283" spans="1:15">
      <c r="A1283">
        <v>54</v>
      </c>
      <c r="B1283">
        <v>693</v>
      </c>
      <c r="C1283" t="s">
        <v>79</v>
      </c>
      <c r="D1283" t="s">
        <v>233</v>
      </c>
      <c r="E1283" s="232" t="s">
        <v>9966</v>
      </c>
      <c r="F1283" t="s">
        <v>71</v>
      </c>
      <c r="G1283">
        <v>2</v>
      </c>
      <c r="H1283">
        <v>691.86500000000001</v>
      </c>
      <c r="I1283">
        <v>689.20500000000004</v>
      </c>
      <c r="J1283">
        <v>685.86400000000003</v>
      </c>
      <c r="K1283">
        <v>683.18399999999997</v>
      </c>
      <c r="L1283">
        <v>677.40800000000002</v>
      </c>
      <c r="M1283" s="233" t="s">
        <v>530</v>
      </c>
      <c r="N1283" s="233" t="s">
        <v>531</v>
      </c>
      <c r="O1283" s="3" t="s">
        <v>1739</v>
      </c>
    </row>
    <row r="1284" spans="1:15">
      <c r="A1284">
        <v>54</v>
      </c>
      <c r="B1284">
        <v>703</v>
      </c>
      <c r="C1284" t="s">
        <v>79</v>
      </c>
      <c r="D1284" t="s">
        <v>233</v>
      </c>
      <c r="E1284" s="232" t="s">
        <v>10304</v>
      </c>
      <c r="F1284" t="s">
        <v>71</v>
      </c>
      <c r="G1284">
        <v>2</v>
      </c>
      <c r="H1284">
        <v>685.86400000000003</v>
      </c>
      <c r="I1284">
        <v>683.18399999999997</v>
      </c>
      <c r="J1284">
        <v>679.52099999999996</v>
      </c>
      <c r="K1284">
        <v>676.50599999999997</v>
      </c>
      <c r="L1284">
        <v>672.22</v>
      </c>
      <c r="M1284" s="233" t="s">
        <v>530</v>
      </c>
      <c r="N1284" s="233" t="s">
        <v>531</v>
      </c>
      <c r="O1284" s="3" t="s">
        <v>1740</v>
      </c>
    </row>
    <row r="1285" spans="1:15">
      <c r="A1285">
        <v>63</v>
      </c>
      <c r="B1285">
        <v>740</v>
      </c>
      <c r="C1285" t="s">
        <v>79</v>
      </c>
      <c r="D1285" t="s">
        <v>254</v>
      </c>
      <c r="E1285" s="232" t="s">
        <v>10375</v>
      </c>
      <c r="F1285" t="s">
        <v>70</v>
      </c>
      <c r="G1285">
        <v>2</v>
      </c>
      <c r="H1285">
        <v>897.74599999999998</v>
      </c>
      <c r="I1285">
        <v>895.39099999999996</v>
      </c>
      <c r="J1285">
        <v>892.36800000000005</v>
      </c>
      <c r="K1285">
        <v>886.06399999999996</v>
      </c>
      <c r="L1285">
        <v>879.41300000000001</v>
      </c>
      <c r="M1285" s="233" t="s">
        <v>532</v>
      </c>
      <c r="N1285" s="233" t="s">
        <v>533</v>
      </c>
      <c r="O1285" s="3" t="s">
        <v>1741</v>
      </c>
    </row>
    <row r="1286" spans="1:15">
      <c r="A1286">
        <v>64</v>
      </c>
      <c r="B1286">
        <v>767</v>
      </c>
      <c r="C1286" t="s">
        <v>79</v>
      </c>
      <c r="D1286" t="s">
        <v>254</v>
      </c>
      <c r="E1286" s="232" t="s">
        <v>7965</v>
      </c>
      <c r="F1286" t="s">
        <v>71</v>
      </c>
      <c r="G1286">
        <v>2</v>
      </c>
      <c r="H1286">
        <v>897.47400000000005</v>
      </c>
      <c r="I1286">
        <v>895.20399999999995</v>
      </c>
      <c r="J1286">
        <v>892.11800000000005</v>
      </c>
      <c r="K1286">
        <v>886.99599999999998</v>
      </c>
      <c r="L1286">
        <v>881.13099999999997</v>
      </c>
      <c r="M1286" s="233" t="s">
        <v>532</v>
      </c>
      <c r="N1286" s="233" t="s">
        <v>533</v>
      </c>
      <c r="O1286" s="3" t="s">
        <v>1742</v>
      </c>
    </row>
    <row r="1287" spans="1:15">
      <c r="A1287">
        <v>85</v>
      </c>
      <c r="B1287">
        <v>828</v>
      </c>
      <c r="C1287" t="s">
        <v>79</v>
      </c>
      <c r="D1287" t="s">
        <v>9189</v>
      </c>
      <c r="E1287" s="232" t="s">
        <v>16680</v>
      </c>
      <c r="F1287" t="s">
        <v>70</v>
      </c>
      <c r="G1287">
        <v>2</v>
      </c>
      <c r="H1287">
        <v>910.67499999999995</v>
      </c>
      <c r="I1287">
        <v>907.91700000000003</v>
      </c>
      <c r="J1287">
        <v>904.64</v>
      </c>
      <c r="K1287">
        <v>899.91499999999996</v>
      </c>
      <c r="L1287">
        <v>893.57</v>
      </c>
      <c r="M1287" s="233" t="s">
        <v>532</v>
      </c>
      <c r="N1287" s="233" t="s">
        <v>532</v>
      </c>
      <c r="O1287" s="3" t="s">
        <v>1743</v>
      </c>
    </row>
    <row r="1288" spans="1:15">
      <c r="A1288">
        <v>85</v>
      </c>
      <c r="B1288">
        <v>823</v>
      </c>
      <c r="C1288" t="s">
        <v>79</v>
      </c>
      <c r="D1288" t="s">
        <v>9189</v>
      </c>
      <c r="E1288" s="232" t="s">
        <v>9074</v>
      </c>
      <c r="F1288" t="s">
        <v>70</v>
      </c>
      <c r="G1288">
        <v>2</v>
      </c>
      <c r="H1288">
        <v>909.84299999999996</v>
      </c>
      <c r="I1288">
        <v>907.14700000000005</v>
      </c>
      <c r="J1288">
        <v>903.92700000000002</v>
      </c>
      <c r="K1288">
        <v>899.08299999999997</v>
      </c>
      <c r="L1288">
        <v>892.99199999999996</v>
      </c>
      <c r="M1288" s="233" t="s">
        <v>532</v>
      </c>
      <c r="N1288" s="233" t="s">
        <v>532</v>
      </c>
      <c r="O1288" s="3" t="s">
        <v>1744</v>
      </c>
    </row>
    <row r="1289" spans="1:15">
      <c r="A1289">
        <v>85</v>
      </c>
      <c r="B1289">
        <v>838</v>
      </c>
      <c r="C1289" t="s">
        <v>79</v>
      </c>
      <c r="D1289" t="s">
        <v>9189</v>
      </c>
      <c r="E1289" s="232" t="s">
        <v>10263</v>
      </c>
      <c r="F1289" t="s">
        <v>70</v>
      </c>
      <c r="G1289">
        <v>2</v>
      </c>
      <c r="H1289">
        <v>907.91700000000003</v>
      </c>
      <c r="I1289">
        <v>905.41099999999994</v>
      </c>
      <c r="J1289">
        <v>901.51499999999999</v>
      </c>
      <c r="K1289">
        <v>897.42100000000005</v>
      </c>
      <c r="L1289">
        <v>891.06299999999999</v>
      </c>
      <c r="M1289" s="233" t="s">
        <v>532</v>
      </c>
      <c r="N1289" s="233" t="s">
        <v>532</v>
      </c>
      <c r="O1289" s="3" t="s">
        <v>1745</v>
      </c>
    </row>
    <row r="1290" spans="1:15">
      <c r="A1290">
        <v>85</v>
      </c>
      <c r="B1290">
        <v>818</v>
      </c>
      <c r="C1290" t="s">
        <v>79</v>
      </c>
      <c r="D1290" t="s">
        <v>9189</v>
      </c>
      <c r="E1290" s="232" t="s">
        <v>10352</v>
      </c>
      <c r="F1290" t="s">
        <v>70</v>
      </c>
      <c r="G1290">
        <v>2</v>
      </c>
      <c r="H1290">
        <v>907.14700000000005</v>
      </c>
      <c r="I1290">
        <v>904.45100000000002</v>
      </c>
      <c r="J1290">
        <v>900.74699999999996</v>
      </c>
      <c r="K1290">
        <v>897.23099999999999</v>
      </c>
      <c r="L1290">
        <v>891.64400000000001</v>
      </c>
      <c r="M1290" s="233" t="s">
        <v>532</v>
      </c>
      <c r="N1290" s="233" t="s">
        <v>532</v>
      </c>
      <c r="O1290" s="3" t="s">
        <v>1746</v>
      </c>
    </row>
    <row r="1291" spans="1:15">
      <c r="A1291">
        <v>85</v>
      </c>
      <c r="B1291">
        <v>826</v>
      </c>
      <c r="C1291" t="s">
        <v>79</v>
      </c>
      <c r="D1291" t="s">
        <v>9189</v>
      </c>
      <c r="E1291" s="232" t="s">
        <v>8757</v>
      </c>
      <c r="F1291" t="s">
        <v>70</v>
      </c>
      <c r="G1291">
        <v>2</v>
      </c>
      <c r="H1291">
        <v>907.14700000000005</v>
      </c>
      <c r="I1291">
        <v>904.45100000000002</v>
      </c>
      <c r="J1291">
        <v>900.74699999999996</v>
      </c>
      <c r="K1291">
        <v>897.23099999999999</v>
      </c>
      <c r="L1291">
        <v>891.64400000000001</v>
      </c>
      <c r="M1291" s="233" t="s">
        <v>532</v>
      </c>
      <c r="N1291" s="233" t="s">
        <v>532</v>
      </c>
      <c r="O1291" s="3" t="s">
        <v>1747</v>
      </c>
    </row>
    <row r="1292" spans="1:15">
      <c r="A1292">
        <v>85</v>
      </c>
      <c r="B1292">
        <v>827</v>
      </c>
      <c r="C1292" t="s">
        <v>79</v>
      </c>
      <c r="D1292" t="s">
        <v>9189</v>
      </c>
      <c r="E1292" s="232" t="s">
        <v>16681</v>
      </c>
      <c r="F1292" t="s">
        <v>70</v>
      </c>
      <c r="G1292">
        <v>2</v>
      </c>
      <c r="H1292">
        <v>906.68499999999995</v>
      </c>
      <c r="I1292">
        <v>903.92700000000002</v>
      </c>
      <c r="J1292">
        <v>900.35699999999997</v>
      </c>
      <c r="K1292">
        <v>896.78700000000003</v>
      </c>
      <c r="L1292">
        <v>891.19899999999996</v>
      </c>
      <c r="M1292" s="233" t="s">
        <v>532</v>
      </c>
      <c r="N1292" s="233" t="s">
        <v>532</v>
      </c>
      <c r="O1292" s="3" t="s">
        <v>1748</v>
      </c>
    </row>
    <row r="1293" spans="1:15">
      <c r="A1293">
        <v>85</v>
      </c>
      <c r="B1293">
        <v>839</v>
      </c>
      <c r="C1293" t="s">
        <v>79</v>
      </c>
      <c r="D1293" t="s">
        <v>9189</v>
      </c>
      <c r="E1293" s="232" t="s">
        <v>10447</v>
      </c>
      <c r="F1293" t="s">
        <v>70</v>
      </c>
      <c r="G1293">
        <v>2</v>
      </c>
      <c r="H1293">
        <v>903.67499999999995</v>
      </c>
      <c r="I1293">
        <v>900.49300000000005</v>
      </c>
      <c r="J1293">
        <v>897.55700000000002</v>
      </c>
      <c r="K1293">
        <v>893.75900000000001</v>
      </c>
      <c r="L1293">
        <v>888.74699999999996</v>
      </c>
      <c r="M1293" s="233" t="s">
        <v>532</v>
      </c>
      <c r="N1293" s="233" t="s">
        <v>532</v>
      </c>
      <c r="O1293" s="3" t="s">
        <v>1749</v>
      </c>
    </row>
    <row r="1294" spans="1:15">
      <c r="A1294">
        <v>85</v>
      </c>
      <c r="B1294">
        <v>831</v>
      </c>
      <c r="C1294" t="s">
        <v>79</v>
      </c>
      <c r="D1294" t="s">
        <v>9189</v>
      </c>
      <c r="E1294" s="232" t="s">
        <v>10587</v>
      </c>
      <c r="F1294" t="s">
        <v>70</v>
      </c>
      <c r="G1294">
        <v>2</v>
      </c>
      <c r="H1294">
        <v>901.37900000000002</v>
      </c>
      <c r="I1294">
        <v>898.83100000000002</v>
      </c>
      <c r="J1294">
        <v>896.78700000000003</v>
      </c>
      <c r="K1294">
        <v>892.99199999999996</v>
      </c>
      <c r="L1294">
        <v>888.74699999999996</v>
      </c>
      <c r="M1294" s="233" t="s">
        <v>532</v>
      </c>
      <c r="N1294" s="233" t="s">
        <v>532</v>
      </c>
      <c r="O1294" s="3" t="s">
        <v>1750</v>
      </c>
    </row>
    <row r="1295" spans="1:15">
      <c r="A1295">
        <v>85</v>
      </c>
      <c r="B1295">
        <v>834</v>
      </c>
      <c r="C1295" t="s">
        <v>79</v>
      </c>
      <c r="D1295" t="s">
        <v>9189</v>
      </c>
      <c r="E1295" s="232" t="s">
        <v>10636</v>
      </c>
      <c r="F1295" t="s">
        <v>70</v>
      </c>
      <c r="G1295">
        <v>2</v>
      </c>
      <c r="H1295">
        <v>899.91499999999996</v>
      </c>
      <c r="I1295">
        <v>897.55700000000002</v>
      </c>
      <c r="J1295">
        <v>895.62900000000002</v>
      </c>
      <c r="K1295">
        <v>892.16</v>
      </c>
      <c r="L1295">
        <v>887.84299999999996</v>
      </c>
      <c r="M1295" s="233" t="s">
        <v>532</v>
      </c>
      <c r="N1295" s="233" t="s">
        <v>532</v>
      </c>
      <c r="O1295" s="3" t="s">
        <v>1751</v>
      </c>
    </row>
    <row r="1296" spans="1:15">
      <c r="A1296">
        <v>85</v>
      </c>
      <c r="B1296">
        <v>835</v>
      </c>
      <c r="C1296" t="s">
        <v>79</v>
      </c>
      <c r="D1296" t="s">
        <v>9189</v>
      </c>
      <c r="E1296" s="232" t="s">
        <v>10633</v>
      </c>
      <c r="F1296" t="s">
        <v>70</v>
      </c>
      <c r="G1296">
        <v>2</v>
      </c>
      <c r="H1296">
        <v>899.91499999999996</v>
      </c>
      <c r="I1296">
        <v>897.55700000000002</v>
      </c>
      <c r="J1296">
        <v>895.62900000000002</v>
      </c>
      <c r="K1296">
        <v>892.16</v>
      </c>
      <c r="L1296">
        <v>887.84299999999996</v>
      </c>
      <c r="M1296" s="233" t="s">
        <v>532</v>
      </c>
      <c r="N1296" s="233" t="s">
        <v>532</v>
      </c>
      <c r="O1296" s="3" t="s">
        <v>1752</v>
      </c>
    </row>
    <row r="1297" spans="1:15">
      <c r="A1297">
        <v>84</v>
      </c>
      <c r="B1297">
        <v>848</v>
      </c>
      <c r="C1297" t="s">
        <v>79</v>
      </c>
      <c r="D1297" t="s">
        <v>9189</v>
      </c>
      <c r="E1297" s="232" t="s">
        <v>10257</v>
      </c>
      <c r="F1297" t="s">
        <v>71</v>
      </c>
      <c r="G1297">
        <v>2</v>
      </c>
      <c r="H1297">
        <v>899.92899999999997</v>
      </c>
      <c r="I1297">
        <v>897.40800000000002</v>
      </c>
      <c r="J1297">
        <v>893.96199999999999</v>
      </c>
      <c r="K1297">
        <v>889.48599999999999</v>
      </c>
      <c r="L1297">
        <v>882.50800000000004</v>
      </c>
      <c r="M1297" s="233" t="s">
        <v>532</v>
      </c>
      <c r="N1297" s="233" t="s">
        <v>532</v>
      </c>
      <c r="O1297" s="3" t="s">
        <v>1753</v>
      </c>
    </row>
    <row r="1298" spans="1:15">
      <c r="A1298">
        <v>86</v>
      </c>
      <c r="B1298">
        <v>849</v>
      </c>
      <c r="C1298" t="s">
        <v>79</v>
      </c>
      <c r="D1298" t="s">
        <v>9189</v>
      </c>
      <c r="E1298" s="232" t="s">
        <v>10191</v>
      </c>
      <c r="F1298" t="s">
        <v>71</v>
      </c>
      <c r="G1298">
        <v>2</v>
      </c>
      <c r="H1298">
        <v>892.10199999999998</v>
      </c>
      <c r="I1298">
        <v>889.13300000000004</v>
      </c>
      <c r="J1298">
        <v>885.82299999999998</v>
      </c>
      <c r="K1298">
        <v>880.54100000000005</v>
      </c>
      <c r="L1298">
        <v>873.56399999999996</v>
      </c>
      <c r="M1298" s="233" t="s">
        <v>532</v>
      </c>
      <c r="N1298" s="233" t="s">
        <v>532</v>
      </c>
      <c r="O1298" s="3" t="s">
        <v>1754</v>
      </c>
    </row>
    <row r="1299" spans="1:15">
      <c r="A1299">
        <v>75</v>
      </c>
      <c r="B1299">
        <v>853</v>
      </c>
      <c r="C1299" t="s">
        <v>79</v>
      </c>
      <c r="D1299" t="s">
        <v>236</v>
      </c>
      <c r="E1299" s="232" t="s">
        <v>10108</v>
      </c>
      <c r="F1299" t="s">
        <v>70</v>
      </c>
      <c r="G1299">
        <v>2</v>
      </c>
      <c r="H1299">
        <v>916.04700000000003</v>
      </c>
      <c r="I1299">
        <v>911.05</v>
      </c>
      <c r="J1299">
        <v>906.57600000000002</v>
      </c>
      <c r="K1299">
        <v>902.64300000000003</v>
      </c>
      <c r="L1299">
        <v>896.91</v>
      </c>
      <c r="M1299" s="233" t="s">
        <v>532</v>
      </c>
      <c r="N1299" s="233" t="s">
        <v>533</v>
      </c>
      <c r="O1299" s="3" t="s">
        <v>1755</v>
      </c>
    </row>
    <row r="1300" spans="1:15">
      <c r="A1300">
        <v>75</v>
      </c>
      <c r="B1300">
        <v>869</v>
      </c>
      <c r="C1300" t="s">
        <v>79</v>
      </c>
      <c r="D1300" t="s">
        <v>236</v>
      </c>
      <c r="E1300" s="232" t="s">
        <v>9103</v>
      </c>
      <c r="F1300" t="s">
        <v>70</v>
      </c>
      <c r="G1300">
        <v>2</v>
      </c>
      <c r="H1300">
        <v>911.94299999999998</v>
      </c>
      <c r="I1300">
        <v>906.43700000000001</v>
      </c>
      <c r="J1300">
        <v>903.17</v>
      </c>
      <c r="K1300">
        <v>899.77599999999995</v>
      </c>
      <c r="L1300">
        <v>892.27499999999998</v>
      </c>
      <c r="M1300" s="233" t="s">
        <v>532</v>
      </c>
      <c r="N1300" s="233" t="s">
        <v>533</v>
      </c>
      <c r="O1300" s="3" t="s">
        <v>1756</v>
      </c>
    </row>
    <row r="1301" spans="1:15">
      <c r="A1301">
        <v>76</v>
      </c>
      <c r="B1301">
        <v>882</v>
      </c>
      <c r="C1301" t="s">
        <v>79</v>
      </c>
      <c r="D1301" t="s">
        <v>236</v>
      </c>
      <c r="E1301" s="232" t="s">
        <v>8654</v>
      </c>
      <c r="F1301" t="s">
        <v>71</v>
      </c>
      <c r="G1301">
        <v>2</v>
      </c>
      <c r="H1301">
        <v>904.50300000000004</v>
      </c>
      <c r="I1301">
        <v>899.22400000000005</v>
      </c>
      <c r="J1301">
        <v>895.197</v>
      </c>
      <c r="K1301">
        <v>891.63199999999995</v>
      </c>
      <c r="L1301">
        <v>884.88099999999997</v>
      </c>
      <c r="M1301" s="233" t="s">
        <v>532</v>
      </c>
      <c r="N1301" s="233" t="s">
        <v>533</v>
      </c>
      <c r="O1301" s="3" t="s">
        <v>1757</v>
      </c>
    </row>
    <row r="1302" spans="1:15">
      <c r="A1302">
        <v>76</v>
      </c>
      <c r="B1302">
        <v>889</v>
      </c>
      <c r="C1302" t="s">
        <v>79</v>
      </c>
      <c r="D1302" t="s">
        <v>236</v>
      </c>
      <c r="E1302" s="232" t="s">
        <v>560</v>
      </c>
      <c r="F1302" t="s">
        <v>71</v>
      </c>
      <c r="G1302">
        <v>2</v>
      </c>
      <c r="H1302">
        <v>902.34100000000001</v>
      </c>
      <c r="I1302">
        <v>896.62400000000002</v>
      </c>
      <c r="J1302">
        <v>892.63699999999994</v>
      </c>
      <c r="K1302">
        <v>889.56500000000005</v>
      </c>
      <c r="L1302">
        <v>882.15099999999995</v>
      </c>
      <c r="M1302" s="233" t="s">
        <v>532</v>
      </c>
      <c r="N1302" s="233" t="s">
        <v>533</v>
      </c>
      <c r="O1302" s="3" t="s">
        <v>1758</v>
      </c>
    </row>
    <row r="1303" spans="1:15">
      <c r="A1303">
        <v>67</v>
      </c>
      <c r="B1303">
        <v>768</v>
      </c>
      <c r="C1303" t="s">
        <v>79</v>
      </c>
      <c r="D1303" t="s">
        <v>237</v>
      </c>
      <c r="E1303" s="232" t="s">
        <v>16677</v>
      </c>
      <c r="F1303" t="s">
        <v>70</v>
      </c>
      <c r="G1303">
        <v>2</v>
      </c>
      <c r="H1303">
        <v>710.61699999999996</v>
      </c>
      <c r="I1303">
        <v>708.28399999999999</v>
      </c>
      <c r="J1303">
        <v>706.101</v>
      </c>
      <c r="K1303">
        <v>703.28</v>
      </c>
      <c r="L1303">
        <v>698.53499999999997</v>
      </c>
      <c r="M1303" s="233" t="s">
        <v>530</v>
      </c>
      <c r="N1303" s="233" t="s">
        <v>530</v>
      </c>
      <c r="O1303" s="3" t="s">
        <v>1759</v>
      </c>
    </row>
    <row r="1304" spans="1:15">
      <c r="A1304">
        <v>67</v>
      </c>
      <c r="B1304">
        <v>772</v>
      </c>
      <c r="C1304" t="s">
        <v>79</v>
      </c>
      <c r="D1304" t="s">
        <v>237</v>
      </c>
      <c r="E1304" s="232" t="s">
        <v>10236</v>
      </c>
      <c r="F1304" t="s">
        <v>70</v>
      </c>
      <c r="G1304">
        <v>2</v>
      </c>
      <c r="H1304">
        <v>704.67200000000003</v>
      </c>
      <c r="I1304">
        <v>701.86699999999996</v>
      </c>
      <c r="J1304">
        <v>699.59100000000001</v>
      </c>
      <c r="K1304">
        <v>696.577</v>
      </c>
      <c r="L1304">
        <v>691.58699999999999</v>
      </c>
      <c r="M1304" s="233" t="s">
        <v>530</v>
      </c>
      <c r="N1304" s="233" t="s">
        <v>530</v>
      </c>
      <c r="O1304" s="3" t="s">
        <v>1760</v>
      </c>
    </row>
    <row r="1305" spans="1:15">
      <c r="A1305">
        <v>67</v>
      </c>
      <c r="B1305">
        <v>788</v>
      </c>
      <c r="C1305" t="s">
        <v>79</v>
      </c>
      <c r="D1305" t="s">
        <v>237</v>
      </c>
      <c r="E1305" s="232" t="s">
        <v>10433</v>
      </c>
      <c r="F1305" t="s">
        <v>70</v>
      </c>
      <c r="G1305">
        <v>2</v>
      </c>
      <c r="H1305">
        <v>701.45799999999997</v>
      </c>
      <c r="I1305">
        <v>699.06200000000001</v>
      </c>
      <c r="J1305">
        <v>696.73199999999997</v>
      </c>
      <c r="K1305">
        <v>693.40899999999999</v>
      </c>
      <c r="L1305">
        <v>685.20299999999997</v>
      </c>
      <c r="M1305" s="233" t="s">
        <v>530</v>
      </c>
      <c r="N1305" s="233" t="s">
        <v>530</v>
      </c>
      <c r="O1305" s="3" t="s">
        <v>1761</v>
      </c>
    </row>
    <row r="1306" spans="1:15">
      <c r="A1306">
        <v>67</v>
      </c>
      <c r="B1306">
        <v>770</v>
      </c>
      <c r="C1306" t="s">
        <v>79</v>
      </c>
      <c r="D1306" t="s">
        <v>237</v>
      </c>
      <c r="E1306" s="232" t="s">
        <v>9090</v>
      </c>
      <c r="F1306" t="s">
        <v>70</v>
      </c>
      <c r="G1306">
        <v>2</v>
      </c>
      <c r="H1306">
        <v>701.71299999999997</v>
      </c>
      <c r="I1306">
        <v>698.90800000000002</v>
      </c>
      <c r="J1306">
        <v>696.577</v>
      </c>
      <c r="K1306">
        <v>693.40899999999999</v>
      </c>
      <c r="L1306">
        <v>689.76599999999996</v>
      </c>
      <c r="M1306" s="233" t="s">
        <v>530</v>
      </c>
      <c r="N1306" s="233" t="s">
        <v>530</v>
      </c>
      <c r="O1306" s="3" t="s">
        <v>1762</v>
      </c>
    </row>
    <row r="1307" spans="1:15">
      <c r="A1307">
        <v>67</v>
      </c>
      <c r="B1307">
        <v>776</v>
      </c>
      <c r="C1307" t="s">
        <v>79</v>
      </c>
      <c r="D1307" t="s">
        <v>237</v>
      </c>
      <c r="E1307" s="232" t="s">
        <v>16678</v>
      </c>
      <c r="F1307" t="s">
        <v>70</v>
      </c>
      <c r="G1307">
        <v>2</v>
      </c>
      <c r="H1307">
        <v>701.35799999999995</v>
      </c>
      <c r="I1307">
        <v>698.63499999999999</v>
      </c>
      <c r="J1307">
        <v>696.10299999999995</v>
      </c>
      <c r="K1307">
        <v>692.952</v>
      </c>
      <c r="L1307">
        <v>689.40899999999999</v>
      </c>
      <c r="M1307" s="233" t="s">
        <v>530</v>
      </c>
      <c r="N1307" s="233" t="s">
        <v>530</v>
      </c>
      <c r="O1307" s="3" t="s">
        <v>1763</v>
      </c>
    </row>
    <row r="1308" spans="1:15">
      <c r="A1308">
        <v>67</v>
      </c>
      <c r="B1308">
        <v>789</v>
      </c>
      <c r="C1308" t="s">
        <v>79</v>
      </c>
      <c r="D1308" t="s">
        <v>237</v>
      </c>
      <c r="E1308" s="232" t="s">
        <v>10653</v>
      </c>
      <c r="F1308" t="s">
        <v>70</v>
      </c>
      <c r="G1308">
        <v>2</v>
      </c>
      <c r="H1308">
        <v>698.90800000000002</v>
      </c>
      <c r="I1308">
        <v>696.10299999999995</v>
      </c>
      <c r="J1308">
        <v>692.952</v>
      </c>
      <c r="K1308">
        <v>690.649</v>
      </c>
      <c r="L1308">
        <v>686.904</v>
      </c>
      <c r="M1308" s="233" t="s">
        <v>530</v>
      </c>
      <c r="N1308" s="233" t="s">
        <v>530</v>
      </c>
      <c r="O1308" s="3" t="s">
        <v>1764</v>
      </c>
    </row>
    <row r="1309" spans="1:15">
      <c r="A1309">
        <v>67</v>
      </c>
      <c r="B1309">
        <v>783</v>
      </c>
      <c r="C1309" t="s">
        <v>79</v>
      </c>
      <c r="D1309" t="s">
        <v>237</v>
      </c>
      <c r="E1309" s="232" t="s">
        <v>10831</v>
      </c>
      <c r="F1309" t="s">
        <v>70</v>
      </c>
      <c r="G1309">
        <v>2</v>
      </c>
      <c r="H1309">
        <v>694.601</v>
      </c>
      <c r="I1309">
        <v>691.85900000000004</v>
      </c>
      <c r="J1309">
        <v>690.29200000000003</v>
      </c>
      <c r="K1309">
        <v>687.63300000000004</v>
      </c>
      <c r="L1309">
        <v>684.71</v>
      </c>
      <c r="M1309" s="233" t="s">
        <v>530</v>
      </c>
      <c r="N1309" s="233" t="s">
        <v>530</v>
      </c>
      <c r="O1309" s="3" t="s">
        <v>1765</v>
      </c>
    </row>
    <row r="1310" spans="1:15">
      <c r="A1310">
        <v>67</v>
      </c>
      <c r="B1310">
        <v>782</v>
      </c>
      <c r="C1310" t="s">
        <v>79</v>
      </c>
      <c r="D1310" t="s">
        <v>237</v>
      </c>
      <c r="E1310" s="232" t="s">
        <v>8168</v>
      </c>
      <c r="F1310" t="s">
        <v>70</v>
      </c>
      <c r="G1310">
        <v>2</v>
      </c>
      <c r="H1310">
        <v>692.625</v>
      </c>
      <c r="I1310">
        <v>690.68600000000004</v>
      </c>
      <c r="J1310">
        <v>688.26199999999994</v>
      </c>
      <c r="K1310">
        <v>686.495</v>
      </c>
      <c r="L1310">
        <v>683.45299999999997</v>
      </c>
      <c r="M1310" s="233" t="s">
        <v>530</v>
      </c>
      <c r="N1310" s="233" t="s">
        <v>530</v>
      </c>
      <c r="O1310" s="3" t="s">
        <v>1766</v>
      </c>
    </row>
    <row r="1311" spans="1:15">
      <c r="A1311">
        <v>68</v>
      </c>
      <c r="B1311">
        <v>808</v>
      </c>
      <c r="C1311" t="s">
        <v>79</v>
      </c>
      <c r="D1311" t="s">
        <v>237</v>
      </c>
      <c r="E1311" s="232" t="s">
        <v>8659</v>
      </c>
      <c r="F1311" t="s">
        <v>71</v>
      </c>
      <c r="G1311">
        <v>2</v>
      </c>
      <c r="H1311">
        <v>697.90599999999995</v>
      </c>
      <c r="I1311">
        <v>695.06399999999996</v>
      </c>
      <c r="J1311">
        <v>692.88599999999997</v>
      </c>
      <c r="K1311">
        <v>689.32600000000002</v>
      </c>
      <c r="L1311">
        <v>684.05399999999997</v>
      </c>
      <c r="M1311" s="233" t="s">
        <v>530</v>
      </c>
      <c r="N1311" s="233" t="s">
        <v>530</v>
      </c>
      <c r="O1311" s="3" t="s">
        <v>1767</v>
      </c>
    </row>
    <row r="1312" spans="1:15">
      <c r="A1312">
        <v>68</v>
      </c>
      <c r="B1312">
        <v>798</v>
      </c>
      <c r="C1312" t="s">
        <v>79</v>
      </c>
      <c r="D1312" t="s">
        <v>237</v>
      </c>
      <c r="E1312" s="232" t="s">
        <v>8534</v>
      </c>
      <c r="F1312" t="s">
        <v>71</v>
      </c>
      <c r="G1312">
        <v>2</v>
      </c>
      <c r="H1312">
        <v>694.64400000000001</v>
      </c>
      <c r="I1312">
        <v>692.80399999999997</v>
      </c>
      <c r="J1312">
        <v>689.12400000000002</v>
      </c>
      <c r="K1312">
        <v>687.15</v>
      </c>
      <c r="L1312">
        <v>684.40599999999995</v>
      </c>
      <c r="M1312" s="233" t="s">
        <v>530</v>
      </c>
      <c r="N1312" s="233" t="s">
        <v>530</v>
      </c>
      <c r="O1312" s="3" t="s">
        <v>1768</v>
      </c>
    </row>
    <row r="1313" spans="1:15">
      <c r="A1313">
        <v>68</v>
      </c>
      <c r="B1313">
        <v>810</v>
      </c>
      <c r="C1313" t="s">
        <v>79</v>
      </c>
      <c r="D1313" t="s">
        <v>237</v>
      </c>
      <c r="E1313" s="232" t="s">
        <v>7249</v>
      </c>
      <c r="F1313" t="s">
        <v>71</v>
      </c>
      <c r="G1313">
        <v>2</v>
      </c>
      <c r="H1313">
        <v>694.79399999999998</v>
      </c>
      <c r="I1313">
        <v>692.11599999999999</v>
      </c>
      <c r="J1313">
        <v>689.12400000000002</v>
      </c>
      <c r="K1313">
        <v>686.66399999999999</v>
      </c>
      <c r="L1313">
        <v>682.75</v>
      </c>
      <c r="M1313" s="233" t="s">
        <v>530</v>
      </c>
      <c r="N1313" s="233" t="s">
        <v>530</v>
      </c>
      <c r="O1313" s="3" t="s">
        <v>1769</v>
      </c>
    </row>
    <row r="1314" spans="1:15">
      <c r="A1314">
        <v>68</v>
      </c>
      <c r="B1314">
        <v>796</v>
      </c>
      <c r="C1314" t="s">
        <v>79</v>
      </c>
      <c r="D1314" t="s">
        <v>237</v>
      </c>
      <c r="E1314" s="232" t="s">
        <v>8726</v>
      </c>
      <c r="F1314" t="s">
        <v>71</v>
      </c>
      <c r="G1314">
        <v>2</v>
      </c>
      <c r="H1314">
        <v>694.49400000000003</v>
      </c>
      <c r="I1314">
        <v>692.11599999999999</v>
      </c>
      <c r="J1314">
        <v>688.97400000000005</v>
      </c>
      <c r="K1314">
        <v>687</v>
      </c>
      <c r="L1314">
        <v>684.39</v>
      </c>
      <c r="M1314" s="233" t="s">
        <v>530</v>
      </c>
      <c r="N1314" s="233" t="s">
        <v>530</v>
      </c>
      <c r="O1314" s="3" t="s">
        <v>1770</v>
      </c>
    </row>
    <row r="1315" spans="1:15">
      <c r="A1315">
        <v>68</v>
      </c>
      <c r="B1315">
        <v>795</v>
      </c>
      <c r="C1315" t="s">
        <v>79</v>
      </c>
      <c r="D1315" t="s">
        <v>237</v>
      </c>
      <c r="E1315" s="232" t="s">
        <v>9633</v>
      </c>
      <c r="F1315" t="s">
        <v>71</v>
      </c>
      <c r="G1315">
        <v>2</v>
      </c>
      <c r="H1315">
        <v>693.60599999999999</v>
      </c>
      <c r="I1315">
        <v>691.04600000000005</v>
      </c>
      <c r="J1315">
        <v>687.98599999999999</v>
      </c>
      <c r="K1315">
        <v>686.24599999999998</v>
      </c>
      <c r="L1315">
        <v>681.64599999999996</v>
      </c>
      <c r="M1315" s="233" t="s">
        <v>530</v>
      </c>
      <c r="N1315" s="233" t="s">
        <v>530</v>
      </c>
      <c r="O1315" s="3" t="s">
        <v>1771</v>
      </c>
    </row>
    <row r="1316" spans="1:15">
      <c r="A1316">
        <v>68</v>
      </c>
      <c r="B1316">
        <v>809</v>
      </c>
      <c r="C1316" t="s">
        <v>79</v>
      </c>
      <c r="D1316" t="s">
        <v>237</v>
      </c>
      <c r="E1316" s="232" t="s">
        <v>8217</v>
      </c>
      <c r="F1316" t="s">
        <v>71</v>
      </c>
      <c r="G1316">
        <v>2</v>
      </c>
      <c r="H1316">
        <v>692.53599999999994</v>
      </c>
      <c r="I1316">
        <v>690.54600000000005</v>
      </c>
      <c r="J1316">
        <v>687.3</v>
      </c>
      <c r="K1316">
        <v>685.59400000000005</v>
      </c>
      <c r="L1316">
        <v>682.14599999999996</v>
      </c>
      <c r="M1316" s="233" t="s">
        <v>530</v>
      </c>
      <c r="N1316" s="233" t="s">
        <v>530</v>
      </c>
      <c r="O1316" s="3" t="s">
        <v>1772</v>
      </c>
    </row>
    <row r="1317" spans="1:15">
      <c r="A1317">
        <v>68</v>
      </c>
      <c r="B1317">
        <v>804</v>
      </c>
      <c r="C1317" t="s">
        <v>79</v>
      </c>
      <c r="D1317" t="s">
        <v>237</v>
      </c>
      <c r="E1317" s="232" t="s">
        <v>16679</v>
      </c>
      <c r="F1317" t="s">
        <v>71</v>
      </c>
      <c r="G1317">
        <v>2</v>
      </c>
      <c r="H1317">
        <v>692.37</v>
      </c>
      <c r="I1317">
        <v>689.91</v>
      </c>
      <c r="J1317">
        <v>687.15</v>
      </c>
      <c r="K1317">
        <v>685.44399999999996</v>
      </c>
      <c r="L1317">
        <v>682.01300000000003</v>
      </c>
      <c r="M1317" s="233" t="s">
        <v>530</v>
      </c>
      <c r="N1317" s="233" t="s">
        <v>530</v>
      </c>
      <c r="O1317" s="3" t="s">
        <v>1773</v>
      </c>
    </row>
    <row r="1318" spans="1:15">
      <c r="A1318">
        <v>68</v>
      </c>
      <c r="B1318">
        <v>801</v>
      </c>
      <c r="C1318" t="s">
        <v>79</v>
      </c>
      <c r="D1318" t="s">
        <v>237</v>
      </c>
      <c r="E1318" s="232" t="s">
        <v>10680</v>
      </c>
      <c r="F1318" t="s">
        <v>71</v>
      </c>
      <c r="G1318">
        <v>2</v>
      </c>
      <c r="H1318">
        <v>690.96400000000006</v>
      </c>
      <c r="I1318">
        <v>688.54</v>
      </c>
      <c r="J1318">
        <v>686.096</v>
      </c>
      <c r="K1318">
        <v>684.54</v>
      </c>
      <c r="L1318">
        <v>681.29399999999998</v>
      </c>
      <c r="M1318" s="233" t="s">
        <v>530</v>
      </c>
      <c r="N1318" s="233" t="s">
        <v>530</v>
      </c>
      <c r="O1318" s="3" t="s">
        <v>1774</v>
      </c>
    </row>
    <row r="1319" spans="1:15">
      <c r="A1319">
        <v>79</v>
      </c>
      <c r="B1319">
        <v>895</v>
      </c>
      <c r="C1319" t="s">
        <v>79</v>
      </c>
      <c r="D1319" t="s">
        <v>301</v>
      </c>
      <c r="E1319" s="232" t="s">
        <v>16682</v>
      </c>
      <c r="F1319" t="s">
        <v>70</v>
      </c>
      <c r="G1319">
        <v>2</v>
      </c>
      <c r="H1319">
        <v>716.69500000000005</v>
      </c>
      <c r="I1319">
        <v>714.14099999999996</v>
      </c>
      <c r="J1319">
        <v>710.60599999999999</v>
      </c>
      <c r="K1319">
        <v>707.76700000000005</v>
      </c>
      <c r="L1319">
        <v>703.26199999999994</v>
      </c>
      <c r="M1319" s="233" t="s">
        <v>530</v>
      </c>
      <c r="N1319" s="233" t="s">
        <v>531</v>
      </c>
      <c r="O1319" s="3" t="s">
        <v>1775</v>
      </c>
    </row>
    <row r="1320" spans="1:15">
      <c r="A1320">
        <v>79</v>
      </c>
      <c r="B1320">
        <v>893</v>
      </c>
      <c r="C1320" t="s">
        <v>79</v>
      </c>
      <c r="D1320" t="s">
        <v>301</v>
      </c>
      <c r="E1320" s="232" t="s">
        <v>16683</v>
      </c>
      <c r="F1320" t="s">
        <v>70</v>
      </c>
      <c r="G1320">
        <v>2</v>
      </c>
      <c r="H1320">
        <v>710.18799999999999</v>
      </c>
      <c r="I1320">
        <v>707.35400000000004</v>
      </c>
      <c r="J1320">
        <v>704.45299999999997</v>
      </c>
      <c r="K1320">
        <v>702.41499999999996</v>
      </c>
      <c r="L1320">
        <v>699.05399999999997</v>
      </c>
      <c r="M1320" s="233" t="s">
        <v>530</v>
      </c>
      <c r="N1320" s="233" t="s">
        <v>531</v>
      </c>
      <c r="O1320" s="3" t="s">
        <v>1776</v>
      </c>
    </row>
    <row r="1321" spans="1:15">
      <c r="A1321">
        <v>79</v>
      </c>
      <c r="B1321">
        <v>896</v>
      </c>
      <c r="C1321" t="s">
        <v>79</v>
      </c>
      <c r="D1321" t="s">
        <v>301</v>
      </c>
      <c r="E1321" s="232" t="s">
        <v>420</v>
      </c>
      <c r="F1321" t="s">
        <v>70</v>
      </c>
      <c r="G1321">
        <v>2</v>
      </c>
      <c r="H1321">
        <v>707.76700000000005</v>
      </c>
      <c r="I1321">
        <v>705.36599999999999</v>
      </c>
      <c r="J1321">
        <v>702.67200000000003</v>
      </c>
      <c r="K1321">
        <v>700.928</v>
      </c>
      <c r="L1321">
        <v>697.59500000000003</v>
      </c>
      <c r="M1321" s="233" t="s">
        <v>530</v>
      </c>
      <c r="N1321" s="233" t="s">
        <v>531</v>
      </c>
      <c r="O1321" s="3" t="s">
        <v>1777</v>
      </c>
    </row>
    <row r="1322" spans="1:15">
      <c r="A1322">
        <v>79</v>
      </c>
      <c r="B1322">
        <v>901</v>
      </c>
      <c r="C1322" t="s">
        <v>79</v>
      </c>
      <c r="D1322" t="s">
        <v>301</v>
      </c>
      <c r="E1322" s="232" t="s">
        <v>10821</v>
      </c>
      <c r="F1322" t="s">
        <v>70</v>
      </c>
      <c r="G1322">
        <v>2</v>
      </c>
      <c r="H1322">
        <v>706.61699999999996</v>
      </c>
      <c r="I1322">
        <v>704.68200000000002</v>
      </c>
      <c r="J1322">
        <v>702.03399999999999</v>
      </c>
      <c r="K1322">
        <v>700.37800000000004</v>
      </c>
      <c r="L1322">
        <v>697.07600000000002</v>
      </c>
      <c r="M1322" s="233" t="s">
        <v>530</v>
      </c>
      <c r="N1322" s="233" t="s">
        <v>531</v>
      </c>
      <c r="O1322" s="3" t="s">
        <v>1778</v>
      </c>
    </row>
    <row r="1323" spans="1:15">
      <c r="A1323">
        <v>79</v>
      </c>
      <c r="B1323">
        <v>908</v>
      </c>
      <c r="C1323" t="s">
        <v>79</v>
      </c>
      <c r="D1323" t="s">
        <v>301</v>
      </c>
      <c r="E1323" s="232" t="s">
        <v>16684</v>
      </c>
      <c r="F1323" t="s">
        <v>70</v>
      </c>
      <c r="G1323">
        <v>2</v>
      </c>
      <c r="H1323">
        <v>698.428</v>
      </c>
      <c r="I1323">
        <v>696.71199999999999</v>
      </c>
      <c r="J1323">
        <v>693.99699999999996</v>
      </c>
      <c r="K1323">
        <v>690.88900000000001</v>
      </c>
      <c r="L1323">
        <v>686.37800000000004</v>
      </c>
      <c r="M1323" s="233" t="s">
        <v>530</v>
      </c>
      <c r="N1323" s="233" t="s">
        <v>531</v>
      </c>
      <c r="O1323" s="3" t="s">
        <v>1779</v>
      </c>
    </row>
    <row r="1324" spans="1:15">
      <c r="A1324">
        <v>79</v>
      </c>
      <c r="B1324">
        <v>903</v>
      </c>
      <c r="C1324" t="s">
        <v>79</v>
      </c>
      <c r="D1324" t="s">
        <v>301</v>
      </c>
      <c r="E1324" s="232" t="s">
        <v>546</v>
      </c>
      <c r="F1324" t="s">
        <v>70</v>
      </c>
      <c r="G1324">
        <v>2</v>
      </c>
      <c r="H1324">
        <v>691.44</v>
      </c>
      <c r="I1324">
        <v>689.423</v>
      </c>
      <c r="J1324">
        <v>686.28300000000002</v>
      </c>
      <c r="K1324">
        <v>683.476</v>
      </c>
      <c r="L1324">
        <v>682.00800000000004</v>
      </c>
      <c r="M1324" s="233" t="s">
        <v>530</v>
      </c>
      <c r="N1324" s="233" t="s">
        <v>531</v>
      </c>
      <c r="O1324" s="3" t="s">
        <v>1780</v>
      </c>
    </row>
    <row r="1325" spans="1:15">
      <c r="A1325">
        <v>79</v>
      </c>
      <c r="B1325">
        <v>902</v>
      </c>
      <c r="C1325" t="s">
        <v>79</v>
      </c>
      <c r="D1325" t="s">
        <v>301</v>
      </c>
      <c r="E1325" s="232" t="s">
        <v>16685</v>
      </c>
      <c r="F1325" t="s">
        <v>70</v>
      </c>
      <c r="G1325">
        <v>2</v>
      </c>
      <c r="H1325">
        <v>688.09199999999998</v>
      </c>
      <c r="I1325">
        <v>685.91</v>
      </c>
      <c r="J1325">
        <v>683.86300000000006</v>
      </c>
      <c r="K1325">
        <v>679.23400000000004</v>
      </c>
      <c r="L1325">
        <v>674.79600000000005</v>
      </c>
      <c r="M1325" s="233" t="s">
        <v>530</v>
      </c>
      <c r="N1325" s="233" t="s">
        <v>531</v>
      </c>
      <c r="O1325" s="3" t="s">
        <v>1781</v>
      </c>
    </row>
    <row r="1326" spans="1:15">
      <c r="A1326">
        <v>79</v>
      </c>
      <c r="B1326">
        <v>906</v>
      </c>
      <c r="C1326" t="s">
        <v>79</v>
      </c>
      <c r="D1326" t="s">
        <v>301</v>
      </c>
      <c r="E1326" s="232" t="s">
        <v>408</v>
      </c>
      <c r="F1326" t="s">
        <v>70</v>
      </c>
      <c r="G1326">
        <v>2</v>
      </c>
      <c r="H1326">
        <v>687.12800000000004</v>
      </c>
      <c r="I1326">
        <v>685.50300000000004</v>
      </c>
      <c r="J1326">
        <v>682.84</v>
      </c>
      <c r="K1326">
        <v>680.46199999999999</v>
      </c>
      <c r="L1326">
        <v>676.92100000000005</v>
      </c>
      <c r="M1326" s="233" t="s">
        <v>530</v>
      </c>
      <c r="N1326" s="233" t="s">
        <v>531</v>
      </c>
      <c r="O1326" s="3" t="s">
        <v>408</v>
      </c>
    </row>
    <row r="1327" spans="1:15">
      <c r="A1327">
        <v>79</v>
      </c>
      <c r="B1327">
        <v>913</v>
      </c>
      <c r="C1327" t="s">
        <v>79</v>
      </c>
      <c r="D1327" t="s">
        <v>301</v>
      </c>
      <c r="E1327" s="232" t="s">
        <v>408</v>
      </c>
      <c r="F1327" t="s">
        <v>70</v>
      </c>
      <c r="G1327">
        <v>2</v>
      </c>
      <c r="H1327">
        <v>687.12800000000004</v>
      </c>
      <c r="I1327">
        <v>685.50300000000004</v>
      </c>
      <c r="J1327">
        <v>682.84</v>
      </c>
      <c r="K1327">
        <v>680.46199999999999</v>
      </c>
      <c r="L1327">
        <v>676.92100000000005</v>
      </c>
      <c r="M1327" s="233" t="s">
        <v>530</v>
      </c>
      <c r="N1327" s="233" t="s">
        <v>531</v>
      </c>
      <c r="O1327" s="3" t="s">
        <v>408</v>
      </c>
    </row>
    <row r="1328" spans="1:15">
      <c r="A1328">
        <v>79</v>
      </c>
      <c r="B1328">
        <v>905</v>
      </c>
      <c r="C1328" t="s">
        <v>79</v>
      </c>
      <c r="D1328" t="s">
        <v>301</v>
      </c>
      <c r="E1328" s="232" t="s">
        <v>12563</v>
      </c>
      <c r="F1328" t="s">
        <v>70</v>
      </c>
      <c r="G1328">
        <v>2</v>
      </c>
      <c r="H1328">
        <v>682.49300000000005</v>
      </c>
      <c r="I1328">
        <v>681.06899999999996</v>
      </c>
      <c r="J1328">
        <v>678.89700000000005</v>
      </c>
      <c r="K1328">
        <v>676.35900000000004</v>
      </c>
      <c r="L1328">
        <v>672.59799999999996</v>
      </c>
      <c r="M1328" s="233" t="s">
        <v>530</v>
      </c>
      <c r="N1328" s="233" t="s">
        <v>531</v>
      </c>
      <c r="O1328" s="3" t="s">
        <v>1782</v>
      </c>
    </row>
    <row r="1329" spans="1:15">
      <c r="A1329">
        <v>79</v>
      </c>
      <c r="B1329">
        <v>907</v>
      </c>
      <c r="C1329" t="s">
        <v>79</v>
      </c>
      <c r="D1329" t="s">
        <v>301</v>
      </c>
      <c r="E1329" s="232" t="s">
        <v>12708</v>
      </c>
      <c r="F1329" t="s">
        <v>70</v>
      </c>
      <c r="G1329">
        <v>2</v>
      </c>
      <c r="H1329">
        <v>679.84400000000005</v>
      </c>
      <c r="I1329">
        <v>678.56799999999998</v>
      </c>
      <c r="J1329">
        <v>676.31200000000001</v>
      </c>
      <c r="K1329">
        <v>673.80200000000002</v>
      </c>
      <c r="L1329">
        <v>669.86199999999997</v>
      </c>
      <c r="M1329" s="233" t="s">
        <v>530</v>
      </c>
      <c r="N1329" s="233" t="s">
        <v>531</v>
      </c>
      <c r="O1329" s="3" t="s">
        <v>1783</v>
      </c>
    </row>
    <row r="1330" spans="1:15">
      <c r="A1330">
        <v>80</v>
      </c>
      <c r="B1330">
        <v>910</v>
      </c>
      <c r="C1330" t="s">
        <v>79</v>
      </c>
      <c r="D1330" t="s">
        <v>301</v>
      </c>
      <c r="E1330" s="232" t="s">
        <v>10817</v>
      </c>
      <c r="F1330" t="s">
        <v>71</v>
      </c>
      <c r="G1330">
        <v>2</v>
      </c>
      <c r="H1330">
        <v>699.89300000000003</v>
      </c>
      <c r="I1330">
        <v>697.53399999999999</v>
      </c>
      <c r="J1330">
        <v>694.76900000000001</v>
      </c>
      <c r="K1330">
        <v>692.38599999999997</v>
      </c>
      <c r="L1330">
        <v>688.721</v>
      </c>
      <c r="M1330" s="233" t="s">
        <v>530</v>
      </c>
      <c r="N1330" s="233" t="s">
        <v>531</v>
      </c>
      <c r="O1330" s="3" t="s">
        <v>1784</v>
      </c>
    </row>
    <row r="1331" spans="1:15">
      <c r="A1331">
        <v>80</v>
      </c>
      <c r="B1331">
        <v>909</v>
      </c>
      <c r="C1331" t="s">
        <v>79</v>
      </c>
      <c r="D1331" t="s">
        <v>301</v>
      </c>
      <c r="E1331" s="232" t="s">
        <v>12404</v>
      </c>
      <c r="F1331" t="s">
        <v>71</v>
      </c>
      <c r="G1331">
        <v>2</v>
      </c>
      <c r="H1331">
        <v>675.88900000000001</v>
      </c>
      <c r="I1331">
        <v>674.202</v>
      </c>
      <c r="J1331">
        <v>671.87699999999995</v>
      </c>
      <c r="K1331">
        <v>668.93100000000004</v>
      </c>
      <c r="L1331">
        <v>665.40099999999995</v>
      </c>
      <c r="M1331" s="233" t="s">
        <v>530</v>
      </c>
      <c r="N1331" s="233" t="s">
        <v>531</v>
      </c>
      <c r="O1331" s="3" t="s">
        <v>1785</v>
      </c>
    </row>
    <row r="1332" spans="1:15">
      <c r="A1332">
        <v>111</v>
      </c>
      <c r="B1332">
        <v>992</v>
      </c>
      <c r="C1332" t="s">
        <v>79</v>
      </c>
      <c r="D1332" t="s">
        <v>221</v>
      </c>
      <c r="E1332" s="232" t="s">
        <v>9103</v>
      </c>
      <c r="F1332" t="s">
        <v>70</v>
      </c>
      <c r="G1332">
        <v>2</v>
      </c>
      <c r="H1332">
        <v>907.58600000000001</v>
      </c>
      <c r="I1332">
        <v>904.08699999999999</v>
      </c>
      <c r="J1332">
        <v>900.03899999999999</v>
      </c>
      <c r="K1332">
        <v>894.37099999999998</v>
      </c>
      <c r="L1332">
        <v>888.57500000000005</v>
      </c>
      <c r="M1332" s="233" t="s">
        <v>532</v>
      </c>
      <c r="N1332" s="233" t="s">
        <v>533</v>
      </c>
      <c r="O1332" s="3" t="s">
        <v>1786</v>
      </c>
    </row>
    <row r="1333" spans="1:15">
      <c r="A1333">
        <v>114</v>
      </c>
      <c r="B1333">
        <v>1005</v>
      </c>
      <c r="C1333" t="s">
        <v>79</v>
      </c>
      <c r="D1333" t="s">
        <v>221</v>
      </c>
      <c r="E1333" s="232" t="s">
        <v>8938</v>
      </c>
      <c r="F1333" t="s">
        <v>71</v>
      </c>
      <c r="G1333">
        <v>2</v>
      </c>
      <c r="H1333">
        <v>898.98199999999997</v>
      </c>
      <c r="I1333">
        <v>895.78599999999994</v>
      </c>
      <c r="J1333">
        <v>891.49599999999998</v>
      </c>
      <c r="K1333">
        <v>886.3</v>
      </c>
      <c r="L1333">
        <v>880.50900000000001</v>
      </c>
      <c r="M1333" s="233" t="s">
        <v>532</v>
      </c>
      <c r="N1333" s="233" t="s">
        <v>533</v>
      </c>
      <c r="O1333" s="3" t="s">
        <v>1787</v>
      </c>
    </row>
    <row r="1334" spans="1:15">
      <c r="A1334">
        <v>115</v>
      </c>
      <c r="B1334">
        <v>941</v>
      </c>
      <c r="C1334" t="s">
        <v>79</v>
      </c>
      <c r="D1334" t="s">
        <v>238</v>
      </c>
      <c r="E1334" s="232" t="s">
        <v>10395</v>
      </c>
      <c r="F1334" t="s">
        <v>70</v>
      </c>
      <c r="G1334">
        <v>2</v>
      </c>
      <c r="H1334">
        <v>901.60500000000002</v>
      </c>
      <c r="I1334">
        <v>898.65200000000004</v>
      </c>
      <c r="J1334">
        <v>895.31700000000001</v>
      </c>
      <c r="K1334">
        <v>890.13599999999997</v>
      </c>
      <c r="L1334">
        <v>884.66399999999999</v>
      </c>
      <c r="M1334" s="233" t="s">
        <v>532</v>
      </c>
      <c r="N1334" s="233" t="s">
        <v>533</v>
      </c>
      <c r="O1334" s="3" t="s">
        <v>1788</v>
      </c>
    </row>
    <row r="1335" spans="1:15">
      <c r="A1335">
        <v>115</v>
      </c>
      <c r="B1335">
        <v>925</v>
      </c>
      <c r="C1335" t="s">
        <v>79</v>
      </c>
      <c r="D1335" t="s">
        <v>238</v>
      </c>
      <c r="E1335" s="232" t="s">
        <v>8835</v>
      </c>
      <c r="F1335" t="s">
        <v>70</v>
      </c>
      <c r="G1335">
        <v>2</v>
      </c>
      <c r="H1335">
        <v>894.88800000000003</v>
      </c>
      <c r="I1335">
        <v>891.875</v>
      </c>
      <c r="J1335">
        <v>888.91200000000003</v>
      </c>
      <c r="K1335">
        <v>884.51900000000001</v>
      </c>
      <c r="L1335">
        <v>879.60799999999995</v>
      </c>
      <c r="M1335" s="233" t="s">
        <v>532</v>
      </c>
      <c r="N1335" s="233" t="s">
        <v>533</v>
      </c>
      <c r="O1335" s="3" t="s">
        <v>1789</v>
      </c>
    </row>
    <row r="1336" spans="1:15">
      <c r="A1336">
        <v>115</v>
      </c>
      <c r="B1336">
        <v>933</v>
      </c>
      <c r="C1336" t="s">
        <v>79</v>
      </c>
      <c r="D1336" t="s">
        <v>238</v>
      </c>
      <c r="E1336" s="232" t="s">
        <v>10769</v>
      </c>
      <c r="F1336" t="s">
        <v>70</v>
      </c>
      <c r="G1336">
        <v>2</v>
      </c>
      <c r="H1336">
        <v>892.56700000000001</v>
      </c>
      <c r="I1336">
        <v>888.91200000000003</v>
      </c>
      <c r="J1336">
        <v>886.10500000000002</v>
      </c>
      <c r="K1336">
        <v>883.03899999999999</v>
      </c>
      <c r="L1336">
        <v>878.59699999999998</v>
      </c>
      <c r="M1336" s="233" t="s">
        <v>532</v>
      </c>
      <c r="N1336" s="233" t="s">
        <v>533</v>
      </c>
      <c r="O1336" s="3" t="s">
        <v>1790</v>
      </c>
    </row>
    <row r="1337" spans="1:15">
      <c r="A1337">
        <v>115</v>
      </c>
      <c r="B1337">
        <v>926</v>
      </c>
      <c r="C1337" t="s">
        <v>79</v>
      </c>
      <c r="D1337" t="s">
        <v>238</v>
      </c>
      <c r="E1337" s="232" t="s">
        <v>8633</v>
      </c>
      <c r="F1337" t="s">
        <v>70</v>
      </c>
      <c r="G1337">
        <v>2</v>
      </c>
      <c r="H1337">
        <v>890.78700000000003</v>
      </c>
      <c r="I1337">
        <v>887.86800000000005</v>
      </c>
      <c r="J1337">
        <v>885.423</v>
      </c>
      <c r="K1337">
        <v>882.20600000000002</v>
      </c>
      <c r="L1337">
        <v>877.86099999999999</v>
      </c>
      <c r="M1337" s="233" t="s">
        <v>532</v>
      </c>
      <c r="N1337" s="233" t="s">
        <v>533</v>
      </c>
      <c r="O1337" s="3" t="s">
        <v>1791</v>
      </c>
    </row>
    <row r="1338" spans="1:15">
      <c r="A1338">
        <v>115</v>
      </c>
      <c r="B1338">
        <v>917</v>
      </c>
      <c r="C1338" t="s">
        <v>79</v>
      </c>
      <c r="D1338" t="s">
        <v>238</v>
      </c>
      <c r="E1338" s="232" t="s">
        <v>10912</v>
      </c>
      <c r="F1338" t="s">
        <v>70</v>
      </c>
      <c r="G1338">
        <v>2</v>
      </c>
      <c r="H1338">
        <v>891.875</v>
      </c>
      <c r="I1338">
        <v>888.48199999999997</v>
      </c>
      <c r="J1338">
        <v>885.08399999999995</v>
      </c>
      <c r="K1338">
        <v>881.60699999999997</v>
      </c>
      <c r="L1338">
        <v>877.45699999999999</v>
      </c>
      <c r="M1338" s="233" t="s">
        <v>532</v>
      </c>
      <c r="N1338" s="233" t="s">
        <v>533</v>
      </c>
      <c r="O1338" s="3" t="s">
        <v>1792</v>
      </c>
    </row>
    <row r="1339" spans="1:15">
      <c r="A1339">
        <v>115</v>
      </c>
      <c r="B1339">
        <v>920</v>
      </c>
      <c r="C1339" t="s">
        <v>79</v>
      </c>
      <c r="D1339" t="s">
        <v>238</v>
      </c>
      <c r="E1339" s="232" t="s">
        <v>8323</v>
      </c>
      <c r="F1339" t="s">
        <v>70</v>
      </c>
      <c r="G1339">
        <v>2</v>
      </c>
      <c r="H1339">
        <v>890.13599999999997</v>
      </c>
      <c r="I1339">
        <v>886.46600000000001</v>
      </c>
      <c r="J1339">
        <v>883.33900000000006</v>
      </c>
      <c r="K1339">
        <v>879.96299999999997</v>
      </c>
      <c r="L1339">
        <v>875.03300000000002</v>
      </c>
      <c r="M1339" s="233" t="s">
        <v>532</v>
      </c>
      <c r="N1339" s="233" t="s">
        <v>533</v>
      </c>
      <c r="O1339" s="3" t="s">
        <v>1793</v>
      </c>
    </row>
    <row r="1340" spans="1:15">
      <c r="A1340">
        <v>115</v>
      </c>
      <c r="B1340">
        <v>938</v>
      </c>
      <c r="C1340" t="s">
        <v>79</v>
      </c>
      <c r="D1340" t="s">
        <v>238</v>
      </c>
      <c r="E1340" s="232" t="s">
        <v>10967</v>
      </c>
      <c r="F1340" t="s">
        <v>70</v>
      </c>
      <c r="G1340">
        <v>2</v>
      </c>
      <c r="H1340">
        <v>890.78700000000003</v>
      </c>
      <c r="I1340">
        <v>886.91</v>
      </c>
      <c r="J1340">
        <v>883.33900000000006</v>
      </c>
      <c r="K1340">
        <v>880.51900000000001</v>
      </c>
      <c r="L1340">
        <v>876.26700000000005</v>
      </c>
      <c r="M1340" s="233" t="s">
        <v>532</v>
      </c>
      <c r="N1340" s="233" t="s">
        <v>533</v>
      </c>
      <c r="O1340" s="3" t="s">
        <v>1794</v>
      </c>
    </row>
    <row r="1341" spans="1:15">
      <c r="A1341">
        <v>117</v>
      </c>
      <c r="B1341">
        <v>943</v>
      </c>
      <c r="C1341" t="s">
        <v>79</v>
      </c>
      <c r="D1341" t="s">
        <v>238</v>
      </c>
      <c r="E1341" s="232" t="s">
        <v>7251</v>
      </c>
      <c r="F1341" t="s">
        <v>70</v>
      </c>
      <c r="G1341">
        <v>2</v>
      </c>
      <c r="H1341">
        <v>880.81799999999998</v>
      </c>
      <c r="I1341">
        <v>878.03800000000001</v>
      </c>
      <c r="J1341">
        <v>874.81899999999996</v>
      </c>
      <c r="K1341">
        <v>871.58600000000001</v>
      </c>
      <c r="L1341">
        <v>867.53</v>
      </c>
      <c r="M1341" s="233" t="s">
        <v>532</v>
      </c>
      <c r="N1341" s="233" t="s">
        <v>533</v>
      </c>
      <c r="O1341" s="3" t="s">
        <v>1795</v>
      </c>
    </row>
    <row r="1342" spans="1:15">
      <c r="A1342">
        <v>115</v>
      </c>
      <c r="B1342">
        <v>932</v>
      </c>
      <c r="C1342" t="s">
        <v>79</v>
      </c>
      <c r="D1342" t="s">
        <v>238</v>
      </c>
      <c r="E1342" s="232" t="s">
        <v>8283</v>
      </c>
      <c r="F1342" t="s">
        <v>70</v>
      </c>
      <c r="G1342">
        <v>2</v>
      </c>
      <c r="H1342">
        <v>887.08</v>
      </c>
      <c r="I1342">
        <v>884.51900000000001</v>
      </c>
      <c r="J1342">
        <v>881.46199999999999</v>
      </c>
      <c r="K1342">
        <v>878.59699999999998</v>
      </c>
      <c r="L1342">
        <v>874.39599999999996</v>
      </c>
      <c r="M1342" s="233" t="s">
        <v>532</v>
      </c>
      <c r="N1342" s="233" t="s">
        <v>533</v>
      </c>
      <c r="O1342" s="3" t="s">
        <v>1796</v>
      </c>
    </row>
    <row r="1343" spans="1:15">
      <c r="A1343">
        <v>115</v>
      </c>
      <c r="B1343">
        <v>929</v>
      </c>
      <c r="C1343" t="s">
        <v>79</v>
      </c>
      <c r="D1343" t="s">
        <v>238</v>
      </c>
      <c r="E1343" s="232" t="s">
        <v>8307</v>
      </c>
      <c r="F1343" t="s">
        <v>70</v>
      </c>
      <c r="G1343">
        <v>2</v>
      </c>
      <c r="H1343">
        <v>888.48199999999997</v>
      </c>
      <c r="I1343">
        <v>884.51900000000001</v>
      </c>
      <c r="J1343">
        <v>881.08799999999997</v>
      </c>
      <c r="K1343">
        <v>877.57100000000003</v>
      </c>
      <c r="L1343">
        <v>873.18899999999996</v>
      </c>
      <c r="M1343" s="233" t="s">
        <v>532</v>
      </c>
      <c r="N1343" s="233" t="s">
        <v>533</v>
      </c>
      <c r="O1343" s="3" t="s">
        <v>1797</v>
      </c>
    </row>
    <row r="1344" spans="1:15">
      <c r="A1344">
        <v>118</v>
      </c>
      <c r="B1344">
        <v>948</v>
      </c>
      <c r="C1344" t="s">
        <v>79</v>
      </c>
      <c r="D1344" t="s">
        <v>238</v>
      </c>
      <c r="E1344" s="232" t="s">
        <v>10159</v>
      </c>
      <c r="F1344" t="s">
        <v>71</v>
      </c>
      <c r="G1344">
        <v>2</v>
      </c>
      <c r="H1344">
        <v>904.74300000000005</v>
      </c>
      <c r="I1344">
        <v>901.96</v>
      </c>
      <c r="J1344">
        <v>899.55600000000004</v>
      </c>
      <c r="K1344">
        <v>895.55100000000004</v>
      </c>
      <c r="L1344">
        <v>888.49199999999996</v>
      </c>
      <c r="M1344" s="233" t="s">
        <v>532</v>
      </c>
      <c r="N1344" s="233" t="s">
        <v>533</v>
      </c>
      <c r="O1344" s="3" t="s">
        <v>1798</v>
      </c>
    </row>
    <row r="1345" spans="1:15">
      <c r="A1345">
        <v>118</v>
      </c>
      <c r="B1345">
        <v>956</v>
      </c>
      <c r="C1345" t="s">
        <v>79</v>
      </c>
      <c r="D1345" t="s">
        <v>238</v>
      </c>
      <c r="E1345" s="232" t="s">
        <v>8269</v>
      </c>
      <c r="F1345" t="s">
        <v>71</v>
      </c>
      <c r="G1345">
        <v>2</v>
      </c>
      <c r="H1345">
        <v>895.91399999999999</v>
      </c>
      <c r="I1345">
        <v>891.70100000000002</v>
      </c>
      <c r="J1345">
        <v>886.97900000000004</v>
      </c>
      <c r="K1345">
        <v>882.04899999999998</v>
      </c>
      <c r="L1345">
        <v>876.08799999999997</v>
      </c>
      <c r="M1345" s="233" t="s">
        <v>532</v>
      </c>
      <c r="N1345" s="233" t="s">
        <v>533</v>
      </c>
      <c r="O1345" s="3" t="s">
        <v>1799</v>
      </c>
    </row>
    <row r="1346" spans="1:15">
      <c r="A1346">
        <v>119</v>
      </c>
      <c r="B1346">
        <v>970</v>
      </c>
      <c r="C1346" t="s">
        <v>79</v>
      </c>
      <c r="D1346" t="s">
        <v>238</v>
      </c>
      <c r="E1346" s="232" t="s">
        <v>7253</v>
      </c>
      <c r="F1346" t="s">
        <v>71</v>
      </c>
      <c r="G1346">
        <v>2</v>
      </c>
      <c r="H1346">
        <v>889.07100000000003</v>
      </c>
      <c r="I1346">
        <v>884.66899999999998</v>
      </c>
      <c r="J1346">
        <v>881.08</v>
      </c>
      <c r="K1346">
        <v>877.34299999999996</v>
      </c>
      <c r="L1346">
        <v>872.39400000000001</v>
      </c>
      <c r="M1346" s="233" t="s">
        <v>532</v>
      </c>
      <c r="N1346" s="233" t="s">
        <v>533</v>
      </c>
      <c r="O1346" s="3" t="s">
        <v>1800</v>
      </c>
    </row>
    <row r="1347" spans="1:15">
      <c r="A1347">
        <v>118</v>
      </c>
      <c r="B1347">
        <v>950</v>
      </c>
      <c r="C1347" t="s">
        <v>79</v>
      </c>
      <c r="D1347" t="s">
        <v>238</v>
      </c>
      <c r="E1347" s="232" t="s">
        <v>8898</v>
      </c>
      <c r="F1347" t="s">
        <v>71</v>
      </c>
      <c r="G1347">
        <v>2</v>
      </c>
      <c r="H1347">
        <v>891.99800000000005</v>
      </c>
      <c r="I1347">
        <v>889.10900000000004</v>
      </c>
      <c r="J1347">
        <v>886.51099999999997</v>
      </c>
      <c r="K1347">
        <v>883.63199999999995</v>
      </c>
      <c r="L1347">
        <v>878.86099999999999</v>
      </c>
      <c r="M1347" s="233" t="s">
        <v>532</v>
      </c>
      <c r="N1347" s="233" t="s">
        <v>533</v>
      </c>
      <c r="O1347" s="3" t="s">
        <v>1801</v>
      </c>
    </row>
    <row r="1348" spans="1:15">
      <c r="A1348">
        <v>118</v>
      </c>
      <c r="B1348">
        <v>951</v>
      </c>
      <c r="C1348" t="s">
        <v>79</v>
      </c>
      <c r="D1348" t="s">
        <v>238</v>
      </c>
      <c r="E1348" s="232" t="s">
        <v>8659</v>
      </c>
      <c r="F1348" t="s">
        <v>71</v>
      </c>
      <c r="G1348">
        <v>2</v>
      </c>
      <c r="H1348">
        <v>889.10900000000004</v>
      </c>
      <c r="I1348">
        <v>887.83500000000004</v>
      </c>
      <c r="J1348">
        <v>886.27300000000002</v>
      </c>
      <c r="K1348">
        <v>883.89</v>
      </c>
      <c r="L1348">
        <v>876.08799999999997</v>
      </c>
      <c r="M1348" s="233" t="s">
        <v>532</v>
      </c>
      <c r="N1348" s="233" t="s">
        <v>533</v>
      </c>
      <c r="O1348" s="3" t="s">
        <v>1802</v>
      </c>
    </row>
    <row r="1349" spans="1:15">
      <c r="A1349">
        <v>118</v>
      </c>
      <c r="B1349">
        <v>960</v>
      </c>
      <c r="C1349" t="s">
        <v>79</v>
      </c>
      <c r="D1349" t="s">
        <v>238</v>
      </c>
      <c r="E1349" s="232" t="s">
        <v>8534</v>
      </c>
      <c r="F1349" t="s">
        <v>71</v>
      </c>
      <c r="G1349">
        <v>2</v>
      </c>
      <c r="H1349">
        <v>890.40099999999995</v>
      </c>
      <c r="I1349">
        <v>886.27300000000002</v>
      </c>
      <c r="J1349">
        <v>883.29</v>
      </c>
      <c r="K1349">
        <v>879.30100000000004</v>
      </c>
      <c r="L1349">
        <v>874.76599999999996</v>
      </c>
      <c r="M1349" s="233" t="s">
        <v>532</v>
      </c>
      <c r="N1349" s="233" t="s">
        <v>533</v>
      </c>
      <c r="O1349" s="3" t="s">
        <v>1803</v>
      </c>
    </row>
    <row r="1350" spans="1:15">
      <c r="A1350">
        <v>118</v>
      </c>
      <c r="B1350">
        <v>963</v>
      </c>
      <c r="C1350" t="s">
        <v>79</v>
      </c>
      <c r="D1350" t="s">
        <v>238</v>
      </c>
      <c r="E1350" s="232" t="s">
        <v>8883</v>
      </c>
      <c r="F1350" t="s">
        <v>71</v>
      </c>
      <c r="G1350">
        <v>2</v>
      </c>
      <c r="H1350">
        <v>885.29100000000005</v>
      </c>
      <c r="I1350">
        <v>882.04899999999998</v>
      </c>
      <c r="J1350">
        <v>878.86099999999999</v>
      </c>
      <c r="K1350">
        <v>875.18399999999997</v>
      </c>
      <c r="L1350">
        <v>870.69200000000001</v>
      </c>
      <c r="M1350" s="233" t="s">
        <v>532</v>
      </c>
      <c r="N1350" s="233" t="s">
        <v>533</v>
      </c>
      <c r="O1350" s="3" t="s">
        <v>1804</v>
      </c>
    </row>
    <row r="1351" spans="1:15">
      <c r="A1351">
        <v>118</v>
      </c>
      <c r="B1351">
        <v>962</v>
      </c>
      <c r="C1351" t="s">
        <v>79</v>
      </c>
      <c r="D1351" t="s">
        <v>238</v>
      </c>
      <c r="E1351" s="232" t="s">
        <v>11039</v>
      </c>
      <c r="F1351" t="s">
        <v>71</v>
      </c>
      <c r="G1351">
        <v>2</v>
      </c>
      <c r="H1351">
        <v>884.91200000000003</v>
      </c>
      <c r="I1351">
        <v>881.31</v>
      </c>
      <c r="J1351">
        <v>878.48199999999997</v>
      </c>
      <c r="K1351">
        <v>874.76599999999996</v>
      </c>
      <c r="L1351">
        <v>870.19600000000003</v>
      </c>
      <c r="M1351" s="233" t="s">
        <v>532</v>
      </c>
      <c r="N1351" s="233" t="s">
        <v>533</v>
      </c>
      <c r="O1351" s="3" t="s">
        <v>1805</v>
      </c>
    </row>
    <row r="1352" spans="1:15">
      <c r="A1352">
        <v>118</v>
      </c>
      <c r="B1352">
        <v>967</v>
      </c>
      <c r="C1352" t="s">
        <v>79</v>
      </c>
      <c r="D1352" t="s">
        <v>238</v>
      </c>
      <c r="E1352" s="232" t="s">
        <v>11060</v>
      </c>
      <c r="F1352" t="s">
        <v>71</v>
      </c>
      <c r="G1352">
        <v>2</v>
      </c>
      <c r="H1352">
        <v>884.74699999999996</v>
      </c>
      <c r="I1352">
        <v>880.93100000000004</v>
      </c>
      <c r="J1352">
        <v>878.06399999999996</v>
      </c>
      <c r="K1352">
        <v>874.56600000000003</v>
      </c>
      <c r="L1352">
        <v>869.81700000000001</v>
      </c>
      <c r="M1352" s="233" t="s">
        <v>532</v>
      </c>
      <c r="N1352" s="233" t="s">
        <v>533</v>
      </c>
      <c r="O1352" s="3" t="s">
        <v>1806</v>
      </c>
    </row>
    <row r="1353" spans="1:15">
      <c r="A1353">
        <v>118</v>
      </c>
      <c r="B1353">
        <v>957</v>
      </c>
      <c r="C1353" t="s">
        <v>79</v>
      </c>
      <c r="D1353" t="s">
        <v>238</v>
      </c>
      <c r="E1353" s="232" t="s">
        <v>8216</v>
      </c>
      <c r="F1353" t="s">
        <v>71</v>
      </c>
      <c r="G1353">
        <v>2</v>
      </c>
      <c r="H1353">
        <v>884.03099999999995</v>
      </c>
      <c r="I1353">
        <v>880.93100000000004</v>
      </c>
      <c r="J1353">
        <v>877.95299999999997</v>
      </c>
      <c r="K1353">
        <v>873.38499999999999</v>
      </c>
      <c r="L1353">
        <v>867.61199999999997</v>
      </c>
      <c r="M1353" s="233" t="s">
        <v>532</v>
      </c>
      <c r="N1353" s="233" t="s">
        <v>533</v>
      </c>
      <c r="O1353" s="3" t="s">
        <v>1807</v>
      </c>
    </row>
    <row r="1354" spans="1:15">
      <c r="A1354">
        <v>92</v>
      </c>
      <c r="B1354">
        <v>1066</v>
      </c>
      <c r="C1354" t="s">
        <v>79</v>
      </c>
      <c r="D1354" t="s">
        <v>422</v>
      </c>
      <c r="E1354" s="232" t="s">
        <v>10908</v>
      </c>
      <c r="F1354" t="s">
        <v>70</v>
      </c>
      <c r="G1354">
        <v>2</v>
      </c>
      <c r="H1354">
        <v>883.16</v>
      </c>
      <c r="I1354">
        <v>876.66</v>
      </c>
      <c r="J1354">
        <v>870.52</v>
      </c>
      <c r="K1354">
        <v>865.75</v>
      </c>
      <c r="L1354">
        <v>854.51</v>
      </c>
      <c r="M1354" s="233" t="s">
        <v>454</v>
      </c>
      <c r="N1354" s="233" t="s">
        <v>454</v>
      </c>
      <c r="O1354" s="3" t="s">
        <v>1808</v>
      </c>
    </row>
    <row r="1355" spans="1:15">
      <c r="A1355">
        <v>91</v>
      </c>
      <c r="B1355">
        <v>1067</v>
      </c>
      <c r="C1355" t="s">
        <v>79</v>
      </c>
      <c r="D1355" t="s">
        <v>422</v>
      </c>
      <c r="E1355" s="232" t="s">
        <v>10939</v>
      </c>
      <c r="F1355" t="s">
        <v>70</v>
      </c>
      <c r="G1355">
        <v>2</v>
      </c>
      <c r="H1355">
        <v>894.46299999999997</v>
      </c>
      <c r="I1355">
        <v>889.52800000000002</v>
      </c>
      <c r="J1355">
        <v>880.63499999999999</v>
      </c>
      <c r="K1355">
        <v>875.96500000000003</v>
      </c>
      <c r="L1355">
        <v>866.90499999999997</v>
      </c>
      <c r="M1355" s="233" t="s">
        <v>454</v>
      </c>
      <c r="N1355" s="233" t="s">
        <v>454</v>
      </c>
      <c r="O1355" s="3" t="s">
        <v>1809</v>
      </c>
    </row>
    <row r="1356" spans="1:15">
      <c r="A1356">
        <v>91</v>
      </c>
      <c r="B1356">
        <v>1069</v>
      </c>
      <c r="C1356" t="s">
        <v>79</v>
      </c>
      <c r="D1356" t="s">
        <v>422</v>
      </c>
      <c r="E1356" s="232" t="s">
        <v>11088</v>
      </c>
      <c r="F1356" t="s">
        <v>70</v>
      </c>
      <c r="G1356">
        <v>2</v>
      </c>
      <c r="H1356">
        <v>886.28399999999999</v>
      </c>
      <c r="I1356">
        <v>881.29700000000003</v>
      </c>
      <c r="J1356">
        <v>873.44799999999998</v>
      </c>
      <c r="K1356">
        <v>868.673</v>
      </c>
      <c r="L1356">
        <v>858.65800000000002</v>
      </c>
      <c r="M1356" s="233" t="s">
        <v>454</v>
      </c>
      <c r="N1356" s="233" t="s">
        <v>454</v>
      </c>
      <c r="O1356" s="3" t="s">
        <v>1810</v>
      </c>
    </row>
    <row r="1357" spans="1:15">
      <c r="A1357">
        <v>91</v>
      </c>
      <c r="B1357">
        <v>1075</v>
      </c>
      <c r="C1357" t="s">
        <v>79</v>
      </c>
      <c r="D1357" t="s">
        <v>422</v>
      </c>
      <c r="E1357" s="232" t="s">
        <v>11256</v>
      </c>
      <c r="F1357" t="s">
        <v>70</v>
      </c>
      <c r="G1357">
        <v>2</v>
      </c>
      <c r="H1357">
        <v>877.78899999999999</v>
      </c>
      <c r="I1357">
        <v>873.17499999999995</v>
      </c>
      <c r="J1357">
        <v>865.20799999999997</v>
      </c>
      <c r="K1357">
        <v>858.77200000000005</v>
      </c>
      <c r="L1357">
        <v>848.14300000000003</v>
      </c>
      <c r="M1357" s="233" t="s">
        <v>454</v>
      </c>
      <c r="N1357" s="233" t="s">
        <v>454</v>
      </c>
      <c r="O1357" s="3" t="s">
        <v>1811</v>
      </c>
    </row>
    <row r="1358" spans="1:15">
      <c r="A1358">
        <v>91</v>
      </c>
      <c r="B1358">
        <v>1082</v>
      </c>
      <c r="C1358" t="s">
        <v>79</v>
      </c>
      <c r="D1358" t="s">
        <v>422</v>
      </c>
      <c r="E1358" s="232" t="s">
        <v>8410</v>
      </c>
      <c r="F1358" t="s">
        <v>70</v>
      </c>
      <c r="G1358">
        <v>2</v>
      </c>
      <c r="H1358">
        <v>867.81100000000004</v>
      </c>
      <c r="I1358">
        <v>862.61199999999997</v>
      </c>
      <c r="J1358">
        <v>853.01900000000001</v>
      </c>
      <c r="K1358">
        <v>846.47699999999998</v>
      </c>
      <c r="L1358">
        <v>835.83100000000002</v>
      </c>
      <c r="M1358" s="233" t="s">
        <v>454</v>
      </c>
      <c r="N1358" s="233" t="s">
        <v>454</v>
      </c>
      <c r="O1358" s="3" t="s">
        <v>1812</v>
      </c>
    </row>
    <row r="1359" spans="1:15">
      <c r="A1359">
        <v>94</v>
      </c>
      <c r="B1359">
        <v>1091</v>
      </c>
      <c r="C1359" t="s">
        <v>79</v>
      </c>
      <c r="D1359" t="s">
        <v>422</v>
      </c>
      <c r="E1359" s="232" t="s">
        <v>8659</v>
      </c>
      <c r="F1359" t="s">
        <v>71</v>
      </c>
      <c r="G1359">
        <v>2</v>
      </c>
      <c r="H1359">
        <v>875.63499999999999</v>
      </c>
      <c r="I1359">
        <v>870.6</v>
      </c>
      <c r="J1359">
        <v>862.11500000000001</v>
      </c>
      <c r="K1359">
        <v>857.15</v>
      </c>
      <c r="L1359">
        <v>848.16</v>
      </c>
      <c r="M1359" s="233" t="s">
        <v>454</v>
      </c>
      <c r="N1359" s="233" t="s">
        <v>454</v>
      </c>
      <c r="O1359" s="3" t="s">
        <v>1813</v>
      </c>
    </row>
    <row r="1360" spans="1:15">
      <c r="A1360">
        <v>93</v>
      </c>
      <c r="B1360">
        <v>1088</v>
      </c>
      <c r="C1360" t="s">
        <v>79</v>
      </c>
      <c r="D1360" t="s">
        <v>422</v>
      </c>
      <c r="E1360" s="232" t="s">
        <v>9835</v>
      </c>
      <c r="F1360" t="s">
        <v>71</v>
      </c>
      <c r="G1360">
        <v>2</v>
      </c>
      <c r="H1360">
        <v>878.34500000000003</v>
      </c>
      <c r="I1360">
        <v>872.48500000000001</v>
      </c>
      <c r="J1360">
        <v>865.79499999999996</v>
      </c>
      <c r="K1360">
        <v>860.43</v>
      </c>
      <c r="L1360">
        <v>852.09</v>
      </c>
      <c r="M1360" s="233" t="s">
        <v>454</v>
      </c>
      <c r="N1360" s="233" t="s">
        <v>454</v>
      </c>
      <c r="O1360" s="3" t="s">
        <v>1814</v>
      </c>
    </row>
    <row r="1361" spans="1:15">
      <c r="A1361">
        <v>93</v>
      </c>
      <c r="B1361">
        <v>1097</v>
      </c>
      <c r="C1361" t="s">
        <v>79</v>
      </c>
      <c r="D1361" t="s">
        <v>422</v>
      </c>
      <c r="E1361" s="232" t="s">
        <v>11149</v>
      </c>
      <c r="F1361" t="s">
        <v>71</v>
      </c>
      <c r="G1361">
        <v>2</v>
      </c>
      <c r="H1361">
        <v>871.13499999999999</v>
      </c>
      <c r="I1361">
        <v>866.995</v>
      </c>
      <c r="J1361">
        <v>859.70500000000004</v>
      </c>
      <c r="K1361">
        <v>854.19</v>
      </c>
      <c r="L1361">
        <v>845</v>
      </c>
      <c r="M1361" s="233" t="s">
        <v>454</v>
      </c>
      <c r="N1361" s="233" t="s">
        <v>454</v>
      </c>
      <c r="O1361" s="3" t="s">
        <v>1815</v>
      </c>
    </row>
    <row r="1362" spans="1:15">
      <c r="A1362">
        <v>93</v>
      </c>
      <c r="B1362">
        <v>1093</v>
      </c>
      <c r="C1362" t="s">
        <v>79</v>
      </c>
      <c r="D1362" t="s">
        <v>422</v>
      </c>
      <c r="E1362" s="232" t="s">
        <v>8618</v>
      </c>
      <c r="F1362" t="s">
        <v>71</v>
      </c>
      <c r="G1362">
        <v>2</v>
      </c>
      <c r="H1362">
        <v>869.59</v>
      </c>
      <c r="I1362">
        <v>865.02</v>
      </c>
      <c r="J1362">
        <v>857.48500000000001</v>
      </c>
      <c r="K1362">
        <v>852.44</v>
      </c>
      <c r="L1362">
        <v>842.08</v>
      </c>
      <c r="M1362" s="233" t="s">
        <v>454</v>
      </c>
      <c r="N1362" s="233" t="s">
        <v>454</v>
      </c>
      <c r="O1362" s="3" t="s">
        <v>1816</v>
      </c>
    </row>
    <row r="1363" spans="1:15">
      <c r="A1363">
        <v>93</v>
      </c>
      <c r="B1363">
        <v>1098</v>
      </c>
      <c r="C1363" t="s">
        <v>79</v>
      </c>
      <c r="D1363" t="s">
        <v>422</v>
      </c>
      <c r="E1363" s="232" t="s">
        <v>8534</v>
      </c>
      <c r="F1363" t="s">
        <v>71</v>
      </c>
      <c r="G1363">
        <v>2</v>
      </c>
      <c r="H1363">
        <v>869.34</v>
      </c>
      <c r="I1363">
        <v>865.02</v>
      </c>
      <c r="J1363">
        <v>857.48500000000001</v>
      </c>
      <c r="K1363">
        <v>852.44</v>
      </c>
      <c r="L1363">
        <v>842.08</v>
      </c>
      <c r="M1363" s="233" t="s">
        <v>454</v>
      </c>
      <c r="N1363" s="233" t="s">
        <v>454</v>
      </c>
      <c r="O1363" s="3" t="s">
        <v>1817</v>
      </c>
    </row>
    <row r="1364" spans="1:15">
      <c r="A1364">
        <v>94</v>
      </c>
      <c r="B1364">
        <v>1092</v>
      </c>
      <c r="C1364" t="s">
        <v>79</v>
      </c>
      <c r="D1364" t="s">
        <v>422</v>
      </c>
      <c r="E1364" s="232" t="s">
        <v>9396</v>
      </c>
      <c r="F1364" t="s">
        <v>71</v>
      </c>
      <c r="G1364">
        <v>2</v>
      </c>
      <c r="H1364">
        <v>861.69</v>
      </c>
      <c r="I1364">
        <v>857.15</v>
      </c>
      <c r="J1364">
        <v>849.43499999999995</v>
      </c>
      <c r="K1364">
        <v>843.67</v>
      </c>
      <c r="L1364">
        <v>834.005</v>
      </c>
      <c r="M1364" s="233" t="s">
        <v>454</v>
      </c>
      <c r="N1364" s="233" t="s">
        <v>454</v>
      </c>
      <c r="O1364" s="3" t="s">
        <v>1818</v>
      </c>
    </row>
    <row r="1365" spans="1:15">
      <c r="A1365">
        <v>93</v>
      </c>
      <c r="B1365">
        <v>1089</v>
      </c>
      <c r="C1365" t="s">
        <v>79</v>
      </c>
      <c r="D1365" t="s">
        <v>422</v>
      </c>
      <c r="E1365" s="232" t="s">
        <v>8726</v>
      </c>
      <c r="F1365" t="s">
        <v>71</v>
      </c>
      <c r="G1365">
        <v>2</v>
      </c>
      <c r="H1365">
        <v>864.64499999999998</v>
      </c>
      <c r="I1365">
        <v>860.08</v>
      </c>
      <c r="J1365">
        <v>852.44</v>
      </c>
      <c r="K1365">
        <v>846.92499999999995</v>
      </c>
      <c r="L1365">
        <v>837.54</v>
      </c>
      <c r="M1365" s="233" t="s">
        <v>454</v>
      </c>
      <c r="N1365" s="233" t="s">
        <v>454</v>
      </c>
      <c r="O1365" s="3" t="s">
        <v>1819</v>
      </c>
    </row>
    <row r="1366" spans="1:15">
      <c r="A1366">
        <v>97</v>
      </c>
      <c r="B1366">
        <v>1044</v>
      </c>
      <c r="C1366" t="s">
        <v>79</v>
      </c>
      <c r="D1366" t="s">
        <v>423</v>
      </c>
      <c r="E1366" s="232" t="s">
        <v>9411</v>
      </c>
      <c r="F1366" t="s">
        <v>71</v>
      </c>
      <c r="G1366">
        <v>2</v>
      </c>
      <c r="H1366">
        <v>694</v>
      </c>
      <c r="I1366">
        <v>692.64300000000003</v>
      </c>
      <c r="J1366">
        <v>690.9</v>
      </c>
      <c r="K1366">
        <v>687.96</v>
      </c>
      <c r="L1366">
        <v>685.00199999999995</v>
      </c>
      <c r="M1366" s="233" t="s">
        <v>530</v>
      </c>
      <c r="N1366" s="233" t="s">
        <v>531</v>
      </c>
      <c r="O1366" s="3" t="s">
        <v>1820</v>
      </c>
    </row>
    <row r="1367" spans="1:15">
      <c r="A1367">
        <v>97</v>
      </c>
      <c r="B1367">
        <v>1046</v>
      </c>
      <c r="C1367" t="s">
        <v>79</v>
      </c>
      <c r="D1367" t="s">
        <v>423</v>
      </c>
      <c r="E1367" s="232" t="s">
        <v>11571</v>
      </c>
      <c r="F1367" t="s">
        <v>71</v>
      </c>
      <c r="G1367">
        <v>2</v>
      </c>
      <c r="H1367">
        <v>692.03</v>
      </c>
      <c r="I1367">
        <v>690.75</v>
      </c>
      <c r="J1367">
        <v>689.005</v>
      </c>
      <c r="K1367">
        <v>686.02499999999998</v>
      </c>
      <c r="L1367">
        <v>683.36699999999996</v>
      </c>
      <c r="M1367" s="233" t="s">
        <v>530</v>
      </c>
      <c r="N1367" s="233" t="s">
        <v>531</v>
      </c>
      <c r="O1367" s="3" t="s">
        <v>1821</v>
      </c>
    </row>
    <row r="1368" spans="1:15">
      <c r="A1368">
        <v>98</v>
      </c>
      <c r="B1368">
        <v>1043</v>
      </c>
      <c r="C1368" t="s">
        <v>79</v>
      </c>
      <c r="D1368" t="s">
        <v>423</v>
      </c>
      <c r="E1368" s="232" t="s">
        <v>11582</v>
      </c>
      <c r="F1368" t="s">
        <v>71</v>
      </c>
      <c r="G1368">
        <v>2</v>
      </c>
      <c r="H1368">
        <v>690.76599999999996</v>
      </c>
      <c r="I1368">
        <v>689.65800000000002</v>
      </c>
      <c r="J1368">
        <v>687.98299999999995</v>
      </c>
      <c r="K1368">
        <v>685.30100000000004</v>
      </c>
      <c r="L1368">
        <v>682.48900000000003</v>
      </c>
      <c r="M1368" s="233" t="s">
        <v>530</v>
      </c>
      <c r="N1368" s="233" t="s">
        <v>531</v>
      </c>
      <c r="O1368" s="3" t="s">
        <v>1822</v>
      </c>
    </row>
    <row r="1369" spans="1:15">
      <c r="A1369">
        <v>97</v>
      </c>
      <c r="B1369">
        <v>1056</v>
      </c>
      <c r="C1369" t="s">
        <v>79</v>
      </c>
      <c r="D1369" t="s">
        <v>423</v>
      </c>
      <c r="E1369" s="232" t="s">
        <v>12654</v>
      </c>
      <c r="F1369" t="s">
        <v>71</v>
      </c>
      <c r="G1369">
        <v>2</v>
      </c>
      <c r="H1369">
        <v>673.88499999999999</v>
      </c>
      <c r="I1369">
        <v>672.46500000000003</v>
      </c>
      <c r="J1369">
        <v>671.02300000000002</v>
      </c>
      <c r="K1369">
        <v>668.53</v>
      </c>
      <c r="L1369">
        <v>666.10199999999998</v>
      </c>
      <c r="M1369" s="233" t="s">
        <v>530</v>
      </c>
      <c r="N1369" s="233" t="s">
        <v>531</v>
      </c>
      <c r="O1369" s="3" t="s">
        <v>1823</v>
      </c>
    </row>
    <row r="1370" spans="1:15">
      <c r="A1370">
        <v>97</v>
      </c>
      <c r="B1370">
        <v>1053</v>
      </c>
      <c r="C1370" t="s">
        <v>79</v>
      </c>
      <c r="D1370" t="s">
        <v>423</v>
      </c>
      <c r="E1370" s="232" t="s">
        <v>12890</v>
      </c>
      <c r="F1370" t="s">
        <v>71</v>
      </c>
      <c r="G1370">
        <v>2</v>
      </c>
      <c r="H1370">
        <v>668.65499999999997</v>
      </c>
      <c r="I1370">
        <v>667.577</v>
      </c>
      <c r="J1370">
        <v>665.92</v>
      </c>
      <c r="K1370">
        <v>663.22500000000002</v>
      </c>
      <c r="L1370">
        <v>660.10699999999997</v>
      </c>
      <c r="M1370" s="233" t="s">
        <v>530</v>
      </c>
      <c r="N1370" s="233" t="s">
        <v>531</v>
      </c>
      <c r="O1370" s="3" t="s">
        <v>1824</v>
      </c>
    </row>
    <row r="1371" spans="1:15">
      <c r="A1371">
        <v>97</v>
      </c>
      <c r="B1371">
        <v>1063</v>
      </c>
      <c r="C1371" t="s">
        <v>79</v>
      </c>
      <c r="D1371" t="s">
        <v>423</v>
      </c>
      <c r="E1371" s="232" t="s">
        <v>13420</v>
      </c>
      <c r="F1371" t="s">
        <v>71</v>
      </c>
      <c r="G1371">
        <v>2</v>
      </c>
      <c r="H1371">
        <v>657.84199999999998</v>
      </c>
      <c r="I1371">
        <v>656.50300000000004</v>
      </c>
      <c r="J1371">
        <v>654.60199999999998</v>
      </c>
      <c r="K1371">
        <v>651.58000000000004</v>
      </c>
      <c r="L1371">
        <v>648.22699999999998</v>
      </c>
      <c r="M1371" s="233" t="s">
        <v>530</v>
      </c>
      <c r="N1371" s="233" t="s">
        <v>531</v>
      </c>
      <c r="O1371" s="3" t="s">
        <v>1825</v>
      </c>
    </row>
    <row r="1372" spans="1:15">
      <c r="A1372">
        <v>132</v>
      </c>
      <c r="B1372">
        <v>1160</v>
      </c>
      <c r="C1372" t="s">
        <v>79</v>
      </c>
      <c r="D1372" t="s">
        <v>446</v>
      </c>
      <c r="E1372" s="232" t="s">
        <v>9103</v>
      </c>
      <c r="F1372" t="s">
        <v>70</v>
      </c>
      <c r="G1372">
        <v>2</v>
      </c>
      <c r="H1372">
        <v>829.47</v>
      </c>
      <c r="I1372">
        <v>821.9</v>
      </c>
      <c r="J1372">
        <v>812.83</v>
      </c>
      <c r="K1372">
        <v>804.62</v>
      </c>
      <c r="L1372">
        <v>794.83</v>
      </c>
      <c r="M1372" s="233" t="s">
        <v>454</v>
      </c>
      <c r="N1372" s="233" t="s">
        <v>454</v>
      </c>
      <c r="O1372" s="3" t="s">
        <v>1826</v>
      </c>
    </row>
    <row r="1373" spans="1:15">
      <c r="A1373">
        <v>129</v>
      </c>
      <c r="B1373">
        <v>1189</v>
      </c>
      <c r="C1373" t="s">
        <v>79</v>
      </c>
      <c r="D1373" t="s">
        <v>446</v>
      </c>
      <c r="E1373" s="232" t="s">
        <v>8938</v>
      </c>
      <c r="F1373" t="s">
        <v>71</v>
      </c>
      <c r="G1373">
        <v>2</v>
      </c>
      <c r="H1373">
        <v>830.82</v>
      </c>
      <c r="I1373">
        <v>821.97500000000002</v>
      </c>
      <c r="J1373">
        <v>814.38</v>
      </c>
      <c r="K1373">
        <v>806.95</v>
      </c>
      <c r="L1373">
        <v>798.40499999999997</v>
      </c>
      <c r="M1373" s="233" t="s">
        <v>454</v>
      </c>
      <c r="N1373" s="233" t="s">
        <v>454</v>
      </c>
      <c r="O1373" s="3" t="s">
        <v>1827</v>
      </c>
    </row>
    <row r="1374" spans="1:15">
      <c r="A1374">
        <v>250</v>
      </c>
      <c r="B1374">
        <v>1194</v>
      </c>
      <c r="C1374" t="s">
        <v>79</v>
      </c>
      <c r="D1374" t="s">
        <v>479</v>
      </c>
      <c r="E1374" s="232" t="s">
        <v>8835</v>
      </c>
      <c r="F1374" t="s">
        <v>70</v>
      </c>
      <c r="G1374">
        <v>2</v>
      </c>
      <c r="H1374">
        <v>439.67500000000001</v>
      </c>
      <c r="I1374">
        <v>436.92500000000001</v>
      </c>
      <c r="J1374">
        <v>432.11500000000001</v>
      </c>
      <c r="K1374">
        <v>428.07499999999999</v>
      </c>
      <c r="L1374">
        <v>425.44499999999999</v>
      </c>
      <c r="M1374" s="233" t="s">
        <v>454</v>
      </c>
      <c r="N1374" s="233" t="s">
        <v>454</v>
      </c>
      <c r="O1374" s="3" t="s">
        <v>1828</v>
      </c>
    </row>
    <row r="1375" spans="1:15">
      <c r="A1375">
        <v>250</v>
      </c>
      <c r="B1375">
        <v>1197</v>
      </c>
      <c r="C1375" t="s">
        <v>79</v>
      </c>
      <c r="D1375" t="s">
        <v>479</v>
      </c>
      <c r="E1375" s="232" t="s">
        <v>11161</v>
      </c>
      <c r="F1375" t="s">
        <v>70</v>
      </c>
      <c r="G1375">
        <v>2</v>
      </c>
      <c r="H1375">
        <v>438.94</v>
      </c>
      <c r="I1375">
        <v>435.57499999999999</v>
      </c>
      <c r="J1375">
        <v>430.93</v>
      </c>
      <c r="K1375">
        <v>426.755</v>
      </c>
      <c r="L1375">
        <v>423.57</v>
      </c>
      <c r="M1375" s="233" t="s">
        <v>454</v>
      </c>
      <c r="N1375" s="233" t="s">
        <v>454</v>
      </c>
      <c r="O1375" s="3" t="s">
        <v>1829</v>
      </c>
    </row>
    <row r="1376" spans="1:15">
      <c r="A1376">
        <v>250</v>
      </c>
      <c r="B1376">
        <v>1193</v>
      </c>
      <c r="C1376" t="s">
        <v>79</v>
      </c>
      <c r="D1376" t="s">
        <v>479</v>
      </c>
      <c r="E1376" s="232" t="s">
        <v>11277</v>
      </c>
      <c r="F1376" t="s">
        <v>70</v>
      </c>
      <c r="G1376">
        <v>2</v>
      </c>
      <c r="H1376">
        <v>435.84500000000003</v>
      </c>
      <c r="I1376">
        <v>432.65</v>
      </c>
      <c r="J1376">
        <v>428.36500000000001</v>
      </c>
      <c r="K1376">
        <v>422.7</v>
      </c>
      <c r="L1376">
        <v>419.30500000000001</v>
      </c>
      <c r="M1376" s="233" t="s">
        <v>454</v>
      </c>
      <c r="N1376" s="233" t="s">
        <v>454</v>
      </c>
      <c r="O1376" s="3" t="s">
        <v>1830</v>
      </c>
    </row>
    <row r="1377" spans="1:15">
      <c r="A1377">
        <v>250</v>
      </c>
      <c r="B1377">
        <v>1198</v>
      </c>
      <c r="C1377" t="s">
        <v>79</v>
      </c>
      <c r="D1377" t="s">
        <v>479</v>
      </c>
      <c r="E1377" s="232" t="s">
        <v>11378</v>
      </c>
      <c r="F1377" t="s">
        <v>70</v>
      </c>
      <c r="G1377">
        <v>2</v>
      </c>
      <c r="H1377">
        <v>433.38</v>
      </c>
      <c r="I1377">
        <v>430.54500000000002</v>
      </c>
      <c r="J1377">
        <v>426.01499999999999</v>
      </c>
      <c r="K1377">
        <v>420.89</v>
      </c>
      <c r="L1377">
        <v>418.03</v>
      </c>
      <c r="M1377" s="233" t="s">
        <v>454</v>
      </c>
      <c r="N1377" s="233" t="s">
        <v>454</v>
      </c>
      <c r="O1377" s="3" t="s">
        <v>1831</v>
      </c>
    </row>
    <row r="1378" spans="1:15">
      <c r="A1378">
        <v>250</v>
      </c>
      <c r="B1378">
        <v>1203</v>
      </c>
      <c r="C1378" t="s">
        <v>79</v>
      </c>
      <c r="D1378" t="s">
        <v>479</v>
      </c>
      <c r="E1378" s="232" t="s">
        <v>11398</v>
      </c>
      <c r="F1378" t="s">
        <v>70</v>
      </c>
      <c r="G1378">
        <v>2</v>
      </c>
      <c r="H1378">
        <v>433.11</v>
      </c>
      <c r="I1378">
        <v>430.46499999999997</v>
      </c>
      <c r="J1378">
        <v>426.01499999999999</v>
      </c>
      <c r="K1378">
        <v>419.79</v>
      </c>
      <c r="L1378">
        <v>416.89</v>
      </c>
      <c r="M1378" s="233" t="s">
        <v>454</v>
      </c>
      <c r="N1378" s="233" t="s">
        <v>454</v>
      </c>
      <c r="O1378" s="3" t="s">
        <v>1832</v>
      </c>
    </row>
    <row r="1379" spans="1:15">
      <c r="A1379">
        <v>258</v>
      </c>
      <c r="B1379">
        <v>1191</v>
      </c>
      <c r="C1379" t="s">
        <v>79</v>
      </c>
      <c r="D1379" t="s">
        <v>479</v>
      </c>
      <c r="E1379" s="232" t="s">
        <v>11445</v>
      </c>
      <c r="F1379" t="s">
        <v>70</v>
      </c>
      <c r="G1379">
        <v>2</v>
      </c>
      <c r="H1379">
        <v>424.39499999999998</v>
      </c>
      <c r="I1379">
        <v>421.72500000000002</v>
      </c>
      <c r="J1379">
        <v>417.45</v>
      </c>
      <c r="K1379">
        <v>413.09</v>
      </c>
      <c r="L1379">
        <v>410.61</v>
      </c>
      <c r="M1379" s="233" t="s">
        <v>454</v>
      </c>
      <c r="N1379" s="233" t="s">
        <v>454</v>
      </c>
      <c r="O1379" s="3" t="s">
        <v>1833</v>
      </c>
    </row>
    <row r="1380" spans="1:15">
      <c r="A1380">
        <v>250</v>
      </c>
      <c r="B1380">
        <v>1202</v>
      </c>
      <c r="C1380" t="s">
        <v>79</v>
      </c>
      <c r="D1380" t="s">
        <v>479</v>
      </c>
      <c r="E1380" s="232" t="s">
        <v>11501</v>
      </c>
      <c r="F1380" t="s">
        <v>70</v>
      </c>
      <c r="G1380">
        <v>2</v>
      </c>
      <c r="H1380">
        <v>430.95</v>
      </c>
      <c r="I1380">
        <v>428.36500000000001</v>
      </c>
      <c r="J1380">
        <v>423.54</v>
      </c>
      <c r="K1380">
        <v>418.59500000000003</v>
      </c>
      <c r="L1380">
        <v>415.71</v>
      </c>
      <c r="M1380" s="233" t="s">
        <v>454</v>
      </c>
      <c r="N1380" s="233" t="s">
        <v>454</v>
      </c>
      <c r="O1380" s="3" t="s">
        <v>1834</v>
      </c>
    </row>
    <row r="1381" spans="1:15">
      <c r="A1381">
        <v>250</v>
      </c>
      <c r="B1381">
        <v>1199</v>
      </c>
      <c r="C1381" t="s">
        <v>79</v>
      </c>
      <c r="D1381" t="s">
        <v>479</v>
      </c>
      <c r="E1381" s="232" t="s">
        <v>11552</v>
      </c>
      <c r="F1381" t="s">
        <v>70</v>
      </c>
      <c r="G1381">
        <v>2</v>
      </c>
      <c r="H1381">
        <v>429.935</v>
      </c>
      <c r="I1381">
        <v>427.43</v>
      </c>
      <c r="J1381">
        <v>422.7</v>
      </c>
      <c r="K1381">
        <v>417.69</v>
      </c>
      <c r="L1381">
        <v>414.79</v>
      </c>
      <c r="M1381" s="233" t="s">
        <v>454</v>
      </c>
      <c r="N1381" s="233" t="s">
        <v>454</v>
      </c>
      <c r="O1381" s="3" t="s">
        <v>1835</v>
      </c>
    </row>
    <row r="1382" spans="1:15">
      <c r="A1382">
        <v>250</v>
      </c>
      <c r="B1382">
        <v>1200</v>
      </c>
      <c r="C1382" t="s">
        <v>79</v>
      </c>
      <c r="D1382" t="s">
        <v>479</v>
      </c>
      <c r="E1382" s="232" t="s">
        <v>11684</v>
      </c>
      <c r="F1382" t="s">
        <v>70</v>
      </c>
      <c r="G1382">
        <v>2</v>
      </c>
      <c r="H1382">
        <v>426.29</v>
      </c>
      <c r="I1382">
        <v>423.36</v>
      </c>
      <c r="J1382">
        <v>417.71</v>
      </c>
      <c r="K1382">
        <v>412</v>
      </c>
      <c r="L1382">
        <v>409.25</v>
      </c>
      <c r="M1382" s="233" t="s">
        <v>454</v>
      </c>
      <c r="N1382" s="233" t="s">
        <v>454</v>
      </c>
      <c r="O1382" s="3" t="s">
        <v>1836</v>
      </c>
    </row>
    <row r="1383" spans="1:15">
      <c r="A1383">
        <v>253</v>
      </c>
      <c r="B1383">
        <v>1222</v>
      </c>
      <c r="C1383" t="s">
        <v>79</v>
      </c>
      <c r="D1383" t="s">
        <v>479</v>
      </c>
      <c r="E1383" s="232" t="s">
        <v>8659</v>
      </c>
      <c r="F1383" t="s">
        <v>71</v>
      </c>
      <c r="G1383">
        <v>2</v>
      </c>
      <c r="H1383">
        <v>453.91</v>
      </c>
      <c r="I1383">
        <v>449.96800000000002</v>
      </c>
      <c r="J1383">
        <v>446.31299999999999</v>
      </c>
      <c r="K1383">
        <v>442.37</v>
      </c>
      <c r="L1383">
        <v>439.85</v>
      </c>
      <c r="M1383" s="233" t="s">
        <v>454</v>
      </c>
      <c r="N1383" s="233" t="s">
        <v>454</v>
      </c>
      <c r="O1383" s="3" t="s">
        <v>1837</v>
      </c>
    </row>
    <row r="1384" spans="1:15">
      <c r="A1384">
        <v>253</v>
      </c>
      <c r="B1384">
        <v>1223</v>
      </c>
      <c r="C1384" t="s">
        <v>79</v>
      </c>
      <c r="D1384" t="s">
        <v>479</v>
      </c>
      <c r="E1384" s="232" t="s">
        <v>9141</v>
      </c>
      <c r="F1384" t="s">
        <v>71</v>
      </c>
      <c r="G1384">
        <v>2</v>
      </c>
      <c r="H1384">
        <v>434.25</v>
      </c>
      <c r="I1384">
        <v>431.68</v>
      </c>
      <c r="J1384">
        <v>429.37299999999999</v>
      </c>
      <c r="K1384">
        <v>424.84300000000002</v>
      </c>
      <c r="L1384">
        <v>422.995</v>
      </c>
      <c r="M1384" s="233" t="s">
        <v>454</v>
      </c>
      <c r="N1384" s="233" t="s">
        <v>454</v>
      </c>
      <c r="O1384" s="3" t="s">
        <v>1838</v>
      </c>
    </row>
    <row r="1385" spans="1:15">
      <c r="A1385">
        <v>252</v>
      </c>
      <c r="B1385">
        <v>1212</v>
      </c>
      <c r="C1385" t="s">
        <v>79</v>
      </c>
      <c r="D1385" t="s">
        <v>479</v>
      </c>
      <c r="E1385" s="232" t="s">
        <v>8654</v>
      </c>
      <c r="F1385" t="s">
        <v>71</v>
      </c>
      <c r="G1385">
        <v>2</v>
      </c>
      <c r="H1385">
        <v>441.97500000000002</v>
      </c>
      <c r="I1385">
        <v>439.47</v>
      </c>
      <c r="J1385">
        <v>435.57499999999999</v>
      </c>
      <c r="K1385">
        <v>432.745</v>
      </c>
      <c r="L1385">
        <v>430.59</v>
      </c>
      <c r="M1385" s="233" t="s">
        <v>454</v>
      </c>
      <c r="N1385" s="233" t="s">
        <v>454</v>
      </c>
      <c r="O1385" s="3" t="s">
        <v>1839</v>
      </c>
    </row>
    <row r="1386" spans="1:15">
      <c r="A1386">
        <v>253</v>
      </c>
      <c r="B1386">
        <v>1226</v>
      </c>
      <c r="C1386" t="s">
        <v>79</v>
      </c>
      <c r="D1386" t="s">
        <v>479</v>
      </c>
      <c r="E1386" s="232" t="s">
        <v>9921</v>
      </c>
      <c r="F1386" t="s">
        <v>71</v>
      </c>
      <c r="G1386">
        <v>2</v>
      </c>
      <c r="H1386">
        <v>431.108</v>
      </c>
      <c r="I1386">
        <v>428.58499999999998</v>
      </c>
      <c r="J1386">
        <v>426.16500000000002</v>
      </c>
      <c r="K1386">
        <v>421.51</v>
      </c>
      <c r="L1386">
        <v>418.93799999999999</v>
      </c>
      <c r="M1386" s="233" t="s">
        <v>454</v>
      </c>
      <c r="N1386" s="233" t="s">
        <v>454</v>
      </c>
      <c r="O1386" s="3" t="s">
        <v>1840</v>
      </c>
    </row>
    <row r="1387" spans="1:15">
      <c r="A1387">
        <v>252</v>
      </c>
      <c r="B1387">
        <v>1211</v>
      </c>
      <c r="C1387" t="s">
        <v>79</v>
      </c>
      <c r="D1387" t="s">
        <v>479</v>
      </c>
      <c r="E1387" s="232" t="s">
        <v>8618</v>
      </c>
      <c r="F1387" t="s">
        <v>71</v>
      </c>
      <c r="G1387">
        <v>2</v>
      </c>
      <c r="H1387">
        <v>439.87</v>
      </c>
      <c r="I1387">
        <v>437.53</v>
      </c>
      <c r="J1387">
        <v>433.71</v>
      </c>
      <c r="K1387">
        <v>429.66500000000002</v>
      </c>
      <c r="L1387">
        <v>427.08499999999998</v>
      </c>
      <c r="M1387" s="233" t="s">
        <v>454</v>
      </c>
      <c r="N1387" s="233" t="s">
        <v>454</v>
      </c>
      <c r="O1387" s="3" t="s">
        <v>1841</v>
      </c>
    </row>
    <row r="1388" spans="1:15">
      <c r="A1388">
        <v>252</v>
      </c>
      <c r="B1388">
        <v>1217</v>
      </c>
      <c r="C1388" t="s">
        <v>79</v>
      </c>
      <c r="D1388" t="s">
        <v>479</v>
      </c>
      <c r="E1388" s="232" t="s">
        <v>8863</v>
      </c>
      <c r="F1388" t="s">
        <v>71</v>
      </c>
      <c r="G1388">
        <v>2</v>
      </c>
      <c r="H1388">
        <v>439.47</v>
      </c>
      <c r="I1388">
        <v>437.39</v>
      </c>
      <c r="J1388">
        <v>433.41</v>
      </c>
      <c r="K1388">
        <v>429.54</v>
      </c>
      <c r="L1388">
        <v>427.08499999999998</v>
      </c>
      <c r="M1388" s="233" t="s">
        <v>454</v>
      </c>
      <c r="N1388" s="233" t="s">
        <v>454</v>
      </c>
      <c r="O1388" s="3" t="s">
        <v>1842</v>
      </c>
    </row>
    <row r="1389" spans="1:15">
      <c r="A1389">
        <v>252</v>
      </c>
      <c r="B1389">
        <v>1218</v>
      </c>
      <c r="C1389" t="s">
        <v>79</v>
      </c>
      <c r="D1389" t="s">
        <v>479</v>
      </c>
      <c r="E1389" s="232" t="s">
        <v>16686</v>
      </c>
      <c r="F1389" t="s">
        <v>71</v>
      </c>
      <c r="G1389">
        <v>2</v>
      </c>
      <c r="H1389">
        <v>439.47</v>
      </c>
      <c r="I1389">
        <v>437.39</v>
      </c>
      <c r="J1389">
        <v>433.41</v>
      </c>
      <c r="K1389">
        <v>429.54</v>
      </c>
      <c r="L1389">
        <v>427.08499999999998</v>
      </c>
      <c r="M1389" s="233" t="s">
        <v>454</v>
      </c>
      <c r="N1389" s="233" t="s">
        <v>454</v>
      </c>
      <c r="O1389" s="3" t="s">
        <v>1843</v>
      </c>
    </row>
    <row r="1390" spans="1:15">
      <c r="A1390">
        <v>253</v>
      </c>
      <c r="B1390">
        <v>1220</v>
      </c>
      <c r="C1390" t="s">
        <v>79</v>
      </c>
      <c r="D1390" t="s">
        <v>479</v>
      </c>
      <c r="E1390" s="232" t="s">
        <v>8214</v>
      </c>
      <c r="F1390" t="s">
        <v>71</v>
      </c>
      <c r="G1390">
        <v>2</v>
      </c>
      <c r="H1390">
        <v>432.23</v>
      </c>
      <c r="I1390">
        <v>429.923</v>
      </c>
      <c r="J1390">
        <v>425.39</v>
      </c>
      <c r="K1390">
        <v>421.12299999999999</v>
      </c>
      <c r="L1390">
        <v>418.40300000000002</v>
      </c>
      <c r="M1390" s="233" t="s">
        <v>454</v>
      </c>
      <c r="N1390" s="233" t="s">
        <v>454</v>
      </c>
      <c r="O1390" s="3" t="s">
        <v>1844</v>
      </c>
    </row>
    <row r="1391" spans="1:15">
      <c r="A1391">
        <v>253</v>
      </c>
      <c r="B1391">
        <v>1228</v>
      </c>
      <c r="C1391" t="s">
        <v>79</v>
      </c>
      <c r="D1391" t="s">
        <v>479</v>
      </c>
      <c r="E1391" s="232" t="s">
        <v>16687</v>
      </c>
      <c r="F1391" t="s">
        <v>71</v>
      </c>
      <c r="G1391">
        <v>2</v>
      </c>
      <c r="H1391">
        <v>430.04500000000002</v>
      </c>
      <c r="I1391">
        <v>427.47500000000002</v>
      </c>
      <c r="J1391">
        <v>424.96800000000002</v>
      </c>
      <c r="K1391">
        <v>420.21300000000002</v>
      </c>
      <c r="L1391">
        <v>417.51499999999999</v>
      </c>
      <c r="M1391" s="233" t="s">
        <v>454</v>
      </c>
      <c r="N1391" s="233" t="s">
        <v>454</v>
      </c>
      <c r="O1391" s="3" t="s">
        <v>1845</v>
      </c>
    </row>
    <row r="1392" spans="1:15">
      <c r="A1392">
        <v>252</v>
      </c>
      <c r="B1392">
        <v>1215</v>
      </c>
      <c r="C1392" t="s">
        <v>79</v>
      </c>
      <c r="D1392" t="s">
        <v>479</v>
      </c>
      <c r="E1392" s="232" t="s">
        <v>16688</v>
      </c>
      <c r="F1392" t="s">
        <v>71</v>
      </c>
      <c r="G1392">
        <v>2</v>
      </c>
      <c r="H1392">
        <v>438.97</v>
      </c>
      <c r="I1392">
        <v>436.89</v>
      </c>
      <c r="J1392">
        <v>432.87</v>
      </c>
      <c r="K1392">
        <v>428.67500000000001</v>
      </c>
      <c r="L1392">
        <v>426.23500000000001</v>
      </c>
      <c r="M1392" s="233" t="s">
        <v>454</v>
      </c>
      <c r="N1392" s="233" t="s">
        <v>454</v>
      </c>
      <c r="O1392" s="3" t="s">
        <v>1846</v>
      </c>
    </row>
    <row r="1393" spans="1:15">
      <c r="A1393">
        <v>252</v>
      </c>
      <c r="B1393">
        <v>1216</v>
      </c>
      <c r="C1393" t="s">
        <v>79</v>
      </c>
      <c r="D1393" t="s">
        <v>479</v>
      </c>
      <c r="E1393" s="232" t="s">
        <v>16689</v>
      </c>
      <c r="F1393" t="s">
        <v>71</v>
      </c>
      <c r="G1393">
        <v>2</v>
      </c>
      <c r="H1393">
        <v>438.97</v>
      </c>
      <c r="I1393">
        <v>436.89</v>
      </c>
      <c r="J1393">
        <v>432.87</v>
      </c>
      <c r="K1393">
        <v>428.67500000000001</v>
      </c>
      <c r="L1393">
        <v>426.23500000000001</v>
      </c>
      <c r="M1393" s="233" t="s">
        <v>454</v>
      </c>
      <c r="N1393" s="233" t="s">
        <v>454</v>
      </c>
      <c r="O1393" s="3" t="s">
        <v>1847</v>
      </c>
    </row>
    <row r="1394" spans="1:15">
      <c r="A1394">
        <v>252</v>
      </c>
      <c r="B1394">
        <v>1214</v>
      </c>
      <c r="C1394" t="s">
        <v>79</v>
      </c>
      <c r="D1394" t="s">
        <v>479</v>
      </c>
      <c r="E1394" s="232" t="s">
        <v>16690</v>
      </c>
      <c r="F1394" t="s">
        <v>71</v>
      </c>
      <c r="G1394">
        <v>3</v>
      </c>
      <c r="H1394">
        <v>437.60500000000002</v>
      </c>
      <c r="I1394">
        <v>435.27499999999998</v>
      </c>
      <c r="J1394">
        <v>432.745</v>
      </c>
      <c r="K1394">
        <v>428.4</v>
      </c>
      <c r="L1394">
        <v>426.28500000000003</v>
      </c>
      <c r="M1394" s="233" t="s">
        <v>454</v>
      </c>
      <c r="N1394" s="233" t="s">
        <v>454</v>
      </c>
      <c r="O1394" s="3" t="s">
        <v>1848</v>
      </c>
    </row>
    <row r="1395" spans="1:15">
      <c r="A1395">
        <v>253</v>
      </c>
      <c r="B1395">
        <v>1224</v>
      </c>
      <c r="C1395" t="s">
        <v>79</v>
      </c>
      <c r="D1395" t="s">
        <v>479</v>
      </c>
      <c r="E1395" s="232" t="s">
        <v>8696</v>
      </c>
      <c r="F1395" t="s">
        <v>71</v>
      </c>
      <c r="G1395">
        <v>2</v>
      </c>
      <c r="H1395">
        <v>428.73500000000001</v>
      </c>
      <c r="I1395">
        <v>426.24</v>
      </c>
      <c r="J1395">
        <v>423.50799999999998</v>
      </c>
      <c r="K1395">
        <v>418.875</v>
      </c>
      <c r="L1395">
        <v>416.38</v>
      </c>
      <c r="M1395" s="233" t="s">
        <v>454</v>
      </c>
      <c r="N1395" s="233" t="s">
        <v>454</v>
      </c>
      <c r="O1395" s="3" t="s">
        <v>1849</v>
      </c>
    </row>
    <row r="1396" spans="1:15">
      <c r="A1396">
        <v>252</v>
      </c>
      <c r="B1396">
        <v>1213</v>
      </c>
      <c r="C1396" t="s">
        <v>79</v>
      </c>
      <c r="D1396" t="s">
        <v>479</v>
      </c>
      <c r="E1396" s="232" t="s">
        <v>16691</v>
      </c>
      <c r="F1396" t="s">
        <v>71</v>
      </c>
      <c r="G1396">
        <v>2</v>
      </c>
      <c r="H1396">
        <v>436.16500000000002</v>
      </c>
      <c r="I1396">
        <v>433.71</v>
      </c>
      <c r="J1396">
        <v>431.35500000000002</v>
      </c>
      <c r="K1396">
        <v>427.55</v>
      </c>
      <c r="L1396">
        <v>425.81</v>
      </c>
      <c r="M1396" s="233" t="s">
        <v>454</v>
      </c>
      <c r="N1396" s="233" t="s">
        <v>454</v>
      </c>
      <c r="O1396" s="3" t="s">
        <v>1850</v>
      </c>
    </row>
    <row r="1397" spans="1:15">
      <c r="A1397">
        <v>253</v>
      </c>
      <c r="B1397">
        <v>1225</v>
      </c>
      <c r="C1397" t="s">
        <v>79</v>
      </c>
      <c r="D1397" t="s">
        <v>479</v>
      </c>
      <c r="E1397" s="232" t="s">
        <v>499</v>
      </c>
      <c r="F1397" t="s">
        <v>71</v>
      </c>
      <c r="G1397">
        <v>2</v>
      </c>
      <c r="H1397">
        <v>427.47500000000002</v>
      </c>
      <c r="I1397">
        <v>424.96800000000002</v>
      </c>
      <c r="J1397">
        <v>422.44499999999999</v>
      </c>
      <c r="K1397">
        <v>417.45299999999997</v>
      </c>
      <c r="L1397">
        <v>415.19499999999999</v>
      </c>
      <c r="M1397" s="233" t="s">
        <v>454</v>
      </c>
      <c r="N1397" s="233" t="s">
        <v>454</v>
      </c>
      <c r="O1397" s="3" t="s">
        <v>1851</v>
      </c>
    </row>
    <row r="1398" spans="1:15">
      <c r="A1398">
        <v>253</v>
      </c>
      <c r="B1398">
        <v>1221</v>
      </c>
      <c r="C1398" t="s">
        <v>79</v>
      </c>
      <c r="D1398" t="s">
        <v>479</v>
      </c>
      <c r="E1398" s="232" t="s">
        <v>8107</v>
      </c>
      <c r="F1398" t="s">
        <v>71</v>
      </c>
      <c r="G1398">
        <v>2</v>
      </c>
      <c r="H1398">
        <v>427.53800000000001</v>
      </c>
      <c r="I1398">
        <v>425.11799999999999</v>
      </c>
      <c r="J1398">
        <v>420.64800000000002</v>
      </c>
      <c r="K1398">
        <v>415.90499999999997</v>
      </c>
      <c r="L1398">
        <v>413.67</v>
      </c>
      <c r="M1398" s="233" t="s">
        <v>454</v>
      </c>
      <c r="N1398" s="233" t="s">
        <v>454</v>
      </c>
      <c r="O1398" s="3" t="s">
        <v>1852</v>
      </c>
    </row>
    <row r="1399" spans="1:15">
      <c r="A1399">
        <v>253</v>
      </c>
      <c r="B1399">
        <v>1219</v>
      </c>
      <c r="C1399" t="s">
        <v>79</v>
      </c>
      <c r="D1399" t="s">
        <v>479</v>
      </c>
      <c r="E1399" s="232" t="s">
        <v>8534</v>
      </c>
      <c r="F1399" t="s">
        <v>71</v>
      </c>
      <c r="G1399">
        <v>2</v>
      </c>
      <c r="H1399">
        <v>427.32499999999999</v>
      </c>
      <c r="I1399">
        <v>424.84300000000002</v>
      </c>
      <c r="J1399">
        <v>420.15</v>
      </c>
      <c r="K1399">
        <v>415.84300000000002</v>
      </c>
      <c r="L1399">
        <v>413.548</v>
      </c>
      <c r="M1399" s="233" t="s">
        <v>454</v>
      </c>
      <c r="N1399" s="233" t="s">
        <v>454</v>
      </c>
      <c r="O1399" s="3" t="s">
        <v>1853</v>
      </c>
    </row>
    <row r="1400" spans="1:15">
      <c r="A1400">
        <v>253</v>
      </c>
      <c r="B1400">
        <v>1227</v>
      </c>
      <c r="C1400" t="s">
        <v>79</v>
      </c>
      <c r="D1400" t="s">
        <v>479</v>
      </c>
      <c r="E1400" s="232" t="s">
        <v>16692</v>
      </c>
      <c r="F1400" t="s">
        <v>71</v>
      </c>
      <c r="G1400">
        <v>2</v>
      </c>
      <c r="H1400">
        <v>423.13299999999998</v>
      </c>
      <c r="I1400">
        <v>420.21300000000002</v>
      </c>
      <c r="J1400">
        <v>417.45299999999997</v>
      </c>
      <c r="K1400">
        <v>413.39800000000002</v>
      </c>
      <c r="L1400">
        <v>411.3</v>
      </c>
      <c r="M1400" s="233" t="s">
        <v>454</v>
      </c>
      <c r="N1400" s="233" t="s">
        <v>454</v>
      </c>
      <c r="O1400" s="3" t="s">
        <v>1854</v>
      </c>
    </row>
    <row r="1401" spans="1:15">
      <c r="A1401">
        <v>110</v>
      </c>
      <c r="B1401">
        <v>1273</v>
      </c>
      <c r="C1401" t="s">
        <v>79</v>
      </c>
      <c r="D1401" t="s">
        <v>239</v>
      </c>
      <c r="E1401" s="232" t="s">
        <v>8633</v>
      </c>
      <c r="F1401" t="s">
        <v>70</v>
      </c>
      <c r="G1401">
        <v>2</v>
      </c>
      <c r="H1401">
        <v>630.67700000000002</v>
      </c>
      <c r="I1401">
        <v>627.99800000000005</v>
      </c>
      <c r="J1401">
        <v>625.05100000000004</v>
      </c>
      <c r="K1401">
        <v>619.649</v>
      </c>
      <c r="L1401">
        <v>614.07600000000002</v>
      </c>
      <c r="M1401" s="233" t="s">
        <v>530</v>
      </c>
      <c r="N1401" s="233" t="s">
        <v>531</v>
      </c>
      <c r="O1401" s="3" t="s">
        <v>1855</v>
      </c>
    </row>
    <row r="1402" spans="1:15">
      <c r="A1402">
        <v>105</v>
      </c>
      <c r="B1402">
        <v>1271</v>
      </c>
      <c r="C1402" t="s">
        <v>79</v>
      </c>
      <c r="D1402" t="s">
        <v>239</v>
      </c>
      <c r="E1402" s="232" t="s">
        <v>10898</v>
      </c>
      <c r="F1402" t="s">
        <v>70</v>
      </c>
      <c r="G1402">
        <v>2</v>
      </c>
      <c r="H1402">
        <v>858.62</v>
      </c>
      <c r="I1402">
        <v>855.42</v>
      </c>
      <c r="J1402">
        <v>849.5</v>
      </c>
      <c r="K1402">
        <v>839.5</v>
      </c>
      <c r="L1402">
        <v>831.74</v>
      </c>
      <c r="M1402" s="233" t="s">
        <v>454</v>
      </c>
      <c r="N1402" s="233" t="s">
        <v>454</v>
      </c>
      <c r="O1402" s="3" t="s">
        <v>1856</v>
      </c>
    </row>
    <row r="1403" spans="1:15">
      <c r="A1403">
        <v>105</v>
      </c>
      <c r="B1403">
        <v>1275</v>
      </c>
      <c r="C1403" t="s">
        <v>79</v>
      </c>
      <c r="D1403" t="s">
        <v>239</v>
      </c>
      <c r="E1403" s="232" t="s">
        <v>11347</v>
      </c>
      <c r="F1403" t="s">
        <v>70</v>
      </c>
      <c r="G1403">
        <v>2</v>
      </c>
      <c r="H1403">
        <v>856.24</v>
      </c>
      <c r="I1403">
        <v>851.36</v>
      </c>
      <c r="J1403">
        <v>846.2</v>
      </c>
      <c r="K1403">
        <v>837.18</v>
      </c>
      <c r="L1403">
        <v>827.08</v>
      </c>
      <c r="M1403" s="233" t="s">
        <v>454</v>
      </c>
      <c r="N1403" s="233" t="s">
        <v>454</v>
      </c>
      <c r="O1403" s="3" t="s">
        <v>1857</v>
      </c>
    </row>
    <row r="1404" spans="1:15">
      <c r="A1404">
        <v>107</v>
      </c>
      <c r="B1404">
        <v>1276</v>
      </c>
      <c r="C1404" t="s">
        <v>79</v>
      </c>
      <c r="D1404" t="s">
        <v>239</v>
      </c>
      <c r="E1404" s="232" t="s">
        <v>9926</v>
      </c>
      <c r="F1404" t="s">
        <v>71</v>
      </c>
      <c r="G1404">
        <v>2</v>
      </c>
      <c r="H1404">
        <v>848.56</v>
      </c>
      <c r="I1404">
        <v>842.78</v>
      </c>
      <c r="J1404">
        <v>835.6</v>
      </c>
      <c r="K1404">
        <v>820.38</v>
      </c>
      <c r="L1404">
        <v>805.48</v>
      </c>
      <c r="M1404" s="233" t="s">
        <v>454</v>
      </c>
      <c r="N1404" s="233" t="s">
        <v>454</v>
      </c>
      <c r="O1404" s="3" t="s">
        <v>1858</v>
      </c>
    </row>
    <row r="1405" spans="1:15">
      <c r="A1405">
        <v>101</v>
      </c>
      <c r="B1405">
        <v>1229</v>
      </c>
      <c r="C1405" t="s">
        <v>79</v>
      </c>
      <c r="D1405" t="s">
        <v>424</v>
      </c>
      <c r="E1405" s="232" t="s">
        <v>11006</v>
      </c>
      <c r="F1405" t="s">
        <v>70</v>
      </c>
      <c r="G1405">
        <v>2</v>
      </c>
      <c r="H1405">
        <v>887.84</v>
      </c>
      <c r="I1405">
        <v>882.47</v>
      </c>
      <c r="J1405">
        <v>877.35</v>
      </c>
      <c r="K1405">
        <v>870.34</v>
      </c>
      <c r="L1405">
        <v>861.71</v>
      </c>
      <c r="M1405" s="233" t="s">
        <v>454</v>
      </c>
      <c r="N1405" s="233" t="s">
        <v>454</v>
      </c>
      <c r="O1405" s="3" t="s">
        <v>1859</v>
      </c>
    </row>
    <row r="1406" spans="1:15">
      <c r="A1406">
        <v>101</v>
      </c>
      <c r="B1406">
        <v>1234</v>
      </c>
      <c r="C1406" t="s">
        <v>79</v>
      </c>
      <c r="D1406" t="s">
        <v>424</v>
      </c>
      <c r="E1406" s="232" t="s">
        <v>11841</v>
      </c>
      <c r="F1406" t="s">
        <v>70</v>
      </c>
      <c r="G1406">
        <v>2</v>
      </c>
      <c r="H1406">
        <v>847.53</v>
      </c>
      <c r="I1406">
        <v>842.26</v>
      </c>
      <c r="J1406">
        <v>836.19</v>
      </c>
      <c r="K1406">
        <v>827.87</v>
      </c>
      <c r="L1406">
        <v>820.41</v>
      </c>
      <c r="M1406" s="233" t="s">
        <v>454</v>
      </c>
      <c r="N1406" s="233" t="s">
        <v>454</v>
      </c>
      <c r="O1406" s="3" t="s">
        <v>1860</v>
      </c>
    </row>
    <row r="1407" spans="1:15">
      <c r="A1407">
        <v>100</v>
      </c>
      <c r="B1407">
        <v>1239</v>
      </c>
      <c r="C1407" t="s">
        <v>79</v>
      </c>
      <c r="D1407" t="s">
        <v>424</v>
      </c>
      <c r="E1407" s="232" t="s">
        <v>11210</v>
      </c>
      <c r="F1407" t="s">
        <v>71</v>
      </c>
      <c r="G1407">
        <v>2</v>
      </c>
      <c r="H1407">
        <v>866.23500000000001</v>
      </c>
      <c r="I1407">
        <v>861.45</v>
      </c>
      <c r="J1407">
        <v>856.76499999999999</v>
      </c>
      <c r="K1407">
        <v>847.78</v>
      </c>
      <c r="L1407">
        <v>838.21500000000003</v>
      </c>
      <c r="M1407" s="233" t="s">
        <v>454</v>
      </c>
      <c r="N1407" s="233" t="s">
        <v>454</v>
      </c>
      <c r="O1407" s="3" t="s">
        <v>1861</v>
      </c>
    </row>
    <row r="1408" spans="1:15">
      <c r="A1408">
        <v>100</v>
      </c>
      <c r="B1408">
        <v>1238</v>
      </c>
      <c r="C1408" t="s">
        <v>79</v>
      </c>
      <c r="D1408" t="s">
        <v>424</v>
      </c>
      <c r="E1408" s="232" t="s">
        <v>416</v>
      </c>
      <c r="F1408" t="s">
        <v>71</v>
      </c>
      <c r="G1408">
        <v>2</v>
      </c>
      <c r="H1408">
        <v>860.47500000000002</v>
      </c>
      <c r="I1408">
        <v>856.16499999999996</v>
      </c>
      <c r="J1408">
        <v>851.20500000000004</v>
      </c>
      <c r="K1408">
        <v>840.84500000000003</v>
      </c>
      <c r="L1408">
        <v>833.05499999999995</v>
      </c>
      <c r="M1408" s="233" t="s">
        <v>454</v>
      </c>
      <c r="N1408" s="233" t="s">
        <v>454</v>
      </c>
      <c r="O1408" s="3" t="s">
        <v>1862</v>
      </c>
    </row>
    <row r="1409" spans="1:15">
      <c r="A1409">
        <v>100</v>
      </c>
      <c r="B1409">
        <v>1235</v>
      </c>
      <c r="C1409" t="s">
        <v>79</v>
      </c>
      <c r="D1409" t="s">
        <v>424</v>
      </c>
      <c r="E1409" s="232" t="s">
        <v>11437</v>
      </c>
      <c r="F1409" t="s">
        <v>71</v>
      </c>
      <c r="G1409">
        <v>2</v>
      </c>
      <c r="H1409">
        <v>856.41499999999996</v>
      </c>
      <c r="I1409">
        <v>852.61</v>
      </c>
      <c r="J1409">
        <v>847.1</v>
      </c>
      <c r="K1409">
        <v>838.21500000000003</v>
      </c>
      <c r="L1409">
        <v>829.92499999999995</v>
      </c>
      <c r="M1409" s="233" t="s">
        <v>454</v>
      </c>
      <c r="N1409" s="233" t="s">
        <v>454</v>
      </c>
      <c r="O1409" s="3" t="s">
        <v>1863</v>
      </c>
    </row>
    <row r="1410" spans="1:15">
      <c r="A1410">
        <v>103</v>
      </c>
      <c r="B1410">
        <v>1240</v>
      </c>
      <c r="C1410" t="s">
        <v>79</v>
      </c>
      <c r="D1410" t="s">
        <v>425</v>
      </c>
      <c r="E1410" s="232" t="s">
        <v>8283</v>
      </c>
      <c r="F1410" t="s">
        <v>70</v>
      </c>
      <c r="G1410">
        <v>2</v>
      </c>
      <c r="H1410">
        <v>926.48099999999999</v>
      </c>
      <c r="I1410">
        <v>921.91099999999994</v>
      </c>
      <c r="J1410">
        <v>916.89200000000005</v>
      </c>
      <c r="K1410">
        <v>907.29100000000005</v>
      </c>
      <c r="L1410">
        <v>899.55700000000002</v>
      </c>
      <c r="M1410" s="233" t="s">
        <v>454</v>
      </c>
      <c r="N1410" s="233" t="s">
        <v>454</v>
      </c>
      <c r="O1410" s="3" t="s">
        <v>1864</v>
      </c>
    </row>
    <row r="1411" spans="1:15">
      <c r="A1411">
        <v>103</v>
      </c>
      <c r="B1411">
        <v>1248</v>
      </c>
      <c r="C1411" t="s">
        <v>79</v>
      </c>
      <c r="D1411" t="s">
        <v>425</v>
      </c>
      <c r="E1411" s="232" t="s">
        <v>10113</v>
      </c>
      <c r="F1411" t="s">
        <v>70</v>
      </c>
      <c r="G1411">
        <v>2</v>
      </c>
      <c r="H1411">
        <v>921.91099999999994</v>
      </c>
      <c r="I1411">
        <v>917.327</v>
      </c>
      <c r="J1411">
        <v>911.495</v>
      </c>
      <c r="K1411">
        <v>903.78700000000003</v>
      </c>
      <c r="L1411">
        <v>894.86300000000006</v>
      </c>
      <c r="M1411" s="233" t="s">
        <v>454</v>
      </c>
      <c r="N1411" s="233" t="s">
        <v>454</v>
      </c>
      <c r="O1411" s="3" t="s">
        <v>1865</v>
      </c>
    </row>
    <row r="1412" spans="1:15">
      <c r="A1412">
        <v>103</v>
      </c>
      <c r="B1412">
        <v>1245</v>
      </c>
      <c r="C1412" t="s">
        <v>79</v>
      </c>
      <c r="D1412" t="s">
        <v>425</v>
      </c>
      <c r="E1412" s="232" t="s">
        <v>8614</v>
      </c>
      <c r="F1412" t="s">
        <v>70</v>
      </c>
      <c r="G1412">
        <v>2</v>
      </c>
      <c r="H1412">
        <v>921.66099999999994</v>
      </c>
      <c r="I1412">
        <v>916.89200000000005</v>
      </c>
      <c r="J1412">
        <v>910.33799999999997</v>
      </c>
      <c r="K1412">
        <v>902.59400000000005</v>
      </c>
      <c r="L1412">
        <v>894.351</v>
      </c>
      <c r="M1412" s="233" t="s">
        <v>454</v>
      </c>
      <c r="N1412" s="233" t="s">
        <v>454</v>
      </c>
      <c r="O1412" s="3" t="s">
        <v>1866</v>
      </c>
    </row>
    <row r="1413" spans="1:15">
      <c r="A1413">
        <v>103</v>
      </c>
      <c r="B1413">
        <v>1252</v>
      </c>
      <c r="C1413" t="s">
        <v>79</v>
      </c>
      <c r="D1413" t="s">
        <v>425</v>
      </c>
      <c r="E1413" s="232" t="s">
        <v>10917</v>
      </c>
      <c r="F1413" t="s">
        <v>70</v>
      </c>
      <c r="G1413">
        <v>2</v>
      </c>
      <c r="H1413">
        <v>921.91099999999994</v>
      </c>
      <c r="I1413">
        <v>916.89200000000005</v>
      </c>
      <c r="J1413">
        <v>910.28800000000001</v>
      </c>
      <c r="K1413">
        <v>901.96400000000006</v>
      </c>
      <c r="L1413">
        <v>892.73400000000004</v>
      </c>
      <c r="M1413" s="233" t="s">
        <v>454</v>
      </c>
      <c r="N1413" s="233" t="s">
        <v>454</v>
      </c>
      <c r="O1413" s="3" t="s">
        <v>1867</v>
      </c>
    </row>
    <row r="1414" spans="1:15">
      <c r="A1414">
        <v>103</v>
      </c>
      <c r="B1414">
        <v>1242</v>
      </c>
      <c r="C1414" t="s">
        <v>79</v>
      </c>
      <c r="D1414" t="s">
        <v>425</v>
      </c>
      <c r="E1414" s="232" t="s">
        <v>10959</v>
      </c>
      <c r="F1414" t="s">
        <v>70</v>
      </c>
      <c r="G1414">
        <v>2</v>
      </c>
      <c r="H1414">
        <v>919.50400000000002</v>
      </c>
      <c r="I1414">
        <v>913.68499999999995</v>
      </c>
      <c r="J1414">
        <v>907.61800000000005</v>
      </c>
      <c r="K1414">
        <v>900.55</v>
      </c>
      <c r="L1414">
        <v>890.97299999999996</v>
      </c>
      <c r="M1414" s="233" t="s">
        <v>454</v>
      </c>
      <c r="N1414" s="233" t="s">
        <v>454</v>
      </c>
      <c r="O1414" s="3" t="s">
        <v>1868</v>
      </c>
    </row>
    <row r="1415" spans="1:15">
      <c r="A1415">
        <v>103</v>
      </c>
      <c r="B1415">
        <v>1244</v>
      </c>
      <c r="C1415" t="s">
        <v>79</v>
      </c>
      <c r="D1415" t="s">
        <v>425</v>
      </c>
      <c r="E1415" s="232" t="s">
        <v>10996</v>
      </c>
      <c r="F1415" t="s">
        <v>70</v>
      </c>
      <c r="G1415">
        <v>2</v>
      </c>
      <c r="H1415">
        <v>916.89200000000005</v>
      </c>
      <c r="I1415">
        <v>911.495</v>
      </c>
      <c r="J1415">
        <v>905.99400000000003</v>
      </c>
      <c r="K1415">
        <v>898.27</v>
      </c>
      <c r="L1415">
        <v>889.31600000000003</v>
      </c>
      <c r="M1415" s="233" t="s">
        <v>454</v>
      </c>
      <c r="N1415" s="233" t="s">
        <v>454</v>
      </c>
      <c r="O1415" s="3" t="s">
        <v>1869</v>
      </c>
    </row>
    <row r="1416" spans="1:15">
      <c r="A1416">
        <v>103</v>
      </c>
      <c r="B1416">
        <v>1253</v>
      </c>
      <c r="C1416" t="s">
        <v>79</v>
      </c>
      <c r="D1416" t="s">
        <v>425</v>
      </c>
      <c r="E1416" s="232" t="s">
        <v>11052</v>
      </c>
      <c r="F1416" t="s">
        <v>70</v>
      </c>
      <c r="G1416">
        <v>2</v>
      </c>
      <c r="H1416">
        <v>914.13499999999999</v>
      </c>
      <c r="I1416">
        <v>908.48800000000006</v>
      </c>
      <c r="J1416">
        <v>903.78700000000003</v>
      </c>
      <c r="K1416">
        <v>894.86300000000006</v>
      </c>
      <c r="L1416">
        <v>884.56</v>
      </c>
      <c r="M1416" s="233" t="s">
        <v>454</v>
      </c>
      <c r="N1416" s="233" t="s">
        <v>454</v>
      </c>
      <c r="O1416" s="3" t="s">
        <v>1870</v>
      </c>
    </row>
    <row r="1417" spans="1:15">
      <c r="A1417">
        <v>103</v>
      </c>
      <c r="B1417">
        <v>1243</v>
      </c>
      <c r="C1417" t="s">
        <v>79</v>
      </c>
      <c r="D1417" t="s">
        <v>425</v>
      </c>
      <c r="E1417" s="232" t="s">
        <v>11100</v>
      </c>
      <c r="F1417" t="s">
        <v>70</v>
      </c>
      <c r="G1417">
        <v>2</v>
      </c>
      <c r="H1417">
        <v>911.495</v>
      </c>
      <c r="I1417">
        <v>907.16399999999999</v>
      </c>
      <c r="J1417">
        <v>901.96400000000006</v>
      </c>
      <c r="K1417">
        <v>893.26099999999997</v>
      </c>
      <c r="L1417">
        <v>883.22900000000004</v>
      </c>
      <c r="M1417" s="233" t="s">
        <v>454</v>
      </c>
      <c r="N1417" s="233" t="s">
        <v>454</v>
      </c>
      <c r="O1417" s="3" t="s">
        <v>1871</v>
      </c>
    </row>
    <row r="1418" spans="1:15">
      <c r="A1418">
        <v>103</v>
      </c>
      <c r="B1418">
        <v>1246</v>
      </c>
      <c r="C1418" t="s">
        <v>79</v>
      </c>
      <c r="D1418" t="s">
        <v>425</v>
      </c>
      <c r="E1418" s="232" t="s">
        <v>11167</v>
      </c>
      <c r="F1418" t="s">
        <v>70</v>
      </c>
      <c r="G1418">
        <v>2</v>
      </c>
      <c r="H1418">
        <v>907.61800000000005</v>
      </c>
      <c r="I1418">
        <v>903.99400000000003</v>
      </c>
      <c r="J1418">
        <v>899.55700000000002</v>
      </c>
      <c r="K1418">
        <v>889.81600000000003</v>
      </c>
      <c r="L1418">
        <v>879.72400000000005</v>
      </c>
      <c r="M1418" s="233" t="s">
        <v>454</v>
      </c>
      <c r="N1418" s="233" t="s">
        <v>454</v>
      </c>
      <c r="O1418" s="3" t="s">
        <v>1872</v>
      </c>
    </row>
    <row r="1419" spans="1:15">
      <c r="A1419">
        <v>103</v>
      </c>
      <c r="B1419">
        <v>1250</v>
      </c>
      <c r="C1419" t="s">
        <v>79</v>
      </c>
      <c r="D1419" t="s">
        <v>425</v>
      </c>
      <c r="E1419" s="232" t="s">
        <v>11361</v>
      </c>
      <c r="F1419" t="s">
        <v>70</v>
      </c>
      <c r="G1419">
        <v>2</v>
      </c>
      <c r="H1419">
        <v>899.80700000000002</v>
      </c>
      <c r="I1419">
        <v>894.86300000000006</v>
      </c>
      <c r="J1419">
        <v>889.36599999999999</v>
      </c>
      <c r="K1419">
        <v>879.59699999999998</v>
      </c>
      <c r="L1419">
        <v>869.72199999999998</v>
      </c>
      <c r="M1419" s="233" t="s">
        <v>454</v>
      </c>
      <c r="N1419" s="233" t="s">
        <v>454</v>
      </c>
      <c r="O1419" s="3" t="s">
        <v>1873</v>
      </c>
    </row>
    <row r="1420" spans="1:15">
      <c r="A1420">
        <v>103</v>
      </c>
      <c r="B1420">
        <v>1241</v>
      </c>
      <c r="C1420" t="s">
        <v>79</v>
      </c>
      <c r="D1420" t="s">
        <v>425</v>
      </c>
      <c r="E1420" s="232" t="s">
        <v>11479</v>
      </c>
      <c r="F1420" t="s">
        <v>70</v>
      </c>
      <c r="G1420">
        <v>2</v>
      </c>
      <c r="H1420">
        <v>894.86300000000006</v>
      </c>
      <c r="I1420">
        <v>889.81600000000003</v>
      </c>
      <c r="J1420">
        <v>883.47900000000004</v>
      </c>
      <c r="K1420">
        <v>874.178</v>
      </c>
      <c r="L1420">
        <v>865.14599999999996</v>
      </c>
      <c r="M1420" s="233" t="s">
        <v>454</v>
      </c>
      <c r="N1420" s="233" t="s">
        <v>454</v>
      </c>
      <c r="O1420" s="3" t="s">
        <v>1874</v>
      </c>
    </row>
    <row r="1421" spans="1:15">
      <c r="A1421">
        <v>103</v>
      </c>
      <c r="B1421">
        <v>1251</v>
      </c>
      <c r="C1421" t="s">
        <v>79</v>
      </c>
      <c r="D1421" t="s">
        <v>425</v>
      </c>
      <c r="E1421" s="232" t="s">
        <v>11485</v>
      </c>
      <c r="F1421" t="s">
        <v>70</v>
      </c>
      <c r="G1421">
        <v>2</v>
      </c>
      <c r="H1421">
        <v>895.84299999999996</v>
      </c>
      <c r="I1421">
        <v>890.89599999999996</v>
      </c>
      <c r="J1421">
        <v>881.27099999999996</v>
      </c>
      <c r="K1421">
        <v>874.05100000000004</v>
      </c>
      <c r="L1421">
        <v>860.32299999999998</v>
      </c>
      <c r="M1421" s="233" t="s">
        <v>454</v>
      </c>
      <c r="N1421" s="233" t="s">
        <v>454</v>
      </c>
      <c r="O1421" s="3" t="s">
        <v>1875</v>
      </c>
    </row>
    <row r="1422" spans="1:15">
      <c r="A1422">
        <v>103</v>
      </c>
      <c r="B1422">
        <v>1247</v>
      </c>
      <c r="C1422" t="s">
        <v>79</v>
      </c>
      <c r="D1422" t="s">
        <v>425</v>
      </c>
      <c r="E1422" s="232" t="s">
        <v>11669</v>
      </c>
      <c r="F1422" t="s">
        <v>70</v>
      </c>
      <c r="G1422">
        <v>2</v>
      </c>
      <c r="H1422">
        <v>883.15200000000004</v>
      </c>
      <c r="I1422">
        <v>878.22400000000005</v>
      </c>
      <c r="J1422">
        <v>872.27</v>
      </c>
      <c r="K1422">
        <v>863.44600000000003</v>
      </c>
      <c r="L1422">
        <v>854.53599999999994</v>
      </c>
      <c r="M1422" s="233" t="s">
        <v>454</v>
      </c>
      <c r="N1422" s="233" t="s">
        <v>454</v>
      </c>
      <c r="O1422" s="3" t="s">
        <v>1876</v>
      </c>
    </row>
    <row r="1423" spans="1:15">
      <c r="A1423">
        <v>103</v>
      </c>
      <c r="B1423">
        <v>1249</v>
      </c>
      <c r="C1423" t="s">
        <v>79</v>
      </c>
      <c r="D1423" t="s">
        <v>425</v>
      </c>
      <c r="E1423" s="232" t="s">
        <v>11911</v>
      </c>
      <c r="F1423" t="s">
        <v>70</v>
      </c>
      <c r="G1423">
        <v>2</v>
      </c>
      <c r="H1423">
        <v>872.72</v>
      </c>
      <c r="I1423">
        <v>866.51</v>
      </c>
      <c r="J1423">
        <v>856.39300000000003</v>
      </c>
      <c r="K1423">
        <v>844.19899999999996</v>
      </c>
      <c r="L1423">
        <v>826.61599999999999</v>
      </c>
      <c r="M1423" s="233" t="s">
        <v>454</v>
      </c>
      <c r="N1423" s="233" t="s">
        <v>454</v>
      </c>
      <c r="O1423" s="3" t="s">
        <v>1877</v>
      </c>
    </row>
    <row r="1424" spans="1:15">
      <c r="A1424">
        <v>104</v>
      </c>
      <c r="B1424">
        <v>1262</v>
      </c>
      <c r="C1424" t="s">
        <v>79</v>
      </c>
      <c r="D1424" t="s">
        <v>425</v>
      </c>
      <c r="E1424" s="232" t="s">
        <v>489</v>
      </c>
      <c r="F1424" t="s">
        <v>71</v>
      </c>
      <c r="G1424">
        <v>2</v>
      </c>
      <c r="H1424">
        <v>874.98500000000001</v>
      </c>
      <c r="I1424">
        <v>870.45500000000004</v>
      </c>
      <c r="J1424">
        <v>865.77</v>
      </c>
      <c r="K1424">
        <v>856.60500000000002</v>
      </c>
      <c r="L1424">
        <v>847.01499999999999</v>
      </c>
      <c r="M1424" s="233" t="s">
        <v>454</v>
      </c>
      <c r="N1424" s="233" t="s">
        <v>454</v>
      </c>
      <c r="O1424" s="3" t="s">
        <v>1878</v>
      </c>
    </row>
    <row r="1425" spans="1:15">
      <c r="A1425">
        <v>104</v>
      </c>
      <c r="B1425">
        <v>1261</v>
      </c>
      <c r="C1425" t="s">
        <v>79</v>
      </c>
      <c r="D1425" t="s">
        <v>425</v>
      </c>
      <c r="E1425" s="232" t="s">
        <v>8919</v>
      </c>
      <c r="F1425" t="s">
        <v>71</v>
      </c>
      <c r="G1425">
        <v>2</v>
      </c>
      <c r="H1425">
        <v>871.95500000000004</v>
      </c>
      <c r="I1425">
        <v>867.47500000000002</v>
      </c>
      <c r="J1425">
        <v>862.86500000000001</v>
      </c>
      <c r="K1425">
        <v>853.32500000000005</v>
      </c>
      <c r="L1425">
        <v>844.06</v>
      </c>
      <c r="M1425" s="233" t="s">
        <v>454</v>
      </c>
      <c r="N1425" s="233" t="s">
        <v>454</v>
      </c>
      <c r="O1425" s="3" t="s">
        <v>1879</v>
      </c>
    </row>
    <row r="1426" spans="1:15">
      <c r="A1426">
        <v>104</v>
      </c>
      <c r="B1426">
        <v>1265</v>
      </c>
      <c r="C1426" t="s">
        <v>79</v>
      </c>
      <c r="D1426" t="s">
        <v>425</v>
      </c>
      <c r="E1426" s="232" t="s">
        <v>8293</v>
      </c>
      <c r="F1426" t="s">
        <v>71</v>
      </c>
      <c r="G1426">
        <v>2</v>
      </c>
      <c r="H1426">
        <v>871.95500000000004</v>
      </c>
      <c r="I1426">
        <v>867.47500000000002</v>
      </c>
      <c r="J1426">
        <v>862.86500000000001</v>
      </c>
      <c r="K1426">
        <v>853.32500000000005</v>
      </c>
      <c r="L1426">
        <v>844.06</v>
      </c>
      <c r="M1426" s="233" t="s">
        <v>454</v>
      </c>
      <c r="N1426" s="233" t="s">
        <v>454</v>
      </c>
      <c r="O1426" s="3" t="s">
        <v>1880</v>
      </c>
    </row>
    <row r="1427" spans="1:15">
      <c r="A1427">
        <v>104</v>
      </c>
      <c r="B1427">
        <v>1260</v>
      </c>
      <c r="C1427" t="s">
        <v>79</v>
      </c>
      <c r="D1427" t="s">
        <v>425</v>
      </c>
      <c r="E1427" s="232" t="s">
        <v>11249</v>
      </c>
      <c r="F1427" t="s">
        <v>71</v>
      </c>
      <c r="G1427">
        <v>2</v>
      </c>
      <c r="H1427">
        <v>871.95500000000004</v>
      </c>
      <c r="I1427">
        <v>867.39499999999998</v>
      </c>
      <c r="J1427">
        <v>861.91499999999996</v>
      </c>
      <c r="K1427">
        <v>853.32500000000005</v>
      </c>
      <c r="L1427">
        <v>843.71</v>
      </c>
      <c r="M1427" s="233" t="s">
        <v>454</v>
      </c>
      <c r="N1427" s="233" t="s">
        <v>454</v>
      </c>
      <c r="O1427" s="3" t="s">
        <v>1881</v>
      </c>
    </row>
    <row r="1428" spans="1:15">
      <c r="A1428">
        <v>104</v>
      </c>
      <c r="B1428">
        <v>1257</v>
      </c>
      <c r="C1428" t="s">
        <v>79</v>
      </c>
      <c r="D1428" t="s">
        <v>425</v>
      </c>
      <c r="E1428" s="232" t="s">
        <v>8772</v>
      </c>
      <c r="F1428" t="s">
        <v>71</v>
      </c>
      <c r="G1428">
        <v>2</v>
      </c>
      <c r="H1428">
        <v>870.45500000000004</v>
      </c>
      <c r="I1428">
        <v>865.94500000000005</v>
      </c>
      <c r="J1428">
        <v>860.86</v>
      </c>
      <c r="K1428">
        <v>851.52499999999998</v>
      </c>
      <c r="L1428">
        <v>842.73500000000001</v>
      </c>
      <c r="M1428" s="233" t="s">
        <v>454</v>
      </c>
      <c r="N1428" s="233" t="s">
        <v>454</v>
      </c>
      <c r="O1428" s="3" t="s">
        <v>1882</v>
      </c>
    </row>
    <row r="1429" spans="1:15">
      <c r="A1429">
        <v>104</v>
      </c>
      <c r="B1429">
        <v>1266</v>
      </c>
      <c r="C1429" t="s">
        <v>79</v>
      </c>
      <c r="D1429" t="s">
        <v>425</v>
      </c>
      <c r="E1429" s="232" t="s">
        <v>11268</v>
      </c>
      <c r="F1429" t="s">
        <v>71</v>
      </c>
      <c r="G1429">
        <v>2</v>
      </c>
      <c r="H1429">
        <v>870.45500000000004</v>
      </c>
      <c r="I1429">
        <v>865.94500000000005</v>
      </c>
      <c r="J1429">
        <v>860.86</v>
      </c>
      <c r="K1429">
        <v>851.52499999999998</v>
      </c>
      <c r="L1429">
        <v>842.73500000000001</v>
      </c>
      <c r="M1429" s="233" t="s">
        <v>454</v>
      </c>
      <c r="N1429" s="233" t="s">
        <v>454</v>
      </c>
      <c r="O1429" s="3" t="s">
        <v>1883</v>
      </c>
    </row>
    <row r="1430" spans="1:15">
      <c r="A1430">
        <v>104</v>
      </c>
      <c r="B1430">
        <v>1267</v>
      </c>
      <c r="C1430" t="s">
        <v>79</v>
      </c>
      <c r="D1430" t="s">
        <v>425</v>
      </c>
      <c r="E1430" s="232" t="s">
        <v>11263</v>
      </c>
      <c r="F1430" t="s">
        <v>71</v>
      </c>
      <c r="G1430">
        <v>2</v>
      </c>
      <c r="H1430">
        <v>871.95500000000004</v>
      </c>
      <c r="I1430">
        <v>866.67</v>
      </c>
      <c r="J1430">
        <v>860.86</v>
      </c>
      <c r="K1430">
        <v>851.52499999999998</v>
      </c>
      <c r="L1430">
        <v>842.06</v>
      </c>
      <c r="M1430" s="233" t="s">
        <v>454</v>
      </c>
      <c r="N1430" s="233" t="s">
        <v>454</v>
      </c>
      <c r="O1430" s="3" t="s">
        <v>1884</v>
      </c>
    </row>
    <row r="1431" spans="1:15">
      <c r="A1431">
        <v>104</v>
      </c>
      <c r="B1431">
        <v>1263</v>
      </c>
      <c r="C1431" t="s">
        <v>79</v>
      </c>
      <c r="D1431" t="s">
        <v>425</v>
      </c>
      <c r="E1431" s="232" t="s">
        <v>8190</v>
      </c>
      <c r="F1431" t="s">
        <v>71</v>
      </c>
      <c r="G1431">
        <v>2</v>
      </c>
      <c r="H1431">
        <v>870.25</v>
      </c>
      <c r="I1431">
        <v>865.77</v>
      </c>
      <c r="J1431">
        <v>860.51</v>
      </c>
      <c r="K1431">
        <v>850.875</v>
      </c>
      <c r="L1431">
        <v>842.06</v>
      </c>
      <c r="M1431" s="233" t="s">
        <v>454</v>
      </c>
      <c r="N1431" s="233" t="s">
        <v>454</v>
      </c>
      <c r="O1431" s="3" t="s">
        <v>1885</v>
      </c>
    </row>
    <row r="1432" spans="1:15">
      <c r="A1432">
        <v>104</v>
      </c>
      <c r="B1432">
        <v>1254</v>
      </c>
      <c r="C1432" t="s">
        <v>79</v>
      </c>
      <c r="D1432" t="s">
        <v>425</v>
      </c>
      <c r="E1432" s="232" t="s">
        <v>10466</v>
      </c>
      <c r="F1432" t="s">
        <v>71</v>
      </c>
      <c r="G1432">
        <v>2</v>
      </c>
      <c r="H1432">
        <v>869.17499999999995</v>
      </c>
      <c r="I1432">
        <v>864.69500000000005</v>
      </c>
      <c r="J1432">
        <v>859.61</v>
      </c>
      <c r="K1432">
        <v>849.89499999999998</v>
      </c>
      <c r="L1432">
        <v>840.98500000000001</v>
      </c>
      <c r="M1432" s="233" t="s">
        <v>454</v>
      </c>
      <c r="N1432" s="233" t="s">
        <v>454</v>
      </c>
      <c r="O1432" s="3" t="s">
        <v>1886</v>
      </c>
    </row>
    <row r="1433" spans="1:15">
      <c r="A1433">
        <v>104</v>
      </c>
      <c r="B1433">
        <v>1255</v>
      </c>
      <c r="C1433" t="s">
        <v>79</v>
      </c>
      <c r="D1433" t="s">
        <v>425</v>
      </c>
      <c r="E1433" s="232" t="s">
        <v>8216</v>
      </c>
      <c r="F1433" t="s">
        <v>71</v>
      </c>
      <c r="G1433">
        <v>2</v>
      </c>
      <c r="H1433">
        <v>867.6</v>
      </c>
      <c r="I1433">
        <v>863.41499999999996</v>
      </c>
      <c r="J1433">
        <v>858.41</v>
      </c>
      <c r="K1433">
        <v>848.52</v>
      </c>
      <c r="L1433">
        <v>840.43</v>
      </c>
      <c r="M1433" s="233" t="s">
        <v>454</v>
      </c>
      <c r="N1433" s="233" t="s">
        <v>454</v>
      </c>
      <c r="O1433" s="3" t="s">
        <v>1887</v>
      </c>
    </row>
    <row r="1434" spans="1:15">
      <c r="A1434">
        <v>104</v>
      </c>
      <c r="B1434">
        <v>1264</v>
      </c>
      <c r="C1434" t="s">
        <v>79</v>
      </c>
      <c r="D1434" t="s">
        <v>425</v>
      </c>
      <c r="E1434" s="232" t="s">
        <v>11339</v>
      </c>
      <c r="F1434" t="s">
        <v>71</v>
      </c>
      <c r="G1434">
        <v>2</v>
      </c>
      <c r="H1434">
        <v>867.6</v>
      </c>
      <c r="I1434">
        <v>863.41499999999996</v>
      </c>
      <c r="J1434">
        <v>858.41</v>
      </c>
      <c r="K1434">
        <v>848.52</v>
      </c>
      <c r="L1434">
        <v>840.43</v>
      </c>
      <c r="M1434" s="233" t="s">
        <v>454</v>
      </c>
      <c r="N1434" s="233" t="s">
        <v>454</v>
      </c>
      <c r="O1434" s="3" t="s">
        <v>1888</v>
      </c>
    </row>
    <row r="1435" spans="1:15">
      <c r="A1435">
        <v>104</v>
      </c>
      <c r="B1435">
        <v>1259</v>
      </c>
      <c r="C1435" t="s">
        <v>79</v>
      </c>
      <c r="D1435" t="s">
        <v>425</v>
      </c>
      <c r="E1435" s="232" t="s">
        <v>11382</v>
      </c>
      <c r="F1435" t="s">
        <v>71</v>
      </c>
      <c r="G1435">
        <v>2</v>
      </c>
      <c r="H1435">
        <v>865.94500000000005</v>
      </c>
      <c r="I1435">
        <v>861.79</v>
      </c>
      <c r="J1435">
        <v>856.10500000000002</v>
      </c>
      <c r="K1435">
        <v>846.49</v>
      </c>
      <c r="L1435">
        <v>838.55499999999995</v>
      </c>
      <c r="M1435" s="233" t="s">
        <v>454</v>
      </c>
      <c r="N1435" s="233" t="s">
        <v>454</v>
      </c>
      <c r="O1435" s="3" t="s">
        <v>1889</v>
      </c>
    </row>
    <row r="1436" spans="1:15">
      <c r="A1436">
        <v>104</v>
      </c>
      <c r="B1436">
        <v>1258</v>
      </c>
      <c r="C1436" t="s">
        <v>79</v>
      </c>
      <c r="D1436" t="s">
        <v>425</v>
      </c>
      <c r="E1436" s="232" t="s">
        <v>11420</v>
      </c>
      <c r="F1436" t="s">
        <v>71</v>
      </c>
      <c r="G1436">
        <v>2</v>
      </c>
      <c r="H1436">
        <v>864.69500000000005</v>
      </c>
      <c r="I1436">
        <v>860.51</v>
      </c>
      <c r="J1436">
        <v>854.78</v>
      </c>
      <c r="K1436">
        <v>845.34</v>
      </c>
      <c r="L1436">
        <v>837.05</v>
      </c>
      <c r="M1436" s="233" t="s">
        <v>454</v>
      </c>
      <c r="N1436" s="233" t="s">
        <v>454</v>
      </c>
      <c r="O1436" s="3" t="s">
        <v>1890</v>
      </c>
    </row>
    <row r="1437" spans="1:15">
      <c r="A1437">
        <v>104</v>
      </c>
      <c r="B1437">
        <v>1256</v>
      </c>
      <c r="C1437" t="s">
        <v>79</v>
      </c>
      <c r="D1437" t="s">
        <v>425</v>
      </c>
      <c r="E1437" s="232" t="s">
        <v>11463</v>
      </c>
      <c r="F1437" t="s">
        <v>71</v>
      </c>
      <c r="G1437">
        <v>2</v>
      </c>
      <c r="H1437">
        <v>863.41499999999996</v>
      </c>
      <c r="I1437">
        <v>858.76</v>
      </c>
      <c r="J1437">
        <v>853.32500000000005</v>
      </c>
      <c r="K1437">
        <v>844.06</v>
      </c>
      <c r="L1437">
        <v>836.375</v>
      </c>
      <c r="M1437" s="233" t="s">
        <v>454</v>
      </c>
      <c r="N1437" s="233" t="s">
        <v>454</v>
      </c>
      <c r="O1437" s="3" t="s">
        <v>1891</v>
      </c>
    </row>
    <row r="1438" spans="1:15">
      <c r="A1438">
        <v>104</v>
      </c>
      <c r="B1438">
        <v>1268</v>
      </c>
      <c r="C1438" t="s">
        <v>79</v>
      </c>
      <c r="D1438" t="s">
        <v>425</v>
      </c>
      <c r="E1438" s="232" t="s">
        <v>11515</v>
      </c>
      <c r="F1438" t="s">
        <v>71</v>
      </c>
      <c r="G1438">
        <v>2</v>
      </c>
      <c r="H1438">
        <v>861.44</v>
      </c>
      <c r="I1438">
        <v>856.10500000000002</v>
      </c>
      <c r="J1438">
        <v>849.77</v>
      </c>
      <c r="K1438">
        <v>840.98500000000001</v>
      </c>
      <c r="L1438">
        <v>832.62</v>
      </c>
      <c r="M1438" s="233" t="s">
        <v>454</v>
      </c>
      <c r="N1438" s="233" t="s">
        <v>454</v>
      </c>
      <c r="O1438" s="3" t="s">
        <v>1892</v>
      </c>
    </row>
    <row r="1439" spans="1:15">
      <c r="A1439">
        <v>244</v>
      </c>
      <c r="B1439">
        <v>1309</v>
      </c>
      <c r="C1439" t="s">
        <v>79</v>
      </c>
      <c r="D1439" t="s">
        <v>195</v>
      </c>
      <c r="E1439" s="232" t="s">
        <v>16693</v>
      </c>
      <c r="F1439" t="s">
        <v>70</v>
      </c>
      <c r="G1439">
        <v>2</v>
      </c>
      <c r="H1439">
        <v>90.820999999999998</v>
      </c>
      <c r="I1439">
        <v>90.581000000000003</v>
      </c>
      <c r="J1439">
        <v>90.162000000000006</v>
      </c>
      <c r="K1439">
        <v>89.513000000000005</v>
      </c>
      <c r="L1439">
        <v>88.873999999999995</v>
      </c>
      <c r="M1439" s="233" t="s">
        <v>454</v>
      </c>
      <c r="N1439" s="233" t="s">
        <v>454</v>
      </c>
      <c r="O1439" s="3" t="s">
        <v>1893</v>
      </c>
    </row>
    <row r="1440" spans="1:15">
      <c r="A1440">
        <v>244</v>
      </c>
      <c r="B1440">
        <v>1290</v>
      </c>
      <c r="C1440" t="s">
        <v>79</v>
      </c>
      <c r="D1440" t="s">
        <v>195</v>
      </c>
      <c r="E1440" s="232" t="s">
        <v>16694</v>
      </c>
      <c r="F1440" t="s">
        <v>70</v>
      </c>
      <c r="G1440">
        <v>2</v>
      </c>
      <c r="H1440">
        <v>87.332999999999998</v>
      </c>
      <c r="I1440">
        <v>86.983999999999995</v>
      </c>
      <c r="J1440">
        <v>86.183000000000007</v>
      </c>
      <c r="K1440">
        <v>85.614999999999995</v>
      </c>
      <c r="L1440">
        <v>84.578999999999994</v>
      </c>
      <c r="M1440" s="233" t="s">
        <v>454</v>
      </c>
      <c r="N1440" s="233" t="s">
        <v>454</v>
      </c>
      <c r="O1440" s="3" t="s">
        <v>1894</v>
      </c>
    </row>
    <row r="1441" spans="1:15">
      <c r="A1441">
        <v>244</v>
      </c>
      <c r="B1441">
        <v>1300</v>
      </c>
      <c r="C1441" t="s">
        <v>79</v>
      </c>
      <c r="D1441" t="s">
        <v>195</v>
      </c>
      <c r="E1441" s="232" t="s">
        <v>16695</v>
      </c>
      <c r="F1441" t="s">
        <v>70</v>
      </c>
      <c r="G1441">
        <v>2</v>
      </c>
      <c r="H1441">
        <v>86.983999999999995</v>
      </c>
      <c r="I1441">
        <v>86.477999999999994</v>
      </c>
      <c r="J1441">
        <v>85.814999999999998</v>
      </c>
      <c r="K1441">
        <v>85.343000000000004</v>
      </c>
      <c r="L1441">
        <v>84.344999999999999</v>
      </c>
      <c r="M1441" s="233" t="s">
        <v>454</v>
      </c>
      <c r="N1441" s="233" t="s">
        <v>454</v>
      </c>
      <c r="O1441" s="3" t="s">
        <v>1895</v>
      </c>
    </row>
    <row r="1442" spans="1:15">
      <c r="A1442">
        <v>244</v>
      </c>
      <c r="B1442">
        <v>1283</v>
      </c>
      <c r="C1442" t="s">
        <v>79</v>
      </c>
      <c r="D1442" t="s">
        <v>195</v>
      </c>
      <c r="E1442" s="232" t="s">
        <v>16696</v>
      </c>
      <c r="F1442" t="s">
        <v>70</v>
      </c>
      <c r="G1442">
        <v>2</v>
      </c>
      <c r="H1442">
        <v>86.224000000000004</v>
      </c>
      <c r="I1442">
        <v>85.814999999999998</v>
      </c>
      <c r="J1442">
        <v>85.290999999999997</v>
      </c>
      <c r="K1442">
        <v>84.578999999999994</v>
      </c>
      <c r="L1442">
        <v>84.12</v>
      </c>
      <c r="M1442" s="233" t="s">
        <v>454</v>
      </c>
      <c r="N1442" s="233" t="s">
        <v>454</v>
      </c>
      <c r="O1442" s="3" t="s">
        <v>1896</v>
      </c>
    </row>
    <row r="1443" spans="1:15">
      <c r="A1443">
        <v>244</v>
      </c>
      <c r="B1443">
        <v>1307</v>
      </c>
      <c r="C1443" t="s">
        <v>79</v>
      </c>
      <c r="D1443" t="s">
        <v>195</v>
      </c>
      <c r="E1443" s="232" t="s">
        <v>16697</v>
      </c>
      <c r="F1443" t="s">
        <v>70</v>
      </c>
      <c r="G1443">
        <v>2</v>
      </c>
      <c r="H1443">
        <v>85.841999999999999</v>
      </c>
      <c r="I1443">
        <v>85.522999999999996</v>
      </c>
      <c r="J1443">
        <v>84.884</v>
      </c>
      <c r="K1443">
        <v>84.245000000000005</v>
      </c>
      <c r="L1443">
        <v>83.194000000000003</v>
      </c>
      <c r="M1443" s="233" t="s">
        <v>454</v>
      </c>
      <c r="N1443" s="233" t="s">
        <v>454</v>
      </c>
      <c r="O1443" s="3" t="s">
        <v>1897</v>
      </c>
    </row>
    <row r="1444" spans="1:15">
      <c r="A1444">
        <v>244</v>
      </c>
      <c r="B1444">
        <v>1308</v>
      </c>
      <c r="C1444" t="s">
        <v>79</v>
      </c>
      <c r="D1444" t="s">
        <v>195</v>
      </c>
      <c r="E1444" s="232" t="s">
        <v>16698</v>
      </c>
      <c r="F1444" t="s">
        <v>70</v>
      </c>
      <c r="G1444">
        <v>2</v>
      </c>
      <c r="H1444">
        <v>85.66</v>
      </c>
      <c r="I1444">
        <v>85.338999999999999</v>
      </c>
      <c r="J1444">
        <v>84.682000000000002</v>
      </c>
      <c r="K1444">
        <v>83.954999999999998</v>
      </c>
      <c r="L1444">
        <v>82.79</v>
      </c>
      <c r="M1444" s="233" t="s">
        <v>454</v>
      </c>
      <c r="N1444" s="233" t="s">
        <v>454</v>
      </c>
      <c r="O1444" s="3" t="s">
        <v>1898</v>
      </c>
    </row>
    <row r="1445" spans="1:15">
      <c r="A1445">
        <v>244</v>
      </c>
      <c r="B1445">
        <v>1294</v>
      </c>
      <c r="C1445" t="s">
        <v>79</v>
      </c>
      <c r="D1445" t="s">
        <v>195</v>
      </c>
      <c r="E1445" s="232" t="s">
        <v>16699</v>
      </c>
      <c r="F1445" t="s">
        <v>70</v>
      </c>
      <c r="G1445">
        <v>2</v>
      </c>
      <c r="H1445">
        <v>85.317999999999998</v>
      </c>
      <c r="I1445">
        <v>84.823999999999998</v>
      </c>
      <c r="J1445">
        <v>84.182000000000002</v>
      </c>
      <c r="K1445">
        <v>83.504000000000005</v>
      </c>
      <c r="L1445">
        <v>83.025999999999996</v>
      </c>
      <c r="M1445" s="233" t="s">
        <v>454</v>
      </c>
      <c r="N1445" s="233" t="s">
        <v>454</v>
      </c>
      <c r="O1445" s="3" t="s">
        <v>1899</v>
      </c>
    </row>
    <row r="1446" spans="1:15">
      <c r="A1446">
        <v>245</v>
      </c>
      <c r="B1446">
        <v>1316</v>
      </c>
      <c r="C1446" t="s">
        <v>79</v>
      </c>
      <c r="D1446" t="s">
        <v>195</v>
      </c>
      <c r="E1446" s="232" t="s">
        <v>16700</v>
      </c>
      <c r="F1446" t="s">
        <v>71</v>
      </c>
      <c r="G1446">
        <v>2</v>
      </c>
      <c r="H1446">
        <v>87.744</v>
      </c>
      <c r="I1446">
        <v>87.149000000000001</v>
      </c>
      <c r="J1446">
        <v>86.412999999999997</v>
      </c>
      <c r="K1446">
        <v>85.765000000000001</v>
      </c>
      <c r="L1446">
        <v>85.331999999999994</v>
      </c>
      <c r="M1446" s="233" t="s">
        <v>454</v>
      </c>
      <c r="N1446" s="233" t="s">
        <v>454</v>
      </c>
      <c r="O1446" s="3" t="s">
        <v>1900</v>
      </c>
    </row>
    <row r="1447" spans="1:15">
      <c r="A1447">
        <v>245</v>
      </c>
      <c r="B1447">
        <v>1317</v>
      </c>
      <c r="C1447" t="s">
        <v>79</v>
      </c>
      <c r="D1447" t="s">
        <v>195</v>
      </c>
      <c r="E1447" s="232" t="s">
        <v>16701</v>
      </c>
      <c r="F1447" t="s">
        <v>71</v>
      </c>
      <c r="G1447">
        <v>2</v>
      </c>
      <c r="H1447">
        <v>86.38</v>
      </c>
      <c r="I1447">
        <v>85.947999999999993</v>
      </c>
      <c r="J1447">
        <v>85.399000000000001</v>
      </c>
      <c r="K1447">
        <v>84.616</v>
      </c>
      <c r="L1447">
        <v>84.191999999999993</v>
      </c>
      <c r="M1447" s="233" t="s">
        <v>454</v>
      </c>
      <c r="N1447" s="233" t="s">
        <v>454</v>
      </c>
      <c r="O1447" s="3" t="s">
        <v>1901</v>
      </c>
    </row>
    <row r="1448" spans="1:15">
      <c r="A1448">
        <v>245</v>
      </c>
      <c r="B1448">
        <v>1318</v>
      </c>
      <c r="C1448" t="s">
        <v>79</v>
      </c>
      <c r="D1448" t="s">
        <v>195</v>
      </c>
      <c r="E1448" s="232" t="s">
        <v>16702</v>
      </c>
      <c r="F1448" t="s">
        <v>71</v>
      </c>
      <c r="G1448">
        <v>2</v>
      </c>
      <c r="H1448">
        <v>86.004000000000005</v>
      </c>
      <c r="I1448">
        <v>85.686999999999998</v>
      </c>
      <c r="J1448">
        <v>84.866</v>
      </c>
      <c r="K1448">
        <v>84.076999999999998</v>
      </c>
      <c r="L1448">
        <v>83.655000000000001</v>
      </c>
      <c r="M1448" s="233" t="s">
        <v>454</v>
      </c>
      <c r="N1448" s="233" t="s">
        <v>454</v>
      </c>
      <c r="O1448" s="3" t="s">
        <v>1902</v>
      </c>
    </row>
    <row r="1449" spans="1:15">
      <c r="A1449">
        <v>245</v>
      </c>
      <c r="B1449">
        <v>1314</v>
      </c>
      <c r="C1449" t="s">
        <v>79</v>
      </c>
      <c r="D1449" t="s">
        <v>195</v>
      </c>
      <c r="E1449" s="232" t="s">
        <v>16703</v>
      </c>
      <c r="F1449" t="s">
        <v>71</v>
      </c>
      <c r="G1449">
        <v>2</v>
      </c>
      <c r="H1449">
        <v>85.183000000000007</v>
      </c>
      <c r="I1449">
        <v>84.616</v>
      </c>
      <c r="J1449">
        <v>83.858999999999995</v>
      </c>
      <c r="K1449">
        <v>83.256</v>
      </c>
      <c r="L1449">
        <v>82.863</v>
      </c>
      <c r="M1449" s="233" t="s">
        <v>454</v>
      </c>
      <c r="N1449" s="233" t="s">
        <v>454</v>
      </c>
      <c r="O1449" s="3" t="s">
        <v>1903</v>
      </c>
    </row>
    <row r="1450" spans="1:15">
      <c r="A1450">
        <v>246</v>
      </c>
      <c r="B1450">
        <v>1337</v>
      </c>
      <c r="C1450" t="s">
        <v>79</v>
      </c>
      <c r="D1450" t="s">
        <v>485</v>
      </c>
      <c r="E1450" s="232" t="s">
        <v>16704</v>
      </c>
      <c r="F1450" t="s">
        <v>70</v>
      </c>
      <c r="G1450">
        <v>2</v>
      </c>
      <c r="H1450">
        <v>82.933000000000007</v>
      </c>
      <c r="I1450">
        <v>82.355999999999995</v>
      </c>
      <c r="J1450">
        <v>81.447000000000003</v>
      </c>
      <c r="K1450">
        <v>80.623999999999995</v>
      </c>
      <c r="L1450">
        <v>79.706000000000003</v>
      </c>
      <c r="M1450" s="233" t="s">
        <v>454</v>
      </c>
      <c r="N1450" s="233" t="s">
        <v>454</v>
      </c>
      <c r="O1450" s="3" t="s">
        <v>1904</v>
      </c>
    </row>
    <row r="1451" spans="1:15">
      <c r="A1451">
        <v>248</v>
      </c>
      <c r="B1451">
        <v>1344</v>
      </c>
      <c r="C1451" t="s">
        <v>79</v>
      </c>
      <c r="D1451" t="s">
        <v>485</v>
      </c>
      <c r="E1451" s="232" t="s">
        <v>11631</v>
      </c>
      <c r="F1451" t="s">
        <v>71</v>
      </c>
      <c r="G1451">
        <v>2</v>
      </c>
      <c r="H1451">
        <v>84.016999999999996</v>
      </c>
      <c r="I1451">
        <v>83.456000000000003</v>
      </c>
      <c r="J1451">
        <v>82.655000000000001</v>
      </c>
      <c r="K1451">
        <v>81.935000000000002</v>
      </c>
      <c r="L1451">
        <v>80.814999999999998</v>
      </c>
      <c r="M1451" s="233" t="s">
        <v>454</v>
      </c>
      <c r="N1451" s="233" t="s">
        <v>454</v>
      </c>
      <c r="O1451" s="3" t="s">
        <v>1905</v>
      </c>
    </row>
    <row r="1452" spans="1:15">
      <c r="A1452">
        <v>247</v>
      </c>
      <c r="B1452">
        <v>1360</v>
      </c>
      <c r="C1452" t="s">
        <v>79</v>
      </c>
      <c r="D1452" t="s">
        <v>485</v>
      </c>
      <c r="E1452" s="232" t="s">
        <v>16705</v>
      </c>
      <c r="F1452" t="s">
        <v>71</v>
      </c>
      <c r="G1452">
        <v>2</v>
      </c>
      <c r="H1452">
        <v>82.676000000000002</v>
      </c>
      <c r="I1452">
        <v>82.209000000000003</v>
      </c>
      <c r="J1452">
        <v>81.451999999999998</v>
      </c>
      <c r="K1452">
        <v>80.680000000000007</v>
      </c>
      <c r="L1452">
        <v>79.706999999999994</v>
      </c>
      <c r="M1452" s="233" t="s">
        <v>454</v>
      </c>
      <c r="N1452" s="233" t="s">
        <v>454</v>
      </c>
      <c r="O1452" s="3" t="s">
        <v>1906</v>
      </c>
    </row>
    <row r="1453" spans="1:15">
      <c r="A1453">
        <v>247</v>
      </c>
      <c r="B1453">
        <v>1341</v>
      </c>
      <c r="C1453" t="s">
        <v>79</v>
      </c>
      <c r="D1453" t="s">
        <v>485</v>
      </c>
      <c r="E1453" s="232" t="s">
        <v>8902</v>
      </c>
      <c r="F1453" t="s">
        <v>71</v>
      </c>
      <c r="G1453">
        <v>2</v>
      </c>
      <c r="H1453">
        <v>82.191000000000003</v>
      </c>
      <c r="I1453">
        <v>81.692999999999998</v>
      </c>
      <c r="J1453">
        <v>80.841999999999999</v>
      </c>
      <c r="K1453">
        <v>80.123000000000005</v>
      </c>
      <c r="L1453">
        <v>79.191999999999993</v>
      </c>
      <c r="M1453" s="233" t="s">
        <v>454</v>
      </c>
      <c r="N1453" s="233" t="s">
        <v>454</v>
      </c>
      <c r="O1453" s="3" t="s">
        <v>1907</v>
      </c>
    </row>
    <row r="1454" spans="1:15">
      <c r="A1454">
        <v>248</v>
      </c>
      <c r="B1454">
        <v>1345</v>
      </c>
      <c r="C1454" t="s">
        <v>79</v>
      </c>
      <c r="D1454" t="s">
        <v>485</v>
      </c>
      <c r="E1454" s="232" t="s">
        <v>9799</v>
      </c>
      <c r="F1454" t="s">
        <v>71</v>
      </c>
      <c r="G1454">
        <v>2</v>
      </c>
      <c r="H1454">
        <v>81.054000000000002</v>
      </c>
      <c r="I1454">
        <v>80.623999999999995</v>
      </c>
      <c r="J1454">
        <v>79.983999999999995</v>
      </c>
      <c r="K1454">
        <v>79.265000000000001</v>
      </c>
      <c r="L1454">
        <v>78.191999999999993</v>
      </c>
      <c r="M1454" s="233" t="s">
        <v>454</v>
      </c>
      <c r="N1454" s="233" t="s">
        <v>454</v>
      </c>
      <c r="O1454" s="3" t="s">
        <v>1908</v>
      </c>
    </row>
    <row r="1455" spans="1:15">
      <c r="A1455">
        <v>133</v>
      </c>
      <c r="B1455">
        <v>1375</v>
      </c>
      <c r="C1455" t="s">
        <v>79</v>
      </c>
      <c r="D1455" t="s">
        <v>494</v>
      </c>
      <c r="E1455" s="232" t="s">
        <v>11636</v>
      </c>
      <c r="F1455" t="s">
        <v>70</v>
      </c>
      <c r="G1455">
        <v>2</v>
      </c>
      <c r="H1455">
        <v>871.404</v>
      </c>
      <c r="I1455">
        <v>868.92899999999997</v>
      </c>
      <c r="J1455">
        <v>864.29300000000001</v>
      </c>
      <c r="K1455">
        <v>860.09799999999996</v>
      </c>
      <c r="L1455">
        <v>857.26</v>
      </c>
      <c r="M1455" s="233" t="s">
        <v>532</v>
      </c>
      <c r="N1455" s="233" t="s">
        <v>533</v>
      </c>
      <c r="O1455" s="3" t="s">
        <v>1909</v>
      </c>
    </row>
    <row r="1456" spans="1:15">
      <c r="A1456">
        <v>134</v>
      </c>
      <c r="B1456">
        <v>1364</v>
      </c>
      <c r="C1456" t="s">
        <v>79</v>
      </c>
      <c r="D1456" t="s">
        <v>494</v>
      </c>
      <c r="E1456" s="232" t="s">
        <v>13560</v>
      </c>
      <c r="F1456" t="s">
        <v>70</v>
      </c>
      <c r="G1456">
        <v>2</v>
      </c>
      <c r="H1456">
        <v>812.524</v>
      </c>
      <c r="I1456">
        <v>809.928</v>
      </c>
      <c r="J1456">
        <v>805.90800000000002</v>
      </c>
      <c r="K1456">
        <v>801.73699999999997</v>
      </c>
      <c r="L1456">
        <v>799.221</v>
      </c>
      <c r="M1456" s="233" t="s">
        <v>532</v>
      </c>
      <c r="N1456" s="233" t="s">
        <v>533</v>
      </c>
      <c r="O1456" s="3" t="s">
        <v>1910</v>
      </c>
    </row>
    <row r="1457" spans="1:15">
      <c r="A1457">
        <v>134</v>
      </c>
      <c r="B1457">
        <v>1366</v>
      </c>
      <c r="C1457" t="s">
        <v>79</v>
      </c>
      <c r="D1457" t="s">
        <v>494</v>
      </c>
      <c r="E1457" s="232" t="s">
        <v>13580</v>
      </c>
      <c r="F1457" t="s">
        <v>70</v>
      </c>
      <c r="G1457">
        <v>2</v>
      </c>
      <c r="H1457">
        <v>811.23199999999997</v>
      </c>
      <c r="I1457">
        <v>809.03</v>
      </c>
      <c r="J1457">
        <v>805.60799999999995</v>
      </c>
      <c r="K1457">
        <v>802.03099999999995</v>
      </c>
      <c r="L1457">
        <v>799.69799999999998</v>
      </c>
      <c r="M1457" s="233" t="s">
        <v>532</v>
      </c>
      <c r="N1457" s="233" t="s">
        <v>533</v>
      </c>
      <c r="O1457" s="3" t="s">
        <v>1911</v>
      </c>
    </row>
    <row r="1458" spans="1:15">
      <c r="A1458">
        <v>134</v>
      </c>
      <c r="B1458">
        <v>1367</v>
      </c>
      <c r="C1458" t="s">
        <v>79</v>
      </c>
      <c r="D1458" t="s">
        <v>494</v>
      </c>
      <c r="E1458" s="232" t="s">
        <v>13585</v>
      </c>
      <c r="F1458" t="s">
        <v>70</v>
      </c>
      <c r="G1458">
        <v>2</v>
      </c>
      <c r="H1458">
        <v>811.23199999999997</v>
      </c>
      <c r="I1458">
        <v>809.03</v>
      </c>
      <c r="J1458">
        <v>804.6</v>
      </c>
      <c r="K1458">
        <v>801.05499999999995</v>
      </c>
      <c r="L1458">
        <v>797.93899999999996</v>
      </c>
      <c r="M1458" s="233" t="s">
        <v>532</v>
      </c>
      <c r="N1458" s="233" t="s">
        <v>533</v>
      </c>
      <c r="O1458" s="3" t="s">
        <v>1912</v>
      </c>
    </row>
    <row r="1459" spans="1:15">
      <c r="A1459">
        <v>134</v>
      </c>
      <c r="B1459">
        <v>1365</v>
      </c>
      <c r="C1459" t="s">
        <v>79</v>
      </c>
      <c r="D1459" t="s">
        <v>494</v>
      </c>
      <c r="E1459" s="232" t="s">
        <v>13687</v>
      </c>
      <c r="F1459" t="s">
        <v>70</v>
      </c>
      <c r="G1459">
        <v>2</v>
      </c>
      <c r="H1459">
        <v>804.96199999999999</v>
      </c>
      <c r="I1459">
        <v>803.07299999999998</v>
      </c>
      <c r="J1459">
        <v>799.44600000000003</v>
      </c>
      <c r="K1459">
        <v>794.80100000000004</v>
      </c>
      <c r="L1459">
        <v>792.15099999999995</v>
      </c>
      <c r="M1459" s="233" t="s">
        <v>532</v>
      </c>
      <c r="N1459" s="233" t="s">
        <v>533</v>
      </c>
      <c r="O1459" s="3" t="s">
        <v>1913</v>
      </c>
    </row>
    <row r="1460" spans="1:15">
      <c r="A1460">
        <v>133</v>
      </c>
      <c r="B1460">
        <v>1376</v>
      </c>
      <c r="C1460" t="s">
        <v>79</v>
      </c>
      <c r="D1460" t="s">
        <v>494</v>
      </c>
      <c r="E1460" s="232" t="s">
        <v>13734</v>
      </c>
      <c r="F1460" t="s">
        <v>70</v>
      </c>
      <c r="G1460">
        <v>2</v>
      </c>
      <c r="H1460">
        <v>808.59799999999996</v>
      </c>
      <c r="I1460">
        <v>806.55899999999997</v>
      </c>
      <c r="J1460">
        <v>802.87400000000002</v>
      </c>
      <c r="K1460">
        <v>798.92200000000003</v>
      </c>
      <c r="L1460">
        <v>796.21400000000006</v>
      </c>
      <c r="M1460" s="233" t="s">
        <v>532</v>
      </c>
      <c r="N1460" s="233" t="s">
        <v>533</v>
      </c>
      <c r="O1460" s="3" t="s">
        <v>1914</v>
      </c>
    </row>
    <row r="1461" spans="1:15">
      <c r="A1461">
        <v>137</v>
      </c>
      <c r="B1461">
        <v>1378</v>
      </c>
      <c r="C1461" t="s">
        <v>79</v>
      </c>
      <c r="D1461" t="s">
        <v>494</v>
      </c>
      <c r="E1461" s="232" t="s">
        <v>16706</v>
      </c>
      <c r="F1461" t="s">
        <v>71</v>
      </c>
      <c r="G1461">
        <v>2</v>
      </c>
      <c r="H1461">
        <v>827.29100000000005</v>
      </c>
      <c r="I1461">
        <v>825.41200000000003</v>
      </c>
      <c r="J1461">
        <v>821.79700000000003</v>
      </c>
      <c r="K1461">
        <v>818.46699999999998</v>
      </c>
      <c r="L1461">
        <v>816.34199999999998</v>
      </c>
      <c r="M1461" s="233" t="s">
        <v>532</v>
      </c>
      <c r="N1461" s="233" t="s">
        <v>533</v>
      </c>
      <c r="O1461" s="3" t="s">
        <v>1915</v>
      </c>
    </row>
    <row r="1462" spans="1:15">
      <c r="A1462">
        <v>138</v>
      </c>
      <c r="B1462">
        <v>1380</v>
      </c>
      <c r="C1462" t="s">
        <v>79</v>
      </c>
      <c r="D1462" t="s">
        <v>494</v>
      </c>
      <c r="E1462" s="232" t="s">
        <v>16707</v>
      </c>
      <c r="F1462" t="s">
        <v>71</v>
      </c>
      <c r="G1462">
        <v>2</v>
      </c>
      <c r="H1462">
        <v>828.32500000000005</v>
      </c>
      <c r="I1462">
        <v>825.69100000000003</v>
      </c>
      <c r="J1462">
        <v>820.78499999999997</v>
      </c>
      <c r="K1462">
        <v>816.62599999999998</v>
      </c>
      <c r="L1462">
        <v>813.65700000000004</v>
      </c>
      <c r="M1462" s="233" t="s">
        <v>532</v>
      </c>
      <c r="N1462" s="233" t="s">
        <v>533</v>
      </c>
      <c r="O1462" s="3" t="s">
        <v>1916</v>
      </c>
    </row>
    <row r="1463" spans="1:15">
      <c r="A1463">
        <v>137</v>
      </c>
      <c r="B1463">
        <v>1383</v>
      </c>
      <c r="C1463" t="s">
        <v>79</v>
      </c>
      <c r="D1463" t="s">
        <v>494</v>
      </c>
      <c r="E1463" s="232" t="s">
        <v>13322</v>
      </c>
      <c r="F1463" t="s">
        <v>71</v>
      </c>
      <c r="G1463">
        <v>2</v>
      </c>
      <c r="H1463">
        <v>822.21100000000001</v>
      </c>
      <c r="I1463">
        <v>819.28800000000001</v>
      </c>
      <c r="J1463">
        <v>815.38300000000004</v>
      </c>
      <c r="K1463">
        <v>811.54899999999998</v>
      </c>
      <c r="L1463">
        <v>809.10400000000004</v>
      </c>
      <c r="M1463" s="233" t="s">
        <v>532</v>
      </c>
      <c r="N1463" s="233" t="s">
        <v>533</v>
      </c>
      <c r="O1463" s="3" t="s">
        <v>1917</v>
      </c>
    </row>
    <row r="1464" spans="1:15">
      <c r="A1464">
        <v>262</v>
      </c>
      <c r="B1464">
        <v>1400</v>
      </c>
      <c r="C1464" t="s">
        <v>79</v>
      </c>
      <c r="D1464" t="s">
        <v>496</v>
      </c>
      <c r="E1464" s="232" t="s">
        <v>12753</v>
      </c>
      <c r="F1464" t="s">
        <v>71</v>
      </c>
      <c r="G1464">
        <v>2</v>
      </c>
      <c r="H1464">
        <v>633.76</v>
      </c>
      <c r="I1464">
        <v>631.80100000000004</v>
      </c>
      <c r="J1464">
        <v>629.01099999999997</v>
      </c>
      <c r="K1464">
        <v>625.55700000000002</v>
      </c>
      <c r="L1464">
        <v>623.154</v>
      </c>
      <c r="M1464" s="233" t="s">
        <v>530</v>
      </c>
      <c r="N1464" s="233" t="s">
        <v>531</v>
      </c>
      <c r="O1464" s="3" t="s">
        <v>1918</v>
      </c>
    </row>
    <row r="1465" spans="1:15">
      <c r="A1465">
        <v>186</v>
      </c>
      <c r="B1465">
        <v>1432</v>
      </c>
      <c r="C1465" t="s">
        <v>79</v>
      </c>
      <c r="D1465" t="s">
        <v>197</v>
      </c>
      <c r="E1465" s="232" t="s">
        <v>8633</v>
      </c>
      <c r="F1465" t="s">
        <v>70</v>
      </c>
      <c r="G1465">
        <v>3</v>
      </c>
      <c r="H1465">
        <v>426.31900000000002</v>
      </c>
      <c r="I1465">
        <v>422.81</v>
      </c>
      <c r="J1465">
        <v>416.44900000000001</v>
      </c>
      <c r="K1465">
        <v>409.39800000000002</v>
      </c>
      <c r="L1465">
        <v>401.03</v>
      </c>
      <c r="M1465" s="233" t="s">
        <v>454</v>
      </c>
      <c r="N1465" s="233" t="s">
        <v>454</v>
      </c>
      <c r="O1465" s="3" t="s">
        <v>1919</v>
      </c>
    </row>
    <row r="1466" spans="1:15">
      <c r="A1466">
        <v>187</v>
      </c>
      <c r="B1466">
        <v>1403</v>
      </c>
      <c r="C1466" t="s">
        <v>79</v>
      </c>
      <c r="D1466" t="s">
        <v>197</v>
      </c>
      <c r="E1466" s="232" t="s">
        <v>8856</v>
      </c>
      <c r="F1466" t="s">
        <v>70</v>
      </c>
      <c r="G1466">
        <v>3</v>
      </c>
      <c r="H1466">
        <v>409.78399999999999</v>
      </c>
      <c r="I1466">
        <v>406.81099999999998</v>
      </c>
      <c r="J1466">
        <v>400.34399999999999</v>
      </c>
      <c r="K1466">
        <v>393.745</v>
      </c>
      <c r="L1466">
        <v>386.44600000000003</v>
      </c>
      <c r="M1466" s="233" t="s">
        <v>454</v>
      </c>
      <c r="N1466" s="233" t="s">
        <v>454</v>
      </c>
      <c r="O1466" s="3" t="s">
        <v>1920</v>
      </c>
    </row>
    <row r="1467" spans="1:15">
      <c r="A1467">
        <v>187</v>
      </c>
      <c r="B1467">
        <v>1443</v>
      </c>
      <c r="C1467" t="s">
        <v>79</v>
      </c>
      <c r="D1467" t="s">
        <v>197</v>
      </c>
      <c r="E1467" s="232" t="s">
        <v>11127</v>
      </c>
      <c r="F1467" t="s">
        <v>70</v>
      </c>
      <c r="G1467">
        <v>3</v>
      </c>
      <c r="H1467">
        <v>400.88400000000001</v>
      </c>
      <c r="I1467">
        <v>397.714</v>
      </c>
      <c r="J1467">
        <v>391.74200000000002</v>
      </c>
      <c r="K1467">
        <v>385.90499999999997</v>
      </c>
      <c r="L1467">
        <v>377.87200000000001</v>
      </c>
      <c r="M1467" s="233" t="s">
        <v>454</v>
      </c>
      <c r="N1467" s="233" t="s">
        <v>454</v>
      </c>
      <c r="O1467" s="3" t="s">
        <v>1921</v>
      </c>
    </row>
    <row r="1468" spans="1:15">
      <c r="A1468">
        <v>186</v>
      </c>
      <c r="B1468">
        <v>1401</v>
      </c>
      <c r="C1468" t="s">
        <v>79</v>
      </c>
      <c r="D1468" t="s">
        <v>197</v>
      </c>
      <c r="E1468" s="232" t="s">
        <v>12598</v>
      </c>
      <c r="F1468" t="s">
        <v>70</v>
      </c>
      <c r="G1468">
        <v>3</v>
      </c>
      <c r="H1468">
        <v>407.94600000000003</v>
      </c>
      <c r="I1468">
        <v>404.82900000000001</v>
      </c>
      <c r="J1468">
        <v>398.60199999999998</v>
      </c>
      <c r="K1468">
        <v>392.50799999999998</v>
      </c>
      <c r="L1468">
        <v>383.91199999999998</v>
      </c>
      <c r="M1468" s="233" t="s">
        <v>454</v>
      </c>
      <c r="N1468" s="233" t="s">
        <v>454</v>
      </c>
      <c r="O1468" s="3" t="s">
        <v>1922</v>
      </c>
    </row>
    <row r="1469" spans="1:15">
      <c r="A1469">
        <v>187</v>
      </c>
      <c r="B1469">
        <v>1406</v>
      </c>
      <c r="C1469" t="s">
        <v>79</v>
      </c>
      <c r="D1469" t="s">
        <v>197</v>
      </c>
      <c r="E1469" s="232" t="s">
        <v>12662</v>
      </c>
      <c r="F1469" t="s">
        <v>70</v>
      </c>
      <c r="G1469">
        <v>3</v>
      </c>
      <c r="H1469">
        <v>396.084</v>
      </c>
      <c r="I1469">
        <v>393.53199999999998</v>
      </c>
      <c r="J1469">
        <v>387.69099999999997</v>
      </c>
      <c r="K1469">
        <v>381.12400000000002</v>
      </c>
      <c r="L1469">
        <v>373.05</v>
      </c>
      <c r="M1469" s="233" t="s">
        <v>454</v>
      </c>
      <c r="N1469" s="233" t="s">
        <v>454</v>
      </c>
      <c r="O1469" s="3" t="s">
        <v>1923</v>
      </c>
    </row>
    <row r="1470" spans="1:15">
      <c r="A1470">
        <v>187</v>
      </c>
      <c r="B1470">
        <v>1402</v>
      </c>
      <c r="C1470" t="s">
        <v>79</v>
      </c>
      <c r="D1470" t="s">
        <v>197</v>
      </c>
      <c r="E1470" s="232" t="s">
        <v>12684</v>
      </c>
      <c r="F1470" t="s">
        <v>70</v>
      </c>
      <c r="G1470">
        <v>3</v>
      </c>
      <c r="H1470">
        <v>395.613</v>
      </c>
      <c r="I1470">
        <v>392.73200000000003</v>
      </c>
      <c r="J1470">
        <v>387.04899999999998</v>
      </c>
      <c r="K1470">
        <v>381.07100000000003</v>
      </c>
      <c r="L1470">
        <v>372.81700000000001</v>
      </c>
      <c r="M1470" s="233" t="s">
        <v>454</v>
      </c>
      <c r="N1470" s="233" t="s">
        <v>454</v>
      </c>
      <c r="O1470" s="3" t="s">
        <v>1924</v>
      </c>
    </row>
    <row r="1471" spans="1:15">
      <c r="A1471">
        <v>186</v>
      </c>
      <c r="B1471">
        <v>1424</v>
      </c>
      <c r="C1471" t="s">
        <v>79</v>
      </c>
      <c r="D1471" t="s">
        <v>197</v>
      </c>
      <c r="E1471" s="232" t="s">
        <v>12195</v>
      </c>
      <c r="F1471" t="s">
        <v>70</v>
      </c>
      <c r="G1471">
        <v>3</v>
      </c>
      <c r="H1471">
        <v>403.89600000000002</v>
      </c>
      <c r="I1471">
        <v>401.03</v>
      </c>
      <c r="J1471">
        <v>395.15100000000001</v>
      </c>
      <c r="K1471">
        <v>388.22500000000002</v>
      </c>
      <c r="L1471">
        <v>380.22399999999999</v>
      </c>
      <c r="M1471" s="233" t="s">
        <v>454</v>
      </c>
      <c r="N1471" s="233" t="s">
        <v>454</v>
      </c>
      <c r="O1471" s="3" t="s">
        <v>1925</v>
      </c>
    </row>
    <row r="1472" spans="1:15">
      <c r="A1472">
        <v>187</v>
      </c>
      <c r="B1472">
        <v>1430</v>
      </c>
      <c r="C1472" t="s">
        <v>79</v>
      </c>
      <c r="D1472" t="s">
        <v>197</v>
      </c>
      <c r="E1472" s="232" t="s">
        <v>8283</v>
      </c>
      <c r="F1472" t="s">
        <v>70</v>
      </c>
      <c r="G1472">
        <v>3</v>
      </c>
      <c r="H1472">
        <v>393.53199999999998</v>
      </c>
      <c r="I1472">
        <v>390.399</v>
      </c>
      <c r="J1472">
        <v>385.07100000000003</v>
      </c>
      <c r="K1472">
        <v>378.42700000000002</v>
      </c>
      <c r="L1472">
        <v>370.87099999999998</v>
      </c>
      <c r="M1472" s="233" t="s">
        <v>454</v>
      </c>
      <c r="N1472" s="233" t="s">
        <v>454</v>
      </c>
      <c r="O1472" s="3" t="s">
        <v>1926</v>
      </c>
    </row>
    <row r="1473" spans="1:15">
      <c r="A1473">
        <v>186</v>
      </c>
      <c r="B1473">
        <v>1441</v>
      </c>
      <c r="C1473" t="s">
        <v>79</v>
      </c>
      <c r="D1473" t="s">
        <v>197</v>
      </c>
      <c r="E1473" s="232" t="s">
        <v>9544</v>
      </c>
      <c r="F1473" t="s">
        <v>70</v>
      </c>
      <c r="G1473">
        <v>3</v>
      </c>
      <c r="H1473">
        <v>402.43</v>
      </c>
      <c r="I1473">
        <v>399.70699999999999</v>
      </c>
      <c r="J1473">
        <v>393.89400000000001</v>
      </c>
      <c r="K1473">
        <v>386.87200000000001</v>
      </c>
      <c r="L1473">
        <v>379.42899999999997</v>
      </c>
      <c r="M1473" s="233" t="s">
        <v>454</v>
      </c>
      <c r="N1473" s="233" t="s">
        <v>454</v>
      </c>
      <c r="O1473" s="3" t="s">
        <v>1927</v>
      </c>
    </row>
    <row r="1474" spans="1:15">
      <c r="A1474">
        <v>187</v>
      </c>
      <c r="B1474">
        <v>1416</v>
      </c>
      <c r="C1474" t="s">
        <v>79</v>
      </c>
      <c r="D1474" t="s">
        <v>197</v>
      </c>
      <c r="E1474" s="232" t="s">
        <v>8835</v>
      </c>
      <c r="F1474" t="s">
        <v>70</v>
      </c>
      <c r="G1474">
        <v>3</v>
      </c>
      <c r="H1474">
        <v>391.66199999999998</v>
      </c>
      <c r="I1474">
        <v>388.68400000000003</v>
      </c>
      <c r="J1474">
        <v>383.49299999999999</v>
      </c>
      <c r="K1474">
        <v>376.642</v>
      </c>
      <c r="L1474">
        <v>369.47800000000001</v>
      </c>
      <c r="M1474" s="233" t="s">
        <v>454</v>
      </c>
      <c r="N1474" s="233" t="s">
        <v>454</v>
      </c>
      <c r="O1474" s="3" t="s">
        <v>1928</v>
      </c>
    </row>
    <row r="1475" spans="1:15">
      <c r="A1475">
        <v>187</v>
      </c>
      <c r="B1475">
        <v>1431</v>
      </c>
      <c r="C1475" t="s">
        <v>79</v>
      </c>
      <c r="D1475" t="s">
        <v>197</v>
      </c>
      <c r="E1475" s="232" t="s">
        <v>7359</v>
      </c>
      <c r="F1475" t="s">
        <v>70</v>
      </c>
      <c r="G1475">
        <v>3</v>
      </c>
      <c r="H1475">
        <v>389.339</v>
      </c>
      <c r="I1475">
        <v>386.93599999999998</v>
      </c>
      <c r="J1475">
        <v>381.09100000000001</v>
      </c>
      <c r="K1475">
        <v>374.14499999999998</v>
      </c>
      <c r="L1475">
        <v>367.78</v>
      </c>
      <c r="M1475" s="233" t="s">
        <v>454</v>
      </c>
      <c r="N1475" s="233" t="s">
        <v>454</v>
      </c>
      <c r="O1475" s="3" t="s">
        <v>1929</v>
      </c>
    </row>
    <row r="1476" spans="1:15">
      <c r="A1476">
        <v>187</v>
      </c>
      <c r="B1476">
        <v>1444</v>
      </c>
      <c r="C1476" t="s">
        <v>79</v>
      </c>
      <c r="D1476" t="s">
        <v>197</v>
      </c>
      <c r="E1476" s="232" t="s">
        <v>12865</v>
      </c>
      <c r="F1476" t="s">
        <v>70</v>
      </c>
      <c r="G1476">
        <v>3</v>
      </c>
      <c r="H1476">
        <v>388.63099999999997</v>
      </c>
      <c r="I1476">
        <v>385.90499999999997</v>
      </c>
      <c r="J1476">
        <v>379.79899999999998</v>
      </c>
      <c r="K1476">
        <v>373.27499999999998</v>
      </c>
      <c r="L1476">
        <v>367.065</v>
      </c>
      <c r="M1476" s="233" t="s">
        <v>454</v>
      </c>
      <c r="N1476" s="233" t="s">
        <v>454</v>
      </c>
      <c r="O1476" s="3" t="s">
        <v>1930</v>
      </c>
    </row>
    <row r="1477" spans="1:15">
      <c r="A1477">
        <v>186</v>
      </c>
      <c r="B1477">
        <v>1459</v>
      </c>
      <c r="C1477" t="s">
        <v>79</v>
      </c>
      <c r="D1477" t="s">
        <v>197</v>
      </c>
      <c r="E1477" s="232" t="s">
        <v>8742</v>
      </c>
      <c r="F1477" t="s">
        <v>70</v>
      </c>
      <c r="G1477">
        <v>3</v>
      </c>
      <c r="H1477">
        <v>397.16699999999997</v>
      </c>
      <c r="I1477">
        <v>394.56900000000002</v>
      </c>
      <c r="J1477">
        <v>388.14499999999998</v>
      </c>
      <c r="K1477">
        <v>381.637</v>
      </c>
      <c r="L1477">
        <v>374.84500000000003</v>
      </c>
      <c r="M1477" s="233" t="s">
        <v>454</v>
      </c>
      <c r="N1477" s="233" t="s">
        <v>454</v>
      </c>
      <c r="O1477" s="3" t="s">
        <v>1931</v>
      </c>
    </row>
    <row r="1478" spans="1:15">
      <c r="A1478">
        <v>187</v>
      </c>
      <c r="B1478">
        <v>1412</v>
      </c>
      <c r="C1478" t="s">
        <v>79</v>
      </c>
      <c r="D1478" t="s">
        <v>197</v>
      </c>
      <c r="E1478" s="232" t="s">
        <v>12986</v>
      </c>
      <c r="F1478" t="s">
        <v>70</v>
      </c>
      <c r="G1478">
        <v>3</v>
      </c>
      <c r="H1478">
        <v>385.90499999999997</v>
      </c>
      <c r="I1478">
        <v>382.88400000000001</v>
      </c>
      <c r="J1478">
        <v>376.67500000000001</v>
      </c>
      <c r="K1478">
        <v>370.87099999999998</v>
      </c>
      <c r="L1478">
        <v>364.41399999999999</v>
      </c>
      <c r="M1478" s="233" t="s">
        <v>454</v>
      </c>
      <c r="N1478" s="233" t="s">
        <v>454</v>
      </c>
      <c r="O1478" s="3" t="s">
        <v>1932</v>
      </c>
    </row>
    <row r="1479" spans="1:15">
      <c r="A1479">
        <v>186</v>
      </c>
      <c r="B1479">
        <v>1408</v>
      </c>
      <c r="C1479" t="s">
        <v>79</v>
      </c>
      <c r="D1479" t="s">
        <v>197</v>
      </c>
      <c r="E1479" s="232" t="s">
        <v>13024</v>
      </c>
      <c r="F1479" t="s">
        <v>70</v>
      </c>
      <c r="G1479">
        <v>3</v>
      </c>
      <c r="H1479">
        <v>394.32100000000003</v>
      </c>
      <c r="I1479">
        <v>391.59899999999999</v>
      </c>
      <c r="J1479">
        <v>385.08</v>
      </c>
      <c r="K1479">
        <v>379.161</v>
      </c>
      <c r="L1479">
        <v>372.65899999999999</v>
      </c>
      <c r="M1479" s="233" t="s">
        <v>454</v>
      </c>
      <c r="N1479" s="233" t="s">
        <v>454</v>
      </c>
      <c r="O1479" s="3" t="s">
        <v>1933</v>
      </c>
    </row>
    <row r="1480" spans="1:15">
      <c r="A1480">
        <v>187</v>
      </c>
      <c r="B1480">
        <v>1419</v>
      </c>
      <c r="C1480" t="s">
        <v>79</v>
      </c>
      <c r="D1480" t="s">
        <v>197</v>
      </c>
      <c r="E1480" s="232" t="s">
        <v>551</v>
      </c>
      <c r="F1480" t="s">
        <v>70</v>
      </c>
      <c r="G1480">
        <v>3</v>
      </c>
      <c r="H1480">
        <v>385.07100000000003</v>
      </c>
      <c r="I1480">
        <v>382.12599999999998</v>
      </c>
      <c r="J1480">
        <v>376.279</v>
      </c>
      <c r="K1480">
        <v>370.53300000000002</v>
      </c>
      <c r="L1480">
        <v>364.29399999999998</v>
      </c>
      <c r="M1480" s="233" t="s">
        <v>454</v>
      </c>
      <c r="N1480" s="233" t="s">
        <v>454</v>
      </c>
      <c r="O1480" s="3" t="s">
        <v>1934</v>
      </c>
    </row>
    <row r="1481" spans="1:15">
      <c r="A1481">
        <v>186</v>
      </c>
      <c r="B1481">
        <v>1407</v>
      </c>
      <c r="C1481" t="s">
        <v>79</v>
      </c>
      <c r="D1481" t="s">
        <v>197</v>
      </c>
      <c r="E1481" s="232" t="s">
        <v>16708</v>
      </c>
      <c r="F1481" t="s">
        <v>70</v>
      </c>
      <c r="G1481">
        <v>3</v>
      </c>
      <c r="H1481">
        <v>393.89400000000001</v>
      </c>
      <c r="I1481">
        <v>390.495</v>
      </c>
      <c r="J1481">
        <v>384.86200000000002</v>
      </c>
      <c r="K1481">
        <v>378.64100000000002</v>
      </c>
      <c r="L1481">
        <v>371.839</v>
      </c>
      <c r="M1481" s="233" t="s">
        <v>454</v>
      </c>
      <c r="N1481" s="233" t="s">
        <v>454</v>
      </c>
      <c r="O1481" s="3" t="s">
        <v>1935</v>
      </c>
    </row>
    <row r="1482" spans="1:15">
      <c r="A1482">
        <v>186</v>
      </c>
      <c r="B1482">
        <v>1442</v>
      </c>
      <c r="C1482" t="s">
        <v>79</v>
      </c>
      <c r="D1482" t="s">
        <v>197</v>
      </c>
      <c r="E1482" s="232" t="s">
        <v>16709</v>
      </c>
      <c r="F1482" t="s">
        <v>70</v>
      </c>
      <c r="G1482">
        <v>3</v>
      </c>
      <c r="H1482">
        <v>392.32799999999997</v>
      </c>
      <c r="I1482">
        <v>388.86700000000002</v>
      </c>
      <c r="J1482">
        <v>382.49299999999999</v>
      </c>
      <c r="K1482">
        <v>376.87799999999999</v>
      </c>
      <c r="L1482">
        <v>370.56799999999998</v>
      </c>
      <c r="M1482" s="233" t="s">
        <v>454</v>
      </c>
      <c r="N1482" s="233" t="s">
        <v>454</v>
      </c>
      <c r="O1482" s="3" t="s">
        <v>1936</v>
      </c>
    </row>
    <row r="1483" spans="1:15">
      <c r="A1483">
        <v>186</v>
      </c>
      <c r="B1483">
        <v>1413</v>
      </c>
      <c r="C1483" t="s">
        <v>79</v>
      </c>
      <c r="D1483" t="s">
        <v>197</v>
      </c>
      <c r="E1483" s="232" t="s">
        <v>13133</v>
      </c>
      <c r="F1483" t="s">
        <v>70</v>
      </c>
      <c r="G1483">
        <v>3</v>
      </c>
      <c r="H1483">
        <v>391.65199999999999</v>
      </c>
      <c r="I1483">
        <v>388.39</v>
      </c>
      <c r="J1483">
        <v>382.23500000000001</v>
      </c>
      <c r="K1483">
        <v>376.82499999999999</v>
      </c>
      <c r="L1483">
        <v>370.548</v>
      </c>
      <c r="M1483" s="233" t="s">
        <v>454</v>
      </c>
      <c r="N1483" s="233" t="s">
        <v>454</v>
      </c>
      <c r="O1483" s="3" t="s">
        <v>1937</v>
      </c>
    </row>
    <row r="1484" spans="1:15">
      <c r="A1484">
        <v>186</v>
      </c>
      <c r="B1484">
        <v>1429</v>
      </c>
      <c r="C1484" t="s">
        <v>79</v>
      </c>
      <c r="D1484" t="s">
        <v>197</v>
      </c>
      <c r="E1484" s="232" t="s">
        <v>16710</v>
      </c>
      <c r="F1484" t="s">
        <v>70</v>
      </c>
      <c r="G1484">
        <v>3</v>
      </c>
      <c r="H1484">
        <v>391.65199999999999</v>
      </c>
      <c r="I1484">
        <v>388.39</v>
      </c>
      <c r="J1484">
        <v>382.23500000000001</v>
      </c>
      <c r="K1484">
        <v>376.82499999999999</v>
      </c>
      <c r="L1484">
        <v>370.548</v>
      </c>
      <c r="M1484" s="233" t="s">
        <v>454</v>
      </c>
      <c r="N1484" s="233" t="s">
        <v>454</v>
      </c>
      <c r="O1484" s="3" t="s">
        <v>1938</v>
      </c>
    </row>
    <row r="1485" spans="1:15">
      <c r="A1485">
        <v>186</v>
      </c>
      <c r="B1485">
        <v>1414</v>
      </c>
      <c r="C1485" t="s">
        <v>79</v>
      </c>
      <c r="D1485" t="s">
        <v>197</v>
      </c>
      <c r="E1485" s="232" t="s">
        <v>16711</v>
      </c>
      <c r="F1485" t="s">
        <v>70</v>
      </c>
      <c r="G1485">
        <v>3</v>
      </c>
      <c r="H1485">
        <v>390.00400000000002</v>
      </c>
      <c r="I1485">
        <v>386.69200000000001</v>
      </c>
      <c r="J1485">
        <v>380.66199999999998</v>
      </c>
      <c r="K1485">
        <v>375.47300000000001</v>
      </c>
      <c r="L1485">
        <v>369.05099999999999</v>
      </c>
      <c r="M1485" s="233" t="s">
        <v>454</v>
      </c>
      <c r="N1485" s="233" t="s">
        <v>454</v>
      </c>
      <c r="O1485" s="3" t="s">
        <v>1939</v>
      </c>
    </row>
    <row r="1486" spans="1:15">
      <c r="A1486">
        <v>187</v>
      </c>
      <c r="B1486">
        <v>1420</v>
      </c>
      <c r="C1486" t="s">
        <v>79</v>
      </c>
      <c r="D1486" t="s">
        <v>197</v>
      </c>
      <c r="E1486" s="232" t="s">
        <v>13216</v>
      </c>
      <c r="F1486" t="s">
        <v>70</v>
      </c>
      <c r="G1486">
        <v>3</v>
      </c>
      <c r="H1486">
        <v>379.089</v>
      </c>
      <c r="I1486">
        <v>376.279</v>
      </c>
      <c r="J1486">
        <v>370.87099999999998</v>
      </c>
      <c r="K1486">
        <v>365.58199999999999</v>
      </c>
      <c r="L1486">
        <v>359.291</v>
      </c>
      <c r="M1486" s="233" t="s">
        <v>454</v>
      </c>
      <c r="N1486" s="233" t="s">
        <v>454</v>
      </c>
      <c r="O1486" s="3" t="s">
        <v>1940</v>
      </c>
    </row>
    <row r="1487" spans="1:15">
      <c r="A1487">
        <v>186</v>
      </c>
      <c r="B1487">
        <v>1440</v>
      </c>
      <c r="C1487" t="s">
        <v>79</v>
      </c>
      <c r="D1487" t="s">
        <v>197</v>
      </c>
      <c r="E1487" s="232" t="s">
        <v>13387</v>
      </c>
      <c r="F1487" t="s">
        <v>70</v>
      </c>
      <c r="G1487">
        <v>3</v>
      </c>
      <c r="H1487">
        <v>379.642</v>
      </c>
      <c r="I1487">
        <v>377.38400000000001</v>
      </c>
      <c r="J1487">
        <v>372.65899999999999</v>
      </c>
      <c r="K1487">
        <v>367.33600000000001</v>
      </c>
      <c r="L1487">
        <v>360.19200000000001</v>
      </c>
      <c r="M1487" s="233" t="s">
        <v>454</v>
      </c>
      <c r="N1487" s="233" t="s">
        <v>454</v>
      </c>
      <c r="O1487" s="3" t="s">
        <v>1941</v>
      </c>
    </row>
    <row r="1488" spans="1:15">
      <c r="A1488">
        <v>187</v>
      </c>
      <c r="B1488">
        <v>1426</v>
      </c>
      <c r="C1488" t="s">
        <v>79</v>
      </c>
      <c r="D1488" t="s">
        <v>197</v>
      </c>
      <c r="E1488" s="232" t="s">
        <v>8538</v>
      </c>
      <c r="F1488" t="s">
        <v>70</v>
      </c>
      <c r="G1488">
        <v>3</v>
      </c>
      <c r="H1488">
        <v>368.43299999999999</v>
      </c>
      <c r="I1488">
        <v>366.48200000000003</v>
      </c>
      <c r="J1488">
        <v>361.89600000000002</v>
      </c>
      <c r="K1488">
        <v>356.34</v>
      </c>
      <c r="L1488">
        <v>350.387</v>
      </c>
      <c r="M1488" s="233" t="s">
        <v>454</v>
      </c>
      <c r="N1488" s="233" t="s">
        <v>454</v>
      </c>
      <c r="O1488" s="3" t="s">
        <v>1942</v>
      </c>
    </row>
    <row r="1489" spans="1:15">
      <c r="A1489">
        <v>185</v>
      </c>
      <c r="B1489">
        <v>1433</v>
      </c>
      <c r="C1489" t="s">
        <v>79</v>
      </c>
      <c r="D1489" t="s">
        <v>197</v>
      </c>
      <c r="E1489" s="232" t="s">
        <v>8337</v>
      </c>
      <c r="F1489" t="s">
        <v>71</v>
      </c>
      <c r="G1489">
        <v>3</v>
      </c>
      <c r="H1489">
        <v>420.01400000000001</v>
      </c>
      <c r="I1489">
        <v>417.07499999999999</v>
      </c>
      <c r="J1489">
        <v>412.524</v>
      </c>
      <c r="K1489">
        <v>407.02600000000001</v>
      </c>
      <c r="L1489">
        <v>400.33</v>
      </c>
      <c r="M1489" s="233" t="s">
        <v>454</v>
      </c>
      <c r="N1489" s="233" t="s">
        <v>454</v>
      </c>
      <c r="O1489" s="3" t="s">
        <v>1943</v>
      </c>
    </row>
    <row r="1490" spans="1:15">
      <c r="A1490">
        <v>185</v>
      </c>
      <c r="B1490">
        <v>1435</v>
      </c>
      <c r="C1490" t="s">
        <v>79</v>
      </c>
      <c r="D1490" t="s">
        <v>197</v>
      </c>
      <c r="E1490" s="232" t="s">
        <v>11323</v>
      </c>
      <c r="F1490" t="s">
        <v>71</v>
      </c>
      <c r="G1490">
        <v>3</v>
      </c>
      <c r="H1490">
        <v>414.77300000000002</v>
      </c>
      <c r="I1490">
        <v>412.524</v>
      </c>
      <c r="J1490">
        <v>407.15100000000001</v>
      </c>
      <c r="K1490">
        <v>402.01400000000001</v>
      </c>
      <c r="L1490">
        <v>395.06099999999998</v>
      </c>
      <c r="M1490" s="233" t="s">
        <v>454</v>
      </c>
      <c r="N1490" s="233" t="s">
        <v>454</v>
      </c>
      <c r="O1490" s="3" t="s">
        <v>1944</v>
      </c>
    </row>
    <row r="1491" spans="1:15">
      <c r="A1491">
        <v>185</v>
      </c>
      <c r="B1491">
        <v>1438</v>
      </c>
      <c r="C1491" t="s">
        <v>79</v>
      </c>
      <c r="D1491" t="s">
        <v>197</v>
      </c>
      <c r="E1491" s="232" t="s">
        <v>8190</v>
      </c>
      <c r="F1491" t="s">
        <v>71</v>
      </c>
      <c r="G1491">
        <v>3</v>
      </c>
      <c r="H1491">
        <v>412.06299999999999</v>
      </c>
      <c r="I1491">
        <v>409.5</v>
      </c>
      <c r="J1491">
        <v>404.69499999999999</v>
      </c>
      <c r="K1491">
        <v>399.30500000000001</v>
      </c>
      <c r="L1491">
        <v>392.63400000000001</v>
      </c>
      <c r="M1491" s="233" t="s">
        <v>454</v>
      </c>
      <c r="N1491" s="233" t="s">
        <v>454</v>
      </c>
      <c r="O1491" s="3" t="s">
        <v>1945</v>
      </c>
    </row>
    <row r="1492" spans="1:15">
      <c r="A1492">
        <v>185</v>
      </c>
      <c r="B1492">
        <v>1446</v>
      </c>
      <c r="C1492" t="s">
        <v>79</v>
      </c>
      <c r="D1492" t="s">
        <v>197</v>
      </c>
      <c r="E1492" s="232" t="s">
        <v>12454</v>
      </c>
      <c r="F1492" t="s">
        <v>71</v>
      </c>
      <c r="G1492">
        <v>3</v>
      </c>
      <c r="H1492">
        <v>411.63799999999998</v>
      </c>
      <c r="I1492">
        <v>408.92399999999998</v>
      </c>
      <c r="J1492">
        <v>403.959</v>
      </c>
      <c r="K1492">
        <v>398.45</v>
      </c>
      <c r="L1492">
        <v>391.97300000000001</v>
      </c>
      <c r="M1492" s="233" t="s">
        <v>454</v>
      </c>
      <c r="N1492" s="233" t="s">
        <v>454</v>
      </c>
      <c r="O1492" s="3" t="s">
        <v>1946</v>
      </c>
    </row>
    <row r="1493" spans="1:15">
      <c r="A1493">
        <v>185</v>
      </c>
      <c r="B1493">
        <v>1437</v>
      </c>
      <c r="C1493" t="s">
        <v>79</v>
      </c>
      <c r="D1493" t="s">
        <v>197</v>
      </c>
      <c r="E1493" s="232" t="s">
        <v>8232</v>
      </c>
      <c r="F1493" t="s">
        <v>71</v>
      </c>
      <c r="G1493">
        <v>3</v>
      </c>
      <c r="H1493">
        <v>410.51100000000002</v>
      </c>
      <c r="I1493">
        <v>408.22399999999999</v>
      </c>
      <c r="J1493">
        <v>403.24400000000003</v>
      </c>
      <c r="K1493">
        <v>397.66399999999999</v>
      </c>
      <c r="L1493">
        <v>391.38299999999998</v>
      </c>
      <c r="M1493" s="233" t="s">
        <v>454</v>
      </c>
      <c r="N1493" s="233" t="s">
        <v>454</v>
      </c>
      <c r="O1493" s="3" t="s">
        <v>1947</v>
      </c>
    </row>
    <row r="1494" spans="1:15">
      <c r="A1494">
        <v>185</v>
      </c>
      <c r="B1494">
        <v>1436</v>
      </c>
      <c r="C1494" t="s">
        <v>79</v>
      </c>
      <c r="D1494" t="s">
        <v>197</v>
      </c>
      <c r="E1494" s="232" t="s">
        <v>8772</v>
      </c>
      <c r="F1494" t="s">
        <v>71</v>
      </c>
      <c r="G1494">
        <v>3</v>
      </c>
      <c r="H1494">
        <v>406.82600000000002</v>
      </c>
      <c r="I1494">
        <v>404.10899999999998</v>
      </c>
      <c r="J1494">
        <v>399.30500000000001</v>
      </c>
      <c r="K1494">
        <v>393.71</v>
      </c>
      <c r="L1494">
        <v>387.786</v>
      </c>
      <c r="M1494" s="233" t="s">
        <v>454</v>
      </c>
      <c r="N1494" s="233" t="s">
        <v>454</v>
      </c>
      <c r="O1494" s="3" t="s">
        <v>1948</v>
      </c>
    </row>
    <row r="1495" spans="1:15">
      <c r="A1495">
        <v>185</v>
      </c>
      <c r="B1495">
        <v>1461</v>
      </c>
      <c r="C1495" t="s">
        <v>79</v>
      </c>
      <c r="D1495" t="s">
        <v>197</v>
      </c>
      <c r="E1495" s="232" t="s">
        <v>542</v>
      </c>
      <c r="F1495" t="s">
        <v>71</v>
      </c>
      <c r="G1495">
        <v>3</v>
      </c>
      <c r="H1495">
        <v>401.81400000000002</v>
      </c>
      <c r="I1495">
        <v>399.30500000000001</v>
      </c>
      <c r="J1495">
        <v>394.24599999999998</v>
      </c>
      <c r="K1495">
        <v>389.39499999999998</v>
      </c>
      <c r="L1495">
        <v>383.02100000000002</v>
      </c>
      <c r="M1495" s="233" t="s">
        <v>454</v>
      </c>
      <c r="N1495" s="233" t="s">
        <v>454</v>
      </c>
      <c r="O1495" s="3" t="s">
        <v>1949</v>
      </c>
    </row>
    <row r="1496" spans="1:15">
      <c r="A1496">
        <v>185</v>
      </c>
      <c r="B1496">
        <v>1458</v>
      </c>
      <c r="C1496" t="s">
        <v>79</v>
      </c>
      <c r="D1496" t="s">
        <v>197</v>
      </c>
      <c r="E1496" s="232" t="s">
        <v>8902</v>
      </c>
      <c r="F1496" t="s">
        <v>71</v>
      </c>
      <c r="G1496">
        <v>3</v>
      </c>
      <c r="H1496">
        <v>394.54599999999999</v>
      </c>
      <c r="I1496">
        <v>392.43400000000003</v>
      </c>
      <c r="J1496">
        <v>387.99400000000003</v>
      </c>
      <c r="K1496">
        <v>382.94600000000003</v>
      </c>
      <c r="L1496">
        <v>377.601</v>
      </c>
      <c r="M1496" s="233" t="s">
        <v>454</v>
      </c>
      <c r="N1496" s="233" t="s">
        <v>454</v>
      </c>
      <c r="O1496" s="3" t="s">
        <v>1950</v>
      </c>
    </row>
    <row r="1497" spans="1:15">
      <c r="A1497">
        <v>185</v>
      </c>
      <c r="B1497">
        <v>1455</v>
      </c>
      <c r="C1497" t="s">
        <v>79</v>
      </c>
      <c r="D1497" t="s">
        <v>197</v>
      </c>
      <c r="E1497" s="232" t="s">
        <v>8974</v>
      </c>
      <c r="F1497" t="s">
        <v>71</v>
      </c>
      <c r="G1497">
        <v>3</v>
      </c>
      <c r="H1497">
        <v>394.24599999999998</v>
      </c>
      <c r="I1497">
        <v>391.89800000000002</v>
      </c>
      <c r="J1497">
        <v>387.46100000000001</v>
      </c>
      <c r="K1497">
        <v>382.65600000000001</v>
      </c>
      <c r="L1497">
        <v>377.33600000000001</v>
      </c>
      <c r="M1497" s="233" t="s">
        <v>454</v>
      </c>
      <c r="N1497" s="233" t="s">
        <v>454</v>
      </c>
      <c r="O1497" s="3" t="s">
        <v>1951</v>
      </c>
    </row>
    <row r="1498" spans="1:15">
      <c r="A1498">
        <v>185</v>
      </c>
      <c r="B1498">
        <v>1411</v>
      </c>
      <c r="C1498" t="s">
        <v>79</v>
      </c>
      <c r="D1498" t="s">
        <v>197</v>
      </c>
      <c r="E1498" s="232" t="s">
        <v>16712</v>
      </c>
      <c r="F1498" t="s">
        <v>71</v>
      </c>
      <c r="G1498">
        <v>3</v>
      </c>
      <c r="H1498">
        <v>393.86</v>
      </c>
      <c r="I1498">
        <v>391.74799999999999</v>
      </c>
      <c r="J1498">
        <v>387.29599999999999</v>
      </c>
      <c r="K1498">
        <v>382.50599999999997</v>
      </c>
      <c r="L1498">
        <v>377.01100000000002</v>
      </c>
      <c r="M1498" s="233" t="s">
        <v>454</v>
      </c>
      <c r="N1498" s="233" t="s">
        <v>454</v>
      </c>
      <c r="O1498" s="3" t="s">
        <v>1952</v>
      </c>
    </row>
    <row r="1499" spans="1:15">
      <c r="A1499">
        <v>185</v>
      </c>
      <c r="B1499">
        <v>1434</v>
      </c>
      <c r="C1499" t="s">
        <v>79</v>
      </c>
      <c r="D1499" t="s">
        <v>197</v>
      </c>
      <c r="E1499" s="232" t="s">
        <v>8216</v>
      </c>
      <c r="F1499" t="s">
        <v>71</v>
      </c>
      <c r="G1499">
        <v>3</v>
      </c>
      <c r="H1499">
        <v>391.58300000000003</v>
      </c>
      <c r="I1499">
        <v>389.62</v>
      </c>
      <c r="J1499">
        <v>384.93400000000003</v>
      </c>
      <c r="K1499">
        <v>380.673</v>
      </c>
      <c r="L1499">
        <v>375.053</v>
      </c>
      <c r="M1499" s="233" t="s">
        <v>454</v>
      </c>
      <c r="N1499" s="233" t="s">
        <v>454</v>
      </c>
      <c r="O1499" s="3" t="s">
        <v>1953</v>
      </c>
    </row>
    <row r="1500" spans="1:15">
      <c r="A1500">
        <v>292</v>
      </c>
      <c r="B1500">
        <v>1463</v>
      </c>
      <c r="C1500" t="s">
        <v>79</v>
      </c>
      <c r="D1500" t="s">
        <v>497</v>
      </c>
      <c r="E1500" s="232" t="s">
        <v>10125</v>
      </c>
      <c r="F1500" t="s">
        <v>71</v>
      </c>
      <c r="G1500">
        <v>3</v>
      </c>
      <c r="H1500">
        <v>265.74</v>
      </c>
      <c r="I1500">
        <v>264.32</v>
      </c>
      <c r="J1500">
        <v>262.04000000000002</v>
      </c>
      <c r="K1500">
        <v>259.35000000000002</v>
      </c>
      <c r="L1500">
        <v>255.56</v>
      </c>
      <c r="M1500" s="233" t="s">
        <v>454</v>
      </c>
      <c r="N1500" s="233" t="s">
        <v>454</v>
      </c>
      <c r="O1500" s="3" t="s">
        <v>1954</v>
      </c>
    </row>
    <row r="1501" spans="1:15">
      <c r="A1501">
        <v>292</v>
      </c>
      <c r="B1501">
        <v>1464</v>
      </c>
      <c r="C1501" t="s">
        <v>79</v>
      </c>
      <c r="D1501" t="s">
        <v>497</v>
      </c>
      <c r="E1501" s="232" t="s">
        <v>10246</v>
      </c>
      <c r="F1501" t="s">
        <v>71</v>
      </c>
      <c r="G1501">
        <v>3</v>
      </c>
      <c r="H1501">
        <v>264.32</v>
      </c>
      <c r="I1501">
        <v>262.95</v>
      </c>
      <c r="J1501">
        <v>260.06</v>
      </c>
      <c r="K1501">
        <v>256.52</v>
      </c>
      <c r="L1501">
        <v>253.08</v>
      </c>
      <c r="M1501" s="233" t="s">
        <v>454</v>
      </c>
      <c r="N1501" s="233" t="s">
        <v>454</v>
      </c>
      <c r="O1501" s="3" t="s">
        <v>1955</v>
      </c>
    </row>
    <row r="1502" spans="1:15">
      <c r="A1502">
        <v>292</v>
      </c>
      <c r="B1502">
        <v>1462</v>
      </c>
      <c r="C1502" t="s">
        <v>79</v>
      </c>
      <c r="D1502" t="s">
        <v>497</v>
      </c>
      <c r="E1502" s="232" t="s">
        <v>8633</v>
      </c>
      <c r="F1502" t="s">
        <v>71</v>
      </c>
      <c r="G1502">
        <v>3</v>
      </c>
      <c r="H1502">
        <v>260.62</v>
      </c>
      <c r="I1502">
        <v>259.05</v>
      </c>
      <c r="J1502">
        <v>257.18</v>
      </c>
      <c r="K1502">
        <v>254.9</v>
      </c>
      <c r="L1502">
        <v>253.08</v>
      </c>
      <c r="M1502" s="233" t="s">
        <v>454</v>
      </c>
      <c r="N1502" s="233" t="s">
        <v>454</v>
      </c>
      <c r="O1502" s="3" t="s">
        <v>1956</v>
      </c>
    </row>
    <row r="1503" spans="1:15">
      <c r="A1503">
        <v>292</v>
      </c>
      <c r="B1503">
        <v>1476</v>
      </c>
      <c r="C1503" t="s">
        <v>79</v>
      </c>
      <c r="D1503" t="s">
        <v>497</v>
      </c>
      <c r="E1503" s="232" t="s">
        <v>11337</v>
      </c>
      <c r="F1503" t="s">
        <v>71</v>
      </c>
      <c r="G1503">
        <v>3</v>
      </c>
      <c r="H1503">
        <v>247.46</v>
      </c>
      <c r="I1503">
        <v>242.96</v>
      </c>
      <c r="J1503">
        <v>239.72</v>
      </c>
      <c r="K1503">
        <v>233.34</v>
      </c>
      <c r="L1503">
        <v>226.56</v>
      </c>
      <c r="M1503" s="233" t="s">
        <v>454</v>
      </c>
      <c r="N1503" s="233" t="s">
        <v>454</v>
      </c>
      <c r="O1503" s="3" t="s">
        <v>1957</v>
      </c>
    </row>
    <row r="1504" spans="1:15">
      <c r="A1504">
        <v>292</v>
      </c>
      <c r="B1504">
        <v>1465</v>
      </c>
      <c r="C1504" t="s">
        <v>79</v>
      </c>
      <c r="D1504" t="s">
        <v>497</v>
      </c>
      <c r="E1504" s="232" t="s">
        <v>12421</v>
      </c>
      <c r="F1504" t="s">
        <v>71</v>
      </c>
      <c r="G1504">
        <v>3</v>
      </c>
      <c r="H1504">
        <v>233.34</v>
      </c>
      <c r="I1504">
        <v>231.27</v>
      </c>
      <c r="J1504">
        <v>227.62</v>
      </c>
      <c r="K1504">
        <v>224.08</v>
      </c>
      <c r="L1504">
        <v>220.74</v>
      </c>
      <c r="M1504" s="233" t="s">
        <v>454</v>
      </c>
      <c r="N1504" s="233" t="s">
        <v>454</v>
      </c>
      <c r="O1504" s="3" t="s">
        <v>1958</v>
      </c>
    </row>
    <row r="1505" spans="1:15">
      <c r="A1505">
        <v>293</v>
      </c>
      <c r="B1505">
        <v>1467</v>
      </c>
      <c r="C1505" t="s">
        <v>79</v>
      </c>
      <c r="D1505" t="s">
        <v>497</v>
      </c>
      <c r="E1505" s="232" t="s">
        <v>16713</v>
      </c>
      <c r="F1505" t="s">
        <v>71</v>
      </c>
      <c r="G1505">
        <v>3</v>
      </c>
      <c r="H1505">
        <v>230.25</v>
      </c>
      <c r="I1505">
        <v>227.87</v>
      </c>
      <c r="J1505">
        <v>224.23</v>
      </c>
      <c r="K1505">
        <v>220.79</v>
      </c>
      <c r="L1505">
        <v>219.32</v>
      </c>
      <c r="M1505" s="233" t="s">
        <v>454</v>
      </c>
      <c r="N1505" s="233" t="s">
        <v>454</v>
      </c>
      <c r="O1505" s="3" t="s">
        <v>1959</v>
      </c>
    </row>
    <row r="1506" spans="1:15">
      <c r="A1506">
        <v>292</v>
      </c>
      <c r="B1506">
        <v>1472</v>
      </c>
      <c r="C1506" t="s">
        <v>79</v>
      </c>
      <c r="D1506" t="s">
        <v>497</v>
      </c>
      <c r="E1506" s="232" t="s">
        <v>11776</v>
      </c>
      <c r="F1506" t="s">
        <v>71</v>
      </c>
      <c r="G1506">
        <v>3</v>
      </c>
      <c r="H1506">
        <v>229.9</v>
      </c>
      <c r="I1506">
        <v>225.9</v>
      </c>
      <c r="J1506">
        <v>223.52</v>
      </c>
      <c r="K1506">
        <v>218.46</v>
      </c>
      <c r="L1506">
        <v>211.64</v>
      </c>
      <c r="M1506" s="233" t="s">
        <v>454</v>
      </c>
      <c r="N1506" s="233" t="s">
        <v>454</v>
      </c>
      <c r="O1506" s="3" t="s">
        <v>1960</v>
      </c>
    </row>
    <row r="1507" spans="1:15">
      <c r="A1507">
        <v>292</v>
      </c>
      <c r="B1507">
        <v>1474</v>
      </c>
      <c r="C1507" t="s">
        <v>79</v>
      </c>
      <c r="D1507" t="s">
        <v>497</v>
      </c>
      <c r="E1507" s="232" t="s">
        <v>16714</v>
      </c>
      <c r="F1507" t="s">
        <v>71</v>
      </c>
      <c r="G1507">
        <v>3</v>
      </c>
      <c r="H1507">
        <v>229.9</v>
      </c>
      <c r="I1507">
        <v>225.9</v>
      </c>
      <c r="J1507">
        <v>223.52</v>
      </c>
      <c r="K1507">
        <v>218.46</v>
      </c>
      <c r="L1507">
        <v>211.64</v>
      </c>
      <c r="M1507" s="233" t="s">
        <v>454</v>
      </c>
      <c r="N1507" s="233" t="s">
        <v>454</v>
      </c>
      <c r="O1507" s="3" t="s">
        <v>1961</v>
      </c>
    </row>
    <row r="1508" spans="1:15">
      <c r="A1508">
        <v>292</v>
      </c>
      <c r="B1508">
        <v>1475</v>
      </c>
      <c r="C1508" t="s">
        <v>79</v>
      </c>
      <c r="D1508" t="s">
        <v>497</v>
      </c>
      <c r="E1508" s="232" t="s">
        <v>8757</v>
      </c>
      <c r="F1508" t="s">
        <v>71</v>
      </c>
      <c r="G1508">
        <v>3</v>
      </c>
      <c r="H1508">
        <v>229.9</v>
      </c>
      <c r="I1508">
        <v>225.9</v>
      </c>
      <c r="J1508">
        <v>223.52</v>
      </c>
      <c r="K1508">
        <v>218.46</v>
      </c>
      <c r="L1508">
        <v>211.64</v>
      </c>
      <c r="M1508" s="233" t="s">
        <v>454</v>
      </c>
      <c r="N1508" s="233" t="s">
        <v>454</v>
      </c>
      <c r="O1508" s="3" t="s">
        <v>1962</v>
      </c>
    </row>
    <row r="1509" spans="1:15">
      <c r="A1509">
        <v>292</v>
      </c>
      <c r="B1509">
        <v>1477</v>
      </c>
      <c r="C1509" t="s">
        <v>79</v>
      </c>
      <c r="D1509" t="s">
        <v>497</v>
      </c>
      <c r="E1509" s="232" t="s">
        <v>10734</v>
      </c>
      <c r="F1509" t="s">
        <v>71</v>
      </c>
      <c r="G1509">
        <v>3</v>
      </c>
      <c r="H1509">
        <v>222.97</v>
      </c>
      <c r="I1509">
        <v>219.78</v>
      </c>
      <c r="J1509">
        <v>217.35</v>
      </c>
      <c r="K1509">
        <v>211.64</v>
      </c>
      <c r="L1509">
        <v>205.42</v>
      </c>
      <c r="M1509" s="233" t="s">
        <v>454</v>
      </c>
      <c r="N1509" s="233" t="s">
        <v>454</v>
      </c>
      <c r="O1509" s="3" t="s">
        <v>1963</v>
      </c>
    </row>
    <row r="1510" spans="1:15">
      <c r="A1510">
        <v>293</v>
      </c>
      <c r="B1510">
        <v>1469</v>
      </c>
      <c r="C1510" t="s">
        <v>79</v>
      </c>
      <c r="D1510" t="s">
        <v>497</v>
      </c>
      <c r="E1510" s="232" t="s">
        <v>12454</v>
      </c>
      <c r="F1510" t="s">
        <v>71</v>
      </c>
      <c r="G1510">
        <v>3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s="233" t="s">
        <v>454</v>
      </c>
      <c r="N1510" s="233" t="s">
        <v>454</v>
      </c>
      <c r="O1510" s="3" t="s">
        <v>2623</v>
      </c>
    </row>
    <row r="1511" spans="1:15">
      <c r="A1511">
        <v>292</v>
      </c>
      <c r="B1511">
        <v>1471</v>
      </c>
      <c r="C1511" t="s">
        <v>79</v>
      </c>
      <c r="D1511" t="s">
        <v>497</v>
      </c>
      <c r="E1511" s="232" t="s">
        <v>8307</v>
      </c>
      <c r="F1511" t="s">
        <v>71</v>
      </c>
      <c r="G1511">
        <v>3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s="233" t="s">
        <v>454</v>
      </c>
      <c r="N1511" s="233" t="s">
        <v>454</v>
      </c>
      <c r="O1511" s="3" t="s">
        <v>2623</v>
      </c>
    </row>
    <row r="1512" spans="1:15">
      <c r="A1512">
        <v>293</v>
      </c>
      <c r="B1512">
        <v>1473</v>
      </c>
      <c r="C1512" t="s">
        <v>79</v>
      </c>
      <c r="D1512" t="s">
        <v>497</v>
      </c>
      <c r="E1512" s="232" t="s">
        <v>12598</v>
      </c>
      <c r="F1512" t="s">
        <v>71</v>
      </c>
      <c r="G1512">
        <v>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s="233" t="s">
        <v>454</v>
      </c>
      <c r="N1512" s="233" t="s">
        <v>454</v>
      </c>
      <c r="O1512" s="3" t="s">
        <v>2623</v>
      </c>
    </row>
    <row r="1513" spans="1:15">
      <c r="A1513">
        <v>195</v>
      </c>
      <c r="B1513">
        <v>1587</v>
      </c>
      <c r="C1513" t="s">
        <v>79</v>
      </c>
      <c r="D1513" t="s">
        <v>215</v>
      </c>
      <c r="E1513" s="232" t="s">
        <v>8283</v>
      </c>
      <c r="F1513" t="s">
        <v>70</v>
      </c>
      <c r="G1513">
        <v>2</v>
      </c>
      <c r="H1513">
        <v>683.94899999999996</v>
      </c>
      <c r="I1513">
        <v>681.04300000000001</v>
      </c>
      <c r="J1513">
        <v>676.39700000000005</v>
      </c>
      <c r="K1513">
        <v>671.94100000000003</v>
      </c>
      <c r="L1513">
        <v>666.56299999999999</v>
      </c>
      <c r="M1513" s="233" t="s">
        <v>530</v>
      </c>
      <c r="N1513" s="233" t="s">
        <v>531</v>
      </c>
      <c r="O1513" s="3" t="s">
        <v>1964</v>
      </c>
    </row>
    <row r="1514" spans="1:15">
      <c r="A1514">
        <v>195</v>
      </c>
      <c r="B1514">
        <v>1628</v>
      </c>
      <c r="C1514" t="s">
        <v>79</v>
      </c>
      <c r="D1514" t="s">
        <v>215</v>
      </c>
      <c r="E1514" s="232" t="s">
        <v>10595</v>
      </c>
      <c r="F1514" t="s">
        <v>70</v>
      </c>
      <c r="G1514">
        <v>2</v>
      </c>
      <c r="H1514">
        <v>675.77099999999996</v>
      </c>
      <c r="I1514">
        <v>673.654</v>
      </c>
      <c r="J1514">
        <v>669.89700000000005</v>
      </c>
      <c r="K1514">
        <v>667.50699999999995</v>
      </c>
      <c r="L1514">
        <v>663.10699999999997</v>
      </c>
      <c r="M1514" s="233" t="s">
        <v>530</v>
      </c>
      <c r="N1514" s="233" t="s">
        <v>531</v>
      </c>
      <c r="O1514" s="3" t="s">
        <v>1965</v>
      </c>
    </row>
    <row r="1515" spans="1:15">
      <c r="A1515">
        <v>195</v>
      </c>
      <c r="B1515">
        <v>1591</v>
      </c>
      <c r="C1515" t="s">
        <v>79</v>
      </c>
      <c r="D1515" t="s">
        <v>215</v>
      </c>
      <c r="E1515" s="232" t="s">
        <v>16718</v>
      </c>
      <c r="F1515" t="s">
        <v>70</v>
      </c>
      <c r="G1515">
        <v>2</v>
      </c>
      <c r="H1515">
        <v>674.23400000000004</v>
      </c>
      <c r="I1515">
        <v>671.279</v>
      </c>
      <c r="J1515">
        <v>667.17100000000005</v>
      </c>
      <c r="K1515">
        <v>663.68200000000002</v>
      </c>
      <c r="L1515">
        <v>659.55100000000004</v>
      </c>
      <c r="M1515" s="233" t="s">
        <v>530</v>
      </c>
      <c r="N1515" s="233" t="s">
        <v>531</v>
      </c>
      <c r="O1515" s="3" t="s">
        <v>1966</v>
      </c>
    </row>
    <row r="1516" spans="1:15">
      <c r="A1516">
        <v>195</v>
      </c>
      <c r="B1516">
        <v>1593</v>
      </c>
      <c r="C1516" t="s">
        <v>79</v>
      </c>
      <c r="D1516" t="s">
        <v>215</v>
      </c>
      <c r="E1516" s="232" t="s">
        <v>8168</v>
      </c>
      <c r="F1516" t="s">
        <v>70</v>
      </c>
      <c r="G1516">
        <v>2</v>
      </c>
      <c r="H1516">
        <v>673.17200000000003</v>
      </c>
      <c r="I1516">
        <v>669.89700000000005</v>
      </c>
      <c r="J1516">
        <v>666.56299999999999</v>
      </c>
      <c r="K1516">
        <v>662.79399999999998</v>
      </c>
      <c r="L1516">
        <v>658.37599999999998</v>
      </c>
      <c r="M1516" s="233" t="s">
        <v>530</v>
      </c>
      <c r="N1516" s="233" t="s">
        <v>531</v>
      </c>
      <c r="O1516" s="3" t="s">
        <v>1967</v>
      </c>
    </row>
    <row r="1517" spans="1:15">
      <c r="A1517">
        <v>195</v>
      </c>
      <c r="B1517">
        <v>1592</v>
      </c>
      <c r="C1517" t="s">
        <v>79</v>
      </c>
      <c r="D1517" t="s">
        <v>215</v>
      </c>
      <c r="E1517" s="232" t="s">
        <v>9074</v>
      </c>
      <c r="F1517" t="s">
        <v>70</v>
      </c>
      <c r="G1517">
        <v>2</v>
      </c>
      <c r="H1517">
        <v>668.82399999999996</v>
      </c>
      <c r="I1517">
        <v>666.79399999999998</v>
      </c>
      <c r="J1517">
        <v>662.91899999999998</v>
      </c>
      <c r="K1517">
        <v>659.67600000000004</v>
      </c>
      <c r="L1517">
        <v>654.76499999999999</v>
      </c>
      <c r="M1517" s="233" t="s">
        <v>530</v>
      </c>
      <c r="N1517" s="233" t="s">
        <v>531</v>
      </c>
      <c r="O1517" s="3" t="s">
        <v>1968</v>
      </c>
    </row>
    <row r="1518" spans="1:15">
      <c r="A1518">
        <v>195</v>
      </c>
      <c r="B1518">
        <v>1627</v>
      </c>
      <c r="C1518" t="s">
        <v>79</v>
      </c>
      <c r="D1518" t="s">
        <v>215</v>
      </c>
      <c r="E1518" s="232" t="s">
        <v>11386</v>
      </c>
      <c r="F1518" t="s">
        <v>70</v>
      </c>
      <c r="G1518">
        <v>2</v>
      </c>
      <c r="H1518">
        <v>662.91899999999998</v>
      </c>
      <c r="I1518">
        <v>661.67399999999998</v>
      </c>
      <c r="J1518">
        <v>659.67600000000004</v>
      </c>
      <c r="K1518">
        <v>657.63599999999997</v>
      </c>
      <c r="L1518">
        <v>654.12900000000002</v>
      </c>
      <c r="M1518" s="233" t="s">
        <v>530</v>
      </c>
      <c r="N1518" s="233" t="s">
        <v>531</v>
      </c>
      <c r="O1518" s="3" t="s">
        <v>1969</v>
      </c>
    </row>
    <row r="1519" spans="1:15">
      <c r="A1519">
        <v>195</v>
      </c>
      <c r="B1519">
        <v>1599</v>
      </c>
      <c r="C1519" t="s">
        <v>79</v>
      </c>
      <c r="D1519" t="s">
        <v>215</v>
      </c>
      <c r="E1519" s="232" t="s">
        <v>11457</v>
      </c>
      <c r="F1519" t="s">
        <v>70</v>
      </c>
      <c r="G1519">
        <v>2</v>
      </c>
      <c r="H1519">
        <v>663.02499999999998</v>
      </c>
      <c r="I1519">
        <v>661.44399999999996</v>
      </c>
      <c r="J1519">
        <v>658.56399999999996</v>
      </c>
      <c r="K1519">
        <v>655.34900000000005</v>
      </c>
      <c r="L1519">
        <v>650.57799999999997</v>
      </c>
      <c r="M1519" s="233" t="s">
        <v>530</v>
      </c>
      <c r="N1519" s="233" t="s">
        <v>531</v>
      </c>
      <c r="O1519" s="3" t="s">
        <v>1970</v>
      </c>
    </row>
    <row r="1520" spans="1:15">
      <c r="A1520">
        <v>195</v>
      </c>
      <c r="B1520">
        <v>1603</v>
      </c>
      <c r="C1520" t="s">
        <v>79</v>
      </c>
      <c r="D1520" t="s">
        <v>215</v>
      </c>
      <c r="E1520" s="232" t="s">
        <v>555</v>
      </c>
      <c r="F1520" t="s">
        <v>70</v>
      </c>
      <c r="G1520">
        <v>2</v>
      </c>
      <c r="H1520">
        <v>663.78700000000003</v>
      </c>
      <c r="I1520">
        <v>661.67399999999998</v>
      </c>
      <c r="J1520">
        <v>658.56399999999996</v>
      </c>
      <c r="K1520">
        <v>654.97699999999998</v>
      </c>
      <c r="L1520">
        <v>649.45600000000002</v>
      </c>
      <c r="M1520" s="233" t="s">
        <v>530</v>
      </c>
      <c r="N1520" s="233" t="s">
        <v>531</v>
      </c>
      <c r="O1520" s="3" t="s">
        <v>1971</v>
      </c>
    </row>
    <row r="1521" spans="1:15">
      <c r="A1521">
        <v>195</v>
      </c>
      <c r="B1521">
        <v>1617</v>
      </c>
      <c r="C1521" t="s">
        <v>79</v>
      </c>
      <c r="D1521" t="s">
        <v>215</v>
      </c>
      <c r="E1521" s="232" t="s">
        <v>8305</v>
      </c>
      <c r="F1521" t="s">
        <v>70</v>
      </c>
      <c r="G1521">
        <v>2</v>
      </c>
      <c r="H1521">
        <v>663.02499999999998</v>
      </c>
      <c r="I1521">
        <v>661.44399999999996</v>
      </c>
      <c r="J1521">
        <v>658.56399999999996</v>
      </c>
      <c r="K1521">
        <v>652.28099999999995</v>
      </c>
      <c r="L1521">
        <v>645.73</v>
      </c>
      <c r="M1521" s="233" t="s">
        <v>530</v>
      </c>
      <c r="N1521" s="233" t="s">
        <v>531</v>
      </c>
      <c r="O1521" s="3" t="s">
        <v>1972</v>
      </c>
    </row>
    <row r="1522" spans="1:15">
      <c r="A1522">
        <v>195</v>
      </c>
      <c r="B1522">
        <v>1589</v>
      </c>
      <c r="C1522" t="s">
        <v>79</v>
      </c>
      <c r="D1522" t="s">
        <v>215</v>
      </c>
      <c r="E1522" s="232" t="s">
        <v>11546</v>
      </c>
      <c r="F1522" t="s">
        <v>70</v>
      </c>
      <c r="G1522">
        <v>2</v>
      </c>
      <c r="H1522">
        <v>661.33799999999997</v>
      </c>
      <c r="I1522">
        <v>660.2</v>
      </c>
      <c r="J1522">
        <v>658.25099999999998</v>
      </c>
      <c r="K1522">
        <v>656.32799999999997</v>
      </c>
      <c r="L1522">
        <v>653.46299999999997</v>
      </c>
      <c r="M1522" s="233" t="s">
        <v>530</v>
      </c>
      <c r="N1522" s="233" t="s">
        <v>531</v>
      </c>
      <c r="O1522" s="3" t="s">
        <v>1973</v>
      </c>
    </row>
    <row r="1523" spans="1:15">
      <c r="A1523">
        <v>195</v>
      </c>
      <c r="B1523">
        <v>1624</v>
      </c>
      <c r="C1523" t="s">
        <v>79</v>
      </c>
      <c r="D1523" t="s">
        <v>215</v>
      </c>
      <c r="E1523" s="232" t="s">
        <v>9252</v>
      </c>
      <c r="F1523" t="s">
        <v>70</v>
      </c>
      <c r="G1523">
        <v>2</v>
      </c>
      <c r="H1523">
        <v>663.322</v>
      </c>
      <c r="I1523">
        <v>661.44399999999996</v>
      </c>
      <c r="J1523">
        <v>658.25099999999998</v>
      </c>
      <c r="K1523">
        <v>654.43399999999997</v>
      </c>
      <c r="L1523">
        <v>649.09900000000005</v>
      </c>
      <c r="M1523" s="233" t="s">
        <v>530</v>
      </c>
      <c r="N1523" s="233" t="s">
        <v>531</v>
      </c>
      <c r="O1523" s="3" t="s">
        <v>1974</v>
      </c>
    </row>
    <row r="1524" spans="1:15">
      <c r="A1524">
        <v>195</v>
      </c>
      <c r="B1524">
        <v>1611</v>
      </c>
      <c r="C1524" t="s">
        <v>79</v>
      </c>
      <c r="D1524" t="s">
        <v>215</v>
      </c>
      <c r="E1524" s="232" t="s">
        <v>550</v>
      </c>
      <c r="F1524" t="s">
        <v>70</v>
      </c>
      <c r="G1524">
        <v>2</v>
      </c>
      <c r="H1524">
        <v>662.15</v>
      </c>
      <c r="I1524">
        <v>659.96900000000005</v>
      </c>
      <c r="J1524">
        <v>656.12099999999998</v>
      </c>
      <c r="K1524">
        <v>651.79999999999995</v>
      </c>
      <c r="L1524">
        <v>645.73</v>
      </c>
      <c r="M1524" s="233" t="s">
        <v>530</v>
      </c>
      <c r="N1524" s="233" t="s">
        <v>531</v>
      </c>
      <c r="O1524" s="3" t="s">
        <v>1975</v>
      </c>
    </row>
    <row r="1525" spans="1:15">
      <c r="A1525">
        <v>195</v>
      </c>
      <c r="B1525">
        <v>1632</v>
      </c>
      <c r="C1525" t="s">
        <v>79</v>
      </c>
      <c r="D1525" t="s">
        <v>215</v>
      </c>
      <c r="E1525" s="232" t="s">
        <v>11757</v>
      </c>
      <c r="F1525" t="s">
        <v>70</v>
      </c>
      <c r="G1525">
        <v>2</v>
      </c>
      <c r="H1525">
        <v>657.28</v>
      </c>
      <c r="I1525">
        <v>656.12099999999998</v>
      </c>
      <c r="J1525">
        <v>654.12900000000002</v>
      </c>
      <c r="K1525">
        <v>652.447</v>
      </c>
      <c r="L1525">
        <v>649.91200000000003</v>
      </c>
      <c r="M1525" s="233" t="s">
        <v>530</v>
      </c>
      <c r="N1525" s="233" t="s">
        <v>531</v>
      </c>
      <c r="O1525" s="3" t="s">
        <v>1976</v>
      </c>
    </row>
    <row r="1526" spans="1:15">
      <c r="A1526">
        <v>195</v>
      </c>
      <c r="B1526">
        <v>1609</v>
      </c>
      <c r="C1526" t="s">
        <v>79</v>
      </c>
      <c r="D1526" t="s">
        <v>215</v>
      </c>
      <c r="E1526" s="232" t="s">
        <v>11693</v>
      </c>
      <c r="F1526" t="s">
        <v>70</v>
      </c>
      <c r="G1526">
        <v>2</v>
      </c>
      <c r="H1526">
        <v>659.96900000000005</v>
      </c>
      <c r="I1526">
        <v>657.86</v>
      </c>
      <c r="J1526">
        <v>654.00400000000002</v>
      </c>
      <c r="K1526">
        <v>649.76800000000003</v>
      </c>
      <c r="L1526">
        <v>643.80600000000004</v>
      </c>
      <c r="M1526" s="233" t="s">
        <v>530</v>
      </c>
      <c r="N1526" s="233" t="s">
        <v>531</v>
      </c>
      <c r="O1526" s="3" t="s">
        <v>1977</v>
      </c>
    </row>
    <row r="1527" spans="1:15">
      <c r="A1527">
        <v>195</v>
      </c>
      <c r="B1527">
        <v>1607</v>
      </c>
      <c r="C1527" t="s">
        <v>79</v>
      </c>
      <c r="D1527" t="s">
        <v>215</v>
      </c>
      <c r="E1527" s="232" t="s">
        <v>11706</v>
      </c>
      <c r="F1527" t="s">
        <v>70</v>
      </c>
      <c r="G1527">
        <v>2</v>
      </c>
      <c r="H1527">
        <v>659.67600000000004</v>
      </c>
      <c r="I1527">
        <v>657.51099999999997</v>
      </c>
      <c r="J1527">
        <v>653.81700000000001</v>
      </c>
      <c r="K1527">
        <v>649.45600000000002</v>
      </c>
      <c r="L1527">
        <v>643.49400000000003</v>
      </c>
      <c r="M1527" s="233" t="s">
        <v>530</v>
      </c>
      <c r="N1527" s="233" t="s">
        <v>531</v>
      </c>
      <c r="O1527" s="3" t="s">
        <v>1978</v>
      </c>
    </row>
    <row r="1528" spans="1:15">
      <c r="A1528">
        <v>195</v>
      </c>
      <c r="B1528">
        <v>1590</v>
      </c>
      <c r="C1528" t="s">
        <v>79</v>
      </c>
      <c r="D1528" t="s">
        <v>215</v>
      </c>
      <c r="E1528" s="232" t="s">
        <v>9611</v>
      </c>
      <c r="F1528" t="s">
        <v>70</v>
      </c>
      <c r="G1528">
        <v>2</v>
      </c>
      <c r="H1528">
        <v>657.40499999999997</v>
      </c>
      <c r="I1528">
        <v>655.78399999999999</v>
      </c>
      <c r="J1528">
        <v>653.02599999999995</v>
      </c>
      <c r="K1528">
        <v>650.57799999999997</v>
      </c>
      <c r="L1528">
        <v>646.47199999999998</v>
      </c>
      <c r="M1528" s="233" t="s">
        <v>530</v>
      </c>
      <c r="N1528" s="233" t="s">
        <v>531</v>
      </c>
      <c r="O1528" s="3" t="s">
        <v>1979</v>
      </c>
    </row>
    <row r="1529" spans="1:15">
      <c r="A1529">
        <v>195</v>
      </c>
      <c r="B1529">
        <v>1618</v>
      </c>
      <c r="C1529" t="s">
        <v>79</v>
      </c>
      <c r="D1529" t="s">
        <v>215</v>
      </c>
      <c r="E1529" s="232" t="s">
        <v>11747</v>
      </c>
      <c r="F1529" t="s">
        <v>70</v>
      </c>
      <c r="G1529">
        <v>2</v>
      </c>
      <c r="H1529">
        <v>658.86099999999999</v>
      </c>
      <c r="I1529">
        <v>656.62199999999996</v>
      </c>
      <c r="J1529">
        <v>652.91999999999996</v>
      </c>
      <c r="K1529">
        <v>648.55499999999995</v>
      </c>
      <c r="L1529">
        <v>642.65200000000004</v>
      </c>
      <c r="M1529" s="233" t="s">
        <v>530</v>
      </c>
      <c r="N1529" s="233" t="s">
        <v>531</v>
      </c>
      <c r="O1529" s="3" t="s">
        <v>1980</v>
      </c>
    </row>
    <row r="1530" spans="1:15">
      <c r="A1530">
        <v>195</v>
      </c>
      <c r="B1530">
        <v>1610</v>
      </c>
      <c r="C1530" t="s">
        <v>79</v>
      </c>
      <c r="D1530" t="s">
        <v>215</v>
      </c>
      <c r="E1530" s="232" t="s">
        <v>11793</v>
      </c>
      <c r="F1530" t="s">
        <v>70</v>
      </c>
      <c r="G1530">
        <v>2</v>
      </c>
      <c r="H1530">
        <v>658.37599999999998</v>
      </c>
      <c r="I1530">
        <v>656.12099999999998</v>
      </c>
      <c r="J1530">
        <v>652.447</v>
      </c>
      <c r="K1530">
        <v>648.14400000000001</v>
      </c>
      <c r="L1530">
        <v>641.78899999999999</v>
      </c>
      <c r="M1530" s="233" t="s">
        <v>530</v>
      </c>
      <c r="N1530" s="233" t="s">
        <v>531</v>
      </c>
      <c r="O1530" s="3" t="s">
        <v>1981</v>
      </c>
    </row>
    <row r="1531" spans="1:15">
      <c r="A1531">
        <v>195</v>
      </c>
      <c r="B1531">
        <v>1631</v>
      </c>
      <c r="C1531" t="s">
        <v>79</v>
      </c>
      <c r="D1531" t="s">
        <v>215</v>
      </c>
      <c r="E1531" s="232" t="s">
        <v>12003</v>
      </c>
      <c r="F1531" t="s">
        <v>70</v>
      </c>
      <c r="G1531">
        <v>2</v>
      </c>
      <c r="H1531">
        <v>655.24300000000005</v>
      </c>
      <c r="I1531">
        <v>653.46299999999997</v>
      </c>
      <c r="J1531">
        <v>650.26499999999999</v>
      </c>
      <c r="K1531">
        <v>647.10699999999997</v>
      </c>
      <c r="L1531">
        <v>641.68299999999999</v>
      </c>
      <c r="M1531" s="233" t="s">
        <v>530</v>
      </c>
      <c r="N1531" s="233" t="s">
        <v>531</v>
      </c>
      <c r="O1531" s="3" t="s">
        <v>1982</v>
      </c>
    </row>
    <row r="1532" spans="1:15">
      <c r="A1532">
        <v>195</v>
      </c>
      <c r="B1532">
        <v>1630</v>
      </c>
      <c r="C1532" t="s">
        <v>79</v>
      </c>
      <c r="D1532" t="s">
        <v>215</v>
      </c>
      <c r="E1532" s="232" t="s">
        <v>12017</v>
      </c>
      <c r="F1532" t="s">
        <v>70</v>
      </c>
      <c r="G1532">
        <v>2</v>
      </c>
      <c r="H1532">
        <v>654.97699999999998</v>
      </c>
      <c r="I1532">
        <v>652.91999999999996</v>
      </c>
      <c r="J1532">
        <v>649.91200000000003</v>
      </c>
      <c r="K1532">
        <v>646.28499999999997</v>
      </c>
      <c r="L1532">
        <v>641.06299999999999</v>
      </c>
      <c r="M1532" s="233" t="s">
        <v>530</v>
      </c>
      <c r="N1532" s="233" t="s">
        <v>531</v>
      </c>
      <c r="O1532" s="3" t="s">
        <v>1983</v>
      </c>
    </row>
    <row r="1533" spans="1:15">
      <c r="A1533">
        <v>195</v>
      </c>
      <c r="B1533">
        <v>1614</v>
      </c>
      <c r="C1533" t="s">
        <v>79</v>
      </c>
      <c r="D1533" t="s">
        <v>215</v>
      </c>
      <c r="E1533" s="232" t="s">
        <v>10547</v>
      </c>
      <c r="F1533" t="s">
        <v>70</v>
      </c>
      <c r="G1533">
        <v>2</v>
      </c>
      <c r="H1533">
        <v>652.15599999999995</v>
      </c>
      <c r="I1533">
        <v>650.346</v>
      </c>
      <c r="J1533">
        <v>647.10699999999997</v>
      </c>
      <c r="K1533">
        <v>643.19600000000003</v>
      </c>
      <c r="L1533">
        <v>638.29700000000003</v>
      </c>
      <c r="M1533" s="233" t="s">
        <v>530</v>
      </c>
      <c r="N1533" s="233" t="s">
        <v>531</v>
      </c>
      <c r="O1533" s="3" t="s">
        <v>1984</v>
      </c>
    </row>
    <row r="1534" spans="1:15">
      <c r="A1534">
        <v>195</v>
      </c>
      <c r="B1534">
        <v>1626</v>
      </c>
      <c r="C1534" t="s">
        <v>79</v>
      </c>
      <c r="D1534" t="s">
        <v>215</v>
      </c>
      <c r="E1534" s="232" t="s">
        <v>12219</v>
      </c>
      <c r="F1534" t="s">
        <v>70</v>
      </c>
      <c r="G1534">
        <v>2</v>
      </c>
      <c r="H1534">
        <v>651.79999999999995</v>
      </c>
      <c r="I1534">
        <v>650.12400000000002</v>
      </c>
      <c r="J1534">
        <v>647.10699999999997</v>
      </c>
      <c r="K1534">
        <v>644.03800000000001</v>
      </c>
      <c r="L1534">
        <v>639.90300000000002</v>
      </c>
      <c r="M1534" s="233" t="s">
        <v>530</v>
      </c>
      <c r="N1534" s="233" t="s">
        <v>531</v>
      </c>
      <c r="O1534" s="3" t="s">
        <v>1985</v>
      </c>
    </row>
    <row r="1535" spans="1:15">
      <c r="A1535">
        <v>195</v>
      </c>
      <c r="B1535">
        <v>1604</v>
      </c>
      <c r="C1535" t="s">
        <v>79</v>
      </c>
      <c r="D1535" t="s">
        <v>215</v>
      </c>
      <c r="E1535" s="232" t="s">
        <v>11304</v>
      </c>
      <c r="F1535" t="s">
        <v>70</v>
      </c>
      <c r="G1535">
        <v>2</v>
      </c>
      <c r="H1535">
        <v>651.79999999999995</v>
      </c>
      <c r="I1535">
        <v>650.12400000000002</v>
      </c>
      <c r="J1535">
        <v>647.00099999999998</v>
      </c>
      <c r="K1535">
        <v>642.96400000000006</v>
      </c>
      <c r="L1535">
        <v>637.98400000000004</v>
      </c>
      <c r="M1535" s="233" t="s">
        <v>530</v>
      </c>
      <c r="N1535" s="233" t="s">
        <v>531</v>
      </c>
      <c r="O1535" s="3" t="s">
        <v>1986</v>
      </c>
    </row>
    <row r="1536" spans="1:15">
      <c r="A1536">
        <v>195</v>
      </c>
      <c r="B1536">
        <v>1619</v>
      </c>
      <c r="C1536" t="s">
        <v>79</v>
      </c>
      <c r="D1536" t="s">
        <v>215</v>
      </c>
      <c r="E1536" s="232" t="s">
        <v>8197</v>
      </c>
      <c r="F1536" t="s">
        <v>70</v>
      </c>
      <c r="G1536">
        <v>2</v>
      </c>
      <c r="H1536">
        <v>650.346</v>
      </c>
      <c r="I1536">
        <v>648.26900000000001</v>
      </c>
      <c r="J1536">
        <v>644.39800000000002</v>
      </c>
      <c r="K1536">
        <v>640.09100000000001</v>
      </c>
      <c r="L1536">
        <v>635.13499999999999</v>
      </c>
      <c r="M1536" s="233" t="s">
        <v>530</v>
      </c>
      <c r="N1536" s="233" t="s">
        <v>531</v>
      </c>
      <c r="O1536" s="3" t="s">
        <v>1987</v>
      </c>
    </row>
    <row r="1537" spans="1:15">
      <c r="A1537">
        <v>195</v>
      </c>
      <c r="B1537">
        <v>1613</v>
      </c>
      <c r="C1537" t="s">
        <v>79</v>
      </c>
      <c r="D1537" t="s">
        <v>215</v>
      </c>
      <c r="E1537" s="232" t="s">
        <v>12748</v>
      </c>
      <c r="F1537" t="s">
        <v>70</v>
      </c>
      <c r="G1537">
        <v>2</v>
      </c>
      <c r="H1537">
        <v>641.06299999999999</v>
      </c>
      <c r="I1537">
        <v>639.12</v>
      </c>
      <c r="J1537">
        <v>635.89400000000001</v>
      </c>
      <c r="K1537">
        <v>632.26099999999997</v>
      </c>
      <c r="L1537">
        <v>626.69899999999996</v>
      </c>
      <c r="M1537" s="233" t="s">
        <v>530</v>
      </c>
      <c r="N1537" s="233" t="s">
        <v>531</v>
      </c>
      <c r="O1537" s="3" t="s">
        <v>1988</v>
      </c>
    </row>
    <row r="1538" spans="1:15">
      <c r="A1538">
        <v>195</v>
      </c>
      <c r="B1538">
        <v>1616</v>
      </c>
      <c r="C1538" t="s">
        <v>79</v>
      </c>
      <c r="D1538" t="s">
        <v>215</v>
      </c>
      <c r="E1538" s="232" t="s">
        <v>8307</v>
      </c>
      <c r="F1538" t="s">
        <v>70</v>
      </c>
      <c r="G1538">
        <v>2</v>
      </c>
      <c r="H1538">
        <v>632.62800000000004</v>
      </c>
      <c r="I1538">
        <v>630.77599999999995</v>
      </c>
      <c r="J1538">
        <v>627.30399999999997</v>
      </c>
      <c r="K1538">
        <v>623.48599999999999</v>
      </c>
      <c r="L1538">
        <v>618.91899999999998</v>
      </c>
      <c r="M1538" s="233" t="s">
        <v>530</v>
      </c>
      <c r="N1538" s="233" t="s">
        <v>531</v>
      </c>
      <c r="O1538" s="3" t="s">
        <v>1989</v>
      </c>
    </row>
    <row r="1539" spans="1:15">
      <c r="A1539">
        <v>195</v>
      </c>
      <c r="B1539">
        <v>1598</v>
      </c>
      <c r="C1539" t="s">
        <v>79</v>
      </c>
      <c r="D1539" t="s">
        <v>215</v>
      </c>
      <c r="E1539" s="232" t="s">
        <v>7910</v>
      </c>
      <c r="F1539" t="s">
        <v>70</v>
      </c>
      <c r="G1539">
        <v>2</v>
      </c>
      <c r="H1539">
        <v>613.23</v>
      </c>
      <c r="I1539">
        <v>611.995</v>
      </c>
      <c r="J1539">
        <v>609.83600000000001</v>
      </c>
      <c r="K1539">
        <v>607.51300000000003</v>
      </c>
      <c r="L1539">
        <v>604.03200000000004</v>
      </c>
      <c r="M1539" s="233" t="s">
        <v>530</v>
      </c>
      <c r="N1539" s="233" t="s">
        <v>531</v>
      </c>
      <c r="O1539" s="3" t="s">
        <v>1990</v>
      </c>
    </row>
    <row r="1540" spans="1:15">
      <c r="A1540">
        <v>194</v>
      </c>
      <c r="B1540">
        <v>1653</v>
      </c>
      <c r="C1540" t="s">
        <v>79</v>
      </c>
      <c r="D1540" t="s">
        <v>215</v>
      </c>
      <c r="E1540" s="232" t="s">
        <v>9569</v>
      </c>
      <c r="F1540" t="s">
        <v>71</v>
      </c>
      <c r="G1540">
        <v>2</v>
      </c>
      <c r="H1540">
        <v>678.05399999999997</v>
      </c>
      <c r="I1540">
        <v>675.98900000000003</v>
      </c>
      <c r="J1540">
        <v>672.69100000000003</v>
      </c>
      <c r="K1540">
        <v>669.75</v>
      </c>
      <c r="L1540">
        <v>666.09500000000003</v>
      </c>
      <c r="M1540" s="233" t="s">
        <v>530</v>
      </c>
      <c r="N1540" s="233" t="s">
        <v>531</v>
      </c>
      <c r="O1540" s="3" t="s">
        <v>1991</v>
      </c>
    </row>
    <row r="1541" spans="1:15">
      <c r="A1541">
        <v>193</v>
      </c>
      <c r="B1541">
        <v>1681</v>
      </c>
      <c r="C1541" t="s">
        <v>79</v>
      </c>
      <c r="D1541" t="s">
        <v>215</v>
      </c>
      <c r="E1541" s="232" t="s">
        <v>8190</v>
      </c>
      <c r="F1541" t="s">
        <v>71</v>
      </c>
      <c r="G1541">
        <v>2</v>
      </c>
      <c r="H1541">
        <v>677.39499999999998</v>
      </c>
      <c r="I1541">
        <v>675.18799999999999</v>
      </c>
      <c r="J1541">
        <v>671.03300000000002</v>
      </c>
      <c r="K1541">
        <v>666.072</v>
      </c>
      <c r="L1541">
        <v>660.99800000000005</v>
      </c>
      <c r="M1541" s="233" t="s">
        <v>530</v>
      </c>
      <c r="N1541" s="233" t="s">
        <v>531</v>
      </c>
      <c r="O1541" s="3" t="s">
        <v>1992</v>
      </c>
    </row>
    <row r="1542" spans="1:15">
      <c r="A1542">
        <v>193</v>
      </c>
      <c r="B1542">
        <v>1656</v>
      </c>
      <c r="C1542" t="s">
        <v>79</v>
      </c>
      <c r="D1542" t="s">
        <v>215</v>
      </c>
      <c r="E1542" s="232" t="s">
        <v>10466</v>
      </c>
      <c r="F1542" t="s">
        <v>71</v>
      </c>
      <c r="G1542">
        <v>2</v>
      </c>
      <c r="H1542">
        <v>672.62800000000004</v>
      </c>
      <c r="I1542">
        <v>670.84500000000003</v>
      </c>
      <c r="J1542">
        <v>667.40800000000002</v>
      </c>
      <c r="K1542">
        <v>663.19899999999996</v>
      </c>
      <c r="L1542">
        <v>658.21299999999997</v>
      </c>
      <c r="M1542" s="233" t="s">
        <v>530</v>
      </c>
      <c r="N1542" s="233" t="s">
        <v>531</v>
      </c>
      <c r="O1542" s="3" t="s">
        <v>1993</v>
      </c>
    </row>
    <row r="1543" spans="1:15">
      <c r="A1543">
        <v>193</v>
      </c>
      <c r="B1543">
        <v>1686</v>
      </c>
      <c r="C1543" t="s">
        <v>79</v>
      </c>
      <c r="D1543" t="s">
        <v>215</v>
      </c>
      <c r="E1543" s="232" t="s">
        <v>10902</v>
      </c>
      <c r="F1543" t="s">
        <v>71</v>
      </c>
      <c r="G1543">
        <v>2</v>
      </c>
      <c r="H1543">
        <v>672.50300000000004</v>
      </c>
      <c r="I1543">
        <v>670.72</v>
      </c>
      <c r="J1543">
        <v>667.40800000000002</v>
      </c>
      <c r="K1543">
        <v>663.51099999999997</v>
      </c>
      <c r="L1543">
        <v>658.71299999999997</v>
      </c>
      <c r="M1543" s="233" t="s">
        <v>530</v>
      </c>
      <c r="N1543" s="233" t="s">
        <v>531</v>
      </c>
      <c r="O1543" s="3" t="s">
        <v>1994</v>
      </c>
    </row>
    <row r="1544" spans="1:15">
      <c r="A1544">
        <v>193</v>
      </c>
      <c r="B1544">
        <v>1661</v>
      </c>
      <c r="C1544" t="s">
        <v>79</v>
      </c>
      <c r="D1544" t="s">
        <v>215</v>
      </c>
      <c r="E1544" s="232" t="s">
        <v>9141</v>
      </c>
      <c r="F1544" t="s">
        <v>71</v>
      </c>
      <c r="G1544">
        <v>2</v>
      </c>
      <c r="H1544">
        <v>674.00400000000002</v>
      </c>
      <c r="I1544">
        <v>671.03300000000002</v>
      </c>
      <c r="J1544">
        <v>666.36500000000001</v>
      </c>
      <c r="K1544">
        <v>662.726</v>
      </c>
      <c r="L1544">
        <v>657.32600000000002</v>
      </c>
      <c r="M1544" s="233" t="s">
        <v>530</v>
      </c>
      <c r="N1544" s="233" t="s">
        <v>531</v>
      </c>
      <c r="O1544" s="3" t="s">
        <v>1995</v>
      </c>
    </row>
    <row r="1545" spans="1:15">
      <c r="A1545">
        <v>193</v>
      </c>
      <c r="B1545">
        <v>1659</v>
      </c>
      <c r="C1545" t="s">
        <v>79</v>
      </c>
      <c r="D1545" t="s">
        <v>215</v>
      </c>
      <c r="E1545" s="232" t="s">
        <v>10920</v>
      </c>
      <c r="F1545" t="s">
        <v>71</v>
      </c>
      <c r="G1545">
        <v>2</v>
      </c>
      <c r="H1545">
        <v>671.625</v>
      </c>
      <c r="I1545">
        <v>669.93</v>
      </c>
      <c r="J1545">
        <v>665.90300000000002</v>
      </c>
      <c r="K1545">
        <v>662.43299999999999</v>
      </c>
      <c r="L1545">
        <v>657.32600000000002</v>
      </c>
      <c r="M1545" s="233" t="s">
        <v>530</v>
      </c>
      <c r="N1545" s="233" t="s">
        <v>531</v>
      </c>
      <c r="O1545" s="3" t="s">
        <v>1996</v>
      </c>
    </row>
    <row r="1546" spans="1:15">
      <c r="A1546">
        <v>193</v>
      </c>
      <c r="B1546">
        <v>1658</v>
      </c>
      <c r="C1546" t="s">
        <v>79</v>
      </c>
      <c r="D1546" t="s">
        <v>215</v>
      </c>
      <c r="E1546" s="232" t="s">
        <v>8534</v>
      </c>
      <c r="F1546" t="s">
        <v>71</v>
      </c>
      <c r="G1546">
        <v>2</v>
      </c>
      <c r="H1546">
        <v>671.96</v>
      </c>
      <c r="I1546">
        <v>669.64300000000003</v>
      </c>
      <c r="J1546">
        <v>665.10500000000002</v>
      </c>
      <c r="K1546">
        <v>661.22900000000004</v>
      </c>
      <c r="L1546">
        <v>655.98</v>
      </c>
      <c r="M1546" s="233" t="s">
        <v>530</v>
      </c>
      <c r="N1546" s="233" t="s">
        <v>531</v>
      </c>
      <c r="O1546" s="3" t="s">
        <v>1997</v>
      </c>
    </row>
    <row r="1547" spans="1:15">
      <c r="A1547">
        <v>193</v>
      </c>
      <c r="B1547">
        <v>1668</v>
      </c>
      <c r="C1547" t="s">
        <v>79</v>
      </c>
      <c r="D1547" t="s">
        <v>215</v>
      </c>
      <c r="E1547" s="232" t="s">
        <v>8772</v>
      </c>
      <c r="F1547" t="s">
        <v>71</v>
      </c>
      <c r="G1547">
        <v>2</v>
      </c>
      <c r="H1547">
        <v>666.36500000000001</v>
      </c>
      <c r="I1547">
        <v>664.41600000000005</v>
      </c>
      <c r="J1547">
        <v>660.81100000000004</v>
      </c>
      <c r="K1547">
        <v>656.99400000000003</v>
      </c>
      <c r="L1547">
        <v>651.52200000000005</v>
      </c>
      <c r="M1547" s="233" t="s">
        <v>530</v>
      </c>
      <c r="N1547" s="233" t="s">
        <v>531</v>
      </c>
      <c r="O1547" s="3" t="s">
        <v>1998</v>
      </c>
    </row>
    <row r="1548" spans="1:15">
      <c r="A1548">
        <v>193</v>
      </c>
      <c r="B1548">
        <v>1663</v>
      </c>
      <c r="C1548" t="s">
        <v>79</v>
      </c>
      <c r="D1548" t="s">
        <v>215</v>
      </c>
      <c r="E1548" s="232" t="s">
        <v>8232</v>
      </c>
      <c r="F1548" t="s">
        <v>71</v>
      </c>
      <c r="G1548">
        <v>2</v>
      </c>
      <c r="H1548">
        <v>664.01700000000005</v>
      </c>
      <c r="I1548">
        <v>662.53800000000001</v>
      </c>
      <c r="J1548">
        <v>659.72400000000005</v>
      </c>
      <c r="K1548">
        <v>653.90800000000002</v>
      </c>
      <c r="L1548">
        <v>647.20299999999997</v>
      </c>
      <c r="M1548" s="233" t="s">
        <v>530</v>
      </c>
      <c r="N1548" s="233" t="s">
        <v>531</v>
      </c>
      <c r="O1548" s="3" t="s">
        <v>1999</v>
      </c>
    </row>
    <row r="1549" spans="1:15">
      <c r="A1549">
        <v>193</v>
      </c>
      <c r="B1549">
        <v>1676</v>
      </c>
      <c r="C1549" t="s">
        <v>79</v>
      </c>
      <c r="D1549" t="s">
        <v>215</v>
      </c>
      <c r="E1549" s="232" t="s">
        <v>542</v>
      </c>
      <c r="F1549" t="s">
        <v>71</v>
      </c>
      <c r="G1549">
        <v>2</v>
      </c>
      <c r="H1549">
        <v>664.01700000000005</v>
      </c>
      <c r="I1549">
        <v>662.53800000000001</v>
      </c>
      <c r="J1549">
        <v>659.72400000000005</v>
      </c>
      <c r="K1549">
        <v>653.90800000000002</v>
      </c>
      <c r="L1549">
        <v>647.20299999999997</v>
      </c>
      <c r="M1549" s="233" t="s">
        <v>530</v>
      </c>
      <c r="N1549" s="233" t="s">
        <v>531</v>
      </c>
      <c r="O1549" s="3" t="s">
        <v>2000</v>
      </c>
    </row>
    <row r="1550" spans="1:15">
      <c r="A1550">
        <v>193</v>
      </c>
      <c r="B1550">
        <v>1667</v>
      </c>
      <c r="C1550" t="s">
        <v>79</v>
      </c>
      <c r="D1550" t="s">
        <v>215</v>
      </c>
      <c r="E1550" s="232" t="s">
        <v>8953</v>
      </c>
      <c r="F1550" t="s">
        <v>71</v>
      </c>
      <c r="G1550">
        <v>2</v>
      </c>
      <c r="H1550">
        <v>665.10500000000002</v>
      </c>
      <c r="I1550">
        <v>663.09299999999996</v>
      </c>
      <c r="J1550">
        <v>659.41200000000003</v>
      </c>
      <c r="K1550">
        <v>655.53</v>
      </c>
      <c r="L1550">
        <v>650.33000000000004</v>
      </c>
      <c r="M1550" s="233" t="s">
        <v>530</v>
      </c>
      <c r="N1550" s="233" t="s">
        <v>531</v>
      </c>
      <c r="O1550" s="3" t="s">
        <v>2001</v>
      </c>
    </row>
    <row r="1551" spans="1:15">
      <c r="A1551">
        <v>193</v>
      </c>
      <c r="B1551">
        <v>1666</v>
      </c>
      <c r="C1551" t="s">
        <v>79</v>
      </c>
      <c r="D1551" t="s">
        <v>215</v>
      </c>
      <c r="E1551" s="232" t="s">
        <v>9709</v>
      </c>
      <c r="F1551" t="s">
        <v>71</v>
      </c>
      <c r="G1551">
        <v>2</v>
      </c>
      <c r="H1551">
        <v>664.41600000000005</v>
      </c>
      <c r="I1551">
        <v>662.202</v>
      </c>
      <c r="J1551">
        <v>658.71299999999997</v>
      </c>
      <c r="K1551">
        <v>654.98800000000006</v>
      </c>
      <c r="L1551">
        <v>649.75199999999995</v>
      </c>
      <c r="M1551" s="233" t="s">
        <v>530</v>
      </c>
      <c r="N1551" s="233" t="s">
        <v>531</v>
      </c>
      <c r="O1551" s="3" t="s">
        <v>2002</v>
      </c>
    </row>
    <row r="1552" spans="1:15">
      <c r="A1552">
        <v>193</v>
      </c>
      <c r="B1552">
        <v>1665</v>
      </c>
      <c r="C1552" t="s">
        <v>79</v>
      </c>
      <c r="D1552" t="s">
        <v>215</v>
      </c>
      <c r="E1552" s="232" t="s">
        <v>8654</v>
      </c>
      <c r="F1552" t="s">
        <v>71</v>
      </c>
      <c r="G1552">
        <v>2</v>
      </c>
      <c r="H1552">
        <v>664.31</v>
      </c>
      <c r="I1552">
        <v>661.995</v>
      </c>
      <c r="J1552">
        <v>658.50599999999997</v>
      </c>
      <c r="K1552">
        <v>654.68299999999999</v>
      </c>
      <c r="L1552">
        <v>649.98299999999995</v>
      </c>
      <c r="M1552" s="233" t="s">
        <v>530</v>
      </c>
      <c r="N1552" s="233" t="s">
        <v>531</v>
      </c>
      <c r="O1552" s="3" t="s">
        <v>2003</v>
      </c>
    </row>
    <row r="1553" spans="1:15">
      <c r="A1553">
        <v>193</v>
      </c>
      <c r="B1553">
        <v>1664</v>
      </c>
      <c r="C1553" t="s">
        <v>79</v>
      </c>
      <c r="D1553" t="s">
        <v>215</v>
      </c>
      <c r="E1553" s="232" t="s">
        <v>8804</v>
      </c>
      <c r="F1553" t="s">
        <v>71</v>
      </c>
      <c r="G1553">
        <v>2</v>
      </c>
      <c r="H1553">
        <v>662.202</v>
      </c>
      <c r="I1553">
        <v>660.13</v>
      </c>
      <c r="J1553">
        <v>656.71</v>
      </c>
      <c r="K1553">
        <v>652.84100000000001</v>
      </c>
      <c r="L1553">
        <v>647.77499999999998</v>
      </c>
      <c r="M1553" s="233" t="s">
        <v>530</v>
      </c>
      <c r="N1553" s="233" t="s">
        <v>531</v>
      </c>
      <c r="O1553" s="3" t="s">
        <v>2004</v>
      </c>
    </row>
    <row r="1554" spans="1:15">
      <c r="A1554">
        <v>193</v>
      </c>
      <c r="B1554">
        <v>1675</v>
      </c>
      <c r="C1554" t="s">
        <v>79</v>
      </c>
      <c r="D1554" t="s">
        <v>215</v>
      </c>
      <c r="E1554" s="232" t="s">
        <v>11665</v>
      </c>
      <c r="F1554" t="s">
        <v>71</v>
      </c>
      <c r="G1554">
        <v>2</v>
      </c>
      <c r="H1554">
        <v>660.44299999999998</v>
      </c>
      <c r="I1554">
        <v>658.21299999999997</v>
      </c>
      <c r="J1554">
        <v>654.68299999999999</v>
      </c>
      <c r="K1554">
        <v>651.33500000000004</v>
      </c>
      <c r="L1554">
        <v>646.16200000000003</v>
      </c>
      <c r="M1554" s="233" t="s">
        <v>530</v>
      </c>
      <c r="N1554" s="233" t="s">
        <v>531</v>
      </c>
      <c r="O1554" s="3" t="s">
        <v>2005</v>
      </c>
    </row>
    <row r="1555" spans="1:15">
      <c r="A1555">
        <v>193</v>
      </c>
      <c r="B1555">
        <v>1674</v>
      </c>
      <c r="C1555" t="s">
        <v>79</v>
      </c>
      <c r="D1555" t="s">
        <v>215</v>
      </c>
      <c r="E1555" s="232" t="s">
        <v>560</v>
      </c>
      <c r="F1555" t="s">
        <v>71</v>
      </c>
      <c r="G1555">
        <v>2</v>
      </c>
      <c r="H1555">
        <v>658.08799999999997</v>
      </c>
      <c r="I1555">
        <v>655.98</v>
      </c>
      <c r="J1555">
        <v>652.61</v>
      </c>
      <c r="K1555">
        <v>649.27499999999998</v>
      </c>
      <c r="L1555">
        <v>644.62400000000002</v>
      </c>
      <c r="M1555" s="233" t="s">
        <v>530</v>
      </c>
      <c r="N1555" s="233" t="s">
        <v>531</v>
      </c>
      <c r="O1555" s="3" t="s">
        <v>2006</v>
      </c>
    </row>
    <row r="1556" spans="1:15">
      <c r="A1556">
        <v>193</v>
      </c>
      <c r="B1556">
        <v>1679</v>
      </c>
      <c r="C1556" t="s">
        <v>79</v>
      </c>
      <c r="D1556" t="s">
        <v>215</v>
      </c>
      <c r="E1556" s="232" t="s">
        <v>562</v>
      </c>
      <c r="F1556" t="s">
        <v>71</v>
      </c>
      <c r="G1556">
        <v>2</v>
      </c>
      <c r="H1556">
        <v>656.99400000000003</v>
      </c>
      <c r="I1556">
        <v>655.00699999999995</v>
      </c>
      <c r="J1556">
        <v>651.73299999999995</v>
      </c>
      <c r="K1556">
        <v>648.298</v>
      </c>
      <c r="L1556">
        <v>643.69500000000005</v>
      </c>
      <c r="M1556" s="233" t="s">
        <v>530</v>
      </c>
      <c r="N1556" s="233" t="s">
        <v>531</v>
      </c>
      <c r="O1556" s="3" t="s">
        <v>2007</v>
      </c>
    </row>
    <row r="1557" spans="1:15">
      <c r="A1557">
        <v>197</v>
      </c>
      <c r="B1557">
        <v>1650</v>
      </c>
      <c r="C1557" t="s">
        <v>79</v>
      </c>
      <c r="D1557" t="s">
        <v>215</v>
      </c>
      <c r="E1557" s="232" t="s">
        <v>13348</v>
      </c>
      <c r="F1557" t="s">
        <v>71</v>
      </c>
      <c r="G1557">
        <v>2</v>
      </c>
      <c r="H1557">
        <v>668.51300000000003</v>
      </c>
      <c r="I1557">
        <v>666.17399999999998</v>
      </c>
      <c r="J1557">
        <v>661.70799999999997</v>
      </c>
      <c r="K1557">
        <v>657.62800000000004</v>
      </c>
      <c r="L1557">
        <v>652.99300000000005</v>
      </c>
      <c r="M1557" s="233" t="s">
        <v>530</v>
      </c>
      <c r="N1557" s="233" t="s">
        <v>531</v>
      </c>
      <c r="O1557" s="3" t="s">
        <v>2008</v>
      </c>
    </row>
    <row r="1558" spans="1:15">
      <c r="A1558">
        <v>197</v>
      </c>
      <c r="B1558">
        <v>1647</v>
      </c>
      <c r="C1558" t="s">
        <v>79</v>
      </c>
      <c r="D1558" t="s">
        <v>215</v>
      </c>
      <c r="E1558" s="232" t="s">
        <v>12105</v>
      </c>
      <c r="F1558" t="s">
        <v>71</v>
      </c>
      <c r="G1558">
        <v>2</v>
      </c>
      <c r="H1558">
        <v>663.51300000000003</v>
      </c>
      <c r="I1558">
        <v>662.04200000000003</v>
      </c>
      <c r="J1558">
        <v>660</v>
      </c>
      <c r="K1558">
        <v>657.71299999999997</v>
      </c>
      <c r="L1558">
        <v>655.15800000000002</v>
      </c>
      <c r="M1558" s="233" t="s">
        <v>530</v>
      </c>
      <c r="N1558" s="233" t="s">
        <v>531</v>
      </c>
      <c r="O1558" s="3" t="s">
        <v>2009</v>
      </c>
    </row>
    <row r="1559" spans="1:15">
      <c r="A1559">
        <v>197</v>
      </c>
      <c r="B1559">
        <v>1646</v>
      </c>
      <c r="C1559" t="s">
        <v>79</v>
      </c>
      <c r="D1559" t="s">
        <v>215</v>
      </c>
      <c r="E1559" s="232" t="s">
        <v>13569</v>
      </c>
      <c r="F1559" t="s">
        <v>71</v>
      </c>
      <c r="G1559">
        <v>2</v>
      </c>
      <c r="H1559">
        <v>660.596</v>
      </c>
      <c r="I1559">
        <v>659.48800000000006</v>
      </c>
      <c r="J1559">
        <v>657.27700000000004</v>
      </c>
      <c r="K1559">
        <v>655.49300000000005</v>
      </c>
      <c r="L1559">
        <v>651.95799999999997</v>
      </c>
      <c r="M1559" s="233" t="s">
        <v>530</v>
      </c>
      <c r="N1559" s="233" t="s">
        <v>531</v>
      </c>
      <c r="O1559" s="3" t="s">
        <v>2010</v>
      </c>
    </row>
    <row r="1560" spans="1:15">
      <c r="A1560">
        <v>197</v>
      </c>
      <c r="B1560">
        <v>1651</v>
      </c>
      <c r="C1560" t="s">
        <v>79</v>
      </c>
      <c r="D1560" t="s">
        <v>215</v>
      </c>
      <c r="E1560" s="232" t="s">
        <v>13595</v>
      </c>
      <c r="F1560" t="s">
        <v>71</v>
      </c>
      <c r="G1560">
        <v>2</v>
      </c>
      <c r="H1560">
        <v>660.68</v>
      </c>
      <c r="I1560">
        <v>658.80899999999997</v>
      </c>
      <c r="J1560">
        <v>655.49300000000005</v>
      </c>
      <c r="K1560">
        <v>651.25199999999995</v>
      </c>
      <c r="L1560">
        <v>645.41200000000003</v>
      </c>
      <c r="M1560" s="233" t="s">
        <v>530</v>
      </c>
      <c r="N1560" s="233" t="s">
        <v>531</v>
      </c>
      <c r="O1560" s="3" t="s">
        <v>2011</v>
      </c>
    </row>
    <row r="1561" spans="1:15">
      <c r="A1561">
        <v>197</v>
      </c>
      <c r="B1561">
        <v>1640</v>
      </c>
      <c r="C1561" t="s">
        <v>79</v>
      </c>
      <c r="D1561" t="s">
        <v>215</v>
      </c>
      <c r="E1561" s="232" t="s">
        <v>13615</v>
      </c>
      <c r="F1561" t="s">
        <v>71</v>
      </c>
      <c r="G1561">
        <v>2</v>
      </c>
      <c r="H1561">
        <v>660.596</v>
      </c>
      <c r="I1561">
        <v>658.47500000000002</v>
      </c>
      <c r="J1561">
        <v>655.24300000000005</v>
      </c>
      <c r="K1561">
        <v>650.55700000000002</v>
      </c>
      <c r="L1561">
        <v>645.24300000000005</v>
      </c>
      <c r="M1561" s="233" t="s">
        <v>530</v>
      </c>
      <c r="N1561" s="233" t="s">
        <v>531</v>
      </c>
      <c r="O1561" s="3" t="s">
        <v>2012</v>
      </c>
    </row>
    <row r="1562" spans="1:15">
      <c r="A1562">
        <v>197</v>
      </c>
      <c r="B1562">
        <v>1644</v>
      </c>
      <c r="C1562" t="s">
        <v>79</v>
      </c>
      <c r="D1562" t="s">
        <v>215</v>
      </c>
      <c r="E1562" s="232" t="s">
        <v>13730</v>
      </c>
      <c r="F1562" t="s">
        <v>71</v>
      </c>
      <c r="G1562">
        <v>2</v>
      </c>
      <c r="H1562">
        <v>655.15800000000002</v>
      </c>
      <c r="I1562">
        <v>653.94299999999998</v>
      </c>
      <c r="J1562">
        <v>651.62300000000005</v>
      </c>
      <c r="K1562">
        <v>648.94299999999998</v>
      </c>
      <c r="L1562">
        <v>645.79700000000003</v>
      </c>
      <c r="M1562" s="233" t="s">
        <v>530</v>
      </c>
      <c r="N1562" s="233" t="s">
        <v>531</v>
      </c>
      <c r="O1562" s="3" t="s">
        <v>2013</v>
      </c>
    </row>
    <row r="1563" spans="1:15">
      <c r="A1563">
        <v>197</v>
      </c>
      <c r="B1563">
        <v>1654</v>
      </c>
      <c r="C1563" t="s">
        <v>79</v>
      </c>
      <c r="D1563" t="s">
        <v>215</v>
      </c>
      <c r="E1563" s="232" t="s">
        <v>7352</v>
      </c>
      <c r="F1563" t="s">
        <v>71</v>
      </c>
      <c r="G1563">
        <v>2</v>
      </c>
      <c r="H1563">
        <v>657.02700000000004</v>
      </c>
      <c r="I1563">
        <v>655.24300000000005</v>
      </c>
      <c r="J1563">
        <v>650.66800000000001</v>
      </c>
      <c r="K1563">
        <v>646.29700000000003</v>
      </c>
      <c r="L1563">
        <v>641.97</v>
      </c>
      <c r="M1563" s="233" t="s">
        <v>530</v>
      </c>
      <c r="N1563" s="233" t="s">
        <v>531</v>
      </c>
      <c r="O1563" s="3" t="s">
        <v>2014</v>
      </c>
    </row>
    <row r="1564" spans="1:15">
      <c r="A1564">
        <v>197</v>
      </c>
      <c r="B1564">
        <v>1637</v>
      </c>
      <c r="C1564" t="s">
        <v>79</v>
      </c>
      <c r="D1564" t="s">
        <v>215</v>
      </c>
      <c r="E1564" s="232" t="s">
        <v>13775</v>
      </c>
      <c r="F1564" t="s">
        <v>71</v>
      </c>
      <c r="G1564">
        <v>2</v>
      </c>
      <c r="H1564">
        <v>654.02800000000002</v>
      </c>
      <c r="I1564">
        <v>651.87300000000005</v>
      </c>
      <c r="J1564">
        <v>647.43499999999995</v>
      </c>
      <c r="K1564">
        <v>643.69000000000005</v>
      </c>
      <c r="L1564">
        <v>639.37300000000005</v>
      </c>
      <c r="M1564" s="233" t="s">
        <v>530</v>
      </c>
      <c r="N1564" s="233" t="s">
        <v>531</v>
      </c>
      <c r="O1564" s="3" t="s">
        <v>2015</v>
      </c>
    </row>
    <row r="1565" spans="1:15">
      <c r="A1565">
        <v>197</v>
      </c>
      <c r="B1565">
        <v>1638</v>
      </c>
      <c r="C1565" t="s">
        <v>79</v>
      </c>
      <c r="D1565" t="s">
        <v>215</v>
      </c>
      <c r="E1565" s="232" t="s">
        <v>12830</v>
      </c>
      <c r="F1565" t="s">
        <v>71</v>
      </c>
      <c r="G1565">
        <v>2</v>
      </c>
      <c r="H1565">
        <v>650.66800000000001</v>
      </c>
      <c r="I1565">
        <v>648.404</v>
      </c>
      <c r="J1565">
        <v>644.78300000000002</v>
      </c>
      <c r="K1565">
        <v>641.36800000000005</v>
      </c>
      <c r="L1565">
        <v>636.54300000000001</v>
      </c>
      <c r="M1565" s="233" t="s">
        <v>530</v>
      </c>
      <c r="N1565" s="233" t="s">
        <v>531</v>
      </c>
      <c r="O1565" s="3" t="s">
        <v>2016</v>
      </c>
    </row>
    <row r="1566" spans="1:15">
      <c r="A1566">
        <v>190</v>
      </c>
      <c r="B1566">
        <v>1485</v>
      </c>
      <c r="C1566" t="s">
        <v>79</v>
      </c>
      <c r="D1566" t="s">
        <v>8000</v>
      </c>
      <c r="E1566" s="232" t="s">
        <v>12027</v>
      </c>
      <c r="F1566" t="s">
        <v>70</v>
      </c>
      <c r="G1566">
        <v>3</v>
      </c>
      <c r="H1566">
        <v>858.69399999999996</v>
      </c>
      <c r="I1566">
        <v>856.00599999999997</v>
      </c>
      <c r="J1566">
        <v>850.524</v>
      </c>
      <c r="K1566">
        <v>845.25400000000002</v>
      </c>
      <c r="L1566">
        <v>839.56799999999998</v>
      </c>
      <c r="M1566" s="233" t="s">
        <v>532</v>
      </c>
      <c r="N1566" s="233" t="s">
        <v>532</v>
      </c>
      <c r="O1566" s="3" t="s">
        <v>2017</v>
      </c>
    </row>
    <row r="1567" spans="1:15">
      <c r="A1567">
        <v>190</v>
      </c>
      <c r="B1567">
        <v>1532</v>
      </c>
      <c r="C1567" t="s">
        <v>79</v>
      </c>
      <c r="D1567" t="s">
        <v>8000</v>
      </c>
      <c r="E1567" s="232" t="s">
        <v>554</v>
      </c>
      <c r="F1567" t="s">
        <v>70</v>
      </c>
      <c r="G1567">
        <v>3</v>
      </c>
      <c r="H1567">
        <v>841.51900000000001</v>
      </c>
      <c r="I1567">
        <v>839.36400000000003</v>
      </c>
      <c r="J1567">
        <v>834.74800000000005</v>
      </c>
      <c r="K1567">
        <v>829.65200000000004</v>
      </c>
      <c r="L1567">
        <v>823.32</v>
      </c>
      <c r="M1567" s="233" t="s">
        <v>532</v>
      </c>
      <c r="N1567" s="233" t="s">
        <v>532</v>
      </c>
      <c r="O1567" s="3" t="s">
        <v>2018</v>
      </c>
    </row>
    <row r="1568" spans="1:15">
      <c r="A1568">
        <v>190</v>
      </c>
      <c r="B1568">
        <v>1487</v>
      </c>
      <c r="C1568" t="s">
        <v>79</v>
      </c>
      <c r="D1568" t="s">
        <v>8000</v>
      </c>
      <c r="E1568" s="232" t="s">
        <v>9611</v>
      </c>
      <c r="F1568" t="s">
        <v>70</v>
      </c>
      <c r="G1568">
        <v>3</v>
      </c>
      <c r="H1568">
        <v>832.76900000000001</v>
      </c>
      <c r="I1568">
        <v>830.46</v>
      </c>
      <c r="J1568">
        <v>825.822</v>
      </c>
      <c r="K1568">
        <v>820.76599999999996</v>
      </c>
      <c r="L1568">
        <v>814.97699999999998</v>
      </c>
      <c r="M1568" s="233" t="s">
        <v>532</v>
      </c>
      <c r="N1568" s="233" t="s">
        <v>532</v>
      </c>
      <c r="O1568" s="3" t="s">
        <v>2019</v>
      </c>
    </row>
    <row r="1569" spans="1:15">
      <c r="A1569">
        <v>190</v>
      </c>
      <c r="B1569">
        <v>1506</v>
      </c>
      <c r="C1569" t="s">
        <v>79</v>
      </c>
      <c r="D1569" t="s">
        <v>8000</v>
      </c>
      <c r="E1569" s="232" t="s">
        <v>8558</v>
      </c>
      <c r="F1569" t="s">
        <v>70</v>
      </c>
      <c r="G1569">
        <v>3</v>
      </c>
      <c r="H1569">
        <v>832.36500000000001</v>
      </c>
      <c r="I1569">
        <v>830.19399999999996</v>
      </c>
      <c r="J1569">
        <v>825.37699999999995</v>
      </c>
      <c r="K1569">
        <v>820.40700000000004</v>
      </c>
      <c r="L1569">
        <v>814.6</v>
      </c>
      <c r="M1569" s="233" t="s">
        <v>532</v>
      </c>
      <c r="N1569" s="233" t="s">
        <v>532</v>
      </c>
      <c r="O1569" s="3" t="s">
        <v>2020</v>
      </c>
    </row>
    <row r="1570" spans="1:15">
      <c r="A1570">
        <v>190</v>
      </c>
      <c r="B1570">
        <v>1495</v>
      </c>
      <c r="C1570" t="s">
        <v>79</v>
      </c>
      <c r="D1570" t="s">
        <v>8000</v>
      </c>
      <c r="E1570" s="232" t="s">
        <v>8168</v>
      </c>
      <c r="F1570" t="s">
        <v>70</v>
      </c>
      <c r="G1570">
        <v>3</v>
      </c>
      <c r="H1570">
        <v>829.48199999999997</v>
      </c>
      <c r="I1570">
        <v>827.12300000000005</v>
      </c>
      <c r="J1570">
        <v>822.31200000000001</v>
      </c>
      <c r="K1570">
        <v>817.68299999999999</v>
      </c>
      <c r="L1570">
        <v>812.07100000000003</v>
      </c>
      <c r="M1570" s="233" t="s">
        <v>532</v>
      </c>
      <c r="N1570" s="233" t="s">
        <v>532</v>
      </c>
      <c r="O1570" s="3" t="s">
        <v>2021</v>
      </c>
    </row>
    <row r="1571" spans="1:15">
      <c r="A1571">
        <v>190</v>
      </c>
      <c r="B1571">
        <v>1491</v>
      </c>
      <c r="C1571" t="s">
        <v>79</v>
      </c>
      <c r="D1571" t="s">
        <v>8000</v>
      </c>
      <c r="E1571" s="232" t="s">
        <v>8148</v>
      </c>
      <c r="F1571" t="s">
        <v>70</v>
      </c>
      <c r="G1571">
        <v>3</v>
      </c>
      <c r="H1571">
        <v>826.19600000000003</v>
      </c>
      <c r="I1571">
        <v>823.85199999999998</v>
      </c>
      <c r="J1571">
        <v>819.19600000000003</v>
      </c>
      <c r="K1571">
        <v>814.78899999999999</v>
      </c>
      <c r="L1571">
        <v>809.50199999999995</v>
      </c>
      <c r="M1571" s="233" t="s">
        <v>532</v>
      </c>
      <c r="N1571" s="233" t="s">
        <v>532</v>
      </c>
      <c r="O1571" s="3" t="s">
        <v>2022</v>
      </c>
    </row>
    <row r="1572" spans="1:15">
      <c r="A1572">
        <v>190</v>
      </c>
      <c r="B1572">
        <v>1493</v>
      </c>
      <c r="C1572" t="s">
        <v>79</v>
      </c>
      <c r="D1572" t="s">
        <v>8000</v>
      </c>
      <c r="E1572" s="232" t="s">
        <v>8418</v>
      </c>
      <c r="F1572" t="s">
        <v>70</v>
      </c>
      <c r="G1572">
        <v>3</v>
      </c>
      <c r="H1572">
        <v>825.822</v>
      </c>
      <c r="I1572">
        <v>823.47799999999995</v>
      </c>
      <c r="J1572">
        <v>818.84900000000005</v>
      </c>
      <c r="K1572">
        <v>814.39599999999996</v>
      </c>
      <c r="L1572">
        <v>809.13699999999994</v>
      </c>
      <c r="M1572" s="233" t="s">
        <v>532</v>
      </c>
      <c r="N1572" s="233" t="s">
        <v>532</v>
      </c>
      <c r="O1572" s="3" t="s">
        <v>2023</v>
      </c>
    </row>
    <row r="1573" spans="1:15">
      <c r="A1573">
        <v>190</v>
      </c>
      <c r="B1573">
        <v>1488</v>
      </c>
      <c r="C1573" t="s">
        <v>79</v>
      </c>
      <c r="D1573" t="s">
        <v>8000</v>
      </c>
      <c r="E1573" s="232" t="s">
        <v>9339</v>
      </c>
      <c r="F1573" t="s">
        <v>70</v>
      </c>
      <c r="G1573">
        <v>3</v>
      </c>
      <c r="H1573">
        <v>824.04100000000005</v>
      </c>
      <c r="I1573">
        <v>821.57299999999998</v>
      </c>
      <c r="J1573">
        <v>817.33600000000001</v>
      </c>
      <c r="K1573">
        <v>812.87199999999996</v>
      </c>
      <c r="L1573">
        <v>807.57299999999998</v>
      </c>
      <c r="M1573" s="233" t="s">
        <v>532</v>
      </c>
      <c r="N1573" s="233" t="s">
        <v>532</v>
      </c>
      <c r="O1573" s="3" t="s">
        <v>2024</v>
      </c>
    </row>
    <row r="1574" spans="1:15">
      <c r="A1574">
        <v>190</v>
      </c>
      <c r="B1574">
        <v>1502</v>
      </c>
      <c r="C1574" t="s">
        <v>79</v>
      </c>
      <c r="D1574" t="s">
        <v>8000</v>
      </c>
      <c r="E1574" s="232" t="s">
        <v>8877</v>
      </c>
      <c r="F1574" t="s">
        <v>70</v>
      </c>
      <c r="G1574">
        <v>3</v>
      </c>
      <c r="H1574">
        <v>821.57299999999998</v>
      </c>
      <c r="I1574">
        <v>819.58799999999997</v>
      </c>
      <c r="J1574">
        <v>815.5</v>
      </c>
      <c r="K1574">
        <v>811.08100000000002</v>
      </c>
      <c r="L1574">
        <v>805.84500000000003</v>
      </c>
      <c r="M1574" s="233" t="s">
        <v>532</v>
      </c>
      <c r="N1574" s="233" t="s">
        <v>532</v>
      </c>
      <c r="O1574" s="3" t="s">
        <v>2025</v>
      </c>
    </row>
    <row r="1575" spans="1:15">
      <c r="A1575">
        <v>190</v>
      </c>
      <c r="B1575">
        <v>1544</v>
      </c>
      <c r="C1575" t="s">
        <v>79</v>
      </c>
      <c r="D1575" t="s">
        <v>8000</v>
      </c>
      <c r="E1575" s="232" t="s">
        <v>8197</v>
      </c>
      <c r="F1575" t="s">
        <v>70</v>
      </c>
      <c r="G1575">
        <v>3</v>
      </c>
      <c r="H1575">
        <v>821.57299999999998</v>
      </c>
      <c r="I1575">
        <v>819.58799999999997</v>
      </c>
      <c r="J1575">
        <v>815.5</v>
      </c>
      <c r="K1575">
        <v>811.08100000000002</v>
      </c>
      <c r="L1575">
        <v>805.84500000000003</v>
      </c>
      <c r="M1575" s="233" t="s">
        <v>532</v>
      </c>
      <c r="N1575" s="233" t="s">
        <v>532</v>
      </c>
      <c r="O1575" s="3" t="s">
        <v>2026</v>
      </c>
    </row>
    <row r="1576" spans="1:15">
      <c r="A1576">
        <v>190</v>
      </c>
      <c r="B1576">
        <v>1505</v>
      </c>
      <c r="C1576" t="s">
        <v>79</v>
      </c>
      <c r="D1576" t="s">
        <v>8000</v>
      </c>
      <c r="E1576" s="232" t="s">
        <v>549</v>
      </c>
      <c r="F1576" t="s">
        <v>70</v>
      </c>
      <c r="G1576">
        <v>3</v>
      </c>
      <c r="H1576">
        <v>820.01499999999999</v>
      </c>
      <c r="I1576">
        <v>817.68299999999999</v>
      </c>
      <c r="J1576">
        <v>813.61099999999999</v>
      </c>
      <c r="K1576">
        <v>809.50199999999995</v>
      </c>
      <c r="L1576">
        <v>804.20699999999999</v>
      </c>
      <c r="M1576" s="233" t="s">
        <v>532</v>
      </c>
      <c r="N1576" s="233" t="s">
        <v>532</v>
      </c>
      <c r="O1576" s="3" t="s">
        <v>2027</v>
      </c>
    </row>
    <row r="1577" spans="1:15">
      <c r="A1577">
        <v>190</v>
      </c>
      <c r="B1577">
        <v>1494</v>
      </c>
      <c r="C1577" t="s">
        <v>79</v>
      </c>
      <c r="D1577" t="s">
        <v>8000</v>
      </c>
      <c r="E1577" s="232" t="s">
        <v>8007</v>
      </c>
      <c r="F1577" t="s">
        <v>70</v>
      </c>
      <c r="G1577">
        <v>3</v>
      </c>
      <c r="H1577">
        <v>818.67899999999997</v>
      </c>
      <c r="I1577">
        <v>816.51700000000005</v>
      </c>
      <c r="J1577">
        <v>812.59400000000005</v>
      </c>
      <c r="K1577">
        <v>808.32500000000005</v>
      </c>
      <c r="L1577">
        <v>803.27</v>
      </c>
      <c r="M1577" s="233" t="s">
        <v>532</v>
      </c>
      <c r="N1577" s="233" t="s">
        <v>532</v>
      </c>
      <c r="O1577" s="3" t="s">
        <v>2028</v>
      </c>
    </row>
    <row r="1578" spans="1:15">
      <c r="A1578">
        <v>190</v>
      </c>
      <c r="B1578">
        <v>1523</v>
      </c>
      <c r="C1578" t="s">
        <v>79</v>
      </c>
      <c r="D1578" t="s">
        <v>8000</v>
      </c>
      <c r="E1578" s="232" t="s">
        <v>11747</v>
      </c>
      <c r="F1578" t="s">
        <v>70</v>
      </c>
      <c r="G1578">
        <v>3</v>
      </c>
      <c r="H1578">
        <v>817.68299999999999</v>
      </c>
      <c r="I1578">
        <v>815.77800000000002</v>
      </c>
      <c r="J1578">
        <v>811.71199999999999</v>
      </c>
      <c r="K1578">
        <v>807.57299999999998</v>
      </c>
      <c r="L1578">
        <v>802.49699999999996</v>
      </c>
      <c r="M1578" s="233" t="s">
        <v>532</v>
      </c>
      <c r="N1578" s="233" t="s">
        <v>532</v>
      </c>
      <c r="O1578" s="3" t="s">
        <v>2029</v>
      </c>
    </row>
    <row r="1579" spans="1:15">
      <c r="A1579">
        <v>190</v>
      </c>
      <c r="B1579">
        <v>1543</v>
      </c>
      <c r="C1579" t="s">
        <v>79</v>
      </c>
      <c r="D1579" t="s">
        <v>8000</v>
      </c>
      <c r="E1579" s="232" t="s">
        <v>7366</v>
      </c>
      <c r="F1579" t="s">
        <v>70</v>
      </c>
      <c r="G1579">
        <v>3</v>
      </c>
      <c r="H1579">
        <v>817.30899999999997</v>
      </c>
      <c r="I1579">
        <v>815.31200000000001</v>
      </c>
      <c r="J1579">
        <v>811.08100000000002</v>
      </c>
      <c r="K1579">
        <v>806.94299999999998</v>
      </c>
      <c r="L1579">
        <v>802.09199999999998</v>
      </c>
      <c r="M1579" s="233" t="s">
        <v>532</v>
      </c>
      <c r="N1579" s="233" t="s">
        <v>532</v>
      </c>
      <c r="O1579" s="3" t="s">
        <v>2030</v>
      </c>
    </row>
    <row r="1580" spans="1:15">
      <c r="A1580">
        <v>190</v>
      </c>
      <c r="B1580">
        <v>1510</v>
      </c>
      <c r="C1580" t="s">
        <v>79</v>
      </c>
      <c r="D1580" t="s">
        <v>8000</v>
      </c>
      <c r="E1580" s="232" t="s">
        <v>13903</v>
      </c>
      <c r="F1580" t="s">
        <v>70</v>
      </c>
      <c r="G1580">
        <v>3</v>
      </c>
      <c r="H1580">
        <v>814.78899999999999</v>
      </c>
      <c r="I1580">
        <v>812.87199999999996</v>
      </c>
      <c r="J1580">
        <v>808.92100000000005</v>
      </c>
      <c r="K1580">
        <v>804.64</v>
      </c>
      <c r="L1580">
        <v>800.08600000000001</v>
      </c>
      <c r="M1580" s="233" t="s">
        <v>532</v>
      </c>
      <c r="N1580" s="233" t="s">
        <v>532</v>
      </c>
      <c r="O1580" s="3" t="s">
        <v>2031</v>
      </c>
    </row>
    <row r="1581" spans="1:15">
      <c r="A1581">
        <v>190</v>
      </c>
      <c r="B1581">
        <v>1500</v>
      </c>
      <c r="C1581" t="s">
        <v>79</v>
      </c>
      <c r="D1581" t="s">
        <v>8000</v>
      </c>
      <c r="E1581" s="232" t="s">
        <v>16715</v>
      </c>
      <c r="F1581" t="s">
        <v>70</v>
      </c>
      <c r="G1581">
        <v>3</v>
      </c>
      <c r="H1581">
        <v>812.25900000000001</v>
      </c>
      <c r="I1581">
        <v>810.303</v>
      </c>
      <c r="J1581">
        <v>806.41899999999998</v>
      </c>
      <c r="K1581">
        <v>802.49699999999996</v>
      </c>
      <c r="L1581">
        <v>797.95299999999997</v>
      </c>
      <c r="M1581" s="233" t="s">
        <v>532</v>
      </c>
      <c r="N1581" s="233" t="s">
        <v>532</v>
      </c>
      <c r="O1581" s="3" t="s">
        <v>2032</v>
      </c>
    </row>
    <row r="1582" spans="1:15">
      <c r="A1582">
        <v>190</v>
      </c>
      <c r="B1582">
        <v>1504</v>
      </c>
      <c r="C1582" t="s">
        <v>79</v>
      </c>
      <c r="D1582" t="s">
        <v>8000</v>
      </c>
      <c r="E1582" s="232" t="s">
        <v>13772</v>
      </c>
      <c r="F1582" t="s">
        <v>70</v>
      </c>
      <c r="G1582">
        <v>3</v>
      </c>
      <c r="H1582">
        <v>812.25900000000001</v>
      </c>
      <c r="I1582">
        <v>810.303</v>
      </c>
      <c r="J1582">
        <v>806.41899999999998</v>
      </c>
      <c r="K1582">
        <v>802.49699999999996</v>
      </c>
      <c r="L1582">
        <v>797.95299999999997</v>
      </c>
      <c r="M1582" s="233" t="s">
        <v>532</v>
      </c>
      <c r="N1582" s="233" t="s">
        <v>532</v>
      </c>
      <c r="O1582" s="3" t="s">
        <v>2033</v>
      </c>
    </row>
    <row r="1583" spans="1:15">
      <c r="A1583">
        <v>190</v>
      </c>
      <c r="B1583">
        <v>1489</v>
      </c>
      <c r="C1583" t="s">
        <v>79</v>
      </c>
      <c r="D1583" t="s">
        <v>8000</v>
      </c>
      <c r="E1583" s="232" t="s">
        <v>13669</v>
      </c>
      <c r="F1583" t="s">
        <v>70</v>
      </c>
      <c r="G1583">
        <v>3</v>
      </c>
      <c r="H1583">
        <v>810.50699999999995</v>
      </c>
      <c r="I1583">
        <v>808.75099999999998</v>
      </c>
      <c r="J1583">
        <v>804.82799999999997</v>
      </c>
      <c r="K1583">
        <v>801.29200000000003</v>
      </c>
      <c r="L1583">
        <v>796.58399999999995</v>
      </c>
      <c r="M1583" s="233" t="s">
        <v>532</v>
      </c>
      <c r="N1583" s="233" t="s">
        <v>532</v>
      </c>
      <c r="O1583" s="3" t="s">
        <v>2034</v>
      </c>
    </row>
    <row r="1584" spans="1:15">
      <c r="A1584">
        <v>190</v>
      </c>
      <c r="B1584">
        <v>1498</v>
      </c>
      <c r="C1584" t="s">
        <v>79</v>
      </c>
      <c r="D1584" t="s">
        <v>8000</v>
      </c>
      <c r="E1584" s="232" t="s">
        <v>8415</v>
      </c>
      <c r="F1584" t="s">
        <v>70</v>
      </c>
      <c r="G1584">
        <v>3</v>
      </c>
      <c r="H1584">
        <v>810.303</v>
      </c>
      <c r="I1584">
        <v>808.32500000000005</v>
      </c>
      <c r="J1584">
        <v>804.64</v>
      </c>
      <c r="K1584">
        <v>800.90599999999995</v>
      </c>
      <c r="L1584">
        <v>796.24900000000002</v>
      </c>
      <c r="M1584" s="233" t="s">
        <v>532</v>
      </c>
      <c r="N1584" s="233" t="s">
        <v>532</v>
      </c>
      <c r="O1584" s="3" t="s">
        <v>2035</v>
      </c>
    </row>
    <row r="1585" spans="1:15">
      <c r="A1585">
        <v>190</v>
      </c>
      <c r="B1585">
        <v>1514</v>
      </c>
      <c r="C1585" t="s">
        <v>79</v>
      </c>
      <c r="D1585" t="s">
        <v>8000</v>
      </c>
      <c r="E1585" s="232" t="s">
        <v>13923</v>
      </c>
      <c r="F1585" t="s">
        <v>70</v>
      </c>
      <c r="G1585">
        <v>3</v>
      </c>
      <c r="H1585">
        <v>806.20399999999995</v>
      </c>
      <c r="I1585">
        <v>804.47500000000002</v>
      </c>
      <c r="J1585">
        <v>800.90599999999995</v>
      </c>
      <c r="K1585">
        <v>797.18600000000004</v>
      </c>
      <c r="L1585">
        <v>792.23500000000001</v>
      </c>
      <c r="M1585" s="233" t="s">
        <v>532</v>
      </c>
      <c r="N1585" s="233" t="s">
        <v>532</v>
      </c>
      <c r="O1585" s="3" t="s">
        <v>2036</v>
      </c>
    </row>
    <row r="1586" spans="1:15">
      <c r="A1586">
        <v>190</v>
      </c>
      <c r="B1586">
        <v>1503</v>
      </c>
      <c r="C1586" t="s">
        <v>79</v>
      </c>
      <c r="D1586" t="s">
        <v>8000</v>
      </c>
      <c r="E1586" s="232" t="s">
        <v>8640</v>
      </c>
      <c r="F1586" t="s">
        <v>70</v>
      </c>
      <c r="G1586">
        <v>3</v>
      </c>
      <c r="H1586">
        <v>805.67499999999995</v>
      </c>
      <c r="I1586">
        <v>803.82100000000003</v>
      </c>
      <c r="J1586">
        <v>800.553</v>
      </c>
      <c r="K1586">
        <v>796.8</v>
      </c>
      <c r="L1586">
        <v>791.66</v>
      </c>
      <c r="M1586" s="233" t="s">
        <v>532</v>
      </c>
      <c r="N1586" s="233" t="s">
        <v>532</v>
      </c>
      <c r="O1586" s="3" t="s">
        <v>2037</v>
      </c>
    </row>
    <row r="1587" spans="1:15">
      <c r="A1587">
        <v>190</v>
      </c>
      <c r="B1587">
        <v>1515</v>
      </c>
      <c r="C1587" t="s">
        <v>79</v>
      </c>
      <c r="D1587" t="s">
        <v>8000</v>
      </c>
      <c r="E1587" s="232" t="s">
        <v>8033</v>
      </c>
      <c r="F1587" t="s">
        <v>70</v>
      </c>
      <c r="G1587">
        <v>3</v>
      </c>
      <c r="H1587">
        <v>804.82799999999997</v>
      </c>
      <c r="I1587">
        <v>803.1</v>
      </c>
      <c r="J1587">
        <v>799.70100000000002</v>
      </c>
      <c r="K1587">
        <v>795.79200000000003</v>
      </c>
      <c r="L1587">
        <v>790.10199999999998</v>
      </c>
      <c r="M1587" s="233" t="s">
        <v>532</v>
      </c>
      <c r="N1587" s="233" t="s">
        <v>532</v>
      </c>
      <c r="O1587" s="3" t="s">
        <v>2038</v>
      </c>
    </row>
    <row r="1588" spans="1:15">
      <c r="A1588">
        <v>190</v>
      </c>
      <c r="B1588">
        <v>1531</v>
      </c>
      <c r="C1588" t="s">
        <v>79</v>
      </c>
      <c r="D1588" t="s">
        <v>8000</v>
      </c>
      <c r="E1588" s="232" t="s">
        <v>13966</v>
      </c>
      <c r="F1588" t="s">
        <v>70</v>
      </c>
      <c r="G1588">
        <v>3</v>
      </c>
      <c r="H1588">
        <v>804.47500000000002</v>
      </c>
      <c r="I1588">
        <v>802.83100000000002</v>
      </c>
      <c r="J1588">
        <v>799.34699999999998</v>
      </c>
      <c r="K1588">
        <v>795.40599999999995</v>
      </c>
      <c r="L1588">
        <v>789.28300000000002</v>
      </c>
      <c r="M1588" s="233" t="s">
        <v>532</v>
      </c>
      <c r="N1588" s="233" t="s">
        <v>532</v>
      </c>
      <c r="O1588" s="3" t="s">
        <v>2039</v>
      </c>
    </row>
    <row r="1589" spans="1:15">
      <c r="A1589">
        <v>190</v>
      </c>
      <c r="B1589">
        <v>1516</v>
      </c>
      <c r="C1589" t="s">
        <v>79</v>
      </c>
      <c r="D1589" t="s">
        <v>8000</v>
      </c>
      <c r="E1589" s="232" t="s">
        <v>8307</v>
      </c>
      <c r="F1589" t="s">
        <v>70</v>
      </c>
      <c r="G1589">
        <v>3</v>
      </c>
      <c r="H1589">
        <v>803.83900000000006</v>
      </c>
      <c r="I1589">
        <v>802.09199999999998</v>
      </c>
      <c r="J1589">
        <v>798.71699999999998</v>
      </c>
      <c r="K1589">
        <v>794.64</v>
      </c>
      <c r="L1589">
        <v>789.20799999999997</v>
      </c>
      <c r="M1589" s="233" t="s">
        <v>532</v>
      </c>
      <c r="N1589" s="233" t="s">
        <v>532</v>
      </c>
      <c r="O1589" s="3" t="s">
        <v>2040</v>
      </c>
    </row>
    <row r="1590" spans="1:15">
      <c r="A1590">
        <v>190</v>
      </c>
      <c r="B1590">
        <v>1535</v>
      </c>
      <c r="C1590" t="s">
        <v>79</v>
      </c>
      <c r="D1590" t="s">
        <v>8000</v>
      </c>
      <c r="E1590" s="232" t="s">
        <v>555</v>
      </c>
      <c r="F1590" t="s">
        <v>70</v>
      </c>
      <c r="G1590">
        <v>3</v>
      </c>
      <c r="H1590">
        <v>803.83900000000006</v>
      </c>
      <c r="I1590">
        <v>802.09199999999998</v>
      </c>
      <c r="J1590">
        <v>798.71699999999998</v>
      </c>
      <c r="K1590">
        <v>794.64</v>
      </c>
      <c r="L1590">
        <v>789.20799999999997</v>
      </c>
      <c r="M1590" s="233" t="s">
        <v>532</v>
      </c>
      <c r="N1590" s="233" t="s">
        <v>532</v>
      </c>
      <c r="O1590" s="3" t="s">
        <v>2041</v>
      </c>
    </row>
    <row r="1591" spans="1:15">
      <c r="A1591">
        <v>190</v>
      </c>
      <c r="B1591">
        <v>1512</v>
      </c>
      <c r="C1591" t="s">
        <v>79</v>
      </c>
      <c r="D1591" t="s">
        <v>8000</v>
      </c>
      <c r="E1591" s="232" t="s">
        <v>14065</v>
      </c>
      <c r="F1591" t="s">
        <v>70</v>
      </c>
      <c r="G1591">
        <v>3</v>
      </c>
      <c r="H1591">
        <v>802.09199999999998</v>
      </c>
      <c r="I1591">
        <v>800.553</v>
      </c>
      <c r="J1591">
        <v>797.20399999999995</v>
      </c>
      <c r="K1591">
        <v>792.69500000000005</v>
      </c>
      <c r="L1591">
        <v>786.24699999999996</v>
      </c>
      <c r="M1591" s="233" t="s">
        <v>532</v>
      </c>
      <c r="N1591" s="233" t="s">
        <v>532</v>
      </c>
      <c r="O1591" s="3" t="s">
        <v>2042</v>
      </c>
    </row>
    <row r="1592" spans="1:15">
      <c r="A1592">
        <v>190</v>
      </c>
      <c r="B1592">
        <v>1528</v>
      </c>
      <c r="C1592" t="s">
        <v>79</v>
      </c>
      <c r="D1592" t="s">
        <v>8000</v>
      </c>
      <c r="E1592" s="232" t="s">
        <v>13942</v>
      </c>
      <c r="F1592" t="s">
        <v>70</v>
      </c>
      <c r="G1592">
        <v>3</v>
      </c>
      <c r="H1592">
        <v>801.29200000000003</v>
      </c>
      <c r="I1592">
        <v>799.70100000000002</v>
      </c>
      <c r="J1592">
        <v>796.24900000000002</v>
      </c>
      <c r="K1592">
        <v>792.04600000000005</v>
      </c>
      <c r="L1592">
        <v>784.97199999999998</v>
      </c>
      <c r="M1592" s="233" t="s">
        <v>532</v>
      </c>
      <c r="N1592" s="233" t="s">
        <v>532</v>
      </c>
      <c r="O1592" s="3" t="s">
        <v>2043</v>
      </c>
    </row>
    <row r="1593" spans="1:15">
      <c r="A1593">
        <v>190</v>
      </c>
      <c r="B1593">
        <v>1492</v>
      </c>
      <c r="C1593" t="s">
        <v>79</v>
      </c>
      <c r="D1593" t="s">
        <v>8000</v>
      </c>
      <c r="E1593" s="232" t="s">
        <v>7825</v>
      </c>
      <c r="F1593" t="s">
        <v>70</v>
      </c>
      <c r="G1593">
        <v>3</v>
      </c>
      <c r="H1593">
        <v>800.11400000000003</v>
      </c>
      <c r="I1593">
        <v>798.52800000000002</v>
      </c>
      <c r="J1593">
        <v>794.82799999999997</v>
      </c>
      <c r="K1593">
        <v>790.10199999999998</v>
      </c>
      <c r="L1593">
        <v>783.76700000000005</v>
      </c>
      <c r="M1593" s="233" t="s">
        <v>532</v>
      </c>
      <c r="N1593" s="233" t="s">
        <v>532</v>
      </c>
      <c r="O1593" s="3" t="s">
        <v>2044</v>
      </c>
    </row>
    <row r="1594" spans="1:15">
      <c r="A1594">
        <v>190</v>
      </c>
      <c r="B1594">
        <v>1534</v>
      </c>
      <c r="C1594" t="s">
        <v>79</v>
      </c>
      <c r="D1594" t="s">
        <v>8000</v>
      </c>
      <c r="E1594" s="232" t="s">
        <v>10633</v>
      </c>
      <c r="F1594" t="s">
        <v>70</v>
      </c>
      <c r="G1594">
        <v>3</v>
      </c>
      <c r="H1594">
        <v>800.11400000000003</v>
      </c>
      <c r="I1594">
        <v>798.52800000000002</v>
      </c>
      <c r="J1594">
        <v>794.82799999999997</v>
      </c>
      <c r="K1594">
        <v>790.10199999999998</v>
      </c>
      <c r="L1594">
        <v>783.76700000000005</v>
      </c>
      <c r="M1594" s="233" t="s">
        <v>532</v>
      </c>
      <c r="N1594" s="233" t="s">
        <v>532</v>
      </c>
      <c r="O1594" s="3" t="s">
        <v>2045</v>
      </c>
    </row>
    <row r="1595" spans="1:15">
      <c r="A1595">
        <v>190</v>
      </c>
      <c r="B1595">
        <v>1520</v>
      </c>
      <c r="C1595" t="s">
        <v>79</v>
      </c>
      <c r="D1595" t="s">
        <v>8000</v>
      </c>
      <c r="E1595" s="232" t="s">
        <v>13976</v>
      </c>
      <c r="F1595" t="s">
        <v>70</v>
      </c>
      <c r="G1595">
        <v>3</v>
      </c>
      <c r="H1595">
        <v>799.70100000000002</v>
      </c>
      <c r="I1595">
        <v>797.95299999999997</v>
      </c>
      <c r="J1595">
        <v>794.22500000000002</v>
      </c>
      <c r="K1595">
        <v>790.02700000000004</v>
      </c>
      <c r="L1595">
        <v>783.07899999999995</v>
      </c>
      <c r="M1595" s="233" t="s">
        <v>532</v>
      </c>
      <c r="N1595" s="233" t="s">
        <v>532</v>
      </c>
      <c r="O1595" s="3" t="s">
        <v>2046</v>
      </c>
    </row>
    <row r="1596" spans="1:15">
      <c r="A1596">
        <v>190</v>
      </c>
      <c r="B1596">
        <v>1508</v>
      </c>
      <c r="C1596" t="s">
        <v>79</v>
      </c>
      <c r="D1596" t="s">
        <v>8000</v>
      </c>
      <c r="E1596" s="232" t="s">
        <v>11782</v>
      </c>
      <c r="F1596" t="s">
        <v>70</v>
      </c>
      <c r="G1596">
        <v>3</v>
      </c>
      <c r="H1596">
        <v>798.52800000000002</v>
      </c>
      <c r="I1596">
        <v>796.8</v>
      </c>
      <c r="J1596">
        <v>792.91099999999994</v>
      </c>
      <c r="K1596">
        <v>787.89400000000001</v>
      </c>
      <c r="L1596">
        <v>782.005</v>
      </c>
      <c r="M1596" s="233" t="s">
        <v>532</v>
      </c>
      <c r="N1596" s="233" t="s">
        <v>532</v>
      </c>
      <c r="O1596" s="3" t="s">
        <v>2047</v>
      </c>
    </row>
    <row r="1597" spans="1:15">
      <c r="A1597">
        <v>190</v>
      </c>
      <c r="B1597">
        <v>1501</v>
      </c>
      <c r="C1597" t="s">
        <v>79</v>
      </c>
      <c r="D1597" t="s">
        <v>8000</v>
      </c>
      <c r="E1597" s="232" t="s">
        <v>8502</v>
      </c>
      <c r="F1597" t="s">
        <v>70</v>
      </c>
      <c r="G1597">
        <v>3</v>
      </c>
      <c r="H1597">
        <v>798.16899999999998</v>
      </c>
      <c r="I1597">
        <v>796.41899999999998</v>
      </c>
      <c r="J1597">
        <v>792.61500000000001</v>
      </c>
      <c r="K1597">
        <v>787.26300000000003</v>
      </c>
      <c r="L1597">
        <v>781.56700000000001</v>
      </c>
      <c r="M1597" s="233" t="s">
        <v>532</v>
      </c>
      <c r="N1597" s="233" t="s">
        <v>532</v>
      </c>
      <c r="O1597" s="3" t="s">
        <v>2048</v>
      </c>
    </row>
    <row r="1598" spans="1:15">
      <c r="A1598">
        <v>190</v>
      </c>
      <c r="B1598">
        <v>1507</v>
      </c>
      <c r="C1598" t="s">
        <v>79</v>
      </c>
      <c r="D1598" t="s">
        <v>8000</v>
      </c>
      <c r="E1598" s="232" t="s">
        <v>486</v>
      </c>
      <c r="F1598" t="s">
        <v>70</v>
      </c>
      <c r="G1598">
        <v>3</v>
      </c>
      <c r="H1598">
        <v>798.16899999999998</v>
      </c>
      <c r="I1598">
        <v>796.41899999999998</v>
      </c>
      <c r="J1598">
        <v>792.399</v>
      </c>
      <c r="K1598">
        <v>787.07500000000005</v>
      </c>
      <c r="L1598">
        <v>781.56700000000001</v>
      </c>
      <c r="M1598" s="233" t="s">
        <v>532</v>
      </c>
      <c r="N1598" s="233" t="s">
        <v>532</v>
      </c>
      <c r="O1598" s="3" t="s">
        <v>2049</v>
      </c>
    </row>
    <row r="1599" spans="1:15">
      <c r="A1599">
        <v>190</v>
      </c>
      <c r="B1599">
        <v>1509</v>
      </c>
      <c r="C1599" t="s">
        <v>79</v>
      </c>
      <c r="D1599" t="s">
        <v>8000</v>
      </c>
      <c r="E1599" s="232" t="s">
        <v>10547</v>
      </c>
      <c r="F1599" t="s">
        <v>70</v>
      </c>
      <c r="G1599">
        <v>3</v>
      </c>
      <c r="H1599">
        <v>796.24900000000002</v>
      </c>
      <c r="I1599">
        <v>794.20600000000002</v>
      </c>
      <c r="J1599">
        <v>789.72199999999998</v>
      </c>
      <c r="K1599">
        <v>784.5</v>
      </c>
      <c r="L1599">
        <v>779.79300000000001</v>
      </c>
      <c r="M1599" s="233" t="s">
        <v>532</v>
      </c>
      <c r="N1599" s="233" t="s">
        <v>532</v>
      </c>
      <c r="O1599" s="3" t="s">
        <v>2050</v>
      </c>
    </row>
    <row r="1600" spans="1:15">
      <c r="A1600">
        <v>190</v>
      </c>
      <c r="B1600">
        <v>1545</v>
      </c>
      <c r="C1600" t="s">
        <v>79</v>
      </c>
      <c r="D1600" t="s">
        <v>8000</v>
      </c>
      <c r="E1600" s="232" t="s">
        <v>13463</v>
      </c>
      <c r="F1600" t="s">
        <v>70</v>
      </c>
      <c r="G1600">
        <v>3</v>
      </c>
      <c r="H1600">
        <v>796.24900000000002</v>
      </c>
      <c r="I1600">
        <v>794.22500000000002</v>
      </c>
      <c r="J1600">
        <v>789.55100000000004</v>
      </c>
      <c r="K1600">
        <v>784.33</v>
      </c>
      <c r="L1600">
        <v>779.62199999999996</v>
      </c>
      <c r="M1600" s="233" t="s">
        <v>532</v>
      </c>
      <c r="N1600" s="233" t="s">
        <v>532</v>
      </c>
      <c r="O1600" s="3" t="s">
        <v>2051</v>
      </c>
    </row>
    <row r="1601" spans="1:15">
      <c r="A1601">
        <v>190</v>
      </c>
      <c r="B1601">
        <v>1518</v>
      </c>
      <c r="C1601" t="s">
        <v>79</v>
      </c>
      <c r="D1601" t="s">
        <v>8000</v>
      </c>
      <c r="E1601" s="232" t="s">
        <v>14003</v>
      </c>
      <c r="F1601" t="s">
        <v>70</v>
      </c>
      <c r="G1601">
        <v>3</v>
      </c>
      <c r="H1601">
        <v>796.06100000000004</v>
      </c>
      <c r="I1601">
        <v>794.00900000000001</v>
      </c>
      <c r="J1601">
        <v>789.28300000000002</v>
      </c>
      <c r="K1601">
        <v>784.303</v>
      </c>
      <c r="L1601">
        <v>779.62199999999996</v>
      </c>
      <c r="M1601" s="233" t="s">
        <v>532</v>
      </c>
      <c r="N1601" s="233" t="s">
        <v>532</v>
      </c>
      <c r="O1601" s="3" t="s">
        <v>2052</v>
      </c>
    </row>
    <row r="1602" spans="1:15">
      <c r="A1602">
        <v>190</v>
      </c>
      <c r="B1602">
        <v>1513</v>
      </c>
      <c r="C1602" t="s">
        <v>79</v>
      </c>
      <c r="D1602" t="s">
        <v>8000</v>
      </c>
      <c r="E1602" s="232" t="s">
        <v>16716</v>
      </c>
      <c r="F1602" t="s">
        <v>70</v>
      </c>
      <c r="G1602">
        <v>3</v>
      </c>
      <c r="H1602">
        <v>795.40599999999995</v>
      </c>
      <c r="I1602">
        <v>793.47400000000005</v>
      </c>
      <c r="J1602">
        <v>789.28800000000001</v>
      </c>
      <c r="K1602">
        <v>783.76700000000005</v>
      </c>
      <c r="L1602">
        <v>779.05399999999997</v>
      </c>
      <c r="M1602" s="233" t="s">
        <v>532</v>
      </c>
      <c r="N1602" s="233" t="s">
        <v>532</v>
      </c>
      <c r="O1602" s="3" t="s">
        <v>2053</v>
      </c>
    </row>
    <row r="1603" spans="1:15">
      <c r="A1603">
        <v>190</v>
      </c>
      <c r="B1603">
        <v>1527</v>
      </c>
      <c r="C1603" t="s">
        <v>79</v>
      </c>
      <c r="D1603" t="s">
        <v>8000</v>
      </c>
      <c r="E1603" s="232" t="s">
        <v>553</v>
      </c>
      <c r="F1603" t="s">
        <v>70</v>
      </c>
      <c r="G1603">
        <v>3</v>
      </c>
      <c r="H1603">
        <v>793.63199999999995</v>
      </c>
      <c r="I1603">
        <v>791.87599999999998</v>
      </c>
      <c r="J1603">
        <v>786.91700000000003</v>
      </c>
      <c r="K1603">
        <v>782.197</v>
      </c>
      <c r="L1603">
        <v>777.98599999999999</v>
      </c>
      <c r="M1603" s="233" t="s">
        <v>532</v>
      </c>
      <c r="N1603" s="233" t="s">
        <v>532</v>
      </c>
      <c r="O1603" s="3" t="s">
        <v>2054</v>
      </c>
    </row>
    <row r="1604" spans="1:15">
      <c r="A1604">
        <v>190</v>
      </c>
      <c r="B1604">
        <v>1499</v>
      </c>
      <c r="C1604" t="s">
        <v>79</v>
      </c>
      <c r="D1604" t="s">
        <v>8000</v>
      </c>
      <c r="E1604" s="232" t="s">
        <v>13681</v>
      </c>
      <c r="F1604" t="s">
        <v>70</v>
      </c>
      <c r="G1604">
        <v>3</v>
      </c>
      <c r="H1604">
        <v>792.69500000000005</v>
      </c>
      <c r="I1604">
        <v>790.48800000000006</v>
      </c>
      <c r="J1604">
        <v>785.31899999999996</v>
      </c>
      <c r="K1604">
        <v>781.37800000000004</v>
      </c>
      <c r="L1604">
        <v>777.46299999999997</v>
      </c>
      <c r="M1604" s="233" t="s">
        <v>532</v>
      </c>
      <c r="N1604" s="233" t="s">
        <v>532</v>
      </c>
      <c r="O1604" s="3" t="s">
        <v>2055</v>
      </c>
    </row>
    <row r="1605" spans="1:15">
      <c r="A1605">
        <v>190</v>
      </c>
      <c r="B1605">
        <v>1521</v>
      </c>
      <c r="C1605" t="s">
        <v>79</v>
      </c>
      <c r="D1605" t="s">
        <v>8000</v>
      </c>
      <c r="E1605" s="232" t="s">
        <v>13855</v>
      </c>
      <c r="F1605" t="s">
        <v>70</v>
      </c>
      <c r="G1605">
        <v>3</v>
      </c>
      <c r="H1605">
        <v>792.61500000000001</v>
      </c>
      <c r="I1605">
        <v>790.10199999999998</v>
      </c>
      <c r="J1605">
        <v>785.13099999999997</v>
      </c>
      <c r="K1605">
        <v>781.351</v>
      </c>
      <c r="L1605">
        <v>777.24699999999996</v>
      </c>
      <c r="M1605" s="233" t="s">
        <v>532</v>
      </c>
      <c r="N1605" s="233" t="s">
        <v>532</v>
      </c>
      <c r="O1605" s="3" t="s">
        <v>2056</v>
      </c>
    </row>
    <row r="1606" spans="1:15">
      <c r="A1606">
        <v>190</v>
      </c>
      <c r="B1606">
        <v>1530</v>
      </c>
      <c r="C1606" t="s">
        <v>79</v>
      </c>
      <c r="D1606" t="s">
        <v>8000</v>
      </c>
      <c r="E1606" s="232" t="s">
        <v>14051</v>
      </c>
      <c r="F1606" t="s">
        <v>70</v>
      </c>
      <c r="G1606">
        <v>3</v>
      </c>
      <c r="H1606">
        <v>792.61500000000001</v>
      </c>
      <c r="I1606">
        <v>790.10199999999998</v>
      </c>
      <c r="J1606">
        <v>784.95399999999995</v>
      </c>
      <c r="K1606">
        <v>781.17399999999998</v>
      </c>
      <c r="L1606">
        <v>776.95100000000002</v>
      </c>
      <c r="M1606" s="233" t="s">
        <v>532</v>
      </c>
      <c r="N1606" s="233" t="s">
        <v>532</v>
      </c>
      <c r="O1606" s="3" t="s">
        <v>2057</v>
      </c>
    </row>
    <row r="1607" spans="1:15">
      <c r="A1607">
        <v>190</v>
      </c>
      <c r="B1607">
        <v>1519</v>
      </c>
      <c r="C1607" t="s">
        <v>79</v>
      </c>
      <c r="D1607" t="s">
        <v>8000</v>
      </c>
      <c r="E1607" s="232" t="s">
        <v>13918</v>
      </c>
      <c r="F1607" t="s">
        <v>70</v>
      </c>
      <c r="G1607">
        <v>3</v>
      </c>
      <c r="H1607">
        <v>789.55100000000004</v>
      </c>
      <c r="I1607">
        <v>787.47900000000004</v>
      </c>
      <c r="J1607">
        <v>782.89099999999996</v>
      </c>
      <c r="K1607">
        <v>779.21799999999996</v>
      </c>
      <c r="L1607">
        <v>774.18899999999996</v>
      </c>
      <c r="M1607" s="233" t="s">
        <v>532</v>
      </c>
      <c r="N1607" s="233" t="s">
        <v>532</v>
      </c>
      <c r="O1607" s="3" t="s">
        <v>2058</v>
      </c>
    </row>
    <row r="1608" spans="1:15">
      <c r="A1608">
        <v>190</v>
      </c>
      <c r="B1608">
        <v>1526</v>
      </c>
      <c r="C1608" t="s">
        <v>79</v>
      </c>
      <c r="D1608" t="s">
        <v>8000</v>
      </c>
      <c r="E1608" s="232" t="s">
        <v>12468</v>
      </c>
      <c r="F1608" t="s">
        <v>70</v>
      </c>
      <c r="G1608">
        <v>3</v>
      </c>
      <c r="H1608">
        <v>788.84900000000005</v>
      </c>
      <c r="I1608">
        <v>786.05799999999999</v>
      </c>
      <c r="J1608">
        <v>782.17</v>
      </c>
      <c r="K1608">
        <v>778.58699999999999</v>
      </c>
      <c r="L1608">
        <v>773.32399999999996</v>
      </c>
      <c r="M1608" s="233" t="s">
        <v>532</v>
      </c>
      <c r="N1608" s="233" t="s">
        <v>532</v>
      </c>
      <c r="O1608" s="3" t="s">
        <v>2059</v>
      </c>
    </row>
    <row r="1609" spans="1:15">
      <c r="A1609">
        <v>190</v>
      </c>
      <c r="B1609">
        <v>1497</v>
      </c>
      <c r="C1609" t="s">
        <v>79</v>
      </c>
      <c r="D1609" t="s">
        <v>8000</v>
      </c>
      <c r="E1609" s="232" t="s">
        <v>13001</v>
      </c>
      <c r="F1609" t="s">
        <v>70</v>
      </c>
      <c r="G1609">
        <v>3</v>
      </c>
      <c r="H1609">
        <v>787.26300000000003</v>
      </c>
      <c r="I1609">
        <v>784.75699999999995</v>
      </c>
      <c r="J1609">
        <v>781.17399999999998</v>
      </c>
      <c r="K1609">
        <v>777.82100000000003</v>
      </c>
      <c r="L1609">
        <v>772.029</v>
      </c>
      <c r="M1609" s="233" t="s">
        <v>532</v>
      </c>
      <c r="N1609" s="233" t="s">
        <v>532</v>
      </c>
      <c r="O1609" s="3" t="s">
        <v>2060</v>
      </c>
    </row>
    <row r="1610" spans="1:15">
      <c r="A1610">
        <v>190</v>
      </c>
      <c r="B1610">
        <v>1511</v>
      </c>
      <c r="C1610" t="s">
        <v>79</v>
      </c>
      <c r="D1610" t="s">
        <v>8000</v>
      </c>
      <c r="E1610" s="232" t="s">
        <v>13606</v>
      </c>
      <c r="F1610" t="s">
        <v>70</v>
      </c>
      <c r="G1610">
        <v>3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s="233" t="s">
        <v>532</v>
      </c>
      <c r="N1610" s="233" t="s">
        <v>532</v>
      </c>
      <c r="O1610" s="3" t="s">
        <v>2623</v>
      </c>
    </row>
    <row r="1611" spans="1:15">
      <c r="A1611">
        <v>190</v>
      </c>
      <c r="B1611">
        <v>1517</v>
      </c>
      <c r="C1611" t="s">
        <v>79</v>
      </c>
      <c r="D1611" t="s">
        <v>8000</v>
      </c>
      <c r="E1611" s="232" t="s">
        <v>13786</v>
      </c>
      <c r="F1611" t="s">
        <v>70</v>
      </c>
      <c r="G1611">
        <v>3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s="233" t="s">
        <v>532</v>
      </c>
      <c r="N1611" s="233" t="s">
        <v>532</v>
      </c>
      <c r="O1611" s="3" t="s">
        <v>2623</v>
      </c>
    </row>
    <row r="1612" spans="1:15">
      <c r="A1612">
        <v>190</v>
      </c>
      <c r="B1612">
        <v>1522</v>
      </c>
      <c r="C1612" t="s">
        <v>79</v>
      </c>
      <c r="D1612" t="s">
        <v>8000</v>
      </c>
      <c r="E1612" s="232" t="s">
        <v>13961</v>
      </c>
      <c r="F1612" t="s">
        <v>70</v>
      </c>
      <c r="G1612">
        <v>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s="233" t="s">
        <v>532</v>
      </c>
      <c r="N1612" s="233" t="s">
        <v>532</v>
      </c>
      <c r="O1612" s="3" t="s">
        <v>2623</v>
      </c>
    </row>
    <row r="1613" spans="1:15">
      <c r="A1613">
        <v>190</v>
      </c>
      <c r="B1613">
        <v>1525</v>
      </c>
      <c r="C1613" t="s">
        <v>79</v>
      </c>
      <c r="D1613" t="s">
        <v>8000</v>
      </c>
      <c r="E1613" s="232" t="s">
        <v>16717</v>
      </c>
      <c r="F1613" t="s">
        <v>70</v>
      </c>
      <c r="G1613">
        <v>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s="233" t="s">
        <v>532</v>
      </c>
      <c r="N1613" s="233" t="s">
        <v>532</v>
      </c>
      <c r="O1613" s="3" t="s">
        <v>2623</v>
      </c>
    </row>
    <row r="1614" spans="1:15">
      <c r="A1614">
        <v>190</v>
      </c>
      <c r="B1614">
        <v>1529</v>
      </c>
      <c r="C1614" t="s">
        <v>79</v>
      </c>
      <c r="D1614" t="s">
        <v>8000</v>
      </c>
      <c r="E1614" s="232" t="s">
        <v>9622</v>
      </c>
      <c r="F1614" t="s">
        <v>70</v>
      </c>
      <c r="G1614">
        <v>3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s="233" t="s">
        <v>532</v>
      </c>
      <c r="N1614" s="233" t="s">
        <v>532</v>
      </c>
      <c r="O1614" s="3" t="s">
        <v>2623</v>
      </c>
    </row>
    <row r="1615" spans="1:15">
      <c r="A1615">
        <v>189</v>
      </c>
      <c r="B1615">
        <v>1551</v>
      </c>
      <c r="C1615" t="s">
        <v>79</v>
      </c>
      <c r="D1615" t="s">
        <v>8000</v>
      </c>
      <c r="E1615" s="232" t="s">
        <v>489</v>
      </c>
      <c r="F1615" t="s">
        <v>71</v>
      </c>
      <c r="G1615">
        <v>3</v>
      </c>
      <c r="H1615">
        <v>835.5</v>
      </c>
      <c r="I1615">
        <v>833.09500000000003</v>
      </c>
      <c r="J1615">
        <v>828.36</v>
      </c>
      <c r="K1615">
        <v>823.62699999999995</v>
      </c>
      <c r="L1615">
        <v>818.04899999999998</v>
      </c>
      <c r="M1615" s="233" t="s">
        <v>532</v>
      </c>
      <c r="N1615" s="233" t="s">
        <v>532</v>
      </c>
      <c r="O1615" s="3" t="s">
        <v>2061</v>
      </c>
    </row>
    <row r="1616" spans="1:15">
      <c r="A1616">
        <v>189</v>
      </c>
      <c r="B1616">
        <v>1557</v>
      </c>
      <c r="C1616" t="s">
        <v>79</v>
      </c>
      <c r="D1616" t="s">
        <v>8000</v>
      </c>
      <c r="E1616" s="232" t="s">
        <v>13372</v>
      </c>
      <c r="F1616" t="s">
        <v>71</v>
      </c>
      <c r="G1616">
        <v>3</v>
      </c>
      <c r="H1616">
        <v>823.99800000000005</v>
      </c>
      <c r="I1616">
        <v>821.89099999999996</v>
      </c>
      <c r="J1616">
        <v>817.68200000000002</v>
      </c>
      <c r="K1616">
        <v>813.15300000000002</v>
      </c>
      <c r="L1616">
        <v>807.07600000000002</v>
      </c>
      <c r="M1616" s="233" t="s">
        <v>532</v>
      </c>
      <c r="N1616" s="233" t="s">
        <v>532</v>
      </c>
      <c r="O1616" s="3" t="s">
        <v>2062</v>
      </c>
    </row>
    <row r="1617" spans="1:15">
      <c r="A1617">
        <v>189</v>
      </c>
      <c r="B1617">
        <v>1562</v>
      </c>
      <c r="C1617" t="s">
        <v>79</v>
      </c>
      <c r="D1617" t="s">
        <v>8000</v>
      </c>
      <c r="E1617" s="232" t="s">
        <v>9774</v>
      </c>
      <c r="F1617" t="s">
        <v>71</v>
      </c>
      <c r="G1617">
        <v>3</v>
      </c>
      <c r="H1617">
        <v>817.255</v>
      </c>
      <c r="I1617">
        <v>815.11</v>
      </c>
      <c r="J1617">
        <v>810.61</v>
      </c>
      <c r="K1617">
        <v>806.06100000000004</v>
      </c>
      <c r="L1617">
        <v>800.93799999999999</v>
      </c>
      <c r="M1617" s="233" t="s">
        <v>532</v>
      </c>
      <c r="N1617" s="233" t="s">
        <v>532</v>
      </c>
      <c r="O1617" s="3" t="s">
        <v>2063</v>
      </c>
    </row>
    <row r="1618" spans="1:15">
      <c r="A1618">
        <v>189</v>
      </c>
      <c r="B1618">
        <v>1570</v>
      </c>
      <c r="C1618" t="s">
        <v>79</v>
      </c>
      <c r="D1618" t="s">
        <v>8000</v>
      </c>
      <c r="E1618" s="232" t="s">
        <v>9633</v>
      </c>
      <c r="F1618" t="s">
        <v>71</v>
      </c>
      <c r="G1618">
        <v>3</v>
      </c>
      <c r="H1618">
        <v>812.97299999999996</v>
      </c>
      <c r="I1618">
        <v>810.61</v>
      </c>
      <c r="J1618">
        <v>806.40800000000002</v>
      </c>
      <c r="K1618">
        <v>802.14400000000001</v>
      </c>
      <c r="L1618">
        <v>797.34799999999996</v>
      </c>
      <c r="M1618" s="233" t="s">
        <v>532</v>
      </c>
      <c r="N1618" s="233" t="s">
        <v>532</v>
      </c>
      <c r="O1618" s="3" t="s">
        <v>2064</v>
      </c>
    </row>
    <row r="1619" spans="1:15">
      <c r="A1619">
        <v>189</v>
      </c>
      <c r="B1619">
        <v>1568</v>
      </c>
      <c r="C1619" t="s">
        <v>79</v>
      </c>
      <c r="D1619" t="s">
        <v>8000</v>
      </c>
      <c r="E1619" s="232" t="s">
        <v>560</v>
      </c>
      <c r="F1619" t="s">
        <v>71</v>
      </c>
      <c r="G1619">
        <v>3</v>
      </c>
      <c r="H1619">
        <v>811.96799999999996</v>
      </c>
      <c r="I1619">
        <v>809.86199999999997</v>
      </c>
      <c r="J1619">
        <v>805.67</v>
      </c>
      <c r="K1619">
        <v>801.51300000000003</v>
      </c>
      <c r="L1619">
        <v>796.76</v>
      </c>
      <c r="M1619" s="233" t="s">
        <v>532</v>
      </c>
      <c r="N1619" s="233" t="s">
        <v>532</v>
      </c>
      <c r="O1619" s="3" t="s">
        <v>2065</v>
      </c>
    </row>
    <row r="1620" spans="1:15">
      <c r="A1620">
        <v>189</v>
      </c>
      <c r="B1620">
        <v>1581</v>
      </c>
      <c r="C1620" t="s">
        <v>79</v>
      </c>
      <c r="D1620" t="s">
        <v>8000</v>
      </c>
      <c r="E1620" s="232" t="s">
        <v>13664</v>
      </c>
      <c r="F1620" t="s">
        <v>71</v>
      </c>
      <c r="G1620">
        <v>3</v>
      </c>
      <c r="H1620">
        <v>810.03899999999999</v>
      </c>
      <c r="I1620">
        <v>808.08199999999999</v>
      </c>
      <c r="J1620">
        <v>804.12099999999998</v>
      </c>
      <c r="K1620">
        <v>800.10699999999997</v>
      </c>
      <c r="L1620">
        <v>794.81399999999996</v>
      </c>
      <c r="M1620" s="233" t="s">
        <v>532</v>
      </c>
      <c r="N1620" s="233" t="s">
        <v>532</v>
      </c>
      <c r="O1620" s="3" t="s">
        <v>2066</v>
      </c>
    </row>
    <row r="1621" spans="1:15">
      <c r="A1621">
        <v>189</v>
      </c>
      <c r="B1621">
        <v>1572</v>
      </c>
      <c r="C1621" t="s">
        <v>79</v>
      </c>
      <c r="D1621" t="s">
        <v>8000</v>
      </c>
      <c r="E1621" s="232" t="s">
        <v>13712</v>
      </c>
      <c r="F1621" t="s">
        <v>71</v>
      </c>
      <c r="G1621">
        <v>3</v>
      </c>
      <c r="H1621">
        <v>808.46600000000001</v>
      </c>
      <c r="I1621">
        <v>806.40800000000002</v>
      </c>
      <c r="J1621">
        <v>802.51800000000003</v>
      </c>
      <c r="K1621">
        <v>798.73699999999997</v>
      </c>
      <c r="L1621">
        <v>793.08500000000004</v>
      </c>
      <c r="M1621" s="233" t="s">
        <v>532</v>
      </c>
      <c r="N1621" s="233" t="s">
        <v>532</v>
      </c>
      <c r="O1621" s="3" t="s">
        <v>2067</v>
      </c>
    </row>
    <row r="1622" spans="1:15">
      <c r="A1622">
        <v>189</v>
      </c>
      <c r="B1622">
        <v>1578</v>
      </c>
      <c r="C1622" t="s">
        <v>79</v>
      </c>
      <c r="D1622" t="s">
        <v>8000</v>
      </c>
      <c r="E1622" s="232" t="s">
        <v>8883</v>
      </c>
      <c r="F1622" t="s">
        <v>71</v>
      </c>
      <c r="G1622">
        <v>3</v>
      </c>
      <c r="H1622">
        <v>805.67</v>
      </c>
      <c r="I1622">
        <v>803.73699999999997</v>
      </c>
      <c r="J1622">
        <v>799.94</v>
      </c>
      <c r="K1622">
        <v>796.00900000000001</v>
      </c>
      <c r="L1622">
        <v>789.67100000000005</v>
      </c>
      <c r="M1622" s="233" t="s">
        <v>532</v>
      </c>
      <c r="N1622" s="233" t="s">
        <v>532</v>
      </c>
      <c r="O1622" s="3" t="s">
        <v>2068</v>
      </c>
    </row>
    <row r="1623" spans="1:15">
      <c r="A1623">
        <v>189</v>
      </c>
      <c r="B1623">
        <v>1576</v>
      </c>
      <c r="C1623" t="s">
        <v>79</v>
      </c>
      <c r="D1623" t="s">
        <v>8000</v>
      </c>
      <c r="E1623" s="232" t="s">
        <v>8863</v>
      </c>
      <c r="F1623" t="s">
        <v>71</v>
      </c>
      <c r="G1623">
        <v>3</v>
      </c>
      <c r="H1623">
        <v>799.55600000000004</v>
      </c>
      <c r="I1623">
        <v>797.77499999999998</v>
      </c>
      <c r="J1623">
        <v>793.46199999999999</v>
      </c>
      <c r="K1623">
        <v>788.09500000000003</v>
      </c>
      <c r="L1623">
        <v>782.351</v>
      </c>
      <c r="M1623" s="233" t="s">
        <v>532</v>
      </c>
      <c r="N1623" s="233" t="s">
        <v>532</v>
      </c>
      <c r="O1623" s="3" t="s">
        <v>2069</v>
      </c>
    </row>
    <row r="1624" spans="1:15">
      <c r="A1624">
        <v>189</v>
      </c>
      <c r="B1624">
        <v>1567</v>
      </c>
      <c r="C1624" t="s">
        <v>79</v>
      </c>
      <c r="D1624" t="s">
        <v>8000</v>
      </c>
      <c r="E1624" s="232" t="s">
        <v>13838</v>
      </c>
      <c r="F1624" t="s">
        <v>71</v>
      </c>
      <c r="G1624">
        <v>3</v>
      </c>
      <c r="H1624">
        <v>799.36800000000005</v>
      </c>
      <c r="I1624">
        <v>797.59500000000003</v>
      </c>
      <c r="J1624">
        <v>793.27300000000002</v>
      </c>
      <c r="K1624">
        <v>787.90700000000004</v>
      </c>
      <c r="L1624">
        <v>782.16399999999999</v>
      </c>
      <c r="M1624" s="233" t="s">
        <v>532</v>
      </c>
      <c r="N1624" s="233" t="s">
        <v>532</v>
      </c>
      <c r="O1624" s="3" t="s">
        <v>2070</v>
      </c>
    </row>
    <row r="1625" spans="1:15">
      <c r="A1625">
        <v>189</v>
      </c>
      <c r="B1625">
        <v>1574</v>
      </c>
      <c r="C1625" t="s">
        <v>79</v>
      </c>
      <c r="D1625" t="s">
        <v>8000</v>
      </c>
      <c r="E1625" s="232" t="s">
        <v>561</v>
      </c>
      <c r="F1625" t="s">
        <v>71</v>
      </c>
      <c r="G1625">
        <v>3</v>
      </c>
      <c r="H1625">
        <v>797.14400000000001</v>
      </c>
      <c r="I1625">
        <v>794.99400000000003</v>
      </c>
      <c r="J1625">
        <v>790.68600000000004</v>
      </c>
      <c r="K1625">
        <v>784.755</v>
      </c>
      <c r="L1625">
        <v>778.93100000000004</v>
      </c>
      <c r="M1625" s="233" t="s">
        <v>532</v>
      </c>
      <c r="N1625" s="233" t="s">
        <v>532</v>
      </c>
      <c r="O1625" s="3" t="s">
        <v>2071</v>
      </c>
    </row>
    <row r="1626" spans="1:15">
      <c r="A1626">
        <v>189</v>
      </c>
      <c r="B1626">
        <v>1560</v>
      </c>
      <c r="C1626" t="s">
        <v>79</v>
      </c>
      <c r="D1626" t="s">
        <v>8000</v>
      </c>
      <c r="E1626" s="232" t="s">
        <v>13971</v>
      </c>
      <c r="F1626" t="s">
        <v>71</v>
      </c>
      <c r="G1626">
        <v>3</v>
      </c>
      <c r="H1626">
        <v>790.03499999999997</v>
      </c>
      <c r="I1626">
        <v>787.08</v>
      </c>
      <c r="J1626">
        <v>783.00599999999997</v>
      </c>
      <c r="K1626">
        <v>778.09299999999996</v>
      </c>
      <c r="L1626">
        <v>773.20399999999995</v>
      </c>
      <c r="M1626" s="233" t="s">
        <v>532</v>
      </c>
      <c r="N1626" s="233" t="s">
        <v>532</v>
      </c>
      <c r="O1626" s="3" t="s">
        <v>2072</v>
      </c>
    </row>
    <row r="1627" spans="1:15">
      <c r="A1627">
        <v>189</v>
      </c>
      <c r="B1627">
        <v>1563</v>
      </c>
      <c r="C1627" t="s">
        <v>79</v>
      </c>
      <c r="D1627" t="s">
        <v>8000</v>
      </c>
      <c r="E1627" s="232" t="s">
        <v>8618</v>
      </c>
      <c r="F1627" t="s">
        <v>71</v>
      </c>
      <c r="G1627">
        <v>3</v>
      </c>
      <c r="H1627">
        <v>788.09500000000003</v>
      </c>
      <c r="I1627">
        <v>785.49400000000003</v>
      </c>
      <c r="J1627">
        <v>781.6</v>
      </c>
      <c r="K1627">
        <v>777.36199999999997</v>
      </c>
      <c r="L1627">
        <v>771.45500000000004</v>
      </c>
      <c r="M1627" s="233" t="s">
        <v>532</v>
      </c>
      <c r="N1627" s="233" t="s">
        <v>532</v>
      </c>
      <c r="O1627" s="3" t="s">
        <v>2073</v>
      </c>
    </row>
    <row r="1628" spans="1:15">
      <c r="A1628">
        <v>189</v>
      </c>
      <c r="B1628">
        <v>1569</v>
      </c>
      <c r="C1628" t="s">
        <v>79</v>
      </c>
      <c r="D1628" t="s">
        <v>8000</v>
      </c>
      <c r="E1628" s="232" t="s">
        <v>8753</v>
      </c>
      <c r="F1628" t="s">
        <v>71</v>
      </c>
      <c r="G1628">
        <v>3</v>
      </c>
      <c r="H1628">
        <v>787.90700000000004</v>
      </c>
      <c r="I1628">
        <v>785.30600000000004</v>
      </c>
      <c r="J1628">
        <v>781.6</v>
      </c>
      <c r="K1628">
        <v>777.36199999999997</v>
      </c>
      <c r="L1628">
        <v>771.27599999999995</v>
      </c>
      <c r="M1628" s="233" t="s">
        <v>532</v>
      </c>
      <c r="N1628" s="233" t="s">
        <v>532</v>
      </c>
      <c r="O1628" s="3" t="s">
        <v>2074</v>
      </c>
    </row>
    <row r="1629" spans="1:15">
      <c r="A1629">
        <v>189</v>
      </c>
      <c r="B1629">
        <v>1564</v>
      </c>
      <c r="C1629" t="s">
        <v>79</v>
      </c>
      <c r="D1629" t="s">
        <v>8000</v>
      </c>
      <c r="E1629" s="232" t="s">
        <v>14042</v>
      </c>
      <c r="F1629" t="s">
        <v>71</v>
      </c>
      <c r="G1629">
        <v>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s="233" t="s">
        <v>532</v>
      </c>
      <c r="N1629" s="233" t="s">
        <v>532</v>
      </c>
      <c r="O1629" s="3" t="s">
        <v>2623</v>
      </c>
    </row>
    <row r="1630" spans="1:15">
      <c r="A1630">
        <v>189</v>
      </c>
      <c r="B1630">
        <v>1577</v>
      </c>
      <c r="C1630" t="s">
        <v>79</v>
      </c>
      <c r="D1630" t="s">
        <v>8000</v>
      </c>
      <c r="E1630" s="232" t="s">
        <v>562</v>
      </c>
      <c r="F1630" t="s">
        <v>71</v>
      </c>
      <c r="G1630">
        <v>3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s="233" t="s">
        <v>532</v>
      </c>
      <c r="N1630" s="233" t="s">
        <v>532</v>
      </c>
      <c r="O1630" s="3" t="s">
        <v>2623</v>
      </c>
    </row>
    <row r="1631" spans="1:15">
      <c r="A1631">
        <v>287</v>
      </c>
      <c r="B1631">
        <v>1692</v>
      </c>
      <c r="C1631" t="s">
        <v>79</v>
      </c>
      <c r="D1631" t="s">
        <v>209</v>
      </c>
      <c r="E1631" s="232" t="s">
        <v>10085</v>
      </c>
      <c r="F1631" t="s">
        <v>70</v>
      </c>
      <c r="G1631">
        <v>2</v>
      </c>
      <c r="H1631">
        <v>708.55</v>
      </c>
      <c r="I1631">
        <v>706.447</v>
      </c>
      <c r="J1631">
        <v>702.54</v>
      </c>
      <c r="K1631">
        <v>698.54</v>
      </c>
      <c r="L1631">
        <v>692.71400000000006</v>
      </c>
      <c r="M1631" s="233" t="s">
        <v>530</v>
      </c>
      <c r="N1631" s="233" t="s">
        <v>530</v>
      </c>
      <c r="O1631" s="3" t="s">
        <v>2075</v>
      </c>
    </row>
    <row r="1632" spans="1:15">
      <c r="A1632">
        <v>287</v>
      </c>
      <c r="B1632">
        <v>1695</v>
      </c>
      <c r="C1632" t="s">
        <v>79</v>
      </c>
      <c r="D1632" t="s">
        <v>209</v>
      </c>
      <c r="E1632" s="232" t="s">
        <v>8168</v>
      </c>
      <c r="F1632" t="s">
        <v>70</v>
      </c>
      <c r="G1632">
        <v>2</v>
      </c>
      <c r="H1632">
        <v>701.94600000000003</v>
      </c>
      <c r="I1632">
        <v>699.61599999999999</v>
      </c>
      <c r="J1632">
        <v>695.34400000000005</v>
      </c>
      <c r="K1632">
        <v>692.22</v>
      </c>
      <c r="L1632">
        <v>687.97</v>
      </c>
      <c r="M1632" s="233" t="s">
        <v>530</v>
      </c>
      <c r="N1632" s="233" t="s">
        <v>530</v>
      </c>
      <c r="O1632" s="3" t="s">
        <v>2076</v>
      </c>
    </row>
    <row r="1633" spans="1:15">
      <c r="A1633">
        <v>287</v>
      </c>
      <c r="B1633">
        <v>1702</v>
      </c>
      <c r="C1633" t="s">
        <v>79</v>
      </c>
      <c r="D1633" t="s">
        <v>209</v>
      </c>
      <c r="E1633" s="232" t="s">
        <v>8538</v>
      </c>
      <c r="F1633" t="s">
        <v>70</v>
      </c>
      <c r="G1633">
        <v>2</v>
      </c>
      <c r="H1633">
        <v>701.94600000000003</v>
      </c>
      <c r="I1633">
        <v>699.61599999999999</v>
      </c>
      <c r="J1633">
        <v>695.34400000000005</v>
      </c>
      <c r="K1633">
        <v>692.22</v>
      </c>
      <c r="L1633">
        <v>687.97</v>
      </c>
      <c r="M1633" s="233" t="s">
        <v>530</v>
      </c>
      <c r="N1633" s="233" t="s">
        <v>530</v>
      </c>
      <c r="O1633" s="3" t="s">
        <v>2077</v>
      </c>
    </row>
    <row r="1634" spans="1:15">
      <c r="A1634">
        <v>287</v>
      </c>
      <c r="B1634">
        <v>1700</v>
      </c>
      <c r="C1634" t="s">
        <v>79</v>
      </c>
      <c r="D1634" t="s">
        <v>209</v>
      </c>
      <c r="E1634" s="232" t="s">
        <v>8056</v>
      </c>
      <c r="F1634" t="s">
        <v>70</v>
      </c>
      <c r="G1634">
        <v>2</v>
      </c>
      <c r="H1634">
        <v>697.23</v>
      </c>
      <c r="I1634">
        <v>694.5</v>
      </c>
      <c r="J1634">
        <v>691.87</v>
      </c>
      <c r="K1634">
        <v>688.88</v>
      </c>
      <c r="L1634">
        <v>685.10599999999999</v>
      </c>
      <c r="M1634" s="233" t="s">
        <v>530</v>
      </c>
      <c r="N1634" s="233" t="s">
        <v>530</v>
      </c>
      <c r="O1634" s="3" t="s">
        <v>2078</v>
      </c>
    </row>
    <row r="1635" spans="1:15">
      <c r="A1635">
        <v>287</v>
      </c>
      <c r="B1635">
        <v>1699</v>
      </c>
      <c r="C1635" t="s">
        <v>79</v>
      </c>
      <c r="D1635" t="s">
        <v>209</v>
      </c>
      <c r="E1635" s="232" t="s">
        <v>10769</v>
      </c>
      <c r="F1635" t="s">
        <v>70</v>
      </c>
      <c r="G1635">
        <v>2</v>
      </c>
      <c r="H1635">
        <v>693.64</v>
      </c>
      <c r="I1635">
        <v>692.10400000000004</v>
      </c>
      <c r="J1635">
        <v>689.28</v>
      </c>
      <c r="K1635">
        <v>686.91</v>
      </c>
      <c r="L1635">
        <v>683.08600000000001</v>
      </c>
      <c r="M1635" s="233" t="s">
        <v>530</v>
      </c>
      <c r="N1635" s="233" t="s">
        <v>530</v>
      </c>
      <c r="O1635" s="3" t="s">
        <v>2079</v>
      </c>
    </row>
    <row r="1636" spans="1:15">
      <c r="A1636">
        <v>287</v>
      </c>
      <c r="B1636">
        <v>1698</v>
      </c>
      <c r="C1636" t="s">
        <v>79</v>
      </c>
      <c r="D1636" t="s">
        <v>209</v>
      </c>
      <c r="E1636" s="232" t="s">
        <v>8080</v>
      </c>
      <c r="F1636" t="s">
        <v>70</v>
      </c>
      <c r="G1636">
        <v>2</v>
      </c>
      <c r="H1636">
        <v>686.91</v>
      </c>
      <c r="I1636">
        <v>685.49</v>
      </c>
      <c r="J1636">
        <v>683.08600000000001</v>
      </c>
      <c r="K1636">
        <v>680.50599999999997</v>
      </c>
      <c r="L1636">
        <v>676.66600000000005</v>
      </c>
      <c r="M1636" s="233" t="s">
        <v>530</v>
      </c>
      <c r="N1636" s="233" t="s">
        <v>530</v>
      </c>
      <c r="O1636" s="3" t="s">
        <v>2080</v>
      </c>
    </row>
    <row r="1637" spans="1:15">
      <c r="A1637">
        <v>287</v>
      </c>
      <c r="B1637">
        <v>1714</v>
      </c>
      <c r="C1637" t="s">
        <v>79</v>
      </c>
      <c r="D1637" t="s">
        <v>209</v>
      </c>
      <c r="E1637" s="232" t="s">
        <v>559</v>
      </c>
      <c r="F1637" t="s">
        <v>70</v>
      </c>
      <c r="G1637">
        <v>2</v>
      </c>
      <c r="H1637">
        <v>685.49</v>
      </c>
      <c r="I1637">
        <v>683.87</v>
      </c>
      <c r="J1637">
        <v>681.08399999999995</v>
      </c>
      <c r="K1637">
        <v>678.62</v>
      </c>
      <c r="L1637">
        <v>674.89</v>
      </c>
      <c r="M1637" s="233" t="s">
        <v>530</v>
      </c>
      <c r="N1637" s="233" t="s">
        <v>530</v>
      </c>
      <c r="O1637" s="3" t="s">
        <v>2081</v>
      </c>
    </row>
    <row r="1638" spans="1:15">
      <c r="A1638">
        <v>286</v>
      </c>
      <c r="B1638">
        <v>1708</v>
      </c>
      <c r="C1638" t="s">
        <v>79</v>
      </c>
      <c r="D1638" t="s">
        <v>209</v>
      </c>
      <c r="E1638" s="232" t="s">
        <v>555</v>
      </c>
      <c r="F1638" t="s">
        <v>70</v>
      </c>
      <c r="G1638">
        <v>2</v>
      </c>
      <c r="H1638">
        <v>684.53</v>
      </c>
      <c r="I1638">
        <v>683.08600000000001</v>
      </c>
      <c r="J1638">
        <v>680.37400000000002</v>
      </c>
      <c r="K1638">
        <v>677.82</v>
      </c>
      <c r="L1638">
        <v>673.98</v>
      </c>
      <c r="M1638" s="233" t="s">
        <v>530</v>
      </c>
      <c r="N1638" s="233" t="s">
        <v>530</v>
      </c>
      <c r="O1638" s="3" t="s">
        <v>2082</v>
      </c>
    </row>
    <row r="1639" spans="1:15">
      <c r="A1639">
        <v>286</v>
      </c>
      <c r="B1639">
        <v>1710</v>
      </c>
      <c r="C1639" t="s">
        <v>79</v>
      </c>
      <c r="D1639" t="s">
        <v>209</v>
      </c>
      <c r="E1639" s="232" t="s">
        <v>551</v>
      </c>
      <c r="F1639" t="s">
        <v>70</v>
      </c>
      <c r="G1639">
        <v>2</v>
      </c>
      <c r="H1639">
        <v>684.76400000000001</v>
      </c>
      <c r="I1639">
        <v>683.08600000000001</v>
      </c>
      <c r="J1639">
        <v>680.37400000000002</v>
      </c>
      <c r="K1639">
        <v>677.82</v>
      </c>
      <c r="L1639">
        <v>673.98</v>
      </c>
      <c r="M1639" s="233" t="s">
        <v>530</v>
      </c>
      <c r="N1639" s="233" t="s">
        <v>530</v>
      </c>
      <c r="O1639" s="3" t="s">
        <v>2083</v>
      </c>
    </row>
    <row r="1640" spans="1:15">
      <c r="A1640">
        <v>287</v>
      </c>
      <c r="B1640">
        <v>1723</v>
      </c>
      <c r="C1640" t="s">
        <v>79</v>
      </c>
      <c r="D1640" t="s">
        <v>209</v>
      </c>
      <c r="E1640" s="232" t="s">
        <v>11813</v>
      </c>
      <c r="F1640" t="s">
        <v>70</v>
      </c>
      <c r="G1640">
        <v>2</v>
      </c>
      <c r="H1640">
        <v>684.41399999999999</v>
      </c>
      <c r="I1640">
        <v>682.57600000000002</v>
      </c>
      <c r="J1640">
        <v>679.82399999999996</v>
      </c>
      <c r="K1640">
        <v>677.41</v>
      </c>
      <c r="L1640">
        <v>673.58</v>
      </c>
      <c r="M1640" s="233" t="s">
        <v>530</v>
      </c>
      <c r="N1640" s="233" t="s">
        <v>530</v>
      </c>
      <c r="O1640" s="3" t="s">
        <v>2084</v>
      </c>
    </row>
    <row r="1641" spans="1:15">
      <c r="A1641">
        <v>287</v>
      </c>
      <c r="B1641">
        <v>1721</v>
      </c>
      <c r="C1641" t="s">
        <v>79</v>
      </c>
      <c r="D1641" t="s">
        <v>209</v>
      </c>
      <c r="E1641" s="232" t="s">
        <v>11884</v>
      </c>
      <c r="F1641" t="s">
        <v>70</v>
      </c>
      <c r="G1641">
        <v>2</v>
      </c>
      <c r="H1641">
        <v>683.08600000000001</v>
      </c>
      <c r="I1641">
        <v>681.48400000000004</v>
      </c>
      <c r="J1641">
        <v>678.62</v>
      </c>
      <c r="K1641">
        <v>676.3</v>
      </c>
      <c r="L1641">
        <v>672.50300000000004</v>
      </c>
      <c r="M1641" s="233" t="s">
        <v>530</v>
      </c>
      <c r="N1641" s="233" t="s">
        <v>530</v>
      </c>
      <c r="O1641" s="3" t="s">
        <v>2085</v>
      </c>
    </row>
    <row r="1642" spans="1:15">
      <c r="A1642">
        <v>287</v>
      </c>
      <c r="B1642">
        <v>1688</v>
      </c>
      <c r="C1642" t="s">
        <v>79</v>
      </c>
      <c r="D1642" t="s">
        <v>209</v>
      </c>
      <c r="E1642" s="232" t="s">
        <v>12010</v>
      </c>
      <c r="F1642" t="s">
        <v>70</v>
      </c>
      <c r="G1642">
        <v>2</v>
      </c>
      <c r="H1642">
        <v>681.08399999999995</v>
      </c>
      <c r="I1642">
        <v>679.53</v>
      </c>
      <c r="J1642">
        <v>677.24400000000003</v>
      </c>
      <c r="K1642">
        <v>674.89</v>
      </c>
      <c r="L1642">
        <v>671.2</v>
      </c>
      <c r="M1642" s="233" t="s">
        <v>530</v>
      </c>
      <c r="N1642" s="233" t="s">
        <v>530</v>
      </c>
      <c r="O1642" s="3" t="s">
        <v>2086</v>
      </c>
    </row>
    <row r="1643" spans="1:15">
      <c r="A1643">
        <v>288</v>
      </c>
      <c r="B1643">
        <v>1731</v>
      </c>
      <c r="C1643" t="s">
        <v>79</v>
      </c>
      <c r="D1643" t="s">
        <v>209</v>
      </c>
      <c r="E1643" s="232" t="s">
        <v>12056</v>
      </c>
      <c r="F1643" t="s">
        <v>70</v>
      </c>
      <c r="G1643">
        <v>2</v>
      </c>
      <c r="H1643">
        <v>689.42499999999995</v>
      </c>
      <c r="I1643">
        <v>687.62</v>
      </c>
      <c r="J1643">
        <v>684.98</v>
      </c>
      <c r="K1643">
        <v>682.40700000000004</v>
      </c>
      <c r="L1643">
        <v>679.11</v>
      </c>
      <c r="M1643" s="233" t="s">
        <v>530</v>
      </c>
      <c r="N1643" s="233" t="s">
        <v>530</v>
      </c>
      <c r="O1643" s="3" t="s">
        <v>2087</v>
      </c>
    </row>
    <row r="1644" spans="1:15">
      <c r="A1644">
        <v>287</v>
      </c>
      <c r="B1644">
        <v>1730</v>
      </c>
      <c r="C1644" t="s">
        <v>79</v>
      </c>
      <c r="D1644" t="s">
        <v>209</v>
      </c>
      <c r="E1644" s="232" t="s">
        <v>8669</v>
      </c>
      <c r="F1644" t="s">
        <v>70</v>
      </c>
      <c r="G1644">
        <v>2</v>
      </c>
      <c r="H1644">
        <v>657.83399999999995</v>
      </c>
      <c r="I1644">
        <v>656.25</v>
      </c>
      <c r="J1644">
        <v>653.91600000000005</v>
      </c>
      <c r="K1644">
        <v>651.70000000000005</v>
      </c>
      <c r="L1644">
        <v>648.6</v>
      </c>
      <c r="M1644" s="233" t="s">
        <v>530</v>
      </c>
      <c r="N1644" s="233" t="s">
        <v>530</v>
      </c>
      <c r="O1644" s="3" t="s">
        <v>2088</v>
      </c>
    </row>
    <row r="1645" spans="1:15">
      <c r="A1645">
        <v>287</v>
      </c>
      <c r="B1645">
        <v>1727</v>
      </c>
      <c r="C1645" t="s">
        <v>79</v>
      </c>
      <c r="D1645" t="s">
        <v>209</v>
      </c>
      <c r="E1645" s="232" t="s">
        <v>13494</v>
      </c>
      <c r="F1645" t="s">
        <v>70</v>
      </c>
      <c r="G1645">
        <v>2</v>
      </c>
      <c r="H1645">
        <v>653.5</v>
      </c>
      <c r="I1645">
        <v>651.85</v>
      </c>
      <c r="J1645">
        <v>649.46600000000001</v>
      </c>
      <c r="K1645">
        <v>647.70000000000005</v>
      </c>
      <c r="L1645">
        <v>644.79999999999995</v>
      </c>
      <c r="M1645" s="233" t="s">
        <v>530</v>
      </c>
      <c r="N1645" s="233" t="s">
        <v>530</v>
      </c>
      <c r="O1645" s="3" t="s">
        <v>2089</v>
      </c>
    </row>
    <row r="1646" spans="1:15">
      <c r="A1646">
        <v>287</v>
      </c>
      <c r="B1646">
        <v>1705</v>
      </c>
      <c r="C1646" t="s">
        <v>79</v>
      </c>
      <c r="D1646" t="s">
        <v>209</v>
      </c>
      <c r="E1646" s="232" t="s">
        <v>11613</v>
      </c>
      <c r="F1646" t="s">
        <v>70</v>
      </c>
      <c r="G1646">
        <v>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s="233" t="s">
        <v>530</v>
      </c>
      <c r="N1646" s="233" t="s">
        <v>530</v>
      </c>
      <c r="O1646" s="3" t="s">
        <v>2623</v>
      </c>
    </row>
    <row r="1647" spans="1:15">
      <c r="A1647">
        <v>287</v>
      </c>
      <c r="B1647">
        <v>1733</v>
      </c>
      <c r="C1647" t="s">
        <v>79</v>
      </c>
      <c r="D1647" t="s">
        <v>209</v>
      </c>
      <c r="E1647" s="232" t="s">
        <v>12382</v>
      </c>
      <c r="F1647" t="s">
        <v>70</v>
      </c>
      <c r="G1647">
        <v>2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s="233" t="s">
        <v>530</v>
      </c>
      <c r="N1647" s="233" t="s">
        <v>530</v>
      </c>
      <c r="O1647" s="3" t="s">
        <v>2623</v>
      </c>
    </row>
    <row r="1648" spans="1:15">
      <c r="A1648">
        <v>284</v>
      </c>
      <c r="B1648">
        <v>1743</v>
      </c>
      <c r="C1648" t="s">
        <v>79</v>
      </c>
      <c r="D1648" t="s">
        <v>209</v>
      </c>
      <c r="E1648" s="232" t="s">
        <v>491</v>
      </c>
      <c r="F1648" t="s">
        <v>71</v>
      </c>
      <c r="G1648">
        <v>2</v>
      </c>
      <c r="H1648">
        <v>706.88900000000001</v>
      </c>
      <c r="I1648">
        <v>704.54100000000005</v>
      </c>
      <c r="J1648">
        <v>700.53499999999997</v>
      </c>
      <c r="K1648">
        <v>697.47</v>
      </c>
      <c r="L1648">
        <v>692.82899999999995</v>
      </c>
      <c r="M1648" s="233" t="s">
        <v>530</v>
      </c>
      <c r="N1648" s="233" t="s">
        <v>530</v>
      </c>
      <c r="O1648" s="3" t="s">
        <v>2090</v>
      </c>
    </row>
    <row r="1649" spans="1:15">
      <c r="A1649">
        <v>284</v>
      </c>
      <c r="B1649">
        <v>1747</v>
      </c>
      <c r="C1649" t="s">
        <v>79</v>
      </c>
      <c r="D1649" t="s">
        <v>209</v>
      </c>
      <c r="E1649" s="232" t="s">
        <v>10747</v>
      </c>
      <c r="F1649" t="s">
        <v>71</v>
      </c>
      <c r="G1649">
        <v>2</v>
      </c>
      <c r="H1649">
        <v>703.86599999999999</v>
      </c>
      <c r="I1649">
        <v>701.529</v>
      </c>
      <c r="J1649">
        <v>698.33900000000006</v>
      </c>
      <c r="K1649">
        <v>695.24900000000002</v>
      </c>
      <c r="L1649">
        <v>690.8</v>
      </c>
      <c r="M1649" s="233" t="s">
        <v>530</v>
      </c>
      <c r="N1649" s="233" t="s">
        <v>530</v>
      </c>
      <c r="O1649" s="3" t="s">
        <v>2091</v>
      </c>
    </row>
    <row r="1650" spans="1:15">
      <c r="A1650">
        <v>284</v>
      </c>
      <c r="B1650">
        <v>1748</v>
      </c>
      <c r="C1650" t="s">
        <v>79</v>
      </c>
      <c r="D1650" t="s">
        <v>209</v>
      </c>
      <c r="E1650" s="232" t="s">
        <v>8534</v>
      </c>
      <c r="F1650" t="s">
        <v>71</v>
      </c>
      <c r="G1650">
        <v>2</v>
      </c>
      <c r="H1650">
        <v>702.53</v>
      </c>
      <c r="I1650">
        <v>700.40099999999995</v>
      </c>
      <c r="J1650">
        <v>697.47</v>
      </c>
      <c r="K1650">
        <v>694.38</v>
      </c>
      <c r="L1650">
        <v>690.09</v>
      </c>
      <c r="M1650" s="233" t="s">
        <v>530</v>
      </c>
      <c r="N1650" s="233" t="s">
        <v>530</v>
      </c>
      <c r="O1650" s="3" t="s">
        <v>2092</v>
      </c>
    </row>
    <row r="1651" spans="1:15">
      <c r="A1651">
        <v>284</v>
      </c>
      <c r="B1651">
        <v>1749</v>
      </c>
      <c r="C1651" t="s">
        <v>79</v>
      </c>
      <c r="D1651" t="s">
        <v>209</v>
      </c>
      <c r="E1651" s="232" t="s">
        <v>8726</v>
      </c>
      <c r="F1651" t="s">
        <v>71</v>
      </c>
      <c r="G1651">
        <v>2</v>
      </c>
      <c r="H1651">
        <v>701.12</v>
      </c>
      <c r="I1651">
        <v>699.21500000000003</v>
      </c>
      <c r="J1651">
        <v>695.94100000000003</v>
      </c>
      <c r="K1651">
        <v>693.37</v>
      </c>
      <c r="L1651">
        <v>689.08</v>
      </c>
      <c r="M1651" s="233" t="s">
        <v>530</v>
      </c>
      <c r="N1651" s="233" t="s">
        <v>530</v>
      </c>
      <c r="O1651" s="3" t="s">
        <v>2093</v>
      </c>
    </row>
    <row r="1652" spans="1:15">
      <c r="A1652">
        <v>284</v>
      </c>
      <c r="B1652">
        <v>1762</v>
      </c>
      <c r="C1652" t="s">
        <v>79</v>
      </c>
      <c r="D1652" t="s">
        <v>209</v>
      </c>
      <c r="E1652" s="232" t="s">
        <v>8883</v>
      </c>
      <c r="F1652" t="s">
        <v>71</v>
      </c>
      <c r="G1652">
        <v>2</v>
      </c>
      <c r="H1652">
        <v>698.33900000000006</v>
      </c>
      <c r="I1652">
        <v>696.22500000000002</v>
      </c>
      <c r="J1652">
        <v>693.654</v>
      </c>
      <c r="K1652">
        <v>690.8</v>
      </c>
      <c r="L1652">
        <v>686.78499999999997</v>
      </c>
      <c r="M1652" s="233" t="s">
        <v>530</v>
      </c>
      <c r="N1652" s="233" t="s">
        <v>530</v>
      </c>
      <c r="O1652" s="3" t="s">
        <v>2094</v>
      </c>
    </row>
    <row r="1653" spans="1:15">
      <c r="A1653">
        <v>284</v>
      </c>
      <c r="B1653">
        <v>1767</v>
      </c>
      <c r="C1653" t="s">
        <v>79</v>
      </c>
      <c r="D1653" t="s">
        <v>209</v>
      </c>
      <c r="E1653" s="232" t="s">
        <v>11026</v>
      </c>
      <c r="F1653" t="s">
        <v>71</v>
      </c>
      <c r="G1653">
        <v>2</v>
      </c>
      <c r="H1653">
        <v>698.33900000000006</v>
      </c>
      <c r="I1653">
        <v>696.22500000000002</v>
      </c>
      <c r="J1653">
        <v>693.654</v>
      </c>
      <c r="K1653">
        <v>690.8</v>
      </c>
      <c r="L1653">
        <v>686.78499999999997</v>
      </c>
      <c r="M1653" s="233" t="s">
        <v>530</v>
      </c>
      <c r="N1653" s="233" t="s">
        <v>530</v>
      </c>
      <c r="O1653" s="3" t="s">
        <v>2095</v>
      </c>
    </row>
    <row r="1654" spans="1:15">
      <c r="A1654">
        <v>284</v>
      </c>
      <c r="B1654">
        <v>1755</v>
      </c>
      <c r="C1654" t="s">
        <v>79</v>
      </c>
      <c r="D1654" t="s">
        <v>209</v>
      </c>
      <c r="E1654" s="232" t="s">
        <v>8217</v>
      </c>
      <c r="F1654" t="s">
        <v>71</v>
      </c>
      <c r="G1654">
        <v>2</v>
      </c>
      <c r="H1654">
        <v>695.94100000000003</v>
      </c>
      <c r="I1654">
        <v>694.51400000000001</v>
      </c>
      <c r="J1654">
        <v>691.68499999999995</v>
      </c>
      <c r="K1654">
        <v>689.08</v>
      </c>
      <c r="L1654">
        <v>685.04</v>
      </c>
      <c r="M1654" s="233" t="s">
        <v>530</v>
      </c>
      <c r="N1654" s="233" t="s">
        <v>530</v>
      </c>
      <c r="O1654" s="3" t="s">
        <v>2096</v>
      </c>
    </row>
    <row r="1655" spans="1:15">
      <c r="A1655">
        <v>284</v>
      </c>
      <c r="B1655">
        <v>1758</v>
      </c>
      <c r="C1655" t="s">
        <v>79</v>
      </c>
      <c r="D1655" t="s">
        <v>209</v>
      </c>
      <c r="E1655" s="232" t="s">
        <v>8654</v>
      </c>
      <c r="F1655" t="s">
        <v>71</v>
      </c>
      <c r="G1655">
        <v>2</v>
      </c>
      <c r="H1655">
        <v>695.94100000000003</v>
      </c>
      <c r="I1655">
        <v>694.51400000000001</v>
      </c>
      <c r="J1655">
        <v>691.68499999999995</v>
      </c>
      <c r="K1655">
        <v>689.08</v>
      </c>
      <c r="L1655">
        <v>685.04</v>
      </c>
      <c r="M1655" s="233" t="s">
        <v>530</v>
      </c>
      <c r="N1655" s="233" t="s">
        <v>530</v>
      </c>
      <c r="O1655" s="3" t="s">
        <v>2097</v>
      </c>
    </row>
    <row r="1656" spans="1:15">
      <c r="A1656">
        <v>284</v>
      </c>
      <c r="B1656">
        <v>1773</v>
      </c>
      <c r="C1656" t="s">
        <v>79</v>
      </c>
      <c r="D1656" t="s">
        <v>209</v>
      </c>
      <c r="E1656" s="232" t="s">
        <v>8618</v>
      </c>
      <c r="F1656" t="s">
        <v>71</v>
      </c>
      <c r="G1656">
        <v>2</v>
      </c>
      <c r="H1656">
        <v>695.11500000000001</v>
      </c>
      <c r="I1656">
        <v>693.37</v>
      </c>
      <c r="J1656">
        <v>690.80899999999997</v>
      </c>
      <c r="K1656">
        <v>688.19500000000005</v>
      </c>
      <c r="L1656">
        <v>684.18899999999996</v>
      </c>
      <c r="M1656" s="233" t="s">
        <v>530</v>
      </c>
      <c r="N1656" s="233" t="s">
        <v>530</v>
      </c>
      <c r="O1656" s="3" t="s">
        <v>2098</v>
      </c>
    </row>
    <row r="1657" spans="1:15">
      <c r="A1657">
        <v>284</v>
      </c>
      <c r="B1657">
        <v>1776</v>
      </c>
      <c r="C1657" t="s">
        <v>79</v>
      </c>
      <c r="D1657" t="s">
        <v>209</v>
      </c>
      <c r="E1657" s="232" t="s">
        <v>9285</v>
      </c>
      <c r="F1657" t="s">
        <v>71</v>
      </c>
      <c r="G1657">
        <v>2</v>
      </c>
      <c r="H1657">
        <v>692.97900000000004</v>
      </c>
      <c r="I1657">
        <v>691.34100000000001</v>
      </c>
      <c r="J1657">
        <v>688.68</v>
      </c>
      <c r="K1657">
        <v>686.33399999999995</v>
      </c>
      <c r="L1657">
        <v>682.35400000000004</v>
      </c>
      <c r="M1657" s="233" t="s">
        <v>530</v>
      </c>
      <c r="N1657" s="233" t="s">
        <v>530</v>
      </c>
      <c r="O1657" s="3" t="s">
        <v>2099</v>
      </c>
    </row>
    <row r="1658" spans="1:15">
      <c r="A1658">
        <v>284</v>
      </c>
      <c r="B1658">
        <v>1760</v>
      </c>
      <c r="C1658" t="s">
        <v>79</v>
      </c>
      <c r="D1658" t="s">
        <v>209</v>
      </c>
      <c r="E1658" s="232" t="s">
        <v>8863</v>
      </c>
      <c r="F1658" t="s">
        <v>71</v>
      </c>
      <c r="G1658">
        <v>2</v>
      </c>
      <c r="H1658">
        <v>692.69500000000005</v>
      </c>
      <c r="I1658">
        <v>691.08399999999995</v>
      </c>
      <c r="J1658">
        <v>688.39599999999996</v>
      </c>
      <c r="K1658">
        <v>686.05</v>
      </c>
      <c r="L1658">
        <v>682.16</v>
      </c>
      <c r="M1658" s="233" t="s">
        <v>530</v>
      </c>
      <c r="N1658" s="233" t="s">
        <v>530</v>
      </c>
      <c r="O1658" s="3" t="s">
        <v>2100</v>
      </c>
    </row>
    <row r="1659" spans="1:15">
      <c r="A1659">
        <v>284</v>
      </c>
      <c r="B1659">
        <v>1779</v>
      </c>
      <c r="C1659" t="s">
        <v>79</v>
      </c>
      <c r="D1659" t="s">
        <v>209</v>
      </c>
      <c r="E1659" s="232" t="s">
        <v>11465</v>
      </c>
      <c r="F1659" t="s">
        <v>71</v>
      </c>
      <c r="G1659">
        <v>2</v>
      </c>
      <c r="H1659">
        <v>692.36</v>
      </c>
      <c r="I1659">
        <v>690.80899999999997</v>
      </c>
      <c r="J1659">
        <v>688.19500000000005</v>
      </c>
      <c r="K1659">
        <v>685.65899999999999</v>
      </c>
      <c r="L1659">
        <v>681.88499999999999</v>
      </c>
      <c r="M1659" s="233" t="s">
        <v>530</v>
      </c>
      <c r="N1659" s="233" t="s">
        <v>530</v>
      </c>
      <c r="O1659" s="3" t="s">
        <v>2101</v>
      </c>
    </row>
    <row r="1660" spans="1:15">
      <c r="A1660">
        <v>284</v>
      </c>
      <c r="B1660">
        <v>1771</v>
      </c>
      <c r="C1660" t="s">
        <v>79</v>
      </c>
      <c r="D1660" t="s">
        <v>209</v>
      </c>
      <c r="E1660" s="232" t="s">
        <v>562</v>
      </c>
      <c r="F1660" t="s">
        <v>71</v>
      </c>
      <c r="G1660">
        <v>2</v>
      </c>
      <c r="H1660">
        <v>691.08399999999995</v>
      </c>
      <c r="I1660">
        <v>689.48900000000003</v>
      </c>
      <c r="J1660">
        <v>686.91899999999998</v>
      </c>
      <c r="K1660">
        <v>684.38099999999997</v>
      </c>
      <c r="L1660">
        <v>680.625</v>
      </c>
      <c r="M1660" s="233" t="s">
        <v>530</v>
      </c>
      <c r="N1660" s="233" t="s">
        <v>530</v>
      </c>
      <c r="O1660" s="3" t="s">
        <v>2102</v>
      </c>
    </row>
    <row r="1661" spans="1:15">
      <c r="A1661">
        <v>284</v>
      </c>
      <c r="B1661">
        <v>1751</v>
      </c>
      <c r="C1661" t="s">
        <v>79</v>
      </c>
      <c r="D1661" t="s">
        <v>209</v>
      </c>
      <c r="E1661" s="232" t="s">
        <v>8214</v>
      </c>
      <c r="F1661" t="s">
        <v>71</v>
      </c>
      <c r="G1661">
        <v>2</v>
      </c>
      <c r="H1661">
        <v>688.68</v>
      </c>
      <c r="I1661">
        <v>687.06</v>
      </c>
      <c r="J1661">
        <v>684.64</v>
      </c>
      <c r="K1661">
        <v>682.22</v>
      </c>
      <c r="L1661">
        <v>678.60500000000002</v>
      </c>
      <c r="M1661" s="233" t="s">
        <v>530</v>
      </c>
      <c r="N1661" s="233" t="s">
        <v>530</v>
      </c>
      <c r="O1661" s="3" t="s">
        <v>2103</v>
      </c>
    </row>
    <row r="1662" spans="1:15">
      <c r="A1662">
        <v>284</v>
      </c>
      <c r="B1662">
        <v>1741</v>
      </c>
      <c r="C1662" t="s">
        <v>79</v>
      </c>
      <c r="D1662" t="s">
        <v>209</v>
      </c>
      <c r="E1662" s="232" t="s">
        <v>8877</v>
      </c>
      <c r="F1662" t="s">
        <v>71</v>
      </c>
      <c r="G1662">
        <v>2</v>
      </c>
      <c r="H1662">
        <v>677.35400000000004</v>
      </c>
      <c r="I1662">
        <v>676.00800000000004</v>
      </c>
      <c r="J1662">
        <v>673.87199999999996</v>
      </c>
      <c r="K1662">
        <v>671.60199999999998</v>
      </c>
      <c r="L1662">
        <v>668.39200000000005</v>
      </c>
      <c r="M1662" s="233" t="s">
        <v>530</v>
      </c>
      <c r="N1662" s="233" t="s">
        <v>530</v>
      </c>
      <c r="O1662" s="3" t="s">
        <v>2104</v>
      </c>
    </row>
    <row r="1663" spans="1:15">
      <c r="A1663">
        <v>204</v>
      </c>
      <c r="B1663">
        <v>1785</v>
      </c>
      <c r="C1663" t="s">
        <v>79</v>
      </c>
      <c r="D1663" t="s">
        <v>212</v>
      </c>
      <c r="E1663" s="232" t="s">
        <v>8011</v>
      </c>
      <c r="F1663" t="s">
        <v>70</v>
      </c>
      <c r="G1663">
        <v>2</v>
      </c>
      <c r="H1663">
        <v>875.65200000000004</v>
      </c>
      <c r="I1663">
        <v>873.30899999999997</v>
      </c>
      <c r="J1663">
        <v>869.048</v>
      </c>
      <c r="K1663">
        <v>863.6</v>
      </c>
      <c r="L1663">
        <v>856.48099999999999</v>
      </c>
      <c r="M1663" s="233" t="s">
        <v>532</v>
      </c>
      <c r="N1663" s="233" t="s">
        <v>532</v>
      </c>
      <c r="O1663" s="3" t="s">
        <v>2105</v>
      </c>
    </row>
    <row r="1664" spans="1:15">
      <c r="A1664">
        <v>206</v>
      </c>
      <c r="B1664">
        <v>1819</v>
      </c>
      <c r="C1664" t="s">
        <v>79</v>
      </c>
      <c r="D1664" t="s">
        <v>212</v>
      </c>
      <c r="E1664" s="232" t="s">
        <v>435</v>
      </c>
      <c r="F1664" t="s">
        <v>70</v>
      </c>
      <c r="G1664">
        <v>2</v>
      </c>
      <c r="H1664">
        <v>865.42899999999997</v>
      </c>
      <c r="I1664">
        <v>863.09799999999996</v>
      </c>
      <c r="J1664">
        <v>858.84799999999996</v>
      </c>
      <c r="K1664">
        <v>853.327</v>
      </c>
      <c r="L1664">
        <v>847.19500000000005</v>
      </c>
      <c r="M1664" s="233" t="s">
        <v>532</v>
      </c>
      <c r="N1664" s="233" t="s">
        <v>532</v>
      </c>
      <c r="O1664" s="3" t="s">
        <v>2106</v>
      </c>
    </row>
    <row r="1665" spans="1:15">
      <c r="A1665">
        <v>206</v>
      </c>
      <c r="B1665">
        <v>1824</v>
      </c>
      <c r="C1665" t="s">
        <v>79</v>
      </c>
      <c r="D1665" t="s">
        <v>212</v>
      </c>
      <c r="E1665" s="232" t="s">
        <v>12439</v>
      </c>
      <c r="F1665" t="s">
        <v>70</v>
      </c>
      <c r="G1665">
        <v>2</v>
      </c>
      <c r="H1665">
        <v>857.20899999999995</v>
      </c>
      <c r="I1665">
        <v>854.64</v>
      </c>
      <c r="J1665">
        <v>850.56500000000005</v>
      </c>
      <c r="K1665">
        <v>845.93</v>
      </c>
      <c r="L1665">
        <v>840.64499999999998</v>
      </c>
      <c r="M1665" s="233" t="s">
        <v>532</v>
      </c>
      <c r="N1665" s="233" t="s">
        <v>532</v>
      </c>
      <c r="O1665" s="3" t="s">
        <v>2107</v>
      </c>
    </row>
    <row r="1666" spans="1:15">
      <c r="A1666">
        <v>206</v>
      </c>
      <c r="B1666">
        <v>1791</v>
      </c>
      <c r="C1666" t="s">
        <v>79</v>
      </c>
      <c r="D1666" t="s">
        <v>212</v>
      </c>
      <c r="E1666" s="232" t="s">
        <v>9339</v>
      </c>
      <c r="F1666" t="s">
        <v>70</v>
      </c>
      <c r="G1666">
        <v>2</v>
      </c>
      <c r="H1666">
        <v>854.41</v>
      </c>
      <c r="I1666">
        <v>852.01300000000003</v>
      </c>
      <c r="J1666">
        <v>848.31</v>
      </c>
      <c r="K1666">
        <v>843.93799999999999</v>
      </c>
      <c r="L1666">
        <v>838.67899999999997</v>
      </c>
      <c r="M1666" s="233" t="s">
        <v>532</v>
      </c>
      <c r="N1666" s="233" t="s">
        <v>532</v>
      </c>
      <c r="O1666" s="3" t="s">
        <v>2108</v>
      </c>
    </row>
    <row r="1667" spans="1:15">
      <c r="A1667">
        <v>205</v>
      </c>
      <c r="B1667">
        <v>1806</v>
      </c>
      <c r="C1667" t="s">
        <v>79</v>
      </c>
      <c r="D1667" t="s">
        <v>212</v>
      </c>
      <c r="E1667" s="232" t="s">
        <v>551</v>
      </c>
      <c r="F1667" t="s">
        <v>70</v>
      </c>
      <c r="G1667">
        <v>2</v>
      </c>
      <c r="H1667">
        <v>851.505</v>
      </c>
      <c r="I1667">
        <v>849.428</v>
      </c>
      <c r="J1667">
        <v>845.59699999999998</v>
      </c>
      <c r="K1667">
        <v>841.38800000000003</v>
      </c>
      <c r="L1667">
        <v>835.89300000000003</v>
      </c>
      <c r="M1667" s="233" t="s">
        <v>532</v>
      </c>
      <c r="N1667" s="233" t="s">
        <v>532</v>
      </c>
      <c r="O1667" s="3" t="s">
        <v>2109</v>
      </c>
    </row>
    <row r="1668" spans="1:15">
      <c r="A1668">
        <v>204</v>
      </c>
      <c r="B1668">
        <v>1803</v>
      </c>
      <c r="C1668" t="s">
        <v>79</v>
      </c>
      <c r="D1668" t="s">
        <v>212</v>
      </c>
      <c r="E1668" s="232" t="s">
        <v>9622</v>
      </c>
      <c r="F1668" t="s">
        <v>70</v>
      </c>
      <c r="G1668">
        <v>2</v>
      </c>
      <c r="H1668">
        <v>846.69200000000001</v>
      </c>
      <c r="I1668">
        <v>844.50099999999998</v>
      </c>
      <c r="J1668">
        <v>840.81399999999996</v>
      </c>
      <c r="K1668">
        <v>836.43600000000004</v>
      </c>
      <c r="L1668">
        <v>830.72799999999995</v>
      </c>
      <c r="M1668" s="233" t="s">
        <v>532</v>
      </c>
      <c r="N1668" s="233" t="s">
        <v>532</v>
      </c>
      <c r="O1668" s="3" t="s">
        <v>2110</v>
      </c>
    </row>
    <row r="1669" spans="1:15">
      <c r="A1669">
        <v>206</v>
      </c>
      <c r="B1669">
        <v>1795</v>
      </c>
      <c r="C1669" t="s">
        <v>79</v>
      </c>
      <c r="D1669" t="s">
        <v>212</v>
      </c>
      <c r="E1669" s="232" t="s">
        <v>10236</v>
      </c>
      <c r="F1669" t="s">
        <v>70</v>
      </c>
      <c r="G1669">
        <v>2</v>
      </c>
      <c r="H1669">
        <v>844.64499999999998</v>
      </c>
      <c r="I1669">
        <v>842.84199999999998</v>
      </c>
      <c r="J1669">
        <v>839.38599999999997</v>
      </c>
      <c r="K1669">
        <v>834.96699999999998</v>
      </c>
      <c r="L1669">
        <v>829.25199999999995</v>
      </c>
      <c r="M1669" s="233" t="s">
        <v>532</v>
      </c>
      <c r="N1669" s="233" t="s">
        <v>532</v>
      </c>
      <c r="O1669" s="3" t="s">
        <v>2111</v>
      </c>
    </row>
    <row r="1670" spans="1:15">
      <c r="A1670">
        <v>204</v>
      </c>
      <c r="B1670">
        <v>1805</v>
      </c>
      <c r="C1670" t="s">
        <v>79</v>
      </c>
      <c r="D1670" t="s">
        <v>212</v>
      </c>
      <c r="E1670" s="232" t="s">
        <v>9252</v>
      </c>
      <c r="F1670" t="s">
        <v>70</v>
      </c>
      <c r="G1670">
        <v>2</v>
      </c>
      <c r="H1670">
        <v>843.93799999999999</v>
      </c>
      <c r="I1670">
        <v>841.91</v>
      </c>
      <c r="J1670">
        <v>838.49</v>
      </c>
      <c r="K1670">
        <v>834.07100000000003</v>
      </c>
      <c r="L1670">
        <v>828.15599999999995</v>
      </c>
      <c r="M1670" s="233" t="s">
        <v>532</v>
      </c>
      <c r="N1670" s="233" t="s">
        <v>532</v>
      </c>
      <c r="O1670" s="3" t="s">
        <v>2112</v>
      </c>
    </row>
    <row r="1671" spans="1:15">
      <c r="A1671">
        <v>205</v>
      </c>
      <c r="B1671">
        <v>1821</v>
      </c>
      <c r="C1671" t="s">
        <v>79</v>
      </c>
      <c r="D1671" t="s">
        <v>212</v>
      </c>
      <c r="E1671" s="232" t="s">
        <v>550</v>
      </c>
      <c r="F1671" t="s">
        <v>70</v>
      </c>
      <c r="G1671">
        <v>2</v>
      </c>
      <c r="H1671">
        <v>843.93799999999999</v>
      </c>
      <c r="I1671">
        <v>842.09900000000005</v>
      </c>
      <c r="J1671">
        <v>838.49</v>
      </c>
      <c r="K1671">
        <v>833.88199999999995</v>
      </c>
      <c r="L1671">
        <v>827.99300000000005</v>
      </c>
      <c r="M1671" s="233" t="s">
        <v>532</v>
      </c>
      <c r="N1671" s="233" t="s">
        <v>532</v>
      </c>
      <c r="O1671" s="3" t="s">
        <v>2113</v>
      </c>
    </row>
    <row r="1672" spans="1:15">
      <c r="A1672">
        <v>204</v>
      </c>
      <c r="B1672">
        <v>1816</v>
      </c>
      <c r="C1672" t="s">
        <v>79</v>
      </c>
      <c r="D1672" t="s">
        <v>212</v>
      </c>
      <c r="E1672" s="232" t="s">
        <v>12950</v>
      </c>
      <c r="F1672" t="s">
        <v>70</v>
      </c>
      <c r="G1672">
        <v>2</v>
      </c>
      <c r="H1672">
        <v>843.60500000000002</v>
      </c>
      <c r="I1672">
        <v>841.74699999999996</v>
      </c>
      <c r="J1672">
        <v>837.721</v>
      </c>
      <c r="K1672">
        <v>833.30799999999999</v>
      </c>
      <c r="L1672">
        <v>827.45399999999995</v>
      </c>
      <c r="M1672" s="233" t="s">
        <v>532</v>
      </c>
      <c r="N1672" s="233" t="s">
        <v>532</v>
      </c>
      <c r="O1672" s="3" t="s">
        <v>2114</v>
      </c>
    </row>
    <row r="1673" spans="1:15">
      <c r="A1673">
        <v>206</v>
      </c>
      <c r="B1673">
        <v>1822</v>
      </c>
      <c r="C1673" t="s">
        <v>79</v>
      </c>
      <c r="D1673" t="s">
        <v>212</v>
      </c>
      <c r="E1673" s="232" t="s">
        <v>12965</v>
      </c>
      <c r="F1673" t="s">
        <v>70</v>
      </c>
      <c r="G1673">
        <v>2</v>
      </c>
      <c r="H1673">
        <v>843.17499999999995</v>
      </c>
      <c r="I1673">
        <v>841.34699999999998</v>
      </c>
      <c r="J1673">
        <v>837.721</v>
      </c>
      <c r="K1673">
        <v>833.30799999999999</v>
      </c>
      <c r="L1673">
        <v>827.45399999999995</v>
      </c>
      <c r="M1673" s="233" t="s">
        <v>532</v>
      </c>
      <c r="N1673" s="233" t="s">
        <v>532</v>
      </c>
      <c r="O1673" s="3" t="s">
        <v>2115</v>
      </c>
    </row>
    <row r="1674" spans="1:15">
      <c r="A1674">
        <v>204</v>
      </c>
      <c r="B1674">
        <v>1811</v>
      </c>
      <c r="C1674" t="s">
        <v>79</v>
      </c>
      <c r="D1674" t="s">
        <v>212</v>
      </c>
      <c r="E1674" s="232" t="s">
        <v>12969</v>
      </c>
      <c r="F1674" t="s">
        <v>70</v>
      </c>
      <c r="G1674">
        <v>2</v>
      </c>
      <c r="H1674">
        <v>843.21699999999998</v>
      </c>
      <c r="I1674">
        <v>841.38800000000003</v>
      </c>
      <c r="J1674">
        <v>837.55799999999999</v>
      </c>
      <c r="K1674">
        <v>833.13800000000003</v>
      </c>
      <c r="L1674">
        <v>827.10199999999998</v>
      </c>
      <c r="M1674" s="233" t="s">
        <v>532</v>
      </c>
      <c r="N1674" s="233" t="s">
        <v>532</v>
      </c>
      <c r="O1674" s="3" t="s">
        <v>2116</v>
      </c>
    </row>
    <row r="1675" spans="1:15">
      <c r="A1675">
        <v>204</v>
      </c>
      <c r="B1675">
        <v>1802</v>
      </c>
      <c r="C1675" t="s">
        <v>79</v>
      </c>
      <c r="D1675" t="s">
        <v>212</v>
      </c>
      <c r="E1675" s="232" t="s">
        <v>13012</v>
      </c>
      <c r="F1675" t="s">
        <v>70</v>
      </c>
      <c r="G1675">
        <v>2</v>
      </c>
      <c r="H1675">
        <v>842.48400000000004</v>
      </c>
      <c r="I1675">
        <v>840.64499999999998</v>
      </c>
      <c r="J1675">
        <v>836.82500000000005</v>
      </c>
      <c r="K1675">
        <v>832.22299999999996</v>
      </c>
      <c r="L1675">
        <v>826.15800000000002</v>
      </c>
      <c r="M1675" s="233" t="s">
        <v>532</v>
      </c>
      <c r="N1675" s="233" t="s">
        <v>532</v>
      </c>
      <c r="O1675" s="3" t="s">
        <v>2117</v>
      </c>
    </row>
    <row r="1676" spans="1:15">
      <c r="A1676">
        <v>206</v>
      </c>
      <c r="B1676">
        <v>1809</v>
      </c>
      <c r="C1676" t="s">
        <v>79</v>
      </c>
      <c r="D1676" t="s">
        <v>212</v>
      </c>
      <c r="E1676" s="232" t="s">
        <v>8316</v>
      </c>
      <c r="F1676" t="s">
        <v>70</v>
      </c>
      <c r="G1676">
        <v>2</v>
      </c>
      <c r="H1676">
        <v>841.577</v>
      </c>
      <c r="I1676">
        <v>839.91899999999998</v>
      </c>
      <c r="J1676">
        <v>835.87300000000005</v>
      </c>
      <c r="K1676">
        <v>831.46</v>
      </c>
      <c r="L1676">
        <v>825.62599999999998</v>
      </c>
      <c r="M1676" s="233" t="s">
        <v>532</v>
      </c>
      <c r="N1676" s="233" t="s">
        <v>532</v>
      </c>
      <c r="O1676" s="3" t="s">
        <v>2118</v>
      </c>
    </row>
    <row r="1677" spans="1:15">
      <c r="A1677">
        <v>204</v>
      </c>
      <c r="B1677">
        <v>1807</v>
      </c>
      <c r="C1677" t="s">
        <v>79</v>
      </c>
      <c r="D1677" t="s">
        <v>212</v>
      </c>
      <c r="E1677" s="232" t="s">
        <v>13054</v>
      </c>
      <c r="F1677" t="s">
        <v>70</v>
      </c>
      <c r="G1677">
        <v>2</v>
      </c>
      <c r="H1677">
        <v>841.74699999999996</v>
      </c>
      <c r="I1677">
        <v>839.91899999999998</v>
      </c>
      <c r="J1677">
        <v>835.89300000000003</v>
      </c>
      <c r="K1677">
        <v>831.48</v>
      </c>
      <c r="L1677">
        <v>825.43700000000001</v>
      </c>
      <c r="M1677" s="233" t="s">
        <v>532</v>
      </c>
      <c r="N1677" s="233" t="s">
        <v>532</v>
      </c>
      <c r="O1677" s="3" t="s">
        <v>2119</v>
      </c>
    </row>
    <row r="1678" spans="1:15">
      <c r="A1678">
        <v>204</v>
      </c>
      <c r="B1678">
        <v>1818</v>
      </c>
      <c r="C1678" t="s">
        <v>79</v>
      </c>
      <c r="D1678" t="s">
        <v>212</v>
      </c>
      <c r="E1678" s="232" t="s">
        <v>8155</v>
      </c>
      <c r="F1678" t="s">
        <v>70</v>
      </c>
      <c r="G1678">
        <v>2</v>
      </c>
      <c r="H1678">
        <v>841.74699999999996</v>
      </c>
      <c r="I1678">
        <v>839.91899999999998</v>
      </c>
      <c r="J1678">
        <v>835.89300000000003</v>
      </c>
      <c r="K1678">
        <v>831.48</v>
      </c>
      <c r="L1678">
        <v>825.43700000000001</v>
      </c>
      <c r="M1678" s="233" t="s">
        <v>532</v>
      </c>
      <c r="N1678" s="233" t="s">
        <v>532</v>
      </c>
      <c r="O1678" s="3" t="s">
        <v>2120</v>
      </c>
    </row>
    <row r="1679" spans="1:15">
      <c r="A1679">
        <v>204</v>
      </c>
      <c r="B1679">
        <v>1817</v>
      </c>
      <c r="C1679" t="s">
        <v>79</v>
      </c>
      <c r="D1679" t="s">
        <v>212</v>
      </c>
      <c r="E1679" s="232" t="s">
        <v>13064</v>
      </c>
      <c r="F1679" t="s">
        <v>70</v>
      </c>
      <c r="G1679">
        <v>2</v>
      </c>
      <c r="H1679">
        <v>841.577</v>
      </c>
      <c r="I1679">
        <v>839.91899999999998</v>
      </c>
      <c r="J1679">
        <v>835.72900000000004</v>
      </c>
      <c r="K1679">
        <v>831.29100000000005</v>
      </c>
      <c r="L1679">
        <v>825.43700000000001</v>
      </c>
      <c r="M1679" s="233" t="s">
        <v>532</v>
      </c>
      <c r="N1679" s="233" t="s">
        <v>532</v>
      </c>
      <c r="O1679" s="3" t="s">
        <v>2121</v>
      </c>
    </row>
    <row r="1680" spans="1:15">
      <c r="A1680">
        <v>204</v>
      </c>
      <c r="B1680">
        <v>1800</v>
      </c>
      <c r="C1680" t="s">
        <v>79</v>
      </c>
      <c r="D1680" t="s">
        <v>212</v>
      </c>
      <c r="E1680" s="232" t="s">
        <v>13096</v>
      </c>
      <c r="F1680" t="s">
        <v>70</v>
      </c>
      <c r="G1680">
        <v>2</v>
      </c>
      <c r="H1680">
        <v>841.34699999999998</v>
      </c>
      <c r="I1680">
        <v>839.38599999999997</v>
      </c>
      <c r="J1680">
        <v>835.33600000000001</v>
      </c>
      <c r="K1680">
        <v>831.08</v>
      </c>
      <c r="L1680">
        <v>825.06299999999999</v>
      </c>
      <c r="M1680" s="233" t="s">
        <v>532</v>
      </c>
      <c r="N1680" s="233" t="s">
        <v>532</v>
      </c>
      <c r="O1680" s="3" t="s">
        <v>2122</v>
      </c>
    </row>
    <row r="1681" spans="1:15">
      <c r="A1681">
        <v>206</v>
      </c>
      <c r="B1681">
        <v>1812</v>
      </c>
      <c r="C1681" t="s">
        <v>79</v>
      </c>
      <c r="D1681" t="s">
        <v>212</v>
      </c>
      <c r="E1681" s="232" t="s">
        <v>8224</v>
      </c>
      <c r="F1681" t="s">
        <v>70</v>
      </c>
      <c r="G1681">
        <v>2</v>
      </c>
      <c r="H1681">
        <v>831.08</v>
      </c>
      <c r="I1681">
        <v>828.88900000000001</v>
      </c>
      <c r="J1681">
        <v>825.06299999999999</v>
      </c>
      <c r="K1681">
        <v>820.53499999999997</v>
      </c>
      <c r="L1681">
        <v>815.21400000000006</v>
      </c>
      <c r="M1681" s="233" t="s">
        <v>532</v>
      </c>
      <c r="N1681" s="233" t="s">
        <v>532</v>
      </c>
      <c r="O1681" s="3" t="s">
        <v>2123</v>
      </c>
    </row>
    <row r="1682" spans="1:15">
      <c r="A1682">
        <v>203</v>
      </c>
      <c r="B1682">
        <v>1830</v>
      </c>
      <c r="C1682" t="s">
        <v>79</v>
      </c>
      <c r="D1682" t="s">
        <v>212</v>
      </c>
      <c r="E1682" s="232" t="s">
        <v>8232</v>
      </c>
      <c r="F1682" t="s">
        <v>71</v>
      </c>
      <c r="G1682">
        <v>2</v>
      </c>
      <c r="H1682">
        <v>870.43799999999999</v>
      </c>
      <c r="I1682">
        <v>867.553</v>
      </c>
      <c r="J1682">
        <v>862.56700000000001</v>
      </c>
      <c r="K1682">
        <v>857.22699999999998</v>
      </c>
      <c r="L1682">
        <v>850.58299999999997</v>
      </c>
      <c r="M1682" s="233" t="s">
        <v>532</v>
      </c>
      <c r="N1682" s="233" t="s">
        <v>532</v>
      </c>
      <c r="O1682" s="3" t="s">
        <v>2124</v>
      </c>
    </row>
    <row r="1683" spans="1:15">
      <c r="A1683">
        <v>203</v>
      </c>
      <c r="B1683">
        <v>1852</v>
      </c>
      <c r="C1683" t="s">
        <v>79</v>
      </c>
      <c r="D1683" t="s">
        <v>212</v>
      </c>
      <c r="E1683" s="232" t="s">
        <v>491</v>
      </c>
      <c r="F1683" t="s">
        <v>71</v>
      </c>
      <c r="G1683">
        <v>2</v>
      </c>
      <c r="H1683">
        <v>864.28899999999999</v>
      </c>
      <c r="I1683">
        <v>861.97500000000002</v>
      </c>
      <c r="J1683">
        <v>856.84</v>
      </c>
      <c r="K1683">
        <v>851.93399999999997</v>
      </c>
      <c r="L1683">
        <v>845.44</v>
      </c>
      <c r="M1683" s="233" t="s">
        <v>532</v>
      </c>
      <c r="N1683" s="233" t="s">
        <v>532</v>
      </c>
      <c r="O1683" s="3" t="s">
        <v>2125</v>
      </c>
    </row>
    <row r="1684" spans="1:15">
      <c r="A1684">
        <v>203</v>
      </c>
      <c r="B1684">
        <v>1851</v>
      </c>
      <c r="C1684" t="s">
        <v>79</v>
      </c>
      <c r="D1684" t="s">
        <v>212</v>
      </c>
      <c r="E1684" s="232" t="s">
        <v>8953</v>
      </c>
      <c r="F1684" t="s">
        <v>71</v>
      </c>
      <c r="G1684">
        <v>2</v>
      </c>
      <c r="H1684">
        <v>860.08399999999995</v>
      </c>
      <c r="I1684">
        <v>857.62800000000004</v>
      </c>
      <c r="J1684">
        <v>853.08199999999999</v>
      </c>
      <c r="K1684">
        <v>848.31399999999996</v>
      </c>
      <c r="L1684">
        <v>842.02300000000002</v>
      </c>
      <c r="M1684" s="233" t="s">
        <v>532</v>
      </c>
      <c r="N1684" s="233" t="s">
        <v>532</v>
      </c>
      <c r="O1684" s="3" t="s">
        <v>2126</v>
      </c>
    </row>
    <row r="1685" spans="1:15">
      <c r="A1685">
        <v>203</v>
      </c>
      <c r="B1685">
        <v>1831</v>
      </c>
      <c r="C1685" t="s">
        <v>79</v>
      </c>
      <c r="D1685" t="s">
        <v>212</v>
      </c>
      <c r="E1685" s="232" t="s">
        <v>8337</v>
      </c>
      <c r="F1685" t="s">
        <v>71</v>
      </c>
      <c r="G1685">
        <v>2</v>
      </c>
      <c r="H1685">
        <v>858.54499999999996</v>
      </c>
      <c r="I1685">
        <v>856.29600000000005</v>
      </c>
      <c r="J1685">
        <v>851.73099999999999</v>
      </c>
      <c r="K1685">
        <v>846.76099999999997</v>
      </c>
      <c r="L1685">
        <v>840.68799999999999</v>
      </c>
      <c r="M1685" s="233" t="s">
        <v>532</v>
      </c>
      <c r="N1685" s="233" t="s">
        <v>532</v>
      </c>
      <c r="O1685" s="3" t="s">
        <v>2127</v>
      </c>
    </row>
    <row r="1686" spans="1:15">
      <c r="A1686">
        <v>203</v>
      </c>
      <c r="B1686">
        <v>1840</v>
      </c>
      <c r="C1686" t="s">
        <v>79</v>
      </c>
      <c r="D1686" t="s">
        <v>212</v>
      </c>
      <c r="E1686" s="232" t="s">
        <v>8534</v>
      </c>
      <c r="F1686" t="s">
        <v>71</v>
      </c>
      <c r="G1686">
        <v>2</v>
      </c>
      <c r="H1686">
        <v>857.41</v>
      </c>
      <c r="I1686">
        <v>855.14800000000002</v>
      </c>
      <c r="J1686">
        <v>850.58299999999997</v>
      </c>
      <c r="K1686">
        <v>845.61300000000006</v>
      </c>
      <c r="L1686">
        <v>839.72699999999998</v>
      </c>
      <c r="M1686" s="233" t="s">
        <v>532</v>
      </c>
      <c r="N1686" s="233" t="s">
        <v>532</v>
      </c>
      <c r="O1686" s="3" t="s">
        <v>2128</v>
      </c>
    </row>
    <row r="1687" spans="1:15">
      <c r="A1687">
        <v>203</v>
      </c>
      <c r="B1687">
        <v>1848</v>
      </c>
      <c r="C1687" t="s">
        <v>79</v>
      </c>
      <c r="D1687" t="s">
        <v>212</v>
      </c>
      <c r="E1687" s="232" t="s">
        <v>8107</v>
      </c>
      <c r="F1687" t="s">
        <v>71</v>
      </c>
      <c r="G1687">
        <v>2</v>
      </c>
      <c r="H1687">
        <v>856.65200000000004</v>
      </c>
      <c r="I1687">
        <v>854.57100000000003</v>
      </c>
      <c r="J1687">
        <v>849.99099999999999</v>
      </c>
      <c r="K1687">
        <v>845.25300000000004</v>
      </c>
      <c r="L1687">
        <v>839.33699999999999</v>
      </c>
      <c r="M1687" s="233" t="s">
        <v>532</v>
      </c>
      <c r="N1687" s="233" t="s">
        <v>532</v>
      </c>
      <c r="O1687" s="3" t="s">
        <v>2129</v>
      </c>
    </row>
    <row r="1688" spans="1:15">
      <c r="A1688">
        <v>203</v>
      </c>
      <c r="B1688">
        <v>1833</v>
      </c>
      <c r="C1688" t="s">
        <v>79</v>
      </c>
      <c r="D1688" t="s">
        <v>212</v>
      </c>
      <c r="E1688" s="232" t="s">
        <v>8214</v>
      </c>
      <c r="F1688" t="s">
        <v>71</v>
      </c>
      <c r="G1688">
        <v>2</v>
      </c>
      <c r="H1688">
        <v>856.29600000000005</v>
      </c>
      <c r="I1688">
        <v>854</v>
      </c>
      <c r="J1688">
        <v>849.44799999999998</v>
      </c>
      <c r="K1688">
        <v>844.46500000000003</v>
      </c>
      <c r="L1688">
        <v>838.57899999999995</v>
      </c>
      <c r="M1688" s="233" t="s">
        <v>532</v>
      </c>
      <c r="N1688" s="233" t="s">
        <v>532</v>
      </c>
      <c r="O1688" s="3" t="s">
        <v>2130</v>
      </c>
    </row>
    <row r="1689" spans="1:15">
      <c r="A1689">
        <v>203</v>
      </c>
      <c r="B1689">
        <v>1836</v>
      </c>
      <c r="C1689" t="s">
        <v>79</v>
      </c>
      <c r="D1689" t="s">
        <v>212</v>
      </c>
      <c r="E1689" s="232" t="s">
        <v>8216</v>
      </c>
      <c r="F1689" t="s">
        <v>71</v>
      </c>
      <c r="G1689">
        <v>2</v>
      </c>
      <c r="H1689">
        <v>855.89099999999996</v>
      </c>
      <c r="I1689">
        <v>853.61</v>
      </c>
      <c r="J1689">
        <v>849.03</v>
      </c>
      <c r="K1689">
        <v>844.10500000000002</v>
      </c>
      <c r="L1689">
        <v>838.39200000000005</v>
      </c>
      <c r="M1689" s="233" t="s">
        <v>532</v>
      </c>
      <c r="N1689" s="233" t="s">
        <v>532</v>
      </c>
      <c r="O1689" s="3" t="s">
        <v>2131</v>
      </c>
    </row>
    <row r="1690" spans="1:15">
      <c r="A1690">
        <v>203</v>
      </c>
      <c r="B1690">
        <v>1842</v>
      </c>
      <c r="C1690" t="s">
        <v>79</v>
      </c>
      <c r="D1690" t="s">
        <v>212</v>
      </c>
      <c r="E1690" s="232" t="s">
        <v>8618</v>
      </c>
      <c r="F1690" t="s">
        <v>71</v>
      </c>
      <c r="G1690">
        <v>2</v>
      </c>
      <c r="H1690">
        <v>850.78599999999994</v>
      </c>
      <c r="I1690">
        <v>848.67</v>
      </c>
      <c r="J1690">
        <v>844.10500000000002</v>
      </c>
      <c r="K1690">
        <v>839.72699999999998</v>
      </c>
      <c r="L1690">
        <v>833.827</v>
      </c>
      <c r="M1690" s="233" t="s">
        <v>532</v>
      </c>
      <c r="N1690" s="233" t="s">
        <v>532</v>
      </c>
      <c r="O1690" s="3" t="s">
        <v>2132</v>
      </c>
    </row>
    <row r="1691" spans="1:15">
      <c r="A1691">
        <v>203</v>
      </c>
      <c r="B1691">
        <v>1850</v>
      </c>
      <c r="C1691" t="s">
        <v>79</v>
      </c>
      <c r="D1691" t="s">
        <v>212</v>
      </c>
      <c r="E1691" s="232" t="s">
        <v>8804</v>
      </c>
      <c r="F1691" t="s">
        <v>71</v>
      </c>
      <c r="G1691">
        <v>2</v>
      </c>
      <c r="H1691">
        <v>847.70899999999995</v>
      </c>
      <c r="I1691">
        <v>845.44</v>
      </c>
      <c r="J1691">
        <v>841.45299999999997</v>
      </c>
      <c r="K1691">
        <v>836.63599999999997</v>
      </c>
      <c r="L1691">
        <v>830.93700000000001</v>
      </c>
      <c r="M1691" s="233" t="s">
        <v>532</v>
      </c>
      <c r="N1691" s="233" t="s">
        <v>532</v>
      </c>
      <c r="O1691" s="3" t="s">
        <v>2133</v>
      </c>
    </row>
    <row r="1692" spans="1:15">
      <c r="A1692">
        <v>203</v>
      </c>
      <c r="B1692">
        <v>1855</v>
      </c>
      <c r="C1692" t="s">
        <v>79</v>
      </c>
      <c r="D1692" t="s">
        <v>212</v>
      </c>
      <c r="E1692" s="232" t="s">
        <v>501</v>
      </c>
      <c r="F1692" t="s">
        <v>71</v>
      </c>
      <c r="G1692">
        <v>2</v>
      </c>
      <c r="H1692">
        <v>844.88300000000004</v>
      </c>
      <c r="I1692">
        <v>842.601</v>
      </c>
      <c r="J1692">
        <v>838.57899999999995</v>
      </c>
      <c r="K1692">
        <v>834.20100000000002</v>
      </c>
      <c r="L1692">
        <v>828.10799999999995</v>
      </c>
      <c r="M1692" s="233" t="s">
        <v>532</v>
      </c>
      <c r="N1692" s="233" t="s">
        <v>532</v>
      </c>
      <c r="O1692" s="3" t="s">
        <v>2134</v>
      </c>
    </row>
    <row r="1693" spans="1:15">
      <c r="A1693">
        <v>203</v>
      </c>
      <c r="B1693">
        <v>1845</v>
      </c>
      <c r="C1693" t="s">
        <v>79</v>
      </c>
      <c r="D1693" t="s">
        <v>212</v>
      </c>
      <c r="E1693" s="232" t="s">
        <v>561</v>
      </c>
      <c r="F1693" t="s">
        <v>71</v>
      </c>
      <c r="G1693">
        <v>2</v>
      </c>
      <c r="H1693">
        <v>843.34400000000005</v>
      </c>
      <c r="I1693">
        <v>841.45299999999997</v>
      </c>
      <c r="J1693">
        <v>837.25800000000004</v>
      </c>
      <c r="K1693">
        <v>832.86599999999999</v>
      </c>
      <c r="L1693">
        <v>826.95699999999999</v>
      </c>
      <c r="M1693" s="233" t="s">
        <v>532</v>
      </c>
      <c r="N1693" s="233" t="s">
        <v>532</v>
      </c>
      <c r="O1693" s="3" t="s">
        <v>2135</v>
      </c>
    </row>
    <row r="1694" spans="1:15">
      <c r="A1694">
        <v>203</v>
      </c>
      <c r="B1694">
        <v>1841</v>
      </c>
      <c r="C1694" t="s">
        <v>79</v>
      </c>
      <c r="D1694" t="s">
        <v>212</v>
      </c>
      <c r="E1694" s="232" t="s">
        <v>8863</v>
      </c>
      <c r="F1694" t="s">
        <v>71</v>
      </c>
      <c r="G1694">
        <v>2</v>
      </c>
      <c r="H1694">
        <v>839.72699999999998</v>
      </c>
      <c r="I1694">
        <v>837.63099999999997</v>
      </c>
      <c r="J1694">
        <v>833.62400000000002</v>
      </c>
      <c r="K1694">
        <v>829.07299999999998</v>
      </c>
      <c r="L1694">
        <v>823.23199999999997</v>
      </c>
      <c r="M1694" s="233" t="s">
        <v>532</v>
      </c>
      <c r="N1694" s="233" t="s">
        <v>532</v>
      </c>
      <c r="O1694" s="3" t="s">
        <v>2136</v>
      </c>
    </row>
    <row r="1695" spans="1:15">
      <c r="A1695">
        <v>203</v>
      </c>
      <c r="B1695">
        <v>1826</v>
      </c>
      <c r="C1695" t="s">
        <v>79</v>
      </c>
      <c r="D1695" t="s">
        <v>212</v>
      </c>
      <c r="E1695" s="232" t="s">
        <v>7354</v>
      </c>
      <c r="F1695" t="s">
        <v>71</v>
      </c>
      <c r="G1695">
        <v>2</v>
      </c>
      <c r="H1695">
        <v>797.43499999999995</v>
      </c>
      <c r="I1695">
        <v>795.74300000000005</v>
      </c>
      <c r="J1695">
        <v>792.72699999999998</v>
      </c>
      <c r="K1695">
        <v>788.94899999999996</v>
      </c>
      <c r="L1695">
        <v>784.78300000000002</v>
      </c>
      <c r="M1695" s="233" t="s">
        <v>532</v>
      </c>
      <c r="N1695" s="233" t="s">
        <v>532</v>
      </c>
      <c r="O1695" s="3" t="s">
        <v>2137</v>
      </c>
    </row>
    <row r="1696" spans="1:15">
      <c r="A1696">
        <v>208</v>
      </c>
      <c r="B1696">
        <v>1858</v>
      </c>
      <c r="C1696" t="s">
        <v>79</v>
      </c>
      <c r="D1696" t="s">
        <v>211</v>
      </c>
      <c r="E1696" s="232" t="s">
        <v>8633</v>
      </c>
      <c r="F1696" t="s">
        <v>70</v>
      </c>
      <c r="G1696">
        <v>3</v>
      </c>
      <c r="H1696">
        <v>335.55099999999999</v>
      </c>
      <c r="I1696">
        <v>334.37700000000001</v>
      </c>
      <c r="J1696">
        <v>332.202</v>
      </c>
      <c r="K1696">
        <v>329.21</v>
      </c>
      <c r="L1696">
        <v>325.79399999999998</v>
      </c>
      <c r="M1696" s="233" t="s">
        <v>530</v>
      </c>
      <c r="N1696" s="233" t="s">
        <v>531</v>
      </c>
      <c r="O1696" s="3" t="s">
        <v>2138</v>
      </c>
    </row>
    <row r="1697" spans="1:15">
      <c r="A1697">
        <v>208</v>
      </c>
      <c r="B1697">
        <v>1856</v>
      </c>
      <c r="C1697" t="s">
        <v>79</v>
      </c>
      <c r="D1697" t="s">
        <v>211</v>
      </c>
      <c r="E1697" s="232" t="s">
        <v>7357</v>
      </c>
      <c r="F1697" t="s">
        <v>70</v>
      </c>
      <c r="G1697">
        <v>3</v>
      </c>
      <c r="H1697">
        <v>316.27800000000002</v>
      </c>
      <c r="I1697">
        <v>315.33800000000002</v>
      </c>
      <c r="J1697">
        <v>313.63</v>
      </c>
      <c r="K1697">
        <v>311.08600000000001</v>
      </c>
      <c r="L1697">
        <v>307.76</v>
      </c>
      <c r="M1697" s="233" t="s">
        <v>530</v>
      </c>
      <c r="N1697" s="233" t="s">
        <v>531</v>
      </c>
      <c r="O1697" s="3" t="s">
        <v>2139</v>
      </c>
    </row>
    <row r="1698" spans="1:15">
      <c r="A1698">
        <v>208</v>
      </c>
      <c r="B1698">
        <v>1857</v>
      </c>
      <c r="C1698" t="s">
        <v>79</v>
      </c>
      <c r="D1698" t="s">
        <v>211</v>
      </c>
      <c r="E1698" s="232" t="s">
        <v>7358</v>
      </c>
      <c r="F1698" t="s">
        <v>70</v>
      </c>
      <c r="G1698">
        <v>3</v>
      </c>
      <c r="H1698">
        <v>315.76299999999998</v>
      </c>
      <c r="I1698">
        <v>314.601</v>
      </c>
      <c r="J1698">
        <v>312.92599999999999</v>
      </c>
      <c r="K1698">
        <v>310.43299999999999</v>
      </c>
      <c r="L1698">
        <v>306.53500000000003</v>
      </c>
      <c r="M1698" s="233" t="s">
        <v>530</v>
      </c>
      <c r="N1698" s="233" t="s">
        <v>531</v>
      </c>
      <c r="O1698" s="3" t="s">
        <v>2140</v>
      </c>
    </row>
    <row r="1699" spans="1:15">
      <c r="A1699">
        <v>208</v>
      </c>
      <c r="B1699">
        <v>1865</v>
      </c>
      <c r="C1699" t="s">
        <v>79</v>
      </c>
      <c r="D1699" t="s">
        <v>211</v>
      </c>
      <c r="E1699" s="232" t="s">
        <v>7363</v>
      </c>
      <c r="F1699" t="s">
        <v>70</v>
      </c>
      <c r="G1699">
        <v>3</v>
      </c>
      <c r="H1699">
        <v>302.411</v>
      </c>
      <c r="I1699">
        <v>301.49200000000002</v>
      </c>
      <c r="J1699">
        <v>300.01299999999998</v>
      </c>
      <c r="K1699">
        <v>297.12700000000001</v>
      </c>
      <c r="L1699">
        <v>294.19600000000003</v>
      </c>
      <c r="M1699" s="233" t="s">
        <v>530</v>
      </c>
      <c r="N1699" s="233" t="s">
        <v>531</v>
      </c>
      <c r="O1699" s="3" t="s">
        <v>2141</v>
      </c>
    </row>
    <row r="1700" spans="1:15">
      <c r="A1700">
        <v>207</v>
      </c>
      <c r="B1700">
        <v>1875</v>
      </c>
      <c r="C1700" t="s">
        <v>79</v>
      </c>
      <c r="D1700" t="s">
        <v>211</v>
      </c>
      <c r="E1700" s="232" t="s">
        <v>12650</v>
      </c>
      <c r="F1700" t="s">
        <v>71</v>
      </c>
      <c r="G1700">
        <v>3</v>
      </c>
      <c r="H1700">
        <v>320.45600000000002</v>
      </c>
      <c r="I1700">
        <v>319.34800000000001</v>
      </c>
      <c r="J1700">
        <v>317.40699999999998</v>
      </c>
      <c r="K1700">
        <v>314.38099999999997</v>
      </c>
      <c r="L1700">
        <v>310.267</v>
      </c>
      <c r="M1700" s="233" t="s">
        <v>530</v>
      </c>
      <c r="N1700" s="233" t="s">
        <v>531</v>
      </c>
      <c r="O1700" s="3" t="s">
        <v>2142</v>
      </c>
    </row>
    <row r="1701" spans="1:15">
      <c r="A1701">
        <v>207</v>
      </c>
      <c r="B1701">
        <v>1866</v>
      </c>
      <c r="C1701" t="s">
        <v>79</v>
      </c>
      <c r="D1701" t="s">
        <v>211</v>
      </c>
      <c r="E1701" s="232" t="s">
        <v>483</v>
      </c>
      <c r="F1701" t="s">
        <v>71</v>
      </c>
      <c r="G1701">
        <v>3</v>
      </c>
      <c r="H1701">
        <v>316.85899999999998</v>
      </c>
      <c r="I1701">
        <v>315.85199999999998</v>
      </c>
      <c r="J1701">
        <v>314.14299999999997</v>
      </c>
      <c r="K1701">
        <v>311.565</v>
      </c>
      <c r="L1701">
        <v>308.29700000000003</v>
      </c>
      <c r="M1701" s="233" t="s">
        <v>530</v>
      </c>
      <c r="N1701" s="233" t="s">
        <v>531</v>
      </c>
      <c r="O1701" s="3" t="s">
        <v>2143</v>
      </c>
    </row>
    <row r="1702" spans="1:15">
      <c r="A1702">
        <v>207</v>
      </c>
      <c r="B1702">
        <v>1876</v>
      </c>
      <c r="C1702" t="s">
        <v>79</v>
      </c>
      <c r="D1702" t="s">
        <v>211</v>
      </c>
      <c r="E1702" s="232" t="s">
        <v>13201</v>
      </c>
      <c r="F1702" t="s">
        <v>71</v>
      </c>
      <c r="G1702">
        <v>3</v>
      </c>
      <c r="H1702">
        <v>313.26900000000001</v>
      </c>
      <c r="I1702">
        <v>312.26100000000002</v>
      </c>
      <c r="J1702">
        <v>311.00400000000002</v>
      </c>
      <c r="K1702">
        <v>309.83300000000003</v>
      </c>
      <c r="L1702">
        <v>308.35599999999999</v>
      </c>
      <c r="M1702" s="233" t="s">
        <v>530</v>
      </c>
      <c r="N1702" s="233" t="s">
        <v>531</v>
      </c>
      <c r="O1702" s="3" t="s">
        <v>2144</v>
      </c>
    </row>
    <row r="1703" spans="1:15">
      <c r="A1703">
        <v>214</v>
      </c>
      <c r="B1703">
        <v>1878</v>
      </c>
      <c r="C1703" t="s">
        <v>79</v>
      </c>
      <c r="D1703" t="s">
        <v>213</v>
      </c>
      <c r="E1703" s="232" t="s">
        <v>13112</v>
      </c>
      <c r="F1703" t="s">
        <v>70</v>
      </c>
      <c r="G1703">
        <v>3</v>
      </c>
      <c r="H1703">
        <v>791.02099999999996</v>
      </c>
      <c r="I1703">
        <v>786.08600000000001</v>
      </c>
      <c r="J1703">
        <v>775.20399999999995</v>
      </c>
      <c r="K1703">
        <v>761.44899999999996</v>
      </c>
      <c r="L1703">
        <v>748.04399999999998</v>
      </c>
      <c r="M1703" s="233" t="s">
        <v>454</v>
      </c>
      <c r="N1703" s="233" t="s">
        <v>454</v>
      </c>
      <c r="O1703" s="3" t="s">
        <v>2145</v>
      </c>
    </row>
    <row r="1704" spans="1:15">
      <c r="A1704">
        <v>215</v>
      </c>
      <c r="B1704">
        <v>1884</v>
      </c>
      <c r="C1704" t="s">
        <v>79</v>
      </c>
      <c r="D1704" t="s">
        <v>213</v>
      </c>
      <c r="E1704" s="232" t="s">
        <v>13009</v>
      </c>
      <c r="F1704" t="s">
        <v>70</v>
      </c>
      <c r="G1704">
        <v>3</v>
      </c>
      <c r="H1704">
        <v>760.36800000000005</v>
      </c>
      <c r="I1704">
        <v>753.78399999999999</v>
      </c>
      <c r="J1704">
        <v>743.86</v>
      </c>
      <c r="K1704">
        <v>724.14599999999996</v>
      </c>
      <c r="L1704">
        <v>701.61400000000003</v>
      </c>
      <c r="M1704" s="233" t="s">
        <v>454</v>
      </c>
      <c r="N1704" s="233" t="s">
        <v>454</v>
      </c>
      <c r="O1704" s="3" t="s">
        <v>2146</v>
      </c>
    </row>
    <row r="1705" spans="1:15">
      <c r="A1705">
        <v>214</v>
      </c>
      <c r="B1705">
        <v>1910</v>
      </c>
      <c r="C1705" t="s">
        <v>79</v>
      </c>
      <c r="D1705" t="s">
        <v>213</v>
      </c>
      <c r="E1705" s="232" t="s">
        <v>8410</v>
      </c>
      <c r="F1705" t="s">
        <v>70</v>
      </c>
      <c r="G1705">
        <v>3</v>
      </c>
      <c r="H1705">
        <v>741.34500000000003</v>
      </c>
      <c r="I1705">
        <v>737.61</v>
      </c>
      <c r="J1705">
        <v>729.16099999999994</v>
      </c>
      <c r="K1705">
        <v>717.70899999999995</v>
      </c>
      <c r="L1705">
        <v>704.524</v>
      </c>
      <c r="M1705" s="233" t="s">
        <v>454</v>
      </c>
      <c r="N1705" s="233" t="s">
        <v>454</v>
      </c>
      <c r="O1705" s="3" t="s">
        <v>2147</v>
      </c>
    </row>
    <row r="1706" spans="1:15">
      <c r="A1706">
        <v>214</v>
      </c>
      <c r="B1706">
        <v>1893</v>
      </c>
      <c r="C1706" t="s">
        <v>79</v>
      </c>
      <c r="D1706" t="s">
        <v>213</v>
      </c>
      <c r="E1706" s="232" t="s">
        <v>566</v>
      </c>
      <c r="F1706" t="s">
        <v>70</v>
      </c>
      <c r="G1706">
        <v>3</v>
      </c>
      <c r="H1706">
        <v>719.27499999999998</v>
      </c>
      <c r="I1706">
        <v>703.28200000000004</v>
      </c>
      <c r="J1706">
        <v>681.80700000000002</v>
      </c>
      <c r="K1706">
        <v>660.01</v>
      </c>
      <c r="L1706">
        <v>634.053</v>
      </c>
      <c r="M1706" s="233" t="s">
        <v>454</v>
      </c>
      <c r="N1706" s="233" t="s">
        <v>454</v>
      </c>
      <c r="O1706" s="3" t="s">
        <v>2148</v>
      </c>
    </row>
    <row r="1707" spans="1:15">
      <c r="A1707">
        <v>213</v>
      </c>
      <c r="B1707">
        <v>1904</v>
      </c>
      <c r="C1707" t="s">
        <v>79</v>
      </c>
      <c r="D1707" t="s">
        <v>213</v>
      </c>
      <c r="E1707" s="232" t="s">
        <v>13935</v>
      </c>
      <c r="F1707" t="s">
        <v>70</v>
      </c>
      <c r="G1707">
        <v>3</v>
      </c>
      <c r="H1707">
        <v>686.81399999999996</v>
      </c>
      <c r="I1707">
        <v>680.47400000000005</v>
      </c>
      <c r="J1707">
        <v>670.47199999999998</v>
      </c>
      <c r="K1707">
        <v>659.726</v>
      </c>
      <c r="L1707">
        <v>650.28</v>
      </c>
      <c r="M1707" s="233" t="s">
        <v>454</v>
      </c>
      <c r="N1707" s="233" t="s">
        <v>454</v>
      </c>
      <c r="O1707" s="3" t="s">
        <v>2149</v>
      </c>
    </row>
    <row r="1708" spans="1:15">
      <c r="A1708">
        <v>213</v>
      </c>
      <c r="B1708">
        <v>1886</v>
      </c>
      <c r="C1708" t="s">
        <v>79</v>
      </c>
      <c r="D1708" t="s">
        <v>213</v>
      </c>
      <c r="E1708" s="232" t="s">
        <v>13908</v>
      </c>
      <c r="F1708" t="s">
        <v>70</v>
      </c>
      <c r="G1708">
        <v>3</v>
      </c>
      <c r="H1708">
        <v>702.32600000000002</v>
      </c>
      <c r="I1708">
        <v>686.81399999999996</v>
      </c>
      <c r="J1708">
        <v>664.61699999999996</v>
      </c>
      <c r="K1708">
        <v>645.27300000000002</v>
      </c>
      <c r="L1708">
        <v>616.06200000000001</v>
      </c>
      <c r="M1708" s="233" t="s">
        <v>454</v>
      </c>
      <c r="N1708" s="233" t="s">
        <v>454</v>
      </c>
      <c r="O1708" s="3" t="s">
        <v>2150</v>
      </c>
    </row>
    <row r="1709" spans="1:15">
      <c r="A1709">
        <v>213</v>
      </c>
      <c r="B1709">
        <v>1885</v>
      </c>
      <c r="C1709" t="s">
        <v>79</v>
      </c>
      <c r="D1709" t="s">
        <v>213</v>
      </c>
      <c r="E1709" s="232" t="s">
        <v>10898</v>
      </c>
      <c r="F1709" t="s">
        <v>70</v>
      </c>
      <c r="G1709">
        <v>3</v>
      </c>
      <c r="H1709">
        <v>686.81399999999996</v>
      </c>
      <c r="I1709">
        <v>677.77800000000002</v>
      </c>
      <c r="J1709">
        <v>660.41800000000001</v>
      </c>
      <c r="K1709">
        <v>647.59400000000005</v>
      </c>
      <c r="L1709">
        <v>631.30999999999995</v>
      </c>
      <c r="M1709" s="233" t="s">
        <v>454</v>
      </c>
      <c r="N1709" s="233" t="s">
        <v>454</v>
      </c>
      <c r="O1709" s="3" t="s">
        <v>2151</v>
      </c>
    </row>
    <row r="1710" spans="1:15">
      <c r="A1710">
        <v>213</v>
      </c>
      <c r="B1710">
        <v>1900</v>
      </c>
      <c r="C1710" t="s">
        <v>79</v>
      </c>
      <c r="D1710" t="s">
        <v>213</v>
      </c>
      <c r="E1710" s="232" t="s">
        <v>13982</v>
      </c>
      <c r="F1710" t="s">
        <v>70</v>
      </c>
      <c r="G1710">
        <v>3</v>
      </c>
      <c r="H1710">
        <v>690.58199999999999</v>
      </c>
      <c r="I1710">
        <v>670.47199999999998</v>
      </c>
      <c r="J1710">
        <v>652.67600000000004</v>
      </c>
      <c r="K1710">
        <v>630.65</v>
      </c>
      <c r="L1710">
        <v>599.98</v>
      </c>
      <c r="M1710" s="233" t="s">
        <v>454</v>
      </c>
      <c r="N1710" s="233" t="s">
        <v>454</v>
      </c>
      <c r="O1710" s="3" t="s">
        <v>2152</v>
      </c>
    </row>
    <row r="1711" spans="1:15">
      <c r="A1711">
        <v>213</v>
      </c>
      <c r="B1711">
        <v>1890</v>
      </c>
      <c r="C1711" t="s">
        <v>79</v>
      </c>
      <c r="D1711" t="s">
        <v>213</v>
      </c>
      <c r="E1711" s="232" t="s">
        <v>9252</v>
      </c>
      <c r="F1711" t="s">
        <v>70</v>
      </c>
      <c r="G1711">
        <v>3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s="233" t="s">
        <v>454</v>
      </c>
      <c r="N1711" s="233" t="s">
        <v>454</v>
      </c>
      <c r="O1711" s="3" t="s">
        <v>2623</v>
      </c>
    </row>
    <row r="1712" spans="1:15">
      <c r="A1712">
        <v>213</v>
      </c>
      <c r="B1712">
        <v>1895</v>
      </c>
      <c r="C1712" t="s">
        <v>79</v>
      </c>
      <c r="D1712" t="s">
        <v>213</v>
      </c>
      <c r="E1712" s="232" t="s">
        <v>14060</v>
      </c>
      <c r="F1712" t="s">
        <v>70</v>
      </c>
      <c r="G1712">
        <v>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s="233" t="s">
        <v>454</v>
      </c>
      <c r="N1712" s="233" t="s">
        <v>454</v>
      </c>
      <c r="O1712" s="3" t="s">
        <v>2623</v>
      </c>
    </row>
    <row r="1713" spans="1:15">
      <c r="A1713">
        <v>214</v>
      </c>
      <c r="B1713">
        <v>1896</v>
      </c>
      <c r="C1713" t="s">
        <v>79</v>
      </c>
      <c r="D1713" t="s">
        <v>213</v>
      </c>
      <c r="E1713" s="232" t="s">
        <v>14022</v>
      </c>
      <c r="F1713" t="s">
        <v>70</v>
      </c>
      <c r="G1713">
        <v>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s="233" t="s">
        <v>454</v>
      </c>
      <c r="N1713" s="233" t="s">
        <v>454</v>
      </c>
      <c r="O1713" s="3" t="s">
        <v>2623</v>
      </c>
    </row>
    <row r="1714" spans="1:15">
      <c r="A1714">
        <v>214</v>
      </c>
      <c r="B1714">
        <v>1901</v>
      </c>
      <c r="C1714" t="s">
        <v>79</v>
      </c>
      <c r="D1714" t="s">
        <v>213</v>
      </c>
      <c r="E1714" s="232" t="s">
        <v>14068</v>
      </c>
      <c r="F1714" t="s">
        <v>70</v>
      </c>
      <c r="G1714">
        <v>3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s="233" t="s">
        <v>454</v>
      </c>
      <c r="N1714" s="233" t="s">
        <v>454</v>
      </c>
      <c r="O1714" s="3" t="s">
        <v>2623</v>
      </c>
    </row>
    <row r="1715" spans="1:15">
      <c r="A1715">
        <v>213</v>
      </c>
      <c r="B1715">
        <v>1905</v>
      </c>
      <c r="C1715" t="s">
        <v>79</v>
      </c>
      <c r="D1715" t="s">
        <v>213</v>
      </c>
      <c r="E1715" s="232" t="s">
        <v>14037</v>
      </c>
      <c r="F1715" t="s">
        <v>70</v>
      </c>
      <c r="G1715">
        <v>3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s="233" t="s">
        <v>454</v>
      </c>
      <c r="N1715" s="233" t="s">
        <v>454</v>
      </c>
      <c r="O1715" s="3" t="s">
        <v>2623</v>
      </c>
    </row>
    <row r="1716" spans="1:15">
      <c r="A1716">
        <v>213</v>
      </c>
      <c r="B1716">
        <v>1906</v>
      </c>
      <c r="C1716" t="s">
        <v>79</v>
      </c>
      <c r="D1716" t="s">
        <v>213</v>
      </c>
      <c r="E1716" s="232" t="s">
        <v>567</v>
      </c>
      <c r="F1716" t="s">
        <v>70</v>
      </c>
      <c r="G1716">
        <v>3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s="233" t="s">
        <v>454</v>
      </c>
      <c r="N1716" s="233" t="s">
        <v>454</v>
      </c>
      <c r="O1716" s="3" t="s">
        <v>2623</v>
      </c>
    </row>
    <row r="1717" spans="1:15">
      <c r="A1717">
        <v>214</v>
      </c>
      <c r="B1717">
        <v>1908</v>
      </c>
      <c r="C1717" t="s">
        <v>79</v>
      </c>
      <c r="D1717" t="s">
        <v>213</v>
      </c>
      <c r="E1717" s="232" t="s">
        <v>10547</v>
      </c>
      <c r="F1717" t="s">
        <v>70</v>
      </c>
      <c r="G1717">
        <v>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s="233" t="s">
        <v>454</v>
      </c>
      <c r="N1717" s="233" t="s">
        <v>454</v>
      </c>
      <c r="O1717" s="3" t="s">
        <v>2623</v>
      </c>
    </row>
    <row r="1718" spans="1:15">
      <c r="A1718">
        <v>213</v>
      </c>
      <c r="B1718">
        <v>1909</v>
      </c>
      <c r="C1718" t="s">
        <v>79</v>
      </c>
      <c r="D1718" t="s">
        <v>213</v>
      </c>
      <c r="E1718" s="232" t="s">
        <v>551</v>
      </c>
      <c r="F1718" t="s">
        <v>70</v>
      </c>
      <c r="G1718">
        <v>3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s="233" t="s">
        <v>454</v>
      </c>
      <c r="N1718" s="233" t="s">
        <v>454</v>
      </c>
      <c r="O1718" s="3" t="s">
        <v>2623</v>
      </c>
    </row>
    <row r="1719" spans="1:15">
      <c r="A1719">
        <v>212</v>
      </c>
      <c r="B1719">
        <v>1915</v>
      </c>
      <c r="C1719" t="s">
        <v>79</v>
      </c>
      <c r="D1719" t="s">
        <v>213</v>
      </c>
      <c r="E1719" s="232" t="s">
        <v>8337</v>
      </c>
      <c r="F1719" t="s">
        <v>71</v>
      </c>
      <c r="G1719">
        <v>3</v>
      </c>
      <c r="H1719">
        <v>807.8</v>
      </c>
      <c r="I1719">
        <v>798.2</v>
      </c>
      <c r="J1719">
        <v>788.25</v>
      </c>
      <c r="K1719">
        <v>768.1</v>
      </c>
      <c r="L1719">
        <v>738.5</v>
      </c>
      <c r="M1719" s="233" t="s">
        <v>454</v>
      </c>
      <c r="N1719" s="233" t="s">
        <v>454</v>
      </c>
      <c r="O1719" s="3" t="s">
        <v>2153</v>
      </c>
    </row>
    <row r="1720" spans="1:15">
      <c r="A1720">
        <v>212</v>
      </c>
      <c r="B1720">
        <v>1917</v>
      </c>
      <c r="C1720" t="s">
        <v>79</v>
      </c>
      <c r="D1720" t="s">
        <v>213</v>
      </c>
      <c r="E1720" s="232" t="s">
        <v>8726</v>
      </c>
      <c r="F1720" t="s">
        <v>71</v>
      </c>
      <c r="G1720">
        <v>3</v>
      </c>
      <c r="H1720">
        <v>737</v>
      </c>
      <c r="I1720">
        <v>732.6</v>
      </c>
      <c r="J1720">
        <v>725.5</v>
      </c>
      <c r="K1720">
        <v>712.9</v>
      </c>
      <c r="L1720">
        <v>700</v>
      </c>
      <c r="M1720" s="233" t="s">
        <v>454</v>
      </c>
      <c r="N1720" s="233" t="s">
        <v>454</v>
      </c>
      <c r="O1720" s="3" t="s">
        <v>2154</v>
      </c>
    </row>
    <row r="1721" spans="1:15">
      <c r="A1721">
        <v>212</v>
      </c>
      <c r="B1721">
        <v>1935</v>
      </c>
      <c r="C1721" t="s">
        <v>79</v>
      </c>
      <c r="D1721" t="s">
        <v>213</v>
      </c>
      <c r="E1721" s="232" t="s">
        <v>8654</v>
      </c>
      <c r="F1721" t="s">
        <v>71</v>
      </c>
      <c r="G1721">
        <v>3</v>
      </c>
      <c r="H1721">
        <v>724.15</v>
      </c>
      <c r="I1721">
        <v>720.15</v>
      </c>
      <c r="J1721">
        <v>712.9</v>
      </c>
      <c r="K1721">
        <v>700</v>
      </c>
      <c r="L1721">
        <v>688.85</v>
      </c>
      <c r="M1721" s="233" t="s">
        <v>454</v>
      </c>
      <c r="N1721" s="233" t="s">
        <v>454</v>
      </c>
      <c r="O1721" s="3" t="s">
        <v>2155</v>
      </c>
    </row>
    <row r="1722" spans="1:15">
      <c r="A1722">
        <v>212</v>
      </c>
      <c r="B1722">
        <v>1920</v>
      </c>
      <c r="C1722" t="s">
        <v>79</v>
      </c>
      <c r="D1722" t="s">
        <v>213</v>
      </c>
      <c r="E1722" s="232" t="s">
        <v>8659</v>
      </c>
      <c r="F1722" t="s">
        <v>71</v>
      </c>
      <c r="G1722">
        <v>3</v>
      </c>
      <c r="H1722">
        <v>709.1</v>
      </c>
      <c r="I1722">
        <v>705.4</v>
      </c>
      <c r="J1722">
        <v>697.45</v>
      </c>
      <c r="K1722">
        <v>686.5</v>
      </c>
      <c r="L1722">
        <v>676.95</v>
      </c>
      <c r="M1722" s="233" t="s">
        <v>454</v>
      </c>
      <c r="N1722" s="233" t="s">
        <v>454</v>
      </c>
      <c r="O1722" s="3" t="s">
        <v>2156</v>
      </c>
    </row>
    <row r="1723" spans="1:15">
      <c r="A1723">
        <v>212</v>
      </c>
      <c r="B1723">
        <v>1922</v>
      </c>
      <c r="C1723" t="s">
        <v>79</v>
      </c>
      <c r="D1723" t="s">
        <v>213</v>
      </c>
      <c r="E1723" s="232" t="s">
        <v>9774</v>
      </c>
      <c r="F1723" t="s">
        <v>71</v>
      </c>
      <c r="G1723">
        <v>3</v>
      </c>
      <c r="H1723">
        <v>710</v>
      </c>
      <c r="I1723">
        <v>702.7</v>
      </c>
      <c r="J1723">
        <v>689.75</v>
      </c>
      <c r="K1723">
        <v>680.55</v>
      </c>
      <c r="L1723">
        <v>671.95</v>
      </c>
      <c r="M1723" s="233" t="s">
        <v>454</v>
      </c>
      <c r="N1723" s="233" t="s">
        <v>454</v>
      </c>
      <c r="O1723" s="3" t="s">
        <v>2157</v>
      </c>
    </row>
    <row r="1724" spans="1:15">
      <c r="A1724">
        <v>212</v>
      </c>
      <c r="B1724">
        <v>1931</v>
      </c>
      <c r="C1724" t="s">
        <v>79</v>
      </c>
      <c r="D1724" t="s">
        <v>213</v>
      </c>
      <c r="E1724" s="232" t="s">
        <v>8863</v>
      </c>
      <c r="F1724" t="s">
        <v>71</v>
      </c>
      <c r="G1724">
        <v>3</v>
      </c>
      <c r="H1724">
        <v>705.4</v>
      </c>
      <c r="I1724">
        <v>698.2</v>
      </c>
      <c r="J1724">
        <v>687.6</v>
      </c>
      <c r="K1724">
        <v>677.6</v>
      </c>
      <c r="L1724">
        <v>668.2</v>
      </c>
      <c r="M1724" s="233" t="s">
        <v>454</v>
      </c>
      <c r="N1724" s="233" t="s">
        <v>454</v>
      </c>
      <c r="O1724" s="3" t="s">
        <v>2158</v>
      </c>
    </row>
    <row r="1725" spans="1:15">
      <c r="A1725">
        <v>212</v>
      </c>
      <c r="B1725">
        <v>1926</v>
      </c>
      <c r="C1725" t="s">
        <v>79</v>
      </c>
      <c r="D1725" t="s">
        <v>213</v>
      </c>
      <c r="E1725" s="232" t="s">
        <v>11380</v>
      </c>
      <c r="F1725" t="s">
        <v>71</v>
      </c>
      <c r="G1725">
        <v>3</v>
      </c>
      <c r="H1725">
        <v>699.3</v>
      </c>
      <c r="I1725">
        <v>692.45</v>
      </c>
      <c r="J1725">
        <v>681.7</v>
      </c>
      <c r="K1725">
        <v>669.55</v>
      </c>
      <c r="L1725">
        <v>657.7</v>
      </c>
      <c r="M1725" s="233" t="s">
        <v>454</v>
      </c>
      <c r="N1725" s="233" t="s">
        <v>454</v>
      </c>
      <c r="O1725" s="3" t="s">
        <v>2159</v>
      </c>
    </row>
    <row r="1726" spans="1:15">
      <c r="A1726">
        <v>212</v>
      </c>
      <c r="B1726">
        <v>1928</v>
      </c>
      <c r="C1726" t="s">
        <v>79</v>
      </c>
      <c r="D1726" t="s">
        <v>213</v>
      </c>
      <c r="E1726" s="232" t="s">
        <v>8753</v>
      </c>
      <c r="F1726" t="s">
        <v>71</v>
      </c>
      <c r="G1726">
        <v>3</v>
      </c>
      <c r="H1726">
        <v>682.65</v>
      </c>
      <c r="I1726">
        <v>676.95</v>
      </c>
      <c r="J1726">
        <v>662.8</v>
      </c>
      <c r="K1726">
        <v>651.04999999999995</v>
      </c>
      <c r="L1726">
        <v>643.04999999999995</v>
      </c>
      <c r="M1726" s="233" t="s">
        <v>454</v>
      </c>
      <c r="N1726" s="233" t="s">
        <v>454</v>
      </c>
      <c r="O1726" s="3" t="s">
        <v>2160</v>
      </c>
    </row>
    <row r="1727" spans="1:15">
      <c r="A1727">
        <v>212</v>
      </c>
      <c r="B1727">
        <v>1925</v>
      </c>
      <c r="C1727" t="s">
        <v>79</v>
      </c>
      <c r="D1727" t="s">
        <v>213</v>
      </c>
      <c r="E1727" s="232" t="s">
        <v>8883</v>
      </c>
      <c r="F1727" t="s">
        <v>71</v>
      </c>
      <c r="G1727">
        <v>3</v>
      </c>
      <c r="H1727">
        <v>673.8</v>
      </c>
      <c r="I1727">
        <v>666.95</v>
      </c>
      <c r="J1727">
        <v>653.20000000000005</v>
      </c>
      <c r="K1727">
        <v>643.25</v>
      </c>
      <c r="L1727">
        <v>635.4</v>
      </c>
      <c r="M1727" s="233" t="s">
        <v>454</v>
      </c>
      <c r="N1727" s="233" t="s">
        <v>454</v>
      </c>
      <c r="O1727" s="3" t="s">
        <v>2161</v>
      </c>
    </row>
    <row r="1728" spans="1:15">
      <c r="A1728">
        <v>212</v>
      </c>
      <c r="B1728">
        <v>1937</v>
      </c>
      <c r="C1728" t="s">
        <v>79</v>
      </c>
      <c r="D1728" t="s">
        <v>213</v>
      </c>
      <c r="E1728" s="232" t="s">
        <v>14067</v>
      </c>
      <c r="F1728" t="s">
        <v>71</v>
      </c>
      <c r="G1728">
        <v>3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s="233" t="s">
        <v>454</v>
      </c>
      <c r="N1728" s="233" t="s">
        <v>454</v>
      </c>
      <c r="O1728" s="3" t="s">
        <v>2623</v>
      </c>
    </row>
    <row r="1729" spans="1:15">
      <c r="A1729">
        <v>223</v>
      </c>
      <c r="B1729">
        <v>1977</v>
      </c>
      <c r="C1729" t="s">
        <v>79</v>
      </c>
      <c r="D1729" t="s">
        <v>216</v>
      </c>
      <c r="E1729" s="232" t="s">
        <v>8633</v>
      </c>
      <c r="F1729" t="s">
        <v>70</v>
      </c>
      <c r="G1729">
        <v>2</v>
      </c>
      <c r="H1729">
        <v>183.54499999999999</v>
      </c>
      <c r="I1729">
        <v>182.83099999999999</v>
      </c>
      <c r="J1729">
        <v>181.52500000000001</v>
      </c>
      <c r="K1729">
        <v>179.727</v>
      </c>
      <c r="L1729">
        <v>177.429</v>
      </c>
      <c r="M1729" s="233" t="s">
        <v>530</v>
      </c>
      <c r="N1729" s="233" t="s">
        <v>530</v>
      </c>
      <c r="O1729" s="3" t="s">
        <v>2162</v>
      </c>
    </row>
    <row r="1730" spans="1:15">
      <c r="A1730">
        <v>223</v>
      </c>
      <c r="B1730">
        <v>1974</v>
      </c>
      <c r="C1730" t="s">
        <v>79</v>
      </c>
      <c r="D1730" t="s">
        <v>216</v>
      </c>
      <c r="E1730" s="232" t="s">
        <v>11074</v>
      </c>
      <c r="F1730" t="s">
        <v>70</v>
      </c>
      <c r="G1730">
        <v>2</v>
      </c>
      <c r="H1730">
        <v>183.70500000000001</v>
      </c>
      <c r="I1730">
        <v>182.798</v>
      </c>
      <c r="J1730">
        <v>181.42400000000001</v>
      </c>
      <c r="K1730">
        <v>179.578</v>
      </c>
      <c r="L1730">
        <v>177.37700000000001</v>
      </c>
      <c r="M1730" s="233" t="s">
        <v>530</v>
      </c>
      <c r="N1730" s="233" t="s">
        <v>530</v>
      </c>
      <c r="O1730" s="3" t="s">
        <v>2163</v>
      </c>
    </row>
    <row r="1731" spans="1:15">
      <c r="A1731">
        <v>223</v>
      </c>
      <c r="B1731">
        <v>1959</v>
      </c>
      <c r="C1731" t="s">
        <v>79</v>
      </c>
      <c r="D1731" t="s">
        <v>216</v>
      </c>
      <c r="E1731" s="232" t="s">
        <v>11529</v>
      </c>
      <c r="F1731" t="s">
        <v>70</v>
      </c>
      <c r="G1731">
        <v>2</v>
      </c>
      <c r="H1731">
        <v>183.22200000000001</v>
      </c>
      <c r="I1731">
        <v>182.554</v>
      </c>
      <c r="J1731">
        <v>181.172</v>
      </c>
      <c r="K1731">
        <v>179.38800000000001</v>
      </c>
      <c r="L1731">
        <v>177.18700000000001</v>
      </c>
      <c r="M1731" s="233" t="s">
        <v>530</v>
      </c>
      <c r="N1731" s="233" t="s">
        <v>530</v>
      </c>
      <c r="O1731" s="3" t="s">
        <v>2164</v>
      </c>
    </row>
    <row r="1732" spans="1:15">
      <c r="A1732">
        <v>223</v>
      </c>
      <c r="B1732">
        <v>1971</v>
      </c>
      <c r="C1732" t="s">
        <v>79</v>
      </c>
      <c r="D1732" t="s">
        <v>216</v>
      </c>
      <c r="E1732" s="232" t="s">
        <v>550</v>
      </c>
      <c r="F1732" t="s">
        <v>70</v>
      </c>
      <c r="G1732">
        <v>2</v>
      </c>
      <c r="H1732">
        <v>179.07300000000001</v>
      </c>
      <c r="I1732">
        <v>178.46199999999999</v>
      </c>
      <c r="J1732">
        <v>177.06800000000001</v>
      </c>
      <c r="K1732">
        <v>175.53700000000001</v>
      </c>
      <c r="L1732">
        <v>173.78800000000001</v>
      </c>
      <c r="M1732" s="233" t="s">
        <v>530</v>
      </c>
      <c r="N1732" s="233" t="s">
        <v>530</v>
      </c>
      <c r="O1732" s="3" t="s">
        <v>2165</v>
      </c>
    </row>
    <row r="1733" spans="1:15">
      <c r="A1733">
        <v>291</v>
      </c>
      <c r="B1733">
        <v>1963</v>
      </c>
      <c r="C1733" t="s">
        <v>79</v>
      </c>
      <c r="D1733" t="s">
        <v>216</v>
      </c>
      <c r="E1733" s="232" t="s">
        <v>551</v>
      </c>
      <c r="F1733" t="s">
        <v>70</v>
      </c>
      <c r="G1733">
        <v>2</v>
      </c>
      <c r="H1733">
        <v>178.161</v>
      </c>
      <c r="I1733">
        <v>177.429</v>
      </c>
      <c r="J1733">
        <v>176.148</v>
      </c>
      <c r="K1733">
        <v>174.81200000000001</v>
      </c>
      <c r="L1733">
        <v>173.01900000000001</v>
      </c>
      <c r="M1733" s="233" t="s">
        <v>530</v>
      </c>
      <c r="N1733" s="233" t="s">
        <v>530</v>
      </c>
      <c r="O1733" s="3" t="s">
        <v>2166</v>
      </c>
    </row>
    <row r="1734" spans="1:15">
      <c r="A1734">
        <v>223</v>
      </c>
      <c r="B1734">
        <v>1973</v>
      </c>
      <c r="C1734" t="s">
        <v>79</v>
      </c>
      <c r="D1734" t="s">
        <v>216</v>
      </c>
      <c r="E1734" s="232" t="s">
        <v>12474</v>
      </c>
      <c r="F1734" t="s">
        <v>70</v>
      </c>
      <c r="G1734">
        <v>2</v>
      </c>
      <c r="H1734">
        <v>178.05699999999999</v>
      </c>
      <c r="I1734">
        <v>177.37700000000001</v>
      </c>
      <c r="J1734">
        <v>176.11</v>
      </c>
      <c r="K1734">
        <v>174.7</v>
      </c>
      <c r="L1734">
        <v>172.983</v>
      </c>
      <c r="M1734" s="233" t="s">
        <v>530</v>
      </c>
      <c r="N1734" s="233" t="s">
        <v>530</v>
      </c>
      <c r="O1734" s="3" t="s">
        <v>2167</v>
      </c>
    </row>
    <row r="1735" spans="1:15">
      <c r="A1735">
        <v>223</v>
      </c>
      <c r="B1735">
        <v>1979</v>
      </c>
      <c r="C1735" t="s">
        <v>79</v>
      </c>
      <c r="D1735" t="s">
        <v>216</v>
      </c>
      <c r="E1735" s="232" t="s">
        <v>11813</v>
      </c>
      <c r="F1735" t="s">
        <v>70</v>
      </c>
      <c r="G1735">
        <v>2</v>
      </c>
      <c r="H1735">
        <v>176.81800000000001</v>
      </c>
      <c r="I1735">
        <v>176.16200000000001</v>
      </c>
      <c r="J1735">
        <v>175.03700000000001</v>
      </c>
      <c r="K1735">
        <v>173.739</v>
      </c>
      <c r="L1735">
        <v>171.86099999999999</v>
      </c>
      <c r="M1735" s="233" t="s">
        <v>530</v>
      </c>
      <c r="N1735" s="233" t="s">
        <v>530</v>
      </c>
      <c r="O1735" s="3" t="s">
        <v>2168</v>
      </c>
    </row>
    <row r="1736" spans="1:15">
      <c r="A1736">
        <v>223</v>
      </c>
      <c r="B1736">
        <v>1975</v>
      </c>
      <c r="C1736" t="s">
        <v>79</v>
      </c>
      <c r="D1736" t="s">
        <v>216</v>
      </c>
      <c r="E1736" s="232" t="s">
        <v>12781</v>
      </c>
      <c r="F1736" t="s">
        <v>70</v>
      </c>
      <c r="G1736">
        <v>2</v>
      </c>
      <c r="H1736">
        <v>175.68899999999999</v>
      </c>
      <c r="I1736">
        <v>175.19800000000001</v>
      </c>
      <c r="J1736">
        <v>174.19499999999999</v>
      </c>
      <c r="K1736">
        <v>172.66800000000001</v>
      </c>
      <c r="L1736">
        <v>170.899</v>
      </c>
      <c r="M1736" s="233" t="s">
        <v>530</v>
      </c>
      <c r="N1736" s="233" t="s">
        <v>530</v>
      </c>
      <c r="O1736" s="3" t="s">
        <v>2169</v>
      </c>
    </row>
    <row r="1737" spans="1:15">
      <c r="A1737">
        <v>291</v>
      </c>
      <c r="B1737">
        <v>1978</v>
      </c>
      <c r="C1737" t="s">
        <v>79</v>
      </c>
      <c r="D1737" t="s">
        <v>216</v>
      </c>
      <c r="E1737" s="232" t="s">
        <v>554</v>
      </c>
      <c r="F1737" t="s">
        <v>70</v>
      </c>
      <c r="G1737">
        <v>2</v>
      </c>
      <c r="H1737">
        <v>175.727</v>
      </c>
      <c r="I1737">
        <v>175.251</v>
      </c>
      <c r="J1737">
        <v>174.19499999999999</v>
      </c>
      <c r="K1737">
        <v>172.733</v>
      </c>
      <c r="L1737">
        <v>170.899</v>
      </c>
      <c r="M1737" s="233" t="s">
        <v>530</v>
      </c>
      <c r="N1737" s="233" t="s">
        <v>530</v>
      </c>
      <c r="O1737" s="3" t="s">
        <v>2170</v>
      </c>
    </row>
    <row r="1738" spans="1:15">
      <c r="A1738">
        <v>223</v>
      </c>
      <c r="B1738">
        <v>1976</v>
      </c>
      <c r="C1738" t="s">
        <v>79</v>
      </c>
      <c r="D1738" t="s">
        <v>216</v>
      </c>
      <c r="E1738" s="232" t="s">
        <v>13107</v>
      </c>
      <c r="F1738" t="s">
        <v>70</v>
      </c>
      <c r="G1738">
        <v>2</v>
      </c>
      <c r="H1738">
        <v>173.893</v>
      </c>
      <c r="I1738">
        <v>173.40199999999999</v>
      </c>
      <c r="J1738">
        <v>172.21199999999999</v>
      </c>
      <c r="K1738">
        <v>170.73599999999999</v>
      </c>
      <c r="L1738">
        <v>168.80500000000001</v>
      </c>
      <c r="M1738" s="233" t="s">
        <v>530</v>
      </c>
      <c r="N1738" s="233" t="s">
        <v>530</v>
      </c>
      <c r="O1738" s="3" t="s">
        <v>2171</v>
      </c>
    </row>
    <row r="1739" spans="1:15">
      <c r="A1739">
        <v>223</v>
      </c>
      <c r="B1739">
        <v>1942</v>
      </c>
      <c r="C1739" t="s">
        <v>79</v>
      </c>
      <c r="D1739" t="s">
        <v>216</v>
      </c>
      <c r="E1739" s="232" t="s">
        <v>7252</v>
      </c>
      <c r="F1739" t="s">
        <v>70</v>
      </c>
      <c r="G1739">
        <v>2</v>
      </c>
      <c r="H1739">
        <v>173.893</v>
      </c>
      <c r="I1739">
        <v>173.35</v>
      </c>
      <c r="J1739">
        <v>172.125</v>
      </c>
      <c r="K1739">
        <v>170.685</v>
      </c>
      <c r="L1739">
        <v>168.80500000000001</v>
      </c>
      <c r="M1739" s="233" t="s">
        <v>530</v>
      </c>
      <c r="N1739" s="233" t="s">
        <v>530</v>
      </c>
      <c r="O1739" s="3" t="s">
        <v>2172</v>
      </c>
    </row>
    <row r="1740" spans="1:15">
      <c r="A1740">
        <v>223</v>
      </c>
      <c r="B1740">
        <v>1952</v>
      </c>
      <c r="C1740" t="s">
        <v>79</v>
      </c>
      <c r="D1740" t="s">
        <v>216</v>
      </c>
      <c r="E1740" s="232" t="s">
        <v>13326</v>
      </c>
      <c r="F1740" t="s">
        <v>70</v>
      </c>
      <c r="G1740">
        <v>2</v>
      </c>
      <c r="H1740">
        <v>172.21199999999999</v>
      </c>
      <c r="I1740">
        <v>171.66900000000001</v>
      </c>
      <c r="J1740">
        <v>170.548</v>
      </c>
      <c r="K1740">
        <v>169.06899999999999</v>
      </c>
      <c r="L1740">
        <v>167.19399999999999</v>
      </c>
      <c r="M1740" s="233" t="s">
        <v>530</v>
      </c>
      <c r="N1740" s="233" t="s">
        <v>530</v>
      </c>
      <c r="O1740" s="3" t="s">
        <v>2173</v>
      </c>
    </row>
    <row r="1741" spans="1:15">
      <c r="A1741">
        <v>223</v>
      </c>
      <c r="B1741">
        <v>1949</v>
      </c>
      <c r="C1741" t="s">
        <v>79</v>
      </c>
      <c r="D1741" t="s">
        <v>216</v>
      </c>
      <c r="E1741" s="232" t="s">
        <v>555</v>
      </c>
      <c r="F1741" t="s">
        <v>70</v>
      </c>
      <c r="G1741">
        <v>2</v>
      </c>
      <c r="H1741">
        <v>171.80699999999999</v>
      </c>
      <c r="I1741">
        <v>171.25</v>
      </c>
      <c r="J1741">
        <v>170.078</v>
      </c>
      <c r="K1741">
        <v>168.57900000000001</v>
      </c>
      <c r="L1741">
        <v>166.791</v>
      </c>
      <c r="M1741" s="233" t="s">
        <v>530</v>
      </c>
      <c r="N1741" s="233" t="s">
        <v>530</v>
      </c>
      <c r="O1741" s="3" t="s">
        <v>2174</v>
      </c>
    </row>
    <row r="1742" spans="1:15">
      <c r="A1742">
        <v>221</v>
      </c>
      <c r="B1742">
        <v>1989</v>
      </c>
      <c r="C1742" t="s">
        <v>79</v>
      </c>
      <c r="D1742" t="s">
        <v>216</v>
      </c>
      <c r="E1742" s="232" t="s">
        <v>489</v>
      </c>
      <c r="F1742" t="s">
        <v>71</v>
      </c>
      <c r="G1742">
        <v>2</v>
      </c>
      <c r="H1742">
        <v>181.26499999999999</v>
      </c>
      <c r="I1742">
        <v>180.13200000000001</v>
      </c>
      <c r="J1742">
        <v>178.52500000000001</v>
      </c>
      <c r="K1742">
        <v>176.54</v>
      </c>
      <c r="L1742">
        <v>174.21</v>
      </c>
      <c r="M1742" s="233" t="s">
        <v>530</v>
      </c>
      <c r="N1742" s="233" t="s">
        <v>530</v>
      </c>
      <c r="O1742" s="3" t="s">
        <v>2175</v>
      </c>
    </row>
    <row r="1743" spans="1:15">
      <c r="A1743">
        <v>221</v>
      </c>
      <c r="B1743">
        <v>1986</v>
      </c>
      <c r="C1743" t="s">
        <v>79</v>
      </c>
      <c r="D1743" t="s">
        <v>216</v>
      </c>
      <c r="E1743" s="232" t="s">
        <v>8659</v>
      </c>
      <c r="F1743" t="s">
        <v>71</v>
      </c>
      <c r="G1743">
        <v>2</v>
      </c>
      <c r="H1743">
        <v>180.018</v>
      </c>
      <c r="I1743">
        <v>179.22</v>
      </c>
      <c r="J1743">
        <v>177.67</v>
      </c>
      <c r="K1743">
        <v>175.75</v>
      </c>
      <c r="L1743">
        <v>173.45699999999999</v>
      </c>
      <c r="M1743" s="233" t="s">
        <v>530</v>
      </c>
      <c r="N1743" s="233" t="s">
        <v>530</v>
      </c>
      <c r="O1743" s="3" t="s">
        <v>2176</v>
      </c>
    </row>
    <row r="1744" spans="1:15">
      <c r="A1744">
        <v>221</v>
      </c>
      <c r="B1744">
        <v>1994</v>
      </c>
      <c r="C1744" t="s">
        <v>79</v>
      </c>
      <c r="D1744" t="s">
        <v>216</v>
      </c>
      <c r="E1744" s="232" t="s">
        <v>9396</v>
      </c>
      <c r="F1744" t="s">
        <v>71</v>
      </c>
      <c r="G1744">
        <v>2</v>
      </c>
      <c r="H1744">
        <v>178.06</v>
      </c>
      <c r="I1744">
        <v>177.24299999999999</v>
      </c>
      <c r="J1744">
        <v>175.8</v>
      </c>
      <c r="K1744">
        <v>174.005</v>
      </c>
      <c r="L1744">
        <v>171.86699999999999</v>
      </c>
      <c r="M1744" s="233" t="s">
        <v>530</v>
      </c>
      <c r="N1744" s="233" t="s">
        <v>530</v>
      </c>
      <c r="O1744" s="3" t="s">
        <v>2177</v>
      </c>
    </row>
    <row r="1745" spans="1:15">
      <c r="A1745">
        <v>221</v>
      </c>
      <c r="B1745">
        <v>2013</v>
      </c>
      <c r="C1745" t="s">
        <v>79</v>
      </c>
      <c r="D1745" t="s">
        <v>216</v>
      </c>
      <c r="E1745" s="232" t="s">
        <v>8618</v>
      </c>
      <c r="F1745" t="s">
        <v>71</v>
      </c>
      <c r="G1745">
        <v>2</v>
      </c>
      <c r="H1745">
        <v>177.15299999999999</v>
      </c>
      <c r="I1745">
        <v>176.453</v>
      </c>
      <c r="J1745">
        <v>174.983</v>
      </c>
      <c r="K1745">
        <v>173.185</v>
      </c>
      <c r="L1745">
        <v>171.19800000000001</v>
      </c>
      <c r="M1745" s="233" t="s">
        <v>530</v>
      </c>
      <c r="N1745" s="233" t="s">
        <v>530</v>
      </c>
      <c r="O1745" s="3" t="s">
        <v>2178</v>
      </c>
    </row>
    <row r="1746" spans="1:15">
      <c r="A1746">
        <v>221</v>
      </c>
      <c r="B1746">
        <v>1997</v>
      </c>
      <c r="C1746" t="s">
        <v>79</v>
      </c>
      <c r="D1746" t="s">
        <v>216</v>
      </c>
      <c r="E1746" s="232" t="s">
        <v>8863</v>
      </c>
      <c r="F1746" t="s">
        <v>71</v>
      </c>
      <c r="G1746">
        <v>2</v>
      </c>
      <c r="H1746">
        <v>177.15299999999999</v>
      </c>
      <c r="I1746">
        <v>176.40299999999999</v>
      </c>
      <c r="J1746">
        <v>174.93299999999999</v>
      </c>
      <c r="K1746">
        <v>173.185</v>
      </c>
      <c r="L1746">
        <v>171.09</v>
      </c>
      <c r="M1746" s="233" t="s">
        <v>530</v>
      </c>
      <c r="N1746" s="233" t="s">
        <v>530</v>
      </c>
      <c r="O1746" s="3" t="s">
        <v>2179</v>
      </c>
    </row>
    <row r="1747" spans="1:15">
      <c r="A1747">
        <v>221</v>
      </c>
      <c r="B1747">
        <v>1996</v>
      </c>
      <c r="C1747" t="s">
        <v>79</v>
      </c>
      <c r="D1747" t="s">
        <v>216</v>
      </c>
      <c r="E1747" s="232" t="s">
        <v>7365</v>
      </c>
      <c r="F1747" t="s">
        <v>71</v>
      </c>
      <c r="G1747">
        <v>2</v>
      </c>
      <c r="H1747">
        <v>176.453</v>
      </c>
      <c r="I1747">
        <v>175.8</v>
      </c>
      <c r="J1747">
        <v>174.483</v>
      </c>
      <c r="K1747">
        <v>172.94300000000001</v>
      </c>
      <c r="L1747">
        <v>171.09</v>
      </c>
      <c r="M1747" s="233" t="s">
        <v>530</v>
      </c>
      <c r="N1747" s="233" t="s">
        <v>530</v>
      </c>
      <c r="O1747" s="3" t="s">
        <v>2180</v>
      </c>
    </row>
    <row r="1748" spans="1:15">
      <c r="A1748">
        <v>221</v>
      </c>
      <c r="B1748">
        <v>2002</v>
      </c>
      <c r="C1748" t="s">
        <v>79</v>
      </c>
      <c r="D1748" t="s">
        <v>216</v>
      </c>
      <c r="E1748" s="232" t="s">
        <v>8883</v>
      </c>
      <c r="F1748" t="s">
        <v>71</v>
      </c>
      <c r="G1748">
        <v>2</v>
      </c>
      <c r="H1748">
        <v>176.54</v>
      </c>
      <c r="I1748">
        <v>175.8</v>
      </c>
      <c r="J1748">
        <v>174.483</v>
      </c>
      <c r="K1748">
        <v>172.73500000000001</v>
      </c>
      <c r="L1748">
        <v>170.613</v>
      </c>
      <c r="M1748" s="233" t="s">
        <v>530</v>
      </c>
      <c r="N1748" s="233" t="s">
        <v>530</v>
      </c>
      <c r="O1748" s="3" t="s">
        <v>2181</v>
      </c>
    </row>
    <row r="1749" spans="1:15">
      <c r="A1749">
        <v>221</v>
      </c>
      <c r="B1749">
        <v>2006</v>
      </c>
      <c r="C1749" t="s">
        <v>79</v>
      </c>
      <c r="D1749" t="s">
        <v>216</v>
      </c>
      <c r="E1749" s="232" t="s">
        <v>8654</v>
      </c>
      <c r="F1749" t="s">
        <v>71</v>
      </c>
      <c r="G1749">
        <v>2</v>
      </c>
      <c r="H1749">
        <v>176.19</v>
      </c>
      <c r="I1749">
        <v>175.36</v>
      </c>
      <c r="J1749">
        <v>174.05500000000001</v>
      </c>
      <c r="K1749">
        <v>172.358</v>
      </c>
      <c r="L1749">
        <v>170.24</v>
      </c>
      <c r="M1749" s="233" t="s">
        <v>530</v>
      </c>
      <c r="N1749" s="233" t="s">
        <v>530</v>
      </c>
      <c r="O1749" s="3" t="s">
        <v>2182</v>
      </c>
    </row>
    <row r="1750" spans="1:15">
      <c r="A1750">
        <v>221</v>
      </c>
      <c r="B1750">
        <v>2003</v>
      </c>
      <c r="C1750" t="s">
        <v>79</v>
      </c>
      <c r="D1750" t="s">
        <v>216</v>
      </c>
      <c r="E1750" s="232" t="s">
        <v>8820</v>
      </c>
      <c r="F1750" t="s">
        <v>71</v>
      </c>
      <c r="G1750">
        <v>2</v>
      </c>
      <c r="H1750">
        <v>175.36</v>
      </c>
      <c r="I1750">
        <v>174.738</v>
      </c>
      <c r="J1750">
        <v>173.303</v>
      </c>
      <c r="K1750">
        <v>171.72300000000001</v>
      </c>
      <c r="L1750">
        <v>169.73500000000001</v>
      </c>
      <c r="M1750" s="233" t="s">
        <v>530</v>
      </c>
      <c r="N1750" s="233" t="s">
        <v>530</v>
      </c>
      <c r="O1750" s="3" t="s">
        <v>2183</v>
      </c>
    </row>
    <row r="1751" spans="1:15">
      <c r="A1751">
        <v>221</v>
      </c>
      <c r="B1751">
        <v>1984</v>
      </c>
      <c r="C1751" t="s">
        <v>79</v>
      </c>
      <c r="D1751" t="s">
        <v>216</v>
      </c>
      <c r="E1751" s="232" t="s">
        <v>12303</v>
      </c>
      <c r="F1751" t="s">
        <v>71</v>
      </c>
      <c r="G1751">
        <v>2</v>
      </c>
      <c r="H1751">
        <v>175.27199999999999</v>
      </c>
      <c r="I1751">
        <v>174.56</v>
      </c>
      <c r="J1751">
        <v>173.185</v>
      </c>
      <c r="K1751">
        <v>171.55799999999999</v>
      </c>
      <c r="L1751">
        <v>169.66800000000001</v>
      </c>
      <c r="M1751" s="233" t="s">
        <v>530</v>
      </c>
      <c r="N1751" s="233" t="s">
        <v>530</v>
      </c>
      <c r="O1751" s="3" t="s">
        <v>2184</v>
      </c>
    </row>
    <row r="1752" spans="1:15">
      <c r="A1752">
        <v>221</v>
      </c>
      <c r="B1752">
        <v>2014</v>
      </c>
      <c r="C1752" t="s">
        <v>79</v>
      </c>
      <c r="D1752" t="s">
        <v>216</v>
      </c>
      <c r="E1752" s="232" t="s">
        <v>8804</v>
      </c>
      <c r="F1752" t="s">
        <v>71</v>
      </c>
      <c r="G1752">
        <v>2</v>
      </c>
      <c r="H1752">
        <v>175.20500000000001</v>
      </c>
      <c r="I1752">
        <v>174.483</v>
      </c>
      <c r="J1752">
        <v>173.185</v>
      </c>
      <c r="K1752">
        <v>171.50700000000001</v>
      </c>
      <c r="L1752">
        <v>169.518</v>
      </c>
      <c r="M1752" s="233" t="s">
        <v>530</v>
      </c>
      <c r="N1752" s="233" t="s">
        <v>530</v>
      </c>
      <c r="O1752" s="3" t="s">
        <v>2185</v>
      </c>
    </row>
    <row r="1753" spans="1:15">
      <c r="A1753">
        <v>221</v>
      </c>
      <c r="B1753">
        <v>1998</v>
      </c>
      <c r="C1753" t="s">
        <v>79</v>
      </c>
      <c r="D1753" t="s">
        <v>216</v>
      </c>
      <c r="E1753" s="232" t="s">
        <v>11554</v>
      </c>
      <c r="F1753" t="s">
        <v>71</v>
      </c>
      <c r="G1753">
        <v>2</v>
      </c>
      <c r="H1753">
        <v>174.37799999999999</v>
      </c>
      <c r="I1753">
        <v>173.67</v>
      </c>
      <c r="J1753">
        <v>172.41300000000001</v>
      </c>
      <c r="K1753">
        <v>170.768</v>
      </c>
      <c r="L1753">
        <v>168.87799999999999</v>
      </c>
      <c r="M1753" s="233" t="s">
        <v>530</v>
      </c>
      <c r="N1753" s="233" t="s">
        <v>530</v>
      </c>
      <c r="O1753" s="3" t="s">
        <v>2186</v>
      </c>
    </row>
    <row r="1754" spans="1:15">
      <c r="A1754">
        <v>221</v>
      </c>
      <c r="B1754">
        <v>2009</v>
      </c>
      <c r="C1754" t="s">
        <v>79</v>
      </c>
      <c r="D1754" t="s">
        <v>216</v>
      </c>
      <c r="E1754" s="232" t="s">
        <v>8753</v>
      </c>
      <c r="F1754" t="s">
        <v>71</v>
      </c>
      <c r="G1754">
        <v>2</v>
      </c>
      <c r="H1754">
        <v>173.88</v>
      </c>
      <c r="I1754">
        <v>173.185</v>
      </c>
      <c r="J1754">
        <v>171.96799999999999</v>
      </c>
      <c r="K1754">
        <v>170.34</v>
      </c>
      <c r="L1754">
        <v>168.43799999999999</v>
      </c>
      <c r="M1754" s="233" t="s">
        <v>530</v>
      </c>
      <c r="N1754" s="233" t="s">
        <v>530</v>
      </c>
      <c r="O1754" s="3" t="s">
        <v>2187</v>
      </c>
    </row>
    <row r="1755" spans="1:15">
      <c r="A1755">
        <v>221</v>
      </c>
      <c r="B1755">
        <v>2007</v>
      </c>
      <c r="C1755" t="s">
        <v>79</v>
      </c>
      <c r="D1755" t="s">
        <v>216</v>
      </c>
      <c r="E1755" s="232" t="s">
        <v>9511</v>
      </c>
      <c r="F1755" t="s">
        <v>71</v>
      </c>
      <c r="G1755">
        <v>2</v>
      </c>
      <c r="H1755">
        <v>173.72</v>
      </c>
      <c r="I1755">
        <v>173.148</v>
      </c>
      <c r="J1755">
        <v>171.86699999999999</v>
      </c>
      <c r="K1755">
        <v>170.24</v>
      </c>
      <c r="L1755">
        <v>168.34</v>
      </c>
      <c r="M1755" s="233" t="s">
        <v>530</v>
      </c>
      <c r="N1755" s="233" t="s">
        <v>530</v>
      </c>
      <c r="O1755" s="3" t="s">
        <v>2188</v>
      </c>
    </row>
    <row r="1756" spans="1:15">
      <c r="A1756">
        <v>221</v>
      </c>
      <c r="B1756">
        <v>2011</v>
      </c>
      <c r="C1756" t="s">
        <v>79</v>
      </c>
      <c r="D1756" t="s">
        <v>216</v>
      </c>
      <c r="E1756" s="232" t="s">
        <v>562</v>
      </c>
      <c r="F1756" t="s">
        <v>71</v>
      </c>
      <c r="G1756">
        <v>2</v>
      </c>
      <c r="H1756">
        <v>173.55799999999999</v>
      </c>
      <c r="I1756">
        <v>172.94300000000001</v>
      </c>
      <c r="J1756">
        <v>171.64500000000001</v>
      </c>
      <c r="K1756">
        <v>170.02799999999999</v>
      </c>
      <c r="L1756">
        <v>168.16499999999999</v>
      </c>
      <c r="M1756" s="233" t="s">
        <v>530</v>
      </c>
      <c r="N1756" s="233" t="s">
        <v>530</v>
      </c>
      <c r="O1756" s="3" t="s">
        <v>2189</v>
      </c>
    </row>
    <row r="1757" spans="1:15">
      <c r="A1757">
        <v>221</v>
      </c>
      <c r="B1757">
        <v>2001</v>
      </c>
      <c r="C1757" t="s">
        <v>79</v>
      </c>
      <c r="D1757" t="s">
        <v>216</v>
      </c>
      <c r="E1757" s="232" t="s">
        <v>560</v>
      </c>
      <c r="F1757" t="s">
        <v>71</v>
      </c>
      <c r="G1757">
        <v>2</v>
      </c>
      <c r="H1757">
        <v>173.185</v>
      </c>
      <c r="I1757">
        <v>172.613</v>
      </c>
      <c r="J1757">
        <v>171.41300000000001</v>
      </c>
      <c r="K1757">
        <v>169.785</v>
      </c>
      <c r="L1757">
        <v>167.845</v>
      </c>
      <c r="M1757" s="233" t="s">
        <v>530</v>
      </c>
      <c r="N1757" s="233" t="s">
        <v>530</v>
      </c>
      <c r="O1757" s="3" t="s">
        <v>2190</v>
      </c>
    </row>
    <row r="1758" spans="1:15">
      <c r="A1758">
        <v>221</v>
      </c>
      <c r="B1758">
        <v>2004</v>
      </c>
      <c r="C1758" t="s">
        <v>79</v>
      </c>
      <c r="D1758" t="s">
        <v>216</v>
      </c>
      <c r="E1758" s="232" t="s">
        <v>561</v>
      </c>
      <c r="F1758" t="s">
        <v>71</v>
      </c>
      <c r="G1758">
        <v>2</v>
      </c>
      <c r="H1758">
        <v>169.30799999999999</v>
      </c>
      <c r="I1758">
        <v>168.65</v>
      </c>
      <c r="J1758">
        <v>167.583</v>
      </c>
      <c r="K1758">
        <v>166.023</v>
      </c>
      <c r="L1758">
        <v>164.215</v>
      </c>
      <c r="M1758" s="233" t="s">
        <v>530</v>
      </c>
      <c r="N1758" s="233" t="s">
        <v>530</v>
      </c>
      <c r="O1758" s="3" t="s">
        <v>2191</v>
      </c>
    </row>
    <row r="1759" spans="1:15">
      <c r="A1759">
        <v>228</v>
      </c>
      <c r="B1759">
        <v>2020</v>
      </c>
      <c r="C1759" t="s">
        <v>79</v>
      </c>
      <c r="D1759" t="s">
        <v>214</v>
      </c>
      <c r="E1759" s="232" t="s">
        <v>8633</v>
      </c>
      <c r="F1759" t="s">
        <v>70</v>
      </c>
      <c r="G1759">
        <v>3</v>
      </c>
      <c r="H1759">
        <v>973.46600000000001</v>
      </c>
      <c r="I1759">
        <v>972.94899999999996</v>
      </c>
      <c r="J1759">
        <v>971.93700000000001</v>
      </c>
      <c r="K1759">
        <v>970.60900000000004</v>
      </c>
      <c r="L1759">
        <v>968.91099999999994</v>
      </c>
      <c r="M1759" s="233" t="s">
        <v>532</v>
      </c>
      <c r="N1759" s="233" t="s">
        <v>532</v>
      </c>
      <c r="O1759" s="3" t="s">
        <v>2192</v>
      </c>
    </row>
    <row r="1760" spans="1:15">
      <c r="A1760">
        <v>230</v>
      </c>
      <c r="B1760">
        <v>2019</v>
      </c>
      <c r="C1760" t="s">
        <v>79</v>
      </c>
      <c r="D1760" t="s">
        <v>214</v>
      </c>
      <c r="E1760" s="232" t="s">
        <v>8418</v>
      </c>
      <c r="F1760" t="s">
        <v>70</v>
      </c>
      <c r="G1760">
        <v>3</v>
      </c>
      <c r="H1760">
        <v>970.423</v>
      </c>
      <c r="I1760">
        <v>969.93299999999999</v>
      </c>
      <c r="J1760">
        <v>968.91099999999994</v>
      </c>
      <c r="K1760">
        <v>967.625</v>
      </c>
      <c r="L1760">
        <v>966.36</v>
      </c>
      <c r="M1760" s="233" t="s">
        <v>532</v>
      </c>
      <c r="N1760" s="233" t="s">
        <v>532</v>
      </c>
      <c r="O1760" s="3" t="s">
        <v>2193</v>
      </c>
    </row>
    <row r="1761" spans="1:15">
      <c r="A1761">
        <v>228</v>
      </c>
      <c r="B1761">
        <v>2062</v>
      </c>
      <c r="C1761" t="s">
        <v>79</v>
      </c>
      <c r="D1761" t="s">
        <v>214</v>
      </c>
      <c r="E1761" s="232" t="s">
        <v>12125</v>
      </c>
      <c r="F1761" t="s">
        <v>70</v>
      </c>
      <c r="G1761">
        <v>3</v>
      </c>
      <c r="H1761">
        <v>968.76599999999996</v>
      </c>
      <c r="I1761">
        <v>968.22500000000002</v>
      </c>
      <c r="J1761">
        <v>967.33199999999999</v>
      </c>
      <c r="K1761">
        <v>966.39800000000002</v>
      </c>
      <c r="L1761">
        <v>965.19899999999996</v>
      </c>
      <c r="M1761" s="233" t="s">
        <v>532</v>
      </c>
      <c r="N1761" s="233" t="s">
        <v>532</v>
      </c>
      <c r="O1761" s="3" t="s">
        <v>2194</v>
      </c>
    </row>
    <row r="1762" spans="1:15">
      <c r="A1762">
        <v>230</v>
      </c>
      <c r="B1762">
        <v>2022</v>
      </c>
      <c r="C1762" t="s">
        <v>79</v>
      </c>
      <c r="D1762" t="s">
        <v>214</v>
      </c>
      <c r="E1762" s="232" t="s">
        <v>9074</v>
      </c>
      <c r="F1762" t="s">
        <v>70</v>
      </c>
      <c r="G1762">
        <v>3</v>
      </c>
      <c r="H1762">
        <v>968.26800000000003</v>
      </c>
      <c r="I1762">
        <v>967.82</v>
      </c>
      <c r="J1762">
        <v>966.88499999999999</v>
      </c>
      <c r="K1762">
        <v>965.69299999999998</v>
      </c>
      <c r="L1762">
        <v>964.34799999999996</v>
      </c>
      <c r="M1762" s="233" t="s">
        <v>532</v>
      </c>
      <c r="N1762" s="233" t="s">
        <v>532</v>
      </c>
      <c r="O1762" s="3" t="s">
        <v>2195</v>
      </c>
    </row>
    <row r="1763" spans="1:15">
      <c r="A1763">
        <v>228</v>
      </c>
      <c r="B1763">
        <v>2059</v>
      </c>
      <c r="C1763" t="s">
        <v>79</v>
      </c>
      <c r="D1763" t="s">
        <v>214</v>
      </c>
      <c r="E1763" s="232" t="s">
        <v>8197</v>
      </c>
      <c r="F1763" t="s">
        <v>70</v>
      </c>
      <c r="G1763">
        <v>3</v>
      </c>
      <c r="H1763">
        <v>967.07799999999997</v>
      </c>
      <c r="I1763">
        <v>966.66300000000001</v>
      </c>
      <c r="J1763">
        <v>965.798</v>
      </c>
      <c r="K1763">
        <v>964.53099999999995</v>
      </c>
      <c r="L1763">
        <v>963.12300000000005</v>
      </c>
      <c r="M1763" s="233" t="s">
        <v>532</v>
      </c>
      <c r="N1763" s="233" t="s">
        <v>532</v>
      </c>
      <c r="O1763" s="3" t="s">
        <v>2196</v>
      </c>
    </row>
    <row r="1764" spans="1:15">
      <c r="A1764">
        <v>230</v>
      </c>
      <c r="B1764">
        <v>2064</v>
      </c>
      <c r="C1764" t="s">
        <v>79</v>
      </c>
      <c r="D1764" t="s">
        <v>214</v>
      </c>
      <c r="E1764" s="232" t="s">
        <v>12514</v>
      </c>
      <c r="F1764" t="s">
        <v>70</v>
      </c>
      <c r="G1764">
        <v>3</v>
      </c>
      <c r="H1764">
        <v>966.74800000000005</v>
      </c>
      <c r="I1764">
        <v>966.39800000000002</v>
      </c>
      <c r="J1764">
        <v>965.65</v>
      </c>
      <c r="K1764">
        <v>964.60299999999995</v>
      </c>
      <c r="L1764">
        <v>963.39800000000002</v>
      </c>
      <c r="M1764" s="233" t="s">
        <v>532</v>
      </c>
      <c r="N1764" s="233" t="s">
        <v>532</v>
      </c>
      <c r="O1764" s="3" t="s">
        <v>2197</v>
      </c>
    </row>
    <row r="1765" spans="1:15">
      <c r="A1765">
        <v>230</v>
      </c>
      <c r="B1765">
        <v>2050</v>
      </c>
      <c r="C1765" t="s">
        <v>79</v>
      </c>
      <c r="D1765" t="s">
        <v>214</v>
      </c>
      <c r="E1765" s="232" t="s">
        <v>8316</v>
      </c>
      <c r="F1765" t="s">
        <v>70</v>
      </c>
      <c r="G1765">
        <v>3</v>
      </c>
      <c r="H1765">
        <v>966.77599999999995</v>
      </c>
      <c r="I1765">
        <v>966.39800000000002</v>
      </c>
      <c r="J1765">
        <v>965.51099999999997</v>
      </c>
      <c r="K1765">
        <v>964.22400000000005</v>
      </c>
      <c r="L1765">
        <v>962.81100000000004</v>
      </c>
      <c r="M1765" s="233" t="s">
        <v>532</v>
      </c>
      <c r="N1765" s="233" t="s">
        <v>532</v>
      </c>
      <c r="O1765" s="3" t="s">
        <v>2198</v>
      </c>
    </row>
    <row r="1766" spans="1:15">
      <c r="A1766">
        <v>230</v>
      </c>
      <c r="B1766">
        <v>2027</v>
      </c>
      <c r="C1766" t="s">
        <v>79</v>
      </c>
      <c r="D1766" t="s">
        <v>214</v>
      </c>
      <c r="E1766" s="232" t="s">
        <v>8305</v>
      </c>
      <c r="F1766" t="s">
        <v>70</v>
      </c>
      <c r="G1766">
        <v>3</v>
      </c>
      <c r="H1766">
        <v>966.74800000000005</v>
      </c>
      <c r="I1766">
        <v>966.36</v>
      </c>
      <c r="J1766">
        <v>965.46799999999996</v>
      </c>
      <c r="K1766">
        <v>964.19600000000003</v>
      </c>
      <c r="L1766">
        <v>962.78300000000002</v>
      </c>
      <c r="M1766" s="233" t="s">
        <v>532</v>
      </c>
      <c r="N1766" s="233" t="s">
        <v>532</v>
      </c>
      <c r="O1766" s="3" t="s">
        <v>2199</v>
      </c>
    </row>
    <row r="1767" spans="1:15">
      <c r="A1767">
        <v>230</v>
      </c>
      <c r="B1767">
        <v>2028</v>
      </c>
      <c r="C1767" t="s">
        <v>79</v>
      </c>
      <c r="D1767" t="s">
        <v>214</v>
      </c>
      <c r="E1767" s="232" t="s">
        <v>8168</v>
      </c>
      <c r="F1767" t="s">
        <v>70</v>
      </c>
      <c r="G1767">
        <v>3</v>
      </c>
      <c r="H1767">
        <v>966.74800000000005</v>
      </c>
      <c r="I1767">
        <v>966.36</v>
      </c>
      <c r="J1767">
        <v>965.46799999999996</v>
      </c>
      <c r="K1767">
        <v>964.19600000000003</v>
      </c>
      <c r="L1767">
        <v>962.78300000000002</v>
      </c>
      <c r="M1767" s="233" t="s">
        <v>532</v>
      </c>
      <c r="N1767" s="233" t="s">
        <v>532</v>
      </c>
      <c r="O1767" s="3" t="s">
        <v>2200</v>
      </c>
    </row>
    <row r="1768" spans="1:15">
      <c r="A1768">
        <v>228</v>
      </c>
      <c r="B1768">
        <v>2046</v>
      </c>
      <c r="C1768" t="s">
        <v>79</v>
      </c>
      <c r="D1768" t="s">
        <v>214</v>
      </c>
      <c r="E1768" s="232" t="s">
        <v>8307</v>
      </c>
      <c r="F1768" t="s">
        <v>70</v>
      </c>
      <c r="G1768">
        <v>3</v>
      </c>
      <c r="H1768">
        <v>966.43600000000004</v>
      </c>
      <c r="I1768">
        <v>966.06299999999999</v>
      </c>
      <c r="J1768">
        <v>965.09400000000005</v>
      </c>
      <c r="K1768">
        <v>963.87300000000005</v>
      </c>
      <c r="L1768">
        <v>962.43799999999999</v>
      </c>
      <c r="M1768" s="233" t="s">
        <v>532</v>
      </c>
      <c r="N1768" s="233" t="s">
        <v>532</v>
      </c>
      <c r="O1768" s="3" t="s">
        <v>2201</v>
      </c>
    </row>
    <row r="1769" spans="1:15">
      <c r="A1769">
        <v>230</v>
      </c>
      <c r="B1769">
        <v>2040</v>
      </c>
      <c r="C1769" t="s">
        <v>79</v>
      </c>
      <c r="D1769" t="s">
        <v>214</v>
      </c>
      <c r="E1769" s="232" t="s">
        <v>12624</v>
      </c>
      <c r="F1769" t="s">
        <v>70</v>
      </c>
      <c r="G1769">
        <v>3</v>
      </c>
      <c r="H1769">
        <v>966.245</v>
      </c>
      <c r="I1769">
        <v>965.88300000000004</v>
      </c>
      <c r="J1769">
        <v>964.90599999999995</v>
      </c>
      <c r="K1769">
        <v>963.69</v>
      </c>
      <c r="L1769">
        <v>962.25400000000002</v>
      </c>
      <c r="M1769" s="233" t="s">
        <v>532</v>
      </c>
      <c r="N1769" s="233" t="s">
        <v>532</v>
      </c>
      <c r="O1769" s="3" t="s">
        <v>2202</v>
      </c>
    </row>
    <row r="1770" spans="1:15">
      <c r="A1770">
        <v>230</v>
      </c>
      <c r="B1770">
        <v>2031</v>
      </c>
      <c r="C1770" t="s">
        <v>79</v>
      </c>
      <c r="D1770" t="s">
        <v>214</v>
      </c>
      <c r="E1770" s="232" t="s">
        <v>8744</v>
      </c>
      <c r="F1770" t="s">
        <v>70</v>
      </c>
      <c r="G1770">
        <v>3</v>
      </c>
      <c r="H1770">
        <v>966.245</v>
      </c>
      <c r="I1770">
        <v>965.87800000000004</v>
      </c>
      <c r="J1770">
        <v>964.90599999999995</v>
      </c>
      <c r="K1770">
        <v>963.64800000000002</v>
      </c>
      <c r="L1770">
        <v>962.21600000000001</v>
      </c>
      <c r="M1770" s="233" t="s">
        <v>532</v>
      </c>
      <c r="N1770" s="233" t="s">
        <v>532</v>
      </c>
      <c r="O1770" s="3" t="s">
        <v>2203</v>
      </c>
    </row>
    <row r="1771" spans="1:15">
      <c r="A1771">
        <v>230</v>
      </c>
      <c r="B1771">
        <v>2034</v>
      </c>
      <c r="C1771" t="s">
        <v>79</v>
      </c>
      <c r="D1771" t="s">
        <v>214</v>
      </c>
      <c r="E1771" s="232" t="s">
        <v>10636</v>
      </c>
      <c r="F1771" t="s">
        <v>70</v>
      </c>
      <c r="G1771">
        <v>3</v>
      </c>
      <c r="H1771">
        <v>965.798</v>
      </c>
      <c r="I1771">
        <v>965.35400000000004</v>
      </c>
      <c r="J1771">
        <v>964.41300000000001</v>
      </c>
      <c r="K1771">
        <v>963.12300000000005</v>
      </c>
      <c r="L1771">
        <v>961.67899999999997</v>
      </c>
      <c r="M1771" s="233" t="s">
        <v>532</v>
      </c>
      <c r="N1771" s="233" t="s">
        <v>532</v>
      </c>
      <c r="O1771" s="3" t="s">
        <v>2204</v>
      </c>
    </row>
    <row r="1772" spans="1:15">
      <c r="A1772">
        <v>230</v>
      </c>
      <c r="B1772">
        <v>2041</v>
      </c>
      <c r="C1772" t="s">
        <v>79</v>
      </c>
      <c r="D1772" t="s">
        <v>214</v>
      </c>
      <c r="E1772" s="232" t="s">
        <v>8640</v>
      </c>
      <c r="F1772" t="s">
        <v>70</v>
      </c>
      <c r="G1772">
        <v>3</v>
      </c>
      <c r="H1772">
        <v>965.279</v>
      </c>
      <c r="I1772">
        <v>964.82299999999998</v>
      </c>
      <c r="J1772">
        <v>963.87300000000005</v>
      </c>
      <c r="K1772">
        <v>962.58799999999997</v>
      </c>
      <c r="L1772">
        <v>961.17600000000004</v>
      </c>
      <c r="M1772" s="233" t="s">
        <v>532</v>
      </c>
      <c r="N1772" s="233" t="s">
        <v>532</v>
      </c>
      <c r="O1772" s="3" t="s">
        <v>2205</v>
      </c>
    </row>
    <row r="1773" spans="1:15">
      <c r="A1773">
        <v>230</v>
      </c>
      <c r="B1773">
        <v>2024</v>
      </c>
      <c r="C1773" t="s">
        <v>79</v>
      </c>
      <c r="D1773" t="s">
        <v>214</v>
      </c>
      <c r="E1773" s="232" t="s">
        <v>8148</v>
      </c>
      <c r="F1773" t="s">
        <v>70</v>
      </c>
      <c r="G1773">
        <v>3</v>
      </c>
      <c r="H1773">
        <v>965.04600000000005</v>
      </c>
      <c r="I1773">
        <v>964.68399999999997</v>
      </c>
      <c r="J1773">
        <v>963.84500000000003</v>
      </c>
      <c r="K1773">
        <v>962.71400000000006</v>
      </c>
      <c r="L1773">
        <v>961.32899999999995</v>
      </c>
      <c r="M1773" s="233" t="s">
        <v>532</v>
      </c>
      <c r="N1773" s="233" t="s">
        <v>532</v>
      </c>
      <c r="O1773" s="3" t="s">
        <v>2206</v>
      </c>
    </row>
    <row r="1774" spans="1:15">
      <c r="A1774">
        <v>230</v>
      </c>
      <c r="B1774">
        <v>2033</v>
      </c>
      <c r="C1774" t="s">
        <v>79</v>
      </c>
      <c r="D1774" t="s">
        <v>214</v>
      </c>
      <c r="E1774" s="232" t="s">
        <v>10547</v>
      </c>
      <c r="F1774" t="s">
        <v>70</v>
      </c>
      <c r="G1774">
        <v>3</v>
      </c>
      <c r="H1774">
        <v>965.23599999999999</v>
      </c>
      <c r="I1774">
        <v>964.78599999999994</v>
      </c>
      <c r="J1774">
        <v>963.84500000000003</v>
      </c>
      <c r="K1774">
        <v>962.54600000000005</v>
      </c>
      <c r="L1774">
        <v>961.13400000000001</v>
      </c>
      <c r="M1774" s="233" t="s">
        <v>532</v>
      </c>
      <c r="N1774" s="233" t="s">
        <v>532</v>
      </c>
      <c r="O1774" s="3" t="s">
        <v>2207</v>
      </c>
    </row>
    <row r="1775" spans="1:15">
      <c r="A1775">
        <v>230</v>
      </c>
      <c r="B1775">
        <v>2035</v>
      </c>
      <c r="C1775" t="s">
        <v>79</v>
      </c>
      <c r="D1775" t="s">
        <v>214</v>
      </c>
      <c r="E1775" s="232" t="s">
        <v>12903</v>
      </c>
      <c r="F1775" t="s">
        <v>70</v>
      </c>
      <c r="G1775">
        <v>3</v>
      </c>
      <c r="H1775">
        <v>964.90599999999995</v>
      </c>
      <c r="I1775">
        <v>964.45100000000002</v>
      </c>
      <c r="J1775">
        <v>963.49599999999998</v>
      </c>
      <c r="K1775">
        <v>962.21600000000001</v>
      </c>
      <c r="L1775">
        <v>960.84199999999998</v>
      </c>
      <c r="M1775" s="233" t="s">
        <v>532</v>
      </c>
      <c r="N1775" s="233" t="s">
        <v>532</v>
      </c>
      <c r="O1775" s="3" t="s">
        <v>2208</v>
      </c>
    </row>
    <row r="1776" spans="1:15">
      <c r="A1776">
        <v>230</v>
      </c>
      <c r="B1776">
        <v>2056</v>
      </c>
      <c r="C1776" t="s">
        <v>79</v>
      </c>
      <c r="D1776" t="s">
        <v>214</v>
      </c>
      <c r="E1776" s="232" t="s">
        <v>8224</v>
      </c>
      <c r="F1776" t="s">
        <v>70</v>
      </c>
      <c r="G1776">
        <v>3</v>
      </c>
      <c r="H1776">
        <v>964.64099999999996</v>
      </c>
      <c r="I1776">
        <v>964.22400000000005</v>
      </c>
      <c r="J1776">
        <v>963.20899999999995</v>
      </c>
      <c r="K1776">
        <v>961.94600000000003</v>
      </c>
      <c r="L1776">
        <v>960.61500000000001</v>
      </c>
      <c r="M1776" s="233" t="s">
        <v>532</v>
      </c>
      <c r="N1776" s="233" t="s">
        <v>532</v>
      </c>
      <c r="O1776" s="3" t="s">
        <v>2209</v>
      </c>
    </row>
    <row r="1777" spans="1:15">
      <c r="A1777">
        <v>231</v>
      </c>
      <c r="B1777">
        <v>2037</v>
      </c>
      <c r="C1777" t="s">
        <v>79</v>
      </c>
      <c r="D1777" t="s">
        <v>214</v>
      </c>
      <c r="E1777" s="232" t="s">
        <v>8283</v>
      </c>
      <c r="F1777" t="s">
        <v>70</v>
      </c>
      <c r="G1777">
        <v>3</v>
      </c>
      <c r="H1777">
        <v>964.44600000000003</v>
      </c>
      <c r="I1777">
        <v>964.06799999999998</v>
      </c>
      <c r="J1777">
        <v>963.16099999999994</v>
      </c>
      <c r="K1777">
        <v>962.072</v>
      </c>
      <c r="L1777">
        <v>960.72900000000004</v>
      </c>
      <c r="M1777" s="233" t="s">
        <v>532</v>
      </c>
      <c r="N1777" s="233" t="s">
        <v>532</v>
      </c>
      <c r="O1777" s="3" t="s">
        <v>2210</v>
      </c>
    </row>
    <row r="1778" spans="1:15">
      <c r="A1778">
        <v>230</v>
      </c>
      <c r="B1778">
        <v>2036</v>
      </c>
      <c r="C1778" t="s">
        <v>79</v>
      </c>
      <c r="D1778" t="s">
        <v>214</v>
      </c>
      <c r="E1778" s="232" t="s">
        <v>541</v>
      </c>
      <c r="F1778" t="s">
        <v>70</v>
      </c>
      <c r="G1778">
        <v>3</v>
      </c>
      <c r="H1778">
        <v>964.15300000000002</v>
      </c>
      <c r="I1778">
        <v>963.73299999999995</v>
      </c>
      <c r="J1778">
        <v>962.74099999999999</v>
      </c>
      <c r="K1778">
        <v>961.44600000000003</v>
      </c>
      <c r="L1778">
        <v>960.2</v>
      </c>
      <c r="M1778" s="233" t="s">
        <v>532</v>
      </c>
      <c r="N1778" s="233" t="s">
        <v>532</v>
      </c>
      <c r="O1778" s="3" t="s">
        <v>2211</v>
      </c>
    </row>
    <row r="1779" spans="1:15">
      <c r="A1779">
        <v>228</v>
      </c>
      <c r="B1779">
        <v>2047</v>
      </c>
      <c r="C1779" t="s">
        <v>79</v>
      </c>
      <c r="D1779" t="s">
        <v>214</v>
      </c>
      <c r="E1779" s="232" t="s">
        <v>9241</v>
      </c>
      <c r="F1779" t="s">
        <v>70</v>
      </c>
      <c r="G1779">
        <v>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s="233" t="s">
        <v>532</v>
      </c>
      <c r="N1779" s="233" t="s">
        <v>532</v>
      </c>
      <c r="O1779" s="3" t="s">
        <v>2623</v>
      </c>
    </row>
    <row r="1780" spans="1:15">
      <c r="A1780">
        <v>228</v>
      </c>
      <c r="B1780">
        <v>2061</v>
      </c>
      <c r="C1780" t="s">
        <v>79</v>
      </c>
      <c r="D1780" t="s">
        <v>214</v>
      </c>
      <c r="E1780" s="232" t="s">
        <v>11074</v>
      </c>
      <c r="F1780" t="s">
        <v>70</v>
      </c>
      <c r="G1780">
        <v>3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s="233" t="s">
        <v>532</v>
      </c>
      <c r="N1780" s="233" t="s">
        <v>532</v>
      </c>
      <c r="O1780" s="3" t="s">
        <v>2623</v>
      </c>
    </row>
    <row r="1781" spans="1:15">
      <c r="A1781">
        <v>227</v>
      </c>
      <c r="B1781">
        <v>2070</v>
      </c>
      <c r="C1781" t="s">
        <v>79</v>
      </c>
      <c r="D1781" t="s">
        <v>214</v>
      </c>
      <c r="E1781" s="232" t="s">
        <v>542</v>
      </c>
      <c r="F1781" t="s">
        <v>71</v>
      </c>
      <c r="G1781">
        <v>3</v>
      </c>
      <c r="H1781">
        <v>971.54600000000005</v>
      </c>
      <c r="I1781">
        <v>971.04300000000001</v>
      </c>
      <c r="J1781">
        <v>969.99</v>
      </c>
      <c r="K1781">
        <v>968.66099999999994</v>
      </c>
      <c r="L1781">
        <v>967.202</v>
      </c>
      <c r="M1781" s="233" t="s">
        <v>532</v>
      </c>
      <c r="N1781" s="233" t="s">
        <v>532</v>
      </c>
      <c r="O1781" s="3" t="s">
        <v>2212</v>
      </c>
    </row>
    <row r="1782" spans="1:15">
      <c r="A1782">
        <v>227</v>
      </c>
      <c r="B1782">
        <v>2087</v>
      </c>
      <c r="C1782" t="s">
        <v>79</v>
      </c>
      <c r="D1782" t="s">
        <v>214</v>
      </c>
      <c r="E1782" s="232" t="s">
        <v>8190</v>
      </c>
      <c r="F1782" t="s">
        <v>71</v>
      </c>
      <c r="G1782">
        <v>3</v>
      </c>
      <c r="H1782">
        <v>971.54600000000005</v>
      </c>
      <c r="I1782">
        <v>971.00599999999997</v>
      </c>
      <c r="J1782">
        <v>969.95299999999997</v>
      </c>
      <c r="K1782">
        <v>968.66099999999994</v>
      </c>
      <c r="L1782">
        <v>967.11300000000006</v>
      </c>
      <c r="M1782" s="233" t="s">
        <v>532</v>
      </c>
      <c r="N1782" s="233" t="s">
        <v>532</v>
      </c>
      <c r="O1782" s="3" t="s">
        <v>2213</v>
      </c>
    </row>
    <row r="1783" spans="1:15">
      <c r="A1783">
        <v>227</v>
      </c>
      <c r="B1783">
        <v>2076</v>
      </c>
      <c r="C1783" t="s">
        <v>79</v>
      </c>
      <c r="D1783" t="s">
        <v>214</v>
      </c>
      <c r="E1783" s="232" t="s">
        <v>8216</v>
      </c>
      <c r="F1783" t="s">
        <v>71</v>
      </c>
      <c r="G1783">
        <v>3</v>
      </c>
      <c r="H1783">
        <v>971.26599999999996</v>
      </c>
      <c r="I1783">
        <v>970.76900000000001</v>
      </c>
      <c r="J1783">
        <v>969.721</v>
      </c>
      <c r="K1783">
        <v>968.43399999999997</v>
      </c>
      <c r="L1783">
        <v>966.88199999999995</v>
      </c>
      <c r="M1783" s="233" t="s">
        <v>532</v>
      </c>
      <c r="N1783" s="233" t="s">
        <v>532</v>
      </c>
      <c r="O1783" s="3" t="s">
        <v>2214</v>
      </c>
    </row>
    <row r="1784" spans="1:15">
      <c r="A1784">
        <v>227</v>
      </c>
      <c r="B1784">
        <v>2078</v>
      </c>
      <c r="C1784" t="s">
        <v>79</v>
      </c>
      <c r="D1784" t="s">
        <v>214</v>
      </c>
      <c r="E1784" s="232" t="s">
        <v>8659</v>
      </c>
      <c r="F1784" t="s">
        <v>71</v>
      </c>
      <c r="G1784">
        <v>3</v>
      </c>
      <c r="H1784">
        <v>970.25800000000004</v>
      </c>
      <c r="I1784">
        <v>969.798</v>
      </c>
      <c r="J1784">
        <v>968.73900000000003</v>
      </c>
      <c r="K1784">
        <v>967.57600000000002</v>
      </c>
      <c r="L1784">
        <v>966.11699999999996</v>
      </c>
      <c r="M1784" s="233" t="s">
        <v>532</v>
      </c>
      <c r="N1784" s="233" t="s">
        <v>532</v>
      </c>
      <c r="O1784" s="3" t="s">
        <v>2215</v>
      </c>
    </row>
    <row r="1785" spans="1:15">
      <c r="A1785">
        <v>227</v>
      </c>
      <c r="B1785">
        <v>2069</v>
      </c>
      <c r="C1785" t="s">
        <v>79</v>
      </c>
      <c r="D1785" t="s">
        <v>214</v>
      </c>
      <c r="E1785" s="232" t="s">
        <v>8214</v>
      </c>
      <c r="F1785" t="s">
        <v>71</v>
      </c>
      <c r="G1785">
        <v>3</v>
      </c>
      <c r="H1785">
        <v>970.06299999999999</v>
      </c>
      <c r="I1785">
        <v>969.60299999999995</v>
      </c>
      <c r="J1785">
        <v>968.63199999999995</v>
      </c>
      <c r="K1785">
        <v>967.38800000000003</v>
      </c>
      <c r="L1785">
        <v>965.94799999999998</v>
      </c>
      <c r="M1785" s="233" t="s">
        <v>532</v>
      </c>
      <c r="N1785" s="233" t="s">
        <v>532</v>
      </c>
      <c r="O1785" s="3" t="s">
        <v>2216</v>
      </c>
    </row>
    <row r="1786" spans="1:15">
      <c r="A1786">
        <v>227</v>
      </c>
      <c r="B1786">
        <v>2091</v>
      </c>
      <c r="C1786" t="s">
        <v>79</v>
      </c>
      <c r="D1786" t="s">
        <v>214</v>
      </c>
      <c r="E1786" s="232" t="s">
        <v>11879</v>
      </c>
      <c r="F1786" t="s">
        <v>71</v>
      </c>
      <c r="G1786">
        <v>3</v>
      </c>
      <c r="H1786">
        <v>969.68</v>
      </c>
      <c r="I1786">
        <v>969.22</v>
      </c>
      <c r="J1786">
        <v>968.35900000000004</v>
      </c>
      <c r="K1786">
        <v>967.23099999999999</v>
      </c>
      <c r="L1786">
        <v>965.91899999999998</v>
      </c>
      <c r="M1786" s="233" t="s">
        <v>532</v>
      </c>
      <c r="N1786" s="233" t="s">
        <v>532</v>
      </c>
      <c r="O1786" s="3" t="s">
        <v>2217</v>
      </c>
    </row>
    <row r="1787" spans="1:15">
      <c r="A1787">
        <v>227</v>
      </c>
      <c r="B1787">
        <v>2074</v>
      </c>
      <c r="C1787" t="s">
        <v>79</v>
      </c>
      <c r="D1787" t="s">
        <v>214</v>
      </c>
      <c r="E1787" s="232" t="s">
        <v>8534</v>
      </c>
      <c r="F1787" t="s">
        <v>71</v>
      </c>
      <c r="G1787">
        <v>3</v>
      </c>
      <c r="H1787">
        <v>969.36500000000001</v>
      </c>
      <c r="I1787">
        <v>968.85900000000004</v>
      </c>
      <c r="J1787">
        <v>967.96600000000001</v>
      </c>
      <c r="K1787">
        <v>966.73400000000004</v>
      </c>
      <c r="L1787">
        <v>965.33199999999999</v>
      </c>
      <c r="M1787" s="233" t="s">
        <v>532</v>
      </c>
      <c r="N1787" s="233" t="s">
        <v>532</v>
      </c>
      <c r="O1787" s="3" t="s">
        <v>2218</v>
      </c>
    </row>
    <row r="1788" spans="1:15">
      <c r="A1788">
        <v>227</v>
      </c>
      <c r="B1788">
        <v>2089</v>
      </c>
      <c r="C1788" t="s">
        <v>79</v>
      </c>
      <c r="D1788" t="s">
        <v>214</v>
      </c>
      <c r="E1788" s="232" t="s">
        <v>8217</v>
      </c>
      <c r="F1788" t="s">
        <v>71</v>
      </c>
      <c r="G1788">
        <v>3</v>
      </c>
      <c r="H1788">
        <v>969.36500000000001</v>
      </c>
      <c r="I1788">
        <v>968.85900000000004</v>
      </c>
      <c r="J1788">
        <v>967.96600000000001</v>
      </c>
      <c r="K1788">
        <v>966.73400000000004</v>
      </c>
      <c r="L1788">
        <v>965.33199999999999</v>
      </c>
      <c r="M1788" s="233" t="s">
        <v>532</v>
      </c>
      <c r="N1788" s="233" t="s">
        <v>532</v>
      </c>
      <c r="O1788" s="3" t="s">
        <v>2219</v>
      </c>
    </row>
    <row r="1789" spans="1:15">
      <c r="A1789">
        <v>227</v>
      </c>
      <c r="B1789">
        <v>2068</v>
      </c>
      <c r="C1789" t="s">
        <v>79</v>
      </c>
      <c r="D1789" t="s">
        <v>214</v>
      </c>
      <c r="E1789" s="232" t="s">
        <v>8726</v>
      </c>
      <c r="F1789" t="s">
        <v>71</v>
      </c>
      <c r="G1789">
        <v>3</v>
      </c>
      <c r="H1789">
        <v>969.09199999999998</v>
      </c>
      <c r="I1789">
        <v>968.66099999999994</v>
      </c>
      <c r="J1789">
        <v>967.73</v>
      </c>
      <c r="K1789">
        <v>966.49800000000005</v>
      </c>
      <c r="L1789">
        <v>965.14599999999996</v>
      </c>
      <c r="M1789" s="233" t="s">
        <v>532</v>
      </c>
      <c r="N1789" s="233" t="s">
        <v>532</v>
      </c>
      <c r="O1789" s="3" t="s">
        <v>2220</v>
      </c>
    </row>
    <row r="1790" spans="1:15">
      <c r="A1790">
        <v>227</v>
      </c>
      <c r="B1790">
        <v>2071</v>
      </c>
      <c r="C1790" t="s">
        <v>79</v>
      </c>
      <c r="D1790" t="s">
        <v>214</v>
      </c>
      <c r="E1790" s="232" t="s">
        <v>8269</v>
      </c>
      <c r="F1790" t="s">
        <v>71</v>
      </c>
      <c r="G1790">
        <v>3</v>
      </c>
      <c r="H1790">
        <v>968.89599999999996</v>
      </c>
      <c r="I1790">
        <v>968.43399999999997</v>
      </c>
      <c r="J1790">
        <v>967.495</v>
      </c>
      <c r="K1790">
        <v>966.3</v>
      </c>
      <c r="L1790">
        <v>964.93899999999996</v>
      </c>
      <c r="M1790" s="233" t="s">
        <v>532</v>
      </c>
      <c r="N1790" s="233" t="s">
        <v>532</v>
      </c>
      <c r="O1790" s="3" t="s">
        <v>2221</v>
      </c>
    </row>
    <row r="1791" spans="1:15">
      <c r="A1791">
        <v>227</v>
      </c>
      <c r="B1791">
        <v>2072</v>
      </c>
      <c r="C1791" t="s">
        <v>79</v>
      </c>
      <c r="D1791" t="s">
        <v>214</v>
      </c>
      <c r="E1791" s="232" t="s">
        <v>12342</v>
      </c>
      <c r="F1791" t="s">
        <v>71</v>
      </c>
      <c r="G1791">
        <v>3</v>
      </c>
      <c r="H1791">
        <v>967.73</v>
      </c>
      <c r="I1791">
        <v>967.31200000000001</v>
      </c>
      <c r="J1791">
        <v>966.37800000000004</v>
      </c>
      <c r="K1791">
        <v>965.3</v>
      </c>
      <c r="L1791">
        <v>963.85799999999995</v>
      </c>
      <c r="M1791" s="233" t="s">
        <v>532</v>
      </c>
      <c r="N1791" s="233" t="s">
        <v>532</v>
      </c>
      <c r="O1791" s="3" t="s">
        <v>2222</v>
      </c>
    </row>
    <row r="1792" spans="1:15">
      <c r="A1792">
        <v>227</v>
      </c>
      <c r="B1792">
        <v>2065</v>
      </c>
      <c r="C1792" t="s">
        <v>79</v>
      </c>
      <c r="D1792" t="s">
        <v>214</v>
      </c>
      <c r="E1792" s="232" t="s">
        <v>8337</v>
      </c>
      <c r="F1792" t="s">
        <v>71</v>
      </c>
      <c r="G1792">
        <v>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s="233" t="s">
        <v>532</v>
      </c>
      <c r="N1792" s="233" t="s">
        <v>532</v>
      </c>
      <c r="O1792" s="3" t="s">
        <v>2623</v>
      </c>
    </row>
    <row r="1793" spans="1:15">
      <c r="A1793">
        <v>227</v>
      </c>
      <c r="B1793">
        <v>2066</v>
      </c>
      <c r="C1793" t="s">
        <v>79</v>
      </c>
      <c r="D1793" t="s">
        <v>214</v>
      </c>
      <c r="E1793" s="232" t="s">
        <v>8232</v>
      </c>
      <c r="F1793" t="s">
        <v>71</v>
      </c>
      <c r="G1793">
        <v>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s="233" t="s">
        <v>532</v>
      </c>
      <c r="N1793" s="233" t="s">
        <v>532</v>
      </c>
      <c r="O1793" s="3" t="s">
        <v>2623</v>
      </c>
    </row>
    <row r="1794" spans="1:15">
      <c r="A1794">
        <v>227</v>
      </c>
      <c r="B1794">
        <v>2073</v>
      </c>
      <c r="C1794" t="s">
        <v>79</v>
      </c>
      <c r="D1794" t="s">
        <v>214</v>
      </c>
      <c r="E1794" s="232" t="s">
        <v>10979</v>
      </c>
      <c r="F1794" t="s">
        <v>71</v>
      </c>
      <c r="G1794">
        <v>3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s="233" t="s">
        <v>532</v>
      </c>
      <c r="N1794" s="233" t="s">
        <v>532</v>
      </c>
      <c r="O1794" s="3" t="s">
        <v>2623</v>
      </c>
    </row>
    <row r="1795" spans="1:15">
      <c r="A1795">
        <v>227</v>
      </c>
      <c r="B1795">
        <v>2086</v>
      </c>
      <c r="C1795" t="s">
        <v>79</v>
      </c>
      <c r="D1795" t="s">
        <v>214</v>
      </c>
      <c r="E1795" s="232" t="s">
        <v>8772</v>
      </c>
      <c r="F1795" t="s">
        <v>71</v>
      </c>
      <c r="G1795">
        <v>3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s="233" t="s">
        <v>532</v>
      </c>
      <c r="N1795" s="233" t="s">
        <v>532</v>
      </c>
      <c r="O1795" s="3" t="s">
        <v>2623</v>
      </c>
    </row>
    <row r="1796" spans="1:15">
      <c r="A1796">
        <v>1</v>
      </c>
      <c r="B1796">
        <v>2093</v>
      </c>
      <c r="C1796" t="s">
        <v>79</v>
      </c>
      <c r="D1796" t="s">
        <v>196</v>
      </c>
      <c r="E1796" s="232" t="s">
        <v>240</v>
      </c>
      <c r="F1796" t="s">
        <v>70</v>
      </c>
      <c r="G1796">
        <v>1</v>
      </c>
      <c r="H1796">
        <v>421.56</v>
      </c>
      <c r="I1796">
        <v>420.24</v>
      </c>
      <c r="J1796">
        <v>419.096</v>
      </c>
      <c r="K1796">
        <v>418.80599999999998</v>
      </c>
      <c r="L1796">
        <v>418.524</v>
      </c>
      <c r="M1796" s="233" t="s">
        <v>530</v>
      </c>
      <c r="N1796" s="233" t="s">
        <v>530</v>
      </c>
      <c r="O1796" s="3" t="s">
        <v>2223</v>
      </c>
    </row>
    <row r="1797" spans="1:15">
      <c r="A1797">
        <v>26</v>
      </c>
      <c r="B1797">
        <v>2101</v>
      </c>
      <c r="C1797" t="s">
        <v>79</v>
      </c>
      <c r="D1797" t="s">
        <v>80</v>
      </c>
      <c r="E1797" s="232" t="s">
        <v>240</v>
      </c>
      <c r="F1797" t="s">
        <v>70</v>
      </c>
      <c r="G1797">
        <v>1</v>
      </c>
      <c r="H1797">
        <v>892.13599999999997</v>
      </c>
      <c r="I1797">
        <v>891.47900000000004</v>
      </c>
      <c r="J1797">
        <v>889.70799999999997</v>
      </c>
      <c r="K1797">
        <v>889.23599999999999</v>
      </c>
      <c r="L1797">
        <v>888.15499999999997</v>
      </c>
      <c r="M1797" s="233" t="s">
        <v>532</v>
      </c>
      <c r="N1797" s="233" t="s">
        <v>533</v>
      </c>
      <c r="O1797" s="3" t="s">
        <v>2224</v>
      </c>
    </row>
    <row r="1798" spans="1:15">
      <c r="A1798">
        <v>33</v>
      </c>
      <c r="B1798">
        <v>2100</v>
      </c>
      <c r="C1798" t="s">
        <v>79</v>
      </c>
      <c r="D1798" t="s">
        <v>82</v>
      </c>
      <c r="E1798" s="232" t="s">
        <v>240</v>
      </c>
      <c r="F1798" t="s">
        <v>70</v>
      </c>
      <c r="G1798">
        <v>1</v>
      </c>
      <c r="H1798">
        <v>419.26400000000001</v>
      </c>
      <c r="I1798">
        <v>417.87799999999999</v>
      </c>
      <c r="J1798">
        <v>417.29700000000003</v>
      </c>
      <c r="K1798">
        <v>415.399</v>
      </c>
      <c r="L1798">
        <v>413.86</v>
      </c>
      <c r="M1798" s="233" t="s">
        <v>530</v>
      </c>
      <c r="N1798" s="233" t="s">
        <v>531</v>
      </c>
      <c r="O1798" s="3" t="s">
        <v>2225</v>
      </c>
    </row>
    <row r="1799" spans="1:15">
      <c r="A1799">
        <v>30</v>
      </c>
      <c r="B1799">
        <v>2102</v>
      </c>
      <c r="C1799" t="s">
        <v>79</v>
      </c>
      <c r="D1799" t="s">
        <v>228</v>
      </c>
      <c r="E1799" s="232" t="s">
        <v>7819</v>
      </c>
      <c r="F1799" t="s">
        <v>70</v>
      </c>
      <c r="G1799">
        <v>1</v>
      </c>
      <c r="H1799">
        <v>807.62699999999995</v>
      </c>
      <c r="I1799">
        <v>805.94299999999998</v>
      </c>
      <c r="J1799">
        <v>805.34299999999996</v>
      </c>
      <c r="K1799">
        <v>804.23</v>
      </c>
      <c r="L1799">
        <v>802.03399999999999</v>
      </c>
      <c r="M1799" s="233" t="s">
        <v>530</v>
      </c>
      <c r="N1799" s="233" t="s">
        <v>531</v>
      </c>
      <c r="O1799" s="3" t="s">
        <v>2226</v>
      </c>
    </row>
    <row r="1800" spans="1:15">
      <c r="A1800">
        <v>112</v>
      </c>
      <c r="B1800">
        <v>2112</v>
      </c>
      <c r="C1800" t="s">
        <v>79</v>
      </c>
      <c r="D1800" t="s">
        <v>221</v>
      </c>
      <c r="E1800" s="232" t="s">
        <v>426</v>
      </c>
      <c r="F1800" t="s">
        <v>70</v>
      </c>
      <c r="G1800">
        <v>1</v>
      </c>
      <c r="H1800">
        <v>940.23199999999997</v>
      </c>
      <c r="I1800">
        <v>937.94100000000003</v>
      </c>
      <c r="J1800">
        <v>935.29300000000001</v>
      </c>
      <c r="K1800">
        <v>933.18600000000004</v>
      </c>
      <c r="L1800">
        <v>931.25099999999998</v>
      </c>
      <c r="M1800" s="233" t="s">
        <v>532</v>
      </c>
      <c r="N1800" s="233" t="s">
        <v>533</v>
      </c>
      <c r="O1800" s="3" t="s">
        <v>2227</v>
      </c>
    </row>
    <row r="1801" spans="1:15">
      <c r="A1801">
        <v>290</v>
      </c>
      <c r="B1801">
        <v>2110</v>
      </c>
      <c r="C1801" t="s">
        <v>79</v>
      </c>
      <c r="D1801" t="s">
        <v>209</v>
      </c>
      <c r="E1801" s="232" t="s">
        <v>240</v>
      </c>
      <c r="F1801" t="s">
        <v>70</v>
      </c>
      <c r="G1801">
        <v>1</v>
      </c>
      <c r="H1801">
        <v>612.98599999999999</v>
      </c>
      <c r="I1801">
        <v>611.93399999999997</v>
      </c>
      <c r="J1801">
        <v>611.47</v>
      </c>
      <c r="K1801">
        <v>610.91800000000001</v>
      </c>
      <c r="L1801">
        <v>609.90800000000002</v>
      </c>
      <c r="M1801" s="233" t="s">
        <v>530</v>
      </c>
      <c r="N1801" s="233" t="s">
        <v>530</v>
      </c>
      <c r="O1801" s="3" t="s">
        <v>2228</v>
      </c>
    </row>
    <row r="1802" spans="1:15">
      <c r="A1802">
        <v>290</v>
      </c>
      <c r="B1802">
        <v>2111</v>
      </c>
      <c r="C1802" t="s">
        <v>79</v>
      </c>
      <c r="D1802" t="s">
        <v>209</v>
      </c>
      <c r="E1802" s="232" t="s">
        <v>427</v>
      </c>
      <c r="F1802" t="s">
        <v>70</v>
      </c>
      <c r="G1802">
        <v>1</v>
      </c>
      <c r="H1802">
        <v>609.90800000000002</v>
      </c>
      <c r="I1802">
        <v>609.51400000000001</v>
      </c>
      <c r="J1802">
        <v>609.01800000000003</v>
      </c>
      <c r="K1802">
        <v>607.55999999999995</v>
      </c>
      <c r="L1802">
        <v>605.70000000000005</v>
      </c>
      <c r="M1802" s="233" t="s">
        <v>530</v>
      </c>
      <c r="N1802" s="233" t="s">
        <v>530</v>
      </c>
      <c r="O1802" s="3" t="s">
        <v>2229</v>
      </c>
    </row>
    <row r="1803" spans="1:15">
      <c r="A1803">
        <v>88</v>
      </c>
      <c r="B1803">
        <v>2108</v>
      </c>
      <c r="C1803" t="s">
        <v>79</v>
      </c>
      <c r="D1803" t="s">
        <v>224</v>
      </c>
      <c r="E1803" s="232" t="s">
        <v>16719</v>
      </c>
      <c r="F1803" t="s">
        <v>70</v>
      </c>
      <c r="G1803">
        <v>1</v>
      </c>
      <c r="H1803">
        <v>992.04899999999998</v>
      </c>
      <c r="I1803">
        <v>990.95799999999997</v>
      </c>
      <c r="J1803">
        <v>989.03300000000002</v>
      </c>
      <c r="K1803">
        <v>987.66899999999998</v>
      </c>
      <c r="L1803">
        <v>984.60699999999997</v>
      </c>
      <c r="M1803" s="233" t="s">
        <v>532</v>
      </c>
      <c r="N1803" s="233" t="s">
        <v>533</v>
      </c>
      <c r="O1803" s="3" t="s">
        <v>2230</v>
      </c>
    </row>
    <row r="1804" spans="1:15">
      <c r="A1804">
        <v>89</v>
      </c>
      <c r="B1804">
        <v>2109</v>
      </c>
      <c r="C1804" t="s">
        <v>79</v>
      </c>
      <c r="D1804" t="s">
        <v>224</v>
      </c>
      <c r="E1804" s="232" t="s">
        <v>248</v>
      </c>
      <c r="F1804" t="s">
        <v>71</v>
      </c>
      <c r="G1804">
        <v>1</v>
      </c>
      <c r="H1804">
        <v>979.66399999999999</v>
      </c>
      <c r="I1804">
        <v>977.64499999999998</v>
      </c>
      <c r="J1804">
        <v>971.601</v>
      </c>
      <c r="K1804">
        <v>970.50099999999998</v>
      </c>
      <c r="L1804">
        <v>965.64099999999996</v>
      </c>
      <c r="M1804" s="233" t="s">
        <v>532</v>
      </c>
      <c r="N1804" s="233" t="s">
        <v>533</v>
      </c>
      <c r="O1804" s="3" t="s">
        <v>2231</v>
      </c>
    </row>
    <row r="1805" spans="1:15">
      <c r="A1805">
        <v>183</v>
      </c>
      <c r="B1805">
        <v>2104</v>
      </c>
      <c r="C1805" t="s">
        <v>79</v>
      </c>
      <c r="D1805" t="s">
        <v>246</v>
      </c>
      <c r="E1805" s="232" t="s">
        <v>426</v>
      </c>
      <c r="F1805" t="s">
        <v>70</v>
      </c>
      <c r="G1805">
        <v>1</v>
      </c>
      <c r="H1805">
        <v>952.35699999999997</v>
      </c>
      <c r="I1805">
        <v>951.73500000000001</v>
      </c>
      <c r="J1805">
        <v>951.14400000000001</v>
      </c>
      <c r="K1805">
        <v>950.91200000000003</v>
      </c>
      <c r="L1805">
        <v>948.97299999999996</v>
      </c>
      <c r="M1805" s="233" t="s">
        <v>532</v>
      </c>
      <c r="N1805" s="233" t="s">
        <v>532</v>
      </c>
      <c r="O1805" s="3" t="s">
        <v>2232</v>
      </c>
    </row>
    <row r="1806" spans="1:15">
      <c r="A1806">
        <v>225</v>
      </c>
      <c r="B1806">
        <v>2124</v>
      </c>
      <c r="C1806" t="s">
        <v>79</v>
      </c>
      <c r="D1806" t="s">
        <v>216</v>
      </c>
      <c r="E1806" s="232" t="s">
        <v>240</v>
      </c>
      <c r="F1806" t="s">
        <v>70</v>
      </c>
      <c r="G1806">
        <v>1</v>
      </c>
      <c r="H1806">
        <v>203.745</v>
      </c>
      <c r="I1806">
        <v>203.595</v>
      </c>
      <c r="J1806">
        <v>203.24799999999999</v>
      </c>
      <c r="K1806">
        <v>202.53299999999999</v>
      </c>
      <c r="L1806">
        <v>202.34299999999999</v>
      </c>
      <c r="M1806" s="233" t="s">
        <v>530</v>
      </c>
      <c r="N1806" s="233" t="s">
        <v>530</v>
      </c>
      <c r="O1806" s="3" t="s">
        <v>2233</v>
      </c>
    </row>
    <row r="1807" spans="1:15">
      <c r="A1807">
        <v>225</v>
      </c>
      <c r="B1807">
        <v>2125</v>
      </c>
      <c r="C1807" t="s">
        <v>79</v>
      </c>
      <c r="D1807" t="s">
        <v>216</v>
      </c>
      <c r="E1807" s="232" t="s">
        <v>427</v>
      </c>
      <c r="F1807" t="s">
        <v>70</v>
      </c>
      <c r="G1807">
        <v>1</v>
      </c>
      <c r="H1807">
        <v>196.52799999999999</v>
      </c>
      <c r="I1807">
        <v>196.405</v>
      </c>
      <c r="J1807">
        <v>196.405</v>
      </c>
      <c r="K1807">
        <v>195.44300000000001</v>
      </c>
      <c r="L1807">
        <v>193.215</v>
      </c>
      <c r="M1807" s="233" t="s">
        <v>530</v>
      </c>
      <c r="N1807" s="233" t="s">
        <v>530</v>
      </c>
      <c r="O1807" s="3" t="s">
        <v>2234</v>
      </c>
    </row>
    <row r="1808" spans="1:15">
      <c r="A1808">
        <v>170</v>
      </c>
      <c r="B1808">
        <v>2115</v>
      </c>
      <c r="C1808" t="s">
        <v>79</v>
      </c>
      <c r="D1808" t="s">
        <v>496</v>
      </c>
      <c r="E1808" s="232" t="s">
        <v>240</v>
      </c>
      <c r="F1808" t="s">
        <v>70</v>
      </c>
      <c r="G1808">
        <v>1</v>
      </c>
      <c r="H1808">
        <v>720.80200000000002</v>
      </c>
      <c r="I1808">
        <v>719.73500000000001</v>
      </c>
      <c r="J1808">
        <v>717.96500000000003</v>
      </c>
      <c r="K1808">
        <v>716.03800000000001</v>
      </c>
      <c r="L1808">
        <v>714.85199999999998</v>
      </c>
      <c r="M1808" s="233" t="s">
        <v>530</v>
      </c>
      <c r="N1808" s="233" t="s">
        <v>531</v>
      </c>
      <c r="O1808" s="3" t="s">
        <v>2235</v>
      </c>
    </row>
    <row r="1809" spans="1:15">
      <c r="A1809">
        <v>5</v>
      </c>
      <c r="B1809">
        <v>2116</v>
      </c>
      <c r="C1809" t="s">
        <v>79</v>
      </c>
      <c r="D1809" t="s">
        <v>496</v>
      </c>
      <c r="E1809" s="232" t="s">
        <v>427</v>
      </c>
      <c r="F1809" t="s">
        <v>70</v>
      </c>
      <c r="G1809">
        <v>1</v>
      </c>
      <c r="H1809">
        <v>674.05799999999999</v>
      </c>
      <c r="I1809">
        <v>673.76499999999999</v>
      </c>
      <c r="J1809">
        <v>673.11800000000005</v>
      </c>
      <c r="K1809">
        <v>667.81200000000001</v>
      </c>
      <c r="L1809">
        <v>661.49400000000003</v>
      </c>
      <c r="M1809" s="233" t="s">
        <v>530</v>
      </c>
      <c r="N1809" s="233" t="s">
        <v>531</v>
      </c>
      <c r="O1809" s="3" t="s">
        <v>2236</v>
      </c>
    </row>
    <row r="1810" spans="1:15">
      <c r="A1810">
        <v>177</v>
      </c>
      <c r="B1810">
        <v>2117</v>
      </c>
      <c r="C1810" t="s">
        <v>79</v>
      </c>
      <c r="D1810" t="s">
        <v>247</v>
      </c>
      <c r="E1810" s="232" t="s">
        <v>240</v>
      </c>
      <c r="F1810" t="s">
        <v>70</v>
      </c>
      <c r="G1810">
        <v>1</v>
      </c>
      <c r="H1810">
        <v>986.81</v>
      </c>
      <c r="I1810">
        <v>983.43</v>
      </c>
      <c r="J1810">
        <v>980.47</v>
      </c>
      <c r="K1810">
        <v>979.07</v>
      </c>
      <c r="L1810">
        <v>976.07</v>
      </c>
      <c r="M1810" s="233" t="s">
        <v>454</v>
      </c>
      <c r="N1810" s="233" t="s">
        <v>454</v>
      </c>
      <c r="O1810" s="3" t="s">
        <v>2237</v>
      </c>
    </row>
    <row r="1811" spans="1:15">
      <c r="A1811">
        <v>210</v>
      </c>
      <c r="B1811">
        <v>2132</v>
      </c>
      <c r="C1811" t="s">
        <v>79</v>
      </c>
      <c r="D1811" t="s">
        <v>211</v>
      </c>
      <c r="E1811" s="232" t="s">
        <v>240</v>
      </c>
      <c r="F1811" t="s">
        <v>70</v>
      </c>
      <c r="G1811">
        <v>1</v>
      </c>
      <c r="H1811">
        <v>373.06099999999998</v>
      </c>
      <c r="I1811">
        <v>371.97800000000001</v>
      </c>
      <c r="J1811">
        <v>370.52499999999998</v>
      </c>
      <c r="K1811">
        <v>369.572</v>
      </c>
      <c r="L1811">
        <v>368.65300000000002</v>
      </c>
      <c r="M1811" s="233" t="s">
        <v>530</v>
      </c>
      <c r="N1811" s="233" t="s">
        <v>531</v>
      </c>
      <c r="O1811" s="3" t="s">
        <v>2238</v>
      </c>
    </row>
    <row r="1812" spans="1:15">
      <c r="A1812">
        <v>210</v>
      </c>
      <c r="B1812">
        <v>2133</v>
      </c>
      <c r="C1812" t="s">
        <v>79</v>
      </c>
      <c r="D1812" t="s">
        <v>211</v>
      </c>
      <c r="E1812" s="232" t="s">
        <v>427</v>
      </c>
      <c r="F1812" t="s">
        <v>70</v>
      </c>
      <c r="G1812">
        <v>1</v>
      </c>
      <c r="H1812">
        <v>365.48899999999998</v>
      </c>
      <c r="I1812">
        <v>364.84800000000001</v>
      </c>
      <c r="J1812">
        <v>363.48500000000001</v>
      </c>
      <c r="K1812">
        <v>357.83100000000002</v>
      </c>
      <c r="L1812">
        <v>354.20299999999997</v>
      </c>
      <c r="M1812" s="233" t="s">
        <v>530</v>
      </c>
      <c r="N1812" s="233" t="s">
        <v>531</v>
      </c>
      <c r="O1812" s="3" t="s">
        <v>2239</v>
      </c>
    </row>
    <row r="1813" spans="1:15">
      <c r="A1813">
        <v>210</v>
      </c>
      <c r="B1813">
        <v>2134</v>
      </c>
      <c r="C1813" t="s">
        <v>79</v>
      </c>
      <c r="D1813" t="s">
        <v>211</v>
      </c>
      <c r="E1813" s="232" t="s">
        <v>16720</v>
      </c>
      <c r="F1813" t="s">
        <v>70</v>
      </c>
      <c r="G1813">
        <v>1</v>
      </c>
      <c r="H1813">
        <v>340.98200000000003</v>
      </c>
      <c r="I1813">
        <v>339.80200000000002</v>
      </c>
      <c r="J1813">
        <v>337.44600000000003</v>
      </c>
      <c r="K1813">
        <v>328.33199999999999</v>
      </c>
      <c r="L1813">
        <v>321.286</v>
      </c>
      <c r="M1813" s="233" t="s">
        <v>530</v>
      </c>
      <c r="N1813" s="233" t="s">
        <v>531</v>
      </c>
      <c r="O1813" s="3" t="s">
        <v>2240</v>
      </c>
    </row>
    <row r="1814" spans="1:15">
      <c r="A1814">
        <v>171</v>
      </c>
      <c r="B1814">
        <v>2136</v>
      </c>
      <c r="C1814" t="s">
        <v>79</v>
      </c>
      <c r="D1814" t="s">
        <v>223</v>
      </c>
      <c r="E1814" s="232" t="s">
        <v>240</v>
      </c>
      <c r="F1814" t="s">
        <v>70</v>
      </c>
      <c r="G1814">
        <v>1</v>
      </c>
      <c r="H1814">
        <v>790.35199999999998</v>
      </c>
      <c r="I1814">
        <v>789.28800000000001</v>
      </c>
      <c r="J1814">
        <v>789.35199999999998</v>
      </c>
      <c r="K1814">
        <v>788.39200000000005</v>
      </c>
      <c r="L1814">
        <v>786.93600000000004</v>
      </c>
      <c r="M1814" s="233" t="s">
        <v>454</v>
      </c>
      <c r="N1814" s="233" t="s">
        <v>454</v>
      </c>
      <c r="O1814" s="3" t="s">
        <v>2241</v>
      </c>
    </row>
    <row r="1815" spans="1:15">
      <c r="A1815">
        <v>171</v>
      </c>
      <c r="B1815">
        <v>2137</v>
      </c>
      <c r="C1815" t="s">
        <v>79</v>
      </c>
      <c r="D1815" t="s">
        <v>223</v>
      </c>
      <c r="E1815" s="232" t="s">
        <v>427</v>
      </c>
      <c r="F1815" t="s">
        <v>70</v>
      </c>
      <c r="G1815">
        <v>1</v>
      </c>
      <c r="H1815">
        <v>789.67200000000003</v>
      </c>
      <c r="I1815">
        <v>789.072</v>
      </c>
      <c r="J1815">
        <v>787.57600000000002</v>
      </c>
      <c r="K1815">
        <v>785.976</v>
      </c>
      <c r="L1815">
        <v>782.10400000000004</v>
      </c>
      <c r="M1815" s="233" t="s">
        <v>454</v>
      </c>
      <c r="N1815" s="233" t="s">
        <v>454</v>
      </c>
      <c r="O1815" s="3" t="s">
        <v>2242</v>
      </c>
    </row>
    <row r="1816" spans="1:15">
      <c r="A1816">
        <v>229</v>
      </c>
      <c r="B1816">
        <v>2126</v>
      </c>
      <c r="C1816" t="s">
        <v>79</v>
      </c>
      <c r="D1816" t="s">
        <v>214</v>
      </c>
      <c r="E1816" s="232" t="s">
        <v>240</v>
      </c>
      <c r="F1816" t="s">
        <v>70</v>
      </c>
      <c r="G1816">
        <v>1</v>
      </c>
      <c r="H1816">
        <v>990.923</v>
      </c>
      <c r="I1816">
        <v>990.601</v>
      </c>
      <c r="J1816">
        <v>990.48</v>
      </c>
      <c r="K1816">
        <v>990.13099999999997</v>
      </c>
      <c r="L1816">
        <v>989.26199999999994</v>
      </c>
      <c r="M1816" s="233" t="s">
        <v>532</v>
      </c>
      <c r="N1816" s="233" t="s">
        <v>532</v>
      </c>
      <c r="O1816" s="3" t="s">
        <v>2243</v>
      </c>
    </row>
    <row r="1817" spans="1:15">
      <c r="A1817">
        <v>229</v>
      </c>
      <c r="B1817">
        <v>2127</v>
      </c>
      <c r="C1817" t="s">
        <v>79</v>
      </c>
      <c r="D1817" t="s">
        <v>214</v>
      </c>
      <c r="E1817" s="232" t="s">
        <v>427</v>
      </c>
      <c r="F1817" t="s">
        <v>70</v>
      </c>
      <c r="G1817">
        <v>1</v>
      </c>
      <c r="H1817">
        <v>990.33900000000006</v>
      </c>
      <c r="I1817">
        <v>990.13099999999997</v>
      </c>
      <c r="J1817">
        <v>989.44299999999998</v>
      </c>
      <c r="K1817">
        <v>988.577</v>
      </c>
      <c r="L1817">
        <v>986.97699999999998</v>
      </c>
      <c r="M1817" s="233" t="s">
        <v>532</v>
      </c>
      <c r="N1817" s="233" t="s">
        <v>532</v>
      </c>
      <c r="O1817" s="3" t="s">
        <v>2244</v>
      </c>
    </row>
    <row r="1818" spans="1:15">
      <c r="A1818">
        <v>142</v>
      </c>
      <c r="B1818">
        <v>2128</v>
      </c>
      <c r="C1818" t="s">
        <v>79</v>
      </c>
      <c r="D1818" t="s">
        <v>7872</v>
      </c>
      <c r="E1818" s="232" t="s">
        <v>7873</v>
      </c>
      <c r="F1818" t="s">
        <v>70</v>
      </c>
      <c r="G1818">
        <v>1</v>
      </c>
      <c r="H1818">
        <v>954.03899999999999</v>
      </c>
      <c r="I1818">
        <v>953.76900000000001</v>
      </c>
      <c r="J1818">
        <v>951.86199999999997</v>
      </c>
      <c r="K1818">
        <v>950.06100000000004</v>
      </c>
      <c r="L1818">
        <v>944.09799999999996</v>
      </c>
      <c r="M1818" s="233" t="s">
        <v>532</v>
      </c>
      <c r="N1818" s="233" t="s">
        <v>532</v>
      </c>
      <c r="O1818" s="3" t="s">
        <v>2245</v>
      </c>
    </row>
    <row r="1819" spans="1:15">
      <c r="A1819">
        <v>142</v>
      </c>
      <c r="B1819">
        <v>2129</v>
      </c>
      <c r="C1819" t="s">
        <v>79</v>
      </c>
      <c r="D1819" t="s">
        <v>7872</v>
      </c>
      <c r="E1819" s="232" t="s">
        <v>427</v>
      </c>
      <c r="F1819" t="s">
        <v>70</v>
      </c>
      <c r="G1819">
        <v>1</v>
      </c>
      <c r="H1819">
        <v>927.423</v>
      </c>
      <c r="I1819">
        <v>926.85699999999997</v>
      </c>
      <c r="J1819">
        <v>926.08100000000002</v>
      </c>
      <c r="K1819">
        <v>923.49599999999998</v>
      </c>
      <c r="L1819">
        <v>918.16899999999998</v>
      </c>
      <c r="M1819" s="233" t="s">
        <v>532</v>
      </c>
      <c r="N1819" s="233" t="s">
        <v>532</v>
      </c>
      <c r="O1819" s="3" t="s">
        <v>2246</v>
      </c>
    </row>
    <row r="1820" spans="1:15">
      <c r="A1820">
        <v>175</v>
      </c>
      <c r="B1820">
        <v>2135</v>
      </c>
      <c r="C1820" t="s">
        <v>79</v>
      </c>
      <c r="D1820" t="s">
        <v>202</v>
      </c>
      <c r="E1820" s="232" t="s">
        <v>240</v>
      </c>
      <c r="F1820" t="s">
        <v>70</v>
      </c>
      <c r="G1820">
        <v>1</v>
      </c>
      <c r="H1820">
        <v>565.19000000000005</v>
      </c>
      <c r="I1820">
        <v>563.96</v>
      </c>
      <c r="J1820">
        <v>562.98</v>
      </c>
      <c r="K1820">
        <v>562.51</v>
      </c>
      <c r="L1820">
        <v>560.55100000000004</v>
      </c>
      <c r="M1820" s="233" t="s">
        <v>530</v>
      </c>
      <c r="N1820" s="233" t="s">
        <v>530</v>
      </c>
      <c r="O1820" s="3" t="s">
        <v>2247</v>
      </c>
    </row>
    <row r="1821" spans="1:15">
      <c r="A1821">
        <v>181</v>
      </c>
      <c r="B1821">
        <v>2146</v>
      </c>
      <c r="C1821" t="s">
        <v>79</v>
      </c>
      <c r="D1821" t="s">
        <v>245</v>
      </c>
      <c r="E1821" s="232" t="s">
        <v>240</v>
      </c>
      <c r="F1821" t="s">
        <v>70</v>
      </c>
      <c r="G1821">
        <v>1</v>
      </c>
      <c r="H1821">
        <v>797.04399999999998</v>
      </c>
      <c r="I1821">
        <v>796.83199999999999</v>
      </c>
      <c r="J1821">
        <v>796.51199999999994</v>
      </c>
      <c r="K1821">
        <v>796.03200000000004</v>
      </c>
      <c r="L1821">
        <v>795.65200000000004</v>
      </c>
      <c r="M1821" s="233" t="s">
        <v>454</v>
      </c>
      <c r="N1821" s="233" t="s">
        <v>454</v>
      </c>
      <c r="O1821" s="3" t="s">
        <v>2248</v>
      </c>
    </row>
    <row r="1822" spans="1:15">
      <c r="A1822">
        <v>181</v>
      </c>
      <c r="B1822">
        <v>2147</v>
      </c>
      <c r="C1822" t="s">
        <v>79</v>
      </c>
      <c r="D1822" t="s">
        <v>245</v>
      </c>
      <c r="E1822" s="232" t="s">
        <v>427</v>
      </c>
      <c r="F1822" t="s">
        <v>70</v>
      </c>
      <c r="G1822">
        <v>1</v>
      </c>
      <c r="H1822">
        <v>795.05600000000004</v>
      </c>
      <c r="I1822">
        <v>794.77599999999995</v>
      </c>
      <c r="J1822">
        <v>794.29600000000005</v>
      </c>
      <c r="K1822">
        <v>790.72</v>
      </c>
      <c r="L1822">
        <v>788.62800000000004</v>
      </c>
      <c r="M1822" s="233" t="s">
        <v>454</v>
      </c>
      <c r="N1822" s="233" t="s">
        <v>454</v>
      </c>
      <c r="O1822" s="3" t="s">
        <v>2249</v>
      </c>
    </row>
    <row r="1823" spans="1:15">
      <c r="A1823">
        <v>217</v>
      </c>
      <c r="B1823">
        <v>2144</v>
      </c>
      <c r="C1823" t="s">
        <v>79</v>
      </c>
      <c r="D1823" t="s">
        <v>213</v>
      </c>
      <c r="E1823" s="232" t="s">
        <v>240</v>
      </c>
      <c r="F1823" t="s">
        <v>70</v>
      </c>
      <c r="G1823">
        <v>1</v>
      </c>
      <c r="H1823">
        <v>984.77</v>
      </c>
      <c r="I1823">
        <v>983.38</v>
      </c>
      <c r="J1823">
        <v>982.05</v>
      </c>
      <c r="K1823">
        <v>980.71</v>
      </c>
      <c r="L1823">
        <v>977.2</v>
      </c>
      <c r="M1823" s="233" t="s">
        <v>454</v>
      </c>
      <c r="N1823" s="233" t="s">
        <v>454</v>
      </c>
      <c r="O1823" s="3" t="s">
        <v>2250</v>
      </c>
    </row>
    <row r="1824" spans="1:15">
      <c r="A1824">
        <v>217</v>
      </c>
      <c r="B1824">
        <v>2145</v>
      </c>
      <c r="C1824" t="s">
        <v>79</v>
      </c>
      <c r="D1824" t="s">
        <v>213</v>
      </c>
      <c r="E1824" s="232" t="s">
        <v>427</v>
      </c>
      <c r="F1824" t="s">
        <v>70</v>
      </c>
      <c r="G1824">
        <v>1</v>
      </c>
      <c r="H1824">
        <v>974.33</v>
      </c>
      <c r="I1824">
        <v>972.21</v>
      </c>
      <c r="J1824">
        <v>969.48</v>
      </c>
      <c r="K1824">
        <v>959.07</v>
      </c>
      <c r="L1824">
        <v>947.36</v>
      </c>
      <c r="M1824" s="233" t="s">
        <v>454</v>
      </c>
      <c r="N1824" s="233" t="s">
        <v>454</v>
      </c>
      <c r="O1824" s="3" t="s">
        <v>2251</v>
      </c>
    </row>
    <row r="1825" spans="1:15">
      <c r="A1825">
        <v>2</v>
      </c>
      <c r="B1825">
        <v>2150</v>
      </c>
      <c r="C1825" t="s">
        <v>79</v>
      </c>
      <c r="D1825" t="s">
        <v>196</v>
      </c>
      <c r="E1825" s="232" t="s">
        <v>428</v>
      </c>
      <c r="F1825" t="s">
        <v>70</v>
      </c>
      <c r="G1825">
        <v>1</v>
      </c>
      <c r="H1825">
        <v>416.05200000000002</v>
      </c>
      <c r="I1825">
        <v>415.58</v>
      </c>
      <c r="J1825">
        <v>414.68799999999999</v>
      </c>
      <c r="K1825">
        <v>413.976</v>
      </c>
      <c r="L1825">
        <v>413.43200000000002</v>
      </c>
      <c r="M1825" s="233" t="s">
        <v>530</v>
      </c>
      <c r="N1825" s="233" t="s">
        <v>530</v>
      </c>
      <c r="O1825" s="3" t="s">
        <v>2252</v>
      </c>
    </row>
    <row r="1826" spans="1:15">
      <c r="A1826">
        <v>33</v>
      </c>
      <c r="B1826">
        <v>2152</v>
      </c>
      <c r="C1826" t="s">
        <v>79</v>
      </c>
      <c r="D1826" t="s">
        <v>82</v>
      </c>
      <c r="E1826" s="232" t="s">
        <v>253</v>
      </c>
      <c r="F1826" t="s">
        <v>70</v>
      </c>
      <c r="G1826">
        <v>1</v>
      </c>
      <c r="H1826">
        <v>415.96199999999999</v>
      </c>
      <c r="I1826">
        <v>414.87400000000002</v>
      </c>
      <c r="J1826">
        <v>413.24599999999998</v>
      </c>
      <c r="K1826">
        <v>411.45800000000003</v>
      </c>
      <c r="L1826">
        <v>409.858</v>
      </c>
      <c r="M1826" s="233" t="s">
        <v>530</v>
      </c>
      <c r="N1826" s="233" t="s">
        <v>531</v>
      </c>
      <c r="O1826" s="3" t="s">
        <v>2253</v>
      </c>
    </row>
    <row r="1827" spans="1:15">
      <c r="A1827">
        <v>290</v>
      </c>
      <c r="B1827">
        <v>2154</v>
      </c>
      <c r="C1827" t="s">
        <v>79</v>
      </c>
      <c r="D1827" t="s">
        <v>209</v>
      </c>
      <c r="E1827" s="232" t="s">
        <v>253</v>
      </c>
      <c r="F1827" t="s">
        <v>70</v>
      </c>
      <c r="G1827">
        <v>1</v>
      </c>
      <c r="H1827">
        <v>607.75199999999995</v>
      </c>
      <c r="I1827">
        <v>606.50400000000002</v>
      </c>
      <c r="J1827">
        <v>605.70000000000005</v>
      </c>
      <c r="K1827">
        <v>604.69200000000001</v>
      </c>
      <c r="L1827">
        <v>603.56399999999996</v>
      </c>
      <c r="M1827" s="233" t="s">
        <v>530</v>
      </c>
      <c r="N1827" s="233" t="s">
        <v>530</v>
      </c>
      <c r="O1827" s="3" t="s">
        <v>2254</v>
      </c>
    </row>
    <row r="1828" spans="1:15">
      <c r="A1828">
        <v>195</v>
      </c>
      <c r="B1828">
        <v>2153</v>
      </c>
      <c r="C1828" t="s">
        <v>79</v>
      </c>
      <c r="D1828" t="s">
        <v>215</v>
      </c>
      <c r="E1828" s="232" t="s">
        <v>253</v>
      </c>
      <c r="F1828" t="s">
        <v>70</v>
      </c>
      <c r="G1828">
        <v>1</v>
      </c>
      <c r="H1828">
        <v>730.47900000000004</v>
      </c>
      <c r="I1828">
        <v>729.64499999999998</v>
      </c>
      <c r="J1828">
        <v>728.30700000000002</v>
      </c>
      <c r="K1828">
        <v>726.71500000000003</v>
      </c>
      <c r="L1828">
        <v>723.80600000000004</v>
      </c>
      <c r="M1828" s="233" t="s">
        <v>530</v>
      </c>
      <c r="N1828" s="233" t="s">
        <v>531</v>
      </c>
      <c r="O1828" s="3" t="s">
        <v>2255</v>
      </c>
    </row>
    <row r="1829" spans="1:15">
      <c r="A1829">
        <v>175</v>
      </c>
      <c r="B1829">
        <v>2164</v>
      </c>
      <c r="C1829" t="s">
        <v>79</v>
      </c>
      <c r="D1829" t="s">
        <v>202</v>
      </c>
      <c r="E1829" s="232" t="s">
        <v>430</v>
      </c>
      <c r="F1829" t="s">
        <v>70</v>
      </c>
      <c r="G1829">
        <v>1</v>
      </c>
      <c r="H1829">
        <v>562.26</v>
      </c>
      <c r="I1829">
        <v>561.41999999999996</v>
      </c>
      <c r="J1829">
        <v>560.55100000000004</v>
      </c>
      <c r="K1829">
        <v>559.33000000000004</v>
      </c>
      <c r="L1829">
        <v>556.03</v>
      </c>
      <c r="M1829" s="233" t="s">
        <v>530</v>
      </c>
      <c r="N1829" s="233" t="s">
        <v>530</v>
      </c>
      <c r="O1829" s="3" t="s">
        <v>2256</v>
      </c>
    </row>
    <row r="1830" spans="1:15">
      <c r="A1830">
        <v>176</v>
      </c>
      <c r="B1830">
        <v>2165</v>
      </c>
      <c r="C1830" t="s">
        <v>79</v>
      </c>
      <c r="D1830" t="s">
        <v>202</v>
      </c>
      <c r="E1830" s="232" t="s">
        <v>431</v>
      </c>
      <c r="F1830" t="s">
        <v>78</v>
      </c>
      <c r="G1830">
        <v>1</v>
      </c>
      <c r="H1830">
        <v>571.15</v>
      </c>
      <c r="I1830">
        <v>567.92999999999995</v>
      </c>
      <c r="J1830">
        <v>567.13</v>
      </c>
      <c r="K1830">
        <v>565.39</v>
      </c>
      <c r="L1830">
        <v>563.41</v>
      </c>
      <c r="M1830" s="233" t="s">
        <v>530</v>
      </c>
      <c r="N1830" s="233" t="s">
        <v>530</v>
      </c>
      <c r="O1830" s="3" t="s">
        <v>2257</v>
      </c>
    </row>
    <row r="1831" spans="1:15">
      <c r="A1831">
        <v>148</v>
      </c>
      <c r="B1831">
        <v>2155</v>
      </c>
      <c r="C1831" t="s">
        <v>79</v>
      </c>
      <c r="D1831" t="s">
        <v>251</v>
      </c>
      <c r="E1831" s="232" t="s">
        <v>253</v>
      </c>
      <c r="F1831" t="s">
        <v>70</v>
      </c>
      <c r="G1831">
        <v>1</v>
      </c>
      <c r="H1831">
        <v>957.08799999999997</v>
      </c>
      <c r="I1831">
        <v>949.11099999999999</v>
      </c>
      <c r="J1831">
        <v>946.59900000000005</v>
      </c>
      <c r="K1831">
        <v>944.18899999999996</v>
      </c>
      <c r="L1831">
        <v>941.00099999999998</v>
      </c>
      <c r="M1831" s="233" t="s">
        <v>532</v>
      </c>
      <c r="N1831" s="233" t="s">
        <v>454</v>
      </c>
      <c r="O1831" s="3" t="s">
        <v>2258</v>
      </c>
    </row>
    <row r="1832" spans="1:15">
      <c r="A1832">
        <v>2</v>
      </c>
      <c r="B1832">
        <v>2166</v>
      </c>
      <c r="C1832" t="s">
        <v>79</v>
      </c>
      <c r="D1832" t="s">
        <v>196</v>
      </c>
      <c r="E1832" s="232" t="s">
        <v>7831</v>
      </c>
      <c r="F1832" t="s">
        <v>70</v>
      </c>
      <c r="G1832">
        <v>1</v>
      </c>
      <c r="H1832">
        <v>413.43200000000002</v>
      </c>
      <c r="I1832">
        <v>411.21199999999999</v>
      </c>
      <c r="J1832">
        <v>410.69400000000002</v>
      </c>
      <c r="K1832">
        <v>407.952</v>
      </c>
      <c r="L1832">
        <v>405.43599999999998</v>
      </c>
      <c r="M1832" s="233" t="s">
        <v>530</v>
      </c>
      <c r="N1832" s="233" t="s">
        <v>530</v>
      </c>
      <c r="O1832" s="3" t="s">
        <v>2259</v>
      </c>
    </row>
    <row r="1833" spans="1:15">
      <c r="A1833">
        <v>33</v>
      </c>
      <c r="B1833">
        <v>2170</v>
      </c>
      <c r="C1833" t="s">
        <v>79</v>
      </c>
      <c r="D1833" t="s">
        <v>82</v>
      </c>
      <c r="E1833" s="232" t="s">
        <v>198</v>
      </c>
      <c r="F1833" t="s">
        <v>70</v>
      </c>
      <c r="G1833">
        <v>1</v>
      </c>
      <c r="H1833">
        <v>411.45800000000003</v>
      </c>
      <c r="I1833">
        <v>409.94600000000003</v>
      </c>
      <c r="J1833">
        <v>409.79</v>
      </c>
      <c r="K1833">
        <v>408.94900000000001</v>
      </c>
      <c r="L1833">
        <v>407.75700000000001</v>
      </c>
      <c r="M1833" s="233" t="s">
        <v>530</v>
      </c>
      <c r="N1833" s="233" t="s">
        <v>531</v>
      </c>
      <c r="O1833" s="3" t="s">
        <v>2260</v>
      </c>
    </row>
    <row r="1834" spans="1:15">
      <c r="A1834">
        <v>53</v>
      </c>
      <c r="B1834">
        <v>2171</v>
      </c>
      <c r="C1834" t="s">
        <v>79</v>
      </c>
      <c r="D1834" t="s">
        <v>233</v>
      </c>
      <c r="E1834" s="232" t="s">
        <v>198</v>
      </c>
      <c r="F1834" t="s">
        <v>70</v>
      </c>
      <c r="G1834">
        <v>1</v>
      </c>
      <c r="H1834">
        <v>731.13800000000003</v>
      </c>
      <c r="I1834">
        <v>729.97199999999998</v>
      </c>
      <c r="J1834">
        <v>729.46699999999998</v>
      </c>
      <c r="K1834">
        <v>728.30499999999995</v>
      </c>
      <c r="L1834">
        <v>725.64400000000001</v>
      </c>
      <c r="M1834" s="233" t="s">
        <v>530</v>
      </c>
      <c r="N1834" s="233" t="s">
        <v>531</v>
      </c>
      <c r="O1834" s="3" t="s">
        <v>2261</v>
      </c>
    </row>
    <row r="1835" spans="1:15">
      <c r="A1835">
        <v>111</v>
      </c>
      <c r="B1835">
        <v>2176</v>
      </c>
      <c r="C1835" t="s">
        <v>79</v>
      </c>
      <c r="D1835" t="s">
        <v>221</v>
      </c>
      <c r="E1835" s="232" t="s">
        <v>198</v>
      </c>
      <c r="F1835" t="s">
        <v>70</v>
      </c>
      <c r="G1835">
        <v>1</v>
      </c>
      <c r="H1835">
        <v>965.93600000000004</v>
      </c>
      <c r="I1835">
        <v>965.04200000000003</v>
      </c>
      <c r="J1835">
        <v>963.59699999999998</v>
      </c>
      <c r="K1835">
        <v>962.43499999999995</v>
      </c>
      <c r="L1835">
        <v>960.97199999999998</v>
      </c>
      <c r="M1835" s="233" t="s">
        <v>532</v>
      </c>
      <c r="N1835" s="233" t="s">
        <v>533</v>
      </c>
      <c r="O1835" s="3" t="s">
        <v>2262</v>
      </c>
    </row>
    <row r="1836" spans="1:15">
      <c r="A1836">
        <v>184</v>
      </c>
      <c r="B1836">
        <v>2189</v>
      </c>
      <c r="C1836" t="s">
        <v>79</v>
      </c>
      <c r="D1836" t="s">
        <v>212</v>
      </c>
      <c r="E1836" s="232" t="s">
        <v>7981</v>
      </c>
      <c r="F1836" t="s">
        <v>70</v>
      </c>
      <c r="G1836">
        <v>1</v>
      </c>
      <c r="H1836">
        <v>947.72199999999998</v>
      </c>
      <c r="I1836">
        <v>947.37900000000002</v>
      </c>
      <c r="J1836">
        <v>945.76</v>
      </c>
      <c r="K1836">
        <v>944.43100000000004</v>
      </c>
      <c r="L1836">
        <v>942.93799999999999</v>
      </c>
      <c r="M1836" s="233" t="s">
        <v>532</v>
      </c>
      <c r="N1836" s="233" t="s">
        <v>532</v>
      </c>
      <c r="O1836" s="3" t="s">
        <v>2263</v>
      </c>
    </row>
    <row r="1837" spans="1:15">
      <c r="A1837">
        <v>184</v>
      </c>
      <c r="B1837">
        <v>2190</v>
      </c>
      <c r="C1837" t="s">
        <v>79</v>
      </c>
      <c r="D1837" t="s">
        <v>212</v>
      </c>
      <c r="E1837" s="232" t="s">
        <v>8205</v>
      </c>
      <c r="F1837" t="s">
        <v>70</v>
      </c>
      <c r="G1837">
        <v>1</v>
      </c>
      <c r="H1837">
        <v>945.05499999999995</v>
      </c>
      <c r="I1837">
        <v>944.43100000000004</v>
      </c>
      <c r="J1837">
        <v>943.76199999999994</v>
      </c>
      <c r="K1837">
        <v>938.38599999999997</v>
      </c>
      <c r="L1837">
        <v>934.07100000000003</v>
      </c>
      <c r="M1837" s="233" t="s">
        <v>532</v>
      </c>
      <c r="N1837" s="233" t="s">
        <v>532</v>
      </c>
      <c r="O1837" s="3" t="s">
        <v>2264</v>
      </c>
    </row>
    <row r="1838" spans="1:15">
      <c r="A1838">
        <v>88</v>
      </c>
      <c r="B1838">
        <v>2174</v>
      </c>
      <c r="C1838" t="s">
        <v>79</v>
      </c>
      <c r="D1838" t="s">
        <v>224</v>
      </c>
      <c r="E1838" s="232" t="s">
        <v>8229</v>
      </c>
      <c r="F1838" t="s">
        <v>70</v>
      </c>
      <c r="G1838">
        <v>1</v>
      </c>
      <c r="H1838">
        <v>973.34299999999996</v>
      </c>
      <c r="I1838">
        <v>972.03899999999999</v>
      </c>
      <c r="J1838">
        <v>970.04600000000005</v>
      </c>
      <c r="K1838">
        <v>967.90899999999999</v>
      </c>
      <c r="L1838">
        <v>965.62800000000004</v>
      </c>
      <c r="M1838" s="233" t="s">
        <v>532</v>
      </c>
      <c r="N1838" s="233" t="s">
        <v>533</v>
      </c>
      <c r="O1838" s="3" t="s">
        <v>2265</v>
      </c>
    </row>
    <row r="1839" spans="1:15">
      <c r="A1839">
        <v>90</v>
      </c>
      <c r="B1839">
        <v>2175</v>
      </c>
      <c r="C1839" t="s">
        <v>79</v>
      </c>
      <c r="D1839" t="s">
        <v>224</v>
      </c>
      <c r="E1839" s="232" t="s">
        <v>8199</v>
      </c>
      <c r="F1839" t="s">
        <v>71</v>
      </c>
      <c r="G1839">
        <v>1</v>
      </c>
      <c r="H1839">
        <v>972.61800000000005</v>
      </c>
      <c r="I1839">
        <v>970.66300000000001</v>
      </c>
      <c r="J1839">
        <v>968.76</v>
      </c>
      <c r="K1839">
        <v>967.13599999999997</v>
      </c>
      <c r="L1839">
        <v>965.40700000000004</v>
      </c>
      <c r="M1839" s="233" t="s">
        <v>532</v>
      </c>
      <c r="N1839" s="233" t="s">
        <v>533</v>
      </c>
      <c r="O1839" s="3" t="s">
        <v>2266</v>
      </c>
    </row>
    <row r="1840" spans="1:15">
      <c r="A1840">
        <v>63</v>
      </c>
      <c r="B1840">
        <v>2188</v>
      </c>
      <c r="C1840" t="s">
        <v>79</v>
      </c>
      <c r="D1840" t="s">
        <v>254</v>
      </c>
      <c r="E1840" s="232" t="s">
        <v>7981</v>
      </c>
      <c r="F1840" t="s">
        <v>70</v>
      </c>
      <c r="G1840">
        <v>1</v>
      </c>
      <c r="H1840">
        <v>955.89200000000005</v>
      </c>
      <c r="I1840">
        <v>954.88099999999997</v>
      </c>
      <c r="J1840">
        <v>953.19399999999996</v>
      </c>
      <c r="K1840">
        <v>951.11300000000006</v>
      </c>
      <c r="L1840">
        <v>948.21699999999998</v>
      </c>
      <c r="M1840" s="233" t="s">
        <v>532</v>
      </c>
      <c r="N1840" s="233" t="s">
        <v>533</v>
      </c>
      <c r="O1840" s="3" t="s">
        <v>2267</v>
      </c>
    </row>
    <row r="1841" spans="1:15">
      <c r="A1841">
        <v>229</v>
      </c>
      <c r="B1841">
        <v>2184</v>
      </c>
      <c r="C1841" t="s">
        <v>79</v>
      </c>
      <c r="D1841" t="s">
        <v>214</v>
      </c>
      <c r="E1841" s="232" t="s">
        <v>198</v>
      </c>
      <c r="F1841" t="s">
        <v>70</v>
      </c>
      <c r="G1841">
        <v>1</v>
      </c>
      <c r="H1841">
        <v>986.21199999999999</v>
      </c>
      <c r="I1841">
        <v>986.06</v>
      </c>
      <c r="J1841">
        <v>985.904</v>
      </c>
      <c r="K1841">
        <v>985.68</v>
      </c>
      <c r="L1841">
        <v>985.28700000000003</v>
      </c>
      <c r="M1841" s="233" t="s">
        <v>532</v>
      </c>
      <c r="N1841" s="233" t="s">
        <v>532</v>
      </c>
      <c r="O1841" s="3" t="s">
        <v>2268</v>
      </c>
    </row>
    <row r="1842" spans="1:15">
      <c r="A1842">
        <v>229</v>
      </c>
      <c r="B1842">
        <v>2186</v>
      </c>
      <c r="C1842" t="s">
        <v>79</v>
      </c>
      <c r="D1842" t="s">
        <v>214</v>
      </c>
      <c r="E1842" s="232" t="s">
        <v>16721</v>
      </c>
      <c r="F1842" t="s">
        <v>70</v>
      </c>
      <c r="G1842">
        <v>1</v>
      </c>
      <c r="H1842">
        <v>986.21199999999999</v>
      </c>
      <c r="I1842">
        <v>986.06</v>
      </c>
      <c r="J1842">
        <v>985.904</v>
      </c>
      <c r="K1842">
        <v>985.68</v>
      </c>
      <c r="L1842">
        <v>985.28700000000003</v>
      </c>
      <c r="M1842" s="233" t="s">
        <v>532</v>
      </c>
      <c r="N1842" s="233" t="s">
        <v>532</v>
      </c>
      <c r="O1842" s="3" t="s">
        <v>2269</v>
      </c>
    </row>
    <row r="1843" spans="1:15">
      <c r="A1843">
        <v>229</v>
      </c>
      <c r="B1843">
        <v>2183</v>
      </c>
      <c r="C1843" t="s">
        <v>79</v>
      </c>
      <c r="D1843" t="s">
        <v>214</v>
      </c>
      <c r="E1843" s="232" t="s">
        <v>16722</v>
      </c>
      <c r="F1843" t="s">
        <v>70</v>
      </c>
      <c r="G1843">
        <v>1</v>
      </c>
      <c r="H1843">
        <v>985.904</v>
      </c>
      <c r="I1843">
        <v>985.83600000000001</v>
      </c>
      <c r="J1843">
        <v>985.79300000000001</v>
      </c>
      <c r="K1843">
        <v>985.23299999999995</v>
      </c>
      <c r="L1843">
        <v>984.31100000000004</v>
      </c>
      <c r="M1843" s="233" t="s">
        <v>532</v>
      </c>
      <c r="N1843" s="233" t="s">
        <v>532</v>
      </c>
      <c r="O1843" s="3" t="s">
        <v>2270</v>
      </c>
    </row>
    <row r="1844" spans="1:15">
      <c r="A1844">
        <v>229</v>
      </c>
      <c r="B1844">
        <v>2185</v>
      </c>
      <c r="C1844" t="s">
        <v>79</v>
      </c>
      <c r="D1844" t="s">
        <v>214</v>
      </c>
      <c r="E1844" s="232" t="s">
        <v>432</v>
      </c>
      <c r="F1844" t="s">
        <v>70</v>
      </c>
      <c r="G1844">
        <v>1</v>
      </c>
      <c r="H1844">
        <v>985.904</v>
      </c>
      <c r="I1844">
        <v>985.83600000000001</v>
      </c>
      <c r="J1844">
        <v>985.59299999999996</v>
      </c>
      <c r="K1844">
        <v>985.09500000000003</v>
      </c>
      <c r="L1844">
        <v>984.60599999999999</v>
      </c>
      <c r="M1844" s="233" t="s">
        <v>532</v>
      </c>
      <c r="N1844" s="233" t="s">
        <v>532</v>
      </c>
      <c r="O1844" s="3" t="s">
        <v>2271</v>
      </c>
    </row>
    <row r="1845" spans="1:15">
      <c r="A1845">
        <v>171</v>
      </c>
      <c r="B1845">
        <v>2196</v>
      </c>
      <c r="C1845" t="s">
        <v>79</v>
      </c>
      <c r="D1845" t="s">
        <v>223</v>
      </c>
      <c r="E1845" s="232" t="s">
        <v>432</v>
      </c>
      <c r="F1845" t="s">
        <v>70</v>
      </c>
      <c r="G1845">
        <v>1</v>
      </c>
      <c r="H1845">
        <v>781.86400000000003</v>
      </c>
      <c r="I1845">
        <v>780.34400000000005</v>
      </c>
      <c r="J1845">
        <v>779.68799999999999</v>
      </c>
      <c r="K1845">
        <v>774.92</v>
      </c>
      <c r="L1845">
        <v>769.048</v>
      </c>
      <c r="M1845" s="233" t="s">
        <v>454</v>
      </c>
      <c r="N1845" s="233" t="s">
        <v>454</v>
      </c>
      <c r="O1845" s="3" t="s">
        <v>2272</v>
      </c>
    </row>
    <row r="1846" spans="1:15">
      <c r="A1846">
        <v>171</v>
      </c>
      <c r="B1846">
        <v>2195</v>
      </c>
      <c r="C1846" t="s">
        <v>79</v>
      </c>
      <c r="D1846" t="s">
        <v>223</v>
      </c>
      <c r="E1846" s="232" t="s">
        <v>198</v>
      </c>
      <c r="F1846" t="s">
        <v>70</v>
      </c>
      <c r="G1846">
        <v>1</v>
      </c>
      <c r="H1846">
        <v>782.10400000000004</v>
      </c>
      <c r="I1846">
        <v>780.34400000000005</v>
      </c>
      <c r="J1846">
        <v>779.08799999999997</v>
      </c>
      <c r="K1846">
        <v>777.06399999999996</v>
      </c>
      <c r="L1846">
        <v>775.4</v>
      </c>
      <c r="M1846" s="233" t="s">
        <v>454</v>
      </c>
      <c r="N1846" s="233" t="s">
        <v>454</v>
      </c>
      <c r="O1846" s="3" t="s">
        <v>2273</v>
      </c>
    </row>
    <row r="1847" spans="1:15">
      <c r="A1847">
        <v>210</v>
      </c>
      <c r="B1847">
        <v>2191</v>
      </c>
      <c r="C1847" t="s">
        <v>79</v>
      </c>
      <c r="D1847" t="s">
        <v>211</v>
      </c>
      <c r="E1847" s="232" t="s">
        <v>198</v>
      </c>
      <c r="F1847" t="s">
        <v>70</v>
      </c>
      <c r="G1847">
        <v>1</v>
      </c>
      <c r="H1847">
        <v>366.01900000000001</v>
      </c>
      <c r="I1847">
        <v>365.16300000000001</v>
      </c>
      <c r="J1847">
        <v>364.42700000000002</v>
      </c>
      <c r="K1847">
        <v>363.98</v>
      </c>
      <c r="L1847">
        <v>363.21100000000001</v>
      </c>
      <c r="M1847" s="233" t="s">
        <v>530</v>
      </c>
      <c r="N1847" s="233" t="s">
        <v>531</v>
      </c>
      <c r="O1847" s="3" t="s">
        <v>2274</v>
      </c>
    </row>
    <row r="1848" spans="1:15">
      <c r="A1848">
        <v>175</v>
      </c>
      <c r="B1848">
        <v>2197</v>
      </c>
      <c r="C1848" t="s">
        <v>79</v>
      </c>
      <c r="D1848" t="s">
        <v>202</v>
      </c>
      <c r="E1848" s="232" t="s">
        <v>198</v>
      </c>
      <c r="F1848" t="s">
        <v>70</v>
      </c>
      <c r="G1848">
        <v>1</v>
      </c>
      <c r="H1848">
        <v>558.97</v>
      </c>
      <c r="I1848">
        <v>556.53</v>
      </c>
      <c r="J1848">
        <v>556.03</v>
      </c>
      <c r="K1848">
        <v>555.09</v>
      </c>
      <c r="L1848">
        <v>553.25</v>
      </c>
      <c r="M1848" s="233" t="s">
        <v>530</v>
      </c>
      <c r="N1848" s="233" t="s">
        <v>530</v>
      </c>
      <c r="O1848" s="3" t="s">
        <v>2275</v>
      </c>
    </row>
    <row r="1849" spans="1:15">
      <c r="A1849">
        <v>151</v>
      </c>
      <c r="B1849">
        <v>2206</v>
      </c>
      <c r="C1849" t="s">
        <v>79</v>
      </c>
      <c r="D1849" t="s">
        <v>222</v>
      </c>
      <c r="E1849" s="232" t="s">
        <v>7981</v>
      </c>
      <c r="F1849" t="s">
        <v>70</v>
      </c>
      <c r="G1849">
        <v>1</v>
      </c>
      <c r="H1849">
        <v>514.67100000000005</v>
      </c>
      <c r="I1849">
        <v>511.62700000000001</v>
      </c>
      <c r="J1849">
        <v>509.35300000000001</v>
      </c>
      <c r="K1849">
        <v>507.94200000000001</v>
      </c>
      <c r="L1849">
        <v>504.88499999999999</v>
      </c>
      <c r="M1849" s="233" t="s">
        <v>530</v>
      </c>
      <c r="N1849" s="233" t="s">
        <v>532</v>
      </c>
      <c r="O1849" s="3" t="s">
        <v>2276</v>
      </c>
    </row>
    <row r="1850" spans="1:15">
      <c r="A1850">
        <v>182</v>
      </c>
      <c r="B1850">
        <v>2192</v>
      </c>
      <c r="C1850" t="s">
        <v>79</v>
      </c>
      <c r="D1850" t="s">
        <v>226</v>
      </c>
      <c r="E1850" s="232" t="s">
        <v>198</v>
      </c>
      <c r="F1850" t="s">
        <v>70</v>
      </c>
      <c r="G1850">
        <v>1</v>
      </c>
      <c r="H1850">
        <v>95.025000000000006</v>
      </c>
      <c r="I1850">
        <v>94.814999999999998</v>
      </c>
      <c r="J1850">
        <v>94.697000000000003</v>
      </c>
      <c r="K1850">
        <v>94.590999999999994</v>
      </c>
      <c r="L1850">
        <v>94.382000000000005</v>
      </c>
      <c r="M1850" s="233" t="s">
        <v>532</v>
      </c>
      <c r="N1850" s="233" t="s">
        <v>533</v>
      </c>
      <c r="O1850" s="3" t="s">
        <v>2277</v>
      </c>
    </row>
    <row r="1851" spans="1:15">
      <c r="A1851">
        <v>164</v>
      </c>
      <c r="B1851">
        <v>2194</v>
      </c>
      <c r="C1851" t="s">
        <v>79</v>
      </c>
      <c r="D1851" t="s">
        <v>220</v>
      </c>
      <c r="E1851" s="232" t="s">
        <v>198</v>
      </c>
      <c r="F1851" t="s">
        <v>70</v>
      </c>
      <c r="G1851">
        <v>1</v>
      </c>
      <c r="H1851">
        <v>983.14700000000005</v>
      </c>
      <c r="I1851">
        <v>981.15599999999995</v>
      </c>
      <c r="J1851">
        <v>979.56799999999998</v>
      </c>
      <c r="K1851">
        <v>979.10599999999999</v>
      </c>
      <c r="L1851">
        <v>978.13</v>
      </c>
      <c r="M1851" s="233" t="s">
        <v>454</v>
      </c>
      <c r="N1851" s="233" t="s">
        <v>454</v>
      </c>
      <c r="O1851" s="3" t="s">
        <v>2278</v>
      </c>
    </row>
    <row r="1852" spans="1:15">
      <c r="A1852">
        <v>163</v>
      </c>
      <c r="B1852">
        <v>2212</v>
      </c>
      <c r="C1852" t="s">
        <v>79</v>
      </c>
      <c r="D1852" t="s">
        <v>227</v>
      </c>
      <c r="E1852" s="232" t="s">
        <v>198</v>
      </c>
      <c r="F1852" t="s">
        <v>70</v>
      </c>
      <c r="G1852">
        <v>1</v>
      </c>
      <c r="H1852">
        <v>1020.718</v>
      </c>
      <c r="I1852">
        <v>1019.6849999999999</v>
      </c>
      <c r="J1852">
        <v>1017.407</v>
      </c>
      <c r="K1852">
        <v>1011.758</v>
      </c>
      <c r="L1852">
        <v>1003.419</v>
      </c>
      <c r="M1852" s="233" t="s">
        <v>454</v>
      </c>
      <c r="N1852" s="233" t="s">
        <v>454</v>
      </c>
      <c r="O1852" s="3" t="s">
        <v>2279</v>
      </c>
    </row>
    <row r="1853" spans="1:15">
      <c r="A1853">
        <v>172</v>
      </c>
      <c r="B1853">
        <v>2211</v>
      </c>
      <c r="C1853" t="s">
        <v>79</v>
      </c>
      <c r="D1853" t="s">
        <v>206</v>
      </c>
      <c r="E1853" s="232" t="s">
        <v>198</v>
      </c>
      <c r="F1853" t="s">
        <v>70</v>
      </c>
      <c r="G1853">
        <v>1</v>
      </c>
      <c r="H1853">
        <v>398.68</v>
      </c>
      <c r="I1853">
        <v>397.47</v>
      </c>
      <c r="J1853">
        <v>396.50799999999998</v>
      </c>
      <c r="K1853">
        <v>395.00799999999998</v>
      </c>
      <c r="L1853">
        <v>393.11</v>
      </c>
      <c r="M1853" s="233" t="s">
        <v>454</v>
      </c>
      <c r="N1853" s="233" t="s">
        <v>454</v>
      </c>
      <c r="O1853" s="3" t="s">
        <v>2280</v>
      </c>
    </row>
    <row r="1854" spans="1:15">
      <c r="A1854">
        <v>158</v>
      </c>
      <c r="B1854">
        <v>2200</v>
      </c>
      <c r="C1854" t="s">
        <v>79</v>
      </c>
      <c r="D1854" t="s">
        <v>225</v>
      </c>
      <c r="E1854" s="232" t="s">
        <v>198</v>
      </c>
      <c r="F1854" t="s">
        <v>70</v>
      </c>
      <c r="G1854">
        <v>1</v>
      </c>
      <c r="H1854">
        <v>971.86</v>
      </c>
      <c r="I1854">
        <v>969.44</v>
      </c>
      <c r="J1854">
        <v>967.57</v>
      </c>
      <c r="K1854">
        <v>963.3</v>
      </c>
      <c r="L1854">
        <v>959.37</v>
      </c>
      <c r="M1854" s="233" t="s">
        <v>454</v>
      </c>
      <c r="N1854" s="233" t="s">
        <v>454</v>
      </c>
      <c r="O1854" s="3" t="s">
        <v>2281</v>
      </c>
    </row>
    <row r="1855" spans="1:15">
      <c r="A1855">
        <v>33</v>
      </c>
      <c r="B1855">
        <v>2215</v>
      </c>
      <c r="C1855" t="s">
        <v>79</v>
      </c>
      <c r="D1855" t="s">
        <v>82</v>
      </c>
      <c r="E1855" s="232" t="s">
        <v>433</v>
      </c>
      <c r="F1855" t="s">
        <v>70</v>
      </c>
      <c r="G1855">
        <v>1</v>
      </c>
      <c r="H1855">
        <v>411.97</v>
      </c>
      <c r="I1855">
        <v>411.61099999999999</v>
      </c>
      <c r="J1855">
        <v>411.45800000000003</v>
      </c>
      <c r="K1855">
        <v>409.339</v>
      </c>
      <c r="L1855">
        <v>406.58499999999998</v>
      </c>
      <c r="M1855" s="233" t="s">
        <v>530</v>
      </c>
      <c r="N1855" s="233" t="s">
        <v>531</v>
      </c>
      <c r="O1855" s="3" t="s">
        <v>2282</v>
      </c>
    </row>
    <row r="1856" spans="1:15">
      <c r="A1856">
        <v>35</v>
      </c>
      <c r="B1856">
        <v>2216</v>
      </c>
      <c r="C1856" t="s">
        <v>79</v>
      </c>
      <c r="D1856" t="s">
        <v>82</v>
      </c>
      <c r="E1856" s="232" t="s">
        <v>199</v>
      </c>
      <c r="F1856" t="s">
        <v>71</v>
      </c>
      <c r="G1856">
        <v>1</v>
      </c>
      <c r="H1856">
        <v>408.67099999999999</v>
      </c>
      <c r="I1856">
        <v>407.47199999999998</v>
      </c>
      <c r="J1856">
        <v>406.07900000000001</v>
      </c>
      <c r="K1856">
        <v>405.70699999999999</v>
      </c>
      <c r="L1856">
        <v>404.99700000000001</v>
      </c>
      <c r="M1856" s="233" t="s">
        <v>530</v>
      </c>
      <c r="N1856" s="233" t="s">
        <v>531</v>
      </c>
      <c r="O1856" s="3" t="s">
        <v>2283</v>
      </c>
    </row>
    <row r="1857" spans="1:15">
      <c r="A1857">
        <v>175</v>
      </c>
      <c r="B1857">
        <v>2232</v>
      </c>
      <c r="C1857" t="s">
        <v>79</v>
      </c>
      <c r="D1857" t="s">
        <v>202</v>
      </c>
      <c r="E1857" s="232" t="s">
        <v>433</v>
      </c>
      <c r="F1857" t="s">
        <v>70</v>
      </c>
      <c r="G1857">
        <v>1</v>
      </c>
      <c r="H1857">
        <v>559.33000000000004</v>
      </c>
      <c r="I1857">
        <v>556.89</v>
      </c>
      <c r="J1857">
        <v>555.35</v>
      </c>
      <c r="K1857">
        <v>553.01</v>
      </c>
      <c r="L1857">
        <v>547.54</v>
      </c>
      <c r="M1857" s="233" t="s">
        <v>530</v>
      </c>
      <c r="N1857" s="233" t="s">
        <v>530</v>
      </c>
      <c r="O1857" s="3" t="s">
        <v>2284</v>
      </c>
    </row>
    <row r="1858" spans="1:15">
      <c r="A1858">
        <v>176</v>
      </c>
      <c r="B1858">
        <v>2233</v>
      </c>
      <c r="C1858" t="s">
        <v>79</v>
      </c>
      <c r="D1858" t="s">
        <v>202</v>
      </c>
      <c r="E1858" s="232" t="s">
        <v>199</v>
      </c>
      <c r="F1858" t="s">
        <v>78</v>
      </c>
      <c r="G1858">
        <v>1</v>
      </c>
      <c r="H1858">
        <v>567.59</v>
      </c>
      <c r="I1858">
        <v>567.04</v>
      </c>
      <c r="J1858">
        <v>565.99</v>
      </c>
      <c r="K1858">
        <v>563.20000000000005</v>
      </c>
      <c r="L1858">
        <v>555.19000000000005</v>
      </c>
      <c r="M1858" s="233" t="s">
        <v>530</v>
      </c>
      <c r="N1858" s="233" t="s">
        <v>530</v>
      </c>
      <c r="O1858" s="3" t="s">
        <v>2285</v>
      </c>
    </row>
    <row r="1859" spans="1:15">
      <c r="A1859">
        <v>161</v>
      </c>
      <c r="B1859">
        <v>2225</v>
      </c>
      <c r="C1859" t="s">
        <v>79</v>
      </c>
      <c r="D1859" t="s">
        <v>201</v>
      </c>
      <c r="E1859" s="232" t="s">
        <v>433</v>
      </c>
      <c r="F1859" t="s">
        <v>70</v>
      </c>
      <c r="G1859">
        <v>1</v>
      </c>
      <c r="H1859">
        <v>537.52800000000002</v>
      </c>
      <c r="I1859">
        <v>534.67399999999998</v>
      </c>
      <c r="J1859">
        <v>533.51499999999999</v>
      </c>
      <c r="K1859">
        <v>531.52099999999996</v>
      </c>
      <c r="L1859">
        <v>526.73199999999997</v>
      </c>
      <c r="M1859" s="233" t="s">
        <v>530</v>
      </c>
      <c r="N1859" s="233" t="s">
        <v>531</v>
      </c>
      <c r="O1859" s="3" t="s">
        <v>2286</v>
      </c>
    </row>
    <row r="1860" spans="1:15">
      <c r="A1860">
        <v>162</v>
      </c>
      <c r="B1860">
        <v>2226</v>
      </c>
      <c r="C1860" t="s">
        <v>79</v>
      </c>
      <c r="D1860" t="s">
        <v>201</v>
      </c>
      <c r="E1860" s="232" t="s">
        <v>199</v>
      </c>
      <c r="F1860" t="s">
        <v>78</v>
      </c>
      <c r="G1860">
        <v>1</v>
      </c>
      <c r="H1860">
        <v>541.71299999999997</v>
      </c>
      <c r="I1860">
        <v>540.34</v>
      </c>
      <c r="J1860">
        <v>539.31299999999999</v>
      </c>
      <c r="K1860">
        <v>535.15300000000002</v>
      </c>
      <c r="L1860">
        <v>532.24</v>
      </c>
      <c r="M1860" s="233" t="s">
        <v>530</v>
      </c>
      <c r="N1860" s="233" t="s">
        <v>531</v>
      </c>
      <c r="O1860" s="3" t="s">
        <v>2287</v>
      </c>
    </row>
    <row r="1861" spans="1:15">
      <c r="A1861">
        <v>152</v>
      </c>
      <c r="B1861">
        <v>2218</v>
      </c>
      <c r="C1861" t="s">
        <v>79</v>
      </c>
      <c r="D1861" t="s">
        <v>200</v>
      </c>
      <c r="E1861" s="232" t="s">
        <v>433</v>
      </c>
      <c r="F1861" t="s">
        <v>70</v>
      </c>
      <c r="G1861">
        <v>1</v>
      </c>
      <c r="H1861">
        <v>999.89</v>
      </c>
      <c r="I1861">
        <v>998.75</v>
      </c>
      <c r="J1861">
        <v>997.91</v>
      </c>
      <c r="K1861">
        <v>996.81</v>
      </c>
      <c r="L1861">
        <v>993.24</v>
      </c>
      <c r="M1861" s="233" t="s">
        <v>454</v>
      </c>
      <c r="N1861" s="233" t="s">
        <v>454</v>
      </c>
      <c r="O1861" s="3" t="s">
        <v>2288</v>
      </c>
    </row>
    <row r="1862" spans="1:15">
      <c r="A1862">
        <v>153</v>
      </c>
      <c r="B1862">
        <v>2219</v>
      </c>
      <c r="C1862" t="s">
        <v>79</v>
      </c>
      <c r="D1862" t="s">
        <v>200</v>
      </c>
      <c r="E1862" s="232" t="s">
        <v>199</v>
      </c>
      <c r="F1862" t="s">
        <v>78</v>
      </c>
      <c r="G1862">
        <v>1</v>
      </c>
      <c r="H1862">
        <v>1001.17</v>
      </c>
      <c r="I1862">
        <v>999.91</v>
      </c>
      <c r="J1862">
        <v>998.92</v>
      </c>
      <c r="K1862">
        <v>998.27</v>
      </c>
      <c r="L1862">
        <v>997.24</v>
      </c>
      <c r="M1862" s="233" t="s">
        <v>454</v>
      </c>
      <c r="N1862" s="233" t="s">
        <v>454</v>
      </c>
      <c r="O1862" s="3" t="s">
        <v>2289</v>
      </c>
    </row>
    <row r="1863" spans="1:15">
      <c r="A1863">
        <v>167</v>
      </c>
      <c r="B1863">
        <v>2230</v>
      </c>
      <c r="C1863" t="s">
        <v>79</v>
      </c>
      <c r="D1863" t="s">
        <v>208</v>
      </c>
      <c r="E1863" s="232" t="s">
        <v>205</v>
      </c>
      <c r="F1863" t="s">
        <v>70</v>
      </c>
      <c r="G1863">
        <v>1</v>
      </c>
      <c r="H1863">
        <v>997.56600000000003</v>
      </c>
      <c r="I1863">
        <v>992.24300000000005</v>
      </c>
      <c r="J1863">
        <v>989.06700000000001</v>
      </c>
      <c r="K1863">
        <v>979.76300000000003</v>
      </c>
      <c r="L1863">
        <v>968.45899999999995</v>
      </c>
      <c r="M1863" s="233" t="s">
        <v>454</v>
      </c>
      <c r="N1863" s="233" t="s">
        <v>454</v>
      </c>
      <c r="O1863" s="3" t="s">
        <v>2290</v>
      </c>
    </row>
    <row r="1864" spans="1:15">
      <c r="A1864">
        <v>173</v>
      </c>
      <c r="B1864">
        <v>2231</v>
      </c>
      <c r="C1864" t="s">
        <v>79</v>
      </c>
      <c r="D1864" t="s">
        <v>206</v>
      </c>
      <c r="E1864" s="232" t="s">
        <v>205</v>
      </c>
      <c r="F1864" t="s">
        <v>70</v>
      </c>
      <c r="G1864">
        <v>1</v>
      </c>
      <c r="H1864">
        <v>398.91399999999999</v>
      </c>
      <c r="I1864">
        <v>397.976</v>
      </c>
      <c r="J1864">
        <v>397.19400000000002</v>
      </c>
      <c r="K1864">
        <v>394.44400000000002</v>
      </c>
      <c r="L1864">
        <v>391.12</v>
      </c>
      <c r="M1864" s="233" t="s">
        <v>454</v>
      </c>
      <c r="N1864" s="233" t="s">
        <v>454</v>
      </c>
      <c r="O1864" s="3" t="s">
        <v>2291</v>
      </c>
    </row>
    <row r="1865" spans="1:15">
      <c r="A1865">
        <v>2</v>
      </c>
      <c r="B1865">
        <v>2234</v>
      </c>
      <c r="C1865" t="s">
        <v>79</v>
      </c>
      <c r="D1865" t="s">
        <v>196</v>
      </c>
      <c r="E1865" s="232" t="s">
        <v>210</v>
      </c>
      <c r="F1865" t="s">
        <v>70</v>
      </c>
      <c r="G1865">
        <v>1</v>
      </c>
      <c r="H1865">
        <v>411.49200000000002</v>
      </c>
      <c r="I1865">
        <v>410.69400000000002</v>
      </c>
      <c r="J1865">
        <v>409.262</v>
      </c>
      <c r="K1865">
        <v>405.25799999999998</v>
      </c>
      <c r="L1865">
        <v>402.108</v>
      </c>
      <c r="M1865" s="233" t="s">
        <v>530</v>
      </c>
      <c r="N1865" s="233" t="s">
        <v>530</v>
      </c>
      <c r="O1865" s="3" t="s">
        <v>2292</v>
      </c>
    </row>
    <row r="1866" spans="1:15">
      <c r="A1866">
        <v>225</v>
      </c>
      <c r="B1866">
        <v>2242</v>
      </c>
      <c r="C1866" t="s">
        <v>79</v>
      </c>
      <c r="D1866" t="s">
        <v>216</v>
      </c>
      <c r="E1866" s="232" t="s">
        <v>210</v>
      </c>
      <c r="F1866" t="s">
        <v>70</v>
      </c>
      <c r="G1866">
        <v>1</v>
      </c>
      <c r="H1866">
        <v>199.88200000000001</v>
      </c>
      <c r="I1866">
        <v>199.33500000000001</v>
      </c>
      <c r="J1866">
        <v>198.31800000000001</v>
      </c>
      <c r="K1866">
        <v>197.86</v>
      </c>
      <c r="L1866">
        <v>196.82</v>
      </c>
      <c r="M1866" s="233" t="s">
        <v>530</v>
      </c>
      <c r="N1866" s="233" t="s">
        <v>530</v>
      </c>
      <c r="O1866" s="3" t="s">
        <v>2293</v>
      </c>
    </row>
    <row r="1867" spans="1:15">
      <c r="A1867">
        <v>225</v>
      </c>
      <c r="B1867">
        <v>2243</v>
      </c>
      <c r="C1867" t="s">
        <v>79</v>
      </c>
      <c r="D1867" t="s">
        <v>216</v>
      </c>
      <c r="E1867" s="232" t="s">
        <v>543</v>
      </c>
      <c r="F1867" t="s">
        <v>70</v>
      </c>
      <c r="G1867">
        <v>1</v>
      </c>
      <c r="H1867">
        <v>197.86</v>
      </c>
      <c r="I1867">
        <v>197.7</v>
      </c>
      <c r="J1867">
        <v>197.32499999999999</v>
      </c>
      <c r="K1867">
        <v>196.315</v>
      </c>
      <c r="L1867">
        <v>195.23</v>
      </c>
      <c r="M1867" s="233" t="s">
        <v>530</v>
      </c>
      <c r="N1867" s="233" t="s">
        <v>530</v>
      </c>
      <c r="O1867" s="3" t="s">
        <v>2294</v>
      </c>
    </row>
    <row r="1868" spans="1:15">
      <c r="A1868">
        <v>195</v>
      </c>
      <c r="B1868">
        <v>2237</v>
      </c>
      <c r="C1868" t="s">
        <v>79</v>
      </c>
      <c r="D1868" t="s">
        <v>215</v>
      </c>
      <c r="E1868" s="232" t="s">
        <v>210</v>
      </c>
      <c r="F1868" t="s">
        <v>70</v>
      </c>
      <c r="G1868">
        <v>1</v>
      </c>
      <c r="H1868">
        <v>727.09100000000001</v>
      </c>
      <c r="I1868">
        <v>723.27700000000004</v>
      </c>
      <c r="J1868">
        <v>722.11400000000003</v>
      </c>
      <c r="K1868">
        <v>721.274</v>
      </c>
      <c r="L1868">
        <v>718.66499999999996</v>
      </c>
      <c r="M1868" s="233" t="s">
        <v>530</v>
      </c>
      <c r="N1868" s="233" t="s">
        <v>531</v>
      </c>
      <c r="O1868" s="3" t="s">
        <v>2295</v>
      </c>
    </row>
    <row r="1869" spans="1:15">
      <c r="A1869">
        <v>184</v>
      </c>
      <c r="B1869">
        <v>2239</v>
      </c>
      <c r="C1869" t="s">
        <v>79</v>
      </c>
      <c r="D1869" t="s">
        <v>212</v>
      </c>
      <c r="E1869" s="232" t="s">
        <v>210</v>
      </c>
      <c r="F1869" t="s">
        <v>70</v>
      </c>
      <c r="G1869">
        <v>1</v>
      </c>
      <c r="H1869">
        <v>943.76199999999994</v>
      </c>
      <c r="I1869">
        <v>942.61199999999997</v>
      </c>
      <c r="J1869">
        <v>938.88400000000001</v>
      </c>
      <c r="K1869">
        <v>936.90200000000004</v>
      </c>
      <c r="L1869">
        <v>934.74</v>
      </c>
      <c r="M1869" s="233" t="s">
        <v>532</v>
      </c>
      <c r="N1869" s="233" t="s">
        <v>532</v>
      </c>
      <c r="O1869" s="3" t="s">
        <v>2296</v>
      </c>
    </row>
    <row r="1870" spans="1:15">
      <c r="A1870">
        <v>210</v>
      </c>
      <c r="B1870">
        <v>2240</v>
      </c>
      <c r="C1870" t="s">
        <v>79</v>
      </c>
      <c r="D1870" t="s">
        <v>211</v>
      </c>
      <c r="E1870" s="232" t="s">
        <v>210</v>
      </c>
      <c r="F1870" t="s">
        <v>70</v>
      </c>
      <c r="G1870">
        <v>1</v>
      </c>
      <c r="H1870">
        <v>366.346</v>
      </c>
      <c r="I1870">
        <v>365.48899999999998</v>
      </c>
      <c r="J1870">
        <v>364.42700000000002</v>
      </c>
      <c r="K1870">
        <v>362.80700000000002</v>
      </c>
      <c r="L1870">
        <v>359.22199999999998</v>
      </c>
      <c r="M1870" s="233" t="s">
        <v>530</v>
      </c>
      <c r="N1870" s="233" t="s">
        <v>531</v>
      </c>
      <c r="O1870" s="3" t="s">
        <v>2297</v>
      </c>
    </row>
    <row r="1871" spans="1:15">
      <c r="A1871">
        <v>232</v>
      </c>
      <c r="B1871">
        <v>2245</v>
      </c>
      <c r="C1871" t="s">
        <v>79</v>
      </c>
      <c r="D1871" t="s">
        <v>397</v>
      </c>
      <c r="E1871" s="232" t="s">
        <v>436</v>
      </c>
      <c r="F1871" t="s">
        <v>71</v>
      </c>
      <c r="G1871">
        <v>3</v>
      </c>
      <c r="H1871">
        <v>906.25</v>
      </c>
      <c r="I1871">
        <v>885</v>
      </c>
      <c r="J1871">
        <v>874.375</v>
      </c>
      <c r="K1871">
        <v>857.125</v>
      </c>
      <c r="L1871">
        <v>837</v>
      </c>
      <c r="M1871" s="233" t="s">
        <v>454</v>
      </c>
      <c r="N1871" s="233" t="s">
        <v>454</v>
      </c>
      <c r="O1871" s="3" t="s">
        <v>2298</v>
      </c>
    </row>
    <row r="1872" spans="1:15">
      <c r="A1872">
        <v>233</v>
      </c>
      <c r="B1872">
        <v>2246</v>
      </c>
      <c r="C1872" t="s">
        <v>79</v>
      </c>
      <c r="D1872" t="s">
        <v>397</v>
      </c>
      <c r="E1872" s="232" t="s">
        <v>12364</v>
      </c>
      <c r="F1872" t="s">
        <v>71</v>
      </c>
      <c r="G1872">
        <v>3</v>
      </c>
      <c r="H1872">
        <v>806.125</v>
      </c>
      <c r="I1872">
        <v>793.625</v>
      </c>
      <c r="J1872">
        <v>781</v>
      </c>
      <c r="K1872">
        <v>753.5</v>
      </c>
      <c r="L1872">
        <v>723.75</v>
      </c>
      <c r="M1872" s="233" t="s">
        <v>454</v>
      </c>
      <c r="N1872" s="233" t="s">
        <v>454</v>
      </c>
      <c r="O1872" s="3" t="s">
        <v>2299</v>
      </c>
    </row>
    <row r="1873" spans="1:15">
      <c r="A1873">
        <v>234</v>
      </c>
      <c r="B1873">
        <v>2247</v>
      </c>
      <c r="C1873" t="s">
        <v>79</v>
      </c>
      <c r="D1873" t="s">
        <v>398</v>
      </c>
      <c r="E1873" s="232" t="s">
        <v>436</v>
      </c>
      <c r="F1873" t="s">
        <v>71</v>
      </c>
      <c r="G1873">
        <v>3</v>
      </c>
      <c r="H1873">
        <v>341.68799999999999</v>
      </c>
      <c r="I1873">
        <v>338.68799999999999</v>
      </c>
      <c r="J1873">
        <v>337.43799999999999</v>
      </c>
      <c r="K1873">
        <v>335.93799999999999</v>
      </c>
      <c r="L1873">
        <v>333.75</v>
      </c>
      <c r="M1873" s="233" t="s">
        <v>530</v>
      </c>
      <c r="N1873" s="233" t="s">
        <v>530</v>
      </c>
      <c r="O1873" s="3" t="s">
        <v>2300</v>
      </c>
    </row>
    <row r="1874" spans="1:15">
      <c r="A1874">
        <v>234</v>
      </c>
      <c r="B1874">
        <v>2248</v>
      </c>
      <c r="C1874" t="s">
        <v>79</v>
      </c>
      <c r="D1874" t="s">
        <v>398</v>
      </c>
      <c r="E1874" s="232" t="s">
        <v>439</v>
      </c>
      <c r="F1874" t="s">
        <v>71</v>
      </c>
      <c r="G1874">
        <v>3</v>
      </c>
      <c r="H1874">
        <v>340.31299999999999</v>
      </c>
      <c r="I1874">
        <v>338.68799999999999</v>
      </c>
      <c r="J1874">
        <v>337.125</v>
      </c>
      <c r="K1874">
        <v>334.93799999999999</v>
      </c>
      <c r="L1874">
        <v>332.625</v>
      </c>
      <c r="M1874" s="233" t="s">
        <v>530</v>
      </c>
      <c r="N1874" s="233" t="s">
        <v>530</v>
      </c>
      <c r="O1874" s="3" t="s">
        <v>2301</v>
      </c>
    </row>
    <row r="1875" spans="1:15">
      <c r="A1875">
        <v>234</v>
      </c>
      <c r="B1875">
        <v>2249</v>
      </c>
      <c r="C1875" t="s">
        <v>79</v>
      </c>
      <c r="D1875" t="s">
        <v>398</v>
      </c>
      <c r="E1875" s="232" t="s">
        <v>440</v>
      </c>
      <c r="F1875" t="s">
        <v>71</v>
      </c>
      <c r="G1875">
        <v>3</v>
      </c>
      <c r="H1875">
        <v>328.06299999999999</v>
      </c>
      <c r="I1875">
        <v>325.875</v>
      </c>
      <c r="J1875">
        <v>323.625</v>
      </c>
      <c r="K1875">
        <v>319.375</v>
      </c>
      <c r="L1875">
        <v>314.31299999999999</v>
      </c>
      <c r="M1875" s="233" t="s">
        <v>530</v>
      </c>
      <c r="N1875" s="233" t="s">
        <v>530</v>
      </c>
      <c r="O1875" s="3" t="s">
        <v>2302</v>
      </c>
    </row>
    <row r="1876" spans="1:15">
      <c r="A1876">
        <v>235</v>
      </c>
      <c r="B1876">
        <v>2250</v>
      </c>
      <c r="C1876" t="s">
        <v>79</v>
      </c>
      <c r="D1876" t="s">
        <v>399</v>
      </c>
      <c r="E1876" s="232" t="s">
        <v>436</v>
      </c>
      <c r="F1876" t="s">
        <v>71</v>
      </c>
      <c r="G1876">
        <v>3</v>
      </c>
      <c r="H1876">
        <v>832.67499999999995</v>
      </c>
      <c r="I1876">
        <v>816.35</v>
      </c>
      <c r="J1876">
        <v>810.57500000000005</v>
      </c>
      <c r="K1876">
        <v>803.05</v>
      </c>
      <c r="L1876">
        <v>791.25</v>
      </c>
      <c r="M1876" s="233" t="s">
        <v>454</v>
      </c>
      <c r="N1876" s="233" t="s">
        <v>454</v>
      </c>
      <c r="O1876" s="3" t="s">
        <v>2303</v>
      </c>
    </row>
    <row r="1877" spans="1:15">
      <c r="A1877">
        <v>235</v>
      </c>
      <c r="B1877">
        <v>2251</v>
      </c>
      <c r="C1877" t="s">
        <v>79</v>
      </c>
      <c r="D1877" t="s">
        <v>399</v>
      </c>
      <c r="E1877" s="232" t="s">
        <v>439</v>
      </c>
      <c r="F1877" t="s">
        <v>71</v>
      </c>
      <c r="G1877">
        <v>3</v>
      </c>
      <c r="H1877">
        <v>822.5</v>
      </c>
      <c r="I1877">
        <v>808.7</v>
      </c>
      <c r="J1877">
        <v>802.1</v>
      </c>
      <c r="K1877">
        <v>790.875</v>
      </c>
      <c r="L1877">
        <v>778.7</v>
      </c>
      <c r="M1877" s="233" t="s">
        <v>454</v>
      </c>
      <c r="N1877" s="233" t="s">
        <v>454</v>
      </c>
      <c r="O1877" s="3" t="s">
        <v>2304</v>
      </c>
    </row>
    <row r="1878" spans="1:15">
      <c r="A1878">
        <v>235</v>
      </c>
      <c r="B1878">
        <v>2252</v>
      </c>
      <c r="C1878" t="s">
        <v>79</v>
      </c>
      <c r="D1878" t="s">
        <v>399</v>
      </c>
      <c r="E1878" s="232" t="s">
        <v>441</v>
      </c>
      <c r="F1878" t="s">
        <v>71</v>
      </c>
      <c r="G1878">
        <v>3</v>
      </c>
      <c r="H1878">
        <v>776.75</v>
      </c>
      <c r="I1878">
        <v>759.125</v>
      </c>
      <c r="J1878">
        <v>747.7</v>
      </c>
      <c r="K1878">
        <v>726.05</v>
      </c>
      <c r="L1878">
        <v>700.45</v>
      </c>
      <c r="M1878" s="233" t="s">
        <v>454</v>
      </c>
      <c r="N1878" s="233" t="s">
        <v>454</v>
      </c>
      <c r="O1878" s="3" t="s">
        <v>2305</v>
      </c>
    </row>
    <row r="1879" spans="1:15">
      <c r="A1879">
        <v>236</v>
      </c>
      <c r="B1879">
        <v>2253</v>
      </c>
      <c r="C1879" t="s">
        <v>79</v>
      </c>
      <c r="D1879" t="s">
        <v>400</v>
      </c>
      <c r="E1879" s="232" t="s">
        <v>436</v>
      </c>
      <c r="F1879" t="s">
        <v>71</v>
      </c>
      <c r="G1879">
        <v>3</v>
      </c>
      <c r="H1879">
        <v>884.34</v>
      </c>
      <c r="I1879">
        <v>873.79899999999998</v>
      </c>
      <c r="J1879">
        <v>870.23500000000001</v>
      </c>
      <c r="K1879">
        <v>867.30600000000004</v>
      </c>
      <c r="L1879">
        <v>863.44899999999996</v>
      </c>
      <c r="M1879" s="233" t="s">
        <v>532</v>
      </c>
      <c r="N1879" s="233" t="s">
        <v>532</v>
      </c>
      <c r="O1879" s="3" t="s">
        <v>2306</v>
      </c>
    </row>
    <row r="1880" spans="1:15">
      <c r="A1880">
        <v>236</v>
      </c>
      <c r="B1880">
        <v>2254</v>
      </c>
      <c r="C1880" t="s">
        <v>79</v>
      </c>
      <c r="D1880" t="s">
        <v>400</v>
      </c>
      <c r="E1880" s="232" t="s">
        <v>439</v>
      </c>
      <c r="F1880" t="s">
        <v>71</v>
      </c>
      <c r="G1880">
        <v>3</v>
      </c>
      <c r="H1880">
        <v>850.98800000000006</v>
      </c>
      <c r="I1880">
        <v>847.53899999999999</v>
      </c>
      <c r="J1880">
        <v>844.90300000000002</v>
      </c>
      <c r="K1880">
        <v>841.46600000000001</v>
      </c>
      <c r="L1880">
        <v>836.37199999999996</v>
      </c>
      <c r="M1880" s="233" t="s">
        <v>532</v>
      </c>
      <c r="N1880" s="233" t="s">
        <v>532</v>
      </c>
      <c r="O1880" s="3" t="s">
        <v>2307</v>
      </c>
    </row>
    <row r="1881" spans="1:15">
      <c r="A1881">
        <v>236</v>
      </c>
      <c r="B1881">
        <v>2255</v>
      </c>
      <c r="C1881" t="s">
        <v>79</v>
      </c>
      <c r="D1881" t="s">
        <v>400</v>
      </c>
      <c r="E1881" s="232" t="s">
        <v>441</v>
      </c>
      <c r="F1881" t="s">
        <v>71</v>
      </c>
      <c r="G1881">
        <v>3</v>
      </c>
      <c r="H1881">
        <v>815.64400000000001</v>
      </c>
      <c r="I1881">
        <v>810.33</v>
      </c>
      <c r="J1881">
        <v>804.51900000000001</v>
      </c>
      <c r="K1881">
        <v>794.28</v>
      </c>
      <c r="L1881">
        <v>778.55600000000004</v>
      </c>
      <c r="M1881" s="233" t="s">
        <v>532</v>
      </c>
      <c r="N1881" s="233" t="s">
        <v>532</v>
      </c>
      <c r="O1881" s="3" t="s">
        <v>2308</v>
      </c>
    </row>
    <row r="1882" spans="1:15">
      <c r="A1882">
        <v>236</v>
      </c>
      <c r="B1882">
        <v>2256</v>
      </c>
      <c r="C1882" t="s">
        <v>79</v>
      </c>
      <c r="D1882" t="s">
        <v>400</v>
      </c>
      <c r="E1882" s="232" t="s">
        <v>437</v>
      </c>
      <c r="F1882" t="s">
        <v>71</v>
      </c>
      <c r="G1882">
        <v>3</v>
      </c>
      <c r="H1882">
        <v>815.64400000000001</v>
      </c>
      <c r="I1882">
        <v>810.33</v>
      </c>
      <c r="J1882">
        <v>804.51900000000001</v>
      </c>
      <c r="K1882">
        <v>794.28</v>
      </c>
      <c r="L1882">
        <v>778.55600000000004</v>
      </c>
      <c r="M1882" s="233" t="s">
        <v>532</v>
      </c>
      <c r="N1882" s="233" t="s">
        <v>532</v>
      </c>
      <c r="O1882" s="3" t="s">
        <v>2309</v>
      </c>
    </row>
    <row r="1883" spans="1:15">
      <c r="A1883">
        <v>237</v>
      </c>
      <c r="B1883">
        <v>2257</v>
      </c>
      <c r="C1883" t="s">
        <v>79</v>
      </c>
      <c r="D1883" t="s">
        <v>401</v>
      </c>
      <c r="E1883" s="232" t="s">
        <v>436</v>
      </c>
      <c r="F1883" t="s">
        <v>71</v>
      </c>
      <c r="G1883">
        <v>3</v>
      </c>
      <c r="H1883">
        <v>667.96</v>
      </c>
      <c r="I1883">
        <v>654.26</v>
      </c>
      <c r="J1883">
        <v>648</v>
      </c>
      <c r="K1883">
        <v>638.48</v>
      </c>
      <c r="L1883">
        <v>628.66</v>
      </c>
      <c r="M1883" s="233" t="s">
        <v>454</v>
      </c>
      <c r="N1883" s="233" t="s">
        <v>454</v>
      </c>
      <c r="O1883" s="3" t="s">
        <v>2310</v>
      </c>
    </row>
    <row r="1884" spans="1:15">
      <c r="A1884">
        <v>237</v>
      </c>
      <c r="B1884">
        <v>2258</v>
      </c>
      <c r="C1884" t="s">
        <v>79</v>
      </c>
      <c r="D1884" t="s">
        <v>401</v>
      </c>
      <c r="E1884" s="232" t="s">
        <v>439</v>
      </c>
      <c r="F1884" t="s">
        <v>71</v>
      </c>
      <c r="G1884">
        <v>3</v>
      </c>
      <c r="H1884">
        <v>644.54</v>
      </c>
      <c r="I1884">
        <v>632.44000000000005</v>
      </c>
      <c r="J1884">
        <v>624.6</v>
      </c>
      <c r="K1884">
        <v>613.96</v>
      </c>
      <c r="L1884">
        <v>603.34</v>
      </c>
      <c r="M1884" s="233" t="s">
        <v>454</v>
      </c>
      <c r="N1884" s="233" t="s">
        <v>454</v>
      </c>
      <c r="O1884" s="3" t="s">
        <v>2311</v>
      </c>
    </row>
    <row r="1885" spans="1:15">
      <c r="A1885">
        <v>237</v>
      </c>
      <c r="B1885">
        <v>2259</v>
      </c>
      <c r="C1885" t="s">
        <v>79</v>
      </c>
      <c r="D1885" t="s">
        <v>401</v>
      </c>
      <c r="E1885" s="232" t="s">
        <v>438</v>
      </c>
      <c r="F1885" t="s">
        <v>71</v>
      </c>
      <c r="G1885">
        <v>3</v>
      </c>
      <c r="H1885">
        <v>580.9</v>
      </c>
      <c r="I1885">
        <v>567.1</v>
      </c>
      <c r="J1885">
        <v>558.36</v>
      </c>
      <c r="K1885">
        <v>539.6</v>
      </c>
      <c r="L1885">
        <v>520.64</v>
      </c>
      <c r="M1885" s="233" t="s">
        <v>454</v>
      </c>
      <c r="N1885" s="233" t="s">
        <v>454</v>
      </c>
      <c r="O1885" s="3" t="s">
        <v>2312</v>
      </c>
    </row>
    <row r="1886" spans="1:15">
      <c r="A1886">
        <v>238</v>
      </c>
      <c r="B1886">
        <v>2260</v>
      </c>
      <c r="C1886" t="s">
        <v>79</v>
      </c>
      <c r="D1886" t="s">
        <v>402</v>
      </c>
      <c r="E1886" s="232" t="s">
        <v>442</v>
      </c>
      <c r="F1886" t="s">
        <v>71</v>
      </c>
      <c r="G1886">
        <v>3</v>
      </c>
      <c r="H1886">
        <v>632.41200000000003</v>
      </c>
      <c r="I1886">
        <v>628.91200000000003</v>
      </c>
      <c r="J1886">
        <v>625.91200000000003</v>
      </c>
      <c r="K1886">
        <v>621.74400000000003</v>
      </c>
      <c r="L1886">
        <v>616.41</v>
      </c>
      <c r="M1886" s="233" t="s">
        <v>530</v>
      </c>
      <c r="N1886" s="233" t="s">
        <v>530</v>
      </c>
      <c r="O1886" s="3" t="s">
        <v>2313</v>
      </c>
    </row>
    <row r="1887" spans="1:15">
      <c r="A1887">
        <v>238</v>
      </c>
      <c r="B1887">
        <v>2261</v>
      </c>
      <c r="C1887" t="s">
        <v>79</v>
      </c>
      <c r="D1887" t="s">
        <v>402</v>
      </c>
      <c r="E1887" s="232" t="s">
        <v>564</v>
      </c>
      <c r="F1887" t="s">
        <v>71</v>
      </c>
      <c r="G1887">
        <v>3</v>
      </c>
      <c r="H1887">
        <v>566.07100000000003</v>
      </c>
      <c r="I1887">
        <v>561.23699999999997</v>
      </c>
      <c r="J1887">
        <v>556.57000000000005</v>
      </c>
      <c r="K1887">
        <v>547.90200000000004</v>
      </c>
      <c r="L1887">
        <v>537.90099999999995</v>
      </c>
      <c r="M1887" s="233" t="s">
        <v>530</v>
      </c>
      <c r="N1887" s="233" t="s">
        <v>530</v>
      </c>
      <c r="O1887" s="3" t="s">
        <v>2314</v>
      </c>
    </row>
    <row r="1888" spans="1:15">
      <c r="A1888">
        <v>239</v>
      </c>
      <c r="B1888">
        <v>2262</v>
      </c>
      <c r="C1888" t="s">
        <v>79</v>
      </c>
      <c r="D1888" t="s">
        <v>403</v>
      </c>
      <c r="E1888" s="232" t="s">
        <v>436</v>
      </c>
      <c r="F1888" t="s">
        <v>71</v>
      </c>
      <c r="G1888">
        <v>3</v>
      </c>
      <c r="H1888">
        <v>600.6</v>
      </c>
      <c r="I1888">
        <v>588.4</v>
      </c>
      <c r="J1888">
        <v>582.5</v>
      </c>
      <c r="K1888">
        <v>574.4</v>
      </c>
      <c r="L1888">
        <v>565.29999999999995</v>
      </c>
      <c r="M1888" s="233" t="s">
        <v>454</v>
      </c>
      <c r="N1888" s="233" t="s">
        <v>454</v>
      </c>
      <c r="O1888" s="3" t="s">
        <v>2315</v>
      </c>
    </row>
    <row r="1889" spans="1:15">
      <c r="A1889">
        <v>239</v>
      </c>
      <c r="B1889">
        <v>2263</v>
      </c>
      <c r="C1889" t="s">
        <v>79</v>
      </c>
      <c r="D1889" t="s">
        <v>403</v>
      </c>
      <c r="E1889" s="232" t="s">
        <v>439</v>
      </c>
      <c r="F1889" t="s">
        <v>71</v>
      </c>
      <c r="G1889">
        <v>3</v>
      </c>
      <c r="H1889">
        <v>587</v>
      </c>
      <c r="I1889">
        <v>579.9</v>
      </c>
      <c r="J1889">
        <v>574</v>
      </c>
      <c r="K1889">
        <v>564.70000000000005</v>
      </c>
      <c r="L1889">
        <v>555.70000000000005</v>
      </c>
      <c r="M1889" s="233" t="s">
        <v>454</v>
      </c>
      <c r="N1889" s="233" t="s">
        <v>454</v>
      </c>
      <c r="O1889" s="3" t="s">
        <v>2316</v>
      </c>
    </row>
    <row r="1890" spans="1:15">
      <c r="A1890">
        <v>239</v>
      </c>
      <c r="B1890">
        <v>2264</v>
      </c>
      <c r="C1890" t="s">
        <v>79</v>
      </c>
      <c r="D1890" t="s">
        <v>403</v>
      </c>
      <c r="E1890" s="232" t="s">
        <v>440</v>
      </c>
      <c r="F1890" t="s">
        <v>71</v>
      </c>
      <c r="G1890">
        <v>3</v>
      </c>
      <c r="H1890">
        <v>574.4</v>
      </c>
      <c r="I1890">
        <v>567.29999999999995</v>
      </c>
      <c r="J1890">
        <v>557.6</v>
      </c>
      <c r="K1890">
        <v>540.4</v>
      </c>
      <c r="L1890">
        <v>520.20000000000005</v>
      </c>
      <c r="M1890" s="233" t="s">
        <v>454</v>
      </c>
      <c r="N1890" s="233" t="s">
        <v>454</v>
      </c>
      <c r="O1890" s="3" t="s">
        <v>2317</v>
      </c>
    </row>
    <row r="1891" spans="1:15">
      <c r="A1891">
        <v>219</v>
      </c>
      <c r="B1891">
        <v>2276</v>
      </c>
      <c r="C1891" t="s">
        <v>79</v>
      </c>
      <c r="D1891" t="s">
        <v>213</v>
      </c>
      <c r="E1891" s="232" t="s">
        <v>12250</v>
      </c>
      <c r="F1891" t="s">
        <v>71</v>
      </c>
      <c r="G1891">
        <v>3</v>
      </c>
      <c r="H1891">
        <v>821.351</v>
      </c>
      <c r="I1891">
        <v>803.95100000000002</v>
      </c>
      <c r="J1891">
        <v>796.08199999999999</v>
      </c>
      <c r="K1891">
        <v>786.78099999999995</v>
      </c>
      <c r="L1891">
        <v>778.60900000000004</v>
      </c>
      <c r="M1891" s="233" t="s">
        <v>454</v>
      </c>
      <c r="N1891" s="233" t="s">
        <v>454</v>
      </c>
      <c r="O1891" s="3" t="s">
        <v>2318</v>
      </c>
    </row>
    <row r="1892" spans="1:15">
      <c r="A1892">
        <v>240</v>
      </c>
      <c r="B1892">
        <v>2265</v>
      </c>
      <c r="C1892" t="s">
        <v>79</v>
      </c>
      <c r="D1892" t="s">
        <v>404</v>
      </c>
      <c r="E1892" s="232" t="s">
        <v>436</v>
      </c>
      <c r="F1892" t="s">
        <v>71</v>
      </c>
      <c r="G1892">
        <v>3</v>
      </c>
      <c r="H1892">
        <v>636.6</v>
      </c>
      <c r="I1892">
        <v>628.58000000000004</v>
      </c>
      <c r="J1892">
        <v>620.20000000000005</v>
      </c>
      <c r="K1892">
        <v>608.46</v>
      </c>
      <c r="L1892">
        <v>598.22</v>
      </c>
      <c r="M1892" s="233" t="s">
        <v>454</v>
      </c>
      <c r="N1892" s="233" t="s">
        <v>454</v>
      </c>
      <c r="O1892" s="3" t="s">
        <v>2319</v>
      </c>
    </row>
    <row r="1893" spans="1:15">
      <c r="A1893">
        <v>240</v>
      </c>
      <c r="B1893">
        <v>2266</v>
      </c>
      <c r="C1893" t="s">
        <v>79</v>
      </c>
      <c r="D1893" t="s">
        <v>404</v>
      </c>
      <c r="E1893" s="232" t="s">
        <v>439</v>
      </c>
      <c r="F1893" t="s">
        <v>71</v>
      </c>
      <c r="G1893">
        <v>3</v>
      </c>
      <c r="H1893">
        <v>620.20000000000005</v>
      </c>
      <c r="I1893">
        <v>608.46</v>
      </c>
      <c r="J1893">
        <v>600.08000000000004</v>
      </c>
      <c r="K1893">
        <v>589.44000000000005</v>
      </c>
      <c r="L1893">
        <v>578.9</v>
      </c>
      <c r="M1893" s="233" t="s">
        <v>454</v>
      </c>
      <c r="N1893" s="233" t="s">
        <v>454</v>
      </c>
      <c r="O1893" s="3" t="s">
        <v>2320</v>
      </c>
    </row>
    <row r="1894" spans="1:15">
      <c r="A1894">
        <v>240</v>
      </c>
      <c r="B1894">
        <v>2267</v>
      </c>
      <c r="C1894" t="s">
        <v>79</v>
      </c>
      <c r="D1894" t="s">
        <v>404</v>
      </c>
      <c r="E1894" s="232" t="s">
        <v>440</v>
      </c>
      <c r="F1894" t="s">
        <v>71</v>
      </c>
      <c r="G1894">
        <v>3</v>
      </c>
      <c r="H1894">
        <v>555.41999999999996</v>
      </c>
      <c r="I1894">
        <v>547.9</v>
      </c>
      <c r="J1894">
        <v>540.91999999999996</v>
      </c>
      <c r="K1894">
        <v>523.46</v>
      </c>
      <c r="L1894">
        <v>501.98</v>
      </c>
      <c r="M1894" s="233" t="s">
        <v>454</v>
      </c>
      <c r="N1894" s="233" t="s">
        <v>454</v>
      </c>
      <c r="O1894" s="3" t="s">
        <v>2321</v>
      </c>
    </row>
    <row r="1895" spans="1:15">
      <c r="A1895">
        <v>241</v>
      </c>
      <c r="B1895">
        <v>2268</v>
      </c>
      <c r="C1895" t="s">
        <v>79</v>
      </c>
      <c r="D1895" t="s">
        <v>405</v>
      </c>
      <c r="E1895" s="232" t="s">
        <v>436</v>
      </c>
      <c r="F1895" t="s">
        <v>71</v>
      </c>
      <c r="G1895">
        <v>3</v>
      </c>
      <c r="H1895">
        <v>545.62</v>
      </c>
      <c r="I1895">
        <v>540.22</v>
      </c>
      <c r="J1895">
        <v>537.88</v>
      </c>
      <c r="K1895">
        <v>535.52</v>
      </c>
      <c r="L1895">
        <v>532.88</v>
      </c>
      <c r="M1895" s="233" t="s">
        <v>530</v>
      </c>
      <c r="N1895" s="233" t="s">
        <v>530</v>
      </c>
      <c r="O1895" s="3" t="s">
        <v>2322</v>
      </c>
    </row>
    <row r="1896" spans="1:15">
      <c r="A1896">
        <v>241</v>
      </c>
      <c r="B1896">
        <v>2269</v>
      </c>
      <c r="C1896" t="s">
        <v>79</v>
      </c>
      <c r="D1896" t="s">
        <v>405</v>
      </c>
      <c r="E1896" s="232" t="s">
        <v>439</v>
      </c>
      <c r="F1896" t="s">
        <v>71</v>
      </c>
      <c r="G1896">
        <v>3</v>
      </c>
      <c r="H1896">
        <v>516.08000000000004</v>
      </c>
      <c r="I1896">
        <v>513.41999999999996</v>
      </c>
      <c r="J1896">
        <v>511.16</v>
      </c>
      <c r="K1896">
        <v>508.8</v>
      </c>
      <c r="L1896">
        <v>505.66</v>
      </c>
      <c r="M1896" s="233" t="s">
        <v>530</v>
      </c>
      <c r="N1896" s="233" t="s">
        <v>530</v>
      </c>
      <c r="O1896" s="3" t="s">
        <v>2323</v>
      </c>
    </row>
    <row r="1897" spans="1:15">
      <c r="A1897">
        <v>241</v>
      </c>
      <c r="B1897">
        <v>2270</v>
      </c>
      <c r="C1897" t="s">
        <v>79</v>
      </c>
      <c r="D1897" t="s">
        <v>405</v>
      </c>
      <c r="E1897" s="232" t="s">
        <v>440</v>
      </c>
      <c r="F1897" t="s">
        <v>71</v>
      </c>
      <c r="G1897">
        <v>3</v>
      </c>
      <c r="H1897">
        <v>499.06</v>
      </c>
      <c r="I1897">
        <v>496.5</v>
      </c>
      <c r="J1897">
        <v>493.16</v>
      </c>
      <c r="K1897">
        <v>486.66</v>
      </c>
      <c r="L1897">
        <v>483.26</v>
      </c>
      <c r="M1897" s="233" t="s">
        <v>530</v>
      </c>
      <c r="N1897" s="233" t="s">
        <v>530</v>
      </c>
      <c r="O1897" s="3" t="s">
        <v>2324</v>
      </c>
    </row>
    <row r="1898" spans="1:15">
      <c r="A1898">
        <v>242</v>
      </c>
      <c r="B1898">
        <v>2273</v>
      </c>
      <c r="C1898" t="s">
        <v>79</v>
      </c>
      <c r="D1898" t="s">
        <v>406</v>
      </c>
      <c r="E1898" s="232" t="s">
        <v>439</v>
      </c>
      <c r="F1898" t="s">
        <v>71</v>
      </c>
      <c r="G1898">
        <v>3</v>
      </c>
      <c r="H1898">
        <v>401.74</v>
      </c>
      <c r="I1898">
        <v>399.60399999999998</v>
      </c>
      <c r="J1898">
        <v>397.48399999999998</v>
      </c>
      <c r="K1898">
        <v>394.64</v>
      </c>
      <c r="L1898">
        <v>391.76400000000001</v>
      </c>
      <c r="M1898" s="233" t="s">
        <v>530</v>
      </c>
      <c r="N1898" s="233" t="s">
        <v>530</v>
      </c>
      <c r="O1898" s="3" t="s">
        <v>2325</v>
      </c>
    </row>
    <row r="1899" spans="1:15">
      <c r="A1899">
        <v>242</v>
      </c>
      <c r="B1899">
        <v>2271</v>
      </c>
      <c r="C1899" t="s">
        <v>79</v>
      </c>
      <c r="D1899" t="s">
        <v>406</v>
      </c>
      <c r="E1899" s="232" t="s">
        <v>436</v>
      </c>
      <c r="F1899" t="s">
        <v>71</v>
      </c>
      <c r="G1899">
        <v>3</v>
      </c>
      <c r="H1899">
        <v>399.404</v>
      </c>
      <c r="I1899">
        <v>397.38400000000001</v>
      </c>
      <c r="J1899">
        <v>395.904</v>
      </c>
      <c r="K1899">
        <v>394</v>
      </c>
      <c r="L1899">
        <v>391.39600000000002</v>
      </c>
      <c r="M1899" s="233" t="s">
        <v>530</v>
      </c>
      <c r="N1899" s="233" t="s">
        <v>530</v>
      </c>
      <c r="O1899" s="3" t="s">
        <v>2326</v>
      </c>
    </row>
    <row r="1900" spans="1:15">
      <c r="A1900">
        <v>242</v>
      </c>
      <c r="B1900">
        <v>2272</v>
      </c>
      <c r="C1900" t="s">
        <v>79</v>
      </c>
      <c r="D1900" t="s">
        <v>406</v>
      </c>
      <c r="E1900" s="232" t="s">
        <v>443</v>
      </c>
      <c r="F1900" t="s">
        <v>71</v>
      </c>
      <c r="G1900">
        <v>3</v>
      </c>
      <c r="H1900">
        <v>392.976</v>
      </c>
      <c r="I1900">
        <v>391.14</v>
      </c>
      <c r="J1900">
        <v>389.26</v>
      </c>
      <c r="K1900">
        <v>386.3</v>
      </c>
      <c r="L1900">
        <v>383.14</v>
      </c>
      <c r="M1900" s="233" t="s">
        <v>530</v>
      </c>
      <c r="N1900" s="233" t="s">
        <v>530</v>
      </c>
      <c r="O1900" s="3" t="s">
        <v>2327</v>
      </c>
    </row>
    <row r="1901" spans="1:15">
      <c r="A1901">
        <v>242</v>
      </c>
      <c r="B1901">
        <v>2274</v>
      </c>
      <c r="C1901" t="s">
        <v>79</v>
      </c>
      <c r="D1901" t="s">
        <v>406</v>
      </c>
      <c r="E1901" s="232" t="s">
        <v>444</v>
      </c>
      <c r="F1901" t="s">
        <v>71</v>
      </c>
      <c r="G1901">
        <v>3</v>
      </c>
      <c r="H1901">
        <v>380.52</v>
      </c>
      <c r="I1901">
        <v>378.65600000000001</v>
      </c>
      <c r="J1901">
        <v>375.92</v>
      </c>
      <c r="K1901">
        <v>369.416</v>
      </c>
      <c r="L1901">
        <v>362.58</v>
      </c>
      <c r="M1901" s="233" t="s">
        <v>530</v>
      </c>
      <c r="N1901" s="233" t="s">
        <v>530</v>
      </c>
      <c r="O1901" s="3" t="s">
        <v>2328</v>
      </c>
    </row>
    <row r="1902" spans="1:15">
      <c r="A1902">
        <v>11</v>
      </c>
      <c r="B1902">
        <v>215</v>
      </c>
      <c r="C1902" t="s">
        <v>81</v>
      </c>
      <c r="D1902" t="s">
        <v>75</v>
      </c>
      <c r="E1902" s="232" t="s">
        <v>8347</v>
      </c>
      <c r="F1902" t="s">
        <v>71</v>
      </c>
      <c r="G1902">
        <v>1</v>
      </c>
      <c r="H1902">
        <v>663.31</v>
      </c>
      <c r="I1902">
        <v>662.86699999999996</v>
      </c>
      <c r="J1902">
        <v>661.04899999999998</v>
      </c>
      <c r="K1902">
        <v>659.71</v>
      </c>
      <c r="L1902">
        <v>656.36099999999999</v>
      </c>
      <c r="M1902" s="233" t="s">
        <v>530</v>
      </c>
      <c r="N1902" s="233" t="s">
        <v>531</v>
      </c>
      <c r="O1902" s="3" t="s">
        <v>2329</v>
      </c>
    </row>
    <row r="1903" spans="1:15">
      <c r="A1903">
        <v>11</v>
      </c>
      <c r="B1903">
        <v>248</v>
      </c>
      <c r="C1903" t="s">
        <v>81</v>
      </c>
      <c r="D1903" t="s">
        <v>75</v>
      </c>
      <c r="E1903" s="232" t="s">
        <v>16723</v>
      </c>
      <c r="F1903" t="s">
        <v>71</v>
      </c>
      <c r="G1903">
        <v>1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s="233" t="s">
        <v>530</v>
      </c>
      <c r="N1903" s="233" t="s">
        <v>531</v>
      </c>
      <c r="O1903" s="3" t="s">
        <v>2623</v>
      </c>
    </row>
    <row r="1904" spans="1:15">
      <c r="A1904">
        <v>14</v>
      </c>
      <c r="B1904">
        <v>260</v>
      </c>
      <c r="C1904" t="s">
        <v>81</v>
      </c>
      <c r="D1904" t="s">
        <v>302</v>
      </c>
      <c r="E1904" s="232" t="s">
        <v>8702</v>
      </c>
      <c r="F1904" t="s">
        <v>70</v>
      </c>
      <c r="G1904">
        <v>1</v>
      </c>
      <c r="H1904">
        <v>502.58499999999998</v>
      </c>
      <c r="I1904">
        <v>501.97300000000001</v>
      </c>
      <c r="J1904">
        <v>501.36700000000002</v>
      </c>
      <c r="K1904">
        <v>499.113</v>
      </c>
      <c r="L1904">
        <v>497.185</v>
      </c>
      <c r="M1904" s="233" t="s">
        <v>530</v>
      </c>
      <c r="N1904" s="233" t="s">
        <v>531</v>
      </c>
      <c r="O1904" s="3" t="s">
        <v>2330</v>
      </c>
    </row>
    <row r="1905" spans="1:15">
      <c r="A1905">
        <v>14</v>
      </c>
      <c r="B1905">
        <v>271</v>
      </c>
      <c r="C1905" t="s">
        <v>81</v>
      </c>
      <c r="D1905" t="s">
        <v>302</v>
      </c>
      <c r="E1905" s="232" t="s">
        <v>8566</v>
      </c>
      <c r="F1905" t="s">
        <v>71</v>
      </c>
      <c r="G1905">
        <v>1</v>
      </c>
      <c r="H1905">
        <v>503.72899999999998</v>
      </c>
      <c r="I1905">
        <v>503.52199999999999</v>
      </c>
      <c r="J1905">
        <v>502.87700000000001</v>
      </c>
      <c r="K1905">
        <v>502.09300000000002</v>
      </c>
      <c r="L1905">
        <v>500.56799999999998</v>
      </c>
      <c r="M1905" s="233" t="s">
        <v>530</v>
      </c>
      <c r="N1905" s="233" t="s">
        <v>531</v>
      </c>
      <c r="O1905" s="3" t="s">
        <v>2331</v>
      </c>
    </row>
    <row r="1906" spans="1:15">
      <c r="A1906">
        <v>275</v>
      </c>
      <c r="B1906">
        <v>291</v>
      </c>
      <c r="C1906" t="s">
        <v>81</v>
      </c>
      <c r="D1906" t="s">
        <v>77</v>
      </c>
      <c r="E1906" s="232" t="s">
        <v>16724</v>
      </c>
      <c r="F1906" t="s">
        <v>70</v>
      </c>
      <c r="G1906">
        <v>1</v>
      </c>
      <c r="H1906">
        <v>674.55899999999997</v>
      </c>
      <c r="I1906">
        <v>673.048</v>
      </c>
      <c r="J1906">
        <v>671.30499999999995</v>
      </c>
      <c r="K1906">
        <v>669.721</v>
      </c>
      <c r="L1906">
        <v>664.8</v>
      </c>
      <c r="M1906" s="233" t="s">
        <v>530</v>
      </c>
      <c r="N1906" s="233" t="s">
        <v>531</v>
      </c>
      <c r="O1906" s="3" t="s">
        <v>2332</v>
      </c>
    </row>
    <row r="1907" spans="1:15">
      <c r="A1907">
        <v>275</v>
      </c>
      <c r="B1907">
        <v>282</v>
      </c>
      <c r="C1907" t="s">
        <v>81</v>
      </c>
      <c r="D1907" t="s">
        <v>77</v>
      </c>
      <c r="E1907" s="232" t="s">
        <v>8143</v>
      </c>
      <c r="F1907" t="s">
        <v>70</v>
      </c>
      <c r="G1907">
        <v>1</v>
      </c>
      <c r="H1907">
        <v>671.30499999999995</v>
      </c>
      <c r="I1907">
        <v>669.98099999999999</v>
      </c>
      <c r="J1907">
        <v>668.22699999999998</v>
      </c>
      <c r="K1907">
        <v>667.029</v>
      </c>
      <c r="L1907">
        <v>662.46</v>
      </c>
      <c r="M1907" s="233" t="s">
        <v>530</v>
      </c>
      <c r="N1907" s="233" t="s">
        <v>531</v>
      </c>
      <c r="O1907" s="3" t="s">
        <v>2333</v>
      </c>
    </row>
    <row r="1908" spans="1:15">
      <c r="A1908">
        <v>275</v>
      </c>
      <c r="B1908">
        <v>283</v>
      </c>
      <c r="C1908" t="s">
        <v>81</v>
      </c>
      <c r="D1908" t="s">
        <v>77</v>
      </c>
      <c r="E1908" s="232" t="s">
        <v>8141</v>
      </c>
      <c r="F1908" t="s">
        <v>70</v>
      </c>
      <c r="G1908">
        <v>1</v>
      </c>
      <c r="H1908">
        <v>671.30499999999995</v>
      </c>
      <c r="I1908">
        <v>669.98099999999999</v>
      </c>
      <c r="J1908">
        <v>668.22699999999998</v>
      </c>
      <c r="K1908">
        <v>667.029</v>
      </c>
      <c r="L1908">
        <v>664.53399999999999</v>
      </c>
      <c r="M1908" s="233" t="s">
        <v>530</v>
      </c>
      <c r="N1908" s="233" t="s">
        <v>531</v>
      </c>
      <c r="O1908" s="3" t="s">
        <v>2334</v>
      </c>
    </row>
    <row r="1909" spans="1:15">
      <c r="A1909">
        <v>275</v>
      </c>
      <c r="B1909">
        <v>285</v>
      </c>
      <c r="C1909" t="s">
        <v>81</v>
      </c>
      <c r="D1909" t="s">
        <v>77</v>
      </c>
      <c r="E1909" s="232" t="s">
        <v>8203</v>
      </c>
      <c r="F1909" t="s">
        <v>70</v>
      </c>
      <c r="G1909">
        <v>1</v>
      </c>
      <c r="H1909">
        <v>669.721</v>
      </c>
      <c r="I1909">
        <v>667.827</v>
      </c>
      <c r="J1909">
        <v>666.16899999999998</v>
      </c>
      <c r="K1909">
        <v>664.8</v>
      </c>
      <c r="L1909">
        <v>660.46</v>
      </c>
      <c r="M1909" s="233" t="s">
        <v>530</v>
      </c>
      <c r="N1909" s="233" t="s">
        <v>531</v>
      </c>
      <c r="O1909" s="3" t="s">
        <v>2335</v>
      </c>
    </row>
    <row r="1910" spans="1:15">
      <c r="A1910">
        <v>275</v>
      </c>
      <c r="B1910">
        <v>284</v>
      </c>
      <c r="C1910" t="s">
        <v>81</v>
      </c>
      <c r="D1910" t="s">
        <v>77</v>
      </c>
      <c r="E1910" s="232" t="s">
        <v>8220</v>
      </c>
      <c r="F1910" t="s">
        <v>70</v>
      </c>
      <c r="G1910">
        <v>1</v>
      </c>
      <c r="H1910">
        <v>668.22699999999998</v>
      </c>
      <c r="I1910">
        <v>667.029</v>
      </c>
      <c r="J1910">
        <v>665.88099999999997</v>
      </c>
      <c r="K1910">
        <v>664.53399999999999</v>
      </c>
      <c r="L1910">
        <v>660.08500000000004</v>
      </c>
      <c r="M1910" s="233" t="s">
        <v>530</v>
      </c>
      <c r="N1910" s="233" t="s">
        <v>531</v>
      </c>
      <c r="O1910" s="3" t="s">
        <v>2336</v>
      </c>
    </row>
    <row r="1911" spans="1:15">
      <c r="A1911">
        <v>278</v>
      </c>
      <c r="B1911">
        <v>299</v>
      </c>
      <c r="C1911" t="s">
        <v>81</v>
      </c>
      <c r="D1911" t="s">
        <v>77</v>
      </c>
      <c r="E1911" s="232" t="s">
        <v>8293</v>
      </c>
      <c r="F1911" t="s">
        <v>71</v>
      </c>
      <c r="G1911">
        <v>1</v>
      </c>
      <c r="H1911">
        <v>664.89</v>
      </c>
      <c r="I1911">
        <v>662.82399999999996</v>
      </c>
      <c r="J1911">
        <v>661.82299999999998</v>
      </c>
      <c r="K1911">
        <v>656.54200000000003</v>
      </c>
      <c r="L1911">
        <v>654.15599999999995</v>
      </c>
      <c r="M1911" s="233" t="s">
        <v>530</v>
      </c>
      <c r="N1911" s="233" t="s">
        <v>531</v>
      </c>
      <c r="O1911" s="3" t="s">
        <v>2337</v>
      </c>
    </row>
    <row r="1912" spans="1:15">
      <c r="A1912">
        <v>29</v>
      </c>
      <c r="B1912">
        <v>329</v>
      </c>
      <c r="C1912" t="s">
        <v>81</v>
      </c>
      <c r="D1912" t="s">
        <v>80</v>
      </c>
      <c r="E1912" s="232" t="s">
        <v>8523</v>
      </c>
      <c r="F1912" t="s">
        <v>71</v>
      </c>
      <c r="G1912">
        <v>1</v>
      </c>
      <c r="H1912">
        <v>851.64099999999996</v>
      </c>
      <c r="I1912">
        <v>849.10699999999997</v>
      </c>
      <c r="J1912">
        <v>847.423</v>
      </c>
      <c r="K1912">
        <v>845.26700000000005</v>
      </c>
      <c r="L1912">
        <v>843.72900000000004</v>
      </c>
      <c r="M1912" s="233" t="s">
        <v>532</v>
      </c>
      <c r="N1912" s="233" t="s">
        <v>533</v>
      </c>
      <c r="O1912" s="3" t="s">
        <v>2338</v>
      </c>
    </row>
    <row r="1913" spans="1:15">
      <c r="A1913">
        <v>30</v>
      </c>
      <c r="B1913">
        <v>374</v>
      </c>
      <c r="C1913" t="s">
        <v>81</v>
      </c>
      <c r="D1913" t="s">
        <v>228</v>
      </c>
      <c r="E1913" s="232" t="s">
        <v>9068</v>
      </c>
      <c r="F1913" t="s">
        <v>70</v>
      </c>
      <c r="G1913">
        <v>1</v>
      </c>
      <c r="H1913">
        <v>768.37599999999998</v>
      </c>
      <c r="I1913">
        <v>766.33299999999997</v>
      </c>
      <c r="J1913">
        <v>764.96400000000006</v>
      </c>
      <c r="K1913">
        <v>764.07399999999996</v>
      </c>
      <c r="L1913">
        <v>762.40099999999995</v>
      </c>
      <c r="M1913" s="233" t="s">
        <v>530</v>
      </c>
      <c r="N1913" s="233" t="s">
        <v>531</v>
      </c>
      <c r="O1913" s="3" t="s">
        <v>2339</v>
      </c>
    </row>
    <row r="1914" spans="1:15">
      <c r="A1914">
        <v>30</v>
      </c>
      <c r="B1914">
        <v>354</v>
      </c>
      <c r="C1914" t="s">
        <v>81</v>
      </c>
      <c r="D1914" t="s">
        <v>228</v>
      </c>
      <c r="E1914" s="232" t="s">
        <v>9090</v>
      </c>
      <c r="F1914" t="s">
        <v>70</v>
      </c>
      <c r="G1914">
        <v>1</v>
      </c>
      <c r="H1914">
        <v>767.66899999999998</v>
      </c>
      <c r="I1914">
        <v>765.62699999999995</v>
      </c>
      <c r="J1914">
        <v>764.43700000000001</v>
      </c>
      <c r="K1914">
        <v>762.89700000000005</v>
      </c>
      <c r="L1914">
        <v>759.45600000000002</v>
      </c>
      <c r="M1914" s="233" t="s">
        <v>530</v>
      </c>
      <c r="N1914" s="233" t="s">
        <v>531</v>
      </c>
      <c r="O1914" s="3" t="s">
        <v>2340</v>
      </c>
    </row>
    <row r="1915" spans="1:15">
      <c r="A1915">
        <v>32</v>
      </c>
      <c r="B1915">
        <v>375</v>
      </c>
      <c r="C1915" t="s">
        <v>81</v>
      </c>
      <c r="D1915" t="s">
        <v>228</v>
      </c>
      <c r="E1915" s="232" t="s">
        <v>9201</v>
      </c>
      <c r="F1915" t="s">
        <v>71</v>
      </c>
      <c r="G1915">
        <v>1</v>
      </c>
      <c r="H1915">
        <v>755.47699999999998</v>
      </c>
      <c r="I1915">
        <v>754.36199999999997</v>
      </c>
      <c r="J1915">
        <v>753.22500000000002</v>
      </c>
      <c r="K1915">
        <v>751.66600000000005</v>
      </c>
      <c r="L1915">
        <v>751.34</v>
      </c>
      <c r="M1915" s="233" t="s">
        <v>530</v>
      </c>
      <c r="N1915" s="233" t="s">
        <v>531</v>
      </c>
      <c r="O1915" s="3" t="s">
        <v>2341</v>
      </c>
    </row>
    <row r="1916" spans="1:15">
      <c r="A1916">
        <v>44</v>
      </c>
      <c r="B1916">
        <v>472</v>
      </c>
      <c r="C1916" t="s">
        <v>81</v>
      </c>
      <c r="D1916" t="s">
        <v>83</v>
      </c>
      <c r="E1916" s="232" t="s">
        <v>9029</v>
      </c>
      <c r="F1916" t="s">
        <v>70</v>
      </c>
      <c r="G1916">
        <v>2</v>
      </c>
      <c r="H1916">
        <v>916.84199999999998</v>
      </c>
      <c r="I1916">
        <v>913.93700000000001</v>
      </c>
      <c r="J1916">
        <v>911.67600000000004</v>
      </c>
      <c r="K1916">
        <v>907.51099999999997</v>
      </c>
      <c r="L1916">
        <v>900.54499999999996</v>
      </c>
      <c r="M1916" s="233" t="s">
        <v>532</v>
      </c>
      <c r="N1916" s="233" t="s">
        <v>533</v>
      </c>
      <c r="O1916" s="3" t="s">
        <v>2342</v>
      </c>
    </row>
    <row r="1917" spans="1:15">
      <c r="A1917">
        <v>44</v>
      </c>
      <c r="B1917">
        <v>471</v>
      </c>
      <c r="C1917" t="s">
        <v>81</v>
      </c>
      <c r="D1917" t="s">
        <v>83</v>
      </c>
      <c r="E1917" s="232" t="s">
        <v>9100</v>
      </c>
      <c r="F1917" t="s">
        <v>70</v>
      </c>
      <c r="G1917">
        <v>2</v>
      </c>
      <c r="H1917">
        <v>914.85199999999998</v>
      </c>
      <c r="I1917">
        <v>911.88</v>
      </c>
      <c r="J1917">
        <v>909.28</v>
      </c>
      <c r="K1917">
        <v>904.75599999999997</v>
      </c>
      <c r="L1917">
        <v>898.71799999999996</v>
      </c>
      <c r="M1917" s="233" t="s">
        <v>532</v>
      </c>
      <c r="N1917" s="233" t="s">
        <v>533</v>
      </c>
      <c r="O1917" s="3" t="s">
        <v>2343</v>
      </c>
    </row>
    <row r="1918" spans="1:15">
      <c r="A1918">
        <v>45</v>
      </c>
      <c r="B1918">
        <v>488</v>
      </c>
      <c r="C1918" t="s">
        <v>81</v>
      </c>
      <c r="D1918" t="s">
        <v>83</v>
      </c>
      <c r="E1918" s="232" t="s">
        <v>9257</v>
      </c>
      <c r="F1918" t="s">
        <v>70</v>
      </c>
      <c r="G1918">
        <v>2</v>
      </c>
      <c r="H1918">
        <v>910.10400000000004</v>
      </c>
      <c r="I1918">
        <v>908.52599999999995</v>
      </c>
      <c r="J1918">
        <v>906.19399999999996</v>
      </c>
      <c r="K1918">
        <v>901.95100000000002</v>
      </c>
      <c r="L1918">
        <v>899.06700000000001</v>
      </c>
      <c r="M1918" s="233" t="s">
        <v>532</v>
      </c>
      <c r="N1918" s="233" t="s">
        <v>533</v>
      </c>
      <c r="O1918" s="3" t="s">
        <v>2344</v>
      </c>
    </row>
    <row r="1919" spans="1:15">
      <c r="A1919">
        <v>88</v>
      </c>
      <c r="B1919">
        <v>505</v>
      </c>
      <c r="C1919" t="s">
        <v>81</v>
      </c>
      <c r="D1919" t="s">
        <v>224</v>
      </c>
      <c r="E1919" s="232" t="s">
        <v>9303</v>
      </c>
      <c r="F1919" t="s">
        <v>70</v>
      </c>
      <c r="G1919">
        <v>2</v>
      </c>
      <c r="H1919">
        <v>937.01199999999994</v>
      </c>
      <c r="I1919">
        <v>935.24800000000005</v>
      </c>
      <c r="J1919">
        <v>933.56200000000001</v>
      </c>
      <c r="K1919">
        <v>930.40499999999997</v>
      </c>
      <c r="L1919">
        <v>925.22400000000005</v>
      </c>
      <c r="M1919" s="233" t="s">
        <v>532</v>
      </c>
      <c r="N1919" s="233" t="s">
        <v>533</v>
      </c>
      <c r="O1919" s="3" t="s">
        <v>2345</v>
      </c>
    </row>
    <row r="1920" spans="1:15">
      <c r="A1920">
        <v>89</v>
      </c>
      <c r="B1920">
        <v>511</v>
      </c>
      <c r="C1920" t="s">
        <v>81</v>
      </c>
      <c r="D1920" t="s">
        <v>224</v>
      </c>
      <c r="E1920" s="232" t="s">
        <v>9154</v>
      </c>
      <c r="F1920" t="s">
        <v>71</v>
      </c>
      <c r="G1920">
        <v>2</v>
      </c>
      <c r="H1920">
        <v>930.51</v>
      </c>
      <c r="I1920">
        <v>928.97699999999998</v>
      </c>
      <c r="J1920">
        <v>927.55600000000004</v>
      </c>
      <c r="K1920">
        <v>924.71299999999997</v>
      </c>
      <c r="L1920">
        <v>920.33900000000006</v>
      </c>
      <c r="M1920" s="233" t="s">
        <v>532</v>
      </c>
      <c r="N1920" s="233" t="s">
        <v>533</v>
      </c>
      <c r="O1920" s="3" t="s">
        <v>2346</v>
      </c>
    </row>
    <row r="1921" spans="1:15">
      <c r="A1921">
        <v>40</v>
      </c>
      <c r="B1921">
        <v>522</v>
      </c>
      <c r="C1921" t="s">
        <v>81</v>
      </c>
      <c r="D1921" t="s">
        <v>9336</v>
      </c>
      <c r="E1921" s="232" t="s">
        <v>9337</v>
      </c>
      <c r="F1921" t="s">
        <v>70</v>
      </c>
      <c r="G1921">
        <v>2</v>
      </c>
      <c r="H1921">
        <v>658.49300000000005</v>
      </c>
      <c r="I1921">
        <v>656.06500000000005</v>
      </c>
      <c r="J1921">
        <v>653.46900000000005</v>
      </c>
      <c r="K1921">
        <v>648.55100000000004</v>
      </c>
      <c r="L1921">
        <v>643.93799999999999</v>
      </c>
      <c r="M1921" s="233" t="s">
        <v>532</v>
      </c>
      <c r="N1921" s="233" t="s">
        <v>533</v>
      </c>
      <c r="O1921" s="3" t="s">
        <v>2347</v>
      </c>
    </row>
    <row r="1922" spans="1:15">
      <c r="A1922">
        <v>40</v>
      </c>
      <c r="B1922">
        <v>539</v>
      </c>
      <c r="C1922" t="s">
        <v>81</v>
      </c>
      <c r="D1922" t="s">
        <v>9336</v>
      </c>
      <c r="E1922" s="232" t="s">
        <v>11509</v>
      </c>
      <c r="F1922" t="s">
        <v>70</v>
      </c>
      <c r="G1922">
        <v>2</v>
      </c>
      <c r="H1922">
        <v>625.37400000000002</v>
      </c>
      <c r="I1922">
        <v>623.5</v>
      </c>
      <c r="J1922">
        <v>621.447</v>
      </c>
      <c r="K1922">
        <v>620.04100000000005</v>
      </c>
      <c r="L1922">
        <v>617.53399999999999</v>
      </c>
      <c r="M1922" s="233" t="s">
        <v>532</v>
      </c>
      <c r="N1922" s="233" t="s">
        <v>533</v>
      </c>
      <c r="O1922" s="3" t="s">
        <v>2348</v>
      </c>
    </row>
    <row r="1923" spans="1:15">
      <c r="A1923">
        <v>40</v>
      </c>
      <c r="B1923">
        <v>524</v>
      </c>
      <c r="C1923" t="s">
        <v>81</v>
      </c>
      <c r="D1923" t="s">
        <v>9336</v>
      </c>
      <c r="E1923" s="232" t="s">
        <v>7910</v>
      </c>
      <c r="F1923" t="s">
        <v>70</v>
      </c>
      <c r="G1923">
        <v>2</v>
      </c>
      <c r="H1923">
        <v>625.26199999999994</v>
      </c>
      <c r="I1923">
        <v>622.98599999999999</v>
      </c>
      <c r="J1923">
        <v>621.06299999999999</v>
      </c>
      <c r="K1923">
        <v>619.84699999999998</v>
      </c>
      <c r="L1923">
        <v>617.26499999999999</v>
      </c>
      <c r="M1923" s="233" t="s">
        <v>532</v>
      </c>
      <c r="N1923" s="233" t="s">
        <v>533</v>
      </c>
      <c r="O1923" s="3" t="s">
        <v>2349</v>
      </c>
    </row>
    <row r="1924" spans="1:15">
      <c r="A1924">
        <v>40</v>
      </c>
      <c r="B1924">
        <v>533</v>
      </c>
      <c r="C1924" t="s">
        <v>81</v>
      </c>
      <c r="D1924" t="s">
        <v>9336</v>
      </c>
      <c r="E1924" s="232" t="s">
        <v>11690</v>
      </c>
      <c r="F1924" t="s">
        <v>70</v>
      </c>
      <c r="G1924">
        <v>2</v>
      </c>
      <c r="H1924">
        <v>622.71500000000003</v>
      </c>
      <c r="I1924">
        <v>620.85199999999998</v>
      </c>
      <c r="J1924">
        <v>619.75199999999995</v>
      </c>
      <c r="K1924">
        <v>618.43600000000004</v>
      </c>
      <c r="L1924">
        <v>614.65499999999997</v>
      </c>
      <c r="M1924" s="233" t="s">
        <v>532</v>
      </c>
      <c r="N1924" s="233" t="s">
        <v>533</v>
      </c>
      <c r="O1924" s="3" t="s">
        <v>2350</v>
      </c>
    </row>
    <row r="1925" spans="1:15">
      <c r="A1925">
        <v>40</v>
      </c>
      <c r="B1925">
        <v>532</v>
      </c>
      <c r="C1925" t="s">
        <v>81</v>
      </c>
      <c r="D1925" t="s">
        <v>9336</v>
      </c>
      <c r="E1925" s="232" t="s">
        <v>11714</v>
      </c>
      <c r="F1925" t="s">
        <v>70</v>
      </c>
      <c r="G1925">
        <v>2</v>
      </c>
      <c r="H1925">
        <v>622.62300000000005</v>
      </c>
      <c r="I1925">
        <v>620.67600000000004</v>
      </c>
      <c r="J1925">
        <v>619.66200000000003</v>
      </c>
      <c r="K1925">
        <v>618.34</v>
      </c>
      <c r="L1925">
        <v>614.55999999999995</v>
      </c>
      <c r="M1925" s="233" t="s">
        <v>532</v>
      </c>
      <c r="N1925" s="233" t="s">
        <v>533</v>
      </c>
      <c r="O1925" s="3" t="s">
        <v>2351</v>
      </c>
    </row>
    <row r="1926" spans="1:15">
      <c r="A1926">
        <v>40</v>
      </c>
      <c r="B1926">
        <v>534</v>
      </c>
      <c r="C1926" t="s">
        <v>81</v>
      </c>
      <c r="D1926" t="s">
        <v>9336</v>
      </c>
      <c r="E1926" s="232" t="s">
        <v>555</v>
      </c>
      <c r="F1926" t="s">
        <v>70</v>
      </c>
      <c r="G1926">
        <v>2</v>
      </c>
      <c r="H1926">
        <v>621.83500000000004</v>
      </c>
      <c r="I1926">
        <v>620.22799999999995</v>
      </c>
      <c r="J1926">
        <v>619.39</v>
      </c>
      <c r="K1926">
        <v>617.95699999999999</v>
      </c>
      <c r="L1926">
        <v>613.93700000000001</v>
      </c>
      <c r="M1926" s="233" t="s">
        <v>532</v>
      </c>
      <c r="N1926" s="233" t="s">
        <v>533</v>
      </c>
      <c r="O1926" s="3" t="s">
        <v>2352</v>
      </c>
    </row>
    <row r="1927" spans="1:15">
      <c r="A1927">
        <v>40</v>
      </c>
      <c r="B1927">
        <v>531</v>
      </c>
      <c r="C1927" t="s">
        <v>81</v>
      </c>
      <c r="D1927" t="s">
        <v>9336</v>
      </c>
      <c r="E1927" s="232" t="s">
        <v>551</v>
      </c>
      <c r="F1927" t="s">
        <v>70</v>
      </c>
      <c r="G1927">
        <v>2</v>
      </c>
      <c r="H1927">
        <v>621.64800000000002</v>
      </c>
      <c r="I1927">
        <v>620.04100000000005</v>
      </c>
      <c r="J1927">
        <v>619.18200000000002</v>
      </c>
      <c r="K1927">
        <v>617.68100000000004</v>
      </c>
      <c r="L1927">
        <v>613.75199999999995</v>
      </c>
      <c r="M1927" s="233" t="s">
        <v>532</v>
      </c>
      <c r="N1927" s="233" t="s">
        <v>533</v>
      </c>
      <c r="O1927" s="3" t="s">
        <v>2353</v>
      </c>
    </row>
    <row r="1928" spans="1:15">
      <c r="A1928">
        <v>40</v>
      </c>
      <c r="B1928">
        <v>535</v>
      </c>
      <c r="C1928" t="s">
        <v>81</v>
      </c>
      <c r="D1928" t="s">
        <v>9336</v>
      </c>
      <c r="E1928" s="232" t="s">
        <v>8443</v>
      </c>
      <c r="F1928" t="s">
        <v>70</v>
      </c>
      <c r="G1928">
        <v>2</v>
      </c>
      <c r="H1928">
        <v>621.64800000000002</v>
      </c>
      <c r="I1928">
        <v>620.04100000000005</v>
      </c>
      <c r="J1928">
        <v>619.18200000000002</v>
      </c>
      <c r="K1928">
        <v>617.68100000000004</v>
      </c>
      <c r="L1928">
        <v>613.75199999999995</v>
      </c>
      <c r="M1928" s="233" t="s">
        <v>532</v>
      </c>
      <c r="N1928" s="233" t="s">
        <v>533</v>
      </c>
      <c r="O1928" s="3" t="s">
        <v>2354</v>
      </c>
    </row>
    <row r="1929" spans="1:15">
      <c r="A1929">
        <v>40</v>
      </c>
      <c r="B1929">
        <v>538</v>
      </c>
      <c r="C1929" t="s">
        <v>81</v>
      </c>
      <c r="D1929" t="s">
        <v>9336</v>
      </c>
      <c r="E1929" s="232" t="s">
        <v>11824</v>
      </c>
      <c r="F1929" t="s">
        <v>70</v>
      </c>
      <c r="G1929">
        <v>2</v>
      </c>
      <c r="H1929">
        <v>620.67600000000004</v>
      </c>
      <c r="I1929">
        <v>619.66200000000003</v>
      </c>
      <c r="J1929">
        <v>618.34</v>
      </c>
      <c r="K1929">
        <v>616.53200000000004</v>
      </c>
      <c r="L1929">
        <v>613.43299999999999</v>
      </c>
      <c r="M1929" s="233" t="s">
        <v>532</v>
      </c>
      <c r="N1929" s="233" t="s">
        <v>533</v>
      </c>
      <c r="O1929" s="3" t="s">
        <v>2355</v>
      </c>
    </row>
    <row r="1930" spans="1:15">
      <c r="A1930">
        <v>38</v>
      </c>
      <c r="B1930">
        <v>604</v>
      </c>
      <c r="C1930" t="s">
        <v>81</v>
      </c>
      <c r="D1930" t="s">
        <v>9336</v>
      </c>
      <c r="E1930" s="232" t="s">
        <v>9799</v>
      </c>
      <c r="F1930" t="s">
        <v>71</v>
      </c>
      <c r="G1930">
        <v>2</v>
      </c>
      <c r="H1930">
        <v>654.56500000000005</v>
      </c>
      <c r="I1930">
        <v>652.11699999999996</v>
      </c>
      <c r="J1930">
        <v>649.10199999999998</v>
      </c>
      <c r="K1930">
        <v>646.88</v>
      </c>
      <c r="L1930">
        <v>642.36699999999996</v>
      </c>
      <c r="M1930" s="233" t="s">
        <v>532</v>
      </c>
      <c r="N1930" s="233" t="s">
        <v>533</v>
      </c>
      <c r="O1930" s="3" t="s">
        <v>2356</v>
      </c>
    </row>
    <row r="1931" spans="1:15">
      <c r="A1931">
        <v>39</v>
      </c>
      <c r="B1931">
        <v>577</v>
      </c>
      <c r="C1931" t="s">
        <v>81</v>
      </c>
      <c r="D1931" t="s">
        <v>9336</v>
      </c>
      <c r="E1931" s="232" t="s">
        <v>11143</v>
      </c>
      <c r="F1931" t="s">
        <v>71</v>
      </c>
      <c r="G1931">
        <v>2</v>
      </c>
      <c r="H1931">
        <v>623.72</v>
      </c>
      <c r="I1931">
        <v>622.68600000000004</v>
      </c>
      <c r="J1931">
        <v>621.11900000000003</v>
      </c>
      <c r="K1931">
        <v>618.81700000000001</v>
      </c>
      <c r="L1931">
        <v>616.22799999999995</v>
      </c>
      <c r="M1931" s="233" t="s">
        <v>532</v>
      </c>
      <c r="N1931" s="233" t="s">
        <v>533</v>
      </c>
      <c r="O1931" s="3" t="s">
        <v>2357</v>
      </c>
    </row>
    <row r="1932" spans="1:15">
      <c r="A1932">
        <v>39</v>
      </c>
      <c r="B1932">
        <v>578</v>
      </c>
      <c r="C1932" t="s">
        <v>81</v>
      </c>
      <c r="D1932" t="s">
        <v>9336</v>
      </c>
      <c r="E1932" s="232" t="s">
        <v>11722</v>
      </c>
      <c r="F1932" t="s">
        <v>71</v>
      </c>
      <c r="G1932">
        <v>2</v>
      </c>
      <c r="H1932">
        <v>615.90899999999999</v>
      </c>
      <c r="I1932">
        <v>615.08100000000002</v>
      </c>
      <c r="J1932">
        <v>613.71600000000001</v>
      </c>
      <c r="K1932">
        <v>611.35400000000004</v>
      </c>
      <c r="L1932">
        <v>608.65800000000002</v>
      </c>
      <c r="M1932" s="233" t="s">
        <v>532</v>
      </c>
      <c r="N1932" s="233" t="s">
        <v>533</v>
      </c>
      <c r="O1932" s="3" t="s">
        <v>2358</v>
      </c>
    </row>
    <row r="1933" spans="1:15">
      <c r="A1933">
        <v>38</v>
      </c>
      <c r="B1933">
        <v>611</v>
      </c>
      <c r="C1933" t="s">
        <v>81</v>
      </c>
      <c r="D1933" t="s">
        <v>9336</v>
      </c>
      <c r="E1933" s="232" t="s">
        <v>11924</v>
      </c>
      <c r="F1933" t="s">
        <v>71</v>
      </c>
      <c r="G1933">
        <v>2</v>
      </c>
      <c r="H1933">
        <v>618.56799999999998</v>
      </c>
      <c r="I1933">
        <v>617.68600000000004</v>
      </c>
      <c r="J1933">
        <v>616.60299999999995</v>
      </c>
      <c r="K1933">
        <v>612.18299999999999</v>
      </c>
      <c r="L1933">
        <v>610.79100000000005</v>
      </c>
      <c r="M1933" s="233" t="s">
        <v>532</v>
      </c>
      <c r="N1933" s="233" t="s">
        <v>533</v>
      </c>
      <c r="O1933" s="3" t="s">
        <v>2359</v>
      </c>
    </row>
    <row r="1934" spans="1:15">
      <c r="A1934">
        <v>39</v>
      </c>
      <c r="B1934">
        <v>585</v>
      </c>
      <c r="C1934" t="s">
        <v>81</v>
      </c>
      <c r="D1934" t="s">
        <v>9336</v>
      </c>
      <c r="E1934" s="232" t="s">
        <v>11834</v>
      </c>
      <c r="F1934" t="s">
        <v>71</v>
      </c>
      <c r="G1934">
        <v>2</v>
      </c>
      <c r="H1934">
        <v>615.08100000000002</v>
      </c>
      <c r="I1934">
        <v>614.12</v>
      </c>
      <c r="J1934">
        <v>612.35</v>
      </c>
      <c r="K1934">
        <v>609.96</v>
      </c>
      <c r="L1934">
        <v>607.39099999999996</v>
      </c>
      <c r="M1934" s="233" t="s">
        <v>532</v>
      </c>
      <c r="N1934" s="233" t="s">
        <v>533</v>
      </c>
      <c r="O1934" s="3" t="s">
        <v>2360</v>
      </c>
    </row>
    <row r="1935" spans="1:15">
      <c r="A1935">
        <v>38</v>
      </c>
      <c r="B1935">
        <v>612</v>
      </c>
      <c r="C1935" t="s">
        <v>81</v>
      </c>
      <c r="D1935" t="s">
        <v>9336</v>
      </c>
      <c r="E1935" s="232" t="s">
        <v>11854</v>
      </c>
      <c r="F1935" t="s">
        <v>71</v>
      </c>
      <c r="G1935">
        <v>2</v>
      </c>
      <c r="H1935">
        <v>620.096</v>
      </c>
      <c r="I1935">
        <v>618.43200000000002</v>
      </c>
      <c r="J1935">
        <v>615.77099999999996</v>
      </c>
      <c r="K1935">
        <v>612.476</v>
      </c>
      <c r="L1935">
        <v>609.64200000000005</v>
      </c>
      <c r="M1935" s="233" t="s">
        <v>532</v>
      </c>
      <c r="N1935" s="233" t="s">
        <v>533</v>
      </c>
      <c r="O1935" s="3" t="s">
        <v>2361</v>
      </c>
    </row>
    <row r="1936" spans="1:15">
      <c r="A1936">
        <v>39</v>
      </c>
      <c r="B1936">
        <v>580</v>
      </c>
      <c r="C1936" t="s">
        <v>81</v>
      </c>
      <c r="D1936" t="s">
        <v>9336</v>
      </c>
      <c r="E1936" s="232" t="s">
        <v>12035</v>
      </c>
      <c r="F1936" t="s">
        <v>71</v>
      </c>
      <c r="G1936">
        <v>2</v>
      </c>
      <c r="H1936">
        <v>612.20699999999999</v>
      </c>
      <c r="I1936">
        <v>611.03499999999997</v>
      </c>
      <c r="J1936">
        <v>609.10799999999995</v>
      </c>
      <c r="K1936">
        <v>607.03200000000004</v>
      </c>
      <c r="L1936">
        <v>605.15800000000002</v>
      </c>
      <c r="M1936" s="233" t="s">
        <v>532</v>
      </c>
      <c r="N1936" s="233" t="s">
        <v>533</v>
      </c>
      <c r="O1936" s="3" t="s">
        <v>2362</v>
      </c>
    </row>
    <row r="1937" spans="1:15">
      <c r="A1937">
        <v>38</v>
      </c>
      <c r="B1937">
        <v>582</v>
      </c>
      <c r="C1937" t="s">
        <v>81</v>
      </c>
      <c r="D1937" t="s">
        <v>9336</v>
      </c>
      <c r="E1937" s="232" t="s">
        <v>12168</v>
      </c>
      <c r="F1937" t="s">
        <v>71</v>
      </c>
      <c r="G1937">
        <v>2</v>
      </c>
      <c r="H1937">
        <v>615.92200000000003</v>
      </c>
      <c r="I1937">
        <v>614.68100000000004</v>
      </c>
      <c r="J1937">
        <v>612.52</v>
      </c>
      <c r="K1937">
        <v>610.69200000000001</v>
      </c>
      <c r="L1937">
        <v>609.08000000000004</v>
      </c>
      <c r="M1937" s="233" t="s">
        <v>532</v>
      </c>
      <c r="N1937" s="233" t="s">
        <v>533</v>
      </c>
      <c r="O1937" s="3" t="s">
        <v>2363</v>
      </c>
    </row>
    <row r="1938" spans="1:15">
      <c r="A1938">
        <v>39</v>
      </c>
      <c r="B1938">
        <v>586</v>
      </c>
      <c r="C1938" t="s">
        <v>81</v>
      </c>
      <c r="D1938" t="s">
        <v>9336</v>
      </c>
      <c r="E1938" s="232" t="s">
        <v>12097</v>
      </c>
      <c r="F1938" t="s">
        <v>71</v>
      </c>
      <c r="G1938">
        <v>2</v>
      </c>
      <c r="H1938">
        <v>611.92399999999998</v>
      </c>
      <c r="I1938">
        <v>610.44600000000003</v>
      </c>
      <c r="J1938">
        <v>608.44600000000003</v>
      </c>
      <c r="K1938">
        <v>606.54499999999996</v>
      </c>
      <c r="L1938">
        <v>604.94200000000001</v>
      </c>
      <c r="M1938" s="233" t="s">
        <v>532</v>
      </c>
      <c r="N1938" s="233" t="s">
        <v>533</v>
      </c>
      <c r="O1938" s="3" t="s">
        <v>2364</v>
      </c>
    </row>
    <row r="1939" spans="1:15">
      <c r="A1939">
        <v>39</v>
      </c>
      <c r="B1939">
        <v>610</v>
      </c>
      <c r="C1939" t="s">
        <v>81</v>
      </c>
      <c r="D1939" t="s">
        <v>9336</v>
      </c>
      <c r="E1939" s="232" t="s">
        <v>12718</v>
      </c>
      <c r="F1939" t="s">
        <v>71</v>
      </c>
      <c r="G1939">
        <v>2</v>
      </c>
      <c r="H1939">
        <v>598.90200000000004</v>
      </c>
      <c r="I1939">
        <v>597.86500000000001</v>
      </c>
      <c r="J1939">
        <v>596.16700000000003</v>
      </c>
      <c r="K1939">
        <v>594.495</v>
      </c>
      <c r="L1939">
        <v>592.21100000000001</v>
      </c>
      <c r="M1939" s="233" t="s">
        <v>532</v>
      </c>
      <c r="N1939" s="233" t="s">
        <v>533</v>
      </c>
      <c r="O1939" s="3" t="s">
        <v>2365</v>
      </c>
    </row>
    <row r="1940" spans="1:15">
      <c r="A1940">
        <v>47</v>
      </c>
      <c r="B1940">
        <v>628</v>
      </c>
      <c r="C1940" t="s">
        <v>81</v>
      </c>
      <c r="D1940" t="s">
        <v>217</v>
      </c>
      <c r="E1940" s="232" t="s">
        <v>9261</v>
      </c>
      <c r="F1940" t="s">
        <v>70</v>
      </c>
      <c r="G1940">
        <v>2</v>
      </c>
      <c r="H1940">
        <v>671.53200000000004</v>
      </c>
      <c r="I1940">
        <v>670.09799999999996</v>
      </c>
      <c r="J1940">
        <v>667.05</v>
      </c>
      <c r="K1940">
        <v>663.44</v>
      </c>
      <c r="L1940">
        <v>659.30100000000004</v>
      </c>
      <c r="M1940" s="233" t="s">
        <v>530</v>
      </c>
      <c r="N1940" s="233" t="s">
        <v>531</v>
      </c>
      <c r="O1940" s="3" t="s">
        <v>2366</v>
      </c>
    </row>
    <row r="1941" spans="1:15">
      <c r="A1941">
        <v>47</v>
      </c>
      <c r="B1941">
        <v>629</v>
      </c>
      <c r="C1941" t="s">
        <v>81</v>
      </c>
      <c r="D1941" t="s">
        <v>217</v>
      </c>
      <c r="E1941" s="232" t="s">
        <v>9329</v>
      </c>
      <c r="F1941" t="s">
        <v>70</v>
      </c>
      <c r="G1941">
        <v>2</v>
      </c>
      <c r="H1941">
        <v>670.73</v>
      </c>
      <c r="I1941">
        <v>668.94200000000001</v>
      </c>
      <c r="J1941">
        <v>666.27499999999998</v>
      </c>
      <c r="K1941">
        <v>664.48599999999999</v>
      </c>
      <c r="L1941">
        <v>660.82600000000002</v>
      </c>
      <c r="M1941" s="233" t="s">
        <v>530</v>
      </c>
      <c r="N1941" s="233" t="s">
        <v>531</v>
      </c>
      <c r="O1941" s="3" t="s">
        <v>2367</v>
      </c>
    </row>
    <row r="1942" spans="1:15">
      <c r="A1942">
        <v>47</v>
      </c>
      <c r="B1942">
        <v>626</v>
      </c>
      <c r="C1942" t="s">
        <v>81</v>
      </c>
      <c r="D1942" t="s">
        <v>217</v>
      </c>
      <c r="E1942" s="232" t="s">
        <v>9551</v>
      </c>
      <c r="F1942" t="s">
        <v>70</v>
      </c>
      <c r="G1942">
        <v>2</v>
      </c>
      <c r="H1942">
        <v>669.66600000000005</v>
      </c>
      <c r="I1942">
        <v>666.27499999999998</v>
      </c>
      <c r="J1942">
        <v>663.18200000000002</v>
      </c>
      <c r="K1942">
        <v>660.82600000000002</v>
      </c>
      <c r="L1942">
        <v>656.86199999999997</v>
      </c>
      <c r="M1942" s="233" t="s">
        <v>530</v>
      </c>
      <c r="N1942" s="233" t="s">
        <v>531</v>
      </c>
      <c r="O1942" s="3" t="s">
        <v>2368</v>
      </c>
    </row>
    <row r="1943" spans="1:15">
      <c r="A1943">
        <v>48</v>
      </c>
      <c r="B1943">
        <v>641</v>
      </c>
      <c r="C1943" t="s">
        <v>81</v>
      </c>
      <c r="D1943" t="s">
        <v>217</v>
      </c>
      <c r="E1943" s="232" t="s">
        <v>9141</v>
      </c>
      <c r="F1943" t="s">
        <v>71</v>
      </c>
      <c r="G1943">
        <v>2</v>
      </c>
      <c r="H1943">
        <v>682.06</v>
      </c>
      <c r="I1943">
        <v>678.846</v>
      </c>
      <c r="J1943">
        <v>674.78</v>
      </c>
      <c r="K1943">
        <v>671.79200000000003</v>
      </c>
      <c r="L1943">
        <v>668.48800000000006</v>
      </c>
      <c r="M1943" s="233" t="s">
        <v>530</v>
      </c>
      <c r="N1943" s="233" t="s">
        <v>531</v>
      </c>
      <c r="O1943" s="3" t="s">
        <v>2369</v>
      </c>
    </row>
    <row r="1944" spans="1:15">
      <c r="A1944">
        <v>53</v>
      </c>
      <c r="B1944">
        <v>654</v>
      </c>
      <c r="C1944" t="s">
        <v>81</v>
      </c>
      <c r="D1944" t="s">
        <v>233</v>
      </c>
      <c r="E1944" s="232" t="s">
        <v>9528</v>
      </c>
      <c r="F1944" t="s">
        <v>70</v>
      </c>
      <c r="G1944">
        <v>2</v>
      </c>
      <c r="H1944">
        <v>697.49900000000002</v>
      </c>
      <c r="I1944">
        <v>696.59400000000005</v>
      </c>
      <c r="J1944">
        <v>694.86</v>
      </c>
      <c r="K1944">
        <v>693.51800000000003</v>
      </c>
      <c r="L1944">
        <v>692.17200000000003</v>
      </c>
      <c r="M1944" s="233" t="s">
        <v>530</v>
      </c>
      <c r="N1944" s="233" t="s">
        <v>531</v>
      </c>
      <c r="O1944" s="3" t="s">
        <v>2370</v>
      </c>
    </row>
    <row r="1945" spans="1:15">
      <c r="A1945">
        <v>53</v>
      </c>
      <c r="B1945">
        <v>673</v>
      </c>
      <c r="C1945" t="s">
        <v>81</v>
      </c>
      <c r="D1945" t="s">
        <v>233</v>
      </c>
      <c r="E1945" s="232" t="s">
        <v>9778</v>
      </c>
      <c r="F1945" t="s">
        <v>70</v>
      </c>
      <c r="G1945">
        <v>2</v>
      </c>
      <c r="H1945">
        <v>695.83299999999997</v>
      </c>
      <c r="I1945">
        <v>693.51800000000003</v>
      </c>
      <c r="J1945">
        <v>690.35599999999999</v>
      </c>
      <c r="K1945">
        <v>687.779</v>
      </c>
      <c r="L1945">
        <v>683.81</v>
      </c>
      <c r="M1945" s="233" t="s">
        <v>530</v>
      </c>
      <c r="N1945" s="233" t="s">
        <v>531</v>
      </c>
      <c r="O1945" s="3" t="s">
        <v>2371</v>
      </c>
    </row>
    <row r="1946" spans="1:15">
      <c r="A1946">
        <v>53</v>
      </c>
      <c r="B1946">
        <v>674</v>
      </c>
      <c r="C1946" t="s">
        <v>81</v>
      </c>
      <c r="D1946" t="s">
        <v>233</v>
      </c>
      <c r="E1946" s="232" t="s">
        <v>9999</v>
      </c>
      <c r="F1946" t="s">
        <v>70</v>
      </c>
      <c r="G1946">
        <v>2</v>
      </c>
      <c r="H1946">
        <v>693.04499999999996</v>
      </c>
      <c r="I1946">
        <v>690.65099999999995</v>
      </c>
      <c r="J1946">
        <v>687.14800000000002</v>
      </c>
      <c r="K1946">
        <v>684.37699999999995</v>
      </c>
      <c r="L1946">
        <v>679.98400000000004</v>
      </c>
      <c r="M1946" s="233" t="s">
        <v>530</v>
      </c>
      <c r="N1946" s="233" t="s">
        <v>531</v>
      </c>
      <c r="O1946" s="3" t="s">
        <v>2372</v>
      </c>
    </row>
    <row r="1947" spans="1:15">
      <c r="A1947">
        <v>53</v>
      </c>
      <c r="B1947">
        <v>665</v>
      </c>
      <c r="C1947" t="s">
        <v>81</v>
      </c>
      <c r="D1947" t="s">
        <v>233</v>
      </c>
      <c r="E1947" s="232" t="s">
        <v>550</v>
      </c>
      <c r="F1947" t="s">
        <v>70</v>
      </c>
      <c r="G1947">
        <v>2</v>
      </c>
      <c r="H1947">
        <v>693.14700000000005</v>
      </c>
      <c r="I1947">
        <v>690.65099999999995</v>
      </c>
      <c r="J1947">
        <v>686.68100000000004</v>
      </c>
      <c r="K1947">
        <v>683.81</v>
      </c>
      <c r="L1947">
        <v>679.98400000000004</v>
      </c>
      <c r="M1947" s="233" t="s">
        <v>530</v>
      </c>
      <c r="N1947" s="233" t="s">
        <v>531</v>
      </c>
      <c r="O1947" s="3" t="s">
        <v>2373</v>
      </c>
    </row>
    <row r="1948" spans="1:15">
      <c r="A1948">
        <v>54</v>
      </c>
      <c r="B1948">
        <v>675</v>
      </c>
      <c r="C1948" t="s">
        <v>81</v>
      </c>
      <c r="D1948" t="s">
        <v>233</v>
      </c>
      <c r="E1948" s="232" t="s">
        <v>9572</v>
      </c>
      <c r="F1948" t="s">
        <v>71</v>
      </c>
      <c r="G1948">
        <v>2</v>
      </c>
      <c r="H1948">
        <v>695.70600000000002</v>
      </c>
      <c r="I1948">
        <v>694.65</v>
      </c>
      <c r="J1948">
        <v>692.16499999999996</v>
      </c>
      <c r="K1948">
        <v>689.404</v>
      </c>
      <c r="L1948">
        <v>683.38900000000001</v>
      </c>
      <c r="M1948" s="233" t="s">
        <v>530</v>
      </c>
      <c r="N1948" s="233" t="s">
        <v>531</v>
      </c>
      <c r="O1948" s="3" t="s">
        <v>2374</v>
      </c>
    </row>
    <row r="1949" spans="1:15">
      <c r="A1949">
        <v>54</v>
      </c>
      <c r="B1949">
        <v>704</v>
      </c>
      <c r="C1949" t="s">
        <v>81</v>
      </c>
      <c r="D1949" t="s">
        <v>233</v>
      </c>
      <c r="E1949" s="232" t="s">
        <v>9641</v>
      </c>
      <c r="F1949" t="s">
        <v>71</v>
      </c>
      <c r="G1949">
        <v>2</v>
      </c>
      <c r="H1949">
        <v>696.41800000000001</v>
      </c>
      <c r="I1949">
        <v>693.66300000000001</v>
      </c>
      <c r="J1949">
        <v>690.70399999999995</v>
      </c>
      <c r="K1949">
        <v>688.44399999999996</v>
      </c>
      <c r="L1949">
        <v>684.92600000000004</v>
      </c>
      <c r="M1949" s="233" t="s">
        <v>530</v>
      </c>
      <c r="N1949" s="233" t="s">
        <v>531</v>
      </c>
      <c r="O1949" s="3" t="s">
        <v>2375</v>
      </c>
    </row>
    <row r="1950" spans="1:15">
      <c r="A1950">
        <v>56</v>
      </c>
      <c r="B1950">
        <v>705</v>
      </c>
      <c r="C1950" t="s">
        <v>81</v>
      </c>
      <c r="D1950" t="s">
        <v>417</v>
      </c>
      <c r="E1950" s="232" t="s">
        <v>9522</v>
      </c>
      <c r="F1950" t="s">
        <v>70</v>
      </c>
      <c r="G1950">
        <v>2</v>
      </c>
      <c r="H1950">
        <v>134.06200000000001</v>
      </c>
      <c r="I1950">
        <v>133.83799999999999</v>
      </c>
      <c r="J1950">
        <v>133.57400000000001</v>
      </c>
      <c r="K1950">
        <v>133.047</v>
      </c>
      <c r="L1950">
        <v>131.88499999999999</v>
      </c>
      <c r="M1950" s="233" t="s">
        <v>530</v>
      </c>
      <c r="N1950" s="233" t="s">
        <v>530</v>
      </c>
      <c r="O1950" s="3" t="s">
        <v>2376</v>
      </c>
    </row>
    <row r="1951" spans="1:15">
      <c r="A1951">
        <v>56</v>
      </c>
      <c r="B1951">
        <v>707</v>
      </c>
      <c r="C1951" t="s">
        <v>81</v>
      </c>
      <c r="D1951" t="s">
        <v>417</v>
      </c>
      <c r="E1951" s="232" t="s">
        <v>9741</v>
      </c>
      <c r="F1951" t="s">
        <v>70</v>
      </c>
      <c r="G1951">
        <v>2</v>
      </c>
      <c r="H1951">
        <v>133.61600000000001</v>
      </c>
      <c r="I1951">
        <v>133.27000000000001</v>
      </c>
      <c r="J1951">
        <v>132.90799999999999</v>
      </c>
      <c r="K1951">
        <v>132.32900000000001</v>
      </c>
      <c r="L1951">
        <v>131.16900000000001</v>
      </c>
      <c r="M1951" s="233" t="s">
        <v>530</v>
      </c>
      <c r="N1951" s="233" t="s">
        <v>530</v>
      </c>
      <c r="O1951" s="3" t="s">
        <v>2377</v>
      </c>
    </row>
    <row r="1952" spans="1:15">
      <c r="A1952">
        <v>56</v>
      </c>
      <c r="B1952">
        <v>709</v>
      </c>
      <c r="C1952" t="s">
        <v>81</v>
      </c>
      <c r="D1952" t="s">
        <v>417</v>
      </c>
      <c r="E1952" s="232" t="s">
        <v>9862</v>
      </c>
      <c r="F1952" t="s">
        <v>70</v>
      </c>
      <c r="G1952">
        <v>2</v>
      </c>
      <c r="H1952">
        <v>133.15600000000001</v>
      </c>
      <c r="I1952">
        <v>132.90799999999999</v>
      </c>
      <c r="J1952">
        <v>132.67599999999999</v>
      </c>
      <c r="K1952">
        <v>132.08000000000001</v>
      </c>
      <c r="L1952">
        <v>130.87299999999999</v>
      </c>
      <c r="M1952" s="233" t="s">
        <v>530</v>
      </c>
      <c r="N1952" s="233" t="s">
        <v>530</v>
      </c>
      <c r="O1952" s="3" t="s">
        <v>2378</v>
      </c>
    </row>
    <row r="1953" spans="1:15">
      <c r="A1953">
        <v>56</v>
      </c>
      <c r="B1953">
        <v>713</v>
      </c>
      <c r="C1953" t="s">
        <v>81</v>
      </c>
      <c r="D1953" t="s">
        <v>417</v>
      </c>
      <c r="E1953" s="232" t="s">
        <v>8835</v>
      </c>
      <c r="F1953" t="s">
        <v>70</v>
      </c>
      <c r="G1953">
        <v>2</v>
      </c>
      <c r="H1953">
        <v>133.15600000000001</v>
      </c>
      <c r="I1953">
        <v>132.90799999999999</v>
      </c>
      <c r="J1953">
        <v>132.67599999999999</v>
      </c>
      <c r="K1953">
        <v>132.08000000000001</v>
      </c>
      <c r="L1953">
        <v>130.87299999999999</v>
      </c>
      <c r="M1953" s="233" t="s">
        <v>530</v>
      </c>
      <c r="N1953" s="233" t="s">
        <v>530</v>
      </c>
      <c r="O1953" s="3" t="s">
        <v>2379</v>
      </c>
    </row>
    <row r="1954" spans="1:15">
      <c r="A1954">
        <v>56</v>
      </c>
      <c r="B1954">
        <v>708</v>
      </c>
      <c r="C1954" t="s">
        <v>81</v>
      </c>
      <c r="D1954" t="s">
        <v>417</v>
      </c>
      <c r="E1954" s="232" t="s">
        <v>9887</v>
      </c>
      <c r="F1954" t="s">
        <v>70</v>
      </c>
      <c r="G1954">
        <v>2</v>
      </c>
      <c r="H1954">
        <v>133.047</v>
      </c>
      <c r="I1954">
        <v>132.80500000000001</v>
      </c>
      <c r="J1954">
        <v>132.53899999999999</v>
      </c>
      <c r="K1954">
        <v>131.93600000000001</v>
      </c>
      <c r="L1954">
        <v>130.745</v>
      </c>
      <c r="M1954" s="233" t="s">
        <v>530</v>
      </c>
      <c r="N1954" s="233" t="s">
        <v>530</v>
      </c>
      <c r="O1954" s="3" t="s">
        <v>2380</v>
      </c>
    </row>
    <row r="1955" spans="1:15">
      <c r="A1955">
        <v>56</v>
      </c>
      <c r="B1955">
        <v>710</v>
      </c>
      <c r="C1955" t="s">
        <v>81</v>
      </c>
      <c r="D1955" t="s">
        <v>417</v>
      </c>
      <c r="E1955" s="232" t="s">
        <v>9885</v>
      </c>
      <c r="F1955" t="s">
        <v>70</v>
      </c>
      <c r="G1955">
        <v>2</v>
      </c>
      <c r="H1955">
        <v>133.047</v>
      </c>
      <c r="I1955">
        <v>132.80500000000001</v>
      </c>
      <c r="J1955">
        <v>132.53899999999999</v>
      </c>
      <c r="K1955">
        <v>131.93600000000001</v>
      </c>
      <c r="L1955">
        <v>130.745</v>
      </c>
      <c r="M1955" s="233" t="s">
        <v>530</v>
      </c>
      <c r="N1955" s="233" t="s">
        <v>530</v>
      </c>
      <c r="O1955" s="3" t="s">
        <v>2381</v>
      </c>
    </row>
    <row r="1956" spans="1:15">
      <c r="A1956">
        <v>56</v>
      </c>
      <c r="B1956">
        <v>715</v>
      </c>
      <c r="C1956" t="s">
        <v>81</v>
      </c>
      <c r="D1956" t="s">
        <v>417</v>
      </c>
      <c r="E1956" s="232" t="s">
        <v>9918</v>
      </c>
      <c r="F1956" t="s">
        <v>70</v>
      </c>
      <c r="G1956">
        <v>2</v>
      </c>
      <c r="H1956">
        <v>132.94800000000001</v>
      </c>
      <c r="I1956">
        <v>132.72499999999999</v>
      </c>
      <c r="J1956">
        <v>132.46799999999999</v>
      </c>
      <c r="K1956">
        <v>131.86500000000001</v>
      </c>
      <c r="L1956">
        <v>130.65799999999999</v>
      </c>
      <c r="M1956" s="233" t="s">
        <v>530</v>
      </c>
      <c r="N1956" s="233" t="s">
        <v>530</v>
      </c>
      <c r="O1956" s="3" t="s">
        <v>2382</v>
      </c>
    </row>
    <row r="1957" spans="1:15">
      <c r="A1957">
        <v>56</v>
      </c>
      <c r="B1957">
        <v>706</v>
      </c>
      <c r="C1957" t="s">
        <v>81</v>
      </c>
      <c r="D1957" t="s">
        <v>417</v>
      </c>
      <c r="E1957" s="232" t="s">
        <v>9980</v>
      </c>
      <c r="F1957" t="s">
        <v>70</v>
      </c>
      <c r="G1957">
        <v>2</v>
      </c>
      <c r="H1957">
        <v>132.87700000000001</v>
      </c>
      <c r="I1957">
        <v>132.59700000000001</v>
      </c>
      <c r="J1957">
        <v>132.32900000000001</v>
      </c>
      <c r="K1957">
        <v>131.72800000000001</v>
      </c>
      <c r="L1957">
        <v>130.488</v>
      </c>
      <c r="M1957" s="233" t="s">
        <v>530</v>
      </c>
      <c r="N1957" s="233" t="s">
        <v>530</v>
      </c>
      <c r="O1957" s="3" t="s">
        <v>2383</v>
      </c>
    </row>
    <row r="1958" spans="1:15">
      <c r="A1958">
        <v>56</v>
      </c>
      <c r="B1958">
        <v>711</v>
      </c>
      <c r="C1958" t="s">
        <v>81</v>
      </c>
      <c r="D1958" t="s">
        <v>417</v>
      </c>
      <c r="E1958" s="232" t="s">
        <v>8640</v>
      </c>
      <c r="F1958" t="s">
        <v>70</v>
      </c>
      <c r="G1958">
        <v>2</v>
      </c>
      <c r="H1958">
        <v>132.87700000000001</v>
      </c>
      <c r="I1958">
        <v>132.59700000000001</v>
      </c>
      <c r="J1958">
        <v>132.32900000000001</v>
      </c>
      <c r="K1958">
        <v>131.72800000000001</v>
      </c>
      <c r="L1958">
        <v>130.488</v>
      </c>
      <c r="M1958" s="233" t="s">
        <v>530</v>
      </c>
      <c r="N1958" s="233" t="s">
        <v>530</v>
      </c>
      <c r="O1958" s="3" t="s">
        <v>2384</v>
      </c>
    </row>
    <row r="1959" spans="1:15">
      <c r="A1959">
        <v>56</v>
      </c>
      <c r="B1959">
        <v>714</v>
      </c>
      <c r="C1959" t="s">
        <v>81</v>
      </c>
      <c r="D1959" t="s">
        <v>417</v>
      </c>
      <c r="E1959" s="232" t="s">
        <v>8283</v>
      </c>
      <c r="F1959" t="s">
        <v>70</v>
      </c>
      <c r="G1959">
        <v>2</v>
      </c>
      <c r="H1959">
        <v>132.77600000000001</v>
      </c>
      <c r="I1959">
        <v>132.488</v>
      </c>
      <c r="J1959">
        <v>132.21</v>
      </c>
      <c r="K1959">
        <v>131.60900000000001</v>
      </c>
      <c r="L1959">
        <v>130.35300000000001</v>
      </c>
      <c r="M1959" s="233" t="s">
        <v>530</v>
      </c>
      <c r="N1959" s="233" t="s">
        <v>530</v>
      </c>
      <c r="O1959" s="3" t="s">
        <v>2385</v>
      </c>
    </row>
    <row r="1960" spans="1:15">
      <c r="A1960">
        <v>56</v>
      </c>
      <c r="B1960">
        <v>712</v>
      </c>
      <c r="C1960" t="s">
        <v>81</v>
      </c>
      <c r="D1960" t="s">
        <v>417</v>
      </c>
      <c r="E1960" s="232" t="s">
        <v>8624</v>
      </c>
      <c r="F1960" t="s">
        <v>70</v>
      </c>
      <c r="G1960">
        <v>2</v>
      </c>
      <c r="H1960">
        <v>132.69800000000001</v>
      </c>
      <c r="I1960">
        <v>132.41800000000001</v>
      </c>
      <c r="J1960">
        <v>132.13</v>
      </c>
      <c r="K1960">
        <v>131.52699999999999</v>
      </c>
      <c r="L1960">
        <v>130.26599999999999</v>
      </c>
      <c r="M1960" s="233" t="s">
        <v>530</v>
      </c>
      <c r="N1960" s="233" t="s">
        <v>530</v>
      </c>
      <c r="O1960" s="3" t="s">
        <v>2386</v>
      </c>
    </row>
    <row r="1961" spans="1:15">
      <c r="A1961">
        <v>57</v>
      </c>
      <c r="B1961">
        <v>716</v>
      </c>
      <c r="C1961" t="s">
        <v>81</v>
      </c>
      <c r="D1961" t="s">
        <v>417</v>
      </c>
      <c r="E1961" s="232" t="s">
        <v>9487</v>
      </c>
      <c r="F1961" t="s">
        <v>71</v>
      </c>
      <c r="G1961">
        <v>2</v>
      </c>
      <c r="H1961">
        <v>132.89500000000001</v>
      </c>
      <c r="I1961">
        <v>132.465</v>
      </c>
      <c r="J1961">
        <v>132.13300000000001</v>
      </c>
      <c r="K1961">
        <v>131.613</v>
      </c>
      <c r="L1961">
        <v>130.505</v>
      </c>
      <c r="M1961" s="233" t="s">
        <v>530</v>
      </c>
      <c r="N1961" s="233" t="s">
        <v>530</v>
      </c>
      <c r="O1961" s="3" t="s">
        <v>2387</v>
      </c>
    </row>
    <row r="1962" spans="1:15">
      <c r="A1962">
        <v>57</v>
      </c>
      <c r="B1962">
        <v>725</v>
      </c>
      <c r="C1962" t="s">
        <v>81</v>
      </c>
      <c r="D1962" t="s">
        <v>417</v>
      </c>
      <c r="E1962" s="232" t="s">
        <v>491</v>
      </c>
      <c r="F1962" t="s">
        <v>71</v>
      </c>
      <c r="G1962">
        <v>2</v>
      </c>
      <c r="H1962">
        <v>131.798</v>
      </c>
      <c r="I1962">
        <v>131.613</v>
      </c>
      <c r="J1962">
        <v>131.40199999999999</v>
      </c>
      <c r="K1962">
        <v>130.94499999999999</v>
      </c>
      <c r="L1962">
        <v>130.15100000000001</v>
      </c>
      <c r="M1962" s="233" t="s">
        <v>530</v>
      </c>
      <c r="N1962" s="233" t="s">
        <v>530</v>
      </c>
      <c r="O1962" s="3" t="s">
        <v>2388</v>
      </c>
    </row>
    <row r="1963" spans="1:15">
      <c r="A1963">
        <v>57</v>
      </c>
      <c r="B1963">
        <v>718</v>
      </c>
      <c r="C1963" t="s">
        <v>81</v>
      </c>
      <c r="D1963" t="s">
        <v>417</v>
      </c>
      <c r="E1963" s="232" t="s">
        <v>489</v>
      </c>
      <c r="F1963" t="s">
        <v>71</v>
      </c>
      <c r="G1963">
        <v>2</v>
      </c>
      <c r="H1963">
        <v>131.58500000000001</v>
      </c>
      <c r="I1963">
        <v>131.4</v>
      </c>
      <c r="J1963">
        <v>131.239</v>
      </c>
      <c r="K1963">
        <v>130.666</v>
      </c>
      <c r="L1963">
        <v>129.46199999999999</v>
      </c>
      <c r="M1963" s="233" t="s">
        <v>530</v>
      </c>
      <c r="N1963" s="233" t="s">
        <v>530</v>
      </c>
      <c r="O1963" s="3" t="s">
        <v>2389</v>
      </c>
    </row>
    <row r="1964" spans="1:15">
      <c r="A1964">
        <v>57</v>
      </c>
      <c r="B1964">
        <v>724</v>
      </c>
      <c r="C1964" t="s">
        <v>81</v>
      </c>
      <c r="D1964" t="s">
        <v>417</v>
      </c>
      <c r="E1964" s="232" t="s">
        <v>9921</v>
      </c>
      <c r="F1964" t="s">
        <v>71</v>
      </c>
      <c r="G1964">
        <v>2</v>
      </c>
      <c r="H1964">
        <v>131.40199999999999</v>
      </c>
      <c r="I1964">
        <v>131.26900000000001</v>
      </c>
      <c r="J1964">
        <v>131.10599999999999</v>
      </c>
      <c r="K1964">
        <v>130.505</v>
      </c>
      <c r="L1964">
        <v>129.29900000000001</v>
      </c>
      <c r="M1964" s="233" t="s">
        <v>530</v>
      </c>
      <c r="N1964" s="233" t="s">
        <v>530</v>
      </c>
      <c r="O1964" s="3" t="s">
        <v>2390</v>
      </c>
    </row>
    <row r="1965" spans="1:15">
      <c r="A1965">
        <v>57</v>
      </c>
      <c r="B1965">
        <v>721</v>
      </c>
      <c r="C1965" t="s">
        <v>81</v>
      </c>
      <c r="D1965" t="s">
        <v>417</v>
      </c>
      <c r="E1965" s="232" t="s">
        <v>8216</v>
      </c>
      <c r="F1965" t="s">
        <v>71</v>
      </c>
      <c r="G1965">
        <v>2</v>
      </c>
      <c r="H1965">
        <v>131.29900000000001</v>
      </c>
      <c r="I1965">
        <v>131.12799999999999</v>
      </c>
      <c r="J1965">
        <v>130.93899999999999</v>
      </c>
      <c r="K1965">
        <v>130.37200000000001</v>
      </c>
      <c r="L1965">
        <v>129.16800000000001</v>
      </c>
      <c r="M1965" s="233" t="s">
        <v>530</v>
      </c>
      <c r="N1965" s="233" t="s">
        <v>530</v>
      </c>
      <c r="O1965" s="3" t="s">
        <v>2391</v>
      </c>
    </row>
    <row r="1966" spans="1:15">
      <c r="A1966">
        <v>57</v>
      </c>
      <c r="B1966">
        <v>717</v>
      </c>
      <c r="C1966" t="s">
        <v>81</v>
      </c>
      <c r="D1966" t="s">
        <v>417</v>
      </c>
      <c r="E1966" s="232" t="s">
        <v>8654</v>
      </c>
      <c r="F1966" t="s">
        <v>71</v>
      </c>
      <c r="G1966">
        <v>2</v>
      </c>
      <c r="H1966">
        <v>131.26900000000001</v>
      </c>
      <c r="I1966">
        <v>131.10599999999999</v>
      </c>
      <c r="J1966">
        <v>130.887</v>
      </c>
      <c r="K1966">
        <v>130.28399999999999</v>
      </c>
      <c r="L1966">
        <v>129.108</v>
      </c>
      <c r="M1966" s="233" t="s">
        <v>530</v>
      </c>
      <c r="N1966" s="233" t="s">
        <v>530</v>
      </c>
      <c r="O1966" s="3" t="s">
        <v>2392</v>
      </c>
    </row>
    <row r="1967" spans="1:15">
      <c r="A1967">
        <v>57</v>
      </c>
      <c r="B1967">
        <v>720</v>
      </c>
      <c r="C1967" t="s">
        <v>81</v>
      </c>
      <c r="D1967" t="s">
        <v>417</v>
      </c>
      <c r="E1967" s="232" t="s">
        <v>560</v>
      </c>
      <c r="F1967" t="s">
        <v>71</v>
      </c>
      <c r="G1967">
        <v>2</v>
      </c>
      <c r="H1967">
        <v>131.26900000000001</v>
      </c>
      <c r="I1967">
        <v>131.10599999999999</v>
      </c>
      <c r="J1967">
        <v>130.887</v>
      </c>
      <c r="K1967">
        <v>130.28399999999999</v>
      </c>
      <c r="L1967">
        <v>129.108</v>
      </c>
      <c r="M1967" s="233" t="s">
        <v>530</v>
      </c>
      <c r="N1967" s="233" t="s">
        <v>530</v>
      </c>
      <c r="O1967" s="3" t="s">
        <v>2393</v>
      </c>
    </row>
    <row r="1968" spans="1:15">
      <c r="A1968">
        <v>57</v>
      </c>
      <c r="B1968">
        <v>722</v>
      </c>
      <c r="C1968" t="s">
        <v>81</v>
      </c>
      <c r="D1968" t="s">
        <v>417</v>
      </c>
      <c r="E1968" s="232" t="s">
        <v>8618</v>
      </c>
      <c r="F1968" t="s">
        <v>71</v>
      </c>
      <c r="G1968">
        <v>2</v>
      </c>
      <c r="H1968">
        <v>131.12799999999999</v>
      </c>
      <c r="I1968">
        <v>130.93899999999999</v>
      </c>
      <c r="J1968">
        <v>130.75399999999999</v>
      </c>
      <c r="K1968">
        <v>130.18100000000001</v>
      </c>
      <c r="L1968">
        <v>128.97499999999999</v>
      </c>
      <c r="M1968" s="233" t="s">
        <v>530</v>
      </c>
      <c r="N1968" s="233" t="s">
        <v>530</v>
      </c>
      <c r="O1968" s="3" t="s">
        <v>2394</v>
      </c>
    </row>
    <row r="1969" spans="1:15">
      <c r="A1969">
        <v>57</v>
      </c>
      <c r="B1969">
        <v>726</v>
      </c>
      <c r="C1969" t="s">
        <v>81</v>
      </c>
      <c r="D1969" t="s">
        <v>417</v>
      </c>
      <c r="E1969" s="232" t="s">
        <v>8190</v>
      </c>
      <c r="F1969" t="s">
        <v>71</v>
      </c>
      <c r="G1969">
        <v>2</v>
      </c>
      <c r="H1969">
        <v>131.04599999999999</v>
      </c>
      <c r="I1969">
        <v>130.857</v>
      </c>
      <c r="J1969">
        <v>130.666</v>
      </c>
      <c r="K1969">
        <v>130.09100000000001</v>
      </c>
      <c r="L1969">
        <v>128.857</v>
      </c>
      <c r="M1969" s="233" t="s">
        <v>530</v>
      </c>
      <c r="N1969" s="233" t="s">
        <v>530</v>
      </c>
      <c r="O1969" s="3" t="s">
        <v>2395</v>
      </c>
    </row>
    <row r="1970" spans="1:15">
      <c r="A1970">
        <v>57</v>
      </c>
      <c r="B1970">
        <v>727</v>
      </c>
      <c r="C1970" t="s">
        <v>81</v>
      </c>
      <c r="D1970" t="s">
        <v>417</v>
      </c>
      <c r="E1970" s="232" t="s">
        <v>8772</v>
      </c>
      <c r="F1970" t="s">
        <v>71</v>
      </c>
      <c r="G1970">
        <v>2</v>
      </c>
      <c r="H1970">
        <v>131.04599999999999</v>
      </c>
      <c r="I1970">
        <v>130.857</v>
      </c>
      <c r="J1970">
        <v>130.666</v>
      </c>
      <c r="K1970">
        <v>130.09100000000001</v>
      </c>
      <c r="L1970">
        <v>128.857</v>
      </c>
      <c r="M1970" s="233" t="s">
        <v>530</v>
      </c>
      <c r="N1970" s="233" t="s">
        <v>530</v>
      </c>
      <c r="O1970" s="3" t="s">
        <v>2396</v>
      </c>
    </row>
    <row r="1971" spans="1:15">
      <c r="A1971">
        <v>57</v>
      </c>
      <c r="B1971">
        <v>719</v>
      </c>
      <c r="C1971" t="s">
        <v>81</v>
      </c>
      <c r="D1971" t="s">
        <v>417</v>
      </c>
      <c r="E1971" s="232" t="s">
        <v>8232</v>
      </c>
      <c r="F1971" t="s">
        <v>71</v>
      </c>
      <c r="G1971">
        <v>2</v>
      </c>
      <c r="H1971">
        <v>130.93899999999999</v>
      </c>
      <c r="I1971">
        <v>130.75399999999999</v>
      </c>
      <c r="J1971">
        <v>130.56299999999999</v>
      </c>
      <c r="K1971">
        <v>129.982</v>
      </c>
      <c r="L1971">
        <v>128.77600000000001</v>
      </c>
      <c r="M1971" s="233" t="s">
        <v>530</v>
      </c>
      <c r="N1971" s="233" t="s">
        <v>530</v>
      </c>
      <c r="O1971" s="3" t="s">
        <v>2397</v>
      </c>
    </row>
    <row r="1972" spans="1:15">
      <c r="A1972">
        <v>57</v>
      </c>
      <c r="B1972">
        <v>723</v>
      </c>
      <c r="C1972" t="s">
        <v>81</v>
      </c>
      <c r="D1972" t="s">
        <v>417</v>
      </c>
      <c r="E1972" s="232" t="s">
        <v>561</v>
      </c>
      <c r="F1972" t="s">
        <v>71</v>
      </c>
      <c r="G1972">
        <v>2</v>
      </c>
      <c r="H1972">
        <v>130.93899999999999</v>
      </c>
      <c r="I1972">
        <v>130.75399999999999</v>
      </c>
      <c r="J1972">
        <v>130.56299999999999</v>
      </c>
      <c r="K1972">
        <v>129.982</v>
      </c>
      <c r="L1972">
        <v>128.77600000000001</v>
      </c>
      <c r="M1972" s="233" t="s">
        <v>530</v>
      </c>
      <c r="N1972" s="233" t="s">
        <v>530</v>
      </c>
      <c r="O1972" s="3" t="s">
        <v>2398</v>
      </c>
    </row>
    <row r="1973" spans="1:15">
      <c r="A1973">
        <v>85</v>
      </c>
      <c r="B1973">
        <v>841</v>
      </c>
      <c r="C1973" t="s">
        <v>81</v>
      </c>
      <c r="D1973" t="s">
        <v>9189</v>
      </c>
      <c r="E1973" s="232" t="s">
        <v>10193</v>
      </c>
      <c r="F1973" t="s">
        <v>70</v>
      </c>
      <c r="G1973">
        <v>2</v>
      </c>
      <c r="H1973">
        <v>911.96900000000005</v>
      </c>
      <c r="I1973">
        <v>909.84299999999996</v>
      </c>
      <c r="J1973">
        <v>907.01099999999997</v>
      </c>
      <c r="K1973">
        <v>902.78899999999999</v>
      </c>
      <c r="L1973">
        <v>897.42100000000005</v>
      </c>
      <c r="M1973" s="233" t="s">
        <v>532</v>
      </c>
      <c r="N1973" s="233" t="s">
        <v>532</v>
      </c>
      <c r="O1973" s="3" t="s">
        <v>2399</v>
      </c>
    </row>
    <row r="1974" spans="1:15">
      <c r="A1974">
        <v>75</v>
      </c>
      <c r="B1974">
        <v>854</v>
      </c>
      <c r="C1974" t="s">
        <v>81</v>
      </c>
      <c r="D1974" t="s">
        <v>236</v>
      </c>
      <c r="E1974" s="232" t="s">
        <v>8988</v>
      </c>
      <c r="F1974" t="s">
        <v>70</v>
      </c>
      <c r="G1974">
        <v>2</v>
      </c>
      <c r="H1974">
        <v>938.87300000000005</v>
      </c>
      <c r="I1974">
        <v>934.41099999999994</v>
      </c>
      <c r="J1974">
        <v>930.52099999999996</v>
      </c>
      <c r="K1974">
        <v>927.09699999999998</v>
      </c>
      <c r="L1974">
        <v>921.28800000000001</v>
      </c>
      <c r="M1974" s="233" t="s">
        <v>532</v>
      </c>
      <c r="N1974" s="233" t="s">
        <v>533</v>
      </c>
      <c r="O1974" s="3" t="s">
        <v>2400</v>
      </c>
    </row>
    <row r="1975" spans="1:15">
      <c r="A1975">
        <v>75</v>
      </c>
      <c r="B1975">
        <v>850</v>
      </c>
      <c r="C1975" t="s">
        <v>81</v>
      </c>
      <c r="D1975" t="s">
        <v>236</v>
      </c>
      <c r="E1975" s="232" t="s">
        <v>7351</v>
      </c>
      <c r="F1975" t="s">
        <v>70</v>
      </c>
      <c r="G1975">
        <v>2</v>
      </c>
      <c r="H1975">
        <v>912.07899999999995</v>
      </c>
      <c r="I1975">
        <v>909.63300000000004</v>
      </c>
      <c r="J1975">
        <v>907.846</v>
      </c>
      <c r="K1975">
        <v>905.16099999999994</v>
      </c>
      <c r="L1975">
        <v>898.22500000000002</v>
      </c>
      <c r="M1975" s="233" t="s">
        <v>532</v>
      </c>
      <c r="N1975" s="233" t="s">
        <v>533</v>
      </c>
      <c r="O1975" s="3" t="s">
        <v>2401</v>
      </c>
    </row>
    <row r="1976" spans="1:15">
      <c r="A1976">
        <v>74</v>
      </c>
      <c r="B1976">
        <v>860</v>
      </c>
      <c r="C1976" t="s">
        <v>81</v>
      </c>
      <c r="D1976" t="s">
        <v>236</v>
      </c>
      <c r="E1976" s="232" t="s">
        <v>10166</v>
      </c>
      <c r="F1976" t="s">
        <v>70</v>
      </c>
      <c r="G1976">
        <v>2</v>
      </c>
      <c r="H1976">
        <v>917.41200000000003</v>
      </c>
      <c r="I1976">
        <v>912.16899999999998</v>
      </c>
      <c r="J1976">
        <v>907.68700000000001</v>
      </c>
      <c r="K1976">
        <v>903.995</v>
      </c>
      <c r="L1976">
        <v>896.10799999999995</v>
      </c>
      <c r="M1976" s="233" t="s">
        <v>532</v>
      </c>
      <c r="N1976" s="233" t="s">
        <v>533</v>
      </c>
      <c r="O1976" s="3" t="s">
        <v>2402</v>
      </c>
    </row>
    <row r="1977" spans="1:15">
      <c r="A1977">
        <v>75</v>
      </c>
      <c r="B1977">
        <v>852</v>
      </c>
      <c r="C1977" t="s">
        <v>81</v>
      </c>
      <c r="D1977" t="s">
        <v>236</v>
      </c>
      <c r="E1977" s="232" t="s">
        <v>480</v>
      </c>
      <c r="F1977" t="s">
        <v>70</v>
      </c>
      <c r="G1977">
        <v>2</v>
      </c>
      <c r="H1977">
        <v>913.17899999999997</v>
      </c>
      <c r="I1977">
        <v>908.04100000000005</v>
      </c>
      <c r="J1977">
        <v>903.91899999999998</v>
      </c>
      <c r="K1977">
        <v>899.51499999999999</v>
      </c>
      <c r="L1977">
        <v>894.18100000000004</v>
      </c>
      <c r="M1977" s="233" t="s">
        <v>532</v>
      </c>
      <c r="N1977" s="233" t="s">
        <v>533</v>
      </c>
      <c r="O1977" s="3" t="s">
        <v>2403</v>
      </c>
    </row>
    <row r="1978" spans="1:15">
      <c r="A1978">
        <v>74</v>
      </c>
      <c r="B1978">
        <v>861</v>
      </c>
      <c r="C1978" t="s">
        <v>81</v>
      </c>
      <c r="D1978" t="s">
        <v>236</v>
      </c>
      <c r="E1978" s="232" t="s">
        <v>10224</v>
      </c>
      <c r="F1978" t="s">
        <v>70</v>
      </c>
      <c r="G1978">
        <v>2</v>
      </c>
      <c r="H1978">
        <v>915.721</v>
      </c>
      <c r="I1978">
        <v>910.57299999999998</v>
      </c>
      <c r="J1978">
        <v>906.44399999999996</v>
      </c>
      <c r="K1978">
        <v>902.029</v>
      </c>
      <c r="L1978">
        <v>895.2</v>
      </c>
      <c r="M1978" s="233" t="s">
        <v>532</v>
      </c>
      <c r="N1978" s="233" t="s">
        <v>533</v>
      </c>
      <c r="O1978" s="3" t="s">
        <v>2404</v>
      </c>
    </row>
    <row r="1979" spans="1:15">
      <c r="A1979">
        <v>74</v>
      </c>
      <c r="B1979">
        <v>866</v>
      </c>
      <c r="C1979" t="s">
        <v>81</v>
      </c>
      <c r="D1979" t="s">
        <v>236</v>
      </c>
      <c r="E1979" s="232" t="s">
        <v>551</v>
      </c>
      <c r="F1979" t="s">
        <v>70</v>
      </c>
      <c r="G1979">
        <v>2</v>
      </c>
      <c r="H1979">
        <v>913.71900000000005</v>
      </c>
      <c r="I1979">
        <v>908.82799999999997</v>
      </c>
      <c r="J1979">
        <v>904.38699999999994</v>
      </c>
      <c r="K1979">
        <v>900.03499999999997</v>
      </c>
      <c r="L1979">
        <v>892.77599999999995</v>
      </c>
      <c r="M1979" s="233" t="s">
        <v>532</v>
      </c>
      <c r="N1979" s="233" t="s">
        <v>533</v>
      </c>
      <c r="O1979" s="3" t="s">
        <v>2405</v>
      </c>
    </row>
    <row r="1980" spans="1:15">
      <c r="A1980">
        <v>74</v>
      </c>
      <c r="B1980">
        <v>864</v>
      </c>
      <c r="C1980" t="s">
        <v>81</v>
      </c>
      <c r="D1980" t="s">
        <v>236</v>
      </c>
      <c r="E1980" s="232" t="s">
        <v>8418</v>
      </c>
      <c r="F1980" t="s">
        <v>70</v>
      </c>
      <c r="G1980">
        <v>2</v>
      </c>
      <c r="H1980">
        <v>912.16899999999998</v>
      </c>
      <c r="I1980">
        <v>907.12699999999995</v>
      </c>
      <c r="J1980">
        <v>902.63499999999999</v>
      </c>
      <c r="K1980">
        <v>898.33799999999997</v>
      </c>
      <c r="L1980">
        <v>891.70100000000002</v>
      </c>
      <c r="M1980" s="233" t="s">
        <v>532</v>
      </c>
      <c r="N1980" s="233" t="s">
        <v>533</v>
      </c>
      <c r="O1980" s="3" t="s">
        <v>2406</v>
      </c>
    </row>
    <row r="1981" spans="1:15">
      <c r="A1981">
        <v>74</v>
      </c>
      <c r="B1981">
        <v>863</v>
      </c>
      <c r="C1981" t="s">
        <v>81</v>
      </c>
      <c r="D1981" t="s">
        <v>236</v>
      </c>
      <c r="E1981" s="232" t="s">
        <v>10426</v>
      </c>
      <c r="F1981" t="s">
        <v>70</v>
      </c>
      <c r="G1981">
        <v>2</v>
      </c>
      <c r="H1981">
        <v>911.91200000000003</v>
      </c>
      <c r="I1981">
        <v>906.92100000000005</v>
      </c>
      <c r="J1981">
        <v>902.29200000000003</v>
      </c>
      <c r="K1981">
        <v>898.04700000000003</v>
      </c>
      <c r="L1981">
        <v>891.57</v>
      </c>
      <c r="M1981" s="233" t="s">
        <v>532</v>
      </c>
      <c r="N1981" s="233" t="s">
        <v>533</v>
      </c>
      <c r="O1981" s="3" t="s">
        <v>2407</v>
      </c>
    </row>
    <row r="1982" spans="1:15">
      <c r="A1982">
        <v>75</v>
      </c>
      <c r="B1982">
        <v>857</v>
      </c>
      <c r="C1982" t="s">
        <v>81</v>
      </c>
      <c r="D1982" t="s">
        <v>236</v>
      </c>
      <c r="E1982" s="232" t="s">
        <v>10460</v>
      </c>
      <c r="F1982" t="s">
        <v>70</v>
      </c>
      <c r="G1982">
        <v>2</v>
      </c>
      <c r="H1982">
        <v>908.91200000000003</v>
      </c>
      <c r="I1982">
        <v>903.91899999999998</v>
      </c>
      <c r="J1982">
        <v>899.08600000000001</v>
      </c>
      <c r="K1982">
        <v>895.15099999999995</v>
      </c>
      <c r="L1982">
        <v>888.649</v>
      </c>
      <c r="M1982" s="233" t="s">
        <v>532</v>
      </c>
      <c r="N1982" s="233" t="s">
        <v>533</v>
      </c>
      <c r="O1982" s="3" t="s">
        <v>2408</v>
      </c>
    </row>
    <row r="1983" spans="1:15">
      <c r="A1983">
        <v>75</v>
      </c>
      <c r="B1983">
        <v>858</v>
      </c>
      <c r="C1983" t="s">
        <v>81</v>
      </c>
      <c r="D1983" t="s">
        <v>236</v>
      </c>
      <c r="E1983" s="232" t="s">
        <v>10490</v>
      </c>
      <c r="F1983" t="s">
        <v>70</v>
      </c>
      <c r="G1983">
        <v>2</v>
      </c>
      <c r="H1983">
        <v>908.42700000000002</v>
      </c>
      <c r="I1983">
        <v>903.17</v>
      </c>
      <c r="J1983">
        <v>898.68899999999996</v>
      </c>
      <c r="K1983">
        <v>895.01499999999999</v>
      </c>
      <c r="L1983">
        <v>888.26700000000005</v>
      </c>
      <c r="M1983" s="233" t="s">
        <v>532</v>
      </c>
      <c r="N1983" s="233" t="s">
        <v>533</v>
      </c>
      <c r="O1983" s="3" t="s">
        <v>2409</v>
      </c>
    </row>
    <row r="1984" spans="1:15">
      <c r="A1984">
        <v>74</v>
      </c>
      <c r="B1984">
        <v>862</v>
      </c>
      <c r="C1984" t="s">
        <v>81</v>
      </c>
      <c r="D1984" t="s">
        <v>236</v>
      </c>
      <c r="E1984" s="232" t="s">
        <v>9074</v>
      </c>
      <c r="F1984" t="s">
        <v>70</v>
      </c>
      <c r="G1984">
        <v>2</v>
      </c>
      <c r="H1984">
        <v>910.96</v>
      </c>
      <c r="I1984">
        <v>905.69399999999996</v>
      </c>
      <c r="J1984">
        <v>901.202</v>
      </c>
      <c r="K1984">
        <v>897.51700000000005</v>
      </c>
      <c r="L1984">
        <v>890.75900000000001</v>
      </c>
      <c r="M1984" s="233" t="s">
        <v>532</v>
      </c>
      <c r="N1984" s="233" t="s">
        <v>533</v>
      </c>
      <c r="O1984" s="3" t="s">
        <v>2410</v>
      </c>
    </row>
    <row r="1985" spans="1:15">
      <c r="A1985">
        <v>74</v>
      </c>
      <c r="B1985">
        <v>865</v>
      </c>
      <c r="C1985" t="s">
        <v>81</v>
      </c>
      <c r="D1985" t="s">
        <v>236</v>
      </c>
      <c r="E1985" s="232" t="s">
        <v>8168</v>
      </c>
      <c r="F1985" t="s">
        <v>70</v>
      </c>
      <c r="G1985">
        <v>2</v>
      </c>
      <c r="H1985">
        <v>910.96</v>
      </c>
      <c r="I1985">
        <v>905.69399999999996</v>
      </c>
      <c r="J1985">
        <v>901.202</v>
      </c>
      <c r="K1985">
        <v>897.51700000000005</v>
      </c>
      <c r="L1985">
        <v>890.75900000000001</v>
      </c>
      <c r="M1985" s="233" t="s">
        <v>532</v>
      </c>
      <c r="N1985" s="233" t="s">
        <v>533</v>
      </c>
      <c r="O1985" s="3" t="s">
        <v>2411</v>
      </c>
    </row>
    <row r="1986" spans="1:15">
      <c r="A1986">
        <v>74</v>
      </c>
      <c r="B1986">
        <v>868</v>
      </c>
      <c r="C1986" t="s">
        <v>81</v>
      </c>
      <c r="D1986" t="s">
        <v>236</v>
      </c>
      <c r="E1986" s="232" t="s">
        <v>550</v>
      </c>
      <c r="F1986" t="s">
        <v>70</v>
      </c>
      <c r="G1986">
        <v>2</v>
      </c>
      <c r="H1986">
        <v>909.68899999999996</v>
      </c>
      <c r="I1986">
        <v>904.82100000000003</v>
      </c>
      <c r="J1986">
        <v>900.03499999999997</v>
      </c>
      <c r="K1986">
        <v>896.40700000000004</v>
      </c>
      <c r="L1986">
        <v>890.16399999999999</v>
      </c>
      <c r="M1986" s="233" t="s">
        <v>532</v>
      </c>
      <c r="N1986" s="233" t="s">
        <v>533</v>
      </c>
      <c r="O1986" s="3" t="s">
        <v>2412</v>
      </c>
    </row>
    <row r="1987" spans="1:15">
      <c r="A1987">
        <v>74</v>
      </c>
      <c r="B1987">
        <v>867</v>
      </c>
      <c r="C1987" t="s">
        <v>81</v>
      </c>
      <c r="D1987" t="s">
        <v>236</v>
      </c>
      <c r="E1987" s="232" t="s">
        <v>555</v>
      </c>
      <c r="F1987" t="s">
        <v>70</v>
      </c>
      <c r="G1987">
        <v>2</v>
      </c>
      <c r="H1987">
        <v>907.54899999999998</v>
      </c>
      <c r="I1987">
        <v>902.029</v>
      </c>
      <c r="J1987">
        <v>897.65300000000002</v>
      </c>
      <c r="K1987">
        <v>894.77300000000002</v>
      </c>
      <c r="L1987">
        <v>888.87599999999998</v>
      </c>
      <c r="M1987" s="233" t="s">
        <v>532</v>
      </c>
      <c r="N1987" s="233" t="s">
        <v>533</v>
      </c>
      <c r="O1987" s="3" t="s">
        <v>2413</v>
      </c>
    </row>
    <row r="1988" spans="1:15">
      <c r="A1988">
        <v>73</v>
      </c>
      <c r="B1988">
        <v>891</v>
      </c>
      <c r="C1988" t="s">
        <v>81</v>
      </c>
      <c r="D1988" t="s">
        <v>236</v>
      </c>
      <c r="E1988" s="232" t="s">
        <v>8938</v>
      </c>
      <c r="F1988" t="s">
        <v>71</v>
      </c>
      <c r="G1988">
        <v>2</v>
      </c>
      <c r="H1988">
        <v>908.83799999999997</v>
      </c>
      <c r="I1988">
        <v>903.68299999999999</v>
      </c>
      <c r="J1988">
        <v>900.61</v>
      </c>
      <c r="K1988">
        <v>897.37</v>
      </c>
      <c r="L1988">
        <v>889.66800000000001</v>
      </c>
      <c r="M1988" s="233" t="s">
        <v>532</v>
      </c>
      <c r="N1988" s="233" t="s">
        <v>533</v>
      </c>
      <c r="O1988" s="3" t="s">
        <v>2414</v>
      </c>
    </row>
    <row r="1989" spans="1:15">
      <c r="A1989">
        <v>76</v>
      </c>
      <c r="B1989">
        <v>874</v>
      </c>
      <c r="C1989" t="s">
        <v>81</v>
      </c>
      <c r="D1989" t="s">
        <v>236</v>
      </c>
      <c r="E1989" s="232" t="s">
        <v>9709</v>
      </c>
      <c r="F1989" t="s">
        <v>71</v>
      </c>
      <c r="G1989">
        <v>2</v>
      </c>
      <c r="H1989">
        <v>903.99199999999996</v>
      </c>
      <c r="I1989">
        <v>898.471</v>
      </c>
      <c r="J1989">
        <v>894.41899999999998</v>
      </c>
      <c r="K1989">
        <v>890.94600000000003</v>
      </c>
      <c r="L1989">
        <v>883.18700000000001</v>
      </c>
      <c r="M1989" s="233" t="s">
        <v>532</v>
      </c>
      <c r="N1989" s="233" t="s">
        <v>533</v>
      </c>
      <c r="O1989" s="3" t="s">
        <v>2415</v>
      </c>
    </row>
    <row r="1990" spans="1:15">
      <c r="A1990">
        <v>67</v>
      </c>
      <c r="B1990">
        <v>771</v>
      </c>
      <c r="C1990" t="s">
        <v>81</v>
      </c>
      <c r="D1990" t="s">
        <v>237</v>
      </c>
      <c r="E1990" s="232" t="s">
        <v>10436</v>
      </c>
      <c r="F1990" t="s">
        <v>70</v>
      </c>
      <c r="G1990">
        <v>2</v>
      </c>
      <c r="H1990">
        <v>701.86699999999996</v>
      </c>
      <c r="I1990">
        <v>699.06200000000001</v>
      </c>
      <c r="J1990">
        <v>696.73199999999997</v>
      </c>
      <c r="K1990">
        <v>693.54499999999996</v>
      </c>
      <c r="L1990">
        <v>689.76599999999996</v>
      </c>
      <c r="M1990" s="233" t="s">
        <v>530</v>
      </c>
      <c r="N1990" s="233" t="s">
        <v>530</v>
      </c>
      <c r="O1990" s="3" t="s">
        <v>2416</v>
      </c>
    </row>
    <row r="1991" spans="1:15">
      <c r="A1991">
        <v>67</v>
      </c>
      <c r="B1991">
        <v>784</v>
      </c>
      <c r="C1991" t="s">
        <v>81</v>
      </c>
      <c r="D1991" t="s">
        <v>237</v>
      </c>
      <c r="E1991" s="232" t="s">
        <v>10859</v>
      </c>
      <c r="F1991" t="s">
        <v>70</v>
      </c>
      <c r="G1991">
        <v>2</v>
      </c>
      <c r="H1991">
        <v>697.67</v>
      </c>
      <c r="I1991">
        <v>694.601</v>
      </c>
      <c r="J1991">
        <v>692.37099999999998</v>
      </c>
      <c r="K1991">
        <v>690.12</v>
      </c>
      <c r="L1991">
        <v>686.34100000000001</v>
      </c>
      <c r="M1991" s="233" t="s">
        <v>530</v>
      </c>
      <c r="N1991" s="233" t="s">
        <v>530</v>
      </c>
      <c r="O1991" s="3" t="s">
        <v>2417</v>
      </c>
    </row>
    <row r="1992" spans="1:15">
      <c r="A1992">
        <v>67</v>
      </c>
      <c r="B1992">
        <v>779</v>
      </c>
      <c r="C1992" t="s">
        <v>81</v>
      </c>
      <c r="D1992" t="s">
        <v>237</v>
      </c>
      <c r="E1992" s="232" t="s">
        <v>10837</v>
      </c>
      <c r="F1992" t="s">
        <v>70</v>
      </c>
      <c r="G1992">
        <v>2</v>
      </c>
      <c r="H1992">
        <v>694.601</v>
      </c>
      <c r="I1992">
        <v>691.85900000000004</v>
      </c>
      <c r="J1992">
        <v>690.29200000000003</v>
      </c>
      <c r="K1992">
        <v>687.63300000000004</v>
      </c>
      <c r="L1992">
        <v>684.71</v>
      </c>
      <c r="M1992" s="233" t="s">
        <v>530</v>
      </c>
      <c r="N1992" s="233" t="s">
        <v>530</v>
      </c>
      <c r="O1992" s="3" t="s">
        <v>2418</v>
      </c>
    </row>
    <row r="1993" spans="1:15">
      <c r="A1993">
        <v>67</v>
      </c>
      <c r="B1993">
        <v>786</v>
      </c>
      <c r="C1993" t="s">
        <v>81</v>
      </c>
      <c r="D1993" t="s">
        <v>237</v>
      </c>
      <c r="E1993" s="232" t="s">
        <v>16725</v>
      </c>
      <c r="F1993" t="s">
        <v>70</v>
      </c>
      <c r="G1993">
        <v>2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s="233" t="s">
        <v>530</v>
      </c>
      <c r="N1993" s="233" t="s">
        <v>530</v>
      </c>
      <c r="O1993" s="3" t="s">
        <v>2623</v>
      </c>
    </row>
    <row r="1994" spans="1:15">
      <c r="A1994">
        <v>68</v>
      </c>
      <c r="B1994">
        <v>793</v>
      </c>
      <c r="C1994" t="s">
        <v>81</v>
      </c>
      <c r="D1994" t="s">
        <v>237</v>
      </c>
      <c r="E1994" s="232" t="s">
        <v>10158</v>
      </c>
      <c r="F1994" t="s">
        <v>71</v>
      </c>
      <c r="G1994">
        <v>2</v>
      </c>
      <c r="H1994">
        <v>699.09400000000005</v>
      </c>
      <c r="I1994">
        <v>696.5</v>
      </c>
      <c r="J1994">
        <v>694.36</v>
      </c>
      <c r="K1994">
        <v>691.31600000000003</v>
      </c>
      <c r="L1994">
        <v>687</v>
      </c>
      <c r="M1994" s="233" t="s">
        <v>530</v>
      </c>
      <c r="N1994" s="233" t="s">
        <v>530</v>
      </c>
      <c r="O1994" s="3" t="s">
        <v>2419</v>
      </c>
    </row>
    <row r="1995" spans="1:15">
      <c r="A1995">
        <v>68</v>
      </c>
      <c r="B1995">
        <v>794</v>
      </c>
      <c r="C1995" t="s">
        <v>81</v>
      </c>
      <c r="D1995" t="s">
        <v>237</v>
      </c>
      <c r="E1995" s="232" t="s">
        <v>9921</v>
      </c>
      <c r="F1995" t="s">
        <v>71</v>
      </c>
      <c r="G1995">
        <v>2</v>
      </c>
      <c r="H1995">
        <v>694.49400000000003</v>
      </c>
      <c r="I1995">
        <v>692.11599999999999</v>
      </c>
      <c r="J1995">
        <v>688.97400000000005</v>
      </c>
      <c r="K1995">
        <v>687</v>
      </c>
      <c r="L1995">
        <v>684.39</v>
      </c>
      <c r="M1995" s="233" t="s">
        <v>530</v>
      </c>
      <c r="N1995" s="233" t="s">
        <v>530</v>
      </c>
      <c r="O1995" s="3" t="s">
        <v>2420</v>
      </c>
    </row>
    <row r="1996" spans="1:15">
      <c r="A1996">
        <v>68</v>
      </c>
      <c r="B1996">
        <v>803</v>
      </c>
      <c r="C1996" t="s">
        <v>81</v>
      </c>
      <c r="D1996" t="s">
        <v>237</v>
      </c>
      <c r="E1996" s="232" t="s">
        <v>9936</v>
      </c>
      <c r="F1996" t="s">
        <v>71</v>
      </c>
      <c r="G1996">
        <v>2</v>
      </c>
      <c r="H1996">
        <v>693.80600000000004</v>
      </c>
      <c r="I1996">
        <v>691.46600000000001</v>
      </c>
      <c r="J1996">
        <v>688.27</v>
      </c>
      <c r="K1996">
        <v>686.53</v>
      </c>
      <c r="L1996">
        <v>683.05</v>
      </c>
      <c r="M1996" s="233" t="s">
        <v>530</v>
      </c>
      <c r="N1996" s="233" t="s">
        <v>530</v>
      </c>
      <c r="O1996" s="3" t="s">
        <v>2421</v>
      </c>
    </row>
    <row r="1997" spans="1:15">
      <c r="A1997">
        <v>68</v>
      </c>
      <c r="B1997">
        <v>806</v>
      </c>
      <c r="C1997" t="s">
        <v>81</v>
      </c>
      <c r="D1997" t="s">
        <v>237</v>
      </c>
      <c r="E1997" s="232" t="s">
        <v>8753</v>
      </c>
      <c r="F1997" t="s">
        <v>71</v>
      </c>
      <c r="G1997">
        <v>2</v>
      </c>
      <c r="H1997">
        <v>693.60599999999999</v>
      </c>
      <c r="I1997">
        <v>691.04600000000005</v>
      </c>
      <c r="J1997">
        <v>687.98599999999999</v>
      </c>
      <c r="K1997">
        <v>686.24599999999998</v>
      </c>
      <c r="L1997">
        <v>682.76599999999996</v>
      </c>
      <c r="M1997" s="233" t="s">
        <v>530</v>
      </c>
      <c r="N1997" s="233" t="s">
        <v>530</v>
      </c>
      <c r="O1997" s="3" t="s">
        <v>2422</v>
      </c>
    </row>
    <row r="1998" spans="1:15">
      <c r="A1998">
        <v>68</v>
      </c>
      <c r="B1998">
        <v>812</v>
      </c>
      <c r="C1998" t="s">
        <v>81</v>
      </c>
      <c r="D1998" t="s">
        <v>237</v>
      </c>
      <c r="E1998" s="232" t="s">
        <v>10659</v>
      </c>
      <c r="F1998" t="s">
        <v>71</v>
      </c>
      <c r="G1998">
        <v>2</v>
      </c>
      <c r="H1998">
        <v>692.11599999999999</v>
      </c>
      <c r="I1998">
        <v>689.32600000000002</v>
      </c>
      <c r="J1998">
        <v>687</v>
      </c>
      <c r="K1998">
        <v>684.69</v>
      </c>
      <c r="L1998">
        <v>681.01</v>
      </c>
      <c r="M1998" s="233" t="s">
        <v>530</v>
      </c>
      <c r="N1998" s="233" t="s">
        <v>530</v>
      </c>
      <c r="O1998" s="3" t="s">
        <v>2423</v>
      </c>
    </row>
    <row r="1999" spans="1:15">
      <c r="A1999">
        <v>68</v>
      </c>
      <c r="B1999">
        <v>799</v>
      </c>
      <c r="C1999" t="s">
        <v>81</v>
      </c>
      <c r="D1999" t="s">
        <v>237</v>
      </c>
      <c r="E1999" s="232" t="s">
        <v>10660</v>
      </c>
      <c r="F1999" t="s">
        <v>71</v>
      </c>
      <c r="G1999">
        <v>2</v>
      </c>
      <c r="H1999">
        <v>691.75</v>
      </c>
      <c r="I1999">
        <v>689.32600000000002</v>
      </c>
      <c r="J1999">
        <v>686.66399999999999</v>
      </c>
      <c r="K1999">
        <v>684.99</v>
      </c>
      <c r="L1999">
        <v>681.79600000000005</v>
      </c>
      <c r="M1999" s="233" t="s">
        <v>530</v>
      </c>
      <c r="N1999" s="233" t="s">
        <v>530</v>
      </c>
      <c r="O1999" s="3" t="s">
        <v>2424</v>
      </c>
    </row>
    <row r="2000" spans="1:15">
      <c r="A2000">
        <v>68</v>
      </c>
      <c r="B2000">
        <v>807</v>
      </c>
      <c r="C2000" t="s">
        <v>81</v>
      </c>
      <c r="D2000" t="s">
        <v>237</v>
      </c>
      <c r="E2000" s="232" t="s">
        <v>16726</v>
      </c>
      <c r="F2000" t="s">
        <v>71</v>
      </c>
      <c r="G2000">
        <v>2</v>
      </c>
      <c r="H2000">
        <v>690.96400000000006</v>
      </c>
      <c r="I2000">
        <v>688.54</v>
      </c>
      <c r="J2000">
        <v>686.096</v>
      </c>
      <c r="K2000">
        <v>684.54</v>
      </c>
      <c r="L2000">
        <v>681.29399999999998</v>
      </c>
      <c r="M2000" s="233" t="s">
        <v>530</v>
      </c>
      <c r="N2000" s="233" t="s">
        <v>530</v>
      </c>
      <c r="O2000" s="3" t="s">
        <v>2425</v>
      </c>
    </row>
    <row r="2001" spans="1:15">
      <c r="A2001">
        <v>68</v>
      </c>
      <c r="B2001">
        <v>800</v>
      </c>
      <c r="C2001" t="s">
        <v>81</v>
      </c>
      <c r="D2001" t="s">
        <v>237</v>
      </c>
      <c r="E2001" s="232" t="s">
        <v>10705</v>
      </c>
      <c r="F2001" t="s">
        <v>71</v>
      </c>
      <c r="G2001">
        <v>2</v>
      </c>
      <c r="H2001">
        <v>690.39599999999996</v>
      </c>
      <c r="I2001">
        <v>687.98599999999999</v>
      </c>
      <c r="J2001">
        <v>685.74400000000003</v>
      </c>
      <c r="K2001">
        <v>684.05399999999997</v>
      </c>
      <c r="L2001">
        <v>680.87599999999998</v>
      </c>
      <c r="M2001" s="233" t="s">
        <v>530</v>
      </c>
      <c r="N2001" s="233" t="s">
        <v>530</v>
      </c>
      <c r="O2001" s="3" t="s">
        <v>2426</v>
      </c>
    </row>
    <row r="2002" spans="1:15">
      <c r="A2002">
        <v>68</v>
      </c>
      <c r="B2002">
        <v>792</v>
      </c>
      <c r="C2002" t="s">
        <v>81</v>
      </c>
      <c r="D2002" t="s">
        <v>237</v>
      </c>
      <c r="E2002" s="232" t="s">
        <v>16727</v>
      </c>
      <c r="F2002" t="s">
        <v>71</v>
      </c>
      <c r="G2002">
        <v>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s="233" t="s">
        <v>530</v>
      </c>
      <c r="N2002" s="233" t="s">
        <v>530</v>
      </c>
      <c r="O2002" s="3" t="s">
        <v>2623</v>
      </c>
    </row>
    <row r="2003" spans="1:15">
      <c r="A2003">
        <v>68</v>
      </c>
      <c r="B2003">
        <v>811</v>
      </c>
      <c r="C2003" t="s">
        <v>81</v>
      </c>
      <c r="D2003" t="s">
        <v>237</v>
      </c>
      <c r="E2003" s="232" t="s">
        <v>16728</v>
      </c>
      <c r="F2003" t="s">
        <v>71</v>
      </c>
      <c r="G2003">
        <v>2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s="233" t="s">
        <v>530</v>
      </c>
      <c r="N2003" s="233" t="s">
        <v>530</v>
      </c>
      <c r="O2003" s="3" t="s">
        <v>2623</v>
      </c>
    </row>
    <row r="2004" spans="1:15">
      <c r="A2004">
        <v>83</v>
      </c>
      <c r="B2004">
        <v>914</v>
      </c>
      <c r="C2004" t="s">
        <v>81</v>
      </c>
      <c r="D2004" t="s">
        <v>301</v>
      </c>
      <c r="E2004" s="232" t="s">
        <v>7965</v>
      </c>
      <c r="F2004" t="s">
        <v>71</v>
      </c>
      <c r="G2004">
        <v>2</v>
      </c>
      <c r="H2004">
        <v>711.87699999999995</v>
      </c>
      <c r="I2004">
        <v>708.98299999999995</v>
      </c>
      <c r="J2004">
        <v>705.56100000000004</v>
      </c>
      <c r="K2004">
        <v>702.77599999999995</v>
      </c>
      <c r="L2004">
        <v>697.23699999999997</v>
      </c>
      <c r="M2004" s="233" t="s">
        <v>530</v>
      </c>
      <c r="N2004" s="233" t="s">
        <v>531</v>
      </c>
      <c r="O2004" s="3" t="s">
        <v>2427</v>
      </c>
    </row>
    <row r="2005" spans="1:15">
      <c r="A2005">
        <v>111</v>
      </c>
      <c r="B2005">
        <v>973</v>
      </c>
      <c r="C2005" t="s">
        <v>81</v>
      </c>
      <c r="D2005" t="s">
        <v>221</v>
      </c>
      <c r="E2005" s="232" t="s">
        <v>9971</v>
      </c>
      <c r="F2005" t="s">
        <v>70</v>
      </c>
      <c r="G2005">
        <v>2</v>
      </c>
      <c r="H2005">
        <v>918.37199999999996</v>
      </c>
      <c r="I2005">
        <v>914.64099999999996</v>
      </c>
      <c r="J2005">
        <v>909.21799999999996</v>
      </c>
      <c r="K2005">
        <v>902.66600000000005</v>
      </c>
      <c r="L2005">
        <v>893.84</v>
      </c>
      <c r="M2005" s="233" t="s">
        <v>532</v>
      </c>
      <c r="N2005" s="233" t="s">
        <v>533</v>
      </c>
      <c r="O2005" s="3" t="s">
        <v>2428</v>
      </c>
    </row>
    <row r="2006" spans="1:15">
      <c r="A2006">
        <v>111</v>
      </c>
      <c r="B2006">
        <v>974</v>
      </c>
      <c r="C2006" t="s">
        <v>81</v>
      </c>
      <c r="D2006" t="s">
        <v>221</v>
      </c>
      <c r="E2006" s="232" t="s">
        <v>8633</v>
      </c>
      <c r="F2006" t="s">
        <v>70</v>
      </c>
      <c r="G2006">
        <v>2</v>
      </c>
      <c r="H2006">
        <v>916.51300000000003</v>
      </c>
      <c r="I2006">
        <v>912.83900000000006</v>
      </c>
      <c r="J2006">
        <v>907.36099999999999</v>
      </c>
      <c r="K2006">
        <v>903.346</v>
      </c>
      <c r="L2006">
        <v>897.63300000000004</v>
      </c>
      <c r="M2006" s="233" t="s">
        <v>532</v>
      </c>
      <c r="N2006" s="233" t="s">
        <v>533</v>
      </c>
      <c r="O2006" s="3" t="s">
        <v>2429</v>
      </c>
    </row>
    <row r="2007" spans="1:15">
      <c r="A2007">
        <v>111</v>
      </c>
      <c r="B2007">
        <v>976</v>
      </c>
      <c r="C2007" t="s">
        <v>81</v>
      </c>
      <c r="D2007" t="s">
        <v>221</v>
      </c>
      <c r="E2007" s="232" t="s">
        <v>8856</v>
      </c>
      <c r="F2007" t="s">
        <v>70</v>
      </c>
      <c r="G2007">
        <v>2</v>
      </c>
      <c r="H2007">
        <v>916.51300000000003</v>
      </c>
      <c r="I2007">
        <v>912.83900000000006</v>
      </c>
      <c r="J2007">
        <v>907.36099999999999</v>
      </c>
      <c r="K2007">
        <v>900.68799999999999</v>
      </c>
      <c r="L2007">
        <v>892.34400000000005</v>
      </c>
      <c r="M2007" s="233" t="s">
        <v>532</v>
      </c>
      <c r="N2007" s="233" t="s">
        <v>533</v>
      </c>
      <c r="O2007" s="3" t="s">
        <v>2430</v>
      </c>
    </row>
    <row r="2008" spans="1:15">
      <c r="A2008">
        <v>111</v>
      </c>
      <c r="B2008">
        <v>981</v>
      </c>
      <c r="C2008" t="s">
        <v>81</v>
      </c>
      <c r="D2008" t="s">
        <v>221</v>
      </c>
      <c r="E2008" s="232" t="s">
        <v>8418</v>
      </c>
      <c r="F2008" t="s">
        <v>70</v>
      </c>
      <c r="G2008">
        <v>2</v>
      </c>
      <c r="H2008">
        <v>914.50800000000004</v>
      </c>
      <c r="I2008">
        <v>910.14400000000001</v>
      </c>
      <c r="J2008">
        <v>904.72699999999998</v>
      </c>
      <c r="K2008">
        <v>897.76900000000001</v>
      </c>
      <c r="L2008">
        <v>890.22299999999996</v>
      </c>
      <c r="M2008" s="233" t="s">
        <v>532</v>
      </c>
      <c r="N2008" s="233" t="s">
        <v>533</v>
      </c>
      <c r="O2008" s="3" t="s">
        <v>2431</v>
      </c>
    </row>
    <row r="2009" spans="1:15">
      <c r="A2009">
        <v>111</v>
      </c>
      <c r="B2009">
        <v>975</v>
      </c>
      <c r="C2009" t="s">
        <v>81</v>
      </c>
      <c r="D2009" t="s">
        <v>221</v>
      </c>
      <c r="E2009" s="232" t="s">
        <v>8491</v>
      </c>
      <c r="F2009" t="s">
        <v>70</v>
      </c>
      <c r="G2009">
        <v>2</v>
      </c>
      <c r="H2009">
        <v>913.947</v>
      </c>
      <c r="I2009">
        <v>909.59699999999998</v>
      </c>
      <c r="J2009">
        <v>904.08699999999999</v>
      </c>
      <c r="K2009">
        <v>900.42700000000002</v>
      </c>
      <c r="L2009">
        <v>894.37099999999998</v>
      </c>
      <c r="M2009" s="233" t="s">
        <v>532</v>
      </c>
      <c r="N2009" s="233" t="s">
        <v>533</v>
      </c>
      <c r="O2009" s="3" t="s">
        <v>2432</v>
      </c>
    </row>
    <row r="2010" spans="1:15">
      <c r="A2010">
        <v>111</v>
      </c>
      <c r="B2010">
        <v>977</v>
      </c>
      <c r="C2010" t="s">
        <v>81</v>
      </c>
      <c r="D2010" t="s">
        <v>221</v>
      </c>
      <c r="E2010" s="232" t="s">
        <v>10384</v>
      </c>
      <c r="F2010" t="s">
        <v>70</v>
      </c>
      <c r="G2010">
        <v>2</v>
      </c>
      <c r="H2010">
        <v>906.96799999999996</v>
      </c>
      <c r="I2010">
        <v>904.08699999999999</v>
      </c>
      <c r="J2010">
        <v>901.57100000000003</v>
      </c>
      <c r="K2010">
        <v>894.37099999999998</v>
      </c>
      <c r="L2010">
        <v>886.21600000000001</v>
      </c>
      <c r="M2010" s="233" t="s">
        <v>532</v>
      </c>
      <c r="N2010" s="233" t="s">
        <v>533</v>
      </c>
      <c r="O2010" s="3" t="s">
        <v>2433</v>
      </c>
    </row>
    <row r="2011" spans="1:15">
      <c r="A2011">
        <v>111</v>
      </c>
      <c r="B2011">
        <v>980</v>
      </c>
      <c r="C2011" t="s">
        <v>81</v>
      </c>
      <c r="D2011" t="s">
        <v>221</v>
      </c>
      <c r="E2011" s="232" t="s">
        <v>10405</v>
      </c>
      <c r="F2011" t="s">
        <v>70</v>
      </c>
      <c r="G2011">
        <v>2</v>
      </c>
      <c r="H2011">
        <v>908.76300000000003</v>
      </c>
      <c r="I2011">
        <v>904.72699999999998</v>
      </c>
      <c r="J2011">
        <v>899.33500000000004</v>
      </c>
      <c r="K2011">
        <v>892.67399999999998</v>
      </c>
      <c r="L2011">
        <v>886.47799999999995</v>
      </c>
      <c r="M2011" s="233" t="s">
        <v>532</v>
      </c>
      <c r="N2011" s="233" t="s">
        <v>533</v>
      </c>
      <c r="O2011" s="3" t="s">
        <v>2434</v>
      </c>
    </row>
    <row r="2012" spans="1:15">
      <c r="A2012">
        <v>111</v>
      </c>
      <c r="B2012">
        <v>984</v>
      </c>
      <c r="C2012" t="s">
        <v>81</v>
      </c>
      <c r="D2012" t="s">
        <v>221</v>
      </c>
      <c r="E2012" s="232" t="s">
        <v>7255</v>
      </c>
      <c r="F2012" t="s">
        <v>70</v>
      </c>
      <c r="G2012">
        <v>2</v>
      </c>
      <c r="H2012">
        <v>905.34500000000003</v>
      </c>
      <c r="I2012">
        <v>902.66600000000005</v>
      </c>
      <c r="J2012">
        <v>898.39200000000005</v>
      </c>
      <c r="K2012">
        <v>894.78</v>
      </c>
      <c r="L2012">
        <v>889.64499999999998</v>
      </c>
      <c r="M2012" s="233" t="s">
        <v>532</v>
      </c>
      <c r="N2012" s="233" t="s">
        <v>533</v>
      </c>
      <c r="O2012" s="3" t="s">
        <v>2435</v>
      </c>
    </row>
    <row r="2013" spans="1:15">
      <c r="A2013">
        <v>111</v>
      </c>
      <c r="B2013">
        <v>983</v>
      </c>
      <c r="C2013" t="s">
        <v>81</v>
      </c>
      <c r="D2013" t="s">
        <v>221</v>
      </c>
      <c r="E2013" s="232" t="s">
        <v>8011</v>
      </c>
      <c r="F2013" t="s">
        <v>70</v>
      </c>
      <c r="G2013">
        <v>2</v>
      </c>
      <c r="H2013">
        <v>906.149</v>
      </c>
      <c r="I2013">
        <v>902.10199999999998</v>
      </c>
      <c r="J2013">
        <v>896.51599999999996</v>
      </c>
      <c r="K2013">
        <v>892.67399999999998</v>
      </c>
      <c r="L2013">
        <v>886.80799999999999</v>
      </c>
      <c r="M2013" s="233" t="s">
        <v>532</v>
      </c>
      <c r="N2013" s="233" t="s">
        <v>533</v>
      </c>
      <c r="O2013" s="3" t="s">
        <v>2436</v>
      </c>
    </row>
    <row r="2014" spans="1:15">
      <c r="A2014">
        <v>111</v>
      </c>
      <c r="B2014">
        <v>978</v>
      </c>
      <c r="C2014" t="s">
        <v>81</v>
      </c>
      <c r="D2014" t="s">
        <v>221</v>
      </c>
      <c r="E2014" s="232" t="s">
        <v>10578</v>
      </c>
      <c r="F2014" t="s">
        <v>70</v>
      </c>
      <c r="G2014">
        <v>2</v>
      </c>
      <c r="H2014">
        <v>905.84900000000005</v>
      </c>
      <c r="I2014">
        <v>901.96600000000001</v>
      </c>
      <c r="J2014">
        <v>895.76400000000001</v>
      </c>
      <c r="K2014">
        <v>890.48299999999995</v>
      </c>
      <c r="L2014">
        <v>884.78</v>
      </c>
      <c r="M2014" s="233" t="s">
        <v>532</v>
      </c>
      <c r="N2014" s="233" t="s">
        <v>533</v>
      </c>
      <c r="O2014" s="3" t="s">
        <v>2437</v>
      </c>
    </row>
    <row r="2015" spans="1:15">
      <c r="A2015">
        <v>111</v>
      </c>
      <c r="B2015">
        <v>982</v>
      </c>
      <c r="C2015" t="s">
        <v>81</v>
      </c>
      <c r="D2015" t="s">
        <v>221</v>
      </c>
      <c r="E2015" s="232" t="s">
        <v>8757</v>
      </c>
      <c r="F2015" t="s">
        <v>70</v>
      </c>
      <c r="G2015">
        <v>2</v>
      </c>
      <c r="H2015">
        <v>905.84900000000005</v>
      </c>
      <c r="I2015">
        <v>901.96600000000001</v>
      </c>
      <c r="J2015">
        <v>895.76400000000001</v>
      </c>
      <c r="K2015">
        <v>892.67200000000003</v>
      </c>
      <c r="L2015">
        <v>886.67200000000003</v>
      </c>
      <c r="M2015" s="233" t="s">
        <v>532</v>
      </c>
      <c r="N2015" s="233" t="s">
        <v>533</v>
      </c>
      <c r="O2015" s="3" t="s">
        <v>2438</v>
      </c>
    </row>
    <row r="2016" spans="1:15">
      <c r="A2016">
        <v>111</v>
      </c>
      <c r="B2016">
        <v>979</v>
      </c>
      <c r="C2016" t="s">
        <v>81</v>
      </c>
      <c r="D2016" t="s">
        <v>221</v>
      </c>
      <c r="E2016" s="232" t="s">
        <v>9649</v>
      </c>
      <c r="F2016" t="s">
        <v>70</v>
      </c>
      <c r="G2016">
        <v>2</v>
      </c>
      <c r="H2016">
        <v>903.59400000000005</v>
      </c>
      <c r="I2016">
        <v>899.33500000000004</v>
      </c>
      <c r="J2016">
        <v>893.84</v>
      </c>
      <c r="K2016">
        <v>891.15300000000002</v>
      </c>
      <c r="L2016">
        <v>885.35799999999995</v>
      </c>
      <c r="M2016" s="233" t="s">
        <v>532</v>
      </c>
      <c r="N2016" s="233" t="s">
        <v>533</v>
      </c>
      <c r="O2016" s="3" t="s">
        <v>2439</v>
      </c>
    </row>
    <row r="2017" spans="1:15">
      <c r="A2017">
        <v>111</v>
      </c>
      <c r="B2017">
        <v>986</v>
      </c>
      <c r="C2017" t="s">
        <v>81</v>
      </c>
      <c r="D2017" t="s">
        <v>221</v>
      </c>
      <c r="E2017" s="232" t="s">
        <v>10713</v>
      </c>
      <c r="F2017" t="s">
        <v>70</v>
      </c>
      <c r="G2017">
        <v>2</v>
      </c>
      <c r="H2017">
        <v>900.42700000000002</v>
      </c>
      <c r="I2017">
        <v>897.11599999999999</v>
      </c>
      <c r="J2017">
        <v>893.38599999999997</v>
      </c>
      <c r="K2017">
        <v>888.44100000000003</v>
      </c>
      <c r="L2017">
        <v>883.029</v>
      </c>
      <c r="M2017" s="233" t="s">
        <v>532</v>
      </c>
      <c r="N2017" s="233" t="s">
        <v>533</v>
      </c>
      <c r="O2017" s="3" t="s">
        <v>2440</v>
      </c>
    </row>
    <row r="2018" spans="1:15">
      <c r="A2018">
        <v>111</v>
      </c>
      <c r="B2018">
        <v>990</v>
      </c>
      <c r="C2018" t="s">
        <v>81</v>
      </c>
      <c r="D2018" t="s">
        <v>221</v>
      </c>
      <c r="E2018" s="232" t="s">
        <v>10862</v>
      </c>
      <c r="F2018" t="s">
        <v>70</v>
      </c>
      <c r="G2018">
        <v>2</v>
      </c>
      <c r="H2018">
        <v>901.57100000000003</v>
      </c>
      <c r="I2018">
        <v>897.11599999999999</v>
      </c>
      <c r="J2018">
        <v>892.47799999999995</v>
      </c>
      <c r="K2018">
        <v>889.24</v>
      </c>
      <c r="L2018">
        <v>884.03899999999999</v>
      </c>
      <c r="M2018" s="233" t="s">
        <v>532</v>
      </c>
      <c r="N2018" s="233" t="s">
        <v>533</v>
      </c>
      <c r="O2018" s="3" t="s">
        <v>2441</v>
      </c>
    </row>
    <row r="2019" spans="1:15">
      <c r="A2019">
        <v>111</v>
      </c>
      <c r="B2019">
        <v>991</v>
      </c>
      <c r="C2019" t="s">
        <v>81</v>
      </c>
      <c r="D2019" t="s">
        <v>221</v>
      </c>
      <c r="E2019" s="232" t="s">
        <v>8148</v>
      </c>
      <c r="F2019" t="s">
        <v>70</v>
      </c>
      <c r="G2019">
        <v>2</v>
      </c>
      <c r="H2019">
        <v>901.57100000000003</v>
      </c>
      <c r="I2019">
        <v>897.11599999999999</v>
      </c>
      <c r="J2019">
        <v>892.47799999999995</v>
      </c>
      <c r="K2019">
        <v>889.24</v>
      </c>
      <c r="L2019">
        <v>884.03899999999999</v>
      </c>
      <c r="M2019" s="233" t="s">
        <v>532</v>
      </c>
      <c r="N2019" s="233" t="s">
        <v>533</v>
      </c>
      <c r="O2019" s="3" t="s">
        <v>2442</v>
      </c>
    </row>
    <row r="2020" spans="1:15">
      <c r="A2020">
        <v>111</v>
      </c>
      <c r="B2020">
        <v>988</v>
      </c>
      <c r="C2020" t="s">
        <v>81</v>
      </c>
      <c r="D2020" t="s">
        <v>221</v>
      </c>
      <c r="E2020" s="232" t="s">
        <v>7256</v>
      </c>
      <c r="F2020" t="s">
        <v>70</v>
      </c>
      <c r="G2020">
        <v>2</v>
      </c>
      <c r="H2020">
        <v>899.78</v>
      </c>
      <c r="I2020">
        <v>896.51599999999996</v>
      </c>
      <c r="J2020">
        <v>891.98699999999997</v>
      </c>
      <c r="K2020">
        <v>888.44100000000003</v>
      </c>
      <c r="L2020">
        <v>883.42600000000004</v>
      </c>
      <c r="M2020" s="233" t="s">
        <v>532</v>
      </c>
      <c r="N2020" s="233" t="s">
        <v>533</v>
      </c>
      <c r="O2020" s="3" t="s">
        <v>2443</v>
      </c>
    </row>
    <row r="2021" spans="1:15">
      <c r="A2021">
        <v>111</v>
      </c>
      <c r="B2021">
        <v>985</v>
      </c>
      <c r="C2021" t="s">
        <v>81</v>
      </c>
      <c r="D2021" t="s">
        <v>221</v>
      </c>
      <c r="E2021" s="232" t="s">
        <v>10633</v>
      </c>
      <c r="F2021" t="s">
        <v>70</v>
      </c>
      <c r="G2021">
        <v>2</v>
      </c>
      <c r="H2021">
        <v>899.78</v>
      </c>
      <c r="I2021">
        <v>895.36900000000003</v>
      </c>
      <c r="J2021">
        <v>891.15300000000002</v>
      </c>
      <c r="K2021">
        <v>888.01700000000005</v>
      </c>
      <c r="L2021">
        <v>883.029</v>
      </c>
      <c r="M2021" s="233" t="s">
        <v>532</v>
      </c>
      <c r="N2021" s="233" t="s">
        <v>533</v>
      </c>
      <c r="O2021" s="3" t="s">
        <v>2444</v>
      </c>
    </row>
    <row r="2022" spans="1:15">
      <c r="A2022">
        <v>111</v>
      </c>
      <c r="B2022">
        <v>989</v>
      </c>
      <c r="C2022" t="s">
        <v>81</v>
      </c>
      <c r="D2022" t="s">
        <v>221</v>
      </c>
      <c r="E2022" s="232" t="s">
        <v>10846</v>
      </c>
      <c r="F2022" t="s">
        <v>70</v>
      </c>
      <c r="G2022">
        <v>2</v>
      </c>
      <c r="H2022">
        <v>897.76900000000001</v>
      </c>
      <c r="I2022">
        <v>893.84</v>
      </c>
      <c r="J2022">
        <v>889.64499999999998</v>
      </c>
      <c r="K2022">
        <v>886.80799999999999</v>
      </c>
      <c r="L2022">
        <v>882.13900000000001</v>
      </c>
      <c r="M2022" s="233" t="s">
        <v>532</v>
      </c>
      <c r="N2022" s="233" t="s">
        <v>533</v>
      </c>
      <c r="O2022" s="3" t="s">
        <v>2445</v>
      </c>
    </row>
    <row r="2023" spans="1:15">
      <c r="A2023">
        <v>111</v>
      </c>
      <c r="B2023">
        <v>987</v>
      </c>
      <c r="C2023" t="s">
        <v>81</v>
      </c>
      <c r="D2023" t="s">
        <v>221</v>
      </c>
      <c r="E2023" s="232" t="s">
        <v>551</v>
      </c>
      <c r="F2023" t="s">
        <v>70</v>
      </c>
      <c r="G2023">
        <v>2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s="233" t="s">
        <v>532</v>
      </c>
      <c r="N2023" s="233" t="s">
        <v>533</v>
      </c>
      <c r="O2023" s="3" t="s">
        <v>2623</v>
      </c>
    </row>
    <row r="2024" spans="1:15">
      <c r="A2024">
        <v>113</v>
      </c>
      <c r="B2024">
        <v>993</v>
      </c>
      <c r="C2024" t="s">
        <v>81</v>
      </c>
      <c r="D2024" t="s">
        <v>221</v>
      </c>
      <c r="E2024" s="232" t="s">
        <v>9916</v>
      </c>
      <c r="F2024" t="s">
        <v>71</v>
      </c>
      <c r="G2024">
        <v>2</v>
      </c>
      <c r="H2024">
        <v>902.47500000000002</v>
      </c>
      <c r="I2024">
        <v>901.34199999999998</v>
      </c>
      <c r="J2024">
        <v>900.07299999999998</v>
      </c>
      <c r="K2024">
        <v>898.73199999999997</v>
      </c>
      <c r="L2024">
        <v>896.44</v>
      </c>
      <c r="M2024" s="233" t="s">
        <v>532</v>
      </c>
      <c r="N2024" s="233" t="s">
        <v>533</v>
      </c>
      <c r="O2024" s="3" t="s">
        <v>2446</v>
      </c>
    </row>
    <row r="2025" spans="1:15">
      <c r="A2025">
        <v>114</v>
      </c>
      <c r="B2025">
        <v>995</v>
      </c>
      <c r="C2025" t="s">
        <v>81</v>
      </c>
      <c r="D2025" t="s">
        <v>221</v>
      </c>
      <c r="E2025" s="232" t="s">
        <v>8214</v>
      </c>
      <c r="F2025" t="s">
        <v>71</v>
      </c>
      <c r="G2025">
        <v>2</v>
      </c>
      <c r="H2025">
        <v>896.32500000000005</v>
      </c>
      <c r="I2025">
        <v>892.61500000000001</v>
      </c>
      <c r="J2025">
        <v>886.95799999999997</v>
      </c>
      <c r="K2025">
        <v>883.74800000000005</v>
      </c>
      <c r="L2025">
        <v>878.00099999999998</v>
      </c>
      <c r="M2025" s="233" t="s">
        <v>532</v>
      </c>
      <c r="N2025" s="233" t="s">
        <v>533</v>
      </c>
      <c r="O2025" s="3" t="s">
        <v>2447</v>
      </c>
    </row>
    <row r="2026" spans="1:15">
      <c r="A2026">
        <v>114</v>
      </c>
      <c r="B2026">
        <v>1004</v>
      </c>
      <c r="C2026" t="s">
        <v>81</v>
      </c>
      <c r="D2026" t="s">
        <v>221</v>
      </c>
      <c r="E2026" s="232" t="s">
        <v>9573</v>
      </c>
      <c r="F2026" t="s">
        <v>71</v>
      </c>
      <c r="G2026">
        <v>2</v>
      </c>
      <c r="H2026">
        <v>891.31600000000003</v>
      </c>
      <c r="I2026">
        <v>888.45299999999997</v>
      </c>
      <c r="J2026">
        <v>885.2</v>
      </c>
      <c r="K2026">
        <v>879.77</v>
      </c>
      <c r="L2026">
        <v>872.80399999999997</v>
      </c>
      <c r="M2026" s="233" t="s">
        <v>532</v>
      </c>
      <c r="N2026" s="233" t="s">
        <v>533</v>
      </c>
      <c r="O2026" s="3" t="s">
        <v>2448</v>
      </c>
    </row>
    <row r="2027" spans="1:15">
      <c r="A2027">
        <v>114</v>
      </c>
      <c r="B2027">
        <v>996</v>
      </c>
      <c r="C2027" t="s">
        <v>81</v>
      </c>
      <c r="D2027" t="s">
        <v>221</v>
      </c>
      <c r="E2027" s="232" t="s">
        <v>10797</v>
      </c>
      <c r="F2027" t="s">
        <v>71</v>
      </c>
      <c r="G2027">
        <v>2</v>
      </c>
      <c r="H2027">
        <v>889.64800000000002</v>
      </c>
      <c r="I2027">
        <v>886.77800000000002</v>
      </c>
      <c r="J2027">
        <v>883.98599999999999</v>
      </c>
      <c r="K2027">
        <v>881.23400000000004</v>
      </c>
      <c r="L2027">
        <v>875.65700000000004</v>
      </c>
      <c r="M2027" s="233" t="s">
        <v>532</v>
      </c>
      <c r="N2027" s="233" t="s">
        <v>533</v>
      </c>
      <c r="O2027" s="3" t="s">
        <v>2449</v>
      </c>
    </row>
    <row r="2028" spans="1:15">
      <c r="A2028">
        <v>113</v>
      </c>
      <c r="B2028">
        <v>994</v>
      </c>
      <c r="C2028" t="s">
        <v>81</v>
      </c>
      <c r="D2028" t="s">
        <v>221</v>
      </c>
      <c r="E2028" s="232" t="s">
        <v>10647</v>
      </c>
      <c r="F2028" t="s">
        <v>71</v>
      </c>
      <c r="G2028">
        <v>2</v>
      </c>
      <c r="H2028">
        <v>891.57799999999997</v>
      </c>
      <c r="I2028">
        <v>888.36900000000003</v>
      </c>
      <c r="J2028">
        <v>885.06200000000001</v>
      </c>
      <c r="K2028">
        <v>879.73500000000001</v>
      </c>
      <c r="L2028">
        <v>876.44500000000005</v>
      </c>
      <c r="M2028" s="233" t="s">
        <v>532</v>
      </c>
      <c r="N2028" s="233" t="s">
        <v>533</v>
      </c>
      <c r="O2028" s="3" t="s">
        <v>2450</v>
      </c>
    </row>
    <row r="2029" spans="1:15">
      <c r="A2029">
        <v>114</v>
      </c>
      <c r="B2029">
        <v>1002</v>
      </c>
      <c r="C2029" t="s">
        <v>81</v>
      </c>
      <c r="D2029" t="s">
        <v>221</v>
      </c>
      <c r="E2029" s="232" t="s">
        <v>8726</v>
      </c>
      <c r="F2029" t="s">
        <v>71</v>
      </c>
      <c r="G2029">
        <v>2</v>
      </c>
      <c r="H2029">
        <v>887.57500000000005</v>
      </c>
      <c r="I2029">
        <v>885.678</v>
      </c>
      <c r="J2029">
        <v>883.20500000000004</v>
      </c>
      <c r="K2029">
        <v>879.77</v>
      </c>
      <c r="L2029">
        <v>874.55899999999997</v>
      </c>
      <c r="M2029" s="233" t="s">
        <v>532</v>
      </c>
      <c r="N2029" s="233" t="s">
        <v>533</v>
      </c>
      <c r="O2029" s="3" t="s">
        <v>2451</v>
      </c>
    </row>
    <row r="2030" spans="1:15">
      <c r="A2030">
        <v>114</v>
      </c>
      <c r="B2030">
        <v>1003</v>
      </c>
      <c r="C2030" t="s">
        <v>81</v>
      </c>
      <c r="D2030" t="s">
        <v>221</v>
      </c>
      <c r="E2030" s="232" t="s">
        <v>8654</v>
      </c>
      <c r="F2030" t="s">
        <v>71</v>
      </c>
      <c r="G2030">
        <v>2</v>
      </c>
      <c r="H2030">
        <v>889.41</v>
      </c>
      <c r="I2030">
        <v>885.81899999999996</v>
      </c>
      <c r="J2030">
        <v>882.72699999999998</v>
      </c>
      <c r="K2030">
        <v>879.39099999999996</v>
      </c>
      <c r="L2030">
        <v>874.28200000000004</v>
      </c>
      <c r="M2030" s="233" t="s">
        <v>532</v>
      </c>
      <c r="N2030" s="233" t="s">
        <v>533</v>
      </c>
      <c r="O2030" s="3" t="s">
        <v>2452</v>
      </c>
    </row>
    <row r="2031" spans="1:15">
      <c r="A2031">
        <v>114</v>
      </c>
      <c r="B2031">
        <v>997</v>
      </c>
      <c r="C2031" t="s">
        <v>81</v>
      </c>
      <c r="D2031" t="s">
        <v>221</v>
      </c>
      <c r="E2031" s="232" t="s">
        <v>8618</v>
      </c>
      <c r="F2031" t="s">
        <v>71</v>
      </c>
      <c r="G2031">
        <v>2</v>
      </c>
      <c r="H2031">
        <v>889.64800000000002</v>
      </c>
      <c r="I2031">
        <v>885.81899999999996</v>
      </c>
      <c r="J2031">
        <v>882.48900000000003</v>
      </c>
      <c r="K2031">
        <v>876.80200000000002</v>
      </c>
      <c r="L2031">
        <v>871.404</v>
      </c>
      <c r="M2031" s="233" t="s">
        <v>532</v>
      </c>
      <c r="N2031" s="233" t="s">
        <v>533</v>
      </c>
      <c r="O2031" s="3" t="s">
        <v>2453</v>
      </c>
    </row>
    <row r="2032" spans="1:15">
      <c r="A2032">
        <v>113</v>
      </c>
      <c r="B2032">
        <v>998</v>
      </c>
      <c r="C2032" t="s">
        <v>81</v>
      </c>
      <c r="D2032" t="s">
        <v>221</v>
      </c>
      <c r="E2032" s="232" t="s">
        <v>10696</v>
      </c>
      <c r="F2032" t="s">
        <v>71</v>
      </c>
      <c r="G2032">
        <v>2</v>
      </c>
      <c r="H2032">
        <v>887.851</v>
      </c>
      <c r="I2032">
        <v>886.48</v>
      </c>
      <c r="J2032">
        <v>884.375</v>
      </c>
      <c r="K2032">
        <v>881.399</v>
      </c>
      <c r="L2032">
        <v>876.44500000000005</v>
      </c>
      <c r="M2032" s="233" t="s">
        <v>532</v>
      </c>
      <c r="N2032" s="233" t="s">
        <v>533</v>
      </c>
      <c r="O2032" s="3" t="s">
        <v>2454</v>
      </c>
    </row>
    <row r="2033" spans="1:15">
      <c r="A2033">
        <v>113</v>
      </c>
      <c r="B2033">
        <v>999</v>
      </c>
      <c r="C2033" t="s">
        <v>81</v>
      </c>
      <c r="D2033" t="s">
        <v>221</v>
      </c>
      <c r="E2033" s="232" t="s">
        <v>8696</v>
      </c>
      <c r="F2033" t="s">
        <v>71</v>
      </c>
      <c r="G2033">
        <v>2</v>
      </c>
      <c r="H2033">
        <v>886.19200000000001</v>
      </c>
      <c r="I2033">
        <v>884.54499999999996</v>
      </c>
      <c r="J2033">
        <v>882.54</v>
      </c>
      <c r="K2033">
        <v>879.73500000000001</v>
      </c>
      <c r="L2033">
        <v>874.51700000000005</v>
      </c>
      <c r="M2033" s="233" t="s">
        <v>532</v>
      </c>
      <c r="N2033" s="233" t="s">
        <v>533</v>
      </c>
      <c r="O2033" s="3" t="s">
        <v>2455</v>
      </c>
    </row>
    <row r="2034" spans="1:15">
      <c r="A2034">
        <v>114</v>
      </c>
      <c r="B2034">
        <v>1000</v>
      </c>
      <c r="C2034" t="s">
        <v>81</v>
      </c>
      <c r="D2034" t="s">
        <v>221</v>
      </c>
      <c r="E2034" s="232" t="s">
        <v>8863</v>
      </c>
      <c r="F2034" t="s">
        <v>71</v>
      </c>
      <c r="G2034">
        <v>2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s="233" t="s">
        <v>532</v>
      </c>
      <c r="N2034" s="233" t="s">
        <v>533</v>
      </c>
      <c r="O2034" s="3" t="s">
        <v>2623</v>
      </c>
    </row>
    <row r="2035" spans="1:15">
      <c r="A2035">
        <v>114</v>
      </c>
      <c r="B2035">
        <v>1001</v>
      </c>
      <c r="C2035" t="s">
        <v>81</v>
      </c>
      <c r="D2035" t="s">
        <v>221</v>
      </c>
      <c r="E2035" s="232" t="s">
        <v>561</v>
      </c>
      <c r="F2035" t="s">
        <v>71</v>
      </c>
      <c r="G2035">
        <v>2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s="233" t="s">
        <v>532</v>
      </c>
      <c r="N2035" s="233" t="s">
        <v>533</v>
      </c>
      <c r="O2035" s="3" t="s">
        <v>2623</v>
      </c>
    </row>
    <row r="2036" spans="1:15">
      <c r="A2036">
        <v>115</v>
      </c>
      <c r="B2036">
        <v>921</v>
      </c>
      <c r="C2036" t="s">
        <v>81</v>
      </c>
      <c r="D2036" t="s">
        <v>238</v>
      </c>
      <c r="E2036" s="232" t="s">
        <v>8056</v>
      </c>
      <c r="F2036" t="s">
        <v>70</v>
      </c>
      <c r="G2036">
        <v>2</v>
      </c>
      <c r="H2036">
        <v>908.22799999999995</v>
      </c>
      <c r="I2036">
        <v>904.82500000000005</v>
      </c>
      <c r="J2036">
        <v>902.25900000000001</v>
      </c>
      <c r="K2036">
        <v>897.96900000000005</v>
      </c>
      <c r="L2036">
        <v>890.78700000000003</v>
      </c>
      <c r="M2036" s="233" t="s">
        <v>532</v>
      </c>
      <c r="N2036" s="233" t="s">
        <v>533</v>
      </c>
      <c r="O2036" s="3" t="s">
        <v>2456</v>
      </c>
    </row>
    <row r="2037" spans="1:15">
      <c r="A2037">
        <v>115</v>
      </c>
      <c r="B2037">
        <v>927</v>
      </c>
      <c r="C2037" t="s">
        <v>81</v>
      </c>
      <c r="D2037" t="s">
        <v>238</v>
      </c>
      <c r="E2037" s="232" t="s">
        <v>7250</v>
      </c>
      <c r="F2037" t="s">
        <v>70</v>
      </c>
      <c r="G2037">
        <v>2</v>
      </c>
      <c r="H2037">
        <v>907.48199999999997</v>
      </c>
      <c r="I2037">
        <v>904.65499999999997</v>
      </c>
      <c r="J2037">
        <v>902</v>
      </c>
      <c r="K2037">
        <v>897.54</v>
      </c>
      <c r="L2037">
        <v>890.28099999999995</v>
      </c>
      <c r="M2037" s="233" t="s">
        <v>532</v>
      </c>
      <c r="N2037" s="233" t="s">
        <v>533</v>
      </c>
      <c r="O2037" s="3" t="s">
        <v>2457</v>
      </c>
    </row>
    <row r="2038" spans="1:15">
      <c r="A2038">
        <v>115</v>
      </c>
      <c r="B2038">
        <v>945</v>
      </c>
      <c r="C2038" t="s">
        <v>81</v>
      </c>
      <c r="D2038" t="s">
        <v>238</v>
      </c>
      <c r="E2038" s="232" t="s">
        <v>8157</v>
      </c>
      <c r="F2038" t="s">
        <v>70</v>
      </c>
      <c r="G2038">
        <v>2</v>
      </c>
      <c r="H2038">
        <v>899.40499999999997</v>
      </c>
      <c r="I2038">
        <v>896.76199999999994</v>
      </c>
      <c r="J2038">
        <v>893.67200000000003</v>
      </c>
      <c r="K2038">
        <v>886.91</v>
      </c>
      <c r="L2038">
        <v>881.60699999999997</v>
      </c>
      <c r="M2038" s="233" t="s">
        <v>532</v>
      </c>
      <c r="N2038" s="233" t="s">
        <v>533</v>
      </c>
      <c r="O2038" s="3" t="s">
        <v>2458</v>
      </c>
    </row>
    <row r="2039" spans="1:15">
      <c r="A2039">
        <v>115</v>
      </c>
      <c r="B2039">
        <v>918</v>
      </c>
      <c r="C2039" t="s">
        <v>81</v>
      </c>
      <c r="D2039" t="s">
        <v>238</v>
      </c>
      <c r="E2039" s="232" t="s">
        <v>8418</v>
      </c>
      <c r="F2039" t="s">
        <v>70</v>
      </c>
      <c r="G2039">
        <v>2</v>
      </c>
      <c r="H2039">
        <v>897.96900000000005</v>
      </c>
      <c r="I2039">
        <v>895.31700000000001</v>
      </c>
      <c r="J2039">
        <v>891.59</v>
      </c>
      <c r="K2039">
        <v>887.08</v>
      </c>
      <c r="L2039">
        <v>882.03599999999994</v>
      </c>
      <c r="M2039" s="233" t="s">
        <v>532</v>
      </c>
      <c r="N2039" s="233" t="s">
        <v>533</v>
      </c>
      <c r="O2039" s="3" t="s">
        <v>2459</v>
      </c>
    </row>
    <row r="2040" spans="1:15">
      <c r="A2040">
        <v>115</v>
      </c>
      <c r="B2040">
        <v>919</v>
      </c>
      <c r="C2040" t="s">
        <v>81</v>
      </c>
      <c r="D2040" t="s">
        <v>238</v>
      </c>
      <c r="E2040" s="232" t="s">
        <v>9074</v>
      </c>
      <c r="F2040" t="s">
        <v>70</v>
      </c>
      <c r="G2040">
        <v>2</v>
      </c>
      <c r="H2040">
        <v>897.54</v>
      </c>
      <c r="I2040">
        <v>894.88800000000003</v>
      </c>
      <c r="J2040">
        <v>891.59</v>
      </c>
      <c r="K2040">
        <v>887.08</v>
      </c>
      <c r="L2040">
        <v>882.03599999999994</v>
      </c>
      <c r="M2040" s="233" t="s">
        <v>532</v>
      </c>
      <c r="N2040" s="233" t="s">
        <v>533</v>
      </c>
      <c r="O2040" s="3" t="s">
        <v>2460</v>
      </c>
    </row>
    <row r="2041" spans="1:15">
      <c r="A2041">
        <v>115</v>
      </c>
      <c r="B2041">
        <v>930</v>
      </c>
      <c r="C2041" t="s">
        <v>81</v>
      </c>
      <c r="D2041" t="s">
        <v>238</v>
      </c>
      <c r="E2041" s="232" t="s">
        <v>8757</v>
      </c>
      <c r="F2041" t="s">
        <v>70</v>
      </c>
      <c r="G2041">
        <v>2</v>
      </c>
      <c r="H2041">
        <v>897.52599999999995</v>
      </c>
      <c r="I2041">
        <v>894.88800000000003</v>
      </c>
      <c r="J2041">
        <v>891.24199999999996</v>
      </c>
      <c r="K2041">
        <v>887.08</v>
      </c>
      <c r="L2041">
        <v>882.03599999999994</v>
      </c>
      <c r="M2041" s="233" t="s">
        <v>532</v>
      </c>
      <c r="N2041" s="233" t="s">
        <v>533</v>
      </c>
      <c r="O2041" s="3" t="s">
        <v>2461</v>
      </c>
    </row>
    <row r="2042" spans="1:15">
      <c r="A2042">
        <v>115</v>
      </c>
      <c r="B2042">
        <v>931</v>
      </c>
      <c r="C2042" t="s">
        <v>81</v>
      </c>
      <c r="D2042" t="s">
        <v>238</v>
      </c>
      <c r="E2042" s="232" t="s">
        <v>10702</v>
      </c>
      <c r="F2042" t="s">
        <v>70</v>
      </c>
      <c r="G2042">
        <v>2</v>
      </c>
      <c r="H2042">
        <v>894.101</v>
      </c>
      <c r="I2042">
        <v>890.95699999999999</v>
      </c>
      <c r="J2042">
        <v>887.86800000000005</v>
      </c>
      <c r="K2042">
        <v>884.66399999999999</v>
      </c>
      <c r="L2042">
        <v>879.79300000000001</v>
      </c>
      <c r="M2042" s="233" t="s">
        <v>532</v>
      </c>
      <c r="N2042" s="233" t="s">
        <v>533</v>
      </c>
      <c r="O2042" s="3" t="s">
        <v>2462</v>
      </c>
    </row>
    <row r="2043" spans="1:15">
      <c r="A2043">
        <v>115</v>
      </c>
      <c r="B2043">
        <v>915</v>
      </c>
      <c r="C2043" t="s">
        <v>81</v>
      </c>
      <c r="D2043" t="s">
        <v>238</v>
      </c>
      <c r="E2043" s="232" t="s">
        <v>8443</v>
      </c>
      <c r="F2043" t="s">
        <v>70</v>
      </c>
      <c r="G2043">
        <v>2</v>
      </c>
      <c r="H2043">
        <v>893.67200000000003</v>
      </c>
      <c r="I2043">
        <v>889.78099999999995</v>
      </c>
      <c r="J2043">
        <v>886.91</v>
      </c>
      <c r="K2043">
        <v>883.33900000000006</v>
      </c>
      <c r="L2043">
        <v>878.91200000000003</v>
      </c>
      <c r="M2043" s="233" t="s">
        <v>532</v>
      </c>
      <c r="N2043" s="233" t="s">
        <v>533</v>
      </c>
      <c r="O2043" s="3" t="s">
        <v>2463</v>
      </c>
    </row>
    <row r="2044" spans="1:15">
      <c r="A2044">
        <v>123</v>
      </c>
      <c r="B2044">
        <v>942</v>
      </c>
      <c r="C2044" t="s">
        <v>81</v>
      </c>
      <c r="D2044" t="s">
        <v>238</v>
      </c>
      <c r="E2044" s="232" t="s">
        <v>10649</v>
      </c>
      <c r="F2044" t="s">
        <v>70</v>
      </c>
      <c r="G2044">
        <v>2</v>
      </c>
      <c r="H2044">
        <v>879.98900000000003</v>
      </c>
      <c r="I2044">
        <v>876.23299999999995</v>
      </c>
      <c r="J2044">
        <v>872.45899999999995</v>
      </c>
      <c r="K2044">
        <v>868.83</v>
      </c>
      <c r="L2044">
        <v>864.65499999999997</v>
      </c>
      <c r="M2044" s="233" t="s">
        <v>532</v>
      </c>
      <c r="N2044" s="233" t="s">
        <v>533</v>
      </c>
      <c r="O2044" s="3" t="s">
        <v>2464</v>
      </c>
    </row>
    <row r="2045" spans="1:15">
      <c r="A2045">
        <v>115</v>
      </c>
      <c r="B2045">
        <v>916</v>
      </c>
      <c r="C2045" t="s">
        <v>81</v>
      </c>
      <c r="D2045" t="s">
        <v>238</v>
      </c>
      <c r="E2045" s="232" t="s">
        <v>10795</v>
      </c>
      <c r="F2045" t="s">
        <v>70</v>
      </c>
      <c r="G2045">
        <v>2</v>
      </c>
      <c r="H2045">
        <v>891.24199999999996</v>
      </c>
      <c r="I2045">
        <v>888.48199999999997</v>
      </c>
      <c r="J2045">
        <v>885.75300000000004</v>
      </c>
      <c r="K2045">
        <v>881.08799999999997</v>
      </c>
      <c r="L2045">
        <v>876.43700000000001</v>
      </c>
      <c r="M2045" s="233" t="s">
        <v>532</v>
      </c>
      <c r="N2045" s="233" t="s">
        <v>533</v>
      </c>
      <c r="O2045" s="3" t="s">
        <v>2465</v>
      </c>
    </row>
    <row r="2046" spans="1:15">
      <c r="A2046">
        <v>115</v>
      </c>
      <c r="B2046">
        <v>939</v>
      </c>
      <c r="C2046" t="s">
        <v>81</v>
      </c>
      <c r="D2046" t="s">
        <v>238</v>
      </c>
      <c r="E2046" s="232" t="s">
        <v>550</v>
      </c>
      <c r="F2046" t="s">
        <v>70</v>
      </c>
      <c r="G2046">
        <v>2</v>
      </c>
      <c r="H2046">
        <v>893.67200000000003</v>
      </c>
      <c r="I2046">
        <v>889.61099999999999</v>
      </c>
      <c r="J2046">
        <v>885.75300000000004</v>
      </c>
      <c r="K2046">
        <v>882.65899999999999</v>
      </c>
      <c r="L2046">
        <v>878.24199999999996</v>
      </c>
      <c r="M2046" s="233" t="s">
        <v>532</v>
      </c>
      <c r="N2046" s="233" t="s">
        <v>533</v>
      </c>
      <c r="O2046" s="3" t="s">
        <v>2466</v>
      </c>
    </row>
    <row r="2047" spans="1:15">
      <c r="A2047">
        <v>115</v>
      </c>
      <c r="B2047">
        <v>934</v>
      </c>
      <c r="C2047" t="s">
        <v>81</v>
      </c>
      <c r="D2047" t="s">
        <v>238</v>
      </c>
      <c r="E2047" s="232" t="s">
        <v>10898</v>
      </c>
      <c r="F2047" t="s">
        <v>70</v>
      </c>
      <c r="G2047">
        <v>2</v>
      </c>
      <c r="H2047">
        <v>893.25699999999995</v>
      </c>
      <c r="I2047">
        <v>888.74099999999999</v>
      </c>
      <c r="J2047">
        <v>885.423</v>
      </c>
      <c r="K2047">
        <v>882.20600000000002</v>
      </c>
      <c r="L2047">
        <v>877.86099999999999</v>
      </c>
      <c r="M2047" s="233" t="s">
        <v>532</v>
      </c>
      <c r="N2047" s="233" t="s">
        <v>533</v>
      </c>
      <c r="O2047" s="3" t="s">
        <v>2467</v>
      </c>
    </row>
    <row r="2048" spans="1:15">
      <c r="A2048">
        <v>115</v>
      </c>
      <c r="B2048">
        <v>924</v>
      </c>
      <c r="C2048" t="s">
        <v>81</v>
      </c>
      <c r="D2048" t="s">
        <v>238</v>
      </c>
      <c r="E2048" s="232" t="s">
        <v>8538</v>
      </c>
      <c r="F2048" t="s">
        <v>70</v>
      </c>
      <c r="G2048">
        <v>2</v>
      </c>
      <c r="H2048">
        <v>891.59</v>
      </c>
      <c r="I2048">
        <v>887.86800000000005</v>
      </c>
      <c r="J2048">
        <v>884.51900000000001</v>
      </c>
      <c r="K2048">
        <v>880.779</v>
      </c>
      <c r="L2048">
        <v>875.77099999999996</v>
      </c>
      <c r="M2048" s="233" t="s">
        <v>532</v>
      </c>
      <c r="N2048" s="233" t="s">
        <v>533</v>
      </c>
      <c r="O2048" s="3" t="s">
        <v>2468</v>
      </c>
    </row>
    <row r="2049" spans="1:15">
      <c r="A2049">
        <v>115</v>
      </c>
      <c r="B2049">
        <v>947</v>
      </c>
      <c r="C2049" t="s">
        <v>81</v>
      </c>
      <c r="D2049" t="s">
        <v>238</v>
      </c>
      <c r="E2049" s="232" t="s">
        <v>551</v>
      </c>
      <c r="F2049" t="s">
        <v>70</v>
      </c>
      <c r="G2049">
        <v>2</v>
      </c>
      <c r="H2049">
        <v>890.78700000000003</v>
      </c>
      <c r="I2049">
        <v>887.08</v>
      </c>
      <c r="J2049">
        <v>883.59799999999996</v>
      </c>
      <c r="K2049">
        <v>880.66399999999999</v>
      </c>
      <c r="L2049">
        <v>876.43700000000001</v>
      </c>
      <c r="M2049" s="233" t="s">
        <v>532</v>
      </c>
      <c r="N2049" s="233" t="s">
        <v>533</v>
      </c>
      <c r="O2049" s="3" t="s">
        <v>2469</v>
      </c>
    </row>
    <row r="2050" spans="1:15">
      <c r="A2050">
        <v>115</v>
      </c>
      <c r="B2050">
        <v>935</v>
      </c>
      <c r="C2050" t="s">
        <v>81</v>
      </c>
      <c r="D2050" t="s">
        <v>238</v>
      </c>
      <c r="E2050" s="232" t="s">
        <v>9309</v>
      </c>
      <c r="F2050" t="s">
        <v>70</v>
      </c>
      <c r="G2050">
        <v>2</v>
      </c>
      <c r="H2050">
        <v>887.33900000000006</v>
      </c>
      <c r="I2050">
        <v>885.423</v>
      </c>
      <c r="J2050">
        <v>882.72400000000005</v>
      </c>
      <c r="K2050">
        <v>879.96299999999997</v>
      </c>
      <c r="L2050">
        <v>875.77099999999996</v>
      </c>
      <c r="M2050" s="233" t="s">
        <v>532</v>
      </c>
      <c r="N2050" s="233" t="s">
        <v>533</v>
      </c>
      <c r="O2050" s="3" t="s">
        <v>2470</v>
      </c>
    </row>
    <row r="2051" spans="1:15">
      <c r="A2051">
        <v>117</v>
      </c>
      <c r="B2051">
        <v>944</v>
      </c>
      <c r="C2051" t="s">
        <v>81</v>
      </c>
      <c r="D2051" t="s">
        <v>238</v>
      </c>
      <c r="E2051" s="232" t="s">
        <v>7252</v>
      </c>
      <c r="F2051" t="s">
        <v>70</v>
      </c>
      <c r="G2051">
        <v>2</v>
      </c>
      <c r="H2051">
        <v>879.70799999999997</v>
      </c>
      <c r="I2051">
        <v>876.87699999999995</v>
      </c>
      <c r="J2051">
        <v>873.75900000000001</v>
      </c>
      <c r="K2051">
        <v>870.76900000000001</v>
      </c>
      <c r="L2051">
        <v>866.39599999999996</v>
      </c>
      <c r="M2051" s="233" t="s">
        <v>532</v>
      </c>
      <c r="N2051" s="233" t="s">
        <v>533</v>
      </c>
      <c r="O2051" s="3" t="s">
        <v>2471</v>
      </c>
    </row>
    <row r="2052" spans="1:15">
      <c r="A2052">
        <v>115</v>
      </c>
      <c r="B2052">
        <v>928</v>
      </c>
      <c r="C2052" t="s">
        <v>81</v>
      </c>
      <c r="D2052" t="s">
        <v>238</v>
      </c>
      <c r="E2052" s="232" t="s">
        <v>11120</v>
      </c>
      <c r="F2052" t="s">
        <v>70</v>
      </c>
      <c r="G2052">
        <v>2</v>
      </c>
      <c r="H2052">
        <v>887.08</v>
      </c>
      <c r="I2052">
        <v>884.16300000000001</v>
      </c>
      <c r="J2052">
        <v>880.51900000000001</v>
      </c>
      <c r="K2052">
        <v>877.07500000000005</v>
      </c>
      <c r="L2052">
        <v>872.74800000000005</v>
      </c>
      <c r="M2052" s="233" t="s">
        <v>532</v>
      </c>
      <c r="N2052" s="233" t="s">
        <v>533</v>
      </c>
      <c r="O2052" s="3" t="s">
        <v>2472</v>
      </c>
    </row>
    <row r="2053" spans="1:15">
      <c r="A2053">
        <v>115</v>
      </c>
      <c r="B2053">
        <v>946</v>
      </c>
      <c r="C2053" t="s">
        <v>81</v>
      </c>
      <c r="D2053" t="s">
        <v>238</v>
      </c>
      <c r="E2053" s="232" t="s">
        <v>555</v>
      </c>
      <c r="F2053" t="s">
        <v>70</v>
      </c>
      <c r="G2053">
        <v>2</v>
      </c>
      <c r="H2053">
        <v>883.59799999999996</v>
      </c>
      <c r="I2053">
        <v>881.46199999999999</v>
      </c>
      <c r="J2053">
        <v>878.91200000000003</v>
      </c>
      <c r="K2053">
        <v>875.77099999999996</v>
      </c>
      <c r="L2053">
        <v>870.08699999999999</v>
      </c>
      <c r="M2053" s="233" t="s">
        <v>532</v>
      </c>
      <c r="N2053" s="233" t="s">
        <v>533</v>
      </c>
      <c r="O2053" s="3" t="s">
        <v>2473</v>
      </c>
    </row>
    <row r="2054" spans="1:15">
      <c r="A2054">
        <v>115</v>
      </c>
      <c r="B2054">
        <v>922</v>
      </c>
      <c r="C2054" t="s">
        <v>81</v>
      </c>
      <c r="D2054" t="s">
        <v>238</v>
      </c>
      <c r="E2054" s="232" t="s">
        <v>7910</v>
      </c>
      <c r="F2054" t="s">
        <v>70</v>
      </c>
      <c r="G2054">
        <v>2</v>
      </c>
      <c r="H2054">
        <v>879.96299999999997</v>
      </c>
      <c r="I2054">
        <v>877.28599999999994</v>
      </c>
      <c r="J2054">
        <v>874.226</v>
      </c>
      <c r="K2054">
        <v>871.54600000000005</v>
      </c>
      <c r="L2054">
        <v>866.68799999999999</v>
      </c>
      <c r="M2054" s="233" t="s">
        <v>532</v>
      </c>
      <c r="N2054" s="233" t="s">
        <v>533</v>
      </c>
      <c r="O2054" s="3" t="s">
        <v>2474</v>
      </c>
    </row>
    <row r="2055" spans="1:15">
      <c r="A2055">
        <v>118</v>
      </c>
      <c r="B2055">
        <v>949</v>
      </c>
      <c r="C2055" t="s">
        <v>81</v>
      </c>
      <c r="D2055" t="s">
        <v>238</v>
      </c>
      <c r="E2055" s="232" t="s">
        <v>9633</v>
      </c>
      <c r="F2055" t="s">
        <v>71</v>
      </c>
      <c r="G2055">
        <v>2</v>
      </c>
      <c r="H2055">
        <v>896.91099999999994</v>
      </c>
      <c r="I2055">
        <v>893.87599999999998</v>
      </c>
      <c r="J2055">
        <v>889.98299999999995</v>
      </c>
      <c r="K2055">
        <v>886.27300000000002</v>
      </c>
      <c r="L2055">
        <v>881.31</v>
      </c>
      <c r="M2055" s="233" t="s">
        <v>532</v>
      </c>
      <c r="N2055" s="233" t="s">
        <v>533</v>
      </c>
      <c r="O2055" s="3" t="s">
        <v>2475</v>
      </c>
    </row>
    <row r="2056" spans="1:15">
      <c r="A2056">
        <v>118</v>
      </c>
      <c r="B2056">
        <v>954</v>
      </c>
      <c r="C2056" t="s">
        <v>81</v>
      </c>
      <c r="D2056" t="s">
        <v>238</v>
      </c>
      <c r="E2056" s="232" t="s">
        <v>9141</v>
      </c>
      <c r="F2056" t="s">
        <v>71</v>
      </c>
      <c r="G2056">
        <v>2</v>
      </c>
      <c r="H2056">
        <v>898.28200000000004</v>
      </c>
      <c r="I2056">
        <v>894.15800000000002</v>
      </c>
      <c r="J2056">
        <v>889.10900000000004</v>
      </c>
      <c r="K2056">
        <v>883.89</v>
      </c>
      <c r="L2056">
        <v>879.09900000000005</v>
      </c>
      <c r="M2056" s="233" t="s">
        <v>532</v>
      </c>
      <c r="N2056" s="233" t="s">
        <v>533</v>
      </c>
      <c r="O2056" s="3" t="s">
        <v>2476</v>
      </c>
    </row>
    <row r="2057" spans="1:15">
      <c r="A2057">
        <v>118</v>
      </c>
      <c r="B2057">
        <v>965</v>
      </c>
      <c r="C2057" t="s">
        <v>81</v>
      </c>
      <c r="D2057" t="s">
        <v>238</v>
      </c>
      <c r="E2057" s="232" t="s">
        <v>8863</v>
      </c>
      <c r="F2057" t="s">
        <v>71</v>
      </c>
      <c r="G2057">
        <v>2</v>
      </c>
      <c r="H2057">
        <v>895.13300000000004</v>
      </c>
      <c r="I2057">
        <v>890.221</v>
      </c>
      <c r="J2057">
        <v>886.09299999999996</v>
      </c>
      <c r="K2057">
        <v>882.59500000000003</v>
      </c>
      <c r="L2057">
        <v>877.71299999999997</v>
      </c>
      <c r="M2057" s="233" t="s">
        <v>532</v>
      </c>
      <c r="N2057" s="233" t="s">
        <v>533</v>
      </c>
      <c r="O2057" s="3" t="s">
        <v>2477</v>
      </c>
    </row>
    <row r="2058" spans="1:15">
      <c r="A2058">
        <v>121</v>
      </c>
      <c r="B2058">
        <v>969</v>
      </c>
      <c r="C2058" t="s">
        <v>81</v>
      </c>
      <c r="D2058" t="s">
        <v>238</v>
      </c>
      <c r="E2058" s="232" t="s">
        <v>10717</v>
      </c>
      <c r="F2058" t="s">
        <v>71</v>
      </c>
      <c r="G2058">
        <v>2</v>
      </c>
      <c r="H2058">
        <v>872.98</v>
      </c>
      <c r="I2058">
        <v>869.06799999999998</v>
      </c>
      <c r="J2058">
        <v>864.69899999999996</v>
      </c>
      <c r="K2058">
        <v>861.38800000000003</v>
      </c>
      <c r="L2058">
        <v>856.29499999999996</v>
      </c>
      <c r="M2058" s="233" t="s">
        <v>532</v>
      </c>
      <c r="N2058" s="233" t="s">
        <v>533</v>
      </c>
      <c r="O2058" s="3" t="s">
        <v>2478</v>
      </c>
    </row>
    <row r="2059" spans="1:15">
      <c r="A2059">
        <v>118</v>
      </c>
      <c r="B2059">
        <v>968</v>
      </c>
      <c r="C2059" t="s">
        <v>81</v>
      </c>
      <c r="D2059" t="s">
        <v>238</v>
      </c>
      <c r="E2059" s="232" t="s">
        <v>8726</v>
      </c>
      <c r="F2059" t="s">
        <v>71</v>
      </c>
      <c r="G2059">
        <v>2</v>
      </c>
      <c r="H2059">
        <v>892.476</v>
      </c>
      <c r="I2059">
        <v>888.31299999999999</v>
      </c>
      <c r="J2059">
        <v>884.91200000000003</v>
      </c>
      <c r="K2059">
        <v>880.89200000000005</v>
      </c>
      <c r="L2059">
        <v>876.43</v>
      </c>
      <c r="M2059" s="233" t="s">
        <v>532</v>
      </c>
      <c r="N2059" s="233" t="s">
        <v>533</v>
      </c>
      <c r="O2059" s="3" t="s">
        <v>2479</v>
      </c>
    </row>
    <row r="2060" spans="1:15">
      <c r="A2060">
        <v>118</v>
      </c>
      <c r="B2060">
        <v>955</v>
      </c>
      <c r="C2060" t="s">
        <v>81</v>
      </c>
      <c r="D2060" t="s">
        <v>238</v>
      </c>
      <c r="E2060" s="232" t="s">
        <v>8696</v>
      </c>
      <c r="F2060" t="s">
        <v>71</v>
      </c>
      <c r="G2060">
        <v>2</v>
      </c>
      <c r="H2060">
        <v>886.51099999999997</v>
      </c>
      <c r="I2060">
        <v>885.529</v>
      </c>
      <c r="J2060">
        <v>884.26900000000001</v>
      </c>
      <c r="K2060">
        <v>881.31</v>
      </c>
      <c r="L2060">
        <v>874.08</v>
      </c>
      <c r="M2060" s="233" t="s">
        <v>532</v>
      </c>
      <c r="N2060" s="233" t="s">
        <v>533</v>
      </c>
      <c r="O2060" s="3" t="s">
        <v>2480</v>
      </c>
    </row>
    <row r="2061" spans="1:15">
      <c r="A2061">
        <v>118</v>
      </c>
      <c r="B2061">
        <v>959</v>
      </c>
      <c r="C2061" t="s">
        <v>81</v>
      </c>
      <c r="D2061" t="s">
        <v>238</v>
      </c>
      <c r="E2061" s="232" t="s">
        <v>8190</v>
      </c>
      <c r="F2061" t="s">
        <v>71</v>
      </c>
      <c r="G2061">
        <v>2</v>
      </c>
      <c r="H2061">
        <v>889.98299999999995</v>
      </c>
      <c r="I2061">
        <v>886.51099999999997</v>
      </c>
      <c r="J2061">
        <v>883.43100000000004</v>
      </c>
      <c r="K2061">
        <v>878.72</v>
      </c>
      <c r="L2061">
        <v>872.92499999999995</v>
      </c>
      <c r="M2061" s="233" t="s">
        <v>532</v>
      </c>
      <c r="N2061" s="233" t="s">
        <v>533</v>
      </c>
      <c r="O2061" s="3" t="s">
        <v>2481</v>
      </c>
    </row>
    <row r="2062" spans="1:15">
      <c r="A2062">
        <v>118</v>
      </c>
      <c r="B2062">
        <v>966</v>
      </c>
      <c r="C2062" t="s">
        <v>81</v>
      </c>
      <c r="D2062" t="s">
        <v>238</v>
      </c>
      <c r="E2062" s="232" t="s">
        <v>10897</v>
      </c>
      <c r="F2062" t="s">
        <v>71</v>
      </c>
      <c r="G2062">
        <v>2</v>
      </c>
      <c r="H2062">
        <v>888.87099999999998</v>
      </c>
      <c r="I2062">
        <v>885.29100000000005</v>
      </c>
      <c r="J2062">
        <v>882.04899999999998</v>
      </c>
      <c r="K2062">
        <v>877.33399999999995</v>
      </c>
      <c r="L2062">
        <v>872.68700000000001</v>
      </c>
      <c r="M2062" s="233" t="s">
        <v>532</v>
      </c>
      <c r="N2062" s="233" t="s">
        <v>533</v>
      </c>
      <c r="O2062" s="3" t="s">
        <v>2482</v>
      </c>
    </row>
    <row r="2063" spans="1:15">
      <c r="A2063">
        <v>119</v>
      </c>
      <c r="B2063">
        <v>971</v>
      </c>
      <c r="C2063" t="s">
        <v>81</v>
      </c>
      <c r="D2063" t="s">
        <v>238</v>
      </c>
      <c r="E2063" s="232" t="s">
        <v>10884</v>
      </c>
      <c r="F2063" t="s">
        <v>71</v>
      </c>
      <c r="G2063">
        <v>2</v>
      </c>
      <c r="H2063">
        <v>880.84199999999998</v>
      </c>
      <c r="I2063">
        <v>878.08799999999997</v>
      </c>
      <c r="J2063">
        <v>874.77499999999998</v>
      </c>
      <c r="K2063">
        <v>871.73800000000006</v>
      </c>
      <c r="L2063">
        <v>866.83100000000002</v>
      </c>
      <c r="M2063" s="233" t="s">
        <v>532</v>
      </c>
      <c r="N2063" s="233" t="s">
        <v>533</v>
      </c>
      <c r="O2063" s="3" t="s">
        <v>2483</v>
      </c>
    </row>
    <row r="2064" spans="1:15">
      <c r="A2064">
        <v>118</v>
      </c>
      <c r="B2064">
        <v>958</v>
      </c>
      <c r="C2064" t="s">
        <v>81</v>
      </c>
      <c r="D2064" t="s">
        <v>238</v>
      </c>
      <c r="E2064" s="232" t="s">
        <v>8772</v>
      </c>
      <c r="F2064" t="s">
        <v>71</v>
      </c>
      <c r="G2064">
        <v>2</v>
      </c>
      <c r="H2064">
        <v>886.74099999999999</v>
      </c>
      <c r="I2064">
        <v>883.89</v>
      </c>
      <c r="J2064">
        <v>880.08600000000001</v>
      </c>
      <c r="K2064">
        <v>875.81100000000004</v>
      </c>
      <c r="L2064">
        <v>871.25099999999998</v>
      </c>
      <c r="M2064" s="233" t="s">
        <v>532</v>
      </c>
      <c r="N2064" s="233" t="s">
        <v>533</v>
      </c>
      <c r="O2064" s="3" t="s">
        <v>2484</v>
      </c>
    </row>
    <row r="2065" spans="1:15">
      <c r="A2065">
        <v>118</v>
      </c>
      <c r="B2065">
        <v>952</v>
      </c>
      <c r="C2065" t="s">
        <v>81</v>
      </c>
      <c r="D2065" t="s">
        <v>238</v>
      </c>
      <c r="E2065" s="232" t="s">
        <v>10979</v>
      </c>
      <c r="F2065" t="s">
        <v>71</v>
      </c>
      <c r="G2065">
        <v>2</v>
      </c>
      <c r="H2065">
        <v>886.09299999999996</v>
      </c>
      <c r="I2065">
        <v>883.29</v>
      </c>
      <c r="J2065">
        <v>879.68</v>
      </c>
      <c r="K2065">
        <v>875.18399999999997</v>
      </c>
      <c r="L2065">
        <v>870.69200000000001</v>
      </c>
      <c r="M2065" s="233" t="s">
        <v>532</v>
      </c>
      <c r="N2065" s="233" t="s">
        <v>533</v>
      </c>
      <c r="O2065" s="3" t="s">
        <v>2485</v>
      </c>
    </row>
    <row r="2066" spans="1:15">
      <c r="A2066">
        <v>118</v>
      </c>
      <c r="B2066">
        <v>953</v>
      </c>
      <c r="C2066" t="s">
        <v>81</v>
      </c>
      <c r="D2066" t="s">
        <v>238</v>
      </c>
      <c r="E2066" s="232" t="s">
        <v>11001</v>
      </c>
      <c r="F2066" t="s">
        <v>71</v>
      </c>
      <c r="G2066">
        <v>2</v>
      </c>
      <c r="H2066">
        <v>885.29100000000005</v>
      </c>
      <c r="I2066">
        <v>882.63400000000001</v>
      </c>
      <c r="J2066">
        <v>879.202</v>
      </c>
      <c r="K2066">
        <v>874.76599999999996</v>
      </c>
      <c r="L2066">
        <v>869.07299999999998</v>
      </c>
      <c r="M2066" s="233" t="s">
        <v>532</v>
      </c>
      <c r="N2066" s="233" t="s">
        <v>533</v>
      </c>
      <c r="O2066" s="3" t="s">
        <v>2486</v>
      </c>
    </row>
    <row r="2067" spans="1:15">
      <c r="A2067">
        <v>119</v>
      </c>
      <c r="B2067">
        <v>972</v>
      </c>
      <c r="C2067" t="s">
        <v>81</v>
      </c>
      <c r="D2067" t="s">
        <v>238</v>
      </c>
      <c r="E2067" s="232" t="s">
        <v>7254</v>
      </c>
      <c r="F2067" t="s">
        <v>71</v>
      </c>
      <c r="G2067">
        <v>2</v>
      </c>
      <c r="H2067">
        <v>879.38800000000003</v>
      </c>
      <c r="I2067">
        <v>876.65099999999995</v>
      </c>
      <c r="J2067">
        <v>873.26800000000003</v>
      </c>
      <c r="K2067">
        <v>869.77200000000005</v>
      </c>
      <c r="L2067">
        <v>864.48599999999999</v>
      </c>
      <c r="M2067" s="233" t="s">
        <v>532</v>
      </c>
      <c r="N2067" s="233" t="s">
        <v>533</v>
      </c>
      <c r="O2067" s="3" t="s">
        <v>2487</v>
      </c>
    </row>
    <row r="2068" spans="1:15">
      <c r="A2068">
        <v>118</v>
      </c>
      <c r="B2068">
        <v>964</v>
      </c>
      <c r="C2068" t="s">
        <v>81</v>
      </c>
      <c r="D2068" t="s">
        <v>238</v>
      </c>
      <c r="E2068" s="232" t="s">
        <v>11062</v>
      </c>
      <c r="F2068" t="s">
        <v>71</v>
      </c>
      <c r="G2068">
        <v>2</v>
      </c>
      <c r="H2068">
        <v>884.87300000000005</v>
      </c>
      <c r="I2068">
        <v>880.93100000000004</v>
      </c>
      <c r="J2068">
        <v>878.06399999999996</v>
      </c>
      <c r="K2068">
        <v>873.42399999999998</v>
      </c>
      <c r="L2068">
        <v>869.07299999999998</v>
      </c>
      <c r="M2068" s="233" t="s">
        <v>532</v>
      </c>
      <c r="N2068" s="233" t="s">
        <v>533</v>
      </c>
      <c r="O2068" s="3" t="s">
        <v>2488</v>
      </c>
    </row>
    <row r="2069" spans="1:15">
      <c r="A2069">
        <v>118</v>
      </c>
      <c r="B2069">
        <v>961</v>
      </c>
      <c r="C2069" t="s">
        <v>81</v>
      </c>
      <c r="D2069" t="s">
        <v>238</v>
      </c>
      <c r="E2069" s="232" t="s">
        <v>499</v>
      </c>
      <c r="F2069" t="s">
        <v>71</v>
      </c>
      <c r="G2069">
        <v>2</v>
      </c>
      <c r="H2069">
        <v>884.44899999999996</v>
      </c>
      <c r="I2069">
        <v>880.89200000000005</v>
      </c>
      <c r="J2069">
        <v>877.95299999999997</v>
      </c>
      <c r="K2069">
        <v>874.327</v>
      </c>
      <c r="L2069">
        <v>869.71799999999996</v>
      </c>
      <c r="M2069" s="233" t="s">
        <v>532</v>
      </c>
      <c r="N2069" s="233" t="s">
        <v>533</v>
      </c>
      <c r="O2069" s="3" t="s">
        <v>2489</v>
      </c>
    </row>
    <row r="2070" spans="1:15">
      <c r="A2070">
        <v>91</v>
      </c>
      <c r="B2070">
        <v>1074</v>
      </c>
      <c r="C2070" t="s">
        <v>81</v>
      </c>
      <c r="D2070" t="s">
        <v>422</v>
      </c>
      <c r="E2070" s="232" t="s">
        <v>8835</v>
      </c>
      <c r="F2070" t="s">
        <v>70</v>
      </c>
      <c r="G2070">
        <v>2</v>
      </c>
      <c r="H2070">
        <v>886.28399999999999</v>
      </c>
      <c r="I2070">
        <v>883.00699999999995</v>
      </c>
      <c r="J2070">
        <v>878.49099999999999</v>
      </c>
      <c r="K2070">
        <v>873.04499999999996</v>
      </c>
      <c r="L2070">
        <v>856.99300000000005</v>
      </c>
      <c r="M2070" s="233" t="s">
        <v>454</v>
      </c>
      <c r="N2070" s="233" t="s">
        <v>454</v>
      </c>
      <c r="O2070" s="3" t="s">
        <v>2490</v>
      </c>
    </row>
    <row r="2071" spans="1:15">
      <c r="A2071">
        <v>91</v>
      </c>
      <c r="B2071">
        <v>1081</v>
      </c>
      <c r="C2071" t="s">
        <v>81</v>
      </c>
      <c r="D2071" t="s">
        <v>422</v>
      </c>
      <c r="E2071" s="232" t="s">
        <v>8491</v>
      </c>
      <c r="F2071" t="s">
        <v>70</v>
      </c>
      <c r="G2071">
        <v>2</v>
      </c>
      <c r="H2071">
        <v>884.34199999999998</v>
      </c>
      <c r="I2071">
        <v>880.202</v>
      </c>
      <c r="J2071">
        <v>876.36800000000005</v>
      </c>
      <c r="K2071">
        <v>870.80700000000002</v>
      </c>
      <c r="L2071">
        <v>855.47400000000005</v>
      </c>
      <c r="M2071" s="233" t="s">
        <v>454</v>
      </c>
      <c r="N2071" s="233" t="s">
        <v>454</v>
      </c>
      <c r="O2071" s="3" t="s">
        <v>2491</v>
      </c>
    </row>
    <row r="2072" spans="1:15">
      <c r="A2072">
        <v>91</v>
      </c>
      <c r="B2072">
        <v>1073</v>
      </c>
      <c r="C2072" t="s">
        <v>81</v>
      </c>
      <c r="D2072" t="s">
        <v>422</v>
      </c>
      <c r="E2072" s="232" t="s">
        <v>10405</v>
      </c>
      <c r="F2072" t="s">
        <v>70</v>
      </c>
      <c r="G2072">
        <v>2</v>
      </c>
      <c r="H2072">
        <v>883.48</v>
      </c>
      <c r="I2072">
        <v>878.49099999999999</v>
      </c>
      <c r="J2072">
        <v>870.80700000000002</v>
      </c>
      <c r="K2072">
        <v>865.20799999999997</v>
      </c>
      <c r="L2072">
        <v>855.47400000000005</v>
      </c>
      <c r="M2072" s="233" t="s">
        <v>454</v>
      </c>
      <c r="N2072" s="233" t="s">
        <v>454</v>
      </c>
      <c r="O2072" s="3" t="s">
        <v>2492</v>
      </c>
    </row>
    <row r="2073" spans="1:15">
      <c r="A2073">
        <v>91</v>
      </c>
      <c r="B2073">
        <v>1072</v>
      </c>
      <c r="C2073" t="s">
        <v>81</v>
      </c>
      <c r="D2073" t="s">
        <v>422</v>
      </c>
      <c r="E2073" s="232" t="s">
        <v>11181</v>
      </c>
      <c r="F2073" t="s">
        <v>70</v>
      </c>
      <c r="G2073">
        <v>2</v>
      </c>
      <c r="H2073">
        <v>883.08</v>
      </c>
      <c r="I2073">
        <v>876.56799999999998</v>
      </c>
      <c r="J2073">
        <v>870.13099999999997</v>
      </c>
      <c r="K2073">
        <v>864.26199999999994</v>
      </c>
      <c r="L2073">
        <v>853.05899999999997</v>
      </c>
      <c r="M2073" s="233" t="s">
        <v>454</v>
      </c>
      <c r="N2073" s="233" t="s">
        <v>454</v>
      </c>
      <c r="O2073" s="3" t="s">
        <v>2493</v>
      </c>
    </row>
    <row r="2074" spans="1:15">
      <c r="A2074">
        <v>91</v>
      </c>
      <c r="B2074">
        <v>1068</v>
      </c>
      <c r="C2074" t="s">
        <v>81</v>
      </c>
      <c r="D2074" t="s">
        <v>422</v>
      </c>
      <c r="E2074" s="232" t="s">
        <v>8283</v>
      </c>
      <c r="F2074" t="s">
        <v>70</v>
      </c>
      <c r="G2074">
        <v>2</v>
      </c>
      <c r="H2074">
        <v>881.29700000000003</v>
      </c>
      <c r="I2074">
        <v>876.56799999999998</v>
      </c>
      <c r="J2074">
        <v>869.85799999999995</v>
      </c>
      <c r="K2074">
        <v>863.78899999999999</v>
      </c>
      <c r="L2074">
        <v>853.01900000000001</v>
      </c>
      <c r="M2074" s="233" t="s">
        <v>454</v>
      </c>
      <c r="N2074" s="233" t="s">
        <v>454</v>
      </c>
      <c r="O2074" s="3" t="s">
        <v>2494</v>
      </c>
    </row>
    <row r="2075" spans="1:15">
      <c r="A2075">
        <v>91</v>
      </c>
      <c r="B2075">
        <v>1070</v>
      </c>
      <c r="C2075" t="s">
        <v>81</v>
      </c>
      <c r="D2075" t="s">
        <v>422</v>
      </c>
      <c r="E2075" s="232" t="s">
        <v>11204</v>
      </c>
      <c r="F2075" t="s">
        <v>70</v>
      </c>
      <c r="G2075">
        <v>2</v>
      </c>
      <c r="H2075">
        <v>879.72900000000004</v>
      </c>
      <c r="I2075">
        <v>874.86199999999997</v>
      </c>
      <c r="J2075">
        <v>868.673</v>
      </c>
      <c r="K2075">
        <v>862.61199999999997</v>
      </c>
      <c r="L2075">
        <v>851.8</v>
      </c>
      <c r="M2075" s="233" t="s">
        <v>454</v>
      </c>
      <c r="N2075" s="233" t="s">
        <v>454</v>
      </c>
      <c r="O2075" s="3" t="s">
        <v>2495</v>
      </c>
    </row>
    <row r="2076" spans="1:15">
      <c r="A2076">
        <v>91</v>
      </c>
      <c r="B2076">
        <v>1080</v>
      </c>
      <c r="C2076" t="s">
        <v>81</v>
      </c>
      <c r="D2076" t="s">
        <v>422</v>
      </c>
      <c r="E2076" s="232" t="s">
        <v>11304</v>
      </c>
      <c r="F2076" t="s">
        <v>70</v>
      </c>
      <c r="G2076">
        <v>2</v>
      </c>
      <c r="H2076">
        <v>874.66200000000003</v>
      </c>
      <c r="I2076">
        <v>870.221</v>
      </c>
      <c r="J2076">
        <v>865.28099999999995</v>
      </c>
      <c r="K2076">
        <v>855.548</v>
      </c>
      <c r="L2076">
        <v>844.71699999999998</v>
      </c>
      <c r="M2076" s="233" t="s">
        <v>454</v>
      </c>
      <c r="N2076" s="233" t="s">
        <v>454</v>
      </c>
      <c r="O2076" s="3" t="s">
        <v>2496</v>
      </c>
    </row>
    <row r="2077" spans="1:15">
      <c r="A2077">
        <v>91</v>
      </c>
      <c r="B2077">
        <v>1078</v>
      </c>
      <c r="C2077" t="s">
        <v>81</v>
      </c>
      <c r="D2077" t="s">
        <v>422</v>
      </c>
      <c r="E2077" s="232" t="s">
        <v>9627</v>
      </c>
      <c r="F2077" t="s">
        <v>70</v>
      </c>
      <c r="G2077">
        <v>2</v>
      </c>
      <c r="H2077">
        <v>873.44799999999998</v>
      </c>
      <c r="I2077">
        <v>869.85799999999995</v>
      </c>
      <c r="J2077">
        <v>862.49800000000005</v>
      </c>
      <c r="K2077">
        <v>855.548</v>
      </c>
      <c r="L2077">
        <v>844.71699999999998</v>
      </c>
      <c r="M2077" s="233" t="s">
        <v>454</v>
      </c>
      <c r="N2077" s="233" t="s">
        <v>454</v>
      </c>
      <c r="O2077" s="3" t="s">
        <v>2497</v>
      </c>
    </row>
    <row r="2078" spans="1:15">
      <c r="A2078">
        <v>91</v>
      </c>
      <c r="B2078">
        <v>1079</v>
      </c>
      <c r="C2078" t="s">
        <v>81</v>
      </c>
      <c r="D2078" t="s">
        <v>422</v>
      </c>
      <c r="E2078" s="232" t="s">
        <v>16729</v>
      </c>
      <c r="F2078" t="s">
        <v>70</v>
      </c>
      <c r="G2078">
        <v>2</v>
      </c>
      <c r="H2078">
        <v>862.49800000000005</v>
      </c>
      <c r="I2078">
        <v>858.65800000000002</v>
      </c>
      <c r="J2078">
        <v>851.8</v>
      </c>
      <c r="K2078">
        <v>843.60900000000004</v>
      </c>
      <c r="L2078">
        <v>830.21699999999998</v>
      </c>
      <c r="M2078" s="233" t="s">
        <v>454</v>
      </c>
      <c r="N2078" s="233" t="s">
        <v>454</v>
      </c>
      <c r="O2078" s="3" t="s">
        <v>2498</v>
      </c>
    </row>
    <row r="2079" spans="1:15">
      <c r="A2079">
        <v>91</v>
      </c>
      <c r="B2079">
        <v>1077</v>
      </c>
      <c r="C2079" t="s">
        <v>81</v>
      </c>
      <c r="D2079" t="s">
        <v>422</v>
      </c>
      <c r="E2079" s="232" t="s">
        <v>16730</v>
      </c>
      <c r="F2079" t="s">
        <v>70</v>
      </c>
      <c r="G2079">
        <v>2</v>
      </c>
      <c r="H2079">
        <v>858.65800000000002</v>
      </c>
      <c r="I2079">
        <v>851.87400000000002</v>
      </c>
      <c r="J2079">
        <v>846.67700000000002</v>
      </c>
      <c r="K2079">
        <v>837.14700000000005</v>
      </c>
      <c r="L2079">
        <v>827.18799999999999</v>
      </c>
      <c r="M2079" s="233" t="s">
        <v>454</v>
      </c>
      <c r="N2079" s="233" t="s">
        <v>454</v>
      </c>
      <c r="O2079" s="3" t="s">
        <v>2499</v>
      </c>
    </row>
    <row r="2080" spans="1:15">
      <c r="A2080">
        <v>94</v>
      </c>
      <c r="B2080">
        <v>1085</v>
      </c>
      <c r="C2080" t="s">
        <v>81</v>
      </c>
      <c r="D2080" t="s">
        <v>422</v>
      </c>
      <c r="E2080" s="232" t="s">
        <v>489</v>
      </c>
      <c r="F2080" t="s">
        <v>71</v>
      </c>
      <c r="G2080">
        <v>2</v>
      </c>
      <c r="H2080">
        <v>867.15499999999997</v>
      </c>
      <c r="I2080">
        <v>863.31</v>
      </c>
      <c r="J2080">
        <v>856.72500000000002</v>
      </c>
      <c r="K2080">
        <v>850.88</v>
      </c>
      <c r="L2080">
        <v>842.29499999999996</v>
      </c>
      <c r="M2080" s="233" t="s">
        <v>454</v>
      </c>
      <c r="N2080" s="233" t="s">
        <v>454</v>
      </c>
      <c r="O2080" s="3" t="s">
        <v>2500</v>
      </c>
    </row>
    <row r="2081" spans="1:15">
      <c r="A2081">
        <v>95</v>
      </c>
      <c r="B2081">
        <v>1099</v>
      </c>
      <c r="C2081" t="s">
        <v>81</v>
      </c>
      <c r="D2081" t="s">
        <v>422</v>
      </c>
      <c r="E2081" s="232" t="s">
        <v>11250</v>
      </c>
      <c r="F2081" t="s">
        <v>71</v>
      </c>
      <c r="G2081">
        <v>2</v>
      </c>
      <c r="H2081">
        <v>863.84</v>
      </c>
      <c r="I2081">
        <v>858.8</v>
      </c>
      <c r="J2081">
        <v>850.94</v>
      </c>
      <c r="K2081">
        <v>845.87</v>
      </c>
      <c r="L2081">
        <v>835.51</v>
      </c>
      <c r="M2081" s="233" t="s">
        <v>454</v>
      </c>
      <c r="N2081" s="233" t="s">
        <v>454</v>
      </c>
      <c r="O2081" s="3" t="s">
        <v>2501</v>
      </c>
    </row>
    <row r="2082" spans="1:15">
      <c r="A2082">
        <v>93</v>
      </c>
      <c r="B2082">
        <v>1095</v>
      </c>
      <c r="C2082" t="s">
        <v>81</v>
      </c>
      <c r="D2082" t="s">
        <v>422</v>
      </c>
      <c r="E2082" s="232" t="s">
        <v>8863</v>
      </c>
      <c r="F2082" t="s">
        <v>71</v>
      </c>
      <c r="G2082">
        <v>2</v>
      </c>
      <c r="H2082">
        <v>866.27</v>
      </c>
      <c r="I2082">
        <v>861.15499999999997</v>
      </c>
      <c r="J2082">
        <v>853.59</v>
      </c>
      <c r="K2082">
        <v>847.7</v>
      </c>
      <c r="L2082">
        <v>838.73500000000001</v>
      </c>
      <c r="M2082" s="233" t="s">
        <v>454</v>
      </c>
      <c r="N2082" s="233" t="s">
        <v>454</v>
      </c>
      <c r="O2082" s="3" t="s">
        <v>2502</v>
      </c>
    </row>
    <row r="2083" spans="1:15">
      <c r="A2083">
        <v>93</v>
      </c>
      <c r="B2083">
        <v>1083</v>
      </c>
      <c r="C2083" t="s">
        <v>81</v>
      </c>
      <c r="D2083" t="s">
        <v>422</v>
      </c>
      <c r="E2083" s="232" t="s">
        <v>8883</v>
      </c>
      <c r="F2083" t="s">
        <v>71</v>
      </c>
      <c r="G2083">
        <v>2</v>
      </c>
      <c r="H2083">
        <v>865.79499999999996</v>
      </c>
      <c r="I2083">
        <v>861.15499999999997</v>
      </c>
      <c r="J2083">
        <v>853.29</v>
      </c>
      <c r="K2083">
        <v>847.57500000000005</v>
      </c>
      <c r="L2083">
        <v>838.73500000000001</v>
      </c>
      <c r="M2083" s="233" t="s">
        <v>454</v>
      </c>
      <c r="N2083" s="233" t="s">
        <v>454</v>
      </c>
      <c r="O2083" s="3" t="s">
        <v>2503</v>
      </c>
    </row>
    <row r="2084" spans="1:15">
      <c r="A2084">
        <v>95</v>
      </c>
      <c r="B2084">
        <v>1100</v>
      </c>
      <c r="C2084" t="s">
        <v>81</v>
      </c>
      <c r="D2084" t="s">
        <v>422</v>
      </c>
      <c r="E2084" s="232" t="s">
        <v>11298</v>
      </c>
      <c r="F2084" t="s">
        <v>71</v>
      </c>
      <c r="G2084">
        <v>2</v>
      </c>
      <c r="H2084">
        <v>862.82</v>
      </c>
      <c r="I2084">
        <v>857.63</v>
      </c>
      <c r="J2084">
        <v>849.74</v>
      </c>
      <c r="K2084">
        <v>843.95</v>
      </c>
      <c r="L2084">
        <v>834.04</v>
      </c>
      <c r="M2084" s="233" t="s">
        <v>454</v>
      </c>
      <c r="N2084" s="233" t="s">
        <v>454</v>
      </c>
      <c r="O2084" s="3" t="s">
        <v>2504</v>
      </c>
    </row>
    <row r="2085" spans="1:15">
      <c r="A2085">
        <v>93</v>
      </c>
      <c r="B2085">
        <v>1096</v>
      </c>
      <c r="C2085" t="s">
        <v>81</v>
      </c>
      <c r="D2085" t="s">
        <v>422</v>
      </c>
      <c r="E2085" s="232" t="s">
        <v>8974</v>
      </c>
      <c r="F2085" t="s">
        <v>71</v>
      </c>
      <c r="G2085">
        <v>2</v>
      </c>
      <c r="H2085">
        <v>861.77499999999998</v>
      </c>
      <c r="I2085">
        <v>856.88499999999999</v>
      </c>
      <c r="J2085">
        <v>849.44500000000005</v>
      </c>
      <c r="K2085">
        <v>843.33</v>
      </c>
      <c r="L2085">
        <v>834.46500000000003</v>
      </c>
      <c r="M2085" s="233" t="s">
        <v>454</v>
      </c>
      <c r="N2085" s="233" t="s">
        <v>454</v>
      </c>
      <c r="O2085" s="3" t="s">
        <v>2505</v>
      </c>
    </row>
    <row r="2086" spans="1:15">
      <c r="A2086">
        <v>93</v>
      </c>
      <c r="B2086">
        <v>1094</v>
      </c>
      <c r="C2086" t="s">
        <v>81</v>
      </c>
      <c r="D2086" t="s">
        <v>422</v>
      </c>
      <c r="E2086" s="232" t="s">
        <v>9657</v>
      </c>
      <c r="F2086" t="s">
        <v>71</v>
      </c>
      <c r="G2086">
        <v>2</v>
      </c>
      <c r="H2086">
        <v>858.80499999999995</v>
      </c>
      <c r="I2086">
        <v>853.59</v>
      </c>
      <c r="J2086">
        <v>845.3</v>
      </c>
      <c r="K2086">
        <v>839.88499999999999</v>
      </c>
      <c r="L2086">
        <v>831.995</v>
      </c>
      <c r="M2086" s="233" t="s">
        <v>454</v>
      </c>
      <c r="N2086" s="233" t="s">
        <v>454</v>
      </c>
      <c r="O2086" s="3" t="s">
        <v>2506</v>
      </c>
    </row>
    <row r="2087" spans="1:15">
      <c r="A2087">
        <v>99</v>
      </c>
      <c r="B2087">
        <v>1007</v>
      </c>
      <c r="C2087" t="s">
        <v>81</v>
      </c>
      <c r="D2087" t="s">
        <v>423</v>
      </c>
      <c r="E2087" s="232" t="s">
        <v>11513</v>
      </c>
      <c r="F2087" t="s">
        <v>70</v>
      </c>
      <c r="G2087">
        <v>2</v>
      </c>
      <c r="H2087">
        <v>687.57</v>
      </c>
      <c r="I2087">
        <v>686.63499999999999</v>
      </c>
      <c r="J2087">
        <v>684.84100000000001</v>
      </c>
      <c r="K2087">
        <v>681.86500000000001</v>
      </c>
      <c r="L2087">
        <v>679.21100000000001</v>
      </c>
      <c r="M2087" s="233" t="s">
        <v>530</v>
      </c>
      <c r="N2087" s="233" t="s">
        <v>531</v>
      </c>
      <c r="O2087" s="3" t="s">
        <v>2507</v>
      </c>
    </row>
    <row r="2088" spans="1:15">
      <c r="A2088">
        <v>96</v>
      </c>
      <c r="B2088">
        <v>1009</v>
      </c>
      <c r="C2088" t="s">
        <v>81</v>
      </c>
      <c r="D2088" t="s">
        <v>423</v>
      </c>
      <c r="E2088" s="232" t="s">
        <v>11831</v>
      </c>
      <c r="F2088" t="s">
        <v>70</v>
      </c>
      <c r="G2088">
        <v>2</v>
      </c>
      <c r="H2088">
        <v>697.18200000000002</v>
      </c>
      <c r="I2088">
        <v>695.25</v>
      </c>
      <c r="J2088">
        <v>693.42899999999997</v>
      </c>
      <c r="K2088">
        <v>690.78499999999997</v>
      </c>
      <c r="L2088">
        <v>687.91200000000003</v>
      </c>
      <c r="M2088" s="233" t="s">
        <v>530</v>
      </c>
      <c r="N2088" s="233" t="s">
        <v>531</v>
      </c>
      <c r="O2088" s="3" t="s">
        <v>2508</v>
      </c>
    </row>
    <row r="2089" spans="1:15">
      <c r="A2089">
        <v>96</v>
      </c>
      <c r="B2089">
        <v>1010</v>
      </c>
      <c r="C2089" t="s">
        <v>81</v>
      </c>
      <c r="D2089" t="s">
        <v>423</v>
      </c>
      <c r="E2089" s="232" t="s">
        <v>11956</v>
      </c>
      <c r="F2089" t="s">
        <v>70</v>
      </c>
      <c r="G2089">
        <v>2</v>
      </c>
      <c r="H2089">
        <v>695.25</v>
      </c>
      <c r="I2089">
        <v>693.42899999999997</v>
      </c>
      <c r="J2089">
        <v>691.76700000000005</v>
      </c>
      <c r="K2089">
        <v>688.98199999999997</v>
      </c>
      <c r="L2089">
        <v>686.23800000000006</v>
      </c>
      <c r="M2089" s="233" t="s">
        <v>530</v>
      </c>
      <c r="N2089" s="233" t="s">
        <v>531</v>
      </c>
      <c r="O2089" s="3" t="s">
        <v>2509</v>
      </c>
    </row>
    <row r="2090" spans="1:15">
      <c r="A2090">
        <v>96</v>
      </c>
      <c r="B2090">
        <v>1018</v>
      </c>
      <c r="C2090" t="s">
        <v>81</v>
      </c>
      <c r="D2090" t="s">
        <v>423</v>
      </c>
      <c r="E2090" s="232" t="s">
        <v>11987</v>
      </c>
      <c r="F2090" t="s">
        <v>70</v>
      </c>
      <c r="G2090">
        <v>2</v>
      </c>
      <c r="H2090">
        <v>694.65800000000002</v>
      </c>
      <c r="I2090">
        <v>692.89700000000005</v>
      </c>
      <c r="J2090">
        <v>691.327</v>
      </c>
      <c r="K2090">
        <v>688.56700000000001</v>
      </c>
      <c r="L2090">
        <v>685.62599999999998</v>
      </c>
      <c r="M2090" s="233" t="s">
        <v>530</v>
      </c>
      <c r="N2090" s="233" t="s">
        <v>531</v>
      </c>
      <c r="O2090" s="3" t="s">
        <v>2510</v>
      </c>
    </row>
    <row r="2091" spans="1:15">
      <c r="A2091">
        <v>96</v>
      </c>
      <c r="B2091">
        <v>1039</v>
      </c>
      <c r="C2091" t="s">
        <v>81</v>
      </c>
      <c r="D2091" t="s">
        <v>423</v>
      </c>
      <c r="E2091" s="232" t="s">
        <v>12060</v>
      </c>
      <c r="F2091" t="s">
        <v>70</v>
      </c>
      <c r="G2091">
        <v>2</v>
      </c>
      <c r="H2091">
        <v>693.154</v>
      </c>
      <c r="I2091">
        <v>692.11</v>
      </c>
      <c r="J2091">
        <v>690.36199999999997</v>
      </c>
      <c r="K2091">
        <v>687.62199999999996</v>
      </c>
      <c r="L2091">
        <v>684.63</v>
      </c>
      <c r="M2091" s="233" t="s">
        <v>530</v>
      </c>
      <c r="N2091" s="233" t="s">
        <v>531</v>
      </c>
      <c r="O2091" s="3" t="s">
        <v>2511</v>
      </c>
    </row>
    <row r="2092" spans="1:15">
      <c r="A2092">
        <v>96</v>
      </c>
      <c r="B2092">
        <v>1028</v>
      </c>
      <c r="C2092" t="s">
        <v>81</v>
      </c>
      <c r="D2092" t="s">
        <v>423</v>
      </c>
      <c r="E2092" s="232" t="s">
        <v>11596</v>
      </c>
      <c r="F2092" t="s">
        <v>70</v>
      </c>
      <c r="G2092">
        <v>2</v>
      </c>
      <c r="H2092">
        <v>692.89700000000005</v>
      </c>
      <c r="I2092">
        <v>691.60699999999997</v>
      </c>
      <c r="J2092">
        <v>689.79100000000005</v>
      </c>
      <c r="K2092">
        <v>686.96699999999998</v>
      </c>
      <c r="L2092">
        <v>684.21199999999999</v>
      </c>
      <c r="M2092" s="233" t="s">
        <v>530</v>
      </c>
      <c r="N2092" s="233" t="s">
        <v>531</v>
      </c>
      <c r="O2092" s="3" t="s">
        <v>2512</v>
      </c>
    </row>
    <row r="2093" spans="1:15">
      <c r="A2093">
        <v>96</v>
      </c>
      <c r="B2093">
        <v>1020</v>
      </c>
      <c r="C2093" t="s">
        <v>81</v>
      </c>
      <c r="D2093" t="s">
        <v>423</v>
      </c>
      <c r="E2093" s="232" t="s">
        <v>10547</v>
      </c>
      <c r="F2093" t="s">
        <v>70</v>
      </c>
      <c r="G2093">
        <v>2</v>
      </c>
      <c r="H2093">
        <v>692.89700000000005</v>
      </c>
      <c r="I2093">
        <v>691.327</v>
      </c>
      <c r="J2093">
        <v>689.25800000000004</v>
      </c>
      <c r="K2093">
        <v>686.529</v>
      </c>
      <c r="L2093">
        <v>683.81500000000005</v>
      </c>
      <c r="M2093" s="233" t="s">
        <v>530</v>
      </c>
      <c r="N2093" s="233" t="s">
        <v>531</v>
      </c>
      <c r="O2093" s="3" t="s">
        <v>2513</v>
      </c>
    </row>
    <row r="2094" spans="1:15">
      <c r="A2094">
        <v>96</v>
      </c>
      <c r="B2094">
        <v>1013</v>
      </c>
      <c r="C2094" t="s">
        <v>81</v>
      </c>
      <c r="D2094" t="s">
        <v>423</v>
      </c>
      <c r="E2094" s="232" t="s">
        <v>8744</v>
      </c>
      <c r="F2094" t="s">
        <v>70</v>
      </c>
      <c r="G2094">
        <v>2</v>
      </c>
      <c r="H2094">
        <v>692.80200000000002</v>
      </c>
      <c r="I2094">
        <v>691.06600000000003</v>
      </c>
      <c r="J2094">
        <v>689.16300000000001</v>
      </c>
      <c r="K2094">
        <v>686.33399999999995</v>
      </c>
      <c r="L2094">
        <v>681.18799999999999</v>
      </c>
      <c r="M2094" s="233" t="s">
        <v>530</v>
      </c>
      <c r="N2094" s="233" t="s">
        <v>531</v>
      </c>
      <c r="O2094" s="3" t="s">
        <v>2514</v>
      </c>
    </row>
    <row r="2095" spans="1:15">
      <c r="A2095">
        <v>96</v>
      </c>
      <c r="B2095">
        <v>1015</v>
      </c>
      <c r="C2095" t="s">
        <v>81</v>
      </c>
      <c r="D2095" t="s">
        <v>423</v>
      </c>
      <c r="E2095" s="232" t="s">
        <v>555</v>
      </c>
      <c r="F2095" t="s">
        <v>70</v>
      </c>
      <c r="G2095">
        <v>2</v>
      </c>
      <c r="H2095">
        <v>692.30499999999995</v>
      </c>
      <c r="I2095">
        <v>690.36199999999997</v>
      </c>
      <c r="J2095">
        <v>688.48299999999995</v>
      </c>
      <c r="K2095">
        <v>685.62199999999996</v>
      </c>
      <c r="L2095">
        <v>682.97199999999998</v>
      </c>
      <c r="M2095" s="233" t="s">
        <v>530</v>
      </c>
      <c r="N2095" s="233" t="s">
        <v>531</v>
      </c>
      <c r="O2095" s="3" t="s">
        <v>2515</v>
      </c>
    </row>
    <row r="2096" spans="1:15">
      <c r="A2096">
        <v>96</v>
      </c>
      <c r="B2096">
        <v>1021</v>
      </c>
      <c r="C2096" t="s">
        <v>81</v>
      </c>
      <c r="D2096" t="s">
        <v>423</v>
      </c>
      <c r="E2096" s="232" t="s">
        <v>12400</v>
      </c>
      <c r="F2096" t="s">
        <v>70</v>
      </c>
      <c r="G2096">
        <v>2</v>
      </c>
      <c r="H2096">
        <v>688.01199999999994</v>
      </c>
      <c r="I2096">
        <v>686.42899999999997</v>
      </c>
      <c r="J2096">
        <v>684.30799999999999</v>
      </c>
      <c r="K2096">
        <v>681.95899999999995</v>
      </c>
      <c r="L2096">
        <v>679.79300000000001</v>
      </c>
      <c r="M2096" s="233" t="s">
        <v>530</v>
      </c>
      <c r="N2096" s="233" t="s">
        <v>531</v>
      </c>
      <c r="O2096" s="3" t="s">
        <v>2516</v>
      </c>
    </row>
    <row r="2097" spans="1:15">
      <c r="A2097">
        <v>96</v>
      </c>
      <c r="B2097">
        <v>1029</v>
      </c>
      <c r="C2097" t="s">
        <v>81</v>
      </c>
      <c r="D2097" t="s">
        <v>423</v>
      </c>
      <c r="E2097" s="232" t="s">
        <v>12424</v>
      </c>
      <c r="F2097" t="s">
        <v>70</v>
      </c>
      <c r="G2097">
        <v>2</v>
      </c>
      <c r="H2097">
        <v>687.18899999999996</v>
      </c>
      <c r="I2097">
        <v>685.62199999999996</v>
      </c>
      <c r="J2097">
        <v>683.97</v>
      </c>
      <c r="K2097">
        <v>681.61</v>
      </c>
      <c r="L2097">
        <v>679.27700000000004</v>
      </c>
      <c r="M2097" s="233" t="s">
        <v>530</v>
      </c>
      <c r="N2097" s="233" t="s">
        <v>531</v>
      </c>
      <c r="O2097" s="3" t="s">
        <v>2517</v>
      </c>
    </row>
    <row r="2098" spans="1:15">
      <c r="A2098">
        <v>96</v>
      </c>
      <c r="B2098">
        <v>1026</v>
      </c>
      <c r="C2098" t="s">
        <v>81</v>
      </c>
      <c r="D2098" t="s">
        <v>423</v>
      </c>
      <c r="E2098" s="232" t="s">
        <v>13224</v>
      </c>
      <c r="F2098" t="s">
        <v>70</v>
      </c>
      <c r="G2098">
        <v>2</v>
      </c>
      <c r="H2098">
        <v>672.471</v>
      </c>
      <c r="I2098">
        <v>670.9</v>
      </c>
      <c r="J2098">
        <v>669.404</v>
      </c>
      <c r="K2098">
        <v>667.07</v>
      </c>
      <c r="L2098">
        <v>664.84699999999998</v>
      </c>
      <c r="M2098" s="233" t="s">
        <v>530</v>
      </c>
      <c r="N2098" s="233" t="s">
        <v>531</v>
      </c>
      <c r="O2098" s="3" t="s">
        <v>2518</v>
      </c>
    </row>
    <row r="2099" spans="1:15">
      <c r="A2099">
        <v>96</v>
      </c>
      <c r="B2099">
        <v>1030</v>
      </c>
      <c r="C2099" t="s">
        <v>81</v>
      </c>
      <c r="D2099" t="s">
        <v>423</v>
      </c>
      <c r="E2099" s="232" t="s">
        <v>13243</v>
      </c>
      <c r="F2099" t="s">
        <v>70</v>
      </c>
      <c r="G2099">
        <v>2</v>
      </c>
      <c r="H2099">
        <v>671.77599999999995</v>
      </c>
      <c r="I2099">
        <v>670.37300000000005</v>
      </c>
      <c r="J2099">
        <v>668.64400000000001</v>
      </c>
      <c r="K2099">
        <v>665.89700000000005</v>
      </c>
      <c r="L2099">
        <v>662.92</v>
      </c>
      <c r="M2099" s="233" t="s">
        <v>530</v>
      </c>
      <c r="N2099" s="233" t="s">
        <v>531</v>
      </c>
      <c r="O2099" s="3" t="s">
        <v>2519</v>
      </c>
    </row>
    <row r="2100" spans="1:15">
      <c r="A2100">
        <v>96</v>
      </c>
      <c r="B2100">
        <v>1033</v>
      </c>
      <c r="C2100" t="s">
        <v>81</v>
      </c>
      <c r="D2100" t="s">
        <v>423</v>
      </c>
      <c r="E2100" s="232" t="s">
        <v>13259</v>
      </c>
      <c r="F2100" t="s">
        <v>70</v>
      </c>
      <c r="G2100">
        <v>2</v>
      </c>
      <c r="H2100">
        <v>671.43399999999997</v>
      </c>
      <c r="I2100">
        <v>670.02700000000004</v>
      </c>
      <c r="J2100">
        <v>668.54700000000003</v>
      </c>
      <c r="K2100">
        <v>666.19399999999996</v>
      </c>
      <c r="L2100">
        <v>663.63699999999994</v>
      </c>
      <c r="M2100" s="233" t="s">
        <v>530</v>
      </c>
      <c r="N2100" s="233" t="s">
        <v>531</v>
      </c>
      <c r="O2100" s="3" t="s">
        <v>2520</v>
      </c>
    </row>
    <row r="2101" spans="1:15">
      <c r="A2101">
        <v>96</v>
      </c>
      <c r="B2101">
        <v>1035</v>
      </c>
      <c r="C2101" t="s">
        <v>81</v>
      </c>
      <c r="D2101" t="s">
        <v>423</v>
      </c>
      <c r="E2101" s="232" t="s">
        <v>13276</v>
      </c>
      <c r="F2101" t="s">
        <v>70</v>
      </c>
      <c r="G2101">
        <v>2</v>
      </c>
      <c r="H2101">
        <v>671.43399999999997</v>
      </c>
      <c r="I2101">
        <v>669.78599999999994</v>
      </c>
      <c r="J2101">
        <v>667.899</v>
      </c>
      <c r="K2101">
        <v>665.21400000000006</v>
      </c>
      <c r="L2101">
        <v>662.38099999999997</v>
      </c>
      <c r="M2101" s="233" t="s">
        <v>530</v>
      </c>
      <c r="N2101" s="233" t="s">
        <v>531</v>
      </c>
      <c r="O2101" s="3" t="s">
        <v>2521</v>
      </c>
    </row>
    <row r="2102" spans="1:15">
      <c r="A2102">
        <v>96</v>
      </c>
      <c r="B2102">
        <v>1036</v>
      </c>
      <c r="C2102" t="s">
        <v>81</v>
      </c>
      <c r="D2102" t="s">
        <v>423</v>
      </c>
      <c r="E2102" s="232" t="s">
        <v>13297</v>
      </c>
      <c r="F2102" t="s">
        <v>70</v>
      </c>
      <c r="G2102">
        <v>2</v>
      </c>
      <c r="H2102">
        <v>670.553</v>
      </c>
      <c r="I2102">
        <v>669.16200000000003</v>
      </c>
      <c r="J2102">
        <v>667.48800000000006</v>
      </c>
      <c r="K2102">
        <v>665.31399999999996</v>
      </c>
      <c r="L2102">
        <v>663.11500000000001</v>
      </c>
      <c r="M2102" s="233" t="s">
        <v>530</v>
      </c>
      <c r="N2102" s="233" t="s">
        <v>531</v>
      </c>
      <c r="O2102" s="3" t="s">
        <v>2522</v>
      </c>
    </row>
    <row r="2103" spans="1:15">
      <c r="A2103">
        <v>96</v>
      </c>
      <c r="B2103">
        <v>1032</v>
      </c>
      <c r="C2103" t="s">
        <v>81</v>
      </c>
      <c r="D2103" t="s">
        <v>423</v>
      </c>
      <c r="E2103" s="232" t="s">
        <v>13343</v>
      </c>
      <c r="F2103" t="s">
        <v>70</v>
      </c>
      <c r="G2103">
        <v>2</v>
      </c>
      <c r="H2103">
        <v>668.18100000000004</v>
      </c>
      <c r="I2103">
        <v>666.78499999999997</v>
      </c>
      <c r="J2103">
        <v>665.50099999999998</v>
      </c>
      <c r="K2103">
        <v>663.39499999999998</v>
      </c>
      <c r="L2103">
        <v>661.25</v>
      </c>
      <c r="M2103" s="233" t="s">
        <v>530</v>
      </c>
      <c r="N2103" s="233" t="s">
        <v>531</v>
      </c>
      <c r="O2103" s="3" t="s">
        <v>2523</v>
      </c>
    </row>
    <row r="2104" spans="1:15">
      <c r="A2104">
        <v>96</v>
      </c>
      <c r="B2104">
        <v>1034</v>
      </c>
      <c r="C2104" t="s">
        <v>81</v>
      </c>
      <c r="D2104" t="s">
        <v>423</v>
      </c>
      <c r="E2104" s="232" t="s">
        <v>13369</v>
      </c>
      <c r="F2104" t="s">
        <v>70</v>
      </c>
      <c r="G2104">
        <v>2</v>
      </c>
      <c r="H2104">
        <v>668.36099999999999</v>
      </c>
      <c r="I2104">
        <v>666.78499999999997</v>
      </c>
      <c r="J2104">
        <v>665.12699999999995</v>
      </c>
      <c r="K2104">
        <v>662.47799999999995</v>
      </c>
      <c r="L2104">
        <v>659.83799999999997</v>
      </c>
      <c r="M2104" s="233" t="s">
        <v>530</v>
      </c>
      <c r="N2104" s="233" t="s">
        <v>531</v>
      </c>
      <c r="O2104" s="3" t="s">
        <v>2524</v>
      </c>
    </row>
    <row r="2105" spans="1:15">
      <c r="A2105">
        <v>96</v>
      </c>
      <c r="B2105">
        <v>1037</v>
      </c>
      <c r="C2105" t="s">
        <v>81</v>
      </c>
      <c r="D2105" t="s">
        <v>423</v>
      </c>
      <c r="E2105" s="232" t="s">
        <v>13456</v>
      </c>
      <c r="F2105" t="s">
        <v>70</v>
      </c>
      <c r="G2105">
        <v>2</v>
      </c>
      <c r="H2105">
        <v>665.89700000000005</v>
      </c>
      <c r="I2105">
        <v>664.39099999999996</v>
      </c>
      <c r="J2105">
        <v>662.38099999999997</v>
      </c>
      <c r="K2105">
        <v>659.55799999999999</v>
      </c>
      <c r="L2105">
        <v>656.11599999999999</v>
      </c>
      <c r="M2105" s="233" t="s">
        <v>530</v>
      </c>
      <c r="N2105" s="233" t="s">
        <v>531</v>
      </c>
      <c r="O2105" s="3" t="s">
        <v>2525</v>
      </c>
    </row>
    <row r="2106" spans="1:15">
      <c r="A2106">
        <v>97</v>
      </c>
      <c r="B2106">
        <v>1050</v>
      </c>
      <c r="C2106" t="s">
        <v>81</v>
      </c>
      <c r="D2106" t="s">
        <v>423</v>
      </c>
      <c r="E2106" s="232" t="s">
        <v>9921</v>
      </c>
      <c r="F2106" t="s">
        <v>71</v>
      </c>
      <c r="G2106">
        <v>2</v>
      </c>
      <c r="H2106">
        <v>691.38499999999999</v>
      </c>
      <c r="I2106">
        <v>690.197</v>
      </c>
      <c r="J2106">
        <v>688.32799999999997</v>
      </c>
      <c r="K2106">
        <v>685.46299999999997</v>
      </c>
      <c r="L2106">
        <v>682.79700000000003</v>
      </c>
      <c r="M2106" s="233" t="s">
        <v>530</v>
      </c>
      <c r="N2106" s="233" t="s">
        <v>531</v>
      </c>
      <c r="O2106" s="3" t="s">
        <v>2526</v>
      </c>
    </row>
    <row r="2107" spans="1:15">
      <c r="A2107">
        <v>97</v>
      </c>
      <c r="B2107">
        <v>1048</v>
      </c>
      <c r="C2107" t="s">
        <v>81</v>
      </c>
      <c r="D2107" t="s">
        <v>423</v>
      </c>
      <c r="E2107" s="232" t="s">
        <v>8726</v>
      </c>
      <c r="F2107" t="s">
        <v>71</v>
      </c>
      <c r="G2107">
        <v>2</v>
      </c>
      <c r="H2107">
        <v>690.75</v>
      </c>
      <c r="I2107">
        <v>689.52300000000002</v>
      </c>
      <c r="J2107">
        <v>687.70799999999997</v>
      </c>
      <c r="K2107">
        <v>685.00199999999995</v>
      </c>
      <c r="L2107">
        <v>682.26800000000003</v>
      </c>
      <c r="M2107" s="233" t="s">
        <v>530</v>
      </c>
      <c r="N2107" s="233" t="s">
        <v>531</v>
      </c>
      <c r="O2107" s="3" t="s">
        <v>2527</v>
      </c>
    </row>
    <row r="2108" spans="1:15">
      <c r="A2108">
        <v>98</v>
      </c>
      <c r="B2108">
        <v>1045</v>
      </c>
      <c r="C2108" t="s">
        <v>81</v>
      </c>
      <c r="D2108" t="s">
        <v>423</v>
      </c>
      <c r="E2108" s="232" t="s">
        <v>11592</v>
      </c>
      <c r="F2108" t="s">
        <v>71</v>
      </c>
      <c r="G2108">
        <v>2</v>
      </c>
      <c r="H2108">
        <v>690.91600000000005</v>
      </c>
      <c r="I2108">
        <v>689.45899999999995</v>
      </c>
      <c r="J2108">
        <v>687.63099999999997</v>
      </c>
      <c r="K2108">
        <v>684.98800000000006</v>
      </c>
      <c r="L2108">
        <v>682.33900000000006</v>
      </c>
      <c r="M2108" s="233" t="s">
        <v>530</v>
      </c>
      <c r="N2108" s="233" t="s">
        <v>531</v>
      </c>
      <c r="O2108" s="3" t="s">
        <v>2528</v>
      </c>
    </row>
    <row r="2109" spans="1:15">
      <c r="A2109">
        <v>97</v>
      </c>
      <c r="B2109">
        <v>1052</v>
      </c>
      <c r="C2109" t="s">
        <v>81</v>
      </c>
      <c r="D2109" t="s">
        <v>423</v>
      </c>
      <c r="E2109" s="232" t="s">
        <v>11688</v>
      </c>
      <c r="F2109" t="s">
        <v>71</v>
      </c>
      <c r="G2109">
        <v>2</v>
      </c>
      <c r="H2109">
        <v>689.71199999999999</v>
      </c>
      <c r="I2109">
        <v>688.51</v>
      </c>
      <c r="J2109">
        <v>686.822</v>
      </c>
      <c r="K2109">
        <v>684.11199999999997</v>
      </c>
      <c r="L2109">
        <v>681.34199999999998</v>
      </c>
      <c r="M2109" s="233" t="s">
        <v>530</v>
      </c>
      <c r="N2109" s="233" t="s">
        <v>531</v>
      </c>
      <c r="O2109" s="3" t="s">
        <v>2529</v>
      </c>
    </row>
    <row r="2110" spans="1:15">
      <c r="A2110">
        <v>97</v>
      </c>
      <c r="B2110">
        <v>1057</v>
      </c>
      <c r="C2110" t="s">
        <v>81</v>
      </c>
      <c r="D2110" t="s">
        <v>423</v>
      </c>
      <c r="E2110" s="232" t="s">
        <v>11197</v>
      </c>
      <c r="F2110" t="s">
        <v>71</v>
      </c>
      <c r="G2110">
        <v>2</v>
      </c>
      <c r="H2110">
        <v>689.95500000000004</v>
      </c>
      <c r="I2110">
        <v>688.45299999999997</v>
      </c>
      <c r="J2110">
        <v>686.58</v>
      </c>
      <c r="K2110">
        <v>683.98699999999997</v>
      </c>
      <c r="L2110">
        <v>681.34199999999998</v>
      </c>
      <c r="M2110" s="233" t="s">
        <v>530</v>
      </c>
      <c r="N2110" s="233" t="s">
        <v>531</v>
      </c>
      <c r="O2110" s="3" t="s">
        <v>2530</v>
      </c>
    </row>
    <row r="2111" spans="1:15">
      <c r="A2111">
        <v>98</v>
      </c>
      <c r="B2111">
        <v>1054</v>
      </c>
      <c r="C2111" t="s">
        <v>81</v>
      </c>
      <c r="D2111" t="s">
        <v>423</v>
      </c>
      <c r="E2111" s="232" t="s">
        <v>11662</v>
      </c>
      <c r="F2111" t="s">
        <v>71</v>
      </c>
      <c r="G2111">
        <v>2</v>
      </c>
      <c r="H2111">
        <v>689.20799999999997</v>
      </c>
      <c r="I2111">
        <v>687.98299999999995</v>
      </c>
      <c r="J2111">
        <v>686.34799999999996</v>
      </c>
      <c r="K2111">
        <v>683.71900000000005</v>
      </c>
      <c r="L2111">
        <v>681.197</v>
      </c>
      <c r="M2111" s="233" t="s">
        <v>530</v>
      </c>
      <c r="N2111" s="233" t="s">
        <v>531</v>
      </c>
      <c r="O2111" s="3" t="s">
        <v>2531</v>
      </c>
    </row>
    <row r="2112" spans="1:15">
      <c r="A2112">
        <v>97</v>
      </c>
      <c r="B2112">
        <v>1047</v>
      </c>
      <c r="C2112" t="s">
        <v>81</v>
      </c>
      <c r="D2112" t="s">
        <v>423</v>
      </c>
      <c r="E2112" s="232" t="s">
        <v>11739</v>
      </c>
      <c r="F2112" t="s">
        <v>71</v>
      </c>
      <c r="G2112">
        <v>2</v>
      </c>
      <c r="H2112">
        <v>688.85199999999998</v>
      </c>
      <c r="I2112">
        <v>687.70799999999997</v>
      </c>
      <c r="J2112">
        <v>685.9</v>
      </c>
      <c r="K2112">
        <v>683.33500000000004</v>
      </c>
      <c r="L2112">
        <v>680.72500000000002</v>
      </c>
      <c r="M2112" s="233" t="s">
        <v>530</v>
      </c>
      <c r="N2112" s="233" t="s">
        <v>531</v>
      </c>
      <c r="O2112" s="3" t="s">
        <v>2532</v>
      </c>
    </row>
    <row r="2113" spans="1:15">
      <c r="A2113">
        <v>97</v>
      </c>
      <c r="B2113">
        <v>1049</v>
      </c>
      <c r="C2113" t="s">
        <v>81</v>
      </c>
      <c r="D2113" t="s">
        <v>423</v>
      </c>
      <c r="E2113" s="232" t="s">
        <v>8618</v>
      </c>
      <c r="F2113" t="s">
        <v>71</v>
      </c>
      <c r="G2113">
        <v>2</v>
      </c>
      <c r="H2113">
        <v>687.00800000000004</v>
      </c>
      <c r="I2113">
        <v>685.9</v>
      </c>
      <c r="J2113">
        <v>684.298</v>
      </c>
      <c r="K2113">
        <v>681.58799999999997</v>
      </c>
      <c r="L2113">
        <v>679.26199999999994</v>
      </c>
      <c r="M2113" s="233" t="s">
        <v>530</v>
      </c>
      <c r="N2113" s="233" t="s">
        <v>531</v>
      </c>
      <c r="O2113" s="3" t="s">
        <v>2533</v>
      </c>
    </row>
    <row r="2114" spans="1:15">
      <c r="A2114">
        <v>97</v>
      </c>
      <c r="B2114">
        <v>1051</v>
      </c>
      <c r="C2114" t="s">
        <v>81</v>
      </c>
      <c r="D2114" t="s">
        <v>423</v>
      </c>
      <c r="E2114" s="232" t="s">
        <v>7365</v>
      </c>
      <c r="F2114" t="s">
        <v>71</v>
      </c>
      <c r="G2114">
        <v>2</v>
      </c>
      <c r="H2114">
        <v>686.11800000000005</v>
      </c>
      <c r="I2114">
        <v>685.00199999999995</v>
      </c>
      <c r="J2114">
        <v>683.51700000000005</v>
      </c>
      <c r="K2114">
        <v>680.85</v>
      </c>
      <c r="L2114">
        <v>678.51499999999999</v>
      </c>
      <c r="M2114" s="233" t="s">
        <v>530</v>
      </c>
      <c r="N2114" s="233" t="s">
        <v>531</v>
      </c>
      <c r="O2114" s="3" t="s">
        <v>2534</v>
      </c>
    </row>
    <row r="2115" spans="1:15">
      <c r="A2115">
        <v>97</v>
      </c>
      <c r="B2115">
        <v>1062</v>
      </c>
      <c r="C2115" t="s">
        <v>81</v>
      </c>
      <c r="D2115" t="s">
        <v>423</v>
      </c>
      <c r="E2115" s="232" t="s">
        <v>12509</v>
      </c>
      <c r="F2115" t="s">
        <v>71</v>
      </c>
      <c r="G2115">
        <v>2</v>
      </c>
      <c r="H2115">
        <v>676.99</v>
      </c>
      <c r="I2115">
        <v>675.49</v>
      </c>
      <c r="J2115">
        <v>673.88499999999999</v>
      </c>
      <c r="K2115">
        <v>671.61500000000001</v>
      </c>
      <c r="L2115">
        <v>669.04499999999996</v>
      </c>
      <c r="M2115" s="233" t="s">
        <v>530</v>
      </c>
      <c r="N2115" s="233" t="s">
        <v>531</v>
      </c>
      <c r="O2115" s="3" t="s">
        <v>2535</v>
      </c>
    </row>
    <row r="2116" spans="1:15">
      <c r="A2116">
        <v>97</v>
      </c>
      <c r="B2116">
        <v>1055</v>
      </c>
      <c r="C2116" t="s">
        <v>81</v>
      </c>
      <c r="D2116" t="s">
        <v>423</v>
      </c>
      <c r="E2116" s="232" t="s">
        <v>12795</v>
      </c>
      <c r="F2116" t="s">
        <v>71</v>
      </c>
      <c r="G2116">
        <v>2</v>
      </c>
      <c r="H2116">
        <v>671.02300000000002</v>
      </c>
      <c r="I2116">
        <v>669.66300000000001</v>
      </c>
      <c r="J2116">
        <v>667.88800000000003</v>
      </c>
      <c r="K2116">
        <v>664.96799999999996</v>
      </c>
      <c r="L2116">
        <v>661.65700000000004</v>
      </c>
      <c r="M2116" s="233" t="s">
        <v>530</v>
      </c>
      <c r="N2116" s="233" t="s">
        <v>531</v>
      </c>
      <c r="O2116" s="3" t="s">
        <v>2536</v>
      </c>
    </row>
    <row r="2117" spans="1:15">
      <c r="A2117" s="3">
        <v>97</v>
      </c>
      <c r="B2117" s="3">
        <v>1064</v>
      </c>
      <c r="C2117" s="3" t="s">
        <v>81</v>
      </c>
      <c r="D2117" s="3" t="s">
        <v>423</v>
      </c>
      <c r="E2117" s="21" t="s">
        <v>12871</v>
      </c>
      <c r="F2117" s="3" t="s">
        <v>71</v>
      </c>
      <c r="G2117" s="20">
        <v>2</v>
      </c>
      <c r="H2117" s="3">
        <v>669.32</v>
      </c>
      <c r="I2117" s="3">
        <v>667.79499999999996</v>
      </c>
      <c r="J2117" s="3">
        <v>666.04499999999996</v>
      </c>
      <c r="K2117" s="3">
        <v>662.64300000000003</v>
      </c>
      <c r="L2117" s="3">
        <v>659.77499999999998</v>
      </c>
      <c r="M2117" s="232" t="s">
        <v>530</v>
      </c>
      <c r="N2117" s="232" t="s">
        <v>531</v>
      </c>
      <c r="O2117" s="3" t="s">
        <v>2537</v>
      </c>
    </row>
    <row r="2118" spans="1:15">
      <c r="A2118" s="3">
        <v>97</v>
      </c>
      <c r="B2118" s="3">
        <v>1065</v>
      </c>
      <c r="C2118" s="3" t="s">
        <v>81</v>
      </c>
      <c r="D2118" s="3" t="s">
        <v>423</v>
      </c>
      <c r="E2118" s="21" t="s">
        <v>12910</v>
      </c>
      <c r="F2118" s="3" t="s">
        <v>71</v>
      </c>
      <c r="G2118" s="20">
        <v>2</v>
      </c>
      <c r="H2118" s="3">
        <v>668.03700000000003</v>
      </c>
      <c r="I2118" s="3">
        <v>667.14499999999998</v>
      </c>
      <c r="J2118" s="3">
        <v>665.77</v>
      </c>
      <c r="K2118" s="3">
        <v>663.22500000000002</v>
      </c>
      <c r="L2118" s="3">
        <v>660.625</v>
      </c>
      <c r="M2118" s="232" t="s">
        <v>530</v>
      </c>
      <c r="N2118" s="232" t="s">
        <v>531</v>
      </c>
      <c r="O2118" s="3" t="s">
        <v>2538</v>
      </c>
    </row>
    <row r="2119" spans="1:15">
      <c r="A2119" s="3">
        <v>97</v>
      </c>
      <c r="B2119" s="3">
        <v>1058</v>
      </c>
      <c r="C2119" s="3" t="s">
        <v>81</v>
      </c>
      <c r="D2119" s="3" t="s">
        <v>423</v>
      </c>
      <c r="E2119" s="21" t="s">
        <v>12915</v>
      </c>
      <c r="F2119" s="3" t="s">
        <v>71</v>
      </c>
      <c r="G2119" s="20">
        <v>2</v>
      </c>
      <c r="H2119" s="3">
        <v>668.65499999999997</v>
      </c>
      <c r="I2119" s="3">
        <v>667.14499999999998</v>
      </c>
      <c r="J2119" s="3">
        <v>665.11800000000005</v>
      </c>
      <c r="K2119" s="3">
        <v>661.45</v>
      </c>
      <c r="L2119" s="3">
        <v>657.66</v>
      </c>
      <c r="M2119" s="232" t="s">
        <v>530</v>
      </c>
      <c r="N2119" s="232" t="s">
        <v>531</v>
      </c>
      <c r="O2119" s="3" t="s">
        <v>2539</v>
      </c>
    </row>
    <row r="2120" spans="1:15">
      <c r="A2120" s="3">
        <v>97</v>
      </c>
      <c r="B2120" s="3">
        <v>1061</v>
      </c>
      <c r="C2120" s="3" t="s">
        <v>81</v>
      </c>
      <c r="D2120" s="3" t="s">
        <v>423</v>
      </c>
      <c r="E2120" s="21" t="s">
        <v>12926</v>
      </c>
      <c r="F2120" s="3" t="s">
        <v>71</v>
      </c>
      <c r="G2120" s="20">
        <v>2</v>
      </c>
      <c r="H2120" s="3">
        <v>668.03700000000003</v>
      </c>
      <c r="I2120" s="3">
        <v>666.82500000000005</v>
      </c>
      <c r="J2120" s="3">
        <v>664.96799999999996</v>
      </c>
      <c r="K2120" s="3">
        <v>661.83900000000006</v>
      </c>
      <c r="L2120" s="3">
        <v>658.73</v>
      </c>
      <c r="M2120" s="232" t="s">
        <v>530</v>
      </c>
      <c r="N2120" s="232" t="s">
        <v>531</v>
      </c>
      <c r="O2120" s="3" t="s">
        <v>2540</v>
      </c>
    </row>
    <row r="2121" spans="1:15">
      <c r="A2121" s="3">
        <v>97</v>
      </c>
      <c r="B2121" s="3">
        <v>1060</v>
      </c>
      <c r="C2121" s="3" t="s">
        <v>81</v>
      </c>
      <c r="D2121" s="3" t="s">
        <v>423</v>
      </c>
      <c r="E2121" s="21" t="s">
        <v>13148</v>
      </c>
      <c r="F2121" s="3" t="s">
        <v>71</v>
      </c>
      <c r="G2121" s="20">
        <v>2</v>
      </c>
      <c r="H2121" s="3">
        <v>664.54300000000001</v>
      </c>
      <c r="I2121" s="3">
        <v>663.5</v>
      </c>
      <c r="J2121" s="3">
        <v>661.93200000000002</v>
      </c>
      <c r="K2121" s="3">
        <v>659.4</v>
      </c>
      <c r="L2121" s="3">
        <v>657.10799999999995</v>
      </c>
      <c r="M2121" s="232" t="s">
        <v>530</v>
      </c>
      <c r="N2121" s="232" t="s">
        <v>531</v>
      </c>
      <c r="O2121" s="3" t="s">
        <v>2541</v>
      </c>
    </row>
    <row r="2122" spans="1:15">
      <c r="A2122" s="3">
        <v>97</v>
      </c>
      <c r="B2122" s="3">
        <v>1059</v>
      </c>
      <c r="C2122" s="3" t="s">
        <v>81</v>
      </c>
      <c r="D2122" s="3" t="s">
        <v>423</v>
      </c>
      <c r="E2122" s="21" t="s">
        <v>13429</v>
      </c>
      <c r="F2122" s="3" t="s">
        <v>71</v>
      </c>
      <c r="G2122" s="20">
        <v>2</v>
      </c>
      <c r="H2122" s="3">
        <v>657.46699999999998</v>
      </c>
      <c r="I2122" s="3">
        <v>656.06700000000001</v>
      </c>
      <c r="J2122" s="3">
        <v>654.24300000000005</v>
      </c>
      <c r="K2122" s="3">
        <v>651.63699999999994</v>
      </c>
      <c r="L2122" s="3">
        <v>649.255</v>
      </c>
      <c r="M2122" s="232" t="s">
        <v>530</v>
      </c>
      <c r="N2122" s="232" t="s">
        <v>531</v>
      </c>
      <c r="O2122" s="3" t="s">
        <v>2542</v>
      </c>
    </row>
    <row r="2123" spans="1:15">
      <c r="A2123" s="3">
        <v>132</v>
      </c>
      <c r="B2123" s="3">
        <v>1137</v>
      </c>
      <c r="C2123" s="3" t="s">
        <v>81</v>
      </c>
      <c r="D2123" s="3" t="s">
        <v>446</v>
      </c>
      <c r="E2123" s="21" t="s">
        <v>7825</v>
      </c>
      <c r="F2123" s="3" t="s">
        <v>70</v>
      </c>
      <c r="G2123" s="20">
        <v>2</v>
      </c>
      <c r="H2123" s="3">
        <v>819.61</v>
      </c>
      <c r="I2123" s="3">
        <v>808.61</v>
      </c>
      <c r="J2123" s="3">
        <v>798.87</v>
      </c>
      <c r="K2123" s="3">
        <v>787.92</v>
      </c>
      <c r="L2123" s="3">
        <v>777.34</v>
      </c>
      <c r="M2123" s="232" t="s">
        <v>454</v>
      </c>
      <c r="N2123" s="232" t="s">
        <v>454</v>
      </c>
      <c r="O2123" s="3" t="s">
        <v>2543</v>
      </c>
    </row>
    <row r="2124" spans="1:15">
      <c r="A2124" s="3">
        <v>132</v>
      </c>
      <c r="B2124" s="3">
        <v>1136</v>
      </c>
      <c r="C2124" s="3" t="s">
        <v>81</v>
      </c>
      <c r="D2124" s="3" t="s">
        <v>446</v>
      </c>
      <c r="E2124" s="21" t="s">
        <v>12032</v>
      </c>
      <c r="F2124" s="3" t="s">
        <v>70</v>
      </c>
      <c r="G2124" s="20">
        <v>2</v>
      </c>
      <c r="H2124" s="3">
        <v>801.68</v>
      </c>
      <c r="I2124" s="3">
        <v>792.15</v>
      </c>
      <c r="J2124" s="3">
        <v>781.33</v>
      </c>
      <c r="K2124" s="3">
        <v>772.69</v>
      </c>
      <c r="L2124" s="3">
        <v>762.03</v>
      </c>
      <c r="M2124" s="232" t="s">
        <v>454</v>
      </c>
      <c r="N2124" s="232" t="s">
        <v>454</v>
      </c>
      <c r="O2124" s="3" t="s">
        <v>2544</v>
      </c>
    </row>
    <row r="2125" spans="1:15">
      <c r="A2125" s="3">
        <v>132</v>
      </c>
      <c r="B2125" s="3">
        <v>1156</v>
      </c>
      <c r="C2125" s="3" t="s">
        <v>81</v>
      </c>
      <c r="D2125" s="3" t="s">
        <v>446</v>
      </c>
      <c r="E2125" s="21" t="s">
        <v>550</v>
      </c>
      <c r="F2125" s="3" t="s">
        <v>70</v>
      </c>
      <c r="G2125" s="20">
        <v>2</v>
      </c>
      <c r="H2125" s="3">
        <v>801.43</v>
      </c>
      <c r="I2125" s="3">
        <v>790.27</v>
      </c>
      <c r="J2125" s="3">
        <v>780.38</v>
      </c>
      <c r="K2125" s="3">
        <v>775.01</v>
      </c>
      <c r="L2125" s="3">
        <v>770.43</v>
      </c>
      <c r="M2125" s="232" t="s">
        <v>454</v>
      </c>
      <c r="N2125" s="232" t="s">
        <v>454</v>
      </c>
      <c r="O2125" s="3" t="s">
        <v>2545</v>
      </c>
    </row>
    <row r="2126" spans="1:15">
      <c r="A2126" s="3">
        <v>132</v>
      </c>
      <c r="B2126" s="3">
        <v>1140</v>
      </c>
      <c r="C2126" s="3" t="s">
        <v>81</v>
      </c>
      <c r="D2126" s="3" t="s">
        <v>446</v>
      </c>
      <c r="E2126" s="21" t="s">
        <v>9795</v>
      </c>
      <c r="F2126" s="3" t="s">
        <v>70</v>
      </c>
      <c r="G2126" s="20">
        <v>2</v>
      </c>
      <c r="H2126" s="3">
        <v>792.15</v>
      </c>
      <c r="I2126" s="3">
        <v>783.11</v>
      </c>
      <c r="J2126" s="3">
        <v>773.53</v>
      </c>
      <c r="K2126" s="3">
        <v>765.08</v>
      </c>
      <c r="L2126" s="3">
        <v>754.14</v>
      </c>
      <c r="M2126" s="232" t="s">
        <v>454</v>
      </c>
      <c r="N2126" s="232" t="s">
        <v>454</v>
      </c>
      <c r="O2126" s="3" t="s">
        <v>2546</v>
      </c>
    </row>
    <row r="2127" spans="1:15">
      <c r="A2127" s="3">
        <v>132</v>
      </c>
      <c r="B2127" s="3">
        <v>1148</v>
      </c>
      <c r="C2127" s="3" t="s">
        <v>81</v>
      </c>
      <c r="D2127" s="3" t="s">
        <v>446</v>
      </c>
      <c r="E2127" s="21" t="s">
        <v>11884</v>
      </c>
      <c r="F2127" s="3" t="s">
        <v>70</v>
      </c>
      <c r="G2127" s="20">
        <v>2</v>
      </c>
      <c r="H2127" s="3">
        <v>792.15</v>
      </c>
      <c r="I2127" s="3">
        <v>781.83</v>
      </c>
      <c r="J2127" s="3">
        <v>772.69</v>
      </c>
      <c r="K2127" s="3">
        <v>767.29</v>
      </c>
      <c r="L2127" s="3">
        <v>760.95</v>
      </c>
      <c r="M2127" s="232" t="s">
        <v>454</v>
      </c>
      <c r="N2127" s="232" t="s">
        <v>454</v>
      </c>
      <c r="O2127" s="3" t="s">
        <v>2547</v>
      </c>
    </row>
    <row r="2128" spans="1:15">
      <c r="A2128" s="3">
        <v>132</v>
      </c>
      <c r="B2128" s="3">
        <v>1151</v>
      </c>
      <c r="C2128" s="3" t="s">
        <v>81</v>
      </c>
      <c r="D2128" s="3" t="s">
        <v>446</v>
      </c>
      <c r="E2128" s="21" t="s">
        <v>12236</v>
      </c>
      <c r="F2128" s="3" t="s">
        <v>70</v>
      </c>
      <c r="G2128" s="20">
        <v>2</v>
      </c>
      <c r="H2128" s="3">
        <v>792.15</v>
      </c>
      <c r="I2128" s="3">
        <v>781.83</v>
      </c>
      <c r="J2128" s="3">
        <v>772.58</v>
      </c>
      <c r="K2128" s="3">
        <v>765.08</v>
      </c>
      <c r="L2128" s="3">
        <v>757.87</v>
      </c>
      <c r="M2128" s="232" t="s">
        <v>454</v>
      </c>
      <c r="N2128" s="232" t="s">
        <v>454</v>
      </c>
      <c r="O2128" s="3" t="s">
        <v>2548</v>
      </c>
    </row>
    <row r="2129" spans="1:15">
      <c r="A2129" s="3">
        <v>132</v>
      </c>
      <c r="B2129" s="3">
        <v>1146</v>
      </c>
      <c r="C2129" s="3" t="s">
        <v>81</v>
      </c>
      <c r="D2129" s="3" t="s">
        <v>446</v>
      </c>
      <c r="E2129" s="21" t="s">
        <v>8640</v>
      </c>
      <c r="F2129" s="3" t="s">
        <v>70</v>
      </c>
      <c r="G2129" s="20">
        <v>2</v>
      </c>
      <c r="H2129" s="3">
        <v>787.92</v>
      </c>
      <c r="I2129" s="3">
        <v>778.27</v>
      </c>
      <c r="J2129" s="3">
        <v>768.87</v>
      </c>
      <c r="K2129" s="3">
        <v>760.95</v>
      </c>
      <c r="L2129" s="3">
        <v>751.77</v>
      </c>
      <c r="M2129" s="232" t="s">
        <v>454</v>
      </c>
      <c r="N2129" s="232" t="s">
        <v>454</v>
      </c>
      <c r="O2129" s="3" t="s">
        <v>2549</v>
      </c>
    </row>
    <row r="2130" spans="1:15">
      <c r="A2130" s="3">
        <v>132</v>
      </c>
      <c r="B2130" s="3">
        <v>1153</v>
      </c>
      <c r="C2130" s="3" t="s">
        <v>81</v>
      </c>
      <c r="D2130" s="3" t="s">
        <v>446</v>
      </c>
      <c r="E2130" s="21" t="s">
        <v>447</v>
      </c>
      <c r="F2130" s="3" t="s">
        <v>70</v>
      </c>
      <c r="G2130" s="20">
        <v>2</v>
      </c>
      <c r="H2130" s="3">
        <v>787.85</v>
      </c>
      <c r="I2130" s="3">
        <v>778.02</v>
      </c>
      <c r="J2130" s="3">
        <v>768.11</v>
      </c>
      <c r="K2130" s="3">
        <v>762.15</v>
      </c>
      <c r="L2130" s="3">
        <v>756.69</v>
      </c>
      <c r="M2130" s="232" t="s">
        <v>454</v>
      </c>
      <c r="N2130" s="232" t="s">
        <v>454</v>
      </c>
      <c r="O2130" s="3" t="s">
        <v>2550</v>
      </c>
    </row>
    <row r="2131" spans="1:15">
      <c r="A2131" s="3">
        <v>132</v>
      </c>
      <c r="B2131" s="3">
        <v>1159</v>
      </c>
      <c r="C2131" s="3" t="s">
        <v>81</v>
      </c>
      <c r="D2131" s="3" t="s">
        <v>446</v>
      </c>
      <c r="E2131" s="21" t="s">
        <v>12316</v>
      </c>
      <c r="F2131" s="3" t="s">
        <v>70</v>
      </c>
      <c r="G2131" s="20">
        <v>2</v>
      </c>
      <c r="H2131" s="3">
        <v>786.21</v>
      </c>
      <c r="I2131" s="3">
        <v>776.67</v>
      </c>
      <c r="J2131" s="3">
        <v>767.22</v>
      </c>
      <c r="K2131" s="3">
        <v>761.06</v>
      </c>
      <c r="L2131" s="3">
        <v>754.46</v>
      </c>
      <c r="M2131" s="232" t="s">
        <v>454</v>
      </c>
      <c r="N2131" s="232" t="s">
        <v>454</v>
      </c>
      <c r="O2131" s="3" t="s">
        <v>2551</v>
      </c>
    </row>
    <row r="2132" spans="1:15">
      <c r="A2132" s="3">
        <v>132</v>
      </c>
      <c r="B2132" s="3">
        <v>1147</v>
      </c>
      <c r="C2132" s="3" t="s">
        <v>81</v>
      </c>
      <c r="D2132" s="3" t="s">
        <v>446</v>
      </c>
      <c r="E2132" s="21" t="s">
        <v>555</v>
      </c>
      <c r="F2132" s="3" t="s">
        <v>70</v>
      </c>
      <c r="G2132" s="20">
        <v>2</v>
      </c>
      <c r="H2132" s="3">
        <v>780.45</v>
      </c>
      <c r="I2132" s="3">
        <v>771.35</v>
      </c>
      <c r="J2132" s="3">
        <v>760.32</v>
      </c>
      <c r="K2132" s="3">
        <v>752.74</v>
      </c>
      <c r="L2132" s="3">
        <v>743.72</v>
      </c>
      <c r="M2132" s="232" t="s">
        <v>454</v>
      </c>
      <c r="N2132" s="232" t="s">
        <v>454</v>
      </c>
      <c r="O2132" s="3" t="s">
        <v>2552</v>
      </c>
    </row>
    <row r="2133" spans="1:15">
      <c r="A2133" s="3">
        <v>132</v>
      </c>
      <c r="B2133" s="3">
        <v>1150</v>
      </c>
      <c r="C2133" s="3" t="s">
        <v>81</v>
      </c>
      <c r="D2133" s="3" t="s">
        <v>446</v>
      </c>
      <c r="E2133" s="21" t="s">
        <v>551</v>
      </c>
      <c r="F2133" s="3" t="s">
        <v>70</v>
      </c>
      <c r="G2133" s="20">
        <v>2</v>
      </c>
      <c r="H2133" s="3">
        <v>772.69</v>
      </c>
      <c r="I2133" s="3">
        <v>762.1</v>
      </c>
      <c r="J2133" s="3">
        <v>752.22</v>
      </c>
      <c r="K2133" s="3">
        <v>743.72</v>
      </c>
      <c r="L2133" s="3">
        <v>737.08</v>
      </c>
      <c r="M2133" s="232" t="s">
        <v>454</v>
      </c>
      <c r="N2133" s="232" t="s">
        <v>454</v>
      </c>
      <c r="O2133" s="3" t="s">
        <v>2553</v>
      </c>
    </row>
    <row r="2134" spans="1:15">
      <c r="A2134" s="3">
        <v>130</v>
      </c>
      <c r="B2134" s="3">
        <v>1161</v>
      </c>
      <c r="C2134" s="3" t="s">
        <v>81</v>
      </c>
      <c r="D2134" s="3" t="s">
        <v>446</v>
      </c>
      <c r="E2134" s="21" t="s">
        <v>10976</v>
      </c>
      <c r="F2134" s="3" t="s">
        <v>71</v>
      </c>
      <c r="G2134" s="20">
        <v>2</v>
      </c>
      <c r="H2134" s="3">
        <v>854.85500000000002</v>
      </c>
      <c r="I2134" s="3">
        <v>848.22500000000002</v>
      </c>
      <c r="J2134" s="3">
        <v>841.47</v>
      </c>
      <c r="K2134" s="3">
        <v>832.72500000000002</v>
      </c>
      <c r="L2134" s="3">
        <v>822.97</v>
      </c>
      <c r="M2134" s="232" t="s">
        <v>454</v>
      </c>
      <c r="N2134" s="232" t="s">
        <v>454</v>
      </c>
      <c r="O2134" s="3" t="s">
        <v>2554</v>
      </c>
    </row>
    <row r="2135" spans="1:15">
      <c r="A2135" s="3">
        <v>130</v>
      </c>
      <c r="B2135" s="3">
        <v>1166</v>
      </c>
      <c r="C2135" s="3" t="s">
        <v>81</v>
      </c>
      <c r="D2135" s="3" t="s">
        <v>446</v>
      </c>
      <c r="E2135" s="21" t="s">
        <v>11370</v>
      </c>
      <c r="F2135" s="3" t="s">
        <v>71</v>
      </c>
      <c r="G2135" s="20">
        <v>2</v>
      </c>
      <c r="H2135" s="3">
        <v>835.48500000000001</v>
      </c>
      <c r="I2135" s="3">
        <v>830.11500000000001</v>
      </c>
      <c r="J2135" s="3">
        <v>823.27</v>
      </c>
      <c r="K2135" s="3">
        <v>813.8</v>
      </c>
      <c r="L2135" s="3">
        <v>804.42</v>
      </c>
      <c r="M2135" s="232" t="s">
        <v>454</v>
      </c>
      <c r="N2135" s="232" t="s">
        <v>454</v>
      </c>
      <c r="O2135" s="3" t="s">
        <v>2555</v>
      </c>
    </row>
    <row r="2136" spans="1:15">
      <c r="A2136" s="3">
        <v>129</v>
      </c>
      <c r="B2136" s="3">
        <v>1168</v>
      </c>
      <c r="C2136" s="3" t="s">
        <v>81</v>
      </c>
      <c r="D2136" s="3" t="s">
        <v>446</v>
      </c>
      <c r="E2136" s="21" t="s">
        <v>8659</v>
      </c>
      <c r="F2136" s="3" t="s">
        <v>71</v>
      </c>
      <c r="G2136" s="20">
        <v>2</v>
      </c>
      <c r="H2136" s="3">
        <v>820.61500000000001</v>
      </c>
      <c r="I2136" s="3">
        <v>815.03</v>
      </c>
      <c r="J2136" s="3">
        <v>809.08500000000004</v>
      </c>
      <c r="K2136" s="3">
        <v>800.79</v>
      </c>
      <c r="L2136" s="3">
        <v>791.91</v>
      </c>
      <c r="M2136" s="232" t="s">
        <v>454</v>
      </c>
      <c r="N2136" s="232" t="s">
        <v>454</v>
      </c>
      <c r="O2136" s="3" t="s">
        <v>2556</v>
      </c>
    </row>
    <row r="2137" spans="1:15">
      <c r="A2137" s="3">
        <v>129</v>
      </c>
      <c r="B2137" s="3">
        <v>1176</v>
      </c>
      <c r="C2137" s="3" t="s">
        <v>81</v>
      </c>
      <c r="D2137" s="3" t="s">
        <v>446</v>
      </c>
      <c r="E2137" s="21" t="s">
        <v>8534</v>
      </c>
      <c r="F2137" s="3" t="s">
        <v>71</v>
      </c>
      <c r="G2137" s="20">
        <v>2</v>
      </c>
      <c r="H2137" s="3">
        <v>810.59500000000003</v>
      </c>
      <c r="I2137" s="3">
        <v>805.7</v>
      </c>
      <c r="J2137" s="3">
        <v>800.16499999999996</v>
      </c>
      <c r="K2137" s="3">
        <v>791.91</v>
      </c>
      <c r="L2137" s="3">
        <v>783.66499999999996</v>
      </c>
      <c r="M2137" s="232" t="s">
        <v>454</v>
      </c>
      <c r="N2137" s="232" t="s">
        <v>454</v>
      </c>
      <c r="O2137" s="3" t="s">
        <v>2557</v>
      </c>
    </row>
    <row r="2138" spans="1:15">
      <c r="A2138" s="3">
        <v>129</v>
      </c>
      <c r="B2138" s="3">
        <v>1184</v>
      </c>
      <c r="C2138" s="3" t="s">
        <v>81</v>
      </c>
      <c r="D2138" s="3" t="s">
        <v>446</v>
      </c>
      <c r="E2138" s="21" t="s">
        <v>8726</v>
      </c>
      <c r="F2138" s="3" t="s">
        <v>71</v>
      </c>
      <c r="G2138" s="20">
        <v>2</v>
      </c>
      <c r="H2138" s="3">
        <v>808.01</v>
      </c>
      <c r="I2138" s="3">
        <v>803.09</v>
      </c>
      <c r="J2138" s="3">
        <v>797.63</v>
      </c>
      <c r="K2138" s="3">
        <v>788.875</v>
      </c>
      <c r="L2138" s="3">
        <v>780.93</v>
      </c>
      <c r="M2138" s="232" t="s">
        <v>454</v>
      </c>
      <c r="N2138" s="232" t="s">
        <v>454</v>
      </c>
      <c r="O2138" s="3" t="s">
        <v>2558</v>
      </c>
    </row>
    <row r="2139" spans="1:15">
      <c r="A2139" s="3">
        <v>129</v>
      </c>
      <c r="B2139" s="3">
        <v>1175</v>
      </c>
      <c r="C2139" s="3" t="s">
        <v>81</v>
      </c>
      <c r="D2139" s="3" t="s">
        <v>446</v>
      </c>
      <c r="E2139" s="21" t="s">
        <v>16731</v>
      </c>
      <c r="F2139" s="3" t="s">
        <v>71</v>
      </c>
      <c r="G2139" s="20">
        <v>2</v>
      </c>
      <c r="H2139" s="3">
        <v>808.01</v>
      </c>
      <c r="I2139" s="3">
        <v>802.91499999999996</v>
      </c>
      <c r="J2139" s="3">
        <v>797.48</v>
      </c>
      <c r="K2139" s="3">
        <v>788.52499999999998</v>
      </c>
      <c r="L2139" s="3">
        <v>780.78</v>
      </c>
      <c r="M2139" s="232" t="s">
        <v>454</v>
      </c>
      <c r="N2139" s="232" t="s">
        <v>454</v>
      </c>
      <c r="O2139" s="3" t="s">
        <v>2559</v>
      </c>
    </row>
    <row r="2140" spans="1:15">
      <c r="A2140" s="3">
        <v>129</v>
      </c>
      <c r="B2140" s="3">
        <v>1177</v>
      </c>
      <c r="C2140" s="3" t="s">
        <v>81</v>
      </c>
      <c r="D2140" s="3" t="s">
        <v>446</v>
      </c>
      <c r="E2140" s="21" t="s">
        <v>9305</v>
      </c>
      <c r="F2140" s="3" t="s">
        <v>71</v>
      </c>
      <c r="G2140" s="20">
        <v>2</v>
      </c>
      <c r="H2140" s="3">
        <v>808.01</v>
      </c>
      <c r="I2140" s="3">
        <v>802.91499999999996</v>
      </c>
      <c r="J2140" s="3">
        <v>797.48</v>
      </c>
      <c r="K2140" s="3">
        <v>788.52499999999998</v>
      </c>
      <c r="L2140" s="3">
        <v>780.78</v>
      </c>
      <c r="M2140" s="232" t="s">
        <v>454</v>
      </c>
      <c r="N2140" s="232" t="s">
        <v>454</v>
      </c>
      <c r="O2140" s="3" t="s">
        <v>2560</v>
      </c>
    </row>
    <row r="2141" spans="1:15">
      <c r="A2141" s="3">
        <v>129</v>
      </c>
      <c r="B2141" s="3">
        <v>1169</v>
      </c>
      <c r="C2141" s="3" t="s">
        <v>81</v>
      </c>
      <c r="D2141" s="3" t="s">
        <v>446</v>
      </c>
      <c r="E2141" s="21" t="s">
        <v>10979</v>
      </c>
      <c r="F2141" s="3" t="s">
        <v>71</v>
      </c>
      <c r="G2141" s="20">
        <v>2</v>
      </c>
      <c r="H2141" s="3">
        <v>807.36</v>
      </c>
      <c r="I2141" s="3">
        <v>802.11500000000001</v>
      </c>
      <c r="J2141" s="3">
        <v>796.14499999999998</v>
      </c>
      <c r="K2141" s="3">
        <v>788.22500000000002</v>
      </c>
      <c r="L2141" s="3">
        <v>780.43</v>
      </c>
      <c r="M2141" s="232" t="s">
        <v>454</v>
      </c>
      <c r="N2141" s="232" t="s">
        <v>454</v>
      </c>
      <c r="O2141" s="3" t="s">
        <v>2561</v>
      </c>
    </row>
    <row r="2142" spans="1:15">
      <c r="A2142" s="3">
        <v>129</v>
      </c>
      <c r="B2142" s="3">
        <v>1185</v>
      </c>
      <c r="C2142" s="3" t="s">
        <v>81</v>
      </c>
      <c r="D2142" s="3" t="s">
        <v>446</v>
      </c>
      <c r="E2142" s="21" t="s">
        <v>11311</v>
      </c>
      <c r="F2142" s="3" t="s">
        <v>71</v>
      </c>
      <c r="G2142" s="20">
        <v>2</v>
      </c>
      <c r="H2142" s="3">
        <v>802.11500000000001</v>
      </c>
      <c r="I2142" s="3">
        <v>797.63</v>
      </c>
      <c r="J2142" s="3">
        <v>790.63499999999999</v>
      </c>
      <c r="K2142" s="3">
        <v>783.66499999999996</v>
      </c>
      <c r="L2142" s="3">
        <v>775.71</v>
      </c>
      <c r="M2142" s="232" t="s">
        <v>454</v>
      </c>
      <c r="N2142" s="232" t="s">
        <v>454</v>
      </c>
      <c r="O2142" s="3" t="s">
        <v>2562</v>
      </c>
    </row>
    <row r="2143" spans="1:15">
      <c r="A2143" s="3">
        <v>129</v>
      </c>
      <c r="B2143" s="3">
        <v>1171</v>
      </c>
      <c r="C2143" s="3" t="s">
        <v>81</v>
      </c>
      <c r="D2143" s="3" t="s">
        <v>446</v>
      </c>
      <c r="E2143" s="21" t="s">
        <v>9921</v>
      </c>
      <c r="F2143" s="3" t="s">
        <v>71</v>
      </c>
      <c r="G2143" s="20">
        <v>2</v>
      </c>
      <c r="H2143" s="3">
        <v>801.79</v>
      </c>
      <c r="I2143" s="3">
        <v>797.48</v>
      </c>
      <c r="J2143" s="3">
        <v>790.18499999999995</v>
      </c>
      <c r="K2143" s="3">
        <v>783.66499999999996</v>
      </c>
      <c r="L2143" s="3">
        <v>775.18499999999995</v>
      </c>
      <c r="M2143" s="232" t="s">
        <v>454</v>
      </c>
      <c r="N2143" s="232" t="s">
        <v>454</v>
      </c>
      <c r="O2143" s="3" t="s">
        <v>2563</v>
      </c>
    </row>
    <row r="2144" spans="1:15">
      <c r="A2144" s="3">
        <v>105</v>
      </c>
      <c r="B2144" s="3">
        <v>1272</v>
      </c>
      <c r="C2144" s="3" t="s">
        <v>81</v>
      </c>
      <c r="D2144" s="3" t="s">
        <v>239</v>
      </c>
      <c r="E2144" s="21" t="s">
        <v>10835</v>
      </c>
      <c r="F2144" s="3" t="s">
        <v>70</v>
      </c>
      <c r="G2144" s="20">
        <v>2</v>
      </c>
      <c r="H2144" s="3">
        <v>877.38</v>
      </c>
      <c r="I2144" s="3">
        <v>873.04</v>
      </c>
      <c r="J2144" s="3">
        <v>865.78</v>
      </c>
      <c r="K2144" s="3">
        <v>857.6</v>
      </c>
      <c r="L2144" s="3">
        <v>849.5</v>
      </c>
      <c r="M2144" s="232" t="s">
        <v>454</v>
      </c>
      <c r="N2144" s="232" t="s">
        <v>454</v>
      </c>
      <c r="O2144" s="3" t="s">
        <v>2564</v>
      </c>
    </row>
    <row r="2145" spans="1:15">
      <c r="A2145" s="3">
        <v>105</v>
      </c>
      <c r="B2145" s="3">
        <v>1274</v>
      </c>
      <c r="C2145" s="3" t="s">
        <v>81</v>
      </c>
      <c r="D2145" s="3" t="s">
        <v>239</v>
      </c>
      <c r="E2145" s="21" t="s">
        <v>7261</v>
      </c>
      <c r="F2145" s="3" t="s">
        <v>70</v>
      </c>
      <c r="G2145" s="20">
        <v>2</v>
      </c>
      <c r="H2145" s="3">
        <v>856.24</v>
      </c>
      <c r="I2145" s="3">
        <v>851.36</v>
      </c>
      <c r="J2145" s="3">
        <v>846.2</v>
      </c>
      <c r="K2145" s="3">
        <v>836.28</v>
      </c>
      <c r="L2145" s="3">
        <v>826.22</v>
      </c>
      <c r="M2145" s="232" t="s">
        <v>454</v>
      </c>
      <c r="N2145" s="232" t="s">
        <v>454</v>
      </c>
      <c r="O2145" s="3" t="s">
        <v>2565</v>
      </c>
    </row>
    <row r="2146" spans="1:15">
      <c r="A2146" s="3">
        <v>107</v>
      </c>
      <c r="B2146" s="3">
        <v>1278</v>
      </c>
      <c r="C2146" s="3" t="s">
        <v>81</v>
      </c>
      <c r="D2146" s="3" t="s">
        <v>239</v>
      </c>
      <c r="E2146" s="21" t="s">
        <v>10050</v>
      </c>
      <c r="F2146" s="3" t="s">
        <v>71</v>
      </c>
      <c r="G2146" s="20">
        <v>2</v>
      </c>
      <c r="H2146" s="3">
        <v>844.92</v>
      </c>
      <c r="I2146" s="3">
        <v>834.7</v>
      </c>
      <c r="J2146" s="3">
        <v>823.38</v>
      </c>
      <c r="K2146" s="3">
        <v>803.58</v>
      </c>
      <c r="L2146" s="3">
        <v>787.58</v>
      </c>
      <c r="M2146" s="232" t="s">
        <v>454</v>
      </c>
      <c r="N2146" s="232" t="s">
        <v>454</v>
      </c>
      <c r="O2146" s="3" t="s">
        <v>2566</v>
      </c>
    </row>
    <row r="2147" spans="1:15">
      <c r="A2147" s="3">
        <v>101</v>
      </c>
      <c r="B2147" s="3">
        <v>1231</v>
      </c>
      <c r="C2147" s="3" t="s">
        <v>81</v>
      </c>
      <c r="D2147" s="3" t="s">
        <v>424</v>
      </c>
      <c r="E2147" s="21" t="s">
        <v>10811</v>
      </c>
      <c r="F2147" s="3" t="s">
        <v>70</v>
      </c>
      <c r="G2147" s="20">
        <v>2</v>
      </c>
      <c r="H2147" s="3">
        <v>913.41</v>
      </c>
      <c r="I2147" s="3">
        <v>908.02</v>
      </c>
      <c r="J2147" s="3">
        <v>900.44</v>
      </c>
      <c r="K2147" s="3">
        <v>890.35</v>
      </c>
      <c r="L2147" s="3">
        <v>880.31</v>
      </c>
      <c r="M2147" s="232" t="s">
        <v>454</v>
      </c>
      <c r="N2147" s="232" t="s">
        <v>454</v>
      </c>
      <c r="O2147" s="3" t="s">
        <v>2567</v>
      </c>
    </row>
    <row r="2148" spans="1:15">
      <c r="A2148" s="3">
        <v>101</v>
      </c>
      <c r="B2148" s="3">
        <v>1230</v>
      </c>
      <c r="C2148" s="3" t="s">
        <v>81</v>
      </c>
      <c r="D2148" s="3" t="s">
        <v>424</v>
      </c>
      <c r="E2148" s="21" t="s">
        <v>11596</v>
      </c>
      <c r="F2148" s="3" t="s">
        <v>70</v>
      </c>
      <c r="G2148" s="20">
        <v>2</v>
      </c>
      <c r="H2148" s="3">
        <v>859.94</v>
      </c>
      <c r="I2148" s="3">
        <v>854.78</v>
      </c>
      <c r="J2148" s="3">
        <v>849.64</v>
      </c>
      <c r="K2148" s="3">
        <v>840.88</v>
      </c>
      <c r="L2148" s="3">
        <v>831.73</v>
      </c>
      <c r="M2148" s="232" t="s">
        <v>454</v>
      </c>
      <c r="N2148" s="232" t="s">
        <v>454</v>
      </c>
      <c r="O2148" s="3" t="s">
        <v>2568</v>
      </c>
    </row>
    <row r="2149" spans="1:15">
      <c r="A2149" s="3">
        <v>102</v>
      </c>
      <c r="B2149" s="3">
        <v>1237</v>
      </c>
      <c r="C2149" s="3" t="s">
        <v>81</v>
      </c>
      <c r="D2149" s="3" t="s">
        <v>424</v>
      </c>
      <c r="E2149" s="21" t="s">
        <v>7984</v>
      </c>
      <c r="F2149" s="3" t="s">
        <v>71</v>
      </c>
      <c r="G2149" s="20">
        <v>2</v>
      </c>
      <c r="H2149" s="3">
        <v>872.7</v>
      </c>
      <c r="I2149" s="3">
        <v>867.34</v>
      </c>
      <c r="J2149" s="3">
        <v>862.73</v>
      </c>
      <c r="K2149" s="3">
        <v>853.72</v>
      </c>
      <c r="L2149" s="3">
        <v>845.23</v>
      </c>
      <c r="M2149" s="232" t="s">
        <v>454</v>
      </c>
      <c r="N2149" s="232" t="s">
        <v>454</v>
      </c>
      <c r="O2149" s="3" t="s">
        <v>2569</v>
      </c>
    </row>
    <row r="2150" spans="1:15">
      <c r="A2150" s="3">
        <v>139</v>
      </c>
      <c r="B2150" s="3">
        <v>1287</v>
      </c>
      <c r="C2150" s="3" t="s">
        <v>81</v>
      </c>
      <c r="D2150" s="3" t="s">
        <v>195</v>
      </c>
      <c r="E2150" s="21" t="s">
        <v>16732</v>
      </c>
      <c r="F2150" s="3" t="s">
        <v>70</v>
      </c>
      <c r="G2150" s="20">
        <v>2</v>
      </c>
      <c r="H2150" s="3">
        <v>90.456000000000003</v>
      </c>
      <c r="I2150" s="3">
        <v>90.218000000000004</v>
      </c>
      <c r="J2150" s="3">
        <v>89.625</v>
      </c>
      <c r="K2150" s="3">
        <v>89.22</v>
      </c>
      <c r="L2150" s="3">
        <v>88.028999999999996</v>
      </c>
      <c r="M2150" s="232" t="s">
        <v>454</v>
      </c>
      <c r="N2150" s="232" t="s">
        <v>454</v>
      </c>
      <c r="O2150" s="3" t="s">
        <v>2570</v>
      </c>
    </row>
    <row r="2151" spans="1:15">
      <c r="A2151" s="3">
        <v>244</v>
      </c>
      <c r="B2151" s="3">
        <v>1286</v>
      </c>
      <c r="C2151" s="3" t="s">
        <v>81</v>
      </c>
      <c r="D2151" s="3" t="s">
        <v>195</v>
      </c>
      <c r="E2151" s="21" t="s">
        <v>16733</v>
      </c>
      <c r="F2151" s="3" t="s">
        <v>70</v>
      </c>
      <c r="G2151" s="20">
        <v>2</v>
      </c>
      <c r="H2151" s="3">
        <v>89.084999999999994</v>
      </c>
      <c r="I2151" s="3">
        <v>88.715999999999994</v>
      </c>
      <c r="J2151" s="3">
        <v>87.948999999999998</v>
      </c>
      <c r="K2151" s="3">
        <v>87.182000000000002</v>
      </c>
      <c r="L2151" s="3">
        <v>86.68</v>
      </c>
      <c r="M2151" s="232" t="s">
        <v>454</v>
      </c>
      <c r="N2151" s="232" t="s">
        <v>454</v>
      </c>
      <c r="O2151" s="3" t="s">
        <v>2571</v>
      </c>
    </row>
    <row r="2152" spans="1:15">
      <c r="A2152" s="3">
        <v>244</v>
      </c>
      <c r="B2152" s="3">
        <v>1285</v>
      </c>
      <c r="C2152" s="3" t="s">
        <v>81</v>
      </c>
      <c r="D2152" s="3" t="s">
        <v>195</v>
      </c>
      <c r="E2152" s="21" t="s">
        <v>16734</v>
      </c>
      <c r="F2152" s="3" t="s">
        <v>70</v>
      </c>
      <c r="G2152" s="20">
        <v>2</v>
      </c>
      <c r="H2152" s="3">
        <v>87.028999999999996</v>
      </c>
      <c r="I2152" s="3">
        <v>86.658000000000001</v>
      </c>
      <c r="J2152" s="3">
        <v>86.138000000000005</v>
      </c>
      <c r="K2152" s="3">
        <v>85.61</v>
      </c>
      <c r="L2152" s="3">
        <v>85.290999999999997</v>
      </c>
      <c r="M2152" s="232" t="s">
        <v>454</v>
      </c>
      <c r="N2152" s="232" t="s">
        <v>454</v>
      </c>
      <c r="O2152" s="3" t="s">
        <v>2572</v>
      </c>
    </row>
    <row r="2153" spans="1:15">
      <c r="A2153" s="3">
        <v>244</v>
      </c>
      <c r="B2153" s="3">
        <v>1289</v>
      </c>
      <c r="C2153" s="3" t="s">
        <v>81</v>
      </c>
      <c r="D2153" s="3" t="s">
        <v>195</v>
      </c>
      <c r="E2153" s="21" t="s">
        <v>16735</v>
      </c>
      <c r="F2153" s="3" t="s">
        <v>70</v>
      </c>
      <c r="G2153" s="20">
        <v>2</v>
      </c>
      <c r="H2153" s="3">
        <v>86.974999999999994</v>
      </c>
      <c r="I2153" s="3">
        <v>86.454999999999998</v>
      </c>
      <c r="J2153" s="3">
        <v>85.841999999999999</v>
      </c>
      <c r="K2153" s="3">
        <v>85.447999999999993</v>
      </c>
      <c r="L2153" s="3">
        <v>84.712999999999994</v>
      </c>
      <c r="M2153" s="232" t="s">
        <v>454</v>
      </c>
      <c r="N2153" s="232" t="s">
        <v>454</v>
      </c>
      <c r="O2153" s="3" t="s">
        <v>2573</v>
      </c>
    </row>
    <row r="2154" spans="1:15">
      <c r="A2154" s="3">
        <v>244</v>
      </c>
      <c r="B2154" s="3">
        <v>1295</v>
      </c>
      <c r="C2154" s="3" t="s">
        <v>81</v>
      </c>
      <c r="D2154" s="3" t="s">
        <v>195</v>
      </c>
      <c r="E2154" s="21" t="s">
        <v>16736</v>
      </c>
      <c r="F2154" s="3" t="s">
        <v>70</v>
      </c>
      <c r="G2154" s="20">
        <v>2</v>
      </c>
      <c r="H2154" s="3">
        <v>86.927000000000007</v>
      </c>
      <c r="I2154" s="3">
        <v>86.224000000000004</v>
      </c>
      <c r="J2154" s="3">
        <v>85.61</v>
      </c>
      <c r="K2154" s="3">
        <v>85.01</v>
      </c>
      <c r="L2154" s="3">
        <v>83.341999999999999</v>
      </c>
      <c r="M2154" s="232" t="s">
        <v>454</v>
      </c>
      <c r="N2154" s="232" t="s">
        <v>454</v>
      </c>
      <c r="O2154" s="3" t="s">
        <v>2574</v>
      </c>
    </row>
    <row r="2155" spans="1:15">
      <c r="A2155" s="3">
        <v>244</v>
      </c>
      <c r="B2155" s="3">
        <v>1303</v>
      </c>
      <c r="C2155" s="3" t="s">
        <v>81</v>
      </c>
      <c r="D2155" s="3" t="s">
        <v>195</v>
      </c>
      <c r="E2155" s="21" t="s">
        <v>16737</v>
      </c>
      <c r="F2155" s="3" t="s">
        <v>70</v>
      </c>
      <c r="G2155" s="20">
        <v>2</v>
      </c>
      <c r="H2155" s="3">
        <v>86.608000000000004</v>
      </c>
      <c r="I2155" s="3">
        <v>86.078000000000003</v>
      </c>
      <c r="J2155" s="3">
        <v>85.522999999999996</v>
      </c>
      <c r="K2155" s="3">
        <v>84.924999999999997</v>
      </c>
      <c r="L2155" s="3">
        <v>84.534000000000006</v>
      </c>
      <c r="M2155" s="232" t="s">
        <v>454</v>
      </c>
      <c r="N2155" s="232" t="s">
        <v>454</v>
      </c>
      <c r="O2155" s="3" t="s">
        <v>2575</v>
      </c>
    </row>
    <row r="2156" spans="1:15">
      <c r="A2156" s="3">
        <v>244</v>
      </c>
      <c r="B2156" s="3">
        <v>1297</v>
      </c>
      <c r="C2156" s="3" t="s">
        <v>81</v>
      </c>
      <c r="D2156" s="3" t="s">
        <v>195</v>
      </c>
      <c r="E2156" s="21" t="s">
        <v>16738</v>
      </c>
      <c r="F2156" s="3" t="s">
        <v>70</v>
      </c>
      <c r="G2156" s="20">
        <v>2</v>
      </c>
      <c r="H2156" s="3">
        <v>86.546999999999997</v>
      </c>
      <c r="I2156" s="3">
        <v>86.073999999999998</v>
      </c>
      <c r="J2156" s="3">
        <v>85.471000000000004</v>
      </c>
      <c r="K2156" s="3">
        <v>84.814999999999998</v>
      </c>
      <c r="L2156" s="3">
        <v>84.036000000000001</v>
      </c>
      <c r="M2156" s="232" t="s">
        <v>454</v>
      </c>
      <c r="N2156" s="232" t="s">
        <v>454</v>
      </c>
      <c r="O2156" s="3" t="s">
        <v>2576</v>
      </c>
    </row>
    <row r="2157" spans="1:15">
      <c r="A2157" s="3">
        <v>244</v>
      </c>
      <c r="B2157" s="3">
        <v>1298</v>
      </c>
      <c r="C2157" s="3" t="s">
        <v>81</v>
      </c>
      <c r="D2157" s="3" t="s">
        <v>195</v>
      </c>
      <c r="E2157" s="21" t="s">
        <v>16739</v>
      </c>
      <c r="F2157" s="3" t="s">
        <v>70</v>
      </c>
      <c r="G2157" s="20">
        <v>2</v>
      </c>
      <c r="H2157" s="3">
        <v>86.364999999999995</v>
      </c>
      <c r="I2157" s="3">
        <v>85.814999999999998</v>
      </c>
      <c r="J2157" s="3">
        <v>85.290999999999997</v>
      </c>
      <c r="K2157" s="3">
        <v>84.578999999999994</v>
      </c>
      <c r="L2157" s="3">
        <v>83.863</v>
      </c>
      <c r="M2157" s="232" t="s">
        <v>454</v>
      </c>
      <c r="N2157" s="232" t="s">
        <v>454</v>
      </c>
      <c r="O2157" s="3" t="s">
        <v>2577</v>
      </c>
    </row>
    <row r="2158" spans="1:15">
      <c r="A2158" s="3">
        <v>244</v>
      </c>
      <c r="B2158" s="3">
        <v>1299</v>
      </c>
      <c r="C2158" s="3" t="s">
        <v>81</v>
      </c>
      <c r="D2158" s="3" t="s">
        <v>195</v>
      </c>
      <c r="E2158" s="21" t="s">
        <v>16740</v>
      </c>
      <c r="F2158" s="3" t="s">
        <v>70</v>
      </c>
      <c r="G2158" s="20">
        <v>2</v>
      </c>
      <c r="H2158" s="3">
        <v>86.078000000000003</v>
      </c>
      <c r="I2158" s="3">
        <v>85.66</v>
      </c>
      <c r="J2158" s="3">
        <v>85.141000000000005</v>
      </c>
      <c r="K2158" s="3">
        <v>84.534000000000006</v>
      </c>
      <c r="L2158" s="3">
        <v>83.67</v>
      </c>
      <c r="M2158" s="232" t="s">
        <v>454</v>
      </c>
      <c r="N2158" s="232" t="s">
        <v>454</v>
      </c>
      <c r="O2158" s="3" t="s">
        <v>2578</v>
      </c>
    </row>
    <row r="2159" spans="1:15">
      <c r="A2159" s="3">
        <v>244</v>
      </c>
      <c r="B2159" s="3">
        <v>1288</v>
      </c>
      <c r="C2159" s="3" t="s">
        <v>81</v>
      </c>
      <c r="D2159" s="3" t="s">
        <v>195</v>
      </c>
      <c r="E2159" s="21" t="s">
        <v>16741</v>
      </c>
      <c r="F2159" s="3" t="s">
        <v>70</v>
      </c>
      <c r="G2159" s="20">
        <v>2</v>
      </c>
      <c r="H2159" s="3">
        <v>86.073999999999998</v>
      </c>
      <c r="I2159" s="3">
        <v>85.66</v>
      </c>
      <c r="J2159" s="3">
        <v>85.135999999999996</v>
      </c>
      <c r="K2159" s="3">
        <v>84.534000000000006</v>
      </c>
      <c r="L2159" s="3">
        <v>83.778999999999996</v>
      </c>
      <c r="M2159" s="232" t="s">
        <v>454</v>
      </c>
      <c r="N2159" s="232" t="s">
        <v>454</v>
      </c>
      <c r="O2159" s="3" t="s">
        <v>2579</v>
      </c>
    </row>
    <row r="2160" spans="1:15">
      <c r="A2160" s="3">
        <v>244</v>
      </c>
      <c r="B2160" s="3">
        <v>1291</v>
      </c>
      <c r="C2160" s="3" t="s">
        <v>81</v>
      </c>
      <c r="D2160" s="3" t="s">
        <v>195</v>
      </c>
      <c r="E2160" s="21" t="s">
        <v>16742</v>
      </c>
      <c r="F2160" s="3" t="s">
        <v>70</v>
      </c>
      <c r="G2160" s="20">
        <v>2</v>
      </c>
      <c r="H2160" s="3">
        <v>85.682000000000002</v>
      </c>
      <c r="I2160" s="3">
        <v>85.338999999999999</v>
      </c>
      <c r="J2160" s="3">
        <v>84.686000000000007</v>
      </c>
      <c r="K2160" s="3">
        <v>83.954999999999998</v>
      </c>
      <c r="L2160" s="3">
        <v>82.510999999999996</v>
      </c>
      <c r="M2160" s="232" t="s">
        <v>454</v>
      </c>
      <c r="N2160" s="232" t="s">
        <v>454</v>
      </c>
      <c r="O2160" s="3" t="s">
        <v>2580</v>
      </c>
    </row>
    <row r="2161" spans="1:15">
      <c r="A2161" s="3">
        <v>244</v>
      </c>
      <c r="B2161" s="3">
        <v>1284</v>
      </c>
      <c r="C2161" s="3" t="s">
        <v>81</v>
      </c>
      <c r="D2161" s="3" t="s">
        <v>195</v>
      </c>
      <c r="E2161" s="21" t="s">
        <v>16743</v>
      </c>
      <c r="F2161" s="3" t="s">
        <v>70</v>
      </c>
      <c r="G2161" s="20">
        <v>2</v>
      </c>
      <c r="H2161" s="3">
        <v>85.805999999999997</v>
      </c>
      <c r="I2161" s="3">
        <v>85.290999999999997</v>
      </c>
      <c r="J2161" s="3">
        <v>84.534000000000006</v>
      </c>
      <c r="K2161" s="3">
        <v>83.954999999999998</v>
      </c>
      <c r="L2161" s="3">
        <v>82.144999999999996</v>
      </c>
      <c r="M2161" s="232" t="s">
        <v>454</v>
      </c>
      <c r="N2161" s="232" t="s">
        <v>454</v>
      </c>
      <c r="O2161" s="3" t="s">
        <v>2581</v>
      </c>
    </row>
    <row r="2162" spans="1:15">
      <c r="A2162" s="3">
        <v>244</v>
      </c>
      <c r="B2162" s="3">
        <v>1282</v>
      </c>
      <c r="C2162" s="3" t="s">
        <v>81</v>
      </c>
      <c r="D2162" s="3" t="s">
        <v>195</v>
      </c>
      <c r="E2162" s="21" t="s">
        <v>16744</v>
      </c>
      <c r="F2162" s="3" t="s">
        <v>70</v>
      </c>
      <c r="G2162" s="20">
        <v>2</v>
      </c>
      <c r="H2162" s="3">
        <v>85.655000000000001</v>
      </c>
      <c r="I2162" s="3">
        <v>85.207999999999998</v>
      </c>
      <c r="J2162" s="3">
        <v>84.39</v>
      </c>
      <c r="K2162" s="3">
        <v>83.611000000000004</v>
      </c>
      <c r="L2162" s="3">
        <v>82.686000000000007</v>
      </c>
      <c r="M2162" s="232" t="s">
        <v>454</v>
      </c>
      <c r="N2162" s="232" t="s">
        <v>454</v>
      </c>
      <c r="O2162" s="3" t="s">
        <v>2582</v>
      </c>
    </row>
    <row r="2163" spans="1:15">
      <c r="A2163" s="3">
        <v>244</v>
      </c>
      <c r="B2163" s="3">
        <v>1306</v>
      </c>
      <c r="C2163" s="3" t="s">
        <v>81</v>
      </c>
      <c r="D2163" s="3" t="s">
        <v>195</v>
      </c>
      <c r="E2163" s="21" t="s">
        <v>16745</v>
      </c>
      <c r="F2163" s="3" t="s">
        <v>70</v>
      </c>
      <c r="G2163" s="20">
        <v>2</v>
      </c>
      <c r="H2163" s="3">
        <v>85.347999999999999</v>
      </c>
      <c r="I2163" s="3">
        <v>84.823999999999998</v>
      </c>
      <c r="J2163" s="3">
        <v>84.013000000000005</v>
      </c>
      <c r="K2163" s="3">
        <v>83.337999999999994</v>
      </c>
      <c r="L2163" s="3">
        <v>82.361000000000004</v>
      </c>
      <c r="M2163" s="232" t="s">
        <v>454</v>
      </c>
      <c r="N2163" s="232" t="s">
        <v>454</v>
      </c>
      <c r="O2163" s="3" t="s">
        <v>2583</v>
      </c>
    </row>
    <row r="2164" spans="1:15">
      <c r="A2164" s="3">
        <v>244</v>
      </c>
      <c r="B2164" s="3">
        <v>1292</v>
      </c>
      <c r="C2164" s="3" t="s">
        <v>81</v>
      </c>
      <c r="D2164" s="3" t="s">
        <v>195</v>
      </c>
      <c r="E2164" s="21" t="s">
        <v>16746</v>
      </c>
      <c r="F2164" s="3" t="s">
        <v>70</v>
      </c>
      <c r="G2164" s="20">
        <v>2</v>
      </c>
      <c r="H2164" s="3">
        <v>84.924999999999997</v>
      </c>
      <c r="I2164" s="3">
        <v>84.534000000000006</v>
      </c>
      <c r="J2164" s="3">
        <v>83.778999999999996</v>
      </c>
      <c r="K2164" s="3">
        <v>83.025999999999996</v>
      </c>
      <c r="L2164" s="3">
        <v>82.400999999999996</v>
      </c>
      <c r="M2164" s="232" t="s">
        <v>454</v>
      </c>
      <c r="N2164" s="232" t="s">
        <v>454</v>
      </c>
      <c r="O2164" s="3" t="s">
        <v>2584</v>
      </c>
    </row>
    <row r="2165" spans="1:15">
      <c r="A2165" s="3">
        <v>244</v>
      </c>
      <c r="B2165" s="3">
        <v>1281</v>
      </c>
      <c r="C2165" s="3" t="s">
        <v>81</v>
      </c>
      <c r="D2165" s="3" t="s">
        <v>195</v>
      </c>
      <c r="E2165" s="21" t="s">
        <v>16747</v>
      </c>
      <c r="F2165" s="3" t="s">
        <v>70</v>
      </c>
      <c r="G2165" s="20">
        <v>2</v>
      </c>
      <c r="H2165" s="3">
        <v>83.858999999999995</v>
      </c>
      <c r="I2165" s="3">
        <v>83.337999999999994</v>
      </c>
      <c r="J2165" s="3">
        <v>82.510999999999996</v>
      </c>
      <c r="K2165" s="3">
        <v>81.819000000000003</v>
      </c>
      <c r="L2165" s="3">
        <v>81.072999999999993</v>
      </c>
      <c r="M2165" s="232" t="s">
        <v>454</v>
      </c>
      <c r="N2165" s="232" t="s">
        <v>454</v>
      </c>
      <c r="O2165" s="3" t="s">
        <v>2585</v>
      </c>
    </row>
    <row r="2166" spans="1:15">
      <c r="A2166" s="3">
        <v>245</v>
      </c>
      <c r="B2166" s="3">
        <v>1315</v>
      </c>
      <c r="C2166" s="3" t="s">
        <v>81</v>
      </c>
      <c r="D2166" s="3" t="s">
        <v>195</v>
      </c>
      <c r="E2166" s="21" t="s">
        <v>16748</v>
      </c>
      <c r="F2166" s="3" t="s">
        <v>71</v>
      </c>
      <c r="G2166" s="20">
        <v>2</v>
      </c>
      <c r="H2166" s="3">
        <v>87.049000000000007</v>
      </c>
      <c r="I2166" s="3">
        <v>86.712000000000003</v>
      </c>
      <c r="J2166" s="3">
        <v>86.004000000000005</v>
      </c>
      <c r="K2166" s="3">
        <v>85.399000000000001</v>
      </c>
      <c r="L2166" s="3">
        <v>85.003</v>
      </c>
      <c r="M2166" s="232" t="s">
        <v>454</v>
      </c>
      <c r="N2166" s="232" t="s">
        <v>454</v>
      </c>
      <c r="O2166" s="3" t="s">
        <v>2586</v>
      </c>
    </row>
    <row r="2167" spans="1:15">
      <c r="A2167" s="3">
        <v>245</v>
      </c>
      <c r="B2167" s="3">
        <v>1321</v>
      </c>
      <c r="C2167" s="3" t="s">
        <v>81</v>
      </c>
      <c r="D2167" s="3" t="s">
        <v>195</v>
      </c>
      <c r="E2167" s="21" t="s">
        <v>16749</v>
      </c>
      <c r="F2167" s="3" t="s">
        <v>71</v>
      </c>
      <c r="G2167" s="20">
        <v>2</v>
      </c>
      <c r="H2167" s="3">
        <v>86.974999999999994</v>
      </c>
      <c r="I2167" s="3">
        <v>86.596000000000004</v>
      </c>
      <c r="J2167" s="3">
        <v>85.947999999999993</v>
      </c>
      <c r="K2167" s="3">
        <v>85.399000000000001</v>
      </c>
      <c r="L2167" s="3">
        <v>84.911000000000001</v>
      </c>
      <c r="M2167" s="232" t="s">
        <v>454</v>
      </c>
      <c r="N2167" s="232" t="s">
        <v>454</v>
      </c>
      <c r="O2167" s="3" t="s">
        <v>2587</v>
      </c>
    </row>
    <row r="2168" spans="1:15">
      <c r="A2168" s="3">
        <v>245</v>
      </c>
      <c r="B2168" s="3">
        <v>1313</v>
      </c>
      <c r="C2168" s="3" t="s">
        <v>81</v>
      </c>
      <c r="D2168" s="3" t="s">
        <v>195</v>
      </c>
      <c r="E2168" s="21" t="s">
        <v>16750</v>
      </c>
      <c r="F2168" s="3" t="s">
        <v>71</v>
      </c>
      <c r="G2168" s="20">
        <v>2</v>
      </c>
      <c r="H2168" s="3">
        <v>86.38</v>
      </c>
      <c r="I2168" s="3">
        <v>85.947999999999993</v>
      </c>
      <c r="J2168" s="3">
        <v>85.277000000000001</v>
      </c>
      <c r="K2168" s="3">
        <v>84.570999999999998</v>
      </c>
      <c r="L2168" s="3">
        <v>84.158000000000001</v>
      </c>
      <c r="M2168" s="232" t="s">
        <v>454</v>
      </c>
      <c r="N2168" s="232" t="s">
        <v>454</v>
      </c>
      <c r="O2168" s="3" t="s">
        <v>2588</v>
      </c>
    </row>
    <row r="2169" spans="1:15">
      <c r="A2169" s="3">
        <v>245</v>
      </c>
      <c r="B2169" s="3">
        <v>1323</v>
      </c>
      <c r="C2169" s="3" t="s">
        <v>81</v>
      </c>
      <c r="D2169" s="3" t="s">
        <v>195</v>
      </c>
      <c r="E2169" s="21" t="s">
        <v>16751</v>
      </c>
      <c r="F2169" s="3" t="s">
        <v>71</v>
      </c>
      <c r="G2169" s="20">
        <v>2</v>
      </c>
      <c r="H2169" s="3">
        <v>85.603999999999999</v>
      </c>
      <c r="I2169" s="3">
        <v>85.254999999999995</v>
      </c>
      <c r="J2169" s="3">
        <v>84.388000000000005</v>
      </c>
      <c r="K2169" s="3">
        <v>83.665999999999997</v>
      </c>
      <c r="L2169" s="3">
        <v>83.268000000000001</v>
      </c>
      <c r="M2169" s="232" t="s">
        <v>454</v>
      </c>
      <c r="N2169" s="232" t="s">
        <v>454</v>
      </c>
      <c r="O2169" s="3" t="s">
        <v>2589</v>
      </c>
    </row>
    <row r="2170" spans="1:15">
      <c r="A2170" s="3">
        <v>246</v>
      </c>
      <c r="B2170" s="3">
        <v>1331</v>
      </c>
      <c r="C2170" s="3" t="s">
        <v>81</v>
      </c>
      <c r="D2170" s="3" t="s">
        <v>485</v>
      </c>
      <c r="E2170" s="21" t="s">
        <v>9754</v>
      </c>
      <c r="F2170" s="3" t="s">
        <v>70</v>
      </c>
      <c r="G2170" s="20">
        <v>2</v>
      </c>
      <c r="H2170" s="3">
        <v>85.134</v>
      </c>
      <c r="I2170" s="3">
        <v>84.504999999999995</v>
      </c>
      <c r="J2170" s="3">
        <v>83.593000000000004</v>
      </c>
      <c r="K2170" s="3">
        <v>82.835999999999999</v>
      </c>
      <c r="L2170" s="3">
        <v>81.734999999999999</v>
      </c>
      <c r="M2170" s="232" t="s">
        <v>454</v>
      </c>
      <c r="N2170" s="232" t="s">
        <v>454</v>
      </c>
      <c r="O2170" s="3" t="s">
        <v>2590</v>
      </c>
    </row>
    <row r="2171" spans="1:15">
      <c r="A2171" s="3">
        <v>246</v>
      </c>
      <c r="B2171" s="3">
        <v>1334</v>
      </c>
      <c r="C2171" s="3" t="s">
        <v>81</v>
      </c>
      <c r="D2171" s="3" t="s">
        <v>485</v>
      </c>
      <c r="E2171" s="21" t="s">
        <v>11678</v>
      </c>
      <c r="F2171" s="3" t="s">
        <v>70</v>
      </c>
      <c r="G2171" s="20">
        <v>2</v>
      </c>
      <c r="H2171" s="3">
        <v>84.09</v>
      </c>
      <c r="I2171" s="3">
        <v>83.442999999999998</v>
      </c>
      <c r="J2171" s="3">
        <v>82.62</v>
      </c>
      <c r="K2171" s="3">
        <v>81.734999999999999</v>
      </c>
      <c r="L2171" s="3">
        <v>80.73</v>
      </c>
      <c r="M2171" s="232" t="s">
        <v>454</v>
      </c>
      <c r="N2171" s="232" t="s">
        <v>454</v>
      </c>
      <c r="O2171" s="3" t="s">
        <v>2591</v>
      </c>
    </row>
    <row r="2172" spans="1:15">
      <c r="A2172" s="3">
        <v>246</v>
      </c>
      <c r="B2172" s="3">
        <v>1325</v>
      </c>
      <c r="C2172" s="3" t="s">
        <v>81</v>
      </c>
      <c r="D2172" s="3" t="s">
        <v>485</v>
      </c>
      <c r="E2172" s="21" t="s">
        <v>486</v>
      </c>
      <c r="F2172" s="3" t="s">
        <v>70</v>
      </c>
      <c r="G2172" s="20">
        <v>2</v>
      </c>
      <c r="H2172" s="3">
        <v>83.6</v>
      </c>
      <c r="I2172" s="3">
        <v>83.001000000000005</v>
      </c>
      <c r="J2172" s="3">
        <v>82.082999999999998</v>
      </c>
      <c r="K2172" s="3">
        <v>81.33</v>
      </c>
      <c r="L2172" s="3">
        <v>80.334000000000003</v>
      </c>
      <c r="M2172" s="232" t="s">
        <v>454</v>
      </c>
      <c r="N2172" s="232" t="s">
        <v>454</v>
      </c>
      <c r="O2172" s="3" t="s">
        <v>2592</v>
      </c>
    </row>
    <row r="2173" spans="1:15">
      <c r="A2173" s="3">
        <v>246</v>
      </c>
      <c r="B2173" s="3">
        <v>1332</v>
      </c>
      <c r="C2173" s="3" t="s">
        <v>81</v>
      </c>
      <c r="D2173" s="3" t="s">
        <v>485</v>
      </c>
      <c r="E2173" s="21" t="s">
        <v>11846</v>
      </c>
      <c r="F2173" s="3" t="s">
        <v>70</v>
      </c>
      <c r="G2173" s="20">
        <v>2</v>
      </c>
      <c r="H2173" s="3">
        <v>83.210999999999999</v>
      </c>
      <c r="I2173" s="3">
        <v>82.677999999999997</v>
      </c>
      <c r="J2173" s="3">
        <v>81.734999999999999</v>
      </c>
      <c r="K2173" s="3">
        <v>80.997</v>
      </c>
      <c r="L2173" s="3">
        <v>79.465000000000003</v>
      </c>
      <c r="M2173" s="232" t="s">
        <v>454</v>
      </c>
      <c r="N2173" s="232" t="s">
        <v>454</v>
      </c>
      <c r="O2173" s="3" t="s">
        <v>2593</v>
      </c>
    </row>
    <row r="2174" spans="1:15">
      <c r="A2174" s="3">
        <v>246</v>
      </c>
      <c r="B2174" s="3">
        <v>1336</v>
      </c>
      <c r="C2174" s="3" t="s">
        <v>81</v>
      </c>
      <c r="D2174" s="3" t="s">
        <v>485</v>
      </c>
      <c r="E2174" s="21" t="s">
        <v>551</v>
      </c>
      <c r="F2174" s="3" t="s">
        <v>70</v>
      </c>
      <c r="G2174" s="20">
        <v>2</v>
      </c>
      <c r="H2174" s="3">
        <v>83.052000000000007</v>
      </c>
      <c r="I2174" s="3">
        <v>82.573999999999998</v>
      </c>
      <c r="J2174" s="3">
        <v>81.620999999999995</v>
      </c>
      <c r="K2174" s="3">
        <v>80.811999999999998</v>
      </c>
      <c r="L2174" s="3">
        <v>79.766999999999996</v>
      </c>
      <c r="M2174" s="232" t="s">
        <v>454</v>
      </c>
      <c r="N2174" s="232" t="s">
        <v>454</v>
      </c>
      <c r="O2174" s="3" t="s">
        <v>2594</v>
      </c>
    </row>
    <row r="2175" spans="1:15">
      <c r="A2175" s="3">
        <v>246</v>
      </c>
      <c r="B2175" s="3">
        <v>1329</v>
      </c>
      <c r="C2175" s="3" t="s">
        <v>81</v>
      </c>
      <c r="D2175" s="3" t="s">
        <v>485</v>
      </c>
      <c r="E2175" s="21" t="s">
        <v>11901</v>
      </c>
      <c r="F2175" s="3" t="s">
        <v>70</v>
      </c>
      <c r="G2175" s="20">
        <v>2</v>
      </c>
      <c r="H2175" s="3">
        <v>83.001000000000005</v>
      </c>
      <c r="I2175" s="3">
        <v>82.429000000000002</v>
      </c>
      <c r="J2175" s="3">
        <v>81.584000000000003</v>
      </c>
      <c r="K2175" s="3">
        <v>80.73</v>
      </c>
      <c r="L2175" s="3">
        <v>79.760000000000005</v>
      </c>
      <c r="M2175" s="232" t="s">
        <v>454</v>
      </c>
      <c r="N2175" s="232" t="s">
        <v>454</v>
      </c>
      <c r="O2175" s="3" t="s">
        <v>2595</v>
      </c>
    </row>
    <row r="2176" spans="1:15">
      <c r="A2176" s="3">
        <v>246</v>
      </c>
      <c r="B2176" s="3">
        <v>1330</v>
      </c>
      <c r="C2176" s="3" t="s">
        <v>81</v>
      </c>
      <c r="D2176" s="3" t="s">
        <v>485</v>
      </c>
      <c r="E2176" s="3" t="s">
        <v>11919</v>
      </c>
      <c r="F2176" s="3" t="s">
        <v>70</v>
      </c>
      <c r="G2176" s="20">
        <v>2</v>
      </c>
      <c r="H2176" s="3">
        <v>82.933000000000007</v>
      </c>
      <c r="I2176" s="3">
        <v>82.355999999999995</v>
      </c>
      <c r="J2176" s="3">
        <v>81.447000000000003</v>
      </c>
      <c r="K2176" s="3">
        <v>80.637</v>
      </c>
      <c r="L2176" s="3">
        <v>78.692999999999998</v>
      </c>
      <c r="M2176" s="232" t="s">
        <v>454</v>
      </c>
      <c r="N2176" s="232" t="s">
        <v>454</v>
      </c>
      <c r="O2176" s="3" t="s">
        <v>2596</v>
      </c>
    </row>
    <row r="2177" spans="1:15">
      <c r="A2177" s="3">
        <v>246</v>
      </c>
      <c r="B2177" s="3">
        <v>1324</v>
      </c>
      <c r="C2177" s="3" t="s">
        <v>81</v>
      </c>
      <c r="D2177" s="3" t="s">
        <v>485</v>
      </c>
      <c r="E2177" s="3" t="s">
        <v>487</v>
      </c>
      <c r="F2177" s="3" t="s">
        <v>70</v>
      </c>
      <c r="G2177" s="20">
        <v>2</v>
      </c>
      <c r="H2177" s="3">
        <v>82.805999999999997</v>
      </c>
      <c r="I2177" s="3">
        <v>82.210999999999999</v>
      </c>
      <c r="J2177" s="3">
        <v>81.393000000000001</v>
      </c>
      <c r="K2177" s="3">
        <v>80.623999999999995</v>
      </c>
      <c r="L2177" s="3">
        <v>79.471999999999994</v>
      </c>
      <c r="M2177" s="232" t="s">
        <v>454</v>
      </c>
      <c r="N2177" s="232" t="s">
        <v>454</v>
      </c>
      <c r="O2177" s="3" t="s">
        <v>2597</v>
      </c>
    </row>
    <row r="2178" spans="1:15">
      <c r="A2178" s="3">
        <v>246</v>
      </c>
      <c r="B2178" s="3">
        <v>1335</v>
      </c>
      <c r="C2178" s="3" t="s">
        <v>81</v>
      </c>
      <c r="D2178" s="3" t="s">
        <v>485</v>
      </c>
      <c r="E2178" s="3" t="s">
        <v>566</v>
      </c>
      <c r="F2178" s="3" t="s">
        <v>70</v>
      </c>
      <c r="G2178" s="20">
        <v>2</v>
      </c>
      <c r="H2178" s="3">
        <v>82.835999999999999</v>
      </c>
      <c r="I2178" s="3">
        <v>82.188999999999993</v>
      </c>
      <c r="J2178" s="3">
        <v>81.275999999999996</v>
      </c>
      <c r="K2178" s="3">
        <v>80.623999999999995</v>
      </c>
      <c r="L2178" s="3">
        <v>79.992000000000004</v>
      </c>
      <c r="M2178" s="232" t="s">
        <v>454</v>
      </c>
      <c r="N2178" s="232" t="s">
        <v>454</v>
      </c>
      <c r="O2178" s="3" t="s">
        <v>2598</v>
      </c>
    </row>
    <row r="2179" spans="1:15">
      <c r="A2179" s="3">
        <v>246</v>
      </c>
      <c r="B2179" s="3">
        <v>1333</v>
      </c>
      <c r="C2179" s="3" t="s">
        <v>81</v>
      </c>
      <c r="D2179" s="3" t="s">
        <v>485</v>
      </c>
      <c r="E2179" s="3" t="s">
        <v>9439</v>
      </c>
      <c r="F2179" s="3" t="s">
        <v>70</v>
      </c>
      <c r="G2179" s="20">
        <v>2</v>
      </c>
      <c r="H2179" s="3">
        <v>82.483000000000004</v>
      </c>
      <c r="I2179" s="3">
        <v>81.87</v>
      </c>
      <c r="J2179" s="3">
        <v>81.078000000000003</v>
      </c>
      <c r="K2179" s="3">
        <v>80.334000000000003</v>
      </c>
      <c r="L2179" s="3">
        <v>79.200999999999993</v>
      </c>
      <c r="M2179" s="232" t="s">
        <v>454</v>
      </c>
      <c r="N2179" s="232" t="s">
        <v>454</v>
      </c>
      <c r="O2179" s="3" t="s">
        <v>2599</v>
      </c>
    </row>
    <row r="2180" spans="1:15">
      <c r="A2180" s="3">
        <v>246</v>
      </c>
      <c r="B2180" s="3">
        <v>1326</v>
      </c>
      <c r="C2180" s="3" t="s">
        <v>81</v>
      </c>
      <c r="D2180" s="3" t="s">
        <v>485</v>
      </c>
      <c r="E2180" s="3" t="s">
        <v>548</v>
      </c>
      <c r="F2180" s="3" t="s">
        <v>70</v>
      </c>
      <c r="G2180" s="20">
        <v>2</v>
      </c>
      <c r="H2180" s="3">
        <v>82.355999999999995</v>
      </c>
      <c r="I2180" s="3">
        <v>81.734999999999999</v>
      </c>
      <c r="J2180" s="3">
        <v>80.903999999999996</v>
      </c>
      <c r="K2180" s="3">
        <v>80.132000000000005</v>
      </c>
      <c r="L2180" s="3">
        <v>79.010000000000005</v>
      </c>
      <c r="M2180" s="232" t="s">
        <v>454</v>
      </c>
      <c r="N2180" s="232" t="s">
        <v>454</v>
      </c>
      <c r="O2180" s="3" t="s">
        <v>2600</v>
      </c>
    </row>
    <row r="2181" spans="1:15">
      <c r="A2181" s="3">
        <v>246</v>
      </c>
      <c r="B2181" s="3">
        <v>1327</v>
      </c>
      <c r="C2181" s="3" t="s">
        <v>81</v>
      </c>
      <c r="D2181" s="3" t="s">
        <v>485</v>
      </c>
      <c r="E2181" s="3" t="s">
        <v>555</v>
      </c>
      <c r="F2181" s="3" t="s">
        <v>70</v>
      </c>
      <c r="G2181" s="20">
        <v>2</v>
      </c>
      <c r="H2181" s="3">
        <v>82.210999999999999</v>
      </c>
      <c r="I2181" s="3">
        <v>81.665999999999997</v>
      </c>
      <c r="J2181" s="3">
        <v>80.903999999999996</v>
      </c>
      <c r="K2181" s="3">
        <v>80.245000000000005</v>
      </c>
      <c r="L2181" s="3">
        <v>79.207999999999998</v>
      </c>
      <c r="M2181" s="232" t="s">
        <v>454</v>
      </c>
      <c r="N2181" s="232" t="s">
        <v>454</v>
      </c>
      <c r="O2181" s="3" t="s">
        <v>2601</v>
      </c>
    </row>
    <row r="2182" spans="1:15">
      <c r="A2182" s="3">
        <v>246</v>
      </c>
      <c r="B2182" s="3">
        <v>1328</v>
      </c>
      <c r="C2182" s="3" t="s">
        <v>81</v>
      </c>
      <c r="D2182" s="3" t="s">
        <v>485</v>
      </c>
      <c r="E2182" s="3" t="s">
        <v>12065</v>
      </c>
      <c r="F2182" s="3" t="s">
        <v>70</v>
      </c>
      <c r="G2182" s="20">
        <v>2</v>
      </c>
      <c r="H2182" s="3">
        <v>82.137</v>
      </c>
      <c r="I2182" s="3">
        <v>81.590999999999994</v>
      </c>
      <c r="J2182" s="3">
        <v>80.811999999999998</v>
      </c>
      <c r="K2182" s="3">
        <v>79.900999999999996</v>
      </c>
      <c r="L2182" s="3">
        <v>78.596000000000004</v>
      </c>
      <c r="M2182" s="232" t="s">
        <v>454</v>
      </c>
      <c r="N2182" s="232" t="s">
        <v>454</v>
      </c>
      <c r="O2182" s="3" t="s">
        <v>2602</v>
      </c>
    </row>
    <row r="2183" spans="1:15">
      <c r="A2183" s="3">
        <v>247</v>
      </c>
      <c r="B2183" s="3">
        <v>1352</v>
      </c>
      <c r="C2183" s="3" t="s">
        <v>81</v>
      </c>
      <c r="D2183" s="3" t="s">
        <v>485</v>
      </c>
      <c r="E2183" s="3" t="s">
        <v>488</v>
      </c>
      <c r="F2183" s="3" t="s">
        <v>71</v>
      </c>
      <c r="G2183" s="20">
        <v>2</v>
      </c>
      <c r="H2183" s="3">
        <v>83.759</v>
      </c>
      <c r="I2183" s="3">
        <v>83.278000000000006</v>
      </c>
      <c r="J2183" s="3">
        <v>82.596000000000004</v>
      </c>
      <c r="K2183" s="3">
        <v>81.822999999999993</v>
      </c>
      <c r="L2183" s="3">
        <v>80.841999999999999</v>
      </c>
      <c r="M2183" s="232" t="s">
        <v>454</v>
      </c>
      <c r="N2183" s="232" t="s">
        <v>454</v>
      </c>
      <c r="O2183" s="3" t="s">
        <v>2603</v>
      </c>
    </row>
    <row r="2184" spans="1:15">
      <c r="A2184" s="3">
        <v>247</v>
      </c>
      <c r="B2184" s="3">
        <v>1346</v>
      </c>
      <c r="C2184" s="3" t="s">
        <v>81</v>
      </c>
      <c r="D2184" s="3" t="s">
        <v>485</v>
      </c>
      <c r="E2184" s="3" t="s">
        <v>11796</v>
      </c>
      <c r="F2184" s="3" t="s">
        <v>71</v>
      </c>
      <c r="G2184" s="20">
        <v>2</v>
      </c>
      <c r="H2184" s="3">
        <v>83.519000000000005</v>
      </c>
      <c r="I2184" s="3">
        <v>82.899000000000001</v>
      </c>
      <c r="J2184" s="3">
        <v>82.111000000000004</v>
      </c>
      <c r="K2184" s="3">
        <v>81.373999999999995</v>
      </c>
      <c r="L2184" s="3">
        <v>80.456000000000003</v>
      </c>
      <c r="M2184" s="232" t="s">
        <v>454</v>
      </c>
      <c r="N2184" s="232" t="s">
        <v>454</v>
      </c>
      <c r="O2184" s="3" t="s">
        <v>2604</v>
      </c>
    </row>
    <row r="2185" spans="1:15">
      <c r="A2185" s="3">
        <v>247</v>
      </c>
      <c r="B2185" s="3">
        <v>1340</v>
      </c>
      <c r="C2185" s="3" t="s">
        <v>81</v>
      </c>
      <c r="D2185" s="3" t="s">
        <v>485</v>
      </c>
      <c r="E2185" s="3" t="s">
        <v>11830</v>
      </c>
      <c r="F2185" s="3" t="s">
        <v>71</v>
      </c>
      <c r="G2185" s="20">
        <v>2</v>
      </c>
      <c r="H2185" s="3">
        <v>83.278000000000006</v>
      </c>
      <c r="I2185" s="3">
        <v>82.738</v>
      </c>
      <c r="J2185" s="3">
        <v>81.936000000000007</v>
      </c>
      <c r="K2185" s="3">
        <v>81.063000000000002</v>
      </c>
      <c r="L2185" s="3">
        <v>80.078000000000003</v>
      </c>
      <c r="M2185" s="232" t="s">
        <v>454</v>
      </c>
      <c r="N2185" s="232" t="s">
        <v>454</v>
      </c>
      <c r="O2185" s="3" t="s">
        <v>2605</v>
      </c>
    </row>
    <row r="2186" spans="1:15">
      <c r="A2186" s="3">
        <v>247</v>
      </c>
      <c r="B2186" s="3">
        <v>1339</v>
      </c>
      <c r="C2186" s="3" t="s">
        <v>81</v>
      </c>
      <c r="D2186" s="3" t="s">
        <v>485</v>
      </c>
      <c r="E2186" s="3" t="s">
        <v>11859</v>
      </c>
      <c r="F2186" s="3" t="s">
        <v>71</v>
      </c>
      <c r="G2186" s="20">
        <v>2</v>
      </c>
      <c r="H2186" s="3">
        <v>83.072000000000003</v>
      </c>
      <c r="I2186" s="3">
        <v>82.596000000000004</v>
      </c>
      <c r="J2186" s="3">
        <v>81.77</v>
      </c>
      <c r="K2186" s="3">
        <v>80.986000000000004</v>
      </c>
      <c r="L2186" s="3">
        <v>79.95</v>
      </c>
      <c r="M2186" s="232" t="s">
        <v>454</v>
      </c>
      <c r="N2186" s="232" t="s">
        <v>454</v>
      </c>
      <c r="O2186" s="3" t="s">
        <v>2606</v>
      </c>
    </row>
    <row r="2187" spans="1:15">
      <c r="A2187" s="3">
        <v>247</v>
      </c>
      <c r="B2187" s="3">
        <v>1354</v>
      </c>
      <c r="C2187" s="3" t="s">
        <v>81</v>
      </c>
      <c r="D2187" s="3" t="s">
        <v>485</v>
      </c>
      <c r="E2187" s="3" t="s">
        <v>9835</v>
      </c>
      <c r="F2187" s="3" t="s">
        <v>71</v>
      </c>
      <c r="G2187" s="20">
        <v>2</v>
      </c>
      <c r="H2187" s="3">
        <v>82.596000000000004</v>
      </c>
      <c r="I2187" s="3">
        <v>82.078999999999994</v>
      </c>
      <c r="J2187" s="3">
        <v>81.322000000000003</v>
      </c>
      <c r="K2187" s="3">
        <v>80.635000000000005</v>
      </c>
      <c r="L2187" s="3">
        <v>79.575999999999993</v>
      </c>
      <c r="M2187" s="232" t="s">
        <v>454</v>
      </c>
      <c r="N2187" s="232" t="s">
        <v>454</v>
      </c>
      <c r="O2187" s="3" t="s">
        <v>2607</v>
      </c>
    </row>
    <row r="2188" spans="1:15">
      <c r="A2188" s="3">
        <v>247</v>
      </c>
      <c r="B2188" s="3">
        <v>1343</v>
      </c>
      <c r="C2188" s="3" t="s">
        <v>81</v>
      </c>
      <c r="D2188" s="3" t="s">
        <v>485</v>
      </c>
      <c r="E2188" s="3" t="s">
        <v>11989</v>
      </c>
      <c r="F2188" s="3" t="s">
        <v>71</v>
      </c>
      <c r="G2188" s="20">
        <v>2</v>
      </c>
      <c r="H2188" s="3">
        <v>82.545000000000002</v>
      </c>
      <c r="I2188" s="3">
        <v>82.049000000000007</v>
      </c>
      <c r="J2188" s="3">
        <v>81.224000000000004</v>
      </c>
      <c r="K2188" s="3">
        <v>80.506</v>
      </c>
      <c r="L2188" s="3">
        <v>79.436000000000007</v>
      </c>
      <c r="M2188" s="232" t="s">
        <v>454</v>
      </c>
      <c r="N2188" s="232" t="s">
        <v>454</v>
      </c>
      <c r="O2188" s="3" t="s">
        <v>2608</v>
      </c>
    </row>
    <row r="2189" spans="1:15">
      <c r="A2189" s="3">
        <v>247</v>
      </c>
      <c r="B2189" s="3">
        <v>1342</v>
      </c>
      <c r="C2189" s="3" t="s">
        <v>81</v>
      </c>
      <c r="D2189" s="3" t="s">
        <v>485</v>
      </c>
      <c r="E2189" s="3" t="s">
        <v>491</v>
      </c>
      <c r="F2189" s="3" t="s">
        <v>71</v>
      </c>
      <c r="G2189" s="20">
        <v>2</v>
      </c>
      <c r="H2189" s="3">
        <v>82.45</v>
      </c>
      <c r="I2189" s="3">
        <v>81.980999999999995</v>
      </c>
      <c r="J2189" s="3">
        <v>81.192999999999998</v>
      </c>
      <c r="K2189" s="3">
        <v>80.456000000000003</v>
      </c>
      <c r="L2189" s="3">
        <v>79.369</v>
      </c>
      <c r="M2189" s="232" t="s">
        <v>454</v>
      </c>
      <c r="N2189" s="232" t="s">
        <v>454</v>
      </c>
      <c r="O2189" s="3" t="s">
        <v>2609</v>
      </c>
    </row>
    <row r="2190" spans="1:15">
      <c r="A2190" s="3">
        <v>247</v>
      </c>
      <c r="B2190" s="3">
        <v>1351</v>
      </c>
      <c r="C2190" s="3" t="s">
        <v>81</v>
      </c>
      <c r="D2190" s="3" t="s">
        <v>485</v>
      </c>
      <c r="E2190" s="3" t="s">
        <v>489</v>
      </c>
      <c r="F2190" s="3" t="s">
        <v>71</v>
      </c>
      <c r="G2190" s="20">
        <v>2</v>
      </c>
      <c r="H2190" s="3">
        <v>82.372</v>
      </c>
      <c r="I2190" s="3">
        <v>81.837999999999994</v>
      </c>
      <c r="J2190" s="3">
        <v>81.063000000000002</v>
      </c>
      <c r="K2190" s="3">
        <v>80.456000000000003</v>
      </c>
      <c r="L2190" s="3">
        <v>79.984999999999999</v>
      </c>
      <c r="M2190" s="232" t="s">
        <v>454</v>
      </c>
      <c r="N2190" s="232" t="s">
        <v>454</v>
      </c>
      <c r="O2190" s="3" t="s">
        <v>2610</v>
      </c>
    </row>
    <row r="2191" spans="1:15">
      <c r="A2191" s="3">
        <v>247</v>
      </c>
      <c r="B2191" s="3">
        <v>1353</v>
      </c>
      <c r="C2191" s="3" t="s">
        <v>81</v>
      </c>
      <c r="D2191" s="3" t="s">
        <v>485</v>
      </c>
      <c r="E2191" s="3" t="s">
        <v>490</v>
      </c>
      <c r="F2191" s="3" t="s">
        <v>71</v>
      </c>
      <c r="G2191" s="20">
        <v>2</v>
      </c>
      <c r="H2191" s="3">
        <v>81.822999999999993</v>
      </c>
      <c r="I2191" s="3">
        <v>81.373999999999995</v>
      </c>
      <c r="J2191" s="3">
        <v>80.635000000000005</v>
      </c>
      <c r="K2191" s="3">
        <v>79.935000000000002</v>
      </c>
      <c r="L2191" s="3">
        <v>78.805999999999997</v>
      </c>
      <c r="M2191" s="232" t="s">
        <v>454</v>
      </c>
      <c r="N2191" s="232" t="s">
        <v>454</v>
      </c>
      <c r="O2191" s="3" t="s">
        <v>2611</v>
      </c>
    </row>
    <row r="2192" spans="1:15">
      <c r="A2192" s="3">
        <v>247</v>
      </c>
      <c r="B2192" s="3">
        <v>1347</v>
      </c>
      <c r="C2192" s="3" t="s">
        <v>81</v>
      </c>
      <c r="D2192" s="3" t="s">
        <v>485</v>
      </c>
      <c r="E2192" s="3" t="s">
        <v>492</v>
      </c>
      <c r="F2192" s="3" t="s">
        <v>71</v>
      </c>
      <c r="G2192" s="20">
        <v>2</v>
      </c>
      <c r="H2192" s="3">
        <v>81.563999999999993</v>
      </c>
      <c r="I2192" s="3">
        <v>81.001000000000005</v>
      </c>
      <c r="J2192" s="3">
        <v>80.381</v>
      </c>
      <c r="K2192" s="3">
        <v>79.575999999999993</v>
      </c>
      <c r="L2192" s="3">
        <v>78.441000000000003</v>
      </c>
      <c r="M2192" s="232" t="s">
        <v>454</v>
      </c>
      <c r="N2192" s="232" t="s">
        <v>454</v>
      </c>
      <c r="O2192" s="3" t="s">
        <v>2612</v>
      </c>
    </row>
    <row r="2193" spans="1:15">
      <c r="A2193" s="3">
        <v>247</v>
      </c>
      <c r="B2193" s="3">
        <v>1357</v>
      </c>
      <c r="C2193" s="3" t="s">
        <v>81</v>
      </c>
      <c r="D2193" s="3" t="s">
        <v>485</v>
      </c>
      <c r="E2193" s="3" t="s">
        <v>8654</v>
      </c>
      <c r="F2193" s="3" t="s">
        <v>71</v>
      </c>
      <c r="G2193" s="20">
        <v>2</v>
      </c>
      <c r="H2193" s="3">
        <v>81.433999999999997</v>
      </c>
      <c r="I2193" s="3">
        <v>80.968000000000004</v>
      </c>
      <c r="J2193" s="3">
        <v>80.298000000000002</v>
      </c>
      <c r="K2193" s="3">
        <v>79.516000000000005</v>
      </c>
      <c r="L2193" s="3">
        <v>78.406000000000006</v>
      </c>
      <c r="M2193" s="232" t="s">
        <v>454</v>
      </c>
      <c r="N2193" s="232" t="s">
        <v>454</v>
      </c>
      <c r="O2193" s="3" t="s">
        <v>2613</v>
      </c>
    </row>
    <row r="2194" spans="1:15">
      <c r="A2194" s="3">
        <v>247</v>
      </c>
      <c r="B2194" s="3">
        <v>1350</v>
      </c>
      <c r="C2194" s="3" t="s">
        <v>81</v>
      </c>
      <c r="D2194" s="3" t="s">
        <v>485</v>
      </c>
      <c r="E2194" s="3" t="s">
        <v>9396</v>
      </c>
      <c r="F2194" s="3" t="s">
        <v>71</v>
      </c>
      <c r="G2194" s="20">
        <v>2</v>
      </c>
      <c r="H2194" s="3">
        <v>81.373999999999995</v>
      </c>
      <c r="I2194" s="3">
        <v>80.841999999999999</v>
      </c>
      <c r="J2194" s="3">
        <v>80.173000000000002</v>
      </c>
      <c r="K2194" s="3">
        <v>79.382999999999996</v>
      </c>
      <c r="L2194" s="3">
        <v>78.311000000000007</v>
      </c>
      <c r="M2194" s="232" t="s">
        <v>454</v>
      </c>
      <c r="N2194" s="232" t="s">
        <v>454</v>
      </c>
      <c r="O2194" s="3" t="s">
        <v>2614</v>
      </c>
    </row>
    <row r="2195" spans="1:15">
      <c r="A2195" s="3">
        <v>247</v>
      </c>
      <c r="B2195" s="3">
        <v>1356</v>
      </c>
      <c r="C2195" s="3" t="s">
        <v>81</v>
      </c>
      <c r="D2195" s="3" t="s">
        <v>485</v>
      </c>
      <c r="E2195" s="3" t="s">
        <v>8953</v>
      </c>
      <c r="F2195" s="3" t="s">
        <v>71</v>
      </c>
      <c r="G2195" s="20">
        <v>2</v>
      </c>
      <c r="H2195" s="3">
        <v>81.322000000000003</v>
      </c>
      <c r="I2195" s="3">
        <v>80.841999999999999</v>
      </c>
      <c r="J2195" s="3">
        <v>80.158000000000001</v>
      </c>
      <c r="K2195" s="3">
        <v>79.369</v>
      </c>
      <c r="L2195" s="3">
        <v>78.278999999999996</v>
      </c>
      <c r="M2195" s="232" t="s">
        <v>454</v>
      </c>
      <c r="N2195" s="232" t="s">
        <v>454</v>
      </c>
      <c r="O2195" s="3" t="s">
        <v>2615</v>
      </c>
    </row>
    <row r="2196" spans="1:15">
      <c r="A2196" s="3">
        <v>247</v>
      </c>
      <c r="B2196" s="3">
        <v>1359</v>
      </c>
      <c r="C2196" s="3" t="s">
        <v>81</v>
      </c>
      <c r="D2196" s="3" t="s">
        <v>485</v>
      </c>
      <c r="E2196" s="3" t="s">
        <v>8618</v>
      </c>
      <c r="F2196" s="3" t="s">
        <v>71</v>
      </c>
      <c r="G2196" s="20">
        <v>2</v>
      </c>
      <c r="H2196" s="3">
        <v>81.161000000000001</v>
      </c>
      <c r="I2196" s="3">
        <v>80.760000000000005</v>
      </c>
      <c r="J2196" s="3">
        <v>80.03</v>
      </c>
      <c r="K2196" s="3">
        <v>79.260000000000005</v>
      </c>
      <c r="L2196" s="3">
        <v>78.123999999999995</v>
      </c>
      <c r="M2196" s="232" t="s">
        <v>454</v>
      </c>
      <c r="N2196" s="232" t="s">
        <v>454</v>
      </c>
      <c r="O2196" s="3" t="s">
        <v>2616</v>
      </c>
    </row>
    <row r="2197" spans="1:15">
      <c r="A2197" s="3">
        <v>247</v>
      </c>
      <c r="B2197" s="3">
        <v>1355</v>
      </c>
      <c r="C2197" s="3" t="s">
        <v>81</v>
      </c>
      <c r="D2197" s="3" t="s">
        <v>485</v>
      </c>
      <c r="E2197" s="3" t="s">
        <v>493</v>
      </c>
      <c r="F2197" s="3" t="s">
        <v>71</v>
      </c>
      <c r="G2197" s="20">
        <v>2</v>
      </c>
      <c r="H2197" s="3">
        <v>81.116</v>
      </c>
      <c r="I2197" s="3">
        <v>80.635000000000005</v>
      </c>
      <c r="J2197" s="3">
        <v>79.837000000000003</v>
      </c>
      <c r="K2197" s="3">
        <v>79.08</v>
      </c>
      <c r="L2197" s="3">
        <v>77.98</v>
      </c>
      <c r="M2197" s="232" t="s">
        <v>454</v>
      </c>
      <c r="N2197" s="232" t="s">
        <v>454</v>
      </c>
      <c r="O2197" s="3" t="s">
        <v>2617</v>
      </c>
    </row>
    <row r="2198" spans="1:15">
      <c r="A2198" s="3">
        <v>247</v>
      </c>
      <c r="B2198" s="3">
        <v>1358</v>
      </c>
      <c r="C2198" s="3" t="s">
        <v>81</v>
      </c>
      <c r="D2198" s="3" t="s">
        <v>485</v>
      </c>
      <c r="E2198" s="3" t="s">
        <v>8863</v>
      </c>
      <c r="F2198" s="3" t="s">
        <v>71</v>
      </c>
      <c r="G2198" s="20">
        <v>2</v>
      </c>
      <c r="H2198" s="3">
        <v>80.680000000000007</v>
      </c>
      <c r="I2198" s="3">
        <v>80.253</v>
      </c>
      <c r="J2198" s="3">
        <v>79.480999999999995</v>
      </c>
      <c r="K2198" s="3">
        <v>78.727999999999994</v>
      </c>
      <c r="L2198" s="3">
        <v>77.599999999999994</v>
      </c>
      <c r="M2198" s="232" t="s">
        <v>454</v>
      </c>
      <c r="N2198" s="232" t="s">
        <v>454</v>
      </c>
      <c r="O2198" s="3" t="s">
        <v>2618</v>
      </c>
    </row>
    <row r="2199" spans="1:15">
      <c r="A2199" s="3">
        <v>247</v>
      </c>
      <c r="B2199" s="3">
        <v>1349</v>
      </c>
      <c r="C2199" s="3" t="s">
        <v>81</v>
      </c>
      <c r="D2199" s="3" t="s">
        <v>485</v>
      </c>
      <c r="E2199" s="3" t="s">
        <v>501</v>
      </c>
      <c r="F2199" s="3" t="s">
        <v>71</v>
      </c>
      <c r="G2199" s="20">
        <v>2</v>
      </c>
      <c r="H2199" s="3">
        <v>80.253</v>
      </c>
      <c r="I2199" s="3">
        <v>79.691000000000003</v>
      </c>
      <c r="J2199" s="3">
        <v>78.805999999999997</v>
      </c>
      <c r="K2199" s="3">
        <v>77.930000000000007</v>
      </c>
      <c r="L2199" s="3">
        <v>76.953000000000003</v>
      </c>
      <c r="M2199" s="232" t="s">
        <v>454</v>
      </c>
      <c r="N2199" s="232" t="s">
        <v>454</v>
      </c>
      <c r="O2199" s="3" t="s">
        <v>2619</v>
      </c>
    </row>
    <row r="2200" spans="1:15">
      <c r="A2200" s="3">
        <v>136</v>
      </c>
      <c r="B2200" s="3">
        <v>1361</v>
      </c>
      <c r="C2200" s="3" t="s">
        <v>81</v>
      </c>
      <c r="D2200" s="3" t="s">
        <v>494</v>
      </c>
      <c r="E2200" s="3" t="s">
        <v>12731</v>
      </c>
      <c r="F2200" s="3" t="s">
        <v>70</v>
      </c>
      <c r="G2200" s="20">
        <v>2</v>
      </c>
      <c r="H2200" s="3">
        <v>840.27700000000004</v>
      </c>
      <c r="I2200" s="3">
        <v>837.83299999999997</v>
      </c>
      <c r="J2200" s="3">
        <v>833.97299999999996</v>
      </c>
      <c r="K2200" s="3">
        <v>830.60900000000004</v>
      </c>
      <c r="L2200" s="3">
        <v>827.54200000000003</v>
      </c>
      <c r="M2200" s="232" t="s">
        <v>532</v>
      </c>
      <c r="N2200" s="232" t="s">
        <v>533</v>
      </c>
      <c r="O2200" s="3" t="s">
        <v>2620</v>
      </c>
    </row>
    <row r="2201" spans="1:15">
      <c r="A2201" s="3">
        <v>134</v>
      </c>
      <c r="B2201" s="3">
        <v>1368</v>
      </c>
      <c r="C2201" s="3" t="s">
        <v>81</v>
      </c>
      <c r="D2201" s="3" t="s">
        <v>494</v>
      </c>
      <c r="E2201" s="3" t="s">
        <v>13551</v>
      </c>
      <c r="F2201" s="3" t="s">
        <v>70</v>
      </c>
      <c r="G2201" s="20">
        <v>2</v>
      </c>
      <c r="H2201" s="3">
        <v>812.38800000000003</v>
      </c>
      <c r="I2201" s="3">
        <v>809.928</v>
      </c>
      <c r="J2201" s="3">
        <v>806.38300000000004</v>
      </c>
      <c r="K2201" s="3">
        <v>803.07299999999998</v>
      </c>
      <c r="L2201" s="3">
        <v>801.05499999999995</v>
      </c>
      <c r="M2201" s="232" t="s">
        <v>532</v>
      </c>
      <c r="N2201" s="232" t="s">
        <v>533</v>
      </c>
      <c r="O2201" s="3" t="s">
        <v>2621</v>
      </c>
    </row>
    <row r="2202" spans="1:15">
      <c r="A2202" s="3">
        <v>134</v>
      </c>
      <c r="B2202" s="3">
        <v>1374</v>
      </c>
      <c r="C2202" s="3" t="s">
        <v>81</v>
      </c>
      <c r="D2202" s="3" t="s">
        <v>494</v>
      </c>
      <c r="E2202" s="3" t="s">
        <v>9544</v>
      </c>
      <c r="F2202" s="3" t="s">
        <v>70</v>
      </c>
      <c r="G2202" s="20">
        <v>2</v>
      </c>
      <c r="H2202" s="3">
        <v>810.16800000000001</v>
      </c>
      <c r="I2202" s="3">
        <v>808.05399999999997</v>
      </c>
      <c r="J2202" s="3">
        <v>804.327</v>
      </c>
      <c r="K2202" s="3">
        <v>800.26700000000005</v>
      </c>
      <c r="L2202" s="3">
        <v>797.41300000000001</v>
      </c>
      <c r="M2202" s="232" t="s">
        <v>532</v>
      </c>
      <c r="N2202" s="232" t="s">
        <v>533</v>
      </c>
      <c r="O2202" s="3" t="s">
        <v>2622</v>
      </c>
    </row>
    <row r="2203" spans="1:15">
      <c r="A2203" s="3">
        <v>134</v>
      </c>
      <c r="B2203" s="3">
        <v>1371</v>
      </c>
      <c r="C2203" s="3" t="s">
        <v>81</v>
      </c>
      <c r="D2203" s="3" t="s">
        <v>494</v>
      </c>
      <c r="E2203" s="3" t="s">
        <v>13622</v>
      </c>
      <c r="F2203" s="3" t="s">
        <v>70</v>
      </c>
      <c r="G2203" s="20">
        <v>2</v>
      </c>
      <c r="H2203" s="3">
        <v>809.27</v>
      </c>
      <c r="I2203" s="3">
        <v>806.51700000000005</v>
      </c>
      <c r="J2203" s="3">
        <v>802.93899999999996</v>
      </c>
      <c r="K2203" s="3">
        <v>799.221</v>
      </c>
      <c r="L2203" s="3">
        <v>796.625</v>
      </c>
      <c r="M2203" s="232" t="s">
        <v>532</v>
      </c>
      <c r="N2203" s="232" t="s">
        <v>533</v>
      </c>
      <c r="O2203" s="3" t="s">
        <v>7342</v>
      </c>
    </row>
    <row r="2204" spans="1:15">
      <c r="A2204" s="3">
        <v>134</v>
      </c>
      <c r="B2204" s="3">
        <v>1370</v>
      </c>
      <c r="C2204" s="3" t="s">
        <v>81</v>
      </c>
      <c r="D2204" s="3" t="s">
        <v>494</v>
      </c>
      <c r="E2204" s="3" t="s">
        <v>13717</v>
      </c>
      <c r="F2204" s="3" t="s">
        <v>70</v>
      </c>
      <c r="G2204" s="20">
        <v>2</v>
      </c>
      <c r="H2204" s="3">
        <v>803.44399999999996</v>
      </c>
      <c r="I2204" s="3">
        <v>801.36500000000001</v>
      </c>
      <c r="J2204" s="3">
        <v>797.27800000000002</v>
      </c>
      <c r="K2204" s="3">
        <v>793.50300000000004</v>
      </c>
      <c r="L2204" s="3">
        <v>791.024</v>
      </c>
      <c r="M2204" s="232" t="s">
        <v>532</v>
      </c>
      <c r="N2204" s="232" t="s">
        <v>533</v>
      </c>
      <c r="O2204" s="3" t="s">
        <v>7343</v>
      </c>
    </row>
    <row r="2205" spans="1:15">
      <c r="A2205" s="3">
        <v>134</v>
      </c>
      <c r="B2205" s="3">
        <v>1363</v>
      </c>
      <c r="C2205" s="3" t="s">
        <v>81</v>
      </c>
      <c r="D2205" s="3" t="s">
        <v>494</v>
      </c>
      <c r="E2205" s="3" t="s">
        <v>13739</v>
      </c>
      <c r="F2205" s="3" t="s">
        <v>70</v>
      </c>
      <c r="G2205" s="20">
        <v>2</v>
      </c>
      <c r="H2205" s="3">
        <v>803.07299999999998</v>
      </c>
      <c r="I2205" s="3">
        <v>800.91899999999998</v>
      </c>
      <c r="J2205" s="3">
        <v>797.14200000000005</v>
      </c>
      <c r="K2205" s="3">
        <v>793.50300000000004</v>
      </c>
      <c r="L2205" s="3">
        <v>790.82100000000003</v>
      </c>
      <c r="M2205" s="232" t="s">
        <v>532</v>
      </c>
      <c r="N2205" s="232" t="s">
        <v>533</v>
      </c>
      <c r="O2205" s="3" t="s">
        <v>7344</v>
      </c>
    </row>
    <row r="2206" spans="1:15">
      <c r="A2206" s="3">
        <v>134</v>
      </c>
      <c r="B2206" s="3">
        <v>1369</v>
      </c>
      <c r="C2206" s="3" t="s">
        <v>81</v>
      </c>
      <c r="D2206" s="3" t="s">
        <v>494</v>
      </c>
      <c r="E2206" s="3" t="s">
        <v>13805</v>
      </c>
      <c r="F2206" s="3" t="s">
        <v>70</v>
      </c>
      <c r="G2206" s="20">
        <v>2</v>
      </c>
      <c r="H2206" s="3">
        <v>796.04</v>
      </c>
      <c r="I2206" s="3">
        <v>793.50300000000004</v>
      </c>
      <c r="J2206" s="3">
        <v>789.68799999999999</v>
      </c>
      <c r="K2206" s="3">
        <v>785.52800000000002</v>
      </c>
      <c r="L2206" s="3">
        <v>783.56700000000001</v>
      </c>
      <c r="M2206" s="232" t="s">
        <v>532</v>
      </c>
      <c r="N2206" s="232" t="s">
        <v>533</v>
      </c>
      <c r="O2206" s="3" t="s">
        <v>7345</v>
      </c>
    </row>
    <row r="2207" spans="1:15">
      <c r="A2207" s="3">
        <v>137</v>
      </c>
      <c r="B2207" s="3">
        <v>1381</v>
      </c>
      <c r="C2207" s="3" t="s">
        <v>81</v>
      </c>
      <c r="D2207" s="3" t="s">
        <v>494</v>
      </c>
      <c r="E2207" s="3" t="s">
        <v>13008</v>
      </c>
      <c r="F2207" s="3" t="s">
        <v>71</v>
      </c>
      <c r="G2207" s="20">
        <v>2</v>
      </c>
      <c r="H2207" s="3">
        <v>832.42100000000005</v>
      </c>
      <c r="I2207" s="3">
        <v>829.74800000000005</v>
      </c>
      <c r="J2207" s="3">
        <v>826.50900000000001</v>
      </c>
      <c r="K2207" s="3">
        <v>823.774</v>
      </c>
      <c r="L2207" s="3">
        <v>821.01499999999999</v>
      </c>
      <c r="M2207" s="232" t="s">
        <v>532</v>
      </c>
      <c r="N2207" s="232" t="s">
        <v>533</v>
      </c>
      <c r="O2207" s="3" t="s">
        <v>7346</v>
      </c>
    </row>
    <row r="2208" spans="1:15">
      <c r="A2208" s="3">
        <v>138</v>
      </c>
      <c r="B2208" s="3">
        <v>1388</v>
      </c>
      <c r="C2208" s="3" t="s">
        <v>81</v>
      </c>
      <c r="D2208" s="3" t="s">
        <v>494</v>
      </c>
      <c r="E2208" s="3" t="s">
        <v>13101</v>
      </c>
      <c r="F2208" s="3" t="s">
        <v>71</v>
      </c>
      <c r="G2208" s="20">
        <v>2</v>
      </c>
      <c r="H2208" s="3">
        <v>832.86900000000003</v>
      </c>
      <c r="I2208" s="3">
        <v>829.96299999999997</v>
      </c>
      <c r="J2208" s="3">
        <v>825.97</v>
      </c>
      <c r="K2208" s="3">
        <v>821.20500000000004</v>
      </c>
      <c r="L2208" s="3">
        <v>818.34299999999996</v>
      </c>
      <c r="M2208" s="232" t="s">
        <v>532</v>
      </c>
      <c r="N2208" s="232" t="s">
        <v>533</v>
      </c>
      <c r="O2208" s="3" t="s">
        <v>7347</v>
      </c>
    </row>
    <row r="2209" spans="1:15">
      <c r="A2209" s="3">
        <v>137</v>
      </c>
      <c r="B2209" s="3">
        <v>1382</v>
      </c>
      <c r="C2209" s="3" t="s">
        <v>81</v>
      </c>
      <c r="D2209" s="3" t="s">
        <v>494</v>
      </c>
      <c r="E2209" s="3" t="s">
        <v>13267</v>
      </c>
      <c r="F2209" s="3" t="s">
        <v>71</v>
      </c>
      <c r="G2209" s="20">
        <v>2</v>
      </c>
      <c r="H2209" s="3">
        <v>825.79300000000001</v>
      </c>
      <c r="I2209" s="3">
        <v>822.86599999999999</v>
      </c>
      <c r="J2209" s="3">
        <v>818.70500000000004</v>
      </c>
      <c r="K2209" s="3">
        <v>815.00099999999998</v>
      </c>
      <c r="L2209" s="3">
        <v>812.71199999999999</v>
      </c>
      <c r="M2209" s="232" t="s">
        <v>532</v>
      </c>
      <c r="N2209" s="232" t="s">
        <v>533</v>
      </c>
      <c r="O2209" s="3" t="s">
        <v>7348</v>
      </c>
    </row>
    <row r="2210" spans="1:15">
      <c r="A2210" s="3">
        <v>138</v>
      </c>
      <c r="B2210" s="3">
        <v>1379</v>
      </c>
      <c r="C2210" s="3" t="s">
        <v>81</v>
      </c>
      <c r="D2210" s="3" t="s">
        <v>494</v>
      </c>
      <c r="E2210" s="3" t="s">
        <v>16752</v>
      </c>
      <c r="F2210" s="3" t="s">
        <v>71</v>
      </c>
      <c r="G2210" s="20">
        <v>2</v>
      </c>
      <c r="H2210" s="3">
        <v>825.97</v>
      </c>
      <c r="I2210" s="3">
        <v>822.58699999999999</v>
      </c>
      <c r="J2210" s="3">
        <v>818.76300000000003</v>
      </c>
      <c r="K2210" s="3">
        <v>814.44100000000003</v>
      </c>
      <c r="L2210" s="3">
        <v>811.64700000000005</v>
      </c>
      <c r="M2210" s="232" t="s">
        <v>532</v>
      </c>
      <c r="N2210" s="232" t="s">
        <v>533</v>
      </c>
      <c r="O2210" s="3" t="s">
        <v>7349</v>
      </c>
    </row>
    <row r="2211" spans="1:15">
      <c r="A2211" s="3">
        <v>138</v>
      </c>
      <c r="B2211" s="3">
        <v>1384</v>
      </c>
      <c r="C2211" s="3" t="s">
        <v>81</v>
      </c>
      <c r="D2211" s="3" t="s">
        <v>494</v>
      </c>
      <c r="E2211" s="3" t="s">
        <v>13414</v>
      </c>
      <c r="F2211" s="3" t="s">
        <v>71</v>
      </c>
      <c r="G2211" s="20">
        <v>2</v>
      </c>
      <c r="H2211" s="3">
        <v>821.74699999999996</v>
      </c>
      <c r="I2211" s="3">
        <v>818.41700000000003</v>
      </c>
      <c r="J2211" s="3">
        <v>814.44100000000003</v>
      </c>
      <c r="K2211" s="3">
        <v>810.99599999999998</v>
      </c>
      <c r="L2211" s="3">
        <v>808.11199999999997</v>
      </c>
      <c r="M2211" s="232" t="s">
        <v>532</v>
      </c>
      <c r="N2211" s="232" t="s">
        <v>533</v>
      </c>
      <c r="O2211" s="3" t="s">
        <v>7350</v>
      </c>
    </row>
    <row r="2212" spans="1:15">
      <c r="A2212" s="3">
        <v>292</v>
      </c>
      <c r="B2212" s="3">
        <v>1470</v>
      </c>
      <c r="C2212" s="3" t="s">
        <v>81</v>
      </c>
      <c r="D2212" s="3" t="s">
        <v>497</v>
      </c>
      <c r="E2212" s="3" t="s">
        <v>9611</v>
      </c>
      <c r="F2212" s="3" t="s">
        <v>71</v>
      </c>
      <c r="G2212" s="20">
        <v>3</v>
      </c>
      <c r="H2212" s="3">
        <v>264.98</v>
      </c>
      <c r="I2212" s="3">
        <v>259.86</v>
      </c>
      <c r="J2212" s="3">
        <v>256.07</v>
      </c>
      <c r="K2212" s="3">
        <v>248.83</v>
      </c>
      <c r="L2212" s="3">
        <v>240.02</v>
      </c>
      <c r="M2212" s="232" t="s">
        <v>454</v>
      </c>
      <c r="N2212" s="232" t="s">
        <v>454</v>
      </c>
      <c r="O2212" s="3" t="s">
        <v>7379</v>
      </c>
    </row>
    <row r="2213" spans="1:15">
      <c r="A2213" s="3">
        <v>293</v>
      </c>
      <c r="B2213" s="3">
        <v>1478</v>
      </c>
      <c r="C2213" s="3" t="s">
        <v>81</v>
      </c>
      <c r="D2213" s="3" t="s">
        <v>497</v>
      </c>
      <c r="E2213" s="3" t="s">
        <v>501</v>
      </c>
      <c r="F2213" s="3" t="s">
        <v>71</v>
      </c>
      <c r="G2213" s="20">
        <v>3</v>
      </c>
      <c r="H2213" s="3">
        <v>238.05</v>
      </c>
      <c r="I2213" s="3">
        <v>233.8</v>
      </c>
      <c r="J2213" s="3">
        <v>231.21</v>
      </c>
      <c r="K2213" s="3">
        <v>225.7</v>
      </c>
      <c r="L2213" s="3">
        <v>219.32</v>
      </c>
      <c r="M2213" s="232" t="s">
        <v>454</v>
      </c>
      <c r="N2213" s="232" t="s">
        <v>454</v>
      </c>
      <c r="O2213" s="3" t="s">
        <v>7380</v>
      </c>
    </row>
    <row r="2214" spans="1:15">
      <c r="A2214" s="3">
        <v>292</v>
      </c>
      <c r="B2214" s="3">
        <v>1479</v>
      </c>
      <c r="C2214" s="3" t="s">
        <v>81</v>
      </c>
      <c r="D2214" s="3" t="s">
        <v>497</v>
      </c>
      <c r="E2214" s="3" t="s">
        <v>502</v>
      </c>
      <c r="F2214" s="3" t="s">
        <v>71</v>
      </c>
      <c r="G2214" s="20">
        <v>3</v>
      </c>
      <c r="H2214" s="3">
        <v>229.9</v>
      </c>
      <c r="I2214" s="3">
        <v>225.9</v>
      </c>
      <c r="J2214" s="3">
        <v>223.52</v>
      </c>
      <c r="K2214" s="3">
        <v>218.46</v>
      </c>
      <c r="L2214" s="3">
        <v>211.64</v>
      </c>
      <c r="M2214" s="232" t="s">
        <v>454</v>
      </c>
      <c r="N2214" s="232" t="s">
        <v>454</v>
      </c>
      <c r="O2214" s="3" t="s">
        <v>7381</v>
      </c>
    </row>
    <row r="2215" spans="1:15">
      <c r="A2215" s="3">
        <v>293</v>
      </c>
      <c r="B2215" s="3">
        <v>1468</v>
      </c>
      <c r="C2215" s="3" t="s">
        <v>81</v>
      </c>
      <c r="D2215" s="3" t="s">
        <v>497</v>
      </c>
      <c r="E2215" s="3" t="s">
        <v>499</v>
      </c>
      <c r="F2215" s="3" t="s">
        <v>71</v>
      </c>
      <c r="G2215" s="20">
        <v>3</v>
      </c>
      <c r="H2215" s="3">
        <v>227.01</v>
      </c>
      <c r="I2215" s="3">
        <v>224.58</v>
      </c>
      <c r="J2215" s="3">
        <v>221.04</v>
      </c>
      <c r="K2215" s="3">
        <v>217.96</v>
      </c>
      <c r="L2215" s="3">
        <v>216.59</v>
      </c>
      <c r="M2215" s="232" t="s">
        <v>454</v>
      </c>
      <c r="N2215" s="232" t="s">
        <v>454</v>
      </c>
      <c r="O2215" s="3" t="s">
        <v>7382</v>
      </c>
    </row>
    <row r="2216" spans="1:15">
      <c r="A2216" s="3">
        <v>292</v>
      </c>
      <c r="B2216" s="3">
        <v>1483</v>
      </c>
      <c r="C2216" s="3" t="s">
        <v>81</v>
      </c>
      <c r="D2216" s="3" t="s">
        <v>497</v>
      </c>
      <c r="E2216" s="3" t="s">
        <v>13638</v>
      </c>
      <c r="F2216" s="3" t="s">
        <v>71</v>
      </c>
      <c r="G2216" s="20">
        <v>3</v>
      </c>
      <c r="H2216" s="3">
        <v>224.28</v>
      </c>
      <c r="I2216" s="3">
        <v>221.04</v>
      </c>
      <c r="J2216" s="3">
        <v>219.12</v>
      </c>
      <c r="K2216" s="3">
        <v>212.86</v>
      </c>
      <c r="L2216" s="3">
        <v>207.24</v>
      </c>
      <c r="M2216" s="232" t="s">
        <v>454</v>
      </c>
      <c r="N2216" s="232" t="s">
        <v>454</v>
      </c>
      <c r="O2216" s="3" t="s">
        <v>7383</v>
      </c>
    </row>
    <row r="2217" spans="1:15">
      <c r="A2217" s="3">
        <v>292</v>
      </c>
      <c r="B2217" s="3">
        <v>1482</v>
      </c>
      <c r="C2217" s="3" t="s">
        <v>81</v>
      </c>
      <c r="D2217" s="3" t="s">
        <v>497</v>
      </c>
      <c r="E2217" s="3" t="s">
        <v>13794</v>
      </c>
      <c r="F2217" s="3" t="s">
        <v>71</v>
      </c>
      <c r="G2217" s="20">
        <v>3</v>
      </c>
      <c r="H2217" s="3">
        <v>220.48</v>
      </c>
      <c r="I2217" s="3">
        <v>217.09</v>
      </c>
      <c r="J2217" s="3">
        <v>213.72</v>
      </c>
      <c r="K2217" s="3">
        <v>209.57</v>
      </c>
      <c r="L2217" s="3">
        <v>202.39</v>
      </c>
      <c r="M2217" s="232" t="s">
        <v>454</v>
      </c>
      <c r="N2217" s="232" t="s">
        <v>454</v>
      </c>
      <c r="O2217" s="3" t="s">
        <v>7384</v>
      </c>
    </row>
    <row r="2218" spans="1:15">
      <c r="A2218" s="3">
        <v>293</v>
      </c>
      <c r="B2218" s="3">
        <v>1480</v>
      </c>
      <c r="C2218" s="3" t="s">
        <v>81</v>
      </c>
      <c r="D2218" s="3" t="s">
        <v>497</v>
      </c>
      <c r="E2218" s="3" t="s">
        <v>503</v>
      </c>
      <c r="F2218" s="3" t="s">
        <v>71</v>
      </c>
      <c r="G2218" s="20">
        <v>3</v>
      </c>
      <c r="H2218" s="3">
        <v>217.9</v>
      </c>
      <c r="I2218" s="3">
        <v>213.46</v>
      </c>
      <c r="J2218" s="3">
        <v>211.64</v>
      </c>
      <c r="K2218" s="3">
        <v>206.68</v>
      </c>
      <c r="L2218" s="3">
        <v>198.9</v>
      </c>
      <c r="M2218" s="232" t="s">
        <v>454</v>
      </c>
      <c r="N2218" s="232" t="s">
        <v>454</v>
      </c>
      <c r="O2218" s="3" t="s">
        <v>7385</v>
      </c>
    </row>
    <row r="2219" spans="1:15">
      <c r="A2219" s="3">
        <v>190</v>
      </c>
      <c r="B2219" s="3">
        <v>1546</v>
      </c>
      <c r="C2219" s="3" t="s">
        <v>81</v>
      </c>
      <c r="D2219" s="3" t="s">
        <v>8000</v>
      </c>
      <c r="E2219" s="3" t="s">
        <v>13913</v>
      </c>
      <c r="F2219" s="3" t="s">
        <v>70</v>
      </c>
      <c r="G2219" s="20">
        <v>3</v>
      </c>
      <c r="H2219" s="3">
        <v>836.64599999999996</v>
      </c>
      <c r="I2219" s="3">
        <v>834.38900000000001</v>
      </c>
      <c r="J2219" s="3">
        <v>829.64099999999996</v>
      </c>
      <c r="K2219" s="3">
        <v>824.65599999999995</v>
      </c>
      <c r="L2219" s="3">
        <v>818.50199999999995</v>
      </c>
      <c r="M2219" s="232" t="s">
        <v>532</v>
      </c>
      <c r="N2219" s="232" t="s">
        <v>532</v>
      </c>
      <c r="O2219" s="3" t="s">
        <v>7386</v>
      </c>
    </row>
    <row r="2220" spans="1:15">
      <c r="A2220" s="3">
        <v>190</v>
      </c>
      <c r="B2220" s="3">
        <v>1536</v>
      </c>
      <c r="C2220" s="3" t="s">
        <v>81</v>
      </c>
      <c r="D2220" s="3" t="s">
        <v>8000</v>
      </c>
      <c r="E2220" s="3" t="s">
        <v>566</v>
      </c>
      <c r="F2220" s="3" t="s">
        <v>70</v>
      </c>
      <c r="G2220" s="20">
        <v>3</v>
      </c>
      <c r="H2220" s="3" t="e">
        <v>#N/A</v>
      </c>
      <c r="I2220" s="3" t="e">
        <v>#N/A</v>
      </c>
      <c r="J2220" s="3" t="e">
        <v>#N/A</v>
      </c>
      <c r="K2220" s="3" t="e">
        <v>#N/A</v>
      </c>
      <c r="L2220" s="3" t="e">
        <v>#N/A</v>
      </c>
      <c r="M2220" s="232" t="s">
        <v>532</v>
      </c>
      <c r="N2220" s="232" t="s">
        <v>532</v>
      </c>
      <c r="O2220" s="3" t="s">
        <v>2623</v>
      </c>
    </row>
    <row r="2221" spans="1:15">
      <c r="A2221" s="3">
        <v>190</v>
      </c>
      <c r="B2221" s="3">
        <v>1537</v>
      </c>
      <c r="C2221" s="3" t="s">
        <v>81</v>
      </c>
      <c r="D2221" s="3" t="s">
        <v>8000</v>
      </c>
      <c r="E2221" s="3" t="s">
        <v>556</v>
      </c>
      <c r="F2221" s="3" t="s">
        <v>70</v>
      </c>
      <c r="G2221" s="20">
        <v>3</v>
      </c>
      <c r="H2221" s="3" t="e">
        <v>#N/A</v>
      </c>
      <c r="I2221" s="3" t="e">
        <v>#N/A</v>
      </c>
      <c r="J2221" s="3" t="e">
        <v>#N/A</v>
      </c>
      <c r="K2221" s="3" t="e">
        <v>#N/A</v>
      </c>
      <c r="L2221" s="3" t="e">
        <v>#N/A</v>
      </c>
      <c r="M2221" s="232" t="s">
        <v>532</v>
      </c>
      <c r="N2221" s="232" t="s">
        <v>532</v>
      </c>
      <c r="O2221" s="3" t="s">
        <v>2623</v>
      </c>
    </row>
    <row r="2222" spans="1:15">
      <c r="A2222" s="3">
        <v>190</v>
      </c>
      <c r="B2222" s="3">
        <v>1538</v>
      </c>
      <c r="C2222" s="3" t="s">
        <v>81</v>
      </c>
      <c r="D2222" s="3" t="s">
        <v>8000</v>
      </c>
      <c r="E2222" s="3" t="s">
        <v>557</v>
      </c>
      <c r="F2222" s="3" t="s">
        <v>70</v>
      </c>
      <c r="G2222" s="20">
        <v>3</v>
      </c>
      <c r="H2222" s="3" t="e">
        <v>#N/A</v>
      </c>
      <c r="I2222" s="3" t="e">
        <v>#N/A</v>
      </c>
      <c r="J2222" s="3" t="e">
        <v>#N/A</v>
      </c>
      <c r="K2222" s="3" t="e">
        <v>#N/A</v>
      </c>
      <c r="L2222" s="3" t="e">
        <v>#N/A</v>
      </c>
      <c r="M2222" s="232" t="s">
        <v>532</v>
      </c>
      <c r="N2222" s="232" t="s">
        <v>532</v>
      </c>
      <c r="O2222" s="3" t="s">
        <v>2623</v>
      </c>
    </row>
    <row r="2223" spans="1:15">
      <c r="A2223" s="3">
        <v>190</v>
      </c>
      <c r="B2223" s="3">
        <v>1539</v>
      </c>
      <c r="C2223" s="3" t="s">
        <v>81</v>
      </c>
      <c r="D2223" s="3" t="s">
        <v>8000</v>
      </c>
      <c r="E2223" s="3" t="s">
        <v>14066</v>
      </c>
      <c r="F2223" s="3" t="s">
        <v>70</v>
      </c>
      <c r="G2223" s="20">
        <v>3</v>
      </c>
      <c r="H2223" s="3" t="e">
        <v>#N/A</v>
      </c>
      <c r="I2223" s="3" t="e">
        <v>#N/A</v>
      </c>
      <c r="J2223" s="3" t="e">
        <v>#N/A</v>
      </c>
      <c r="K2223" s="3" t="e">
        <v>#N/A</v>
      </c>
      <c r="L2223" s="3" t="e">
        <v>#N/A</v>
      </c>
      <c r="M2223" s="232" t="s">
        <v>532</v>
      </c>
      <c r="N2223" s="232" t="s">
        <v>532</v>
      </c>
      <c r="O2223" s="3" t="s">
        <v>2623</v>
      </c>
    </row>
    <row r="2224" spans="1:15">
      <c r="A2224" s="3">
        <v>190</v>
      </c>
      <c r="B2224" s="3">
        <v>1540</v>
      </c>
      <c r="C2224" s="3" t="s">
        <v>81</v>
      </c>
      <c r="D2224" s="3" t="s">
        <v>8000</v>
      </c>
      <c r="E2224" s="3" t="s">
        <v>558</v>
      </c>
      <c r="F2224" s="3" t="s">
        <v>70</v>
      </c>
      <c r="G2224" s="20">
        <v>3</v>
      </c>
      <c r="H2224" s="3" t="e">
        <v>#N/A</v>
      </c>
      <c r="I2224" s="3" t="e">
        <v>#N/A</v>
      </c>
      <c r="J2224" s="3" t="e">
        <v>#N/A</v>
      </c>
      <c r="K2224" s="3" t="e">
        <v>#N/A</v>
      </c>
      <c r="L2224" s="3" t="e">
        <v>#N/A</v>
      </c>
      <c r="M2224" s="232" t="s">
        <v>532</v>
      </c>
      <c r="N2224" s="232" t="s">
        <v>532</v>
      </c>
      <c r="O2224" s="3" t="s">
        <v>2623</v>
      </c>
    </row>
    <row r="2225" spans="1:15">
      <c r="A2225" s="3">
        <v>190</v>
      </c>
      <c r="B2225" s="3">
        <v>1541</v>
      </c>
      <c r="C2225" s="3" t="s">
        <v>81</v>
      </c>
      <c r="D2225" s="3" t="s">
        <v>8000</v>
      </c>
      <c r="E2225" s="3" t="s">
        <v>559</v>
      </c>
      <c r="F2225" s="3" t="s">
        <v>70</v>
      </c>
      <c r="G2225" s="20">
        <v>3</v>
      </c>
      <c r="H2225" s="3" t="e">
        <v>#N/A</v>
      </c>
      <c r="I2225" s="3" t="e">
        <v>#N/A</v>
      </c>
      <c r="J2225" s="3" t="e">
        <v>#N/A</v>
      </c>
      <c r="K2225" s="3" t="e">
        <v>#N/A</v>
      </c>
      <c r="L2225" s="3" t="e">
        <v>#N/A</v>
      </c>
      <c r="M2225" s="232" t="s">
        <v>532</v>
      </c>
      <c r="N2225" s="232" t="s">
        <v>532</v>
      </c>
      <c r="O2225" s="3" t="s">
        <v>2623</v>
      </c>
    </row>
    <row r="2226" spans="1:15">
      <c r="A2226" s="3">
        <v>190</v>
      </c>
      <c r="B2226" s="3">
        <v>1542</v>
      </c>
      <c r="C2226" s="3" t="s">
        <v>81</v>
      </c>
      <c r="D2226" s="3" t="s">
        <v>8000</v>
      </c>
      <c r="E2226" s="3" t="s">
        <v>567</v>
      </c>
      <c r="F2226" s="3" t="s">
        <v>70</v>
      </c>
      <c r="G2226" s="20">
        <v>3</v>
      </c>
      <c r="H2226" s="3" t="e">
        <v>#N/A</v>
      </c>
      <c r="I2226" s="3" t="e">
        <v>#N/A</v>
      </c>
      <c r="J2226" s="3" t="e">
        <v>#N/A</v>
      </c>
      <c r="K2226" s="3" t="e">
        <v>#N/A</v>
      </c>
      <c r="L2226" s="3" t="e">
        <v>#N/A</v>
      </c>
      <c r="M2226" s="232" t="s">
        <v>532</v>
      </c>
      <c r="N2226" s="232" t="s">
        <v>532</v>
      </c>
      <c r="O2226" s="3" t="s">
        <v>2623</v>
      </c>
    </row>
    <row r="2227" spans="1:15">
      <c r="A2227" s="3">
        <v>189</v>
      </c>
      <c r="B2227" s="3">
        <v>1579</v>
      </c>
      <c r="C2227" s="3" t="s">
        <v>81</v>
      </c>
      <c r="D2227" s="3" t="s">
        <v>8000</v>
      </c>
      <c r="E2227" s="3" t="s">
        <v>568</v>
      </c>
      <c r="F2227" s="3" t="s">
        <v>71</v>
      </c>
      <c r="G2227" s="20">
        <v>3</v>
      </c>
      <c r="H2227" s="3" t="e">
        <v>#N/A</v>
      </c>
      <c r="I2227" s="3" t="e">
        <v>#N/A</v>
      </c>
      <c r="J2227" s="3" t="e">
        <v>#N/A</v>
      </c>
      <c r="K2227" s="3" t="e">
        <v>#N/A</v>
      </c>
      <c r="L2227" s="3" t="e">
        <v>#N/A</v>
      </c>
      <c r="M2227" s="232" t="s">
        <v>532</v>
      </c>
      <c r="N2227" s="232" t="s">
        <v>532</v>
      </c>
      <c r="O2227" s="3" t="s">
        <v>2623</v>
      </c>
    </row>
    <row r="2228" spans="1:15">
      <c r="A2228" s="3">
        <v>287</v>
      </c>
      <c r="B2228" s="3">
        <v>1738</v>
      </c>
      <c r="C2228" s="3" t="s">
        <v>81</v>
      </c>
      <c r="D2228" s="3" t="s">
        <v>209</v>
      </c>
      <c r="E2228" s="3" t="s">
        <v>10208</v>
      </c>
      <c r="F2228" s="3" t="s">
        <v>70</v>
      </c>
      <c r="G2228" s="20">
        <v>2</v>
      </c>
      <c r="H2228" s="3">
        <v>705.077</v>
      </c>
      <c r="I2228" s="3">
        <v>703.61699999999996</v>
      </c>
      <c r="J2228" s="3">
        <v>701.02</v>
      </c>
      <c r="K2228" s="3">
        <v>699</v>
      </c>
      <c r="L2228" s="3">
        <v>695.21</v>
      </c>
      <c r="M2228" s="232" t="s">
        <v>530</v>
      </c>
      <c r="N2228" s="232" t="s">
        <v>530</v>
      </c>
      <c r="O2228" s="3" t="s">
        <v>7387</v>
      </c>
    </row>
    <row r="2229" spans="1:15">
      <c r="A2229" s="3">
        <v>287</v>
      </c>
      <c r="B2229" s="3">
        <v>1737</v>
      </c>
      <c r="C2229" s="3" t="s">
        <v>81</v>
      </c>
      <c r="D2229" s="3" t="s">
        <v>209</v>
      </c>
      <c r="E2229" s="3" t="s">
        <v>10728</v>
      </c>
      <c r="F2229" s="3" t="s">
        <v>70</v>
      </c>
      <c r="G2229" s="20">
        <v>2</v>
      </c>
      <c r="H2229" s="3">
        <v>697.08</v>
      </c>
      <c r="I2229" s="3">
        <v>695.34400000000005</v>
      </c>
      <c r="J2229" s="3">
        <v>693.39</v>
      </c>
      <c r="K2229" s="3">
        <v>692.00400000000002</v>
      </c>
      <c r="L2229" s="3">
        <v>689.41399999999999</v>
      </c>
      <c r="M2229" s="232" t="s">
        <v>530</v>
      </c>
      <c r="N2229" s="232" t="s">
        <v>530</v>
      </c>
      <c r="O2229" s="3" t="s">
        <v>7388</v>
      </c>
    </row>
    <row r="2230" spans="1:15">
      <c r="A2230" s="3">
        <v>287</v>
      </c>
      <c r="B2230" s="3">
        <v>1739</v>
      </c>
      <c r="C2230" s="3" t="s">
        <v>81</v>
      </c>
      <c r="D2230" s="3" t="s">
        <v>209</v>
      </c>
      <c r="E2230" s="3" t="s">
        <v>11225</v>
      </c>
      <c r="F2230" s="3" t="s">
        <v>70</v>
      </c>
      <c r="G2230" s="20">
        <v>2</v>
      </c>
      <c r="H2230" s="3">
        <v>692.10400000000004</v>
      </c>
      <c r="I2230" s="3">
        <v>690.24</v>
      </c>
      <c r="J2230" s="3">
        <v>687.83600000000001</v>
      </c>
      <c r="K2230" s="3">
        <v>685.65599999999995</v>
      </c>
      <c r="L2230" s="3">
        <v>682.07600000000002</v>
      </c>
      <c r="M2230" s="232" t="s">
        <v>530</v>
      </c>
      <c r="N2230" s="232" t="s">
        <v>530</v>
      </c>
      <c r="O2230" s="3" t="s">
        <v>7389</v>
      </c>
    </row>
    <row r="2231" spans="1:15">
      <c r="A2231" s="3">
        <v>216</v>
      </c>
      <c r="B2231" s="3">
        <v>1880</v>
      </c>
      <c r="C2231" s="3" t="s">
        <v>81</v>
      </c>
      <c r="D2231" s="3" t="s">
        <v>213</v>
      </c>
      <c r="E2231" s="3" t="s">
        <v>8283</v>
      </c>
      <c r="F2231" s="3" t="s">
        <v>70</v>
      </c>
      <c r="G2231" s="20">
        <v>3</v>
      </c>
      <c r="H2231" s="3">
        <v>829.36</v>
      </c>
      <c r="I2231" s="3">
        <v>824.08</v>
      </c>
      <c r="J2231" s="3">
        <v>813.52</v>
      </c>
      <c r="K2231" s="3">
        <v>799.46</v>
      </c>
      <c r="L2231" s="3">
        <v>782.36500000000001</v>
      </c>
      <c r="M2231" s="232" t="s">
        <v>454</v>
      </c>
      <c r="N2231" s="232" t="s">
        <v>454</v>
      </c>
      <c r="O2231" s="3" t="s">
        <v>7390</v>
      </c>
    </row>
    <row r="2232" spans="1:15">
      <c r="A2232" s="3">
        <v>213</v>
      </c>
      <c r="B2232" s="3">
        <v>1879</v>
      </c>
      <c r="C2232" s="3" t="s">
        <v>81</v>
      </c>
      <c r="D2232" s="3" t="s">
        <v>213</v>
      </c>
      <c r="E2232" s="3" t="s">
        <v>8633</v>
      </c>
      <c r="F2232" s="3" t="s">
        <v>70</v>
      </c>
      <c r="G2232" s="20">
        <v>3</v>
      </c>
      <c r="H2232" s="3">
        <v>813.59299999999996</v>
      </c>
      <c r="I2232" s="3">
        <v>809.09100000000001</v>
      </c>
      <c r="J2232" s="3">
        <v>798.07899999999995</v>
      </c>
      <c r="K2232" s="3">
        <v>782.85599999999999</v>
      </c>
      <c r="L2232" s="3">
        <v>765.16899999999998</v>
      </c>
      <c r="M2232" s="232" t="s">
        <v>454</v>
      </c>
      <c r="N2232" s="232" t="s">
        <v>454</v>
      </c>
      <c r="O2232" s="3" t="s">
        <v>7391</v>
      </c>
    </row>
    <row r="2233" spans="1:15">
      <c r="A2233" s="3">
        <v>214</v>
      </c>
      <c r="B2233" s="3">
        <v>1877</v>
      </c>
      <c r="C2233" s="3" t="s">
        <v>81</v>
      </c>
      <c r="D2233" s="3" t="s">
        <v>213</v>
      </c>
      <c r="E2233" s="3" t="s">
        <v>8835</v>
      </c>
      <c r="F2233" s="3" t="s">
        <v>70</v>
      </c>
      <c r="G2233" s="20">
        <v>3</v>
      </c>
      <c r="H2233" s="3">
        <v>810.15700000000004</v>
      </c>
      <c r="I2233" s="3">
        <v>804.827</v>
      </c>
      <c r="J2233" s="3">
        <v>795.39800000000002</v>
      </c>
      <c r="K2233" s="3">
        <v>777.39499999999998</v>
      </c>
      <c r="L2233" s="3">
        <v>762.64</v>
      </c>
      <c r="M2233" s="232" t="s">
        <v>454</v>
      </c>
      <c r="N2233" s="232" t="s">
        <v>454</v>
      </c>
      <c r="O2233" s="3" t="s">
        <v>7392</v>
      </c>
    </row>
    <row r="2234" spans="1:15">
      <c r="A2234" s="3">
        <v>215</v>
      </c>
      <c r="B2234" s="3">
        <v>1911</v>
      </c>
      <c r="C2234" s="3" t="s">
        <v>81</v>
      </c>
      <c r="D2234" s="3" t="s">
        <v>213</v>
      </c>
      <c r="E2234" s="3" t="s">
        <v>13677</v>
      </c>
      <c r="F2234" s="3" t="s">
        <v>70</v>
      </c>
      <c r="G2234" s="20">
        <v>3</v>
      </c>
      <c r="H2234" s="3">
        <v>760.36800000000005</v>
      </c>
      <c r="I2234" s="3">
        <v>753.78399999999999</v>
      </c>
      <c r="J2234" s="3">
        <v>743.86</v>
      </c>
      <c r="K2234" s="3">
        <v>724.14599999999996</v>
      </c>
      <c r="L2234" s="3">
        <v>701.61400000000003</v>
      </c>
      <c r="M2234" s="232" t="s">
        <v>454</v>
      </c>
      <c r="N2234" s="232" t="s">
        <v>454</v>
      </c>
      <c r="O2234" s="3" t="s">
        <v>7393</v>
      </c>
    </row>
    <row r="2235" spans="1:15">
      <c r="A2235" s="3">
        <v>213</v>
      </c>
      <c r="B2235" s="3">
        <v>1882</v>
      </c>
      <c r="C2235" s="3" t="s">
        <v>81</v>
      </c>
      <c r="D2235" s="3" t="s">
        <v>213</v>
      </c>
      <c r="E2235" s="3" t="s">
        <v>8872</v>
      </c>
      <c r="F2235" s="3" t="s">
        <v>70</v>
      </c>
      <c r="G2235" s="20">
        <v>3</v>
      </c>
      <c r="H2235" s="3">
        <v>767.68299999999999</v>
      </c>
      <c r="I2235" s="3">
        <v>761.67499999999995</v>
      </c>
      <c r="J2235" s="3">
        <v>753.56100000000004</v>
      </c>
      <c r="K2235" s="3">
        <v>742.71799999999996</v>
      </c>
      <c r="L2235" s="3">
        <v>729.221</v>
      </c>
      <c r="M2235" s="232" t="s">
        <v>454</v>
      </c>
      <c r="N2235" s="232" t="s">
        <v>454</v>
      </c>
      <c r="O2235" s="3" t="s">
        <v>7394</v>
      </c>
    </row>
    <row r="2236" spans="1:15">
      <c r="A2236" s="3">
        <v>214</v>
      </c>
      <c r="B2236" s="3">
        <v>1881</v>
      </c>
      <c r="C2236" s="3" t="s">
        <v>81</v>
      </c>
      <c r="D2236" s="3" t="s">
        <v>213</v>
      </c>
      <c r="E2236" s="3" t="s">
        <v>8856</v>
      </c>
      <c r="F2236" s="3" t="s">
        <v>70</v>
      </c>
      <c r="G2236" s="20">
        <v>3</v>
      </c>
      <c r="H2236" s="3">
        <v>769.03200000000004</v>
      </c>
      <c r="I2236" s="3">
        <v>765.35400000000004</v>
      </c>
      <c r="J2236" s="3">
        <v>757.11099999999999</v>
      </c>
      <c r="K2236" s="3">
        <v>743.39300000000003</v>
      </c>
      <c r="L2236" s="3">
        <v>729.23</v>
      </c>
      <c r="M2236" s="232" t="s">
        <v>454</v>
      </c>
      <c r="N2236" s="232" t="s">
        <v>454</v>
      </c>
      <c r="O2236" s="3" t="s">
        <v>7395</v>
      </c>
    </row>
    <row r="2237" spans="1:15">
      <c r="A2237" s="3">
        <v>214</v>
      </c>
      <c r="B2237" s="3">
        <v>1888</v>
      </c>
      <c r="C2237" s="3" t="s">
        <v>81</v>
      </c>
      <c r="D2237" s="3" t="s">
        <v>213</v>
      </c>
      <c r="E2237" s="3" t="s">
        <v>9611</v>
      </c>
      <c r="F2237" s="3" t="s">
        <v>70</v>
      </c>
      <c r="G2237" s="20">
        <v>3</v>
      </c>
      <c r="H2237" s="3">
        <v>754.99099999999999</v>
      </c>
      <c r="I2237" s="3">
        <v>748.60799999999995</v>
      </c>
      <c r="J2237" s="3">
        <v>732.21500000000003</v>
      </c>
      <c r="K2237" s="3">
        <v>713.08799999999997</v>
      </c>
      <c r="L2237" s="3">
        <v>699.46799999999996</v>
      </c>
      <c r="M2237" s="232" t="s">
        <v>454</v>
      </c>
      <c r="N2237" s="232" t="s">
        <v>454</v>
      </c>
      <c r="O2237" s="3" t="s">
        <v>7396</v>
      </c>
    </row>
    <row r="2238" spans="1:15">
      <c r="A2238" s="3">
        <v>214</v>
      </c>
      <c r="B2238" s="3">
        <v>1891</v>
      </c>
      <c r="C2238" s="3" t="s">
        <v>81</v>
      </c>
      <c r="D2238" s="3" t="s">
        <v>213</v>
      </c>
      <c r="E2238" s="3" t="s">
        <v>8744</v>
      </c>
      <c r="F2238" s="3" t="s">
        <v>70</v>
      </c>
      <c r="G2238" s="20">
        <v>3</v>
      </c>
      <c r="H2238" s="3">
        <v>735.53</v>
      </c>
      <c r="I2238" s="3">
        <v>726.87400000000002</v>
      </c>
      <c r="J2238" s="3">
        <v>712.91</v>
      </c>
      <c r="K2238" s="3">
        <v>695.72699999999998</v>
      </c>
      <c r="L2238" s="3">
        <v>675.76300000000003</v>
      </c>
      <c r="M2238" s="232" t="s">
        <v>454</v>
      </c>
      <c r="N2238" s="232" t="s">
        <v>454</v>
      </c>
      <c r="O2238" s="3" t="s">
        <v>7397</v>
      </c>
    </row>
    <row r="2239" spans="1:15">
      <c r="A2239" s="3">
        <v>213</v>
      </c>
      <c r="B2239" s="3">
        <v>1902</v>
      </c>
      <c r="C2239" s="3" t="s">
        <v>81</v>
      </c>
      <c r="D2239" s="3" t="s">
        <v>213</v>
      </c>
      <c r="E2239" s="3" t="s">
        <v>8307</v>
      </c>
      <c r="F2239" s="3" t="s">
        <v>70</v>
      </c>
      <c r="G2239" s="20">
        <v>3</v>
      </c>
      <c r="H2239" s="3">
        <v>690.952</v>
      </c>
      <c r="I2239" s="3">
        <v>686.81399999999996</v>
      </c>
      <c r="J2239" s="3">
        <v>677.28300000000002</v>
      </c>
      <c r="K2239" s="3">
        <v>663.82299999999998</v>
      </c>
      <c r="L2239" s="3">
        <v>652.41</v>
      </c>
      <c r="M2239" s="232" t="s">
        <v>454</v>
      </c>
      <c r="N2239" s="232" t="s">
        <v>454</v>
      </c>
      <c r="O2239" s="3" t="s">
        <v>7398</v>
      </c>
    </row>
    <row r="2240" spans="1:15">
      <c r="A2240" s="3">
        <v>214</v>
      </c>
      <c r="B2240" s="3">
        <v>1897</v>
      </c>
      <c r="C2240" s="3" t="s">
        <v>81</v>
      </c>
      <c r="D2240" s="3" t="s">
        <v>213</v>
      </c>
      <c r="E2240" s="3" t="s">
        <v>9339</v>
      </c>
      <c r="F2240" s="3" t="s">
        <v>70</v>
      </c>
      <c r="G2240" s="20">
        <v>3</v>
      </c>
      <c r="H2240" s="3">
        <v>720.33399999999995</v>
      </c>
      <c r="I2240" s="3">
        <v>704.524</v>
      </c>
      <c r="J2240" s="3">
        <v>683.05700000000002</v>
      </c>
      <c r="K2240" s="3">
        <v>660.21</v>
      </c>
      <c r="L2240" s="3">
        <v>634.53800000000001</v>
      </c>
      <c r="M2240" s="232" t="s">
        <v>454</v>
      </c>
      <c r="N2240" s="232" t="s">
        <v>454</v>
      </c>
      <c r="O2240" s="3" t="s">
        <v>7647</v>
      </c>
    </row>
    <row r="2241" spans="1:15">
      <c r="A2241" s="3">
        <v>213</v>
      </c>
      <c r="B2241" s="3">
        <v>1899</v>
      </c>
      <c r="C2241" s="3" t="s">
        <v>81</v>
      </c>
      <c r="D2241" s="3" t="s">
        <v>213</v>
      </c>
      <c r="E2241" s="3" t="s">
        <v>13875</v>
      </c>
      <c r="F2241" s="3" t="s">
        <v>70</v>
      </c>
      <c r="G2241" s="20">
        <v>3</v>
      </c>
      <c r="H2241" s="3">
        <v>697.92200000000003</v>
      </c>
      <c r="I2241" s="3">
        <v>691.01800000000003</v>
      </c>
      <c r="J2241" s="3">
        <v>671.76300000000003</v>
      </c>
      <c r="K2241" s="3">
        <v>659.726</v>
      </c>
      <c r="L2241" s="3">
        <v>649.95000000000005</v>
      </c>
      <c r="M2241" s="232" t="s">
        <v>454</v>
      </c>
      <c r="N2241" s="232" t="s">
        <v>454</v>
      </c>
      <c r="O2241" s="3" t="s">
        <v>16753</v>
      </c>
    </row>
    <row r="2242" spans="1:15">
      <c r="A2242" s="3">
        <v>213</v>
      </c>
      <c r="B2242" s="3">
        <v>1903</v>
      </c>
      <c r="C2242" s="3" t="s">
        <v>81</v>
      </c>
      <c r="D2242" s="3" t="s">
        <v>213</v>
      </c>
      <c r="E2242" s="3" t="s">
        <v>13927</v>
      </c>
      <c r="F2242" s="3" t="s">
        <v>70</v>
      </c>
      <c r="G2242" s="20">
        <v>3</v>
      </c>
      <c r="H2242" s="3">
        <v>699.68200000000002</v>
      </c>
      <c r="I2242" s="3">
        <v>685.39800000000002</v>
      </c>
      <c r="J2242" s="3">
        <v>662.59799999999996</v>
      </c>
      <c r="K2242" s="3">
        <v>643.11900000000003</v>
      </c>
      <c r="L2242" s="3">
        <v>613.42600000000004</v>
      </c>
      <c r="M2242" s="232" t="s">
        <v>454</v>
      </c>
      <c r="N2242" s="232" t="s">
        <v>454</v>
      </c>
      <c r="O2242" s="3" t="s">
        <v>16754</v>
      </c>
    </row>
    <row r="2243" spans="1:15">
      <c r="A2243" s="3">
        <v>214</v>
      </c>
      <c r="B2243" s="3">
        <v>1892</v>
      </c>
      <c r="C2243" s="3" t="s">
        <v>81</v>
      </c>
      <c r="D2243" s="3" t="s">
        <v>213</v>
      </c>
      <c r="E2243" s="3" t="s">
        <v>8478</v>
      </c>
      <c r="F2243" s="3" t="s">
        <v>70</v>
      </c>
      <c r="G2243" s="20">
        <v>3</v>
      </c>
      <c r="H2243" s="3">
        <v>710.053</v>
      </c>
      <c r="I2243" s="3">
        <v>695.41800000000001</v>
      </c>
      <c r="J2243" s="3">
        <v>672.423</v>
      </c>
      <c r="K2243" s="3">
        <v>652.60199999999998</v>
      </c>
      <c r="L2243" s="3">
        <v>621.77300000000002</v>
      </c>
      <c r="M2243" s="232" t="s">
        <v>454</v>
      </c>
      <c r="N2243" s="232" t="s">
        <v>454</v>
      </c>
      <c r="O2243" s="3" t="s">
        <v>16755</v>
      </c>
    </row>
    <row r="2244" spans="1:15">
      <c r="A2244" s="3">
        <v>213</v>
      </c>
      <c r="B2244" s="3">
        <v>1894</v>
      </c>
      <c r="C2244" s="3" t="s">
        <v>81</v>
      </c>
      <c r="D2244" s="3" t="s">
        <v>213</v>
      </c>
      <c r="E2244" s="3" t="s">
        <v>9544</v>
      </c>
      <c r="F2244" s="3" t="s">
        <v>70</v>
      </c>
      <c r="G2244" s="20">
        <v>3</v>
      </c>
      <c r="H2244" s="3">
        <v>688.47299999999996</v>
      </c>
      <c r="I2244" s="3">
        <v>681.548</v>
      </c>
      <c r="J2244" s="3">
        <v>660.41800000000001</v>
      </c>
      <c r="K2244" s="3">
        <v>654.36099999999999</v>
      </c>
      <c r="L2244" s="3">
        <v>639.57000000000005</v>
      </c>
      <c r="M2244" s="232" t="s">
        <v>454</v>
      </c>
      <c r="N2244" s="232" t="s">
        <v>454</v>
      </c>
      <c r="O2244" s="3" t="s">
        <v>16756</v>
      </c>
    </row>
    <row r="2245" spans="1:15">
      <c r="A2245" s="3">
        <v>213</v>
      </c>
      <c r="B2245" s="3">
        <v>1907</v>
      </c>
      <c r="C2245" s="3" t="s">
        <v>81</v>
      </c>
      <c r="D2245" s="3" t="s">
        <v>213</v>
      </c>
      <c r="E2245" s="3" t="s">
        <v>13987</v>
      </c>
      <c r="F2245" s="3" t="s">
        <v>70</v>
      </c>
      <c r="G2245" s="20">
        <v>3</v>
      </c>
      <c r="H2245" s="3">
        <v>689.92200000000003</v>
      </c>
      <c r="I2245" s="3">
        <v>669.77200000000005</v>
      </c>
      <c r="J2245" s="3">
        <v>652.41</v>
      </c>
      <c r="K2245" s="3">
        <v>630.024</v>
      </c>
      <c r="L2245" s="3">
        <v>599.08600000000001</v>
      </c>
      <c r="M2245" s="232" t="s">
        <v>454</v>
      </c>
      <c r="N2245" s="232" t="s">
        <v>454</v>
      </c>
      <c r="O2245" s="3" t="s">
        <v>16757</v>
      </c>
    </row>
    <row r="2246" spans="1:15">
      <c r="A2246" s="3">
        <v>213</v>
      </c>
      <c r="B2246" s="3">
        <v>1883</v>
      </c>
      <c r="C2246" s="3" t="s">
        <v>81</v>
      </c>
      <c r="D2246" s="3" t="s">
        <v>213</v>
      </c>
      <c r="E2246" s="3" t="s">
        <v>552</v>
      </c>
      <c r="F2246" s="3" t="s">
        <v>70</v>
      </c>
      <c r="G2246" s="20">
        <v>3</v>
      </c>
      <c r="H2246" s="3" t="e">
        <v>#N/A</v>
      </c>
      <c r="I2246" s="3" t="e">
        <v>#N/A</v>
      </c>
      <c r="J2246" s="3" t="e">
        <v>#N/A</v>
      </c>
      <c r="K2246" s="3" t="e">
        <v>#N/A</v>
      </c>
      <c r="L2246" s="3" t="e">
        <v>#N/A</v>
      </c>
      <c r="M2246" s="232" t="s">
        <v>454</v>
      </c>
      <c r="N2246" s="232" t="s">
        <v>454</v>
      </c>
      <c r="O2246" s="3" t="s">
        <v>2623</v>
      </c>
    </row>
    <row r="2247" spans="1:15">
      <c r="A2247" s="3">
        <v>214</v>
      </c>
      <c r="B2247" s="3">
        <v>1887</v>
      </c>
      <c r="C2247" s="3" t="s">
        <v>81</v>
      </c>
      <c r="D2247" s="3" t="s">
        <v>213</v>
      </c>
      <c r="E2247" s="3" t="s">
        <v>14030</v>
      </c>
      <c r="F2247" s="3" t="s">
        <v>70</v>
      </c>
      <c r="G2247" s="20">
        <v>3</v>
      </c>
      <c r="H2247" s="3" t="e">
        <v>#N/A</v>
      </c>
      <c r="I2247" s="3" t="e">
        <v>#N/A</v>
      </c>
      <c r="J2247" s="3" t="e">
        <v>#N/A</v>
      </c>
      <c r="K2247" s="3" t="e">
        <v>#N/A</v>
      </c>
      <c r="L2247" s="3" t="e">
        <v>#N/A</v>
      </c>
      <c r="M2247" s="232" t="s">
        <v>454</v>
      </c>
      <c r="N2247" s="232" t="s">
        <v>454</v>
      </c>
      <c r="O2247" s="3" t="s">
        <v>2623</v>
      </c>
    </row>
    <row r="2248" spans="1:15">
      <c r="A2248" s="3">
        <v>213</v>
      </c>
      <c r="B2248" s="3">
        <v>1889</v>
      </c>
      <c r="C2248" s="3" t="s">
        <v>81</v>
      </c>
      <c r="D2248" s="3" t="s">
        <v>213</v>
      </c>
      <c r="E2248" s="3" t="s">
        <v>14015</v>
      </c>
      <c r="F2248" s="3" t="s">
        <v>70</v>
      </c>
      <c r="G2248" s="20">
        <v>3</v>
      </c>
      <c r="H2248" s="3" t="e">
        <v>#N/A</v>
      </c>
      <c r="I2248" s="3" t="e">
        <v>#N/A</v>
      </c>
      <c r="J2248" s="3" t="e">
        <v>#N/A</v>
      </c>
      <c r="K2248" s="3" t="e">
        <v>#N/A</v>
      </c>
      <c r="L2248" s="3" t="e">
        <v>#N/A</v>
      </c>
      <c r="M2248" s="232" t="s">
        <v>454</v>
      </c>
      <c r="N2248" s="232" t="s">
        <v>454</v>
      </c>
      <c r="O2248" s="3" t="s">
        <v>2623</v>
      </c>
    </row>
    <row r="2249" spans="1:15">
      <c r="A2249" s="3">
        <v>213</v>
      </c>
      <c r="B2249" s="3">
        <v>1898</v>
      </c>
      <c r="C2249" s="3" t="s">
        <v>81</v>
      </c>
      <c r="D2249" s="3" t="s">
        <v>213</v>
      </c>
      <c r="E2249" s="3" t="s">
        <v>550</v>
      </c>
      <c r="F2249" s="3" t="s">
        <v>70</v>
      </c>
      <c r="G2249" s="20">
        <v>3</v>
      </c>
      <c r="H2249" s="3" t="e">
        <v>#N/A</v>
      </c>
      <c r="I2249" s="3" t="e">
        <v>#N/A</v>
      </c>
      <c r="J2249" s="3" t="e">
        <v>#N/A</v>
      </c>
      <c r="K2249" s="3" t="e">
        <v>#N/A</v>
      </c>
      <c r="L2249" s="3" t="e">
        <v>#N/A</v>
      </c>
      <c r="M2249" s="232" t="s">
        <v>454</v>
      </c>
      <c r="N2249" s="232" t="s">
        <v>454</v>
      </c>
      <c r="O2249" s="3" t="s">
        <v>2623</v>
      </c>
    </row>
    <row r="2250" spans="1:15">
      <c r="A2250" s="3">
        <v>214</v>
      </c>
      <c r="B2250" s="3">
        <v>1912</v>
      </c>
      <c r="C2250" s="3" t="s">
        <v>81</v>
      </c>
      <c r="D2250" s="3" t="s">
        <v>213</v>
      </c>
      <c r="E2250" s="3" t="s">
        <v>8448</v>
      </c>
      <c r="F2250" s="3" t="s">
        <v>70</v>
      </c>
      <c r="G2250" s="20">
        <v>3</v>
      </c>
      <c r="H2250" s="3" t="e">
        <v>#N/A</v>
      </c>
      <c r="I2250" s="3" t="e">
        <v>#N/A</v>
      </c>
      <c r="J2250" s="3" t="e">
        <v>#N/A</v>
      </c>
      <c r="K2250" s="3" t="e">
        <v>#N/A</v>
      </c>
      <c r="L2250" s="3" t="e">
        <v>#N/A</v>
      </c>
      <c r="M2250" s="232" t="s">
        <v>454</v>
      </c>
      <c r="N2250" s="232" t="s">
        <v>454</v>
      </c>
      <c r="O2250" s="3" t="s">
        <v>2623</v>
      </c>
    </row>
    <row r="2251" spans="1:15">
      <c r="A2251" s="3">
        <v>212</v>
      </c>
      <c r="B2251" s="3">
        <v>1914</v>
      </c>
      <c r="C2251" s="3" t="s">
        <v>81</v>
      </c>
      <c r="D2251" s="3" t="s">
        <v>213</v>
      </c>
      <c r="E2251" s="3" t="s">
        <v>8216</v>
      </c>
      <c r="F2251" s="3" t="s">
        <v>71</v>
      </c>
      <c r="G2251" s="20">
        <v>3</v>
      </c>
      <c r="H2251" s="3">
        <v>807.8</v>
      </c>
      <c r="I2251" s="3">
        <v>798.2</v>
      </c>
      <c r="J2251" s="3">
        <v>788.25</v>
      </c>
      <c r="K2251" s="3">
        <v>768.1</v>
      </c>
      <c r="L2251" s="3">
        <v>738.5</v>
      </c>
      <c r="M2251" s="232" t="s">
        <v>454</v>
      </c>
      <c r="N2251" s="232" t="s">
        <v>454</v>
      </c>
      <c r="O2251" s="3" t="s">
        <v>16758</v>
      </c>
    </row>
    <row r="2252" spans="1:15">
      <c r="A2252" s="3">
        <v>212</v>
      </c>
      <c r="B2252" s="3">
        <v>1923</v>
      </c>
      <c r="C2252" s="3" t="s">
        <v>81</v>
      </c>
      <c r="D2252" s="3" t="s">
        <v>213</v>
      </c>
      <c r="E2252" s="3" t="s">
        <v>8269</v>
      </c>
      <c r="F2252" s="3" t="s">
        <v>71</v>
      </c>
      <c r="G2252" s="20">
        <v>3</v>
      </c>
      <c r="H2252" s="3">
        <v>807.8</v>
      </c>
      <c r="I2252" s="3">
        <v>798.2</v>
      </c>
      <c r="J2252" s="3">
        <v>788.25</v>
      </c>
      <c r="K2252" s="3">
        <v>768.1</v>
      </c>
      <c r="L2252" s="3">
        <v>738.5</v>
      </c>
      <c r="M2252" s="232" t="s">
        <v>454</v>
      </c>
      <c r="N2252" s="232" t="s">
        <v>454</v>
      </c>
      <c r="O2252" s="3" t="s">
        <v>16759</v>
      </c>
    </row>
    <row r="2253" spans="1:15">
      <c r="A2253" s="3">
        <v>212</v>
      </c>
      <c r="B2253" s="3">
        <v>1936</v>
      </c>
      <c r="C2253" s="3" t="s">
        <v>81</v>
      </c>
      <c r="D2253" s="3" t="s">
        <v>213</v>
      </c>
      <c r="E2253" s="3" t="s">
        <v>8190</v>
      </c>
      <c r="F2253" s="3" t="s">
        <v>71</v>
      </c>
      <c r="G2253" s="20">
        <v>3</v>
      </c>
      <c r="H2253" s="3">
        <v>807.8</v>
      </c>
      <c r="I2253" s="3">
        <v>798.2</v>
      </c>
      <c r="J2253" s="3">
        <v>788.25</v>
      </c>
      <c r="K2253" s="3">
        <v>768.1</v>
      </c>
      <c r="L2253" s="3">
        <v>738.5</v>
      </c>
      <c r="M2253" s="232" t="s">
        <v>454</v>
      </c>
      <c r="N2253" s="232" t="s">
        <v>454</v>
      </c>
      <c r="O2253" s="3" t="s">
        <v>16760</v>
      </c>
    </row>
    <row r="2254" spans="1:15">
      <c r="A2254" s="3">
        <v>212</v>
      </c>
      <c r="B2254" s="3">
        <v>1919</v>
      </c>
      <c r="C2254" s="3" t="s">
        <v>81</v>
      </c>
      <c r="D2254" s="3" t="s">
        <v>213</v>
      </c>
      <c r="E2254" s="3" t="s">
        <v>542</v>
      </c>
      <c r="F2254" s="3" t="s">
        <v>71</v>
      </c>
      <c r="G2254" s="20">
        <v>3</v>
      </c>
      <c r="H2254" s="3">
        <v>755.2</v>
      </c>
      <c r="I2254" s="3">
        <v>751.6</v>
      </c>
      <c r="J2254" s="3">
        <v>742.85</v>
      </c>
      <c r="K2254" s="3">
        <v>730.55</v>
      </c>
      <c r="L2254" s="3">
        <v>719.05</v>
      </c>
      <c r="M2254" s="232" t="s">
        <v>454</v>
      </c>
      <c r="N2254" s="232" t="s">
        <v>454</v>
      </c>
      <c r="O2254" s="3" t="s">
        <v>16761</v>
      </c>
    </row>
    <row r="2255" spans="1:15">
      <c r="A2255" s="3">
        <v>212</v>
      </c>
      <c r="B2255" s="3">
        <v>1921</v>
      </c>
      <c r="C2255" s="3" t="s">
        <v>81</v>
      </c>
      <c r="D2255" s="3" t="s">
        <v>213</v>
      </c>
      <c r="E2255" s="3" t="s">
        <v>8696</v>
      </c>
      <c r="F2255" s="3" t="s">
        <v>71</v>
      </c>
      <c r="G2255" s="20">
        <v>3</v>
      </c>
      <c r="H2255" s="3">
        <v>741.85</v>
      </c>
      <c r="I2255" s="3">
        <v>737.8</v>
      </c>
      <c r="J2255" s="3">
        <v>729.5</v>
      </c>
      <c r="K2255" s="3">
        <v>719.05</v>
      </c>
      <c r="L2255" s="3">
        <v>706.15</v>
      </c>
      <c r="M2255" s="232" t="s">
        <v>454</v>
      </c>
      <c r="N2255" s="232" t="s">
        <v>454</v>
      </c>
      <c r="O2255" s="3" t="s">
        <v>16762</v>
      </c>
    </row>
    <row r="2256" spans="1:15">
      <c r="A2256" s="3">
        <v>212</v>
      </c>
      <c r="B2256" s="3">
        <v>1916</v>
      </c>
      <c r="C2256" s="3" t="s">
        <v>81</v>
      </c>
      <c r="D2256" s="3" t="s">
        <v>213</v>
      </c>
      <c r="E2256" s="3" t="s">
        <v>10555</v>
      </c>
      <c r="F2256" s="3" t="s">
        <v>71</v>
      </c>
      <c r="G2256" s="20">
        <v>3</v>
      </c>
      <c r="H2256" s="3">
        <v>732.6</v>
      </c>
      <c r="I2256" s="3">
        <v>728.45</v>
      </c>
      <c r="J2256" s="3">
        <v>722</v>
      </c>
      <c r="K2256" s="3">
        <v>709.1</v>
      </c>
      <c r="L2256" s="3">
        <v>696.7</v>
      </c>
      <c r="M2256" s="232" t="s">
        <v>454</v>
      </c>
      <c r="N2256" s="232" t="s">
        <v>454</v>
      </c>
      <c r="O2256" s="3" t="s">
        <v>16763</v>
      </c>
    </row>
    <row r="2257" spans="1:15">
      <c r="A2257" s="3">
        <v>212</v>
      </c>
      <c r="B2257" s="3">
        <v>1918</v>
      </c>
      <c r="C2257" s="3" t="s">
        <v>81</v>
      </c>
      <c r="D2257" s="3" t="s">
        <v>213</v>
      </c>
      <c r="E2257" s="3" t="s">
        <v>9757</v>
      </c>
      <c r="F2257" s="3" t="s">
        <v>71</v>
      </c>
      <c r="G2257" s="20">
        <v>3</v>
      </c>
      <c r="H2257" s="3">
        <v>725.5</v>
      </c>
      <c r="I2257" s="3">
        <v>722</v>
      </c>
      <c r="J2257" s="3">
        <v>714.25</v>
      </c>
      <c r="K2257" s="3">
        <v>701.95</v>
      </c>
      <c r="L2257" s="3">
        <v>690.05</v>
      </c>
      <c r="M2257" s="232" t="s">
        <v>454</v>
      </c>
      <c r="N2257" s="232" t="s">
        <v>454</v>
      </c>
      <c r="O2257" s="3" t="s">
        <v>16764</v>
      </c>
    </row>
    <row r="2258" spans="1:15">
      <c r="A2258" s="3">
        <v>212</v>
      </c>
      <c r="B2258" s="3">
        <v>1930</v>
      </c>
      <c r="C2258" s="3" t="s">
        <v>81</v>
      </c>
      <c r="D2258" s="3" t="s">
        <v>213</v>
      </c>
      <c r="E2258" s="3" t="s">
        <v>8618</v>
      </c>
      <c r="F2258" s="3" t="s">
        <v>71</v>
      </c>
      <c r="G2258" s="20">
        <v>3</v>
      </c>
      <c r="H2258" s="3">
        <v>721.2</v>
      </c>
      <c r="I2258" s="3">
        <v>716.95</v>
      </c>
      <c r="J2258" s="3">
        <v>710.65</v>
      </c>
      <c r="K2258" s="3">
        <v>697.25</v>
      </c>
      <c r="L2258" s="3">
        <v>686.55</v>
      </c>
      <c r="M2258" s="232" t="s">
        <v>454</v>
      </c>
      <c r="N2258" s="232" t="s">
        <v>454</v>
      </c>
      <c r="O2258" s="3" t="s">
        <v>16765</v>
      </c>
    </row>
    <row r="2259" spans="1:15">
      <c r="A2259" s="3">
        <v>212</v>
      </c>
      <c r="B2259" s="3">
        <v>1924</v>
      </c>
      <c r="C2259" s="3" t="s">
        <v>81</v>
      </c>
      <c r="D2259" s="3" t="s">
        <v>213</v>
      </c>
      <c r="E2259" s="3" t="s">
        <v>8217</v>
      </c>
      <c r="F2259" s="3" t="s">
        <v>71</v>
      </c>
      <c r="G2259" s="20">
        <v>3</v>
      </c>
      <c r="H2259" s="3">
        <v>725.5</v>
      </c>
      <c r="I2259" s="3">
        <v>717.6</v>
      </c>
      <c r="J2259" s="3">
        <v>706.15</v>
      </c>
      <c r="K2259" s="3">
        <v>693.2</v>
      </c>
      <c r="L2259" s="3">
        <v>685.75</v>
      </c>
      <c r="M2259" s="232" t="s">
        <v>454</v>
      </c>
      <c r="N2259" s="232" t="s">
        <v>454</v>
      </c>
      <c r="O2259" s="3" t="s">
        <v>16766</v>
      </c>
    </row>
    <row r="2260" spans="1:15">
      <c r="A2260" s="3">
        <v>212</v>
      </c>
      <c r="B2260" s="3">
        <v>1932</v>
      </c>
      <c r="C2260" s="3" t="s">
        <v>81</v>
      </c>
      <c r="D2260" s="3" t="s">
        <v>213</v>
      </c>
      <c r="E2260" s="3" t="s">
        <v>9396</v>
      </c>
      <c r="F2260" s="3" t="s">
        <v>71</v>
      </c>
      <c r="G2260" s="20">
        <v>3</v>
      </c>
      <c r="H2260" s="3">
        <v>703.55</v>
      </c>
      <c r="I2260" s="3">
        <v>697.25</v>
      </c>
      <c r="J2260" s="3">
        <v>686.5</v>
      </c>
      <c r="K2260" s="3">
        <v>676.95</v>
      </c>
      <c r="L2260" s="3">
        <v>665.9</v>
      </c>
      <c r="M2260" s="232" t="s">
        <v>454</v>
      </c>
      <c r="N2260" s="232" t="s">
        <v>454</v>
      </c>
      <c r="O2260" s="3" t="s">
        <v>16767</v>
      </c>
    </row>
    <row r="2261" spans="1:15">
      <c r="A2261" s="3">
        <v>212</v>
      </c>
      <c r="B2261" s="3">
        <v>1927</v>
      </c>
      <c r="C2261" s="3" t="s">
        <v>81</v>
      </c>
      <c r="D2261" s="3" t="s">
        <v>213</v>
      </c>
      <c r="E2261" s="3" t="s">
        <v>8534</v>
      </c>
      <c r="F2261" s="3" t="s">
        <v>71</v>
      </c>
      <c r="G2261" s="20">
        <v>3</v>
      </c>
      <c r="H2261" s="3">
        <v>703.4</v>
      </c>
      <c r="I2261" s="3">
        <v>697.1</v>
      </c>
      <c r="J2261" s="3">
        <v>686.5</v>
      </c>
      <c r="K2261" s="3">
        <v>676.95</v>
      </c>
      <c r="L2261" s="3">
        <v>665.8</v>
      </c>
      <c r="M2261" s="232" t="s">
        <v>454</v>
      </c>
      <c r="N2261" s="232" t="s">
        <v>454</v>
      </c>
      <c r="O2261" s="3" t="s">
        <v>16768</v>
      </c>
    </row>
    <row r="2262" spans="1:15">
      <c r="A2262" s="3">
        <v>220</v>
      </c>
      <c r="B2262" s="3">
        <v>1913</v>
      </c>
      <c r="C2262" s="3" t="s">
        <v>81</v>
      </c>
      <c r="D2262" s="3" t="s">
        <v>213</v>
      </c>
      <c r="E2262" s="3" t="s">
        <v>85</v>
      </c>
      <c r="F2262" s="3" t="s">
        <v>71</v>
      </c>
      <c r="G2262" s="20">
        <v>3</v>
      </c>
      <c r="H2262" s="3">
        <v>678.85</v>
      </c>
      <c r="I2262" s="3">
        <v>674.8</v>
      </c>
      <c r="J2262" s="3">
        <v>668.4</v>
      </c>
      <c r="K2262" s="3">
        <v>656.875</v>
      </c>
      <c r="L2262" s="3">
        <v>644.25</v>
      </c>
      <c r="M2262" s="232" t="s">
        <v>454</v>
      </c>
      <c r="N2262" s="232" t="s">
        <v>454</v>
      </c>
      <c r="O2262" s="3" t="s">
        <v>16769</v>
      </c>
    </row>
    <row r="2263" spans="1:15">
      <c r="A2263" s="3">
        <v>212</v>
      </c>
      <c r="B2263" s="3">
        <v>1933</v>
      </c>
      <c r="C2263" s="3" t="s">
        <v>81</v>
      </c>
      <c r="D2263" s="3" t="s">
        <v>213</v>
      </c>
      <c r="E2263" s="3" t="s">
        <v>8804</v>
      </c>
      <c r="F2263" s="3" t="s">
        <v>71</v>
      </c>
      <c r="G2263" s="20">
        <v>3</v>
      </c>
      <c r="H2263" s="3">
        <v>692.15</v>
      </c>
      <c r="I2263" s="3">
        <v>686.55</v>
      </c>
      <c r="J2263" s="3">
        <v>676.95</v>
      </c>
      <c r="K2263" s="3">
        <v>662.8</v>
      </c>
      <c r="L2263" s="3">
        <v>652.70000000000005</v>
      </c>
      <c r="M2263" s="232" t="s">
        <v>454</v>
      </c>
      <c r="N2263" s="232" t="s">
        <v>454</v>
      </c>
      <c r="O2263" s="3" t="s">
        <v>16770</v>
      </c>
    </row>
    <row r="2264" spans="1:15">
      <c r="A2264" s="3">
        <v>212</v>
      </c>
      <c r="B2264" s="3">
        <v>1929</v>
      </c>
      <c r="C2264" s="3" t="s">
        <v>81</v>
      </c>
      <c r="D2264" s="3" t="s">
        <v>213</v>
      </c>
      <c r="E2264" s="3" t="s">
        <v>13863</v>
      </c>
      <c r="F2264" s="3" t="s">
        <v>71</v>
      </c>
      <c r="G2264" s="20">
        <v>3</v>
      </c>
      <c r="H2264" s="3">
        <v>683.25</v>
      </c>
      <c r="I2264" s="3">
        <v>677.6</v>
      </c>
      <c r="J2264" s="3">
        <v>665.35</v>
      </c>
      <c r="K2264" s="3">
        <v>652.25</v>
      </c>
      <c r="L2264" s="3">
        <v>644.29999999999995</v>
      </c>
      <c r="M2264" s="232" t="s">
        <v>454</v>
      </c>
      <c r="N2264" s="232" t="s">
        <v>454</v>
      </c>
      <c r="O2264" s="3" t="s">
        <v>16771</v>
      </c>
    </row>
    <row r="2265" spans="1:15">
      <c r="A2265" s="3">
        <v>212</v>
      </c>
      <c r="B2265" s="3">
        <v>1934</v>
      </c>
      <c r="C2265" s="3" t="s">
        <v>81</v>
      </c>
      <c r="D2265" s="3" t="s">
        <v>213</v>
      </c>
      <c r="E2265" s="3" t="s">
        <v>13873</v>
      </c>
      <c r="F2265" s="3" t="s">
        <v>71</v>
      </c>
      <c r="G2265" s="20">
        <v>3</v>
      </c>
      <c r="H2265" s="3">
        <v>682.85</v>
      </c>
      <c r="I2265" s="3">
        <v>676.95</v>
      </c>
      <c r="J2265" s="3">
        <v>663.35</v>
      </c>
      <c r="K2265" s="3">
        <v>651.04999999999995</v>
      </c>
      <c r="L2265" s="3">
        <v>643.25</v>
      </c>
      <c r="M2265" s="232" t="s">
        <v>454</v>
      </c>
      <c r="N2265" s="232" t="s">
        <v>454</v>
      </c>
      <c r="O2265" s="3" t="s">
        <v>16772</v>
      </c>
    </row>
    <row r="2266" spans="1:15">
      <c r="A2266" s="3">
        <v>212</v>
      </c>
      <c r="B2266" s="3">
        <v>1938</v>
      </c>
      <c r="C2266" s="3" t="s">
        <v>81</v>
      </c>
      <c r="D2266" s="3" t="s">
        <v>213</v>
      </c>
      <c r="E2266" s="3" t="s">
        <v>14069</v>
      </c>
      <c r="F2266" s="3" t="s">
        <v>71</v>
      </c>
      <c r="G2266" s="20">
        <v>3</v>
      </c>
      <c r="H2266" s="3" t="e">
        <v>#N/A</v>
      </c>
      <c r="I2266" s="3" t="e">
        <v>#N/A</v>
      </c>
      <c r="J2266" s="3" t="e">
        <v>#N/A</v>
      </c>
      <c r="K2266" s="3" t="e">
        <v>#N/A</v>
      </c>
      <c r="L2266" s="3" t="e">
        <v>#N/A</v>
      </c>
      <c r="M2266" s="232" t="s">
        <v>454</v>
      </c>
      <c r="N2266" s="232" t="s">
        <v>454</v>
      </c>
      <c r="O2266" s="3" t="s">
        <v>2623</v>
      </c>
    </row>
    <row r="2267" spans="1:15">
      <c r="A2267" s="3">
        <v>115</v>
      </c>
      <c r="B2267" s="3">
        <v>2099</v>
      </c>
      <c r="C2267" s="3" t="s">
        <v>81</v>
      </c>
      <c r="D2267" s="3" t="s">
        <v>238</v>
      </c>
      <c r="E2267" s="3" t="s">
        <v>240</v>
      </c>
      <c r="F2267" s="3" t="s">
        <v>70</v>
      </c>
      <c r="G2267" s="20">
        <v>1</v>
      </c>
      <c r="H2267" s="3">
        <v>981.20299999999997</v>
      </c>
      <c r="I2267" s="3">
        <v>979.07100000000003</v>
      </c>
      <c r="J2267" s="3">
        <v>978.30399999999997</v>
      </c>
      <c r="K2267" s="3">
        <v>977.01400000000001</v>
      </c>
      <c r="L2267" s="3">
        <v>974.90700000000004</v>
      </c>
      <c r="M2267" s="232" t="s">
        <v>532</v>
      </c>
      <c r="N2267" s="232" t="s">
        <v>533</v>
      </c>
      <c r="O2267" s="3" t="s">
        <v>16773</v>
      </c>
    </row>
    <row r="2268" spans="1:15">
      <c r="A2268" s="3">
        <v>169</v>
      </c>
      <c r="B2268" s="3">
        <v>2105</v>
      </c>
      <c r="C2268" s="3" t="s">
        <v>81</v>
      </c>
      <c r="D2268" s="3" t="s">
        <v>250</v>
      </c>
      <c r="E2268" s="3" t="s">
        <v>240</v>
      </c>
      <c r="F2268" s="3" t="s">
        <v>70</v>
      </c>
      <c r="G2268" s="20">
        <v>1</v>
      </c>
      <c r="H2268" s="3">
        <v>1004.59</v>
      </c>
      <c r="I2268" s="3">
        <v>1004.336</v>
      </c>
      <c r="J2268" s="3">
        <v>1004.0410000000001</v>
      </c>
      <c r="K2268" s="3">
        <v>1003.813</v>
      </c>
      <c r="L2268" s="3">
        <v>1003.61</v>
      </c>
      <c r="M2268" s="232" t="s">
        <v>454</v>
      </c>
      <c r="N2268" s="232" t="s">
        <v>454</v>
      </c>
      <c r="O2268" s="3" t="s">
        <v>16774</v>
      </c>
    </row>
    <row r="2269" spans="1:15">
      <c r="A2269" s="3">
        <v>145</v>
      </c>
      <c r="B2269" s="3">
        <v>2138</v>
      </c>
      <c r="C2269" s="3" t="s">
        <v>81</v>
      </c>
      <c r="D2269" s="3" t="s">
        <v>219</v>
      </c>
      <c r="E2269" s="3" t="s">
        <v>240</v>
      </c>
      <c r="F2269" s="3" t="s">
        <v>70</v>
      </c>
      <c r="G2269" s="20">
        <v>1</v>
      </c>
      <c r="H2269" s="3">
        <v>417.30599999999998</v>
      </c>
      <c r="I2269" s="3">
        <v>416.62599999999998</v>
      </c>
      <c r="J2269" s="3">
        <v>416.298</v>
      </c>
      <c r="K2269" s="3">
        <v>416.13799999999998</v>
      </c>
      <c r="L2269" s="3">
        <v>415.87799999999999</v>
      </c>
      <c r="M2269" s="232" t="s">
        <v>454</v>
      </c>
      <c r="N2269" s="232" t="s">
        <v>454</v>
      </c>
      <c r="O2269" s="3" t="s">
        <v>16775</v>
      </c>
    </row>
    <row r="2270" spans="1:15">
      <c r="A2270" s="3">
        <v>148</v>
      </c>
      <c r="B2270" s="3">
        <v>2130</v>
      </c>
      <c r="C2270" s="3" t="s">
        <v>81</v>
      </c>
      <c r="D2270" s="3" t="s">
        <v>251</v>
      </c>
      <c r="E2270" s="3" t="s">
        <v>240</v>
      </c>
      <c r="F2270" s="3" t="s">
        <v>70</v>
      </c>
      <c r="G2270" s="20">
        <v>1</v>
      </c>
      <c r="H2270" s="3">
        <v>962.56600000000003</v>
      </c>
      <c r="I2270" s="3">
        <v>959.96900000000005</v>
      </c>
      <c r="J2270" s="3">
        <v>957.83100000000002</v>
      </c>
      <c r="K2270" s="3">
        <v>951.64</v>
      </c>
      <c r="L2270" s="3">
        <v>949.11099999999999</v>
      </c>
      <c r="M2270" s="232" t="s">
        <v>532</v>
      </c>
      <c r="N2270" s="232" t="s">
        <v>454</v>
      </c>
      <c r="O2270" s="3" t="s">
        <v>16776</v>
      </c>
    </row>
    <row r="2271" spans="1:15">
      <c r="A2271" s="3">
        <v>146</v>
      </c>
      <c r="B2271" s="3">
        <v>2141</v>
      </c>
      <c r="C2271" s="3" t="s">
        <v>81</v>
      </c>
      <c r="D2271" s="3" t="s">
        <v>252</v>
      </c>
      <c r="E2271" s="3" t="s">
        <v>240</v>
      </c>
      <c r="F2271" s="3" t="s">
        <v>70</v>
      </c>
      <c r="G2271" s="20">
        <v>1</v>
      </c>
      <c r="H2271" s="3">
        <v>674.11</v>
      </c>
      <c r="I2271" s="3">
        <v>673.45</v>
      </c>
      <c r="J2271" s="3">
        <v>671.94</v>
      </c>
      <c r="K2271" s="3">
        <v>671.43</v>
      </c>
      <c r="L2271" s="3">
        <v>671.12</v>
      </c>
      <c r="M2271" s="232" t="s">
        <v>530</v>
      </c>
      <c r="N2271" s="232" t="s">
        <v>530</v>
      </c>
      <c r="O2271" s="3" t="s">
        <v>16777</v>
      </c>
    </row>
    <row r="2272" spans="1:15">
      <c r="A2272" s="3">
        <v>146</v>
      </c>
      <c r="B2272" s="3">
        <v>2142</v>
      </c>
      <c r="C2272" s="3" t="s">
        <v>81</v>
      </c>
      <c r="D2272" s="3" t="s">
        <v>252</v>
      </c>
      <c r="E2272" s="3" t="s">
        <v>427</v>
      </c>
      <c r="F2272" s="3" t="s">
        <v>70</v>
      </c>
      <c r="G2272" s="20">
        <v>1</v>
      </c>
      <c r="H2272" s="3">
        <v>670.36</v>
      </c>
      <c r="I2272" s="3">
        <v>669.44</v>
      </c>
      <c r="J2272" s="3">
        <v>668.48</v>
      </c>
      <c r="K2272" s="3">
        <v>666.24</v>
      </c>
      <c r="L2272" s="3">
        <v>661.16</v>
      </c>
      <c r="M2272" s="232" t="s">
        <v>530</v>
      </c>
      <c r="N2272" s="232" t="s">
        <v>530</v>
      </c>
      <c r="O2272" s="3" t="s">
        <v>16778</v>
      </c>
    </row>
    <row r="2273" spans="1:15">
      <c r="A2273" s="3">
        <v>147</v>
      </c>
      <c r="B2273" s="3">
        <v>2149</v>
      </c>
      <c r="C2273" s="3" t="s">
        <v>81</v>
      </c>
      <c r="D2273" s="3" t="s">
        <v>249</v>
      </c>
      <c r="E2273" s="3" t="s">
        <v>240</v>
      </c>
      <c r="F2273" s="3" t="s">
        <v>70</v>
      </c>
      <c r="G2273" s="20">
        <v>1</v>
      </c>
      <c r="H2273" s="3">
        <v>1004.814</v>
      </c>
      <c r="I2273" s="3">
        <v>1004.96</v>
      </c>
      <c r="J2273" s="3">
        <v>1003.71</v>
      </c>
      <c r="K2273" s="3">
        <v>1002.692</v>
      </c>
      <c r="L2273" s="3">
        <v>1001.17</v>
      </c>
      <c r="M2273" s="232" t="s">
        <v>454</v>
      </c>
      <c r="N2273" s="232" t="s">
        <v>454</v>
      </c>
      <c r="O2273" s="3" t="s">
        <v>16779</v>
      </c>
    </row>
    <row r="2274" spans="1:15">
      <c r="A2274" s="3">
        <v>155</v>
      </c>
      <c r="B2274" s="3">
        <v>2131</v>
      </c>
      <c r="C2274" s="3" t="s">
        <v>81</v>
      </c>
      <c r="D2274" s="3" t="s">
        <v>7970</v>
      </c>
      <c r="E2274" s="3" t="s">
        <v>240</v>
      </c>
      <c r="F2274" s="3" t="s">
        <v>70</v>
      </c>
      <c r="G2274" s="20">
        <v>1</v>
      </c>
      <c r="H2274" s="3">
        <v>990.82299999999998</v>
      </c>
      <c r="I2274" s="3">
        <v>986.74400000000003</v>
      </c>
      <c r="J2274" s="3">
        <v>985.21699999999998</v>
      </c>
      <c r="K2274" s="3">
        <v>983.93799999999999</v>
      </c>
      <c r="L2274" s="3">
        <v>980.846</v>
      </c>
      <c r="M2274" s="232" t="s">
        <v>454</v>
      </c>
      <c r="N2274" s="232" t="s">
        <v>454</v>
      </c>
      <c r="O2274" s="3" t="s">
        <v>16780</v>
      </c>
    </row>
    <row r="2275" spans="1:15">
      <c r="A2275" s="3">
        <v>150</v>
      </c>
      <c r="B2275" s="3">
        <v>2148</v>
      </c>
      <c r="C2275" s="3" t="s">
        <v>81</v>
      </c>
      <c r="D2275" s="3" t="s">
        <v>222</v>
      </c>
      <c r="E2275" s="3" t="s">
        <v>240</v>
      </c>
      <c r="F2275" s="3" t="s">
        <v>70</v>
      </c>
      <c r="G2275" s="20">
        <v>1</v>
      </c>
      <c r="H2275" s="3">
        <v>521.69799999999998</v>
      </c>
      <c r="I2275" s="3">
        <v>520.88699999999994</v>
      </c>
      <c r="J2275" s="3">
        <v>519.95600000000002</v>
      </c>
      <c r="K2275" s="3">
        <v>518.69399999999996</v>
      </c>
      <c r="L2275" s="3">
        <v>515.44200000000001</v>
      </c>
      <c r="M2275" s="232" t="s">
        <v>530</v>
      </c>
      <c r="N2275" s="232" t="s">
        <v>532</v>
      </c>
      <c r="O2275" s="3" t="s">
        <v>16781</v>
      </c>
    </row>
    <row r="2276" spans="1:15">
      <c r="A2276" s="3">
        <v>141</v>
      </c>
      <c r="B2276" s="3">
        <v>2158</v>
      </c>
      <c r="C2276" s="3" t="s">
        <v>81</v>
      </c>
      <c r="D2276" s="3" t="s">
        <v>8163</v>
      </c>
      <c r="E2276" s="3" t="s">
        <v>253</v>
      </c>
      <c r="F2276" s="3" t="s">
        <v>70</v>
      </c>
      <c r="G2276" s="20">
        <v>1</v>
      </c>
      <c r="H2276" s="3">
        <v>981.48500000000001</v>
      </c>
      <c r="I2276" s="3">
        <v>979.92499999999995</v>
      </c>
      <c r="J2276" s="3">
        <v>978.99</v>
      </c>
      <c r="K2276" s="3">
        <v>977.83500000000004</v>
      </c>
      <c r="L2276" s="3">
        <v>971.6</v>
      </c>
      <c r="M2276" s="232" t="s">
        <v>454</v>
      </c>
      <c r="N2276" s="232" t="s">
        <v>454</v>
      </c>
      <c r="O2276" s="3" t="s">
        <v>16782</v>
      </c>
    </row>
    <row r="2277" spans="1:15">
      <c r="A2277" s="3">
        <v>141</v>
      </c>
      <c r="B2277" s="3">
        <v>2159</v>
      </c>
      <c r="C2277" s="3" t="s">
        <v>81</v>
      </c>
      <c r="D2277" s="3" t="s">
        <v>8163</v>
      </c>
      <c r="E2277" s="3" t="s">
        <v>429</v>
      </c>
      <c r="F2277" s="3" t="s">
        <v>70</v>
      </c>
      <c r="G2277" s="20">
        <v>1</v>
      </c>
      <c r="H2277" s="3">
        <v>936.08500000000004</v>
      </c>
      <c r="I2277" s="3">
        <v>935.53499999999997</v>
      </c>
      <c r="J2277" s="3">
        <v>934.96</v>
      </c>
      <c r="K2277" s="3">
        <v>926.67499999999995</v>
      </c>
      <c r="L2277" s="3">
        <v>914.55499999999995</v>
      </c>
      <c r="M2277" s="232" t="s">
        <v>454</v>
      </c>
      <c r="N2277" s="232" t="s">
        <v>454</v>
      </c>
      <c r="O2277" s="3" t="s">
        <v>16783</v>
      </c>
    </row>
    <row r="2278" spans="1:15">
      <c r="A2278" s="3">
        <v>145</v>
      </c>
      <c r="B2278" s="3">
        <v>2209</v>
      </c>
      <c r="C2278" s="3" t="s">
        <v>81</v>
      </c>
      <c r="D2278" s="3" t="s">
        <v>219</v>
      </c>
      <c r="E2278" s="3" t="s">
        <v>198</v>
      </c>
      <c r="F2278" s="3" t="s">
        <v>70</v>
      </c>
      <c r="G2278" s="20">
        <v>1</v>
      </c>
      <c r="H2278" s="3">
        <v>413.57</v>
      </c>
      <c r="I2278" s="3">
        <v>412.726</v>
      </c>
      <c r="J2278" s="3">
        <v>411.90199999999999</v>
      </c>
      <c r="K2278" s="3">
        <v>410.42599999999999</v>
      </c>
      <c r="L2278" s="3">
        <v>409.51</v>
      </c>
      <c r="M2278" s="232" t="s">
        <v>454</v>
      </c>
      <c r="N2278" s="232" t="s">
        <v>454</v>
      </c>
      <c r="O2278" s="3" t="s">
        <v>16784</v>
      </c>
    </row>
    <row r="2279" spans="1:15">
      <c r="A2279" s="3">
        <v>168</v>
      </c>
      <c r="B2279" s="3">
        <v>2213</v>
      </c>
      <c r="C2279" s="3" t="s">
        <v>81</v>
      </c>
      <c r="D2279" s="3" t="s">
        <v>218</v>
      </c>
      <c r="E2279" s="3" t="s">
        <v>198</v>
      </c>
      <c r="F2279" s="3" t="s">
        <v>70</v>
      </c>
      <c r="G2279" s="20">
        <v>1</v>
      </c>
      <c r="H2279" s="3">
        <v>293.89999999999998</v>
      </c>
      <c r="I2279" s="3">
        <v>293.52999999999997</v>
      </c>
      <c r="J2279" s="3">
        <v>292.79000000000002</v>
      </c>
      <c r="K2279" s="3">
        <v>291.77</v>
      </c>
      <c r="L2279" s="3">
        <v>289.35000000000002</v>
      </c>
      <c r="M2279" s="232" t="s">
        <v>454</v>
      </c>
      <c r="N2279" s="232" t="s">
        <v>454</v>
      </c>
      <c r="O2279" s="3" t="s">
        <v>16785</v>
      </c>
    </row>
    <row r="2280" spans="1:15">
      <c r="A2280" s="3">
        <v>168</v>
      </c>
      <c r="B2280" s="3">
        <v>2214</v>
      </c>
      <c r="C2280" s="3" t="s">
        <v>81</v>
      </c>
      <c r="D2280" s="3" t="s">
        <v>218</v>
      </c>
      <c r="E2280" s="3" t="s">
        <v>432</v>
      </c>
      <c r="F2280" s="3" t="s">
        <v>70</v>
      </c>
      <c r="G2280" s="20">
        <v>1</v>
      </c>
      <c r="H2280" s="3">
        <v>292.61</v>
      </c>
      <c r="I2280" s="3">
        <v>292.49</v>
      </c>
      <c r="J2280" s="3">
        <v>291.47000000000003</v>
      </c>
      <c r="K2280" s="3">
        <v>288.77999999999997</v>
      </c>
      <c r="L2280" s="3">
        <v>284.74</v>
      </c>
      <c r="M2280" s="232" t="s">
        <v>454</v>
      </c>
      <c r="N2280" s="232" t="s">
        <v>454</v>
      </c>
      <c r="O2280" s="3" t="s">
        <v>16786</v>
      </c>
    </row>
    <row r="2281" spans="1:15">
      <c r="A2281" s="3">
        <v>217</v>
      </c>
      <c r="B2281" s="3">
        <v>2210</v>
      </c>
      <c r="C2281" s="3" t="s">
        <v>81</v>
      </c>
      <c r="D2281" s="3" t="s">
        <v>213</v>
      </c>
      <c r="E2281" s="3" t="s">
        <v>198</v>
      </c>
      <c r="F2281" s="3" t="s">
        <v>70</v>
      </c>
      <c r="G2281" s="20">
        <v>1</v>
      </c>
      <c r="H2281" s="3">
        <v>969.48</v>
      </c>
      <c r="I2281" s="3">
        <v>967.68</v>
      </c>
      <c r="J2281" s="3">
        <v>966.5</v>
      </c>
      <c r="K2281" s="3">
        <v>964.59</v>
      </c>
      <c r="L2281" s="3">
        <v>962.07</v>
      </c>
      <c r="M2281" s="232" t="s">
        <v>454</v>
      </c>
      <c r="N2281" s="232" t="s">
        <v>454</v>
      </c>
      <c r="O2281" s="3" t="s">
        <v>16787</v>
      </c>
    </row>
    <row r="2282" spans="1:15">
      <c r="A2282" s="3">
        <v>156</v>
      </c>
      <c r="B2282" s="3">
        <v>2222</v>
      </c>
      <c r="C2282" s="3" t="s">
        <v>81</v>
      </c>
      <c r="D2282" s="3" t="s">
        <v>7970</v>
      </c>
      <c r="E2282" s="3" t="s">
        <v>8252</v>
      </c>
      <c r="F2282" s="3" t="s">
        <v>70</v>
      </c>
      <c r="G2282" s="20">
        <v>1</v>
      </c>
      <c r="H2282" s="3">
        <v>982.55</v>
      </c>
      <c r="I2282" s="3">
        <v>981.05</v>
      </c>
      <c r="J2282" s="3">
        <v>979.78</v>
      </c>
      <c r="K2282" s="3">
        <v>975.33</v>
      </c>
      <c r="L2282" s="3">
        <v>966.11</v>
      </c>
      <c r="M2282" s="232" t="s">
        <v>454</v>
      </c>
      <c r="N2282" s="232" t="s">
        <v>454</v>
      </c>
      <c r="O2282" s="3" t="s">
        <v>16788</v>
      </c>
    </row>
    <row r="2283" spans="1:15">
      <c r="A2283" s="3">
        <v>157</v>
      </c>
      <c r="B2283" s="3">
        <v>2223</v>
      </c>
      <c r="C2283" s="3" t="s">
        <v>81</v>
      </c>
      <c r="D2283" s="3" t="s">
        <v>7970</v>
      </c>
      <c r="E2283" s="3" t="s">
        <v>7971</v>
      </c>
      <c r="F2283" s="3" t="s">
        <v>71</v>
      </c>
      <c r="G2283" s="20">
        <v>1</v>
      </c>
      <c r="H2283" s="3">
        <v>991.28</v>
      </c>
      <c r="I2283" s="3">
        <v>989.99</v>
      </c>
      <c r="J2283" s="3">
        <v>989.14</v>
      </c>
      <c r="K2283" s="3">
        <v>987.07</v>
      </c>
      <c r="L2283" s="3">
        <v>973.88</v>
      </c>
      <c r="M2283" s="232" t="s">
        <v>454</v>
      </c>
      <c r="N2283" s="232" t="s">
        <v>454</v>
      </c>
      <c r="O2283" s="3" t="s">
        <v>16789</v>
      </c>
    </row>
    <row r="2284" spans="1:15">
      <c r="A2284" s="3">
        <v>165</v>
      </c>
      <c r="B2284" s="3">
        <v>2228</v>
      </c>
      <c r="C2284" s="3" t="s">
        <v>81</v>
      </c>
      <c r="D2284" s="3" t="s">
        <v>204</v>
      </c>
      <c r="E2284" s="3" t="s">
        <v>8433</v>
      </c>
      <c r="F2284" s="3" t="s">
        <v>70</v>
      </c>
      <c r="G2284" s="20">
        <v>1</v>
      </c>
      <c r="H2284" s="3">
        <v>968.94</v>
      </c>
      <c r="I2284" s="3">
        <v>966.74</v>
      </c>
      <c r="J2284" s="3">
        <v>964.16</v>
      </c>
      <c r="K2284" s="3">
        <v>959.12</v>
      </c>
      <c r="L2284" s="3">
        <v>949.38</v>
      </c>
      <c r="M2284" s="232" t="s">
        <v>454</v>
      </c>
      <c r="N2284" s="232" t="s">
        <v>454</v>
      </c>
      <c r="O2284" s="3" t="s">
        <v>16790</v>
      </c>
    </row>
    <row r="2285" spans="1:15">
      <c r="A2285" s="3">
        <v>166</v>
      </c>
      <c r="B2285" s="3">
        <v>2229</v>
      </c>
      <c r="C2285" s="3" t="s">
        <v>81</v>
      </c>
      <c r="D2285" s="3" t="s">
        <v>204</v>
      </c>
      <c r="E2285" s="3" t="s">
        <v>8380</v>
      </c>
      <c r="F2285" s="3" t="s">
        <v>71</v>
      </c>
      <c r="G2285" s="20">
        <v>1</v>
      </c>
      <c r="H2285" s="3">
        <v>968.66</v>
      </c>
      <c r="I2285" s="3">
        <v>966.66</v>
      </c>
      <c r="J2285" s="3">
        <v>963.1</v>
      </c>
      <c r="K2285" s="3">
        <v>960.26</v>
      </c>
      <c r="L2285" s="3">
        <v>955.24</v>
      </c>
      <c r="M2285" s="232" t="s">
        <v>454</v>
      </c>
      <c r="N2285" s="232" t="s">
        <v>454</v>
      </c>
      <c r="O2285" s="3" t="s">
        <v>16791</v>
      </c>
    </row>
    <row r="2286" spans="1:15">
      <c r="A2286" s="3">
        <v>217</v>
      </c>
      <c r="B2286" s="3">
        <v>2241</v>
      </c>
      <c r="C2286" s="3" t="s">
        <v>81</v>
      </c>
      <c r="D2286" s="3" t="s">
        <v>213</v>
      </c>
      <c r="E2286" s="3" t="s">
        <v>210</v>
      </c>
      <c r="F2286" s="3" t="s">
        <v>70</v>
      </c>
      <c r="G2286" s="20">
        <v>1</v>
      </c>
      <c r="H2286" s="3">
        <v>970.83</v>
      </c>
      <c r="I2286" s="3">
        <v>967.72</v>
      </c>
      <c r="J2286" s="3">
        <v>965.81</v>
      </c>
      <c r="K2286" s="3">
        <v>962.81</v>
      </c>
      <c r="L2286" s="3">
        <v>962.07</v>
      </c>
      <c r="M2286" s="232" t="s">
        <v>454</v>
      </c>
      <c r="N2286" s="232" t="s">
        <v>454</v>
      </c>
      <c r="O2286" s="3" t="s">
        <v>19423</v>
      </c>
    </row>
  </sheetData>
  <sheetProtection algorithmName="SHA-512" hashValue="jy7m+V3YCWDsI/4Mrweb0qmmo8IsvlQL2EWDG081IO8PbK8CgZxtzxAga2NEZ/6UaRrBrXy0UGICRpq8eUmpnA==" saltValue="glyH0Ux97SdNs76JhsR4dw==" spinCount="100000" sheet="1" objects="1" scenarios="1"/>
  <phoneticPr fontId="3" type="noConversion"/>
  <conditionalFormatting sqref="H11:L3000">
    <cfRule type="containsErrors" dxfId="13" priority="48">
      <formula>ISERROR(H11)</formula>
    </cfRule>
  </conditionalFormatting>
  <conditionalFormatting sqref="Q11:Q3000">
    <cfRule type="expression" dxfId="12" priority="1">
      <formula>Q11=1</formula>
    </cfRule>
  </conditionalFormatting>
  <conditionalFormatting sqref="T11:T1936">
    <cfRule type="expression" priority="38" stopIfTrue="1">
      <formula>#REF!=""</formula>
    </cfRule>
    <cfRule type="expression" dxfId="11" priority="39">
      <formula>NOT($T11=#REF!)</formula>
    </cfRule>
  </conditionalFormatting>
  <conditionalFormatting sqref="U11:AG798 AG799:AG989 U799:AF1936">
    <cfRule type="expression" priority="40" stopIfTrue="1">
      <formula>#REF!=""</formula>
    </cfRule>
    <cfRule type="expression" dxfId="10" priority="41">
      <formula>NOT($U11=#REF!)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4BA0-1497-4DF6-B291-5493C9112BFE}">
  <dimension ref="A1:GH430"/>
  <sheetViews>
    <sheetView zoomScale="85" zoomScaleNormal="85" workbookViewId="0">
      <pane xSplit="5" ySplit="15" topLeftCell="F148" activePane="bottomRight" state="frozen"/>
      <selection activeCell="I1" sqref="I1:Q3"/>
      <selection pane="topRight" activeCell="I1" sqref="I1:Q3"/>
      <selection pane="bottomLeft" activeCell="I1" sqref="I1:Q3"/>
      <selection pane="bottomRight" activeCell="C2" sqref="C2"/>
    </sheetView>
  </sheetViews>
  <sheetFormatPr baseColWidth="10" defaultColWidth="9" defaultRowHeight="17"/>
  <cols>
    <col min="1" max="2" width="4.6640625" style="556" customWidth="1"/>
    <col min="3" max="4" width="4.83203125" style="3" customWidth="1"/>
    <col min="5" max="5" width="16.1640625" style="3" customWidth="1"/>
    <col min="6" max="6" width="10.83203125" style="3" customWidth="1"/>
    <col min="7" max="13" width="9" style="3"/>
    <col min="14" max="16" width="8" style="3" customWidth="1"/>
    <col min="17" max="19" width="9" style="3"/>
    <col min="20" max="20" width="4.83203125" style="3" customWidth="1"/>
    <col min="21" max="24" width="5" style="3" customWidth="1"/>
    <col min="25" max="29" width="6" style="3" customWidth="1"/>
    <col min="30" max="30" width="5.83203125" style="3" customWidth="1"/>
    <col min="31" max="31" width="8.1640625" style="3" customWidth="1"/>
    <col min="32" max="36" width="5.83203125" style="3" customWidth="1"/>
    <col min="37" max="39" width="4.1640625" style="3" customWidth="1"/>
    <col min="40" max="41" width="5.83203125" style="3" customWidth="1"/>
    <col min="42" max="65" width="6.1640625" style="3" customWidth="1"/>
    <col min="66" max="66" width="6.1640625" style="212" customWidth="1"/>
    <col min="67" max="67" width="9" style="3"/>
    <col min="68" max="75" width="7.1640625" style="3" customWidth="1"/>
    <col min="76" max="76" width="7.1640625" style="212" customWidth="1"/>
    <col min="77" max="84" width="7.1640625" style="3" customWidth="1"/>
    <col min="85" max="85" width="7.1640625" style="225" customWidth="1"/>
    <col min="86" max="86" width="7.1640625" style="206" customWidth="1"/>
    <col min="87" max="87" width="7.1640625" style="56" customWidth="1"/>
    <col min="88" max="89" width="7.1640625" style="3" customWidth="1"/>
    <col min="90" max="90" width="10.6640625" style="3" customWidth="1"/>
    <col min="91" max="95" width="7.1640625" style="3" customWidth="1"/>
    <col min="96" max="96" width="7.1640625" style="56" customWidth="1"/>
    <col min="97" max="104" width="7.1640625" style="3" customWidth="1"/>
    <col min="105" max="105" width="7.1640625" style="56" customWidth="1"/>
    <col min="106" max="117" width="7.1640625" style="3" customWidth="1"/>
    <col min="118" max="119" width="7.33203125" style="3" customWidth="1"/>
    <col min="120" max="120" width="6.5" style="56" customWidth="1"/>
    <col min="121" max="121" width="7.1640625" style="3" customWidth="1"/>
    <col min="122" max="124" width="6.5" style="3" customWidth="1"/>
    <col min="125" max="128" width="9" style="3"/>
    <col min="129" max="129" width="9" style="56"/>
    <col min="130" max="130" width="3.83203125" style="3" customWidth="1"/>
    <col min="131" max="132" width="9.1640625" style="3" customWidth="1"/>
    <col min="133" max="133" width="9.83203125" style="3" customWidth="1"/>
    <col min="134" max="156" width="9" style="3"/>
    <col min="157" max="157" width="10.1640625" style="3" customWidth="1"/>
    <col min="158" max="164" width="9" style="3"/>
    <col min="165" max="175" width="3.1640625" style="3" customWidth="1"/>
    <col min="176" max="178" width="6.33203125" style="3" customWidth="1"/>
    <col min="179" max="16384" width="9" style="3"/>
  </cols>
  <sheetData>
    <row r="1" spans="1:190" ht="18" thickBot="1">
      <c r="BN1" s="3"/>
      <c r="BX1" s="3"/>
      <c r="CG1" s="3"/>
      <c r="CH1" s="3"/>
      <c r="CI1" s="3"/>
      <c r="CR1" s="3"/>
      <c r="DA1" s="3"/>
      <c r="DP1" s="3"/>
      <c r="FH1" s="618"/>
    </row>
    <row r="2" spans="1:190" ht="18" thickBot="1">
      <c r="F2" s="19"/>
      <c r="G2" s="3" t="str">
        <f>' 본인점수 입력 '!AE3</f>
        <v>(1~2)</v>
      </c>
      <c r="H2" s="3" t="str">
        <f>' 본인점수 입력 '!AF3</f>
        <v>(3~5)</v>
      </c>
      <c r="I2" s="3" t="str">
        <f>' 본인점수 입력 '!AG3</f>
        <v>(6~13)</v>
      </c>
      <c r="J2" s="3">
        <f>' 본인점수 입력 '!AH3</f>
        <v>0</v>
      </c>
      <c r="K2" s="3" t="str">
        <f>' 본인점수 입력 '!AI3</f>
        <v>(10~13)</v>
      </c>
      <c r="L2" s="3" t="str">
        <f>' 본인점수 입력 '!AJ3</f>
        <v>(14~22)</v>
      </c>
      <c r="M2" s="3">
        <f>' 본인점수 입력 '!AK3</f>
        <v>0</v>
      </c>
      <c r="N2" s="3">
        <f>' 본인점수 입력 '!AL3</f>
        <v>23</v>
      </c>
      <c r="O2" s="3">
        <f>' 본인점수 입력 '!AM3</f>
        <v>24</v>
      </c>
      <c r="P2" s="3">
        <f>' 본인점수 입력 '!AN3</f>
        <v>25</v>
      </c>
      <c r="AD2" s="57"/>
      <c r="AU2" s="578" t="str">
        <f>K13</f>
        <v>미응시</v>
      </c>
      <c r="BN2" s="3" t="str">
        <f>' 본인점수 입력 '!B6</f>
        <v>국어</v>
      </c>
      <c r="BP2" s="3" t="str">
        <f>' 본인점수 입력 '!D6</f>
        <v>수학</v>
      </c>
      <c r="BS2" s="3" t="str">
        <f>' 본인점수 입력 '!G6</f>
        <v>과탐</v>
      </c>
      <c r="BX2" s="3"/>
      <c r="CA2" s="3" t="str">
        <f>' 본인점수 입력 '!O6</f>
        <v>사탐</v>
      </c>
      <c r="CG2" s="3"/>
      <c r="CH2" s="3"/>
      <c r="CI2" s="3"/>
      <c r="CJ2" s="3" t="str">
        <f>' 본인점수 입력 '!B13</f>
        <v>영어</v>
      </c>
      <c r="CK2" s="3" t="str">
        <f>' 본인점수 입력 '!C13</f>
        <v>한국사</v>
      </c>
      <c r="CL2" s="3" t="str">
        <f>' 본인점수 입력 '!D13</f>
        <v>제2외국어</v>
      </c>
      <c r="CR2" s="3"/>
      <c r="DA2" s="3"/>
      <c r="DP2" s="3"/>
      <c r="EL2" s="3" t="str">
        <f>CJ2</f>
        <v>영어</v>
      </c>
      <c r="EM2" s="3" t="str">
        <f>CK2</f>
        <v>한국사</v>
      </c>
      <c r="EN2" s="3" t="str">
        <f>CL2</f>
        <v>제2외국어</v>
      </c>
      <c r="EP2" s="3" t="s">
        <v>54</v>
      </c>
      <c r="FH2" s="618"/>
    </row>
    <row r="3" spans="1:190">
      <c r="G3" s="3" t="str">
        <f>' 본인점수 입력 '!AE4</f>
        <v>적용점수</v>
      </c>
      <c r="H3" s="3">
        <f>' 본인점수 입력 '!AF4</f>
        <v>0</v>
      </c>
      <c r="I3" s="3">
        <f>' 본인점수 입력 '!AG4</f>
        <v>0</v>
      </c>
      <c r="J3" s="3">
        <f>' 본인점수 입력 '!AH4</f>
        <v>0</v>
      </c>
      <c r="K3" s="3">
        <f>' 본인점수 입력 '!AI4</f>
        <v>0</v>
      </c>
      <c r="L3" s="3">
        <f>' 본인점수 입력 '!AJ4</f>
        <v>0</v>
      </c>
      <c r="M3" s="3">
        <f>' 본인점수 입력 '!AK4</f>
        <v>0</v>
      </c>
      <c r="N3" s="3">
        <f>' 본인점수 입력 '!AL4</f>
        <v>0</v>
      </c>
      <c r="O3" s="3">
        <f>' 본인점수 입력 '!AM4</f>
        <v>0</v>
      </c>
      <c r="P3" s="3">
        <f>' 본인점수 입력 '!AN4</f>
        <v>0</v>
      </c>
      <c r="AQ3" s="3" t="str">
        <f t="shared" ref="AQ3:AW7" si="0">G6</f>
        <v>국어</v>
      </c>
      <c r="AR3" s="3" t="str">
        <f t="shared" si="0"/>
        <v>수학</v>
      </c>
      <c r="AS3" s="3" t="str">
        <f t="shared" si="0"/>
        <v>과탐1</v>
      </c>
      <c r="AT3" s="3" t="str">
        <f t="shared" si="0"/>
        <v>과탐2</v>
      </c>
      <c r="AU3" s="3" t="str">
        <f t="shared" si="0"/>
        <v>과탐Ⅱ</v>
      </c>
      <c r="AV3" s="3" t="str">
        <f t="shared" si="0"/>
        <v>사탐1</v>
      </c>
      <c r="AW3" s="3" t="str">
        <f t="shared" si="0"/>
        <v>사탐2</v>
      </c>
      <c r="AX3" s="3" t="s">
        <v>458</v>
      </c>
      <c r="AY3" s="3" t="s">
        <v>459</v>
      </c>
      <c r="BN3" s="3" t="str">
        <f>' 본인점수 입력 '!B7</f>
        <v>언매</v>
      </c>
      <c r="BO3" s="3" t="str">
        <f>' 본인점수 입력 '!C7</f>
        <v>화작</v>
      </c>
      <c r="BP3" s="3" t="str">
        <f>' 본인점수 입력 '!D7</f>
        <v>미적</v>
      </c>
      <c r="BQ3" s="3" t="str">
        <f>' 본인점수 입력 '!E7</f>
        <v>기하</v>
      </c>
      <c r="BR3" s="3" t="str">
        <f>' 본인점수 입력 '!F7</f>
        <v>확통</v>
      </c>
      <c r="BS3" s="3" t="str">
        <f>' 본인점수 입력 '!G7</f>
        <v>물리Ⅰ</v>
      </c>
      <c r="BT3" s="3" t="str">
        <f>' 본인점수 입력 '!H7</f>
        <v>화학Ⅰ</v>
      </c>
      <c r="BU3" s="3" t="str">
        <f>' 본인점수 입력 '!I7</f>
        <v>생명과학Ⅰ</v>
      </c>
      <c r="BV3" s="3" t="str">
        <f>' 본인점수 입력 '!J7</f>
        <v>지구과학Ⅰ</v>
      </c>
      <c r="BW3" s="3" t="str">
        <f>' 본인점수 입력 '!K7</f>
        <v>물리II</v>
      </c>
      <c r="BX3" s="3" t="str">
        <f>' 본인점수 입력 '!L7</f>
        <v>화학II</v>
      </c>
      <c r="BY3" s="3" t="str">
        <f>' 본인점수 입력 '!M7</f>
        <v>생명과학II</v>
      </c>
      <c r="BZ3" s="3" t="str">
        <f>' 본인점수 입력 '!N7</f>
        <v>지구과학II</v>
      </c>
      <c r="CA3" s="3" t="str">
        <f>' 본인점수 입력 '!O7</f>
        <v>생활과윤리</v>
      </c>
      <c r="CB3" s="3" t="str">
        <f>' 본인점수 입력 '!P7</f>
        <v>윤리와사상</v>
      </c>
      <c r="CC3" s="3" t="str">
        <f>' 본인점수 입력 '!Q7</f>
        <v>한국지리</v>
      </c>
      <c r="CD3" s="3" t="str">
        <f>' 본인점수 입력 '!R7</f>
        <v>세계지리</v>
      </c>
      <c r="CE3" s="3" t="str">
        <f>' 본인점수 입력 '!S7</f>
        <v>동아시아사</v>
      </c>
      <c r="CF3" s="3" t="str">
        <f>' 본인점수 입력 '!T7</f>
        <v>세계사</v>
      </c>
      <c r="CG3" s="3" t="str">
        <f>' 본인점수 입력 '!U7</f>
        <v>경제</v>
      </c>
      <c r="CH3" s="3" t="str">
        <f>' 본인점수 입력 '!V7</f>
        <v>정치와법</v>
      </c>
      <c r="CI3" s="3" t="str">
        <f>' 본인점수 입력 '!W7</f>
        <v>사회문화</v>
      </c>
      <c r="CR3" s="3"/>
      <c r="DA3" s="3"/>
      <c r="DP3" s="3"/>
      <c r="EE3" s="3">
        <f t="shared" ref="EE3:EI7" si="1">AP3</f>
        <v>0</v>
      </c>
      <c r="EF3" s="3" t="str">
        <f t="shared" si="1"/>
        <v>국어</v>
      </c>
      <c r="EG3" s="3" t="str">
        <f t="shared" si="1"/>
        <v>수학</v>
      </c>
      <c r="EH3" s="3" t="str">
        <f t="shared" si="1"/>
        <v>과탐1</v>
      </c>
      <c r="EI3" s="3" t="str">
        <f t="shared" si="1"/>
        <v>과탐2</v>
      </c>
      <c r="EJ3" s="3" t="str">
        <f t="shared" ref="EJ3:EK7" si="2">AV3</f>
        <v>사탐1</v>
      </c>
      <c r="EK3" s="3" t="str">
        <f t="shared" si="2"/>
        <v>사탐2</v>
      </c>
      <c r="EP3" s="3" t="str">
        <f>AU3</f>
        <v>과탐Ⅱ</v>
      </c>
      <c r="FH3" s="618"/>
    </row>
    <row r="4" spans="1:190">
      <c r="AP4" s="3" t="str">
        <f t="shared" ref="AP4:AP9" si="3">F7</f>
        <v>원점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BM4" s="3" t="str">
        <f>' 본인점수 입력 '!A8</f>
        <v>원점수</v>
      </c>
      <c r="BN4" s="3">
        <f>IF(' 본인점수 입력 '!B8="",0,' 본인점수 입력 '!B8)</f>
        <v>0</v>
      </c>
      <c r="BO4" s="3">
        <f>IF(' 본인점수 입력 '!C8="",0,' 본인점수 입력 '!C8)</f>
        <v>0</v>
      </c>
      <c r="BP4" s="3">
        <f>IF(' 본인점수 입력 '!D8="",0,' 본인점수 입력 '!D8)</f>
        <v>0</v>
      </c>
      <c r="BQ4" s="3">
        <f>IF(' 본인점수 입력 '!E8="",0,' 본인점수 입력 '!E8)</f>
        <v>0</v>
      </c>
      <c r="BR4" s="3">
        <f>IF(' 본인점수 입력 '!F8="",0,' 본인점수 입력 '!F8)</f>
        <v>0</v>
      </c>
      <c r="BS4" s="3">
        <f>IF(' 본인점수 입력 '!G8="",0,' 본인점수 입력 '!G8)</f>
        <v>0</v>
      </c>
      <c r="BT4" s="3">
        <f>IF(' 본인점수 입력 '!H8="",0,' 본인점수 입력 '!H8)</f>
        <v>0</v>
      </c>
      <c r="BU4" s="3">
        <f>IF(' 본인점수 입력 '!I8="",0,' 본인점수 입력 '!I8)</f>
        <v>0</v>
      </c>
      <c r="BV4" s="3">
        <f>IF(' 본인점수 입력 '!J8="",0,' 본인점수 입력 '!J8)</f>
        <v>0</v>
      </c>
      <c r="BW4" s="3">
        <f>IF(' 본인점수 입력 '!K8="",0,' 본인점수 입력 '!K8)</f>
        <v>0</v>
      </c>
      <c r="BX4" s="3">
        <f>IF(' 본인점수 입력 '!L8="",0,' 본인점수 입력 '!L8)</f>
        <v>0</v>
      </c>
      <c r="BY4" s="3">
        <f>IF(' 본인점수 입력 '!M8="",0,' 본인점수 입력 '!M8)</f>
        <v>0</v>
      </c>
      <c r="BZ4" s="3">
        <f>' 본인점수 입력 '!N8</f>
        <v>0</v>
      </c>
      <c r="CA4" s="3">
        <f>' 본인점수 입력 '!O8</f>
        <v>0</v>
      </c>
      <c r="CB4" s="3">
        <f>' 본인점수 입력 '!P8</f>
        <v>0</v>
      </c>
      <c r="CC4" s="3">
        <f>' 본인점수 입력 '!Q8</f>
        <v>0</v>
      </c>
      <c r="CD4" s="3">
        <f>' 본인점수 입력 '!R8</f>
        <v>0</v>
      </c>
      <c r="CE4" s="3">
        <f>' 본인점수 입력 '!S8</f>
        <v>0</v>
      </c>
      <c r="CF4" s="3">
        <f>' 본인점수 입력 '!T8</f>
        <v>0</v>
      </c>
      <c r="CG4" s="3">
        <f>' 본인점수 입력 '!U8</f>
        <v>0</v>
      </c>
      <c r="CH4" s="3">
        <f>' 본인점수 입력 '!V8</f>
        <v>0</v>
      </c>
      <c r="CI4" s="3">
        <f>' 본인점수 입력 '!W8</f>
        <v>0</v>
      </c>
      <c r="CJ4" s="3">
        <f>' 본인점수 입력 '!B14</f>
        <v>0</v>
      </c>
      <c r="CK4" s="3">
        <f>' 본인점수 입력 '!C14</f>
        <v>0</v>
      </c>
      <c r="CL4" s="3">
        <f>' 본인점수 입력 '!D14</f>
        <v>0</v>
      </c>
      <c r="CR4" s="3"/>
      <c r="DA4" s="3"/>
      <c r="DP4" s="3"/>
      <c r="ED4" s="3">
        <v>9</v>
      </c>
      <c r="EE4" s="3" t="str">
        <f t="shared" si="1"/>
        <v>원점</v>
      </c>
      <c r="EF4" s="3">
        <f t="shared" si="1"/>
        <v>0</v>
      </c>
      <c r="EG4" s="3">
        <f t="shared" si="1"/>
        <v>0</v>
      </c>
      <c r="EH4" s="3">
        <f t="shared" si="1"/>
        <v>0</v>
      </c>
      <c r="EI4" s="3">
        <f t="shared" si="1"/>
        <v>0</v>
      </c>
      <c r="EJ4" s="3">
        <f t="shared" si="2"/>
        <v>0</v>
      </c>
      <c r="EK4" s="3">
        <f t="shared" si="2"/>
        <v>0</v>
      </c>
      <c r="EL4" s="3">
        <f t="shared" ref="EL4:EN7" si="4">CJ4</f>
        <v>0</v>
      </c>
      <c r="EM4" s="3">
        <f t="shared" si="4"/>
        <v>0</v>
      </c>
      <c r="EN4" s="3">
        <f t="shared" si="4"/>
        <v>0</v>
      </c>
      <c r="EP4" s="3">
        <f>AU4</f>
        <v>0</v>
      </c>
      <c r="ET4" s="3">
        <f>(EF4+EG4+EH4+EI4+EJ4+EK4)/3</f>
        <v>0</v>
      </c>
      <c r="FH4" s="618"/>
    </row>
    <row r="5" spans="1:190">
      <c r="G5" s="3">
        <f>' 본인점수 입력 '!AE6</f>
        <v>1</v>
      </c>
      <c r="H5" s="3">
        <f>' 본인점수 입력 '!AF6</f>
        <v>1</v>
      </c>
      <c r="I5" s="3">
        <f>' 본인점수 입력 '!AG6</f>
        <v>1</v>
      </c>
      <c r="J5" s="3">
        <f>' 본인점수 입력 '!AH6</f>
        <v>2</v>
      </c>
      <c r="K5" s="3">
        <f>' 본인점수 입력 '!AI6</f>
        <v>1</v>
      </c>
      <c r="L5" s="3">
        <f>' 본인점수 입력 '!AJ6</f>
        <v>1</v>
      </c>
      <c r="M5" s="3">
        <f>' 본인점수 입력 '!AK6</f>
        <v>2</v>
      </c>
      <c r="N5" s="3">
        <f>' 본인점수 입력 '!AL6</f>
        <v>1</v>
      </c>
      <c r="O5" s="3">
        <f>' 본인점수 입력 '!AM6</f>
        <v>1</v>
      </c>
      <c r="P5" s="3">
        <f>' 본인점수 입력 '!AN6</f>
        <v>1</v>
      </c>
      <c r="AP5" s="3" t="str">
        <f t="shared" si="3"/>
        <v>표점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>LARGE(($AS5:$AT5,$AV5:$AW5),1)</f>
        <v>0</v>
      </c>
      <c r="AY5" s="3">
        <f>LARGE(($AS5:$AT5,$AV5:$AW5),2)</f>
        <v>0</v>
      </c>
      <c r="BB5" s="29"/>
      <c r="BM5" s="3" t="str">
        <f>' 본인점수 입력 '!A9</f>
        <v>표준점수</v>
      </c>
      <c r="BN5" s="3">
        <f>IF(' 본인점수 입력 '!B9="",0,' 본인점수 입력 '!B9)</f>
        <v>0</v>
      </c>
      <c r="BO5" s="3">
        <f>IF(' 본인점수 입력 '!C9="",0,' 본인점수 입력 '!C9)</f>
        <v>0</v>
      </c>
      <c r="BP5" s="3">
        <f>IF(' 본인점수 입력 '!D9="",0,' 본인점수 입력 '!D9)</f>
        <v>0</v>
      </c>
      <c r="BQ5" s="3">
        <f>IF(' 본인점수 입력 '!E9="",0,' 본인점수 입력 '!E9)</f>
        <v>0</v>
      </c>
      <c r="BR5" s="3">
        <f>IF(' 본인점수 입력 '!F9="",0,' 본인점수 입력 '!F9)</f>
        <v>0</v>
      </c>
      <c r="BS5" s="3">
        <f>IF(' 본인점수 입력 '!G9="",0,' 본인점수 입력 '!G9)</f>
        <v>0</v>
      </c>
      <c r="BT5" s="3">
        <f>IF(' 본인점수 입력 '!H9="",0,' 본인점수 입력 '!H9)</f>
        <v>0</v>
      </c>
      <c r="BU5" s="3">
        <f>IF(' 본인점수 입력 '!I9="",0,' 본인점수 입력 '!I9)</f>
        <v>0</v>
      </c>
      <c r="BV5" s="3">
        <f>IF(' 본인점수 입력 '!J9="",0,' 본인점수 입력 '!J9)</f>
        <v>0</v>
      </c>
      <c r="BW5" s="3">
        <f>IF(' 본인점수 입력 '!K9="",0,' 본인점수 입력 '!K9)</f>
        <v>0</v>
      </c>
      <c r="BX5" s="3">
        <f>IF(' 본인점수 입력 '!L9="",0,' 본인점수 입력 '!L9)</f>
        <v>0</v>
      </c>
      <c r="BY5" s="3">
        <f>IF(' 본인점수 입력 '!M9="",0,' 본인점수 입력 '!M9)</f>
        <v>0</v>
      </c>
      <c r="BZ5" s="3">
        <f>IF(' 본인점수 입력 '!N9="",0,' 본인점수 입력 '!N9)</f>
        <v>0</v>
      </c>
      <c r="CA5" s="3">
        <f>IF(' 본인점수 입력 '!O9="",0,' 본인점수 입력 '!O9)</f>
        <v>0</v>
      </c>
      <c r="CB5" s="3">
        <f>IF(' 본인점수 입력 '!P9="",0,' 본인점수 입력 '!P9)</f>
        <v>0</v>
      </c>
      <c r="CC5" s="3">
        <f>IF(' 본인점수 입력 '!Q9="",0,' 본인점수 입력 '!Q9)</f>
        <v>0</v>
      </c>
      <c r="CD5" s="3">
        <f>IF(' 본인점수 입력 '!R9="",0,' 본인점수 입력 '!R9)</f>
        <v>0</v>
      </c>
      <c r="CE5" s="3">
        <f>IF(' 본인점수 입력 '!S9="",0,' 본인점수 입력 '!S9)</f>
        <v>0</v>
      </c>
      <c r="CF5" s="3">
        <f>IF(' 본인점수 입력 '!T9="",0,' 본인점수 입력 '!T9)</f>
        <v>0</v>
      </c>
      <c r="CG5" s="3">
        <f>IF(' 본인점수 입력 '!U9="",0,' 본인점수 입력 '!U9)</f>
        <v>0</v>
      </c>
      <c r="CH5" s="3">
        <f>IF(' 본인점수 입력 '!V9="",0,' 본인점수 입력 '!V9)</f>
        <v>0</v>
      </c>
      <c r="CI5" s="3">
        <f>IF(' 본인점수 입력 '!W9="",0,' 본인점수 입력 '!W9)</f>
        <v>0</v>
      </c>
      <c r="CJ5" s="3">
        <f>' 본인점수 입력 '!B15</f>
        <v>0</v>
      </c>
      <c r="CK5" s="3">
        <f>' 본인점수 입력 '!C15</f>
        <v>0</v>
      </c>
      <c r="CL5" s="3">
        <f>' 본인점수 입력 '!D15</f>
        <v>0</v>
      </c>
      <c r="CR5" s="3"/>
      <c r="DA5" s="3"/>
      <c r="DP5" s="3"/>
      <c r="ED5" s="3">
        <v>1</v>
      </c>
      <c r="EE5" s="3" t="str">
        <f t="shared" si="1"/>
        <v>표점</v>
      </c>
      <c r="EF5" s="3">
        <f t="shared" si="1"/>
        <v>0</v>
      </c>
      <c r="EG5" s="3">
        <f t="shared" si="1"/>
        <v>0</v>
      </c>
      <c r="EH5" s="3">
        <f t="shared" si="1"/>
        <v>0</v>
      </c>
      <c r="EI5" s="3">
        <f t="shared" si="1"/>
        <v>0</v>
      </c>
      <c r="EJ5" s="3">
        <f t="shared" si="2"/>
        <v>0</v>
      </c>
      <c r="EK5" s="3">
        <f t="shared" si="2"/>
        <v>0</v>
      </c>
      <c r="EL5" s="3">
        <f t="shared" si="4"/>
        <v>0</v>
      </c>
      <c r="EM5" s="3">
        <f t="shared" si="4"/>
        <v>0</v>
      </c>
      <c r="EN5" s="3">
        <f t="shared" si="4"/>
        <v>0</v>
      </c>
      <c r="EP5" s="3">
        <f>AU5</f>
        <v>0</v>
      </c>
      <c r="ET5" s="3">
        <f t="shared" ref="ET5" si="5">(EF5+EG5+EH5+EI5+EJ5+EK5)/3</f>
        <v>0</v>
      </c>
      <c r="FH5" s="618"/>
    </row>
    <row r="6" spans="1:190" ht="18" thickBot="1">
      <c r="E6" s="58"/>
      <c r="G6" s="3" t="str">
        <f>' 본인점수 입력 '!AE7</f>
        <v>국어</v>
      </c>
      <c r="H6" s="3" t="str">
        <f>' 본인점수 입력 '!AF7</f>
        <v>수학</v>
      </c>
      <c r="I6" s="3" t="str">
        <f>' 본인점수 입력 '!AG7</f>
        <v>과탐1</v>
      </c>
      <c r="J6" s="3" t="str">
        <f>' 본인점수 입력 '!AH7</f>
        <v>과탐2</v>
      </c>
      <c r="K6" s="3" t="str">
        <f>' 본인점수 입력 '!AI7</f>
        <v>과탐Ⅱ</v>
      </c>
      <c r="L6" s="3" t="str">
        <f>' 본인점수 입력 '!AJ7</f>
        <v>사탐1</v>
      </c>
      <c r="M6" s="3" t="str">
        <f>' 본인점수 입력 '!AK7</f>
        <v>사탐2</v>
      </c>
      <c r="N6" s="3" t="str">
        <f>' 본인점수 입력 '!AL7</f>
        <v>영어</v>
      </c>
      <c r="O6" s="3" t="str">
        <f>' 본인점수 입력 '!AM7</f>
        <v>한국사</v>
      </c>
      <c r="P6" s="3" t="str">
        <f>' 본인점수 입력 '!AN7</f>
        <v>제2외국어</v>
      </c>
      <c r="AP6" s="3" t="str">
        <f t="shared" si="3"/>
        <v>백분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>LARGE(($AS6:$AT6,$AV6:$AW6),1)</f>
        <v>0</v>
      </c>
      <c r="AY6" s="3">
        <f>LARGE(($AS6:$AT6,$AV6:$AW6),2)</f>
        <v>0</v>
      </c>
      <c r="BB6" s="22"/>
      <c r="BM6" s="3" t="str">
        <f>' 본인점수 입력 '!A10</f>
        <v>백분위</v>
      </c>
      <c r="BN6" s="3">
        <f>IF(' 본인점수 입력 '!B10="",0,' 본인점수 입력 '!B10)</f>
        <v>0</v>
      </c>
      <c r="BO6" s="3">
        <f>IF(' 본인점수 입력 '!C10="",0,' 본인점수 입력 '!C10)</f>
        <v>0</v>
      </c>
      <c r="BP6" s="3">
        <f>IF(' 본인점수 입력 '!D10="",0,' 본인점수 입력 '!D10)</f>
        <v>0</v>
      </c>
      <c r="BQ6" s="3">
        <f>IF(' 본인점수 입력 '!E10="",0,' 본인점수 입력 '!E10)</f>
        <v>0</v>
      </c>
      <c r="BR6" s="3">
        <f>IF(' 본인점수 입력 '!F10="",0,' 본인점수 입력 '!F10)</f>
        <v>0</v>
      </c>
      <c r="BS6" s="3">
        <f>IF(' 본인점수 입력 '!G10="",0,' 본인점수 입력 '!G10)</f>
        <v>0</v>
      </c>
      <c r="BT6" s="3">
        <f>IF(' 본인점수 입력 '!H10="",0,' 본인점수 입력 '!H10)</f>
        <v>0</v>
      </c>
      <c r="BU6" s="3">
        <f>IF(' 본인점수 입력 '!I10="",0,' 본인점수 입력 '!I10)</f>
        <v>0</v>
      </c>
      <c r="BV6" s="3">
        <f>IF(' 본인점수 입력 '!J10="",0,' 본인점수 입력 '!J10)</f>
        <v>0</v>
      </c>
      <c r="BW6" s="3">
        <f>IF(' 본인점수 입력 '!K10="",0,' 본인점수 입력 '!K10)</f>
        <v>0</v>
      </c>
      <c r="BX6" s="3">
        <f>IF(' 본인점수 입력 '!L10="",0,' 본인점수 입력 '!L10)</f>
        <v>0</v>
      </c>
      <c r="BY6" s="3">
        <f>IF(' 본인점수 입력 '!M10="",0,' 본인점수 입력 '!M10)</f>
        <v>0</v>
      </c>
      <c r="BZ6" s="3">
        <f>IF(' 본인점수 입력 '!N10="",0,' 본인점수 입력 '!N10)</f>
        <v>0</v>
      </c>
      <c r="CA6" s="3">
        <f>IF(' 본인점수 입력 '!O10="",0,' 본인점수 입력 '!O10)</f>
        <v>0</v>
      </c>
      <c r="CB6" s="3">
        <f>IF(' 본인점수 입력 '!P10="",0,' 본인점수 입력 '!P10)</f>
        <v>0</v>
      </c>
      <c r="CC6" s="3">
        <f>IF(' 본인점수 입력 '!Q10="",0,' 본인점수 입력 '!Q10)</f>
        <v>0</v>
      </c>
      <c r="CD6" s="3">
        <f>IF(' 본인점수 입력 '!R10="",0,' 본인점수 입력 '!R10)</f>
        <v>0</v>
      </c>
      <c r="CE6" s="3">
        <f>IF(' 본인점수 입력 '!S10="",0,' 본인점수 입력 '!S10)</f>
        <v>0</v>
      </c>
      <c r="CF6" s="3">
        <f>IF(' 본인점수 입력 '!T10="",0,' 본인점수 입력 '!T10)</f>
        <v>0</v>
      </c>
      <c r="CG6" s="3">
        <f>IF(' 본인점수 입력 '!U10="",0,' 본인점수 입력 '!U10)</f>
        <v>0</v>
      </c>
      <c r="CH6" s="3">
        <f>IF(' 본인점수 입력 '!V10="",0,' 본인점수 입력 '!V10)</f>
        <v>0</v>
      </c>
      <c r="CI6" s="3">
        <f>IF(' 본인점수 입력 '!W10="",0,' 본인점수 입력 '!W10)</f>
        <v>0</v>
      </c>
      <c r="CJ6" s="3">
        <f>' 본인점수 입력 '!B16</f>
        <v>0</v>
      </c>
      <c r="CK6" s="3">
        <f>' 본인점수 입력 '!C16</f>
        <v>0</v>
      </c>
      <c r="CL6" s="3">
        <f>' 본인점수 입력 '!D16</f>
        <v>0</v>
      </c>
      <c r="CR6" s="3"/>
      <c r="DA6" s="3"/>
      <c r="DP6" s="3"/>
      <c r="ED6" s="3">
        <v>2</v>
      </c>
      <c r="EE6" s="3" t="str">
        <f t="shared" si="1"/>
        <v>백분</v>
      </c>
      <c r="EF6" s="3">
        <f t="shared" si="1"/>
        <v>0</v>
      </c>
      <c r="EG6" s="3">
        <f t="shared" si="1"/>
        <v>0</v>
      </c>
      <c r="EH6" s="3">
        <f t="shared" si="1"/>
        <v>0</v>
      </c>
      <c r="EI6" s="3">
        <f t="shared" si="1"/>
        <v>0</v>
      </c>
      <c r="EJ6" s="3">
        <f t="shared" si="2"/>
        <v>0</v>
      </c>
      <c r="EK6" s="3">
        <f t="shared" si="2"/>
        <v>0</v>
      </c>
      <c r="EL6" s="3">
        <f t="shared" si="4"/>
        <v>0</v>
      </c>
      <c r="EM6" s="3">
        <f t="shared" si="4"/>
        <v>0</v>
      </c>
      <c r="EN6" s="3">
        <f t="shared" si="4"/>
        <v>0</v>
      </c>
      <c r="EP6" s="3">
        <f>AU6</f>
        <v>0</v>
      </c>
      <c r="ET6" s="3">
        <f>(EF6+EG6+(EH6+EI6+EJ6+EK6)/2)/3</f>
        <v>0</v>
      </c>
      <c r="FH6" s="618"/>
    </row>
    <row r="7" spans="1:190">
      <c r="E7" s="3">
        <v>9</v>
      </c>
      <c r="F7" s="3" t="str">
        <f>' 본인점수 입력 '!AD8</f>
        <v>원점</v>
      </c>
      <c r="G7" s="3">
        <f>' 본인점수 입력 '!AE8</f>
        <v>0</v>
      </c>
      <c r="H7" s="3">
        <f>' 본인점수 입력 '!AF8</f>
        <v>0</v>
      </c>
      <c r="I7" s="3">
        <f>' 본인점수 입력 '!AG8</f>
        <v>0</v>
      </c>
      <c r="J7" s="3">
        <f>' 본인점수 입력 '!AH8</f>
        <v>0</v>
      </c>
      <c r="K7" s="3">
        <f>' 본인점수 입력 '!AI8</f>
        <v>0</v>
      </c>
      <c r="L7" s="3">
        <f>' 본인점수 입력 '!AJ8</f>
        <v>0</v>
      </c>
      <c r="M7" s="3">
        <f>' 본인점수 입력 '!AK8</f>
        <v>0</v>
      </c>
      <c r="N7" s="3">
        <f>' 본인점수 입력 '!AL8</f>
        <v>0</v>
      </c>
      <c r="O7" s="3">
        <f>' 본인점수 입력 '!AM8</f>
        <v>0</v>
      </c>
      <c r="P7" s="3">
        <f>' 본인점수 입력 '!AN8</f>
        <v>0</v>
      </c>
      <c r="AF7" s="581">
        <f>' 본인점수 입력 '!$Z$53</f>
        <v>69.822999999999993</v>
      </c>
      <c r="AG7" s="579">
        <f>' 본인점수 입력 '!$Z$53</f>
        <v>69.822999999999993</v>
      </c>
      <c r="AH7" s="582">
        <f>' 본인점수 입력 '!$Z$53</f>
        <v>69.822999999999993</v>
      </c>
      <c r="AI7" s="579">
        <f>' 본인점수 입력 '!$AA$53</f>
        <v>71.561000000000007</v>
      </c>
      <c r="AJ7" s="582">
        <f>' 본인점수 입력 '!$AA$53</f>
        <v>71.561000000000007</v>
      </c>
      <c r="AP7" s="3" t="str">
        <f t="shared" si="3"/>
        <v>등급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>LARGE(($AS7:$AT7,$AV7:$AW7),1)</f>
        <v>0</v>
      </c>
      <c r="AY7" s="3">
        <f>LARGE(($AS7:$AT7,$AV7:$AW7),2)</f>
        <v>0</v>
      </c>
      <c r="BB7" s="22">
        <v>1</v>
      </c>
      <c r="BM7" s="3" t="str">
        <f>' 본인점수 입력 '!A11</f>
        <v>등급</v>
      </c>
      <c r="BN7" s="3">
        <f>IF(' 본인점수 입력 '!B11="",0,' 본인점수 입력 '!B11)</f>
        <v>0</v>
      </c>
      <c r="BO7" s="3">
        <f>IF(' 본인점수 입력 '!C11="",0,' 본인점수 입력 '!C11)</f>
        <v>0</v>
      </c>
      <c r="BP7" s="3">
        <f>IF(' 본인점수 입력 '!D11="",0,' 본인점수 입력 '!D11)</f>
        <v>0</v>
      </c>
      <c r="BQ7" s="3">
        <f>IF(' 본인점수 입력 '!E11="",0,' 본인점수 입력 '!E11)</f>
        <v>0</v>
      </c>
      <c r="BR7" s="3">
        <f>IF(' 본인점수 입력 '!F11="",0,' 본인점수 입력 '!F11)</f>
        <v>0</v>
      </c>
      <c r="BS7" s="3">
        <f>IF(' 본인점수 입력 '!G11="",0,' 본인점수 입력 '!G11)</f>
        <v>0</v>
      </c>
      <c r="BT7" s="3">
        <f>IF(' 본인점수 입력 '!H11="",0,' 본인점수 입력 '!H11)</f>
        <v>0</v>
      </c>
      <c r="BU7" s="3">
        <f>IF(' 본인점수 입력 '!I11="",0,' 본인점수 입력 '!I11)</f>
        <v>0</v>
      </c>
      <c r="BV7" s="3">
        <f>IF(' 본인점수 입력 '!J11="",0,' 본인점수 입력 '!J11)</f>
        <v>0</v>
      </c>
      <c r="BW7" s="3">
        <f>IF(' 본인점수 입력 '!K11="",0,' 본인점수 입력 '!K11)</f>
        <v>0</v>
      </c>
      <c r="BX7" s="3">
        <f>IF(' 본인점수 입력 '!L11="",0,' 본인점수 입력 '!L11)</f>
        <v>0</v>
      </c>
      <c r="BY7" s="3">
        <f>IF(' 본인점수 입력 '!M11="",0,' 본인점수 입력 '!M11)</f>
        <v>0</v>
      </c>
      <c r="BZ7" s="3">
        <f>IF(' 본인점수 입력 '!N11="",0,' 본인점수 입력 '!N11)</f>
        <v>0</v>
      </c>
      <c r="CA7" s="3">
        <f>IF(' 본인점수 입력 '!O11="",0,' 본인점수 입력 '!O11)</f>
        <v>0</v>
      </c>
      <c r="CB7" s="3">
        <f>IF(' 본인점수 입력 '!P11="",0,' 본인점수 입력 '!P11)</f>
        <v>0</v>
      </c>
      <c r="CC7" s="3">
        <f>IF(' 본인점수 입력 '!Q11="",0,' 본인점수 입력 '!Q11)</f>
        <v>0</v>
      </c>
      <c r="CD7" s="3">
        <f>IF(' 본인점수 입력 '!R11="",0,' 본인점수 입력 '!R11)</f>
        <v>0</v>
      </c>
      <c r="CE7" s="3">
        <f>IF(' 본인점수 입력 '!S11="",0,' 본인점수 입력 '!S11)</f>
        <v>0</v>
      </c>
      <c r="CF7" s="3">
        <f>IF(' 본인점수 입력 '!T11="",0,' 본인점수 입력 '!T11)</f>
        <v>0</v>
      </c>
      <c r="CG7" s="3">
        <f>IF(' 본인점수 입력 '!U11="",0,' 본인점수 입력 '!U11)</f>
        <v>0</v>
      </c>
      <c r="CH7" s="3">
        <f>IF(' 본인점수 입력 '!V11="",0,' 본인점수 입력 '!V11)</f>
        <v>0</v>
      </c>
      <c r="CI7" s="3">
        <f>IF(' 본인점수 입력 '!W11="",0,' 본인점수 입력 '!W11)</f>
        <v>0</v>
      </c>
      <c r="CJ7" s="3" t="str">
        <f>' 본인점수 입력 '!B17</f>
        <v/>
      </c>
      <c r="CK7" s="3" t="str">
        <f>' 본인점수 입력 '!C17</f>
        <v/>
      </c>
      <c r="CL7" s="3" t="str">
        <f>' 본인점수 입력 '!D17</f>
        <v/>
      </c>
      <c r="CR7" s="3"/>
      <c r="DA7" s="3"/>
      <c r="DP7" s="3"/>
      <c r="DQ7" s="25"/>
      <c r="ED7" s="3">
        <v>3</v>
      </c>
      <c r="EE7" s="3" t="str">
        <f t="shared" si="1"/>
        <v>등급</v>
      </c>
      <c r="EF7" s="3">
        <f t="shared" si="1"/>
        <v>0</v>
      </c>
      <c r="EG7" s="3">
        <f t="shared" si="1"/>
        <v>0</v>
      </c>
      <c r="EH7" s="3">
        <f t="shared" si="1"/>
        <v>0</v>
      </c>
      <c r="EI7" s="3">
        <f t="shared" si="1"/>
        <v>0</v>
      </c>
      <c r="EJ7" s="3">
        <f t="shared" si="2"/>
        <v>0</v>
      </c>
      <c r="EK7" s="3">
        <f t="shared" si="2"/>
        <v>0</v>
      </c>
      <c r="EL7" s="3" t="str">
        <f t="shared" si="4"/>
        <v/>
      </c>
      <c r="EM7" s="3" t="str">
        <f t="shared" si="4"/>
        <v/>
      </c>
      <c r="EN7" s="3" t="str">
        <f t="shared" si="4"/>
        <v/>
      </c>
      <c r="EP7" s="3">
        <f>AU7</f>
        <v>0</v>
      </c>
      <c r="ET7" s="3">
        <f>(EF7+EG7+(EH7+EI7+EJ7+EK7)/2)/3</f>
        <v>0</v>
      </c>
      <c r="FH7" s="618"/>
    </row>
    <row r="8" spans="1:190" ht="18" thickBot="1">
      <c r="E8" s="3">
        <v>1</v>
      </c>
      <c r="F8" s="3" t="str">
        <f>' 본인점수 입력 '!AD9</f>
        <v>표점</v>
      </c>
      <c r="G8" s="3">
        <f>' 본인점수 입력 '!AE9</f>
        <v>0</v>
      </c>
      <c r="H8" s="3">
        <f>' 본인점수 입력 '!AF9</f>
        <v>0</v>
      </c>
      <c r="I8" s="3">
        <f>' 본인점수 입력 '!AG9</f>
        <v>0</v>
      </c>
      <c r="J8" s="3">
        <f>' 본인점수 입력 '!AH9</f>
        <v>0</v>
      </c>
      <c r="K8" s="3">
        <f>' 본인점수 입력 '!AI9</f>
        <v>0</v>
      </c>
      <c r="L8" s="3">
        <f>' 본인점수 입력 '!AJ9</f>
        <v>0</v>
      </c>
      <c r="M8" s="3">
        <f>' 본인점수 입력 '!AK9</f>
        <v>0</v>
      </c>
      <c r="N8" s="3">
        <f>' 본인점수 입력 '!AL9</f>
        <v>0</v>
      </c>
      <c r="O8" s="3">
        <f>' 본인점수 입력 '!AM9</f>
        <v>0</v>
      </c>
      <c r="P8" s="3">
        <f>' 본인점수 입력 '!AN9</f>
        <v>0</v>
      </c>
      <c r="AF8" s="583">
        <f>AF7</f>
        <v>69.822999999999993</v>
      </c>
      <c r="AG8" s="580">
        <f t="shared" ref="AG8:AJ8" si="6">AG7</f>
        <v>69.822999999999993</v>
      </c>
      <c r="AH8" s="584">
        <f t="shared" si="6"/>
        <v>69.822999999999993</v>
      </c>
      <c r="AI8" s="580">
        <f t="shared" si="6"/>
        <v>71.561000000000007</v>
      </c>
      <c r="AJ8" s="584">
        <f t="shared" si="6"/>
        <v>71.561000000000007</v>
      </c>
      <c r="BM8" s="3">
        <f>' 본인점수 입력 '!A21</f>
        <v>0</v>
      </c>
      <c r="BN8" s="3" t="str">
        <f>IF(' 본인점수 입력 '!B21="",0,' 본인점수 입력 '!B21)</f>
        <v>언매</v>
      </c>
      <c r="BO8" s="3" t="str">
        <f>IF(' 본인점수 입력 '!C21="",0,' 본인점수 입력 '!C21)</f>
        <v>화작</v>
      </c>
      <c r="BP8" s="3" t="str">
        <f>IF(' 본인점수 입력 '!D21="",0,' 본인점수 입력 '!D21)</f>
        <v>미적</v>
      </c>
      <c r="BQ8" s="3" t="str">
        <f>IF(' 본인점수 입력 '!E21="",0,' 본인점수 입력 '!E21)</f>
        <v>기하</v>
      </c>
      <c r="BR8" s="3" t="str">
        <f>IF(' 본인점수 입력 '!F21="",0,' 본인점수 입력 '!F21)</f>
        <v>확통</v>
      </c>
      <c r="BS8" s="3" t="str">
        <f>IF(' 본인점수 입력 '!G21="",0,' 본인점수 입력 '!G21)</f>
        <v>물리Ⅰ</v>
      </c>
      <c r="BT8" s="3" t="str">
        <f>IF(' 본인점수 입력 '!H21="",0,' 본인점수 입력 '!H21)</f>
        <v>화학Ⅰ</v>
      </c>
      <c r="BU8" s="3" t="str">
        <f>IF(' 본인점수 입력 '!I21="",0,' 본인점수 입력 '!I21)</f>
        <v>생명과학Ⅰ</v>
      </c>
      <c r="BV8" s="3" t="str">
        <f>IF(' 본인점수 입력 '!J21="",0,' 본인점수 입력 '!J21)</f>
        <v>지구과학Ⅰ</v>
      </c>
      <c r="BW8" s="3" t="str">
        <f>IF(' 본인점수 입력 '!K21="",0,' 본인점수 입력 '!K21)</f>
        <v>물리II</v>
      </c>
      <c r="BX8" s="3" t="str">
        <f>IF(' 본인점수 입력 '!L21="",0,' 본인점수 입력 '!L21)</f>
        <v>화학II</v>
      </c>
      <c r="BY8" s="3" t="str">
        <f>IF(' 본인점수 입력 '!M21="",0,' 본인점수 입력 '!M21)</f>
        <v>생명과학II</v>
      </c>
      <c r="BZ8" s="3" t="str">
        <f>IF(' 본인점수 입력 '!N21="",0,' 본인점수 입력 '!N21)</f>
        <v>지구과학II</v>
      </c>
      <c r="CA8" s="3" t="str">
        <f>IF(' 본인점수 입력 '!O21="",0,' 본인점수 입력 '!O21)</f>
        <v>생활과윤리</v>
      </c>
      <c r="CB8" s="3" t="str">
        <f>IF(' 본인점수 입력 '!P21="",0,' 본인점수 입력 '!P21)</f>
        <v>윤리와사상</v>
      </c>
      <c r="CC8" s="3" t="str">
        <f>IF(' 본인점수 입력 '!Q21="",0,' 본인점수 입력 '!Q21)</f>
        <v>한국지리</v>
      </c>
      <c r="CD8" s="3" t="str">
        <f>IF(' 본인점수 입력 '!R21="",0,' 본인점수 입력 '!R21)</f>
        <v>세계지리</v>
      </c>
      <c r="CE8" s="3" t="str">
        <f>IF(' 본인점수 입력 '!S21="",0,' 본인점수 입력 '!S21)</f>
        <v>동아시아사</v>
      </c>
      <c r="CF8" s="3" t="str">
        <f>IF(' 본인점수 입력 '!T21="",0,' 본인점수 입력 '!T21)</f>
        <v>세계사</v>
      </c>
      <c r="CG8" s="3" t="str">
        <f>IF(' 본인점수 입력 '!U21="",0,' 본인점수 입력 '!U21)</f>
        <v>경제</v>
      </c>
      <c r="CH8" s="3" t="str">
        <f>IF(' 본인점수 입력 '!V21="",0,' 본인점수 입력 '!V21)</f>
        <v>정치와법</v>
      </c>
      <c r="CI8" s="3" t="str">
        <f>IF(' 본인점수 입력 '!W21="",0,' 본인점수 입력 '!W21)</f>
        <v>사회문화</v>
      </c>
      <c r="CJ8" s="3">
        <f>' 본인점수 입력 '!X21</f>
        <v>0</v>
      </c>
      <c r="CK8" s="3">
        <f>' 본인점수 입력 '!Y21</f>
        <v>0</v>
      </c>
      <c r="CL8" s="3">
        <f>' 본인점수 입력 '!Z21</f>
        <v>0</v>
      </c>
      <c r="CR8" s="3"/>
      <c r="DA8" s="3"/>
      <c r="DM8" s="3">
        <f>COUNTIF(' 본인점수 입력 '!G43:N43,"&gt;"&amp;0)</f>
        <v>0</v>
      </c>
      <c r="DN8" s="3">
        <f>COUNTIF(' 본인점수 입력 '!O43:W43,"&gt;"&amp;0)</f>
        <v>0</v>
      </c>
      <c r="DO8" s="3">
        <f>COUNTIF(' 본인점수 입력 '!G43:W43,"&gt;"&amp;0)</f>
        <v>0</v>
      </c>
      <c r="DP8" s="3">
        <f>IF(' 본인점수 입력 '!D43=1,1,0)</f>
        <v>0</v>
      </c>
      <c r="DQ8" s="3">
        <f>IF(OR(' 본인점수 입력 '!D43=1,' 본인점수 입력 '!E43=1),1,0)</f>
        <v>0</v>
      </c>
      <c r="DR8" s="3">
        <f>IF(' 본인점수 입력 '!F43=1,1,0)</f>
        <v>0</v>
      </c>
      <c r="DS8" s="3">
        <f>IF(COUNTIF(' 본인점수 입력 '!G43:N43,"&gt;"&amp;0)&gt;0,1,0)</f>
        <v>0</v>
      </c>
      <c r="DT8" s="3">
        <f>COUNTIF(' 본인점수 입력 '!K43:N43,"&gt;"&amp;0)</f>
        <v>0</v>
      </c>
      <c r="DU8" s="3">
        <f>IF(COUNTIF(' 본인점수 입력 '!O43:W43,"&gt;"&amp;0)&gt;0,1,0)</f>
        <v>0</v>
      </c>
      <c r="DV8" s="3">
        <f>IF(' 본인점수 입력 '!B43=1,1,0)</f>
        <v>0</v>
      </c>
      <c r="DW8" s="3">
        <v>0</v>
      </c>
      <c r="DX8" s="3">
        <f>IF(' 본인점수 입력 '!Z43=1,1,0)</f>
        <v>0</v>
      </c>
      <c r="DY8" s="56">
        <f>IF(I13=0,0,IF(LEFT(I13,2)=LEFT(J13,2),1,0))</f>
        <v>0</v>
      </c>
      <c r="ED8" s="3">
        <v>12</v>
      </c>
      <c r="EE8" s="3" t="s">
        <v>56</v>
      </c>
      <c r="EF8" s="3">
        <f t="shared" ref="EF8:EN8" si="7">EF5</f>
        <v>0</v>
      </c>
      <c r="EG8" s="3">
        <f t="shared" si="7"/>
        <v>0</v>
      </c>
      <c r="EH8" s="3">
        <f t="shared" si="7"/>
        <v>0</v>
      </c>
      <c r="EI8" s="3">
        <f t="shared" si="7"/>
        <v>0</v>
      </c>
      <c r="EJ8" s="3">
        <f t="shared" si="7"/>
        <v>0</v>
      </c>
      <c r="EK8" s="3">
        <f t="shared" si="7"/>
        <v>0</v>
      </c>
      <c r="EL8" s="3">
        <f t="shared" si="7"/>
        <v>0</v>
      </c>
      <c r="EM8" s="3">
        <f t="shared" si="7"/>
        <v>0</v>
      </c>
      <c r="EN8" s="3">
        <f t="shared" si="7"/>
        <v>0</v>
      </c>
      <c r="FH8" s="618"/>
    </row>
    <row r="9" spans="1:190" ht="18" thickBot="1">
      <c r="E9" s="3">
        <v>2</v>
      </c>
      <c r="F9" s="3" t="str">
        <f>' 본인점수 입력 '!AD10</f>
        <v>백분</v>
      </c>
      <c r="G9" s="3">
        <f>' 본인점수 입력 '!AE10</f>
        <v>0</v>
      </c>
      <c r="H9" s="3">
        <f>' 본인점수 입력 '!AF10</f>
        <v>0</v>
      </c>
      <c r="I9" s="3">
        <f>' 본인점수 입력 '!AG10</f>
        <v>0</v>
      </c>
      <c r="J9" s="3">
        <f>' 본인점수 입력 '!AH10</f>
        <v>0</v>
      </c>
      <c r="K9" s="3">
        <f>' 본인점수 입력 '!AI10</f>
        <v>0</v>
      </c>
      <c r="L9" s="3">
        <f>' 본인점수 입력 '!AJ10</f>
        <v>0</v>
      </c>
      <c r="M9" s="3">
        <f>' 본인점수 입력 '!AK10</f>
        <v>0</v>
      </c>
      <c r="N9" s="3">
        <f>' 본인점수 입력 '!AL10</f>
        <v>0</v>
      </c>
      <c r="O9" s="3">
        <f>' 본인점수 입력 '!AM10</f>
        <v>0</v>
      </c>
      <c r="P9" s="3">
        <f>' 본인점수 입력 '!AN10</f>
        <v>0</v>
      </c>
      <c r="AF9" s="585">
        <f>AF8</f>
        <v>69.822999999999993</v>
      </c>
      <c r="AG9" s="586">
        <f t="shared" ref="AG9:AJ9" si="8">AG8</f>
        <v>69.822999999999993</v>
      </c>
      <c r="AH9" s="587">
        <f t="shared" si="8"/>
        <v>69.822999999999993</v>
      </c>
      <c r="AI9" s="586">
        <f t="shared" si="8"/>
        <v>71.561000000000007</v>
      </c>
      <c r="AJ9" s="587">
        <f t="shared" si="8"/>
        <v>71.561000000000007</v>
      </c>
      <c r="AP9" s="3" t="str">
        <f t="shared" si="3"/>
        <v>최고표점</v>
      </c>
      <c r="AQ9" s="3">
        <f>G12</f>
        <v>139</v>
      </c>
      <c r="AR9" s="3">
        <f>H12</f>
        <v>140</v>
      </c>
      <c r="AS9" s="3">
        <f>IF(AS6=0,' 본인점수 입력 '!Z53,I12)</f>
        <v>69.822999999999993</v>
      </c>
      <c r="AT9" s="3">
        <f>IF(AT6=0,' 본인점수 입력 '!Z53,J12)</f>
        <v>69.822999999999993</v>
      </c>
      <c r="AU9" s="3">
        <f>K12</f>
        <v>72</v>
      </c>
      <c r="AV9" s="3">
        <f>IF(AV6=0,' 본인점수 입력 '!AA53,L12)</f>
        <v>71.561000000000007</v>
      </c>
      <c r="AW9" s="3">
        <f>IF(AW6=0,' 본인점수 입력 '!AA53,M12)</f>
        <v>71.561000000000007</v>
      </c>
      <c r="AX9" s="3">
        <f>LARGE(($AS9:$AT9,$AV9:$AW9),1)</f>
        <v>71.561000000000007</v>
      </c>
      <c r="AY9" s="3">
        <f>LARGE(($AS9:$AT9,$AV9:$AW9),2)</f>
        <v>71.561000000000007</v>
      </c>
      <c r="BN9" s="3"/>
      <c r="BX9" s="3"/>
      <c r="CG9" s="3"/>
      <c r="CH9" s="3"/>
      <c r="CI9" s="3"/>
      <c r="CR9" s="3"/>
      <c r="DA9" s="3"/>
      <c r="DP9" s="3"/>
      <c r="EO9" s="59"/>
      <c r="EP9" s="60">
        <v>1</v>
      </c>
      <c r="FH9" s="618"/>
    </row>
    <row r="10" spans="1:190">
      <c r="E10" s="3">
        <v>3</v>
      </c>
      <c r="F10" s="3" t="str">
        <f>' 본인점수 입력 '!AD11</f>
        <v>등급</v>
      </c>
      <c r="G10" s="3">
        <f>' 본인점수 입력 '!AE11</f>
        <v>0</v>
      </c>
      <c r="H10" s="3">
        <f>' 본인점수 입력 '!AF11</f>
        <v>0</v>
      </c>
      <c r="I10" s="3">
        <f>' 본인점수 입력 '!AG11</f>
        <v>0</v>
      </c>
      <c r="J10" s="3">
        <f>' 본인점수 입력 '!AH11</f>
        <v>0</v>
      </c>
      <c r="K10" s="3">
        <f>' 본인점수 입력 '!AI11</f>
        <v>0</v>
      </c>
      <c r="L10" s="3">
        <f>' 본인점수 입력 '!AJ11</f>
        <v>0</v>
      </c>
      <c r="M10" s="3">
        <f>' 본인점수 입력 '!AK11</f>
        <v>0</v>
      </c>
      <c r="N10" s="3" t="str">
        <f>' 본인점수 입력 '!AL11</f>
        <v/>
      </c>
      <c r="O10" s="3" t="str">
        <f>' 본인점수 입력 '!AM11</f>
        <v/>
      </c>
      <c r="P10" s="3" t="str">
        <f>' 본인점수 입력 '!AN11</f>
        <v/>
      </c>
      <c r="AP10" s="25"/>
      <c r="BN10" s="3"/>
      <c r="BX10" s="3"/>
      <c r="CG10" s="3"/>
      <c r="CH10" s="3"/>
      <c r="CI10" s="3"/>
      <c r="CR10" s="3"/>
      <c r="DA10" s="3"/>
      <c r="DP10" s="3"/>
      <c r="FH10" s="618"/>
    </row>
    <row r="11" spans="1:190">
      <c r="E11" s="3">
        <v>4</v>
      </c>
      <c r="Y11" s="62"/>
      <c r="BN11" s="3"/>
      <c r="BX11" s="3"/>
      <c r="CG11" s="3"/>
      <c r="CH11" s="3"/>
      <c r="CI11" s="3"/>
      <c r="CR11" s="3"/>
      <c r="DA11" s="3"/>
      <c r="DP11" s="3"/>
      <c r="FH11" s="618"/>
      <c r="FI11" s="623"/>
      <c r="FJ11" s="623"/>
      <c r="FK11" s="623"/>
      <c r="FL11" s="623" t="s">
        <v>7765</v>
      </c>
      <c r="FM11" s="623"/>
      <c r="FN11" s="623"/>
      <c r="FO11" s="623"/>
      <c r="FP11" s="623"/>
      <c r="FQ11" s="623"/>
      <c r="FR11" s="623"/>
      <c r="FS11" s="623"/>
    </row>
    <row r="12" spans="1:190">
      <c r="F12" s="19" t="str">
        <f>' 본인점수 입력 '!AD17</f>
        <v>최고표점</v>
      </c>
      <c r="G12" s="19">
        <f>' 본인점수 입력 '!AE17</f>
        <v>139</v>
      </c>
      <c r="H12" s="19">
        <f>' 본인점수 입력 '!AF17</f>
        <v>140</v>
      </c>
      <c r="I12" s="19">
        <f>' 본인점수 입력 '!AG17</f>
        <v>72</v>
      </c>
      <c r="J12" s="19">
        <f>' 본인점수 입력 '!AH17</f>
        <v>72</v>
      </c>
      <c r="K12" s="19">
        <f>' 본인점수 입력 '!AI17</f>
        <v>72</v>
      </c>
      <c r="L12" s="19">
        <f>' 본인점수 입력 '!AJ17</f>
        <v>69</v>
      </c>
      <c r="M12" s="19">
        <f>' 본인점수 입력 '!AK17</f>
        <v>66</v>
      </c>
      <c r="N12" s="19">
        <f>' 본인점수 입력 '!AL17</f>
        <v>0</v>
      </c>
      <c r="O12" s="19">
        <f>' 본인점수 입력 '!AM17</f>
        <v>0</v>
      </c>
      <c r="P12" s="19">
        <f>' 본인점수 입력 '!AN17</f>
        <v>0</v>
      </c>
      <c r="S12" s="19"/>
      <c r="T12" s="19"/>
      <c r="U12" s="19"/>
      <c r="V12" s="19"/>
      <c r="W12" s="19"/>
      <c r="X12" s="19"/>
      <c r="Y12" s="29"/>
      <c r="Z12" s="19"/>
      <c r="AA12" s="19"/>
      <c r="AB12" s="19"/>
      <c r="AC12" s="19"/>
      <c r="BN12" s="3"/>
      <c r="BX12" s="3"/>
      <c r="CG12" s="3"/>
      <c r="CH12" s="3"/>
      <c r="CI12" s="3"/>
      <c r="CR12" s="3"/>
      <c r="DA12" s="3"/>
      <c r="DP12" s="3"/>
      <c r="DZ12" s="64"/>
      <c r="EA12" s="65"/>
      <c r="FF12" s="66"/>
      <c r="FG12" s="67"/>
      <c r="FH12" s="618"/>
    </row>
    <row r="13" spans="1:190">
      <c r="I13" s="19" t="str">
        <f>' 본인점수 입력 '!AG18</f>
        <v>지구과학II</v>
      </c>
      <c r="J13" s="19" t="str">
        <f>' 본인점수 입력 '!AH18</f>
        <v>생명과학II</v>
      </c>
      <c r="K13" s="19" t="str">
        <f>' 본인점수 입력 '!AI18</f>
        <v>미응시</v>
      </c>
      <c r="Y13" s="34"/>
      <c r="Z13" s="34"/>
      <c r="AA13" s="34"/>
      <c r="AB13" s="34"/>
      <c r="AC13" s="34"/>
      <c r="AE13" s="68"/>
      <c r="AF13" s="3">
        <v>1</v>
      </c>
      <c r="AG13" s="3">
        <v>2</v>
      </c>
      <c r="AI13" s="3">
        <v>1</v>
      </c>
      <c r="AJ13" s="3">
        <v>2</v>
      </c>
      <c r="AQ13" s="69"/>
      <c r="BB13" s="57"/>
      <c r="BN13" s="160"/>
      <c r="BO13" s="57"/>
      <c r="BX13" s="223"/>
      <c r="BY13" s="160"/>
      <c r="BZ13" s="160"/>
      <c r="CA13" s="160"/>
      <c r="CB13" s="160"/>
      <c r="CC13" s="160"/>
      <c r="CD13" s="160"/>
      <c r="CE13" s="160"/>
      <c r="CF13" s="160"/>
      <c r="CG13" s="3"/>
      <c r="CH13" s="3"/>
      <c r="CI13" s="57"/>
      <c r="CR13" s="57"/>
      <c r="DA13" s="57"/>
      <c r="DM13" s="57"/>
      <c r="DP13" s="57"/>
      <c r="DZ13" s="70"/>
      <c r="EA13" s="71"/>
      <c r="EB13" s="21"/>
      <c r="FG13" s="67"/>
      <c r="FH13" s="619"/>
    </row>
    <row r="14" spans="1:190">
      <c r="K14" s="19"/>
      <c r="O14" s="173"/>
      <c r="P14" s="160"/>
      <c r="S14" s="72"/>
      <c r="T14" s="555"/>
      <c r="U14" s="72"/>
      <c r="V14" s="72"/>
      <c r="W14" s="72"/>
      <c r="Y14" s="34"/>
      <c r="Z14" s="34"/>
      <c r="AA14" s="34"/>
      <c r="AB14" s="34"/>
      <c r="AC14" s="34"/>
      <c r="AH14" s="73"/>
      <c r="AN14" s="572"/>
      <c r="AO14" s="573"/>
      <c r="AP14" s="574"/>
      <c r="AU14" s="73"/>
      <c r="BA14" s="74"/>
      <c r="BJ14" s="160"/>
      <c r="BK14" s="217"/>
      <c r="BN14" s="3"/>
      <c r="BW14" s="75"/>
      <c r="CG14" s="229"/>
      <c r="CH14" s="227"/>
      <c r="CI14" s="226"/>
      <c r="CQ14" s="75"/>
      <c r="CR14" s="3"/>
      <c r="CZ14" s="75"/>
      <c r="DA14" s="3"/>
      <c r="DK14" s="76" t="s">
        <v>61</v>
      </c>
      <c r="DL14" s="76" t="s">
        <v>87</v>
      </c>
      <c r="DO14" s="75"/>
      <c r="DP14" s="3"/>
      <c r="DZ14" s="77"/>
      <c r="EA14" s="78"/>
      <c r="EB14" s="21"/>
      <c r="ER14" s="172">
        <f>MATCH($AR$6,$BP$6:$BR$6,0)</f>
        <v>1</v>
      </c>
      <c r="FC14" s="79"/>
      <c r="FG14" s="80"/>
      <c r="FH14" s="620"/>
      <c r="FI14" s="72"/>
      <c r="FK14" s="503"/>
      <c r="FL14" s="503"/>
      <c r="FM14" s="503"/>
      <c r="FN14" s="503"/>
      <c r="FO14" s="503"/>
      <c r="FP14" s="503"/>
      <c r="FQ14" s="503"/>
      <c r="FR14" s="503"/>
      <c r="FS14" s="503"/>
    </row>
    <row r="15" spans="1:190">
      <c r="F15" s="81"/>
      <c r="G15" s="22"/>
      <c r="H15" s="22"/>
      <c r="I15" s="22"/>
      <c r="J15" s="22"/>
      <c r="K15" s="82"/>
      <c r="L15" s="22"/>
      <c r="M15" s="22"/>
      <c r="O15" s="174"/>
      <c r="Q15" s="83" t="s">
        <v>7413</v>
      </c>
      <c r="R15" s="83"/>
      <c r="S15" s="72"/>
      <c r="T15" s="72"/>
      <c r="U15" s="555"/>
      <c r="V15" s="555"/>
      <c r="W15" s="555"/>
      <c r="Y15" s="34"/>
      <c r="Z15" s="34"/>
      <c r="AA15" s="34"/>
      <c r="AB15" s="34"/>
      <c r="AC15" s="34"/>
      <c r="AD15" s="3">
        <f>G15</f>
        <v>0</v>
      </c>
      <c r="AE15" s="3">
        <f>H15</f>
        <v>0</v>
      </c>
      <c r="AF15" s="3">
        <f>I15</f>
        <v>0</v>
      </c>
      <c r="AG15" s="3">
        <f>J15</f>
        <v>0</v>
      </c>
      <c r="AH15" s="84"/>
      <c r="AI15" s="3">
        <f>L15</f>
        <v>0</v>
      </c>
      <c r="AJ15" s="3">
        <f>M15</f>
        <v>0</v>
      </c>
      <c r="AN15" s="575"/>
      <c r="AO15" s="576"/>
      <c r="AP15" s="577"/>
      <c r="AQ15" s="22"/>
      <c r="AR15" s="22"/>
      <c r="AS15" s="22"/>
      <c r="AT15" s="22"/>
      <c r="AU15" s="82"/>
      <c r="AV15" s="22"/>
      <c r="AW15" s="22"/>
      <c r="AX15" s="22"/>
      <c r="AY15" s="22"/>
      <c r="AZ15" s="81"/>
      <c r="BB15" s="22"/>
      <c r="BC15" s="22"/>
      <c r="BD15" s="22"/>
      <c r="BE15" s="22"/>
      <c r="BF15" s="22"/>
      <c r="BG15" s="22"/>
      <c r="BH15" s="22"/>
      <c r="BI15" s="85"/>
      <c r="BJ15" s="216"/>
      <c r="BK15" s="218"/>
      <c r="BL15" s="215"/>
      <c r="BM15" s="85"/>
      <c r="BO15" s="22"/>
      <c r="BP15" s="22"/>
      <c r="BQ15" s="22"/>
      <c r="BR15" s="22"/>
      <c r="BS15" s="22"/>
      <c r="BT15" s="22"/>
      <c r="BU15" s="22"/>
      <c r="BV15" s="22"/>
      <c r="BW15" s="85"/>
      <c r="BX15" s="213"/>
      <c r="BY15" s="210"/>
      <c r="BZ15" s="210"/>
      <c r="CA15" s="210"/>
      <c r="CB15" s="210"/>
      <c r="CC15" s="210"/>
      <c r="CD15" s="210"/>
      <c r="CE15" s="210"/>
      <c r="CF15" s="210"/>
      <c r="CG15" s="228"/>
      <c r="CH15" s="207"/>
      <c r="CI15" s="86">
        <v>1</v>
      </c>
      <c r="CJ15" s="22">
        <v>2</v>
      </c>
      <c r="CK15" s="22">
        <v>3</v>
      </c>
      <c r="CL15" s="22">
        <v>4</v>
      </c>
      <c r="CM15" s="22">
        <v>5</v>
      </c>
      <c r="CN15" s="22">
        <v>6</v>
      </c>
      <c r="CO15" s="22">
        <v>7</v>
      </c>
      <c r="CP15" s="22">
        <v>8</v>
      </c>
      <c r="CQ15" s="85">
        <v>9</v>
      </c>
      <c r="CR15" s="86">
        <v>1</v>
      </c>
      <c r="CS15" s="22">
        <v>2</v>
      </c>
      <c r="CT15" s="22">
        <v>3</v>
      </c>
      <c r="CU15" s="22">
        <v>4</v>
      </c>
      <c r="CV15" s="22">
        <v>5</v>
      </c>
      <c r="CW15" s="22">
        <v>6</v>
      </c>
      <c r="CX15" s="22">
        <v>7</v>
      </c>
      <c r="CY15" s="22">
        <v>8</v>
      </c>
      <c r="CZ15" s="85">
        <v>9</v>
      </c>
      <c r="DA15" s="86">
        <v>1</v>
      </c>
      <c r="DB15" s="22">
        <v>2</v>
      </c>
      <c r="DC15" s="22">
        <v>3</v>
      </c>
      <c r="DD15" s="22">
        <v>4</v>
      </c>
      <c r="DE15" s="22">
        <v>5</v>
      </c>
      <c r="DF15" s="22">
        <v>6</v>
      </c>
      <c r="DG15" s="22">
        <v>7</v>
      </c>
      <c r="DH15" s="22">
        <v>8</v>
      </c>
      <c r="DI15" s="22">
        <v>9</v>
      </c>
      <c r="DJ15" s="87" t="s">
        <v>86</v>
      </c>
      <c r="DK15" s="76" t="s">
        <v>62</v>
      </c>
      <c r="DL15" s="76" t="s">
        <v>88</v>
      </c>
      <c r="DM15" s="22"/>
      <c r="DN15" s="22"/>
      <c r="DO15" s="85"/>
      <c r="DP15" s="86"/>
      <c r="DQ15" s="81"/>
      <c r="DR15" s="22"/>
      <c r="DS15" s="22"/>
      <c r="DT15" s="22"/>
      <c r="DU15" s="22"/>
      <c r="DV15" s="22"/>
      <c r="DW15" s="156" t="s">
        <v>331</v>
      </c>
      <c r="DX15" s="85"/>
      <c r="DY15" s="88"/>
      <c r="DZ15" s="89"/>
      <c r="EA15" s="90"/>
      <c r="EU15" s="25"/>
      <c r="FC15" s="22"/>
      <c r="FF15" s="22"/>
      <c r="FG15" s="80"/>
      <c r="FH15" s="621"/>
      <c r="FI15" s="221"/>
      <c r="FJ15" s="160"/>
      <c r="FK15" s="503"/>
      <c r="FL15" s="503"/>
      <c r="FM15" s="503"/>
      <c r="FN15" s="503"/>
      <c r="FO15" s="503"/>
      <c r="FP15" s="503"/>
      <c r="FQ15" s="503"/>
      <c r="FR15" s="503"/>
      <c r="FS15" s="503"/>
      <c r="GH15" s="3" t="s">
        <v>190</v>
      </c>
    </row>
    <row r="16" spans="1:190">
      <c r="A16" s="556" t="s">
        <v>7681</v>
      </c>
      <c r="C16" s="165">
        <v>1</v>
      </c>
      <c r="D16" s="31">
        <v>1</v>
      </c>
      <c r="E16" s="31" t="s">
        <v>332</v>
      </c>
      <c r="F16" s="31">
        <v>600</v>
      </c>
      <c r="G16" s="31">
        <f>1/3</f>
        <v>0.33333333333333331</v>
      </c>
      <c r="H16" s="31">
        <f>1.2/3</f>
        <v>0.39999999999999997</v>
      </c>
      <c r="I16" s="31">
        <f>0.4/3</f>
        <v>0.13333333333333333</v>
      </c>
      <c r="J16" s="31">
        <v>0.13333333333333333</v>
      </c>
      <c r="K16" s="31"/>
      <c r="L16" s="31"/>
      <c r="M16" s="31"/>
      <c r="N16" s="91"/>
      <c r="O16" s="91">
        <v>2</v>
      </c>
      <c r="P16" s="91">
        <f t="shared" ref="P16:P32" si="9">G16+H16+MAX((I16:J16),L16:M16)*O16</f>
        <v>1</v>
      </c>
      <c r="Q16" s="166" t="s">
        <v>408</v>
      </c>
      <c r="R16" s="31"/>
      <c r="S16" s="31" t="str">
        <f t="shared" ref="S16:S32" si="10">IF(R16&gt;0,R16,Q16)</f>
        <v/>
      </c>
      <c r="T16" s="31"/>
      <c r="U16" s="31"/>
      <c r="V16" s="31">
        <v>0.2</v>
      </c>
      <c r="W16" s="31">
        <f t="shared" ref="W16:W32" si="11">IF(AND(BH16=0,CD16=0),0,IF(V16&gt;0,V16,IF(U16=1,$W$11,0)))</f>
        <v>0.2</v>
      </c>
      <c r="X16" s="31"/>
      <c r="Y16" s="31">
        <f t="shared" ref="Y16:Y32" si="12">AD16</f>
        <v>1</v>
      </c>
      <c r="Z16" s="31">
        <f t="shared" ref="Z16:Z32" si="13">AE16</f>
        <v>1.2</v>
      </c>
      <c r="AA16" s="31">
        <f t="shared" ref="AA16:AA32" si="14">IF($BB$7=1,AF16,IF(AS16=12,$F16*I16/($AF$8*AL16+$AF$9*(1-AL16)),AF16))</f>
        <v>0.8</v>
      </c>
      <c r="AB16" s="31" t="str">
        <f t="shared" ref="AB16:AB32" si="15">IF($BB$7=1,AI16,IF(AV16=12,$F16*L16/($AI$8*AL16+$AI$9*(1-AL16)),AI16))</f>
        <v>자동</v>
      </c>
      <c r="AC16" s="31">
        <f t="shared" ref="AC16:AC32" si="16">IF(AND(AS16=2,EA16=1),AA16*O16,IF(AND(AS16=2,EA16=2),AB16*O16,IF(EA16=1,AA16,IF(EA16=2,AB16))))</f>
        <v>0.8</v>
      </c>
      <c r="AD16" s="31">
        <v>1</v>
      </c>
      <c r="AE16" s="31">
        <v>1.2</v>
      </c>
      <c r="AF16" s="31">
        <v>0.8</v>
      </c>
      <c r="AG16" s="31">
        <v>0.8</v>
      </c>
      <c r="AH16" s="31">
        <f t="shared" ref="AH16:AH32" si="17">IF(AU16=12,$F16*K16/IF($BB$7=1,IF($ED16=1,$AU$9,$AH$9),($AH$8*AL16+$AH$9*(1-AL16))),IF(AU16=42,$F16*K16/$AN16,IF(OR(AU16=1,AU16=4,AU16=2),$F16*K16/100,IF(AU16=9,$F16*K16/50,"자동"))))</f>
        <v>0</v>
      </c>
      <c r="AI16" s="31" t="str">
        <f t="shared" ref="AI16:AI32" si="18">IF(AV16=12,$F16*L16/IF($BB$7=1,IF($ED16=1,$AV$9,$AI$9),($AI$8*AL16+$AI$9*(1-AL16))),IF(AV16=42,$F16*L16/AO16,IF(OR(AV16=1,AV16=4,AV16=2),$F16*L16/100,IF(AV16=9,$F16*L16/50,"자동"))))</f>
        <v>자동</v>
      </c>
      <c r="AJ16" s="31" t="str">
        <f t="shared" ref="AJ16:AJ32" si="19">IF(AW16=12,$F16*M16/IF($BB$7=1,IF($ED16=1,$AW$9,$AJ$9),($AJ$8*AL16+$AJ$9*(1-AL16))),IF(AW16=42,$F16*M16/AO16,IF(OR(AW16=1,AW16=4,AW16=2),$F16*M16/100,IF(AW16=9,$F16*M16/50,"자동"))))</f>
        <v>자동</v>
      </c>
      <c r="AK16" s="31"/>
      <c r="AL16" s="31" t="str">
        <f t="shared" ref="AL16:AL32" si="20">IF(AK16&lt;&gt;"",AK16,IF(BA16&lt;&gt;12,"",IF(U16=1,1,IF(LEFT(E16,3)="서울대",0,""))))</f>
        <v/>
      </c>
      <c r="AM16" s="31"/>
      <c r="AN16" s="31" t="str">
        <f ca="1">IF($BA16=42,OFFSET(변환표준점수!C$119,$AP16-1,0),"")</f>
        <v/>
      </c>
      <c r="AO16" s="31" t="str">
        <f ca="1">IF($BA16=42,OFFSET(변환표준점수!D$119,$AP16-1,0),"")</f>
        <v/>
      </c>
      <c r="AP16" s="31" t="str">
        <f>IF(S16="","",MATCH(S16,변환표준점수!$B$119:$B$298,0))</f>
        <v/>
      </c>
      <c r="AQ16" s="31">
        <v>1</v>
      </c>
      <c r="AR16" s="31">
        <v>1</v>
      </c>
      <c r="AS16" s="31">
        <v>1</v>
      </c>
      <c r="AT16" s="31">
        <v>1</v>
      </c>
      <c r="AU16" s="31">
        <v>1</v>
      </c>
      <c r="AV16" s="31"/>
      <c r="AW16" s="31"/>
      <c r="AX16" s="31">
        <v>3</v>
      </c>
      <c r="AY16" s="31">
        <v>3</v>
      </c>
      <c r="AZ16" s="31"/>
      <c r="BA16" s="31">
        <f>IF(AS16&gt;0,AS16,AV16)</f>
        <v>1</v>
      </c>
      <c r="BB16" s="31"/>
      <c r="BC16" s="31"/>
      <c r="BD16" s="31"/>
      <c r="BE16" s="31"/>
      <c r="BF16" s="31"/>
      <c r="BG16" s="31"/>
      <c r="BH16" s="31"/>
      <c r="BI16" s="31">
        <v>0.9</v>
      </c>
      <c r="BJ16" s="168">
        <f t="shared" ref="BJ16:BJ32" si="21">IF(BI16="",IF(DT16=1,1,$BI$3),BI16)</f>
        <v>0.9</v>
      </c>
      <c r="BK16" s="168"/>
      <c r="BL16" s="31"/>
      <c r="BM16" s="92"/>
      <c r="BN16" s="219"/>
      <c r="BO16" s="31"/>
      <c r="BP16" s="31"/>
      <c r="BQ16" s="31"/>
      <c r="BR16" s="31"/>
      <c r="BS16" s="31"/>
      <c r="BT16" s="31"/>
      <c r="BU16" s="201">
        <f>IF(AND($BB$7=1,$DT$8=1),3,IF(AND($BB$7=1,$DT$8=2),5,0))</f>
        <v>0</v>
      </c>
      <c r="BV16" s="31"/>
      <c r="BW16" s="92"/>
      <c r="BX16" s="214"/>
      <c r="BY16" s="211"/>
      <c r="BZ16" s="211"/>
      <c r="CA16" s="211"/>
      <c r="CB16" s="211"/>
      <c r="CC16" s="211"/>
      <c r="CD16" s="211">
        <v>3</v>
      </c>
      <c r="CE16" s="211"/>
      <c r="CF16" s="211"/>
      <c r="CG16" s="224"/>
      <c r="CH16" s="205">
        <f t="shared" ref="CH16:CH32" si="22">F16*P16</f>
        <v>600</v>
      </c>
      <c r="CI16" s="167"/>
      <c r="CJ16" s="31">
        <v>-0.5</v>
      </c>
      <c r="CK16" s="31">
        <v>-2</v>
      </c>
      <c r="CL16" s="31">
        <v>-4</v>
      </c>
      <c r="CM16" s="31">
        <v>-6</v>
      </c>
      <c r="CN16" s="31">
        <v>-8</v>
      </c>
      <c r="CO16" s="31">
        <v>-10</v>
      </c>
      <c r="CP16" s="31">
        <v>-12</v>
      </c>
      <c r="CQ16" s="92">
        <v>-14</v>
      </c>
      <c r="CR16" s="167"/>
      <c r="CS16" s="31"/>
      <c r="CT16" s="31"/>
      <c r="CU16" s="31">
        <v>-0.4</v>
      </c>
      <c r="CV16" s="31">
        <v>-0.8</v>
      </c>
      <c r="CW16" s="31">
        <v>-1.2</v>
      </c>
      <c r="CX16" s="31">
        <v>-1.6</v>
      </c>
      <c r="CY16" s="31">
        <v>-2</v>
      </c>
      <c r="CZ16" s="92">
        <v>-2.4</v>
      </c>
      <c r="DA16" s="167"/>
      <c r="DB16" s="31"/>
      <c r="DC16" s="31"/>
      <c r="DD16" s="31"/>
      <c r="DE16" s="31"/>
      <c r="DF16" s="31"/>
      <c r="DG16" s="31"/>
      <c r="DH16" s="31"/>
      <c r="DI16" s="31"/>
      <c r="DJ16" s="31">
        <f t="shared" ref="DJ16:DJ32" ca="1" si="23">ROUND((CI16-EZ16),1)</f>
        <v>0</v>
      </c>
      <c r="DK16" s="93" t="e">
        <f t="shared" ref="DK16:DK32" ca="1" si="24">((CI16-EZ16)/(FG16+DJ16-FC16))*100</f>
        <v>#DIV/0!</v>
      </c>
      <c r="DL16" s="31">
        <f t="shared" ref="DL16:DL32" ca="1" si="25">ROUND((CR16-FA16)+(DA16-FB16),1)</f>
        <v>0</v>
      </c>
      <c r="DM16" s="31">
        <v>2</v>
      </c>
      <c r="DN16" s="31"/>
      <c r="DO16" s="92"/>
      <c r="DP16" s="167"/>
      <c r="DQ16" s="31">
        <v>1</v>
      </c>
      <c r="DR16" s="31"/>
      <c r="DS16" s="31"/>
      <c r="DT16" s="203"/>
      <c r="DU16" s="31"/>
      <c r="DV16" s="31"/>
      <c r="DW16" s="31">
        <f>IF(OR(LEFT(I13,1)="물",LEFT(I13,1)="화",LEFT(J13,1)="물",LEFT(J13,1)="화"),0,1)</f>
        <v>1</v>
      </c>
      <c r="DX16" s="92"/>
      <c r="DY16" s="167"/>
      <c r="DZ16" s="168"/>
      <c r="EA16" s="168">
        <f t="shared" ref="EA16:EA32" si="26">IF(DZ16&gt;0,DZ16,IF(DM16&gt;0,1,2))</f>
        <v>1</v>
      </c>
      <c r="EB16" s="31">
        <f t="shared" ref="EB16:EB32" si="27">MAX(DM16:DO16)</f>
        <v>2</v>
      </c>
      <c r="EC16" s="31">
        <f t="shared" ref="EC16:EC32" si="28">AND(DM16-0.1&lt;$DM$8,DN16-0.1&lt;$DN$8,DO16-0.1&lt;$DO$8)*1</f>
        <v>0</v>
      </c>
      <c r="ED16" s="31">
        <f t="shared" ref="ED16:ED32" si="29">IFERROR(IF(AND($DP$8&gt;=DP16,$DQ$8&gt;=DQ16,$DR$8&gt;=DR16,$DS$8&gt;=DS16,$DT$8&gt;=DT16,$DU$8&gt;=DU16,$DV$8&gt;=DV16,$DW$8&gt;=DW16,$DX$8&gt;=DX16,OR(DY16=0,$DY$8&lt;DY16),EC16=1),1,0),0)</f>
        <v>0</v>
      </c>
      <c r="EE16" s="31"/>
      <c r="EF16" s="31">
        <f t="shared" ref="EF16:EF32" ca="1" si="30">IFERROR(OFFSET(EF$3,MATCH(AQ16,$ED$4:$ED$10,0),0),0)</f>
        <v>0</v>
      </c>
      <c r="EG16" s="31">
        <f t="shared" ref="EG16:EG32" ca="1" si="31">IFERROR(OFFSET(EG$3,MATCH(AR16,$ED$4:$ED$10,0),0),0)</f>
        <v>0</v>
      </c>
      <c r="EH16" s="31">
        <f ca="1">IFERROR(IF(LEFT($BA16,1)="4",OFFSET(변환표준점수!$H$118,MATCH($S16,변환표준점수!$B$119:$B$198,0),),OFFSET(EH$3,MATCH(AS16,$ED$4:$ED$8,0),0)),0)</f>
        <v>0</v>
      </c>
      <c r="EI16" s="31">
        <f ca="1">IFERROR(IF(LEFT($BA16,1)="4",OFFSET(변환표준점수!$I$118,MATCH($S16,변환표준점수!$B$119:$B$198,0),0),OFFSET(EI$3,MATCH(AT16,$ED$4:$ED$8,0),0)),0)</f>
        <v>0</v>
      </c>
      <c r="EJ16" s="31"/>
      <c r="EK16" s="31">
        <f ca="1">IFERROR(IF(LEFT($BA16,1)="4",OFFSET(변환표준점수!$J$118,MATCH($S16,변환표준점수!$B$119:$B$198,0),0),OFFSET(EJ$3,MATCH(AV16,$ED$4:$ED$8,0),0)),0)</f>
        <v>0</v>
      </c>
      <c r="EL16" s="31">
        <f ca="1">IFERROR(IF(LEFT($BA16,1)="4",OFFSET(변환표준점수!$K$118,MATCH($S16,변환표준점수!$B$119:$B$198,0),0),OFFSET(EK$3,MATCH(AW16,$ED$4:$ED$8,0),0)),0)</f>
        <v>0</v>
      </c>
      <c r="EM16" s="31" t="str">
        <f t="shared" ref="EM16:EM32" ca="1" si="32">IFERROR(OFFSET(EL$3,MATCH(AX16,$ED$4:$ED$8,0),0),0)</f>
        <v/>
      </c>
      <c r="EN16" s="31" t="str">
        <f t="shared" ref="EN16:EN32" ca="1" si="33">IFERROR(OFFSET(EM$3,MATCH(AY16,$ED$4:$ED$8,0),0),0)</f>
        <v/>
      </c>
      <c r="EO16" s="31">
        <f t="shared" ref="EO16:EO32" ca="1" si="34">IFERROR(OFFSET(EN$3,MATCH(AZ16,$ED$4:$ED$8,0),0),0)</f>
        <v>0</v>
      </c>
      <c r="EP16" s="31"/>
      <c r="EQ16" s="31">
        <f ca="1">IFERROR(EF16*AD16+BO16,0)</f>
        <v>0</v>
      </c>
      <c r="ER16" s="31">
        <f t="shared" ref="ER16:ER32" ca="1" si="35">IFERROR(EG16*AE16+OFFSET($BP16,0,$ER$14-1),0)</f>
        <v>0</v>
      </c>
      <c r="ES16" s="31">
        <f t="shared" ref="ES16:ES32" ca="1" si="36">IFERROR((EH16*AF16+BS16)*$EP$9,0)</f>
        <v>0</v>
      </c>
      <c r="ET16" s="31">
        <f t="shared" ref="ET16:ET32" ca="1" si="37">IFERROR(IF(O16&lt;2,0,(EI16*AG16+BT16)*$EP$9),0)</f>
        <v>0</v>
      </c>
      <c r="EU16" s="31">
        <f t="shared" ref="EU16:EU32" si="38">IFERROR(BU16*$EP$9,0)</f>
        <v>0</v>
      </c>
      <c r="EV16" s="31">
        <f t="shared" ref="EV16:EV32" ca="1" si="39">IFERROR((EK16*AI16+BV16)*$EP$9,0)</f>
        <v>0</v>
      </c>
      <c r="EW16" s="31">
        <f t="shared" ref="EW16:EW32" ca="1" si="40">IFERROR(IF(O16&lt;2,0,(EL16*AJ16+BW16)*$EP$9),0)</f>
        <v>0</v>
      </c>
      <c r="EX16" s="31">
        <f ca="1">LARGE((ES16:ET16,EV16:EW16),1)</f>
        <v>0</v>
      </c>
      <c r="EY16" s="31">
        <f ca="1">IF(O16&lt;2,0,LARGE((ES16:ET16,EV16:EW16),2))</f>
        <v>0</v>
      </c>
      <c r="EZ16" s="31">
        <f t="shared" ref="EZ16:EZ32" ca="1" si="41">IFERROR(OFFSET(CI16,0,ROUND((1/(1/EM16))-1,0)),0)</f>
        <v>0</v>
      </c>
      <c r="FA16" s="31">
        <f t="shared" ref="FA16:FA32" ca="1" si="42">IFERROR(OFFSET(CR16,0,ROUND(1/(1/EN16),0)-1),0)</f>
        <v>0</v>
      </c>
      <c r="FB16" s="31">
        <f t="shared" ref="FB16:FB32" ca="1" si="43">IFERROR(OFFSET(DA16,0,ROUND(1/(1/EO16),0)-1),0)</f>
        <v>0</v>
      </c>
      <c r="FC16" s="31"/>
      <c r="FD16" s="31"/>
      <c r="FE16" s="31"/>
      <c r="FF16" s="31"/>
      <c r="FG16" s="3">
        <f t="shared" ref="FG16:FG32" ca="1" si="44">IF(FF16&gt;0,FF16,EQ16+ER16+EU16+EX16+EY16+EZ16+FA16+FB16+FC16)</f>
        <v>0</v>
      </c>
      <c r="FH16" s="622"/>
      <c r="FI16" s="617"/>
      <c r="FJ16" s="222"/>
      <c r="FL16" s="504"/>
      <c r="FM16" s="504"/>
      <c r="FN16" s="504"/>
      <c r="FO16" s="504"/>
      <c r="FP16" s="504"/>
      <c r="FQ16" s="504"/>
      <c r="FR16" s="504"/>
      <c r="FS16" s="504"/>
      <c r="FT16" s="504"/>
      <c r="FU16" s="31" t="str">
        <f>IF(AQ16=1,"표점",IF(AQ16=12,"표점/만점",IF(AQ16=2,"백분위")))</f>
        <v>표점</v>
      </c>
      <c r="FV16" s="92" t="str">
        <f>IF(BA16=1,"표점",IF(BA16=12,"표점/만점",IF(BA16=2,"백분위",IF(BA16=4,"변표",IF(BA16=42,"변표/만점")))))</f>
        <v>표점</v>
      </c>
      <c r="FW16" s="169">
        <f t="shared" ref="FW16:FW32" si="45">ROUND(Y16/$FZ16,2)</f>
        <v>0.33</v>
      </c>
      <c r="FX16" s="169">
        <f t="shared" ref="FX16:FX32" si="46">ROUND(Z16/$FZ16,2)</f>
        <v>0.4</v>
      </c>
      <c r="FY16" s="169">
        <f t="shared" ref="FY16:FY32" si="47">ROUND(AC16/$FZ16,2)</f>
        <v>0.27</v>
      </c>
      <c r="FZ16" s="169">
        <f t="shared" ref="FZ16:FZ32" si="48">Y16+Z16+AC16</f>
        <v>3</v>
      </c>
    </row>
    <row r="17" spans="1:182">
      <c r="A17" s="556">
        <v>26</v>
      </c>
      <c r="C17" s="3">
        <f t="shared" ref="C17:C32" si="49">ROUND(ROW(C17)-ROW($C$15),0)</f>
        <v>2</v>
      </c>
      <c r="D17" s="3">
        <v>2</v>
      </c>
      <c r="E17" s="3" t="s">
        <v>333</v>
      </c>
      <c r="F17" s="3">
        <v>600</v>
      </c>
      <c r="G17" s="3">
        <v>0.33333333333333331</v>
      </c>
      <c r="H17" s="3">
        <v>0.39999999999999997</v>
      </c>
      <c r="I17" s="3">
        <v>0.13333333333333333</v>
      </c>
      <c r="J17" s="3">
        <v>0.13333333333333333</v>
      </c>
      <c r="N17" s="94"/>
      <c r="O17" s="94">
        <v>2</v>
      </c>
      <c r="P17" s="94">
        <f t="shared" si="9"/>
        <v>1</v>
      </c>
      <c r="Q17" s="95" t="s">
        <v>408</v>
      </c>
      <c r="S17" s="3" t="str">
        <f t="shared" si="10"/>
        <v/>
      </c>
      <c r="V17" s="3">
        <v>0.1</v>
      </c>
      <c r="W17" s="3">
        <f t="shared" si="11"/>
        <v>0.1</v>
      </c>
      <c r="Y17" s="3">
        <f t="shared" si="12"/>
        <v>1</v>
      </c>
      <c r="Z17" s="3">
        <f t="shared" si="13"/>
        <v>1.2</v>
      </c>
      <c r="AA17" s="3">
        <f t="shared" si="14"/>
        <v>0.8</v>
      </c>
      <c r="AB17" s="3" t="str">
        <f t="shared" si="15"/>
        <v>자동</v>
      </c>
      <c r="AC17" s="3">
        <f t="shared" si="16"/>
        <v>0.8</v>
      </c>
      <c r="AD17" s="3">
        <v>1</v>
      </c>
      <c r="AE17" s="3">
        <v>1.2</v>
      </c>
      <c r="AF17" s="3">
        <v>0.8</v>
      </c>
      <c r="AG17" s="3">
        <v>0.8</v>
      </c>
      <c r="AH17" s="3" t="str">
        <f t="shared" si="17"/>
        <v>자동</v>
      </c>
      <c r="AI17" s="3" t="str">
        <f t="shared" si="18"/>
        <v>자동</v>
      </c>
      <c r="AJ17" s="3" t="str">
        <f t="shared" si="19"/>
        <v>자동</v>
      </c>
      <c r="AL17" s="3" t="str">
        <f t="shared" si="20"/>
        <v/>
      </c>
      <c r="AN17" s="3" t="str">
        <f ca="1">IF($BA17=42,OFFSET(변환표준점수!C$119,$AP17-1,0),"")</f>
        <v/>
      </c>
      <c r="AO17" s="3" t="str">
        <f ca="1">IF($BA17=42,OFFSET(변환표준점수!D$119,$AP17-1,0),"")</f>
        <v/>
      </c>
      <c r="AP17" s="3" t="str">
        <f>IF(S17="","",MATCH(S17,변환표준점수!$B$119:$B$298,0))</f>
        <v/>
      </c>
      <c r="AQ17" s="3">
        <v>1</v>
      </c>
      <c r="AR17" s="3">
        <v>1</v>
      </c>
      <c r="AS17" s="3">
        <v>1</v>
      </c>
      <c r="AT17" s="3">
        <v>1</v>
      </c>
      <c r="AX17" s="3">
        <v>3</v>
      </c>
      <c r="AY17" s="3">
        <v>3</v>
      </c>
      <c r="BA17" s="3">
        <v>1</v>
      </c>
      <c r="BI17" s="3">
        <v>0.9</v>
      </c>
      <c r="BJ17" s="124">
        <f t="shared" si="21"/>
        <v>0.9</v>
      </c>
      <c r="BU17" s="202">
        <f>IF(AND($BB$7=1,$DT$8=1),3,IF(AND($BB$7=1,$DT$8=2),5,0))</f>
        <v>0</v>
      </c>
      <c r="CD17" s="3">
        <v>3</v>
      </c>
      <c r="CH17" s="206">
        <f t="shared" si="22"/>
        <v>600</v>
      </c>
      <c r="CJ17" s="3">
        <v>-0.5</v>
      </c>
      <c r="CK17" s="3">
        <v>-2</v>
      </c>
      <c r="CL17" s="3">
        <v>-4</v>
      </c>
      <c r="CM17" s="3">
        <v>-6</v>
      </c>
      <c r="CN17" s="3">
        <v>-8</v>
      </c>
      <c r="CO17" s="3">
        <v>-10</v>
      </c>
      <c r="CP17" s="3">
        <v>-12</v>
      </c>
      <c r="CQ17" s="3">
        <v>-14</v>
      </c>
      <c r="CU17" s="3">
        <v>-0.4</v>
      </c>
      <c r="CV17" s="3">
        <v>-0.8</v>
      </c>
      <c r="CW17" s="3">
        <v>-1.2</v>
      </c>
      <c r="CX17" s="3">
        <v>-1.6</v>
      </c>
      <c r="CY17" s="3">
        <v>-2</v>
      </c>
      <c r="CZ17" s="3">
        <v>-2.4</v>
      </c>
      <c r="DJ17" s="3">
        <f t="shared" ca="1" si="23"/>
        <v>0</v>
      </c>
      <c r="DK17" s="93" t="e">
        <f t="shared" ca="1" si="24"/>
        <v>#DIV/0!</v>
      </c>
      <c r="DL17" s="3">
        <f t="shared" ca="1" si="25"/>
        <v>0</v>
      </c>
      <c r="DM17" s="3">
        <v>2</v>
      </c>
      <c r="DQ17" s="3">
        <v>1</v>
      </c>
      <c r="DT17" s="204"/>
      <c r="EA17" s="3">
        <f t="shared" si="26"/>
        <v>1</v>
      </c>
      <c r="EB17" s="3">
        <f t="shared" si="27"/>
        <v>2</v>
      </c>
      <c r="EC17" s="3">
        <f t="shared" si="28"/>
        <v>0</v>
      </c>
      <c r="ED17" s="3">
        <f t="shared" si="29"/>
        <v>0</v>
      </c>
      <c r="EF17" s="3">
        <f t="shared" ca="1" si="30"/>
        <v>0</v>
      </c>
      <c r="EG17" s="3">
        <f t="shared" ca="1" si="31"/>
        <v>0</v>
      </c>
      <c r="EH17" s="3">
        <f ca="1">IFERROR(IF(LEFT($BA17,1)="4",OFFSET(변환표준점수!$H$118,MATCH($S17,변환표준점수!$B$119:$B$198,0),),OFFSET(EH$3,MATCH(AS17,$ED$4:$ED$8,0),0)),0)</f>
        <v>0</v>
      </c>
      <c r="EI17" s="3">
        <f ca="1">IFERROR(IF(LEFT($BA17,1)="4",OFFSET(변환표준점수!$I$118,MATCH($S17,변환표준점수!$B$119:$B$198,0),0),OFFSET(EI$3,MATCH(AT17,$ED$4:$ED$8,0),0)),0)</f>
        <v>0</v>
      </c>
      <c r="EK17" s="3">
        <f ca="1">IFERROR(IF(LEFT($BA17,1)="4",OFFSET(변환표준점수!$J$118,MATCH($S17,변환표준점수!$B$119:$B$198,0),0),OFFSET(EJ$3,MATCH(AV17,$ED$4:$ED$8,0),0)),0)</f>
        <v>0</v>
      </c>
      <c r="EL17" s="3">
        <f ca="1">IFERROR(IF(LEFT($BA17,1)="4",OFFSET(변환표준점수!$K$118,MATCH($S17,변환표준점수!$B$119:$B$198,0),0),OFFSET(EK$3,MATCH(AW17,$ED$4:$ED$8,0),0)),0)</f>
        <v>0</v>
      </c>
      <c r="EM17" s="3" t="str">
        <f t="shared" ca="1" si="32"/>
        <v/>
      </c>
      <c r="EN17" s="3" t="str">
        <f t="shared" ca="1" si="33"/>
        <v/>
      </c>
      <c r="EO17" s="3">
        <f t="shared" ca="1" si="34"/>
        <v>0</v>
      </c>
      <c r="EQ17" s="3">
        <f t="shared" ref="EQ17:EQ32" ca="1" si="50">IFERROR((EF17*AD17+BO17)*$EP$9,0)</f>
        <v>0</v>
      </c>
      <c r="ER17" s="3">
        <f t="shared" ca="1" si="35"/>
        <v>0</v>
      </c>
      <c r="ES17" s="3">
        <f t="shared" ca="1" si="36"/>
        <v>0</v>
      </c>
      <c r="ET17" s="3">
        <f t="shared" ca="1" si="37"/>
        <v>0</v>
      </c>
      <c r="EU17" s="3">
        <f t="shared" si="38"/>
        <v>0</v>
      </c>
      <c r="EV17" s="3">
        <f t="shared" ca="1" si="39"/>
        <v>0</v>
      </c>
      <c r="EW17" s="3">
        <f t="shared" ca="1" si="40"/>
        <v>0</v>
      </c>
      <c r="EX17" s="3">
        <f ca="1">LARGE((ES17:ET17,EV17:EW17),1)</f>
        <v>0</v>
      </c>
      <c r="EY17" s="3">
        <f ca="1">IF(O17&lt;2,0,LARGE((ES17:ET17,EV17:EW17),2))</f>
        <v>0</v>
      </c>
      <c r="EZ17" s="3">
        <f t="shared" ca="1" si="41"/>
        <v>0</v>
      </c>
      <c r="FA17" s="3">
        <f t="shared" ca="1" si="42"/>
        <v>0</v>
      </c>
      <c r="FB17" s="3">
        <f t="shared" ca="1" si="43"/>
        <v>0</v>
      </c>
      <c r="FG17" s="3">
        <f t="shared" ca="1" si="44"/>
        <v>0</v>
      </c>
      <c r="FH17" s="618"/>
      <c r="FU17" s="3" t="str">
        <f t="shared" ref="FU17:FU79" si="51">IF(AQ17=1,"표점",IF(AQ17=12,"표점/만점",IF(AQ17=2,"백분위")))</f>
        <v>표점</v>
      </c>
      <c r="FV17" s="3" t="str">
        <f t="shared" ref="FV17:FV79" si="52">IF(BA17=1,"표점",IF(BA17=12,"표점/만점",IF(BA17=2,"백분위",IF(BA17=4,"변표",IF(BA17=42,"변표/만점")))))</f>
        <v>표점</v>
      </c>
      <c r="FW17" s="3">
        <f t="shared" si="45"/>
        <v>0.33</v>
      </c>
      <c r="FX17" s="3">
        <f t="shared" si="46"/>
        <v>0.4</v>
      </c>
      <c r="FY17" s="3">
        <f t="shared" si="47"/>
        <v>0.27</v>
      </c>
      <c r="FZ17" s="3">
        <f t="shared" si="48"/>
        <v>3</v>
      </c>
    </row>
    <row r="18" spans="1:182">
      <c r="A18" s="556">
        <v>26</v>
      </c>
      <c r="C18" s="3">
        <f t="shared" si="49"/>
        <v>3</v>
      </c>
      <c r="D18" s="25">
        <v>3</v>
      </c>
      <c r="E18" s="3" t="s">
        <v>266</v>
      </c>
      <c r="F18" s="3">
        <v>600</v>
      </c>
      <c r="G18" s="3">
        <v>0.33333333333333331</v>
      </c>
      <c r="H18" s="3">
        <v>0.39999999999999997</v>
      </c>
      <c r="I18" s="3">
        <v>0.13333333333333333</v>
      </c>
      <c r="J18" s="3">
        <v>0.13333333333333333</v>
      </c>
      <c r="L18" s="3">
        <v>0.13333333333333333</v>
      </c>
      <c r="M18" s="3">
        <v>0.13333333333333333</v>
      </c>
      <c r="N18" s="94"/>
      <c r="O18" s="94">
        <v>2</v>
      </c>
      <c r="P18" s="94">
        <f t="shared" si="9"/>
        <v>1</v>
      </c>
      <c r="Q18" s="95" t="s">
        <v>408</v>
      </c>
      <c r="S18" s="3" t="str">
        <f t="shared" si="10"/>
        <v/>
      </c>
      <c r="V18" s="3">
        <v>0.1</v>
      </c>
      <c r="W18" s="3">
        <f t="shared" si="11"/>
        <v>0</v>
      </c>
      <c r="Y18" s="3">
        <f t="shared" si="12"/>
        <v>1</v>
      </c>
      <c r="Z18" s="3">
        <f t="shared" si="13"/>
        <v>1.2</v>
      </c>
      <c r="AA18" s="3">
        <f t="shared" si="14"/>
        <v>0.8</v>
      </c>
      <c r="AB18" s="3">
        <f t="shared" si="15"/>
        <v>0.8</v>
      </c>
      <c r="AC18" s="3">
        <f t="shared" si="16"/>
        <v>0.8</v>
      </c>
      <c r="AD18" s="3">
        <v>1</v>
      </c>
      <c r="AE18" s="3">
        <v>1.2</v>
      </c>
      <c r="AF18" s="3">
        <v>0.8</v>
      </c>
      <c r="AG18" s="3">
        <v>0.8</v>
      </c>
      <c r="AH18" s="3" t="str">
        <f t="shared" si="17"/>
        <v>자동</v>
      </c>
      <c r="AI18" s="3">
        <f t="shared" si="18"/>
        <v>0.8</v>
      </c>
      <c r="AJ18" s="3">
        <f t="shared" si="19"/>
        <v>0.8</v>
      </c>
      <c r="AL18" s="3" t="str">
        <f t="shared" si="20"/>
        <v/>
      </c>
      <c r="AN18" s="3" t="str">
        <f ca="1">IF($BA18=42,OFFSET(변환표준점수!C$119,$AP18-1,0),"")</f>
        <v/>
      </c>
      <c r="AO18" s="3" t="str">
        <f ca="1">IF($BA18=42,OFFSET(변환표준점수!D$119,$AP18-1,0),"")</f>
        <v/>
      </c>
      <c r="AP18" s="3" t="str">
        <f>IF(S18="","",MATCH(S18,변환표준점수!$B$119:$B$298,0))</f>
        <v/>
      </c>
      <c r="AQ18" s="3">
        <v>1</v>
      </c>
      <c r="AR18" s="3">
        <v>1</v>
      </c>
      <c r="AS18" s="3">
        <v>1</v>
      </c>
      <c r="AT18" s="3">
        <v>1</v>
      </c>
      <c r="AV18" s="3">
        <v>1</v>
      </c>
      <c r="AW18" s="3">
        <v>1</v>
      </c>
      <c r="AX18" s="3">
        <v>3</v>
      </c>
      <c r="AY18" s="3">
        <v>3</v>
      </c>
      <c r="AZ18" s="3">
        <v>3</v>
      </c>
      <c r="BA18" s="3">
        <f t="shared" ref="BA18:BA32" si="53">IF(AS18&gt;0,AS18,AV18)</f>
        <v>1</v>
      </c>
      <c r="BJ18" s="124">
        <f t="shared" si="21"/>
        <v>0</v>
      </c>
      <c r="CH18" s="206">
        <f t="shared" si="22"/>
        <v>600</v>
      </c>
      <c r="CJ18" s="3">
        <v>-0.5</v>
      </c>
      <c r="CK18" s="3">
        <v>-2</v>
      </c>
      <c r="CL18" s="3">
        <v>-4</v>
      </c>
      <c r="CM18" s="3">
        <v>-6</v>
      </c>
      <c r="CN18" s="3">
        <v>-8</v>
      </c>
      <c r="CO18" s="3">
        <v>-10</v>
      </c>
      <c r="CP18" s="3">
        <v>-12</v>
      </c>
      <c r="CQ18" s="3">
        <v>-14</v>
      </c>
      <c r="CU18" s="3">
        <v>-0.4</v>
      </c>
      <c r="CV18" s="3">
        <v>-0.8</v>
      </c>
      <c r="CW18" s="3">
        <v>-1.2</v>
      </c>
      <c r="CX18" s="3">
        <v>-1.6</v>
      </c>
      <c r="CY18" s="3">
        <v>-2</v>
      </c>
      <c r="CZ18" s="3">
        <v>-2.4</v>
      </c>
      <c r="DC18" s="3">
        <v>-0.5</v>
      </c>
      <c r="DD18" s="3">
        <v>-1</v>
      </c>
      <c r="DE18" s="3">
        <v>-1.5</v>
      </c>
      <c r="DF18" s="3">
        <v>-2</v>
      </c>
      <c r="DG18" s="3">
        <v>-2.5</v>
      </c>
      <c r="DH18" s="3">
        <v>-3</v>
      </c>
      <c r="DI18" s="3">
        <v>-3.5</v>
      </c>
      <c r="DJ18" s="3">
        <f t="shared" ca="1" si="23"/>
        <v>0</v>
      </c>
      <c r="DK18" s="93" t="e">
        <f t="shared" ca="1" si="24"/>
        <v>#DIV/0!</v>
      </c>
      <c r="DL18" s="3">
        <f t="shared" ca="1" si="25"/>
        <v>0</v>
      </c>
      <c r="DO18" s="3">
        <v>2</v>
      </c>
      <c r="DX18" s="3">
        <v>1</v>
      </c>
      <c r="EA18" s="3">
        <f t="shared" si="26"/>
        <v>2</v>
      </c>
      <c r="EB18" s="3">
        <f t="shared" si="27"/>
        <v>2</v>
      </c>
      <c r="EC18" s="3">
        <f t="shared" si="28"/>
        <v>0</v>
      </c>
      <c r="ED18" s="3">
        <f t="shared" si="29"/>
        <v>0</v>
      </c>
      <c r="EF18" s="3">
        <f t="shared" ca="1" si="30"/>
        <v>0</v>
      </c>
      <c r="EG18" s="3">
        <f t="shared" ca="1" si="31"/>
        <v>0</v>
      </c>
      <c r="EH18" s="3">
        <f ca="1">IFERROR(IF(LEFT($BA18,1)="4",OFFSET(변환표준점수!$H$118,MATCH($S18,변환표준점수!$B$119:$B$198,0),),OFFSET(EH$3,MATCH(AS18,$ED$4:$ED$8,0),0)),0)</f>
        <v>0</v>
      </c>
      <c r="EI18" s="3">
        <f ca="1">IFERROR(IF(LEFT($BA18,1)="4",OFFSET(변환표준점수!$I$118,MATCH($S18,변환표준점수!$B$119:$B$198,0),0),OFFSET(EI$3,MATCH(AT18,$ED$4:$ED$8,0),0)),0)</f>
        <v>0</v>
      </c>
      <c r="EK18" s="3">
        <f ca="1">IFERROR(IF(LEFT($BA18,1)="4",OFFSET(변환표준점수!$J$118,MATCH($S18,변환표준점수!$B$119:$B$198,0),0),OFFSET(EJ$3,MATCH(AV18,$ED$4:$ED$8,0),0)),0)</f>
        <v>0</v>
      </c>
      <c r="EL18" s="3">
        <f ca="1">IFERROR(IF(LEFT($BA18,1)="4",OFFSET(변환표준점수!$K$118,MATCH($S18,변환표준점수!$B$119:$B$198,0),0),OFFSET(EK$3,MATCH(AW18,$ED$4:$ED$8,0),0)),0)</f>
        <v>0</v>
      </c>
      <c r="EM18" s="3" t="str">
        <f t="shared" ca="1" si="32"/>
        <v/>
      </c>
      <c r="EN18" s="3" t="str">
        <f t="shared" ca="1" si="33"/>
        <v/>
      </c>
      <c r="EO18" s="3" t="str">
        <f t="shared" ca="1" si="34"/>
        <v/>
      </c>
      <c r="EQ18" s="3">
        <f t="shared" ca="1" si="50"/>
        <v>0</v>
      </c>
      <c r="ER18" s="3">
        <f t="shared" ca="1" si="35"/>
        <v>0</v>
      </c>
      <c r="ES18" s="3">
        <f t="shared" ca="1" si="36"/>
        <v>0</v>
      </c>
      <c r="ET18" s="3">
        <f t="shared" ca="1" si="37"/>
        <v>0</v>
      </c>
      <c r="EU18" s="3">
        <f t="shared" si="38"/>
        <v>0</v>
      </c>
      <c r="EV18" s="3">
        <f t="shared" ca="1" si="39"/>
        <v>0</v>
      </c>
      <c r="EW18" s="3">
        <f t="shared" ca="1" si="40"/>
        <v>0</v>
      </c>
      <c r="EX18" s="3">
        <f ca="1">LARGE((ES18:ET18,EV18:EW18),1)</f>
        <v>0</v>
      </c>
      <c r="EY18" s="3">
        <f ca="1">IF(O18&lt;2,0,LARGE((ES18:ET18,EV18:EW18),2))</f>
        <v>0</v>
      </c>
      <c r="EZ18" s="3">
        <f t="shared" ca="1" si="41"/>
        <v>0</v>
      </c>
      <c r="FA18" s="3">
        <f t="shared" ca="1" si="42"/>
        <v>0</v>
      </c>
      <c r="FB18" s="3">
        <f t="shared" ca="1" si="43"/>
        <v>0</v>
      </c>
      <c r="FG18" s="3">
        <f t="shared" ca="1" si="44"/>
        <v>0</v>
      </c>
      <c r="FH18" s="618"/>
      <c r="FU18" s="3" t="str">
        <f t="shared" si="51"/>
        <v>표점</v>
      </c>
      <c r="FV18" s="3" t="str">
        <f t="shared" si="52"/>
        <v>표점</v>
      </c>
      <c r="FW18" s="3">
        <f t="shared" si="45"/>
        <v>0.33</v>
      </c>
      <c r="FX18" s="3">
        <f t="shared" si="46"/>
        <v>0.4</v>
      </c>
      <c r="FY18" s="3">
        <f t="shared" si="47"/>
        <v>0.27</v>
      </c>
      <c r="FZ18" s="3">
        <f t="shared" si="48"/>
        <v>3</v>
      </c>
    </row>
    <row r="19" spans="1:182">
      <c r="A19" s="556">
        <v>26</v>
      </c>
      <c r="C19" s="3">
        <f t="shared" si="49"/>
        <v>4</v>
      </c>
      <c r="D19" s="19">
        <v>4</v>
      </c>
      <c r="E19" s="3" t="s">
        <v>265</v>
      </c>
      <c r="F19" s="3">
        <v>600</v>
      </c>
      <c r="G19" s="3">
        <v>0.33333333333333331</v>
      </c>
      <c r="H19" s="3">
        <v>0.39999999999999997</v>
      </c>
      <c r="I19" s="3">
        <v>0.13333333333333333</v>
      </c>
      <c r="J19" s="3">
        <v>0.13333333333333333</v>
      </c>
      <c r="L19" s="3">
        <v>0.13333333333333333</v>
      </c>
      <c r="M19" s="3">
        <v>0.13333333333333333</v>
      </c>
      <c r="O19" s="3">
        <v>2</v>
      </c>
      <c r="P19" s="3">
        <f t="shared" si="9"/>
        <v>1</v>
      </c>
      <c r="Q19" s="3" t="s">
        <v>408</v>
      </c>
      <c r="S19" s="3" t="str">
        <f t="shared" si="10"/>
        <v/>
      </c>
      <c r="V19" s="3">
        <v>0.1</v>
      </c>
      <c r="W19" s="3">
        <f t="shared" si="11"/>
        <v>0</v>
      </c>
      <c r="Y19" s="3">
        <f t="shared" si="12"/>
        <v>1</v>
      </c>
      <c r="Z19" s="3">
        <f t="shared" si="13"/>
        <v>1.2</v>
      </c>
      <c r="AA19" s="3">
        <f t="shared" si="14"/>
        <v>0.8</v>
      </c>
      <c r="AB19" s="3">
        <f t="shared" si="15"/>
        <v>0.8</v>
      </c>
      <c r="AC19" s="3">
        <f t="shared" si="16"/>
        <v>0.8</v>
      </c>
      <c r="AD19" s="3">
        <v>1</v>
      </c>
      <c r="AE19" s="3">
        <v>1.2</v>
      </c>
      <c r="AF19" s="3">
        <v>0.8</v>
      </c>
      <c r="AG19" s="3">
        <v>0.8</v>
      </c>
      <c r="AH19" s="3" t="str">
        <f t="shared" si="17"/>
        <v>자동</v>
      </c>
      <c r="AI19" s="3">
        <f t="shared" si="18"/>
        <v>0.8</v>
      </c>
      <c r="AJ19" s="3">
        <f t="shared" si="19"/>
        <v>0.8</v>
      </c>
      <c r="AL19" s="3" t="str">
        <f t="shared" si="20"/>
        <v/>
      </c>
      <c r="AN19" s="3" t="str">
        <f ca="1">IF($BA19=42,OFFSET(변환표준점수!C$119,$AP19-1,0),"")</f>
        <v/>
      </c>
      <c r="AO19" s="3" t="str">
        <f ca="1">IF($BA19=42,OFFSET(변환표준점수!D$119,$AP19-1,0),"")</f>
        <v/>
      </c>
      <c r="AP19" s="3" t="str">
        <f>IF(S19="","",MATCH(S19,변환표준점수!$B$119:$B$298,0))</f>
        <v/>
      </c>
      <c r="AQ19" s="3">
        <v>1</v>
      </c>
      <c r="AR19" s="3">
        <v>1</v>
      </c>
      <c r="AS19" s="3">
        <v>1</v>
      </c>
      <c r="AT19" s="3">
        <v>1</v>
      </c>
      <c r="AV19" s="3">
        <v>1</v>
      </c>
      <c r="AW19" s="3">
        <v>1</v>
      </c>
      <c r="AX19" s="3">
        <v>3</v>
      </c>
      <c r="AY19" s="3">
        <v>3</v>
      </c>
      <c r="BA19" s="3">
        <f t="shared" si="53"/>
        <v>1</v>
      </c>
      <c r="BJ19" s="124">
        <f t="shared" si="21"/>
        <v>0</v>
      </c>
      <c r="CH19" s="206">
        <f t="shared" si="22"/>
        <v>600</v>
      </c>
      <c r="CJ19" s="3">
        <v>-0.5</v>
      </c>
      <c r="CK19" s="3">
        <v>-2</v>
      </c>
      <c r="CL19" s="3">
        <v>-4</v>
      </c>
      <c r="CM19" s="3">
        <v>-6</v>
      </c>
      <c r="CN19" s="3">
        <v>-8</v>
      </c>
      <c r="CO19" s="3">
        <v>-10</v>
      </c>
      <c r="CP19" s="3">
        <v>-12</v>
      </c>
      <c r="CQ19" s="3">
        <v>-14</v>
      </c>
      <c r="CU19" s="3">
        <v>-0.4</v>
      </c>
      <c r="CV19" s="3">
        <v>-0.8</v>
      </c>
      <c r="CW19" s="3">
        <v>-1.2</v>
      </c>
      <c r="CX19" s="3">
        <v>-1.6</v>
      </c>
      <c r="CY19" s="3">
        <v>-2</v>
      </c>
      <c r="CZ19" s="3">
        <v>-2.4</v>
      </c>
      <c r="DJ19" s="3">
        <f t="shared" ca="1" si="23"/>
        <v>0</v>
      </c>
      <c r="DK19" s="93" t="e">
        <f t="shared" ca="1" si="24"/>
        <v>#DIV/0!</v>
      </c>
      <c r="DL19" s="3">
        <f t="shared" ca="1" si="25"/>
        <v>0</v>
      </c>
      <c r="DO19" s="3">
        <v>2</v>
      </c>
      <c r="DZ19" s="3">
        <v>1</v>
      </c>
      <c r="EA19" s="3">
        <f t="shared" si="26"/>
        <v>1</v>
      </c>
      <c r="EB19" s="3">
        <f t="shared" si="27"/>
        <v>2</v>
      </c>
      <c r="EC19" s="3">
        <f t="shared" si="28"/>
        <v>0</v>
      </c>
      <c r="ED19" s="3">
        <f t="shared" si="29"/>
        <v>0</v>
      </c>
      <c r="EF19" s="3">
        <f t="shared" ca="1" si="30"/>
        <v>0</v>
      </c>
      <c r="EG19" s="3">
        <f t="shared" ca="1" si="31"/>
        <v>0</v>
      </c>
      <c r="EH19" s="3">
        <f ca="1">IFERROR(IF(LEFT($BA19,1)="4",OFFSET(변환표준점수!$H$118,MATCH($S19,변환표준점수!$B$119:$B$198,0),),OFFSET(EH$3,MATCH(AS19,$ED$4:$ED$8,0),0)),0)</f>
        <v>0</v>
      </c>
      <c r="EI19" s="3">
        <f ca="1">IFERROR(IF(LEFT($BA19,1)="4",OFFSET(변환표준점수!$I$118,MATCH($S19,변환표준점수!$B$119:$B$198,0),0),OFFSET(EI$3,MATCH(AT19,$ED$4:$ED$8,0),0)),0)</f>
        <v>0</v>
      </c>
      <c r="EK19" s="3">
        <f ca="1">IFERROR(IF(LEFT($BA19,1)="4",OFFSET(변환표준점수!$J$118,MATCH($S19,변환표준점수!$B$119:$B$198,0),0),OFFSET(EJ$3,MATCH(AV19,$ED$4:$ED$8,0),0)),0)</f>
        <v>0</v>
      </c>
      <c r="EL19" s="3">
        <f ca="1">IFERROR(IF(LEFT($BA19,1)="4",OFFSET(변환표준점수!$K$118,MATCH($S19,변환표준점수!$B$119:$B$198,0),0),OFFSET(EK$3,MATCH(AW19,$ED$4:$ED$8,0),0)),0)</f>
        <v>0</v>
      </c>
      <c r="EM19" s="3" t="str">
        <f t="shared" ca="1" si="32"/>
        <v/>
      </c>
      <c r="EN19" s="3" t="str">
        <f t="shared" ca="1" si="33"/>
        <v/>
      </c>
      <c r="EO19" s="3">
        <f t="shared" ca="1" si="34"/>
        <v>0</v>
      </c>
      <c r="EQ19" s="3">
        <f t="shared" ca="1" si="50"/>
        <v>0</v>
      </c>
      <c r="ER19" s="3">
        <f t="shared" ca="1" si="35"/>
        <v>0</v>
      </c>
      <c r="ES19" s="3">
        <f t="shared" ca="1" si="36"/>
        <v>0</v>
      </c>
      <c r="ET19" s="3">
        <f t="shared" ca="1" si="37"/>
        <v>0</v>
      </c>
      <c r="EU19" s="3">
        <f t="shared" si="38"/>
        <v>0</v>
      </c>
      <c r="EV19" s="3">
        <f t="shared" ca="1" si="39"/>
        <v>0</v>
      </c>
      <c r="EW19" s="3">
        <f t="shared" ca="1" si="40"/>
        <v>0</v>
      </c>
      <c r="EX19" s="3">
        <f ca="1">LARGE((ES19:ET19,EV19:EW19),1)</f>
        <v>0</v>
      </c>
      <c r="EY19" s="3">
        <f ca="1">IF(O19&lt;2,0,LARGE((ES19:ET19,EV19:EW19),2))</f>
        <v>0</v>
      </c>
      <c r="EZ19" s="3">
        <f t="shared" ca="1" si="41"/>
        <v>0</v>
      </c>
      <c r="FA19" s="3">
        <f t="shared" ca="1" si="42"/>
        <v>0</v>
      </c>
      <c r="FB19" s="3">
        <f t="shared" ca="1" si="43"/>
        <v>0</v>
      </c>
      <c r="FG19" s="3">
        <f t="shared" ca="1" si="44"/>
        <v>0</v>
      </c>
      <c r="FH19" s="618"/>
      <c r="FU19" s="3" t="str">
        <f t="shared" si="51"/>
        <v>표점</v>
      </c>
      <c r="FV19" s="3" t="str">
        <f t="shared" si="52"/>
        <v>표점</v>
      </c>
      <c r="FW19" s="3">
        <f t="shared" si="45"/>
        <v>0.33</v>
      </c>
      <c r="FX19" s="3">
        <f t="shared" si="46"/>
        <v>0.4</v>
      </c>
      <c r="FY19" s="3">
        <f t="shared" si="47"/>
        <v>0.27</v>
      </c>
      <c r="FZ19" s="3">
        <f t="shared" si="48"/>
        <v>3</v>
      </c>
    </row>
    <row r="20" spans="1:182">
      <c r="A20" s="556">
        <v>26</v>
      </c>
      <c r="C20" s="3">
        <f t="shared" si="49"/>
        <v>5</v>
      </c>
      <c r="D20" s="3">
        <v>5</v>
      </c>
      <c r="E20" s="3" t="s">
        <v>303</v>
      </c>
      <c r="F20" s="3">
        <v>950</v>
      </c>
      <c r="G20" s="3">
        <f>200/900</f>
        <v>0.22222222222222221</v>
      </c>
      <c r="H20" s="3">
        <f>300/900</f>
        <v>0.33333333333333331</v>
      </c>
      <c r="I20" s="3">
        <f>300/900/2</f>
        <v>0.16666666666666666</v>
      </c>
      <c r="J20" s="3">
        <f>300/900/2</f>
        <v>0.16666666666666666</v>
      </c>
      <c r="L20" s="3">
        <v>0.16666666666666666</v>
      </c>
      <c r="M20" s="3">
        <v>0.16666666666666666</v>
      </c>
      <c r="O20" s="3">
        <v>2</v>
      </c>
      <c r="P20" s="3">
        <f t="shared" si="9"/>
        <v>0.88888888888888884</v>
      </c>
      <c r="Q20" s="3">
        <v>1</v>
      </c>
      <c r="S20" s="3">
        <f t="shared" si="10"/>
        <v>1</v>
      </c>
      <c r="W20" s="3">
        <f t="shared" si="11"/>
        <v>0</v>
      </c>
      <c r="Y20" s="3">
        <f t="shared" si="12"/>
        <v>1.0555555555555554</v>
      </c>
      <c r="Z20" s="3">
        <f t="shared" si="13"/>
        <v>1.583333333333333</v>
      </c>
      <c r="AA20" s="3">
        <f t="shared" si="14"/>
        <v>1.583333333333333</v>
      </c>
      <c r="AB20" s="3">
        <f t="shared" si="15"/>
        <v>1.583333333333333</v>
      </c>
      <c r="AC20" s="3">
        <f t="shared" si="16"/>
        <v>1.583333333333333</v>
      </c>
      <c r="AD20" s="3">
        <f t="shared" ref="AD20:AD32" si="54">IF(AQ20=12,$F20*G20/$AQ$9,IF(OR(AQ20=1,AQ20=4),$F20*G20/200,IF(OR(AQ20=2,AQ20=9),$F20*G20/100,"자동")))</f>
        <v>1.0555555555555554</v>
      </c>
      <c r="AE20" s="3">
        <f t="shared" ref="AE20:AE32" si="55">IF(AR20=12,$F20*H20/$AR$9,IF(OR(AR20=1,AR20=4),$F20*H20/200,IF(OR(AR20=2,AR20=9),$F20*H20/100,"자동")))</f>
        <v>1.583333333333333</v>
      </c>
      <c r="AF20" s="3">
        <f t="shared" ref="AF20:AF32" si="56">IF(AS20=12,$F20*I20/IF($BB$7=1,IF($ED20=1,$AS$9,$AF$9),($AF$8*AL20+$AF$9*(1-AL20))),IF(AS20=42,$F20*I20/AN20,IF(OR(AS20=1,AS20=4,AS20=2),$F20*I20/100,IF(AS20=9,$F20*I20/50,"자동"))))</f>
        <v>1.583333333333333</v>
      </c>
      <c r="AG20" s="3">
        <f t="shared" ref="AG20:AG32" si="57">IF(AT20=12,$F20*J20/IF($BB$7=1,IF($ED20=1,$AT$9,$AG$9),($AG$8*AL20+$AG$9*(1-AL20))),IF(AT20=42,$F20*J20/AN20,IF(OR(AT20=1,AT20=4,AT20=2),$F20*J20/100,IF(AT20=9,$F20*J20/50,"자동"))))</f>
        <v>1.583333333333333</v>
      </c>
      <c r="AH20" s="3" t="str">
        <f t="shared" si="17"/>
        <v>자동</v>
      </c>
      <c r="AI20" s="3">
        <f t="shared" si="18"/>
        <v>1.583333333333333</v>
      </c>
      <c r="AJ20" s="3">
        <f t="shared" si="19"/>
        <v>1.583333333333333</v>
      </c>
      <c r="AL20" s="3" t="str">
        <f t="shared" si="20"/>
        <v/>
      </c>
      <c r="AN20" s="3" t="str">
        <f ca="1">IF($BA20=42,OFFSET(변환표준점수!C$119,$AP20-1,0),"")</f>
        <v/>
      </c>
      <c r="AO20" s="3" t="str">
        <f ca="1">IF($BA20=42,OFFSET(변환표준점수!D$119,$AP20-1,0),"")</f>
        <v/>
      </c>
      <c r="AP20" s="3">
        <f>IF(S20="","",MATCH(S20,변환표준점수!$B$119:$B$298,0))</f>
        <v>1</v>
      </c>
      <c r="AQ20" s="3">
        <v>1</v>
      </c>
      <c r="AR20" s="3">
        <v>1</v>
      </c>
      <c r="AS20" s="3">
        <v>4</v>
      </c>
      <c r="AT20" s="3">
        <v>4</v>
      </c>
      <c r="AV20" s="3">
        <v>4</v>
      </c>
      <c r="AW20" s="3">
        <v>4</v>
      </c>
      <c r="AX20" s="3">
        <v>3</v>
      </c>
      <c r="AY20" s="3">
        <v>3</v>
      </c>
      <c r="BA20" s="3">
        <f t="shared" si="53"/>
        <v>4</v>
      </c>
      <c r="BF20" s="3">
        <f>0.03*AA20</f>
        <v>4.7499999999999987E-2</v>
      </c>
      <c r="BG20" s="3">
        <f>0.03*AA20</f>
        <v>4.7499999999999987E-2</v>
      </c>
      <c r="BJ20" s="124">
        <f t="shared" si="21"/>
        <v>0</v>
      </c>
      <c r="BN20" s="212" t="s">
        <v>7269</v>
      </c>
      <c r="BS20" s="3">
        <f ca="1">BF20*EH20</f>
        <v>0</v>
      </c>
      <c r="BT20" s="3">
        <f ca="1">BG20*EI20</f>
        <v>0</v>
      </c>
      <c r="CH20" s="206">
        <f t="shared" si="22"/>
        <v>844.44444444444434</v>
      </c>
      <c r="CI20" s="56">
        <f>100*(9.5/9)</f>
        <v>105.55555555555556</v>
      </c>
      <c r="CJ20" s="3">
        <f>95*(9.5/9)</f>
        <v>100.27777777777779</v>
      </c>
      <c r="CK20" s="3">
        <f>87.5*(9.5/9)</f>
        <v>92.361111111111114</v>
      </c>
      <c r="CL20" s="3">
        <f>75*(9.5/9)</f>
        <v>79.166666666666671</v>
      </c>
      <c r="CM20" s="3">
        <f>60*(9.5/9)</f>
        <v>63.333333333333336</v>
      </c>
      <c r="CN20" s="3">
        <f>40*(9.5/9)</f>
        <v>42.222222222222221</v>
      </c>
      <c r="CO20" s="3">
        <f>25*(9.5/9)</f>
        <v>26.388888888888889</v>
      </c>
      <c r="CP20" s="3">
        <f>12.5*(9.5/9)</f>
        <v>13.194444444444445</v>
      </c>
      <c r="CQ20" s="3">
        <f>5*(9.5/9)</f>
        <v>5.2777777777777777</v>
      </c>
      <c r="CR20" s="56">
        <v>0</v>
      </c>
      <c r="CS20" s="3">
        <v>0</v>
      </c>
      <c r="CT20" s="3">
        <v>0</v>
      </c>
      <c r="CU20" s="3">
        <v>0</v>
      </c>
      <c r="CV20" s="3">
        <v>-0.2</v>
      </c>
      <c r="CW20" s="3">
        <v>-0.4</v>
      </c>
      <c r="CX20" s="3">
        <v>-0.6</v>
      </c>
      <c r="CY20" s="3">
        <v>-0.8</v>
      </c>
      <c r="CZ20" s="3">
        <v>-1</v>
      </c>
      <c r="DJ20" s="3">
        <f t="shared" ca="1" si="23"/>
        <v>105.6</v>
      </c>
      <c r="DK20" s="93">
        <f t="shared" ca="1" si="24"/>
        <v>99.957912457912471</v>
      </c>
      <c r="DL20" s="3">
        <f t="shared" ca="1" si="25"/>
        <v>0</v>
      </c>
      <c r="DO20" s="3">
        <v>2</v>
      </c>
      <c r="DZ20" s="3">
        <v>1</v>
      </c>
      <c r="EA20" s="3">
        <f t="shared" si="26"/>
        <v>1</v>
      </c>
      <c r="EB20" s="3">
        <f t="shared" si="27"/>
        <v>2</v>
      </c>
      <c r="EC20" s="3">
        <f t="shared" si="28"/>
        <v>0</v>
      </c>
      <c r="ED20" s="3">
        <f t="shared" si="29"/>
        <v>0</v>
      </c>
      <c r="EF20" s="3">
        <f t="shared" ca="1" si="30"/>
        <v>0</v>
      </c>
      <c r="EG20" s="3">
        <f t="shared" ca="1" si="31"/>
        <v>0</v>
      </c>
      <c r="EH20" s="3">
        <f ca="1">IFERROR(IF(LEFT($BA20,1)="4",OFFSET(변환표준점수!$H$118,MATCH($S20,변환표준점수!$B$119:$B$198,0),),OFFSET(EH$3,MATCH(AS20,$ED$4:$ED$8,0),0)),0)</f>
        <v>0</v>
      </c>
      <c r="EI20" s="3">
        <f ca="1">IFERROR(IF(LEFT($BA20,1)="4",OFFSET(변환표준점수!$I$118,MATCH($S20,변환표준점수!$B$119:$B$198,0),0),OFFSET(EI$3,MATCH(AT20,$ED$4:$ED$8,0),0)),0)</f>
        <v>0</v>
      </c>
      <c r="EK20" s="3">
        <f ca="1">IFERROR(IF(LEFT($BA20,1)="4",OFFSET(변환표준점수!$J$118,MATCH($S20,변환표준점수!$B$119:$B$198,0),0),OFFSET(EJ$3,MATCH(AV20,$ED$4:$ED$8,0),0)),0)</f>
        <v>0</v>
      </c>
      <c r="EL20" s="3">
        <f ca="1">IFERROR(IF(LEFT($BA20,1)="4",OFFSET(변환표준점수!$K$118,MATCH($S20,변환표준점수!$B$119:$B$198,0),0),OFFSET(EK$3,MATCH(AW20,$ED$4:$ED$8,0),0)),0)</f>
        <v>0</v>
      </c>
      <c r="EM20" s="3" t="str">
        <f t="shared" ca="1" si="32"/>
        <v/>
      </c>
      <c r="EN20" s="3" t="str">
        <f t="shared" ca="1" si="33"/>
        <v/>
      </c>
      <c r="EO20" s="3">
        <f t="shared" ca="1" si="34"/>
        <v>0</v>
      </c>
      <c r="EQ20" s="3">
        <f t="shared" ca="1" si="50"/>
        <v>0</v>
      </c>
      <c r="ER20" s="3">
        <f t="shared" ca="1" si="35"/>
        <v>0</v>
      </c>
      <c r="ES20" s="3">
        <f t="shared" ca="1" si="36"/>
        <v>0</v>
      </c>
      <c r="ET20" s="3">
        <f t="shared" ca="1" si="37"/>
        <v>0</v>
      </c>
      <c r="EU20" s="3">
        <f t="shared" si="38"/>
        <v>0</v>
      </c>
      <c r="EV20" s="3">
        <f t="shared" ca="1" si="39"/>
        <v>0</v>
      </c>
      <c r="EW20" s="3">
        <f t="shared" ca="1" si="40"/>
        <v>0</v>
      </c>
      <c r="EX20" s="3">
        <f ca="1">LARGE((ES20:ET20,EV20:EW20),1)</f>
        <v>0</v>
      </c>
      <c r="EY20" s="3">
        <f ca="1">IF(O20&lt;2,0,LARGE((ES20:ET20,EV20:EW20),2))</f>
        <v>0</v>
      </c>
      <c r="EZ20" s="3">
        <f t="shared" ca="1" si="41"/>
        <v>0</v>
      </c>
      <c r="FA20" s="3">
        <f t="shared" ca="1" si="42"/>
        <v>0</v>
      </c>
      <c r="FB20" s="3">
        <f t="shared" ca="1" si="43"/>
        <v>0</v>
      </c>
      <c r="FG20" s="3">
        <f t="shared" ca="1" si="44"/>
        <v>0</v>
      </c>
      <c r="FH20" s="618"/>
      <c r="FU20" s="3" t="str">
        <f t="shared" si="51"/>
        <v>표점</v>
      </c>
      <c r="FV20" s="3" t="str">
        <f t="shared" si="52"/>
        <v>변표</v>
      </c>
      <c r="FW20" s="3">
        <f t="shared" si="45"/>
        <v>0.25</v>
      </c>
      <c r="FX20" s="3">
        <f t="shared" si="46"/>
        <v>0.38</v>
      </c>
      <c r="FY20" s="3">
        <f t="shared" si="47"/>
        <v>0.38</v>
      </c>
      <c r="FZ20" s="3">
        <f t="shared" si="48"/>
        <v>4.2222222222222214</v>
      </c>
    </row>
    <row r="21" spans="1:182">
      <c r="A21" s="556">
        <v>26</v>
      </c>
      <c r="C21" s="3">
        <f t="shared" si="49"/>
        <v>6</v>
      </c>
      <c r="D21" s="3">
        <v>6</v>
      </c>
      <c r="E21" s="3" t="s">
        <v>7682</v>
      </c>
      <c r="F21" s="3">
        <v>950</v>
      </c>
      <c r="G21" s="3">
        <f>300/800</f>
        <v>0.375</v>
      </c>
      <c r="H21" s="3">
        <f>200/800</f>
        <v>0.25</v>
      </c>
      <c r="I21" s="3">
        <f>200/800/2</f>
        <v>0.125</v>
      </c>
      <c r="J21" s="3">
        <f>200/800/2</f>
        <v>0.125</v>
      </c>
      <c r="L21" s="3">
        <f>200/800/2</f>
        <v>0.125</v>
      </c>
      <c r="M21" s="3">
        <f>200/800/2</f>
        <v>0.125</v>
      </c>
      <c r="O21" s="3">
        <v>2</v>
      </c>
      <c r="P21" s="3">
        <f t="shared" si="9"/>
        <v>0.875</v>
      </c>
      <c r="Q21" s="3">
        <v>1</v>
      </c>
      <c r="S21" s="3">
        <f t="shared" si="10"/>
        <v>1</v>
      </c>
      <c r="W21" s="3">
        <f t="shared" si="11"/>
        <v>0</v>
      </c>
      <c r="Y21" s="3">
        <f t="shared" si="12"/>
        <v>1.78125</v>
      </c>
      <c r="Z21" s="3">
        <f t="shared" si="13"/>
        <v>1.1875</v>
      </c>
      <c r="AA21" s="3">
        <f t="shared" si="14"/>
        <v>1.1875</v>
      </c>
      <c r="AB21" s="3">
        <f t="shared" si="15"/>
        <v>1.1875</v>
      </c>
      <c r="AC21" s="3">
        <f t="shared" si="16"/>
        <v>1.1875</v>
      </c>
      <c r="AD21" s="3">
        <f t="shared" si="54"/>
        <v>1.78125</v>
      </c>
      <c r="AE21" s="3">
        <f t="shared" si="55"/>
        <v>1.1875</v>
      </c>
      <c r="AF21" s="3">
        <f t="shared" si="56"/>
        <v>1.1875</v>
      </c>
      <c r="AG21" s="3">
        <f t="shared" si="57"/>
        <v>1.1875</v>
      </c>
      <c r="AH21" s="3" t="str">
        <f t="shared" si="17"/>
        <v>자동</v>
      </c>
      <c r="AI21" s="3">
        <f t="shared" si="18"/>
        <v>1.1875</v>
      </c>
      <c r="AJ21" s="3">
        <f t="shared" si="19"/>
        <v>1.1875</v>
      </c>
      <c r="AL21" s="3" t="str">
        <f t="shared" si="20"/>
        <v/>
      </c>
      <c r="AN21" s="3" t="str">
        <f ca="1">IF($BA21=42,OFFSET(변환표준점수!C$119,$AP21-1,0),"")</f>
        <v/>
      </c>
      <c r="AO21" s="3" t="str">
        <f ca="1">IF($BA21=42,OFFSET(변환표준점수!D$119,$AP21-1,0),"")</f>
        <v/>
      </c>
      <c r="AP21" s="3">
        <f>IF(S21="","",MATCH(S21,변환표준점수!$B$119:$B$298,0))</f>
        <v>1</v>
      </c>
      <c r="AQ21" s="3">
        <v>1</v>
      </c>
      <c r="AR21" s="3">
        <v>1</v>
      </c>
      <c r="AS21" s="3">
        <v>4</v>
      </c>
      <c r="AT21" s="3">
        <v>4</v>
      </c>
      <c r="AV21" s="3">
        <v>4</v>
      </c>
      <c r="AW21" s="3">
        <v>4</v>
      </c>
      <c r="AX21" s="3">
        <v>3</v>
      </c>
      <c r="AY21" s="3">
        <v>3</v>
      </c>
      <c r="BA21" s="3">
        <f t="shared" si="53"/>
        <v>4</v>
      </c>
      <c r="BJ21" s="124">
        <f t="shared" si="21"/>
        <v>0</v>
      </c>
      <c r="BL21" s="3">
        <f>0.03*AB21</f>
        <v>3.5624999999999997E-2</v>
      </c>
      <c r="BM21" s="3">
        <f>0.03*AB21</f>
        <v>3.5624999999999997E-2</v>
      </c>
      <c r="BN21" s="212" t="s">
        <v>7270</v>
      </c>
      <c r="BV21" s="3">
        <f ca="1">BL21*EK21</f>
        <v>0</v>
      </c>
      <c r="BW21" s="3">
        <f ca="1">BM21*EL21</f>
        <v>0</v>
      </c>
      <c r="CH21" s="206">
        <f t="shared" si="22"/>
        <v>831.25</v>
      </c>
      <c r="CI21" s="56">
        <f>100*(9.5/8)</f>
        <v>118.75</v>
      </c>
      <c r="CJ21" s="3">
        <f>95*(9.5/8)</f>
        <v>112.8125</v>
      </c>
      <c r="CK21" s="3">
        <f>87.5*(9.5/8)</f>
        <v>103.90625</v>
      </c>
      <c r="CL21" s="3">
        <f>75*(9.5/8)</f>
        <v>89.0625</v>
      </c>
      <c r="CM21" s="3">
        <f>60*(9.5/8)</f>
        <v>71.25</v>
      </c>
      <c r="CN21" s="3">
        <f>40*(9.5/8)</f>
        <v>47.5</v>
      </c>
      <c r="CO21" s="3">
        <f>25*(9.5/8)</f>
        <v>29.6875</v>
      </c>
      <c r="CP21" s="3">
        <f>12.5*(9.5/8)</f>
        <v>14.84375</v>
      </c>
      <c r="CQ21" s="3">
        <f>5*(9.5/8)</f>
        <v>5.9375</v>
      </c>
      <c r="CR21" s="56">
        <v>0</v>
      </c>
      <c r="CS21" s="3">
        <v>0</v>
      </c>
      <c r="CT21" s="3">
        <v>0</v>
      </c>
      <c r="CU21" s="3">
        <v>0</v>
      </c>
      <c r="CV21" s="3">
        <v>-0.2</v>
      </c>
      <c r="CW21" s="3">
        <v>-0.4</v>
      </c>
      <c r="CX21" s="3">
        <v>-0.6</v>
      </c>
      <c r="CY21" s="3">
        <v>-0.8</v>
      </c>
      <c r="CZ21" s="3">
        <v>-1</v>
      </c>
      <c r="DJ21" s="3">
        <f t="shared" ca="1" si="23"/>
        <v>118.8</v>
      </c>
      <c r="DK21" s="93">
        <f t="shared" ca="1" si="24"/>
        <v>99.957912457912457</v>
      </c>
      <c r="DL21" s="3">
        <f t="shared" ca="1" si="25"/>
        <v>0</v>
      </c>
      <c r="DO21" s="3">
        <v>2</v>
      </c>
      <c r="EA21" s="3">
        <f t="shared" si="26"/>
        <v>2</v>
      </c>
      <c r="EB21" s="3">
        <f t="shared" si="27"/>
        <v>2</v>
      </c>
      <c r="EC21" s="3">
        <f t="shared" si="28"/>
        <v>0</v>
      </c>
      <c r="ED21" s="3">
        <f t="shared" si="29"/>
        <v>0</v>
      </c>
      <c r="EF21" s="3">
        <f t="shared" ca="1" si="30"/>
        <v>0</v>
      </c>
      <c r="EG21" s="3">
        <f t="shared" ca="1" si="31"/>
        <v>0</v>
      </c>
      <c r="EH21" s="3">
        <f ca="1">IFERROR(IF(LEFT($BA21,1)="4",OFFSET(변환표준점수!$H$118,MATCH($S21,변환표준점수!$B$119:$B$198,0),),OFFSET(EH$3,MATCH(AS21,$ED$4:$ED$8,0),0)),0)</f>
        <v>0</v>
      </c>
      <c r="EI21" s="3">
        <f ca="1">IFERROR(IF(LEFT($BA21,1)="4",OFFSET(변환표준점수!$I$118,MATCH($S21,변환표준점수!$B$119:$B$198,0),0),OFFSET(EI$3,MATCH(AT21,$ED$4:$ED$8,0),0)),0)</f>
        <v>0</v>
      </c>
      <c r="EK21" s="3">
        <f ca="1">IFERROR(IF(LEFT($BA21,1)="4",OFFSET(변환표준점수!$J$118,MATCH($S21,변환표준점수!$B$119:$B$198,0),0),OFFSET(EJ$3,MATCH(AV21,$ED$4:$ED$8,0),0)),0)</f>
        <v>0</v>
      </c>
      <c r="EL21" s="3">
        <f ca="1">IFERROR(IF(LEFT($BA21,1)="4",OFFSET(변환표준점수!$K$118,MATCH($S21,변환표준점수!$B$119:$B$198,0),0),OFFSET(EK$3,MATCH(AW21,$ED$4:$ED$8,0),0)),0)</f>
        <v>0</v>
      </c>
      <c r="EM21" s="3" t="str">
        <f t="shared" ca="1" si="32"/>
        <v/>
      </c>
      <c r="EN21" s="3" t="str">
        <f t="shared" ca="1" si="33"/>
        <v/>
      </c>
      <c r="EO21" s="3">
        <f t="shared" ca="1" si="34"/>
        <v>0</v>
      </c>
      <c r="EQ21" s="3">
        <f t="shared" ca="1" si="50"/>
        <v>0</v>
      </c>
      <c r="ER21" s="3">
        <f t="shared" ca="1" si="35"/>
        <v>0</v>
      </c>
      <c r="ES21" s="3">
        <f t="shared" ca="1" si="36"/>
        <v>0</v>
      </c>
      <c r="ET21" s="3">
        <f t="shared" ca="1" si="37"/>
        <v>0</v>
      </c>
      <c r="EU21" s="3">
        <f t="shared" si="38"/>
        <v>0</v>
      </c>
      <c r="EV21" s="3">
        <f t="shared" ca="1" si="39"/>
        <v>0</v>
      </c>
      <c r="EW21" s="3">
        <f t="shared" ca="1" si="40"/>
        <v>0</v>
      </c>
      <c r="EX21" s="3">
        <f ca="1">LARGE((ES21:ET21,EV21:EW21),1)</f>
        <v>0</v>
      </c>
      <c r="EY21" s="3">
        <f ca="1">IF(O21&lt;2,0,LARGE((ES21:ET21,EV21:EW21),2))</f>
        <v>0</v>
      </c>
      <c r="EZ21" s="3">
        <f t="shared" ca="1" si="41"/>
        <v>0</v>
      </c>
      <c r="FA21" s="3">
        <f t="shared" ca="1" si="42"/>
        <v>0</v>
      </c>
      <c r="FB21" s="3">
        <f t="shared" ca="1" si="43"/>
        <v>0</v>
      </c>
      <c r="FG21" s="3">
        <f t="shared" ca="1" si="44"/>
        <v>0</v>
      </c>
      <c r="FH21" s="618"/>
      <c r="FU21" s="3" t="str">
        <f t="shared" si="51"/>
        <v>표점</v>
      </c>
      <c r="FV21" s="3" t="str">
        <f t="shared" si="52"/>
        <v>변표</v>
      </c>
      <c r="FW21" s="3">
        <f t="shared" si="45"/>
        <v>0.43</v>
      </c>
      <c r="FX21" s="3">
        <f t="shared" si="46"/>
        <v>0.28999999999999998</v>
      </c>
      <c r="FY21" s="3">
        <f t="shared" si="47"/>
        <v>0.28999999999999998</v>
      </c>
      <c r="FZ21" s="3">
        <f t="shared" si="48"/>
        <v>4.15625</v>
      </c>
    </row>
    <row r="22" spans="1:182">
      <c r="A22" s="556">
        <v>26</v>
      </c>
      <c r="C22" s="3">
        <f t="shared" si="49"/>
        <v>7</v>
      </c>
      <c r="D22" s="3">
        <v>7</v>
      </c>
      <c r="E22" s="3" t="s">
        <v>309</v>
      </c>
      <c r="F22" s="3">
        <v>900</v>
      </c>
      <c r="G22" s="3">
        <f>200/900</f>
        <v>0.22222222222222221</v>
      </c>
      <c r="H22" s="3">
        <f>300/900</f>
        <v>0.33333333333333331</v>
      </c>
      <c r="I22" s="3">
        <f>300/900/2</f>
        <v>0.16666666666666666</v>
      </c>
      <c r="J22" s="3">
        <f>300/900/2</f>
        <v>0.16666666666666666</v>
      </c>
      <c r="L22" s="3">
        <v>0.16666666666666666</v>
      </c>
      <c r="M22" s="3">
        <v>0.16666666666666666</v>
      </c>
      <c r="O22" s="3">
        <v>2</v>
      </c>
      <c r="P22" s="3">
        <f t="shared" si="9"/>
        <v>0.88888888888888884</v>
      </c>
      <c r="Q22" s="3">
        <v>1</v>
      </c>
      <c r="S22" s="3">
        <f t="shared" si="10"/>
        <v>1</v>
      </c>
      <c r="U22" s="3">
        <v>1</v>
      </c>
      <c r="W22" s="3">
        <f t="shared" si="11"/>
        <v>0</v>
      </c>
      <c r="Y22" s="3">
        <f t="shared" si="12"/>
        <v>1</v>
      </c>
      <c r="Z22" s="3">
        <f t="shared" si="13"/>
        <v>1.5</v>
      </c>
      <c r="AA22" s="3">
        <f t="shared" si="14"/>
        <v>1.5</v>
      </c>
      <c r="AB22" s="3">
        <f t="shared" si="15"/>
        <v>1.5</v>
      </c>
      <c r="AC22" s="3">
        <f t="shared" si="16"/>
        <v>1.5</v>
      </c>
      <c r="AD22" s="3">
        <f t="shared" si="54"/>
        <v>1</v>
      </c>
      <c r="AE22" s="3">
        <f t="shared" si="55"/>
        <v>1.5</v>
      </c>
      <c r="AF22" s="3">
        <f t="shared" si="56"/>
        <v>1.5</v>
      </c>
      <c r="AG22" s="3">
        <f t="shared" si="57"/>
        <v>1.5</v>
      </c>
      <c r="AH22" s="3" t="str">
        <f t="shared" si="17"/>
        <v>자동</v>
      </c>
      <c r="AI22" s="3">
        <f t="shared" si="18"/>
        <v>1.5</v>
      </c>
      <c r="AJ22" s="3">
        <f t="shared" si="19"/>
        <v>1.5</v>
      </c>
      <c r="AL22" s="3" t="str">
        <f t="shared" si="20"/>
        <v/>
      </c>
      <c r="AN22" s="3" t="str">
        <f ca="1">IF($BA22=42,OFFSET(변환표준점수!C$119,$AP22-1,0),"")</f>
        <v/>
      </c>
      <c r="AO22" s="3" t="str">
        <f ca="1">IF($BA22=42,OFFSET(변환표준점수!D$119,$AP22-1,0),"")</f>
        <v/>
      </c>
      <c r="AP22" s="3">
        <f>IF(S22="","",MATCH(S22,변환표준점수!$B$119:$B$298,0))</f>
        <v>1</v>
      </c>
      <c r="AQ22" s="3">
        <v>1</v>
      </c>
      <c r="AR22" s="3">
        <v>1</v>
      </c>
      <c r="AS22" s="3">
        <v>4</v>
      </c>
      <c r="AT22" s="3">
        <v>4</v>
      </c>
      <c r="AV22" s="3">
        <v>4</v>
      </c>
      <c r="AW22" s="3">
        <v>4</v>
      </c>
      <c r="AX22" s="3">
        <v>3</v>
      </c>
      <c r="AY22" s="3">
        <v>3</v>
      </c>
      <c r="BA22" s="3">
        <f t="shared" si="53"/>
        <v>4</v>
      </c>
      <c r="BF22" s="3">
        <f>0.03*AA22</f>
        <v>4.4999999999999998E-2</v>
      </c>
      <c r="BG22" s="3">
        <f>0.03*AA22</f>
        <v>4.4999999999999998E-2</v>
      </c>
      <c r="BJ22" s="124">
        <f t="shared" si="21"/>
        <v>0</v>
      </c>
      <c r="BN22" s="212" t="s">
        <v>7269</v>
      </c>
      <c r="BS22" s="3">
        <f ca="1">BF22*EH22</f>
        <v>0</v>
      </c>
      <c r="BT22" s="3">
        <f ca="1">BG22*EI22</f>
        <v>0</v>
      </c>
      <c r="CH22" s="206">
        <f t="shared" si="22"/>
        <v>800</v>
      </c>
      <c r="CI22" s="56">
        <v>100</v>
      </c>
      <c r="CJ22" s="3">
        <v>95</v>
      </c>
      <c r="CK22" s="3">
        <v>87.5</v>
      </c>
      <c r="CL22" s="3">
        <v>75</v>
      </c>
      <c r="CM22" s="3">
        <v>60</v>
      </c>
      <c r="CN22" s="3">
        <v>40</v>
      </c>
      <c r="CO22" s="3">
        <v>25</v>
      </c>
      <c r="CP22" s="3">
        <v>12.5</v>
      </c>
      <c r="CQ22" s="3">
        <v>5</v>
      </c>
      <c r="CR22" s="56">
        <v>0</v>
      </c>
      <c r="CS22" s="3">
        <v>0</v>
      </c>
      <c r="CT22" s="3">
        <v>0</v>
      </c>
      <c r="CU22" s="3">
        <v>0</v>
      </c>
      <c r="CV22" s="3">
        <v>-0.2</v>
      </c>
      <c r="CW22" s="3">
        <v>-0.4</v>
      </c>
      <c r="CX22" s="3">
        <v>-0.6</v>
      </c>
      <c r="CY22" s="3">
        <v>-0.8</v>
      </c>
      <c r="CZ22" s="3">
        <v>-1</v>
      </c>
      <c r="DJ22" s="3">
        <f t="shared" ca="1" si="23"/>
        <v>100</v>
      </c>
      <c r="DK22" s="93">
        <f t="shared" ca="1" si="24"/>
        <v>100</v>
      </c>
      <c r="DL22" s="3">
        <f t="shared" ca="1" si="25"/>
        <v>0</v>
      </c>
      <c r="DO22" s="3">
        <v>2</v>
      </c>
      <c r="DZ22" s="3">
        <v>1</v>
      </c>
      <c r="EA22" s="3">
        <f t="shared" si="26"/>
        <v>1</v>
      </c>
      <c r="EB22" s="3">
        <f t="shared" si="27"/>
        <v>2</v>
      </c>
      <c r="EC22" s="3">
        <f t="shared" si="28"/>
        <v>0</v>
      </c>
      <c r="ED22" s="3">
        <f t="shared" si="29"/>
        <v>0</v>
      </c>
      <c r="EF22" s="3">
        <f t="shared" ca="1" si="30"/>
        <v>0</v>
      </c>
      <c r="EG22" s="3">
        <f t="shared" ca="1" si="31"/>
        <v>0</v>
      </c>
      <c r="EH22" s="3">
        <f ca="1">IFERROR(IF(LEFT($BA22,1)="4",OFFSET(변환표준점수!$H$118,MATCH($S22,변환표준점수!$B$119:$B$198,0),),OFFSET(EH$3,MATCH(AS22,$ED$4:$ED$8,0),0)),0)</f>
        <v>0</v>
      </c>
      <c r="EI22" s="3">
        <f ca="1">IFERROR(IF(LEFT($BA22,1)="4",OFFSET(변환표준점수!$I$118,MATCH($S22,변환표준점수!$B$119:$B$198,0),0),OFFSET(EI$3,MATCH(AT22,$ED$4:$ED$8,0),0)),0)</f>
        <v>0</v>
      </c>
      <c r="EK22" s="3">
        <f ca="1">IFERROR(IF(LEFT($BA22,1)="4",OFFSET(변환표준점수!$J$118,MATCH($S22,변환표준점수!$B$119:$B$198,0),0),OFFSET(EJ$3,MATCH(AV22,$ED$4:$ED$8,0),0)),0)</f>
        <v>0</v>
      </c>
      <c r="EL22" s="3">
        <f ca="1">IFERROR(IF(LEFT($BA22,1)="4",OFFSET(변환표준점수!$K$118,MATCH($S22,변환표준점수!$B$119:$B$198,0),0),OFFSET(EK$3,MATCH(AW22,$ED$4:$ED$8,0),0)),0)</f>
        <v>0</v>
      </c>
      <c r="EM22" s="3" t="str">
        <f t="shared" ca="1" si="32"/>
        <v/>
      </c>
      <c r="EN22" s="3" t="str">
        <f t="shared" ca="1" si="33"/>
        <v/>
      </c>
      <c r="EO22" s="3">
        <f t="shared" ca="1" si="34"/>
        <v>0</v>
      </c>
      <c r="EQ22" s="3">
        <f t="shared" ca="1" si="50"/>
        <v>0</v>
      </c>
      <c r="ER22" s="3">
        <f t="shared" ca="1" si="35"/>
        <v>0</v>
      </c>
      <c r="ES22" s="3">
        <f t="shared" ca="1" si="36"/>
        <v>0</v>
      </c>
      <c r="ET22" s="3">
        <f t="shared" ca="1" si="37"/>
        <v>0</v>
      </c>
      <c r="EU22" s="3">
        <f t="shared" si="38"/>
        <v>0</v>
      </c>
      <c r="EV22" s="3">
        <f t="shared" ca="1" si="39"/>
        <v>0</v>
      </c>
      <c r="EW22" s="3">
        <f t="shared" ca="1" si="40"/>
        <v>0</v>
      </c>
      <c r="EX22" s="3">
        <f ca="1">LARGE((ES22:ET22,EV22:EW22),1)</f>
        <v>0</v>
      </c>
      <c r="EY22" s="3">
        <f ca="1">IF(O22&lt;2,0,LARGE((ES22:ET22,EV22:EW22),2))</f>
        <v>0</v>
      </c>
      <c r="EZ22" s="3">
        <f t="shared" ca="1" si="41"/>
        <v>0</v>
      </c>
      <c r="FA22" s="3">
        <f t="shared" ca="1" si="42"/>
        <v>0</v>
      </c>
      <c r="FB22" s="3">
        <f t="shared" ca="1" si="43"/>
        <v>0</v>
      </c>
      <c r="FG22" s="3">
        <f t="shared" ca="1" si="44"/>
        <v>0</v>
      </c>
      <c r="FH22" s="618"/>
      <c r="FU22" s="3" t="str">
        <f t="shared" si="51"/>
        <v>표점</v>
      </c>
      <c r="FV22" s="3" t="str">
        <f t="shared" si="52"/>
        <v>변표</v>
      </c>
      <c r="FW22" s="3">
        <f t="shared" si="45"/>
        <v>0.25</v>
      </c>
      <c r="FX22" s="3">
        <f t="shared" si="46"/>
        <v>0.38</v>
      </c>
      <c r="FY22" s="3">
        <f t="shared" si="47"/>
        <v>0.38</v>
      </c>
      <c r="FZ22" s="3">
        <f t="shared" si="48"/>
        <v>4</v>
      </c>
    </row>
    <row r="23" spans="1:182">
      <c r="A23" s="556">
        <v>26</v>
      </c>
      <c r="C23" s="3">
        <f t="shared" si="49"/>
        <v>8</v>
      </c>
      <c r="D23" s="3">
        <v>8</v>
      </c>
      <c r="E23" s="3" t="s">
        <v>304</v>
      </c>
      <c r="F23" s="3">
        <v>900</v>
      </c>
      <c r="G23" s="3">
        <f>200/600</f>
        <v>0.33333333333333331</v>
      </c>
      <c r="H23" s="3">
        <f>200/600</f>
        <v>0.33333333333333331</v>
      </c>
      <c r="I23" s="3">
        <f>100/600/2</f>
        <v>8.3333333333333329E-2</v>
      </c>
      <c r="J23" s="3">
        <f>100/600/2</f>
        <v>8.3333333333333329E-2</v>
      </c>
      <c r="L23" s="3">
        <f>100/600/2</f>
        <v>8.3333333333333329E-2</v>
      </c>
      <c r="M23" s="3">
        <f>100/600/2</f>
        <v>8.3333333333333329E-2</v>
      </c>
      <c r="O23" s="3">
        <v>2</v>
      </c>
      <c r="P23" s="3">
        <f t="shared" si="9"/>
        <v>0.83333333333333326</v>
      </c>
      <c r="Q23" s="3">
        <v>1</v>
      </c>
      <c r="S23" s="3">
        <f t="shared" si="10"/>
        <v>1</v>
      </c>
      <c r="W23" s="3">
        <f t="shared" si="11"/>
        <v>0</v>
      </c>
      <c r="Y23" s="3">
        <f t="shared" si="12"/>
        <v>1.5</v>
      </c>
      <c r="Z23" s="3">
        <f t="shared" si="13"/>
        <v>1.5</v>
      </c>
      <c r="AA23" s="3">
        <f t="shared" si="14"/>
        <v>0.75</v>
      </c>
      <c r="AB23" s="3">
        <f t="shared" si="15"/>
        <v>0.75</v>
      </c>
      <c r="AC23" s="3">
        <f t="shared" si="16"/>
        <v>0.75</v>
      </c>
      <c r="AD23" s="3">
        <f t="shared" si="54"/>
        <v>1.5</v>
      </c>
      <c r="AE23" s="3">
        <f t="shared" si="55"/>
        <v>1.5</v>
      </c>
      <c r="AF23" s="3">
        <f t="shared" si="56"/>
        <v>0.75</v>
      </c>
      <c r="AG23" s="3">
        <f t="shared" si="57"/>
        <v>0.75</v>
      </c>
      <c r="AH23" s="3" t="str">
        <f t="shared" si="17"/>
        <v>자동</v>
      </c>
      <c r="AI23" s="3">
        <f t="shared" si="18"/>
        <v>0.75</v>
      </c>
      <c r="AJ23" s="3">
        <f t="shared" si="19"/>
        <v>0.75</v>
      </c>
      <c r="AL23" s="3" t="str">
        <f t="shared" si="20"/>
        <v/>
      </c>
      <c r="AN23" s="3" t="str">
        <f ca="1">IF($BA23=42,OFFSET(변환표준점수!C$119,$AP23-1,0),"")</f>
        <v/>
      </c>
      <c r="AO23" s="3" t="str">
        <f ca="1">IF($BA23=42,OFFSET(변환표준점수!D$119,$AP23-1,0),"")</f>
        <v/>
      </c>
      <c r="AP23" s="3">
        <f>IF(S23="","",MATCH(S23,변환표준점수!$B$119:$B$298,0))</f>
        <v>1</v>
      </c>
      <c r="AQ23" s="3">
        <v>1</v>
      </c>
      <c r="AR23" s="3">
        <v>1</v>
      </c>
      <c r="AS23" s="3">
        <v>4</v>
      </c>
      <c r="AT23" s="3">
        <v>4</v>
      </c>
      <c r="AV23" s="3">
        <v>4</v>
      </c>
      <c r="AW23" s="3">
        <v>4</v>
      </c>
      <c r="AX23" s="3">
        <v>3</v>
      </c>
      <c r="AY23" s="3">
        <v>3</v>
      </c>
      <c r="BA23" s="3">
        <f t="shared" si="53"/>
        <v>4</v>
      </c>
      <c r="BJ23" s="124">
        <f t="shared" si="21"/>
        <v>0</v>
      </c>
      <c r="CH23" s="206">
        <f t="shared" si="22"/>
        <v>749.99999999999989</v>
      </c>
      <c r="CI23" s="56">
        <v>150</v>
      </c>
      <c r="CJ23" s="3">
        <v>142.5</v>
      </c>
      <c r="CK23" s="3">
        <v>131.25</v>
      </c>
      <c r="CL23" s="3">
        <v>112.5</v>
      </c>
      <c r="CM23" s="3">
        <v>90</v>
      </c>
      <c r="CN23" s="3">
        <v>60</v>
      </c>
      <c r="CO23" s="3">
        <v>37.5</v>
      </c>
      <c r="CP23" s="3">
        <v>18.75</v>
      </c>
      <c r="CQ23" s="3">
        <v>7.5</v>
      </c>
      <c r="CR23" s="56">
        <v>0</v>
      </c>
      <c r="CS23" s="3">
        <v>0</v>
      </c>
      <c r="CT23" s="3">
        <v>0</v>
      </c>
      <c r="CU23" s="3">
        <v>0</v>
      </c>
      <c r="CV23" s="3">
        <v>-0.2</v>
      </c>
      <c r="CW23" s="3">
        <v>-0.4</v>
      </c>
      <c r="CX23" s="3">
        <v>-0.6</v>
      </c>
      <c r="CY23" s="3">
        <v>-0.8</v>
      </c>
      <c r="CZ23" s="3">
        <v>-1</v>
      </c>
      <c r="DJ23" s="3">
        <f t="shared" ca="1" si="23"/>
        <v>150</v>
      </c>
      <c r="DK23" s="93">
        <f t="shared" ca="1" si="24"/>
        <v>100</v>
      </c>
      <c r="DL23" s="3">
        <f t="shared" ca="1" si="25"/>
        <v>0</v>
      </c>
      <c r="DO23" s="3">
        <v>2</v>
      </c>
      <c r="EA23" s="3">
        <f t="shared" si="26"/>
        <v>2</v>
      </c>
      <c r="EB23" s="3">
        <f t="shared" si="27"/>
        <v>2</v>
      </c>
      <c r="EC23" s="3">
        <f t="shared" si="28"/>
        <v>0</v>
      </c>
      <c r="ED23" s="3">
        <f t="shared" si="29"/>
        <v>0</v>
      </c>
      <c r="EF23" s="3">
        <f t="shared" ca="1" si="30"/>
        <v>0</v>
      </c>
      <c r="EG23" s="3">
        <f t="shared" ca="1" si="31"/>
        <v>0</v>
      </c>
      <c r="EH23" s="3">
        <f ca="1">IFERROR(IF(LEFT($BA23,1)="4",OFFSET(변환표준점수!$H$118,MATCH($S23,변환표준점수!$B$119:$B$198,0),),OFFSET(EH$3,MATCH(AS23,$ED$4:$ED$8,0),0)),0)</f>
        <v>0</v>
      </c>
      <c r="EI23" s="3">
        <f ca="1">IFERROR(IF(LEFT($BA23,1)="4",OFFSET(변환표준점수!$I$118,MATCH($S23,변환표준점수!$B$119:$B$198,0),0),OFFSET(EI$3,MATCH(AT23,$ED$4:$ED$8,0),0)),0)</f>
        <v>0</v>
      </c>
      <c r="EK23" s="3">
        <f ca="1">IFERROR(IF(LEFT($BA23,1)="4",OFFSET(변환표준점수!$J$118,MATCH($S23,변환표준점수!$B$119:$B$198,0),0),OFFSET(EJ$3,MATCH(AV23,$ED$4:$ED$8,0),0)),0)</f>
        <v>0</v>
      </c>
      <c r="EL23" s="3">
        <f ca="1">IFERROR(IF(LEFT($BA23,1)="4",OFFSET(변환표준점수!$K$118,MATCH($S23,변환표준점수!$B$119:$B$198,0),0),OFFSET(EK$3,MATCH(AW23,$ED$4:$ED$8,0),0)),0)</f>
        <v>0</v>
      </c>
      <c r="EM23" s="3" t="str">
        <f t="shared" ca="1" si="32"/>
        <v/>
      </c>
      <c r="EN23" s="3" t="str">
        <f t="shared" ca="1" si="33"/>
        <v/>
      </c>
      <c r="EO23" s="3">
        <f t="shared" ca="1" si="34"/>
        <v>0</v>
      </c>
      <c r="EQ23" s="3">
        <f t="shared" ca="1" si="50"/>
        <v>0</v>
      </c>
      <c r="ER23" s="3">
        <f t="shared" ca="1" si="35"/>
        <v>0</v>
      </c>
      <c r="ES23" s="3">
        <f t="shared" ca="1" si="36"/>
        <v>0</v>
      </c>
      <c r="ET23" s="3">
        <f t="shared" ca="1" si="37"/>
        <v>0</v>
      </c>
      <c r="EU23" s="3">
        <f t="shared" si="38"/>
        <v>0</v>
      </c>
      <c r="EV23" s="3">
        <f t="shared" ca="1" si="39"/>
        <v>0</v>
      </c>
      <c r="EW23" s="3">
        <f t="shared" ca="1" si="40"/>
        <v>0</v>
      </c>
      <c r="EX23" s="3">
        <f ca="1">LARGE((ES23:ET23,EV23:EW23),1)</f>
        <v>0</v>
      </c>
      <c r="EY23" s="3">
        <f ca="1">IF(O23&lt;2,0,LARGE((ES23:ET23,EV23:EW23),2))</f>
        <v>0</v>
      </c>
      <c r="EZ23" s="3">
        <f t="shared" ca="1" si="41"/>
        <v>0</v>
      </c>
      <c r="FA23" s="3">
        <f t="shared" ca="1" si="42"/>
        <v>0</v>
      </c>
      <c r="FB23" s="3">
        <f t="shared" ca="1" si="43"/>
        <v>0</v>
      </c>
      <c r="FG23" s="3">
        <f t="shared" ca="1" si="44"/>
        <v>0</v>
      </c>
      <c r="FH23" s="618"/>
      <c r="FU23" s="3" t="str">
        <f t="shared" si="51"/>
        <v>표점</v>
      </c>
      <c r="FV23" s="3" t="str">
        <f t="shared" si="52"/>
        <v>변표</v>
      </c>
      <c r="FW23" s="3">
        <f t="shared" si="45"/>
        <v>0.4</v>
      </c>
      <c r="FX23" s="3">
        <f t="shared" si="46"/>
        <v>0.4</v>
      </c>
      <c r="FY23" s="3">
        <f t="shared" si="47"/>
        <v>0.2</v>
      </c>
      <c r="FZ23" s="3">
        <f t="shared" si="48"/>
        <v>3.75</v>
      </c>
    </row>
    <row r="24" spans="1:182">
      <c r="A24" s="556">
        <v>26</v>
      </c>
      <c r="C24" s="3">
        <f t="shared" si="49"/>
        <v>9</v>
      </c>
      <c r="D24" s="3">
        <v>9</v>
      </c>
      <c r="E24" s="3" t="s">
        <v>306</v>
      </c>
      <c r="F24" s="3">
        <v>1000</v>
      </c>
      <c r="G24" s="3">
        <f>200/640</f>
        <v>0.3125</v>
      </c>
      <c r="H24" s="3">
        <f>240/640</f>
        <v>0.375</v>
      </c>
      <c r="I24" s="3">
        <f>200/640/2</f>
        <v>0.15625</v>
      </c>
      <c r="J24" s="3">
        <f>200/640/2</f>
        <v>0.15625</v>
      </c>
      <c r="O24" s="3">
        <v>2</v>
      </c>
      <c r="P24" s="3">
        <f t="shared" si="9"/>
        <v>1</v>
      </c>
      <c r="Q24" s="3">
        <v>3</v>
      </c>
      <c r="S24" s="3">
        <f t="shared" si="10"/>
        <v>3</v>
      </c>
      <c r="W24" s="3">
        <f t="shared" si="11"/>
        <v>0</v>
      </c>
      <c r="Y24" s="3">
        <f t="shared" si="12"/>
        <v>1.5625</v>
      </c>
      <c r="Z24" s="3">
        <f t="shared" si="13"/>
        <v>1.875</v>
      </c>
      <c r="AA24" s="3">
        <f t="shared" si="14"/>
        <v>1.5625</v>
      </c>
      <c r="AB24" s="3">
        <f t="shared" si="15"/>
        <v>0</v>
      </c>
      <c r="AC24" s="3">
        <f t="shared" si="16"/>
        <v>1.5625</v>
      </c>
      <c r="AD24" s="3">
        <f t="shared" si="54"/>
        <v>1.5625</v>
      </c>
      <c r="AE24" s="3">
        <f t="shared" si="55"/>
        <v>1.875</v>
      </c>
      <c r="AF24" s="3">
        <f t="shared" si="56"/>
        <v>1.5625</v>
      </c>
      <c r="AG24" s="3">
        <f t="shared" si="57"/>
        <v>1.5625</v>
      </c>
      <c r="AH24" s="3" t="str">
        <f t="shared" si="17"/>
        <v>자동</v>
      </c>
      <c r="AI24" s="3">
        <f t="shared" si="18"/>
        <v>0</v>
      </c>
      <c r="AJ24" s="3">
        <f t="shared" si="19"/>
        <v>0</v>
      </c>
      <c r="AL24" s="3" t="str">
        <f t="shared" si="20"/>
        <v/>
      </c>
      <c r="AN24" s="3" t="str">
        <f ca="1">IF($BA24=42,OFFSET(변환표준점수!C$119,$AP24-1,0),"")</f>
        <v/>
      </c>
      <c r="AO24" s="3" t="str">
        <f ca="1">IF($BA24=42,OFFSET(변환표준점수!D$119,$AP24-1,0),"")</f>
        <v/>
      </c>
      <c r="AP24" s="3">
        <f>IF(S24="","",MATCH(S24,변환표준점수!$B$119:$B$298,0))</f>
        <v>3</v>
      </c>
      <c r="AQ24" s="3">
        <v>1</v>
      </c>
      <c r="AR24" s="3">
        <v>1</v>
      </c>
      <c r="AS24" s="3">
        <v>4</v>
      </c>
      <c r="AT24" s="3">
        <v>4</v>
      </c>
      <c r="AV24" s="3">
        <v>4</v>
      </c>
      <c r="AW24" s="3">
        <v>4</v>
      </c>
      <c r="AX24" s="3">
        <v>3</v>
      </c>
      <c r="AY24" s="3">
        <v>3</v>
      </c>
      <c r="BA24" s="3">
        <f t="shared" si="53"/>
        <v>4</v>
      </c>
      <c r="BF24" s="3">
        <f>0.03*AA24</f>
        <v>4.6875E-2</v>
      </c>
      <c r="BG24" s="3">
        <f>0.03*AA24</f>
        <v>4.6875E-2</v>
      </c>
      <c r="BJ24" s="124">
        <f t="shared" si="21"/>
        <v>0</v>
      </c>
      <c r="BN24" s="212" t="s">
        <v>7269</v>
      </c>
      <c r="BS24" s="3">
        <f ca="1">BF24*EH24</f>
        <v>0</v>
      </c>
      <c r="BT24" s="3">
        <f ca="1">BG24*EI24</f>
        <v>0</v>
      </c>
      <c r="CH24" s="206">
        <f t="shared" si="22"/>
        <v>1000</v>
      </c>
      <c r="CJ24" s="3">
        <v>-3</v>
      </c>
      <c r="CK24" s="3">
        <v>-6</v>
      </c>
      <c r="CL24" s="3">
        <v>-9</v>
      </c>
      <c r="CM24" s="3">
        <v>-12</v>
      </c>
      <c r="CN24" s="3">
        <v>-15</v>
      </c>
      <c r="CO24" s="3">
        <v>-18</v>
      </c>
      <c r="CP24" s="3">
        <v>-21</v>
      </c>
      <c r="CQ24" s="3">
        <v>-24</v>
      </c>
      <c r="CR24" s="56">
        <v>0</v>
      </c>
      <c r="CS24" s="3">
        <v>0</v>
      </c>
      <c r="CT24" s="3">
        <v>0</v>
      </c>
      <c r="CU24" s="3">
        <v>0</v>
      </c>
      <c r="CV24" s="3">
        <v>-0.2</v>
      </c>
      <c r="CW24" s="3">
        <v>-0.4</v>
      </c>
      <c r="CX24" s="3">
        <v>-0.6</v>
      </c>
      <c r="CY24" s="3">
        <v>-0.8</v>
      </c>
      <c r="CZ24" s="3">
        <v>-2</v>
      </c>
      <c r="DJ24" s="3">
        <f t="shared" ca="1" si="23"/>
        <v>0</v>
      </c>
      <c r="DK24" s="93" t="e">
        <f t="shared" ca="1" si="24"/>
        <v>#DIV/0!</v>
      </c>
      <c r="DL24" s="3">
        <f t="shared" ca="1" si="25"/>
        <v>0</v>
      </c>
      <c r="DO24" s="3">
        <v>2</v>
      </c>
      <c r="DQ24" s="3">
        <v>1</v>
      </c>
      <c r="DZ24" s="3">
        <v>1</v>
      </c>
      <c r="EA24" s="3">
        <f t="shared" si="26"/>
        <v>1</v>
      </c>
      <c r="EB24" s="3">
        <f t="shared" si="27"/>
        <v>2</v>
      </c>
      <c r="EC24" s="3">
        <f t="shared" si="28"/>
        <v>0</v>
      </c>
      <c r="ED24" s="3">
        <f t="shared" si="29"/>
        <v>0</v>
      </c>
      <c r="EF24" s="3">
        <f t="shared" ca="1" si="30"/>
        <v>0</v>
      </c>
      <c r="EG24" s="3">
        <f t="shared" ca="1" si="31"/>
        <v>0</v>
      </c>
      <c r="EH24" s="3">
        <f ca="1">IFERROR(IF(LEFT($BA24,1)="4",OFFSET(변환표준점수!$H$118,MATCH($S24,변환표준점수!$B$119:$B$198,0),),OFFSET(EH$3,MATCH(AS24,$ED$4:$ED$8,0),0)),0)</f>
        <v>0</v>
      </c>
      <c r="EI24" s="3">
        <f ca="1">IFERROR(IF(LEFT($BA24,1)="4",OFFSET(변환표준점수!$I$118,MATCH($S24,변환표준점수!$B$119:$B$198,0),0),OFFSET(EI$3,MATCH(AT24,$ED$4:$ED$8,0),0)),0)</f>
        <v>0</v>
      </c>
      <c r="EK24" s="3">
        <f ca="1">IFERROR(IF(LEFT($BA24,1)="4",OFFSET(변환표준점수!$J$118,MATCH($S24,변환표준점수!$B$119:$B$198,0),0),OFFSET(EJ$3,MATCH(AV24,$ED$4:$ED$8,0),0)),0)</f>
        <v>0</v>
      </c>
      <c r="EL24" s="3">
        <f ca="1">IFERROR(IF(LEFT($BA24,1)="4",OFFSET(변환표준점수!$K$118,MATCH($S24,변환표준점수!$B$119:$B$198,0),0),OFFSET(EK$3,MATCH(AW24,$ED$4:$ED$8,0),0)),0)</f>
        <v>0</v>
      </c>
      <c r="EM24" s="3" t="str">
        <f t="shared" ca="1" si="32"/>
        <v/>
      </c>
      <c r="EN24" s="3" t="str">
        <f t="shared" ca="1" si="33"/>
        <v/>
      </c>
      <c r="EO24" s="3">
        <f t="shared" ca="1" si="34"/>
        <v>0</v>
      </c>
      <c r="EQ24" s="3">
        <f t="shared" ca="1" si="50"/>
        <v>0</v>
      </c>
      <c r="ER24" s="3">
        <f t="shared" ca="1" si="35"/>
        <v>0</v>
      </c>
      <c r="ES24" s="3">
        <f t="shared" ca="1" si="36"/>
        <v>0</v>
      </c>
      <c r="ET24" s="3">
        <f t="shared" ca="1" si="37"/>
        <v>0</v>
      </c>
      <c r="EU24" s="3">
        <f t="shared" si="38"/>
        <v>0</v>
      </c>
      <c r="EV24" s="3">
        <f t="shared" ca="1" si="39"/>
        <v>0</v>
      </c>
      <c r="EW24" s="3">
        <f t="shared" ca="1" si="40"/>
        <v>0</v>
      </c>
      <c r="EX24" s="3">
        <f ca="1">LARGE((ES24:ET24,EV24:EW24),1)</f>
        <v>0</v>
      </c>
      <c r="EY24" s="3">
        <f ca="1">IF(O24&lt;2,0,LARGE((ES24:ET24,EV24:EW24),2))</f>
        <v>0</v>
      </c>
      <c r="EZ24" s="3">
        <f t="shared" ca="1" si="41"/>
        <v>0</v>
      </c>
      <c r="FA24" s="3">
        <f t="shared" ca="1" si="42"/>
        <v>0</v>
      </c>
      <c r="FB24" s="3">
        <f t="shared" ca="1" si="43"/>
        <v>0</v>
      </c>
      <c r="FG24" s="3">
        <f t="shared" ca="1" si="44"/>
        <v>0</v>
      </c>
      <c r="FH24" s="618"/>
      <c r="FU24" s="3" t="str">
        <f t="shared" si="51"/>
        <v>표점</v>
      </c>
      <c r="FV24" s="3" t="str">
        <f t="shared" si="52"/>
        <v>변표</v>
      </c>
      <c r="FW24" s="3">
        <f t="shared" si="45"/>
        <v>0.31</v>
      </c>
      <c r="FX24" s="3">
        <f t="shared" si="46"/>
        <v>0.38</v>
      </c>
      <c r="FY24" s="3">
        <f t="shared" si="47"/>
        <v>0.31</v>
      </c>
      <c r="FZ24" s="3">
        <f t="shared" si="48"/>
        <v>5</v>
      </c>
    </row>
    <row r="25" spans="1:182">
      <c r="A25" s="556">
        <v>26</v>
      </c>
      <c r="C25" s="3">
        <f t="shared" si="49"/>
        <v>10</v>
      </c>
      <c r="D25" s="3">
        <v>10</v>
      </c>
      <c r="E25" s="3" t="s">
        <v>334</v>
      </c>
      <c r="F25" s="3">
        <v>800</v>
      </c>
      <c r="G25" s="3">
        <f>200/640</f>
        <v>0.3125</v>
      </c>
      <c r="H25" s="3">
        <f>240/640</f>
        <v>0.375</v>
      </c>
      <c r="I25" s="3">
        <f>200/640/2</f>
        <v>0.15625</v>
      </c>
      <c r="J25" s="3">
        <f>200/640/2</f>
        <v>0.15625</v>
      </c>
      <c r="O25" s="3">
        <v>2</v>
      </c>
      <c r="P25" s="3">
        <f t="shared" si="9"/>
        <v>1</v>
      </c>
      <c r="Q25" s="3">
        <v>3</v>
      </c>
      <c r="S25" s="3">
        <f t="shared" si="10"/>
        <v>3</v>
      </c>
      <c r="W25" s="3">
        <f t="shared" si="11"/>
        <v>0</v>
      </c>
      <c r="Y25" s="3">
        <f t="shared" si="12"/>
        <v>1.25</v>
      </c>
      <c r="Z25" s="3">
        <f t="shared" si="13"/>
        <v>1.5</v>
      </c>
      <c r="AA25" s="3">
        <f t="shared" si="14"/>
        <v>1.25</v>
      </c>
      <c r="AB25" s="3">
        <f t="shared" si="15"/>
        <v>0</v>
      </c>
      <c r="AC25" s="3">
        <f t="shared" si="16"/>
        <v>1.25</v>
      </c>
      <c r="AD25" s="3">
        <f t="shared" si="54"/>
        <v>1.25</v>
      </c>
      <c r="AE25" s="3">
        <f t="shared" si="55"/>
        <v>1.5</v>
      </c>
      <c r="AF25" s="3">
        <f t="shared" si="56"/>
        <v>1.25</v>
      </c>
      <c r="AG25" s="3">
        <f t="shared" si="57"/>
        <v>1.25</v>
      </c>
      <c r="AH25" s="3" t="str">
        <f t="shared" si="17"/>
        <v>자동</v>
      </c>
      <c r="AI25" s="3">
        <f t="shared" si="18"/>
        <v>0</v>
      </c>
      <c r="AJ25" s="3">
        <f t="shared" si="19"/>
        <v>0</v>
      </c>
      <c r="AL25" s="3" t="str">
        <f t="shared" si="20"/>
        <v/>
      </c>
      <c r="AN25" s="3" t="str">
        <f ca="1">IF($BA25=42,OFFSET(변환표준점수!C$119,$AP25-1,0),"")</f>
        <v/>
      </c>
      <c r="AO25" s="3" t="str">
        <f ca="1">IF($BA25=42,OFFSET(변환표준점수!D$119,$AP25-1,0),"")</f>
        <v/>
      </c>
      <c r="AP25" s="3">
        <f>IF(S25="","",MATCH(S25,변환표준점수!$B$119:$B$298,0))</f>
        <v>3</v>
      </c>
      <c r="AQ25" s="3">
        <v>1</v>
      </c>
      <c r="AR25" s="3">
        <v>1</v>
      </c>
      <c r="AS25" s="3">
        <v>4</v>
      </c>
      <c r="AT25" s="3">
        <v>4</v>
      </c>
      <c r="AV25" s="3">
        <v>4</v>
      </c>
      <c r="AW25" s="3">
        <v>4</v>
      </c>
      <c r="AX25" s="3">
        <v>3</v>
      </c>
      <c r="AY25" s="3">
        <v>3</v>
      </c>
      <c r="BA25" s="3">
        <f t="shared" si="53"/>
        <v>4</v>
      </c>
      <c r="BF25" s="3">
        <f>0.03*AA25</f>
        <v>3.7499999999999999E-2</v>
      </c>
      <c r="BG25" s="3">
        <f>0.03*AA25</f>
        <v>3.7499999999999999E-2</v>
      </c>
      <c r="BJ25" s="124">
        <f t="shared" si="21"/>
        <v>0</v>
      </c>
      <c r="BN25" s="212" t="s">
        <v>7269</v>
      </c>
      <c r="BS25" s="3">
        <f ca="1">BF25*EH25</f>
        <v>0</v>
      </c>
      <c r="BT25" s="3">
        <f ca="1">BG25*EI25</f>
        <v>0</v>
      </c>
      <c r="CH25" s="206">
        <f t="shared" si="22"/>
        <v>800</v>
      </c>
      <c r="CJ25" s="3">
        <v>-3</v>
      </c>
      <c r="CK25" s="3">
        <v>-6</v>
      </c>
      <c r="CL25" s="3">
        <v>-9</v>
      </c>
      <c r="CM25" s="3">
        <v>-12</v>
      </c>
      <c r="CN25" s="3">
        <v>-15</v>
      </c>
      <c r="CO25" s="3">
        <v>-18</v>
      </c>
      <c r="CP25" s="3">
        <v>-21</v>
      </c>
      <c r="CQ25" s="3">
        <v>-24</v>
      </c>
      <c r="CR25" s="56">
        <v>0</v>
      </c>
      <c r="CS25" s="3">
        <v>0</v>
      </c>
      <c r="CT25" s="3">
        <v>0</v>
      </c>
      <c r="CU25" s="3">
        <v>0</v>
      </c>
      <c r="CV25" s="3">
        <v>-0.2</v>
      </c>
      <c r="CW25" s="3">
        <v>-0.4</v>
      </c>
      <c r="CX25" s="3">
        <v>-0.6</v>
      </c>
      <c r="CY25" s="3">
        <v>-0.8</v>
      </c>
      <c r="CZ25" s="3">
        <v>-2</v>
      </c>
      <c r="DJ25" s="3">
        <f t="shared" ca="1" si="23"/>
        <v>0</v>
      </c>
      <c r="DK25" s="93" t="e">
        <f t="shared" ca="1" si="24"/>
        <v>#DIV/0!</v>
      </c>
      <c r="DL25" s="3">
        <f t="shared" ca="1" si="25"/>
        <v>0</v>
      </c>
      <c r="DO25" s="3">
        <v>2</v>
      </c>
      <c r="DQ25" s="3">
        <v>1</v>
      </c>
      <c r="DW25" s="3">
        <f>IF(OR(AR7=1,COUNTIF(AS7:AU7,1)=2,ROUND(SUM(AQ7:AR7,N10)+MIN(AX7:AY7),0)&lt;9),0,1)</f>
        <v>0</v>
      </c>
      <c r="DZ25" s="3">
        <v>1</v>
      </c>
      <c r="EA25" s="3">
        <f t="shared" si="26"/>
        <v>1</v>
      </c>
      <c r="EB25" s="3">
        <f t="shared" si="27"/>
        <v>2</v>
      </c>
      <c r="EC25" s="3">
        <f t="shared" si="28"/>
        <v>0</v>
      </c>
      <c r="ED25" s="3">
        <f t="shared" si="29"/>
        <v>0</v>
      </c>
      <c r="EF25" s="3">
        <f t="shared" ca="1" si="30"/>
        <v>0</v>
      </c>
      <c r="EG25" s="3">
        <f t="shared" ca="1" si="31"/>
        <v>0</v>
      </c>
      <c r="EH25" s="3">
        <f ca="1">IFERROR(IF(LEFT($BA25,1)="4",OFFSET(변환표준점수!$H$118,MATCH($S25,변환표준점수!$B$119:$B$198,0),),OFFSET(EH$3,MATCH(AS25,$ED$4:$ED$8,0),0)),0)</f>
        <v>0</v>
      </c>
      <c r="EI25" s="3">
        <f ca="1">IFERROR(IF(LEFT($BA25,1)="4",OFFSET(변환표준점수!$I$118,MATCH($S25,변환표준점수!$B$119:$B$198,0),0),OFFSET(EI$3,MATCH(AT25,$ED$4:$ED$8,0),0)),0)</f>
        <v>0</v>
      </c>
      <c r="EK25" s="3">
        <f ca="1">IFERROR(IF(LEFT($BA25,1)="4",OFFSET(변환표준점수!$J$118,MATCH($S25,변환표준점수!$B$119:$B$198,0),0),OFFSET(EJ$3,MATCH(AV25,$ED$4:$ED$8,0),0)),0)</f>
        <v>0</v>
      </c>
      <c r="EL25" s="3">
        <f ca="1">IFERROR(IF(LEFT($BA25,1)="4",OFFSET(변환표준점수!$K$118,MATCH($S25,변환표준점수!$B$119:$B$198,0),0),OFFSET(EK$3,MATCH(AW25,$ED$4:$ED$8,0),0)),0)</f>
        <v>0</v>
      </c>
      <c r="EM25" s="3" t="str">
        <f t="shared" ca="1" si="32"/>
        <v/>
      </c>
      <c r="EN25" s="3" t="str">
        <f t="shared" ca="1" si="33"/>
        <v/>
      </c>
      <c r="EO25" s="3">
        <f t="shared" ca="1" si="34"/>
        <v>0</v>
      </c>
      <c r="EQ25" s="3">
        <f t="shared" ca="1" si="50"/>
        <v>0</v>
      </c>
      <c r="ER25" s="3">
        <f t="shared" ca="1" si="35"/>
        <v>0</v>
      </c>
      <c r="ES25" s="3">
        <f t="shared" ca="1" si="36"/>
        <v>0</v>
      </c>
      <c r="ET25" s="3">
        <f t="shared" ca="1" si="37"/>
        <v>0</v>
      </c>
      <c r="EU25" s="3">
        <f t="shared" si="38"/>
        <v>0</v>
      </c>
      <c r="EV25" s="3">
        <f t="shared" ca="1" si="39"/>
        <v>0</v>
      </c>
      <c r="EW25" s="3">
        <f t="shared" ca="1" si="40"/>
        <v>0</v>
      </c>
      <c r="EX25" s="3">
        <f ca="1">LARGE((ES25:ET25,EV25:EW25),1)</f>
        <v>0</v>
      </c>
      <c r="EY25" s="3">
        <f ca="1">IF(O25&lt;2,0,LARGE((ES25:ET25,EV25:EW25),2))</f>
        <v>0</v>
      </c>
      <c r="EZ25" s="3">
        <f t="shared" ca="1" si="41"/>
        <v>0</v>
      </c>
      <c r="FA25" s="3">
        <f t="shared" ca="1" si="42"/>
        <v>0</v>
      </c>
      <c r="FB25" s="3">
        <f t="shared" ca="1" si="43"/>
        <v>0</v>
      </c>
      <c r="FG25" s="3">
        <f t="shared" ca="1" si="44"/>
        <v>0</v>
      </c>
      <c r="FH25" s="618"/>
      <c r="FU25" s="3" t="str">
        <f t="shared" si="51"/>
        <v>표점</v>
      </c>
      <c r="FV25" s="3" t="str">
        <f t="shared" si="52"/>
        <v>변표</v>
      </c>
      <c r="FW25" s="3">
        <f t="shared" si="45"/>
        <v>0.31</v>
      </c>
      <c r="FX25" s="3">
        <f t="shared" si="46"/>
        <v>0.38</v>
      </c>
      <c r="FY25" s="3">
        <f t="shared" si="47"/>
        <v>0.31</v>
      </c>
      <c r="FZ25" s="3">
        <f t="shared" si="48"/>
        <v>4</v>
      </c>
    </row>
    <row r="26" spans="1:182">
      <c r="A26" s="556">
        <v>26</v>
      </c>
      <c r="C26" s="3">
        <f t="shared" si="49"/>
        <v>11</v>
      </c>
      <c r="D26" s="3">
        <v>11</v>
      </c>
      <c r="E26" s="3" t="s">
        <v>307</v>
      </c>
      <c r="F26" s="3">
        <v>1000</v>
      </c>
      <c r="G26" s="3">
        <f>200/560</f>
        <v>0.35714285714285715</v>
      </c>
      <c r="H26" s="3">
        <f>200/560</f>
        <v>0.35714285714285715</v>
      </c>
      <c r="I26" s="3">
        <f>160/560/2</f>
        <v>0.14285714285714285</v>
      </c>
      <c r="J26" s="3">
        <f>160/560/2</f>
        <v>0.14285714285714285</v>
      </c>
      <c r="L26" s="3">
        <f>160/560/2</f>
        <v>0.14285714285714285</v>
      </c>
      <c r="M26" s="3">
        <f>160/560/2</f>
        <v>0.14285714285714285</v>
      </c>
      <c r="O26" s="3">
        <v>2</v>
      </c>
      <c r="P26" s="3">
        <f t="shared" si="9"/>
        <v>1</v>
      </c>
      <c r="Q26" s="3">
        <v>3</v>
      </c>
      <c r="S26" s="3">
        <f t="shared" si="10"/>
        <v>3</v>
      </c>
      <c r="W26" s="3">
        <f t="shared" si="11"/>
        <v>0</v>
      </c>
      <c r="Y26" s="3">
        <f t="shared" si="12"/>
        <v>1.7857142857142858</v>
      </c>
      <c r="Z26" s="3">
        <f t="shared" si="13"/>
        <v>1.7857142857142858</v>
      </c>
      <c r="AA26" s="3">
        <f t="shared" si="14"/>
        <v>1.4285714285714286</v>
      </c>
      <c r="AB26" s="3">
        <f t="shared" si="15"/>
        <v>1.4285714285714286</v>
      </c>
      <c r="AC26" s="3">
        <f t="shared" si="16"/>
        <v>1.4285714285714286</v>
      </c>
      <c r="AD26" s="3">
        <f t="shared" si="54"/>
        <v>1.7857142857142858</v>
      </c>
      <c r="AE26" s="3">
        <f t="shared" si="55"/>
        <v>1.7857142857142858</v>
      </c>
      <c r="AF26" s="3">
        <f t="shared" si="56"/>
        <v>1.4285714285714286</v>
      </c>
      <c r="AG26" s="3">
        <f t="shared" si="57"/>
        <v>1.4285714285714286</v>
      </c>
      <c r="AH26" s="3" t="str">
        <f t="shared" si="17"/>
        <v>자동</v>
      </c>
      <c r="AI26" s="3">
        <f t="shared" si="18"/>
        <v>1.4285714285714286</v>
      </c>
      <c r="AJ26" s="3">
        <f t="shared" si="19"/>
        <v>1.4285714285714286</v>
      </c>
      <c r="AL26" s="3" t="str">
        <f t="shared" si="20"/>
        <v/>
      </c>
      <c r="AN26" s="3" t="str">
        <f ca="1">IF($BA26=42,OFFSET(변환표준점수!C$119,$AP26-1,0),"")</f>
        <v/>
      </c>
      <c r="AO26" s="3" t="str">
        <f ca="1">IF($BA26=42,OFFSET(변환표준점수!D$119,$AP26-1,0),"")</f>
        <v/>
      </c>
      <c r="AP26" s="3">
        <f>IF(S26="","",MATCH(S26,변환표준점수!$B$119:$B$298,0))</f>
        <v>3</v>
      </c>
      <c r="AQ26" s="3">
        <v>1</v>
      </c>
      <c r="AR26" s="3">
        <v>1</v>
      </c>
      <c r="AS26" s="3">
        <v>4</v>
      </c>
      <c r="AT26" s="3">
        <v>4</v>
      </c>
      <c r="AV26" s="3">
        <v>4</v>
      </c>
      <c r="AW26" s="3">
        <v>4</v>
      </c>
      <c r="AX26" s="3">
        <v>3</v>
      </c>
      <c r="AY26" s="3">
        <v>3</v>
      </c>
      <c r="BA26" s="3">
        <f t="shared" si="53"/>
        <v>4</v>
      </c>
      <c r="BJ26" s="124">
        <f t="shared" si="21"/>
        <v>0</v>
      </c>
      <c r="CH26" s="206">
        <f t="shared" si="22"/>
        <v>1000</v>
      </c>
      <c r="CJ26" s="3">
        <v>-3</v>
      </c>
      <c r="CK26" s="3">
        <v>-6</v>
      </c>
      <c r="CL26" s="3">
        <v>-9</v>
      </c>
      <c r="CM26" s="3">
        <v>-12</v>
      </c>
      <c r="CN26" s="3">
        <v>-15</v>
      </c>
      <c r="CO26" s="3">
        <v>-18</v>
      </c>
      <c r="CP26" s="3">
        <v>-21</v>
      </c>
      <c r="CQ26" s="3">
        <v>-24</v>
      </c>
      <c r="CR26" s="56">
        <v>0</v>
      </c>
      <c r="CS26" s="3">
        <v>0</v>
      </c>
      <c r="CT26" s="3">
        <v>0</v>
      </c>
      <c r="CU26" s="3">
        <v>0</v>
      </c>
      <c r="CV26" s="3">
        <v>-0.2</v>
      </c>
      <c r="CW26" s="3">
        <v>-0.4</v>
      </c>
      <c r="CX26" s="3">
        <v>-0.6</v>
      </c>
      <c r="CY26" s="3">
        <v>-0.8</v>
      </c>
      <c r="CZ26" s="3">
        <v>-2</v>
      </c>
      <c r="DJ26" s="3">
        <f t="shared" ca="1" si="23"/>
        <v>0</v>
      </c>
      <c r="DK26" s="93" t="e">
        <f t="shared" ca="1" si="24"/>
        <v>#DIV/0!</v>
      </c>
      <c r="DL26" s="3">
        <f t="shared" ca="1" si="25"/>
        <v>0</v>
      </c>
      <c r="DO26" s="3">
        <v>2</v>
      </c>
      <c r="EA26" s="3">
        <f t="shared" si="26"/>
        <v>2</v>
      </c>
      <c r="EB26" s="3">
        <f t="shared" si="27"/>
        <v>2</v>
      </c>
      <c r="EC26" s="3">
        <f t="shared" si="28"/>
        <v>0</v>
      </c>
      <c r="ED26" s="3">
        <f t="shared" si="29"/>
        <v>0</v>
      </c>
      <c r="EF26" s="3">
        <f t="shared" ca="1" si="30"/>
        <v>0</v>
      </c>
      <c r="EG26" s="3">
        <f t="shared" ca="1" si="31"/>
        <v>0</v>
      </c>
      <c r="EH26" s="3">
        <f ca="1">IFERROR(IF(LEFT($BA26,1)="4",OFFSET(변환표준점수!$H$118,MATCH($S26,변환표준점수!$B$119:$B$198,0),),OFFSET(EH$3,MATCH(AS26,$ED$4:$ED$8,0),0)),0)</f>
        <v>0</v>
      </c>
      <c r="EI26" s="3">
        <f ca="1">IFERROR(IF(LEFT($BA26,1)="4",OFFSET(변환표준점수!$I$118,MATCH($S26,변환표준점수!$B$119:$B$198,0),0),OFFSET(EI$3,MATCH(AT26,$ED$4:$ED$8,0),0)),0)</f>
        <v>0</v>
      </c>
      <c r="EK26" s="3">
        <f ca="1">IFERROR(IF(LEFT($BA26,1)="4",OFFSET(변환표준점수!$J$118,MATCH($S26,변환표준점수!$B$119:$B$198,0),0),OFFSET(EJ$3,MATCH(AV26,$ED$4:$ED$8,0),0)),0)</f>
        <v>0</v>
      </c>
      <c r="EL26" s="3">
        <f ca="1">IFERROR(IF(LEFT($BA26,1)="4",OFFSET(변환표준점수!$K$118,MATCH($S26,변환표준점수!$B$119:$B$198,0),0),OFFSET(EK$3,MATCH(AW26,$ED$4:$ED$8,0),0)),0)</f>
        <v>0</v>
      </c>
      <c r="EM26" s="3" t="str">
        <f t="shared" ca="1" si="32"/>
        <v/>
      </c>
      <c r="EN26" s="3" t="str">
        <f t="shared" ca="1" si="33"/>
        <v/>
      </c>
      <c r="EO26" s="3">
        <f t="shared" ca="1" si="34"/>
        <v>0</v>
      </c>
      <c r="EQ26" s="3">
        <f t="shared" ca="1" si="50"/>
        <v>0</v>
      </c>
      <c r="ER26" s="3">
        <f t="shared" ca="1" si="35"/>
        <v>0</v>
      </c>
      <c r="ES26" s="3">
        <f t="shared" ca="1" si="36"/>
        <v>0</v>
      </c>
      <c r="ET26" s="3">
        <f t="shared" ca="1" si="37"/>
        <v>0</v>
      </c>
      <c r="EU26" s="3">
        <f t="shared" si="38"/>
        <v>0</v>
      </c>
      <c r="EV26" s="3">
        <f t="shared" ca="1" si="39"/>
        <v>0</v>
      </c>
      <c r="EW26" s="3">
        <f t="shared" ca="1" si="40"/>
        <v>0</v>
      </c>
      <c r="EX26" s="3">
        <f ca="1">LARGE((ES26:ET26,EV26:EW26),1)</f>
        <v>0</v>
      </c>
      <c r="EY26" s="3">
        <f ca="1">IF(O26&lt;2,0,LARGE((ES26:ET26,EV26:EW26),2))</f>
        <v>0</v>
      </c>
      <c r="EZ26" s="3">
        <f t="shared" ca="1" si="41"/>
        <v>0</v>
      </c>
      <c r="FA26" s="3">
        <f t="shared" ca="1" si="42"/>
        <v>0</v>
      </c>
      <c r="FB26" s="3">
        <f t="shared" ca="1" si="43"/>
        <v>0</v>
      </c>
      <c r="FG26" s="3">
        <f t="shared" ca="1" si="44"/>
        <v>0</v>
      </c>
      <c r="FH26" s="618"/>
      <c r="FU26" s="3" t="str">
        <f t="shared" si="51"/>
        <v>표점</v>
      </c>
      <c r="FV26" s="3" t="str">
        <f t="shared" si="52"/>
        <v>변표</v>
      </c>
      <c r="FW26" s="3">
        <f t="shared" si="45"/>
        <v>0.36</v>
      </c>
      <c r="FX26" s="3">
        <f t="shared" si="46"/>
        <v>0.36</v>
      </c>
      <c r="FY26" s="3">
        <f t="shared" si="47"/>
        <v>0.28999999999999998</v>
      </c>
      <c r="FZ26" s="3">
        <f t="shared" si="48"/>
        <v>5</v>
      </c>
    </row>
    <row r="27" spans="1:182">
      <c r="A27" s="556">
        <v>26</v>
      </c>
      <c r="C27" s="3">
        <f t="shared" si="49"/>
        <v>12</v>
      </c>
      <c r="D27" s="3">
        <v>12</v>
      </c>
      <c r="E27" s="3" t="s">
        <v>323</v>
      </c>
      <c r="F27" s="3">
        <v>600</v>
      </c>
      <c r="G27" s="3">
        <f>1.1/3</f>
        <v>0.3666666666666667</v>
      </c>
      <c r="H27" s="3">
        <f>1.3/3</f>
        <v>0.43333333333333335</v>
      </c>
      <c r="I27" s="3">
        <f>0.6/3/2</f>
        <v>9.9999999999999992E-2</v>
      </c>
      <c r="J27" s="3">
        <f>0.6/3/2</f>
        <v>9.9999999999999992E-2</v>
      </c>
      <c r="L27" s="3">
        <f>I27</f>
        <v>9.9999999999999992E-2</v>
      </c>
      <c r="M27" s="3">
        <f>J27</f>
        <v>9.9999999999999992E-2</v>
      </c>
      <c r="O27" s="3">
        <v>2</v>
      </c>
      <c r="P27" s="3">
        <f t="shared" si="9"/>
        <v>1</v>
      </c>
      <c r="Q27" s="3">
        <v>4</v>
      </c>
      <c r="S27" s="3">
        <f t="shared" si="10"/>
        <v>4</v>
      </c>
      <c r="W27" s="3">
        <f t="shared" si="11"/>
        <v>0</v>
      </c>
      <c r="Y27" s="3">
        <f t="shared" si="12"/>
        <v>1.1000000000000001</v>
      </c>
      <c r="Z27" s="3">
        <f t="shared" si="13"/>
        <v>1.3</v>
      </c>
      <c r="AA27" s="3">
        <f t="shared" si="14"/>
        <v>0.6</v>
      </c>
      <c r="AB27" s="3">
        <f t="shared" si="15"/>
        <v>0.6</v>
      </c>
      <c r="AC27" s="3">
        <f t="shared" si="16"/>
        <v>0.6</v>
      </c>
      <c r="AD27" s="3">
        <f t="shared" si="54"/>
        <v>1.1000000000000001</v>
      </c>
      <c r="AE27" s="3">
        <f t="shared" si="55"/>
        <v>1.3</v>
      </c>
      <c r="AF27" s="3">
        <f t="shared" si="56"/>
        <v>0.6</v>
      </c>
      <c r="AG27" s="3">
        <f t="shared" si="57"/>
        <v>0.6</v>
      </c>
      <c r="AH27" s="3" t="str">
        <f t="shared" si="17"/>
        <v>자동</v>
      </c>
      <c r="AI27" s="3">
        <f t="shared" si="18"/>
        <v>0.6</v>
      </c>
      <c r="AJ27" s="3">
        <f t="shared" si="19"/>
        <v>0.6</v>
      </c>
      <c r="AL27" s="3" t="str">
        <f t="shared" si="20"/>
        <v/>
      </c>
      <c r="AN27" s="3" t="str">
        <f ca="1">IF($BA27=42,OFFSET(변환표준점수!C$119,$AP27-1,0),"")</f>
        <v/>
      </c>
      <c r="AO27" s="3" t="str">
        <f ca="1">IF($BA27=42,OFFSET(변환표준점수!D$119,$AP27-1,0),"")</f>
        <v/>
      </c>
      <c r="AP27" s="3">
        <f>IF(S27="","",MATCH(S27,변환표준점수!$B$119:$B$298,0))</f>
        <v>4</v>
      </c>
      <c r="AQ27" s="3">
        <v>1</v>
      </c>
      <c r="AR27" s="3">
        <v>1</v>
      </c>
      <c r="AS27" s="3">
        <v>4</v>
      </c>
      <c r="AT27" s="3">
        <v>4</v>
      </c>
      <c r="AV27" s="3">
        <v>4</v>
      </c>
      <c r="AW27" s="3">
        <v>4</v>
      </c>
      <c r="AX27" s="3">
        <v>3</v>
      </c>
      <c r="AY27" s="3">
        <v>3</v>
      </c>
      <c r="BA27" s="3">
        <f t="shared" si="53"/>
        <v>4</v>
      </c>
      <c r="BJ27" s="124">
        <f t="shared" si="21"/>
        <v>0</v>
      </c>
      <c r="CH27" s="206">
        <f t="shared" si="22"/>
        <v>600</v>
      </c>
      <c r="CI27" s="56">
        <v>100</v>
      </c>
      <c r="CJ27" s="3">
        <v>99.5</v>
      </c>
      <c r="CK27" s="3">
        <v>98.5</v>
      </c>
      <c r="CL27" s="3">
        <v>97</v>
      </c>
      <c r="CM27" s="3">
        <v>95</v>
      </c>
      <c r="CN27" s="3">
        <v>92.5</v>
      </c>
      <c r="CO27" s="3">
        <v>89.5</v>
      </c>
      <c r="CP27" s="3">
        <v>86</v>
      </c>
      <c r="CQ27" s="3">
        <v>82</v>
      </c>
      <c r="CR27" s="56">
        <v>10</v>
      </c>
      <c r="CS27" s="3">
        <v>10</v>
      </c>
      <c r="CT27" s="3">
        <v>10</v>
      </c>
      <c r="CU27" s="3">
        <v>10</v>
      </c>
      <c r="CV27" s="3">
        <v>9.5</v>
      </c>
      <c r="CW27" s="3">
        <v>9</v>
      </c>
      <c r="CX27" s="3">
        <v>8.5</v>
      </c>
      <c r="CY27" s="3">
        <v>8</v>
      </c>
      <c r="CZ27" s="3">
        <v>7.5</v>
      </c>
      <c r="DJ27" s="3">
        <f t="shared" ca="1" si="23"/>
        <v>100</v>
      </c>
      <c r="DK27" s="93">
        <f t="shared" ca="1" si="24"/>
        <v>100</v>
      </c>
      <c r="DL27" s="3">
        <f t="shared" ca="1" si="25"/>
        <v>10</v>
      </c>
      <c r="DO27" s="3">
        <v>2</v>
      </c>
      <c r="DZ27" s="3">
        <v>1</v>
      </c>
      <c r="EA27" s="3">
        <f t="shared" si="26"/>
        <v>1</v>
      </c>
      <c r="EB27" s="3">
        <f t="shared" si="27"/>
        <v>2</v>
      </c>
      <c r="EC27" s="3">
        <f t="shared" si="28"/>
        <v>0</v>
      </c>
      <c r="ED27" s="3">
        <f t="shared" si="29"/>
        <v>0</v>
      </c>
      <c r="EF27" s="3">
        <f t="shared" ca="1" si="30"/>
        <v>0</v>
      </c>
      <c r="EG27" s="3">
        <f t="shared" ca="1" si="31"/>
        <v>0</v>
      </c>
      <c r="EH27" s="3">
        <f ca="1">IFERROR(IF(LEFT($BA27,1)="4",OFFSET(변환표준점수!$H$118,MATCH($S27,변환표준점수!$B$119:$B$198,0),),OFFSET(EH$3,MATCH(AS27,$ED$4:$ED$8,0),0)),0)</f>
        <v>0</v>
      </c>
      <c r="EI27" s="3">
        <f ca="1">IFERROR(IF(LEFT($BA27,1)="4",OFFSET(변환표준점수!$I$118,MATCH($S27,변환표준점수!$B$119:$B$198,0),0),OFFSET(EI$3,MATCH(AT27,$ED$4:$ED$8,0),0)),0)</f>
        <v>0</v>
      </c>
      <c r="EK27" s="3">
        <f ca="1">IFERROR(IF(LEFT($BA27,1)="4",OFFSET(변환표준점수!$J$118,MATCH($S27,변환표준점수!$B$119:$B$198,0),0),OFFSET(EJ$3,MATCH(AV27,$ED$4:$ED$8,0),0)),0)</f>
        <v>0</v>
      </c>
      <c r="EL27" s="3">
        <f ca="1">IFERROR(IF(LEFT($BA27,1)="4",OFFSET(변환표준점수!$K$118,MATCH($S27,변환표준점수!$B$119:$B$198,0),0),OFFSET(EK$3,MATCH(AW27,$ED$4:$ED$8,0),0)),0)</f>
        <v>0</v>
      </c>
      <c r="EM27" s="3" t="str">
        <f t="shared" ca="1" si="32"/>
        <v/>
      </c>
      <c r="EN27" s="3" t="str">
        <f t="shared" ca="1" si="33"/>
        <v/>
      </c>
      <c r="EO27" s="3">
        <f t="shared" ca="1" si="34"/>
        <v>0</v>
      </c>
      <c r="EQ27" s="3">
        <f t="shared" ca="1" si="50"/>
        <v>0</v>
      </c>
      <c r="ER27" s="3">
        <f t="shared" ca="1" si="35"/>
        <v>0</v>
      </c>
      <c r="ES27" s="3">
        <f t="shared" ca="1" si="36"/>
        <v>0</v>
      </c>
      <c r="ET27" s="3">
        <f t="shared" ca="1" si="37"/>
        <v>0</v>
      </c>
      <c r="EU27" s="3">
        <f t="shared" si="38"/>
        <v>0</v>
      </c>
      <c r="EV27" s="3">
        <f t="shared" ca="1" si="39"/>
        <v>0</v>
      </c>
      <c r="EW27" s="3">
        <f t="shared" ca="1" si="40"/>
        <v>0</v>
      </c>
      <c r="EX27" s="3">
        <f ca="1">LARGE((ES27:ET27,EV27:EW27),1)</f>
        <v>0</v>
      </c>
      <c r="EY27" s="3">
        <f ca="1">IF(O27&lt;2,0,LARGE((ES27:ET27,EV27:EW27),2))</f>
        <v>0</v>
      </c>
      <c r="EZ27" s="3">
        <f t="shared" ca="1" si="41"/>
        <v>0</v>
      </c>
      <c r="FA27" s="3">
        <f t="shared" ca="1" si="42"/>
        <v>0</v>
      </c>
      <c r="FB27" s="3">
        <f t="shared" ca="1" si="43"/>
        <v>0</v>
      </c>
      <c r="FG27" s="3">
        <f t="shared" ca="1" si="44"/>
        <v>0</v>
      </c>
      <c r="FH27" s="618"/>
      <c r="FU27" s="3" t="str">
        <f t="shared" si="51"/>
        <v>표점</v>
      </c>
      <c r="FV27" s="3" t="str">
        <f t="shared" si="52"/>
        <v>변표</v>
      </c>
      <c r="FW27" s="3">
        <f t="shared" si="45"/>
        <v>0.37</v>
      </c>
      <c r="FX27" s="3">
        <f t="shared" si="46"/>
        <v>0.43</v>
      </c>
      <c r="FY27" s="3">
        <f t="shared" si="47"/>
        <v>0.2</v>
      </c>
      <c r="FZ27" s="3">
        <f t="shared" si="48"/>
        <v>3.0000000000000004</v>
      </c>
    </row>
    <row r="28" spans="1:182">
      <c r="A28" s="556">
        <v>26</v>
      </c>
      <c r="C28" s="3">
        <f t="shared" si="49"/>
        <v>13</v>
      </c>
      <c r="D28" s="3">
        <v>13</v>
      </c>
      <c r="E28" s="3" t="s">
        <v>322</v>
      </c>
      <c r="F28" s="3">
        <v>600</v>
      </c>
      <c r="G28" s="3">
        <f>1.3/3</f>
        <v>0.43333333333333335</v>
      </c>
      <c r="H28" s="3">
        <f>1.1/3</f>
        <v>0.3666666666666667</v>
      </c>
      <c r="I28" s="3">
        <f>0.6/3/2</f>
        <v>9.9999999999999992E-2</v>
      </c>
      <c r="J28" s="3">
        <f>0.6/3/2</f>
        <v>9.9999999999999992E-2</v>
      </c>
      <c r="L28" s="3">
        <f>I28</f>
        <v>9.9999999999999992E-2</v>
      </c>
      <c r="M28" s="3">
        <f>J28</f>
        <v>9.9999999999999992E-2</v>
      </c>
      <c r="O28" s="3">
        <v>2</v>
      </c>
      <c r="P28" s="3">
        <f t="shared" si="9"/>
        <v>1</v>
      </c>
      <c r="Q28" s="3">
        <v>5</v>
      </c>
      <c r="S28" s="3">
        <f t="shared" si="10"/>
        <v>5</v>
      </c>
      <c r="W28" s="3">
        <f t="shared" si="11"/>
        <v>0</v>
      </c>
      <c r="Y28" s="3">
        <f t="shared" si="12"/>
        <v>1.3</v>
      </c>
      <c r="Z28" s="3">
        <f t="shared" si="13"/>
        <v>1.1000000000000001</v>
      </c>
      <c r="AA28" s="3">
        <f t="shared" si="14"/>
        <v>0.6</v>
      </c>
      <c r="AB28" s="3">
        <f t="shared" si="15"/>
        <v>0.6</v>
      </c>
      <c r="AC28" s="3">
        <f t="shared" si="16"/>
        <v>0.6</v>
      </c>
      <c r="AD28" s="3">
        <f t="shared" si="54"/>
        <v>1.3</v>
      </c>
      <c r="AE28" s="3">
        <f t="shared" si="55"/>
        <v>1.1000000000000001</v>
      </c>
      <c r="AF28" s="3">
        <f t="shared" si="56"/>
        <v>0.6</v>
      </c>
      <c r="AG28" s="3">
        <f t="shared" si="57"/>
        <v>0.6</v>
      </c>
      <c r="AH28" s="3" t="str">
        <f t="shared" si="17"/>
        <v>자동</v>
      </c>
      <c r="AI28" s="3">
        <f t="shared" si="18"/>
        <v>0.6</v>
      </c>
      <c r="AJ28" s="3">
        <f t="shared" si="19"/>
        <v>0.6</v>
      </c>
      <c r="AL28" s="3" t="str">
        <f t="shared" si="20"/>
        <v/>
      </c>
      <c r="AN28" s="3" t="str">
        <f ca="1">IF($BA28=42,OFFSET(변환표준점수!C$119,$AP28-1,0),"")</f>
        <v/>
      </c>
      <c r="AO28" s="3" t="str">
        <f ca="1">IF($BA28=42,OFFSET(변환표준점수!D$119,$AP28-1,0),"")</f>
        <v/>
      </c>
      <c r="AP28" s="3">
        <f>IF(S28="","",MATCH(S28,변환표준점수!$B$119:$B$298,0))</f>
        <v>5</v>
      </c>
      <c r="AQ28" s="3">
        <v>1</v>
      </c>
      <c r="AR28" s="3">
        <v>1</v>
      </c>
      <c r="AS28" s="3">
        <v>4</v>
      </c>
      <c r="AT28" s="3">
        <v>4</v>
      </c>
      <c r="AV28" s="3">
        <v>4</v>
      </c>
      <c r="AW28" s="3">
        <v>4</v>
      </c>
      <c r="AX28" s="3">
        <v>3</v>
      </c>
      <c r="AY28" s="3">
        <v>3</v>
      </c>
      <c r="BA28" s="3">
        <f t="shared" si="53"/>
        <v>4</v>
      </c>
      <c r="BJ28" s="124">
        <f t="shared" si="21"/>
        <v>0</v>
      </c>
      <c r="CH28" s="206">
        <f t="shared" si="22"/>
        <v>600</v>
      </c>
      <c r="CI28" s="56">
        <v>100</v>
      </c>
      <c r="CJ28" s="3">
        <v>99.5</v>
      </c>
      <c r="CK28" s="3">
        <v>98.5</v>
      </c>
      <c r="CL28" s="3">
        <v>97</v>
      </c>
      <c r="CM28" s="3">
        <v>95</v>
      </c>
      <c r="CN28" s="3">
        <v>92.5</v>
      </c>
      <c r="CO28" s="3">
        <v>89.5</v>
      </c>
      <c r="CP28" s="3">
        <v>86</v>
      </c>
      <c r="CQ28" s="3">
        <v>82</v>
      </c>
      <c r="CR28" s="56">
        <v>10</v>
      </c>
      <c r="CS28" s="3">
        <v>10</v>
      </c>
      <c r="CT28" s="3">
        <v>10</v>
      </c>
      <c r="CU28" s="3">
        <v>10</v>
      </c>
      <c r="CV28" s="3">
        <v>9.5</v>
      </c>
      <c r="CW28" s="3">
        <v>9</v>
      </c>
      <c r="CX28" s="3">
        <v>8.5</v>
      </c>
      <c r="CY28" s="3">
        <v>8</v>
      </c>
      <c r="CZ28" s="3">
        <v>7.5</v>
      </c>
      <c r="DJ28" s="3">
        <f t="shared" ca="1" si="23"/>
        <v>100</v>
      </c>
      <c r="DK28" s="93">
        <f t="shared" ca="1" si="24"/>
        <v>100</v>
      </c>
      <c r="DL28" s="3">
        <f t="shared" ca="1" si="25"/>
        <v>10</v>
      </c>
      <c r="DO28" s="3">
        <v>2</v>
      </c>
      <c r="EA28" s="3">
        <f t="shared" si="26"/>
        <v>2</v>
      </c>
      <c r="EB28" s="3">
        <f t="shared" si="27"/>
        <v>2</v>
      </c>
      <c r="EC28" s="3">
        <f t="shared" si="28"/>
        <v>0</v>
      </c>
      <c r="ED28" s="3">
        <f t="shared" si="29"/>
        <v>0</v>
      </c>
      <c r="EF28" s="3">
        <f t="shared" ca="1" si="30"/>
        <v>0</v>
      </c>
      <c r="EG28" s="3">
        <f t="shared" ca="1" si="31"/>
        <v>0</v>
      </c>
      <c r="EH28" s="3">
        <f ca="1">IFERROR(IF(LEFT($BA28,1)="4",OFFSET(변환표준점수!$H$118,MATCH($S28,변환표준점수!$B$119:$B$198,0),),OFFSET(EH$3,MATCH(AS28,$ED$4:$ED$8,0),0)),0)</f>
        <v>0</v>
      </c>
      <c r="EI28" s="3">
        <f ca="1">IFERROR(IF(LEFT($BA28,1)="4",OFFSET(변환표준점수!$I$118,MATCH($S28,변환표준점수!$B$119:$B$198,0),0),OFFSET(EI$3,MATCH(AT28,$ED$4:$ED$8,0),0)),0)</f>
        <v>0</v>
      </c>
      <c r="EK28" s="3">
        <f ca="1">IFERROR(IF(LEFT($BA28,1)="4",OFFSET(변환표준점수!$J$118,MATCH($S28,변환표준점수!$B$119:$B$198,0),0),OFFSET(EJ$3,MATCH(AV28,$ED$4:$ED$8,0),0)),0)</f>
        <v>0</v>
      </c>
      <c r="EL28" s="3">
        <f ca="1">IFERROR(IF(LEFT($BA28,1)="4",OFFSET(변환표준점수!$K$118,MATCH($S28,변환표준점수!$B$119:$B$198,0),0),OFFSET(EK$3,MATCH(AW28,$ED$4:$ED$8,0),0)),0)</f>
        <v>0</v>
      </c>
      <c r="EM28" s="3" t="str">
        <f t="shared" ca="1" si="32"/>
        <v/>
      </c>
      <c r="EN28" s="3" t="str">
        <f t="shared" ca="1" si="33"/>
        <v/>
      </c>
      <c r="EO28" s="3">
        <f t="shared" ca="1" si="34"/>
        <v>0</v>
      </c>
      <c r="EQ28" s="3">
        <f t="shared" ca="1" si="50"/>
        <v>0</v>
      </c>
      <c r="ER28" s="3">
        <f t="shared" ca="1" si="35"/>
        <v>0</v>
      </c>
      <c r="ES28" s="3">
        <f t="shared" ca="1" si="36"/>
        <v>0</v>
      </c>
      <c r="ET28" s="3">
        <f t="shared" ca="1" si="37"/>
        <v>0</v>
      </c>
      <c r="EU28" s="3">
        <f t="shared" si="38"/>
        <v>0</v>
      </c>
      <c r="EV28" s="3">
        <f t="shared" ca="1" si="39"/>
        <v>0</v>
      </c>
      <c r="EW28" s="3">
        <f t="shared" ca="1" si="40"/>
        <v>0</v>
      </c>
      <c r="EX28" s="3">
        <f ca="1">LARGE((ES28:ET28,EV28:EW28),1)</f>
        <v>0</v>
      </c>
      <c r="EY28" s="3">
        <f ca="1">IF(O28&lt;2,0,LARGE((ES28:ET28,EV28:EW28),2))</f>
        <v>0</v>
      </c>
      <c r="EZ28" s="3">
        <f t="shared" ca="1" si="41"/>
        <v>0</v>
      </c>
      <c r="FA28" s="3">
        <f t="shared" ca="1" si="42"/>
        <v>0</v>
      </c>
      <c r="FB28" s="3">
        <f t="shared" ca="1" si="43"/>
        <v>0</v>
      </c>
      <c r="FG28" s="3">
        <f t="shared" ca="1" si="44"/>
        <v>0</v>
      </c>
      <c r="FH28" s="618"/>
      <c r="FU28" s="3" t="str">
        <f t="shared" si="51"/>
        <v>표점</v>
      </c>
      <c r="FV28" s="3" t="str">
        <f t="shared" si="52"/>
        <v>변표</v>
      </c>
      <c r="FW28" s="3">
        <f t="shared" si="45"/>
        <v>0.43</v>
      </c>
      <c r="FX28" s="3">
        <f t="shared" si="46"/>
        <v>0.37</v>
      </c>
      <c r="FY28" s="3">
        <f t="shared" si="47"/>
        <v>0.2</v>
      </c>
      <c r="FZ28" s="3">
        <f t="shared" si="48"/>
        <v>3.0000000000000004</v>
      </c>
    </row>
    <row r="29" spans="1:182">
      <c r="A29" s="556">
        <v>26</v>
      </c>
      <c r="C29" s="3">
        <f t="shared" si="49"/>
        <v>14</v>
      </c>
      <c r="D29" s="3">
        <v>14</v>
      </c>
      <c r="E29" s="3" t="s">
        <v>7683</v>
      </c>
      <c r="F29" s="3">
        <f ca="1">IF($BB$7=1,OFFSET(F$27,$N29-1,0),(F$27+F$28)/2)</f>
        <v>600</v>
      </c>
      <c r="G29" s="3">
        <f ca="1">IF($BB$7=1,OFFSET(G$27,$N29-1,0),(G$27+G$28)/2)</f>
        <v>0.43333333333333335</v>
      </c>
      <c r="H29" s="3">
        <f ca="1">IF($BB$7=1,OFFSET(H$27,$N29-1,0),(H$27+H$28)/2)</f>
        <v>0.3666666666666667</v>
      </c>
      <c r="I29" s="3">
        <f ca="1">IF($BB$7=1,OFFSET(I$27,$N29-1,0),(I$27+I$28)/2)</f>
        <v>9.9999999999999992E-2</v>
      </c>
      <c r="J29" s="3">
        <f ca="1">IF($BB$7=1,OFFSET(J$27,$N29-1,0),(J$27+J$28)/2)</f>
        <v>9.9999999999999992E-2</v>
      </c>
      <c r="L29" s="3">
        <f ca="1">IF($BB$7=1,OFFSET(L$27,$N29-1,0),(L$27+L$28)/2)</f>
        <v>9.9999999999999992E-2</v>
      </c>
      <c r="M29" s="3">
        <f ca="1">IF($BB$7=1,OFFSET(M$27,$N29-1,0),(M$27+M$28)/2)</f>
        <v>9.9999999999999992E-2</v>
      </c>
      <c r="N29" s="3">
        <f ca="1">IF(FG27&gt;FG28,1,2)</f>
        <v>2</v>
      </c>
      <c r="O29" s="3">
        <v>2</v>
      </c>
      <c r="P29" s="3">
        <f t="shared" ca="1" si="9"/>
        <v>1</v>
      </c>
      <c r="Q29" s="3">
        <v>6</v>
      </c>
      <c r="S29" s="3">
        <f t="shared" si="10"/>
        <v>6</v>
      </c>
      <c r="W29" s="3">
        <f t="shared" si="11"/>
        <v>0</v>
      </c>
      <c r="Y29" s="3">
        <f t="shared" ca="1" si="12"/>
        <v>1.3</v>
      </c>
      <c r="Z29" s="3">
        <f t="shared" ca="1" si="13"/>
        <v>1.1000000000000001</v>
      </c>
      <c r="AA29" s="3">
        <f t="shared" ca="1" si="14"/>
        <v>0.6</v>
      </c>
      <c r="AB29" s="3">
        <f t="shared" ca="1" si="15"/>
        <v>0.6</v>
      </c>
      <c r="AC29" s="3">
        <f t="shared" ca="1" si="16"/>
        <v>0.6</v>
      </c>
      <c r="AD29" s="3">
        <f t="shared" ca="1" si="54"/>
        <v>1.3</v>
      </c>
      <c r="AE29" s="3">
        <f t="shared" ca="1" si="55"/>
        <v>1.1000000000000001</v>
      </c>
      <c r="AF29" s="3">
        <f t="shared" ca="1" si="56"/>
        <v>0.6</v>
      </c>
      <c r="AG29" s="3">
        <f t="shared" ca="1" si="57"/>
        <v>0.6</v>
      </c>
      <c r="AH29" s="3" t="str">
        <f t="shared" si="17"/>
        <v>자동</v>
      </c>
      <c r="AI29" s="3">
        <f t="shared" ca="1" si="18"/>
        <v>0.6</v>
      </c>
      <c r="AJ29" s="3">
        <f t="shared" ca="1" si="19"/>
        <v>0.6</v>
      </c>
      <c r="AL29" s="3" t="str">
        <f t="shared" si="20"/>
        <v/>
      </c>
      <c r="AN29" s="3" t="str">
        <f ca="1">IF($BA29=42,OFFSET(변환표준점수!C$119,$AP29-1,0),"")</f>
        <v/>
      </c>
      <c r="AO29" s="3" t="str">
        <f ca="1">IF($BA29=42,OFFSET(변환표준점수!D$119,$AP29-1,0),"")</f>
        <v/>
      </c>
      <c r="AP29" s="3">
        <f>IF(S29="","",MATCH(S29,변환표준점수!$B$119:$B$298,0))</f>
        <v>6</v>
      </c>
      <c r="AQ29" s="3">
        <v>1</v>
      </c>
      <c r="AR29" s="3">
        <v>1</v>
      </c>
      <c r="AS29" s="3">
        <v>4</v>
      </c>
      <c r="AT29" s="3">
        <v>4</v>
      </c>
      <c r="AV29" s="3">
        <v>4</v>
      </c>
      <c r="AW29" s="3">
        <v>4</v>
      </c>
      <c r="AX29" s="3">
        <v>3</v>
      </c>
      <c r="AY29" s="3">
        <v>3</v>
      </c>
      <c r="BA29" s="3">
        <f t="shared" si="53"/>
        <v>4</v>
      </c>
      <c r="BJ29" s="124">
        <f t="shared" si="21"/>
        <v>0</v>
      </c>
      <c r="CH29" s="206">
        <f t="shared" ca="1" si="22"/>
        <v>600</v>
      </c>
      <c r="CI29" s="56">
        <v>100</v>
      </c>
      <c r="CJ29" s="3">
        <v>99.5</v>
      </c>
      <c r="CK29" s="3">
        <v>98.5</v>
      </c>
      <c r="CL29" s="3">
        <v>97</v>
      </c>
      <c r="CM29" s="3">
        <v>95</v>
      </c>
      <c r="CN29" s="3">
        <v>92.5</v>
      </c>
      <c r="CO29" s="3">
        <v>89.5</v>
      </c>
      <c r="CP29" s="3">
        <v>86</v>
      </c>
      <c r="CQ29" s="3">
        <v>82</v>
      </c>
      <c r="CR29" s="56">
        <v>10</v>
      </c>
      <c r="CS29" s="3">
        <v>10</v>
      </c>
      <c r="CT29" s="3">
        <v>10</v>
      </c>
      <c r="CU29" s="3">
        <v>10</v>
      </c>
      <c r="CV29" s="3">
        <v>9.5</v>
      </c>
      <c r="CW29" s="3">
        <v>9</v>
      </c>
      <c r="CX29" s="3">
        <v>8.5</v>
      </c>
      <c r="CY29" s="3">
        <v>8</v>
      </c>
      <c r="CZ29" s="3">
        <v>7.5</v>
      </c>
      <c r="DJ29" s="3">
        <f t="shared" ca="1" si="23"/>
        <v>100</v>
      </c>
      <c r="DK29" s="93">
        <f t="shared" ca="1" si="24"/>
        <v>100</v>
      </c>
      <c r="DL29" s="3">
        <f t="shared" ca="1" si="25"/>
        <v>10</v>
      </c>
      <c r="DO29" s="3">
        <v>2</v>
      </c>
      <c r="DZ29" s="3">
        <v>1</v>
      </c>
      <c r="EA29" s="3">
        <f t="shared" si="26"/>
        <v>1</v>
      </c>
      <c r="EB29" s="3">
        <f t="shared" si="27"/>
        <v>2</v>
      </c>
      <c r="EC29" s="3">
        <f t="shared" si="28"/>
        <v>0</v>
      </c>
      <c r="ED29" s="3">
        <f t="shared" si="29"/>
        <v>0</v>
      </c>
      <c r="EF29" s="3">
        <f t="shared" ca="1" si="30"/>
        <v>0</v>
      </c>
      <c r="EG29" s="3">
        <f t="shared" ca="1" si="31"/>
        <v>0</v>
      </c>
      <c r="EH29" s="3">
        <f ca="1">IFERROR(IF(LEFT($BA29,1)="4",OFFSET(변환표준점수!$H$118,MATCH($S29,변환표준점수!$B$119:$B$198,0),),OFFSET(EH$3,MATCH(AS29,$ED$4:$ED$8,0),0)),0)</f>
        <v>0</v>
      </c>
      <c r="EI29" s="3">
        <f ca="1">IFERROR(IF(LEFT($BA29,1)="4",OFFSET(변환표준점수!$I$118,MATCH($S29,변환표준점수!$B$119:$B$198,0),0),OFFSET(EI$3,MATCH(AT29,$ED$4:$ED$8,0),0)),0)</f>
        <v>0</v>
      </c>
      <c r="EK29" s="3">
        <f ca="1">IFERROR(IF(LEFT($BA29,1)="4",OFFSET(변환표준점수!$J$118,MATCH($S29,변환표준점수!$B$119:$B$198,0),0),OFFSET(EJ$3,MATCH(AV29,$ED$4:$ED$8,0),0)),0)</f>
        <v>0</v>
      </c>
      <c r="EL29" s="3">
        <f ca="1">IFERROR(IF(LEFT($BA29,1)="4",OFFSET(변환표준점수!$K$118,MATCH($S29,변환표준점수!$B$119:$B$198,0),0),OFFSET(EK$3,MATCH(AW29,$ED$4:$ED$8,0),0)),0)</f>
        <v>0</v>
      </c>
      <c r="EM29" s="3" t="str">
        <f t="shared" ca="1" si="32"/>
        <v/>
      </c>
      <c r="EN29" s="3" t="str">
        <f t="shared" ca="1" si="33"/>
        <v/>
      </c>
      <c r="EO29" s="3">
        <f t="shared" ca="1" si="34"/>
        <v>0</v>
      </c>
      <c r="EQ29" s="3">
        <f t="shared" ca="1" si="50"/>
        <v>0</v>
      </c>
      <c r="ER29" s="3">
        <f t="shared" ca="1" si="35"/>
        <v>0</v>
      </c>
      <c r="ES29" s="3">
        <f t="shared" ca="1" si="36"/>
        <v>0</v>
      </c>
      <c r="ET29" s="3">
        <f t="shared" ca="1" si="37"/>
        <v>0</v>
      </c>
      <c r="EU29" s="3">
        <f t="shared" si="38"/>
        <v>0</v>
      </c>
      <c r="EV29" s="3">
        <f t="shared" ca="1" si="39"/>
        <v>0</v>
      </c>
      <c r="EW29" s="3">
        <f t="shared" ca="1" si="40"/>
        <v>0</v>
      </c>
      <c r="EX29" s="3">
        <f ca="1">LARGE((ES29:ET29,EV29:EW29),1)</f>
        <v>0</v>
      </c>
      <c r="EY29" s="3">
        <f ca="1">IF(O29&lt;2,0,LARGE((ES29:ET29,EV29:EW29),2))</f>
        <v>0</v>
      </c>
      <c r="EZ29" s="3">
        <f t="shared" ca="1" si="41"/>
        <v>0</v>
      </c>
      <c r="FA29" s="3">
        <f t="shared" ca="1" si="42"/>
        <v>0</v>
      </c>
      <c r="FB29" s="3">
        <f t="shared" ca="1" si="43"/>
        <v>0</v>
      </c>
      <c r="FG29" s="3">
        <f t="shared" ca="1" si="44"/>
        <v>0</v>
      </c>
      <c r="FH29" s="618"/>
      <c r="FU29" s="3" t="str">
        <f t="shared" si="51"/>
        <v>표점</v>
      </c>
      <c r="FV29" s="3" t="str">
        <f t="shared" si="52"/>
        <v>변표</v>
      </c>
      <c r="FW29" s="3">
        <f t="shared" ca="1" si="45"/>
        <v>0.43</v>
      </c>
      <c r="FX29" s="3">
        <f t="shared" ca="1" si="46"/>
        <v>0.37</v>
      </c>
      <c r="FY29" s="3">
        <f t="shared" ca="1" si="47"/>
        <v>0.2</v>
      </c>
      <c r="FZ29" s="3">
        <f t="shared" ca="1" si="48"/>
        <v>3.0000000000000004</v>
      </c>
    </row>
    <row r="30" spans="1:182">
      <c r="A30" s="556">
        <v>26</v>
      </c>
      <c r="C30" s="3">
        <f t="shared" si="49"/>
        <v>15</v>
      </c>
      <c r="D30" s="3">
        <v>15</v>
      </c>
      <c r="E30" s="3" t="s">
        <v>7684</v>
      </c>
      <c r="F30" s="3">
        <f ca="1">F29</f>
        <v>600</v>
      </c>
      <c r="G30" s="3">
        <f ca="1">G29</f>
        <v>0.43333333333333335</v>
      </c>
      <c r="H30" s="3">
        <f ca="1">H29</f>
        <v>0.3666666666666667</v>
      </c>
      <c r="I30" s="3">
        <f ca="1">I29</f>
        <v>9.9999999999999992E-2</v>
      </c>
      <c r="J30" s="3">
        <f ca="1">J29</f>
        <v>9.9999999999999992E-2</v>
      </c>
      <c r="L30" s="3">
        <f ca="1">L29</f>
        <v>9.9999999999999992E-2</v>
      </c>
      <c r="M30" s="3">
        <f ca="1">M29</f>
        <v>9.9999999999999992E-2</v>
      </c>
      <c r="N30" s="3">
        <f ca="1">N29</f>
        <v>2</v>
      </c>
      <c r="O30" s="3">
        <v>2</v>
      </c>
      <c r="P30" s="3">
        <f t="shared" ca="1" si="9"/>
        <v>1</v>
      </c>
      <c r="Q30" s="3">
        <v>6</v>
      </c>
      <c r="S30" s="3">
        <f t="shared" si="10"/>
        <v>6</v>
      </c>
      <c r="W30" s="3">
        <f t="shared" si="11"/>
        <v>0</v>
      </c>
      <c r="Y30" s="3">
        <f t="shared" ca="1" si="12"/>
        <v>1.3</v>
      </c>
      <c r="Z30" s="3">
        <f t="shared" ca="1" si="13"/>
        <v>1.1000000000000001</v>
      </c>
      <c r="AA30" s="3">
        <f t="shared" ca="1" si="14"/>
        <v>0.6</v>
      </c>
      <c r="AB30" s="3">
        <f t="shared" ca="1" si="15"/>
        <v>0.6</v>
      </c>
      <c r="AC30" s="3">
        <f t="shared" ca="1" si="16"/>
        <v>0.6</v>
      </c>
      <c r="AD30" s="3">
        <f t="shared" ca="1" si="54"/>
        <v>1.3</v>
      </c>
      <c r="AE30" s="3">
        <f t="shared" ca="1" si="55"/>
        <v>1.1000000000000001</v>
      </c>
      <c r="AF30" s="3">
        <f t="shared" ca="1" si="56"/>
        <v>0.6</v>
      </c>
      <c r="AG30" s="3">
        <f t="shared" ca="1" si="57"/>
        <v>0.6</v>
      </c>
      <c r="AH30" s="3" t="str">
        <f t="shared" si="17"/>
        <v>자동</v>
      </c>
      <c r="AI30" s="3">
        <f t="shared" ca="1" si="18"/>
        <v>0.6</v>
      </c>
      <c r="AJ30" s="3">
        <f t="shared" ca="1" si="19"/>
        <v>0.6</v>
      </c>
      <c r="AL30" s="3" t="str">
        <f t="shared" si="20"/>
        <v/>
      </c>
      <c r="AN30" s="3" t="str">
        <f ca="1">IF($BA30=42,OFFSET(변환표준점수!C$119,$AP30-1,0),"")</f>
        <v/>
      </c>
      <c r="AO30" s="3" t="str">
        <f ca="1">IF($BA30=42,OFFSET(변환표준점수!D$119,$AP30-1,0),"")</f>
        <v/>
      </c>
      <c r="AP30" s="3">
        <f>IF(S30="","",MATCH(S30,변환표준점수!$B$119:$B$298,0))</f>
        <v>6</v>
      </c>
      <c r="AQ30" s="3">
        <v>1</v>
      </c>
      <c r="AR30" s="3">
        <v>1</v>
      </c>
      <c r="AS30" s="3">
        <v>4</v>
      </c>
      <c r="AT30" s="3">
        <v>4</v>
      </c>
      <c r="AV30" s="3">
        <v>4</v>
      </c>
      <c r="AW30" s="3">
        <v>4</v>
      </c>
      <c r="AX30" s="3">
        <v>3</v>
      </c>
      <c r="AY30" s="3">
        <v>3</v>
      </c>
      <c r="BA30" s="3">
        <f t="shared" si="53"/>
        <v>4</v>
      </c>
      <c r="BJ30" s="124">
        <f t="shared" si="21"/>
        <v>0</v>
      </c>
      <c r="CH30" s="206">
        <f t="shared" ca="1" si="22"/>
        <v>600</v>
      </c>
      <c r="CI30" s="56">
        <v>100</v>
      </c>
      <c r="CJ30" s="3">
        <v>99.5</v>
      </c>
      <c r="CK30" s="3">
        <v>98.5</v>
      </c>
      <c r="CL30" s="3">
        <v>97</v>
      </c>
      <c r="CM30" s="3">
        <v>95</v>
      </c>
      <c r="CN30" s="3">
        <v>92.5</v>
      </c>
      <c r="CO30" s="3">
        <v>89.5</v>
      </c>
      <c r="CP30" s="3">
        <v>86</v>
      </c>
      <c r="CQ30" s="3">
        <v>82</v>
      </c>
      <c r="CR30" s="56">
        <v>10</v>
      </c>
      <c r="CS30" s="3">
        <v>10</v>
      </c>
      <c r="CT30" s="3">
        <v>10</v>
      </c>
      <c r="CU30" s="3">
        <v>10</v>
      </c>
      <c r="CV30" s="3">
        <v>9.5</v>
      </c>
      <c r="CW30" s="3">
        <v>9</v>
      </c>
      <c r="CX30" s="3">
        <v>8.5</v>
      </c>
      <c r="CY30" s="3">
        <v>8</v>
      </c>
      <c r="CZ30" s="3">
        <v>7.5</v>
      </c>
      <c r="DJ30" s="3">
        <f t="shared" ca="1" si="23"/>
        <v>100</v>
      </c>
      <c r="DK30" s="93">
        <f t="shared" ca="1" si="24"/>
        <v>100</v>
      </c>
      <c r="DL30" s="3">
        <f t="shared" ca="1" si="25"/>
        <v>10</v>
      </c>
      <c r="DO30" s="3">
        <v>2</v>
      </c>
      <c r="DW30" s="3">
        <f>IF(AND(O10&lt;=4,(SUM(G10:H10,N10)+MIN(AX7:AY7)-MAX(G10:H10,N10,MIN(AX7:AY7)))&lt;=9),0,1)</f>
        <v>1</v>
      </c>
      <c r="DZ30" s="3">
        <v>1</v>
      </c>
      <c r="EA30" s="3">
        <f t="shared" si="26"/>
        <v>1</v>
      </c>
      <c r="EB30" s="3">
        <f t="shared" si="27"/>
        <v>2</v>
      </c>
      <c r="EC30" s="3">
        <f t="shared" si="28"/>
        <v>0</v>
      </c>
      <c r="ED30" s="3">
        <f t="shared" si="29"/>
        <v>0</v>
      </c>
      <c r="EF30" s="3">
        <f t="shared" ca="1" si="30"/>
        <v>0</v>
      </c>
      <c r="EG30" s="3">
        <f t="shared" ca="1" si="31"/>
        <v>0</v>
      </c>
      <c r="EH30" s="3">
        <f ca="1">IFERROR(IF(LEFT($BA30,1)="4",OFFSET(변환표준점수!$H$118,MATCH($S30,변환표준점수!$B$119:$B$198,0),),OFFSET(EH$3,MATCH(AS30,$ED$4:$ED$8,0),0)),0)</f>
        <v>0</v>
      </c>
      <c r="EI30" s="3">
        <f ca="1">IFERROR(IF(LEFT($BA30,1)="4",OFFSET(변환표준점수!$I$118,MATCH($S30,변환표준점수!$B$119:$B$198,0),0),OFFSET(EI$3,MATCH(AT30,$ED$4:$ED$8,0),0)),0)</f>
        <v>0</v>
      </c>
      <c r="EK30" s="3">
        <f ca="1">IFERROR(IF(LEFT($BA30,1)="4",OFFSET(변환표준점수!$J$118,MATCH($S30,변환표준점수!$B$119:$B$198,0),0),OFFSET(EJ$3,MATCH(AV30,$ED$4:$ED$8,0),0)),0)</f>
        <v>0</v>
      </c>
      <c r="EL30" s="3">
        <f ca="1">IFERROR(IF(LEFT($BA30,1)="4",OFFSET(변환표준점수!$K$118,MATCH($S30,변환표준점수!$B$119:$B$198,0),0),OFFSET(EK$3,MATCH(AW30,$ED$4:$ED$8,0),0)),0)</f>
        <v>0</v>
      </c>
      <c r="EM30" s="3" t="str">
        <f t="shared" ca="1" si="32"/>
        <v/>
      </c>
      <c r="EN30" s="3" t="str">
        <f t="shared" ca="1" si="33"/>
        <v/>
      </c>
      <c r="EO30" s="3">
        <f t="shared" ca="1" si="34"/>
        <v>0</v>
      </c>
      <c r="EQ30" s="3">
        <f t="shared" ca="1" si="50"/>
        <v>0</v>
      </c>
      <c r="ER30" s="3">
        <f t="shared" ca="1" si="35"/>
        <v>0</v>
      </c>
      <c r="ES30" s="3">
        <f t="shared" ca="1" si="36"/>
        <v>0</v>
      </c>
      <c r="ET30" s="3">
        <f t="shared" ca="1" si="37"/>
        <v>0</v>
      </c>
      <c r="EU30" s="3">
        <f t="shared" si="38"/>
        <v>0</v>
      </c>
      <c r="EV30" s="3">
        <f t="shared" ca="1" si="39"/>
        <v>0</v>
      </c>
      <c r="EW30" s="3">
        <f t="shared" ca="1" si="40"/>
        <v>0</v>
      </c>
      <c r="EX30" s="3">
        <f ca="1">LARGE((ES30:ET30,EV30:EW30),1)</f>
        <v>0</v>
      </c>
      <c r="EY30" s="3">
        <f ca="1">IF(O30&lt;2,0,LARGE((ES30:ET30,EV30:EW30),2))</f>
        <v>0</v>
      </c>
      <c r="EZ30" s="3">
        <f t="shared" ca="1" si="41"/>
        <v>0</v>
      </c>
      <c r="FA30" s="3">
        <f t="shared" ca="1" si="42"/>
        <v>0</v>
      </c>
      <c r="FB30" s="3">
        <f t="shared" ca="1" si="43"/>
        <v>0</v>
      </c>
      <c r="FG30" s="3">
        <f t="shared" ca="1" si="44"/>
        <v>0</v>
      </c>
      <c r="FH30" s="618"/>
      <c r="FU30" s="3" t="str">
        <f t="shared" si="51"/>
        <v>표점</v>
      </c>
      <c r="FV30" s="3" t="str">
        <f t="shared" si="52"/>
        <v>변표</v>
      </c>
      <c r="FW30" s="3">
        <f t="shared" ca="1" si="45"/>
        <v>0.43</v>
      </c>
      <c r="FX30" s="3">
        <f t="shared" ca="1" si="46"/>
        <v>0.37</v>
      </c>
      <c r="FY30" s="3">
        <f t="shared" ca="1" si="47"/>
        <v>0.2</v>
      </c>
      <c r="FZ30" s="3">
        <f t="shared" ca="1" si="48"/>
        <v>3.0000000000000004</v>
      </c>
    </row>
    <row r="31" spans="1:182">
      <c r="A31" s="556">
        <v>26</v>
      </c>
      <c r="C31" s="3">
        <f t="shared" si="49"/>
        <v>16</v>
      </c>
      <c r="D31" s="3">
        <v>16</v>
      </c>
      <c r="E31" s="3" t="s">
        <v>7271</v>
      </c>
      <c r="F31" s="3">
        <v>600</v>
      </c>
      <c r="G31" s="3">
        <f>1.1/3</f>
        <v>0.3666666666666667</v>
      </c>
      <c r="H31" s="3">
        <f>1.3/3</f>
        <v>0.43333333333333335</v>
      </c>
      <c r="I31" s="3">
        <f>0.6/3/2</f>
        <v>9.9999999999999992E-2</v>
      </c>
      <c r="J31" s="3">
        <f>0.6/3/2</f>
        <v>9.9999999999999992E-2</v>
      </c>
      <c r="L31" s="3">
        <f>I31</f>
        <v>9.9999999999999992E-2</v>
      </c>
      <c r="M31" s="3">
        <f>J31</f>
        <v>9.9999999999999992E-2</v>
      </c>
      <c r="O31" s="3">
        <v>2</v>
      </c>
      <c r="P31" s="3">
        <f t="shared" si="9"/>
        <v>1</v>
      </c>
      <c r="Q31" s="3">
        <v>4</v>
      </c>
      <c r="S31" s="3">
        <f t="shared" si="10"/>
        <v>4</v>
      </c>
      <c r="W31" s="3">
        <f t="shared" si="11"/>
        <v>0</v>
      </c>
      <c r="Y31" s="3">
        <f t="shared" si="12"/>
        <v>1.1000000000000001</v>
      </c>
      <c r="Z31" s="3">
        <f t="shared" si="13"/>
        <v>1.3</v>
      </c>
      <c r="AA31" s="3">
        <f t="shared" si="14"/>
        <v>0.6</v>
      </c>
      <c r="AB31" s="3">
        <f t="shared" si="15"/>
        <v>0.6</v>
      </c>
      <c r="AC31" s="3">
        <f t="shared" si="16"/>
        <v>0.6</v>
      </c>
      <c r="AD31" s="3">
        <f t="shared" si="54"/>
        <v>1.1000000000000001</v>
      </c>
      <c r="AE31" s="3">
        <f t="shared" si="55"/>
        <v>1.3</v>
      </c>
      <c r="AF31" s="3">
        <f t="shared" si="56"/>
        <v>0.6</v>
      </c>
      <c r="AG31" s="3">
        <f t="shared" si="57"/>
        <v>0.6</v>
      </c>
      <c r="AH31" s="3" t="str">
        <f t="shared" si="17"/>
        <v>자동</v>
      </c>
      <c r="AI31" s="3">
        <f t="shared" si="18"/>
        <v>0.6</v>
      </c>
      <c r="AJ31" s="3">
        <f t="shared" si="19"/>
        <v>0.6</v>
      </c>
      <c r="AL31" s="3" t="str">
        <f t="shared" si="20"/>
        <v/>
      </c>
      <c r="AN31" s="3" t="str">
        <f ca="1">IF($BA31=42,OFFSET(변환표준점수!C$119,$AP31-1,0),"")</f>
        <v/>
      </c>
      <c r="AO31" s="3" t="str">
        <f ca="1">IF($BA31=42,OFFSET(변환표준점수!D$119,$AP31-1,0),"")</f>
        <v/>
      </c>
      <c r="AP31" s="3">
        <f>IF(S31="","",MATCH(S31,변환표준점수!$B$119:$B$298,0))</f>
        <v>4</v>
      </c>
      <c r="AQ31" s="3">
        <v>1</v>
      </c>
      <c r="AR31" s="3">
        <v>1</v>
      </c>
      <c r="AS31" s="3">
        <v>4</v>
      </c>
      <c r="AT31" s="3">
        <v>4</v>
      </c>
      <c r="AV31" s="3">
        <v>4</v>
      </c>
      <c r="AW31" s="3">
        <v>4</v>
      </c>
      <c r="AX31" s="3">
        <v>3</v>
      </c>
      <c r="AY31" s="3">
        <v>3</v>
      </c>
      <c r="BA31" s="3">
        <f t="shared" si="53"/>
        <v>4</v>
      </c>
      <c r="BJ31" s="3">
        <f t="shared" si="21"/>
        <v>0</v>
      </c>
      <c r="CH31" s="206">
        <f t="shared" si="22"/>
        <v>600</v>
      </c>
      <c r="CI31" s="56">
        <v>100</v>
      </c>
      <c r="CJ31" s="3">
        <v>99.5</v>
      </c>
      <c r="CK31" s="3">
        <v>98.5</v>
      </c>
      <c r="CL31" s="3">
        <v>97</v>
      </c>
      <c r="CM31" s="3">
        <v>95</v>
      </c>
      <c r="CN31" s="3">
        <v>92.5</v>
      </c>
      <c r="CO31" s="3">
        <v>89.5</v>
      </c>
      <c r="CP31" s="3">
        <v>86</v>
      </c>
      <c r="CQ31" s="3">
        <v>82</v>
      </c>
      <c r="CR31" s="56">
        <v>10</v>
      </c>
      <c r="CS31" s="3">
        <v>10</v>
      </c>
      <c r="CT31" s="3">
        <v>10</v>
      </c>
      <c r="CU31" s="3">
        <v>10</v>
      </c>
      <c r="CV31" s="3">
        <v>9.5</v>
      </c>
      <c r="CW31" s="3">
        <v>9</v>
      </c>
      <c r="CX31" s="3">
        <v>8.5</v>
      </c>
      <c r="CY31" s="3">
        <v>8</v>
      </c>
      <c r="CZ31" s="3">
        <v>7.5</v>
      </c>
      <c r="DJ31" s="3">
        <f t="shared" ca="1" si="23"/>
        <v>100</v>
      </c>
      <c r="DK31" s="93">
        <f t="shared" ca="1" si="24"/>
        <v>100</v>
      </c>
      <c r="DL31" s="3">
        <f t="shared" ca="1" si="25"/>
        <v>10</v>
      </c>
      <c r="DO31" s="3">
        <v>2</v>
      </c>
      <c r="DW31" s="3">
        <f>DW30</f>
        <v>1</v>
      </c>
      <c r="DZ31" s="3">
        <v>1</v>
      </c>
      <c r="EA31" s="3">
        <f t="shared" si="26"/>
        <v>1</v>
      </c>
      <c r="EB31" s="3">
        <f t="shared" si="27"/>
        <v>2</v>
      </c>
      <c r="EC31" s="3">
        <f t="shared" si="28"/>
        <v>0</v>
      </c>
      <c r="ED31" s="3">
        <f t="shared" si="29"/>
        <v>0</v>
      </c>
      <c r="EF31" s="3">
        <f t="shared" ca="1" si="30"/>
        <v>0</v>
      </c>
      <c r="EG31" s="3">
        <f t="shared" ca="1" si="31"/>
        <v>0</v>
      </c>
      <c r="EH31" s="3">
        <f ca="1">IFERROR(IF(LEFT($BA31,1)="4",OFFSET(변환표준점수!$H$118,MATCH($S31,변환표준점수!$B$119:$B$198,0),),OFFSET(EH$3,MATCH(AS31,$ED$4:$ED$8,0),0)),0)</f>
        <v>0</v>
      </c>
      <c r="EI31" s="3">
        <f ca="1">IFERROR(IF(LEFT($BA31,1)="4",OFFSET(변환표준점수!$I$118,MATCH($S31,변환표준점수!$B$119:$B$198,0),0),OFFSET(EI$3,MATCH(AT31,$ED$4:$ED$8,0),0)),0)</f>
        <v>0</v>
      </c>
      <c r="EK31" s="3">
        <f ca="1">IFERROR(IF(LEFT($BA31,1)="4",OFFSET(변환표준점수!$J$118,MATCH($S31,변환표준점수!$B$119:$B$198,0),0),OFFSET(EJ$3,MATCH(AV31,$ED$4:$ED$8,0),0)),0)</f>
        <v>0</v>
      </c>
      <c r="EL31" s="3">
        <f ca="1">IFERROR(IF(LEFT($BA31,1)="4",OFFSET(변환표준점수!$K$118,MATCH($S31,변환표준점수!$B$119:$B$198,0),0),OFFSET(EK$3,MATCH(AW31,$ED$4:$ED$8,0),0)),0)</f>
        <v>0</v>
      </c>
      <c r="EM31" s="3" t="str">
        <f t="shared" ca="1" si="32"/>
        <v/>
      </c>
      <c r="EN31" s="3" t="str">
        <f t="shared" ca="1" si="33"/>
        <v/>
      </c>
      <c r="EO31" s="3">
        <f t="shared" ca="1" si="34"/>
        <v>0</v>
      </c>
      <c r="EQ31" s="3">
        <f t="shared" ca="1" si="50"/>
        <v>0</v>
      </c>
      <c r="ER31" s="3">
        <f t="shared" ca="1" si="35"/>
        <v>0</v>
      </c>
      <c r="ES31" s="3">
        <f t="shared" ca="1" si="36"/>
        <v>0</v>
      </c>
      <c r="ET31" s="3">
        <f t="shared" ca="1" si="37"/>
        <v>0</v>
      </c>
      <c r="EU31" s="3">
        <f t="shared" si="38"/>
        <v>0</v>
      </c>
      <c r="EV31" s="3">
        <f t="shared" ca="1" si="39"/>
        <v>0</v>
      </c>
      <c r="EW31" s="3">
        <f t="shared" ca="1" si="40"/>
        <v>0</v>
      </c>
      <c r="EX31" s="3">
        <f ca="1">LARGE((ES31:ET31,EV31:EW31),1)</f>
        <v>0</v>
      </c>
      <c r="EY31" s="3">
        <f ca="1">IF(O31&lt;2,0,LARGE((ES31:ET31,EV31:EW31),2))</f>
        <v>0</v>
      </c>
      <c r="EZ31" s="3">
        <f t="shared" ca="1" si="41"/>
        <v>0</v>
      </c>
      <c r="FA31" s="3">
        <f t="shared" ca="1" si="42"/>
        <v>0</v>
      </c>
      <c r="FB31" s="3">
        <f t="shared" ca="1" si="43"/>
        <v>0</v>
      </c>
      <c r="FG31" s="3">
        <f t="shared" ca="1" si="44"/>
        <v>0</v>
      </c>
      <c r="FH31" s="618"/>
      <c r="FU31" s="3" t="str">
        <f t="shared" si="51"/>
        <v>표점</v>
      </c>
      <c r="FV31" s="3" t="str">
        <f t="shared" si="52"/>
        <v>변표</v>
      </c>
      <c r="FW31" s="3">
        <f t="shared" si="45"/>
        <v>0.37</v>
      </c>
      <c r="FX31" s="3">
        <f t="shared" si="46"/>
        <v>0.43</v>
      </c>
      <c r="FY31" s="3">
        <f t="shared" si="47"/>
        <v>0.2</v>
      </c>
      <c r="FZ31" s="3">
        <f t="shared" si="48"/>
        <v>3.0000000000000004</v>
      </c>
    </row>
    <row r="32" spans="1:182">
      <c r="A32" s="556">
        <v>26</v>
      </c>
      <c r="C32" s="3">
        <f t="shared" si="49"/>
        <v>17</v>
      </c>
      <c r="D32" s="3">
        <v>17</v>
      </c>
      <c r="E32" s="3" t="s">
        <v>7272</v>
      </c>
      <c r="F32" s="3">
        <v>600</v>
      </c>
      <c r="G32" s="3">
        <f>1.3/3</f>
        <v>0.43333333333333335</v>
      </c>
      <c r="H32" s="3">
        <f>1.1/3</f>
        <v>0.3666666666666667</v>
      </c>
      <c r="I32" s="3">
        <f>0.6/3/2</f>
        <v>9.9999999999999992E-2</v>
      </c>
      <c r="J32" s="3">
        <f>0.6/3/2</f>
        <v>9.9999999999999992E-2</v>
      </c>
      <c r="L32" s="3">
        <f>I32</f>
        <v>9.9999999999999992E-2</v>
      </c>
      <c r="M32" s="3">
        <f>J32</f>
        <v>9.9999999999999992E-2</v>
      </c>
      <c r="O32" s="3">
        <v>2</v>
      </c>
      <c r="P32" s="3">
        <f t="shared" si="9"/>
        <v>1</v>
      </c>
      <c r="Q32" s="3">
        <v>5</v>
      </c>
      <c r="S32" s="3">
        <f t="shared" si="10"/>
        <v>5</v>
      </c>
      <c r="W32" s="3">
        <f t="shared" si="11"/>
        <v>0</v>
      </c>
      <c r="Y32" s="3">
        <f t="shared" si="12"/>
        <v>1.3</v>
      </c>
      <c r="Z32" s="3">
        <f t="shared" si="13"/>
        <v>1.1000000000000001</v>
      </c>
      <c r="AA32" s="3">
        <f t="shared" si="14"/>
        <v>0.6</v>
      </c>
      <c r="AB32" s="3">
        <f t="shared" si="15"/>
        <v>0.6</v>
      </c>
      <c r="AC32" s="3">
        <f t="shared" si="16"/>
        <v>0.6</v>
      </c>
      <c r="AD32" s="3">
        <f t="shared" si="54"/>
        <v>1.3</v>
      </c>
      <c r="AE32" s="3">
        <f t="shared" si="55"/>
        <v>1.1000000000000001</v>
      </c>
      <c r="AF32" s="3">
        <f t="shared" si="56"/>
        <v>0.6</v>
      </c>
      <c r="AG32" s="3">
        <f t="shared" si="57"/>
        <v>0.6</v>
      </c>
      <c r="AH32" s="3" t="str">
        <f t="shared" si="17"/>
        <v>자동</v>
      </c>
      <c r="AI32" s="3">
        <f t="shared" si="18"/>
        <v>0.6</v>
      </c>
      <c r="AJ32" s="3">
        <f t="shared" si="19"/>
        <v>0.6</v>
      </c>
      <c r="AL32" s="3" t="str">
        <f t="shared" si="20"/>
        <v/>
      </c>
      <c r="AN32" s="3" t="str">
        <f ca="1">IF($BA32=42,OFFSET(변환표준점수!C$119,$AP32-1,0),"")</f>
        <v/>
      </c>
      <c r="AO32" s="3" t="str">
        <f ca="1">IF($BA32=42,OFFSET(변환표준점수!D$119,$AP32-1,0),"")</f>
        <v/>
      </c>
      <c r="AP32" s="3">
        <f>IF(S32="","",MATCH(S32,변환표준점수!$B$119:$B$298,0))</f>
        <v>5</v>
      </c>
      <c r="AQ32" s="3">
        <v>1</v>
      </c>
      <c r="AR32" s="3">
        <v>1</v>
      </c>
      <c r="AS32" s="3">
        <v>4</v>
      </c>
      <c r="AT32" s="3">
        <v>4</v>
      </c>
      <c r="AV32" s="3">
        <v>4</v>
      </c>
      <c r="AW32" s="3">
        <v>4</v>
      </c>
      <c r="AX32" s="3">
        <v>3</v>
      </c>
      <c r="AY32" s="3">
        <v>3</v>
      </c>
      <c r="BA32" s="3">
        <f t="shared" si="53"/>
        <v>4</v>
      </c>
      <c r="BJ32" s="3">
        <f t="shared" si="21"/>
        <v>0</v>
      </c>
      <c r="CH32" s="206">
        <f t="shared" si="22"/>
        <v>600</v>
      </c>
      <c r="CI32" s="56">
        <v>100</v>
      </c>
      <c r="CJ32" s="3">
        <v>99.5</v>
      </c>
      <c r="CK32" s="3">
        <v>98.5</v>
      </c>
      <c r="CL32" s="3">
        <v>97</v>
      </c>
      <c r="CM32" s="3">
        <v>95</v>
      </c>
      <c r="CN32" s="3">
        <v>92.5</v>
      </c>
      <c r="CO32" s="3">
        <v>89.5</v>
      </c>
      <c r="CP32" s="3">
        <v>86</v>
      </c>
      <c r="CQ32" s="3">
        <v>82</v>
      </c>
      <c r="CR32" s="56">
        <v>10</v>
      </c>
      <c r="CS32" s="3">
        <v>10</v>
      </c>
      <c r="CT32" s="3">
        <v>10</v>
      </c>
      <c r="CU32" s="3">
        <v>10</v>
      </c>
      <c r="CV32" s="3">
        <v>9.5</v>
      </c>
      <c r="CW32" s="3">
        <v>9</v>
      </c>
      <c r="CX32" s="3">
        <v>8.5</v>
      </c>
      <c r="CY32" s="3">
        <v>8</v>
      </c>
      <c r="CZ32" s="3">
        <v>7.5</v>
      </c>
      <c r="DJ32" s="3">
        <f t="shared" ca="1" si="23"/>
        <v>100</v>
      </c>
      <c r="DK32" s="93">
        <f t="shared" ca="1" si="24"/>
        <v>100</v>
      </c>
      <c r="DL32" s="3">
        <f t="shared" ca="1" si="25"/>
        <v>10</v>
      </c>
      <c r="DO32" s="3">
        <v>2</v>
      </c>
      <c r="DW32" s="3">
        <f>DW31</f>
        <v>1</v>
      </c>
      <c r="EA32" s="3">
        <f t="shared" si="26"/>
        <v>2</v>
      </c>
      <c r="EB32" s="3">
        <f t="shared" si="27"/>
        <v>2</v>
      </c>
      <c r="EC32" s="3">
        <f t="shared" si="28"/>
        <v>0</v>
      </c>
      <c r="ED32" s="3">
        <f t="shared" si="29"/>
        <v>0</v>
      </c>
      <c r="EF32" s="3">
        <f t="shared" ca="1" si="30"/>
        <v>0</v>
      </c>
      <c r="EG32" s="3">
        <f t="shared" ca="1" si="31"/>
        <v>0</v>
      </c>
      <c r="EH32" s="3">
        <f ca="1">IFERROR(IF(LEFT($BA32,1)="4",OFFSET(변환표준점수!$H$118,MATCH($S32,변환표준점수!$B$119:$B$198,0),),OFFSET(EH$3,MATCH(AS32,$ED$4:$ED$8,0),0)),0)</f>
        <v>0</v>
      </c>
      <c r="EI32" s="3">
        <f ca="1">IFERROR(IF(LEFT($BA32,1)="4",OFFSET(변환표준점수!$I$118,MATCH($S32,변환표준점수!$B$119:$B$198,0),0),OFFSET(EI$3,MATCH(AT32,$ED$4:$ED$8,0),0)),0)</f>
        <v>0</v>
      </c>
      <c r="EK32" s="3">
        <f ca="1">IFERROR(IF(LEFT($BA32,1)="4",OFFSET(변환표준점수!$J$118,MATCH($S32,변환표준점수!$B$119:$B$198,0),0),OFFSET(EJ$3,MATCH(AV32,$ED$4:$ED$8,0),0)),0)</f>
        <v>0</v>
      </c>
      <c r="EL32" s="3">
        <f ca="1">IFERROR(IF(LEFT($BA32,1)="4",OFFSET(변환표준점수!$K$118,MATCH($S32,변환표준점수!$B$119:$B$198,0),0),OFFSET(EK$3,MATCH(AW32,$ED$4:$ED$8,0),0)),0)</f>
        <v>0</v>
      </c>
      <c r="EM32" s="3" t="str">
        <f t="shared" ca="1" si="32"/>
        <v/>
      </c>
      <c r="EN32" s="3" t="str">
        <f t="shared" ca="1" si="33"/>
        <v/>
      </c>
      <c r="EO32" s="3">
        <f t="shared" ca="1" si="34"/>
        <v>0</v>
      </c>
      <c r="EQ32" s="3">
        <f t="shared" ca="1" si="50"/>
        <v>0</v>
      </c>
      <c r="ER32" s="3">
        <f t="shared" ca="1" si="35"/>
        <v>0</v>
      </c>
      <c r="ES32" s="3">
        <f t="shared" ca="1" si="36"/>
        <v>0</v>
      </c>
      <c r="ET32" s="3">
        <f t="shared" ca="1" si="37"/>
        <v>0</v>
      </c>
      <c r="EU32" s="3">
        <f t="shared" si="38"/>
        <v>0</v>
      </c>
      <c r="EV32" s="3">
        <f t="shared" ca="1" si="39"/>
        <v>0</v>
      </c>
      <c r="EW32" s="3">
        <f t="shared" ca="1" si="40"/>
        <v>0</v>
      </c>
      <c r="EX32" s="3">
        <f ca="1">LARGE((ES32:ET32,EV32:EW32),1)</f>
        <v>0</v>
      </c>
      <c r="EY32" s="3">
        <f ca="1">IF(O32&lt;2,0,LARGE((ES32:ET32,EV32:EW32),2))</f>
        <v>0</v>
      </c>
      <c r="EZ32" s="3">
        <f t="shared" ca="1" si="41"/>
        <v>0</v>
      </c>
      <c r="FA32" s="3">
        <f t="shared" ca="1" si="42"/>
        <v>0</v>
      </c>
      <c r="FB32" s="3">
        <f t="shared" ca="1" si="43"/>
        <v>0</v>
      </c>
      <c r="FG32" s="3">
        <f t="shared" ca="1" si="44"/>
        <v>0</v>
      </c>
      <c r="FH32" s="618"/>
      <c r="FU32" s="3" t="str">
        <f t="shared" si="51"/>
        <v>표점</v>
      </c>
      <c r="FV32" s="3" t="str">
        <f t="shared" si="52"/>
        <v>변표</v>
      </c>
      <c r="FW32" s="3">
        <f t="shared" si="45"/>
        <v>0.43</v>
      </c>
      <c r="FX32" s="3">
        <f t="shared" si="46"/>
        <v>0.37</v>
      </c>
      <c r="FY32" s="3">
        <f t="shared" si="47"/>
        <v>0.2</v>
      </c>
      <c r="FZ32" s="3">
        <f t="shared" si="48"/>
        <v>3.0000000000000004</v>
      </c>
    </row>
    <row r="33" spans="1:182">
      <c r="DK33" s="93"/>
      <c r="FH33" s="618"/>
    </row>
    <row r="34" spans="1:182">
      <c r="DK34" s="93"/>
      <c r="FH34" s="618"/>
    </row>
    <row r="35" spans="1:182">
      <c r="DK35" s="93"/>
      <c r="FH35" s="618"/>
    </row>
    <row r="36" spans="1:182">
      <c r="DK36" s="93"/>
      <c r="FH36" s="618"/>
    </row>
    <row r="37" spans="1:182">
      <c r="DK37" s="93"/>
      <c r="FH37" s="618"/>
    </row>
    <row r="38" spans="1:182">
      <c r="DK38" s="93"/>
      <c r="FH38" s="618"/>
    </row>
    <row r="39" spans="1:182">
      <c r="DK39" s="93"/>
      <c r="FH39" s="618"/>
    </row>
    <row r="40" spans="1:182">
      <c r="DK40" s="93"/>
      <c r="FH40" s="618"/>
    </row>
    <row r="41" spans="1:182">
      <c r="A41" s="556">
        <v>26</v>
      </c>
      <c r="C41" s="3">
        <f>ROUND(ROW(C41)-ROW($C$15),0)</f>
        <v>26</v>
      </c>
      <c r="D41" s="3">
        <v>26</v>
      </c>
      <c r="E41" s="3" t="s">
        <v>258</v>
      </c>
      <c r="F41" s="3">
        <v>900</v>
      </c>
      <c r="G41" s="3">
        <v>0.25</v>
      </c>
      <c r="H41" s="3">
        <v>0.4</v>
      </c>
      <c r="I41" s="3">
        <v>0.125</v>
      </c>
      <c r="J41" s="3">
        <v>0.125</v>
      </c>
      <c r="L41" s="3">
        <v>0.125</v>
      </c>
      <c r="M41" s="3">
        <v>0.125</v>
      </c>
      <c r="O41" s="3">
        <v>2</v>
      </c>
      <c r="P41" s="3">
        <f>G41+H41+MAX((I41:J41),L41:M41)*O41</f>
        <v>0.9</v>
      </c>
      <c r="Q41" s="3">
        <v>9</v>
      </c>
      <c r="S41" s="3">
        <f>IF(R41&gt;0,R41,Q41)</f>
        <v>9</v>
      </c>
      <c r="W41" s="3">
        <f>IF(AND(BH41=0,CD41=0),0,IF(V41&gt;0,V41,IF(U41=1,$W$11,0)))</f>
        <v>0</v>
      </c>
      <c r="Y41" s="3">
        <f>AD41</f>
        <v>1.6187050359712229</v>
      </c>
      <c r="Z41" s="3">
        <f>AE41</f>
        <v>2.5714285714285716</v>
      </c>
      <c r="AA41" s="3">
        <f ca="1">IF($BB$7=1,AF41,IF(AS41=12,$F41*I41/($AF$8*AL41+$AF$9*(1-AL41)),AF41))</f>
        <v>1.6071428571428572</v>
      </c>
      <c r="AB41" s="3">
        <f ca="1">IF($BB$7=1,AI41,IF(AV41=12,$F41*L41/($AI$8*AL41+$AI$9*(1-AL41)),AI41))</f>
        <v>1.6071428571428572</v>
      </c>
      <c r="AC41" s="3">
        <f ca="1">IF(AND(AS41=2,EA41=1),AA41*O41,IF(AND(AS41=2,EA41=2),AB41*O41,IF(EA41=1,AA41,IF(EA41=2,AB41))))</f>
        <v>1.6071428571428572</v>
      </c>
      <c r="AD41" s="3">
        <f>IF(AQ41=12,$F41*G41/$AQ$9,IF(OR(AQ41=1,AQ41=4),$F41*G41/200,IF(OR(AQ41=2,AQ41=9),$F41*G41/100,"자동")))</f>
        <v>1.6187050359712229</v>
      </c>
      <c r="AE41" s="3">
        <f>IF(AR41=12,$F41*H41/$AR$9,IF(OR(AR41=1,AR41=4),$F41*H41/200,IF(OR(AR41=2,AR41=9),$F41*H41/100,"자동")))</f>
        <v>2.5714285714285716</v>
      </c>
      <c r="AF41" s="3">
        <f ca="1">IF(AS41=12,$F41*I41/IF($BB$7=1,IF($ED41=1,$AS$9,$AF$9),($AF$8*AL41+$AF$9*(1-AL41))),IF(AS41=42,$F41*I41/AN41,IF(OR(AS41=1,AS41=4,AS41=2),$F41*I41/100,IF(AS41=9,$F41*I41/50,"자동"))))</f>
        <v>1.6071428571428572</v>
      </c>
      <c r="AG41" s="3">
        <f ca="1">IF(AT41=12,$F41*J41/IF($BB$7=1,IF($ED41=1,$AT$9,$AG$9),($AG$8*AL41+$AG$9*(1-AL41))),IF(AT41=42,$F41*J41/AN41,IF(OR(AT41=1,AT41=4,AT41=2),$F41*J41/100,IF(AT41=9,$F41*J41/50,"자동"))))</f>
        <v>1.6071428571428572</v>
      </c>
      <c r="AH41" s="3" t="str">
        <f>IF(AU41=12,$F41*K41/IF($BB$7=1,IF($ED41=1,$AU$9,$AH$9),($AH$8*AL41+$AH$9*(1-AL41))),IF(AU41=42,$F41*K41/$AN41,IF(OR(AU41=1,AU41=4,AU41=2),$F41*K41/100,IF(AU41=9,$F41*K41/50,"자동"))))</f>
        <v>자동</v>
      </c>
      <c r="AI41" s="3">
        <f ca="1">IF(AV41=12,$F41*L41/IF($BB$7=1,IF($ED41=1,$AV$9,$AI$9),($AI$8*AL41+$AI$9*(1-AL41))),IF(AV41=42,$F41*L41/AO41,IF(OR(AV41=1,AV41=4,AV41=2),$F41*L41/100,IF(AV41=9,$F41*L41/50,"자동"))))</f>
        <v>1.6071428571428572</v>
      </c>
      <c r="AJ41" s="3">
        <f ca="1">IF(AW41=12,$F41*M41/IF($BB$7=1,IF($ED41=1,$AW$9,$AJ$9),($AJ$8*AL41+$AJ$9*(1-AL41))),IF(AW41=42,$F41*M41/AO41,IF(OR(AW41=1,AW41=4,AW41=2),$F41*M41/100,IF(AW41=9,$F41*M41/50,"자동"))))</f>
        <v>1.6071428571428572</v>
      </c>
      <c r="AL41" s="3" t="str">
        <f>IF(AK41&lt;&gt;"",AK41,IF(BA41&lt;&gt;12,"",IF(U41=1,1,IF(LEFT(E41,3)="서울대",0,""))))</f>
        <v/>
      </c>
      <c r="AN41" s="3">
        <f ca="1">IF($BA41=42,OFFSET(변환표준점수!C$119,$AP41-1,0),"")</f>
        <v>70</v>
      </c>
      <c r="AO41" s="3">
        <f ca="1">IF($BA41=42,OFFSET(변환표준점수!D$119,$AP41-1,0),"")</f>
        <v>70</v>
      </c>
      <c r="AP41" s="3">
        <f>IF(S41="","",MATCH(S41,변환표준점수!$B$119:$B$298,0))</f>
        <v>9</v>
      </c>
      <c r="AQ41" s="3">
        <v>12</v>
      </c>
      <c r="AR41" s="3">
        <v>12</v>
      </c>
      <c r="AS41" s="3">
        <v>42</v>
      </c>
      <c r="AT41" s="3">
        <v>42</v>
      </c>
      <c r="AV41" s="3">
        <v>42</v>
      </c>
      <c r="AW41" s="3">
        <v>42</v>
      </c>
      <c r="AX41" s="3">
        <v>3</v>
      </c>
      <c r="AY41" s="3">
        <v>3</v>
      </c>
      <c r="BA41" s="3">
        <f>IF(AS41&gt;0,AS41,AV41)</f>
        <v>42</v>
      </c>
      <c r="BJ41" s="3">
        <f>IF(BI41="",IF(DT41=1,1,$BI$3),BI41)</f>
        <v>0</v>
      </c>
      <c r="CH41" s="206">
        <f>F41*P41</f>
        <v>810</v>
      </c>
      <c r="CI41" s="56">
        <v>100</v>
      </c>
      <c r="CJ41" s="3">
        <v>98</v>
      </c>
      <c r="CK41" s="3">
        <v>94</v>
      </c>
      <c r="CL41" s="3">
        <v>88</v>
      </c>
      <c r="CM41" s="3">
        <v>80</v>
      </c>
      <c r="CN41" s="3">
        <v>70</v>
      </c>
      <c r="CO41" s="3">
        <v>58</v>
      </c>
      <c r="CP41" s="3">
        <v>44</v>
      </c>
      <c r="CQ41" s="3">
        <v>28</v>
      </c>
      <c r="CV41" s="3">
        <v>-0.1</v>
      </c>
      <c r="CW41" s="3">
        <v>-0.2</v>
      </c>
      <c r="CX41" s="3">
        <v>-0.3</v>
      </c>
      <c r="CY41" s="3">
        <v>-0.4</v>
      </c>
      <c r="CZ41" s="3">
        <v>-0.5</v>
      </c>
      <c r="DJ41" s="3">
        <f ca="1">ROUND((CI41-EZ41),1)</f>
        <v>100</v>
      </c>
      <c r="DK41" s="93">
        <f ca="1">((CI41-EZ41)/(FG41+DJ41-FC41))*100</f>
        <v>100</v>
      </c>
      <c r="DL41" s="3">
        <f ca="1">ROUND((CR41-FA41)+(DA41-FB41),1)</f>
        <v>0</v>
      </c>
      <c r="DO41" s="3">
        <v>2</v>
      </c>
      <c r="DZ41" s="3">
        <v>1</v>
      </c>
      <c r="EA41" s="3">
        <f>IF(DZ41&gt;0,DZ41,IF(DM41&gt;0,1,2))</f>
        <v>1</v>
      </c>
      <c r="EB41" s="3">
        <f>MAX(DM41:DO41)</f>
        <v>2</v>
      </c>
      <c r="EC41" s="3">
        <f>AND(DM41-0.1&lt;$DM$8,DN41-0.1&lt;$DN$8,DO41-0.1&lt;$DO$8)*1</f>
        <v>0</v>
      </c>
      <c r="ED41" s="3">
        <f>IFERROR(IF(AND($DP$8&gt;=DP41,$DQ$8&gt;=DQ41,$DR$8&gt;=DR41,$DS$8&gt;=DS41,$DT$8&gt;=DT41,$DU$8&gt;=DU41,$DV$8&gt;=DV41,$DW$8&gt;=DW41,$DX$8&gt;=DX41,OR(DY41=0,$DY$8&lt;DY41),EC41=1),1,0),0)</f>
        <v>0</v>
      </c>
      <c r="EF41" s="3">
        <f ca="1">IFERROR(OFFSET(EF$3,MATCH(AQ41,$ED$4:$ED$10,0),0),0)</f>
        <v>0</v>
      </c>
      <c r="EG41" s="3">
        <f ca="1">IFERROR(OFFSET(EG$3,MATCH(AR41,$ED$4:$ED$10,0),0),0)</f>
        <v>0</v>
      </c>
      <c r="EH41" s="3">
        <f ca="1">IFERROR(IF(LEFT($BA41,1)="4",OFFSET(변환표준점수!$H$118,MATCH($S41,변환표준점수!$B$119:$B$198,0),),OFFSET(EH$3,MATCH(AS41,$ED$4:$ED$8,0),0)),0)</f>
        <v>0</v>
      </c>
      <c r="EI41" s="3">
        <f ca="1">IFERROR(IF(LEFT($BA41,1)="4",OFFSET(변환표준점수!$I$118,MATCH($S41,변환표준점수!$B$119:$B$198,0),0),OFFSET(EI$3,MATCH(AT41,$ED$4:$ED$8,0),0)),0)</f>
        <v>0</v>
      </c>
      <c r="EK41" s="3">
        <f ca="1">IFERROR(IF(LEFT($BA41,1)="4",OFFSET(변환표준점수!$J$118,MATCH($S41,변환표준점수!$B$119:$B$198,0),0),OFFSET(EJ$3,MATCH(AV41,$ED$4:$ED$8,0),0)),0)</f>
        <v>0</v>
      </c>
      <c r="EL41" s="3">
        <f ca="1">IFERROR(IF(LEFT($BA41,1)="4",OFFSET(변환표준점수!$K$118,MATCH($S41,변환표준점수!$B$119:$B$198,0),0),OFFSET(EK$3,MATCH(AW41,$ED$4:$ED$8,0),0)),0)</f>
        <v>0</v>
      </c>
      <c r="EM41" s="3" t="str">
        <f ca="1">IFERROR(OFFSET(EL$3,MATCH(AX41,$ED$4:$ED$8,0),0),0)</f>
        <v/>
      </c>
      <c r="EN41" s="3" t="str">
        <f ca="1">IFERROR(OFFSET(EM$3,MATCH(AY41,$ED$4:$ED$8,0),0),0)</f>
        <v/>
      </c>
      <c r="EO41" s="3">
        <f ca="1">IFERROR(OFFSET(EN$3,MATCH(AZ41,$ED$4:$ED$8,0),0),0)</f>
        <v>0</v>
      </c>
      <c r="EQ41" s="3">
        <f ca="1">IFERROR((EF41*AD41+BO41)*$EP$9,0)</f>
        <v>0</v>
      </c>
      <c r="ER41" s="3">
        <f ca="1">IFERROR(EG41*AE41+OFFSET($BP41,0,$ER$14-1),0)</f>
        <v>0</v>
      </c>
      <c r="ES41" s="3">
        <f ca="1">IFERROR((EH41*AF41+BS41)*$EP$9,0)</f>
        <v>0</v>
      </c>
      <c r="ET41" s="3">
        <f ca="1">IFERROR(IF(O41&lt;2,0,(EI41*AG41+BT41)*$EP$9),0)</f>
        <v>0</v>
      </c>
      <c r="EU41" s="3">
        <f>IFERROR(BU41*$EP$9,0)</f>
        <v>0</v>
      </c>
      <c r="EV41" s="3">
        <f ca="1">IFERROR((EK41*AI41+BV41)*$EP$9,0)</f>
        <v>0</v>
      </c>
      <c r="EW41" s="3">
        <f ca="1">IFERROR(IF(O41&lt;2,0,(EL41*AJ41+BW41)*$EP$9),0)</f>
        <v>0</v>
      </c>
      <c r="EX41" s="3">
        <f ca="1">LARGE((ES41:ET41,EV41:EW41),1)</f>
        <v>0</v>
      </c>
      <c r="EY41" s="3">
        <f ca="1">IF(O41&lt;2,0,LARGE((ES41:ET41,EV41:EW41),2))</f>
        <v>0</v>
      </c>
      <c r="EZ41" s="3">
        <f ca="1">IFERROR(OFFSET(CI41,0,ROUND((1/(1/EM41))-1,0)),0)</f>
        <v>0</v>
      </c>
      <c r="FA41" s="3">
        <f ca="1">IFERROR(OFFSET(CR41,0,ROUND(1/(1/EN41),0)-1),0)</f>
        <v>0</v>
      </c>
      <c r="FB41" s="3">
        <f ca="1">IFERROR(OFFSET(DA41,0,ROUND(1/(1/EO41),0)-1),0)</f>
        <v>0</v>
      </c>
      <c r="FG41" s="3">
        <f ca="1">IF(FF41&gt;0,FF41,EQ41+ER41+EU41+EX41+EY41+EZ41+FA41+FB41+FC41)</f>
        <v>0</v>
      </c>
      <c r="FH41" s="618"/>
      <c r="FU41" s="3" t="str">
        <f t="shared" si="51"/>
        <v>표점/만점</v>
      </c>
      <c r="FV41" s="3" t="str">
        <f t="shared" si="52"/>
        <v>변표/만점</v>
      </c>
      <c r="FW41" s="3">
        <f ca="1">ROUND(Y41/$FZ41,2)</f>
        <v>0.28000000000000003</v>
      </c>
      <c r="FX41" s="3">
        <f ca="1">ROUND(Z41/$FZ41,2)</f>
        <v>0.44</v>
      </c>
      <c r="FY41" s="3">
        <f ca="1">ROUND(AC41/$FZ41,2)</f>
        <v>0.28000000000000003</v>
      </c>
      <c r="FZ41" s="3">
        <f ca="1">Y41+Z41+AC41</f>
        <v>5.7972764645426516</v>
      </c>
    </row>
    <row r="42" spans="1:182">
      <c r="DK42" s="93"/>
      <c r="FH42" s="618"/>
    </row>
    <row r="43" spans="1:182">
      <c r="A43" s="556">
        <v>26</v>
      </c>
      <c r="C43" s="3">
        <f t="shared" ref="C43:C51" si="58">ROUND(ROW(C43)-ROW($C$15),0)</f>
        <v>28</v>
      </c>
      <c r="D43" s="3">
        <v>28</v>
      </c>
      <c r="E43" s="3" t="s">
        <v>259</v>
      </c>
      <c r="F43" s="3">
        <v>900</v>
      </c>
      <c r="G43" s="3">
        <v>0.35</v>
      </c>
      <c r="H43" s="3">
        <v>0.3</v>
      </c>
      <c r="I43" s="3">
        <v>0.125</v>
      </c>
      <c r="J43" s="3">
        <v>0.125</v>
      </c>
      <c r="L43" s="3">
        <v>0.125</v>
      </c>
      <c r="M43" s="3">
        <v>0.125</v>
      </c>
      <c r="O43" s="3">
        <v>2</v>
      </c>
      <c r="P43" s="3">
        <f t="shared" ref="P43:P51" si="59">G43+H43+MAX((I43:J43),L43:M43)*O43</f>
        <v>0.89999999999999991</v>
      </c>
      <c r="Q43" s="3">
        <v>9</v>
      </c>
      <c r="S43" s="3">
        <f t="shared" ref="S43:S51" si="60">IF(R43&gt;0,R43,Q43)</f>
        <v>9</v>
      </c>
      <c r="W43" s="3">
        <f t="shared" ref="W43:W51" si="61">IF(AND(BH43=0,CD43=0),0,IF(V43&gt;0,V43,IF(U43=1,$W$11,0)))</f>
        <v>0</v>
      </c>
      <c r="Y43" s="3">
        <f t="shared" ref="Y43:Y51" si="62">AD43</f>
        <v>2.2661870503597124</v>
      </c>
      <c r="Z43" s="3">
        <f t="shared" ref="Z43:Z51" si="63">AE43</f>
        <v>1.9285714285714286</v>
      </c>
      <c r="AA43" s="3">
        <f t="shared" ref="AA43:AA51" ca="1" si="64">IF($BB$7=1,AF43,IF(AS43=12,$F43*I43/($AF$8*AL43+$AF$9*(1-AL43)),AF43))</f>
        <v>1.6071428571428572</v>
      </c>
      <c r="AB43" s="3">
        <f t="shared" ref="AB43:AB51" ca="1" si="65">IF($BB$7=1,AI43,IF(AV43=12,$F43*L43/($AI$8*AL43+$AI$9*(1-AL43)),AI43))</f>
        <v>1.6071428571428572</v>
      </c>
      <c r="AC43" s="3">
        <f t="shared" ref="AC43:AC51" ca="1" si="66">IF(AND(AS43=2,EA43=1),AA43*O43,IF(AND(AS43=2,EA43=2),AB43*O43,IF(EA43=1,AA43,IF(EA43=2,AB43))))</f>
        <v>1.6071428571428572</v>
      </c>
      <c r="AD43" s="3">
        <f t="shared" ref="AD43:AD51" si="67">IF(AQ43=12,$F43*G43/$AQ$9,IF(OR(AQ43=1,AQ43=4),$F43*G43/200,IF(OR(AQ43=2,AQ43=9),$F43*G43/100,"자동")))</f>
        <v>2.2661870503597124</v>
      </c>
      <c r="AE43" s="3">
        <f t="shared" ref="AE43:AE51" si="68">IF(AR43=12,$F43*H43/$AR$9,IF(OR(AR43=1,AR43=4),$F43*H43/200,IF(OR(AR43=2,AR43=9),$F43*H43/100,"자동")))</f>
        <v>1.9285714285714286</v>
      </c>
      <c r="AF43" s="3">
        <f t="shared" ref="AF43:AF51" ca="1" si="69">IF(AS43=12,$F43*I43/IF($BB$7=1,IF($ED43=1,$AS$9,$AF$9),($AF$8*AL43+$AF$9*(1-AL43))),IF(AS43=42,$F43*I43/AN43,IF(OR(AS43=1,AS43=4,AS43=2),$F43*I43/100,IF(AS43=9,$F43*I43/50,"자동"))))</f>
        <v>1.6071428571428572</v>
      </c>
      <c r="AG43" s="3">
        <f t="shared" ref="AG43:AG51" ca="1" si="70">IF(AT43=12,$F43*J43/IF($BB$7=1,IF($ED43=1,$AT$9,$AG$9),($AG$8*AL43+$AG$9*(1-AL43))),IF(AT43=42,$F43*J43/AN43,IF(OR(AT43=1,AT43=4,AT43=2),$F43*J43/100,IF(AT43=9,$F43*J43/50,"자동"))))</f>
        <v>1.6071428571428572</v>
      </c>
      <c r="AH43" s="3" t="str">
        <f t="shared" ref="AH43:AH51" si="71">IF(AU43=12,$F43*K43/IF($BB$7=1,IF($ED43=1,$AU$9,$AH$9),($AH$8*AL43+$AH$9*(1-AL43))),IF(AU43=42,$F43*K43/$AN43,IF(OR(AU43=1,AU43=4,AU43=2),$F43*K43/100,IF(AU43=9,$F43*K43/50,"자동"))))</f>
        <v>자동</v>
      </c>
      <c r="AI43" s="3">
        <f t="shared" ref="AI43:AI51" ca="1" si="72">IF(AV43=12,$F43*L43/IF($BB$7=1,IF($ED43=1,$AV$9,$AI$9),($AI$8*AL43+$AI$9*(1-AL43))),IF(AV43=42,$F43*L43/AO43,IF(OR(AV43=1,AV43=4,AV43=2),$F43*L43/100,IF(AV43=9,$F43*L43/50,"자동"))))</f>
        <v>1.6071428571428572</v>
      </c>
      <c r="AJ43" s="3">
        <f t="shared" ref="AJ43:AJ51" ca="1" si="73">IF(AW43=12,$F43*M43/IF($BB$7=1,IF($ED43=1,$AW$9,$AJ$9),($AJ$8*AL43+$AJ$9*(1-AL43))),IF(AW43=42,$F43*M43/AO43,IF(OR(AW43=1,AW43=4,AW43=2),$F43*M43/100,IF(AW43=9,$F43*M43/50,"자동"))))</f>
        <v>1.6071428571428572</v>
      </c>
      <c r="AL43" s="3" t="str">
        <f t="shared" ref="AL43:AL51" si="74">IF(AK43&lt;&gt;"",AK43,IF(BA43&lt;&gt;12,"",IF(U43=1,1,IF(LEFT(E43,3)="서울대",0,""))))</f>
        <v/>
      </c>
      <c r="AN43" s="3">
        <f ca="1">IF($BA43=42,OFFSET(변환표준점수!C$119,$AP43-1,0),"")</f>
        <v>70</v>
      </c>
      <c r="AO43" s="3">
        <f ca="1">IF($BA43=42,OFFSET(변환표준점수!D$119,$AP43-1,0),"")</f>
        <v>70</v>
      </c>
      <c r="AP43" s="3">
        <f>IF(S43="","",MATCH(S43,변환표준점수!$B$119:$B$298,0))</f>
        <v>9</v>
      </c>
      <c r="AQ43" s="3">
        <v>12</v>
      </c>
      <c r="AR43" s="3">
        <v>12</v>
      </c>
      <c r="AS43" s="3">
        <v>42</v>
      </c>
      <c r="AT43" s="3">
        <v>42</v>
      </c>
      <c r="AV43" s="3">
        <v>42</v>
      </c>
      <c r="AW43" s="3">
        <v>42</v>
      </c>
      <c r="AX43" s="3">
        <v>3</v>
      </c>
      <c r="AY43" s="3">
        <v>3</v>
      </c>
      <c r="BA43" s="3">
        <f t="shared" ref="BA43:BA51" si="75">IF(AS43&gt;0,AS43,AV43)</f>
        <v>42</v>
      </c>
      <c r="BJ43" s="3">
        <f t="shared" ref="BJ43:BJ51" si="76">IF(BI43="",IF(DT43=1,1,$BI$3),BI43)</f>
        <v>0</v>
      </c>
      <c r="CH43" s="206">
        <f t="shared" ref="CH43:CH51" si="77">F43*P43</f>
        <v>809.99999999999989</v>
      </c>
      <c r="CI43" s="56">
        <v>100</v>
      </c>
      <c r="CJ43" s="3">
        <v>96</v>
      </c>
      <c r="CK43" s="3">
        <v>90</v>
      </c>
      <c r="CL43" s="3">
        <v>82</v>
      </c>
      <c r="CM43" s="3">
        <v>72</v>
      </c>
      <c r="CN43" s="3">
        <v>60</v>
      </c>
      <c r="CO43" s="3">
        <v>46</v>
      </c>
      <c r="CP43" s="3">
        <v>30</v>
      </c>
      <c r="CQ43" s="3">
        <v>12</v>
      </c>
      <c r="CU43" s="3">
        <v>-0.1</v>
      </c>
      <c r="CV43" s="3">
        <v>-0.2</v>
      </c>
      <c r="CW43" s="3">
        <v>-0.3</v>
      </c>
      <c r="CX43" s="3">
        <v>-0.4</v>
      </c>
      <c r="CY43" s="3">
        <v>-0.5</v>
      </c>
      <c r="CZ43" s="3">
        <v>-0.6</v>
      </c>
      <c r="DJ43" s="3">
        <f t="shared" ref="DJ43:DJ51" ca="1" si="78">ROUND((CI43-EZ43),1)</f>
        <v>100</v>
      </c>
      <c r="DK43" s="93">
        <f t="shared" ref="DK43:DK51" ca="1" si="79">((CI43-EZ43)/(FG43+DJ43-FC43))*100</f>
        <v>100</v>
      </c>
      <c r="DL43" s="3">
        <f t="shared" ref="DL43:DL51" ca="1" si="80">ROUND((CR43-FA43)+(DA43-FB43),1)</f>
        <v>0</v>
      </c>
      <c r="DO43" s="3">
        <v>2</v>
      </c>
      <c r="EA43" s="3">
        <f t="shared" ref="EA43:EA51" si="81">IF(DZ43&gt;0,DZ43,IF(DM43&gt;0,1,2))</f>
        <v>2</v>
      </c>
      <c r="EB43" s="3">
        <f t="shared" ref="EB43:EB51" si="82">MAX(DM43:DO43)</f>
        <v>2</v>
      </c>
      <c r="EC43" s="3">
        <f t="shared" ref="EC43:EC51" si="83">AND(DM43-0.1&lt;$DM$8,DN43-0.1&lt;$DN$8,DO43-0.1&lt;$DO$8)*1</f>
        <v>0</v>
      </c>
      <c r="ED43" s="3">
        <f t="shared" ref="ED43:ED51" si="84">IFERROR(IF(AND($DP$8&gt;=DP43,$DQ$8&gt;=DQ43,$DR$8&gt;=DR43,$DS$8&gt;=DS43,$DT$8&gt;=DT43,$DU$8&gt;=DU43,$DV$8&gt;=DV43,$DW$8&gt;=DW43,$DX$8&gt;=DX43,OR(DY43=0,$DY$8&lt;DY43),EC43=1),1,0),0)</f>
        <v>0</v>
      </c>
      <c r="EF43" s="3">
        <f t="shared" ref="EF43:EF51" ca="1" si="85">IFERROR(OFFSET(EF$3,MATCH(AQ43,$ED$4:$ED$10,0),0),0)</f>
        <v>0</v>
      </c>
      <c r="EG43" s="3">
        <f t="shared" ref="EG43:EG51" ca="1" si="86">IFERROR(OFFSET(EG$3,MATCH(AR43,$ED$4:$ED$10,0),0),0)</f>
        <v>0</v>
      </c>
      <c r="EH43" s="3">
        <f ca="1">IFERROR(IF(LEFT($BA43,1)="4",OFFSET(변환표준점수!$H$118,MATCH($S43,변환표준점수!$B$119:$B$198,0),),OFFSET(EH$3,MATCH(AS43,$ED$4:$ED$8,0),0)),0)</f>
        <v>0</v>
      </c>
      <c r="EI43" s="3">
        <f ca="1">IFERROR(IF(LEFT($BA43,1)="4",OFFSET(변환표준점수!$I$118,MATCH($S43,변환표준점수!$B$119:$B$198,0),0),OFFSET(EI$3,MATCH(AT43,$ED$4:$ED$8,0),0)),0)</f>
        <v>0</v>
      </c>
      <c r="EK43" s="3">
        <f ca="1">IFERROR(IF(LEFT($BA43,1)="4",OFFSET(변환표준점수!$J$118,MATCH($S43,변환표준점수!$B$119:$B$198,0),0),OFFSET(EJ$3,MATCH(AV43,$ED$4:$ED$8,0),0)),0)</f>
        <v>0</v>
      </c>
      <c r="EL43" s="3">
        <f ca="1">IFERROR(IF(LEFT($BA43,1)="4",OFFSET(변환표준점수!$K$118,MATCH($S43,변환표준점수!$B$119:$B$198,0),0),OFFSET(EK$3,MATCH(AW43,$ED$4:$ED$8,0),0)),0)</f>
        <v>0</v>
      </c>
      <c r="EM43" s="3" t="str">
        <f t="shared" ref="EM43:EM51" ca="1" si="87">IFERROR(OFFSET(EL$3,MATCH(AX43,$ED$4:$ED$8,0),0),0)</f>
        <v/>
      </c>
      <c r="EN43" s="3" t="str">
        <f t="shared" ref="EN43:EN51" ca="1" si="88">IFERROR(OFFSET(EM$3,MATCH(AY43,$ED$4:$ED$8,0),0),0)</f>
        <v/>
      </c>
      <c r="EO43" s="3">
        <f t="shared" ref="EO43:EO51" ca="1" si="89">IFERROR(OFFSET(EN$3,MATCH(AZ43,$ED$4:$ED$8,0),0),0)</f>
        <v>0</v>
      </c>
      <c r="EQ43" s="3">
        <f t="shared" ref="EQ43:EQ51" ca="1" si="90">IFERROR((EF43*AD43+BO43)*$EP$9,0)</f>
        <v>0</v>
      </c>
      <c r="ER43" s="3">
        <f t="shared" ref="ER43:ER51" ca="1" si="91">IFERROR(EG43*AE43+OFFSET($BP43,0,$ER$14-1),0)</f>
        <v>0</v>
      </c>
      <c r="ES43" s="3">
        <f t="shared" ref="ES43:ES51" ca="1" si="92">IFERROR((EH43*AF43+BS43)*$EP$9,0)</f>
        <v>0</v>
      </c>
      <c r="ET43" s="3">
        <f t="shared" ref="ET43:ET51" ca="1" si="93">IFERROR(IF(O43&lt;2,0,(EI43*AG43+BT43)*$EP$9),0)</f>
        <v>0</v>
      </c>
      <c r="EU43" s="3">
        <f t="shared" ref="EU43:EU51" si="94">IFERROR(BU43*$EP$9,0)</f>
        <v>0</v>
      </c>
      <c r="EV43" s="3">
        <f t="shared" ref="EV43:EV51" ca="1" si="95">IFERROR((EK43*AI43+BV43)*$EP$9,0)</f>
        <v>0</v>
      </c>
      <c r="EW43" s="3">
        <f t="shared" ref="EW43:EW51" ca="1" si="96">IFERROR(IF(O43&lt;2,0,(EL43*AJ43+BW43)*$EP$9),0)</f>
        <v>0</v>
      </c>
      <c r="EX43" s="3">
        <f ca="1">LARGE((ES43:ET43,EV43:EW43),1)</f>
        <v>0</v>
      </c>
      <c r="EY43" s="3">
        <f ca="1">IF(O43&lt;2,0,LARGE((ES43:ET43,EV43:EW43),2))</f>
        <v>0</v>
      </c>
      <c r="EZ43" s="3">
        <f t="shared" ref="EZ43:EZ51" ca="1" si="97">IFERROR(OFFSET(CI43,0,ROUND((1/(1/EM43))-1,0)),0)</f>
        <v>0</v>
      </c>
      <c r="FA43" s="3">
        <f t="shared" ref="FA43:FA51" ca="1" si="98">IFERROR(OFFSET(CR43,0,ROUND(1/(1/EN43),0)-1),0)</f>
        <v>0</v>
      </c>
      <c r="FB43" s="3">
        <f t="shared" ref="FB43:FB51" ca="1" si="99">IFERROR(OFFSET(DA43,0,ROUND(1/(1/EO43),0)-1),0)</f>
        <v>0</v>
      </c>
      <c r="FG43" s="3">
        <f t="shared" ref="FG43:FG51" ca="1" si="100">IF(FF43&gt;0,FF43,EQ43+ER43+EU43+EX43+EY43+EZ43+FA43+FB43+FC43)</f>
        <v>0</v>
      </c>
      <c r="FH43" s="618"/>
      <c r="FU43" s="3" t="str">
        <f t="shared" si="51"/>
        <v>표점/만점</v>
      </c>
      <c r="FV43" s="3" t="str">
        <f t="shared" si="52"/>
        <v>변표/만점</v>
      </c>
      <c r="FW43" s="3">
        <f t="shared" ref="FW43:FW51" ca="1" si="101">ROUND(Y43/$FZ43,2)</f>
        <v>0.39</v>
      </c>
      <c r="FX43" s="3">
        <f t="shared" ref="FX43:FX51" ca="1" si="102">ROUND(Z43/$FZ43,2)</f>
        <v>0.33</v>
      </c>
      <c r="FY43" s="3">
        <f t="shared" ref="FY43:FY51" ca="1" si="103">ROUND(AC43/$FZ43,2)</f>
        <v>0.28000000000000003</v>
      </c>
      <c r="FZ43" s="3">
        <f t="shared" ref="FZ43:FZ51" ca="1" si="104">Y43+Z43+AC43</f>
        <v>5.8019013360739979</v>
      </c>
    </row>
    <row r="44" spans="1:182">
      <c r="A44" s="556">
        <v>26</v>
      </c>
      <c r="C44" s="3">
        <f t="shared" si="58"/>
        <v>29</v>
      </c>
      <c r="D44" s="3">
        <v>29</v>
      </c>
      <c r="E44" s="3" t="s">
        <v>260</v>
      </c>
      <c r="F44" s="3">
        <v>900</v>
      </c>
      <c r="G44" s="3">
        <v>0.35</v>
      </c>
      <c r="H44" s="3">
        <v>0.35</v>
      </c>
      <c r="I44" s="3">
        <v>0.1</v>
      </c>
      <c r="J44" s="3">
        <v>0.1</v>
      </c>
      <c r="L44" s="3">
        <v>0.1</v>
      </c>
      <c r="M44" s="3">
        <v>0.1</v>
      </c>
      <c r="O44" s="3">
        <v>2</v>
      </c>
      <c r="P44" s="3">
        <f t="shared" si="59"/>
        <v>0.89999999999999991</v>
      </c>
      <c r="Q44" s="3">
        <v>9</v>
      </c>
      <c r="S44" s="3">
        <f t="shared" si="60"/>
        <v>9</v>
      </c>
      <c r="W44" s="3">
        <f t="shared" si="61"/>
        <v>0</v>
      </c>
      <c r="Y44" s="3">
        <f t="shared" si="62"/>
        <v>2.2661870503597124</v>
      </c>
      <c r="Z44" s="3">
        <f t="shared" si="63"/>
        <v>2.25</v>
      </c>
      <c r="AA44" s="3">
        <f t="shared" ca="1" si="64"/>
        <v>1.2857142857142858</v>
      </c>
      <c r="AB44" s="3">
        <f t="shared" ca="1" si="65"/>
        <v>1.2857142857142858</v>
      </c>
      <c r="AC44" s="3">
        <f t="shared" ca="1" si="66"/>
        <v>1.2857142857142858</v>
      </c>
      <c r="AD44" s="3">
        <f t="shared" si="67"/>
        <v>2.2661870503597124</v>
      </c>
      <c r="AE44" s="3">
        <f t="shared" si="68"/>
        <v>2.25</v>
      </c>
      <c r="AF44" s="3">
        <f t="shared" ca="1" si="69"/>
        <v>1.2857142857142858</v>
      </c>
      <c r="AG44" s="3">
        <f t="shared" ca="1" si="70"/>
        <v>1.2857142857142858</v>
      </c>
      <c r="AH44" s="3" t="str">
        <f t="shared" si="71"/>
        <v>자동</v>
      </c>
      <c r="AI44" s="3">
        <f t="shared" ca="1" si="72"/>
        <v>1.2857142857142858</v>
      </c>
      <c r="AJ44" s="3">
        <f t="shared" ca="1" si="73"/>
        <v>1.2857142857142858</v>
      </c>
      <c r="AL44" s="3" t="str">
        <f t="shared" si="74"/>
        <v/>
      </c>
      <c r="AN44" s="3">
        <f ca="1">IF($BA44=42,OFFSET(변환표준점수!C$119,$AP44-1,0),"")</f>
        <v>70</v>
      </c>
      <c r="AO44" s="3">
        <f ca="1">IF($BA44=42,OFFSET(변환표준점수!D$119,$AP44-1,0),"")</f>
        <v>70</v>
      </c>
      <c r="AP44" s="3">
        <f>IF(S44="","",MATCH(S44,변환표준점수!$B$119:$B$298,0))</f>
        <v>9</v>
      </c>
      <c r="AQ44" s="3">
        <v>12</v>
      </c>
      <c r="AR44" s="3">
        <v>12</v>
      </c>
      <c r="AS44" s="3">
        <v>42</v>
      </c>
      <c r="AT44" s="3">
        <v>42</v>
      </c>
      <c r="AV44" s="3">
        <v>42</v>
      </c>
      <c r="AW44" s="3">
        <v>42</v>
      </c>
      <c r="AX44" s="3">
        <v>3</v>
      </c>
      <c r="AY44" s="3">
        <v>3</v>
      </c>
      <c r="BA44" s="3">
        <f t="shared" si="75"/>
        <v>42</v>
      </c>
      <c r="BJ44" s="3">
        <f t="shared" si="76"/>
        <v>0</v>
      </c>
      <c r="CH44" s="206">
        <f t="shared" si="77"/>
        <v>809.99999999999989</v>
      </c>
      <c r="CI44" s="56">
        <v>100</v>
      </c>
      <c r="CJ44" s="3">
        <v>96</v>
      </c>
      <c r="CK44" s="3">
        <v>90</v>
      </c>
      <c r="CL44" s="3">
        <v>82</v>
      </c>
      <c r="CM44" s="3">
        <v>72</v>
      </c>
      <c r="CN44" s="3">
        <v>60</v>
      </c>
      <c r="CO44" s="3">
        <v>46</v>
      </c>
      <c r="CP44" s="3">
        <v>30</v>
      </c>
      <c r="CQ44" s="3">
        <v>12</v>
      </c>
      <c r="CU44" s="3">
        <v>-0.1</v>
      </c>
      <c r="CV44" s="3">
        <v>-0.2</v>
      </c>
      <c r="CW44" s="3">
        <v>-0.3</v>
      </c>
      <c r="CX44" s="3">
        <v>-0.4</v>
      </c>
      <c r="CY44" s="3">
        <v>-0.5</v>
      </c>
      <c r="CZ44" s="3">
        <v>-0.6</v>
      </c>
      <c r="DJ44" s="3">
        <f t="shared" ca="1" si="78"/>
        <v>100</v>
      </c>
      <c r="DK44" s="93">
        <f t="shared" ca="1" si="79"/>
        <v>100</v>
      </c>
      <c r="DL44" s="3">
        <f t="shared" ca="1" si="80"/>
        <v>0</v>
      </c>
      <c r="DO44" s="3">
        <v>2</v>
      </c>
      <c r="EA44" s="3">
        <f t="shared" si="81"/>
        <v>2</v>
      </c>
      <c r="EB44" s="3">
        <f t="shared" si="82"/>
        <v>2</v>
      </c>
      <c r="EC44" s="3">
        <f t="shared" si="83"/>
        <v>0</v>
      </c>
      <c r="ED44" s="3">
        <f t="shared" si="84"/>
        <v>0</v>
      </c>
      <c r="EF44" s="3">
        <f t="shared" ca="1" si="85"/>
        <v>0</v>
      </c>
      <c r="EG44" s="3">
        <f t="shared" ca="1" si="86"/>
        <v>0</v>
      </c>
      <c r="EH44" s="3">
        <f ca="1">IFERROR(IF(LEFT($BA44,1)="4",OFFSET(변환표준점수!$H$118,MATCH($S44,변환표준점수!$B$119:$B$198,0),),OFFSET(EH$3,MATCH(AS44,$ED$4:$ED$8,0),0)),0)</f>
        <v>0</v>
      </c>
      <c r="EI44" s="3">
        <f ca="1">IFERROR(IF(LEFT($BA44,1)="4",OFFSET(변환표준점수!$I$118,MATCH($S44,변환표준점수!$B$119:$B$198,0),0),OFFSET(EI$3,MATCH(AT44,$ED$4:$ED$8,0),0)),0)</f>
        <v>0</v>
      </c>
      <c r="EK44" s="3">
        <f ca="1">IFERROR(IF(LEFT($BA44,1)="4",OFFSET(변환표준점수!$J$118,MATCH($S44,변환표준점수!$B$119:$B$198,0),0),OFFSET(EJ$3,MATCH(AV44,$ED$4:$ED$8,0),0)),0)</f>
        <v>0</v>
      </c>
      <c r="EL44" s="3">
        <f ca="1">IFERROR(IF(LEFT($BA44,1)="4",OFFSET(변환표준점수!$K$118,MATCH($S44,변환표준점수!$B$119:$B$198,0),0),OFFSET(EK$3,MATCH(AW44,$ED$4:$ED$8,0),0)),0)</f>
        <v>0</v>
      </c>
      <c r="EM44" s="3" t="str">
        <f t="shared" ca="1" si="87"/>
        <v/>
      </c>
      <c r="EN44" s="3" t="str">
        <f t="shared" ca="1" si="88"/>
        <v/>
      </c>
      <c r="EO44" s="3">
        <f t="shared" ca="1" si="89"/>
        <v>0</v>
      </c>
      <c r="EQ44" s="3">
        <f t="shared" ca="1" si="90"/>
        <v>0</v>
      </c>
      <c r="ER44" s="3">
        <f t="shared" ca="1" si="91"/>
        <v>0</v>
      </c>
      <c r="ES44" s="3">
        <f t="shared" ca="1" si="92"/>
        <v>0</v>
      </c>
      <c r="ET44" s="3">
        <f t="shared" ca="1" si="93"/>
        <v>0</v>
      </c>
      <c r="EU44" s="3">
        <f t="shared" si="94"/>
        <v>0</v>
      </c>
      <c r="EV44" s="3">
        <f t="shared" ca="1" si="95"/>
        <v>0</v>
      </c>
      <c r="EW44" s="3">
        <f t="shared" ca="1" si="96"/>
        <v>0</v>
      </c>
      <c r="EX44" s="3">
        <f ca="1">LARGE((ES44:ET44,EV44:EW44),1)</f>
        <v>0</v>
      </c>
      <c r="EY44" s="3">
        <f ca="1">IF(O44&lt;2,0,LARGE((ES44:ET44,EV44:EW44),2))</f>
        <v>0</v>
      </c>
      <c r="EZ44" s="3">
        <f t="shared" ca="1" si="97"/>
        <v>0</v>
      </c>
      <c r="FA44" s="3">
        <f t="shared" ca="1" si="98"/>
        <v>0</v>
      </c>
      <c r="FB44" s="3">
        <f t="shared" ca="1" si="99"/>
        <v>0</v>
      </c>
      <c r="FG44" s="3">
        <f t="shared" ca="1" si="100"/>
        <v>0</v>
      </c>
      <c r="FH44" s="618"/>
      <c r="FU44" s="3" t="str">
        <f t="shared" si="51"/>
        <v>표점/만점</v>
      </c>
      <c r="FV44" s="3" t="str">
        <f t="shared" si="52"/>
        <v>변표/만점</v>
      </c>
      <c r="FW44" s="3">
        <f t="shared" ca="1" si="101"/>
        <v>0.39</v>
      </c>
      <c r="FX44" s="3">
        <f t="shared" ca="1" si="102"/>
        <v>0.39</v>
      </c>
      <c r="FY44" s="3">
        <f t="shared" ca="1" si="103"/>
        <v>0.22</v>
      </c>
      <c r="FZ44" s="3">
        <f t="shared" ca="1" si="104"/>
        <v>5.8019013360739979</v>
      </c>
    </row>
    <row r="45" spans="1:182">
      <c r="A45" s="556">
        <v>26</v>
      </c>
      <c r="C45" s="3">
        <f t="shared" si="58"/>
        <v>30</v>
      </c>
      <c r="D45" s="3">
        <v>30</v>
      </c>
      <c r="E45" s="3" t="s">
        <v>262</v>
      </c>
      <c r="F45" s="3">
        <v>1000</v>
      </c>
      <c r="G45" s="3">
        <v>0.3</v>
      </c>
      <c r="H45" s="3">
        <v>0.35</v>
      </c>
      <c r="I45" s="3">
        <v>0.17499999999999999</v>
      </c>
      <c r="J45" s="3">
        <v>0.17499999999999999</v>
      </c>
      <c r="L45" s="3">
        <v>0.17499999999999999</v>
      </c>
      <c r="M45" s="3">
        <v>0.17499999999999999</v>
      </c>
      <c r="O45" s="3">
        <v>2</v>
      </c>
      <c r="P45" s="3">
        <f t="shared" si="59"/>
        <v>0.99999999999999989</v>
      </c>
      <c r="Q45" s="3">
        <v>11</v>
      </c>
      <c r="S45" s="3">
        <f t="shared" si="60"/>
        <v>11</v>
      </c>
      <c r="W45" s="3">
        <f t="shared" si="61"/>
        <v>0</v>
      </c>
      <c r="Y45" s="3">
        <f t="shared" si="62"/>
        <v>1.5</v>
      </c>
      <c r="Z45" s="3">
        <f t="shared" si="63"/>
        <v>1.75</v>
      </c>
      <c r="AA45" s="3">
        <f t="shared" si="64"/>
        <v>1.75</v>
      </c>
      <c r="AB45" s="3">
        <f t="shared" si="65"/>
        <v>1.75</v>
      </c>
      <c r="AC45" s="3">
        <f t="shared" si="66"/>
        <v>1.75</v>
      </c>
      <c r="AD45" s="3">
        <f t="shared" si="67"/>
        <v>1.5</v>
      </c>
      <c r="AE45" s="3">
        <f t="shared" si="68"/>
        <v>1.75</v>
      </c>
      <c r="AF45" s="3">
        <f t="shared" si="69"/>
        <v>1.75</v>
      </c>
      <c r="AG45" s="3">
        <f t="shared" si="70"/>
        <v>1.75</v>
      </c>
      <c r="AH45" s="3" t="str">
        <f t="shared" si="71"/>
        <v>자동</v>
      </c>
      <c r="AI45" s="3">
        <f t="shared" si="72"/>
        <v>1.75</v>
      </c>
      <c r="AJ45" s="3">
        <f t="shared" si="73"/>
        <v>1.75</v>
      </c>
      <c r="AL45" s="3" t="str">
        <f t="shared" si="74"/>
        <v/>
      </c>
      <c r="AN45" s="3" t="str">
        <f ca="1">IF($BA45=42,OFFSET(변환표준점수!C$119,$AP45-1,0),"")</f>
        <v/>
      </c>
      <c r="AO45" s="3" t="str">
        <f ca="1">IF($BA45=42,OFFSET(변환표준점수!D$119,$AP45-1,0),"")</f>
        <v/>
      </c>
      <c r="AP45" s="3">
        <f>IF(S45="","",MATCH(S45,변환표준점수!$B$119:$B$298,0))</f>
        <v>11</v>
      </c>
      <c r="AQ45" s="3">
        <v>1</v>
      </c>
      <c r="AR45" s="3">
        <v>1</v>
      </c>
      <c r="AS45" s="3">
        <v>4</v>
      </c>
      <c r="AT45" s="3">
        <v>4</v>
      </c>
      <c r="AV45" s="3">
        <v>4</v>
      </c>
      <c r="AW45" s="3">
        <v>4</v>
      </c>
      <c r="AX45" s="3">
        <v>3</v>
      </c>
      <c r="AY45" s="3">
        <v>3</v>
      </c>
      <c r="BA45" s="3">
        <f t="shared" si="75"/>
        <v>4</v>
      </c>
      <c r="BF45" s="3">
        <f>0.05*AF45</f>
        <v>8.7500000000000008E-2</v>
      </c>
      <c r="BG45" s="3">
        <f>0.05*AG45</f>
        <v>8.7500000000000008E-2</v>
      </c>
      <c r="BJ45" s="3">
        <f t="shared" si="76"/>
        <v>0</v>
      </c>
      <c r="BN45" s="212" t="s">
        <v>7273</v>
      </c>
      <c r="BS45" s="3">
        <f ca="1">BF45*EH45</f>
        <v>0</v>
      </c>
      <c r="BT45" s="3">
        <f ca="1">BG45*EI45</f>
        <v>0</v>
      </c>
      <c r="CH45" s="206">
        <f t="shared" si="77"/>
        <v>999.99999999999989</v>
      </c>
      <c r="CI45" s="56">
        <v>100</v>
      </c>
      <c r="CJ45" s="3">
        <v>98</v>
      </c>
      <c r="CK45" s="3">
        <v>95</v>
      </c>
      <c r="CL45" s="3">
        <v>92</v>
      </c>
      <c r="CM45" s="3">
        <v>86</v>
      </c>
      <c r="CN45" s="3">
        <v>75</v>
      </c>
      <c r="CO45" s="3">
        <v>64</v>
      </c>
      <c r="CP45" s="3">
        <v>58</v>
      </c>
      <c r="CQ45" s="3">
        <v>50</v>
      </c>
      <c r="CR45" s="56">
        <v>10</v>
      </c>
      <c r="CS45" s="3">
        <v>10</v>
      </c>
      <c r="CT45" s="3">
        <v>10</v>
      </c>
      <c r="CU45" s="3">
        <v>10</v>
      </c>
      <c r="CV45" s="3">
        <v>9.6</v>
      </c>
      <c r="CW45" s="3">
        <v>9.1999999999999993</v>
      </c>
      <c r="CX45" s="3">
        <v>8.8000000000000007</v>
      </c>
      <c r="CY45" s="3">
        <v>8.4</v>
      </c>
      <c r="CZ45" s="3">
        <v>8</v>
      </c>
      <c r="DJ45" s="3">
        <f t="shared" ca="1" si="78"/>
        <v>100</v>
      </c>
      <c r="DK45" s="93">
        <f t="shared" ca="1" si="79"/>
        <v>100</v>
      </c>
      <c r="DL45" s="3">
        <f t="shared" ca="1" si="80"/>
        <v>10</v>
      </c>
      <c r="DO45" s="3">
        <v>2</v>
      </c>
      <c r="DZ45" s="3">
        <v>1</v>
      </c>
      <c r="EA45" s="3">
        <f t="shared" si="81"/>
        <v>1</v>
      </c>
      <c r="EB45" s="3">
        <f t="shared" si="82"/>
        <v>2</v>
      </c>
      <c r="EC45" s="3">
        <f t="shared" si="83"/>
        <v>0</v>
      </c>
      <c r="ED45" s="3">
        <f t="shared" si="84"/>
        <v>0</v>
      </c>
      <c r="EF45" s="3">
        <f t="shared" ca="1" si="85"/>
        <v>0</v>
      </c>
      <c r="EG45" s="3">
        <f t="shared" ca="1" si="86"/>
        <v>0</v>
      </c>
      <c r="EH45" s="3">
        <f ca="1">IFERROR(IF(LEFT($BA45,1)="4",OFFSET(변환표준점수!$H$118,MATCH($S45,변환표준점수!$B$119:$B$198,0),),OFFSET(EH$3,MATCH(AS45,$ED$4:$ED$8,0),0)),0)</f>
        <v>0</v>
      </c>
      <c r="EI45" s="3">
        <f ca="1">IFERROR(IF(LEFT($BA45,1)="4",OFFSET(변환표준점수!$I$118,MATCH($S45,변환표준점수!$B$119:$B$198,0),0),OFFSET(EI$3,MATCH(AT45,$ED$4:$ED$8,0),0)),0)</f>
        <v>0</v>
      </c>
      <c r="EK45" s="3">
        <f ca="1">IFERROR(IF(LEFT($BA45,1)="4",OFFSET(변환표준점수!$J$118,MATCH($S45,변환표준점수!$B$119:$B$198,0),0),OFFSET(EJ$3,MATCH(AV45,$ED$4:$ED$8,0),0)),0)</f>
        <v>0</v>
      </c>
      <c r="EL45" s="3">
        <f ca="1">IFERROR(IF(LEFT($BA45,1)="4",OFFSET(변환표준점수!$K$118,MATCH($S45,변환표준점수!$B$119:$B$198,0),0),OFFSET(EK$3,MATCH(AW45,$ED$4:$ED$8,0),0)),0)</f>
        <v>0</v>
      </c>
      <c r="EM45" s="3" t="str">
        <f t="shared" ca="1" si="87"/>
        <v/>
      </c>
      <c r="EN45" s="3" t="str">
        <f t="shared" ca="1" si="88"/>
        <v/>
      </c>
      <c r="EO45" s="3">
        <f t="shared" ca="1" si="89"/>
        <v>0</v>
      </c>
      <c r="EQ45" s="3">
        <f t="shared" ca="1" si="90"/>
        <v>0</v>
      </c>
      <c r="ER45" s="3">
        <f t="shared" ca="1" si="91"/>
        <v>0</v>
      </c>
      <c r="ES45" s="3">
        <f t="shared" ca="1" si="92"/>
        <v>0</v>
      </c>
      <c r="ET45" s="3">
        <f t="shared" ca="1" si="93"/>
        <v>0</v>
      </c>
      <c r="EU45" s="3">
        <f t="shared" si="94"/>
        <v>0</v>
      </c>
      <c r="EV45" s="3">
        <f t="shared" ca="1" si="95"/>
        <v>0</v>
      </c>
      <c r="EW45" s="3">
        <f t="shared" ca="1" si="96"/>
        <v>0</v>
      </c>
      <c r="EX45" s="3">
        <f ca="1">LARGE((ES45:ET45,EV45:EW45),1)</f>
        <v>0</v>
      </c>
      <c r="EY45" s="3">
        <f ca="1">IF(O45&lt;2,0,LARGE((ES45:ET45,EV45:EW45),2))</f>
        <v>0</v>
      </c>
      <c r="EZ45" s="3">
        <f t="shared" ca="1" si="97"/>
        <v>0</v>
      </c>
      <c r="FA45" s="3">
        <f t="shared" ca="1" si="98"/>
        <v>0</v>
      </c>
      <c r="FB45" s="3">
        <f t="shared" ca="1" si="99"/>
        <v>0</v>
      </c>
      <c r="FG45" s="3">
        <f t="shared" ca="1" si="100"/>
        <v>0</v>
      </c>
      <c r="FH45" s="618"/>
      <c r="FU45" s="3" t="str">
        <f t="shared" si="51"/>
        <v>표점</v>
      </c>
      <c r="FV45" s="3" t="str">
        <f t="shared" si="52"/>
        <v>변표</v>
      </c>
      <c r="FW45" s="3">
        <f t="shared" si="101"/>
        <v>0.3</v>
      </c>
      <c r="FX45" s="3">
        <f t="shared" si="102"/>
        <v>0.35</v>
      </c>
      <c r="FY45" s="3">
        <f t="shared" si="103"/>
        <v>0.35</v>
      </c>
      <c r="FZ45" s="3">
        <f t="shared" si="104"/>
        <v>5</v>
      </c>
    </row>
    <row r="46" spans="1:182">
      <c r="A46" s="556">
        <v>26</v>
      </c>
      <c r="C46" s="3">
        <f t="shared" si="58"/>
        <v>31</v>
      </c>
      <c r="D46" s="3">
        <v>31</v>
      </c>
      <c r="E46" s="3" t="s">
        <v>261</v>
      </c>
      <c r="F46" s="3">
        <v>1000</v>
      </c>
      <c r="G46" s="3">
        <v>0.35</v>
      </c>
      <c r="H46" s="3">
        <v>0.3</v>
      </c>
      <c r="I46" s="3">
        <v>0.17499999999999999</v>
      </c>
      <c r="J46" s="3">
        <v>0.17499999999999999</v>
      </c>
      <c r="L46" s="3">
        <v>0.17499999999999999</v>
      </c>
      <c r="M46" s="3">
        <v>0.17499999999999999</v>
      </c>
      <c r="O46" s="3">
        <v>2</v>
      </c>
      <c r="P46" s="3">
        <f t="shared" si="59"/>
        <v>0.99999999999999989</v>
      </c>
      <c r="Q46" s="3">
        <v>11</v>
      </c>
      <c r="S46" s="3">
        <f t="shared" si="60"/>
        <v>11</v>
      </c>
      <c r="W46" s="3">
        <f t="shared" si="61"/>
        <v>0</v>
      </c>
      <c r="Y46" s="3">
        <f t="shared" si="62"/>
        <v>1.75</v>
      </c>
      <c r="Z46" s="3">
        <f t="shared" si="63"/>
        <v>1.5</v>
      </c>
      <c r="AA46" s="3">
        <f t="shared" si="64"/>
        <v>1.75</v>
      </c>
      <c r="AB46" s="3">
        <f t="shared" si="65"/>
        <v>1.75</v>
      </c>
      <c r="AC46" s="3">
        <f t="shared" si="66"/>
        <v>1.75</v>
      </c>
      <c r="AD46" s="3">
        <f t="shared" si="67"/>
        <v>1.75</v>
      </c>
      <c r="AE46" s="3">
        <f t="shared" si="68"/>
        <v>1.5</v>
      </c>
      <c r="AF46" s="3">
        <f t="shared" si="69"/>
        <v>1.75</v>
      </c>
      <c r="AG46" s="3">
        <f t="shared" si="70"/>
        <v>1.75</v>
      </c>
      <c r="AH46" s="3" t="str">
        <f t="shared" si="71"/>
        <v>자동</v>
      </c>
      <c r="AI46" s="3">
        <f t="shared" si="72"/>
        <v>1.75</v>
      </c>
      <c r="AJ46" s="3">
        <f t="shared" si="73"/>
        <v>1.75</v>
      </c>
      <c r="AL46" s="3" t="str">
        <f t="shared" si="74"/>
        <v/>
      </c>
      <c r="AN46" s="3" t="str">
        <f ca="1">IF($BA46=42,OFFSET(변환표준점수!C$119,$AP46-1,0),"")</f>
        <v/>
      </c>
      <c r="AO46" s="3" t="str">
        <f ca="1">IF($BA46=42,OFFSET(변환표준점수!D$119,$AP46-1,0),"")</f>
        <v/>
      </c>
      <c r="AP46" s="3">
        <f>IF(S46="","",MATCH(S46,변환표준점수!$B$119:$B$298,0))</f>
        <v>11</v>
      </c>
      <c r="AQ46" s="3">
        <v>1</v>
      </c>
      <c r="AR46" s="3">
        <v>1</v>
      </c>
      <c r="AS46" s="3">
        <v>4</v>
      </c>
      <c r="AT46" s="3">
        <v>4</v>
      </c>
      <c r="AV46" s="3">
        <v>4</v>
      </c>
      <c r="AW46" s="3">
        <v>4</v>
      </c>
      <c r="AX46" s="3">
        <v>3</v>
      </c>
      <c r="AY46" s="3">
        <v>3</v>
      </c>
      <c r="BA46" s="3">
        <f t="shared" si="75"/>
        <v>4</v>
      </c>
      <c r="BJ46" s="3">
        <f t="shared" si="76"/>
        <v>0</v>
      </c>
      <c r="BL46" s="3">
        <f>0.05*AI46</f>
        <v>8.7500000000000008E-2</v>
      </c>
      <c r="BM46" s="3">
        <f>0.05*AJ46</f>
        <v>8.7500000000000008E-2</v>
      </c>
      <c r="BN46" s="212" t="s">
        <v>7686</v>
      </c>
      <c r="BV46" s="3">
        <f ca="1">BL46*EK46</f>
        <v>0</v>
      </c>
      <c r="BW46" s="3">
        <f ca="1">BM46*EL46</f>
        <v>0</v>
      </c>
      <c r="CH46" s="206">
        <f t="shared" si="77"/>
        <v>999.99999999999989</v>
      </c>
      <c r="CI46" s="56">
        <v>100</v>
      </c>
      <c r="CJ46" s="3">
        <v>98</v>
      </c>
      <c r="CK46" s="3">
        <v>95</v>
      </c>
      <c r="CL46" s="3">
        <v>92</v>
      </c>
      <c r="CM46" s="3">
        <v>86</v>
      </c>
      <c r="CN46" s="3">
        <v>75</v>
      </c>
      <c r="CO46" s="3">
        <v>64</v>
      </c>
      <c r="CP46" s="3">
        <v>58</v>
      </c>
      <c r="CQ46" s="3">
        <v>50</v>
      </c>
      <c r="CR46" s="56">
        <v>10</v>
      </c>
      <c r="CS46" s="3">
        <v>10</v>
      </c>
      <c r="CT46" s="3">
        <v>10</v>
      </c>
      <c r="CU46" s="3">
        <v>10</v>
      </c>
      <c r="CV46" s="3">
        <v>9.6</v>
      </c>
      <c r="CW46" s="3">
        <v>9.1999999999999993</v>
      </c>
      <c r="CX46" s="3">
        <v>8.8000000000000007</v>
      </c>
      <c r="CY46" s="3">
        <v>8.4</v>
      </c>
      <c r="CZ46" s="3">
        <v>8</v>
      </c>
      <c r="DJ46" s="3">
        <f t="shared" ca="1" si="78"/>
        <v>100</v>
      </c>
      <c r="DK46" s="93">
        <f t="shared" ca="1" si="79"/>
        <v>100</v>
      </c>
      <c r="DL46" s="3">
        <f t="shared" ca="1" si="80"/>
        <v>10</v>
      </c>
      <c r="DO46" s="3">
        <v>2</v>
      </c>
      <c r="EA46" s="3">
        <f t="shared" si="81"/>
        <v>2</v>
      </c>
      <c r="EB46" s="3">
        <f t="shared" si="82"/>
        <v>2</v>
      </c>
      <c r="EC46" s="3">
        <f t="shared" si="83"/>
        <v>0</v>
      </c>
      <c r="ED46" s="3">
        <f t="shared" si="84"/>
        <v>0</v>
      </c>
      <c r="EF46" s="3">
        <f t="shared" ca="1" si="85"/>
        <v>0</v>
      </c>
      <c r="EG46" s="3">
        <f t="shared" ca="1" si="86"/>
        <v>0</v>
      </c>
      <c r="EH46" s="3">
        <f ca="1">IFERROR(IF(LEFT($BA46,1)="4",OFFSET(변환표준점수!$H$118,MATCH($S46,변환표준점수!$B$119:$B$198,0),),OFFSET(EH$3,MATCH(AS46,$ED$4:$ED$8,0),0)),0)</f>
        <v>0</v>
      </c>
      <c r="EI46" s="3">
        <f ca="1">IFERROR(IF(LEFT($BA46,1)="4",OFFSET(변환표준점수!$I$118,MATCH($S46,변환표준점수!$B$119:$B$198,0),0),OFFSET(EI$3,MATCH(AT46,$ED$4:$ED$8,0),0)),0)</f>
        <v>0</v>
      </c>
      <c r="EK46" s="3">
        <f ca="1">IFERROR(IF(LEFT($BA46,1)="4",OFFSET(변환표준점수!$J$118,MATCH($S46,변환표준점수!$B$119:$B$198,0),0),OFFSET(EJ$3,MATCH(AV46,$ED$4:$ED$8,0),0)),0)</f>
        <v>0</v>
      </c>
      <c r="EL46" s="3">
        <f ca="1">IFERROR(IF(LEFT($BA46,1)="4",OFFSET(변환표준점수!$K$118,MATCH($S46,변환표준점수!$B$119:$B$198,0),0),OFFSET(EK$3,MATCH(AW46,$ED$4:$ED$8,0),0)),0)</f>
        <v>0</v>
      </c>
      <c r="EM46" s="3" t="str">
        <f t="shared" ca="1" si="87"/>
        <v/>
      </c>
      <c r="EN46" s="3" t="str">
        <f t="shared" ca="1" si="88"/>
        <v/>
      </c>
      <c r="EO46" s="3">
        <f t="shared" ca="1" si="89"/>
        <v>0</v>
      </c>
      <c r="EQ46" s="3">
        <f t="shared" ca="1" si="90"/>
        <v>0</v>
      </c>
      <c r="ER46" s="3">
        <f t="shared" ca="1" si="91"/>
        <v>0</v>
      </c>
      <c r="ES46" s="3">
        <f t="shared" ca="1" si="92"/>
        <v>0</v>
      </c>
      <c r="ET46" s="3">
        <f t="shared" ca="1" si="93"/>
        <v>0</v>
      </c>
      <c r="EU46" s="3">
        <f t="shared" si="94"/>
        <v>0</v>
      </c>
      <c r="EV46" s="3">
        <f t="shared" ca="1" si="95"/>
        <v>0</v>
      </c>
      <c r="EW46" s="3">
        <f t="shared" ca="1" si="96"/>
        <v>0</v>
      </c>
      <c r="EX46" s="3">
        <f ca="1">LARGE((ES46:ET46,EV46:EW46),1)</f>
        <v>0</v>
      </c>
      <c r="EY46" s="3">
        <f ca="1">IF(O46&lt;2,0,LARGE((ES46:ET46,EV46:EW46),2))</f>
        <v>0</v>
      </c>
      <c r="EZ46" s="3">
        <f t="shared" ca="1" si="97"/>
        <v>0</v>
      </c>
      <c r="FA46" s="3">
        <f t="shared" ca="1" si="98"/>
        <v>0</v>
      </c>
      <c r="FB46" s="3">
        <f t="shared" ca="1" si="99"/>
        <v>0</v>
      </c>
      <c r="FG46" s="3">
        <f t="shared" ca="1" si="100"/>
        <v>0</v>
      </c>
      <c r="FH46" s="618"/>
      <c r="FU46" s="3" t="str">
        <f t="shared" si="51"/>
        <v>표점</v>
      </c>
      <c r="FV46" s="3" t="str">
        <f t="shared" si="52"/>
        <v>변표</v>
      </c>
      <c r="FW46" s="3">
        <f t="shared" si="101"/>
        <v>0.35</v>
      </c>
      <c r="FX46" s="3">
        <f t="shared" si="102"/>
        <v>0.3</v>
      </c>
      <c r="FY46" s="3">
        <f t="shared" si="103"/>
        <v>0.35</v>
      </c>
      <c r="FZ46" s="3">
        <f t="shared" si="104"/>
        <v>5</v>
      </c>
    </row>
    <row r="47" spans="1:182">
      <c r="A47" s="556">
        <v>26</v>
      </c>
      <c r="C47" s="3">
        <f t="shared" si="58"/>
        <v>32</v>
      </c>
      <c r="D47" s="3">
        <v>32</v>
      </c>
      <c r="E47" s="3" t="s">
        <v>267</v>
      </c>
      <c r="F47" s="3">
        <v>1000</v>
      </c>
      <c r="G47" s="3">
        <v>0.3</v>
      </c>
      <c r="H47" s="3">
        <v>0.4</v>
      </c>
      <c r="I47" s="3">
        <v>0.15</v>
      </c>
      <c r="J47" s="3">
        <v>0.15</v>
      </c>
      <c r="L47" s="3">
        <v>0.15</v>
      </c>
      <c r="M47" s="3">
        <v>0.15</v>
      </c>
      <c r="O47" s="3">
        <v>2</v>
      </c>
      <c r="P47" s="3">
        <f t="shared" si="59"/>
        <v>1</v>
      </c>
      <c r="Q47" s="3">
        <v>11</v>
      </c>
      <c r="S47" s="3">
        <f t="shared" si="60"/>
        <v>11</v>
      </c>
      <c r="W47" s="3">
        <f t="shared" si="61"/>
        <v>0</v>
      </c>
      <c r="Y47" s="3">
        <f t="shared" si="62"/>
        <v>1.5</v>
      </c>
      <c r="Z47" s="3">
        <f t="shared" si="63"/>
        <v>2</v>
      </c>
      <c r="AA47" s="3">
        <f t="shared" si="64"/>
        <v>1.5</v>
      </c>
      <c r="AB47" s="3">
        <f t="shared" si="65"/>
        <v>1.5</v>
      </c>
      <c r="AC47" s="3">
        <f t="shared" si="66"/>
        <v>1.5</v>
      </c>
      <c r="AD47" s="3">
        <f t="shared" si="67"/>
        <v>1.5</v>
      </c>
      <c r="AE47" s="3">
        <f t="shared" si="68"/>
        <v>2</v>
      </c>
      <c r="AF47" s="3">
        <f t="shared" si="69"/>
        <v>1.5</v>
      </c>
      <c r="AG47" s="3">
        <f t="shared" si="70"/>
        <v>1.5</v>
      </c>
      <c r="AH47" s="3" t="str">
        <f t="shared" si="71"/>
        <v>자동</v>
      </c>
      <c r="AI47" s="3">
        <f t="shared" si="72"/>
        <v>1.5</v>
      </c>
      <c r="AJ47" s="3">
        <f t="shared" si="73"/>
        <v>1.5</v>
      </c>
      <c r="AL47" s="3" t="str">
        <f t="shared" si="74"/>
        <v/>
      </c>
      <c r="AN47" s="3" t="str">
        <f ca="1">IF($BA47=42,OFFSET(변환표준점수!C$119,$AP47-1,0),"")</f>
        <v/>
      </c>
      <c r="AO47" s="3" t="str">
        <f ca="1">IF($BA47=42,OFFSET(변환표준점수!D$119,$AP47-1,0),"")</f>
        <v/>
      </c>
      <c r="AP47" s="3">
        <f>IF(S47="","",MATCH(S47,변환표준점수!$B$119:$B$298,0))</f>
        <v>11</v>
      </c>
      <c r="AQ47" s="3">
        <v>1</v>
      </c>
      <c r="AR47" s="3">
        <v>1</v>
      </c>
      <c r="AS47" s="3">
        <v>4</v>
      </c>
      <c r="AT47" s="3">
        <v>4</v>
      </c>
      <c r="AV47" s="3">
        <v>4</v>
      </c>
      <c r="AW47" s="3">
        <v>4</v>
      </c>
      <c r="AX47" s="3">
        <v>3</v>
      </c>
      <c r="AY47" s="3">
        <v>3</v>
      </c>
      <c r="BA47" s="3">
        <f t="shared" si="75"/>
        <v>4</v>
      </c>
      <c r="BJ47" s="3">
        <f t="shared" si="76"/>
        <v>0</v>
      </c>
      <c r="CH47" s="206">
        <f t="shared" si="77"/>
        <v>1000</v>
      </c>
      <c r="CI47" s="56">
        <v>100</v>
      </c>
      <c r="CJ47" s="3">
        <v>98</v>
      </c>
      <c r="CK47" s="3">
        <v>95</v>
      </c>
      <c r="CL47" s="3">
        <v>92</v>
      </c>
      <c r="CM47" s="3">
        <v>86</v>
      </c>
      <c r="CN47" s="3">
        <v>75</v>
      </c>
      <c r="CO47" s="3">
        <v>64</v>
      </c>
      <c r="CP47" s="3">
        <v>58</v>
      </c>
      <c r="CQ47" s="3">
        <v>50</v>
      </c>
      <c r="CR47" s="56">
        <v>10</v>
      </c>
      <c r="CS47" s="3">
        <v>10</v>
      </c>
      <c r="CT47" s="3">
        <v>10</v>
      </c>
      <c r="CU47" s="3">
        <v>10</v>
      </c>
      <c r="CV47" s="3">
        <v>9.6</v>
      </c>
      <c r="CW47" s="3">
        <v>9.1999999999999993</v>
      </c>
      <c r="CX47" s="3">
        <v>8.8000000000000007</v>
      </c>
      <c r="CY47" s="3">
        <v>8.4</v>
      </c>
      <c r="CZ47" s="3">
        <v>8</v>
      </c>
      <c r="DJ47" s="3">
        <f t="shared" ca="1" si="78"/>
        <v>100</v>
      </c>
      <c r="DK47" s="93">
        <f t="shared" ca="1" si="79"/>
        <v>100</v>
      </c>
      <c r="DL47" s="3">
        <f t="shared" ca="1" si="80"/>
        <v>10</v>
      </c>
      <c r="DO47" s="3">
        <v>2</v>
      </c>
      <c r="EA47" s="3">
        <f t="shared" si="81"/>
        <v>2</v>
      </c>
      <c r="EB47" s="3">
        <f t="shared" si="82"/>
        <v>2</v>
      </c>
      <c r="EC47" s="3">
        <f t="shared" si="83"/>
        <v>0</v>
      </c>
      <c r="ED47" s="3">
        <f t="shared" si="84"/>
        <v>0</v>
      </c>
      <c r="EF47" s="3">
        <f t="shared" ca="1" si="85"/>
        <v>0</v>
      </c>
      <c r="EG47" s="3">
        <f t="shared" ca="1" si="86"/>
        <v>0</v>
      </c>
      <c r="EH47" s="3">
        <f ca="1">IFERROR(IF(LEFT($BA47,1)="4",OFFSET(변환표준점수!$H$118,MATCH($S47,변환표준점수!$B$119:$B$198,0),),OFFSET(EH$3,MATCH(AS47,$ED$4:$ED$8,0),0)),0)</f>
        <v>0</v>
      </c>
      <c r="EI47" s="3">
        <f ca="1">IFERROR(IF(LEFT($BA47,1)="4",OFFSET(변환표준점수!$I$118,MATCH($S47,변환표준점수!$B$119:$B$198,0),0),OFFSET(EI$3,MATCH(AT47,$ED$4:$ED$8,0),0)),0)</f>
        <v>0</v>
      </c>
      <c r="EK47" s="3">
        <f ca="1">IFERROR(IF(LEFT($BA47,1)="4",OFFSET(변환표준점수!$J$118,MATCH($S47,변환표준점수!$B$119:$B$198,0),0),OFFSET(EJ$3,MATCH(AV47,$ED$4:$ED$8,0),0)),0)</f>
        <v>0</v>
      </c>
      <c r="EL47" s="3">
        <f ca="1">IFERROR(IF(LEFT($BA47,1)="4",OFFSET(변환표준점수!$K$118,MATCH($S47,변환표준점수!$B$119:$B$198,0),0),OFFSET(EK$3,MATCH(AW47,$ED$4:$ED$8,0),0)),0)</f>
        <v>0</v>
      </c>
      <c r="EM47" s="3" t="str">
        <f t="shared" ca="1" si="87"/>
        <v/>
      </c>
      <c r="EN47" s="3" t="str">
        <f t="shared" ca="1" si="88"/>
        <v/>
      </c>
      <c r="EO47" s="3">
        <f t="shared" ca="1" si="89"/>
        <v>0</v>
      </c>
      <c r="EQ47" s="3">
        <f t="shared" ca="1" si="90"/>
        <v>0</v>
      </c>
      <c r="ER47" s="3">
        <f t="shared" ca="1" si="91"/>
        <v>0</v>
      </c>
      <c r="ES47" s="3">
        <f t="shared" ca="1" si="92"/>
        <v>0</v>
      </c>
      <c r="ET47" s="3">
        <f t="shared" ca="1" si="93"/>
        <v>0</v>
      </c>
      <c r="EU47" s="3">
        <f t="shared" si="94"/>
        <v>0</v>
      </c>
      <c r="EV47" s="3">
        <f t="shared" ca="1" si="95"/>
        <v>0</v>
      </c>
      <c r="EW47" s="3">
        <f t="shared" ca="1" si="96"/>
        <v>0</v>
      </c>
      <c r="EX47" s="3">
        <f ca="1">LARGE((ES47:ET47,EV47:EW47),1)</f>
        <v>0</v>
      </c>
      <c r="EY47" s="3">
        <f ca="1">IF(O47&lt;2,0,LARGE((ES47:ET47,EV47:EW47),2))</f>
        <v>0</v>
      </c>
      <c r="EZ47" s="3">
        <f t="shared" ca="1" si="97"/>
        <v>0</v>
      </c>
      <c r="FA47" s="3">
        <f t="shared" ca="1" si="98"/>
        <v>0</v>
      </c>
      <c r="FB47" s="3">
        <f t="shared" ca="1" si="99"/>
        <v>0</v>
      </c>
      <c r="FG47" s="3">
        <f t="shared" ca="1" si="100"/>
        <v>0</v>
      </c>
      <c r="FH47" s="618"/>
      <c r="FU47" s="3" t="str">
        <f t="shared" si="51"/>
        <v>표점</v>
      </c>
      <c r="FV47" s="3" t="str">
        <f t="shared" si="52"/>
        <v>변표</v>
      </c>
      <c r="FW47" s="3">
        <f t="shared" si="101"/>
        <v>0.3</v>
      </c>
      <c r="FX47" s="3">
        <f t="shared" si="102"/>
        <v>0.4</v>
      </c>
      <c r="FY47" s="3">
        <f t="shared" si="103"/>
        <v>0.3</v>
      </c>
      <c r="FZ47" s="3">
        <f t="shared" si="104"/>
        <v>5</v>
      </c>
    </row>
    <row r="48" spans="1:182">
      <c r="A48" s="556">
        <v>26</v>
      </c>
      <c r="C48" s="3">
        <f t="shared" si="58"/>
        <v>33</v>
      </c>
      <c r="D48" s="3">
        <v>33</v>
      </c>
      <c r="E48" s="3" t="s">
        <v>263</v>
      </c>
      <c r="F48" s="3">
        <v>600</v>
      </c>
      <c r="G48" s="3">
        <v>0.25</v>
      </c>
      <c r="H48" s="3">
        <v>0.4</v>
      </c>
      <c r="I48" s="3">
        <v>0.17499999999999999</v>
      </c>
      <c r="J48" s="3">
        <v>0.17499999999999999</v>
      </c>
      <c r="L48" s="3">
        <v>0.17499999999999999</v>
      </c>
      <c r="M48" s="3">
        <v>0.17499999999999999</v>
      </c>
      <c r="O48" s="3">
        <v>2</v>
      </c>
      <c r="P48" s="3">
        <f t="shared" si="59"/>
        <v>1</v>
      </c>
      <c r="Q48" s="3">
        <v>13</v>
      </c>
      <c r="S48" s="3">
        <f t="shared" si="60"/>
        <v>13</v>
      </c>
      <c r="W48" s="3">
        <f t="shared" si="61"/>
        <v>0</v>
      </c>
      <c r="Y48" s="3">
        <f t="shared" si="62"/>
        <v>0.75</v>
      </c>
      <c r="Z48" s="3">
        <f t="shared" si="63"/>
        <v>1.2</v>
      </c>
      <c r="AA48" s="3">
        <f t="shared" si="64"/>
        <v>1.05</v>
      </c>
      <c r="AB48" s="3">
        <f t="shared" si="65"/>
        <v>1.05</v>
      </c>
      <c r="AC48" s="3">
        <f t="shared" si="66"/>
        <v>1.05</v>
      </c>
      <c r="AD48" s="3">
        <f t="shared" si="67"/>
        <v>0.75</v>
      </c>
      <c r="AE48" s="3">
        <f t="shared" si="68"/>
        <v>1.2</v>
      </c>
      <c r="AF48" s="3">
        <f t="shared" si="69"/>
        <v>1.05</v>
      </c>
      <c r="AG48" s="3">
        <f t="shared" si="70"/>
        <v>1.05</v>
      </c>
      <c r="AH48" s="3" t="str">
        <f t="shared" si="71"/>
        <v>자동</v>
      </c>
      <c r="AI48" s="3">
        <f t="shared" si="72"/>
        <v>1.05</v>
      </c>
      <c r="AJ48" s="3">
        <f t="shared" si="73"/>
        <v>1.05</v>
      </c>
      <c r="AL48" s="3" t="str">
        <f t="shared" si="74"/>
        <v/>
      </c>
      <c r="AN48" s="3" t="str">
        <f ca="1">IF($BA48=42,OFFSET(변환표준점수!C$119,$AP48-1,0),"")</f>
        <v/>
      </c>
      <c r="AO48" s="3" t="str">
        <f ca="1">IF($BA48=42,OFFSET(변환표준점수!D$119,$AP48-1,0),"")</f>
        <v/>
      </c>
      <c r="AP48" s="3">
        <f>IF(S48="","",MATCH(S48,변환표준점수!$B$119:$B$298,0))</f>
        <v>13</v>
      </c>
      <c r="AQ48" s="3">
        <v>1</v>
      </c>
      <c r="AR48" s="3">
        <v>1</v>
      </c>
      <c r="AS48" s="3">
        <v>4</v>
      </c>
      <c r="AT48" s="3">
        <v>4</v>
      </c>
      <c r="AV48" s="3">
        <v>4</v>
      </c>
      <c r="AW48" s="3">
        <v>4</v>
      </c>
      <c r="AX48" s="3">
        <v>3</v>
      </c>
      <c r="AY48" s="3">
        <v>3</v>
      </c>
      <c r="BA48" s="3">
        <f t="shared" si="75"/>
        <v>4</v>
      </c>
      <c r="BJ48" s="3">
        <f t="shared" si="76"/>
        <v>0</v>
      </c>
      <c r="BN48" s="212" t="s">
        <v>7273</v>
      </c>
      <c r="BS48" s="3">
        <f>IF(I$8&gt;0,AF48*4,0)</f>
        <v>0</v>
      </c>
      <c r="BT48" s="3">
        <f>IF(J$8&gt;0,AG48*4,0)</f>
        <v>0</v>
      </c>
      <c r="CB48" s="3">
        <v>4.2</v>
      </c>
      <c r="CC48" s="3">
        <v>4.2</v>
      </c>
      <c r="CH48" s="206">
        <f t="shared" si="77"/>
        <v>600</v>
      </c>
      <c r="CK48" s="3">
        <v>-2</v>
      </c>
      <c r="CL48" s="3">
        <v>-4</v>
      </c>
      <c r="CM48" s="3">
        <v>-8</v>
      </c>
      <c r="CN48" s="3">
        <v>-12</v>
      </c>
      <c r="CO48" s="3">
        <v>-18</v>
      </c>
      <c r="CP48" s="3">
        <v>-24</v>
      </c>
      <c r="CQ48" s="3">
        <v>-30</v>
      </c>
      <c r="CV48" s="3">
        <v>-2</v>
      </c>
      <c r="CW48" s="3">
        <v>-4</v>
      </c>
      <c r="CX48" s="3">
        <v>-8</v>
      </c>
      <c r="CY48" s="3">
        <v>-14</v>
      </c>
      <c r="CZ48" s="3">
        <v>-20</v>
      </c>
      <c r="DJ48" s="3">
        <f t="shared" ca="1" si="78"/>
        <v>0</v>
      </c>
      <c r="DK48" s="93" t="e">
        <f t="shared" ca="1" si="79"/>
        <v>#DIV/0!</v>
      </c>
      <c r="DL48" s="3">
        <f t="shared" ca="1" si="80"/>
        <v>0</v>
      </c>
      <c r="DO48" s="3">
        <v>2</v>
      </c>
      <c r="DZ48" s="3">
        <v>1</v>
      </c>
      <c r="EA48" s="3">
        <f t="shared" si="81"/>
        <v>1</v>
      </c>
      <c r="EB48" s="3">
        <f t="shared" si="82"/>
        <v>2</v>
      </c>
      <c r="EC48" s="3">
        <f t="shared" si="83"/>
        <v>0</v>
      </c>
      <c r="ED48" s="3">
        <f t="shared" si="84"/>
        <v>0</v>
      </c>
      <c r="EF48" s="3">
        <f t="shared" ca="1" si="85"/>
        <v>0</v>
      </c>
      <c r="EG48" s="3">
        <f t="shared" ca="1" si="86"/>
        <v>0</v>
      </c>
      <c r="EH48" s="3">
        <f ca="1">IFERROR(IF(LEFT($BA48,1)="4",OFFSET(변환표준점수!$H$118,MATCH($S48,변환표준점수!$B$119:$B$198,0),),OFFSET(EH$3,MATCH(AS48,$ED$4:$ED$8,0),0)),0)</f>
        <v>0</v>
      </c>
      <c r="EI48" s="3">
        <f ca="1">IFERROR(IF(LEFT($BA48,1)="4",OFFSET(변환표준점수!$I$118,MATCH($S48,변환표준점수!$B$119:$B$198,0),0),OFFSET(EI$3,MATCH(AT48,$ED$4:$ED$8,0),0)),0)</f>
        <v>0</v>
      </c>
      <c r="EK48" s="3">
        <f ca="1">IFERROR(IF(LEFT($BA48,1)="4",OFFSET(변환표준점수!$J$118,MATCH($S48,변환표준점수!$B$119:$B$198,0),0),OFFSET(EJ$3,MATCH(AV48,$ED$4:$ED$8,0),0)),0)</f>
        <v>0</v>
      </c>
      <c r="EL48" s="3">
        <f ca="1">IFERROR(IF(LEFT($BA48,1)="4",OFFSET(변환표준점수!$K$118,MATCH($S48,변환표준점수!$B$119:$B$198,0),0),OFFSET(EK$3,MATCH(AW48,$ED$4:$ED$8,0),0)),0)</f>
        <v>0</v>
      </c>
      <c r="EM48" s="3" t="str">
        <f t="shared" ca="1" si="87"/>
        <v/>
      </c>
      <c r="EN48" s="3" t="str">
        <f t="shared" ca="1" si="88"/>
        <v/>
      </c>
      <c r="EO48" s="3">
        <f t="shared" ca="1" si="89"/>
        <v>0</v>
      </c>
      <c r="EQ48" s="3">
        <f t="shared" ca="1" si="90"/>
        <v>0</v>
      </c>
      <c r="ER48" s="3">
        <f t="shared" ca="1" si="91"/>
        <v>0</v>
      </c>
      <c r="ES48" s="3">
        <f t="shared" ca="1" si="92"/>
        <v>0</v>
      </c>
      <c r="ET48" s="3">
        <f t="shared" ca="1" si="93"/>
        <v>0</v>
      </c>
      <c r="EU48" s="3">
        <f t="shared" si="94"/>
        <v>0</v>
      </c>
      <c r="EV48" s="3">
        <f t="shared" ca="1" si="95"/>
        <v>0</v>
      </c>
      <c r="EW48" s="3">
        <f t="shared" ca="1" si="96"/>
        <v>0</v>
      </c>
      <c r="EX48" s="3">
        <f ca="1">LARGE((ES48:ET48,EV48:EW48),1)</f>
        <v>0</v>
      </c>
      <c r="EY48" s="3">
        <f ca="1">IF(O48&lt;2,0,LARGE((ES48:ET48,EV48:EW48),2))</f>
        <v>0</v>
      </c>
      <c r="EZ48" s="3">
        <f t="shared" ca="1" si="97"/>
        <v>0</v>
      </c>
      <c r="FA48" s="3">
        <f t="shared" ca="1" si="98"/>
        <v>0</v>
      </c>
      <c r="FB48" s="3">
        <f t="shared" ca="1" si="99"/>
        <v>0</v>
      </c>
      <c r="FG48" s="3">
        <f t="shared" ca="1" si="100"/>
        <v>0</v>
      </c>
      <c r="FH48" s="618"/>
      <c r="FU48" s="3" t="str">
        <f t="shared" si="51"/>
        <v>표점</v>
      </c>
      <c r="FV48" s="3" t="str">
        <f t="shared" si="52"/>
        <v>변표</v>
      </c>
      <c r="FW48" s="3">
        <f t="shared" si="101"/>
        <v>0.25</v>
      </c>
      <c r="FX48" s="3">
        <f t="shared" si="102"/>
        <v>0.4</v>
      </c>
      <c r="FY48" s="3">
        <f t="shared" si="103"/>
        <v>0.35</v>
      </c>
      <c r="FZ48" s="3">
        <f t="shared" si="104"/>
        <v>3</v>
      </c>
    </row>
    <row r="49" spans="1:182">
      <c r="A49" s="556">
        <v>26</v>
      </c>
      <c r="C49" s="3">
        <f t="shared" si="58"/>
        <v>34</v>
      </c>
      <c r="D49" s="3">
        <v>34</v>
      </c>
      <c r="E49" s="3" t="s">
        <v>7274</v>
      </c>
      <c r="F49" s="3">
        <v>600</v>
      </c>
      <c r="G49" s="3">
        <v>0.4</v>
      </c>
      <c r="H49" s="3">
        <v>0.25</v>
      </c>
      <c r="I49" s="3">
        <v>0.17499999999999999</v>
      </c>
      <c r="J49" s="3">
        <v>0.17499999999999999</v>
      </c>
      <c r="L49" s="3">
        <v>0.17499999999999999</v>
      </c>
      <c r="M49" s="3">
        <v>0.17499999999999999</v>
      </c>
      <c r="O49" s="3">
        <v>2</v>
      </c>
      <c r="P49" s="3">
        <f t="shared" si="59"/>
        <v>1</v>
      </c>
      <c r="Q49" s="3">
        <v>13</v>
      </c>
      <c r="S49" s="3">
        <f t="shared" si="60"/>
        <v>13</v>
      </c>
      <c r="W49" s="3">
        <f t="shared" si="61"/>
        <v>0</v>
      </c>
      <c r="Y49" s="3">
        <f t="shared" si="62"/>
        <v>1.2</v>
      </c>
      <c r="Z49" s="3">
        <f t="shared" si="63"/>
        <v>0.75</v>
      </c>
      <c r="AA49" s="3">
        <f t="shared" si="64"/>
        <v>1.05</v>
      </c>
      <c r="AB49" s="3">
        <f t="shared" si="65"/>
        <v>1.05</v>
      </c>
      <c r="AC49" s="3">
        <f t="shared" si="66"/>
        <v>1.05</v>
      </c>
      <c r="AD49" s="3">
        <f t="shared" si="67"/>
        <v>1.2</v>
      </c>
      <c r="AE49" s="3">
        <f t="shared" si="68"/>
        <v>0.75</v>
      </c>
      <c r="AF49" s="3">
        <f t="shared" si="69"/>
        <v>1.05</v>
      </c>
      <c r="AG49" s="3">
        <f t="shared" si="70"/>
        <v>1.05</v>
      </c>
      <c r="AH49" s="3" t="str">
        <f t="shared" si="71"/>
        <v>자동</v>
      </c>
      <c r="AI49" s="3">
        <f t="shared" si="72"/>
        <v>1.05</v>
      </c>
      <c r="AJ49" s="3">
        <f t="shared" si="73"/>
        <v>1.05</v>
      </c>
      <c r="AL49" s="3" t="str">
        <f t="shared" si="74"/>
        <v/>
      </c>
      <c r="AN49" s="3" t="str">
        <f ca="1">IF($BA49=42,OFFSET(변환표준점수!C$119,$AP49-1,0),"")</f>
        <v/>
      </c>
      <c r="AO49" s="3" t="str">
        <f ca="1">IF($BA49=42,OFFSET(변환표준점수!D$119,$AP49-1,0),"")</f>
        <v/>
      </c>
      <c r="AP49" s="3">
        <f>IF(S49="","",MATCH(S49,변환표준점수!$B$119:$B$298,0))</f>
        <v>13</v>
      </c>
      <c r="AQ49" s="3">
        <v>1</v>
      </c>
      <c r="AR49" s="3">
        <v>1</v>
      </c>
      <c r="AS49" s="3">
        <v>4</v>
      </c>
      <c r="AT49" s="3">
        <v>4</v>
      </c>
      <c r="AV49" s="3">
        <v>4</v>
      </c>
      <c r="AW49" s="3">
        <v>4</v>
      </c>
      <c r="AX49" s="3">
        <v>3</v>
      </c>
      <c r="AY49" s="3">
        <v>3</v>
      </c>
      <c r="BA49" s="3">
        <f t="shared" si="75"/>
        <v>4</v>
      </c>
      <c r="BJ49" s="3">
        <f t="shared" si="76"/>
        <v>0</v>
      </c>
      <c r="CH49" s="206">
        <f t="shared" si="77"/>
        <v>600</v>
      </c>
      <c r="CK49" s="3">
        <v>-2</v>
      </c>
      <c r="CL49" s="3">
        <v>-4</v>
      </c>
      <c r="CM49" s="3">
        <v>-8</v>
      </c>
      <c r="CN49" s="3">
        <v>-12</v>
      </c>
      <c r="CO49" s="3">
        <v>-18</v>
      </c>
      <c r="CP49" s="3">
        <v>-24</v>
      </c>
      <c r="CQ49" s="3">
        <v>-30</v>
      </c>
      <c r="CV49" s="3">
        <v>-2</v>
      </c>
      <c r="CW49" s="3">
        <v>-4</v>
      </c>
      <c r="CX49" s="3">
        <v>-8</v>
      </c>
      <c r="CY49" s="3">
        <v>-14</v>
      </c>
      <c r="CZ49" s="3">
        <v>-20</v>
      </c>
      <c r="DJ49" s="3">
        <f t="shared" ca="1" si="78"/>
        <v>0</v>
      </c>
      <c r="DK49" s="93" t="e">
        <f t="shared" ca="1" si="79"/>
        <v>#DIV/0!</v>
      </c>
      <c r="DL49" s="3">
        <f t="shared" ca="1" si="80"/>
        <v>0</v>
      </c>
      <c r="DO49" s="3">
        <v>2</v>
      </c>
      <c r="EA49" s="3">
        <f t="shared" si="81"/>
        <v>2</v>
      </c>
      <c r="EB49" s="3">
        <f t="shared" si="82"/>
        <v>2</v>
      </c>
      <c r="EC49" s="3">
        <f t="shared" si="83"/>
        <v>0</v>
      </c>
      <c r="ED49" s="3">
        <f t="shared" si="84"/>
        <v>0</v>
      </c>
      <c r="EF49" s="3">
        <f t="shared" ca="1" si="85"/>
        <v>0</v>
      </c>
      <c r="EG49" s="3">
        <f t="shared" ca="1" si="86"/>
        <v>0</v>
      </c>
      <c r="EH49" s="3">
        <f ca="1">IFERROR(IF(LEFT($BA49,1)="4",OFFSET(변환표준점수!$H$118,MATCH($S49,변환표준점수!$B$119:$B$198,0),),OFFSET(EH$3,MATCH(AS49,$ED$4:$ED$8,0),0)),0)</f>
        <v>0</v>
      </c>
      <c r="EI49" s="3">
        <f ca="1">IFERROR(IF(LEFT($BA49,1)="4",OFFSET(변환표준점수!$I$118,MATCH($S49,변환표준점수!$B$119:$B$198,0),0),OFFSET(EI$3,MATCH(AT49,$ED$4:$ED$8,0),0)),0)</f>
        <v>0</v>
      </c>
      <c r="EK49" s="3">
        <f ca="1">IFERROR(IF(LEFT($BA49,1)="4",OFFSET(변환표준점수!$J$118,MATCH($S49,변환표준점수!$B$119:$B$198,0),0),OFFSET(EJ$3,MATCH(AV49,$ED$4:$ED$8,0),0)),0)</f>
        <v>0</v>
      </c>
      <c r="EL49" s="3">
        <f ca="1">IFERROR(IF(LEFT($BA49,1)="4",OFFSET(변환표준점수!$K$118,MATCH($S49,변환표준점수!$B$119:$B$198,0),0),OFFSET(EK$3,MATCH(AW49,$ED$4:$ED$8,0),0)),0)</f>
        <v>0</v>
      </c>
      <c r="EM49" s="3" t="str">
        <f t="shared" ca="1" si="87"/>
        <v/>
      </c>
      <c r="EN49" s="3" t="str">
        <f t="shared" ca="1" si="88"/>
        <v/>
      </c>
      <c r="EO49" s="3">
        <f t="shared" ca="1" si="89"/>
        <v>0</v>
      </c>
      <c r="EQ49" s="3">
        <f t="shared" ca="1" si="90"/>
        <v>0</v>
      </c>
      <c r="ER49" s="3">
        <f t="shared" ca="1" si="91"/>
        <v>0</v>
      </c>
      <c r="ES49" s="3">
        <f t="shared" ca="1" si="92"/>
        <v>0</v>
      </c>
      <c r="ET49" s="3">
        <f t="shared" ca="1" si="93"/>
        <v>0</v>
      </c>
      <c r="EU49" s="3">
        <f t="shared" si="94"/>
        <v>0</v>
      </c>
      <c r="EV49" s="3">
        <f t="shared" ca="1" si="95"/>
        <v>0</v>
      </c>
      <c r="EW49" s="3">
        <f t="shared" ca="1" si="96"/>
        <v>0</v>
      </c>
      <c r="EX49" s="3">
        <f ca="1">LARGE((ES49:ET49,EV49:EW49),1)</f>
        <v>0</v>
      </c>
      <c r="EY49" s="3">
        <f ca="1">IF(O49&lt;2,0,LARGE((ES49:ET49,EV49:EW49),2))</f>
        <v>0</v>
      </c>
      <c r="EZ49" s="3">
        <f t="shared" ca="1" si="97"/>
        <v>0</v>
      </c>
      <c r="FA49" s="3">
        <f t="shared" ca="1" si="98"/>
        <v>0</v>
      </c>
      <c r="FB49" s="3">
        <f t="shared" ca="1" si="99"/>
        <v>0</v>
      </c>
      <c r="FG49" s="3">
        <f t="shared" ca="1" si="100"/>
        <v>0</v>
      </c>
      <c r="FH49" s="618"/>
      <c r="FU49" s="3" t="str">
        <f t="shared" si="51"/>
        <v>표점</v>
      </c>
      <c r="FV49" s="3" t="str">
        <f t="shared" si="52"/>
        <v>변표</v>
      </c>
      <c r="FW49" s="3">
        <f t="shared" si="101"/>
        <v>0.4</v>
      </c>
      <c r="FX49" s="3">
        <f t="shared" si="102"/>
        <v>0.25</v>
      </c>
      <c r="FY49" s="3">
        <f t="shared" si="103"/>
        <v>0.35</v>
      </c>
      <c r="FZ49" s="3">
        <f t="shared" si="104"/>
        <v>3</v>
      </c>
    </row>
    <row r="50" spans="1:182">
      <c r="A50" s="556">
        <v>26</v>
      </c>
      <c r="C50" s="3">
        <f t="shared" si="58"/>
        <v>35</v>
      </c>
      <c r="D50" s="3">
        <v>35</v>
      </c>
      <c r="E50" s="3" t="s">
        <v>7275</v>
      </c>
      <c r="F50" s="3">
        <v>600</v>
      </c>
      <c r="G50" s="3">
        <v>0.35</v>
      </c>
      <c r="H50" s="3">
        <v>0.35</v>
      </c>
      <c r="I50" s="3">
        <v>0.15</v>
      </c>
      <c r="J50" s="3">
        <v>0.15</v>
      </c>
      <c r="L50" s="3">
        <v>0.15</v>
      </c>
      <c r="M50" s="3">
        <v>0.15</v>
      </c>
      <c r="O50" s="3">
        <v>2</v>
      </c>
      <c r="P50" s="3">
        <f t="shared" si="59"/>
        <v>1</v>
      </c>
      <c r="Q50" s="3">
        <v>13</v>
      </c>
      <c r="S50" s="3">
        <f t="shared" si="60"/>
        <v>13</v>
      </c>
      <c r="W50" s="3">
        <f t="shared" si="61"/>
        <v>0</v>
      </c>
      <c r="Y50" s="3">
        <f t="shared" si="62"/>
        <v>1.05</v>
      </c>
      <c r="Z50" s="3">
        <f t="shared" si="63"/>
        <v>1.05</v>
      </c>
      <c r="AA50" s="3">
        <f t="shared" si="64"/>
        <v>0.9</v>
      </c>
      <c r="AB50" s="3">
        <f t="shared" si="65"/>
        <v>0.9</v>
      </c>
      <c r="AC50" s="3">
        <f t="shared" si="66"/>
        <v>0.9</v>
      </c>
      <c r="AD50" s="3">
        <f t="shared" si="67"/>
        <v>1.05</v>
      </c>
      <c r="AE50" s="3">
        <f t="shared" si="68"/>
        <v>1.05</v>
      </c>
      <c r="AF50" s="3">
        <f t="shared" si="69"/>
        <v>0.9</v>
      </c>
      <c r="AG50" s="3">
        <f t="shared" si="70"/>
        <v>0.9</v>
      </c>
      <c r="AH50" s="3" t="str">
        <f t="shared" si="71"/>
        <v>자동</v>
      </c>
      <c r="AI50" s="3">
        <f t="shared" si="72"/>
        <v>0.9</v>
      </c>
      <c r="AJ50" s="3">
        <f t="shared" si="73"/>
        <v>0.9</v>
      </c>
      <c r="AL50" s="3" t="str">
        <f t="shared" si="74"/>
        <v/>
      </c>
      <c r="AN50" s="3" t="str">
        <f ca="1">IF($BA50=42,OFFSET(변환표준점수!C$119,$AP50-1,0),"")</f>
        <v/>
      </c>
      <c r="AO50" s="3" t="str">
        <f ca="1">IF($BA50=42,OFFSET(변환표준점수!D$119,$AP50-1,0),"")</f>
        <v/>
      </c>
      <c r="AP50" s="3">
        <f>IF(S50="","",MATCH(S50,변환표준점수!$B$119:$B$298,0))</f>
        <v>13</v>
      </c>
      <c r="AQ50" s="3">
        <v>1</v>
      </c>
      <c r="AR50" s="3">
        <v>1</v>
      </c>
      <c r="AS50" s="3">
        <v>4</v>
      </c>
      <c r="AT50" s="3">
        <v>4</v>
      </c>
      <c r="AV50" s="3">
        <v>4</v>
      </c>
      <c r="AW50" s="3">
        <v>4</v>
      </c>
      <c r="AX50" s="3">
        <v>3</v>
      </c>
      <c r="AY50" s="3">
        <v>3</v>
      </c>
      <c r="BA50" s="3">
        <f t="shared" si="75"/>
        <v>4</v>
      </c>
      <c r="BJ50" s="3">
        <f t="shared" si="76"/>
        <v>0</v>
      </c>
      <c r="CH50" s="206">
        <f t="shared" si="77"/>
        <v>600</v>
      </c>
      <c r="CK50" s="3">
        <v>-2</v>
      </c>
      <c r="CL50" s="3">
        <v>-4</v>
      </c>
      <c r="CM50" s="3">
        <v>-8</v>
      </c>
      <c r="CN50" s="3">
        <v>-12</v>
      </c>
      <c r="CO50" s="3">
        <v>-18</v>
      </c>
      <c r="CP50" s="3">
        <v>-24</v>
      </c>
      <c r="CQ50" s="3">
        <v>-30</v>
      </c>
      <c r="CV50" s="3">
        <v>-2</v>
      </c>
      <c r="CW50" s="3">
        <v>-4</v>
      </c>
      <c r="CX50" s="3">
        <v>-8</v>
      </c>
      <c r="CY50" s="3">
        <v>-14</v>
      </c>
      <c r="CZ50" s="3">
        <v>-20</v>
      </c>
      <c r="DJ50" s="3">
        <f t="shared" ca="1" si="78"/>
        <v>0</v>
      </c>
      <c r="DK50" s="93" t="e">
        <f t="shared" ca="1" si="79"/>
        <v>#DIV/0!</v>
      </c>
      <c r="DL50" s="3">
        <f t="shared" ca="1" si="80"/>
        <v>0</v>
      </c>
      <c r="DO50" s="3">
        <v>2</v>
      </c>
      <c r="EA50" s="3">
        <f t="shared" si="81"/>
        <v>2</v>
      </c>
      <c r="EB50" s="3">
        <f t="shared" si="82"/>
        <v>2</v>
      </c>
      <c r="EC50" s="3">
        <f t="shared" si="83"/>
        <v>0</v>
      </c>
      <c r="ED50" s="3">
        <f t="shared" si="84"/>
        <v>0</v>
      </c>
      <c r="EF50" s="3">
        <f t="shared" ca="1" si="85"/>
        <v>0</v>
      </c>
      <c r="EG50" s="3">
        <f t="shared" ca="1" si="86"/>
        <v>0</v>
      </c>
      <c r="EH50" s="3">
        <f ca="1">IFERROR(IF(LEFT($BA50,1)="4",OFFSET(변환표준점수!$H$118,MATCH($S50,변환표준점수!$B$119:$B$198,0),),OFFSET(EH$3,MATCH(AS50,$ED$4:$ED$8,0),0)),0)</f>
        <v>0</v>
      </c>
      <c r="EI50" s="3">
        <f ca="1">IFERROR(IF(LEFT($BA50,1)="4",OFFSET(변환표준점수!$I$118,MATCH($S50,변환표준점수!$B$119:$B$198,0),0),OFFSET(EI$3,MATCH(AT50,$ED$4:$ED$8,0),0)),0)</f>
        <v>0</v>
      </c>
      <c r="EK50" s="3">
        <f ca="1">IFERROR(IF(LEFT($BA50,1)="4",OFFSET(변환표준점수!$J$118,MATCH($S50,변환표준점수!$B$119:$B$198,0),0),OFFSET(EJ$3,MATCH(AV50,$ED$4:$ED$8,0),0)),0)</f>
        <v>0</v>
      </c>
      <c r="EL50" s="3">
        <f ca="1">IFERROR(IF(LEFT($BA50,1)="4",OFFSET(변환표준점수!$K$118,MATCH($S50,변환표준점수!$B$119:$B$198,0),0),OFFSET(EK$3,MATCH(AW50,$ED$4:$ED$8,0),0)),0)</f>
        <v>0</v>
      </c>
      <c r="EM50" s="3" t="str">
        <f t="shared" ca="1" si="87"/>
        <v/>
      </c>
      <c r="EN50" s="3" t="str">
        <f t="shared" ca="1" si="88"/>
        <v/>
      </c>
      <c r="EO50" s="3">
        <f t="shared" ca="1" si="89"/>
        <v>0</v>
      </c>
      <c r="EQ50" s="3">
        <f t="shared" ca="1" si="90"/>
        <v>0</v>
      </c>
      <c r="ER50" s="3">
        <f t="shared" ca="1" si="91"/>
        <v>0</v>
      </c>
      <c r="ES50" s="3">
        <f t="shared" ca="1" si="92"/>
        <v>0</v>
      </c>
      <c r="ET50" s="3">
        <f t="shared" ca="1" si="93"/>
        <v>0</v>
      </c>
      <c r="EU50" s="3">
        <f t="shared" si="94"/>
        <v>0</v>
      </c>
      <c r="EV50" s="3">
        <f t="shared" ca="1" si="95"/>
        <v>0</v>
      </c>
      <c r="EW50" s="3">
        <f t="shared" ca="1" si="96"/>
        <v>0</v>
      </c>
      <c r="EX50" s="3">
        <f ca="1">LARGE((ES50:ET50,EV50:EW50),1)</f>
        <v>0</v>
      </c>
      <c r="EY50" s="3">
        <f ca="1">IF(O50&lt;2,0,LARGE((ES50:ET50,EV50:EW50),2))</f>
        <v>0</v>
      </c>
      <c r="EZ50" s="3">
        <f t="shared" ca="1" si="97"/>
        <v>0</v>
      </c>
      <c r="FA50" s="3">
        <f t="shared" ca="1" si="98"/>
        <v>0</v>
      </c>
      <c r="FB50" s="3">
        <f t="shared" ca="1" si="99"/>
        <v>0</v>
      </c>
      <c r="FG50" s="3">
        <f t="shared" ca="1" si="100"/>
        <v>0</v>
      </c>
      <c r="FH50" s="618"/>
      <c r="FU50" s="3" t="str">
        <f t="shared" si="51"/>
        <v>표점</v>
      </c>
      <c r="FV50" s="3" t="str">
        <f t="shared" si="52"/>
        <v>변표</v>
      </c>
      <c r="FW50" s="3">
        <f t="shared" si="101"/>
        <v>0.35</v>
      </c>
      <c r="FX50" s="3">
        <f t="shared" si="102"/>
        <v>0.35</v>
      </c>
      <c r="FY50" s="3">
        <f t="shared" si="103"/>
        <v>0.3</v>
      </c>
      <c r="FZ50" s="3">
        <f t="shared" si="104"/>
        <v>3</v>
      </c>
    </row>
    <row r="51" spans="1:182">
      <c r="A51" s="556" t="s">
        <v>7687</v>
      </c>
      <c r="C51" s="3">
        <f t="shared" si="58"/>
        <v>36</v>
      </c>
      <c r="D51" s="3">
        <v>36</v>
      </c>
      <c r="E51" s="3" t="s">
        <v>7276</v>
      </c>
      <c r="F51" s="3">
        <v>600</v>
      </c>
      <c r="G51" s="3">
        <v>0.2</v>
      </c>
      <c r="H51" s="3">
        <v>0.35</v>
      </c>
      <c r="I51" s="3">
        <v>0.15</v>
      </c>
      <c r="J51" s="3">
        <v>0.15</v>
      </c>
      <c r="L51" s="3">
        <v>0.15</v>
      </c>
      <c r="M51" s="3">
        <v>0.15</v>
      </c>
      <c r="O51" s="3">
        <v>2</v>
      </c>
      <c r="P51" s="3">
        <f t="shared" si="59"/>
        <v>0.85000000000000009</v>
      </c>
      <c r="Q51" s="3">
        <v>13</v>
      </c>
      <c r="S51" s="3">
        <f t="shared" si="60"/>
        <v>13</v>
      </c>
      <c r="W51" s="3">
        <f t="shared" si="61"/>
        <v>0</v>
      </c>
      <c r="Y51" s="3">
        <f t="shared" si="62"/>
        <v>0.6</v>
      </c>
      <c r="Z51" s="3">
        <f t="shared" si="63"/>
        <v>1.05</v>
      </c>
      <c r="AA51" s="3">
        <f t="shared" si="64"/>
        <v>0.9</v>
      </c>
      <c r="AB51" s="3">
        <f t="shared" si="65"/>
        <v>0.9</v>
      </c>
      <c r="AC51" s="3">
        <f t="shared" si="66"/>
        <v>0.9</v>
      </c>
      <c r="AD51" s="3">
        <f t="shared" si="67"/>
        <v>0.6</v>
      </c>
      <c r="AE51" s="3">
        <f t="shared" si="68"/>
        <v>1.05</v>
      </c>
      <c r="AF51" s="3">
        <f t="shared" si="69"/>
        <v>0.9</v>
      </c>
      <c r="AG51" s="3">
        <f t="shared" si="70"/>
        <v>0.9</v>
      </c>
      <c r="AH51" s="3" t="str">
        <f t="shared" si="71"/>
        <v>자동</v>
      </c>
      <c r="AI51" s="3">
        <f t="shared" si="72"/>
        <v>0.9</v>
      </c>
      <c r="AJ51" s="3">
        <f t="shared" si="73"/>
        <v>0.9</v>
      </c>
      <c r="AL51" s="3" t="str">
        <f t="shared" si="74"/>
        <v/>
      </c>
      <c r="AN51" s="3" t="str">
        <f ca="1">IF($BA51=42,OFFSET(변환표준점수!C$119,$AP51-1,0),"")</f>
        <v/>
      </c>
      <c r="AO51" s="3" t="str">
        <f ca="1">IF($BA51=42,OFFSET(변환표준점수!D$119,$AP51-1,0),"")</f>
        <v/>
      </c>
      <c r="AP51" s="3">
        <f>IF(S51="","",MATCH(S51,변환표준점수!$B$119:$B$298,0))</f>
        <v>13</v>
      </c>
      <c r="AQ51" s="3">
        <v>1</v>
      </c>
      <c r="AR51" s="3">
        <v>1</v>
      </c>
      <c r="AS51" s="3">
        <v>4</v>
      </c>
      <c r="AT51" s="3">
        <v>4</v>
      </c>
      <c r="AV51" s="3">
        <v>4</v>
      </c>
      <c r="AW51" s="3">
        <v>4</v>
      </c>
      <c r="AX51" s="3">
        <v>3</v>
      </c>
      <c r="AY51" s="3">
        <v>3</v>
      </c>
      <c r="BA51" s="3">
        <f t="shared" si="75"/>
        <v>4</v>
      </c>
      <c r="BJ51" s="3">
        <f t="shared" si="76"/>
        <v>0</v>
      </c>
      <c r="CH51" s="206">
        <f t="shared" si="77"/>
        <v>510.00000000000006</v>
      </c>
      <c r="DJ51" s="3">
        <f t="shared" ca="1" si="78"/>
        <v>0</v>
      </c>
      <c r="DK51" s="93" t="e">
        <f t="shared" ca="1" si="79"/>
        <v>#DIV/0!</v>
      </c>
      <c r="DL51" s="3">
        <f t="shared" ca="1" si="80"/>
        <v>0</v>
      </c>
      <c r="DO51" s="3">
        <v>2</v>
      </c>
      <c r="DZ51" s="3">
        <v>1</v>
      </c>
      <c r="EA51" s="3">
        <f t="shared" si="81"/>
        <v>1</v>
      </c>
      <c r="EB51" s="3">
        <f t="shared" si="82"/>
        <v>2</v>
      </c>
      <c r="EC51" s="3">
        <f t="shared" si="83"/>
        <v>0</v>
      </c>
      <c r="ED51" s="3">
        <f t="shared" si="84"/>
        <v>0</v>
      </c>
      <c r="EF51" s="3">
        <f t="shared" ca="1" si="85"/>
        <v>0</v>
      </c>
      <c r="EG51" s="3">
        <f t="shared" ca="1" si="86"/>
        <v>0</v>
      </c>
      <c r="EH51" s="3">
        <f ca="1">IFERROR(IF(LEFT($BA51,1)="4",OFFSET(변환표준점수!$H$118,MATCH($S51,변환표준점수!$B$119:$B$198,0),),OFFSET(EH$3,MATCH(AS51,$ED$4:$ED$8,0),0)),0)</f>
        <v>0</v>
      </c>
      <c r="EI51" s="3">
        <f ca="1">IFERROR(IF(LEFT($BA51,1)="4",OFFSET(변환표준점수!$I$118,MATCH($S51,변환표준점수!$B$119:$B$198,0),0),OFFSET(EI$3,MATCH(AT51,$ED$4:$ED$8,0),0)),0)</f>
        <v>0</v>
      </c>
      <c r="EK51" s="3">
        <f ca="1">IFERROR(IF(LEFT($BA51,1)="4",OFFSET(변환표준점수!$J$118,MATCH($S51,변환표준점수!$B$119:$B$198,0),0),OFFSET(EJ$3,MATCH(AV51,$ED$4:$ED$8,0),0)),0)</f>
        <v>0</v>
      </c>
      <c r="EL51" s="3">
        <f ca="1">IFERROR(IF(LEFT($BA51,1)="4",OFFSET(변환표준점수!$K$118,MATCH($S51,변환표준점수!$B$119:$B$198,0),0),OFFSET(EK$3,MATCH(AW51,$ED$4:$ED$8,0),0)),0)</f>
        <v>0</v>
      </c>
      <c r="EM51" s="3" t="str">
        <f t="shared" ca="1" si="87"/>
        <v/>
      </c>
      <c r="EN51" s="3" t="str">
        <f t="shared" ca="1" si="88"/>
        <v/>
      </c>
      <c r="EO51" s="3">
        <f t="shared" ca="1" si="89"/>
        <v>0</v>
      </c>
      <c r="EQ51" s="3">
        <f t="shared" ca="1" si="90"/>
        <v>0</v>
      </c>
      <c r="ER51" s="3">
        <f t="shared" ca="1" si="91"/>
        <v>0</v>
      </c>
      <c r="ES51" s="3">
        <f t="shared" ca="1" si="92"/>
        <v>0</v>
      </c>
      <c r="ET51" s="3">
        <f t="shared" ca="1" si="93"/>
        <v>0</v>
      </c>
      <c r="EU51" s="3">
        <f t="shared" si="94"/>
        <v>0</v>
      </c>
      <c r="EV51" s="3">
        <f t="shared" ca="1" si="95"/>
        <v>0</v>
      </c>
      <c r="EW51" s="3">
        <f t="shared" ca="1" si="96"/>
        <v>0</v>
      </c>
      <c r="EX51" s="3">
        <f ca="1">LARGE((ES51:ET51,EV51:EW51),1)</f>
        <v>0</v>
      </c>
      <c r="EY51" s="3">
        <f ca="1">IF(O51&lt;2,0,LARGE((ES51:ET51,EV51:EW51),2))</f>
        <v>0</v>
      </c>
      <c r="EZ51" s="3">
        <f t="shared" ca="1" si="97"/>
        <v>0</v>
      </c>
      <c r="FA51" s="3">
        <f t="shared" ca="1" si="98"/>
        <v>0</v>
      </c>
      <c r="FB51" s="3">
        <f t="shared" ca="1" si="99"/>
        <v>0</v>
      </c>
      <c r="FG51" s="3">
        <f t="shared" ca="1" si="100"/>
        <v>0</v>
      </c>
      <c r="FH51" s="618"/>
      <c r="FU51" s="3" t="str">
        <f t="shared" si="51"/>
        <v>표점</v>
      </c>
      <c r="FV51" s="3" t="str">
        <f t="shared" si="52"/>
        <v>변표</v>
      </c>
      <c r="FW51" s="3">
        <f t="shared" si="101"/>
        <v>0.24</v>
      </c>
      <c r="FX51" s="3">
        <f t="shared" si="102"/>
        <v>0.41</v>
      </c>
      <c r="FY51" s="3">
        <f t="shared" si="103"/>
        <v>0.35</v>
      </c>
      <c r="FZ51" s="3">
        <f t="shared" si="104"/>
        <v>2.5499999999999998</v>
      </c>
    </row>
    <row r="52" spans="1:182">
      <c r="DK52" s="93"/>
      <c r="FH52" s="618"/>
    </row>
    <row r="53" spans="1:182">
      <c r="A53" s="556">
        <v>26</v>
      </c>
      <c r="C53" s="3">
        <f t="shared" ref="C53:C72" si="105">ROUND(ROW(C53)-ROW($C$15),0)</f>
        <v>38</v>
      </c>
      <c r="D53" s="3">
        <v>38</v>
      </c>
      <c r="E53" s="3" t="s">
        <v>335</v>
      </c>
      <c r="F53" s="3">
        <v>700</v>
      </c>
      <c r="G53" s="3">
        <v>0.3</v>
      </c>
      <c r="H53" s="3">
        <v>0.3</v>
      </c>
      <c r="I53" s="3">
        <v>0.1</v>
      </c>
      <c r="J53" s="3">
        <v>0.1</v>
      </c>
      <c r="L53" s="3">
        <v>0.1</v>
      </c>
      <c r="M53" s="3">
        <v>0.1</v>
      </c>
      <c r="O53" s="3">
        <v>2</v>
      </c>
      <c r="P53" s="3">
        <f t="shared" ref="P53:P72" si="106">G53+H53+MAX((I53:J53),L53:M53)*O53</f>
        <v>0.8</v>
      </c>
      <c r="Q53" s="3">
        <v>15</v>
      </c>
      <c r="S53" s="3">
        <f t="shared" ref="S53:S72" si="107">IF(R53&gt;0,R53,Q53)</f>
        <v>15</v>
      </c>
      <c r="W53" s="3">
        <f t="shared" ref="W53:W72" si="108">IF(AND(BH53=0,CD53=0),0,IF(V53&gt;0,V53,IF(U53=1,$W$11,0)))</f>
        <v>0</v>
      </c>
      <c r="Y53" s="3">
        <f t="shared" ref="Y53:Y72" si="109">AD53</f>
        <v>1.5107913669064748</v>
      </c>
      <c r="Z53" s="3">
        <f t="shared" ref="Z53:Z72" si="110">AE53</f>
        <v>1.5</v>
      </c>
      <c r="AA53" s="3">
        <f t="shared" ref="AA53:AA72" ca="1" si="111">IF($BB$7=1,AF53,IF(AS53=12,$F53*I53/($AF$8*AL53+$AF$9*(1-AL53)),AF53))</f>
        <v>1</v>
      </c>
      <c r="AB53" s="3">
        <f t="shared" ref="AB53:AB72" ca="1" si="112">IF($BB$7=1,AI53,IF(AV53=12,$F53*L53/($AI$8*AL53+$AI$9*(1-AL53)),AI53))</f>
        <v>1</v>
      </c>
      <c r="AC53" s="3">
        <f t="shared" ref="AC53:AC72" ca="1" si="113">IF(AND(AS53=2,EA53=1),AA53*O53,IF(AND(AS53=2,EA53=2),AB53*O53,IF(EA53=1,AA53,IF(EA53=2,AB53))))</f>
        <v>1</v>
      </c>
      <c r="AD53" s="3">
        <f t="shared" ref="AD53:AD72" si="114">IF(AQ53=12,$F53*G53/$AQ$9,IF(OR(AQ53=1,AQ53=4),$F53*G53/200,IF(OR(AQ53=2,AQ53=9),$F53*G53/100,"자동")))</f>
        <v>1.5107913669064748</v>
      </c>
      <c r="AE53" s="3">
        <f t="shared" ref="AE53:AE72" si="115">IF(AR53=12,$F53*H53/$AR$9,IF(OR(AR53=1,AR53=4),$F53*H53/200,IF(OR(AR53=2,AR53=9),$F53*H53/100,"자동")))</f>
        <v>1.5</v>
      </c>
      <c r="AF53" s="3">
        <f t="shared" ref="AF53:AF72" ca="1" si="116">IF(AS53=12,$F53*I53/IF($BB$7=1,IF($ED53=1,$AS$9,$AF$9),($AF$8*AL53+$AF$9*(1-AL53))),IF(AS53=42,$F53*I53/AN53,IF(OR(AS53=1,AS53=4,AS53=2),$F53*I53/100,IF(AS53=9,$F53*I53/50,"자동"))))</f>
        <v>1</v>
      </c>
      <c r="AG53" s="3">
        <f t="shared" ref="AG53:AG72" ca="1" si="117">IF(AT53=12,$F53*J53/IF($BB$7=1,IF($ED53=1,$AT$9,$AG$9),($AG$8*AL53+$AG$9*(1-AL53))),IF(AT53=42,$F53*J53/AN53,IF(OR(AT53=1,AT53=4,AT53=2),$F53*J53/100,IF(AT53=9,$F53*J53/50,"자동"))))</f>
        <v>1</v>
      </c>
      <c r="AH53" s="3" t="str">
        <f t="shared" ref="AH53:AH72" si="118">IF(AU53=12,$F53*K53/IF($BB$7=1,IF($ED53=1,$AU$9,$AH$9),($AH$8*AL53+$AH$9*(1-AL53))),IF(AU53=42,$F53*K53/$AN53,IF(OR(AU53=1,AU53=4,AU53=2),$F53*K53/100,IF(AU53=9,$F53*K53/50,"자동"))))</f>
        <v>자동</v>
      </c>
      <c r="AI53" s="3">
        <f t="shared" ref="AI53:AI72" ca="1" si="119">IF(AV53=12,$F53*L53/IF($BB$7=1,IF($ED53=1,$AV$9,$AI$9),($AI$8*AL53+$AI$9*(1-AL53))),IF(AV53=42,$F53*L53/AO53,IF(OR(AV53=1,AV53=4,AV53=2),$F53*L53/100,IF(AV53=9,$F53*L53/50,"자동"))))</f>
        <v>1</v>
      </c>
      <c r="AJ53" s="3">
        <f t="shared" ref="AJ53:AJ72" ca="1" si="120">IF(AW53=12,$F53*M53/IF($BB$7=1,IF($ED53=1,$AW$9,$AJ$9),($AJ$8*AL53+$AJ$9*(1-AL53))),IF(AW53=42,$F53*M53/AO53,IF(OR(AW53=1,AW53=4,AW53=2),$F53*M53/100,IF(AW53=9,$F53*M53/50,"자동"))))</f>
        <v>1</v>
      </c>
      <c r="AL53" s="3" t="str">
        <f t="shared" ref="AL53:AL72" si="121">IF(AK53&lt;&gt;"",AK53,IF(BA53&lt;&gt;12,"",IF(U53=1,1,IF(LEFT(E53,3)="서울대",0,""))))</f>
        <v/>
      </c>
      <c r="AN53" s="3">
        <f ca="1">IF($BA53=42,OFFSET(변환표준점수!C$119,$AP53-1,0),"")</f>
        <v>70</v>
      </c>
      <c r="AO53" s="3">
        <f ca="1">IF($BA53=42,OFFSET(변환표준점수!D$119,$AP53-1,0),"")</f>
        <v>70</v>
      </c>
      <c r="AP53" s="3">
        <f>IF(S53="","",MATCH(S53,변환표준점수!$B$119:$B$298,0))</f>
        <v>15</v>
      </c>
      <c r="AQ53" s="3">
        <v>12</v>
      </c>
      <c r="AR53" s="3">
        <v>12</v>
      </c>
      <c r="AS53" s="3">
        <v>42</v>
      </c>
      <c r="AT53" s="3">
        <v>42</v>
      </c>
      <c r="AV53" s="3">
        <v>42</v>
      </c>
      <c r="AW53" s="3">
        <v>42</v>
      </c>
      <c r="AX53" s="3">
        <v>3</v>
      </c>
      <c r="AY53" s="3">
        <v>3</v>
      </c>
      <c r="BA53" s="3">
        <f t="shared" ref="BA53:BA72" si="122">IF(AS53&gt;0,AS53,AV53)</f>
        <v>42</v>
      </c>
      <c r="BJ53" s="3">
        <f t="shared" ref="BJ53:BJ72" si="123">IF(BI53="",IF(DT53=1,1,$BI$3),BI53)</f>
        <v>0</v>
      </c>
      <c r="CH53" s="206">
        <f t="shared" ref="CH53:CH72" si="124">F53*P53</f>
        <v>560</v>
      </c>
      <c r="CI53" s="56">
        <v>140</v>
      </c>
      <c r="CJ53" s="3">
        <v>138</v>
      </c>
      <c r="CK53" s="3">
        <v>134</v>
      </c>
      <c r="CL53" s="3">
        <v>128</v>
      </c>
      <c r="CM53" s="3">
        <v>120</v>
      </c>
      <c r="CN53" s="3">
        <v>110</v>
      </c>
      <c r="CO53" s="3">
        <v>90</v>
      </c>
      <c r="CP53" s="3">
        <v>60</v>
      </c>
      <c r="CQ53" s="3">
        <v>0</v>
      </c>
      <c r="CR53" s="56">
        <v>10</v>
      </c>
      <c r="CS53" s="3">
        <v>10</v>
      </c>
      <c r="CT53" s="3">
        <v>10</v>
      </c>
      <c r="CU53" s="3">
        <v>9.8000000000000007</v>
      </c>
      <c r="CV53" s="3">
        <v>9.6</v>
      </c>
      <c r="CW53" s="3">
        <v>9.4</v>
      </c>
      <c r="CX53" s="3">
        <v>9.1999999999999993</v>
      </c>
      <c r="CY53" s="3">
        <v>9</v>
      </c>
      <c r="CZ53" s="3">
        <v>8</v>
      </c>
      <c r="DJ53" s="3">
        <f t="shared" ref="DJ53:DJ72" ca="1" si="125">ROUND((CI53-EZ53),1)</f>
        <v>140</v>
      </c>
      <c r="DK53" s="93">
        <f t="shared" ref="DK53:DK72" ca="1" si="126">((CI53-EZ53)/(FG53+DJ53-FC53))*100</f>
        <v>100</v>
      </c>
      <c r="DL53" s="3">
        <f t="shared" ref="DL53:DL72" ca="1" si="127">ROUND((CR53-FA53)+(DA53-FB53),1)</f>
        <v>10</v>
      </c>
      <c r="DO53" s="3">
        <v>2</v>
      </c>
      <c r="EA53" s="3">
        <f t="shared" ref="EA53:EA72" si="128">IF(DZ53&gt;0,DZ53,IF(DM53&gt;0,1,2))</f>
        <v>2</v>
      </c>
      <c r="EB53" s="3">
        <f t="shared" ref="EB53:EB72" si="129">MAX(DM53:DO53)</f>
        <v>2</v>
      </c>
      <c r="EC53" s="3">
        <f t="shared" ref="EC53:EC72" si="130">AND(DM53-0.1&lt;$DM$8,DN53-0.1&lt;$DN$8,DO53-0.1&lt;$DO$8)*1</f>
        <v>0</v>
      </c>
      <c r="ED53" s="3">
        <f t="shared" ref="ED53:ED72" si="131">IFERROR(IF(AND($DP$8&gt;=DP53,$DQ$8&gt;=DQ53,$DR$8&gt;=DR53,$DS$8&gt;=DS53,$DT$8&gt;=DT53,$DU$8&gt;=DU53,$DV$8&gt;=DV53,$DW$8&gt;=DW53,$DX$8&gt;=DX53,OR(DY53=0,$DY$8&lt;DY53),EC53=1),1,0),0)</f>
        <v>0</v>
      </c>
      <c r="EF53" s="3">
        <f t="shared" ref="EF53:EF72" ca="1" si="132">IFERROR(OFFSET(EF$3,MATCH(AQ53,$ED$4:$ED$10,0),0),0)</f>
        <v>0</v>
      </c>
      <c r="EG53" s="3">
        <f t="shared" ref="EG53:EG72" ca="1" si="133">IFERROR(OFFSET(EG$3,MATCH(AR53,$ED$4:$ED$10,0),0),0)</f>
        <v>0</v>
      </c>
      <c r="EH53" s="3">
        <f ca="1">IFERROR(IF(LEFT($BA53,1)="4",OFFSET(변환표준점수!$H$118,MATCH($S53,변환표준점수!$B$119:$B$198,0),),OFFSET(EH$3,MATCH(AS53,$ED$4:$ED$8,0),0)),0)</f>
        <v>0</v>
      </c>
      <c r="EI53" s="3">
        <f ca="1">IFERROR(IF(LEFT($BA53,1)="4",OFFSET(변환표준점수!$I$118,MATCH($S53,변환표준점수!$B$119:$B$198,0),0),OFFSET(EI$3,MATCH(AT53,$ED$4:$ED$8,0),0)),0)</f>
        <v>0</v>
      </c>
      <c r="EK53" s="3">
        <f ca="1">IFERROR(IF(LEFT($BA53,1)="4",OFFSET(변환표준점수!$J$118,MATCH($S53,변환표준점수!$B$119:$B$198,0),0),OFFSET(EJ$3,MATCH(AV53,$ED$4:$ED$8,0),0)),0)</f>
        <v>0</v>
      </c>
      <c r="EL53" s="3">
        <f ca="1">IFERROR(IF(LEFT($BA53,1)="4",OFFSET(변환표준점수!$K$118,MATCH($S53,변환표준점수!$B$119:$B$198,0),0),OFFSET(EK$3,MATCH(AW53,$ED$4:$ED$8,0),0)),0)</f>
        <v>0</v>
      </c>
      <c r="EM53" s="3" t="str">
        <f t="shared" ref="EM53:EM72" ca="1" si="134">IFERROR(OFFSET(EL$3,MATCH(AX53,$ED$4:$ED$8,0),0),0)</f>
        <v/>
      </c>
      <c r="EN53" s="3" t="str">
        <f t="shared" ref="EN53:EN72" ca="1" si="135">IFERROR(OFFSET(EM$3,MATCH(AY53,$ED$4:$ED$8,0),0),0)</f>
        <v/>
      </c>
      <c r="EO53" s="3">
        <f t="shared" ref="EO53:EO72" ca="1" si="136">IFERROR(OFFSET(EN$3,MATCH(AZ53,$ED$4:$ED$8,0),0),0)</f>
        <v>0</v>
      </c>
      <c r="EQ53" s="3">
        <f t="shared" ref="EQ53:EQ72" ca="1" si="137">IFERROR((EF53*AD53+BO53)*$EP$9,0)</f>
        <v>0</v>
      </c>
      <c r="ER53" s="3">
        <f t="shared" ref="ER53:ER72" ca="1" si="138">IFERROR(EG53*AE53+OFFSET($BP53,0,$ER$14-1),0)</f>
        <v>0</v>
      </c>
      <c r="ES53" s="3">
        <f t="shared" ref="ES53:ES72" ca="1" si="139">IFERROR((EH53*AF53+BS53)*$EP$9,0)</f>
        <v>0</v>
      </c>
      <c r="ET53" s="3">
        <f t="shared" ref="ET53:ET72" ca="1" si="140">IFERROR(IF(O53&lt;2,0,(EI53*AG53+BT53)*$EP$9),0)</f>
        <v>0</v>
      </c>
      <c r="EU53" s="3">
        <f t="shared" ref="EU53:EU72" si="141">IFERROR(BU53*$EP$9,0)</f>
        <v>0</v>
      </c>
      <c r="EV53" s="3">
        <f t="shared" ref="EV53:EV72" ca="1" si="142">IFERROR((EK53*AI53+BV53)*$EP$9,0)</f>
        <v>0</v>
      </c>
      <c r="EW53" s="3">
        <f t="shared" ref="EW53:EW72" ca="1" si="143">IFERROR(IF(O53&lt;2,0,(EL53*AJ53+BW53)*$EP$9),0)</f>
        <v>0</v>
      </c>
      <c r="EX53" s="3">
        <f ca="1">LARGE((ES53:ET53,EV53:EW53),1)</f>
        <v>0</v>
      </c>
      <c r="EY53" s="3">
        <f ca="1">IF(O53&lt;2,0,LARGE((ES53:ET53,EV53:EW53),2))</f>
        <v>0</v>
      </c>
      <c r="EZ53" s="3">
        <f t="shared" ref="EZ53:EZ72" ca="1" si="144">IFERROR(OFFSET(CI53,0,ROUND((1/(1/EM53))-1,0)),0)</f>
        <v>0</v>
      </c>
      <c r="FA53" s="3">
        <f t="shared" ref="FA53:FA72" ca="1" si="145">IFERROR(OFFSET(CR53,0,ROUND(1/(1/EN53),0)-1),0)</f>
        <v>0</v>
      </c>
      <c r="FB53" s="3">
        <f t="shared" ref="FB53:FB72" ca="1" si="146">IFERROR(OFFSET(DA53,0,ROUND(1/(1/EO53),0)-1),0)</f>
        <v>0</v>
      </c>
      <c r="FG53" s="3">
        <f t="shared" ref="FG53:FG72" ca="1" si="147">IF(FF53&gt;0,FF53,EQ53+ER53+EU53+EX53+EY53+EZ53+FA53+FB53+FC53)</f>
        <v>0</v>
      </c>
      <c r="FH53" s="618"/>
      <c r="FU53" s="3" t="str">
        <f t="shared" si="51"/>
        <v>표점/만점</v>
      </c>
      <c r="FV53" s="3" t="str">
        <f t="shared" si="52"/>
        <v>변표/만점</v>
      </c>
      <c r="FW53" s="3">
        <f t="shared" ref="FW53:FW72" ca="1" si="148">ROUND(Y53/$FZ53,2)</f>
        <v>0.38</v>
      </c>
      <c r="FX53" s="3">
        <f t="shared" ref="FX53:FX72" ca="1" si="149">ROUND(Z53/$FZ53,2)</f>
        <v>0.37</v>
      </c>
      <c r="FY53" s="3">
        <f t="shared" ref="FY53:FY72" ca="1" si="150">ROUND(AC53/$FZ53,2)</f>
        <v>0.25</v>
      </c>
      <c r="FZ53" s="3">
        <f t="shared" ref="FZ53:FZ72" ca="1" si="151">Y53+Z53+AC53</f>
        <v>4.0107913669064743</v>
      </c>
    </row>
    <row r="54" spans="1:182">
      <c r="A54" s="556">
        <v>26</v>
      </c>
      <c r="C54" s="3">
        <f t="shared" si="105"/>
        <v>39</v>
      </c>
      <c r="D54" s="3">
        <v>39</v>
      </c>
      <c r="E54" s="3" t="s">
        <v>336</v>
      </c>
      <c r="F54" s="3">
        <v>700</v>
      </c>
      <c r="G54" s="3">
        <v>0.3</v>
      </c>
      <c r="H54" s="3">
        <v>0.35</v>
      </c>
      <c r="I54" s="3">
        <v>0.1</v>
      </c>
      <c r="J54" s="3">
        <v>0.1</v>
      </c>
      <c r="L54" s="3">
        <v>0.1</v>
      </c>
      <c r="M54" s="3">
        <v>0.1</v>
      </c>
      <c r="O54" s="3">
        <v>2</v>
      </c>
      <c r="P54" s="3">
        <f t="shared" si="106"/>
        <v>0.84999999999999987</v>
      </c>
      <c r="Q54" s="3">
        <v>15</v>
      </c>
      <c r="S54" s="3">
        <f t="shared" si="107"/>
        <v>15</v>
      </c>
      <c r="W54" s="3">
        <f t="shared" si="108"/>
        <v>0</v>
      </c>
      <c r="Y54" s="3">
        <f t="shared" si="109"/>
        <v>1.5107913669064748</v>
      </c>
      <c r="Z54" s="3">
        <f t="shared" si="110"/>
        <v>1.7499999999999998</v>
      </c>
      <c r="AA54" s="3">
        <f t="shared" ca="1" si="111"/>
        <v>1</v>
      </c>
      <c r="AB54" s="3">
        <f t="shared" ca="1" si="112"/>
        <v>1</v>
      </c>
      <c r="AC54" s="3">
        <f t="shared" ca="1" si="113"/>
        <v>1</v>
      </c>
      <c r="AD54" s="3">
        <f t="shared" si="114"/>
        <v>1.5107913669064748</v>
      </c>
      <c r="AE54" s="3">
        <f t="shared" si="115"/>
        <v>1.7499999999999998</v>
      </c>
      <c r="AF54" s="3">
        <f t="shared" ca="1" si="116"/>
        <v>1</v>
      </c>
      <c r="AG54" s="3">
        <f t="shared" ca="1" si="117"/>
        <v>1</v>
      </c>
      <c r="AH54" s="3" t="str">
        <f t="shared" si="118"/>
        <v>자동</v>
      </c>
      <c r="AI54" s="3">
        <f t="shared" ca="1" si="119"/>
        <v>1</v>
      </c>
      <c r="AJ54" s="3">
        <f t="shared" ca="1" si="120"/>
        <v>1</v>
      </c>
      <c r="AL54" s="3" t="str">
        <f t="shared" si="121"/>
        <v/>
      </c>
      <c r="AN54" s="3">
        <f ca="1">IF($BA54=42,OFFSET(변환표준점수!C$119,$AP54-1,0),"")</f>
        <v>70</v>
      </c>
      <c r="AO54" s="3">
        <f ca="1">IF($BA54=42,OFFSET(변환표준점수!D$119,$AP54-1,0),"")</f>
        <v>70</v>
      </c>
      <c r="AP54" s="3">
        <f>IF(S54="","",MATCH(S54,변환표준점수!$B$119:$B$298,0))</f>
        <v>15</v>
      </c>
      <c r="AQ54" s="3">
        <v>12</v>
      </c>
      <c r="AR54" s="3">
        <v>12</v>
      </c>
      <c r="AS54" s="3">
        <v>42</v>
      </c>
      <c r="AT54" s="3">
        <v>42</v>
      </c>
      <c r="AV54" s="3">
        <v>42</v>
      </c>
      <c r="AW54" s="3">
        <v>42</v>
      </c>
      <c r="AX54" s="3">
        <v>3</v>
      </c>
      <c r="AY54" s="3">
        <v>3</v>
      </c>
      <c r="BA54" s="3">
        <f t="shared" si="122"/>
        <v>42</v>
      </c>
      <c r="BJ54" s="3">
        <f t="shared" si="123"/>
        <v>0</v>
      </c>
      <c r="CH54" s="206">
        <f t="shared" si="124"/>
        <v>594.99999999999989</v>
      </c>
      <c r="CI54" s="56">
        <v>105</v>
      </c>
      <c r="CJ54" s="3">
        <v>103.5</v>
      </c>
      <c r="CK54" s="3">
        <v>100.5</v>
      </c>
      <c r="CL54" s="3">
        <v>96</v>
      </c>
      <c r="CM54" s="3">
        <v>90</v>
      </c>
      <c r="CN54" s="3">
        <v>82.5</v>
      </c>
      <c r="CO54" s="3">
        <v>67.5</v>
      </c>
      <c r="CP54" s="3">
        <v>45</v>
      </c>
      <c r="CQ54" s="3">
        <v>0</v>
      </c>
      <c r="CR54" s="56">
        <v>10</v>
      </c>
      <c r="CS54" s="3">
        <v>10</v>
      </c>
      <c r="CT54" s="3">
        <v>10</v>
      </c>
      <c r="CU54" s="3">
        <v>9.8000000000000007</v>
      </c>
      <c r="CV54" s="3">
        <v>9.6</v>
      </c>
      <c r="CW54" s="3">
        <v>9.4</v>
      </c>
      <c r="CX54" s="3">
        <v>9.1999999999999993</v>
      </c>
      <c r="CY54" s="3">
        <v>9</v>
      </c>
      <c r="CZ54" s="3">
        <v>8</v>
      </c>
      <c r="DJ54" s="3">
        <f t="shared" ca="1" si="125"/>
        <v>105</v>
      </c>
      <c r="DK54" s="93">
        <f t="shared" ca="1" si="126"/>
        <v>100</v>
      </c>
      <c r="DL54" s="3">
        <f t="shared" ca="1" si="127"/>
        <v>10</v>
      </c>
      <c r="DO54" s="3">
        <v>2</v>
      </c>
      <c r="EA54" s="3">
        <f t="shared" si="128"/>
        <v>2</v>
      </c>
      <c r="EB54" s="3">
        <f t="shared" si="129"/>
        <v>2</v>
      </c>
      <c r="EC54" s="3">
        <f t="shared" si="130"/>
        <v>0</v>
      </c>
      <c r="ED54" s="3">
        <f t="shared" si="131"/>
        <v>0</v>
      </c>
      <c r="EF54" s="3">
        <f t="shared" ca="1" si="132"/>
        <v>0</v>
      </c>
      <c r="EG54" s="3">
        <f t="shared" ca="1" si="133"/>
        <v>0</v>
      </c>
      <c r="EH54" s="3">
        <f ca="1">IFERROR(IF(LEFT($BA54,1)="4",OFFSET(변환표준점수!$H$118,MATCH($S54,변환표준점수!$B$119:$B$198,0),),OFFSET(EH$3,MATCH(AS54,$ED$4:$ED$8,0),0)),0)</f>
        <v>0</v>
      </c>
      <c r="EI54" s="3">
        <f ca="1">IFERROR(IF(LEFT($BA54,1)="4",OFFSET(변환표준점수!$I$118,MATCH($S54,변환표준점수!$B$119:$B$198,0),0),OFFSET(EI$3,MATCH(AT54,$ED$4:$ED$8,0),0)),0)</f>
        <v>0</v>
      </c>
      <c r="EK54" s="3">
        <f ca="1">IFERROR(IF(LEFT($BA54,1)="4",OFFSET(변환표준점수!$J$118,MATCH($S54,변환표준점수!$B$119:$B$198,0),0),OFFSET(EJ$3,MATCH(AV54,$ED$4:$ED$8,0),0)),0)</f>
        <v>0</v>
      </c>
      <c r="EL54" s="3">
        <f ca="1">IFERROR(IF(LEFT($BA54,1)="4",OFFSET(변환표준점수!$K$118,MATCH($S54,변환표준점수!$B$119:$B$198,0),0),OFFSET(EK$3,MATCH(AW54,$ED$4:$ED$8,0),0)),0)</f>
        <v>0</v>
      </c>
      <c r="EM54" s="3" t="str">
        <f t="shared" ca="1" si="134"/>
        <v/>
      </c>
      <c r="EN54" s="3" t="str">
        <f t="shared" ca="1" si="135"/>
        <v/>
      </c>
      <c r="EO54" s="3">
        <f t="shared" ca="1" si="136"/>
        <v>0</v>
      </c>
      <c r="EQ54" s="3">
        <f t="shared" ca="1" si="137"/>
        <v>0</v>
      </c>
      <c r="ER54" s="3">
        <f t="shared" ca="1" si="138"/>
        <v>0</v>
      </c>
      <c r="ES54" s="3">
        <f t="shared" ca="1" si="139"/>
        <v>0</v>
      </c>
      <c r="ET54" s="3">
        <f t="shared" ca="1" si="140"/>
        <v>0</v>
      </c>
      <c r="EU54" s="3">
        <f t="shared" si="141"/>
        <v>0</v>
      </c>
      <c r="EV54" s="3">
        <f t="shared" ca="1" si="142"/>
        <v>0</v>
      </c>
      <c r="EW54" s="3">
        <f t="shared" ca="1" si="143"/>
        <v>0</v>
      </c>
      <c r="EX54" s="3">
        <f ca="1">LARGE((ES54:ET54,EV54:EW54),1)</f>
        <v>0</v>
      </c>
      <c r="EY54" s="3">
        <f ca="1">IF(O54&lt;2,0,LARGE((ES54:ET54,EV54:EW54),2))</f>
        <v>0</v>
      </c>
      <c r="EZ54" s="3">
        <f t="shared" ca="1" si="144"/>
        <v>0</v>
      </c>
      <c r="FA54" s="3">
        <f t="shared" ca="1" si="145"/>
        <v>0</v>
      </c>
      <c r="FB54" s="3">
        <f t="shared" ca="1" si="146"/>
        <v>0</v>
      </c>
      <c r="FG54" s="3">
        <f t="shared" ca="1" si="147"/>
        <v>0</v>
      </c>
      <c r="FH54" s="618"/>
      <c r="FU54" s="3" t="str">
        <f t="shared" si="51"/>
        <v>표점/만점</v>
      </c>
      <c r="FV54" s="3" t="str">
        <f t="shared" si="52"/>
        <v>변표/만점</v>
      </c>
      <c r="FW54" s="3">
        <f t="shared" ca="1" si="148"/>
        <v>0.35</v>
      </c>
      <c r="FX54" s="3">
        <f t="shared" ca="1" si="149"/>
        <v>0.41</v>
      </c>
      <c r="FY54" s="3">
        <f t="shared" ca="1" si="150"/>
        <v>0.23</v>
      </c>
      <c r="FZ54" s="3">
        <f t="shared" ca="1" si="151"/>
        <v>4.2607913669064743</v>
      </c>
    </row>
    <row r="55" spans="1:182">
      <c r="A55" s="556">
        <v>26</v>
      </c>
      <c r="C55" s="3">
        <f t="shared" si="105"/>
        <v>40</v>
      </c>
      <c r="D55" s="3">
        <v>40</v>
      </c>
      <c r="E55" s="3" t="s">
        <v>337</v>
      </c>
      <c r="F55" s="3">
        <v>700</v>
      </c>
      <c r="G55" s="3">
        <v>0.2</v>
      </c>
      <c r="H55" s="3">
        <v>0.35</v>
      </c>
      <c r="I55" s="3">
        <v>0.15</v>
      </c>
      <c r="J55" s="3">
        <v>0.15</v>
      </c>
      <c r="L55" s="3">
        <v>0.15</v>
      </c>
      <c r="M55" s="3">
        <v>0.15</v>
      </c>
      <c r="O55" s="3">
        <v>2</v>
      </c>
      <c r="P55" s="3">
        <f t="shared" si="106"/>
        <v>0.85000000000000009</v>
      </c>
      <c r="Q55" s="3">
        <v>15</v>
      </c>
      <c r="S55" s="3">
        <f t="shared" si="107"/>
        <v>15</v>
      </c>
      <c r="W55" s="3">
        <f t="shared" si="108"/>
        <v>0</v>
      </c>
      <c r="Y55" s="3">
        <f t="shared" si="109"/>
        <v>1.0071942446043165</v>
      </c>
      <c r="Z55" s="3">
        <f t="shared" si="110"/>
        <v>1.7499999999999998</v>
      </c>
      <c r="AA55" s="3">
        <f t="shared" ca="1" si="111"/>
        <v>1.5</v>
      </c>
      <c r="AB55" s="3">
        <f t="shared" ca="1" si="112"/>
        <v>1.5</v>
      </c>
      <c r="AC55" s="3">
        <f t="shared" ca="1" si="113"/>
        <v>1.5</v>
      </c>
      <c r="AD55" s="3">
        <f t="shared" si="114"/>
        <v>1.0071942446043165</v>
      </c>
      <c r="AE55" s="3">
        <f t="shared" si="115"/>
        <v>1.7499999999999998</v>
      </c>
      <c r="AF55" s="3">
        <f t="shared" ca="1" si="116"/>
        <v>1.5</v>
      </c>
      <c r="AG55" s="3">
        <f t="shared" ca="1" si="117"/>
        <v>1.5</v>
      </c>
      <c r="AH55" s="3" t="str">
        <f t="shared" si="118"/>
        <v>자동</v>
      </c>
      <c r="AI55" s="3">
        <f t="shared" ca="1" si="119"/>
        <v>1.5</v>
      </c>
      <c r="AJ55" s="3">
        <f t="shared" ca="1" si="120"/>
        <v>1.5</v>
      </c>
      <c r="AL55" s="3" t="str">
        <f t="shared" si="121"/>
        <v/>
      </c>
      <c r="AN55" s="3">
        <f ca="1">IF($BA55=42,OFFSET(변환표준점수!C$119,$AP55-1,0),"")</f>
        <v>70</v>
      </c>
      <c r="AO55" s="3">
        <f ca="1">IF($BA55=42,OFFSET(변환표준점수!D$119,$AP55-1,0),"")</f>
        <v>70</v>
      </c>
      <c r="AP55" s="3">
        <f>IF(S55="","",MATCH(S55,변환표준점수!$B$119:$B$298,0))</f>
        <v>15</v>
      </c>
      <c r="AQ55" s="3">
        <v>12</v>
      </c>
      <c r="AR55" s="3">
        <v>12</v>
      </c>
      <c r="AS55" s="3">
        <v>42</v>
      </c>
      <c r="AT55" s="3">
        <v>42</v>
      </c>
      <c r="AV55" s="3">
        <v>42</v>
      </c>
      <c r="AW55" s="3">
        <v>42</v>
      </c>
      <c r="AX55" s="3">
        <v>3</v>
      </c>
      <c r="AY55" s="3">
        <v>3</v>
      </c>
      <c r="BA55" s="3">
        <f t="shared" si="122"/>
        <v>42</v>
      </c>
      <c r="BJ55" s="3">
        <f t="shared" si="123"/>
        <v>0</v>
      </c>
      <c r="CH55" s="206">
        <f t="shared" si="124"/>
        <v>595.00000000000011</v>
      </c>
      <c r="CI55" s="56">
        <v>105</v>
      </c>
      <c r="CJ55" s="3">
        <v>104.5</v>
      </c>
      <c r="CK55" s="3">
        <v>103.5</v>
      </c>
      <c r="CL55" s="3">
        <v>102</v>
      </c>
      <c r="CM55" s="3">
        <v>100</v>
      </c>
      <c r="CN55" s="3">
        <v>97.5</v>
      </c>
      <c r="CO55" s="3">
        <v>94.5</v>
      </c>
      <c r="CP55" s="3">
        <v>90</v>
      </c>
      <c r="CQ55" s="3">
        <v>0</v>
      </c>
      <c r="CR55" s="56">
        <v>10</v>
      </c>
      <c r="CS55" s="3">
        <v>10</v>
      </c>
      <c r="CT55" s="3">
        <v>10</v>
      </c>
      <c r="CU55" s="3">
        <v>10</v>
      </c>
      <c r="CV55" s="3">
        <v>9.8000000000000007</v>
      </c>
      <c r="CW55" s="3">
        <v>9.6</v>
      </c>
      <c r="CX55" s="3">
        <v>9.4</v>
      </c>
      <c r="CY55" s="3">
        <v>9.1999999999999993</v>
      </c>
      <c r="CZ55" s="3">
        <v>9</v>
      </c>
      <c r="DJ55" s="3">
        <f t="shared" ca="1" si="125"/>
        <v>105</v>
      </c>
      <c r="DK55" s="93">
        <f t="shared" ca="1" si="126"/>
        <v>100</v>
      </c>
      <c r="DL55" s="3">
        <f t="shared" ca="1" si="127"/>
        <v>10</v>
      </c>
      <c r="DO55" s="3">
        <v>2</v>
      </c>
      <c r="DZ55" s="3">
        <v>1</v>
      </c>
      <c r="EA55" s="3">
        <f t="shared" si="128"/>
        <v>1</v>
      </c>
      <c r="EB55" s="3">
        <f t="shared" si="129"/>
        <v>2</v>
      </c>
      <c r="EC55" s="3">
        <f t="shared" si="130"/>
        <v>0</v>
      </c>
      <c r="ED55" s="3">
        <f t="shared" si="131"/>
        <v>0</v>
      </c>
      <c r="EF55" s="3">
        <f t="shared" ca="1" si="132"/>
        <v>0</v>
      </c>
      <c r="EG55" s="3">
        <f t="shared" ca="1" si="133"/>
        <v>0</v>
      </c>
      <c r="EH55" s="3">
        <f ca="1">IFERROR(IF(LEFT($BA55,1)="4",OFFSET(변환표준점수!$H$118,MATCH($S55,변환표준점수!$B$119:$B$198,0),),OFFSET(EH$3,MATCH(AS55,$ED$4:$ED$8,0),0)),0)</f>
        <v>0</v>
      </c>
      <c r="EI55" s="3">
        <f ca="1">IFERROR(IF(LEFT($BA55,1)="4",OFFSET(변환표준점수!$I$118,MATCH($S55,변환표준점수!$B$119:$B$198,0),0),OFFSET(EI$3,MATCH(AT55,$ED$4:$ED$8,0),0)),0)</f>
        <v>0</v>
      </c>
      <c r="EK55" s="3">
        <f ca="1">IFERROR(IF(LEFT($BA55,1)="4",OFFSET(변환표준점수!$J$118,MATCH($S55,변환표준점수!$B$119:$B$198,0),0),OFFSET(EJ$3,MATCH(AV55,$ED$4:$ED$8,0),0)),0)</f>
        <v>0</v>
      </c>
      <c r="EL55" s="3">
        <f ca="1">IFERROR(IF(LEFT($BA55,1)="4",OFFSET(변환표준점수!$K$118,MATCH($S55,변환표준점수!$B$119:$B$198,0),0),OFFSET(EK$3,MATCH(AW55,$ED$4:$ED$8,0),0)),0)</f>
        <v>0</v>
      </c>
      <c r="EM55" s="3" t="str">
        <f t="shared" ca="1" si="134"/>
        <v/>
      </c>
      <c r="EN55" s="3" t="str">
        <f t="shared" ca="1" si="135"/>
        <v/>
      </c>
      <c r="EO55" s="3">
        <f t="shared" ca="1" si="136"/>
        <v>0</v>
      </c>
      <c r="EQ55" s="3">
        <f t="shared" ca="1" si="137"/>
        <v>0</v>
      </c>
      <c r="ER55" s="3">
        <f t="shared" ca="1" si="138"/>
        <v>0</v>
      </c>
      <c r="ES55" s="3">
        <f t="shared" ca="1" si="139"/>
        <v>0</v>
      </c>
      <c r="ET55" s="3">
        <f t="shared" ca="1" si="140"/>
        <v>0</v>
      </c>
      <c r="EU55" s="3">
        <f t="shared" si="141"/>
        <v>0</v>
      </c>
      <c r="EV55" s="3">
        <f t="shared" ca="1" si="142"/>
        <v>0</v>
      </c>
      <c r="EW55" s="3">
        <f t="shared" ca="1" si="143"/>
        <v>0</v>
      </c>
      <c r="EX55" s="3">
        <f ca="1">LARGE((ES55:ET55,EV55:EW55),1)</f>
        <v>0</v>
      </c>
      <c r="EY55" s="3">
        <f ca="1">IF(O55&lt;2,0,LARGE((ES55:ET55,EV55:EW55),2))</f>
        <v>0</v>
      </c>
      <c r="EZ55" s="3">
        <f t="shared" ca="1" si="144"/>
        <v>0</v>
      </c>
      <c r="FA55" s="3">
        <f t="shared" ca="1" si="145"/>
        <v>0</v>
      </c>
      <c r="FB55" s="3">
        <f t="shared" ca="1" si="146"/>
        <v>0</v>
      </c>
      <c r="FG55" s="3">
        <f t="shared" ca="1" si="147"/>
        <v>0</v>
      </c>
      <c r="FH55" s="618"/>
      <c r="FU55" s="3" t="str">
        <f t="shared" si="51"/>
        <v>표점/만점</v>
      </c>
      <c r="FV55" s="3" t="str">
        <f t="shared" si="52"/>
        <v>변표/만점</v>
      </c>
      <c r="FW55" s="3">
        <f t="shared" ca="1" si="148"/>
        <v>0.24</v>
      </c>
      <c r="FX55" s="3">
        <f t="shared" ca="1" si="149"/>
        <v>0.41</v>
      </c>
      <c r="FY55" s="3">
        <f t="shared" ca="1" si="150"/>
        <v>0.35</v>
      </c>
      <c r="FZ55" s="3">
        <f t="shared" ca="1" si="151"/>
        <v>4.2571942446043165</v>
      </c>
    </row>
    <row r="56" spans="1:182">
      <c r="A56" s="556">
        <v>26</v>
      </c>
      <c r="C56" s="3">
        <f t="shared" si="105"/>
        <v>41</v>
      </c>
      <c r="D56" s="3">
        <v>41</v>
      </c>
      <c r="E56" s="3" t="s">
        <v>338</v>
      </c>
      <c r="F56" s="3">
        <v>1000</v>
      </c>
      <c r="G56" s="3">
        <v>0.35</v>
      </c>
      <c r="H56" s="3">
        <v>0.35</v>
      </c>
      <c r="I56" s="3">
        <v>7.4999999999999997E-2</v>
      </c>
      <c r="J56" s="3">
        <v>7.4999999999999997E-2</v>
      </c>
      <c r="L56" s="3">
        <v>7.4999999999999997E-2</v>
      </c>
      <c r="M56" s="3">
        <v>7.4999999999999997E-2</v>
      </c>
      <c r="O56" s="3">
        <v>2</v>
      </c>
      <c r="P56" s="3">
        <f t="shared" si="106"/>
        <v>0.85</v>
      </c>
      <c r="Q56" s="3">
        <v>17</v>
      </c>
      <c r="S56" s="3">
        <f t="shared" si="107"/>
        <v>17</v>
      </c>
      <c r="W56" s="3">
        <f t="shared" si="108"/>
        <v>0</v>
      </c>
      <c r="Y56" s="3">
        <f t="shared" si="109"/>
        <v>2.5179856115107913</v>
      </c>
      <c r="Z56" s="3">
        <f t="shared" si="110"/>
        <v>2.5</v>
      </c>
      <c r="AA56" s="3">
        <f t="shared" ca="1" si="111"/>
        <v>1.0694424639954372</v>
      </c>
      <c r="AB56" s="3">
        <f t="shared" ca="1" si="112"/>
        <v>1.0731148948347402</v>
      </c>
      <c r="AC56" s="3">
        <f t="shared" ca="1" si="113"/>
        <v>1.0731148948347402</v>
      </c>
      <c r="AD56" s="3">
        <f t="shared" si="114"/>
        <v>2.5179856115107913</v>
      </c>
      <c r="AE56" s="3">
        <f t="shared" si="115"/>
        <v>2.5</v>
      </c>
      <c r="AF56" s="3">
        <f t="shared" ca="1" si="116"/>
        <v>1.0694424639954372</v>
      </c>
      <c r="AG56" s="3">
        <f t="shared" ca="1" si="117"/>
        <v>1.0694424639954372</v>
      </c>
      <c r="AH56" s="3" t="str">
        <f t="shared" si="118"/>
        <v>자동</v>
      </c>
      <c r="AI56" s="3">
        <f t="shared" ca="1" si="119"/>
        <v>1.0731148948347402</v>
      </c>
      <c r="AJ56" s="3">
        <f t="shared" ca="1" si="120"/>
        <v>1.0731148948347402</v>
      </c>
      <c r="AL56" s="3" t="str">
        <f t="shared" si="121"/>
        <v/>
      </c>
      <c r="AN56" s="3">
        <f ca="1">IF($BA56=42,OFFSET(변환표준점수!C$119,$AP56-1,0),"")</f>
        <v>70.13</v>
      </c>
      <c r="AO56" s="3">
        <f ca="1">IF($BA56=42,OFFSET(변환표준점수!D$119,$AP56-1,0),"")</f>
        <v>69.89</v>
      </c>
      <c r="AP56" s="3">
        <f>IF(S56="","",MATCH(S56,변환표준점수!$B$119:$B$298,0))</f>
        <v>17</v>
      </c>
      <c r="AQ56" s="3">
        <v>12</v>
      </c>
      <c r="AR56" s="3">
        <v>12</v>
      </c>
      <c r="AS56" s="3">
        <v>42</v>
      </c>
      <c r="AT56" s="3">
        <v>42</v>
      </c>
      <c r="AV56" s="3">
        <v>42</v>
      </c>
      <c r="AW56" s="3">
        <v>42</v>
      </c>
      <c r="AX56" s="3">
        <v>3</v>
      </c>
      <c r="AY56" s="3">
        <v>3</v>
      </c>
      <c r="BA56" s="3">
        <f t="shared" si="122"/>
        <v>42</v>
      </c>
      <c r="BJ56" s="3">
        <f t="shared" si="123"/>
        <v>0</v>
      </c>
      <c r="BL56" s="3">
        <f t="shared" ref="BL56:BM58" ca="1" si="152">0.03*AI56</f>
        <v>3.2193446845042203E-2</v>
      </c>
      <c r="BM56" s="3">
        <f t="shared" ca="1" si="152"/>
        <v>3.2193446845042203E-2</v>
      </c>
      <c r="BN56" s="212" t="s">
        <v>7270</v>
      </c>
      <c r="BV56" s="3">
        <f t="shared" ref="BV56:BW58" si="153">IF($DN$8=2,BL56*EK56,0)</f>
        <v>0</v>
      </c>
      <c r="BW56" s="3">
        <f t="shared" si="153"/>
        <v>0</v>
      </c>
      <c r="CH56" s="206">
        <f t="shared" si="124"/>
        <v>850</v>
      </c>
      <c r="CI56" s="56">
        <v>150</v>
      </c>
      <c r="CJ56" s="3">
        <v>146</v>
      </c>
      <c r="CK56" s="3">
        <v>135</v>
      </c>
      <c r="CL56" s="3">
        <v>120</v>
      </c>
      <c r="CM56" s="3">
        <v>95</v>
      </c>
      <c r="CN56" s="3">
        <v>75</v>
      </c>
      <c r="CO56" s="3">
        <v>45</v>
      </c>
      <c r="CP56" s="3">
        <v>15</v>
      </c>
      <c r="CQ56" s="3">
        <v>0</v>
      </c>
      <c r="CV56" s="3">
        <v>-2</v>
      </c>
      <c r="CW56" s="3">
        <v>-4</v>
      </c>
      <c r="CX56" s="3">
        <v>-6</v>
      </c>
      <c r="CY56" s="3">
        <v>-8</v>
      </c>
      <c r="CZ56" s="3">
        <v>-10</v>
      </c>
      <c r="DJ56" s="3">
        <f t="shared" ca="1" si="125"/>
        <v>150</v>
      </c>
      <c r="DK56" s="93">
        <f t="shared" ca="1" si="126"/>
        <v>100</v>
      </c>
      <c r="DL56" s="3">
        <f t="shared" ca="1" si="127"/>
        <v>0</v>
      </c>
      <c r="DO56" s="3">
        <v>2</v>
      </c>
      <c r="EA56" s="3">
        <f t="shared" si="128"/>
        <v>2</v>
      </c>
      <c r="EB56" s="3">
        <f t="shared" si="129"/>
        <v>2</v>
      </c>
      <c r="EC56" s="3">
        <f t="shared" si="130"/>
        <v>0</v>
      </c>
      <c r="ED56" s="3">
        <f t="shared" si="131"/>
        <v>0</v>
      </c>
      <c r="EF56" s="3">
        <f t="shared" ca="1" si="132"/>
        <v>0</v>
      </c>
      <c r="EG56" s="3">
        <f t="shared" ca="1" si="133"/>
        <v>0</v>
      </c>
      <c r="EH56" s="3">
        <f ca="1">IFERROR(IF(LEFT($BA56,1)="4",OFFSET(변환표준점수!$H$118,MATCH($S56,변환표준점수!$B$119:$B$198,0),),OFFSET(EH$3,MATCH(AS56,$ED$4:$ED$8,0),0)),0)</f>
        <v>0</v>
      </c>
      <c r="EI56" s="3">
        <f ca="1">IFERROR(IF(LEFT($BA56,1)="4",OFFSET(변환표준점수!$I$118,MATCH($S56,변환표준점수!$B$119:$B$198,0),0),OFFSET(EI$3,MATCH(AT56,$ED$4:$ED$8,0),0)),0)</f>
        <v>0</v>
      </c>
      <c r="EK56" s="3">
        <f ca="1">IFERROR(IF(LEFT($BA56,1)="4",OFFSET(변환표준점수!$J$118,MATCH($S56,변환표준점수!$B$119:$B$198,0),0),OFFSET(EJ$3,MATCH(AV56,$ED$4:$ED$8,0),0)),0)</f>
        <v>0</v>
      </c>
      <c r="EL56" s="3">
        <f ca="1">IFERROR(IF(LEFT($BA56,1)="4",OFFSET(변환표준점수!$K$118,MATCH($S56,변환표준점수!$B$119:$B$198,0),0),OFFSET(EK$3,MATCH(AW56,$ED$4:$ED$8,0),0)),0)</f>
        <v>0</v>
      </c>
      <c r="EM56" s="3" t="str">
        <f t="shared" ca="1" si="134"/>
        <v/>
      </c>
      <c r="EN56" s="3" t="str">
        <f t="shared" ca="1" si="135"/>
        <v/>
      </c>
      <c r="EO56" s="3">
        <f t="shared" ca="1" si="136"/>
        <v>0</v>
      </c>
      <c r="EQ56" s="3">
        <f t="shared" ca="1" si="137"/>
        <v>0</v>
      </c>
      <c r="ER56" s="3">
        <f t="shared" ca="1" si="138"/>
        <v>0</v>
      </c>
      <c r="ES56" s="3">
        <f t="shared" ca="1" si="139"/>
        <v>0</v>
      </c>
      <c r="ET56" s="3">
        <f t="shared" ca="1" si="140"/>
        <v>0</v>
      </c>
      <c r="EU56" s="3">
        <f t="shared" si="141"/>
        <v>0</v>
      </c>
      <c r="EV56" s="3">
        <f t="shared" ca="1" si="142"/>
        <v>0</v>
      </c>
      <c r="EW56" s="3">
        <f t="shared" ca="1" si="143"/>
        <v>0</v>
      </c>
      <c r="EX56" s="3">
        <f ca="1">LARGE((ES56:ET56,EV56:EW56),1)</f>
        <v>0</v>
      </c>
      <c r="EY56" s="3">
        <f ca="1">IF(O56&lt;2,0,LARGE((ES56:ET56,EV56:EW56),2))</f>
        <v>0</v>
      </c>
      <c r="EZ56" s="3">
        <f t="shared" ca="1" si="144"/>
        <v>0</v>
      </c>
      <c r="FA56" s="3">
        <f t="shared" ca="1" si="145"/>
        <v>0</v>
      </c>
      <c r="FB56" s="3">
        <f t="shared" ca="1" si="146"/>
        <v>0</v>
      </c>
      <c r="FG56" s="3">
        <f t="shared" ca="1" si="147"/>
        <v>0</v>
      </c>
      <c r="FH56" s="618"/>
      <c r="FU56" s="3" t="str">
        <f t="shared" si="51"/>
        <v>표점/만점</v>
      </c>
      <c r="FV56" s="3" t="str">
        <f t="shared" si="52"/>
        <v>변표/만점</v>
      </c>
      <c r="FW56" s="3">
        <f t="shared" ca="1" si="148"/>
        <v>0.41</v>
      </c>
      <c r="FX56" s="3">
        <f t="shared" ca="1" si="149"/>
        <v>0.41</v>
      </c>
      <c r="FY56" s="3">
        <f t="shared" ca="1" si="150"/>
        <v>0.18</v>
      </c>
      <c r="FZ56" s="3">
        <f t="shared" ca="1" si="151"/>
        <v>6.0911005063455317</v>
      </c>
    </row>
    <row r="57" spans="1:182">
      <c r="A57" s="556">
        <v>26</v>
      </c>
      <c r="C57" s="3">
        <f t="shared" si="105"/>
        <v>42</v>
      </c>
      <c r="D57" s="3">
        <v>42</v>
      </c>
      <c r="E57" s="3" t="s">
        <v>339</v>
      </c>
      <c r="F57" s="3">
        <v>1000</v>
      </c>
      <c r="G57" s="3">
        <v>0.35</v>
      </c>
      <c r="H57" s="3">
        <v>0.25</v>
      </c>
      <c r="I57" s="3">
        <v>0.1</v>
      </c>
      <c r="J57" s="3">
        <v>0.1</v>
      </c>
      <c r="L57" s="3">
        <v>0.1</v>
      </c>
      <c r="M57" s="3">
        <v>0.1</v>
      </c>
      <c r="O57" s="3">
        <v>2</v>
      </c>
      <c r="P57" s="3">
        <f t="shared" si="106"/>
        <v>0.8</v>
      </c>
      <c r="Q57" s="3">
        <v>17</v>
      </c>
      <c r="S57" s="3">
        <f t="shared" si="107"/>
        <v>17</v>
      </c>
      <c r="W57" s="3">
        <f t="shared" si="108"/>
        <v>0</v>
      </c>
      <c r="Y57" s="3">
        <f t="shared" si="109"/>
        <v>2.5179856115107913</v>
      </c>
      <c r="Z57" s="3">
        <f t="shared" si="110"/>
        <v>1.7857142857142858</v>
      </c>
      <c r="AA57" s="3">
        <f t="shared" ca="1" si="111"/>
        <v>1.4259232853272494</v>
      </c>
      <c r="AB57" s="3">
        <f t="shared" ca="1" si="112"/>
        <v>1.4308198597796538</v>
      </c>
      <c r="AC57" s="3">
        <f t="shared" ca="1" si="113"/>
        <v>1.4308198597796538</v>
      </c>
      <c r="AD57" s="3">
        <f t="shared" si="114"/>
        <v>2.5179856115107913</v>
      </c>
      <c r="AE57" s="3">
        <f t="shared" si="115"/>
        <v>1.7857142857142858</v>
      </c>
      <c r="AF57" s="3">
        <f t="shared" ca="1" si="116"/>
        <v>1.4259232853272494</v>
      </c>
      <c r="AG57" s="3">
        <f t="shared" ca="1" si="117"/>
        <v>1.4259232853272494</v>
      </c>
      <c r="AH57" s="3" t="str">
        <f t="shared" si="118"/>
        <v>자동</v>
      </c>
      <c r="AI57" s="3">
        <f t="shared" ca="1" si="119"/>
        <v>1.4308198597796538</v>
      </c>
      <c r="AJ57" s="3">
        <f t="shared" ca="1" si="120"/>
        <v>1.4308198597796538</v>
      </c>
      <c r="AL57" s="3" t="str">
        <f t="shared" si="121"/>
        <v/>
      </c>
      <c r="AN57" s="3">
        <f ca="1">IF($BA57=42,OFFSET(변환표준점수!C$119,$AP57-1,0),"")</f>
        <v>70.13</v>
      </c>
      <c r="AO57" s="3">
        <f ca="1">IF($BA57=42,OFFSET(변환표준점수!D$119,$AP57-1,0),"")</f>
        <v>69.89</v>
      </c>
      <c r="AP57" s="3">
        <f>IF(S57="","",MATCH(S57,변환표준점수!$B$119:$B$298,0))</f>
        <v>17</v>
      </c>
      <c r="AQ57" s="3">
        <v>12</v>
      </c>
      <c r="AR57" s="3">
        <v>12</v>
      </c>
      <c r="AS57" s="3">
        <v>42</v>
      </c>
      <c r="AT57" s="3">
        <v>42</v>
      </c>
      <c r="AV57" s="3">
        <v>42</v>
      </c>
      <c r="AW57" s="3">
        <v>42</v>
      </c>
      <c r="AX57" s="3">
        <v>3</v>
      </c>
      <c r="AY57" s="3">
        <v>3</v>
      </c>
      <c r="BA57" s="3">
        <f t="shared" si="122"/>
        <v>42</v>
      </c>
      <c r="BJ57" s="3">
        <f t="shared" si="123"/>
        <v>0</v>
      </c>
      <c r="BL57" s="3">
        <f t="shared" ca="1" si="152"/>
        <v>4.2924595793389614E-2</v>
      </c>
      <c r="BM57" s="3">
        <f t="shared" ca="1" si="152"/>
        <v>4.2924595793389614E-2</v>
      </c>
      <c r="BN57" s="212" t="s">
        <v>7270</v>
      </c>
      <c r="BV57" s="3">
        <f t="shared" si="153"/>
        <v>0</v>
      </c>
      <c r="BW57" s="3">
        <f t="shared" si="153"/>
        <v>0</v>
      </c>
      <c r="CH57" s="206">
        <f t="shared" si="124"/>
        <v>800</v>
      </c>
      <c r="CI57" s="56">
        <v>200</v>
      </c>
      <c r="CJ57" s="3">
        <v>194</v>
      </c>
      <c r="CK57" s="3">
        <v>184</v>
      </c>
      <c r="CL57" s="3">
        <v>160</v>
      </c>
      <c r="CM57" s="3">
        <v>130</v>
      </c>
      <c r="CN57" s="3">
        <v>100</v>
      </c>
      <c r="CO57" s="3">
        <v>60</v>
      </c>
      <c r="CP57" s="3">
        <v>20</v>
      </c>
      <c r="CQ57" s="3">
        <v>0</v>
      </c>
      <c r="CV57" s="3">
        <v>-2</v>
      </c>
      <c r="CW57" s="3">
        <v>-4</v>
      </c>
      <c r="CX57" s="3">
        <v>-6</v>
      </c>
      <c r="CY57" s="3">
        <v>-8</v>
      </c>
      <c r="CZ57" s="3">
        <v>-10</v>
      </c>
      <c r="DJ57" s="3">
        <f t="shared" ca="1" si="125"/>
        <v>200</v>
      </c>
      <c r="DK57" s="93">
        <f t="shared" ca="1" si="126"/>
        <v>100</v>
      </c>
      <c r="DL57" s="3">
        <f t="shared" ca="1" si="127"/>
        <v>0</v>
      </c>
      <c r="DO57" s="3">
        <v>2</v>
      </c>
      <c r="EA57" s="3">
        <f t="shared" si="128"/>
        <v>2</v>
      </c>
      <c r="EB57" s="3">
        <f t="shared" si="129"/>
        <v>2</v>
      </c>
      <c r="EC57" s="3">
        <f t="shared" si="130"/>
        <v>0</v>
      </c>
      <c r="ED57" s="3">
        <f t="shared" si="131"/>
        <v>0</v>
      </c>
      <c r="EF57" s="3">
        <f t="shared" ca="1" si="132"/>
        <v>0</v>
      </c>
      <c r="EG57" s="3">
        <f t="shared" ca="1" si="133"/>
        <v>0</v>
      </c>
      <c r="EH57" s="3">
        <f ca="1">IFERROR(IF(LEFT($BA57,1)="4",OFFSET(변환표준점수!$H$118,MATCH($S57,변환표준점수!$B$119:$B$198,0),),OFFSET(EH$3,MATCH(AS57,$ED$4:$ED$8,0),0)),0)</f>
        <v>0</v>
      </c>
      <c r="EI57" s="3">
        <f ca="1">IFERROR(IF(LEFT($BA57,1)="4",OFFSET(변환표준점수!$I$118,MATCH($S57,변환표준점수!$B$119:$B$198,0),0),OFFSET(EI$3,MATCH(AT57,$ED$4:$ED$8,0),0)),0)</f>
        <v>0</v>
      </c>
      <c r="EK57" s="3">
        <f ca="1">IFERROR(IF(LEFT($BA57,1)="4",OFFSET(변환표준점수!$J$118,MATCH($S57,변환표준점수!$B$119:$B$198,0),0),OFFSET(EJ$3,MATCH(AV57,$ED$4:$ED$8,0),0)),0)</f>
        <v>0</v>
      </c>
      <c r="EL57" s="3">
        <f ca="1">IFERROR(IF(LEFT($BA57,1)="4",OFFSET(변환표준점수!$K$118,MATCH($S57,변환표준점수!$B$119:$B$198,0),0),OFFSET(EK$3,MATCH(AW57,$ED$4:$ED$8,0),0)),0)</f>
        <v>0</v>
      </c>
      <c r="EM57" s="3" t="str">
        <f t="shared" ca="1" si="134"/>
        <v/>
      </c>
      <c r="EN57" s="3" t="str">
        <f t="shared" ca="1" si="135"/>
        <v/>
      </c>
      <c r="EO57" s="3">
        <f t="shared" ca="1" si="136"/>
        <v>0</v>
      </c>
      <c r="EQ57" s="3">
        <f t="shared" ca="1" si="137"/>
        <v>0</v>
      </c>
      <c r="ER57" s="3">
        <f t="shared" ca="1" si="138"/>
        <v>0</v>
      </c>
      <c r="ES57" s="3">
        <f t="shared" ca="1" si="139"/>
        <v>0</v>
      </c>
      <c r="ET57" s="3">
        <f t="shared" ca="1" si="140"/>
        <v>0</v>
      </c>
      <c r="EU57" s="3">
        <f t="shared" si="141"/>
        <v>0</v>
      </c>
      <c r="EV57" s="3">
        <f t="shared" ca="1" si="142"/>
        <v>0</v>
      </c>
      <c r="EW57" s="3">
        <f t="shared" ca="1" si="143"/>
        <v>0</v>
      </c>
      <c r="EX57" s="3">
        <f ca="1">LARGE((ES57:ET57,EV57:EW57),1)</f>
        <v>0</v>
      </c>
      <c r="EY57" s="3">
        <f ca="1">IF(O57&lt;2,0,LARGE((ES57:ET57,EV57:EW57),2))</f>
        <v>0</v>
      </c>
      <c r="EZ57" s="3">
        <f t="shared" ca="1" si="144"/>
        <v>0</v>
      </c>
      <c r="FA57" s="3">
        <f t="shared" ca="1" si="145"/>
        <v>0</v>
      </c>
      <c r="FB57" s="3">
        <f t="shared" ca="1" si="146"/>
        <v>0</v>
      </c>
      <c r="FG57" s="3">
        <f t="shared" ca="1" si="147"/>
        <v>0</v>
      </c>
      <c r="FH57" s="618"/>
      <c r="FU57" s="3" t="str">
        <f t="shared" si="51"/>
        <v>표점/만점</v>
      </c>
      <c r="FV57" s="3" t="str">
        <f t="shared" si="52"/>
        <v>변표/만점</v>
      </c>
      <c r="FW57" s="3">
        <f t="shared" ca="1" si="148"/>
        <v>0.44</v>
      </c>
      <c r="FX57" s="3">
        <f t="shared" ca="1" si="149"/>
        <v>0.31</v>
      </c>
      <c r="FY57" s="3">
        <f t="shared" ca="1" si="150"/>
        <v>0.25</v>
      </c>
      <c r="FZ57" s="3">
        <f t="shared" ca="1" si="151"/>
        <v>5.7345197570047315</v>
      </c>
    </row>
    <row r="58" spans="1:182">
      <c r="A58" s="556" t="s">
        <v>7685</v>
      </c>
      <c r="C58" s="3">
        <f t="shared" si="105"/>
        <v>43</v>
      </c>
      <c r="D58" s="3">
        <v>43</v>
      </c>
      <c r="E58" s="3" t="s">
        <v>340</v>
      </c>
      <c r="F58" s="3">
        <v>1000</v>
      </c>
      <c r="G58" s="3">
        <v>0.35</v>
      </c>
      <c r="H58" s="3">
        <v>0.25</v>
      </c>
      <c r="I58" s="3">
        <v>7.4999999999999997E-2</v>
      </c>
      <c r="J58" s="3">
        <v>7.4999999999999997E-2</v>
      </c>
      <c r="L58" s="3">
        <v>7.4999999999999997E-2</v>
      </c>
      <c r="M58" s="3">
        <v>7.4999999999999997E-2</v>
      </c>
      <c r="O58" s="3">
        <v>2</v>
      </c>
      <c r="P58" s="3">
        <f t="shared" si="106"/>
        <v>0.75</v>
      </c>
      <c r="Q58" s="3">
        <v>17</v>
      </c>
      <c r="S58" s="3">
        <f t="shared" si="107"/>
        <v>17</v>
      </c>
      <c r="W58" s="3">
        <f t="shared" si="108"/>
        <v>0</v>
      </c>
      <c r="Y58" s="3">
        <f t="shared" si="109"/>
        <v>2.5179856115107913</v>
      </c>
      <c r="Z58" s="3">
        <f t="shared" si="110"/>
        <v>1.7857142857142858</v>
      </c>
      <c r="AA58" s="3">
        <f t="shared" ca="1" si="111"/>
        <v>1.0694424639954372</v>
      </c>
      <c r="AB58" s="3">
        <f t="shared" ca="1" si="112"/>
        <v>1.0731148948347402</v>
      </c>
      <c r="AC58" s="3">
        <f t="shared" ca="1" si="113"/>
        <v>1.0731148948347402</v>
      </c>
      <c r="AD58" s="3">
        <f t="shared" si="114"/>
        <v>2.5179856115107913</v>
      </c>
      <c r="AE58" s="3">
        <f t="shared" si="115"/>
        <v>1.7857142857142858</v>
      </c>
      <c r="AF58" s="3">
        <f t="shared" ca="1" si="116"/>
        <v>1.0694424639954372</v>
      </c>
      <c r="AG58" s="3">
        <f t="shared" ca="1" si="117"/>
        <v>1.0694424639954372</v>
      </c>
      <c r="AH58" s="3" t="str">
        <f t="shared" si="118"/>
        <v>자동</v>
      </c>
      <c r="AI58" s="3">
        <f t="shared" ca="1" si="119"/>
        <v>1.0731148948347402</v>
      </c>
      <c r="AJ58" s="3">
        <f t="shared" ca="1" si="120"/>
        <v>1.0731148948347402</v>
      </c>
      <c r="AL58" s="3" t="str">
        <f t="shared" si="121"/>
        <v/>
      </c>
      <c r="AN58" s="3">
        <f ca="1">IF($BA58=42,OFFSET(변환표준점수!C$119,$AP58-1,0),"")</f>
        <v>70.13</v>
      </c>
      <c r="AO58" s="3">
        <f ca="1">IF($BA58=42,OFFSET(변환표준점수!D$119,$AP58-1,0),"")</f>
        <v>69.89</v>
      </c>
      <c r="AP58" s="3">
        <f>IF(S58="","",MATCH(S58,변환표준점수!$B$119:$B$298,0))</f>
        <v>17</v>
      </c>
      <c r="AQ58" s="3">
        <v>12</v>
      </c>
      <c r="AR58" s="3">
        <v>12</v>
      </c>
      <c r="AS58" s="3">
        <v>42</v>
      </c>
      <c r="AT58" s="3">
        <v>42</v>
      </c>
      <c r="AV58" s="3">
        <v>42</v>
      </c>
      <c r="AW58" s="3">
        <v>42</v>
      </c>
      <c r="AX58" s="3">
        <v>3</v>
      </c>
      <c r="AY58" s="3">
        <v>3</v>
      </c>
      <c r="BA58" s="3">
        <f t="shared" si="122"/>
        <v>42</v>
      </c>
      <c r="BJ58" s="3">
        <f t="shared" si="123"/>
        <v>0</v>
      </c>
      <c r="BL58" s="3">
        <f t="shared" ca="1" si="152"/>
        <v>3.2193446845042203E-2</v>
      </c>
      <c r="BM58" s="3">
        <f t="shared" ca="1" si="152"/>
        <v>3.2193446845042203E-2</v>
      </c>
      <c r="BN58" s="212" t="s">
        <v>7270</v>
      </c>
      <c r="BV58" s="3">
        <f t="shared" si="153"/>
        <v>0</v>
      </c>
      <c r="BW58" s="3">
        <f t="shared" si="153"/>
        <v>0</v>
      </c>
      <c r="CH58" s="206">
        <f t="shared" si="124"/>
        <v>750</v>
      </c>
      <c r="CI58" s="56">
        <v>250</v>
      </c>
      <c r="CJ58" s="3">
        <v>248</v>
      </c>
      <c r="CK58" s="3">
        <v>244</v>
      </c>
      <c r="CL58" s="3">
        <v>240</v>
      </c>
      <c r="CM58" s="3">
        <v>236</v>
      </c>
      <c r="CN58" s="3">
        <v>232</v>
      </c>
      <c r="CO58" s="3">
        <v>228</v>
      </c>
      <c r="CP58" s="3">
        <v>224</v>
      </c>
      <c r="CQ58" s="3">
        <v>0</v>
      </c>
      <c r="CV58" s="3">
        <v>-2</v>
      </c>
      <c r="CW58" s="3">
        <v>-4</v>
      </c>
      <c r="CX58" s="3">
        <v>-6</v>
      </c>
      <c r="CY58" s="3">
        <v>-8</v>
      </c>
      <c r="CZ58" s="3">
        <v>-10</v>
      </c>
      <c r="DJ58" s="3">
        <f t="shared" ca="1" si="125"/>
        <v>250</v>
      </c>
      <c r="DK58" s="93">
        <f t="shared" ca="1" si="126"/>
        <v>100</v>
      </c>
      <c r="DL58" s="3">
        <f t="shared" ca="1" si="127"/>
        <v>0</v>
      </c>
      <c r="DO58" s="3">
        <v>2</v>
      </c>
      <c r="EA58" s="3">
        <f t="shared" si="128"/>
        <v>2</v>
      </c>
      <c r="EB58" s="3">
        <f t="shared" si="129"/>
        <v>2</v>
      </c>
      <c r="EC58" s="3">
        <f t="shared" si="130"/>
        <v>0</v>
      </c>
      <c r="ED58" s="3">
        <f t="shared" si="131"/>
        <v>0</v>
      </c>
      <c r="EF58" s="3">
        <f t="shared" ca="1" si="132"/>
        <v>0</v>
      </c>
      <c r="EG58" s="3">
        <f t="shared" ca="1" si="133"/>
        <v>0</v>
      </c>
      <c r="EH58" s="3">
        <f ca="1">IFERROR(IF(LEFT($BA58,1)="4",OFFSET(변환표준점수!$H$118,MATCH($S58,변환표준점수!$B$119:$B$198,0),),OFFSET(EH$3,MATCH(AS58,$ED$4:$ED$8,0),0)),0)</f>
        <v>0</v>
      </c>
      <c r="EI58" s="3">
        <f ca="1">IFERROR(IF(LEFT($BA58,1)="4",OFFSET(변환표준점수!$I$118,MATCH($S58,변환표준점수!$B$119:$B$198,0),0),OFFSET(EI$3,MATCH(AT58,$ED$4:$ED$8,0),0)),0)</f>
        <v>0</v>
      </c>
      <c r="EK58" s="3">
        <f ca="1">IFERROR(IF(LEFT($BA58,1)="4",OFFSET(변환표준점수!$J$118,MATCH($S58,변환표준점수!$B$119:$B$198,0),0),OFFSET(EJ$3,MATCH(AV58,$ED$4:$ED$8,0),0)),0)</f>
        <v>0</v>
      </c>
      <c r="EL58" s="3">
        <f ca="1">IFERROR(IF(LEFT($BA58,1)="4",OFFSET(변환표준점수!$K$118,MATCH($S58,변환표준점수!$B$119:$B$198,0),0),OFFSET(EK$3,MATCH(AW58,$ED$4:$ED$8,0),0)),0)</f>
        <v>0</v>
      </c>
      <c r="EM58" s="3" t="str">
        <f t="shared" ca="1" si="134"/>
        <v/>
      </c>
      <c r="EN58" s="3" t="str">
        <f t="shared" ca="1" si="135"/>
        <v/>
      </c>
      <c r="EO58" s="3">
        <f t="shared" ca="1" si="136"/>
        <v>0</v>
      </c>
      <c r="EQ58" s="3">
        <f t="shared" ca="1" si="137"/>
        <v>0</v>
      </c>
      <c r="ER58" s="3">
        <f t="shared" ca="1" si="138"/>
        <v>0</v>
      </c>
      <c r="ES58" s="3">
        <f t="shared" ca="1" si="139"/>
        <v>0</v>
      </c>
      <c r="ET58" s="3">
        <f t="shared" ca="1" si="140"/>
        <v>0</v>
      </c>
      <c r="EU58" s="3">
        <f t="shared" si="141"/>
        <v>0</v>
      </c>
      <c r="EV58" s="3">
        <f t="shared" ca="1" si="142"/>
        <v>0</v>
      </c>
      <c r="EW58" s="3">
        <f t="shared" ca="1" si="143"/>
        <v>0</v>
      </c>
      <c r="EX58" s="3">
        <f ca="1">LARGE((ES58:ET58,EV58:EW58),1)</f>
        <v>0</v>
      </c>
      <c r="EY58" s="3">
        <f ca="1">IF(O58&lt;2,0,LARGE((ES58:ET58,EV58:EW58),2))</f>
        <v>0</v>
      </c>
      <c r="EZ58" s="3">
        <f t="shared" ca="1" si="144"/>
        <v>0</v>
      </c>
      <c r="FA58" s="3">
        <f t="shared" ca="1" si="145"/>
        <v>0</v>
      </c>
      <c r="FB58" s="3">
        <f t="shared" ca="1" si="146"/>
        <v>0</v>
      </c>
      <c r="FG58" s="3">
        <f t="shared" ca="1" si="147"/>
        <v>0</v>
      </c>
      <c r="FH58" s="618"/>
      <c r="FU58" s="3" t="str">
        <f t="shared" si="51"/>
        <v>표점/만점</v>
      </c>
      <c r="FV58" s="3" t="str">
        <f t="shared" si="52"/>
        <v>변표/만점</v>
      </c>
      <c r="FW58" s="3">
        <f t="shared" ca="1" si="148"/>
        <v>0.47</v>
      </c>
      <c r="FX58" s="3">
        <f t="shared" ca="1" si="149"/>
        <v>0.33</v>
      </c>
      <c r="FY58" s="3">
        <f t="shared" ca="1" si="150"/>
        <v>0.2</v>
      </c>
      <c r="FZ58" s="3">
        <f t="shared" ca="1" si="151"/>
        <v>5.3768147920598173</v>
      </c>
    </row>
    <row r="59" spans="1:182">
      <c r="A59" s="556">
        <v>26</v>
      </c>
      <c r="C59" s="3">
        <f t="shared" si="105"/>
        <v>44</v>
      </c>
      <c r="D59" s="3">
        <v>44</v>
      </c>
      <c r="E59" s="3" t="s">
        <v>341</v>
      </c>
      <c r="F59" s="3">
        <v>1000</v>
      </c>
      <c r="G59" s="3">
        <v>0.3</v>
      </c>
      <c r="H59" s="3">
        <v>0.4</v>
      </c>
      <c r="I59" s="3">
        <v>0.1</v>
      </c>
      <c r="J59" s="3">
        <v>0.1</v>
      </c>
      <c r="L59" s="3">
        <v>0.1</v>
      </c>
      <c r="M59" s="3">
        <v>0.1</v>
      </c>
      <c r="O59" s="3">
        <v>2</v>
      </c>
      <c r="P59" s="3">
        <f t="shared" si="106"/>
        <v>0.89999999999999991</v>
      </c>
      <c r="Q59" s="3">
        <v>17</v>
      </c>
      <c r="S59" s="3">
        <f t="shared" si="107"/>
        <v>17</v>
      </c>
      <c r="W59" s="3">
        <f t="shared" si="108"/>
        <v>0</v>
      </c>
      <c r="Y59" s="3">
        <f t="shared" si="109"/>
        <v>2.1582733812949639</v>
      </c>
      <c r="Z59" s="3">
        <f t="shared" si="110"/>
        <v>2.8571428571428572</v>
      </c>
      <c r="AA59" s="3">
        <f t="shared" ca="1" si="111"/>
        <v>1.4259232853272494</v>
      </c>
      <c r="AB59" s="3">
        <f t="shared" ca="1" si="112"/>
        <v>1.4308198597796538</v>
      </c>
      <c r="AC59" s="3">
        <f t="shared" ca="1" si="113"/>
        <v>1.4259232853272494</v>
      </c>
      <c r="AD59" s="3">
        <f t="shared" si="114"/>
        <v>2.1582733812949639</v>
      </c>
      <c r="AE59" s="3">
        <f t="shared" si="115"/>
        <v>2.8571428571428572</v>
      </c>
      <c r="AF59" s="3">
        <f t="shared" ca="1" si="116"/>
        <v>1.4259232853272494</v>
      </c>
      <c r="AG59" s="3">
        <f t="shared" ca="1" si="117"/>
        <v>1.4259232853272494</v>
      </c>
      <c r="AH59" s="3" t="str">
        <f t="shared" si="118"/>
        <v>자동</v>
      </c>
      <c r="AI59" s="3">
        <f t="shared" ca="1" si="119"/>
        <v>1.4308198597796538</v>
      </c>
      <c r="AJ59" s="3">
        <f t="shared" ca="1" si="120"/>
        <v>1.4308198597796538</v>
      </c>
      <c r="AL59" s="3" t="str">
        <f t="shared" si="121"/>
        <v/>
      </c>
      <c r="AN59" s="3">
        <f ca="1">IF($BA59=42,OFFSET(변환표준점수!C$119,$AP59-1,0),"")</f>
        <v>70.13</v>
      </c>
      <c r="AO59" s="3">
        <f ca="1">IF($BA59=42,OFFSET(변환표준점수!D$119,$AP59-1,0),"")</f>
        <v>69.89</v>
      </c>
      <c r="AP59" s="3">
        <f>IF(S59="","",MATCH(S59,변환표준점수!$B$119:$B$298,0))</f>
        <v>17</v>
      </c>
      <c r="AQ59" s="3">
        <v>12</v>
      </c>
      <c r="AR59" s="3">
        <v>12</v>
      </c>
      <c r="AS59" s="3">
        <v>42</v>
      </c>
      <c r="AT59" s="3">
        <v>42</v>
      </c>
      <c r="AV59" s="3">
        <v>42</v>
      </c>
      <c r="AW59" s="3">
        <v>42</v>
      </c>
      <c r="AX59" s="3">
        <v>3</v>
      </c>
      <c r="AY59" s="3">
        <v>3</v>
      </c>
      <c r="BA59" s="3">
        <f t="shared" si="122"/>
        <v>42</v>
      </c>
      <c r="BF59" s="3">
        <f t="shared" ref="BF59:BG61" ca="1" si="154">0.03*AF59</f>
        <v>4.277769855981748E-2</v>
      </c>
      <c r="BG59" s="3">
        <f t="shared" ca="1" si="154"/>
        <v>4.277769855981748E-2</v>
      </c>
      <c r="BJ59" s="3">
        <f t="shared" si="123"/>
        <v>0</v>
      </c>
      <c r="BN59" s="212" t="s">
        <v>7269</v>
      </c>
      <c r="BS59" s="3">
        <f t="shared" ref="BS59:BT61" si="155">IF($DM$8=2,BF59*EH59,0)</f>
        <v>0</v>
      </c>
      <c r="BT59" s="3">
        <f t="shared" si="155"/>
        <v>0</v>
      </c>
      <c r="CH59" s="206">
        <f t="shared" si="124"/>
        <v>899.99999999999989</v>
      </c>
      <c r="CI59" s="56">
        <v>100</v>
      </c>
      <c r="CJ59" s="3">
        <v>97</v>
      </c>
      <c r="CK59" s="3">
        <v>90</v>
      </c>
      <c r="CL59" s="3">
        <v>80</v>
      </c>
      <c r="CM59" s="3">
        <v>65</v>
      </c>
      <c r="CN59" s="3">
        <v>50</v>
      </c>
      <c r="CO59" s="3">
        <v>30</v>
      </c>
      <c r="CP59" s="3">
        <v>10</v>
      </c>
      <c r="CQ59" s="3">
        <v>0</v>
      </c>
      <c r="CV59" s="3">
        <v>-2</v>
      </c>
      <c r="CW59" s="3">
        <v>-4</v>
      </c>
      <c r="CX59" s="3">
        <v>-6</v>
      </c>
      <c r="CY59" s="3">
        <v>-8</v>
      </c>
      <c r="CZ59" s="3">
        <v>-10</v>
      </c>
      <c r="DJ59" s="3">
        <f t="shared" ca="1" si="125"/>
        <v>100</v>
      </c>
      <c r="DK59" s="93">
        <f t="shared" ca="1" si="126"/>
        <v>100</v>
      </c>
      <c r="DL59" s="3">
        <f t="shared" ca="1" si="127"/>
        <v>0</v>
      </c>
      <c r="DO59" s="3">
        <v>2</v>
      </c>
      <c r="DZ59" s="3">
        <v>1</v>
      </c>
      <c r="EA59" s="3">
        <f t="shared" si="128"/>
        <v>1</v>
      </c>
      <c r="EB59" s="3">
        <f t="shared" si="129"/>
        <v>2</v>
      </c>
      <c r="EC59" s="3">
        <f t="shared" si="130"/>
        <v>0</v>
      </c>
      <c r="ED59" s="3">
        <f t="shared" si="131"/>
        <v>0</v>
      </c>
      <c r="EF59" s="3">
        <f t="shared" ca="1" si="132"/>
        <v>0</v>
      </c>
      <c r="EG59" s="3">
        <f t="shared" ca="1" si="133"/>
        <v>0</v>
      </c>
      <c r="EH59" s="3">
        <f ca="1">IFERROR(IF(LEFT($BA59,1)="4",OFFSET(변환표준점수!$H$118,MATCH($S59,변환표준점수!$B$119:$B$198,0),),OFFSET(EH$3,MATCH(AS59,$ED$4:$ED$8,0),0)),0)</f>
        <v>0</v>
      </c>
      <c r="EI59" s="3">
        <f ca="1">IFERROR(IF(LEFT($BA59,1)="4",OFFSET(변환표준점수!$I$118,MATCH($S59,변환표준점수!$B$119:$B$198,0),0),OFFSET(EI$3,MATCH(AT59,$ED$4:$ED$8,0),0)),0)</f>
        <v>0</v>
      </c>
      <c r="EK59" s="3">
        <f ca="1">IFERROR(IF(LEFT($BA59,1)="4",OFFSET(변환표준점수!$J$118,MATCH($S59,변환표준점수!$B$119:$B$198,0),0),OFFSET(EJ$3,MATCH(AV59,$ED$4:$ED$8,0),0)),0)</f>
        <v>0</v>
      </c>
      <c r="EL59" s="3">
        <f ca="1">IFERROR(IF(LEFT($BA59,1)="4",OFFSET(변환표준점수!$K$118,MATCH($S59,변환표준점수!$B$119:$B$198,0),0),OFFSET(EK$3,MATCH(AW59,$ED$4:$ED$8,0),0)),0)</f>
        <v>0</v>
      </c>
      <c r="EM59" s="3" t="str">
        <f t="shared" ca="1" si="134"/>
        <v/>
      </c>
      <c r="EN59" s="3" t="str">
        <f t="shared" ca="1" si="135"/>
        <v/>
      </c>
      <c r="EO59" s="3">
        <f t="shared" ca="1" si="136"/>
        <v>0</v>
      </c>
      <c r="EQ59" s="3">
        <f t="shared" ca="1" si="137"/>
        <v>0</v>
      </c>
      <c r="ER59" s="3">
        <f t="shared" ca="1" si="138"/>
        <v>0</v>
      </c>
      <c r="ES59" s="3">
        <f t="shared" ca="1" si="139"/>
        <v>0</v>
      </c>
      <c r="ET59" s="3">
        <f t="shared" ca="1" si="140"/>
        <v>0</v>
      </c>
      <c r="EU59" s="3">
        <f t="shared" si="141"/>
        <v>0</v>
      </c>
      <c r="EV59" s="3">
        <f t="shared" ca="1" si="142"/>
        <v>0</v>
      </c>
      <c r="EW59" s="3">
        <f t="shared" ca="1" si="143"/>
        <v>0</v>
      </c>
      <c r="EX59" s="3">
        <f ca="1">LARGE((ES59:ET59,EV59:EW59),1)</f>
        <v>0</v>
      </c>
      <c r="EY59" s="3">
        <f ca="1">IF(O59&lt;2,0,LARGE((ES59:ET59,EV59:EW59),2))</f>
        <v>0</v>
      </c>
      <c r="EZ59" s="3">
        <f t="shared" ca="1" si="144"/>
        <v>0</v>
      </c>
      <c r="FA59" s="3">
        <f t="shared" ca="1" si="145"/>
        <v>0</v>
      </c>
      <c r="FB59" s="3">
        <f t="shared" ca="1" si="146"/>
        <v>0</v>
      </c>
      <c r="FG59" s="3">
        <f t="shared" ca="1" si="147"/>
        <v>0</v>
      </c>
      <c r="FH59" s="618"/>
      <c r="FU59" s="3" t="str">
        <f t="shared" si="51"/>
        <v>표점/만점</v>
      </c>
      <c r="FV59" s="3" t="str">
        <f t="shared" si="52"/>
        <v>변표/만점</v>
      </c>
      <c r="FW59" s="3">
        <f t="shared" ca="1" si="148"/>
        <v>0.34</v>
      </c>
      <c r="FX59" s="3">
        <f t="shared" ca="1" si="149"/>
        <v>0.44</v>
      </c>
      <c r="FY59" s="3">
        <f t="shared" ca="1" si="150"/>
        <v>0.22</v>
      </c>
      <c r="FZ59" s="3">
        <f t="shared" ca="1" si="151"/>
        <v>6.4413395237650697</v>
      </c>
    </row>
    <row r="60" spans="1:182">
      <c r="A60" s="556">
        <v>26</v>
      </c>
      <c r="C60" s="3">
        <f t="shared" si="105"/>
        <v>45</v>
      </c>
      <c r="D60" s="3">
        <v>45</v>
      </c>
      <c r="E60" s="3" t="s">
        <v>342</v>
      </c>
      <c r="F60" s="3">
        <v>1000</v>
      </c>
      <c r="G60" s="3">
        <v>0.3</v>
      </c>
      <c r="H60" s="3">
        <v>0.35</v>
      </c>
      <c r="I60" s="3">
        <v>0.125</v>
      </c>
      <c r="J60" s="3">
        <v>0.125</v>
      </c>
      <c r="L60" s="3">
        <v>0.125</v>
      </c>
      <c r="M60" s="3">
        <v>0.125</v>
      </c>
      <c r="O60" s="3">
        <v>2</v>
      </c>
      <c r="P60" s="3">
        <f t="shared" si="106"/>
        <v>0.89999999999999991</v>
      </c>
      <c r="Q60" s="3">
        <v>17</v>
      </c>
      <c r="S60" s="3">
        <f t="shared" si="107"/>
        <v>17</v>
      </c>
      <c r="W60" s="3">
        <f t="shared" si="108"/>
        <v>0</v>
      </c>
      <c r="Y60" s="3">
        <f t="shared" si="109"/>
        <v>2.1582733812949639</v>
      </c>
      <c r="Z60" s="3">
        <f t="shared" si="110"/>
        <v>2.5</v>
      </c>
      <c r="AA60" s="3">
        <f t="shared" ca="1" si="111"/>
        <v>1.7824041066590619</v>
      </c>
      <c r="AB60" s="3">
        <f t="shared" ca="1" si="112"/>
        <v>1.7885248247245671</v>
      </c>
      <c r="AC60" s="3">
        <f t="shared" ca="1" si="113"/>
        <v>1.7824041066590619</v>
      </c>
      <c r="AD60" s="3">
        <f t="shared" si="114"/>
        <v>2.1582733812949639</v>
      </c>
      <c r="AE60" s="3">
        <f t="shared" si="115"/>
        <v>2.5</v>
      </c>
      <c r="AF60" s="3">
        <f t="shared" ca="1" si="116"/>
        <v>1.7824041066590619</v>
      </c>
      <c r="AG60" s="3">
        <f t="shared" ca="1" si="117"/>
        <v>1.7824041066590619</v>
      </c>
      <c r="AH60" s="3" t="str">
        <f t="shared" si="118"/>
        <v>자동</v>
      </c>
      <c r="AI60" s="3">
        <f t="shared" ca="1" si="119"/>
        <v>1.7885248247245671</v>
      </c>
      <c r="AJ60" s="3">
        <f t="shared" ca="1" si="120"/>
        <v>1.7885248247245671</v>
      </c>
      <c r="AL60" s="3" t="str">
        <f t="shared" si="121"/>
        <v/>
      </c>
      <c r="AN60" s="3">
        <f ca="1">IF($BA60=42,OFFSET(변환표준점수!C$119,$AP60-1,0),"")</f>
        <v>70.13</v>
      </c>
      <c r="AO60" s="3">
        <f ca="1">IF($BA60=42,OFFSET(변환표준점수!D$119,$AP60-1,0),"")</f>
        <v>69.89</v>
      </c>
      <c r="AP60" s="3">
        <f>IF(S60="","",MATCH(S60,변환표준점수!$B$119:$B$298,0))</f>
        <v>17</v>
      </c>
      <c r="AQ60" s="3">
        <v>12</v>
      </c>
      <c r="AR60" s="3">
        <v>12</v>
      </c>
      <c r="AS60" s="3">
        <v>42</v>
      </c>
      <c r="AT60" s="3">
        <v>42</v>
      </c>
      <c r="AV60" s="3">
        <v>42</v>
      </c>
      <c r="AW60" s="3">
        <v>42</v>
      </c>
      <c r="AX60" s="3">
        <v>3</v>
      </c>
      <c r="AY60" s="3">
        <v>3</v>
      </c>
      <c r="BA60" s="3">
        <f t="shared" si="122"/>
        <v>42</v>
      </c>
      <c r="BF60" s="3">
        <f t="shared" ca="1" si="154"/>
        <v>5.3472123199771855E-2</v>
      </c>
      <c r="BG60" s="3">
        <f t="shared" ca="1" si="154"/>
        <v>5.3472123199771855E-2</v>
      </c>
      <c r="BJ60" s="3">
        <f t="shared" si="123"/>
        <v>0</v>
      </c>
      <c r="BN60" s="212" t="s">
        <v>7269</v>
      </c>
      <c r="BS60" s="3">
        <f t="shared" si="155"/>
        <v>0</v>
      </c>
      <c r="BT60" s="3">
        <f t="shared" si="155"/>
        <v>0</v>
      </c>
      <c r="CH60" s="206">
        <f t="shared" si="124"/>
        <v>899.99999999999989</v>
      </c>
      <c r="CI60" s="56">
        <v>100</v>
      </c>
      <c r="CJ60" s="3">
        <v>97</v>
      </c>
      <c r="CK60" s="3">
        <v>90</v>
      </c>
      <c r="CL60" s="3">
        <v>80</v>
      </c>
      <c r="CM60" s="3">
        <v>65</v>
      </c>
      <c r="CN60" s="3">
        <v>50</v>
      </c>
      <c r="CO60" s="3">
        <v>30</v>
      </c>
      <c r="CP60" s="3">
        <v>10</v>
      </c>
      <c r="CQ60" s="3">
        <v>0</v>
      </c>
      <c r="CV60" s="3">
        <v>-2</v>
      </c>
      <c r="CW60" s="3">
        <v>-4</v>
      </c>
      <c r="CX60" s="3">
        <v>-6</v>
      </c>
      <c r="CY60" s="3">
        <v>-8</v>
      </c>
      <c r="CZ60" s="3">
        <v>-10</v>
      </c>
      <c r="DJ60" s="3">
        <f t="shared" ca="1" si="125"/>
        <v>100</v>
      </c>
      <c r="DK60" s="93">
        <f t="shared" ca="1" si="126"/>
        <v>100</v>
      </c>
      <c r="DL60" s="3">
        <f t="shared" ca="1" si="127"/>
        <v>0</v>
      </c>
      <c r="DO60" s="3">
        <v>2</v>
      </c>
      <c r="DZ60" s="3">
        <v>1</v>
      </c>
      <c r="EA60" s="3">
        <f t="shared" si="128"/>
        <v>1</v>
      </c>
      <c r="EB60" s="3">
        <f t="shared" si="129"/>
        <v>2</v>
      </c>
      <c r="EC60" s="3">
        <f t="shared" si="130"/>
        <v>0</v>
      </c>
      <c r="ED60" s="3">
        <f t="shared" si="131"/>
        <v>0</v>
      </c>
      <c r="EF60" s="3">
        <f t="shared" ca="1" si="132"/>
        <v>0</v>
      </c>
      <c r="EG60" s="3">
        <f t="shared" ca="1" si="133"/>
        <v>0</v>
      </c>
      <c r="EH60" s="3">
        <f ca="1">IFERROR(IF(LEFT($BA60,1)="4",OFFSET(변환표준점수!$H$118,MATCH($S60,변환표준점수!$B$119:$B$198,0),),OFFSET(EH$3,MATCH(AS60,$ED$4:$ED$8,0),0)),0)</f>
        <v>0</v>
      </c>
      <c r="EI60" s="3">
        <f ca="1">IFERROR(IF(LEFT($BA60,1)="4",OFFSET(변환표준점수!$I$118,MATCH($S60,변환표준점수!$B$119:$B$198,0),0),OFFSET(EI$3,MATCH(AT60,$ED$4:$ED$8,0),0)),0)</f>
        <v>0</v>
      </c>
      <c r="EK60" s="3">
        <f ca="1">IFERROR(IF(LEFT($BA60,1)="4",OFFSET(변환표준점수!$J$118,MATCH($S60,변환표준점수!$B$119:$B$198,0),0),OFFSET(EJ$3,MATCH(AV60,$ED$4:$ED$8,0),0)),0)</f>
        <v>0</v>
      </c>
      <c r="EL60" s="3">
        <f ca="1">IFERROR(IF(LEFT($BA60,1)="4",OFFSET(변환표준점수!$K$118,MATCH($S60,변환표준점수!$B$119:$B$198,0),0),OFFSET(EK$3,MATCH(AW60,$ED$4:$ED$8,0),0)),0)</f>
        <v>0</v>
      </c>
      <c r="EM60" s="3" t="str">
        <f t="shared" ca="1" si="134"/>
        <v/>
      </c>
      <c r="EN60" s="3" t="str">
        <f t="shared" ca="1" si="135"/>
        <v/>
      </c>
      <c r="EO60" s="3">
        <f t="shared" ca="1" si="136"/>
        <v>0</v>
      </c>
      <c r="EQ60" s="3">
        <f t="shared" ca="1" si="137"/>
        <v>0</v>
      </c>
      <c r="ER60" s="3">
        <f t="shared" ca="1" si="138"/>
        <v>0</v>
      </c>
      <c r="ES60" s="3">
        <f t="shared" ca="1" si="139"/>
        <v>0</v>
      </c>
      <c r="ET60" s="3">
        <f t="shared" ca="1" si="140"/>
        <v>0</v>
      </c>
      <c r="EU60" s="3">
        <f t="shared" si="141"/>
        <v>0</v>
      </c>
      <c r="EV60" s="3">
        <f t="shared" ca="1" si="142"/>
        <v>0</v>
      </c>
      <c r="EW60" s="3">
        <f t="shared" ca="1" si="143"/>
        <v>0</v>
      </c>
      <c r="EX60" s="3">
        <f ca="1">LARGE((ES60:ET60,EV60:EW60),1)</f>
        <v>0</v>
      </c>
      <c r="EY60" s="3">
        <f ca="1">IF(O60&lt;2,0,LARGE((ES60:ET60,EV60:EW60),2))</f>
        <v>0</v>
      </c>
      <c r="EZ60" s="3">
        <f t="shared" ca="1" si="144"/>
        <v>0</v>
      </c>
      <c r="FA60" s="3">
        <f t="shared" ca="1" si="145"/>
        <v>0</v>
      </c>
      <c r="FB60" s="3">
        <f t="shared" ca="1" si="146"/>
        <v>0</v>
      </c>
      <c r="FG60" s="3">
        <f t="shared" ca="1" si="147"/>
        <v>0</v>
      </c>
      <c r="FH60" s="618"/>
      <c r="FU60" s="3" t="str">
        <f t="shared" si="51"/>
        <v>표점/만점</v>
      </c>
      <c r="FV60" s="3" t="str">
        <f t="shared" si="52"/>
        <v>변표/만점</v>
      </c>
      <c r="FW60" s="3">
        <f t="shared" ca="1" si="148"/>
        <v>0.34</v>
      </c>
      <c r="FX60" s="3">
        <f t="shared" ca="1" si="149"/>
        <v>0.39</v>
      </c>
      <c r="FY60" s="3">
        <f t="shared" ca="1" si="150"/>
        <v>0.28000000000000003</v>
      </c>
      <c r="FZ60" s="3">
        <f t="shared" ca="1" si="151"/>
        <v>6.4406774879540256</v>
      </c>
    </row>
    <row r="61" spans="1:182">
      <c r="A61" s="556" t="s">
        <v>7685</v>
      </c>
      <c r="C61" s="3">
        <f t="shared" si="105"/>
        <v>46</v>
      </c>
      <c r="D61" s="3">
        <v>46</v>
      </c>
      <c r="E61" s="3" t="s">
        <v>343</v>
      </c>
      <c r="F61" s="3">
        <v>1000</v>
      </c>
      <c r="G61" s="3">
        <v>0.2</v>
      </c>
      <c r="H61" s="3">
        <v>0.35</v>
      </c>
      <c r="I61" s="3">
        <v>0.17499999999999999</v>
      </c>
      <c r="J61" s="3">
        <v>0.17499999999999999</v>
      </c>
      <c r="L61" s="3">
        <v>0.17499999999999999</v>
      </c>
      <c r="M61" s="3">
        <v>0.17499999999999999</v>
      </c>
      <c r="O61" s="3">
        <v>2</v>
      </c>
      <c r="P61" s="3">
        <f t="shared" si="106"/>
        <v>0.9</v>
      </c>
      <c r="Q61" s="3">
        <v>17</v>
      </c>
      <c r="S61" s="3">
        <f t="shared" si="107"/>
        <v>17</v>
      </c>
      <c r="W61" s="3">
        <f t="shared" si="108"/>
        <v>0</v>
      </c>
      <c r="Y61" s="3">
        <f t="shared" si="109"/>
        <v>1.4388489208633093</v>
      </c>
      <c r="Z61" s="3">
        <f t="shared" si="110"/>
        <v>2.5</v>
      </c>
      <c r="AA61" s="3">
        <f t="shared" ca="1" si="111"/>
        <v>2.4953657493226866</v>
      </c>
      <c r="AB61" s="3">
        <f t="shared" ca="1" si="112"/>
        <v>2.5039347546143942</v>
      </c>
      <c r="AC61" s="3">
        <f t="shared" ca="1" si="113"/>
        <v>2.4953657493226866</v>
      </c>
      <c r="AD61" s="3">
        <f t="shared" si="114"/>
        <v>1.4388489208633093</v>
      </c>
      <c r="AE61" s="3">
        <f t="shared" si="115"/>
        <v>2.5</v>
      </c>
      <c r="AF61" s="3">
        <f t="shared" ca="1" si="116"/>
        <v>2.4953657493226866</v>
      </c>
      <c r="AG61" s="3">
        <f t="shared" ca="1" si="117"/>
        <v>2.4953657493226866</v>
      </c>
      <c r="AH61" s="3" t="str">
        <f t="shared" si="118"/>
        <v>자동</v>
      </c>
      <c r="AI61" s="3">
        <f t="shared" ca="1" si="119"/>
        <v>2.5039347546143942</v>
      </c>
      <c r="AJ61" s="3">
        <f t="shared" ca="1" si="120"/>
        <v>2.5039347546143942</v>
      </c>
      <c r="AL61" s="3" t="str">
        <f t="shared" si="121"/>
        <v/>
      </c>
      <c r="AN61" s="3">
        <f ca="1">IF($BA61=42,OFFSET(변환표준점수!C$119,$AP61-1,0),"")</f>
        <v>70.13</v>
      </c>
      <c r="AO61" s="3">
        <f ca="1">IF($BA61=42,OFFSET(변환표준점수!D$119,$AP61-1,0),"")</f>
        <v>69.89</v>
      </c>
      <c r="AP61" s="3">
        <f>IF(S61="","",MATCH(S61,변환표준점수!$B$119:$B$298,0))</f>
        <v>17</v>
      </c>
      <c r="AQ61" s="3">
        <v>12</v>
      </c>
      <c r="AR61" s="3">
        <v>12</v>
      </c>
      <c r="AS61" s="3">
        <v>42</v>
      </c>
      <c r="AT61" s="3">
        <v>42</v>
      </c>
      <c r="AV61" s="3">
        <v>42</v>
      </c>
      <c r="AW61" s="3">
        <v>42</v>
      </c>
      <c r="AX61" s="3">
        <v>3</v>
      </c>
      <c r="AY61" s="3">
        <v>3</v>
      </c>
      <c r="BA61" s="3">
        <f t="shared" si="122"/>
        <v>42</v>
      </c>
      <c r="BF61" s="3">
        <f t="shared" ca="1" si="154"/>
        <v>7.4860972479680599E-2</v>
      </c>
      <c r="BG61" s="3">
        <f t="shared" ca="1" si="154"/>
        <v>7.4860972479680599E-2</v>
      </c>
      <c r="BJ61" s="3">
        <f t="shared" si="123"/>
        <v>0</v>
      </c>
      <c r="BN61" s="212" t="s">
        <v>7269</v>
      </c>
      <c r="BS61" s="3">
        <f t="shared" si="155"/>
        <v>0</v>
      </c>
      <c r="BT61" s="3">
        <f t="shared" si="155"/>
        <v>0</v>
      </c>
      <c r="CH61" s="206">
        <f t="shared" si="124"/>
        <v>900</v>
      </c>
      <c r="CI61" s="56">
        <v>100</v>
      </c>
      <c r="CJ61" s="3">
        <v>98</v>
      </c>
      <c r="CK61" s="3">
        <v>94</v>
      </c>
      <c r="CL61" s="3">
        <v>90</v>
      </c>
      <c r="CM61" s="3">
        <v>86</v>
      </c>
      <c r="CN61" s="3">
        <v>82</v>
      </c>
      <c r="CO61" s="3">
        <v>78</v>
      </c>
      <c r="CP61" s="3">
        <v>74</v>
      </c>
      <c r="CQ61" s="3">
        <v>0</v>
      </c>
      <c r="CV61" s="3">
        <v>-2</v>
      </c>
      <c r="CW61" s="3">
        <v>-4</v>
      </c>
      <c r="CX61" s="3">
        <v>-6</v>
      </c>
      <c r="CY61" s="3">
        <v>-8</v>
      </c>
      <c r="CZ61" s="3">
        <v>-10</v>
      </c>
      <c r="DJ61" s="3">
        <f t="shared" ca="1" si="125"/>
        <v>100</v>
      </c>
      <c r="DK61" s="93">
        <f t="shared" ca="1" si="126"/>
        <v>100</v>
      </c>
      <c r="DL61" s="3">
        <f t="shared" ca="1" si="127"/>
        <v>0</v>
      </c>
      <c r="DO61" s="3">
        <v>2</v>
      </c>
      <c r="DZ61" s="3">
        <v>1</v>
      </c>
      <c r="EA61" s="3">
        <f t="shared" si="128"/>
        <v>1</v>
      </c>
      <c r="EB61" s="3">
        <f t="shared" si="129"/>
        <v>2</v>
      </c>
      <c r="EC61" s="3">
        <f t="shared" si="130"/>
        <v>0</v>
      </c>
      <c r="ED61" s="3">
        <f t="shared" si="131"/>
        <v>0</v>
      </c>
      <c r="EF61" s="3">
        <f t="shared" ca="1" si="132"/>
        <v>0</v>
      </c>
      <c r="EG61" s="3">
        <f t="shared" ca="1" si="133"/>
        <v>0</v>
      </c>
      <c r="EH61" s="3">
        <f ca="1">IFERROR(IF(LEFT($BA61,1)="4",OFFSET(변환표준점수!$H$118,MATCH($S61,변환표준점수!$B$119:$B$198,0),),OFFSET(EH$3,MATCH(AS61,$ED$4:$ED$8,0),0)),0)</f>
        <v>0</v>
      </c>
      <c r="EI61" s="3">
        <f ca="1">IFERROR(IF(LEFT($BA61,1)="4",OFFSET(변환표준점수!$I$118,MATCH($S61,변환표준점수!$B$119:$B$198,0),0),OFFSET(EI$3,MATCH(AT61,$ED$4:$ED$8,0),0)),0)</f>
        <v>0</v>
      </c>
      <c r="EK61" s="3">
        <f ca="1">IFERROR(IF(LEFT($BA61,1)="4",OFFSET(변환표준점수!$J$118,MATCH($S61,변환표준점수!$B$119:$B$198,0),0),OFFSET(EJ$3,MATCH(AV61,$ED$4:$ED$8,0),0)),0)</f>
        <v>0</v>
      </c>
      <c r="EL61" s="3">
        <f ca="1">IFERROR(IF(LEFT($BA61,1)="4",OFFSET(변환표준점수!$K$118,MATCH($S61,변환표준점수!$B$119:$B$198,0),0),OFFSET(EK$3,MATCH(AW61,$ED$4:$ED$8,0),0)),0)</f>
        <v>0</v>
      </c>
      <c r="EM61" s="3" t="str">
        <f t="shared" ca="1" si="134"/>
        <v/>
      </c>
      <c r="EN61" s="3" t="str">
        <f t="shared" ca="1" si="135"/>
        <v/>
      </c>
      <c r="EO61" s="3">
        <f t="shared" ca="1" si="136"/>
        <v>0</v>
      </c>
      <c r="EQ61" s="3">
        <f t="shared" ca="1" si="137"/>
        <v>0</v>
      </c>
      <c r="ER61" s="3">
        <f t="shared" ca="1" si="138"/>
        <v>0</v>
      </c>
      <c r="ES61" s="3">
        <f t="shared" ca="1" si="139"/>
        <v>0</v>
      </c>
      <c r="ET61" s="3">
        <f t="shared" ca="1" si="140"/>
        <v>0</v>
      </c>
      <c r="EU61" s="3">
        <f t="shared" si="141"/>
        <v>0</v>
      </c>
      <c r="EV61" s="3">
        <f t="shared" ca="1" si="142"/>
        <v>0</v>
      </c>
      <c r="EW61" s="3">
        <f t="shared" ca="1" si="143"/>
        <v>0</v>
      </c>
      <c r="EX61" s="3">
        <f ca="1">LARGE((ES61:ET61,EV61:EW61),1)</f>
        <v>0</v>
      </c>
      <c r="EY61" s="3">
        <f ca="1">IF(O61&lt;2,0,LARGE((ES61:ET61,EV61:EW61),2))</f>
        <v>0</v>
      </c>
      <c r="EZ61" s="3">
        <f t="shared" ca="1" si="144"/>
        <v>0</v>
      </c>
      <c r="FA61" s="3">
        <f t="shared" ca="1" si="145"/>
        <v>0</v>
      </c>
      <c r="FB61" s="3">
        <f t="shared" ca="1" si="146"/>
        <v>0</v>
      </c>
      <c r="FG61" s="3">
        <f t="shared" ca="1" si="147"/>
        <v>0</v>
      </c>
      <c r="FH61" s="618"/>
      <c r="FU61" s="3" t="str">
        <f t="shared" si="51"/>
        <v>표점/만점</v>
      </c>
      <c r="FV61" s="3" t="str">
        <f t="shared" si="52"/>
        <v>변표/만점</v>
      </c>
      <c r="FW61" s="3">
        <f t="shared" ca="1" si="148"/>
        <v>0.22</v>
      </c>
      <c r="FX61" s="3">
        <f t="shared" ca="1" si="149"/>
        <v>0.39</v>
      </c>
      <c r="FY61" s="3">
        <f t="shared" ca="1" si="150"/>
        <v>0.39</v>
      </c>
      <c r="FZ61" s="3">
        <f t="shared" ca="1" si="151"/>
        <v>6.4342146701859964</v>
      </c>
    </row>
    <row r="62" spans="1:182">
      <c r="A62" s="556">
        <v>26</v>
      </c>
      <c r="C62" s="3">
        <f t="shared" si="105"/>
        <v>47</v>
      </c>
      <c r="D62" s="3">
        <v>47</v>
      </c>
      <c r="E62" s="3" t="s">
        <v>7688</v>
      </c>
      <c r="F62" s="3">
        <v>1000</v>
      </c>
      <c r="G62" s="3">
        <v>0.3</v>
      </c>
      <c r="H62" s="3">
        <v>0.4</v>
      </c>
      <c r="I62" s="3">
        <v>0.1</v>
      </c>
      <c r="J62" s="3">
        <v>0.1</v>
      </c>
      <c r="L62" s="3">
        <v>0.1</v>
      </c>
      <c r="M62" s="3">
        <v>0.1</v>
      </c>
      <c r="O62" s="3">
        <v>2</v>
      </c>
      <c r="P62" s="3">
        <f t="shared" si="106"/>
        <v>0.89999999999999991</v>
      </c>
      <c r="Q62" s="3">
        <v>19</v>
      </c>
      <c r="S62" s="3">
        <f t="shared" si="107"/>
        <v>19</v>
      </c>
      <c r="W62" s="3">
        <f t="shared" si="108"/>
        <v>0</v>
      </c>
      <c r="Y62" s="3">
        <f t="shared" si="109"/>
        <v>1.5</v>
      </c>
      <c r="Z62" s="3">
        <f t="shared" si="110"/>
        <v>2</v>
      </c>
      <c r="AA62" s="3">
        <f t="shared" si="111"/>
        <v>1</v>
      </c>
      <c r="AB62" s="3">
        <f t="shared" si="112"/>
        <v>1</v>
      </c>
      <c r="AC62" s="3">
        <f t="shared" si="113"/>
        <v>1</v>
      </c>
      <c r="AD62" s="3">
        <f t="shared" si="114"/>
        <v>1.5</v>
      </c>
      <c r="AE62" s="3">
        <f t="shared" si="115"/>
        <v>2</v>
      </c>
      <c r="AF62" s="3">
        <f t="shared" si="116"/>
        <v>1</v>
      </c>
      <c r="AG62" s="3">
        <f t="shared" si="117"/>
        <v>1</v>
      </c>
      <c r="AH62" s="3" t="str">
        <f t="shared" si="118"/>
        <v>자동</v>
      </c>
      <c r="AI62" s="3">
        <f t="shared" si="119"/>
        <v>1</v>
      </c>
      <c r="AJ62" s="3">
        <f t="shared" si="120"/>
        <v>1</v>
      </c>
      <c r="AL62" s="3" t="str">
        <f t="shared" si="121"/>
        <v/>
      </c>
      <c r="AN62" s="3" t="str">
        <f ca="1">IF($BA62=42,OFFSET(변환표준점수!C$119,$AP62-1,0),"")</f>
        <v/>
      </c>
      <c r="AO62" s="3" t="str">
        <f ca="1">IF($BA62=42,OFFSET(변환표준점수!D$119,$AP62-1,0),"")</f>
        <v/>
      </c>
      <c r="AP62" s="3">
        <f>IF(S62="","",MATCH(S62,변환표준점수!$B$119:$B$298,0))</f>
        <v>19</v>
      </c>
      <c r="AQ62" s="3">
        <v>1</v>
      </c>
      <c r="AR62" s="3">
        <v>1</v>
      </c>
      <c r="AS62" s="3">
        <v>4</v>
      </c>
      <c r="AT62" s="3">
        <v>4</v>
      </c>
      <c r="AV62" s="3">
        <v>4</v>
      </c>
      <c r="AW62" s="3">
        <v>4</v>
      </c>
      <c r="AX62" s="3">
        <v>3</v>
      </c>
      <c r="AY62" s="3">
        <v>3</v>
      </c>
      <c r="BA62" s="3">
        <f t="shared" si="122"/>
        <v>4</v>
      </c>
      <c r="BJ62" s="3">
        <f t="shared" si="123"/>
        <v>0</v>
      </c>
      <c r="CH62" s="206">
        <f t="shared" si="124"/>
        <v>899.99999999999989</v>
      </c>
      <c r="CI62" s="56">
        <v>100</v>
      </c>
      <c r="CJ62" s="3">
        <v>98.5</v>
      </c>
      <c r="CK62" s="3">
        <v>97</v>
      </c>
      <c r="CL62" s="3">
        <v>95</v>
      </c>
      <c r="CM62" s="3">
        <v>92.5</v>
      </c>
      <c r="CN62" s="3">
        <v>90</v>
      </c>
      <c r="CO62" s="3">
        <v>85</v>
      </c>
      <c r="CP62" s="3">
        <v>80</v>
      </c>
      <c r="CQ62" s="3">
        <v>75</v>
      </c>
      <c r="CV62" s="3">
        <v>-1</v>
      </c>
      <c r="CW62" s="3">
        <v>-1.75</v>
      </c>
      <c r="CX62" s="3">
        <v>-3</v>
      </c>
      <c r="CY62" s="3">
        <v>-4.25</v>
      </c>
      <c r="CZ62" s="3">
        <v>-5</v>
      </c>
      <c r="DJ62" s="3">
        <f t="shared" ca="1" si="125"/>
        <v>100</v>
      </c>
      <c r="DK62" s="93">
        <f t="shared" ca="1" si="126"/>
        <v>100</v>
      </c>
      <c r="DL62" s="3">
        <f t="shared" ca="1" si="127"/>
        <v>0</v>
      </c>
      <c r="DO62" s="3">
        <v>2</v>
      </c>
      <c r="DZ62" s="3">
        <v>1</v>
      </c>
      <c r="EA62" s="3">
        <f t="shared" si="128"/>
        <v>1</v>
      </c>
      <c r="EB62" s="3">
        <f t="shared" si="129"/>
        <v>2</v>
      </c>
      <c r="EC62" s="3">
        <f t="shared" si="130"/>
        <v>0</v>
      </c>
      <c r="ED62" s="3">
        <f t="shared" si="131"/>
        <v>0</v>
      </c>
      <c r="EF62" s="3">
        <f t="shared" ca="1" si="132"/>
        <v>0</v>
      </c>
      <c r="EG62" s="3">
        <f t="shared" ca="1" si="133"/>
        <v>0</v>
      </c>
      <c r="EH62" s="3">
        <f ca="1">IFERROR(IF(LEFT($BA62,1)="4",OFFSET(변환표준점수!$H$118,MATCH($S62,변환표준점수!$B$119:$B$198,0),),OFFSET(EH$3,MATCH(AS62,$ED$4:$ED$8,0),0)),0)</f>
        <v>0</v>
      </c>
      <c r="EI62" s="3">
        <f ca="1">IFERROR(IF(LEFT($BA62,1)="4",OFFSET(변환표준점수!$I$118,MATCH($S62,변환표준점수!$B$119:$B$198,0),0),OFFSET(EI$3,MATCH(AT62,$ED$4:$ED$8,0),0)),0)</f>
        <v>0</v>
      </c>
      <c r="EK62" s="3">
        <f ca="1">IFERROR(IF(LEFT($BA62,1)="4",OFFSET(변환표준점수!$J$118,MATCH($S62,변환표준점수!$B$119:$B$198,0),0),OFFSET(EJ$3,MATCH(AV62,$ED$4:$ED$8,0),0)),0)</f>
        <v>0</v>
      </c>
      <c r="EL62" s="3">
        <f ca="1">IFERROR(IF(LEFT($BA62,1)="4",OFFSET(변환표준점수!$K$118,MATCH($S62,변환표준점수!$B$119:$B$198,0),0),OFFSET(EK$3,MATCH(AW62,$ED$4:$ED$8,0),0)),0)</f>
        <v>0</v>
      </c>
      <c r="EM62" s="3" t="str">
        <f t="shared" ca="1" si="134"/>
        <v/>
      </c>
      <c r="EN62" s="3" t="str">
        <f t="shared" ca="1" si="135"/>
        <v/>
      </c>
      <c r="EO62" s="3">
        <f t="shared" ca="1" si="136"/>
        <v>0</v>
      </c>
      <c r="EQ62" s="3">
        <f t="shared" ca="1" si="137"/>
        <v>0</v>
      </c>
      <c r="ER62" s="3">
        <f t="shared" ca="1" si="138"/>
        <v>0</v>
      </c>
      <c r="ES62" s="3">
        <f t="shared" ca="1" si="139"/>
        <v>0</v>
      </c>
      <c r="ET62" s="3">
        <f t="shared" ca="1" si="140"/>
        <v>0</v>
      </c>
      <c r="EU62" s="3">
        <f t="shared" si="141"/>
        <v>0</v>
      </c>
      <c r="EV62" s="3">
        <f t="shared" ca="1" si="142"/>
        <v>0</v>
      </c>
      <c r="EW62" s="3">
        <f t="shared" ca="1" si="143"/>
        <v>0</v>
      </c>
      <c r="EX62" s="3">
        <f ca="1">LARGE((ES62:ET62,EV62:EW62),1)</f>
        <v>0</v>
      </c>
      <c r="EY62" s="3">
        <f ca="1">IF(O62&lt;2,0,LARGE((ES62:ET62,EV62:EW62),2))</f>
        <v>0</v>
      </c>
      <c r="EZ62" s="3">
        <f t="shared" ca="1" si="144"/>
        <v>0</v>
      </c>
      <c r="FA62" s="3">
        <f t="shared" ca="1" si="145"/>
        <v>0</v>
      </c>
      <c r="FB62" s="3">
        <f t="shared" ca="1" si="146"/>
        <v>0</v>
      </c>
      <c r="FG62" s="3">
        <f t="shared" ca="1" si="147"/>
        <v>0</v>
      </c>
      <c r="FH62" s="618"/>
      <c r="FU62" s="3" t="str">
        <f t="shared" si="51"/>
        <v>표점</v>
      </c>
      <c r="FV62" s="3" t="str">
        <f t="shared" si="52"/>
        <v>변표</v>
      </c>
      <c r="FW62" s="3">
        <f t="shared" si="148"/>
        <v>0.33</v>
      </c>
      <c r="FX62" s="3">
        <f t="shared" si="149"/>
        <v>0.44</v>
      </c>
      <c r="FY62" s="3">
        <f t="shared" si="150"/>
        <v>0.22</v>
      </c>
      <c r="FZ62" s="3">
        <f t="shared" si="151"/>
        <v>4.5</v>
      </c>
    </row>
    <row r="63" spans="1:182">
      <c r="A63" s="556">
        <v>26</v>
      </c>
      <c r="C63" s="3">
        <f t="shared" si="105"/>
        <v>48</v>
      </c>
      <c r="D63" s="3">
        <v>48</v>
      </c>
      <c r="E63" s="3" t="s">
        <v>7689</v>
      </c>
      <c r="F63" s="3">
        <v>1000</v>
      </c>
      <c r="G63" s="3">
        <v>0.4</v>
      </c>
      <c r="H63" s="3">
        <v>0.3</v>
      </c>
      <c r="I63" s="3">
        <v>0.1</v>
      </c>
      <c r="J63" s="3">
        <v>0.1</v>
      </c>
      <c r="L63" s="3">
        <v>0.1</v>
      </c>
      <c r="M63" s="3">
        <v>0.1</v>
      </c>
      <c r="O63" s="3">
        <v>2</v>
      </c>
      <c r="P63" s="3">
        <f t="shared" si="106"/>
        <v>0.89999999999999991</v>
      </c>
      <c r="Q63" s="3">
        <v>19</v>
      </c>
      <c r="S63" s="3">
        <f t="shared" si="107"/>
        <v>19</v>
      </c>
      <c r="W63" s="3">
        <f t="shared" si="108"/>
        <v>0</v>
      </c>
      <c r="Y63" s="3">
        <f t="shared" si="109"/>
        <v>2</v>
      </c>
      <c r="Z63" s="3">
        <f t="shared" si="110"/>
        <v>1.5</v>
      </c>
      <c r="AA63" s="3">
        <f t="shared" si="111"/>
        <v>1</v>
      </c>
      <c r="AB63" s="3">
        <f t="shared" si="112"/>
        <v>1</v>
      </c>
      <c r="AC63" s="3">
        <f t="shared" si="113"/>
        <v>1</v>
      </c>
      <c r="AD63" s="3">
        <f t="shared" si="114"/>
        <v>2</v>
      </c>
      <c r="AE63" s="3">
        <f t="shared" si="115"/>
        <v>1.5</v>
      </c>
      <c r="AF63" s="3">
        <f t="shared" si="116"/>
        <v>1</v>
      </c>
      <c r="AG63" s="3">
        <f t="shared" si="117"/>
        <v>1</v>
      </c>
      <c r="AH63" s="3" t="str">
        <f t="shared" si="118"/>
        <v>자동</v>
      </c>
      <c r="AI63" s="3">
        <f t="shared" si="119"/>
        <v>1</v>
      </c>
      <c r="AJ63" s="3">
        <f t="shared" si="120"/>
        <v>1</v>
      </c>
      <c r="AL63" s="3" t="str">
        <f t="shared" si="121"/>
        <v/>
      </c>
      <c r="AN63" s="3" t="str">
        <f ca="1">IF($BA63=42,OFFSET(변환표준점수!C$119,$AP63-1,0),"")</f>
        <v/>
      </c>
      <c r="AO63" s="3" t="str">
        <f ca="1">IF($BA63=42,OFFSET(변환표준점수!D$119,$AP63-1,0),"")</f>
        <v/>
      </c>
      <c r="AP63" s="3">
        <f>IF(S63="","",MATCH(S63,변환표준점수!$B$119:$B$298,0))</f>
        <v>19</v>
      </c>
      <c r="AQ63" s="3">
        <v>1</v>
      </c>
      <c r="AR63" s="3">
        <v>1</v>
      </c>
      <c r="AS63" s="3">
        <v>4</v>
      </c>
      <c r="AT63" s="3">
        <v>4</v>
      </c>
      <c r="AV63" s="3">
        <v>4</v>
      </c>
      <c r="AW63" s="3">
        <v>4</v>
      </c>
      <c r="AX63" s="3">
        <v>3</v>
      </c>
      <c r="AY63" s="3">
        <v>3</v>
      </c>
      <c r="BA63" s="3">
        <f t="shared" si="122"/>
        <v>4</v>
      </c>
      <c r="BJ63" s="3">
        <f t="shared" si="123"/>
        <v>0</v>
      </c>
      <c r="CH63" s="206">
        <f t="shared" si="124"/>
        <v>899.99999999999989</v>
      </c>
      <c r="CI63" s="56">
        <v>100</v>
      </c>
      <c r="CJ63" s="3">
        <v>98.5</v>
      </c>
      <c r="CK63" s="3">
        <v>97</v>
      </c>
      <c r="CL63" s="3">
        <v>95</v>
      </c>
      <c r="CM63" s="3">
        <v>92.5</v>
      </c>
      <c r="CN63" s="3">
        <v>90</v>
      </c>
      <c r="CO63" s="3">
        <v>85</v>
      </c>
      <c r="CP63" s="3">
        <v>80</v>
      </c>
      <c r="CQ63" s="3">
        <v>75</v>
      </c>
      <c r="CV63" s="3">
        <v>-1</v>
      </c>
      <c r="CW63" s="3">
        <v>-1.75</v>
      </c>
      <c r="CX63" s="3">
        <v>-3</v>
      </c>
      <c r="CY63" s="3">
        <v>-4.25</v>
      </c>
      <c r="CZ63" s="3">
        <v>-5</v>
      </c>
      <c r="DJ63" s="3">
        <f t="shared" ca="1" si="125"/>
        <v>100</v>
      </c>
      <c r="DK63" s="93">
        <f t="shared" ca="1" si="126"/>
        <v>100</v>
      </c>
      <c r="DL63" s="3">
        <f t="shared" ca="1" si="127"/>
        <v>0</v>
      </c>
      <c r="DO63" s="3">
        <v>2</v>
      </c>
      <c r="EA63" s="3">
        <f t="shared" si="128"/>
        <v>2</v>
      </c>
      <c r="EB63" s="3">
        <f t="shared" si="129"/>
        <v>2</v>
      </c>
      <c r="EC63" s="3">
        <f t="shared" si="130"/>
        <v>0</v>
      </c>
      <c r="ED63" s="3">
        <f t="shared" si="131"/>
        <v>0</v>
      </c>
      <c r="EF63" s="3">
        <f t="shared" ca="1" si="132"/>
        <v>0</v>
      </c>
      <c r="EG63" s="3">
        <f t="shared" ca="1" si="133"/>
        <v>0</v>
      </c>
      <c r="EH63" s="3">
        <f ca="1">IFERROR(IF(LEFT($BA63,1)="4",OFFSET(변환표준점수!$H$118,MATCH($S63,변환표준점수!$B$119:$B$198,0),),OFFSET(EH$3,MATCH(AS63,$ED$4:$ED$8,0),0)),0)</f>
        <v>0</v>
      </c>
      <c r="EI63" s="3">
        <f ca="1">IFERROR(IF(LEFT($BA63,1)="4",OFFSET(변환표준점수!$I$118,MATCH($S63,변환표준점수!$B$119:$B$198,0),0),OFFSET(EI$3,MATCH(AT63,$ED$4:$ED$8,0),0)),0)</f>
        <v>0</v>
      </c>
      <c r="EK63" s="3">
        <f ca="1">IFERROR(IF(LEFT($BA63,1)="4",OFFSET(변환표준점수!$J$118,MATCH($S63,변환표준점수!$B$119:$B$198,0),0),OFFSET(EJ$3,MATCH(AV63,$ED$4:$ED$8,0),0)),0)</f>
        <v>0</v>
      </c>
      <c r="EL63" s="3">
        <f ca="1">IFERROR(IF(LEFT($BA63,1)="4",OFFSET(변환표준점수!$K$118,MATCH($S63,변환표준점수!$B$119:$B$198,0),0),OFFSET(EK$3,MATCH(AW63,$ED$4:$ED$8,0),0)),0)</f>
        <v>0</v>
      </c>
      <c r="EM63" s="3" t="str">
        <f t="shared" ca="1" si="134"/>
        <v/>
      </c>
      <c r="EN63" s="3" t="str">
        <f t="shared" ca="1" si="135"/>
        <v/>
      </c>
      <c r="EO63" s="3">
        <f t="shared" ca="1" si="136"/>
        <v>0</v>
      </c>
      <c r="EQ63" s="3">
        <f t="shared" ca="1" si="137"/>
        <v>0</v>
      </c>
      <c r="ER63" s="3">
        <f t="shared" ca="1" si="138"/>
        <v>0</v>
      </c>
      <c r="ES63" s="3">
        <f t="shared" ca="1" si="139"/>
        <v>0</v>
      </c>
      <c r="ET63" s="3">
        <f t="shared" ca="1" si="140"/>
        <v>0</v>
      </c>
      <c r="EU63" s="3">
        <f t="shared" si="141"/>
        <v>0</v>
      </c>
      <c r="EV63" s="3">
        <f t="shared" ca="1" si="142"/>
        <v>0</v>
      </c>
      <c r="EW63" s="3">
        <f t="shared" ca="1" si="143"/>
        <v>0</v>
      </c>
      <c r="EX63" s="3">
        <f ca="1">LARGE((ES63:ET63,EV63:EW63),1)</f>
        <v>0</v>
      </c>
      <c r="EY63" s="3">
        <f ca="1">IF(O63&lt;2,0,LARGE((ES63:ET63,EV63:EW63),2))</f>
        <v>0</v>
      </c>
      <c r="EZ63" s="3">
        <f t="shared" ca="1" si="144"/>
        <v>0</v>
      </c>
      <c r="FA63" s="3">
        <f t="shared" ca="1" si="145"/>
        <v>0</v>
      </c>
      <c r="FB63" s="3">
        <f t="shared" ca="1" si="146"/>
        <v>0</v>
      </c>
      <c r="FG63" s="3">
        <f t="shared" ca="1" si="147"/>
        <v>0</v>
      </c>
      <c r="FH63" s="618"/>
      <c r="FU63" s="3" t="str">
        <f t="shared" si="51"/>
        <v>표점</v>
      </c>
      <c r="FV63" s="3" t="str">
        <f t="shared" si="52"/>
        <v>변표</v>
      </c>
      <c r="FW63" s="3">
        <f t="shared" si="148"/>
        <v>0.44</v>
      </c>
      <c r="FX63" s="3">
        <f t="shared" si="149"/>
        <v>0.33</v>
      </c>
      <c r="FY63" s="3">
        <f t="shared" si="150"/>
        <v>0.22</v>
      </c>
      <c r="FZ63" s="3">
        <f t="shared" si="151"/>
        <v>4.5</v>
      </c>
    </row>
    <row r="64" spans="1:182">
      <c r="A64" s="556" t="s">
        <v>7687</v>
      </c>
      <c r="C64" s="3">
        <f t="shared" si="105"/>
        <v>49</v>
      </c>
      <c r="D64" s="3">
        <v>49</v>
      </c>
      <c r="E64" s="3" t="s">
        <v>7277</v>
      </c>
      <c r="F64" s="3">
        <v>1000</v>
      </c>
      <c r="G64" s="3">
        <v>0.4</v>
      </c>
      <c r="H64" s="3">
        <v>0.3</v>
      </c>
      <c r="I64" s="3">
        <v>0.1</v>
      </c>
      <c r="J64" s="3">
        <v>0.1</v>
      </c>
      <c r="L64" s="3">
        <v>0.1</v>
      </c>
      <c r="M64" s="3">
        <v>0.1</v>
      </c>
      <c r="O64" s="3">
        <v>2</v>
      </c>
      <c r="P64" s="3">
        <f t="shared" si="106"/>
        <v>0.89999999999999991</v>
      </c>
      <c r="Q64" s="3">
        <v>19</v>
      </c>
      <c r="S64" s="3">
        <f t="shared" si="107"/>
        <v>19</v>
      </c>
      <c r="W64" s="3">
        <f t="shared" si="108"/>
        <v>0</v>
      </c>
      <c r="Y64" s="3">
        <f t="shared" si="109"/>
        <v>2</v>
      </c>
      <c r="Z64" s="3">
        <f t="shared" si="110"/>
        <v>1.5</v>
      </c>
      <c r="AA64" s="3">
        <f t="shared" si="111"/>
        <v>1</v>
      </c>
      <c r="AB64" s="3">
        <f t="shared" si="112"/>
        <v>1</v>
      </c>
      <c r="AC64" s="3">
        <f t="shared" si="113"/>
        <v>1</v>
      </c>
      <c r="AD64" s="3">
        <f t="shared" si="114"/>
        <v>2</v>
      </c>
      <c r="AE64" s="3">
        <f t="shared" si="115"/>
        <v>1.5</v>
      </c>
      <c r="AF64" s="3">
        <f t="shared" si="116"/>
        <v>1</v>
      </c>
      <c r="AG64" s="3">
        <f t="shared" si="117"/>
        <v>1</v>
      </c>
      <c r="AH64" s="3" t="str">
        <f t="shared" si="118"/>
        <v>자동</v>
      </c>
      <c r="AI64" s="3">
        <f t="shared" si="119"/>
        <v>1</v>
      </c>
      <c r="AJ64" s="3">
        <f t="shared" si="120"/>
        <v>1</v>
      </c>
      <c r="AL64" s="3" t="str">
        <f t="shared" si="121"/>
        <v/>
      </c>
      <c r="AN64" s="3" t="str">
        <f ca="1">IF($BA64=42,OFFSET(변환표준점수!C$119,$AP64-1,0),"")</f>
        <v/>
      </c>
      <c r="AO64" s="3" t="str">
        <f ca="1">IF($BA64=42,OFFSET(변환표준점수!D$119,$AP64-1,0),"")</f>
        <v/>
      </c>
      <c r="AP64" s="3">
        <f>IF(S64="","",MATCH(S64,변환표준점수!$B$119:$B$298,0))</f>
        <v>19</v>
      </c>
      <c r="AQ64" s="3">
        <v>1</v>
      </c>
      <c r="AR64" s="3">
        <v>1</v>
      </c>
      <c r="AS64" s="3">
        <v>4</v>
      </c>
      <c r="AT64" s="3">
        <v>4</v>
      </c>
      <c r="AV64" s="3">
        <v>4</v>
      </c>
      <c r="AW64" s="3">
        <v>4</v>
      </c>
      <c r="AX64" s="3">
        <v>3</v>
      </c>
      <c r="AY64" s="3">
        <v>3</v>
      </c>
      <c r="BA64" s="3">
        <f t="shared" si="122"/>
        <v>4</v>
      </c>
      <c r="BJ64" s="3">
        <f t="shared" si="123"/>
        <v>0</v>
      </c>
      <c r="CH64" s="206">
        <f t="shared" si="124"/>
        <v>899.99999999999989</v>
      </c>
      <c r="CI64" s="56">
        <v>100</v>
      </c>
      <c r="CJ64" s="3">
        <v>98.5</v>
      </c>
      <c r="CK64" s="3">
        <v>97</v>
      </c>
      <c r="CL64" s="3">
        <v>95</v>
      </c>
      <c r="CM64" s="3">
        <v>92.5</v>
      </c>
      <c r="CN64" s="3">
        <v>90</v>
      </c>
      <c r="CO64" s="3">
        <v>85</v>
      </c>
      <c r="CP64" s="3">
        <v>80</v>
      </c>
      <c r="CQ64" s="3">
        <v>75</v>
      </c>
      <c r="CV64" s="3">
        <v>-1</v>
      </c>
      <c r="CW64" s="3">
        <v>-1.75</v>
      </c>
      <c r="CX64" s="3">
        <v>-3</v>
      </c>
      <c r="CY64" s="3">
        <v>-4.25</v>
      </c>
      <c r="CZ64" s="3">
        <v>-5</v>
      </c>
      <c r="DJ64" s="3">
        <f t="shared" ca="1" si="125"/>
        <v>100</v>
      </c>
      <c r="DK64" s="93">
        <f t="shared" ca="1" si="126"/>
        <v>100</v>
      </c>
      <c r="DL64" s="3">
        <f t="shared" ca="1" si="127"/>
        <v>0</v>
      </c>
      <c r="DO64" s="3">
        <v>2</v>
      </c>
      <c r="EA64" s="3">
        <f t="shared" si="128"/>
        <v>2</v>
      </c>
      <c r="EB64" s="3">
        <f t="shared" si="129"/>
        <v>2</v>
      </c>
      <c r="EC64" s="3">
        <f t="shared" si="130"/>
        <v>0</v>
      </c>
      <c r="ED64" s="3">
        <f t="shared" si="131"/>
        <v>0</v>
      </c>
      <c r="EF64" s="3">
        <f t="shared" ca="1" si="132"/>
        <v>0</v>
      </c>
      <c r="EG64" s="3">
        <f t="shared" ca="1" si="133"/>
        <v>0</v>
      </c>
      <c r="EH64" s="3">
        <f ca="1">IFERROR(IF(LEFT($BA64,1)="4",OFFSET(변환표준점수!$H$118,MATCH($S64,변환표준점수!$B$119:$B$198,0),),OFFSET(EH$3,MATCH(AS64,$ED$4:$ED$8,0),0)),0)</f>
        <v>0</v>
      </c>
      <c r="EI64" s="3">
        <f ca="1">IFERROR(IF(LEFT($BA64,1)="4",OFFSET(변환표준점수!$I$118,MATCH($S64,변환표준점수!$B$119:$B$198,0),0),OFFSET(EI$3,MATCH(AT64,$ED$4:$ED$8,0),0)),0)</f>
        <v>0</v>
      </c>
      <c r="EK64" s="3">
        <f ca="1">IFERROR(IF(LEFT($BA64,1)="4",OFFSET(변환표준점수!$J$118,MATCH($S64,변환표준점수!$B$119:$B$198,0),0),OFFSET(EJ$3,MATCH(AV64,$ED$4:$ED$8,0),0)),0)</f>
        <v>0</v>
      </c>
      <c r="EL64" s="3">
        <f ca="1">IFERROR(IF(LEFT($BA64,1)="4",OFFSET(변환표준점수!$K$118,MATCH($S64,변환표준점수!$B$119:$B$198,0),0),OFFSET(EK$3,MATCH(AW64,$ED$4:$ED$8,0),0)),0)</f>
        <v>0</v>
      </c>
      <c r="EM64" s="3" t="str">
        <f t="shared" ca="1" si="134"/>
        <v/>
      </c>
      <c r="EN64" s="3" t="str">
        <f t="shared" ca="1" si="135"/>
        <v/>
      </c>
      <c r="EO64" s="3">
        <f t="shared" ca="1" si="136"/>
        <v>0</v>
      </c>
      <c r="EQ64" s="3">
        <f t="shared" ca="1" si="137"/>
        <v>0</v>
      </c>
      <c r="ER64" s="3">
        <f t="shared" ca="1" si="138"/>
        <v>0</v>
      </c>
      <c r="ES64" s="3">
        <f t="shared" ca="1" si="139"/>
        <v>0</v>
      </c>
      <c r="ET64" s="3">
        <f t="shared" ca="1" si="140"/>
        <v>0</v>
      </c>
      <c r="EU64" s="3">
        <f t="shared" si="141"/>
        <v>0</v>
      </c>
      <c r="EV64" s="3">
        <f t="shared" ca="1" si="142"/>
        <v>0</v>
      </c>
      <c r="EW64" s="3">
        <f t="shared" ca="1" si="143"/>
        <v>0</v>
      </c>
      <c r="EX64" s="3">
        <f ca="1">LARGE((ES64:ET64,EV64:EW64),1)</f>
        <v>0</v>
      </c>
      <c r="EY64" s="3">
        <f ca="1">IF(O64&lt;2,0,LARGE((ES64:ET64,EV64:EW64),2))</f>
        <v>0</v>
      </c>
      <c r="EZ64" s="3">
        <f t="shared" ca="1" si="144"/>
        <v>0</v>
      </c>
      <c r="FA64" s="3">
        <f t="shared" ca="1" si="145"/>
        <v>0</v>
      </c>
      <c r="FB64" s="3">
        <f t="shared" ca="1" si="146"/>
        <v>0</v>
      </c>
      <c r="FG64" s="3">
        <f t="shared" ca="1" si="147"/>
        <v>0</v>
      </c>
      <c r="FH64" s="618"/>
      <c r="FU64" s="3" t="str">
        <f t="shared" si="51"/>
        <v>표점</v>
      </c>
      <c r="FV64" s="3" t="str">
        <f t="shared" si="52"/>
        <v>변표</v>
      </c>
      <c r="FW64" s="3">
        <f t="shared" si="148"/>
        <v>0.44</v>
      </c>
      <c r="FX64" s="3">
        <f t="shared" si="149"/>
        <v>0.33</v>
      </c>
      <c r="FY64" s="3">
        <f t="shared" si="150"/>
        <v>0.22</v>
      </c>
      <c r="FZ64" s="3">
        <f t="shared" si="151"/>
        <v>4.5</v>
      </c>
    </row>
    <row r="65" spans="1:182">
      <c r="A65" s="556">
        <v>26</v>
      </c>
      <c r="C65" s="3">
        <f t="shared" si="105"/>
        <v>50</v>
      </c>
      <c r="D65" s="3">
        <v>50</v>
      </c>
      <c r="E65" s="3" t="s">
        <v>7278</v>
      </c>
      <c r="F65" s="3">
        <v>1000</v>
      </c>
      <c r="G65" s="3">
        <f ca="1">IF($BB$7=1,OFFSET(G$62,$N65-1,0),(G62+G63)/2)</f>
        <v>0.4</v>
      </c>
      <c r="H65" s="3">
        <f ca="1">IF($BB$7=1,OFFSET(H$62,$N65-1,0),(H62+H63)/2)</f>
        <v>0.3</v>
      </c>
      <c r="I65" s="3">
        <f ca="1">IF($BB$7=1,OFFSET(I$62,$N65-1,0),(I62+I63)/2)</f>
        <v>0.1</v>
      </c>
      <c r="J65" s="3">
        <f ca="1">IF($BB$7=1,OFFSET(J$62,$N65-1,0),(J62+J63)/2)</f>
        <v>0.1</v>
      </c>
      <c r="L65" s="3">
        <f ca="1">IF($BB$7=1,OFFSET(L$62,$N65-1,0),(L62+L63)/2)</f>
        <v>0.1</v>
      </c>
      <c r="M65" s="3">
        <f ca="1">IF($BB$7=1,OFFSET(M$62,$N65-1,0),(M62+M63)/2)</f>
        <v>0.1</v>
      </c>
      <c r="N65" s="3">
        <f ca="1">IF($BB$7=1,IF(FG62&gt;FG63,1,2),"x")</f>
        <v>2</v>
      </c>
      <c r="O65" s="3">
        <v>2</v>
      </c>
      <c r="P65" s="3">
        <f t="shared" ca="1" si="106"/>
        <v>0.89999999999999991</v>
      </c>
      <c r="Q65" s="3">
        <v>19</v>
      </c>
      <c r="S65" s="3">
        <f t="shared" si="107"/>
        <v>19</v>
      </c>
      <c r="W65" s="3">
        <f t="shared" si="108"/>
        <v>0</v>
      </c>
      <c r="Y65" s="3">
        <f t="shared" ca="1" si="109"/>
        <v>2</v>
      </c>
      <c r="Z65" s="3">
        <f t="shared" ca="1" si="110"/>
        <v>1.5</v>
      </c>
      <c r="AA65" s="3">
        <f t="shared" ca="1" si="111"/>
        <v>1</v>
      </c>
      <c r="AB65" s="3">
        <f t="shared" ca="1" si="112"/>
        <v>1</v>
      </c>
      <c r="AC65" s="3">
        <f t="shared" ca="1" si="113"/>
        <v>1</v>
      </c>
      <c r="AD65" s="3">
        <f t="shared" ca="1" si="114"/>
        <v>2</v>
      </c>
      <c r="AE65" s="3">
        <f t="shared" ca="1" si="115"/>
        <v>1.5</v>
      </c>
      <c r="AF65" s="3">
        <f t="shared" ca="1" si="116"/>
        <v>1</v>
      </c>
      <c r="AG65" s="3">
        <f t="shared" ca="1" si="117"/>
        <v>1</v>
      </c>
      <c r="AH65" s="3" t="str">
        <f t="shared" si="118"/>
        <v>자동</v>
      </c>
      <c r="AI65" s="3">
        <f t="shared" ca="1" si="119"/>
        <v>1</v>
      </c>
      <c r="AJ65" s="3">
        <f t="shared" ca="1" si="120"/>
        <v>1</v>
      </c>
      <c r="AL65" s="3" t="str">
        <f t="shared" si="121"/>
        <v/>
      </c>
      <c r="AN65" s="3" t="str">
        <f ca="1">IF($BA65=42,OFFSET(변환표준점수!C$119,$AP65-1,0),"")</f>
        <v/>
      </c>
      <c r="AO65" s="3" t="str">
        <f ca="1">IF($BA65=42,OFFSET(변환표준점수!D$119,$AP65-1,0),"")</f>
        <v/>
      </c>
      <c r="AP65" s="3">
        <f>IF(S65="","",MATCH(S65,변환표준점수!$B$119:$B$298,0))</f>
        <v>19</v>
      </c>
      <c r="AQ65" s="3">
        <v>1</v>
      </c>
      <c r="AR65" s="3">
        <v>1</v>
      </c>
      <c r="AS65" s="3">
        <v>4</v>
      </c>
      <c r="AT65" s="3">
        <v>4</v>
      </c>
      <c r="AV65" s="3">
        <v>4</v>
      </c>
      <c r="AW65" s="3">
        <v>4</v>
      </c>
      <c r="AX65" s="3">
        <v>3</v>
      </c>
      <c r="AY65" s="3">
        <v>3</v>
      </c>
      <c r="BA65" s="3">
        <f t="shared" si="122"/>
        <v>4</v>
      </c>
      <c r="BJ65" s="3">
        <f t="shared" si="123"/>
        <v>0</v>
      </c>
      <c r="CH65" s="206">
        <f t="shared" ca="1" si="124"/>
        <v>899.99999999999989</v>
      </c>
      <c r="CI65" s="56">
        <v>100</v>
      </c>
      <c r="CJ65" s="3">
        <v>98.5</v>
      </c>
      <c r="CK65" s="3">
        <v>97</v>
      </c>
      <c r="CL65" s="3">
        <v>95</v>
      </c>
      <c r="CM65" s="3">
        <v>92.5</v>
      </c>
      <c r="CN65" s="3">
        <v>90</v>
      </c>
      <c r="CO65" s="3">
        <v>85</v>
      </c>
      <c r="CP65" s="3">
        <v>80</v>
      </c>
      <c r="CQ65" s="3">
        <v>75</v>
      </c>
      <c r="CV65" s="3">
        <v>-1</v>
      </c>
      <c r="CW65" s="3">
        <v>-1.75</v>
      </c>
      <c r="CX65" s="3">
        <v>-3</v>
      </c>
      <c r="CY65" s="3">
        <v>-4.25</v>
      </c>
      <c r="CZ65" s="3">
        <v>-5</v>
      </c>
      <c r="DJ65" s="3">
        <f t="shared" ca="1" si="125"/>
        <v>100</v>
      </c>
      <c r="DK65" s="93">
        <f t="shared" ca="1" si="126"/>
        <v>100</v>
      </c>
      <c r="DL65" s="3">
        <f t="shared" ca="1" si="127"/>
        <v>0</v>
      </c>
      <c r="DO65" s="3">
        <v>2</v>
      </c>
      <c r="DZ65" s="3">
        <v>1</v>
      </c>
      <c r="EA65" s="3">
        <f t="shared" si="128"/>
        <v>1</v>
      </c>
      <c r="EB65" s="3">
        <f t="shared" si="129"/>
        <v>2</v>
      </c>
      <c r="EC65" s="3">
        <f t="shared" si="130"/>
        <v>0</v>
      </c>
      <c r="ED65" s="3">
        <f t="shared" si="131"/>
        <v>0</v>
      </c>
      <c r="EF65" s="3">
        <f t="shared" ca="1" si="132"/>
        <v>0</v>
      </c>
      <c r="EG65" s="3">
        <f t="shared" ca="1" si="133"/>
        <v>0</v>
      </c>
      <c r="EH65" s="3">
        <f ca="1">IFERROR(IF(LEFT($BA65,1)="4",OFFSET(변환표준점수!$H$118,MATCH($S65,변환표준점수!$B$119:$B$198,0),),OFFSET(EH$3,MATCH(AS65,$ED$4:$ED$8,0),0)),0)</f>
        <v>0</v>
      </c>
      <c r="EI65" s="3">
        <f ca="1">IFERROR(IF(LEFT($BA65,1)="4",OFFSET(변환표준점수!$I$118,MATCH($S65,변환표준점수!$B$119:$B$198,0),0),OFFSET(EI$3,MATCH(AT65,$ED$4:$ED$8,0),0)),0)</f>
        <v>0</v>
      </c>
      <c r="EK65" s="3">
        <f ca="1">IFERROR(IF(LEFT($BA65,1)="4",OFFSET(변환표준점수!$J$118,MATCH($S65,변환표준점수!$B$119:$B$198,0),0),OFFSET(EJ$3,MATCH(AV65,$ED$4:$ED$8,0),0)),0)</f>
        <v>0</v>
      </c>
      <c r="EL65" s="3">
        <f ca="1">IFERROR(IF(LEFT($BA65,1)="4",OFFSET(변환표준점수!$K$118,MATCH($S65,변환표준점수!$B$119:$B$198,0),0),OFFSET(EK$3,MATCH(AW65,$ED$4:$ED$8,0),0)),0)</f>
        <v>0</v>
      </c>
      <c r="EM65" s="3" t="str">
        <f t="shared" ca="1" si="134"/>
        <v/>
      </c>
      <c r="EN65" s="3" t="str">
        <f t="shared" ca="1" si="135"/>
        <v/>
      </c>
      <c r="EO65" s="3">
        <f t="shared" ca="1" si="136"/>
        <v>0</v>
      </c>
      <c r="EQ65" s="3">
        <f t="shared" ca="1" si="137"/>
        <v>0</v>
      </c>
      <c r="ER65" s="3">
        <f t="shared" ca="1" si="138"/>
        <v>0</v>
      </c>
      <c r="ES65" s="3">
        <f t="shared" ca="1" si="139"/>
        <v>0</v>
      </c>
      <c r="ET65" s="3">
        <f t="shared" ca="1" si="140"/>
        <v>0</v>
      </c>
      <c r="EU65" s="3">
        <f t="shared" si="141"/>
        <v>0</v>
      </c>
      <c r="EV65" s="3">
        <f t="shared" ca="1" si="142"/>
        <v>0</v>
      </c>
      <c r="EW65" s="3">
        <f t="shared" ca="1" si="143"/>
        <v>0</v>
      </c>
      <c r="EX65" s="3">
        <f ca="1">LARGE((ES65:ET65,EV65:EW65),1)</f>
        <v>0</v>
      </c>
      <c r="EY65" s="3">
        <f ca="1">IF(O65&lt;2,0,LARGE((ES65:ET65,EV65:EW65),2))</f>
        <v>0</v>
      </c>
      <c r="EZ65" s="3">
        <f t="shared" ca="1" si="144"/>
        <v>0</v>
      </c>
      <c r="FA65" s="3">
        <f t="shared" ca="1" si="145"/>
        <v>0</v>
      </c>
      <c r="FB65" s="3">
        <f t="shared" ca="1" si="146"/>
        <v>0</v>
      </c>
      <c r="FG65" s="3">
        <f t="shared" ca="1" si="147"/>
        <v>0</v>
      </c>
      <c r="FH65" s="618"/>
      <c r="FU65" s="3" t="str">
        <f t="shared" si="51"/>
        <v>표점</v>
      </c>
      <c r="FV65" s="3" t="str">
        <f t="shared" si="52"/>
        <v>변표</v>
      </c>
      <c r="FW65" s="3">
        <f t="shared" ca="1" si="148"/>
        <v>0.44</v>
      </c>
      <c r="FX65" s="3">
        <f t="shared" ca="1" si="149"/>
        <v>0.33</v>
      </c>
      <c r="FY65" s="3">
        <f t="shared" ca="1" si="150"/>
        <v>0.22</v>
      </c>
      <c r="FZ65" s="3">
        <f t="shared" ca="1" si="151"/>
        <v>4.5</v>
      </c>
    </row>
    <row r="66" spans="1:182">
      <c r="A66" s="556">
        <v>26</v>
      </c>
      <c r="C66" s="3">
        <f t="shared" si="105"/>
        <v>51</v>
      </c>
      <c r="D66" s="3">
        <v>51</v>
      </c>
      <c r="E66" s="3" t="s">
        <v>7279</v>
      </c>
      <c r="F66" s="3">
        <v>1000</v>
      </c>
      <c r="G66" s="3">
        <v>0.25</v>
      </c>
      <c r="H66" s="3">
        <v>0.35</v>
      </c>
      <c r="I66" s="3">
        <v>0.125</v>
      </c>
      <c r="J66" s="3">
        <v>0.125</v>
      </c>
      <c r="L66" s="3">
        <v>0.125</v>
      </c>
      <c r="M66" s="3">
        <v>0.125</v>
      </c>
      <c r="O66" s="3">
        <v>2</v>
      </c>
      <c r="P66" s="3">
        <f t="shared" si="106"/>
        <v>0.85</v>
      </c>
      <c r="Q66" s="3">
        <v>21</v>
      </c>
      <c r="S66" s="3">
        <f t="shared" si="107"/>
        <v>21</v>
      </c>
      <c r="W66" s="3">
        <f t="shared" si="108"/>
        <v>0</v>
      </c>
      <c r="Y66" s="3">
        <f t="shared" si="109"/>
        <v>1.25</v>
      </c>
      <c r="Z66" s="3">
        <f t="shared" si="110"/>
        <v>1.75</v>
      </c>
      <c r="AA66" s="3">
        <f t="shared" si="111"/>
        <v>1.25</v>
      </c>
      <c r="AB66" s="3">
        <f t="shared" si="112"/>
        <v>1.25</v>
      </c>
      <c r="AC66" s="3">
        <f t="shared" si="113"/>
        <v>1.25</v>
      </c>
      <c r="AD66" s="3">
        <f t="shared" si="114"/>
        <v>1.25</v>
      </c>
      <c r="AE66" s="3">
        <f t="shared" si="115"/>
        <v>1.75</v>
      </c>
      <c r="AF66" s="3">
        <f t="shared" si="116"/>
        <v>1.25</v>
      </c>
      <c r="AG66" s="3">
        <f t="shared" si="117"/>
        <v>1.25</v>
      </c>
      <c r="AH66" s="3" t="str">
        <f t="shared" si="118"/>
        <v>자동</v>
      </c>
      <c r="AI66" s="3">
        <f t="shared" si="119"/>
        <v>1.25</v>
      </c>
      <c r="AJ66" s="3">
        <f t="shared" si="120"/>
        <v>1.25</v>
      </c>
      <c r="AL66" s="3" t="str">
        <f t="shared" si="121"/>
        <v/>
      </c>
      <c r="AN66" s="3" t="str">
        <f ca="1">IF($BA66=42,OFFSET(변환표준점수!C$119,$AP66-1,0),"")</f>
        <v/>
      </c>
      <c r="AO66" s="3" t="str">
        <f ca="1">IF($BA66=42,OFFSET(변환표준점수!D$119,$AP66-1,0),"")</f>
        <v/>
      </c>
      <c r="AP66" s="3">
        <f>IF(S66="","",MATCH(S66,변환표준점수!$B$119:$B$298,0))</f>
        <v>21</v>
      </c>
      <c r="AQ66" s="3">
        <v>1</v>
      </c>
      <c r="AR66" s="3">
        <v>1</v>
      </c>
      <c r="AS66" s="3">
        <v>4</v>
      </c>
      <c r="AT66" s="3">
        <v>4</v>
      </c>
      <c r="AV66" s="3">
        <v>4</v>
      </c>
      <c r="AW66" s="3">
        <v>4</v>
      </c>
      <c r="AX66" s="3">
        <v>3</v>
      </c>
      <c r="AY66" s="3">
        <v>3</v>
      </c>
      <c r="BA66" s="3">
        <f t="shared" si="122"/>
        <v>4</v>
      </c>
      <c r="BC66" s="3">
        <f>0.03*AE66</f>
        <v>5.2499999999999998E-2</v>
      </c>
      <c r="BD66" s="3">
        <f>0.03*AE66</f>
        <v>5.2499999999999998E-2</v>
      </c>
      <c r="BJ66" s="3">
        <f t="shared" si="123"/>
        <v>0</v>
      </c>
      <c r="BN66" s="212" t="s">
        <v>7690</v>
      </c>
      <c r="BP66" s="3">
        <f>IF(BP$6&gt;0,BC66*$EG66,0)</f>
        <v>0</v>
      </c>
      <c r="BQ66" s="3">
        <f>IF(BQ$6&gt;0,BD66*$EG66,0)</f>
        <v>0</v>
      </c>
      <c r="CH66" s="206">
        <f t="shared" si="124"/>
        <v>850</v>
      </c>
      <c r="CI66" s="56">
        <v>150</v>
      </c>
      <c r="CJ66" s="3">
        <v>149.25</v>
      </c>
      <c r="CK66" s="3">
        <v>147.75</v>
      </c>
      <c r="CL66" s="3">
        <v>142.5</v>
      </c>
      <c r="CM66" s="3">
        <v>135</v>
      </c>
      <c r="CN66" s="3">
        <v>105</v>
      </c>
      <c r="CO66" s="3">
        <v>67.5</v>
      </c>
      <c r="CP66" s="3">
        <v>15</v>
      </c>
      <c r="CQ66" s="3">
        <v>0</v>
      </c>
      <c r="CV66" s="3">
        <v>-2</v>
      </c>
      <c r="CW66" s="3">
        <v>-4</v>
      </c>
      <c r="CX66" s="3">
        <v>-6</v>
      </c>
      <c r="CY66" s="3">
        <v>-8</v>
      </c>
      <c r="CZ66" s="3">
        <v>-10</v>
      </c>
      <c r="DJ66" s="3">
        <f t="shared" ca="1" si="125"/>
        <v>150</v>
      </c>
      <c r="DK66" s="93">
        <f t="shared" ca="1" si="126"/>
        <v>100</v>
      </c>
      <c r="DL66" s="3">
        <f t="shared" ca="1" si="127"/>
        <v>0</v>
      </c>
      <c r="DO66" s="3">
        <v>2</v>
      </c>
      <c r="DZ66" s="3">
        <v>1</v>
      </c>
      <c r="EA66" s="3">
        <f t="shared" si="128"/>
        <v>1</v>
      </c>
      <c r="EB66" s="3">
        <f t="shared" si="129"/>
        <v>2</v>
      </c>
      <c r="EC66" s="3">
        <f t="shared" si="130"/>
        <v>0</v>
      </c>
      <c r="ED66" s="3">
        <f t="shared" si="131"/>
        <v>0</v>
      </c>
      <c r="EF66" s="3">
        <f t="shared" ca="1" si="132"/>
        <v>0</v>
      </c>
      <c r="EG66" s="3">
        <f t="shared" ca="1" si="133"/>
        <v>0</v>
      </c>
      <c r="EH66" s="3">
        <f ca="1">IFERROR(IF(LEFT($BA66,1)="4",OFFSET(변환표준점수!$H$118,MATCH($S66,변환표준점수!$B$119:$B$198,0),),OFFSET(EH$3,MATCH(AS66,$ED$4:$ED$8,0),0)),0)</f>
        <v>0</v>
      </c>
      <c r="EI66" s="3">
        <f ca="1">IFERROR(IF(LEFT($BA66,1)="4",OFFSET(변환표준점수!$I$118,MATCH($S66,변환표준점수!$B$119:$B$198,0),0),OFFSET(EI$3,MATCH(AT66,$ED$4:$ED$8,0),0)),0)</f>
        <v>0</v>
      </c>
      <c r="EK66" s="3">
        <f ca="1">IFERROR(IF(LEFT($BA66,1)="4",OFFSET(변환표준점수!$J$118,MATCH($S66,변환표준점수!$B$119:$B$198,0),0),OFFSET(EJ$3,MATCH(AV66,$ED$4:$ED$8,0),0)),0)</f>
        <v>0</v>
      </c>
      <c r="EL66" s="3">
        <f ca="1">IFERROR(IF(LEFT($BA66,1)="4",OFFSET(변환표준점수!$K$118,MATCH($S66,변환표준점수!$B$119:$B$198,0),0),OFFSET(EK$3,MATCH(AW66,$ED$4:$ED$8,0),0)),0)</f>
        <v>0</v>
      </c>
      <c r="EM66" s="3" t="str">
        <f t="shared" ca="1" si="134"/>
        <v/>
      </c>
      <c r="EN66" s="3" t="str">
        <f t="shared" ca="1" si="135"/>
        <v/>
      </c>
      <c r="EO66" s="3">
        <f t="shared" ca="1" si="136"/>
        <v>0</v>
      </c>
      <c r="EQ66" s="3">
        <f t="shared" ca="1" si="137"/>
        <v>0</v>
      </c>
      <c r="ER66" s="3">
        <f t="shared" ca="1" si="138"/>
        <v>0</v>
      </c>
      <c r="ES66" s="3">
        <f t="shared" ca="1" si="139"/>
        <v>0</v>
      </c>
      <c r="ET66" s="3">
        <f t="shared" ca="1" si="140"/>
        <v>0</v>
      </c>
      <c r="EU66" s="3">
        <f t="shared" si="141"/>
        <v>0</v>
      </c>
      <c r="EV66" s="3">
        <f t="shared" ca="1" si="142"/>
        <v>0</v>
      </c>
      <c r="EW66" s="3">
        <f t="shared" ca="1" si="143"/>
        <v>0</v>
      </c>
      <c r="EX66" s="3">
        <f ca="1">LARGE((ES66:ET66,EV66:EW66),1)</f>
        <v>0</v>
      </c>
      <c r="EY66" s="3">
        <f ca="1">IF(O66&lt;2,0,LARGE((ES66:ET66,EV66:EW66),2))</f>
        <v>0</v>
      </c>
      <c r="EZ66" s="3">
        <f t="shared" ca="1" si="144"/>
        <v>0</v>
      </c>
      <c r="FA66" s="3">
        <f t="shared" ca="1" si="145"/>
        <v>0</v>
      </c>
      <c r="FB66" s="3">
        <f t="shared" ca="1" si="146"/>
        <v>0</v>
      </c>
      <c r="FG66" s="3">
        <f t="shared" ca="1" si="147"/>
        <v>0</v>
      </c>
      <c r="FH66" s="618"/>
      <c r="FU66" s="3" t="str">
        <f t="shared" si="51"/>
        <v>표점</v>
      </c>
      <c r="FV66" s="3" t="str">
        <f t="shared" si="52"/>
        <v>변표</v>
      </c>
      <c r="FW66" s="3">
        <f t="shared" si="148"/>
        <v>0.28999999999999998</v>
      </c>
      <c r="FX66" s="3">
        <f t="shared" si="149"/>
        <v>0.41</v>
      </c>
      <c r="FY66" s="3">
        <f t="shared" si="150"/>
        <v>0.28999999999999998</v>
      </c>
      <c r="FZ66" s="3">
        <f t="shared" si="151"/>
        <v>4.25</v>
      </c>
    </row>
    <row r="67" spans="1:182">
      <c r="A67" s="556">
        <v>26</v>
      </c>
      <c r="C67" s="3">
        <f t="shared" si="105"/>
        <v>52</v>
      </c>
      <c r="D67" s="3">
        <v>52</v>
      </c>
      <c r="E67" s="3" t="s">
        <v>7280</v>
      </c>
      <c r="F67" s="3">
        <v>1000</v>
      </c>
      <c r="G67" s="3">
        <v>0.25</v>
      </c>
      <c r="H67" s="3">
        <v>0.35</v>
      </c>
      <c r="I67" s="3">
        <v>0.125</v>
      </c>
      <c r="J67" s="3">
        <v>0.125</v>
      </c>
      <c r="L67" s="3">
        <v>0.125</v>
      </c>
      <c r="M67" s="3">
        <v>0.125</v>
      </c>
      <c r="O67" s="3">
        <v>2</v>
      </c>
      <c r="P67" s="3">
        <f t="shared" si="106"/>
        <v>0.85</v>
      </c>
      <c r="Q67" s="3">
        <v>21</v>
      </c>
      <c r="S67" s="3">
        <f t="shared" si="107"/>
        <v>21</v>
      </c>
      <c r="W67" s="3">
        <f t="shared" si="108"/>
        <v>0</v>
      </c>
      <c r="Y67" s="3">
        <f t="shared" si="109"/>
        <v>1.25</v>
      </c>
      <c r="Z67" s="3">
        <f t="shared" si="110"/>
        <v>1.75</v>
      </c>
      <c r="AA67" s="3">
        <f t="shared" si="111"/>
        <v>1.25</v>
      </c>
      <c r="AB67" s="3">
        <f t="shared" si="112"/>
        <v>1.25</v>
      </c>
      <c r="AC67" s="3">
        <f t="shared" si="113"/>
        <v>1.25</v>
      </c>
      <c r="AD67" s="3">
        <f t="shared" si="114"/>
        <v>1.25</v>
      </c>
      <c r="AE67" s="3">
        <f t="shared" si="115"/>
        <v>1.75</v>
      </c>
      <c r="AF67" s="3">
        <f t="shared" si="116"/>
        <v>1.25</v>
      </c>
      <c r="AG67" s="3">
        <f t="shared" si="117"/>
        <v>1.25</v>
      </c>
      <c r="AH67" s="3" t="str">
        <f t="shared" si="118"/>
        <v>자동</v>
      </c>
      <c r="AI67" s="3">
        <f t="shared" si="119"/>
        <v>1.25</v>
      </c>
      <c r="AJ67" s="3">
        <f t="shared" si="120"/>
        <v>1.25</v>
      </c>
      <c r="AL67" s="3" t="str">
        <f t="shared" si="121"/>
        <v/>
      </c>
      <c r="AN67" s="3" t="str">
        <f ca="1">IF($BA67=42,OFFSET(변환표준점수!C$119,$AP67-1,0),"")</f>
        <v/>
      </c>
      <c r="AO67" s="3" t="str">
        <f ca="1">IF($BA67=42,OFFSET(변환표준점수!D$119,$AP67-1,0),"")</f>
        <v/>
      </c>
      <c r="AP67" s="3">
        <f>IF(S67="","",MATCH(S67,변환표준점수!$B$119:$B$298,0))</f>
        <v>21</v>
      </c>
      <c r="AQ67" s="3">
        <v>1</v>
      </c>
      <c r="AR67" s="3">
        <v>1</v>
      </c>
      <c r="AS67" s="3">
        <v>4</v>
      </c>
      <c r="AT67" s="3">
        <v>4</v>
      </c>
      <c r="AV67" s="3">
        <v>4</v>
      </c>
      <c r="AW67" s="3">
        <v>4</v>
      </c>
      <c r="AX67" s="3">
        <v>3</v>
      </c>
      <c r="AY67" s="3">
        <v>3</v>
      </c>
      <c r="BA67" s="3">
        <f t="shared" si="122"/>
        <v>4</v>
      </c>
      <c r="BF67" s="3">
        <f>0.03*AF67</f>
        <v>3.7499999999999999E-2</v>
      </c>
      <c r="BG67" s="3">
        <f>0.03*AG67</f>
        <v>3.7499999999999999E-2</v>
      </c>
      <c r="BJ67" s="3">
        <f t="shared" si="123"/>
        <v>0</v>
      </c>
      <c r="BN67" s="212" t="s">
        <v>7269</v>
      </c>
      <c r="BS67" s="3">
        <f ca="1">BF67*EH67</f>
        <v>0</v>
      </c>
      <c r="BT67" s="3">
        <f ca="1">BG67*EI67</f>
        <v>0</v>
      </c>
      <c r="CH67" s="206">
        <f t="shared" si="124"/>
        <v>850</v>
      </c>
      <c r="CI67" s="56">
        <v>150</v>
      </c>
      <c r="CJ67" s="3">
        <v>149.25</v>
      </c>
      <c r="CK67" s="3">
        <v>147.75</v>
      </c>
      <c r="CL67" s="3">
        <v>142.5</v>
      </c>
      <c r="CM67" s="3">
        <v>135</v>
      </c>
      <c r="CN67" s="3">
        <v>105</v>
      </c>
      <c r="CO67" s="3">
        <v>67.5</v>
      </c>
      <c r="CP67" s="3">
        <v>15</v>
      </c>
      <c r="CQ67" s="3">
        <v>0</v>
      </c>
      <c r="CV67" s="3">
        <v>-2</v>
      </c>
      <c r="CW67" s="3">
        <v>-4</v>
      </c>
      <c r="CX67" s="3">
        <v>-6</v>
      </c>
      <c r="CY67" s="3">
        <v>-8</v>
      </c>
      <c r="CZ67" s="3">
        <v>-10</v>
      </c>
      <c r="DJ67" s="3">
        <f t="shared" ca="1" si="125"/>
        <v>150</v>
      </c>
      <c r="DK67" s="93">
        <f t="shared" ca="1" si="126"/>
        <v>100</v>
      </c>
      <c r="DL67" s="3">
        <f t="shared" ca="1" si="127"/>
        <v>0</v>
      </c>
      <c r="DO67" s="3">
        <v>2</v>
      </c>
      <c r="DZ67" s="3">
        <v>1</v>
      </c>
      <c r="EA67" s="3">
        <f t="shared" si="128"/>
        <v>1</v>
      </c>
      <c r="EB67" s="3">
        <f t="shared" si="129"/>
        <v>2</v>
      </c>
      <c r="EC67" s="3">
        <f t="shared" si="130"/>
        <v>0</v>
      </c>
      <c r="ED67" s="3">
        <f t="shared" si="131"/>
        <v>0</v>
      </c>
      <c r="EF67" s="3">
        <f t="shared" ca="1" si="132"/>
        <v>0</v>
      </c>
      <c r="EG67" s="3">
        <f t="shared" ca="1" si="133"/>
        <v>0</v>
      </c>
      <c r="EH67" s="3">
        <f ca="1">IFERROR(IF(LEFT($BA67,1)="4",OFFSET(변환표준점수!$H$118,MATCH($S67,변환표준점수!$B$119:$B$198,0),),OFFSET(EH$3,MATCH(AS67,$ED$4:$ED$8,0),0)),0)</f>
        <v>0</v>
      </c>
      <c r="EI67" s="3">
        <f ca="1">IFERROR(IF(LEFT($BA67,1)="4",OFFSET(변환표준점수!$I$118,MATCH($S67,변환표준점수!$B$119:$B$198,0),0),OFFSET(EI$3,MATCH(AT67,$ED$4:$ED$8,0),0)),0)</f>
        <v>0</v>
      </c>
      <c r="EK67" s="3">
        <f ca="1">IFERROR(IF(LEFT($BA67,1)="4",OFFSET(변환표준점수!$J$118,MATCH($S67,변환표준점수!$B$119:$B$198,0),0),OFFSET(EJ$3,MATCH(AV67,$ED$4:$ED$8,0),0)),0)</f>
        <v>0</v>
      </c>
      <c r="EL67" s="3">
        <f ca="1">IFERROR(IF(LEFT($BA67,1)="4",OFFSET(변환표준점수!$K$118,MATCH($S67,변환표준점수!$B$119:$B$198,0),0),OFFSET(EK$3,MATCH(AW67,$ED$4:$ED$8,0),0)),0)</f>
        <v>0</v>
      </c>
      <c r="EM67" s="3" t="str">
        <f t="shared" ca="1" si="134"/>
        <v/>
      </c>
      <c r="EN67" s="3" t="str">
        <f t="shared" ca="1" si="135"/>
        <v/>
      </c>
      <c r="EO67" s="3">
        <f t="shared" ca="1" si="136"/>
        <v>0</v>
      </c>
      <c r="EQ67" s="3">
        <f t="shared" ca="1" si="137"/>
        <v>0</v>
      </c>
      <c r="ER67" s="3">
        <f t="shared" ca="1" si="138"/>
        <v>0</v>
      </c>
      <c r="ES67" s="3">
        <f t="shared" ca="1" si="139"/>
        <v>0</v>
      </c>
      <c r="ET67" s="3">
        <f t="shared" ca="1" si="140"/>
        <v>0</v>
      </c>
      <c r="EU67" s="3">
        <f t="shared" si="141"/>
        <v>0</v>
      </c>
      <c r="EV67" s="3">
        <f t="shared" ca="1" si="142"/>
        <v>0</v>
      </c>
      <c r="EW67" s="3">
        <f t="shared" ca="1" si="143"/>
        <v>0</v>
      </c>
      <c r="EX67" s="3">
        <f ca="1">LARGE((ES67:ET67,EV67:EW67),1)</f>
        <v>0</v>
      </c>
      <c r="EY67" s="3">
        <f ca="1">IF(O67&lt;2,0,LARGE((ES67:ET67,EV67:EW67),2))</f>
        <v>0</v>
      </c>
      <c r="EZ67" s="3">
        <f t="shared" ca="1" si="144"/>
        <v>0</v>
      </c>
      <c r="FA67" s="3">
        <f t="shared" ca="1" si="145"/>
        <v>0</v>
      </c>
      <c r="FB67" s="3">
        <f t="shared" ca="1" si="146"/>
        <v>0</v>
      </c>
      <c r="FG67" s="3">
        <f t="shared" ca="1" si="147"/>
        <v>0</v>
      </c>
      <c r="FH67" s="618"/>
      <c r="FU67" s="3" t="str">
        <f t="shared" si="51"/>
        <v>표점</v>
      </c>
      <c r="FV67" s="3" t="str">
        <f t="shared" si="52"/>
        <v>변표</v>
      </c>
      <c r="FW67" s="3">
        <f t="shared" si="148"/>
        <v>0.28999999999999998</v>
      </c>
      <c r="FX67" s="3">
        <f t="shared" si="149"/>
        <v>0.41</v>
      </c>
      <c r="FY67" s="3">
        <f t="shared" si="150"/>
        <v>0.28999999999999998</v>
      </c>
      <c r="FZ67" s="3">
        <f t="shared" si="151"/>
        <v>4.25</v>
      </c>
    </row>
    <row r="68" spans="1:182">
      <c r="A68" s="556">
        <v>26</v>
      </c>
      <c r="C68" s="3">
        <f t="shared" si="105"/>
        <v>53</v>
      </c>
      <c r="D68" s="3">
        <v>53</v>
      </c>
      <c r="E68" s="3" t="s">
        <v>7281</v>
      </c>
      <c r="F68" s="3">
        <v>1000</v>
      </c>
      <c r="G68" s="3">
        <v>0.25</v>
      </c>
      <c r="H68" s="3">
        <v>0.35</v>
      </c>
      <c r="I68" s="3">
        <v>0.125</v>
      </c>
      <c r="J68" s="3">
        <v>0.125</v>
      </c>
      <c r="L68" s="3">
        <v>0.125</v>
      </c>
      <c r="M68" s="3">
        <v>0.125</v>
      </c>
      <c r="O68" s="3">
        <v>2</v>
      </c>
      <c r="P68" s="3">
        <f t="shared" si="106"/>
        <v>0.85</v>
      </c>
      <c r="Q68" s="3">
        <v>21</v>
      </c>
      <c r="S68" s="3">
        <f t="shared" si="107"/>
        <v>21</v>
      </c>
      <c r="W68" s="3">
        <f t="shared" si="108"/>
        <v>0</v>
      </c>
      <c r="Y68" s="3">
        <f t="shared" si="109"/>
        <v>1.25</v>
      </c>
      <c r="Z68" s="3">
        <f t="shared" si="110"/>
        <v>1.75</v>
      </c>
      <c r="AA68" s="3">
        <f t="shared" si="111"/>
        <v>1.25</v>
      </c>
      <c r="AB68" s="3">
        <f t="shared" si="112"/>
        <v>1.25</v>
      </c>
      <c r="AC68" s="3">
        <f t="shared" si="113"/>
        <v>1.25</v>
      </c>
      <c r="AD68" s="3">
        <f t="shared" si="114"/>
        <v>1.25</v>
      </c>
      <c r="AE68" s="3">
        <f t="shared" si="115"/>
        <v>1.75</v>
      </c>
      <c r="AF68" s="3">
        <f t="shared" si="116"/>
        <v>1.25</v>
      </c>
      <c r="AG68" s="3">
        <f t="shared" si="117"/>
        <v>1.25</v>
      </c>
      <c r="AH68" s="3" t="str">
        <f t="shared" si="118"/>
        <v>자동</v>
      </c>
      <c r="AI68" s="3">
        <f t="shared" si="119"/>
        <v>1.25</v>
      </c>
      <c r="AJ68" s="3">
        <f t="shared" si="120"/>
        <v>1.25</v>
      </c>
      <c r="AL68" s="3" t="str">
        <f t="shared" si="121"/>
        <v/>
      </c>
      <c r="AN68" s="3" t="str">
        <f ca="1">IF($BA68=42,OFFSET(변환표준점수!C$119,$AP68-1,0),"")</f>
        <v/>
      </c>
      <c r="AO68" s="3" t="str">
        <f ca="1">IF($BA68=42,OFFSET(변환표준점수!D$119,$AP68-1,0),"")</f>
        <v/>
      </c>
      <c r="AP68" s="3">
        <f>IF(S68="","",MATCH(S68,변환표준점수!$B$119:$B$298,0))</f>
        <v>21</v>
      </c>
      <c r="AQ68" s="3">
        <v>1</v>
      </c>
      <c r="AR68" s="3">
        <v>1</v>
      </c>
      <c r="AS68" s="3">
        <v>4</v>
      </c>
      <c r="AT68" s="3">
        <v>4</v>
      </c>
      <c r="AV68" s="3">
        <v>4</v>
      </c>
      <c r="AW68" s="3">
        <v>4</v>
      </c>
      <c r="AX68" s="3">
        <v>3</v>
      </c>
      <c r="AY68" s="3">
        <v>3</v>
      </c>
      <c r="BA68" s="3">
        <f t="shared" si="122"/>
        <v>4</v>
      </c>
      <c r="BC68" s="3">
        <f>0.03*AE68</f>
        <v>5.2499999999999998E-2</v>
      </c>
      <c r="BD68" s="3">
        <f>0.03*AE68</f>
        <v>5.2499999999999998E-2</v>
      </c>
      <c r="BF68" s="3">
        <f>0.03*AF68</f>
        <v>3.7499999999999999E-2</v>
      </c>
      <c r="BG68" s="3">
        <f>0.03*AG68</f>
        <v>3.7499999999999999E-2</v>
      </c>
      <c r="BJ68" s="3">
        <f t="shared" si="123"/>
        <v>0</v>
      </c>
      <c r="BN68" s="212" t="s">
        <v>7691</v>
      </c>
      <c r="BP68" s="3">
        <f>IF(BP$6&gt;0,BC68*$EG68,0)</f>
        <v>0</v>
      </c>
      <c r="BQ68" s="3">
        <f>IF(BQ$6&gt;0,BD68*$EG68,0)</f>
        <v>0</v>
      </c>
      <c r="BS68" s="3">
        <f ca="1">BF68*EH68</f>
        <v>0</v>
      </c>
      <c r="BT68" s="3">
        <f ca="1">BG68*EI68</f>
        <v>0</v>
      </c>
      <c r="CH68" s="206">
        <f t="shared" si="124"/>
        <v>850</v>
      </c>
      <c r="CI68" s="56">
        <v>150</v>
      </c>
      <c r="CJ68" s="3">
        <v>149.25</v>
      </c>
      <c r="CK68" s="3">
        <v>147.75</v>
      </c>
      <c r="CL68" s="3">
        <v>142.5</v>
      </c>
      <c r="CM68" s="3">
        <v>135</v>
      </c>
      <c r="CN68" s="3">
        <v>105</v>
      </c>
      <c r="CO68" s="3">
        <v>67.5</v>
      </c>
      <c r="CP68" s="3">
        <v>15</v>
      </c>
      <c r="CQ68" s="3">
        <v>0</v>
      </c>
      <c r="CV68" s="3">
        <v>-2</v>
      </c>
      <c r="CW68" s="3">
        <v>-4</v>
      </c>
      <c r="CX68" s="3">
        <v>-6</v>
      </c>
      <c r="CY68" s="3">
        <v>-8</v>
      </c>
      <c r="CZ68" s="3">
        <v>-10</v>
      </c>
      <c r="DJ68" s="3">
        <f t="shared" ca="1" si="125"/>
        <v>150</v>
      </c>
      <c r="DK68" s="93">
        <f t="shared" ca="1" si="126"/>
        <v>100</v>
      </c>
      <c r="DL68" s="3">
        <f t="shared" ca="1" si="127"/>
        <v>0</v>
      </c>
      <c r="DO68" s="3">
        <v>2</v>
      </c>
      <c r="DZ68" s="3">
        <v>1</v>
      </c>
      <c r="EA68" s="3">
        <f t="shared" si="128"/>
        <v>1</v>
      </c>
      <c r="EB68" s="3">
        <f t="shared" si="129"/>
        <v>2</v>
      </c>
      <c r="EC68" s="3">
        <f t="shared" si="130"/>
        <v>0</v>
      </c>
      <c r="ED68" s="3">
        <f t="shared" si="131"/>
        <v>0</v>
      </c>
      <c r="EF68" s="3">
        <f t="shared" ca="1" si="132"/>
        <v>0</v>
      </c>
      <c r="EG68" s="3">
        <f t="shared" ca="1" si="133"/>
        <v>0</v>
      </c>
      <c r="EH68" s="3">
        <f ca="1">IFERROR(IF(LEFT($BA68,1)="4",OFFSET(변환표준점수!$H$118,MATCH($S68,변환표준점수!$B$119:$B$198,0),),OFFSET(EH$3,MATCH(AS68,$ED$4:$ED$8,0),0)),0)</f>
        <v>0</v>
      </c>
      <c r="EI68" s="3">
        <f ca="1">IFERROR(IF(LEFT($BA68,1)="4",OFFSET(변환표준점수!$I$118,MATCH($S68,변환표준점수!$B$119:$B$198,0),0),OFFSET(EI$3,MATCH(AT68,$ED$4:$ED$8,0),0)),0)</f>
        <v>0</v>
      </c>
      <c r="EK68" s="3">
        <f ca="1">IFERROR(IF(LEFT($BA68,1)="4",OFFSET(변환표준점수!$J$118,MATCH($S68,변환표준점수!$B$119:$B$198,0),0),OFFSET(EJ$3,MATCH(AV68,$ED$4:$ED$8,0),0)),0)</f>
        <v>0</v>
      </c>
      <c r="EL68" s="3">
        <f ca="1">IFERROR(IF(LEFT($BA68,1)="4",OFFSET(변환표준점수!$K$118,MATCH($S68,변환표준점수!$B$119:$B$198,0),0),OFFSET(EK$3,MATCH(AW68,$ED$4:$ED$8,0),0)),0)</f>
        <v>0</v>
      </c>
      <c r="EM68" s="3" t="str">
        <f t="shared" ca="1" si="134"/>
        <v/>
      </c>
      <c r="EN68" s="3" t="str">
        <f t="shared" ca="1" si="135"/>
        <v/>
      </c>
      <c r="EO68" s="3">
        <f t="shared" ca="1" si="136"/>
        <v>0</v>
      </c>
      <c r="EQ68" s="3">
        <f t="shared" ca="1" si="137"/>
        <v>0</v>
      </c>
      <c r="ER68" s="3">
        <f t="shared" ca="1" si="138"/>
        <v>0</v>
      </c>
      <c r="ES68" s="3">
        <f t="shared" ca="1" si="139"/>
        <v>0</v>
      </c>
      <c r="ET68" s="3">
        <f t="shared" ca="1" si="140"/>
        <v>0</v>
      </c>
      <c r="EU68" s="3">
        <f t="shared" si="141"/>
        <v>0</v>
      </c>
      <c r="EV68" s="3">
        <f t="shared" ca="1" si="142"/>
        <v>0</v>
      </c>
      <c r="EW68" s="3">
        <f t="shared" ca="1" si="143"/>
        <v>0</v>
      </c>
      <c r="EX68" s="3">
        <f ca="1">LARGE((ES68:ET68,EV68:EW68),1)</f>
        <v>0</v>
      </c>
      <c r="EY68" s="3">
        <f ca="1">IF(O68&lt;2,0,LARGE((ES68:ET68,EV68:EW68),2))</f>
        <v>0</v>
      </c>
      <c r="EZ68" s="3">
        <f t="shared" ca="1" si="144"/>
        <v>0</v>
      </c>
      <c r="FA68" s="3">
        <f t="shared" ca="1" si="145"/>
        <v>0</v>
      </c>
      <c r="FB68" s="3">
        <f t="shared" ca="1" si="146"/>
        <v>0</v>
      </c>
      <c r="FG68" s="3">
        <f t="shared" ca="1" si="147"/>
        <v>0</v>
      </c>
      <c r="FH68" s="618"/>
      <c r="FU68" s="3" t="str">
        <f t="shared" si="51"/>
        <v>표점</v>
      </c>
      <c r="FV68" s="3" t="str">
        <f t="shared" si="52"/>
        <v>변표</v>
      </c>
      <c r="FW68" s="3">
        <f t="shared" si="148"/>
        <v>0.28999999999999998</v>
      </c>
      <c r="FX68" s="3">
        <f t="shared" si="149"/>
        <v>0.41</v>
      </c>
      <c r="FY68" s="3">
        <f t="shared" si="150"/>
        <v>0.28999999999999998</v>
      </c>
      <c r="FZ68" s="3">
        <f t="shared" si="151"/>
        <v>4.25</v>
      </c>
    </row>
    <row r="69" spans="1:182">
      <c r="A69" s="556">
        <v>26</v>
      </c>
      <c r="C69" s="3">
        <f t="shared" si="105"/>
        <v>54</v>
      </c>
      <c r="D69" s="3">
        <v>54</v>
      </c>
      <c r="E69" s="3" t="s">
        <v>264</v>
      </c>
      <c r="F69" s="3">
        <v>1000</v>
      </c>
      <c r="G69" s="3">
        <v>0.35</v>
      </c>
      <c r="H69" s="3">
        <v>0.25</v>
      </c>
      <c r="I69" s="3">
        <v>0.125</v>
      </c>
      <c r="J69" s="3">
        <v>0.125</v>
      </c>
      <c r="L69" s="3">
        <v>0.125</v>
      </c>
      <c r="M69" s="3">
        <v>0.125</v>
      </c>
      <c r="O69" s="3">
        <v>2</v>
      </c>
      <c r="P69" s="3">
        <f t="shared" si="106"/>
        <v>0.85</v>
      </c>
      <c r="Q69" s="3">
        <v>21</v>
      </c>
      <c r="S69" s="3">
        <f t="shared" si="107"/>
        <v>21</v>
      </c>
      <c r="W69" s="3">
        <f t="shared" si="108"/>
        <v>0</v>
      </c>
      <c r="Y69" s="3">
        <f t="shared" si="109"/>
        <v>1.75</v>
      </c>
      <c r="Z69" s="3">
        <f t="shared" si="110"/>
        <v>1.25</v>
      </c>
      <c r="AA69" s="3">
        <f t="shared" si="111"/>
        <v>1.25</v>
      </c>
      <c r="AB69" s="3">
        <f t="shared" si="112"/>
        <v>1.25</v>
      </c>
      <c r="AC69" s="3">
        <f t="shared" si="113"/>
        <v>1.25</v>
      </c>
      <c r="AD69" s="3">
        <f t="shared" si="114"/>
        <v>1.75</v>
      </c>
      <c r="AE69" s="3">
        <f t="shared" si="115"/>
        <v>1.25</v>
      </c>
      <c r="AF69" s="3">
        <f t="shared" si="116"/>
        <v>1.25</v>
      </c>
      <c r="AG69" s="3">
        <f t="shared" si="117"/>
        <v>1.25</v>
      </c>
      <c r="AH69" s="3" t="str">
        <f t="shared" si="118"/>
        <v>자동</v>
      </c>
      <c r="AI69" s="3">
        <f t="shared" si="119"/>
        <v>1.25</v>
      </c>
      <c r="AJ69" s="3">
        <f t="shared" si="120"/>
        <v>1.25</v>
      </c>
      <c r="AL69" s="3" t="str">
        <f t="shared" si="121"/>
        <v/>
      </c>
      <c r="AN69" s="3" t="str">
        <f ca="1">IF($BA69=42,OFFSET(변환표준점수!C$119,$AP69-1,0),"")</f>
        <v/>
      </c>
      <c r="AO69" s="3" t="str">
        <f ca="1">IF($BA69=42,OFFSET(변환표준점수!D$119,$AP69-1,0),"")</f>
        <v/>
      </c>
      <c r="AP69" s="3">
        <f>IF(S69="","",MATCH(S69,변환표준점수!$B$119:$B$298,0))</f>
        <v>21</v>
      </c>
      <c r="AQ69" s="3">
        <v>1</v>
      </c>
      <c r="AR69" s="3">
        <v>1</v>
      </c>
      <c r="AS69" s="3">
        <v>4</v>
      </c>
      <c r="AT69" s="3">
        <v>4</v>
      </c>
      <c r="AV69" s="3">
        <v>4</v>
      </c>
      <c r="AW69" s="3">
        <v>4</v>
      </c>
      <c r="AX69" s="3">
        <v>3</v>
      </c>
      <c r="AY69" s="3">
        <v>3</v>
      </c>
      <c r="BA69" s="3">
        <f t="shared" si="122"/>
        <v>4</v>
      </c>
      <c r="BJ69" s="3">
        <f t="shared" si="123"/>
        <v>0</v>
      </c>
      <c r="CH69" s="206">
        <f t="shared" si="124"/>
        <v>850</v>
      </c>
      <c r="CI69" s="56">
        <v>150</v>
      </c>
      <c r="CJ69" s="3">
        <v>149.25</v>
      </c>
      <c r="CK69" s="3">
        <v>147.75</v>
      </c>
      <c r="CL69" s="3">
        <v>142.5</v>
      </c>
      <c r="CM69" s="3">
        <v>135</v>
      </c>
      <c r="CN69" s="3">
        <v>105</v>
      </c>
      <c r="CO69" s="3">
        <v>67.5</v>
      </c>
      <c r="CP69" s="3">
        <v>15</v>
      </c>
      <c r="CQ69" s="3">
        <v>0</v>
      </c>
      <c r="CV69" s="3">
        <v>-2</v>
      </c>
      <c r="CW69" s="3">
        <v>-4</v>
      </c>
      <c r="CX69" s="3">
        <v>-6</v>
      </c>
      <c r="CY69" s="3">
        <v>-8</v>
      </c>
      <c r="CZ69" s="3">
        <v>-10</v>
      </c>
      <c r="DJ69" s="3">
        <f t="shared" ca="1" si="125"/>
        <v>150</v>
      </c>
      <c r="DK69" s="93">
        <f t="shared" ca="1" si="126"/>
        <v>100</v>
      </c>
      <c r="DL69" s="3">
        <f t="shared" ca="1" si="127"/>
        <v>0</v>
      </c>
      <c r="DO69" s="3">
        <v>2</v>
      </c>
      <c r="EA69" s="3">
        <f t="shared" si="128"/>
        <v>2</v>
      </c>
      <c r="EB69" s="3">
        <f t="shared" si="129"/>
        <v>2</v>
      </c>
      <c r="EC69" s="3">
        <f t="shared" si="130"/>
        <v>0</v>
      </c>
      <c r="ED69" s="3">
        <f t="shared" si="131"/>
        <v>0</v>
      </c>
      <c r="EF69" s="3">
        <f t="shared" ca="1" si="132"/>
        <v>0</v>
      </c>
      <c r="EG69" s="3">
        <f t="shared" ca="1" si="133"/>
        <v>0</v>
      </c>
      <c r="EH69" s="3">
        <f ca="1">IFERROR(IF(LEFT($BA69,1)="4",OFFSET(변환표준점수!$H$118,MATCH($S69,변환표준점수!$B$119:$B$198,0),),OFFSET(EH$3,MATCH(AS69,$ED$4:$ED$8,0),0)),0)</f>
        <v>0</v>
      </c>
      <c r="EI69" s="3">
        <f ca="1">IFERROR(IF(LEFT($BA69,1)="4",OFFSET(변환표준점수!$I$118,MATCH($S69,변환표준점수!$B$119:$B$198,0),0),OFFSET(EI$3,MATCH(AT69,$ED$4:$ED$8,0),0)),0)</f>
        <v>0</v>
      </c>
      <c r="EK69" s="3">
        <f ca="1">IFERROR(IF(LEFT($BA69,1)="4",OFFSET(변환표준점수!$J$118,MATCH($S69,변환표준점수!$B$119:$B$198,0),0),OFFSET(EJ$3,MATCH(AV69,$ED$4:$ED$8,0),0)),0)</f>
        <v>0</v>
      </c>
      <c r="EL69" s="3">
        <f ca="1">IFERROR(IF(LEFT($BA69,1)="4",OFFSET(변환표준점수!$K$118,MATCH($S69,변환표준점수!$B$119:$B$198,0),0),OFFSET(EK$3,MATCH(AW69,$ED$4:$ED$8,0),0)),0)</f>
        <v>0</v>
      </c>
      <c r="EM69" s="3" t="str">
        <f t="shared" ca="1" si="134"/>
        <v/>
      </c>
      <c r="EN69" s="3" t="str">
        <f t="shared" ca="1" si="135"/>
        <v/>
      </c>
      <c r="EO69" s="3">
        <f t="shared" ca="1" si="136"/>
        <v>0</v>
      </c>
      <c r="EQ69" s="3">
        <f t="shared" ca="1" si="137"/>
        <v>0</v>
      </c>
      <c r="ER69" s="3">
        <f t="shared" ca="1" si="138"/>
        <v>0</v>
      </c>
      <c r="ES69" s="3">
        <f t="shared" ca="1" si="139"/>
        <v>0</v>
      </c>
      <c r="ET69" s="3">
        <f t="shared" ca="1" si="140"/>
        <v>0</v>
      </c>
      <c r="EU69" s="3">
        <f t="shared" si="141"/>
        <v>0</v>
      </c>
      <c r="EV69" s="3">
        <f t="shared" ca="1" si="142"/>
        <v>0</v>
      </c>
      <c r="EW69" s="3">
        <f t="shared" ca="1" si="143"/>
        <v>0</v>
      </c>
      <c r="EX69" s="3">
        <f ca="1">LARGE((ES69:ET69,EV69:EW69),1)</f>
        <v>0</v>
      </c>
      <c r="EY69" s="3">
        <f ca="1">IF(O69&lt;2,0,LARGE((ES69:ET69,EV69:EW69),2))</f>
        <v>0</v>
      </c>
      <c r="EZ69" s="3">
        <f t="shared" ca="1" si="144"/>
        <v>0</v>
      </c>
      <c r="FA69" s="3">
        <f t="shared" ca="1" si="145"/>
        <v>0</v>
      </c>
      <c r="FB69" s="3">
        <f t="shared" ca="1" si="146"/>
        <v>0</v>
      </c>
      <c r="FG69" s="3">
        <f t="shared" ca="1" si="147"/>
        <v>0</v>
      </c>
      <c r="FH69" s="618"/>
      <c r="FU69" s="3" t="str">
        <f t="shared" si="51"/>
        <v>표점</v>
      </c>
      <c r="FV69" s="3" t="str">
        <f t="shared" si="52"/>
        <v>변표</v>
      </c>
      <c r="FW69" s="3">
        <f t="shared" si="148"/>
        <v>0.41</v>
      </c>
      <c r="FX69" s="3">
        <f t="shared" si="149"/>
        <v>0.28999999999999998</v>
      </c>
      <c r="FY69" s="3">
        <f t="shared" si="150"/>
        <v>0.28999999999999998</v>
      </c>
      <c r="FZ69" s="3">
        <f t="shared" si="151"/>
        <v>4.25</v>
      </c>
    </row>
    <row r="70" spans="1:182">
      <c r="A70" s="556">
        <v>26</v>
      </c>
      <c r="C70" s="3">
        <f t="shared" si="105"/>
        <v>55</v>
      </c>
      <c r="D70" s="3">
        <v>55</v>
      </c>
      <c r="E70" s="3" t="s">
        <v>7282</v>
      </c>
      <c r="F70" s="3">
        <v>1000</v>
      </c>
      <c r="G70" s="3">
        <v>0.25</v>
      </c>
      <c r="H70" s="3">
        <v>0.35</v>
      </c>
      <c r="I70" s="3">
        <v>0.125</v>
      </c>
      <c r="J70" s="3">
        <v>0.125</v>
      </c>
      <c r="L70" s="3">
        <v>0.125</v>
      </c>
      <c r="M70" s="3">
        <v>0.125</v>
      </c>
      <c r="O70" s="3">
        <v>2</v>
      </c>
      <c r="P70" s="3">
        <f t="shared" si="106"/>
        <v>0.85</v>
      </c>
      <c r="Q70" s="3">
        <v>21</v>
      </c>
      <c r="S70" s="3">
        <f t="shared" si="107"/>
        <v>21</v>
      </c>
      <c r="W70" s="3">
        <f t="shared" si="108"/>
        <v>0</v>
      </c>
      <c r="Y70" s="3">
        <f t="shared" si="109"/>
        <v>1.25</v>
      </c>
      <c r="Z70" s="3">
        <f t="shared" si="110"/>
        <v>1.75</v>
      </c>
      <c r="AA70" s="3">
        <f t="shared" si="111"/>
        <v>1.25</v>
      </c>
      <c r="AB70" s="3">
        <f t="shared" si="112"/>
        <v>1.25</v>
      </c>
      <c r="AC70" s="3">
        <f t="shared" si="113"/>
        <v>1.25</v>
      </c>
      <c r="AD70" s="3">
        <f t="shared" si="114"/>
        <v>1.25</v>
      </c>
      <c r="AE70" s="3">
        <f t="shared" si="115"/>
        <v>1.75</v>
      </c>
      <c r="AF70" s="3">
        <f t="shared" si="116"/>
        <v>1.25</v>
      </c>
      <c r="AG70" s="3">
        <f t="shared" si="117"/>
        <v>1.25</v>
      </c>
      <c r="AH70" s="3" t="str">
        <f t="shared" si="118"/>
        <v>자동</v>
      </c>
      <c r="AI70" s="3">
        <f t="shared" si="119"/>
        <v>1.25</v>
      </c>
      <c r="AJ70" s="3">
        <f t="shared" si="120"/>
        <v>1.25</v>
      </c>
      <c r="AL70" s="3" t="str">
        <f t="shared" si="121"/>
        <v/>
      </c>
      <c r="AN70" s="3" t="str">
        <f ca="1">IF($BA70=42,OFFSET(변환표준점수!C$119,$AP70-1,0),"")</f>
        <v/>
      </c>
      <c r="AO70" s="3" t="str">
        <f ca="1">IF($BA70=42,OFFSET(변환표준점수!D$119,$AP70-1,0),"")</f>
        <v/>
      </c>
      <c r="AP70" s="3">
        <f>IF(S70="","",MATCH(S70,변환표준점수!$B$119:$B$298,0))</f>
        <v>21</v>
      </c>
      <c r="AQ70" s="3">
        <v>1</v>
      </c>
      <c r="AR70" s="3">
        <v>1</v>
      </c>
      <c r="AS70" s="3">
        <v>4</v>
      </c>
      <c r="AT70" s="3">
        <v>4</v>
      </c>
      <c r="AV70" s="3">
        <v>4</v>
      </c>
      <c r="AW70" s="3">
        <v>4</v>
      </c>
      <c r="AX70" s="3">
        <v>3</v>
      </c>
      <c r="AY70" s="3">
        <v>3</v>
      </c>
      <c r="BA70" s="3">
        <f t="shared" si="122"/>
        <v>4</v>
      </c>
      <c r="BJ70" s="3">
        <f t="shared" si="123"/>
        <v>0</v>
      </c>
      <c r="BL70" s="3">
        <f>0.03*AI70</f>
        <v>3.7499999999999999E-2</v>
      </c>
      <c r="BM70" s="3">
        <f>0.03*AJ70</f>
        <v>3.7499999999999999E-2</v>
      </c>
      <c r="BN70" s="212" t="s">
        <v>7270</v>
      </c>
      <c r="BV70" s="3">
        <f ca="1">BL70*EK70</f>
        <v>0</v>
      </c>
      <c r="BW70" s="3">
        <f ca="1">BM70*EL70</f>
        <v>0</v>
      </c>
      <c r="CH70" s="206">
        <f t="shared" si="124"/>
        <v>850</v>
      </c>
      <c r="CI70" s="56">
        <v>150</v>
      </c>
      <c r="CJ70" s="3">
        <v>149.25</v>
      </c>
      <c r="CK70" s="3">
        <v>147.75</v>
      </c>
      <c r="CL70" s="3">
        <v>142.5</v>
      </c>
      <c r="CM70" s="3">
        <v>135</v>
      </c>
      <c r="CN70" s="3">
        <v>105</v>
      </c>
      <c r="CO70" s="3">
        <v>67.5</v>
      </c>
      <c r="CP70" s="3">
        <v>15</v>
      </c>
      <c r="CQ70" s="3">
        <v>0</v>
      </c>
      <c r="CV70" s="3">
        <v>-2</v>
      </c>
      <c r="CW70" s="3">
        <v>-4</v>
      </c>
      <c r="CX70" s="3">
        <v>-6</v>
      </c>
      <c r="CY70" s="3">
        <v>-8</v>
      </c>
      <c r="CZ70" s="3">
        <v>-10</v>
      </c>
      <c r="DJ70" s="3">
        <f t="shared" ca="1" si="125"/>
        <v>150</v>
      </c>
      <c r="DK70" s="93">
        <f t="shared" ca="1" si="126"/>
        <v>100</v>
      </c>
      <c r="DL70" s="3">
        <f t="shared" ca="1" si="127"/>
        <v>0</v>
      </c>
      <c r="DO70" s="3">
        <v>2</v>
      </c>
      <c r="DZ70" s="3">
        <v>1</v>
      </c>
      <c r="EA70" s="3">
        <f t="shared" si="128"/>
        <v>1</v>
      </c>
      <c r="EB70" s="3">
        <f t="shared" si="129"/>
        <v>2</v>
      </c>
      <c r="EC70" s="3">
        <f t="shared" si="130"/>
        <v>0</v>
      </c>
      <c r="ED70" s="3">
        <f t="shared" si="131"/>
        <v>0</v>
      </c>
      <c r="EF70" s="3">
        <f t="shared" ca="1" si="132"/>
        <v>0</v>
      </c>
      <c r="EG70" s="3">
        <f t="shared" ca="1" si="133"/>
        <v>0</v>
      </c>
      <c r="EH70" s="3">
        <f ca="1">IFERROR(IF(LEFT($BA70,1)="4",OFFSET(변환표준점수!$H$118,MATCH($S70,변환표준점수!$B$119:$B$198,0),),OFFSET(EH$3,MATCH(AS70,$ED$4:$ED$8,0),0)),0)</f>
        <v>0</v>
      </c>
      <c r="EI70" s="3">
        <f ca="1">IFERROR(IF(LEFT($BA70,1)="4",OFFSET(변환표준점수!$I$118,MATCH($S70,변환표준점수!$B$119:$B$198,0),0),OFFSET(EI$3,MATCH(AT70,$ED$4:$ED$8,0),0)),0)</f>
        <v>0</v>
      </c>
      <c r="EK70" s="3">
        <f ca="1">IFERROR(IF(LEFT($BA70,1)="4",OFFSET(변환표준점수!$J$118,MATCH($S70,변환표준점수!$B$119:$B$198,0),0),OFFSET(EJ$3,MATCH(AV70,$ED$4:$ED$8,0),0)),0)</f>
        <v>0</v>
      </c>
      <c r="EL70" s="3">
        <f ca="1">IFERROR(IF(LEFT($BA70,1)="4",OFFSET(변환표준점수!$K$118,MATCH($S70,변환표준점수!$B$119:$B$198,0),0),OFFSET(EK$3,MATCH(AW70,$ED$4:$ED$8,0),0)),0)</f>
        <v>0</v>
      </c>
      <c r="EM70" s="3" t="str">
        <f t="shared" ca="1" si="134"/>
        <v/>
      </c>
      <c r="EN70" s="3" t="str">
        <f t="shared" ca="1" si="135"/>
        <v/>
      </c>
      <c r="EO70" s="3">
        <f t="shared" ca="1" si="136"/>
        <v>0</v>
      </c>
      <c r="EQ70" s="3">
        <f t="shared" ca="1" si="137"/>
        <v>0</v>
      </c>
      <c r="ER70" s="3">
        <f t="shared" ca="1" si="138"/>
        <v>0</v>
      </c>
      <c r="ES70" s="3">
        <f t="shared" ca="1" si="139"/>
        <v>0</v>
      </c>
      <c r="ET70" s="3">
        <f t="shared" ca="1" si="140"/>
        <v>0</v>
      </c>
      <c r="EU70" s="3">
        <f t="shared" si="141"/>
        <v>0</v>
      </c>
      <c r="EV70" s="3">
        <f t="shared" ca="1" si="142"/>
        <v>0</v>
      </c>
      <c r="EW70" s="3">
        <f t="shared" ca="1" si="143"/>
        <v>0</v>
      </c>
      <c r="EX70" s="3">
        <f ca="1">LARGE((ES70:ET70,EV70:EW70),1)</f>
        <v>0</v>
      </c>
      <c r="EY70" s="3">
        <f ca="1">IF(O70&lt;2,0,LARGE((ES70:ET70,EV70:EW70),2))</f>
        <v>0</v>
      </c>
      <c r="EZ70" s="3">
        <f t="shared" ca="1" si="144"/>
        <v>0</v>
      </c>
      <c r="FA70" s="3">
        <f t="shared" ca="1" si="145"/>
        <v>0</v>
      </c>
      <c r="FB70" s="3">
        <f t="shared" ca="1" si="146"/>
        <v>0</v>
      </c>
      <c r="FG70" s="3">
        <f t="shared" ca="1" si="147"/>
        <v>0</v>
      </c>
      <c r="FH70" s="618"/>
      <c r="FU70" s="3" t="str">
        <f t="shared" si="51"/>
        <v>표점</v>
      </c>
      <c r="FV70" s="3" t="str">
        <f t="shared" si="52"/>
        <v>변표</v>
      </c>
      <c r="FW70" s="3">
        <f t="shared" si="148"/>
        <v>0.28999999999999998</v>
      </c>
      <c r="FX70" s="3">
        <f t="shared" si="149"/>
        <v>0.41</v>
      </c>
      <c r="FY70" s="3">
        <f t="shared" si="150"/>
        <v>0.28999999999999998</v>
      </c>
      <c r="FZ70" s="3">
        <f t="shared" si="151"/>
        <v>4.25</v>
      </c>
    </row>
    <row r="71" spans="1:182">
      <c r="A71" s="556">
        <v>26</v>
      </c>
      <c r="C71" s="3">
        <f t="shared" si="105"/>
        <v>56</v>
      </c>
      <c r="D71" s="3">
        <v>56</v>
      </c>
      <c r="E71" s="3" t="s">
        <v>344</v>
      </c>
      <c r="F71" s="3">
        <v>200</v>
      </c>
      <c r="G71" s="3">
        <v>0.2</v>
      </c>
      <c r="H71" s="3">
        <v>0.35</v>
      </c>
      <c r="I71" s="3">
        <v>0.15</v>
      </c>
      <c r="J71" s="3">
        <v>0.15</v>
      </c>
      <c r="L71" s="3">
        <v>0.15</v>
      </c>
      <c r="M71" s="3">
        <v>0.15</v>
      </c>
      <c r="O71" s="3">
        <v>2</v>
      </c>
      <c r="P71" s="3">
        <f t="shared" si="106"/>
        <v>0.85000000000000009</v>
      </c>
      <c r="Q71" s="3" t="s">
        <v>408</v>
      </c>
      <c r="S71" s="3" t="str">
        <f t="shared" si="107"/>
        <v/>
      </c>
      <c r="W71" s="3">
        <f t="shared" si="108"/>
        <v>0</v>
      </c>
      <c r="Y71" s="3">
        <f t="shared" si="109"/>
        <v>0.2</v>
      </c>
      <c r="Z71" s="3">
        <f t="shared" si="110"/>
        <v>0.35</v>
      </c>
      <c r="AA71" s="3">
        <f t="shared" si="111"/>
        <v>0.3</v>
      </c>
      <c r="AB71" s="3">
        <f t="shared" si="112"/>
        <v>0.3</v>
      </c>
      <c r="AC71" s="3">
        <f t="shared" si="113"/>
        <v>0.3</v>
      </c>
      <c r="AD71" s="3">
        <f t="shared" si="114"/>
        <v>0.2</v>
      </c>
      <c r="AE71" s="3">
        <f t="shared" si="115"/>
        <v>0.35</v>
      </c>
      <c r="AF71" s="3">
        <f t="shared" si="116"/>
        <v>0.3</v>
      </c>
      <c r="AG71" s="3">
        <f t="shared" si="117"/>
        <v>0.3</v>
      </c>
      <c r="AH71" s="3" t="str">
        <f t="shared" si="118"/>
        <v>자동</v>
      </c>
      <c r="AI71" s="3">
        <f t="shared" si="119"/>
        <v>0.3</v>
      </c>
      <c r="AJ71" s="3">
        <f t="shared" si="120"/>
        <v>0.3</v>
      </c>
      <c r="AL71" s="3" t="str">
        <f t="shared" si="121"/>
        <v/>
      </c>
      <c r="AN71" s="3" t="str">
        <f ca="1">IF($BA71=42,OFFSET(변환표준점수!C$119,$AP71-1,0),"")</f>
        <v/>
      </c>
      <c r="AO71" s="3" t="str">
        <f ca="1">IF($BA71=42,OFFSET(변환표준점수!D$119,$AP71-1,0),"")</f>
        <v/>
      </c>
      <c r="AP71" s="3" t="str">
        <f>IF(S71="","",MATCH(S71,변환표준점수!$B$119:$B$298,0))</f>
        <v/>
      </c>
      <c r="AQ71" s="3">
        <v>1</v>
      </c>
      <c r="AR71" s="3">
        <v>1</v>
      </c>
      <c r="AS71" s="3">
        <v>1</v>
      </c>
      <c r="AT71" s="3">
        <v>1</v>
      </c>
      <c r="AV71" s="3">
        <v>1</v>
      </c>
      <c r="AW71" s="3">
        <v>1</v>
      </c>
      <c r="AX71" s="3">
        <v>3</v>
      </c>
      <c r="AY71" s="3">
        <v>3</v>
      </c>
      <c r="BA71" s="3">
        <f t="shared" si="122"/>
        <v>1</v>
      </c>
      <c r="BC71" s="3">
        <f>0.03*AE71</f>
        <v>1.0499999999999999E-2</v>
      </c>
      <c r="BD71" s="3">
        <f>0.03*AE71</f>
        <v>1.0499999999999999E-2</v>
      </c>
      <c r="BF71" s="3">
        <f>0.03*AF71</f>
        <v>8.9999999999999993E-3</v>
      </c>
      <c r="BG71" s="3">
        <f>0.03*AG71</f>
        <v>8.9999999999999993E-3</v>
      </c>
      <c r="BJ71" s="3">
        <f t="shared" si="123"/>
        <v>0</v>
      </c>
      <c r="BN71" s="212" t="s">
        <v>7692</v>
      </c>
      <c r="BP71" s="3">
        <f>IF(BP$6&gt;0,BC71*$EG71,0)</f>
        <v>0</v>
      </c>
      <c r="BQ71" s="3">
        <f>IF(BQ$6&gt;0,BD71*$EG71,0)</f>
        <v>0</v>
      </c>
      <c r="BS71" s="3">
        <f ca="1">BF71*EH71</f>
        <v>0</v>
      </c>
      <c r="BT71" s="3">
        <f ca="1">BG71*EI71</f>
        <v>0</v>
      </c>
      <c r="CH71" s="206">
        <f t="shared" si="124"/>
        <v>170.00000000000003</v>
      </c>
      <c r="CI71" s="56">
        <v>15</v>
      </c>
      <c r="CJ71" s="3">
        <v>14.25</v>
      </c>
      <c r="CK71" s="3">
        <v>13.2</v>
      </c>
      <c r="CL71" s="3">
        <v>11.85</v>
      </c>
      <c r="CM71" s="3">
        <v>10.199999999999999</v>
      </c>
      <c r="CN71" s="3">
        <v>8.25</v>
      </c>
      <c r="CO71" s="3">
        <v>6</v>
      </c>
      <c r="CP71" s="3">
        <v>3.4499999999999997</v>
      </c>
      <c r="CQ71" s="3">
        <v>0.6</v>
      </c>
      <c r="CR71" s="56">
        <v>10</v>
      </c>
      <c r="CS71" s="3">
        <v>10</v>
      </c>
      <c r="CT71" s="3">
        <v>10</v>
      </c>
      <c r="CU71" s="3">
        <v>9.9</v>
      </c>
      <c r="CV71" s="3">
        <v>9.8000000000000007</v>
      </c>
      <c r="CW71" s="3">
        <v>9.6999999999999993</v>
      </c>
      <c r="CX71" s="3">
        <v>9.6</v>
      </c>
      <c r="CY71" s="3">
        <v>9.5</v>
      </c>
      <c r="CZ71" s="3">
        <v>9.4</v>
      </c>
      <c r="DJ71" s="3">
        <f t="shared" ca="1" si="125"/>
        <v>15</v>
      </c>
      <c r="DK71" s="93">
        <f t="shared" ca="1" si="126"/>
        <v>100</v>
      </c>
      <c r="DL71" s="3">
        <f t="shared" ca="1" si="127"/>
        <v>10</v>
      </c>
      <c r="DO71" s="3">
        <v>2</v>
      </c>
      <c r="DZ71" s="3">
        <v>1</v>
      </c>
      <c r="EA71" s="3">
        <f t="shared" si="128"/>
        <v>1</v>
      </c>
      <c r="EB71" s="3">
        <f t="shared" si="129"/>
        <v>2</v>
      </c>
      <c r="EC71" s="3">
        <f t="shared" si="130"/>
        <v>0</v>
      </c>
      <c r="ED71" s="3">
        <f t="shared" si="131"/>
        <v>0</v>
      </c>
      <c r="EF71" s="3">
        <f t="shared" ca="1" si="132"/>
        <v>0</v>
      </c>
      <c r="EG71" s="3">
        <f t="shared" ca="1" si="133"/>
        <v>0</v>
      </c>
      <c r="EH71" s="3">
        <f ca="1">IFERROR(IF(LEFT($BA71,1)="4",OFFSET(변환표준점수!$H$118,MATCH($S71,변환표준점수!$B$119:$B$198,0),),OFFSET(EH$3,MATCH(AS71,$ED$4:$ED$8,0),0)),0)</f>
        <v>0</v>
      </c>
      <c r="EI71" s="3">
        <f ca="1">IFERROR(IF(LEFT($BA71,1)="4",OFFSET(변환표준점수!$I$118,MATCH($S71,변환표준점수!$B$119:$B$198,0),0),OFFSET(EI$3,MATCH(AT71,$ED$4:$ED$8,0),0)),0)</f>
        <v>0</v>
      </c>
      <c r="EK71" s="3">
        <f ca="1">IFERROR(IF(LEFT($BA71,1)="4",OFFSET(변환표준점수!$J$118,MATCH($S71,변환표준점수!$B$119:$B$198,0),0),OFFSET(EJ$3,MATCH(AV71,$ED$4:$ED$8,0),0)),0)</f>
        <v>0</v>
      </c>
      <c r="EL71" s="3">
        <f ca="1">IFERROR(IF(LEFT($BA71,1)="4",OFFSET(변환표준점수!$K$118,MATCH($S71,변환표준점수!$B$119:$B$198,0),0),OFFSET(EK$3,MATCH(AW71,$ED$4:$ED$8,0),0)),0)</f>
        <v>0</v>
      </c>
      <c r="EM71" s="3" t="str">
        <f t="shared" ca="1" si="134"/>
        <v/>
      </c>
      <c r="EN71" s="3" t="str">
        <f t="shared" ca="1" si="135"/>
        <v/>
      </c>
      <c r="EO71" s="3">
        <f t="shared" ca="1" si="136"/>
        <v>0</v>
      </c>
      <c r="EQ71" s="3">
        <f t="shared" ca="1" si="137"/>
        <v>0</v>
      </c>
      <c r="ER71" s="3">
        <f t="shared" ca="1" si="138"/>
        <v>0</v>
      </c>
      <c r="ES71" s="3">
        <f t="shared" ca="1" si="139"/>
        <v>0</v>
      </c>
      <c r="ET71" s="3">
        <f t="shared" ca="1" si="140"/>
        <v>0</v>
      </c>
      <c r="EU71" s="3">
        <f t="shared" si="141"/>
        <v>0</v>
      </c>
      <c r="EV71" s="3">
        <f t="shared" ca="1" si="142"/>
        <v>0</v>
      </c>
      <c r="EW71" s="3">
        <f t="shared" ca="1" si="143"/>
        <v>0</v>
      </c>
      <c r="EX71" s="3">
        <f ca="1">LARGE((ES71:ET71,EV71:EW71),1)</f>
        <v>0</v>
      </c>
      <c r="EY71" s="3">
        <f ca="1">IF(O71&lt;2,0,LARGE((ES71:ET71,EV71:EW71),2))</f>
        <v>0</v>
      </c>
      <c r="EZ71" s="3">
        <f t="shared" ca="1" si="144"/>
        <v>0</v>
      </c>
      <c r="FA71" s="3">
        <f t="shared" ca="1" si="145"/>
        <v>0</v>
      </c>
      <c r="FB71" s="3">
        <f t="shared" ca="1" si="146"/>
        <v>0</v>
      </c>
      <c r="FG71" s="3">
        <f t="shared" ca="1" si="147"/>
        <v>0</v>
      </c>
      <c r="FH71" s="618"/>
      <c r="FU71" s="3" t="str">
        <f t="shared" si="51"/>
        <v>표점</v>
      </c>
      <c r="FV71" s="3" t="str">
        <f t="shared" si="52"/>
        <v>표점</v>
      </c>
      <c r="FW71" s="3">
        <f t="shared" si="148"/>
        <v>0.24</v>
      </c>
      <c r="FX71" s="3">
        <f t="shared" si="149"/>
        <v>0.41</v>
      </c>
      <c r="FY71" s="3">
        <f t="shared" si="150"/>
        <v>0.35</v>
      </c>
      <c r="FZ71" s="3">
        <f t="shared" si="151"/>
        <v>0.85000000000000009</v>
      </c>
    </row>
    <row r="72" spans="1:182">
      <c r="A72" s="556">
        <v>26</v>
      </c>
      <c r="C72" s="3">
        <f t="shared" si="105"/>
        <v>57</v>
      </c>
      <c r="D72" s="3">
        <v>57</v>
      </c>
      <c r="E72" s="3" t="s">
        <v>345</v>
      </c>
      <c r="F72" s="3">
        <v>200</v>
      </c>
      <c r="G72" s="3">
        <v>0.3</v>
      </c>
      <c r="H72" s="3">
        <v>0.3</v>
      </c>
      <c r="I72" s="3">
        <v>0.125</v>
      </c>
      <c r="J72" s="3">
        <v>0.125</v>
      </c>
      <c r="L72" s="3">
        <v>0.125</v>
      </c>
      <c r="M72" s="3">
        <v>0.125</v>
      </c>
      <c r="O72" s="3">
        <v>2</v>
      </c>
      <c r="P72" s="3">
        <f t="shared" si="106"/>
        <v>0.85</v>
      </c>
      <c r="Q72" s="3" t="s">
        <v>408</v>
      </c>
      <c r="S72" s="3" t="str">
        <f t="shared" si="107"/>
        <v/>
      </c>
      <c r="W72" s="3">
        <f t="shared" si="108"/>
        <v>0</v>
      </c>
      <c r="Y72" s="3">
        <f t="shared" si="109"/>
        <v>0.3</v>
      </c>
      <c r="Z72" s="3">
        <f t="shared" si="110"/>
        <v>0.3</v>
      </c>
      <c r="AA72" s="3">
        <f t="shared" si="111"/>
        <v>0.25</v>
      </c>
      <c r="AB72" s="3">
        <f t="shared" si="112"/>
        <v>0.25</v>
      </c>
      <c r="AC72" s="3">
        <f t="shared" si="113"/>
        <v>0.25</v>
      </c>
      <c r="AD72" s="3">
        <f t="shared" si="114"/>
        <v>0.3</v>
      </c>
      <c r="AE72" s="3">
        <f t="shared" si="115"/>
        <v>0.3</v>
      </c>
      <c r="AF72" s="3">
        <f t="shared" si="116"/>
        <v>0.25</v>
      </c>
      <c r="AG72" s="3">
        <f t="shared" si="117"/>
        <v>0.25</v>
      </c>
      <c r="AH72" s="3" t="str">
        <f t="shared" si="118"/>
        <v>자동</v>
      </c>
      <c r="AI72" s="3">
        <f t="shared" si="119"/>
        <v>0.25</v>
      </c>
      <c r="AJ72" s="3">
        <f t="shared" si="120"/>
        <v>0.25</v>
      </c>
      <c r="AL72" s="3" t="str">
        <f t="shared" si="121"/>
        <v/>
      </c>
      <c r="AN72" s="3" t="str">
        <f ca="1">IF($BA72=42,OFFSET(변환표준점수!C$119,$AP72-1,0),"")</f>
        <v/>
      </c>
      <c r="AO72" s="3" t="str">
        <f ca="1">IF($BA72=42,OFFSET(변환표준점수!D$119,$AP72-1,0),"")</f>
        <v/>
      </c>
      <c r="AP72" s="3" t="str">
        <f>IF(S72="","",MATCH(S72,변환표준점수!$B$119:$B$298,0))</f>
        <v/>
      </c>
      <c r="AQ72" s="3">
        <v>1</v>
      </c>
      <c r="AR72" s="3">
        <v>1</v>
      </c>
      <c r="AS72" s="3">
        <v>1</v>
      </c>
      <c r="AT72" s="3">
        <v>1</v>
      </c>
      <c r="AV72" s="3">
        <v>1</v>
      </c>
      <c r="AW72" s="3">
        <v>1</v>
      </c>
      <c r="AX72" s="3">
        <v>3</v>
      </c>
      <c r="AY72" s="3">
        <v>3</v>
      </c>
      <c r="BA72" s="3">
        <f t="shared" si="122"/>
        <v>1</v>
      </c>
      <c r="BJ72" s="3">
        <f t="shared" si="123"/>
        <v>0</v>
      </c>
      <c r="CH72" s="206">
        <f t="shared" si="124"/>
        <v>170</v>
      </c>
      <c r="CI72" s="56">
        <v>15</v>
      </c>
      <c r="CJ72" s="3">
        <v>14.25</v>
      </c>
      <c r="CK72" s="3">
        <v>13.2</v>
      </c>
      <c r="CL72" s="3">
        <v>11.85</v>
      </c>
      <c r="CM72" s="3">
        <v>10.199999999999999</v>
      </c>
      <c r="CN72" s="3">
        <v>8.25</v>
      </c>
      <c r="CO72" s="3">
        <v>6</v>
      </c>
      <c r="CP72" s="3">
        <v>3.4499999999999997</v>
      </c>
      <c r="CQ72" s="3">
        <v>0.6</v>
      </c>
      <c r="CR72" s="56">
        <v>10</v>
      </c>
      <c r="CS72" s="3">
        <v>10</v>
      </c>
      <c r="CT72" s="3">
        <v>10</v>
      </c>
      <c r="CU72" s="3">
        <v>9.9</v>
      </c>
      <c r="CV72" s="3">
        <v>9.8000000000000007</v>
      </c>
      <c r="CW72" s="3">
        <v>9.6999999999999993</v>
      </c>
      <c r="CX72" s="3">
        <v>9.6</v>
      </c>
      <c r="CY72" s="3">
        <v>9.5</v>
      </c>
      <c r="CZ72" s="3">
        <v>9.4</v>
      </c>
      <c r="DJ72" s="3">
        <f t="shared" ca="1" si="125"/>
        <v>15</v>
      </c>
      <c r="DK72" s="93">
        <f t="shared" ca="1" si="126"/>
        <v>100</v>
      </c>
      <c r="DL72" s="3">
        <f t="shared" ca="1" si="127"/>
        <v>10</v>
      </c>
      <c r="DO72" s="3">
        <v>2</v>
      </c>
      <c r="EA72" s="3">
        <f t="shared" si="128"/>
        <v>2</v>
      </c>
      <c r="EB72" s="3">
        <f t="shared" si="129"/>
        <v>2</v>
      </c>
      <c r="EC72" s="3">
        <f t="shared" si="130"/>
        <v>0</v>
      </c>
      <c r="ED72" s="3">
        <f t="shared" si="131"/>
        <v>0</v>
      </c>
      <c r="EF72" s="3">
        <f t="shared" ca="1" si="132"/>
        <v>0</v>
      </c>
      <c r="EG72" s="3">
        <f t="shared" ca="1" si="133"/>
        <v>0</v>
      </c>
      <c r="EH72" s="3">
        <f ca="1">IFERROR(IF(LEFT($BA72,1)="4",OFFSET(변환표준점수!$H$118,MATCH($S72,변환표준점수!$B$119:$B$198,0),),OFFSET(EH$3,MATCH(AS72,$ED$4:$ED$8,0),0)),0)</f>
        <v>0</v>
      </c>
      <c r="EI72" s="3">
        <f ca="1">IFERROR(IF(LEFT($BA72,1)="4",OFFSET(변환표준점수!$I$118,MATCH($S72,변환표준점수!$B$119:$B$198,0),0),OFFSET(EI$3,MATCH(AT72,$ED$4:$ED$8,0),0)),0)</f>
        <v>0</v>
      </c>
      <c r="EK72" s="3">
        <f ca="1">IFERROR(IF(LEFT($BA72,1)="4",OFFSET(변환표준점수!$J$118,MATCH($S72,변환표준점수!$B$119:$B$198,0),0),OFFSET(EJ$3,MATCH(AV72,$ED$4:$ED$8,0),0)),0)</f>
        <v>0</v>
      </c>
      <c r="EL72" s="3">
        <f ca="1">IFERROR(IF(LEFT($BA72,1)="4",OFFSET(변환표준점수!$K$118,MATCH($S72,변환표준점수!$B$119:$B$198,0),0),OFFSET(EK$3,MATCH(AW72,$ED$4:$ED$8,0),0)),0)</f>
        <v>0</v>
      </c>
      <c r="EM72" s="3" t="str">
        <f t="shared" ca="1" si="134"/>
        <v/>
      </c>
      <c r="EN72" s="3" t="str">
        <f t="shared" ca="1" si="135"/>
        <v/>
      </c>
      <c r="EO72" s="3">
        <f t="shared" ca="1" si="136"/>
        <v>0</v>
      </c>
      <c r="EQ72" s="3">
        <f t="shared" ca="1" si="137"/>
        <v>0</v>
      </c>
      <c r="ER72" s="3">
        <f t="shared" ca="1" si="138"/>
        <v>0</v>
      </c>
      <c r="ES72" s="3">
        <f t="shared" ca="1" si="139"/>
        <v>0</v>
      </c>
      <c r="ET72" s="3">
        <f t="shared" ca="1" si="140"/>
        <v>0</v>
      </c>
      <c r="EU72" s="3">
        <f t="shared" si="141"/>
        <v>0</v>
      </c>
      <c r="EV72" s="3">
        <f t="shared" ca="1" si="142"/>
        <v>0</v>
      </c>
      <c r="EW72" s="3">
        <f t="shared" ca="1" si="143"/>
        <v>0</v>
      </c>
      <c r="EX72" s="3">
        <f ca="1">LARGE((ES72:ET72,EV72:EW72),1)</f>
        <v>0</v>
      </c>
      <c r="EY72" s="3">
        <f ca="1">IF(O72&lt;2,0,LARGE((ES72:ET72,EV72:EW72),2))</f>
        <v>0</v>
      </c>
      <c r="EZ72" s="3">
        <f t="shared" ca="1" si="144"/>
        <v>0</v>
      </c>
      <c r="FA72" s="3">
        <f t="shared" ca="1" si="145"/>
        <v>0</v>
      </c>
      <c r="FB72" s="3">
        <f t="shared" ca="1" si="146"/>
        <v>0</v>
      </c>
      <c r="FG72" s="3">
        <f t="shared" ca="1" si="147"/>
        <v>0</v>
      </c>
      <c r="FH72" s="618"/>
      <c r="FU72" s="3" t="str">
        <f t="shared" si="51"/>
        <v>표점</v>
      </c>
      <c r="FV72" s="3" t="str">
        <f t="shared" si="52"/>
        <v>표점</v>
      </c>
      <c r="FW72" s="3">
        <f t="shared" si="148"/>
        <v>0.35</v>
      </c>
      <c r="FX72" s="3">
        <f t="shared" si="149"/>
        <v>0.35</v>
      </c>
      <c r="FY72" s="3">
        <f t="shared" si="150"/>
        <v>0.28999999999999998</v>
      </c>
      <c r="FZ72" s="3">
        <f t="shared" si="151"/>
        <v>0.85</v>
      </c>
    </row>
    <row r="73" spans="1:182">
      <c r="BN73" s="220"/>
      <c r="BT73" s="32"/>
      <c r="DK73" s="93"/>
      <c r="FH73" s="618"/>
    </row>
    <row r="74" spans="1:182">
      <c r="DK74" s="93"/>
      <c r="FH74" s="618"/>
    </row>
    <row r="75" spans="1:182">
      <c r="DK75" s="93"/>
      <c r="FH75" s="618"/>
    </row>
    <row r="76" spans="1:182">
      <c r="DK76" s="93"/>
      <c r="FH76" s="618"/>
    </row>
    <row r="77" spans="1:182">
      <c r="A77" s="556">
        <v>26</v>
      </c>
      <c r="C77" s="3">
        <f t="shared" ref="C77:C85" si="156">ROUND(ROW(C77)-ROW($C$15),0)</f>
        <v>62</v>
      </c>
      <c r="D77" s="3">
        <v>62</v>
      </c>
      <c r="E77" s="3" t="s">
        <v>346</v>
      </c>
      <c r="F77" s="3">
        <v>1000</v>
      </c>
      <c r="G77" s="3">
        <v>0.35</v>
      </c>
      <c r="H77" s="3">
        <v>0.25</v>
      </c>
      <c r="I77" s="3">
        <v>0.125</v>
      </c>
      <c r="J77" s="3">
        <v>0.125</v>
      </c>
      <c r="L77" s="3">
        <v>0.125</v>
      </c>
      <c r="M77" s="3">
        <v>0.125</v>
      </c>
      <c r="O77" s="3">
        <v>2</v>
      </c>
      <c r="P77" s="3">
        <f t="shared" ref="P77:P85" si="157">G77+H77+MAX((I77:J77),L77:M77)*O77</f>
        <v>0.85</v>
      </c>
      <c r="Q77" s="3">
        <v>23</v>
      </c>
      <c r="S77" s="3">
        <f t="shared" ref="S77:S85" si="158">IF(R77&gt;0,R77,Q77)</f>
        <v>23</v>
      </c>
      <c r="W77" s="3">
        <f>IF(AND(BH77=0,CD77=0),0,IF(V77&gt;0,V77,IF(U77=1,$W$11,0)))</f>
        <v>0</v>
      </c>
      <c r="Y77" s="3">
        <f t="shared" ref="Y77:Z79" si="159">AD77</f>
        <v>2.5179856115107913</v>
      </c>
      <c r="Z77" s="3">
        <f t="shared" si="159"/>
        <v>1.7857142857142858</v>
      </c>
      <c r="AA77" s="3">
        <f ca="1">IF($BB$7=1,AF77,IF(AS77=12,$F77*I77/($AF$8*AL77+$AF$9*(1-AL77)),AF77))</f>
        <v>1.7857142857142858</v>
      </c>
      <c r="AB77" s="3">
        <f ca="1">IF($BB$7=1,AI77,IF(AV77=12,$F77*L77/($AI$8*AL77+$AI$9*(1-AL77)),AI77))</f>
        <v>1.7857142857142858</v>
      </c>
      <c r="AC77" s="3">
        <f ca="1">IF(AND(AS77=2,EA77=1),AA77*O77,IF(AND(AS77=2,EA77=2),AB77*O77,IF(EA77=1,AA77,IF(EA77=2,AB77))))</f>
        <v>1.7857142857142858</v>
      </c>
      <c r="AD77" s="3">
        <f>IF(AQ77=12,$F77*G77/$AQ$9,IF(OR(AQ77=1,AQ77=4),$F77*G77/200,IF(OR(AQ77=2,AQ77=9),$F77*G77/100,"자동")))</f>
        <v>2.5179856115107913</v>
      </c>
      <c r="AE77" s="3">
        <f>IF(AR77=12,$F77*H77/$AR$9,IF(OR(AR77=1,AR77=4),$F77*H77/200,IF(OR(AR77=2,AR77=9),$F77*H77/100,"자동")))</f>
        <v>1.7857142857142858</v>
      </c>
      <c r="AF77" s="3">
        <f ca="1">IF(AS77=12,$F77*I77/IF($BB$7=1,IF($ED77=1,$AS$9,$AF$9),($AF$8*AL77+$AF$9*(1-AL77))),IF(AS77=42,$F77*I77/AN77,IF(OR(AS77=1,AS77=4,AS77=2),$F77*I77/100,IF(AS77=9,$F77*I77/50,"자동"))))</f>
        <v>1.7857142857142858</v>
      </c>
      <c r="AG77" s="3">
        <f ca="1">IF(AT77=12,$F77*J77/IF($BB$7=1,IF($ED77=1,$AT$9,$AG$9),($AG$8*AL77+$AG$9*(1-AL77))),IF(AT77=42,$F77*J77/AN77,IF(OR(AT77=1,AT77=4,AT77=2),$F77*J77/100,IF(AT77=9,$F77*J77/50,"자동"))))</f>
        <v>1.7857142857142858</v>
      </c>
      <c r="AH77" s="3" t="str">
        <f>IF(AU77=12,$F77*K77/IF($BB$7=1,IF($ED77=1,$AU$9,$AH$9),($AH$8*AL77+$AH$9*(1-AL77))),IF(AU77=42,$F77*K77/$AN77,IF(OR(AU77=1,AU77=4,AU77=2),$F77*K77/100,IF(AU77=9,$F77*K77/50,"자동"))))</f>
        <v>자동</v>
      </c>
      <c r="AI77" s="3">
        <f ca="1">IF(AV77=12,$F77*L77/IF($BB$7=1,IF($ED77=1,$AV$9,$AI$9),($AI$8*AL77+$AI$9*(1-AL77))),IF(AV77=42,$F77*L77/AO77,IF(OR(AV77=1,AV77=4,AV77=2),$F77*L77/100,IF(AV77=9,$F77*L77/50,"자동"))))</f>
        <v>1.7857142857142858</v>
      </c>
      <c r="AJ77" s="3">
        <f ca="1">IF(AW77=12,$F77*M77/IF($BB$7=1,IF($ED77=1,$AW$9,$AJ$9),($AJ$8*AL77+$AJ$9*(1-AL77))),IF(AW77=42,$F77*M77/AO77,IF(OR(AW77=1,AW77=4,AW77=2),$F77*M77/100,IF(AW77=9,$F77*M77/50,"자동"))))</f>
        <v>1.7857142857142858</v>
      </c>
      <c r="AL77" s="3" t="str">
        <f>IF(AK77&lt;&gt;"",AK77,IF(BA77&lt;&gt;12,"",IF(U77=1,1,IF(LEFT(E77,3)="서울대",0,""))))</f>
        <v/>
      </c>
      <c r="AN77" s="3">
        <f ca="1">IF($BA77=42,OFFSET(변환표준점수!C$119,$AP77-1,0),"")</f>
        <v>70</v>
      </c>
      <c r="AO77" s="3">
        <f ca="1">IF($BA77=42,OFFSET(변환표준점수!D$119,$AP77-1,0),"")</f>
        <v>70</v>
      </c>
      <c r="AP77" s="3">
        <f>IF(S77="","",MATCH(S77,변환표준점수!$B$119:$B$298,0))</f>
        <v>23</v>
      </c>
      <c r="AQ77" s="3">
        <v>12</v>
      </c>
      <c r="AR77" s="3">
        <v>12</v>
      </c>
      <c r="AS77" s="3">
        <v>42</v>
      </c>
      <c r="AT77" s="3">
        <v>42</v>
      </c>
      <c r="AV77" s="3">
        <v>42</v>
      </c>
      <c r="AW77" s="3">
        <v>42</v>
      </c>
      <c r="AX77" s="3">
        <v>3</v>
      </c>
      <c r="AY77" s="3">
        <v>3</v>
      </c>
      <c r="BA77" s="3">
        <f>IF(AS77&gt;0,AS77,AV77)</f>
        <v>42</v>
      </c>
      <c r="BJ77" s="3">
        <f>IF(BI77="",IF(DT77=1,1,$BI$3),BI77)</f>
        <v>0</v>
      </c>
      <c r="BL77" s="3">
        <f ca="1">0.03*AI77</f>
        <v>5.3571428571428575E-2</v>
      </c>
      <c r="BM77" s="3">
        <f ca="1">0.03*AJ77</f>
        <v>5.3571428571428575E-2</v>
      </c>
      <c r="BN77" s="212" t="s">
        <v>7270</v>
      </c>
      <c r="BV77" s="3">
        <f ca="1">BL77*EK77</f>
        <v>0</v>
      </c>
      <c r="BW77" s="3">
        <f ca="1">BM77*EL77</f>
        <v>0</v>
      </c>
      <c r="CH77" s="206">
        <f>F77*P77</f>
        <v>850</v>
      </c>
      <c r="CI77" s="56">
        <v>150</v>
      </c>
      <c r="CJ77" s="3">
        <v>147</v>
      </c>
      <c r="CK77" s="3">
        <v>141</v>
      </c>
      <c r="CL77" s="3">
        <v>132</v>
      </c>
      <c r="CM77" s="3">
        <v>120</v>
      </c>
      <c r="CN77" s="3">
        <v>105</v>
      </c>
      <c r="CO77" s="3">
        <v>90</v>
      </c>
      <c r="CP77" s="3">
        <v>60</v>
      </c>
      <c r="CQ77" s="3">
        <v>30</v>
      </c>
      <c r="CR77" s="56">
        <v>3</v>
      </c>
      <c r="CS77" s="3">
        <v>3</v>
      </c>
      <c r="CT77" s="3">
        <v>3</v>
      </c>
      <c r="CU77" s="3">
        <v>3</v>
      </c>
      <c r="CV77" s="3">
        <v>2</v>
      </c>
      <c r="CW77" s="3">
        <v>2</v>
      </c>
      <c r="CX77" s="3">
        <v>1</v>
      </c>
      <c r="CY77" s="3">
        <v>1</v>
      </c>
      <c r="CZ77" s="3">
        <v>1</v>
      </c>
      <c r="DJ77" s="3">
        <f ca="1">ROUND((CI77-EZ77),1)</f>
        <v>150</v>
      </c>
      <c r="DK77" s="93">
        <f ca="1">((CI77-EZ77)/(FG77+DJ77-FC77))*100</f>
        <v>100</v>
      </c>
      <c r="DL77" s="3">
        <f ca="1">ROUND((CR77-FA77)+(DA77-FB77),1)</f>
        <v>3</v>
      </c>
      <c r="DO77" s="3">
        <v>2</v>
      </c>
      <c r="EA77" s="3">
        <f>IF(DZ77&gt;0,DZ77,IF(DM77&gt;0,1,2))</f>
        <v>2</v>
      </c>
      <c r="EB77" s="3">
        <f>MAX(DM77:DO77)</f>
        <v>2</v>
      </c>
      <c r="EC77" s="3">
        <f>AND(DM77-0.1&lt;$DM$8,DN77-0.1&lt;$DN$8,DO77-0.1&lt;$DO$8)*1</f>
        <v>0</v>
      </c>
      <c r="ED77" s="3">
        <f>IFERROR(IF(AND($DP$8&gt;=DP77,$DQ$8&gt;=DQ77,$DR$8&gt;=DR77,$DS$8&gt;=DS77,$DT$8&gt;=DT77,$DU$8&gt;=DU77,$DV$8&gt;=DV77,$DW$8&gt;=DW77,$DX$8&gt;=DX77,OR(DY77=0,$DY$8&lt;DY77),EC77=1),1,0),0)</f>
        <v>0</v>
      </c>
      <c r="EF77" s="3">
        <f t="shared" ref="EF77:EG79" ca="1" si="160">IFERROR(OFFSET(EF$3,MATCH(AQ77,$ED$4:$ED$10,0),0),0)</f>
        <v>0</v>
      </c>
      <c r="EG77" s="3">
        <f t="shared" ca="1" si="160"/>
        <v>0</v>
      </c>
      <c r="EH77" s="3">
        <f ca="1">IFERROR(IF(LEFT($BA77,1)="4",OFFSET(변환표준점수!$H$118,MATCH($S77,변환표준점수!$B$119:$B$198,0),),OFFSET(EH$3,MATCH(AS77,$ED$4:$ED$8,0),0)),0)</f>
        <v>0</v>
      </c>
      <c r="EI77" s="3">
        <f ca="1">IFERROR(IF(LEFT($BA77,1)="4",OFFSET(변환표준점수!$I$118,MATCH($S77,변환표준점수!$B$119:$B$198,0),0),OFFSET(EI$3,MATCH(AT77,$ED$4:$ED$8,0),0)),0)</f>
        <v>0</v>
      </c>
      <c r="EK77" s="3">
        <f ca="1">IFERROR(IF(LEFT($BA77,1)="4",OFFSET(변환표준점수!$J$118,MATCH($S77,변환표준점수!$B$119:$B$198,0),0),OFFSET(EJ$3,MATCH(AV77,$ED$4:$ED$8,0),0)),0)</f>
        <v>0</v>
      </c>
      <c r="EL77" s="3">
        <f ca="1">IFERROR(IF(LEFT($BA77,1)="4",OFFSET(변환표준점수!$K$118,MATCH($S77,변환표준점수!$B$119:$B$198,0),0),OFFSET(EK$3,MATCH(AW77,$ED$4:$ED$8,0),0)),0)</f>
        <v>0</v>
      </c>
      <c r="EM77" s="3" t="str">
        <f t="shared" ref="EM77:EO79" ca="1" si="161">IFERROR(OFFSET(EL$3,MATCH(AX77,$ED$4:$ED$8,0),0),0)</f>
        <v/>
      </c>
      <c r="EN77" s="3" t="str">
        <f t="shared" ca="1" si="161"/>
        <v/>
      </c>
      <c r="EO77" s="3">
        <f t="shared" ca="1" si="161"/>
        <v>0</v>
      </c>
      <c r="EQ77" s="3">
        <f ca="1">IFERROR((EF77*AD77+BO77)*$EP$9,0)</f>
        <v>0</v>
      </c>
      <c r="ER77" s="3">
        <f ca="1">IFERROR(EG77*AE77+OFFSET($BP77,0,$ER$14-1),0)</f>
        <v>0</v>
      </c>
      <c r="ES77" s="3">
        <f ca="1">IFERROR((EH77*AF77+BS77)*$EP$9,0)</f>
        <v>0</v>
      </c>
      <c r="ET77" s="3">
        <f ca="1">IFERROR(IF(O77&lt;2,0,(EI77*AG77+BT77)*$EP$9),0)</f>
        <v>0</v>
      </c>
      <c r="EU77" s="3">
        <f>IFERROR(BU77*$EP$9,0)</f>
        <v>0</v>
      </c>
      <c r="EV77" s="3">
        <f ca="1">IFERROR((EK77*AI77+BV77)*$EP$9,0)</f>
        <v>0</v>
      </c>
      <c r="EW77" s="3">
        <f ca="1">IFERROR(IF(O77&lt;2,0,(EL77*AJ77+BW77)*$EP$9),0)</f>
        <v>0</v>
      </c>
      <c r="EX77" s="3">
        <f ca="1">LARGE((ES77:ET77,EV77:EW77),1)</f>
        <v>0</v>
      </c>
      <c r="EY77" s="3">
        <f ca="1">IF(O77&lt;2,0,LARGE((ES77:ET77,EV77:EW77),2))</f>
        <v>0</v>
      </c>
      <c r="EZ77" s="3">
        <f ca="1">IFERROR(OFFSET(CI77,0,ROUND((1/(1/EM77))-1,0)),0)</f>
        <v>0</v>
      </c>
      <c r="FA77" s="3">
        <f ca="1">IFERROR(OFFSET(CR77,0,ROUND(1/(1/EN77),0)-1),0)</f>
        <v>0</v>
      </c>
      <c r="FB77" s="3">
        <f ca="1">IFERROR(OFFSET(DA77,0,ROUND(1/(1/EO77),0)-1),0)</f>
        <v>0</v>
      </c>
      <c r="FG77" s="3">
        <f ca="1">IF(FF77&gt;0,FF77,EQ77+ER77+EU77+EX77+EY77+EZ77+FA77+FB77+FC77)</f>
        <v>0</v>
      </c>
      <c r="FH77" s="618"/>
      <c r="FU77" s="3" t="str">
        <f t="shared" si="51"/>
        <v>표점/만점</v>
      </c>
      <c r="FV77" s="3" t="str">
        <f t="shared" si="52"/>
        <v>변표/만점</v>
      </c>
      <c r="FW77" s="3">
        <f t="shared" ref="FW77:FX79" ca="1" si="162">ROUND(Y77/$FZ77,2)</f>
        <v>0.41</v>
      </c>
      <c r="FX77" s="3">
        <f t="shared" ca="1" si="162"/>
        <v>0.28999999999999998</v>
      </c>
      <c r="FY77" s="3">
        <f ca="1">ROUND(AC77/$FZ77,2)</f>
        <v>0.28999999999999998</v>
      </c>
      <c r="FZ77" s="3">
        <f ca="1">Y77+Z77+AC77</f>
        <v>6.0894141829393629</v>
      </c>
    </row>
    <row r="78" spans="1:182">
      <c r="A78" s="556">
        <v>26</v>
      </c>
      <c r="C78" s="3">
        <f t="shared" si="156"/>
        <v>63</v>
      </c>
      <c r="D78" s="3">
        <v>63</v>
      </c>
      <c r="E78" s="3" t="s">
        <v>347</v>
      </c>
      <c r="F78" s="3">
        <v>1000</v>
      </c>
      <c r="G78" s="3">
        <v>0.25</v>
      </c>
      <c r="H78" s="3">
        <v>0.35</v>
      </c>
      <c r="I78" s="3">
        <v>0.125</v>
      </c>
      <c r="J78" s="3">
        <v>0.125</v>
      </c>
      <c r="L78" s="3">
        <v>0.125</v>
      </c>
      <c r="M78" s="3">
        <v>0.125</v>
      </c>
      <c r="O78" s="3">
        <v>2</v>
      </c>
      <c r="P78" s="3">
        <f t="shared" si="157"/>
        <v>0.85</v>
      </c>
      <c r="Q78" s="3">
        <v>23</v>
      </c>
      <c r="S78" s="3">
        <f t="shared" si="158"/>
        <v>23</v>
      </c>
      <c r="W78" s="3">
        <f>IF(AND(BH78=0,CD78=0),0,IF(V78&gt;0,V78,IF(U78=1,$W$11,0)))</f>
        <v>0</v>
      </c>
      <c r="Y78" s="3">
        <f t="shared" si="159"/>
        <v>1.7985611510791366</v>
      </c>
      <c r="Z78" s="3">
        <f t="shared" si="159"/>
        <v>2.5</v>
      </c>
      <c r="AA78" s="3">
        <f ca="1">IF($BB$7=1,AF78,IF(AS78=12,$F78*I78/($AF$8*AL78+$AF$9*(1-AL78)),AF78))</f>
        <v>1.7857142857142858</v>
      </c>
      <c r="AB78" s="3">
        <f ca="1">IF($BB$7=1,AI78,IF(AV78=12,$F78*L78/($AI$8*AL78+$AI$9*(1-AL78)),AI78))</f>
        <v>1.7857142857142858</v>
      </c>
      <c r="AC78" s="3">
        <f ca="1">IF(AND(AS78=2,EA78=1),AA78*O78,IF(AND(AS78=2,EA78=2),AB78*O78,IF(EA78=1,AA78,IF(EA78=2,AB78))))</f>
        <v>1.7857142857142858</v>
      </c>
      <c r="AD78" s="3">
        <f>IF(AQ78=12,$F78*G78/$AQ$9,IF(OR(AQ78=1,AQ78=4),$F78*G78/200,IF(OR(AQ78=2,AQ78=9),$F78*G78/100,"자동")))</f>
        <v>1.7985611510791366</v>
      </c>
      <c r="AE78" s="3">
        <f>IF(AR78=12,$F78*H78/$AR$9,IF(OR(AR78=1,AR78=4),$F78*H78/200,IF(OR(AR78=2,AR78=9),$F78*H78/100,"자동")))</f>
        <v>2.5</v>
      </c>
      <c r="AF78" s="3">
        <f ca="1">IF(AS78=12,$F78*I78/IF($BB$7=1,IF($ED78=1,$AS$9,$AF$9),($AF$8*AL78+$AF$9*(1-AL78))),IF(AS78=42,$F78*I78/AN78,IF(OR(AS78=1,AS78=4,AS78=2),$F78*I78/100,IF(AS78=9,$F78*I78/50,"자동"))))</f>
        <v>1.7857142857142858</v>
      </c>
      <c r="AG78" s="3">
        <f ca="1">IF(AT78=12,$F78*J78/IF($BB$7=1,IF($ED78=1,$AT$9,$AG$9),($AG$8*AL78+$AG$9*(1-AL78))),IF(AT78=42,$F78*J78/AN78,IF(OR(AT78=1,AT78=4,AT78=2),$F78*J78/100,IF(AT78=9,$F78*J78/50,"자동"))))</f>
        <v>1.7857142857142858</v>
      </c>
      <c r="AH78" s="3" t="str">
        <f>IF(AU78=12,$F78*K78/IF($BB$7=1,IF($ED78=1,$AU$9,$AH$9),($AH$8*AL78+$AH$9*(1-AL78))),IF(AU78=42,$F78*K78/$AN78,IF(OR(AU78=1,AU78=4,AU78=2),$F78*K78/100,IF(AU78=9,$F78*K78/50,"자동"))))</f>
        <v>자동</v>
      </c>
      <c r="AI78" s="3">
        <f ca="1">IF(AV78=12,$F78*L78/IF($BB$7=1,IF($ED78=1,$AV$9,$AI$9),($AI$8*AL78+$AI$9*(1-AL78))),IF(AV78=42,$F78*L78/AO78,IF(OR(AV78=1,AV78=4,AV78=2),$F78*L78/100,IF(AV78=9,$F78*L78/50,"자동"))))</f>
        <v>1.7857142857142858</v>
      </c>
      <c r="AJ78" s="3">
        <f ca="1">IF(AW78=12,$F78*M78/IF($BB$7=1,IF($ED78=1,$AW$9,$AJ$9),($AJ$8*AL78+$AJ$9*(1-AL78))),IF(AW78=42,$F78*M78/AO78,IF(OR(AW78=1,AW78=4,AW78=2),$F78*M78/100,IF(AW78=9,$F78*M78/50,"자동"))))</f>
        <v>1.7857142857142858</v>
      </c>
      <c r="AL78" s="3" t="str">
        <f>IF(AK78&lt;&gt;"",AK78,IF(BA78&lt;&gt;12,"",IF(U78=1,1,IF(LEFT(E78,3)="서울대",0,""))))</f>
        <v/>
      </c>
      <c r="AN78" s="3">
        <f ca="1">IF($BA78=42,OFFSET(변환표준점수!C$119,$AP78-1,0),"")</f>
        <v>70</v>
      </c>
      <c r="AO78" s="3">
        <f ca="1">IF($BA78=42,OFFSET(변환표준점수!D$119,$AP78-1,0),"")</f>
        <v>70</v>
      </c>
      <c r="AP78" s="3">
        <f>IF(S78="","",MATCH(S78,변환표준점수!$B$119:$B$298,0))</f>
        <v>23</v>
      </c>
      <c r="AQ78" s="3">
        <v>12</v>
      </c>
      <c r="AR78" s="3">
        <v>12</v>
      </c>
      <c r="AS78" s="3">
        <v>42</v>
      </c>
      <c r="AT78" s="3">
        <v>42</v>
      </c>
      <c r="AV78" s="3">
        <v>42</v>
      </c>
      <c r="AW78" s="3">
        <v>42</v>
      </c>
      <c r="AX78" s="3">
        <v>3</v>
      </c>
      <c r="AY78" s="3">
        <v>3</v>
      </c>
      <c r="BA78" s="3">
        <f>IF(AS78&gt;0,AS78,AV78)</f>
        <v>42</v>
      </c>
      <c r="BF78" s="3">
        <f ca="1">0.03*AF78</f>
        <v>5.3571428571428575E-2</v>
      </c>
      <c r="BG78" s="3">
        <f ca="1">0.03*AG78</f>
        <v>5.3571428571428575E-2</v>
      </c>
      <c r="BJ78" s="3">
        <f>IF(BI78="",IF(DT78=1,1,$BI$3),BI78)</f>
        <v>0</v>
      </c>
      <c r="BN78" s="212" t="s">
        <v>7269</v>
      </c>
      <c r="BS78" s="3">
        <f ca="1">BF78*EH78</f>
        <v>0</v>
      </c>
      <c r="BT78" s="3">
        <f ca="1">BG78*EI78</f>
        <v>0</v>
      </c>
      <c r="CH78" s="206">
        <f>F78*P78</f>
        <v>850</v>
      </c>
      <c r="CI78" s="56">
        <v>150</v>
      </c>
      <c r="CJ78" s="3">
        <v>147</v>
      </c>
      <c r="CK78" s="3">
        <v>141</v>
      </c>
      <c r="CL78" s="3">
        <v>132</v>
      </c>
      <c r="CM78" s="3">
        <v>120</v>
      </c>
      <c r="CN78" s="3">
        <v>105</v>
      </c>
      <c r="CO78" s="3">
        <v>90</v>
      </c>
      <c r="CP78" s="3">
        <v>60</v>
      </c>
      <c r="CQ78" s="3">
        <v>30</v>
      </c>
      <c r="CR78" s="56">
        <v>3</v>
      </c>
      <c r="CS78" s="3">
        <v>3</v>
      </c>
      <c r="CT78" s="3">
        <v>3</v>
      </c>
      <c r="CU78" s="3">
        <v>3</v>
      </c>
      <c r="CV78" s="3">
        <v>2</v>
      </c>
      <c r="CW78" s="3">
        <v>2</v>
      </c>
      <c r="CX78" s="3">
        <v>1</v>
      </c>
      <c r="CY78" s="3">
        <v>1</v>
      </c>
      <c r="CZ78" s="3">
        <v>1</v>
      </c>
      <c r="DJ78" s="3">
        <f ca="1">ROUND((CI78-EZ78),1)</f>
        <v>150</v>
      </c>
      <c r="DK78" s="93">
        <f ca="1">((CI78-EZ78)/(FG78+DJ78-FC78))*100</f>
        <v>100</v>
      </c>
      <c r="DL78" s="3">
        <f ca="1">ROUND((CR78-FA78)+(DA78-FB78),1)</f>
        <v>3</v>
      </c>
      <c r="DO78" s="3">
        <v>2</v>
      </c>
      <c r="DZ78" s="3">
        <v>1</v>
      </c>
      <c r="EA78" s="3">
        <f>IF(DZ78&gt;0,DZ78,IF(DM78&gt;0,1,2))</f>
        <v>1</v>
      </c>
      <c r="EB78" s="3">
        <f>MAX(DM78:DO78)</f>
        <v>2</v>
      </c>
      <c r="EC78" s="3">
        <f>AND(DM78-0.1&lt;$DM$8,DN78-0.1&lt;$DN$8,DO78-0.1&lt;$DO$8)*1</f>
        <v>0</v>
      </c>
      <c r="ED78" s="3">
        <f>IFERROR(IF(AND($DP$8&gt;=DP78,$DQ$8&gt;=DQ78,$DR$8&gt;=DR78,$DS$8&gt;=DS78,$DT$8&gt;=DT78,$DU$8&gt;=DU78,$DV$8&gt;=DV78,$DW$8&gt;=DW78,$DX$8&gt;=DX78,OR(DY78=0,$DY$8&lt;DY78),EC78=1),1,0),0)</f>
        <v>0</v>
      </c>
      <c r="EF78" s="3">
        <f t="shared" ca="1" si="160"/>
        <v>0</v>
      </c>
      <c r="EG78" s="3">
        <f t="shared" ca="1" si="160"/>
        <v>0</v>
      </c>
      <c r="EH78" s="3">
        <f ca="1">IFERROR(IF(LEFT($BA78,1)="4",OFFSET(변환표준점수!$H$118,MATCH($S78,변환표준점수!$B$119:$B$198,0),),OFFSET(EH$3,MATCH(AS78,$ED$4:$ED$8,0),0)),0)</f>
        <v>0</v>
      </c>
      <c r="EI78" s="3">
        <f ca="1">IFERROR(IF(LEFT($BA78,1)="4",OFFSET(변환표준점수!$I$118,MATCH($S78,변환표준점수!$B$119:$B$198,0),0),OFFSET(EI$3,MATCH(AT78,$ED$4:$ED$8,0),0)),0)</f>
        <v>0</v>
      </c>
      <c r="EK78" s="3">
        <f ca="1">IFERROR(IF(LEFT($BA78,1)="4",OFFSET(변환표준점수!$J$118,MATCH($S78,변환표준점수!$B$119:$B$198,0),0),OFFSET(EJ$3,MATCH(AV78,$ED$4:$ED$8,0),0)),0)</f>
        <v>0</v>
      </c>
      <c r="EL78" s="3">
        <f ca="1">IFERROR(IF(LEFT($BA78,1)="4",OFFSET(변환표준점수!$K$118,MATCH($S78,변환표준점수!$B$119:$B$198,0),0),OFFSET(EK$3,MATCH(AW78,$ED$4:$ED$8,0),0)),0)</f>
        <v>0</v>
      </c>
      <c r="EM78" s="3" t="str">
        <f t="shared" ca="1" si="161"/>
        <v/>
      </c>
      <c r="EN78" s="3" t="str">
        <f t="shared" ca="1" si="161"/>
        <v/>
      </c>
      <c r="EO78" s="3">
        <f t="shared" ca="1" si="161"/>
        <v>0</v>
      </c>
      <c r="EQ78" s="3">
        <f ca="1">IFERROR((EF78*AD78+BO78)*$EP$9,0)</f>
        <v>0</v>
      </c>
      <c r="ER78" s="3">
        <f ca="1">IFERROR(EG78*AE78+OFFSET($BP78,0,$ER$14-1),0)</f>
        <v>0</v>
      </c>
      <c r="ES78" s="3">
        <f ca="1">IFERROR((EH78*AF78+BS78)*$EP$9,0)</f>
        <v>0</v>
      </c>
      <c r="ET78" s="3">
        <f ca="1">IFERROR(IF(O78&lt;2,0,(EI78*AG78+BT78)*$EP$9),0)</f>
        <v>0</v>
      </c>
      <c r="EU78" s="3">
        <f>IFERROR(BU78*$EP$9,0)</f>
        <v>0</v>
      </c>
      <c r="EV78" s="3">
        <f ca="1">IFERROR((EK78*AI78+BV78)*$EP$9,0)</f>
        <v>0</v>
      </c>
      <c r="EW78" s="3">
        <f ca="1">IFERROR(IF(O78&lt;2,0,(EL78*AJ78+BW78)*$EP$9),0)</f>
        <v>0</v>
      </c>
      <c r="EX78" s="3">
        <f ca="1">LARGE((ES78:ET78,EV78:EW78),1)</f>
        <v>0</v>
      </c>
      <c r="EY78" s="3">
        <f ca="1">IF(O78&lt;2,0,LARGE((ES78:ET78,EV78:EW78),2))</f>
        <v>0</v>
      </c>
      <c r="EZ78" s="3">
        <f ca="1">IFERROR(OFFSET(CI78,0,ROUND((1/(1/EM78))-1,0)),0)</f>
        <v>0</v>
      </c>
      <c r="FA78" s="3">
        <f ca="1">IFERROR(OFFSET(CR78,0,ROUND(1/(1/EN78),0)-1),0)</f>
        <v>0</v>
      </c>
      <c r="FB78" s="3">
        <f ca="1">IFERROR(OFFSET(DA78,0,ROUND(1/(1/EO78),0)-1),0)</f>
        <v>0</v>
      </c>
      <c r="FG78" s="3">
        <f ca="1">IF(FF78&gt;0,FF78,EQ78+ER78+EU78+EX78+EY78+EZ78+FA78+FB78+FC78)</f>
        <v>0</v>
      </c>
      <c r="FH78" s="618"/>
      <c r="FU78" s="3" t="str">
        <f t="shared" si="51"/>
        <v>표점/만점</v>
      </c>
      <c r="FV78" s="3" t="str">
        <f t="shared" si="52"/>
        <v>변표/만점</v>
      </c>
      <c r="FW78" s="3">
        <f t="shared" ca="1" si="162"/>
        <v>0.3</v>
      </c>
      <c r="FX78" s="3">
        <f t="shared" ca="1" si="162"/>
        <v>0.41</v>
      </c>
      <c r="FY78" s="3">
        <f ca="1">ROUND(AC78/$FZ78,2)</f>
        <v>0.28999999999999998</v>
      </c>
      <c r="FZ78" s="3">
        <f ca="1">Y78+Z78+AC78</f>
        <v>6.0842754367934218</v>
      </c>
    </row>
    <row r="79" spans="1:182">
      <c r="A79" s="556">
        <v>26</v>
      </c>
      <c r="C79" s="3">
        <f t="shared" si="156"/>
        <v>64</v>
      </c>
      <c r="D79" s="3">
        <v>64</v>
      </c>
      <c r="E79" s="3" t="s">
        <v>7284</v>
      </c>
      <c r="F79" s="3">
        <v>1000</v>
      </c>
      <c r="G79" s="3">
        <v>0.3</v>
      </c>
      <c r="H79" s="3">
        <v>0.3</v>
      </c>
      <c r="I79" s="3">
        <v>0.125</v>
      </c>
      <c r="J79" s="3">
        <v>0.125</v>
      </c>
      <c r="L79" s="3">
        <v>0.125</v>
      </c>
      <c r="M79" s="3">
        <v>0.125</v>
      </c>
      <c r="O79" s="3">
        <v>2</v>
      </c>
      <c r="P79" s="3">
        <f t="shared" si="157"/>
        <v>0.85</v>
      </c>
      <c r="Q79" s="3">
        <v>23</v>
      </c>
      <c r="S79" s="3">
        <f t="shared" si="158"/>
        <v>23</v>
      </c>
      <c r="W79" s="3">
        <f>IF(AND(BH79=0,CD79=0),0,IF(V79&gt;0,V79,IF(U79=1,$W$11,0)))</f>
        <v>0</v>
      </c>
      <c r="Y79" s="3">
        <f t="shared" si="159"/>
        <v>2.1582733812949639</v>
      </c>
      <c r="Z79" s="3">
        <f t="shared" si="159"/>
        <v>2.1428571428571428</v>
      </c>
      <c r="AA79" s="3">
        <f ca="1">IF($BB$7=1,AF79,IF(AS79=12,$F79*I79/($AF$8*AL79+$AF$9*(1-AL79)),AF79))</f>
        <v>1.7857142857142858</v>
      </c>
      <c r="AB79" s="3">
        <f ca="1">IF($BB$7=1,AI79,IF(AV79=12,$F79*L79/($AI$8*AL79+$AI$9*(1-AL79)),AI79))</f>
        <v>1.7857142857142858</v>
      </c>
      <c r="AC79" s="3">
        <f ca="1">IF(AND(AS79=2,EA79=1),AA79*O79,IF(AND(AS79=2,EA79=2),AB79*O79,IF(EA79=1,AA79,IF(EA79=2,AB79))))</f>
        <v>1.7857142857142858</v>
      </c>
      <c r="AD79" s="3">
        <f>IF(AQ79=12,$F79*G79/$AQ$9,IF(OR(AQ79=1,AQ79=4),$F79*G79/200,IF(OR(AQ79=2,AQ79=9),$F79*G79/100,"자동")))</f>
        <v>2.1582733812949639</v>
      </c>
      <c r="AE79" s="3">
        <f>IF(AR79=12,$F79*H79/$AR$9,IF(OR(AR79=1,AR79=4),$F79*H79/200,IF(OR(AR79=2,AR79=9),$F79*H79/100,"자동")))</f>
        <v>2.1428571428571428</v>
      </c>
      <c r="AF79" s="3">
        <f ca="1">IF(AS79=12,$F79*I79/IF($BB$7=1,IF($ED79=1,$AS$9,$AF$9),($AF$8*AL79+$AF$9*(1-AL79))),IF(AS79=42,$F79*I79/AN79,IF(OR(AS79=1,AS79=4,AS79=2),$F79*I79/100,IF(AS79=9,$F79*I79/50,"자동"))))</f>
        <v>1.7857142857142858</v>
      </c>
      <c r="AG79" s="3">
        <f ca="1">IF(AT79=12,$F79*J79/IF($BB$7=1,IF($ED79=1,$AT$9,$AG$9),($AG$8*AL79+$AG$9*(1-AL79))),IF(AT79=42,$F79*J79/AN79,IF(OR(AT79=1,AT79=4,AT79=2),$F79*J79/100,IF(AT79=9,$F79*J79/50,"자동"))))</f>
        <v>1.7857142857142858</v>
      </c>
      <c r="AH79" s="3" t="str">
        <f>IF(AU79=12,$F79*K79/IF($BB$7=1,IF($ED79=1,$AU$9,$AH$9),($AH$8*AL79+$AH$9*(1-AL79))),IF(AU79=42,$F79*K79/$AN79,IF(OR(AU79=1,AU79=4,AU79=2),$F79*K79/100,IF(AU79=9,$F79*K79/50,"자동"))))</f>
        <v>자동</v>
      </c>
      <c r="AI79" s="3">
        <f ca="1">IF(AV79=12,$F79*L79/IF($BB$7=1,IF($ED79=1,$AV$9,$AI$9),($AI$8*AL79+$AI$9*(1-AL79))),IF(AV79=42,$F79*L79/AO79,IF(OR(AV79=1,AV79=4,AV79=2),$F79*L79/100,IF(AV79=9,$F79*L79/50,"자동"))))</f>
        <v>1.7857142857142858</v>
      </c>
      <c r="AJ79" s="3">
        <f ca="1">IF(AW79=12,$F79*M79/IF($BB$7=1,IF($ED79=1,$AW$9,$AJ$9),($AJ$8*AL79+$AJ$9*(1-AL79))),IF(AW79=42,$F79*M79/AO79,IF(OR(AW79=1,AW79=4,AW79=2),$F79*M79/100,IF(AW79=9,$F79*M79/50,"자동"))))</f>
        <v>1.7857142857142858</v>
      </c>
      <c r="AL79" s="3" t="str">
        <f>IF(AK79&lt;&gt;"",AK79,IF(BA79&lt;&gt;12,"",IF(U79=1,1,IF(LEFT(E79,3)="서울대",0,""))))</f>
        <v/>
      </c>
      <c r="AN79" s="3">
        <f ca="1">IF($BA79=42,OFFSET(변환표준점수!C$119,$AP79-1,0),"")</f>
        <v>70</v>
      </c>
      <c r="AO79" s="3">
        <f ca="1">IF($BA79=42,OFFSET(변환표준점수!D$119,$AP79-1,0),"")</f>
        <v>70</v>
      </c>
      <c r="AP79" s="3">
        <f>IF(S79="","",MATCH(S79,변환표준점수!$B$119:$B$298,0))</f>
        <v>23</v>
      </c>
      <c r="AQ79" s="3">
        <v>12</v>
      </c>
      <c r="AR79" s="3">
        <v>12</v>
      </c>
      <c r="AS79" s="3">
        <v>42</v>
      </c>
      <c r="AT79" s="3">
        <v>42</v>
      </c>
      <c r="AV79" s="3">
        <v>42</v>
      </c>
      <c r="AW79" s="3">
        <v>42</v>
      </c>
      <c r="AX79" s="3">
        <v>3</v>
      </c>
      <c r="AY79" s="3">
        <v>3</v>
      </c>
      <c r="BA79" s="3">
        <f>IF(AS79&gt;0,AS79,AV79)</f>
        <v>42</v>
      </c>
      <c r="BJ79" s="3">
        <f>IF(BI79="",IF(DT79=1,1,$BI$3),BI79)</f>
        <v>0</v>
      </c>
      <c r="CH79" s="206">
        <f>F79*P79</f>
        <v>850</v>
      </c>
      <c r="CI79" s="56">
        <v>150</v>
      </c>
      <c r="CJ79" s="3">
        <v>147</v>
      </c>
      <c r="CK79" s="3">
        <v>141</v>
      </c>
      <c r="CL79" s="3">
        <v>132</v>
      </c>
      <c r="CM79" s="3">
        <v>120</v>
      </c>
      <c r="CN79" s="3">
        <v>105</v>
      </c>
      <c r="CO79" s="3">
        <v>90</v>
      </c>
      <c r="CP79" s="3">
        <v>60</v>
      </c>
      <c r="CQ79" s="3">
        <v>30</v>
      </c>
      <c r="CR79" s="56">
        <v>3</v>
      </c>
      <c r="CS79" s="3">
        <v>3</v>
      </c>
      <c r="CT79" s="3">
        <v>3</v>
      </c>
      <c r="CU79" s="3">
        <v>3</v>
      </c>
      <c r="CV79" s="3">
        <v>2</v>
      </c>
      <c r="CW79" s="3">
        <v>2</v>
      </c>
      <c r="CX79" s="3">
        <v>1</v>
      </c>
      <c r="CY79" s="3">
        <v>1</v>
      </c>
      <c r="CZ79" s="3">
        <v>1</v>
      </c>
      <c r="DJ79" s="3">
        <f ca="1">ROUND((CI79-EZ79),1)</f>
        <v>150</v>
      </c>
      <c r="DK79" s="93">
        <f ca="1">((CI79-EZ79)/(FG79+DJ79-FC79))*100</f>
        <v>100</v>
      </c>
      <c r="DL79" s="3">
        <f ca="1">ROUND((CR79-FA79)+(DA79-FB79),1)</f>
        <v>3</v>
      </c>
      <c r="DO79" s="3">
        <v>2</v>
      </c>
      <c r="EA79" s="3">
        <f>IF(DZ79&gt;0,DZ79,IF(DM79&gt;0,1,2))</f>
        <v>2</v>
      </c>
      <c r="EB79" s="3">
        <f>MAX(DM79:DO79)</f>
        <v>2</v>
      </c>
      <c r="EC79" s="3">
        <f>AND(DM79-0.1&lt;$DM$8,DN79-0.1&lt;$DN$8,DO79-0.1&lt;$DO$8)*1</f>
        <v>0</v>
      </c>
      <c r="ED79" s="3">
        <f>IFERROR(IF(AND($DP$8&gt;=DP79,$DQ$8&gt;=DQ79,$DR$8&gt;=DR79,$DS$8&gt;=DS79,$DT$8&gt;=DT79,$DU$8&gt;=DU79,$DV$8&gt;=DV79,$DW$8&gt;=DW79,$DX$8&gt;=DX79,OR(DY79=0,$DY$8&lt;DY79),EC79=1),1,0),0)</f>
        <v>0</v>
      </c>
      <c r="EF79" s="3">
        <f t="shared" ca="1" si="160"/>
        <v>0</v>
      </c>
      <c r="EG79" s="3">
        <f t="shared" ca="1" si="160"/>
        <v>0</v>
      </c>
      <c r="EH79" s="3">
        <f ca="1">IFERROR(IF(LEFT($BA79,1)="4",OFFSET(변환표준점수!$H$118,MATCH($S79,변환표준점수!$B$119:$B$198,0),),OFFSET(EH$3,MATCH(AS79,$ED$4:$ED$8,0),0)),0)</f>
        <v>0</v>
      </c>
      <c r="EI79" s="3">
        <f ca="1">IFERROR(IF(LEFT($BA79,1)="4",OFFSET(변환표준점수!$I$118,MATCH($S79,변환표준점수!$B$119:$B$198,0),0),OFFSET(EI$3,MATCH(AT79,$ED$4:$ED$8,0),0)),0)</f>
        <v>0</v>
      </c>
      <c r="EK79" s="3">
        <f ca="1">IFERROR(IF(LEFT($BA79,1)="4",OFFSET(변환표준점수!$J$118,MATCH($S79,변환표준점수!$B$119:$B$198,0),0),OFFSET(EJ$3,MATCH(AV79,$ED$4:$ED$8,0),0)),0)</f>
        <v>0</v>
      </c>
      <c r="EL79" s="3">
        <f ca="1">IFERROR(IF(LEFT($BA79,1)="4",OFFSET(변환표준점수!$K$118,MATCH($S79,변환표준점수!$B$119:$B$198,0),0),OFFSET(EK$3,MATCH(AW79,$ED$4:$ED$8,0),0)),0)</f>
        <v>0</v>
      </c>
      <c r="EM79" s="3" t="str">
        <f t="shared" ca="1" si="161"/>
        <v/>
      </c>
      <c r="EN79" s="3" t="str">
        <f t="shared" ca="1" si="161"/>
        <v/>
      </c>
      <c r="EO79" s="3">
        <f t="shared" ca="1" si="161"/>
        <v>0</v>
      </c>
      <c r="EQ79" s="3">
        <f ca="1">IFERROR((EF79*AD79+BO79)*$EP$9,0)</f>
        <v>0</v>
      </c>
      <c r="ER79" s="3">
        <f ca="1">IFERROR(EG79*AE79+OFFSET($BP79,0,$ER$14-1),0)</f>
        <v>0</v>
      </c>
      <c r="ES79" s="3">
        <f ca="1">IFERROR((EH79*AF79+BS79)*$EP$9,0)</f>
        <v>0</v>
      </c>
      <c r="ET79" s="3">
        <f ca="1">IFERROR(IF(O79&lt;2,0,(EI79*AG79+BT79)*$EP$9),0)</f>
        <v>0</v>
      </c>
      <c r="EU79" s="3">
        <f>IFERROR(BU79*$EP$9,0)</f>
        <v>0</v>
      </c>
      <c r="EV79" s="3">
        <f ca="1">IFERROR((EK79*AI79+BV79)*$EP$9,0)</f>
        <v>0</v>
      </c>
      <c r="EW79" s="3">
        <f ca="1">IFERROR(IF(O79&lt;2,0,(EL79*AJ79+BW79)*$EP$9),0)</f>
        <v>0</v>
      </c>
      <c r="EX79" s="3">
        <f ca="1">LARGE((ES79:ET79,EV79:EW79),1)</f>
        <v>0</v>
      </c>
      <c r="EY79" s="3">
        <f ca="1">IF(O79&lt;2,0,LARGE((ES79:ET79,EV79:EW79),2))</f>
        <v>0</v>
      </c>
      <c r="EZ79" s="3">
        <f ca="1">IFERROR(OFFSET(CI79,0,ROUND((1/(1/EM79))-1,0)),0)</f>
        <v>0</v>
      </c>
      <c r="FA79" s="3">
        <f ca="1">IFERROR(OFFSET(CR79,0,ROUND(1/(1/EN79),0)-1),0)</f>
        <v>0</v>
      </c>
      <c r="FB79" s="3">
        <f ca="1">IFERROR(OFFSET(DA79,0,ROUND(1/(1/EO79),0)-1),0)</f>
        <v>0</v>
      </c>
      <c r="FG79" s="3">
        <f ca="1">IF(FF79&gt;0,FF79,EQ79+ER79+EU79+EX79+EY79+EZ79+FA79+FB79+FC79)</f>
        <v>0</v>
      </c>
      <c r="FH79" s="618"/>
      <c r="FU79" s="3" t="str">
        <f t="shared" si="51"/>
        <v>표점/만점</v>
      </c>
      <c r="FV79" s="3" t="str">
        <f t="shared" si="52"/>
        <v>변표/만점</v>
      </c>
      <c r="FW79" s="3">
        <f t="shared" ca="1" si="162"/>
        <v>0.35</v>
      </c>
      <c r="FX79" s="3">
        <f t="shared" ca="1" si="162"/>
        <v>0.35</v>
      </c>
      <c r="FY79" s="3">
        <f ca="1">ROUND(AC79/$FZ79,2)</f>
        <v>0.28999999999999998</v>
      </c>
      <c r="FZ79" s="3">
        <f ca="1">Y79+Z79+AC79</f>
        <v>6.0868448098663928</v>
      </c>
    </row>
    <row r="80" spans="1:182">
      <c r="C80" s="3">
        <f t="shared" si="156"/>
        <v>65</v>
      </c>
      <c r="D80" s="3">
        <v>65</v>
      </c>
      <c r="E80" s="3" t="s">
        <v>7283</v>
      </c>
      <c r="F80" s="3">
        <v>1000</v>
      </c>
      <c r="P80" s="3">
        <f t="shared" si="157"/>
        <v>0</v>
      </c>
      <c r="Q80" s="3">
        <v>23</v>
      </c>
      <c r="S80" s="3">
        <f t="shared" si="158"/>
        <v>23</v>
      </c>
      <c r="DK80" s="93"/>
      <c r="FH80" s="618"/>
    </row>
    <row r="81" spans="1:182">
      <c r="C81" s="3">
        <f t="shared" si="156"/>
        <v>66</v>
      </c>
      <c r="D81" s="3">
        <v>66</v>
      </c>
      <c r="E81" s="3" t="s">
        <v>7693</v>
      </c>
      <c r="F81" s="3">
        <v>1000</v>
      </c>
      <c r="P81" s="3">
        <f t="shared" si="157"/>
        <v>0</v>
      </c>
      <c r="Q81" s="3">
        <v>23</v>
      </c>
      <c r="S81" s="3">
        <f t="shared" si="158"/>
        <v>23</v>
      </c>
      <c r="DK81" s="93"/>
      <c r="FH81" s="618"/>
    </row>
    <row r="82" spans="1:182">
      <c r="A82" s="556">
        <v>26</v>
      </c>
      <c r="C82" s="3">
        <f t="shared" si="156"/>
        <v>67</v>
      </c>
      <c r="D82" s="3">
        <v>67</v>
      </c>
      <c r="E82" s="3" t="s">
        <v>324</v>
      </c>
      <c r="F82" s="3">
        <v>1000</v>
      </c>
      <c r="G82" s="3">
        <v>0.2</v>
      </c>
      <c r="H82" s="3">
        <v>0.3</v>
      </c>
      <c r="I82" s="3">
        <v>0.15</v>
      </c>
      <c r="J82" s="3">
        <v>0.15</v>
      </c>
      <c r="L82" s="3">
        <v>0.15</v>
      </c>
      <c r="M82" s="3">
        <v>0.15</v>
      </c>
      <c r="O82" s="3">
        <v>2</v>
      </c>
      <c r="P82" s="3">
        <f t="shared" si="157"/>
        <v>0.8</v>
      </c>
      <c r="Q82" s="3" t="s">
        <v>408</v>
      </c>
      <c r="S82" s="3" t="str">
        <f t="shared" si="158"/>
        <v/>
      </c>
      <c r="W82" s="3">
        <f>IF(AND(BH82=0,CD82=0),0,IF(V82&gt;0,V82,IF(U82=1,$W$11,0)))</f>
        <v>0</v>
      </c>
      <c r="Y82" s="3">
        <f t="shared" ref="Y82:Z85" si="163">AD82</f>
        <v>1</v>
      </c>
      <c r="Z82" s="3">
        <f t="shared" si="163"/>
        <v>1.5</v>
      </c>
      <c r="AA82" s="3">
        <f>IF($BB$7=1,AF82,IF(AS82=12,$F82*I82/($AF$8*AL82+$AF$9*(1-AL82)),AF82))</f>
        <v>1.5</v>
      </c>
      <c r="AB82" s="3">
        <f>IF($BB$7=1,AI82,IF(AV82=12,$F82*L82/($AI$8*AL82+$AI$9*(1-AL82)),AI82))</f>
        <v>1.5</v>
      </c>
      <c r="AC82" s="3">
        <f>IF(AND(AS82=2,EA82=1),AA82*O82,IF(AND(AS82=2,EA82=2),AB82*O82,IF(EA82=1,AA82,IF(EA82=2,AB82))))</f>
        <v>1.5</v>
      </c>
      <c r="AD82" s="3">
        <f>IF(AQ82=12,$F82*G82/$AQ$9,IF(OR(AQ82=1,AQ82=4),$F82*G82/200,IF(OR(AQ82=2,AQ82=9),$F82*G82/100,"자동")))</f>
        <v>1</v>
      </c>
      <c r="AE82" s="3">
        <f>IF(AR82=12,$F82*H82/$AR$9,IF(OR(AR82=1,AR82=4),$F82*H82/200,IF(OR(AR82=2,AR82=9),$F82*H82/100,"자동")))</f>
        <v>1.5</v>
      </c>
      <c r="AF82" s="3">
        <f>IF(AS82=12,$F82*I82/IF($BB$7=1,IF($ED82=1,$AS$9,$AF$9),($AF$8*AL82+$AF$9*(1-AL82))),IF(AS82=42,$F82*I82/AN82,IF(OR(AS82=1,AS82=4,AS82=2),$F82*I82/100,IF(AS82=9,$F82*I82/50,"자동"))))</f>
        <v>1.5</v>
      </c>
      <c r="AG82" s="3">
        <f>IF(AT82=12,$F82*J82/IF($BB$7=1,IF($ED82=1,$AT$9,$AG$9),($AG$8*AL82+$AG$9*(1-AL82))),IF(AT82=42,$F82*J82/AN82,IF(OR(AT82=1,AT82=4,AT82=2),$F82*J82/100,IF(AT82=9,$F82*J82/50,"자동"))))</f>
        <v>1.5</v>
      </c>
      <c r="AH82" s="3" t="str">
        <f>IF(AU82=12,$F82*K82/IF($BB$7=1,IF($ED82=1,$AU$9,$AH$9),($AH$8*AL82+$AH$9*(1-AL82))),IF(AU82=42,$F82*K82/$AN82,IF(OR(AU82=1,AU82=4,AU82=2),$F82*K82/100,IF(AU82=9,$F82*K82/50,"자동"))))</f>
        <v>자동</v>
      </c>
      <c r="AI82" s="3">
        <f>IF(AV82=12,$F82*L82/IF($BB$7=1,IF($ED82=1,$AV$9,$AI$9),($AI$8*AL82+$AI$9*(1-AL82))),IF(AV82=42,$F82*L82/AO82,IF(OR(AV82=1,AV82=4,AV82=2),$F82*L82/100,IF(AV82=9,$F82*L82/50,"자동"))))</f>
        <v>1.5</v>
      </c>
      <c r="AJ82" s="3">
        <f>IF(AW82=12,$F82*M82/IF($BB$7=1,IF($ED82=1,$AW$9,$AJ$9),($AJ$8*AL82+$AJ$9*(1-AL82))),IF(AW82=42,$F82*M82/AO82,IF(OR(AW82=1,AW82=4,AW82=2),$F82*M82/100,IF(AW82=9,$F82*M82/50,"자동"))))</f>
        <v>1.5</v>
      </c>
      <c r="AL82" s="3" t="str">
        <f>IF(AK82&lt;&gt;"",AK82,IF(BA82&lt;&gt;12,"",IF(U82=1,1,IF(LEFT(E82,3)="서울대",0,""))))</f>
        <v/>
      </c>
      <c r="AN82" s="3" t="str">
        <f ca="1">IF($BA82=42,OFFSET(변환표준점수!C$119,$AP82-1,0),"")</f>
        <v/>
      </c>
      <c r="AO82" s="3" t="str">
        <f ca="1">IF($BA82=42,OFFSET(변환표준점수!D$119,$AP82-1,0),"")</f>
        <v/>
      </c>
      <c r="AP82" s="3" t="str">
        <f>IF(S82="","",MATCH(S82,변환표준점수!$B$119:$B$298,0))</f>
        <v/>
      </c>
      <c r="AQ82" s="3">
        <v>1</v>
      </c>
      <c r="AR82" s="3">
        <v>1</v>
      </c>
      <c r="AS82" s="3">
        <v>1</v>
      </c>
      <c r="AT82" s="3">
        <v>1</v>
      </c>
      <c r="AV82" s="3">
        <v>1</v>
      </c>
      <c r="AW82" s="3">
        <v>1</v>
      </c>
      <c r="AX82" s="3">
        <v>3</v>
      </c>
      <c r="AY82" s="3">
        <v>3</v>
      </c>
      <c r="BA82" s="3">
        <f>IF(AS82&gt;0,AS82,AV82)</f>
        <v>1</v>
      </c>
      <c r="BC82" s="3">
        <f>0.03*AE82</f>
        <v>4.4999999999999998E-2</v>
      </c>
      <c r="BD82" s="3">
        <f>0.03*AE82</f>
        <v>4.4999999999999998E-2</v>
      </c>
      <c r="BF82" s="3">
        <f>0.03*AF82</f>
        <v>4.4999999999999998E-2</v>
      </c>
      <c r="BG82" s="3">
        <f>0.03*AG82</f>
        <v>4.4999999999999998E-2</v>
      </c>
      <c r="BJ82" s="3">
        <f>IF(BI82="",IF(DT82=1,1,$BI$3),BI82)</f>
        <v>0</v>
      </c>
      <c r="BN82" s="212" t="s">
        <v>7285</v>
      </c>
      <c r="BP82" s="3">
        <f>IF(BP$6&gt;0,BC82*$EG82,0)</f>
        <v>0</v>
      </c>
      <c r="BQ82" s="3">
        <f>IF(BQ$6&gt;0,BD82*$EG82,0)</f>
        <v>0</v>
      </c>
      <c r="BS82" s="3">
        <f ca="1">BF82*EH82</f>
        <v>0</v>
      </c>
      <c r="BT82" s="3">
        <f ca="1">BG82*EI82</f>
        <v>0</v>
      </c>
      <c r="CH82" s="206">
        <f>F82*P82</f>
        <v>800</v>
      </c>
      <c r="CI82" s="56">
        <v>200</v>
      </c>
      <c r="CJ82" s="3">
        <v>196</v>
      </c>
      <c r="CK82" s="3">
        <v>190</v>
      </c>
      <c r="CL82" s="3">
        <v>180</v>
      </c>
      <c r="CM82" s="3">
        <v>170</v>
      </c>
      <c r="CN82" s="3">
        <v>160</v>
      </c>
      <c r="CO82" s="3">
        <v>150</v>
      </c>
      <c r="CP82" s="3">
        <v>140</v>
      </c>
      <c r="CQ82" s="3">
        <v>0</v>
      </c>
      <c r="CV82" s="3">
        <v>-0.2</v>
      </c>
      <c r="CW82" s="3">
        <v>-0.4</v>
      </c>
      <c r="CX82" s="3">
        <v>-0.6</v>
      </c>
      <c r="CY82" s="3">
        <v>-0.8</v>
      </c>
      <c r="CZ82" s="3">
        <v>-1</v>
      </c>
      <c r="DJ82" s="3">
        <f ca="1">ROUND((CI82-EZ82),1)</f>
        <v>200</v>
      </c>
      <c r="DK82" s="93">
        <f ca="1">((CI82-EZ82)/(FG82+DJ82-FC82))*100</f>
        <v>100</v>
      </c>
      <c r="DL82" s="3">
        <f ca="1">ROUND((CR82-FA82)+(DA82-FB82),1)</f>
        <v>0</v>
      </c>
      <c r="DO82" s="3">
        <v>2</v>
      </c>
      <c r="DZ82" s="3">
        <v>1</v>
      </c>
      <c r="EA82" s="3">
        <f>IF(DZ82&gt;0,DZ82,IF(DM82&gt;0,1,2))</f>
        <v>1</v>
      </c>
      <c r="EB82" s="3">
        <f>MAX(DM82:DO82)</f>
        <v>2</v>
      </c>
      <c r="EC82" s="3">
        <f>AND(DM82-0.1&lt;$DM$8,DN82-0.1&lt;$DN$8,DO82-0.1&lt;$DO$8)*1</f>
        <v>0</v>
      </c>
      <c r="ED82" s="3">
        <f>IFERROR(IF(AND($DP$8&gt;=DP82,$DQ$8&gt;=DQ82,$DR$8&gt;=DR82,$DS$8&gt;=DS82,$DT$8&gt;=DT82,$DU$8&gt;=DU82,$DV$8&gt;=DV82,$DW$8&gt;=DW82,$DX$8&gt;=DX82,OR(DY82=0,$DY$8&lt;DY82),EC82=1),1,0),0)</f>
        <v>0</v>
      </c>
      <c r="EF82" s="3">
        <f t="shared" ref="EF82:EG85" ca="1" si="164">IFERROR(OFFSET(EF$3,MATCH(AQ82,$ED$4:$ED$10,0),0),0)</f>
        <v>0</v>
      </c>
      <c r="EG82" s="3">
        <f t="shared" ca="1" si="164"/>
        <v>0</v>
      </c>
      <c r="EH82" s="3">
        <f ca="1">IFERROR(IF(LEFT($BA82,1)="4",OFFSET(변환표준점수!$H$118,MATCH($S82,변환표준점수!$B$119:$B$198,0),),OFFSET(EH$3,MATCH(AS82,$ED$4:$ED$8,0),0)),0)</f>
        <v>0</v>
      </c>
      <c r="EI82" s="3">
        <f ca="1">IFERROR(IF(LEFT($BA82,1)="4",OFFSET(변환표준점수!$I$118,MATCH($S82,변환표준점수!$B$119:$B$198,0),0),OFFSET(EI$3,MATCH(AT82,$ED$4:$ED$8,0),0)),0)</f>
        <v>0</v>
      </c>
      <c r="EK82" s="3">
        <f ca="1">IFERROR(IF(LEFT($BA82,1)="4",OFFSET(변환표준점수!$J$118,MATCH($S82,변환표준점수!$B$119:$B$198,0),0),OFFSET(EJ$3,MATCH(AV82,$ED$4:$ED$8,0),0)),0)</f>
        <v>0</v>
      </c>
      <c r="EL82" s="3">
        <f ca="1">IFERROR(IF(LEFT($BA82,1)="4",OFFSET(변환표준점수!$K$118,MATCH($S82,변환표준점수!$B$119:$B$198,0),0),OFFSET(EK$3,MATCH(AW82,$ED$4:$ED$8,0),0)),0)</f>
        <v>0</v>
      </c>
      <c r="EM82" s="3" t="str">
        <f t="shared" ref="EM82:EO85" ca="1" si="165">IFERROR(OFFSET(EL$3,MATCH(AX82,$ED$4:$ED$8,0),0),0)</f>
        <v/>
      </c>
      <c r="EN82" s="3" t="str">
        <f t="shared" ca="1" si="165"/>
        <v/>
      </c>
      <c r="EO82" s="3">
        <f t="shared" ca="1" si="165"/>
        <v>0</v>
      </c>
      <c r="EQ82" s="3">
        <f ca="1">IFERROR((EF82*AD82+BO82)*$EP$9,0)</f>
        <v>0</v>
      </c>
      <c r="ER82" s="3">
        <f ca="1">IFERROR(EG82*AE82+OFFSET($BP82,0,$ER$14-1),0)</f>
        <v>0</v>
      </c>
      <c r="ES82" s="3">
        <f ca="1">IFERROR((EH82*AF82+BS82)*$EP$9,0)</f>
        <v>0</v>
      </c>
      <c r="ET82" s="3">
        <f ca="1">IFERROR(IF(O82&lt;2,0,(EI82*AG82+BT82)*$EP$9),0)</f>
        <v>0</v>
      </c>
      <c r="EU82" s="3">
        <f>IFERROR(BU82*$EP$9,0)</f>
        <v>0</v>
      </c>
      <c r="EV82" s="3">
        <f ca="1">IFERROR((EK82*AI82+BV82)*$EP$9,0)</f>
        <v>0</v>
      </c>
      <c r="EW82" s="3">
        <f ca="1">IFERROR(IF(O82&lt;2,0,(EL82*AJ82+BW82)*$EP$9),0)</f>
        <v>0</v>
      </c>
      <c r="EX82" s="3">
        <f ca="1">LARGE((ES82:ET82,EV82:EW82),1)</f>
        <v>0</v>
      </c>
      <c r="EY82" s="3">
        <f ca="1">IF(O82&lt;2,0,LARGE((ES82:ET82,EV82:EW82),2))</f>
        <v>0</v>
      </c>
      <c r="EZ82" s="3">
        <f ca="1">IFERROR(OFFSET(CI82,0,ROUND((1/(1/EM82))-1,0)),0)</f>
        <v>0</v>
      </c>
      <c r="FA82" s="3">
        <f ca="1">IFERROR(OFFSET(CR82,0,ROUND(1/(1/EN82),0)-1),0)</f>
        <v>0</v>
      </c>
      <c r="FB82" s="3">
        <f ca="1">IFERROR(OFFSET(DA82,0,ROUND(1/(1/EO82),0)-1),0)</f>
        <v>0</v>
      </c>
      <c r="FG82" s="3">
        <f ca="1">IF(FF82&gt;0,FF82,EQ82+ER82+EU82+EX82+EY82+EZ82+FA82+FB82+FC82)</f>
        <v>0</v>
      </c>
      <c r="FH82" s="618"/>
      <c r="FU82" s="3" t="str">
        <f t="shared" ref="FU82:FU144" si="166">IF(AQ82=1,"표점",IF(AQ82=12,"표점/만점",IF(AQ82=2,"백분위")))</f>
        <v>표점</v>
      </c>
      <c r="FV82" s="3" t="str">
        <f t="shared" ref="FV82:FV144" si="167">IF(BA82=1,"표점",IF(BA82=12,"표점/만점",IF(BA82=2,"백분위",IF(BA82=4,"변표",IF(BA82=42,"변표/만점")))))</f>
        <v>표점</v>
      </c>
      <c r="FW82" s="3">
        <f t="shared" ref="FW82:FX85" si="168">ROUND(Y82/$FZ82,2)</f>
        <v>0.25</v>
      </c>
      <c r="FX82" s="3">
        <f t="shared" si="168"/>
        <v>0.38</v>
      </c>
      <c r="FY82" s="3">
        <f>ROUND(AC82/$FZ82,2)</f>
        <v>0.38</v>
      </c>
      <c r="FZ82" s="3">
        <f>Y82+Z82+AC82</f>
        <v>4</v>
      </c>
    </row>
    <row r="83" spans="1:182">
      <c r="A83" s="556">
        <v>26</v>
      </c>
      <c r="C83" s="3">
        <f t="shared" si="156"/>
        <v>68</v>
      </c>
      <c r="D83" s="3">
        <v>68</v>
      </c>
      <c r="E83" s="3" t="s">
        <v>7286</v>
      </c>
      <c r="F83" s="3">
        <v>1000</v>
      </c>
      <c r="G83" s="3">
        <v>0.3</v>
      </c>
      <c r="H83" s="3">
        <v>0.3</v>
      </c>
      <c r="I83" s="3">
        <v>0.1</v>
      </c>
      <c r="J83" s="3">
        <v>0.1</v>
      </c>
      <c r="L83" s="3">
        <v>0.1</v>
      </c>
      <c r="M83" s="3">
        <v>0.1</v>
      </c>
      <c r="O83" s="3">
        <v>2</v>
      </c>
      <c r="P83" s="3">
        <f t="shared" si="157"/>
        <v>0.8</v>
      </c>
      <c r="Q83" s="3" t="s">
        <v>408</v>
      </c>
      <c r="S83" s="3" t="str">
        <f t="shared" si="158"/>
        <v/>
      </c>
      <c r="W83" s="3">
        <f>IF(AND(BH83=0,CD83=0),0,IF(V83&gt;0,V83,IF(U83=1,$W$11,0)))</f>
        <v>0</v>
      </c>
      <c r="Y83" s="3">
        <f t="shared" si="163"/>
        <v>1.5</v>
      </c>
      <c r="Z83" s="3">
        <f t="shared" si="163"/>
        <v>1.5</v>
      </c>
      <c r="AA83" s="3">
        <f>IF($BB$7=1,AF83,IF(AS83=12,$F83*I83/($AF$8*AL83+$AF$9*(1-AL83)),AF83))</f>
        <v>1</v>
      </c>
      <c r="AB83" s="3">
        <f>IF($BB$7=1,AI83,IF(AV83=12,$F83*L83/($AI$8*AL83+$AI$9*(1-AL83)),AI83))</f>
        <v>1</v>
      </c>
      <c r="AC83" s="3">
        <f>IF(AND(AS83=2,EA83=1),AA83*O83,IF(AND(AS83=2,EA83=2),AB83*O83,IF(EA83=1,AA83,IF(EA83=2,AB83))))</f>
        <v>1</v>
      </c>
      <c r="AD83" s="3">
        <f>IF(AQ83=12,$F83*G83/$AQ$9,IF(OR(AQ83=1,AQ83=4),$F83*G83/200,IF(OR(AQ83=2,AQ83=9),$F83*G83/100,"자동")))</f>
        <v>1.5</v>
      </c>
      <c r="AE83" s="3">
        <f>IF(AR83=12,$F83*H83/$AR$9,IF(OR(AR83=1,AR83=4),$F83*H83/200,IF(OR(AR83=2,AR83=9),$F83*H83/100,"자동")))</f>
        <v>1.5</v>
      </c>
      <c r="AF83" s="3">
        <f>IF(AS83=12,$F83*I83/IF($BB$7=1,IF($ED83=1,$AS$9,$AF$9),($AF$8*AL83+$AF$9*(1-AL83))),IF(AS83=42,$F83*I83/AN83,IF(OR(AS83=1,AS83=4,AS83=2),$F83*I83/100,IF(AS83=9,$F83*I83/50,"자동"))))</f>
        <v>1</v>
      </c>
      <c r="AG83" s="3">
        <f>IF(AT83=12,$F83*J83/IF($BB$7=1,IF($ED83=1,$AT$9,$AG$9),($AG$8*AL83+$AG$9*(1-AL83))),IF(AT83=42,$F83*J83/AN83,IF(OR(AT83=1,AT83=4,AT83=2),$F83*J83/100,IF(AT83=9,$F83*J83/50,"자동"))))</f>
        <v>1</v>
      </c>
      <c r="AH83" s="3" t="str">
        <f>IF(AU83=12,$F83*K83/IF($BB$7=1,IF($ED83=1,$AU$9,$AH$9),($AH$8*AL83+$AH$9*(1-AL83))),IF(AU83=42,$F83*K83/$AN83,IF(OR(AU83=1,AU83=4,AU83=2),$F83*K83/100,IF(AU83=9,$F83*K83/50,"자동"))))</f>
        <v>자동</v>
      </c>
      <c r="AI83" s="3">
        <f>IF(AV83=12,$F83*L83/IF($BB$7=1,IF($ED83=1,$AV$9,$AI$9),($AI$8*AL83+$AI$9*(1-AL83))),IF(AV83=42,$F83*L83/AO83,IF(OR(AV83=1,AV83=4,AV83=2),$F83*L83/100,IF(AV83=9,$F83*L83/50,"자동"))))</f>
        <v>1</v>
      </c>
      <c r="AJ83" s="3">
        <f>IF(AW83=12,$F83*M83/IF($BB$7=1,IF($ED83=1,$AW$9,$AJ$9),($AJ$8*AL83+$AJ$9*(1-AL83))),IF(AW83=42,$F83*M83/AO83,IF(OR(AW83=1,AW83=4,AW83=2),$F83*M83/100,IF(AW83=9,$F83*M83/50,"자동"))))</f>
        <v>1</v>
      </c>
      <c r="AL83" s="3" t="str">
        <f>IF(AK83&lt;&gt;"",AK83,IF(BA83&lt;&gt;12,"",IF(U83=1,1,IF(LEFT(E83,3)="서울대",0,""))))</f>
        <v/>
      </c>
      <c r="AN83" s="3" t="str">
        <f ca="1">IF($BA83=42,OFFSET(변환표준점수!C$119,$AP83-1,0),"")</f>
        <v/>
      </c>
      <c r="AO83" s="3" t="str">
        <f ca="1">IF($BA83=42,OFFSET(변환표준점수!D$119,$AP83-1,0),"")</f>
        <v/>
      </c>
      <c r="AP83" s="3" t="str">
        <f>IF(S83="","",MATCH(S83,변환표준점수!$B$119:$B$298,0))</f>
        <v/>
      </c>
      <c r="AQ83" s="3">
        <v>1</v>
      </c>
      <c r="AR83" s="3">
        <v>1</v>
      </c>
      <c r="AS83" s="3">
        <v>1</v>
      </c>
      <c r="AT83" s="3">
        <v>1</v>
      </c>
      <c r="AV83" s="3">
        <v>1</v>
      </c>
      <c r="AW83" s="3">
        <v>1</v>
      </c>
      <c r="AX83" s="3">
        <v>3</v>
      </c>
      <c r="AY83" s="3">
        <v>3</v>
      </c>
      <c r="BA83" s="3">
        <f>IF(AS83&gt;0,AS83,AV83)</f>
        <v>1</v>
      </c>
      <c r="BJ83" s="3">
        <f>IF(BI83="",IF(DT83=1,1,$BI$3),BI83)</f>
        <v>0</v>
      </c>
      <c r="CH83" s="206">
        <f>F83*P83</f>
        <v>800</v>
      </c>
      <c r="CI83" s="56">
        <v>200</v>
      </c>
      <c r="CJ83" s="3">
        <v>196</v>
      </c>
      <c r="CK83" s="3">
        <v>190</v>
      </c>
      <c r="CL83" s="3">
        <v>180</v>
      </c>
      <c r="CM83" s="3">
        <v>170</v>
      </c>
      <c r="CN83" s="3">
        <v>160</v>
      </c>
      <c r="CO83" s="3">
        <v>150</v>
      </c>
      <c r="CP83" s="3">
        <v>140</v>
      </c>
      <c r="CQ83" s="3">
        <v>0</v>
      </c>
      <c r="CV83" s="3">
        <v>-0.2</v>
      </c>
      <c r="CW83" s="3">
        <v>-0.4</v>
      </c>
      <c r="CX83" s="3">
        <v>-0.6</v>
      </c>
      <c r="CY83" s="3">
        <v>-0.8</v>
      </c>
      <c r="CZ83" s="3">
        <v>-1</v>
      </c>
      <c r="DJ83" s="3">
        <f ca="1">ROUND((CI83-EZ83),1)</f>
        <v>200</v>
      </c>
      <c r="DK83" s="93">
        <f ca="1">((CI83-EZ83)/(FG83+DJ83-FC83))*100</f>
        <v>100</v>
      </c>
      <c r="DL83" s="3">
        <f ca="1">ROUND((CR83-FA83)+(DA83-FB83),1)</f>
        <v>0</v>
      </c>
      <c r="DO83" s="3">
        <v>2</v>
      </c>
      <c r="EA83" s="3">
        <f>IF(DZ83&gt;0,DZ83,IF(DM83&gt;0,1,2))</f>
        <v>2</v>
      </c>
      <c r="EB83" s="3">
        <f>MAX(DM83:DO83)</f>
        <v>2</v>
      </c>
      <c r="EC83" s="3">
        <f>AND(DM83-0.1&lt;$DM$8,DN83-0.1&lt;$DN$8,DO83-0.1&lt;$DO$8)*1</f>
        <v>0</v>
      </c>
      <c r="ED83" s="3">
        <f>IFERROR(IF(AND($DP$8&gt;=DP83,$DQ$8&gt;=DQ83,$DR$8&gt;=DR83,$DS$8&gt;=DS83,$DT$8&gt;=DT83,$DU$8&gt;=DU83,$DV$8&gt;=DV83,$DW$8&gt;=DW83,$DX$8&gt;=DX83,OR(DY83=0,$DY$8&lt;DY83),EC83=1),1,0),0)</f>
        <v>0</v>
      </c>
      <c r="EF83" s="3">
        <f t="shared" ca="1" si="164"/>
        <v>0</v>
      </c>
      <c r="EG83" s="3">
        <f t="shared" ca="1" si="164"/>
        <v>0</v>
      </c>
      <c r="EH83" s="3">
        <f ca="1">IFERROR(IF(LEFT($BA83,1)="4",OFFSET(변환표준점수!$H$118,MATCH($S83,변환표준점수!$B$119:$B$198,0),),OFFSET(EH$3,MATCH(AS83,$ED$4:$ED$8,0),0)),0)</f>
        <v>0</v>
      </c>
      <c r="EI83" s="3">
        <f ca="1">IFERROR(IF(LEFT($BA83,1)="4",OFFSET(변환표준점수!$I$118,MATCH($S83,변환표준점수!$B$119:$B$198,0),0),OFFSET(EI$3,MATCH(AT83,$ED$4:$ED$8,0),0)),0)</f>
        <v>0</v>
      </c>
      <c r="EK83" s="3">
        <f ca="1">IFERROR(IF(LEFT($BA83,1)="4",OFFSET(변환표준점수!$J$118,MATCH($S83,변환표준점수!$B$119:$B$198,0),0),OFFSET(EJ$3,MATCH(AV83,$ED$4:$ED$8,0),0)),0)</f>
        <v>0</v>
      </c>
      <c r="EL83" s="3">
        <f ca="1">IFERROR(IF(LEFT($BA83,1)="4",OFFSET(변환표준점수!$K$118,MATCH($S83,변환표준점수!$B$119:$B$198,0),0),OFFSET(EK$3,MATCH(AW83,$ED$4:$ED$8,0),0)),0)</f>
        <v>0</v>
      </c>
      <c r="EM83" s="3" t="str">
        <f t="shared" ca="1" si="165"/>
        <v/>
      </c>
      <c r="EN83" s="3" t="str">
        <f t="shared" ca="1" si="165"/>
        <v/>
      </c>
      <c r="EO83" s="3">
        <f t="shared" ca="1" si="165"/>
        <v>0</v>
      </c>
      <c r="EQ83" s="3">
        <f ca="1">IFERROR((EF83*AD83+BO83)*$EP$9,0)</f>
        <v>0</v>
      </c>
      <c r="ER83" s="3">
        <f ca="1">IFERROR(EG83*AE83+OFFSET($BP83,0,$ER$14-1),0)</f>
        <v>0</v>
      </c>
      <c r="ES83" s="3">
        <f ca="1">IFERROR((EH83*AF83+BS83)*$EP$9,0)</f>
        <v>0</v>
      </c>
      <c r="ET83" s="3">
        <f ca="1">IFERROR(IF(O83&lt;2,0,(EI83*AG83+BT83)*$EP$9),0)</f>
        <v>0</v>
      </c>
      <c r="EU83" s="3">
        <f>IFERROR(BU83*$EP$9,0)</f>
        <v>0</v>
      </c>
      <c r="EV83" s="3">
        <f ca="1">IFERROR((EK83*AI83+BV83)*$EP$9,0)</f>
        <v>0</v>
      </c>
      <c r="EW83" s="3">
        <f ca="1">IFERROR(IF(O83&lt;2,0,(EL83*AJ83+BW83)*$EP$9),0)</f>
        <v>0</v>
      </c>
      <c r="EX83" s="3">
        <f ca="1">LARGE((ES83:ET83,EV83:EW83),1)</f>
        <v>0</v>
      </c>
      <c r="EY83" s="3">
        <f ca="1">IF(O83&lt;2,0,LARGE((ES83:ET83,EV83:EW83),2))</f>
        <v>0</v>
      </c>
      <c r="EZ83" s="3">
        <f ca="1">IFERROR(OFFSET(CI83,0,ROUND((1/(1/EM83))-1,0)),0)</f>
        <v>0</v>
      </c>
      <c r="FA83" s="3">
        <f ca="1">IFERROR(OFFSET(CR83,0,ROUND(1/(1/EN83),0)-1),0)</f>
        <v>0</v>
      </c>
      <c r="FB83" s="3">
        <f ca="1">IFERROR(OFFSET(DA83,0,ROUND(1/(1/EO83),0)-1),0)</f>
        <v>0</v>
      </c>
      <c r="FG83" s="3">
        <f ca="1">IF(FF83&gt;0,FF83,EQ83+ER83+EU83+EX83+EY83+EZ83+FA83+FB83+FC83)</f>
        <v>0</v>
      </c>
      <c r="FH83" s="618"/>
      <c r="FU83" s="3" t="str">
        <f t="shared" si="166"/>
        <v>표점</v>
      </c>
      <c r="FV83" s="3" t="str">
        <f t="shared" si="167"/>
        <v>표점</v>
      </c>
      <c r="FW83" s="3">
        <f t="shared" si="168"/>
        <v>0.38</v>
      </c>
      <c r="FX83" s="3">
        <f t="shared" si="168"/>
        <v>0.38</v>
      </c>
      <c r="FY83" s="3">
        <f>ROUND(AC83/$FZ83,2)</f>
        <v>0.25</v>
      </c>
      <c r="FZ83" s="3">
        <f>Y83+Z83+AC83</f>
        <v>4</v>
      </c>
    </row>
    <row r="84" spans="1:182">
      <c r="A84" s="556">
        <v>26</v>
      </c>
      <c r="C84" s="3">
        <f t="shared" si="156"/>
        <v>69</v>
      </c>
      <c r="D84" s="3">
        <v>69</v>
      </c>
      <c r="E84" s="3" t="s">
        <v>7694</v>
      </c>
      <c r="F84" s="3">
        <v>1000</v>
      </c>
      <c r="G84" s="3">
        <v>0.3</v>
      </c>
      <c r="H84" s="3">
        <v>0.4</v>
      </c>
      <c r="I84" s="3">
        <v>0.1</v>
      </c>
      <c r="J84" s="3">
        <v>0.1</v>
      </c>
      <c r="L84" s="3">
        <v>0.1</v>
      </c>
      <c r="M84" s="3">
        <v>0.1</v>
      </c>
      <c r="O84" s="3">
        <v>2</v>
      </c>
      <c r="P84" s="3">
        <f t="shared" si="157"/>
        <v>0.89999999999999991</v>
      </c>
      <c r="Q84" s="3" t="s">
        <v>408</v>
      </c>
      <c r="S84" s="3" t="str">
        <f t="shared" si="158"/>
        <v/>
      </c>
      <c r="W84" s="3">
        <f>IF(AND(BH84=0,CD84=0),0,IF(V84&gt;0,V84,IF(U84=1,$W$11,0)))</f>
        <v>0</v>
      </c>
      <c r="Y84" s="3">
        <f t="shared" si="163"/>
        <v>1.5</v>
      </c>
      <c r="Z84" s="3">
        <f t="shared" si="163"/>
        <v>2</v>
      </c>
      <c r="AA84" s="3">
        <f>IF($BB$7=1,AF84,IF(AS84=12,$F84*I84/($AF$8*AL84+$AF$9*(1-AL84)),AF84))</f>
        <v>1</v>
      </c>
      <c r="AB84" s="3">
        <f>IF($BB$7=1,AI84,IF(AV84=12,$F84*L84/($AI$8*AL84+$AI$9*(1-AL84)),AI84))</f>
        <v>1</v>
      </c>
      <c r="AC84" s="3">
        <f>IF(AND(AS84=2,EA84=1),AA84*O84,IF(AND(AS84=2,EA84=2),AB84*O84,IF(EA84=1,AA84,IF(EA84=2,AB84))))</f>
        <v>1</v>
      </c>
      <c r="AD84" s="3">
        <f>IF(AQ84=12,$F84*G84/$AQ$9,IF(OR(AQ84=1,AQ84=4),$F84*G84/200,IF(OR(AQ84=2,AQ84=9),$F84*G84/100,"자동")))</f>
        <v>1.5</v>
      </c>
      <c r="AE84" s="3">
        <f>IF(AR84=12,$F84*H84/$AR$9,IF(OR(AR84=1,AR84=4),$F84*H84/200,IF(OR(AR84=2,AR84=9),$F84*H84/100,"자동")))</f>
        <v>2</v>
      </c>
      <c r="AF84" s="3">
        <f>IF(AS84=12,$F84*I84/IF($BB$7=1,IF($ED84=1,$AS$9,$AF$9),($AF$8*AL84+$AF$9*(1-AL84))),IF(AS84=42,$F84*I84/AN84,IF(OR(AS84=1,AS84=4,AS84=2),$F84*I84/100,IF(AS84=9,$F84*I84/50,"자동"))))</f>
        <v>1</v>
      </c>
      <c r="AG84" s="3">
        <f>IF(AT84=12,$F84*J84/IF($BB$7=1,IF($ED84=1,$AT$9,$AG$9),($AG$8*AL84+$AG$9*(1-AL84))),IF(AT84=42,$F84*J84/AN84,IF(OR(AT84=1,AT84=4,AT84=2),$F84*J84/100,IF(AT84=9,$F84*J84/50,"자동"))))</f>
        <v>1</v>
      </c>
      <c r="AH84" s="3" t="str">
        <f>IF(AU84=12,$F84*K84/IF($BB$7=1,IF($ED84=1,$AU$9,$AH$9),($AH$8*AL84+$AH$9*(1-AL84))),IF(AU84=42,$F84*K84/$AN84,IF(OR(AU84=1,AU84=4,AU84=2),$F84*K84/100,IF(AU84=9,$F84*K84/50,"자동"))))</f>
        <v>자동</v>
      </c>
      <c r="AI84" s="3">
        <f>IF(AV84=12,$F84*L84/IF($BB$7=1,IF($ED84=1,$AV$9,$AI$9),($AI$8*AL84+$AI$9*(1-AL84))),IF(AV84=42,$F84*L84/AO84,IF(OR(AV84=1,AV84=4,AV84=2),$F84*L84/100,IF(AV84=9,$F84*L84/50,"자동"))))</f>
        <v>1</v>
      </c>
      <c r="AJ84" s="3">
        <f>IF(AW84=12,$F84*M84/IF($BB$7=1,IF($ED84=1,$AW$9,$AJ$9),($AJ$8*AL84+$AJ$9*(1-AL84))),IF(AW84=42,$F84*M84/AO84,IF(OR(AW84=1,AW84=4,AW84=2),$F84*M84/100,IF(AW84=9,$F84*M84/50,"자동"))))</f>
        <v>1</v>
      </c>
      <c r="AL84" s="3" t="str">
        <f>IF(AK84&lt;&gt;"",AK84,IF(BA84&lt;&gt;12,"",IF(U84=1,1,IF(LEFT(E84,3)="서울대",0,""))))</f>
        <v/>
      </c>
      <c r="AN84" s="3" t="str">
        <f ca="1">IF($BA84=42,OFFSET(변환표준점수!C$119,$AP84-1,0),"")</f>
        <v/>
      </c>
      <c r="AO84" s="3" t="str">
        <f ca="1">IF($BA84=42,OFFSET(변환표준점수!D$119,$AP84-1,0),"")</f>
        <v/>
      </c>
      <c r="AP84" s="3" t="str">
        <f>IF(S84="","",MATCH(S84,변환표준점수!$B$119:$B$298,0))</f>
        <v/>
      </c>
      <c r="AQ84" s="3">
        <v>1</v>
      </c>
      <c r="AR84" s="3">
        <v>1</v>
      </c>
      <c r="AS84" s="3">
        <v>1</v>
      </c>
      <c r="AT84" s="3">
        <v>1</v>
      </c>
      <c r="AV84" s="3">
        <v>1</v>
      </c>
      <c r="AW84" s="3">
        <v>1</v>
      </c>
      <c r="AX84" s="3">
        <v>3</v>
      </c>
      <c r="AY84" s="3">
        <v>3</v>
      </c>
      <c r="BA84" s="3">
        <f>IF(AS84&gt;0,AS84,AV84)</f>
        <v>1</v>
      </c>
      <c r="BC84" s="3">
        <f>0.05*AE84</f>
        <v>0.1</v>
      </c>
      <c r="BD84" s="3">
        <f>0.05*AE84</f>
        <v>0.1</v>
      </c>
      <c r="BF84" s="3">
        <f>0.05*AF84</f>
        <v>0.05</v>
      </c>
      <c r="BG84" s="3">
        <f>0.05*AG84</f>
        <v>0.05</v>
      </c>
      <c r="BJ84" s="3">
        <f>IF(BI84="",IF(DT84=1,1,$BI$3),BI84)</f>
        <v>0</v>
      </c>
      <c r="BN84" s="212" t="s">
        <v>7695</v>
      </c>
      <c r="BP84" s="3">
        <f>IF(BP$6&gt;0,BC84*$EG84,0)</f>
        <v>0</v>
      </c>
      <c r="BQ84" s="3">
        <f>IF(BQ$6&gt;0,BD84*$EG84,0)</f>
        <v>0</v>
      </c>
      <c r="BS84" s="3">
        <f ca="1">BF84*EH84</f>
        <v>0</v>
      </c>
      <c r="BT84" s="3">
        <f ca="1">BG84*EI84</f>
        <v>0</v>
      </c>
      <c r="CH84" s="206">
        <f>F84*P84</f>
        <v>899.99999999999989</v>
      </c>
      <c r="CI84" s="56">
        <v>100</v>
      </c>
      <c r="CJ84" s="3">
        <v>98</v>
      </c>
      <c r="CK84" s="3">
        <v>95</v>
      </c>
      <c r="CL84" s="3">
        <v>90</v>
      </c>
      <c r="CM84" s="3">
        <v>85</v>
      </c>
      <c r="CN84" s="3">
        <v>80</v>
      </c>
      <c r="CO84" s="3">
        <v>75</v>
      </c>
      <c r="CP84" s="3">
        <v>70</v>
      </c>
      <c r="CQ84" s="3">
        <v>0</v>
      </c>
      <c r="CV84" s="3">
        <v>-0.2</v>
      </c>
      <c r="CW84" s="3">
        <v>-0.4</v>
      </c>
      <c r="CX84" s="3">
        <v>-0.6</v>
      </c>
      <c r="CY84" s="3">
        <v>-0.8</v>
      </c>
      <c r="CZ84" s="3">
        <v>-1</v>
      </c>
      <c r="DJ84" s="3">
        <f ca="1">ROUND((CI84-EZ84),1)</f>
        <v>100</v>
      </c>
      <c r="DK84" s="93">
        <f ca="1">((CI84-EZ84)/(FG84+DJ84-FC84))*100</f>
        <v>100</v>
      </c>
      <c r="DL84" s="3">
        <f ca="1">ROUND((CR84-FA84)+(DA84-FB84),1)</f>
        <v>0</v>
      </c>
      <c r="DO84" s="3">
        <v>2</v>
      </c>
      <c r="DZ84" s="3">
        <v>1</v>
      </c>
      <c r="EA84" s="3">
        <f>IF(DZ84&gt;0,DZ84,IF(DM84&gt;0,1,2))</f>
        <v>1</v>
      </c>
      <c r="EB84" s="3">
        <f>MAX(DM84:DO84)</f>
        <v>2</v>
      </c>
      <c r="EC84" s="3">
        <f>AND(DM84-0.1&lt;$DM$8,DN84-0.1&lt;$DN$8,DO84-0.1&lt;$DO$8)*1</f>
        <v>0</v>
      </c>
      <c r="ED84" s="3">
        <f>IFERROR(IF(AND($DP$8&gt;=DP84,$DQ$8&gt;=DQ84,$DR$8&gt;=DR84,$DS$8&gt;=DS84,$DT$8&gt;=DT84,$DU$8&gt;=DU84,$DV$8&gt;=DV84,$DW$8&gt;=DW84,$DX$8&gt;=DX84,OR(DY84=0,$DY$8&lt;DY84),EC84=1),1,0),0)</f>
        <v>0</v>
      </c>
      <c r="EF84" s="3">
        <f t="shared" ca="1" si="164"/>
        <v>0</v>
      </c>
      <c r="EG84" s="3">
        <f t="shared" ca="1" si="164"/>
        <v>0</v>
      </c>
      <c r="EH84" s="3">
        <f ca="1">IFERROR(IF(LEFT($BA84,1)="4",OFFSET(변환표준점수!$H$118,MATCH($S84,변환표준점수!$B$119:$B$198,0),),OFFSET(EH$3,MATCH(AS84,$ED$4:$ED$8,0),0)),0)</f>
        <v>0</v>
      </c>
      <c r="EI84" s="3">
        <f ca="1">IFERROR(IF(LEFT($BA84,1)="4",OFFSET(변환표준점수!$I$118,MATCH($S84,변환표준점수!$B$119:$B$198,0),0),OFFSET(EI$3,MATCH(AT84,$ED$4:$ED$8,0),0)),0)</f>
        <v>0</v>
      </c>
      <c r="EK84" s="3">
        <f ca="1">IFERROR(IF(LEFT($BA84,1)="4",OFFSET(변환표준점수!$J$118,MATCH($S84,변환표준점수!$B$119:$B$198,0),0),OFFSET(EJ$3,MATCH(AV84,$ED$4:$ED$8,0),0)),0)</f>
        <v>0</v>
      </c>
      <c r="EL84" s="3">
        <f ca="1">IFERROR(IF(LEFT($BA84,1)="4",OFFSET(변환표준점수!$K$118,MATCH($S84,변환표준점수!$B$119:$B$198,0),0),OFFSET(EK$3,MATCH(AW84,$ED$4:$ED$8,0),0)),0)</f>
        <v>0</v>
      </c>
      <c r="EM84" s="3" t="str">
        <f t="shared" ca="1" si="165"/>
        <v/>
      </c>
      <c r="EN84" s="3" t="str">
        <f t="shared" ca="1" si="165"/>
        <v/>
      </c>
      <c r="EO84" s="3">
        <f t="shared" ca="1" si="165"/>
        <v>0</v>
      </c>
      <c r="EQ84" s="3">
        <f ca="1">IFERROR((EF84*AD84+BO84)*$EP$9,0)</f>
        <v>0</v>
      </c>
      <c r="ER84" s="3">
        <f ca="1">IFERROR(EG84*AE84+OFFSET($BP84,0,$ER$14-1),0)</f>
        <v>0</v>
      </c>
      <c r="ES84" s="3">
        <f ca="1">IFERROR((EH84*AF84+BS84)*$EP$9,0)</f>
        <v>0</v>
      </c>
      <c r="ET84" s="3">
        <f ca="1">IFERROR(IF(O84&lt;2,0,(EI84*AG84+BT84)*$EP$9),0)</f>
        <v>0</v>
      </c>
      <c r="EU84" s="3">
        <f>IFERROR(BU84*$EP$9,0)</f>
        <v>0</v>
      </c>
      <c r="EV84" s="3">
        <f ca="1">IFERROR((EK84*AI84+BV84)*$EP$9,0)</f>
        <v>0</v>
      </c>
      <c r="EW84" s="3">
        <f ca="1">IFERROR(IF(O84&lt;2,0,(EL84*AJ84+BW84)*$EP$9),0)</f>
        <v>0</v>
      </c>
      <c r="EX84" s="3">
        <f ca="1">LARGE((ES84:ET84,EV84:EW84),1)</f>
        <v>0</v>
      </c>
      <c r="EY84" s="3">
        <f ca="1">IF(O84&lt;2,0,LARGE((ES84:ET84,EV84:EW84),2))</f>
        <v>0</v>
      </c>
      <c r="EZ84" s="3">
        <f ca="1">IFERROR(OFFSET(CI84,0,ROUND((1/(1/EM84))-1,0)),0)</f>
        <v>0</v>
      </c>
      <c r="FA84" s="3">
        <f ca="1">IFERROR(OFFSET(CR84,0,ROUND(1/(1/EN84),0)-1),0)</f>
        <v>0</v>
      </c>
      <c r="FB84" s="3">
        <f ca="1">IFERROR(OFFSET(DA84,0,ROUND(1/(1/EO84),0)-1),0)</f>
        <v>0</v>
      </c>
      <c r="FG84" s="3">
        <f ca="1">IF(FF84&gt;0,FF84,EQ84+ER84+EU84+EX84+EY84+EZ84+FA84+FB84+FC84)</f>
        <v>0</v>
      </c>
      <c r="FH84" s="618"/>
      <c r="FU84" s="3" t="str">
        <f t="shared" si="166"/>
        <v>표점</v>
      </c>
      <c r="FV84" s="3" t="str">
        <f t="shared" si="167"/>
        <v>표점</v>
      </c>
      <c r="FW84" s="3">
        <f t="shared" si="168"/>
        <v>0.33</v>
      </c>
      <c r="FX84" s="3">
        <f t="shared" si="168"/>
        <v>0.44</v>
      </c>
      <c r="FY84" s="3">
        <f>ROUND(AC84/$FZ84,2)</f>
        <v>0.22</v>
      </c>
      <c r="FZ84" s="3">
        <f>Y84+Z84+AC84</f>
        <v>4.5</v>
      </c>
    </row>
    <row r="85" spans="1:182">
      <c r="A85" s="556">
        <v>26</v>
      </c>
      <c r="C85" s="3">
        <f t="shared" si="156"/>
        <v>70</v>
      </c>
      <c r="D85" s="3">
        <v>70</v>
      </c>
      <c r="E85" s="3" t="s">
        <v>7696</v>
      </c>
      <c r="F85" s="3">
        <v>1000</v>
      </c>
      <c r="G85" s="3">
        <v>0.4</v>
      </c>
      <c r="H85" s="3">
        <v>0.3</v>
      </c>
      <c r="I85" s="3">
        <v>0.1</v>
      </c>
      <c r="J85" s="3">
        <v>0.1</v>
      </c>
      <c r="L85" s="3">
        <v>0.1</v>
      </c>
      <c r="M85" s="3">
        <v>0.1</v>
      </c>
      <c r="O85" s="3">
        <v>2</v>
      </c>
      <c r="P85" s="3">
        <f t="shared" si="157"/>
        <v>0.89999999999999991</v>
      </c>
      <c r="Q85" s="3" t="s">
        <v>408</v>
      </c>
      <c r="S85" s="3" t="str">
        <f t="shared" si="158"/>
        <v/>
      </c>
      <c r="W85" s="3">
        <f>IF(AND(BH85=0,CD85=0),0,IF(V85&gt;0,V85,IF(U85=1,$W$11,0)))</f>
        <v>0</v>
      </c>
      <c r="Y85" s="3">
        <f t="shared" si="163"/>
        <v>2</v>
      </c>
      <c r="Z85" s="3">
        <f t="shared" si="163"/>
        <v>1.5</v>
      </c>
      <c r="AA85" s="3">
        <f>IF($BB$7=1,AF85,IF(AS85=12,$F85*I85/($AF$8*AL85+$AF$9*(1-AL85)),AF85))</f>
        <v>1</v>
      </c>
      <c r="AB85" s="3">
        <f>IF($BB$7=1,AI85,IF(AV85=12,$F85*L85/($AI$8*AL85+$AI$9*(1-AL85)),AI85))</f>
        <v>1</v>
      </c>
      <c r="AC85" s="3">
        <f>IF(AND(AS85=2,EA85=1),AA85*O85,IF(AND(AS85=2,EA85=2),AB85*O85,IF(EA85=1,AA85,IF(EA85=2,AB85))))</f>
        <v>1</v>
      </c>
      <c r="AD85" s="3">
        <f>IF(AQ85=12,$F85*G85/$AQ$9,IF(OR(AQ85=1,AQ85=4),$F85*G85/200,IF(OR(AQ85=2,AQ85=9),$F85*G85/100,"자동")))</f>
        <v>2</v>
      </c>
      <c r="AE85" s="3">
        <f>IF(AR85=12,$F85*H85/$AR$9,IF(OR(AR85=1,AR85=4),$F85*H85/200,IF(OR(AR85=2,AR85=9),$F85*H85/100,"자동")))</f>
        <v>1.5</v>
      </c>
      <c r="AF85" s="3">
        <f>IF(AS85=12,$F85*I85/IF($BB$7=1,IF($ED85=1,$AS$9,$AF$9),($AF$8*AL85+$AF$9*(1-AL85))),IF(AS85=42,$F85*I85/AN85,IF(OR(AS85=1,AS85=4,AS85=2),$F85*I85/100,IF(AS85=9,$F85*I85/50,"자동"))))</f>
        <v>1</v>
      </c>
      <c r="AG85" s="3">
        <f>IF(AT85=12,$F85*J85/IF($BB$7=1,IF($ED85=1,$AT$9,$AG$9),($AG$8*AL85+$AG$9*(1-AL85))),IF(AT85=42,$F85*J85/AN85,IF(OR(AT85=1,AT85=4,AT85=2),$F85*J85/100,IF(AT85=9,$F85*J85/50,"자동"))))</f>
        <v>1</v>
      </c>
      <c r="AH85" s="3" t="str">
        <f>IF(AU85=12,$F85*K85/IF($BB$7=1,IF($ED85=1,$AU$9,$AH$9),($AH$8*AL85+$AH$9*(1-AL85))),IF(AU85=42,$F85*K85/$AN85,IF(OR(AU85=1,AU85=4,AU85=2),$F85*K85/100,IF(AU85=9,$F85*K85/50,"자동"))))</f>
        <v>자동</v>
      </c>
      <c r="AI85" s="3">
        <f>IF(AV85=12,$F85*L85/IF($BB$7=1,IF($ED85=1,$AV$9,$AI$9),($AI$8*AL85+$AI$9*(1-AL85))),IF(AV85=42,$F85*L85/AO85,IF(OR(AV85=1,AV85=4,AV85=2),$F85*L85/100,IF(AV85=9,$F85*L85/50,"자동"))))</f>
        <v>1</v>
      </c>
      <c r="AJ85" s="3">
        <f>IF(AW85=12,$F85*M85/IF($BB$7=1,IF($ED85=1,$AW$9,$AJ$9),($AJ$8*AL85+$AJ$9*(1-AL85))),IF(AW85=42,$F85*M85/AO85,IF(OR(AW85=1,AW85=4,AW85=2),$F85*M85/100,IF(AW85=9,$F85*M85/50,"자동"))))</f>
        <v>1</v>
      </c>
      <c r="AL85" s="3" t="str">
        <f>IF(AK85&lt;&gt;"",AK85,IF(BA85&lt;&gt;12,"",IF(U85=1,1,IF(LEFT(E85,3)="서울대",0,""))))</f>
        <v/>
      </c>
      <c r="AN85" s="3" t="str">
        <f ca="1">IF($BA85=42,OFFSET(변환표준점수!C$119,$AP85-1,0),"")</f>
        <v/>
      </c>
      <c r="AO85" s="3" t="str">
        <f ca="1">IF($BA85=42,OFFSET(변환표준점수!D$119,$AP85-1,0),"")</f>
        <v/>
      </c>
      <c r="AP85" s="3" t="str">
        <f>IF(S85="","",MATCH(S85,변환표준점수!$B$119:$B$298,0))</f>
        <v/>
      </c>
      <c r="AQ85" s="3">
        <v>1</v>
      </c>
      <c r="AR85" s="3">
        <v>1</v>
      </c>
      <c r="AS85" s="3">
        <v>1</v>
      </c>
      <c r="AT85" s="3">
        <v>1</v>
      </c>
      <c r="AV85" s="3">
        <v>1</v>
      </c>
      <c r="AW85" s="3">
        <v>1</v>
      </c>
      <c r="AX85" s="3">
        <v>3</v>
      </c>
      <c r="AY85" s="3">
        <v>3</v>
      </c>
      <c r="BA85" s="3">
        <f>IF(AS85&gt;0,AS85,AV85)</f>
        <v>1</v>
      </c>
      <c r="BJ85" s="3">
        <f>IF(BI85="",IF(DT85=1,1,$BI$3),BI85)</f>
        <v>0</v>
      </c>
      <c r="CH85" s="206">
        <f>F85*P85</f>
        <v>899.99999999999989</v>
      </c>
      <c r="CI85" s="56">
        <v>100</v>
      </c>
      <c r="CJ85" s="3">
        <v>98</v>
      </c>
      <c r="CK85" s="3">
        <v>95</v>
      </c>
      <c r="CL85" s="3">
        <v>90</v>
      </c>
      <c r="CM85" s="3">
        <v>85</v>
      </c>
      <c r="CN85" s="3">
        <v>80</v>
      </c>
      <c r="CO85" s="3">
        <v>75</v>
      </c>
      <c r="CP85" s="3">
        <v>70</v>
      </c>
      <c r="CQ85" s="3">
        <v>0</v>
      </c>
      <c r="CV85" s="3">
        <v>-0.2</v>
      </c>
      <c r="CW85" s="3">
        <v>-0.4</v>
      </c>
      <c r="CX85" s="3">
        <v>-0.6</v>
      </c>
      <c r="CY85" s="3">
        <v>-0.8</v>
      </c>
      <c r="CZ85" s="3">
        <v>-1</v>
      </c>
      <c r="DJ85" s="3">
        <f ca="1">ROUND((CI85-EZ85),1)</f>
        <v>100</v>
      </c>
      <c r="DK85" s="93">
        <f ca="1">((CI85-EZ85)/(FG85+DJ85-FC85))*100</f>
        <v>100</v>
      </c>
      <c r="DL85" s="3">
        <f ca="1">ROUND((CR85-FA85)+(DA85-FB85),1)</f>
        <v>0</v>
      </c>
      <c r="DO85" s="3">
        <v>2</v>
      </c>
      <c r="EA85" s="3">
        <f>IF(DZ85&gt;0,DZ85,IF(DM85&gt;0,1,2))</f>
        <v>2</v>
      </c>
      <c r="EB85" s="3">
        <f>MAX(DM85:DO85)</f>
        <v>2</v>
      </c>
      <c r="EC85" s="3">
        <f>AND(DM85-0.1&lt;$DM$8,DN85-0.1&lt;$DN$8,DO85-0.1&lt;$DO$8)*1</f>
        <v>0</v>
      </c>
      <c r="ED85" s="3">
        <f>IFERROR(IF(AND($DP$8&gt;=DP85,$DQ$8&gt;=DQ85,$DR$8&gt;=DR85,$DS$8&gt;=DS85,$DT$8&gt;=DT85,$DU$8&gt;=DU85,$DV$8&gt;=DV85,$DW$8&gt;=DW85,$DX$8&gt;=DX85,OR(DY85=0,$DY$8&lt;DY85),EC85=1),1,0),0)</f>
        <v>0</v>
      </c>
      <c r="EF85" s="3">
        <f t="shared" ca="1" si="164"/>
        <v>0</v>
      </c>
      <c r="EG85" s="3">
        <f t="shared" ca="1" si="164"/>
        <v>0</v>
      </c>
      <c r="EH85" s="3">
        <f ca="1">IFERROR(IF(LEFT($BA85,1)="4",OFFSET(변환표준점수!$H$118,MATCH($S85,변환표준점수!$B$119:$B$198,0),),OFFSET(EH$3,MATCH(AS85,$ED$4:$ED$8,0),0)),0)</f>
        <v>0</v>
      </c>
      <c r="EI85" s="3">
        <f ca="1">IFERROR(IF(LEFT($BA85,1)="4",OFFSET(변환표준점수!$I$118,MATCH($S85,변환표준점수!$B$119:$B$198,0),0),OFFSET(EI$3,MATCH(AT85,$ED$4:$ED$8,0),0)),0)</f>
        <v>0</v>
      </c>
      <c r="EK85" s="3">
        <f ca="1">IFERROR(IF(LEFT($BA85,1)="4",OFFSET(변환표준점수!$J$118,MATCH($S85,변환표준점수!$B$119:$B$198,0),0),OFFSET(EJ$3,MATCH(AV85,$ED$4:$ED$8,0),0)),0)</f>
        <v>0</v>
      </c>
      <c r="EL85" s="3">
        <f ca="1">IFERROR(IF(LEFT($BA85,1)="4",OFFSET(변환표준점수!$K$118,MATCH($S85,변환표준점수!$B$119:$B$198,0),0),OFFSET(EK$3,MATCH(AW85,$ED$4:$ED$8,0),0)),0)</f>
        <v>0</v>
      </c>
      <c r="EM85" s="3" t="str">
        <f t="shared" ca="1" si="165"/>
        <v/>
      </c>
      <c r="EN85" s="3" t="str">
        <f t="shared" ca="1" si="165"/>
        <v/>
      </c>
      <c r="EO85" s="3">
        <f t="shared" ca="1" si="165"/>
        <v>0</v>
      </c>
      <c r="EQ85" s="3">
        <f ca="1">IFERROR((EF85*AD85+BO85)*$EP$9,0)</f>
        <v>0</v>
      </c>
      <c r="ER85" s="3">
        <f ca="1">IFERROR(EG85*AE85+OFFSET($BP85,0,$ER$14-1),0)</f>
        <v>0</v>
      </c>
      <c r="ES85" s="3">
        <f ca="1">IFERROR((EH85*AF85+BS85)*$EP$9,0)</f>
        <v>0</v>
      </c>
      <c r="ET85" s="3">
        <f ca="1">IFERROR(IF(O85&lt;2,0,(EI85*AG85+BT85)*$EP$9),0)</f>
        <v>0</v>
      </c>
      <c r="EU85" s="3">
        <f>IFERROR(BU85*$EP$9,0)</f>
        <v>0</v>
      </c>
      <c r="EV85" s="3">
        <f ca="1">IFERROR((EK85*AI85+BV85)*$EP$9,0)</f>
        <v>0</v>
      </c>
      <c r="EW85" s="3">
        <f ca="1">IFERROR(IF(O85&lt;2,0,(EL85*AJ85+BW85)*$EP$9),0)</f>
        <v>0</v>
      </c>
      <c r="EX85" s="3">
        <f ca="1">LARGE((ES85:ET85,EV85:EW85),1)</f>
        <v>0</v>
      </c>
      <c r="EY85" s="3">
        <f ca="1">IF(O85&lt;2,0,LARGE((ES85:ET85,EV85:EW85),2))</f>
        <v>0</v>
      </c>
      <c r="EZ85" s="3">
        <f ca="1">IFERROR(OFFSET(CI85,0,ROUND((1/(1/EM85))-1,0)),0)</f>
        <v>0</v>
      </c>
      <c r="FA85" s="3">
        <f ca="1">IFERROR(OFFSET(CR85,0,ROUND(1/(1/EN85),0)-1),0)</f>
        <v>0</v>
      </c>
      <c r="FB85" s="3">
        <f ca="1">IFERROR(OFFSET(DA85,0,ROUND(1/(1/EO85),0)-1),0)</f>
        <v>0</v>
      </c>
      <c r="FG85" s="3">
        <f ca="1">IF(FF85&gt;0,FF85,EQ85+ER85+EU85+EX85+EY85+EZ85+FA85+FB85+FC85)</f>
        <v>0</v>
      </c>
      <c r="FH85" s="618"/>
      <c r="FU85" s="3" t="str">
        <f t="shared" si="166"/>
        <v>표점</v>
      </c>
      <c r="FV85" s="3" t="str">
        <f t="shared" si="167"/>
        <v>표점</v>
      </c>
      <c r="FW85" s="3">
        <f t="shared" si="168"/>
        <v>0.44</v>
      </c>
      <c r="FX85" s="3">
        <f t="shared" si="168"/>
        <v>0.33</v>
      </c>
      <c r="FY85" s="3">
        <f>ROUND(AC85/$FZ85,2)</f>
        <v>0.22</v>
      </c>
      <c r="FZ85" s="3">
        <f>Y85+Z85+AC85</f>
        <v>4.5</v>
      </c>
    </row>
    <row r="86" spans="1:182">
      <c r="DK86" s="93"/>
      <c r="FH86" s="618"/>
    </row>
    <row r="87" spans="1:182">
      <c r="DK87" s="93"/>
      <c r="FH87" s="618"/>
    </row>
    <row r="88" spans="1:182">
      <c r="A88" s="556">
        <v>26</v>
      </c>
      <c r="C88" s="3">
        <f t="shared" ref="C88:C101" si="169">ROUND(ROW(C88)-ROW($C$15),0)</f>
        <v>73</v>
      </c>
      <c r="D88" s="3">
        <v>73</v>
      </c>
      <c r="E88" s="3" t="s">
        <v>7697</v>
      </c>
      <c r="F88" s="3">
        <v>1000</v>
      </c>
      <c r="G88" s="3">
        <v>0.3</v>
      </c>
      <c r="H88" s="3">
        <v>0.25</v>
      </c>
      <c r="I88" s="3">
        <v>0.125</v>
      </c>
      <c r="J88" s="3">
        <v>0.125</v>
      </c>
      <c r="L88" s="3">
        <v>0.125</v>
      </c>
      <c r="M88" s="3">
        <v>0.125</v>
      </c>
      <c r="N88" s="208"/>
      <c r="O88" s="3">
        <v>2</v>
      </c>
      <c r="P88" s="3">
        <f t="shared" ref="P88:P101" si="170">G88+H88+MAX((I88:J88),L88:M88)*O88</f>
        <v>0.8</v>
      </c>
      <c r="Q88" s="3">
        <v>25</v>
      </c>
      <c r="S88" s="3">
        <f t="shared" ref="S88:S101" si="171">IF(R88&gt;0,R88,Q88)</f>
        <v>25</v>
      </c>
      <c r="W88" s="3">
        <f t="shared" ref="W88:W101" si="172">IF(AND(BH88=0,CD88=0),0,IF(V88&gt;0,V88,IF(U88=1,$W$11,0)))</f>
        <v>0</v>
      </c>
      <c r="Y88" s="69">
        <f t="shared" ref="Y88:Y101" si="173">AD88</f>
        <v>2.1582733812949639</v>
      </c>
      <c r="Z88" s="69">
        <f t="shared" ref="Z88:Z101" si="174">AE88</f>
        <v>1.7857142857142858</v>
      </c>
      <c r="AA88" s="505">
        <f t="shared" ref="AA88:AA101" ca="1" si="175">IF($BB$7=1,AF88,IF(AS88=12,$F88*I88/($AF$8*AL88+$AF$9*(1-AL88)),AF88))</f>
        <v>1.7857142857142858</v>
      </c>
      <c r="AB88" s="69">
        <f t="shared" ref="AB88:AB101" ca="1" si="176">IF($BB$7=1,AI88,IF(AV88=12,$F88*L88/($AI$8*AL88+$AI$9*(1-AL88)),AI88))</f>
        <v>1.7857142857142858</v>
      </c>
      <c r="AC88" s="72">
        <f t="shared" ref="AC88:AC101" ca="1" si="177">IF(AND(AS88=2,EA88=1),AA88*O88,IF(AND(AS88=2,EA88=2),AB88*O88,IF(EA88=1,AA88,IF(EA88=2,AB88))))</f>
        <v>1.7857142857142858</v>
      </c>
      <c r="AD88" s="69">
        <f t="shared" ref="AD88:AD101" si="178">IF(AQ88=12,$F88*G88/$AQ$9,IF(OR(AQ88=1,AQ88=4),$F88*G88/200,IF(OR(AQ88=2,AQ88=9),$F88*G88/100,"자동")))</f>
        <v>2.1582733812949639</v>
      </c>
      <c r="AE88" s="69">
        <f t="shared" ref="AE88:AE101" si="179">IF(AR88=12,$F88*H88/$AR$9,IF(OR(AR88=1,AR88=4),$F88*H88/200,IF(OR(AR88=2,AR88=9),$F88*H88/100,"자동")))</f>
        <v>1.7857142857142858</v>
      </c>
      <c r="AF88" s="3">
        <f t="shared" ref="AF88:AF101" ca="1" si="180">IF(AS88=12,$F88*I88/IF($BB$7=1,IF($ED88=1,$AS$9,$AF$9),($AF$8*AL88+$AF$9*(1-AL88))),IF(AS88=42,$F88*I88/AN88,IF(OR(AS88=1,AS88=4,AS88=2),$F88*I88/100,IF(AS88=9,$F88*I88/50,"자동"))))</f>
        <v>1.7857142857142858</v>
      </c>
      <c r="AG88" s="3">
        <f t="shared" ref="AG88:AG101" ca="1" si="181">IF(AT88=12,$F88*J88/IF($BB$7=1,IF($ED88=1,$AT$9,$AG$9),($AG$8*AL88+$AG$9*(1-AL88))),IF(AT88=42,$F88*J88/AN88,IF(OR(AT88=1,AT88=4,AT88=2),$F88*J88/100,IF(AT88=9,$F88*J88/50,"자동"))))</f>
        <v>1.7857142857142858</v>
      </c>
      <c r="AH88" s="3" t="str">
        <f t="shared" ref="AH88:AH101" si="182">IF(AU88=12,$F88*K88/IF($BB$7=1,IF($ED88=1,$AU$9,$AH$9),($AH$8*AL88+$AH$9*(1-AL88))),IF(AU88=42,$F88*K88/$AN88,IF(OR(AU88=1,AU88=4,AU88=2),$F88*K88/100,IF(AU88=9,$F88*K88/50,"자동"))))</f>
        <v>자동</v>
      </c>
      <c r="AI88" s="3">
        <f t="shared" ref="AI88:AI101" ca="1" si="183">IF(AV88=12,$F88*L88/IF($BB$7=1,IF($ED88=1,$AV$9,$AI$9),($AI$8*AL88+$AI$9*(1-AL88))),IF(AV88=42,$F88*L88/AO88,IF(OR(AV88=1,AV88=4,AV88=2),$F88*L88/100,IF(AV88=9,$F88*L88/50,"자동"))))</f>
        <v>1.7857142857142858</v>
      </c>
      <c r="AJ88" s="3">
        <f t="shared" ref="AJ88:AJ101" ca="1" si="184">IF(AW88=12,$F88*M88/IF($BB$7=1,IF($ED88=1,$AW$9,$AJ$9),($AJ$8*AL88+$AJ$9*(1-AL88))),IF(AW88=42,$F88*M88/AO88,IF(OR(AW88=1,AW88=4,AW88=2),$F88*M88/100,IF(AW88=9,$F88*M88/50,"자동"))))</f>
        <v>1.7857142857142858</v>
      </c>
      <c r="AL88" s="3" t="str">
        <f t="shared" ref="AL88:AL101" si="185">IF(AK88&lt;&gt;"",AK88,IF(BA88&lt;&gt;12,"",IF(U88=1,1,IF(LEFT(E88,3)="서울대",0,""))))</f>
        <v/>
      </c>
      <c r="AN88" s="3">
        <f ca="1">IF($BA88=42,OFFSET(변환표준점수!C$119,$AP88-1,0),"")</f>
        <v>70</v>
      </c>
      <c r="AO88" s="3">
        <f ca="1">IF($BA88=42,OFFSET(변환표준점수!D$119,$AP88-1,0),"")</f>
        <v>70</v>
      </c>
      <c r="AP88" s="3">
        <f>IF(S88="","",MATCH(S88,변환표준점수!$B$119:$B$298,0))</f>
        <v>25</v>
      </c>
      <c r="AQ88" s="3">
        <v>12</v>
      </c>
      <c r="AR88" s="3">
        <v>12</v>
      </c>
      <c r="AS88" s="3">
        <v>42</v>
      </c>
      <c r="AT88" s="3">
        <v>42</v>
      </c>
      <c r="AV88" s="3">
        <v>42</v>
      </c>
      <c r="AW88" s="3">
        <v>42</v>
      </c>
      <c r="AX88" s="3">
        <v>3</v>
      </c>
      <c r="AY88" s="3">
        <v>3</v>
      </c>
      <c r="BA88" s="3">
        <f t="shared" ref="BA88:BA101" si="186">IF(AS88&gt;0,AS88,AV88)</f>
        <v>42</v>
      </c>
      <c r="BJ88" s="3">
        <f t="shared" ref="BJ88:BJ101" si="187">IF(BI88="",IF(DT88=1,1,$BI$3),BI88)</f>
        <v>0</v>
      </c>
      <c r="BL88" s="3">
        <v>2.5000000000000001E-2</v>
      </c>
      <c r="BM88" s="3">
        <v>2.5000000000000001E-2</v>
      </c>
      <c r="BN88" s="212" t="s">
        <v>7698</v>
      </c>
      <c r="BV88" s="3">
        <f>BL88*L$9</f>
        <v>0</v>
      </c>
      <c r="BW88" s="3">
        <f>BM88*M$9</f>
        <v>0</v>
      </c>
      <c r="CH88" s="206">
        <f t="shared" ref="CH88:CH101" si="188">F88*P88</f>
        <v>800</v>
      </c>
      <c r="CI88" s="56">
        <v>200</v>
      </c>
      <c r="CJ88" s="3">
        <v>194</v>
      </c>
      <c r="CK88" s="3">
        <v>186</v>
      </c>
      <c r="CL88" s="3">
        <v>173</v>
      </c>
      <c r="CM88" s="3">
        <v>144</v>
      </c>
      <c r="CN88" s="3">
        <v>116</v>
      </c>
      <c r="CO88" s="3">
        <v>87</v>
      </c>
      <c r="CP88" s="3">
        <v>44</v>
      </c>
      <c r="CQ88" s="3">
        <v>0</v>
      </c>
      <c r="CR88" s="56">
        <v>4</v>
      </c>
      <c r="CS88" s="3">
        <v>3.5</v>
      </c>
      <c r="CT88" s="3">
        <v>3</v>
      </c>
      <c r="CU88" s="3">
        <v>2.5</v>
      </c>
      <c r="CV88" s="3">
        <v>2</v>
      </c>
      <c r="CW88" s="3">
        <v>1.5</v>
      </c>
      <c r="CX88" s="3">
        <v>1</v>
      </c>
      <c r="CY88" s="3">
        <v>0.5</v>
      </c>
      <c r="CZ88" s="3">
        <v>0</v>
      </c>
      <c r="DJ88" s="3">
        <f t="shared" ref="DJ88:DJ101" ca="1" si="189">ROUND((CI88-EZ88),1)</f>
        <v>200</v>
      </c>
      <c r="DK88" s="93">
        <f t="shared" ref="DK88:DK101" ca="1" si="190">((CI88-EZ88)/(FG88+DJ88-FC88))*100</f>
        <v>100</v>
      </c>
      <c r="DL88" s="3">
        <f t="shared" ref="DL88:DL101" ca="1" si="191">ROUND((CR88-FA88)+(DA88-FB88),1)</f>
        <v>4</v>
      </c>
      <c r="DO88" s="3">
        <v>2</v>
      </c>
      <c r="EA88" s="3">
        <f t="shared" ref="EA88:EA101" si="192">IF(DZ88&gt;0,DZ88,IF(DM88&gt;0,1,2))</f>
        <v>2</v>
      </c>
      <c r="EB88" s="3">
        <f t="shared" ref="EB88:EB101" si="193">MAX(DM88:DO88)</f>
        <v>2</v>
      </c>
      <c r="EC88" s="3">
        <f t="shared" ref="EC88:EC101" si="194">AND(DM88-0.1&lt;$DM$8,DN88-0.1&lt;$DN$8,DO88-0.1&lt;$DO$8)*1</f>
        <v>0</v>
      </c>
      <c r="ED88" s="3">
        <f t="shared" ref="ED88:ED101" si="195">IFERROR(IF(AND($DP$8&gt;=DP88,$DQ$8&gt;=DQ88,$DR$8&gt;=DR88,$DS$8&gt;=DS88,$DT$8&gt;=DT88,$DU$8&gt;=DU88,$DV$8&gt;=DV88,$DW$8&gt;=DW88,$DX$8&gt;=DX88,OR(DY88=0,$DY$8&lt;DY88),EC88=1),1,0),0)</f>
        <v>0</v>
      </c>
      <c r="EF88" s="3">
        <f t="shared" ref="EF88:EF101" ca="1" si="196">IFERROR(OFFSET(EF$3,MATCH(AQ88,$ED$4:$ED$10,0),0),0)</f>
        <v>0</v>
      </c>
      <c r="EG88" s="3">
        <f t="shared" ref="EG88:EG101" ca="1" si="197">IFERROR(OFFSET(EG$3,MATCH(AR88,$ED$4:$ED$10,0),0),0)</f>
        <v>0</v>
      </c>
      <c r="EH88" s="3">
        <f ca="1">IFERROR(IF(LEFT($BA88,1)="4",OFFSET(변환표준점수!$H$118,MATCH($S88,변환표준점수!$B$119:$B$198,0),),OFFSET(EH$3,MATCH(AS88,$ED$4:$ED$8,0),0)),0)</f>
        <v>0</v>
      </c>
      <c r="EI88" s="3">
        <f ca="1">IFERROR(IF(LEFT($BA88,1)="4",OFFSET(변환표준점수!$I$118,MATCH($S88,변환표준점수!$B$119:$B$198,0),0),OFFSET(EI$3,MATCH(AT88,$ED$4:$ED$8,0),0)),0)</f>
        <v>0</v>
      </c>
      <c r="EK88" s="3">
        <f ca="1">IFERROR(IF(LEFT($BA88,1)="4",OFFSET(변환표준점수!$J$118,MATCH($S88,변환표준점수!$B$119:$B$198,0),0),OFFSET(EJ$3,MATCH(AV88,$ED$4:$ED$8,0),0)),0)</f>
        <v>0</v>
      </c>
      <c r="EL88" s="3">
        <f ca="1">IFERROR(IF(LEFT($BA88,1)="4",OFFSET(변환표준점수!$K$118,MATCH($S88,변환표준점수!$B$119:$B$198,0),0),OFFSET(EK$3,MATCH(AW88,$ED$4:$ED$8,0),0)),0)</f>
        <v>0</v>
      </c>
      <c r="EM88" s="3" t="str">
        <f t="shared" ref="EM88:EM101" ca="1" si="198">IFERROR(OFFSET(EL$3,MATCH(AX88,$ED$4:$ED$8,0),0),0)</f>
        <v/>
      </c>
      <c r="EN88" s="3" t="str">
        <f t="shared" ref="EN88:EN101" ca="1" si="199">IFERROR(OFFSET(EM$3,MATCH(AY88,$ED$4:$ED$8,0),0),0)</f>
        <v/>
      </c>
      <c r="EO88" s="3">
        <f t="shared" ref="EO88:EO101" ca="1" si="200">IFERROR(OFFSET(EN$3,MATCH(AZ88,$ED$4:$ED$8,0),0),0)</f>
        <v>0</v>
      </c>
      <c r="EQ88" s="3">
        <f t="shared" ref="EQ88:EQ101" ca="1" si="201">IFERROR((EF88*AD88+BO88)*$EP$9,0)</f>
        <v>0</v>
      </c>
      <c r="ER88" s="3">
        <f t="shared" ref="ER88:ER101" ca="1" si="202">IFERROR(EG88*AE88+OFFSET($BP88,0,$ER$14-1),0)</f>
        <v>0</v>
      </c>
      <c r="ES88" s="3">
        <f t="shared" ref="ES88:ES101" ca="1" si="203">IFERROR((EH88*AF88+BS88)*$EP$9,0)</f>
        <v>0</v>
      </c>
      <c r="ET88" s="3">
        <f t="shared" ref="ET88:ET101" ca="1" si="204">IFERROR(IF(O88&lt;2,0,(EI88*AG88+BT88)*$EP$9),0)</f>
        <v>0</v>
      </c>
      <c r="EU88" s="3">
        <f t="shared" ref="EU88:EU101" si="205">IFERROR(BU88*$EP$9,0)</f>
        <v>0</v>
      </c>
      <c r="EV88" s="3">
        <f t="shared" ref="EV88:EV101" ca="1" si="206">IFERROR((EK88*AI88+BV88)*$EP$9,0)</f>
        <v>0</v>
      </c>
      <c r="EW88" s="3">
        <f t="shared" ref="EW88:EW101" ca="1" si="207">IFERROR(IF(O88&lt;2,0,(EL88*AJ88+BW88)*$EP$9),0)</f>
        <v>0</v>
      </c>
      <c r="EX88" s="3">
        <f ca="1">LARGE((ES88:ET88,EV88:EW88),1)</f>
        <v>0</v>
      </c>
      <c r="EY88" s="3">
        <f ca="1">IF(O88&lt;2,0,LARGE((ES88:ET88,EV88:EW88),2))</f>
        <v>0</v>
      </c>
      <c r="EZ88" s="3">
        <f t="shared" ref="EZ88:EZ101" ca="1" si="208">IFERROR(OFFSET(CI88,0,ROUND((1/(1/EM88))-1,0)),0)</f>
        <v>0</v>
      </c>
      <c r="FA88" s="3">
        <f t="shared" ref="FA88:FA101" ca="1" si="209">IFERROR(OFFSET(CR88,0,ROUND(1/(1/EN88),0)-1),0)</f>
        <v>0</v>
      </c>
      <c r="FB88" s="3">
        <f t="shared" ref="FB88:FB101" ca="1" si="210">IFERROR(OFFSET(DA88,0,ROUND(1/(1/EO88),0)-1),0)</f>
        <v>0</v>
      </c>
      <c r="FG88" s="3">
        <f t="shared" ref="FG88:FG101" ca="1" si="211">IF(FF88&gt;0,FF88,EQ88+ER88+EU88+EX88+EY88+EZ88+FA88+FB88+FC88)</f>
        <v>0</v>
      </c>
      <c r="FH88" s="618"/>
      <c r="FK88" s="3">
        <v>2</v>
      </c>
      <c r="FU88" s="3" t="str">
        <f t="shared" si="166"/>
        <v>표점/만점</v>
      </c>
      <c r="FV88" s="3" t="str">
        <f t="shared" si="167"/>
        <v>변표/만점</v>
      </c>
      <c r="FW88" s="3">
        <f t="shared" ref="FW88:FW101" ca="1" si="212">ROUND(Y88/$FZ88,2)</f>
        <v>0.38</v>
      </c>
      <c r="FX88" s="3">
        <f t="shared" ref="FX88:FX101" ca="1" si="213">ROUND(Z88/$FZ88,2)</f>
        <v>0.31</v>
      </c>
      <c r="FY88" s="3">
        <f t="shared" ref="FY88:FY101" ca="1" si="214">ROUND(AC88/$FZ88,2)</f>
        <v>0.31</v>
      </c>
      <c r="FZ88" s="3">
        <f t="shared" ref="FZ88:FZ101" ca="1" si="215">Y88+Z88+AC88</f>
        <v>5.7297019527235351</v>
      </c>
    </row>
    <row r="89" spans="1:182">
      <c r="A89" s="556">
        <v>26</v>
      </c>
      <c r="C89" s="3">
        <f t="shared" si="169"/>
        <v>74</v>
      </c>
      <c r="D89" s="3">
        <v>74</v>
      </c>
      <c r="E89" s="3" t="s">
        <v>295</v>
      </c>
      <c r="F89" s="3">
        <v>1000</v>
      </c>
      <c r="G89" s="3">
        <v>0.2</v>
      </c>
      <c r="H89" s="3">
        <v>0.35</v>
      </c>
      <c r="I89" s="3">
        <v>0.125</v>
      </c>
      <c r="J89" s="3">
        <v>0.125</v>
      </c>
      <c r="L89" s="3">
        <v>0.125</v>
      </c>
      <c r="M89" s="3">
        <v>0.125</v>
      </c>
      <c r="O89" s="3">
        <v>2</v>
      </c>
      <c r="P89" s="3">
        <f t="shared" si="170"/>
        <v>0.8</v>
      </c>
      <c r="Q89" s="3">
        <v>25</v>
      </c>
      <c r="S89" s="3">
        <f t="shared" si="171"/>
        <v>25</v>
      </c>
      <c r="W89" s="3">
        <f t="shared" si="172"/>
        <v>0</v>
      </c>
      <c r="Y89" s="69">
        <f t="shared" si="173"/>
        <v>1.4388489208633093</v>
      </c>
      <c r="Z89" s="69">
        <f t="shared" si="174"/>
        <v>2.5</v>
      </c>
      <c r="AA89" s="505">
        <f t="shared" ca="1" si="175"/>
        <v>1.7857142857142858</v>
      </c>
      <c r="AB89" s="69">
        <f t="shared" ca="1" si="176"/>
        <v>1.7857142857142858</v>
      </c>
      <c r="AC89" s="69">
        <f t="shared" ca="1" si="177"/>
        <v>1.7857142857142858</v>
      </c>
      <c r="AD89" s="69">
        <f t="shared" si="178"/>
        <v>1.4388489208633093</v>
      </c>
      <c r="AE89" s="69">
        <f t="shared" si="179"/>
        <v>2.5</v>
      </c>
      <c r="AF89" s="3">
        <f t="shared" ca="1" si="180"/>
        <v>1.7857142857142858</v>
      </c>
      <c r="AG89" s="3">
        <f t="shared" ca="1" si="181"/>
        <v>1.7857142857142858</v>
      </c>
      <c r="AH89" s="3" t="str">
        <f t="shared" si="182"/>
        <v>자동</v>
      </c>
      <c r="AI89" s="3">
        <f t="shared" ca="1" si="183"/>
        <v>1.7857142857142858</v>
      </c>
      <c r="AJ89" s="3">
        <f t="shared" ca="1" si="184"/>
        <v>1.7857142857142858</v>
      </c>
      <c r="AL89" s="3" t="str">
        <f t="shared" si="185"/>
        <v/>
      </c>
      <c r="AN89" s="3">
        <f ca="1">IF($BA89=42,OFFSET(변환표준점수!C$119,$AP89-1,0),"")</f>
        <v>70</v>
      </c>
      <c r="AO89" s="3">
        <f ca="1">IF($BA89=42,OFFSET(변환표준점수!D$119,$AP89-1,0),"")</f>
        <v>70</v>
      </c>
      <c r="AP89" s="3">
        <f>IF(S89="","",MATCH(S89,변환표준점수!$B$119:$B$298,0))</f>
        <v>25</v>
      </c>
      <c r="AQ89" s="3">
        <v>12</v>
      </c>
      <c r="AR89" s="3">
        <v>12</v>
      </c>
      <c r="AS89" s="3">
        <v>42</v>
      </c>
      <c r="AT89" s="3">
        <v>42</v>
      </c>
      <c r="AV89" s="3">
        <v>42</v>
      </c>
      <c r="AW89" s="3">
        <v>42</v>
      </c>
      <c r="AX89" s="3">
        <v>3</v>
      </c>
      <c r="AY89" s="3">
        <v>3</v>
      </c>
      <c r="BA89" s="3">
        <f t="shared" si="186"/>
        <v>42</v>
      </c>
      <c r="BC89" s="3">
        <v>7.0000000000000007E-2</v>
      </c>
      <c r="BD89" s="3">
        <v>7.0000000000000007E-2</v>
      </c>
      <c r="BF89" s="3">
        <v>2.5000000000000001E-2</v>
      </c>
      <c r="BG89" s="3">
        <v>2.5000000000000001E-2</v>
      </c>
      <c r="BJ89" s="3">
        <f t="shared" si="187"/>
        <v>0</v>
      </c>
      <c r="BN89" s="212" t="s">
        <v>7699</v>
      </c>
      <c r="BP89" s="3">
        <f>IF(BP$6&gt;0,BC89*$EG89,0)</f>
        <v>0</v>
      </c>
      <c r="BQ89" s="3">
        <f>IF(BQ$6&gt;0,BD89*$EG89,0)</f>
        <v>0</v>
      </c>
      <c r="BS89" s="3">
        <f>BF89*I$9</f>
        <v>0</v>
      </c>
      <c r="BT89" s="3">
        <f>BG89*J$9</f>
        <v>0</v>
      </c>
      <c r="CH89" s="206">
        <f t="shared" si="188"/>
        <v>800</v>
      </c>
      <c r="CI89" s="56">
        <v>200</v>
      </c>
      <c r="CJ89" s="3">
        <v>194</v>
      </c>
      <c r="CK89" s="3">
        <v>186</v>
      </c>
      <c r="CL89" s="3">
        <v>173</v>
      </c>
      <c r="CM89" s="3">
        <v>144</v>
      </c>
      <c r="CN89" s="3">
        <v>116</v>
      </c>
      <c r="CO89" s="3">
        <v>87</v>
      </c>
      <c r="CP89" s="3">
        <v>44</v>
      </c>
      <c r="CQ89" s="3">
        <v>0</v>
      </c>
      <c r="CR89" s="56">
        <v>4</v>
      </c>
      <c r="CS89" s="3">
        <v>3.5</v>
      </c>
      <c r="CT89" s="3">
        <v>3</v>
      </c>
      <c r="CU89" s="3">
        <v>2.5</v>
      </c>
      <c r="CV89" s="3">
        <v>2</v>
      </c>
      <c r="CW89" s="3">
        <v>1.5</v>
      </c>
      <c r="CX89" s="3">
        <v>1</v>
      </c>
      <c r="CY89" s="3">
        <v>0.5</v>
      </c>
      <c r="CZ89" s="3">
        <v>0</v>
      </c>
      <c r="DJ89" s="3">
        <f t="shared" ca="1" si="189"/>
        <v>200</v>
      </c>
      <c r="DK89" s="93">
        <f t="shared" ca="1" si="190"/>
        <v>100</v>
      </c>
      <c r="DL89" s="3">
        <f t="shared" ca="1" si="191"/>
        <v>4</v>
      </c>
      <c r="DO89" s="3">
        <v>2</v>
      </c>
      <c r="DZ89" s="3">
        <v>1</v>
      </c>
      <c r="EA89" s="3">
        <f t="shared" si="192"/>
        <v>1</v>
      </c>
      <c r="EB89" s="3">
        <f t="shared" si="193"/>
        <v>2</v>
      </c>
      <c r="EC89" s="3">
        <f t="shared" si="194"/>
        <v>0</v>
      </c>
      <c r="ED89" s="3">
        <f t="shared" si="195"/>
        <v>0</v>
      </c>
      <c r="EF89" s="3">
        <f t="shared" ca="1" si="196"/>
        <v>0</v>
      </c>
      <c r="EG89" s="3">
        <f t="shared" ca="1" si="197"/>
        <v>0</v>
      </c>
      <c r="EH89" s="3">
        <f ca="1">IFERROR(IF(LEFT($BA89,1)="4",OFFSET(변환표준점수!$H$118,MATCH($S89,변환표준점수!$B$119:$B$198,0),),OFFSET(EH$3,MATCH(AS89,$ED$4:$ED$8,0),0)),0)</f>
        <v>0</v>
      </c>
      <c r="EI89" s="3">
        <f ca="1">IFERROR(IF(LEFT($BA89,1)="4",OFFSET(변환표준점수!$I$118,MATCH($S89,변환표준점수!$B$119:$B$198,0),0),OFFSET(EI$3,MATCH(AT89,$ED$4:$ED$8,0),0)),0)</f>
        <v>0</v>
      </c>
      <c r="EK89" s="3">
        <f ca="1">IFERROR(IF(LEFT($BA89,1)="4",OFFSET(변환표준점수!$J$118,MATCH($S89,변환표준점수!$B$119:$B$198,0),0),OFFSET(EJ$3,MATCH(AV89,$ED$4:$ED$8,0),0)),0)</f>
        <v>0</v>
      </c>
      <c r="EL89" s="3">
        <f ca="1">IFERROR(IF(LEFT($BA89,1)="4",OFFSET(변환표준점수!$K$118,MATCH($S89,변환표준점수!$B$119:$B$198,0),0),OFFSET(EK$3,MATCH(AW89,$ED$4:$ED$8,0),0)),0)</f>
        <v>0</v>
      </c>
      <c r="EM89" s="3" t="str">
        <f t="shared" ca="1" si="198"/>
        <v/>
      </c>
      <c r="EN89" s="3" t="str">
        <f t="shared" ca="1" si="199"/>
        <v/>
      </c>
      <c r="EO89" s="3">
        <f t="shared" ca="1" si="200"/>
        <v>0</v>
      </c>
      <c r="EQ89" s="3">
        <f t="shared" ca="1" si="201"/>
        <v>0</v>
      </c>
      <c r="ER89" s="3">
        <f t="shared" ca="1" si="202"/>
        <v>0</v>
      </c>
      <c r="ES89" s="3">
        <f t="shared" ca="1" si="203"/>
        <v>0</v>
      </c>
      <c r="ET89" s="3">
        <f t="shared" ca="1" si="204"/>
        <v>0</v>
      </c>
      <c r="EU89" s="3">
        <f t="shared" si="205"/>
        <v>0</v>
      </c>
      <c r="EV89" s="3">
        <f t="shared" ca="1" si="206"/>
        <v>0</v>
      </c>
      <c r="EW89" s="3">
        <f t="shared" ca="1" si="207"/>
        <v>0</v>
      </c>
      <c r="EX89" s="3">
        <f ca="1">LARGE((ES89:ET89,EV89:EW89),1)</f>
        <v>0</v>
      </c>
      <c r="EY89" s="3">
        <f ca="1">IF(O89&lt;2,0,LARGE((ES89:ET89,EV89:EW89),2))</f>
        <v>0</v>
      </c>
      <c r="EZ89" s="3">
        <f t="shared" ca="1" si="208"/>
        <v>0</v>
      </c>
      <c r="FA89" s="3">
        <f t="shared" ca="1" si="209"/>
        <v>0</v>
      </c>
      <c r="FB89" s="3">
        <f t="shared" ca="1" si="210"/>
        <v>0</v>
      </c>
      <c r="FG89" s="3">
        <f t="shared" ca="1" si="211"/>
        <v>0</v>
      </c>
      <c r="FH89" s="618"/>
      <c r="FK89" s="3">
        <v>2</v>
      </c>
      <c r="FL89" s="3">
        <v>1</v>
      </c>
      <c r="FU89" s="3" t="str">
        <f t="shared" si="166"/>
        <v>표점/만점</v>
      </c>
      <c r="FV89" s="3" t="str">
        <f t="shared" si="167"/>
        <v>변표/만점</v>
      </c>
      <c r="FW89" s="3">
        <f t="shared" ca="1" si="212"/>
        <v>0.25</v>
      </c>
      <c r="FX89" s="3">
        <f t="shared" ca="1" si="213"/>
        <v>0.44</v>
      </c>
      <c r="FY89" s="3">
        <f t="shared" ca="1" si="214"/>
        <v>0.31</v>
      </c>
      <c r="FZ89" s="3">
        <f t="shared" ca="1" si="215"/>
        <v>5.7245632065775949</v>
      </c>
    </row>
    <row r="90" spans="1:182">
      <c r="A90" s="556">
        <v>26</v>
      </c>
      <c r="C90" s="3">
        <f t="shared" si="169"/>
        <v>75</v>
      </c>
      <c r="D90" s="3">
        <v>75</v>
      </c>
      <c r="E90" s="3" t="s">
        <v>7700</v>
      </c>
      <c r="F90" s="3">
        <v>1000</v>
      </c>
      <c r="G90" s="3">
        <v>0.2</v>
      </c>
      <c r="H90" s="3">
        <v>0.35</v>
      </c>
      <c r="I90" s="3">
        <v>0.125</v>
      </c>
      <c r="J90" s="3">
        <v>0.125</v>
      </c>
      <c r="L90" s="3">
        <v>0.125</v>
      </c>
      <c r="M90" s="3">
        <v>0.125</v>
      </c>
      <c r="O90" s="3">
        <v>2</v>
      </c>
      <c r="P90" s="3">
        <f t="shared" si="170"/>
        <v>0.8</v>
      </c>
      <c r="Q90" s="3">
        <v>25</v>
      </c>
      <c r="S90" s="3">
        <f t="shared" si="171"/>
        <v>25</v>
      </c>
      <c r="W90" s="3">
        <f t="shared" si="172"/>
        <v>0</v>
      </c>
      <c r="Y90" s="3">
        <f t="shared" si="173"/>
        <v>1.4388489208633093</v>
      </c>
      <c r="Z90" s="3">
        <f t="shared" si="174"/>
        <v>2.5</v>
      </c>
      <c r="AA90" s="3">
        <f t="shared" ca="1" si="175"/>
        <v>1.7857142857142858</v>
      </c>
      <c r="AB90" s="3">
        <f t="shared" ca="1" si="176"/>
        <v>1.7857142857142858</v>
      </c>
      <c r="AC90" s="3">
        <f t="shared" ca="1" si="177"/>
        <v>1.7857142857142858</v>
      </c>
      <c r="AD90" s="3">
        <f t="shared" si="178"/>
        <v>1.4388489208633093</v>
      </c>
      <c r="AE90" s="3">
        <f t="shared" si="179"/>
        <v>2.5</v>
      </c>
      <c r="AF90" s="3">
        <f t="shared" ca="1" si="180"/>
        <v>1.7857142857142858</v>
      </c>
      <c r="AG90" s="3">
        <f t="shared" ca="1" si="181"/>
        <v>1.7857142857142858</v>
      </c>
      <c r="AH90" s="3" t="str">
        <f t="shared" si="182"/>
        <v>자동</v>
      </c>
      <c r="AI90" s="3">
        <f t="shared" ca="1" si="183"/>
        <v>1.7857142857142858</v>
      </c>
      <c r="AJ90" s="3">
        <f t="shared" ca="1" si="184"/>
        <v>1.7857142857142858</v>
      </c>
      <c r="AL90" s="3" t="str">
        <f t="shared" si="185"/>
        <v/>
      </c>
      <c r="AN90" s="3">
        <f ca="1">IF($BA90=42,OFFSET(변환표준점수!C$119,$AP90-1,0),"")</f>
        <v>70</v>
      </c>
      <c r="AO90" s="3">
        <f ca="1">IF($BA90=42,OFFSET(변환표준점수!D$119,$AP90-1,0),"")</f>
        <v>70</v>
      </c>
      <c r="AP90" s="3">
        <f>IF(S90="","",MATCH(S90,변환표준점수!$B$119:$B$298,0))</f>
        <v>25</v>
      </c>
      <c r="AQ90" s="3">
        <v>12</v>
      </c>
      <c r="AR90" s="3">
        <v>12</v>
      </c>
      <c r="AS90" s="3">
        <v>42</v>
      </c>
      <c r="AT90" s="3">
        <v>42</v>
      </c>
      <c r="AV90" s="3">
        <v>42</v>
      </c>
      <c r="AW90" s="3">
        <v>42</v>
      </c>
      <c r="AX90" s="3">
        <v>3</v>
      </c>
      <c r="AY90" s="3">
        <v>3</v>
      </c>
      <c r="BA90" s="3">
        <f t="shared" si="186"/>
        <v>42</v>
      </c>
      <c r="BC90" s="3">
        <v>0.05</v>
      </c>
      <c r="BD90" s="3">
        <v>0.05</v>
      </c>
      <c r="BF90" s="3">
        <v>2.5000000000000001E-2</v>
      </c>
      <c r="BG90" s="3">
        <v>2.5000000000000001E-2</v>
      </c>
      <c r="BJ90" s="3">
        <f t="shared" si="187"/>
        <v>0</v>
      </c>
      <c r="BN90" s="212" t="s">
        <v>7701</v>
      </c>
      <c r="BP90" s="3">
        <f>IF(BP$6&gt;0,BC90*$EG90,0)</f>
        <v>0</v>
      </c>
      <c r="BQ90" s="3">
        <f>IF(BQ$6&gt;0,BD90*$EG90,0)</f>
        <v>0</v>
      </c>
      <c r="BS90" s="3">
        <f>BF90*I$9</f>
        <v>0</v>
      </c>
      <c r="BT90" s="3">
        <f>BG90*J$9</f>
        <v>0</v>
      </c>
      <c r="CH90" s="206">
        <f t="shared" si="188"/>
        <v>800</v>
      </c>
      <c r="CI90" s="56">
        <v>200</v>
      </c>
      <c r="CJ90" s="3">
        <v>194</v>
      </c>
      <c r="CK90" s="3">
        <v>186</v>
      </c>
      <c r="CL90" s="3">
        <v>173</v>
      </c>
      <c r="CM90" s="3">
        <v>144</v>
      </c>
      <c r="CN90" s="3">
        <v>116</v>
      </c>
      <c r="CO90" s="3">
        <v>87</v>
      </c>
      <c r="CP90" s="3">
        <v>44</v>
      </c>
      <c r="CQ90" s="3">
        <v>0</v>
      </c>
      <c r="CR90" s="56">
        <v>4</v>
      </c>
      <c r="CS90" s="3">
        <v>3.5</v>
      </c>
      <c r="CT90" s="3">
        <v>3</v>
      </c>
      <c r="CU90" s="3">
        <v>2.5</v>
      </c>
      <c r="CV90" s="3">
        <v>2</v>
      </c>
      <c r="CW90" s="3">
        <v>1.5</v>
      </c>
      <c r="CX90" s="3">
        <v>1</v>
      </c>
      <c r="CY90" s="3">
        <v>0.5</v>
      </c>
      <c r="CZ90" s="3">
        <v>0</v>
      </c>
      <c r="DJ90" s="3">
        <f t="shared" ca="1" si="189"/>
        <v>200</v>
      </c>
      <c r="DK90" s="93">
        <f t="shared" ca="1" si="190"/>
        <v>100</v>
      </c>
      <c r="DL90" s="3">
        <f t="shared" ca="1" si="191"/>
        <v>4</v>
      </c>
      <c r="DO90" s="3">
        <v>2</v>
      </c>
      <c r="DZ90" s="3">
        <v>1</v>
      </c>
      <c r="EA90" s="3">
        <f t="shared" si="192"/>
        <v>1</v>
      </c>
      <c r="EB90" s="3">
        <f t="shared" si="193"/>
        <v>2</v>
      </c>
      <c r="EC90" s="3">
        <f t="shared" si="194"/>
        <v>0</v>
      </c>
      <c r="ED90" s="3">
        <f t="shared" si="195"/>
        <v>0</v>
      </c>
      <c r="EF90" s="3">
        <f t="shared" ca="1" si="196"/>
        <v>0</v>
      </c>
      <c r="EG90" s="3">
        <f t="shared" ca="1" si="197"/>
        <v>0</v>
      </c>
      <c r="EH90" s="3">
        <f ca="1">IFERROR(IF(LEFT($BA90,1)="4",OFFSET(변환표준점수!$H$118,MATCH($S90,변환표준점수!$B$119:$B$198,0),),OFFSET(EH$3,MATCH(AS90,$ED$4:$ED$8,0),0)),0)</f>
        <v>0</v>
      </c>
      <c r="EI90" s="3">
        <f ca="1">IFERROR(IF(LEFT($BA90,1)="4",OFFSET(변환표준점수!$I$118,MATCH($S90,변환표준점수!$B$119:$B$198,0),0),OFFSET(EI$3,MATCH(AT90,$ED$4:$ED$8,0),0)),0)</f>
        <v>0</v>
      </c>
      <c r="EK90" s="3">
        <f ca="1">IFERROR(IF(LEFT($BA90,1)="4",OFFSET(변환표준점수!$J$118,MATCH($S90,변환표준점수!$B$119:$B$198,0),0),OFFSET(EJ$3,MATCH(AV90,$ED$4:$ED$8,0),0)),0)</f>
        <v>0</v>
      </c>
      <c r="EL90" s="3">
        <f ca="1">IFERROR(IF(LEFT($BA90,1)="4",OFFSET(변환표준점수!$K$118,MATCH($S90,변환표준점수!$B$119:$B$198,0),0),OFFSET(EK$3,MATCH(AW90,$ED$4:$ED$8,0),0)),0)</f>
        <v>0</v>
      </c>
      <c r="EM90" s="3" t="str">
        <f t="shared" ca="1" si="198"/>
        <v/>
      </c>
      <c r="EN90" s="3" t="str">
        <f t="shared" ca="1" si="199"/>
        <v/>
      </c>
      <c r="EO90" s="3">
        <f t="shared" ca="1" si="200"/>
        <v>0</v>
      </c>
      <c r="EQ90" s="3">
        <f t="shared" ca="1" si="201"/>
        <v>0</v>
      </c>
      <c r="ER90" s="3">
        <f t="shared" ca="1" si="202"/>
        <v>0</v>
      </c>
      <c r="ES90" s="3">
        <f t="shared" ca="1" si="203"/>
        <v>0</v>
      </c>
      <c r="ET90" s="3">
        <f t="shared" ca="1" si="204"/>
        <v>0</v>
      </c>
      <c r="EU90" s="3">
        <f t="shared" si="205"/>
        <v>0</v>
      </c>
      <c r="EV90" s="3">
        <f t="shared" ca="1" si="206"/>
        <v>0</v>
      </c>
      <c r="EW90" s="3">
        <f t="shared" ca="1" si="207"/>
        <v>0</v>
      </c>
      <c r="EX90" s="3">
        <f ca="1">LARGE((ES90:ET90,EV90:EW90),1)</f>
        <v>0</v>
      </c>
      <c r="EY90" s="3">
        <f ca="1">IF(O90&lt;2,0,LARGE((ES90:ET90,EV90:EW90),2))</f>
        <v>0</v>
      </c>
      <c r="EZ90" s="3">
        <f t="shared" ca="1" si="208"/>
        <v>0</v>
      </c>
      <c r="FA90" s="3">
        <f t="shared" ca="1" si="209"/>
        <v>0</v>
      </c>
      <c r="FB90" s="3">
        <f t="shared" ca="1" si="210"/>
        <v>0</v>
      </c>
      <c r="FG90" s="3">
        <f t="shared" ca="1" si="211"/>
        <v>0</v>
      </c>
      <c r="FH90" s="618"/>
      <c r="FK90" s="3">
        <v>2</v>
      </c>
      <c r="FL90" s="3">
        <v>1</v>
      </c>
      <c r="FU90" s="3" t="str">
        <f t="shared" si="166"/>
        <v>표점/만점</v>
      </c>
      <c r="FV90" s="3" t="str">
        <f t="shared" si="167"/>
        <v>변표/만점</v>
      </c>
      <c r="FW90" s="3">
        <f t="shared" ca="1" si="212"/>
        <v>0.25</v>
      </c>
      <c r="FX90" s="3">
        <f t="shared" ca="1" si="213"/>
        <v>0.44</v>
      </c>
      <c r="FY90" s="3">
        <f t="shared" ca="1" si="214"/>
        <v>0.31</v>
      </c>
      <c r="FZ90" s="3">
        <f t="shared" ca="1" si="215"/>
        <v>5.7245632065775949</v>
      </c>
    </row>
    <row r="91" spans="1:182">
      <c r="A91" s="556">
        <v>26</v>
      </c>
      <c r="C91" s="3">
        <f t="shared" si="169"/>
        <v>76</v>
      </c>
      <c r="D91" s="3">
        <v>76</v>
      </c>
      <c r="E91" s="3" t="s">
        <v>7702</v>
      </c>
      <c r="F91" s="3">
        <v>1000</v>
      </c>
      <c r="G91" s="3">
        <v>0.35</v>
      </c>
      <c r="H91" s="3">
        <v>0.2</v>
      </c>
      <c r="I91" s="3">
        <v>0.125</v>
      </c>
      <c r="J91" s="3">
        <v>0.125</v>
      </c>
      <c r="L91" s="3">
        <v>0.125</v>
      </c>
      <c r="M91" s="3">
        <v>0.125</v>
      </c>
      <c r="O91" s="3">
        <v>2</v>
      </c>
      <c r="P91" s="3">
        <f t="shared" si="170"/>
        <v>0.8</v>
      </c>
      <c r="Q91" s="3">
        <v>25</v>
      </c>
      <c r="S91" s="3">
        <f t="shared" si="171"/>
        <v>25</v>
      </c>
      <c r="W91" s="3">
        <f t="shared" si="172"/>
        <v>0</v>
      </c>
      <c r="Y91" s="3">
        <f t="shared" si="173"/>
        <v>2.5179856115107913</v>
      </c>
      <c r="Z91" s="3">
        <f t="shared" si="174"/>
        <v>1.4285714285714286</v>
      </c>
      <c r="AA91" s="3">
        <f t="shared" ca="1" si="175"/>
        <v>1.7857142857142858</v>
      </c>
      <c r="AB91" s="3">
        <f t="shared" ca="1" si="176"/>
        <v>1.7857142857142858</v>
      </c>
      <c r="AC91" s="3">
        <f t="shared" ca="1" si="177"/>
        <v>1.7857142857142858</v>
      </c>
      <c r="AD91" s="3">
        <f t="shared" si="178"/>
        <v>2.5179856115107913</v>
      </c>
      <c r="AE91" s="3">
        <f t="shared" si="179"/>
        <v>1.4285714285714286</v>
      </c>
      <c r="AF91" s="3">
        <f t="shared" ca="1" si="180"/>
        <v>1.7857142857142858</v>
      </c>
      <c r="AG91" s="3">
        <f t="shared" ca="1" si="181"/>
        <v>1.7857142857142858</v>
      </c>
      <c r="AH91" s="3" t="str">
        <f t="shared" si="182"/>
        <v>자동</v>
      </c>
      <c r="AI91" s="3">
        <f t="shared" ca="1" si="183"/>
        <v>1.7857142857142858</v>
      </c>
      <c r="AJ91" s="3">
        <f t="shared" ca="1" si="184"/>
        <v>1.7857142857142858</v>
      </c>
      <c r="AL91" s="3" t="str">
        <f t="shared" si="185"/>
        <v/>
      </c>
      <c r="AN91" s="3">
        <f ca="1">IF($BA91=42,OFFSET(변환표준점수!C$119,$AP91-1,0),"")</f>
        <v>70</v>
      </c>
      <c r="AO91" s="3">
        <f ca="1">IF($BA91=42,OFFSET(변환표준점수!D$119,$AP91-1,0),"")</f>
        <v>70</v>
      </c>
      <c r="AP91" s="3">
        <f>IF(S91="","",MATCH(S91,변환표준점수!$B$119:$B$298,0))</f>
        <v>25</v>
      </c>
      <c r="AQ91" s="3">
        <v>12</v>
      </c>
      <c r="AR91" s="3">
        <v>12</v>
      </c>
      <c r="AS91" s="3">
        <v>42</v>
      </c>
      <c r="AT91" s="3">
        <v>42</v>
      </c>
      <c r="AV91" s="3">
        <v>42</v>
      </c>
      <c r="AW91" s="3">
        <v>42</v>
      </c>
      <c r="AX91" s="3">
        <v>3</v>
      </c>
      <c r="AY91" s="3">
        <v>3</v>
      </c>
      <c r="BA91" s="3">
        <f t="shared" si="186"/>
        <v>42</v>
      </c>
      <c r="BJ91" s="3">
        <f t="shared" si="187"/>
        <v>0</v>
      </c>
      <c r="CH91" s="206">
        <f t="shared" si="188"/>
        <v>800</v>
      </c>
      <c r="CI91" s="56">
        <v>200</v>
      </c>
      <c r="CJ91" s="3">
        <v>194</v>
      </c>
      <c r="CK91" s="3">
        <v>186</v>
      </c>
      <c r="CL91" s="3">
        <v>173</v>
      </c>
      <c r="CM91" s="3">
        <v>144</v>
      </c>
      <c r="CN91" s="3">
        <v>116</v>
      </c>
      <c r="CO91" s="3">
        <v>87</v>
      </c>
      <c r="CP91" s="3">
        <v>44</v>
      </c>
      <c r="CQ91" s="3">
        <v>0</v>
      </c>
      <c r="CR91" s="56">
        <v>4</v>
      </c>
      <c r="CS91" s="3">
        <v>3.5</v>
      </c>
      <c r="CT91" s="3">
        <v>3</v>
      </c>
      <c r="CU91" s="3">
        <v>2.5</v>
      </c>
      <c r="CV91" s="3">
        <v>2</v>
      </c>
      <c r="CW91" s="3">
        <v>1.5</v>
      </c>
      <c r="CX91" s="3">
        <v>1</v>
      </c>
      <c r="CY91" s="3">
        <v>0.5</v>
      </c>
      <c r="CZ91" s="3">
        <v>0</v>
      </c>
      <c r="DJ91" s="3">
        <f t="shared" ca="1" si="189"/>
        <v>200</v>
      </c>
      <c r="DK91" s="93">
        <f t="shared" ca="1" si="190"/>
        <v>100</v>
      </c>
      <c r="DL91" s="3">
        <f t="shared" ca="1" si="191"/>
        <v>4</v>
      </c>
      <c r="DO91" s="3">
        <v>2</v>
      </c>
      <c r="EA91" s="3">
        <f t="shared" si="192"/>
        <v>2</v>
      </c>
      <c r="EB91" s="3">
        <f t="shared" si="193"/>
        <v>2</v>
      </c>
      <c r="EC91" s="3">
        <f t="shared" si="194"/>
        <v>0</v>
      </c>
      <c r="ED91" s="3">
        <f t="shared" si="195"/>
        <v>0</v>
      </c>
      <c r="EF91" s="3">
        <f t="shared" ca="1" si="196"/>
        <v>0</v>
      </c>
      <c r="EG91" s="3">
        <f t="shared" ca="1" si="197"/>
        <v>0</v>
      </c>
      <c r="EH91" s="3">
        <f ca="1">IFERROR(IF(LEFT($BA91,1)="4",OFFSET(변환표준점수!$H$118,MATCH($S91,변환표준점수!$B$119:$B$198,0),),OFFSET(EH$3,MATCH(AS91,$ED$4:$ED$8,0),0)),0)</f>
        <v>0</v>
      </c>
      <c r="EI91" s="3">
        <f ca="1">IFERROR(IF(LEFT($BA91,1)="4",OFFSET(변환표준점수!$I$118,MATCH($S91,변환표준점수!$B$119:$B$198,0),0),OFFSET(EI$3,MATCH(AT91,$ED$4:$ED$8,0),0)),0)</f>
        <v>0</v>
      </c>
      <c r="EK91" s="3">
        <f ca="1">IFERROR(IF(LEFT($BA91,1)="4",OFFSET(변환표준점수!$J$118,MATCH($S91,변환표준점수!$B$119:$B$198,0),0),OFFSET(EJ$3,MATCH(AV91,$ED$4:$ED$8,0),0)),0)</f>
        <v>0</v>
      </c>
      <c r="EL91" s="3">
        <f ca="1">IFERROR(IF(LEFT($BA91,1)="4",OFFSET(변환표준점수!$K$118,MATCH($S91,변환표준점수!$B$119:$B$198,0),0),OFFSET(EK$3,MATCH(AW91,$ED$4:$ED$8,0),0)),0)</f>
        <v>0</v>
      </c>
      <c r="EM91" s="3" t="str">
        <f t="shared" ca="1" si="198"/>
        <v/>
      </c>
      <c r="EN91" s="3" t="str">
        <f t="shared" ca="1" si="199"/>
        <v/>
      </c>
      <c r="EO91" s="3">
        <f t="shared" ca="1" si="200"/>
        <v>0</v>
      </c>
      <c r="EQ91" s="3">
        <f t="shared" ca="1" si="201"/>
        <v>0</v>
      </c>
      <c r="ER91" s="3">
        <f t="shared" ca="1" si="202"/>
        <v>0</v>
      </c>
      <c r="ES91" s="3">
        <f t="shared" ca="1" si="203"/>
        <v>0</v>
      </c>
      <c r="ET91" s="3">
        <f t="shared" ca="1" si="204"/>
        <v>0</v>
      </c>
      <c r="EU91" s="3">
        <f t="shared" si="205"/>
        <v>0</v>
      </c>
      <c r="EV91" s="3">
        <f t="shared" ca="1" si="206"/>
        <v>0</v>
      </c>
      <c r="EW91" s="3">
        <f t="shared" ca="1" si="207"/>
        <v>0</v>
      </c>
      <c r="EX91" s="3">
        <f ca="1">LARGE((ES91:ET91,EV91:EW91),1)</f>
        <v>0</v>
      </c>
      <c r="EY91" s="3">
        <f ca="1">IF(O91&lt;2,0,LARGE((ES91:ET91,EV91:EW91),2))</f>
        <v>0</v>
      </c>
      <c r="EZ91" s="3">
        <f t="shared" ca="1" si="208"/>
        <v>0</v>
      </c>
      <c r="FA91" s="3">
        <f t="shared" ca="1" si="209"/>
        <v>0</v>
      </c>
      <c r="FB91" s="3">
        <f t="shared" ca="1" si="210"/>
        <v>0</v>
      </c>
      <c r="FG91" s="3">
        <f t="shared" ca="1" si="211"/>
        <v>0</v>
      </c>
      <c r="FH91" s="618"/>
      <c r="FK91" s="3">
        <v>2</v>
      </c>
      <c r="FU91" s="3" t="str">
        <f t="shared" si="166"/>
        <v>표점/만점</v>
      </c>
      <c r="FV91" s="3" t="str">
        <f t="shared" si="167"/>
        <v>변표/만점</v>
      </c>
      <c r="FW91" s="3">
        <f t="shared" ca="1" si="212"/>
        <v>0.44</v>
      </c>
      <c r="FX91" s="3">
        <f t="shared" ca="1" si="213"/>
        <v>0.25</v>
      </c>
      <c r="FY91" s="3">
        <f t="shared" ca="1" si="214"/>
        <v>0.31</v>
      </c>
      <c r="FZ91" s="3">
        <f t="shared" ca="1" si="215"/>
        <v>5.7322713257965052</v>
      </c>
    </row>
    <row r="92" spans="1:182">
      <c r="A92" s="556">
        <v>26</v>
      </c>
      <c r="C92" s="3">
        <f t="shared" si="169"/>
        <v>77</v>
      </c>
      <c r="D92" s="3">
        <v>77</v>
      </c>
      <c r="E92" s="3" t="s">
        <v>296</v>
      </c>
      <c r="F92" s="3">
        <v>1000</v>
      </c>
      <c r="G92" s="3">
        <v>0.25</v>
      </c>
      <c r="H92" s="3">
        <v>0.3</v>
      </c>
      <c r="I92" s="3">
        <v>0.125</v>
      </c>
      <c r="J92" s="3">
        <v>0.125</v>
      </c>
      <c r="L92" s="3">
        <v>0.125</v>
      </c>
      <c r="M92" s="3">
        <v>0.125</v>
      </c>
      <c r="O92" s="3">
        <v>2</v>
      </c>
      <c r="P92" s="3">
        <f t="shared" si="170"/>
        <v>0.8</v>
      </c>
      <c r="Q92" s="3">
        <v>25</v>
      </c>
      <c r="S92" s="3">
        <f t="shared" si="171"/>
        <v>25</v>
      </c>
      <c r="W92" s="3">
        <f t="shared" si="172"/>
        <v>0</v>
      </c>
      <c r="Y92" s="3">
        <f t="shared" si="173"/>
        <v>1.7985611510791366</v>
      </c>
      <c r="Z92" s="3">
        <f t="shared" si="174"/>
        <v>2.1428571428571428</v>
      </c>
      <c r="AA92" s="3">
        <f t="shared" ca="1" si="175"/>
        <v>1.7857142857142858</v>
      </c>
      <c r="AB92" s="3">
        <f t="shared" ca="1" si="176"/>
        <v>1.7857142857142858</v>
      </c>
      <c r="AC92" s="3">
        <f t="shared" ca="1" si="177"/>
        <v>1.7857142857142858</v>
      </c>
      <c r="AD92" s="3">
        <f t="shared" si="178"/>
        <v>1.7985611510791366</v>
      </c>
      <c r="AE92" s="3">
        <f t="shared" si="179"/>
        <v>2.1428571428571428</v>
      </c>
      <c r="AF92" s="3">
        <f t="shared" ca="1" si="180"/>
        <v>1.7857142857142858</v>
      </c>
      <c r="AG92" s="3">
        <f t="shared" ca="1" si="181"/>
        <v>1.7857142857142858</v>
      </c>
      <c r="AH92" s="3" t="str">
        <f t="shared" si="182"/>
        <v>자동</v>
      </c>
      <c r="AI92" s="3">
        <f t="shared" ca="1" si="183"/>
        <v>1.7857142857142858</v>
      </c>
      <c r="AJ92" s="3">
        <f t="shared" ca="1" si="184"/>
        <v>1.7857142857142858</v>
      </c>
      <c r="AL92" s="3" t="str">
        <f t="shared" si="185"/>
        <v/>
      </c>
      <c r="AN92" s="3">
        <f ca="1">IF($BA92=42,OFFSET(변환표준점수!C$119,$AP92-1,0),"")</f>
        <v>70</v>
      </c>
      <c r="AO92" s="3">
        <f ca="1">IF($BA92=42,OFFSET(변환표준점수!D$119,$AP92-1,0),"")</f>
        <v>70</v>
      </c>
      <c r="AP92" s="3">
        <f>IF(S92="","",MATCH(S92,변환표준점수!$B$119:$B$298,0))</f>
        <v>25</v>
      </c>
      <c r="AQ92" s="3">
        <v>12</v>
      </c>
      <c r="AR92" s="3">
        <v>12</v>
      </c>
      <c r="AS92" s="3">
        <v>42</v>
      </c>
      <c r="AT92" s="3">
        <v>42</v>
      </c>
      <c r="AV92" s="3">
        <v>42</v>
      </c>
      <c r="AW92" s="3">
        <v>42</v>
      </c>
      <c r="AX92" s="3">
        <v>3</v>
      </c>
      <c r="AY92" s="3">
        <v>3</v>
      </c>
      <c r="BA92" s="3">
        <f t="shared" si="186"/>
        <v>42</v>
      </c>
      <c r="BJ92" s="3">
        <f t="shared" si="187"/>
        <v>0</v>
      </c>
      <c r="CH92" s="206">
        <f t="shared" si="188"/>
        <v>800</v>
      </c>
      <c r="CI92" s="56">
        <v>200</v>
      </c>
      <c r="CJ92" s="3">
        <v>194</v>
      </c>
      <c r="CK92" s="3">
        <v>186</v>
      </c>
      <c r="CL92" s="3">
        <v>173</v>
      </c>
      <c r="CM92" s="3">
        <v>144</v>
      </c>
      <c r="CN92" s="3">
        <v>116</v>
      </c>
      <c r="CO92" s="3">
        <v>87</v>
      </c>
      <c r="CP92" s="3">
        <v>44</v>
      </c>
      <c r="CQ92" s="3">
        <v>0</v>
      </c>
      <c r="CR92" s="56">
        <v>4</v>
      </c>
      <c r="CS92" s="3">
        <v>3.5</v>
      </c>
      <c r="CT92" s="3">
        <v>3</v>
      </c>
      <c r="CU92" s="3">
        <v>2.5</v>
      </c>
      <c r="CV92" s="3">
        <v>2</v>
      </c>
      <c r="CW92" s="3">
        <v>1.5</v>
      </c>
      <c r="CX92" s="3">
        <v>1</v>
      </c>
      <c r="CY92" s="3">
        <v>0.5</v>
      </c>
      <c r="CZ92" s="3">
        <v>0</v>
      </c>
      <c r="DJ92" s="3">
        <f t="shared" ca="1" si="189"/>
        <v>200</v>
      </c>
      <c r="DK92" s="93">
        <f t="shared" ca="1" si="190"/>
        <v>100</v>
      </c>
      <c r="DL92" s="3">
        <f t="shared" ca="1" si="191"/>
        <v>4</v>
      </c>
      <c r="DO92" s="3">
        <v>2</v>
      </c>
      <c r="EA92" s="3">
        <f t="shared" si="192"/>
        <v>2</v>
      </c>
      <c r="EB92" s="3">
        <f t="shared" si="193"/>
        <v>2</v>
      </c>
      <c r="EC92" s="3">
        <f t="shared" si="194"/>
        <v>0</v>
      </c>
      <c r="ED92" s="3">
        <f t="shared" si="195"/>
        <v>0</v>
      </c>
      <c r="EF92" s="3">
        <f t="shared" ca="1" si="196"/>
        <v>0</v>
      </c>
      <c r="EG92" s="3">
        <f t="shared" ca="1" si="197"/>
        <v>0</v>
      </c>
      <c r="EH92" s="3">
        <f ca="1">IFERROR(IF(LEFT($BA92,1)="4",OFFSET(변환표준점수!$H$118,MATCH($S92,변환표준점수!$B$119:$B$198,0),),OFFSET(EH$3,MATCH(AS92,$ED$4:$ED$8,0),0)),0)</f>
        <v>0</v>
      </c>
      <c r="EI92" s="3">
        <f ca="1">IFERROR(IF(LEFT($BA92,1)="4",OFFSET(변환표준점수!$I$118,MATCH($S92,변환표준점수!$B$119:$B$198,0),0),OFFSET(EI$3,MATCH(AT92,$ED$4:$ED$8,0),0)),0)</f>
        <v>0</v>
      </c>
      <c r="EK92" s="3">
        <f ca="1">IFERROR(IF(LEFT($BA92,1)="4",OFFSET(변환표준점수!$J$118,MATCH($S92,변환표준점수!$B$119:$B$198,0),0),OFFSET(EJ$3,MATCH(AV92,$ED$4:$ED$8,0),0)),0)</f>
        <v>0</v>
      </c>
      <c r="EL92" s="3">
        <f ca="1">IFERROR(IF(LEFT($BA92,1)="4",OFFSET(변환표준점수!$K$118,MATCH($S92,변환표준점수!$B$119:$B$198,0),0),OFFSET(EK$3,MATCH(AW92,$ED$4:$ED$8,0),0)),0)</f>
        <v>0</v>
      </c>
      <c r="EM92" s="3" t="str">
        <f t="shared" ca="1" si="198"/>
        <v/>
      </c>
      <c r="EN92" s="3" t="str">
        <f t="shared" ca="1" si="199"/>
        <v/>
      </c>
      <c r="EO92" s="3">
        <f t="shared" ca="1" si="200"/>
        <v>0</v>
      </c>
      <c r="EQ92" s="3">
        <f t="shared" ca="1" si="201"/>
        <v>0</v>
      </c>
      <c r="ER92" s="3">
        <f t="shared" ca="1" si="202"/>
        <v>0</v>
      </c>
      <c r="ES92" s="3">
        <f t="shared" ca="1" si="203"/>
        <v>0</v>
      </c>
      <c r="ET92" s="3">
        <f t="shared" ca="1" si="204"/>
        <v>0</v>
      </c>
      <c r="EU92" s="3">
        <f t="shared" si="205"/>
        <v>0</v>
      </c>
      <c r="EV92" s="3">
        <f t="shared" ca="1" si="206"/>
        <v>0</v>
      </c>
      <c r="EW92" s="3">
        <f t="shared" ca="1" si="207"/>
        <v>0</v>
      </c>
      <c r="EX92" s="3">
        <f ca="1">LARGE((ES92:ET92,EV92:EW92),1)</f>
        <v>0</v>
      </c>
      <c r="EY92" s="3">
        <f ca="1">IF(O92&lt;2,0,LARGE((ES92:ET92,EV92:EW92),2))</f>
        <v>0</v>
      </c>
      <c r="EZ92" s="3">
        <f t="shared" ca="1" si="208"/>
        <v>0</v>
      </c>
      <c r="FA92" s="3">
        <f t="shared" ca="1" si="209"/>
        <v>0</v>
      </c>
      <c r="FB92" s="3">
        <f t="shared" ca="1" si="210"/>
        <v>0</v>
      </c>
      <c r="FG92" s="3">
        <f t="shared" ca="1" si="211"/>
        <v>0</v>
      </c>
      <c r="FH92" s="618"/>
      <c r="FK92" s="3">
        <v>2</v>
      </c>
      <c r="FU92" s="3" t="str">
        <f t="shared" si="166"/>
        <v>표점/만점</v>
      </c>
      <c r="FV92" s="3" t="str">
        <f t="shared" si="167"/>
        <v>변표/만점</v>
      </c>
      <c r="FW92" s="3">
        <f t="shared" ca="1" si="212"/>
        <v>0.31</v>
      </c>
      <c r="FX92" s="3">
        <f t="shared" ca="1" si="213"/>
        <v>0.37</v>
      </c>
      <c r="FY92" s="3">
        <f t="shared" ca="1" si="214"/>
        <v>0.31</v>
      </c>
      <c r="FZ92" s="3">
        <f t="shared" ca="1" si="215"/>
        <v>5.727132579650565</v>
      </c>
    </row>
    <row r="93" spans="1:182">
      <c r="A93" s="556">
        <v>26</v>
      </c>
      <c r="C93" s="3">
        <f t="shared" si="169"/>
        <v>78</v>
      </c>
      <c r="D93" s="3">
        <v>78</v>
      </c>
      <c r="E93" s="3" t="s">
        <v>7287</v>
      </c>
      <c r="F93" s="3">
        <v>1000</v>
      </c>
      <c r="G93" s="3">
        <v>0.2</v>
      </c>
      <c r="H93" s="3">
        <v>0.35</v>
      </c>
      <c r="I93" s="3">
        <v>0.125</v>
      </c>
      <c r="J93" s="3">
        <v>0.125</v>
      </c>
      <c r="L93" s="3">
        <v>0.125</v>
      </c>
      <c r="M93" s="3">
        <v>0.125</v>
      </c>
      <c r="O93" s="3">
        <v>2</v>
      </c>
      <c r="P93" s="3">
        <f t="shared" si="170"/>
        <v>0.8</v>
      </c>
      <c r="Q93" s="3">
        <v>27</v>
      </c>
      <c r="S93" s="3">
        <f t="shared" si="171"/>
        <v>27</v>
      </c>
      <c r="W93" s="3">
        <f t="shared" si="172"/>
        <v>0</v>
      </c>
      <c r="Y93" s="3">
        <f t="shared" si="173"/>
        <v>1</v>
      </c>
      <c r="Z93" s="3">
        <f t="shared" si="174"/>
        <v>1.75</v>
      </c>
      <c r="AA93" s="3">
        <f t="shared" si="175"/>
        <v>1.25</v>
      </c>
      <c r="AB93" s="3">
        <f t="shared" si="176"/>
        <v>1.25</v>
      </c>
      <c r="AC93" s="3">
        <f t="shared" si="177"/>
        <v>1.25</v>
      </c>
      <c r="AD93" s="3">
        <f t="shared" si="178"/>
        <v>1</v>
      </c>
      <c r="AE93" s="3">
        <f t="shared" si="179"/>
        <v>1.75</v>
      </c>
      <c r="AF93" s="3">
        <f t="shared" si="180"/>
        <v>1.25</v>
      </c>
      <c r="AG93" s="3">
        <f t="shared" si="181"/>
        <v>1.25</v>
      </c>
      <c r="AH93" s="3" t="str">
        <f t="shared" si="182"/>
        <v>자동</v>
      </c>
      <c r="AI93" s="3">
        <f t="shared" si="183"/>
        <v>1.25</v>
      </c>
      <c r="AJ93" s="3">
        <f t="shared" si="184"/>
        <v>1.25</v>
      </c>
      <c r="AL93" s="3" t="str">
        <f t="shared" si="185"/>
        <v/>
      </c>
      <c r="AN93" s="3" t="str">
        <f ca="1">IF($BA93=42,OFFSET(변환표준점수!C$119,$AP93-1,0),"")</f>
        <v/>
      </c>
      <c r="AO93" s="3" t="str">
        <f ca="1">IF($BA93=42,OFFSET(변환표준점수!D$119,$AP93-1,0),"")</f>
        <v/>
      </c>
      <c r="AP93" s="3">
        <f>IF(S93="","",MATCH(S93,변환표준점수!$B$119:$B$298,0))</f>
        <v>27</v>
      </c>
      <c r="AQ93" s="3">
        <v>1</v>
      </c>
      <c r="AR93" s="3">
        <v>1</v>
      </c>
      <c r="AS93" s="3">
        <v>4</v>
      </c>
      <c r="AT93" s="3">
        <v>4</v>
      </c>
      <c r="AV93" s="3">
        <v>4</v>
      </c>
      <c r="AW93" s="3">
        <v>4</v>
      </c>
      <c r="AX93" s="3">
        <v>3</v>
      </c>
      <c r="AY93" s="3">
        <v>3</v>
      </c>
      <c r="BA93" s="3">
        <f t="shared" si="186"/>
        <v>4</v>
      </c>
      <c r="BC93" s="3">
        <f>0.05*AE93</f>
        <v>8.7500000000000008E-2</v>
      </c>
      <c r="BD93" s="3">
        <f>0.05*AE93</f>
        <v>8.7500000000000008E-2</v>
      </c>
      <c r="BF93" s="3">
        <f>0.05*AF93</f>
        <v>6.25E-2</v>
      </c>
      <c r="BG93" s="3">
        <f>0.05*AG93</f>
        <v>6.25E-2</v>
      </c>
      <c r="BJ93" s="3">
        <f t="shared" si="187"/>
        <v>0</v>
      </c>
      <c r="BN93" s="212" t="s">
        <v>7288</v>
      </c>
      <c r="BP93" s="3">
        <f>IF(BP$6&gt;0,BC93*$EG93,0)</f>
        <v>0</v>
      </c>
      <c r="BQ93" s="3">
        <f>IF(BQ$6&gt;0,BD93*$EG93,0)</f>
        <v>0</v>
      </c>
      <c r="BS93" s="3">
        <f ca="1">BF93*EH93</f>
        <v>0</v>
      </c>
      <c r="BT93" s="3">
        <f ca="1">BG93*EI93</f>
        <v>0</v>
      </c>
      <c r="CH93" s="206">
        <f t="shared" si="188"/>
        <v>800</v>
      </c>
      <c r="CI93" s="56">
        <v>200</v>
      </c>
      <c r="CJ93" s="3">
        <v>198</v>
      </c>
      <c r="CK93" s="3">
        <v>196</v>
      </c>
      <c r="CL93" s="3">
        <v>194</v>
      </c>
      <c r="CM93" s="3">
        <v>170</v>
      </c>
      <c r="CN93" s="3">
        <v>150</v>
      </c>
      <c r="CO93" s="3">
        <v>120</v>
      </c>
      <c r="CP93" s="3">
        <v>100</v>
      </c>
      <c r="CQ93" s="3">
        <v>0</v>
      </c>
      <c r="CR93" s="56">
        <v>10</v>
      </c>
      <c r="CS93" s="3">
        <v>10</v>
      </c>
      <c r="CT93" s="3">
        <v>10</v>
      </c>
      <c r="CU93" s="3">
        <v>9.8000000000000007</v>
      </c>
      <c r="CV93" s="3">
        <v>9.6</v>
      </c>
      <c r="CW93" s="3">
        <v>9.4</v>
      </c>
      <c r="CX93" s="3">
        <v>9.1999999999999993</v>
      </c>
      <c r="CY93" s="3">
        <v>9</v>
      </c>
      <c r="CZ93" s="3">
        <v>8.8000000000000007</v>
      </c>
      <c r="DJ93" s="3">
        <f t="shared" ca="1" si="189"/>
        <v>200</v>
      </c>
      <c r="DK93" s="93">
        <f t="shared" ca="1" si="190"/>
        <v>100</v>
      </c>
      <c r="DL93" s="3">
        <f t="shared" ca="1" si="191"/>
        <v>10</v>
      </c>
      <c r="DO93" s="3">
        <v>2</v>
      </c>
      <c r="DZ93" s="3">
        <v>1</v>
      </c>
      <c r="EA93" s="3">
        <f t="shared" si="192"/>
        <v>1</v>
      </c>
      <c r="EB93" s="3">
        <f t="shared" si="193"/>
        <v>2</v>
      </c>
      <c r="EC93" s="3">
        <f t="shared" si="194"/>
        <v>0</v>
      </c>
      <c r="ED93" s="3">
        <f t="shared" si="195"/>
        <v>0</v>
      </c>
      <c r="EF93" s="3">
        <f t="shared" ca="1" si="196"/>
        <v>0</v>
      </c>
      <c r="EG93" s="3">
        <f t="shared" ca="1" si="197"/>
        <v>0</v>
      </c>
      <c r="EH93" s="3">
        <f ca="1">IFERROR(IF(LEFT($BA93,1)="4",OFFSET(변환표준점수!$H$118,MATCH($S93,변환표준점수!$B$119:$B$198,0),),OFFSET(EH$3,MATCH(AS93,$ED$4:$ED$8,0),0)),0)</f>
        <v>0</v>
      </c>
      <c r="EI93" s="3">
        <f ca="1">IFERROR(IF(LEFT($BA93,1)="4",OFFSET(변환표준점수!$I$118,MATCH($S93,변환표준점수!$B$119:$B$198,0),0),OFFSET(EI$3,MATCH(AT93,$ED$4:$ED$8,0),0)),0)</f>
        <v>0</v>
      </c>
      <c r="EK93" s="3">
        <f ca="1">IFERROR(IF(LEFT($BA93,1)="4",OFFSET(변환표준점수!$J$118,MATCH($S93,변환표준점수!$B$119:$B$198,0),0),OFFSET(EJ$3,MATCH(AV93,$ED$4:$ED$8,0),0)),0)</f>
        <v>0</v>
      </c>
      <c r="EL93" s="3">
        <f ca="1">IFERROR(IF(LEFT($BA93,1)="4",OFFSET(변환표준점수!$K$118,MATCH($S93,변환표준점수!$B$119:$B$198,0),0),OFFSET(EK$3,MATCH(AW93,$ED$4:$ED$8,0),0)),0)</f>
        <v>0</v>
      </c>
      <c r="EM93" s="3" t="str">
        <f t="shared" ca="1" si="198"/>
        <v/>
      </c>
      <c r="EN93" s="3" t="str">
        <f t="shared" ca="1" si="199"/>
        <v/>
      </c>
      <c r="EO93" s="3">
        <f t="shared" ca="1" si="200"/>
        <v>0</v>
      </c>
      <c r="EQ93" s="3">
        <f t="shared" ca="1" si="201"/>
        <v>0</v>
      </c>
      <c r="ER93" s="3">
        <f t="shared" ca="1" si="202"/>
        <v>0</v>
      </c>
      <c r="ES93" s="3">
        <f t="shared" ca="1" si="203"/>
        <v>0</v>
      </c>
      <c r="ET93" s="3">
        <f t="shared" ca="1" si="204"/>
        <v>0</v>
      </c>
      <c r="EU93" s="3">
        <f t="shared" si="205"/>
        <v>0</v>
      </c>
      <c r="EV93" s="3">
        <f t="shared" ca="1" si="206"/>
        <v>0</v>
      </c>
      <c r="EW93" s="3">
        <f t="shared" ca="1" si="207"/>
        <v>0</v>
      </c>
      <c r="EX93" s="3">
        <f ca="1">LARGE((ES93:ET93,EV93:EW93),1)</f>
        <v>0</v>
      </c>
      <c r="EY93" s="3">
        <f ca="1">IF(O93&lt;2,0,LARGE((ES93:ET93,EV93:EW93),2))</f>
        <v>0</v>
      </c>
      <c r="EZ93" s="3">
        <f t="shared" ca="1" si="208"/>
        <v>0</v>
      </c>
      <c r="FA93" s="3">
        <f t="shared" ca="1" si="209"/>
        <v>0</v>
      </c>
      <c r="FB93" s="3">
        <f t="shared" ca="1" si="210"/>
        <v>0</v>
      </c>
      <c r="FG93" s="3">
        <f t="shared" ca="1" si="211"/>
        <v>0</v>
      </c>
      <c r="FH93" s="618"/>
      <c r="FU93" s="3" t="str">
        <f t="shared" si="166"/>
        <v>표점</v>
      </c>
      <c r="FV93" s="3" t="str">
        <f t="shared" si="167"/>
        <v>변표</v>
      </c>
      <c r="FW93" s="3">
        <f t="shared" si="212"/>
        <v>0.25</v>
      </c>
      <c r="FX93" s="3">
        <f t="shared" si="213"/>
        <v>0.44</v>
      </c>
      <c r="FY93" s="3">
        <f t="shared" si="214"/>
        <v>0.31</v>
      </c>
      <c r="FZ93" s="3">
        <f t="shared" si="215"/>
        <v>4</v>
      </c>
    </row>
    <row r="94" spans="1:182">
      <c r="A94" s="556">
        <v>26</v>
      </c>
      <c r="C94" s="3">
        <f t="shared" si="169"/>
        <v>79</v>
      </c>
      <c r="D94" s="3">
        <v>79</v>
      </c>
      <c r="E94" s="3" t="s">
        <v>7289</v>
      </c>
      <c r="F94" s="3">
        <v>1000</v>
      </c>
      <c r="G94" s="3">
        <v>0.2</v>
      </c>
      <c r="H94" s="3">
        <v>0.35</v>
      </c>
      <c r="I94" s="3">
        <v>0.125</v>
      </c>
      <c r="J94" s="3">
        <v>0.125</v>
      </c>
      <c r="L94" s="3">
        <v>0.125</v>
      </c>
      <c r="M94" s="3">
        <v>0.125</v>
      </c>
      <c r="O94" s="3">
        <v>2</v>
      </c>
      <c r="P94" s="3">
        <f t="shared" si="170"/>
        <v>0.8</v>
      </c>
      <c r="Q94" s="3">
        <v>27</v>
      </c>
      <c r="S94" s="3">
        <f t="shared" si="171"/>
        <v>27</v>
      </c>
      <c r="W94" s="3">
        <f t="shared" si="172"/>
        <v>0</v>
      </c>
      <c r="Y94" s="3">
        <f t="shared" si="173"/>
        <v>1</v>
      </c>
      <c r="Z94" s="3">
        <f t="shared" si="174"/>
        <v>1.75</v>
      </c>
      <c r="AA94" s="3">
        <f t="shared" si="175"/>
        <v>1.25</v>
      </c>
      <c r="AB94" s="3">
        <f t="shared" si="176"/>
        <v>1.25</v>
      </c>
      <c r="AC94" s="3">
        <f t="shared" si="177"/>
        <v>1.25</v>
      </c>
      <c r="AD94" s="3">
        <f t="shared" si="178"/>
        <v>1</v>
      </c>
      <c r="AE94" s="3">
        <f t="shared" si="179"/>
        <v>1.75</v>
      </c>
      <c r="AF94" s="3">
        <f t="shared" si="180"/>
        <v>1.25</v>
      </c>
      <c r="AG94" s="3">
        <f t="shared" si="181"/>
        <v>1.25</v>
      </c>
      <c r="AH94" s="3" t="str">
        <f t="shared" si="182"/>
        <v>자동</v>
      </c>
      <c r="AI94" s="3">
        <f t="shared" si="183"/>
        <v>1.25</v>
      </c>
      <c r="AJ94" s="3">
        <f t="shared" si="184"/>
        <v>1.25</v>
      </c>
      <c r="AL94" s="3" t="str">
        <f t="shared" si="185"/>
        <v/>
      </c>
      <c r="AN94" s="3" t="str">
        <f ca="1">IF($BA94=42,OFFSET(변환표준점수!C$119,$AP94-1,0),"")</f>
        <v/>
      </c>
      <c r="AO94" s="3" t="str">
        <f ca="1">IF($BA94=42,OFFSET(변환표준점수!D$119,$AP94-1,0),"")</f>
        <v/>
      </c>
      <c r="AP94" s="3">
        <f>IF(S94="","",MATCH(S94,변환표준점수!$B$119:$B$298,0))</f>
        <v>27</v>
      </c>
      <c r="AQ94" s="3">
        <v>1</v>
      </c>
      <c r="AR94" s="3">
        <v>1</v>
      </c>
      <c r="AS94" s="3">
        <v>4</v>
      </c>
      <c r="AT94" s="3">
        <v>4</v>
      </c>
      <c r="AV94" s="3">
        <v>4</v>
      </c>
      <c r="AW94" s="3">
        <v>4</v>
      </c>
      <c r="AX94" s="3">
        <v>3</v>
      </c>
      <c r="AY94" s="3">
        <v>3</v>
      </c>
      <c r="BA94" s="3">
        <f t="shared" si="186"/>
        <v>4</v>
      </c>
      <c r="BC94" s="3">
        <f>0.03*AE94</f>
        <v>5.2499999999999998E-2</v>
      </c>
      <c r="BD94" s="3">
        <f>0.03*AE94</f>
        <v>5.2499999999999998E-2</v>
      </c>
      <c r="BF94" s="3">
        <f>0.03*AF94</f>
        <v>3.7499999999999999E-2</v>
      </c>
      <c r="BG94" s="3">
        <f>0.03*AG94</f>
        <v>3.7499999999999999E-2</v>
      </c>
      <c r="BJ94" s="3">
        <f t="shared" si="187"/>
        <v>0</v>
      </c>
      <c r="BN94" s="212" t="s">
        <v>7290</v>
      </c>
      <c r="BP94" s="3">
        <f>IF(BP$6&gt;0,BC94*$EG94,0)</f>
        <v>0</v>
      </c>
      <c r="BQ94" s="3">
        <f>IF(BQ$6&gt;0,BD94*$EG94,0)</f>
        <v>0</v>
      </c>
      <c r="BS94" s="3">
        <f ca="1">BF94*EH94</f>
        <v>0</v>
      </c>
      <c r="BT94" s="3">
        <f ca="1">BG94*EI94</f>
        <v>0</v>
      </c>
      <c r="CH94" s="206">
        <f t="shared" si="188"/>
        <v>800</v>
      </c>
      <c r="CI94" s="56">
        <v>200</v>
      </c>
      <c r="CJ94" s="3">
        <v>198</v>
      </c>
      <c r="CK94" s="3">
        <v>196</v>
      </c>
      <c r="CL94" s="3">
        <v>194</v>
      </c>
      <c r="CM94" s="3">
        <v>170</v>
      </c>
      <c r="CN94" s="3">
        <v>150</v>
      </c>
      <c r="CO94" s="3">
        <v>120</v>
      </c>
      <c r="CP94" s="3">
        <v>100</v>
      </c>
      <c r="CQ94" s="3">
        <v>0</v>
      </c>
      <c r="CR94" s="56">
        <v>10</v>
      </c>
      <c r="CS94" s="3">
        <v>10</v>
      </c>
      <c r="CT94" s="3">
        <v>10</v>
      </c>
      <c r="CU94" s="3">
        <v>9.8000000000000007</v>
      </c>
      <c r="CV94" s="3">
        <v>9.6</v>
      </c>
      <c r="CW94" s="3">
        <v>9.4</v>
      </c>
      <c r="CX94" s="3">
        <v>9.1999999999999993</v>
      </c>
      <c r="CY94" s="3">
        <v>9</v>
      </c>
      <c r="CZ94" s="3">
        <v>8.8000000000000007</v>
      </c>
      <c r="DJ94" s="3">
        <f t="shared" ca="1" si="189"/>
        <v>200</v>
      </c>
      <c r="DK94" s="93">
        <f t="shared" ca="1" si="190"/>
        <v>100</v>
      </c>
      <c r="DL94" s="3">
        <f t="shared" ca="1" si="191"/>
        <v>10</v>
      </c>
      <c r="DO94" s="3">
        <v>2</v>
      </c>
      <c r="DZ94" s="3">
        <v>1</v>
      </c>
      <c r="EA94" s="3">
        <f t="shared" si="192"/>
        <v>1</v>
      </c>
      <c r="EB94" s="3">
        <f t="shared" si="193"/>
        <v>2</v>
      </c>
      <c r="EC94" s="3">
        <f t="shared" si="194"/>
        <v>0</v>
      </c>
      <c r="ED94" s="3">
        <f t="shared" si="195"/>
        <v>0</v>
      </c>
      <c r="EF94" s="3">
        <f t="shared" ca="1" si="196"/>
        <v>0</v>
      </c>
      <c r="EG94" s="3">
        <f t="shared" ca="1" si="197"/>
        <v>0</v>
      </c>
      <c r="EH94" s="3">
        <f ca="1">IFERROR(IF(LEFT($BA94,1)="4",OFFSET(변환표준점수!$H$118,MATCH($S94,변환표준점수!$B$119:$B$198,0),),OFFSET(EH$3,MATCH(AS94,$ED$4:$ED$8,0),0)),0)</f>
        <v>0</v>
      </c>
      <c r="EI94" s="3">
        <f ca="1">IFERROR(IF(LEFT($BA94,1)="4",OFFSET(변환표준점수!$I$118,MATCH($S94,변환표준점수!$B$119:$B$198,0),0),OFFSET(EI$3,MATCH(AT94,$ED$4:$ED$8,0),0)),0)</f>
        <v>0</v>
      </c>
      <c r="EK94" s="3">
        <f ca="1">IFERROR(IF(LEFT($BA94,1)="4",OFFSET(변환표준점수!$J$118,MATCH($S94,변환표준점수!$B$119:$B$198,0),0),OFFSET(EJ$3,MATCH(AV94,$ED$4:$ED$8,0),0)),0)</f>
        <v>0</v>
      </c>
      <c r="EL94" s="3">
        <f ca="1">IFERROR(IF(LEFT($BA94,1)="4",OFFSET(변환표준점수!$K$118,MATCH($S94,변환표준점수!$B$119:$B$198,0),0),OFFSET(EK$3,MATCH(AW94,$ED$4:$ED$8,0),0)),0)</f>
        <v>0</v>
      </c>
      <c r="EM94" s="3" t="str">
        <f t="shared" ca="1" si="198"/>
        <v/>
      </c>
      <c r="EN94" s="3" t="str">
        <f t="shared" ca="1" si="199"/>
        <v/>
      </c>
      <c r="EO94" s="3">
        <f t="shared" ca="1" si="200"/>
        <v>0</v>
      </c>
      <c r="EQ94" s="3">
        <f t="shared" ca="1" si="201"/>
        <v>0</v>
      </c>
      <c r="ER94" s="3">
        <f t="shared" ca="1" si="202"/>
        <v>0</v>
      </c>
      <c r="ES94" s="3">
        <f t="shared" ca="1" si="203"/>
        <v>0</v>
      </c>
      <c r="ET94" s="3">
        <f t="shared" ca="1" si="204"/>
        <v>0</v>
      </c>
      <c r="EU94" s="3">
        <f t="shared" si="205"/>
        <v>0</v>
      </c>
      <c r="EV94" s="3">
        <f t="shared" ca="1" si="206"/>
        <v>0</v>
      </c>
      <c r="EW94" s="3">
        <f t="shared" ca="1" si="207"/>
        <v>0</v>
      </c>
      <c r="EX94" s="3">
        <f ca="1">LARGE((ES94:ET94,EV94:EW94),1)</f>
        <v>0</v>
      </c>
      <c r="EY94" s="3">
        <f ca="1">IF(O94&lt;2,0,LARGE((ES94:ET94,EV94:EW94),2))</f>
        <v>0</v>
      </c>
      <c r="EZ94" s="3">
        <f t="shared" ca="1" si="208"/>
        <v>0</v>
      </c>
      <c r="FA94" s="3">
        <f t="shared" ca="1" si="209"/>
        <v>0</v>
      </c>
      <c r="FB94" s="3">
        <f t="shared" ca="1" si="210"/>
        <v>0</v>
      </c>
      <c r="FG94" s="3">
        <f t="shared" ca="1" si="211"/>
        <v>0</v>
      </c>
      <c r="FH94" s="618"/>
      <c r="FU94" s="3" t="str">
        <f t="shared" si="166"/>
        <v>표점</v>
      </c>
      <c r="FV94" s="3" t="str">
        <f t="shared" si="167"/>
        <v>변표</v>
      </c>
      <c r="FW94" s="3">
        <f t="shared" si="212"/>
        <v>0.25</v>
      </c>
      <c r="FX94" s="3">
        <f t="shared" si="213"/>
        <v>0.44</v>
      </c>
      <c r="FY94" s="3">
        <f t="shared" si="214"/>
        <v>0.31</v>
      </c>
      <c r="FZ94" s="3">
        <f t="shared" si="215"/>
        <v>4</v>
      </c>
    </row>
    <row r="95" spans="1:182">
      <c r="A95" s="556">
        <v>26</v>
      </c>
      <c r="C95" s="3">
        <f t="shared" si="169"/>
        <v>80</v>
      </c>
      <c r="D95" s="3">
        <v>80</v>
      </c>
      <c r="E95" s="3" t="s">
        <v>325</v>
      </c>
      <c r="F95" s="3">
        <v>1000</v>
      </c>
      <c r="G95" s="3">
        <v>0.3</v>
      </c>
      <c r="H95" s="3">
        <v>0.3</v>
      </c>
      <c r="I95" s="3">
        <v>0.1</v>
      </c>
      <c r="J95" s="3">
        <v>0.1</v>
      </c>
      <c r="L95" s="3">
        <v>0.1</v>
      </c>
      <c r="M95" s="3">
        <v>0.1</v>
      </c>
      <c r="O95" s="3">
        <v>2</v>
      </c>
      <c r="P95" s="3">
        <f t="shared" si="170"/>
        <v>0.8</v>
      </c>
      <c r="Q95" s="3">
        <v>27</v>
      </c>
      <c r="S95" s="3">
        <f t="shared" si="171"/>
        <v>27</v>
      </c>
      <c r="W95" s="3">
        <f t="shared" si="172"/>
        <v>0</v>
      </c>
      <c r="Y95" s="3">
        <f t="shared" si="173"/>
        <v>1.5</v>
      </c>
      <c r="Z95" s="3">
        <f t="shared" si="174"/>
        <v>1.5</v>
      </c>
      <c r="AA95" s="3">
        <f t="shared" si="175"/>
        <v>1</v>
      </c>
      <c r="AB95" s="3">
        <f t="shared" si="176"/>
        <v>1</v>
      </c>
      <c r="AC95" s="3">
        <f t="shared" si="177"/>
        <v>1</v>
      </c>
      <c r="AD95" s="3">
        <f t="shared" si="178"/>
        <v>1.5</v>
      </c>
      <c r="AE95" s="3">
        <f t="shared" si="179"/>
        <v>1.5</v>
      </c>
      <c r="AF95" s="3">
        <f t="shared" si="180"/>
        <v>1</v>
      </c>
      <c r="AG95" s="3">
        <f t="shared" si="181"/>
        <v>1</v>
      </c>
      <c r="AH95" s="3" t="str">
        <f t="shared" si="182"/>
        <v>자동</v>
      </c>
      <c r="AI95" s="3">
        <f t="shared" si="183"/>
        <v>1</v>
      </c>
      <c r="AJ95" s="3">
        <f t="shared" si="184"/>
        <v>1</v>
      </c>
      <c r="AL95" s="3" t="str">
        <f t="shared" si="185"/>
        <v/>
      </c>
      <c r="AN95" s="3" t="str">
        <f ca="1">IF($BA95=42,OFFSET(변환표준점수!C$119,$AP95-1,0),"")</f>
        <v/>
      </c>
      <c r="AO95" s="3" t="str">
        <f ca="1">IF($BA95=42,OFFSET(변환표준점수!D$119,$AP95-1,0),"")</f>
        <v/>
      </c>
      <c r="AP95" s="3">
        <f>IF(S95="","",MATCH(S95,변환표준점수!$B$119:$B$298,0))</f>
        <v>27</v>
      </c>
      <c r="AQ95" s="3">
        <v>1</v>
      </c>
      <c r="AR95" s="3">
        <v>1</v>
      </c>
      <c r="AS95" s="3">
        <v>4</v>
      </c>
      <c r="AT95" s="3">
        <v>4</v>
      </c>
      <c r="AV95" s="3">
        <v>4</v>
      </c>
      <c r="AW95" s="3">
        <v>4</v>
      </c>
      <c r="AX95" s="3">
        <v>3</v>
      </c>
      <c r="AY95" s="3">
        <v>3</v>
      </c>
      <c r="BA95" s="3">
        <f t="shared" si="186"/>
        <v>4</v>
      </c>
      <c r="BJ95" s="3">
        <f t="shared" si="187"/>
        <v>0</v>
      </c>
      <c r="CH95" s="206">
        <f t="shared" si="188"/>
        <v>800</v>
      </c>
      <c r="CI95" s="56">
        <v>200</v>
      </c>
      <c r="CJ95" s="3">
        <v>195</v>
      </c>
      <c r="CK95" s="3">
        <v>190</v>
      </c>
      <c r="CL95" s="3">
        <v>185</v>
      </c>
      <c r="CM95" s="3">
        <v>170</v>
      </c>
      <c r="CN95" s="3">
        <v>150</v>
      </c>
      <c r="CO95" s="3">
        <v>120</v>
      </c>
      <c r="CP95" s="3">
        <v>100</v>
      </c>
      <c r="CQ95" s="3">
        <v>0</v>
      </c>
      <c r="CR95" s="56">
        <v>10</v>
      </c>
      <c r="CS95" s="3">
        <v>10</v>
      </c>
      <c r="CT95" s="3">
        <v>10</v>
      </c>
      <c r="CU95" s="3">
        <v>9.8000000000000007</v>
      </c>
      <c r="CV95" s="3">
        <v>9.6</v>
      </c>
      <c r="CW95" s="3">
        <v>9.4</v>
      </c>
      <c r="CX95" s="3">
        <v>9.1999999999999993</v>
      </c>
      <c r="CY95" s="3">
        <v>9</v>
      </c>
      <c r="CZ95" s="3">
        <v>8.8000000000000007</v>
      </c>
      <c r="DJ95" s="3">
        <f t="shared" ca="1" si="189"/>
        <v>200</v>
      </c>
      <c r="DK95" s="93">
        <f t="shared" ca="1" si="190"/>
        <v>100</v>
      </c>
      <c r="DL95" s="3">
        <f t="shared" ca="1" si="191"/>
        <v>10</v>
      </c>
      <c r="DO95" s="3">
        <v>2</v>
      </c>
      <c r="EA95" s="3">
        <f t="shared" si="192"/>
        <v>2</v>
      </c>
      <c r="EB95" s="3">
        <f t="shared" si="193"/>
        <v>2</v>
      </c>
      <c r="EC95" s="3">
        <f t="shared" si="194"/>
        <v>0</v>
      </c>
      <c r="ED95" s="3">
        <f t="shared" si="195"/>
        <v>0</v>
      </c>
      <c r="EF95" s="3">
        <f t="shared" ca="1" si="196"/>
        <v>0</v>
      </c>
      <c r="EG95" s="3">
        <f t="shared" ca="1" si="197"/>
        <v>0</v>
      </c>
      <c r="EH95" s="3">
        <f ca="1">IFERROR(IF(LEFT($BA95,1)="4",OFFSET(변환표준점수!$H$118,MATCH($S95,변환표준점수!$B$119:$B$198,0),),OFFSET(EH$3,MATCH(AS95,$ED$4:$ED$8,0),0)),0)</f>
        <v>0</v>
      </c>
      <c r="EI95" s="3">
        <f ca="1">IFERROR(IF(LEFT($BA95,1)="4",OFFSET(변환표준점수!$I$118,MATCH($S95,변환표준점수!$B$119:$B$198,0),0),OFFSET(EI$3,MATCH(AT95,$ED$4:$ED$8,0),0)),0)</f>
        <v>0</v>
      </c>
      <c r="EK95" s="3">
        <f ca="1">IFERROR(IF(LEFT($BA95,1)="4",OFFSET(변환표준점수!$J$118,MATCH($S95,변환표준점수!$B$119:$B$198,0),0),OFFSET(EJ$3,MATCH(AV95,$ED$4:$ED$8,0),0)),0)</f>
        <v>0</v>
      </c>
      <c r="EL95" s="3">
        <f ca="1">IFERROR(IF(LEFT($BA95,1)="4",OFFSET(변환표준점수!$K$118,MATCH($S95,변환표준점수!$B$119:$B$198,0),0),OFFSET(EK$3,MATCH(AW95,$ED$4:$ED$8,0),0)),0)</f>
        <v>0</v>
      </c>
      <c r="EM95" s="3" t="str">
        <f t="shared" ca="1" si="198"/>
        <v/>
      </c>
      <c r="EN95" s="3" t="str">
        <f t="shared" ca="1" si="199"/>
        <v/>
      </c>
      <c r="EO95" s="3">
        <f t="shared" ca="1" si="200"/>
        <v>0</v>
      </c>
      <c r="EQ95" s="3">
        <f t="shared" ca="1" si="201"/>
        <v>0</v>
      </c>
      <c r="ER95" s="3">
        <f t="shared" ca="1" si="202"/>
        <v>0</v>
      </c>
      <c r="ES95" s="3">
        <f t="shared" ca="1" si="203"/>
        <v>0</v>
      </c>
      <c r="ET95" s="3">
        <f t="shared" ca="1" si="204"/>
        <v>0</v>
      </c>
      <c r="EU95" s="3">
        <f t="shared" si="205"/>
        <v>0</v>
      </c>
      <c r="EV95" s="3">
        <f t="shared" ca="1" si="206"/>
        <v>0</v>
      </c>
      <c r="EW95" s="3">
        <f t="shared" ca="1" si="207"/>
        <v>0</v>
      </c>
      <c r="EX95" s="3">
        <f ca="1">LARGE((ES95:ET95,EV95:EW95),1)</f>
        <v>0</v>
      </c>
      <c r="EY95" s="3">
        <f ca="1">IF(O95&lt;2,0,LARGE((ES95:ET95,EV95:EW95),2))</f>
        <v>0</v>
      </c>
      <c r="EZ95" s="3">
        <f t="shared" ca="1" si="208"/>
        <v>0</v>
      </c>
      <c r="FA95" s="3">
        <f t="shared" ca="1" si="209"/>
        <v>0</v>
      </c>
      <c r="FB95" s="3">
        <f t="shared" ca="1" si="210"/>
        <v>0</v>
      </c>
      <c r="FG95" s="3">
        <f t="shared" ca="1" si="211"/>
        <v>0</v>
      </c>
      <c r="FH95" s="618"/>
      <c r="FU95" s="3" t="str">
        <f t="shared" si="166"/>
        <v>표점</v>
      </c>
      <c r="FV95" s="3" t="str">
        <f t="shared" si="167"/>
        <v>변표</v>
      </c>
      <c r="FW95" s="3">
        <f t="shared" si="212"/>
        <v>0.38</v>
      </c>
      <c r="FX95" s="3">
        <f t="shared" si="213"/>
        <v>0.38</v>
      </c>
      <c r="FY95" s="3">
        <f t="shared" si="214"/>
        <v>0.25</v>
      </c>
      <c r="FZ95" s="3">
        <f t="shared" si="215"/>
        <v>4</v>
      </c>
    </row>
    <row r="96" spans="1:182">
      <c r="A96" s="556">
        <v>26</v>
      </c>
      <c r="C96" s="3">
        <f t="shared" si="169"/>
        <v>81</v>
      </c>
      <c r="D96" s="3">
        <v>81</v>
      </c>
      <c r="E96" s="3" t="s">
        <v>348</v>
      </c>
      <c r="F96" s="3">
        <v>1000</v>
      </c>
      <c r="G96" s="3">
        <v>0.35</v>
      </c>
      <c r="H96" s="3">
        <v>0.35</v>
      </c>
      <c r="I96" s="3">
        <v>0.05</v>
      </c>
      <c r="J96" s="3">
        <v>0.05</v>
      </c>
      <c r="L96" s="3">
        <v>0.05</v>
      </c>
      <c r="M96" s="3">
        <v>0.05</v>
      </c>
      <c r="O96" s="3">
        <v>2</v>
      </c>
      <c r="P96" s="3">
        <f t="shared" si="170"/>
        <v>0.79999999999999993</v>
      </c>
      <c r="Q96" s="3">
        <v>27</v>
      </c>
      <c r="S96" s="3">
        <f t="shared" si="171"/>
        <v>27</v>
      </c>
      <c r="W96" s="3">
        <f t="shared" si="172"/>
        <v>0</v>
      </c>
      <c r="Y96" s="3">
        <f t="shared" si="173"/>
        <v>1.75</v>
      </c>
      <c r="Z96" s="3">
        <f t="shared" si="174"/>
        <v>1.75</v>
      </c>
      <c r="AA96" s="3">
        <f t="shared" si="175"/>
        <v>0.5</v>
      </c>
      <c r="AB96" s="3">
        <f t="shared" si="176"/>
        <v>0.5</v>
      </c>
      <c r="AC96" s="3">
        <f t="shared" si="177"/>
        <v>0.5</v>
      </c>
      <c r="AD96" s="3">
        <f t="shared" si="178"/>
        <v>1.75</v>
      </c>
      <c r="AE96" s="3">
        <f t="shared" si="179"/>
        <v>1.75</v>
      </c>
      <c r="AF96" s="3">
        <f t="shared" si="180"/>
        <v>0.5</v>
      </c>
      <c r="AG96" s="3">
        <f t="shared" si="181"/>
        <v>0.5</v>
      </c>
      <c r="AH96" s="3" t="str">
        <f t="shared" si="182"/>
        <v>자동</v>
      </c>
      <c r="AI96" s="3">
        <f t="shared" si="183"/>
        <v>0.5</v>
      </c>
      <c r="AJ96" s="3">
        <f t="shared" si="184"/>
        <v>0.5</v>
      </c>
      <c r="AL96" s="3" t="str">
        <f t="shared" si="185"/>
        <v/>
      </c>
      <c r="AN96" s="3" t="str">
        <f ca="1">IF($BA96=42,OFFSET(변환표준점수!C$119,$AP96-1,0),"")</f>
        <v/>
      </c>
      <c r="AO96" s="3" t="str">
        <f ca="1">IF($BA96=42,OFFSET(변환표준점수!D$119,$AP96-1,0),"")</f>
        <v/>
      </c>
      <c r="AP96" s="3">
        <f>IF(S96="","",MATCH(S96,변환표준점수!$B$119:$B$298,0))</f>
        <v>27</v>
      </c>
      <c r="AQ96" s="3">
        <v>1</v>
      </c>
      <c r="AR96" s="3">
        <v>1</v>
      </c>
      <c r="AS96" s="3">
        <v>4</v>
      </c>
      <c r="AT96" s="3">
        <v>4</v>
      </c>
      <c r="AV96" s="3">
        <v>4</v>
      </c>
      <c r="AW96" s="3">
        <v>4</v>
      </c>
      <c r="AX96" s="3">
        <v>3</v>
      </c>
      <c r="AY96" s="3">
        <v>3</v>
      </c>
      <c r="BA96" s="3">
        <f t="shared" si="186"/>
        <v>4</v>
      </c>
      <c r="BJ96" s="3">
        <f t="shared" si="187"/>
        <v>0</v>
      </c>
      <c r="CH96" s="206">
        <f t="shared" si="188"/>
        <v>799.99999999999989</v>
      </c>
      <c r="CI96" s="56">
        <v>200</v>
      </c>
      <c r="CJ96" s="3">
        <v>198</v>
      </c>
      <c r="CK96" s="3">
        <v>196</v>
      </c>
      <c r="CL96" s="3">
        <v>194</v>
      </c>
      <c r="CM96" s="3">
        <v>170</v>
      </c>
      <c r="CN96" s="3">
        <v>150</v>
      </c>
      <c r="CO96" s="3">
        <v>120</v>
      </c>
      <c r="CP96" s="3">
        <v>100</v>
      </c>
      <c r="CQ96" s="3">
        <v>0</v>
      </c>
      <c r="CR96" s="56">
        <v>10</v>
      </c>
      <c r="CS96" s="3">
        <v>10</v>
      </c>
      <c r="CT96" s="3">
        <v>10</v>
      </c>
      <c r="CU96" s="3">
        <v>9.8000000000000007</v>
      </c>
      <c r="CV96" s="3">
        <v>9.6</v>
      </c>
      <c r="CW96" s="3">
        <v>9.4</v>
      </c>
      <c r="CX96" s="3">
        <v>9.1999999999999993</v>
      </c>
      <c r="CY96" s="3">
        <v>9</v>
      </c>
      <c r="CZ96" s="3">
        <v>8.8000000000000007</v>
      </c>
      <c r="DJ96" s="3">
        <f t="shared" ca="1" si="189"/>
        <v>200</v>
      </c>
      <c r="DK96" s="93">
        <f t="shared" ca="1" si="190"/>
        <v>100</v>
      </c>
      <c r="DL96" s="3">
        <f t="shared" ca="1" si="191"/>
        <v>10</v>
      </c>
      <c r="DO96" s="3">
        <v>2</v>
      </c>
      <c r="DZ96" s="3">
        <v>1</v>
      </c>
      <c r="EA96" s="3">
        <f t="shared" si="192"/>
        <v>1</v>
      </c>
      <c r="EB96" s="3">
        <f t="shared" si="193"/>
        <v>2</v>
      </c>
      <c r="EC96" s="3">
        <f t="shared" si="194"/>
        <v>0</v>
      </c>
      <c r="ED96" s="3">
        <f t="shared" si="195"/>
        <v>0</v>
      </c>
      <c r="EF96" s="3">
        <f t="shared" ca="1" si="196"/>
        <v>0</v>
      </c>
      <c r="EG96" s="3">
        <f t="shared" ca="1" si="197"/>
        <v>0</v>
      </c>
      <c r="EH96" s="3">
        <f ca="1">IFERROR(IF(LEFT($BA96,1)="4",OFFSET(변환표준점수!$H$118,MATCH($S96,변환표준점수!$B$119:$B$198,0),),OFFSET(EH$3,MATCH(AS96,$ED$4:$ED$8,0),0)),0)</f>
        <v>0</v>
      </c>
      <c r="EI96" s="3">
        <f ca="1">IFERROR(IF(LEFT($BA96,1)="4",OFFSET(변환표준점수!$I$118,MATCH($S96,변환표준점수!$B$119:$B$198,0),0),OFFSET(EI$3,MATCH(AT96,$ED$4:$ED$8,0),0)),0)</f>
        <v>0</v>
      </c>
      <c r="EK96" s="3">
        <f ca="1">IFERROR(IF(LEFT($BA96,1)="4",OFFSET(변환표준점수!$J$118,MATCH($S96,변환표준점수!$B$119:$B$198,0),0),OFFSET(EJ$3,MATCH(AV96,$ED$4:$ED$8,0),0)),0)</f>
        <v>0</v>
      </c>
      <c r="EL96" s="3">
        <f ca="1">IFERROR(IF(LEFT($BA96,1)="4",OFFSET(변환표준점수!$K$118,MATCH($S96,변환표준점수!$B$119:$B$198,0),0),OFFSET(EK$3,MATCH(AW96,$ED$4:$ED$8,0),0)),0)</f>
        <v>0</v>
      </c>
      <c r="EM96" s="3" t="str">
        <f t="shared" ca="1" si="198"/>
        <v/>
      </c>
      <c r="EN96" s="3" t="str">
        <f t="shared" ca="1" si="199"/>
        <v/>
      </c>
      <c r="EO96" s="3">
        <f t="shared" ca="1" si="200"/>
        <v>0</v>
      </c>
      <c r="EQ96" s="3">
        <f t="shared" ca="1" si="201"/>
        <v>0</v>
      </c>
      <c r="ER96" s="3">
        <f t="shared" ca="1" si="202"/>
        <v>0</v>
      </c>
      <c r="ES96" s="3">
        <f t="shared" ca="1" si="203"/>
        <v>0</v>
      </c>
      <c r="ET96" s="3">
        <f t="shared" ca="1" si="204"/>
        <v>0</v>
      </c>
      <c r="EU96" s="3">
        <f t="shared" si="205"/>
        <v>0</v>
      </c>
      <c r="EV96" s="3">
        <f t="shared" ca="1" si="206"/>
        <v>0</v>
      </c>
      <c r="EW96" s="3">
        <f t="shared" ca="1" si="207"/>
        <v>0</v>
      </c>
      <c r="EX96" s="3">
        <f ca="1">LARGE((ES96:ET96,EV96:EW96),1)</f>
        <v>0</v>
      </c>
      <c r="EY96" s="3">
        <f ca="1">IF(O96&lt;2,0,LARGE((ES96:ET96,EV96:EW96),2))</f>
        <v>0</v>
      </c>
      <c r="EZ96" s="3">
        <f t="shared" ca="1" si="208"/>
        <v>0</v>
      </c>
      <c r="FA96" s="3">
        <f t="shared" ca="1" si="209"/>
        <v>0</v>
      </c>
      <c r="FB96" s="3">
        <f t="shared" ca="1" si="210"/>
        <v>0</v>
      </c>
      <c r="FG96" s="3">
        <f t="shared" ca="1" si="211"/>
        <v>0</v>
      </c>
      <c r="FH96" s="618"/>
      <c r="FU96" s="3" t="str">
        <f t="shared" si="166"/>
        <v>표점</v>
      </c>
      <c r="FV96" s="3" t="str">
        <f t="shared" si="167"/>
        <v>변표</v>
      </c>
      <c r="FW96" s="3">
        <f t="shared" si="212"/>
        <v>0.44</v>
      </c>
      <c r="FX96" s="3">
        <f t="shared" si="213"/>
        <v>0.44</v>
      </c>
      <c r="FY96" s="3">
        <f t="shared" si="214"/>
        <v>0.13</v>
      </c>
      <c r="FZ96" s="3">
        <f t="shared" si="215"/>
        <v>4</v>
      </c>
    </row>
    <row r="97" spans="1:182">
      <c r="A97" s="556">
        <v>26</v>
      </c>
      <c r="C97" s="3">
        <f t="shared" si="169"/>
        <v>82</v>
      </c>
      <c r="D97" s="3">
        <v>82</v>
      </c>
      <c r="E97" s="3" t="s">
        <v>349</v>
      </c>
      <c r="F97" s="3">
        <v>1000</v>
      </c>
      <c r="G97" s="3">
        <v>0.2</v>
      </c>
      <c r="H97" s="3">
        <v>0.35</v>
      </c>
      <c r="I97" s="3">
        <v>0.125</v>
      </c>
      <c r="J97" s="3">
        <v>0.125</v>
      </c>
      <c r="L97" s="3">
        <v>0.125</v>
      </c>
      <c r="M97" s="3">
        <v>0.125</v>
      </c>
      <c r="O97" s="3">
        <v>2</v>
      </c>
      <c r="P97" s="3">
        <f t="shared" si="170"/>
        <v>0.8</v>
      </c>
      <c r="Q97" s="3">
        <v>27</v>
      </c>
      <c r="S97" s="3">
        <f t="shared" si="171"/>
        <v>27</v>
      </c>
      <c r="W97" s="3">
        <f t="shared" si="172"/>
        <v>0</v>
      </c>
      <c r="Y97" s="3">
        <f t="shared" si="173"/>
        <v>1</v>
      </c>
      <c r="Z97" s="3">
        <f t="shared" si="174"/>
        <v>1.75</v>
      </c>
      <c r="AA97" s="3">
        <f t="shared" si="175"/>
        <v>1.25</v>
      </c>
      <c r="AB97" s="3">
        <f t="shared" si="176"/>
        <v>1.25</v>
      </c>
      <c r="AC97" s="3">
        <f t="shared" si="177"/>
        <v>1.25</v>
      </c>
      <c r="AD97" s="3">
        <f t="shared" si="178"/>
        <v>1</v>
      </c>
      <c r="AE97" s="3">
        <f t="shared" si="179"/>
        <v>1.75</v>
      </c>
      <c r="AF97" s="3">
        <f t="shared" si="180"/>
        <v>1.25</v>
      </c>
      <c r="AG97" s="3">
        <f t="shared" si="181"/>
        <v>1.25</v>
      </c>
      <c r="AH97" s="3" t="str">
        <f t="shared" si="182"/>
        <v>자동</v>
      </c>
      <c r="AI97" s="3">
        <f t="shared" si="183"/>
        <v>1.25</v>
      </c>
      <c r="AJ97" s="3">
        <f t="shared" si="184"/>
        <v>1.25</v>
      </c>
      <c r="AL97" s="3" t="str">
        <f t="shared" si="185"/>
        <v/>
      </c>
      <c r="AN97" s="3" t="str">
        <f ca="1">IF($BA97=42,OFFSET(변환표준점수!C$119,$AP97-1,0),"")</f>
        <v/>
      </c>
      <c r="AO97" s="3" t="str">
        <f ca="1">IF($BA97=42,OFFSET(변환표준점수!D$119,$AP97-1,0),"")</f>
        <v/>
      </c>
      <c r="AP97" s="3">
        <f>IF(S97="","",MATCH(S97,변환표준점수!$B$119:$B$298,0))</f>
        <v>27</v>
      </c>
      <c r="AQ97" s="3">
        <v>1</v>
      </c>
      <c r="AR97" s="3">
        <v>1</v>
      </c>
      <c r="AS97" s="3">
        <v>4</v>
      </c>
      <c r="AT97" s="3">
        <v>4</v>
      </c>
      <c r="AV97" s="3">
        <v>4</v>
      </c>
      <c r="AW97" s="3">
        <v>4</v>
      </c>
      <c r="AX97" s="3">
        <v>3</v>
      </c>
      <c r="AY97" s="3">
        <v>3</v>
      </c>
      <c r="BA97" s="3">
        <f t="shared" si="186"/>
        <v>4</v>
      </c>
      <c r="BJ97" s="3">
        <f t="shared" si="187"/>
        <v>0</v>
      </c>
      <c r="CH97" s="206">
        <f t="shared" si="188"/>
        <v>800</v>
      </c>
      <c r="CI97" s="56">
        <v>200</v>
      </c>
      <c r="CJ97" s="3">
        <v>198</v>
      </c>
      <c r="CK97" s="3">
        <v>196</v>
      </c>
      <c r="CL97" s="3">
        <v>194</v>
      </c>
      <c r="CM97" s="3">
        <v>170</v>
      </c>
      <c r="CN97" s="3">
        <v>150</v>
      </c>
      <c r="CO97" s="3">
        <v>120</v>
      </c>
      <c r="CP97" s="3">
        <v>100</v>
      </c>
      <c r="CQ97" s="3">
        <v>0</v>
      </c>
      <c r="CR97" s="56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J97" s="3">
        <f t="shared" ca="1" si="189"/>
        <v>200</v>
      </c>
      <c r="DK97" s="93">
        <f t="shared" ca="1" si="190"/>
        <v>100</v>
      </c>
      <c r="DL97" s="3">
        <f t="shared" ca="1" si="191"/>
        <v>0</v>
      </c>
      <c r="DO97" s="3">
        <v>2</v>
      </c>
      <c r="DZ97" s="3">
        <v>1</v>
      </c>
      <c r="EA97" s="3">
        <f t="shared" si="192"/>
        <v>1</v>
      </c>
      <c r="EB97" s="3">
        <f t="shared" si="193"/>
        <v>2</v>
      </c>
      <c r="EC97" s="3">
        <f t="shared" si="194"/>
        <v>0</v>
      </c>
      <c r="ED97" s="3">
        <f t="shared" si="195"/>
        <v>0</v>
      </c>
      <c r="EF97" s="3">
        <f t="shared" ca="1" si="196"/>
        <v>0</v>
      </c>
      <c r="EG97" s="3">
        <f t="shared" ca="1" si="197"/>
        <v>0</v>
      </c>
      <c r="EH97" s="3">
        <f ca="1">IFERROR(IF(LEFT($BA97,1)="4",OFFSET(변환표준점수!$H$118,MATCH($S97,변환표준점수!$B$119:$B$198,0),),OFFSET(EH$3,MATCH(AS97,$ED$4:$ED$8,0),0)),0)</f>
        <v>0</v>
      </c>
      <c r="EI97" s="3">
        <f ca="1">IFERROR(IF(LEFT($BA97,1)="4",OFFSET(변환표준점수!$I$118,MATCH($S97,변환표준점수!$B$119:$B$198,0),0),OFFSET(EI$3,MATCH(AT97,$ED$4:$ED$8,0),0)),0)</f>
        <v>0</v>
      </c>
      <c r="EK97" s="3">
        <f ca="1">IFERROR(IF(LEFT($BA97,1)="4",OFFSET(변환표준점수!$J$118,MATCH($S97,변환표준점수!$B$119:$B$198,0),0),OFFSET(EJ$3,MATCH(AV97,$ED$4:$ED$8,0),0)),0)</f>
        <v>0</v>
      </c>
      <c r="EL97" s="3">
        <f ca="1">IFERROR(IF(LEFT($BA97,1)="4",OFFSET(변환표준점수!$K$118,MATCH($S97,변환표준점수!$B$119:$B$198,0),0),OFFSET(EK$3,MATCH(AW97,$ED$4:$ED$8,0),0)),0)</f>
        <v>0</v>
      </c>
      <c r="EM97" s="3" t="str">
        <f t="shared" ca="1" si="198"/>
        <v/>
      </c>
      <c r="EN97" s="3" t="str">
        <f t="shared" ca="1" si="199"/>
        <v/>
      </c>
      <c r="EO97" s="3">
        <f t="shared" ca="1" si="200"/>
        <v>0</v>
      </c>
      <c r="EQ97" s="3">
        <f t="shared" ca="1" si="201"/>
        <v>0</v>
      </c>
      <c r="ER97" s="3">
        <f t="shared" ca="1" si="202"/>
        <v>0</v>
      </c>
      <c r="ES97" s="3">
        <f t="shared" ca="1" si="203"/>
        <v>0</v>
      </c>
      <c r="ET97" s="3">
        <f t="shared" ca="1" si="204"/>
        <v>0</v>
      </c>
      <c r="EU97" s="3">
        <f t="shared" si="205"/>
        <v>0</v>
      </c>
      <c r="EV97" s="3">
        <f t="shared" ca="1" si="206"/>
        <v>0</v>
      </c>
      <c r="EW97" s="3">
        <f t="shared" ca="1" si="207"/>
        <v>0</v>
      </c>
      <c r="EX97" s="3">
        <f ca="1">LARGE((ES97:ET97,EV97:EW97),1)</f>
        <v>0</v>
      </c>
      <c r="EY97" s="3">
        <f ca="1">IF(O97&lt;2,0,LARGE((ES97:ET97,EV97:EW97),2))</f>
        <v>0</v>
      </c>
      <c r="EZ97" s="3">
        <f t="shared" ca="1" si="208"/>
        <v>0</v>
      </c>
      <c r="FA97" s="3">
        <f t="shared" ca="1" si="209"/>
        <v>0</v>
      </c>
      <c r="FB97" s="3">
        <f t="shared" ca="1" si="210"/>
        <v>0</v>
      </c>
      <c r="FG97" s="3">
        <f t="shared" ca="1" si="211"/>
        <v>0</v>
      </c>
      <c r="FH97" s="618"/>
      <c r="FU97" s="3" t="str">
        <f t="shared" si="166"/>
        <v>표점</v>
      </c>
      <c r="FV97" s="3" t="str">
        <f t="shared" si="167"/>
        <v>변표</v>
      </c>
      <c r="FW97" s="3">
        <f t="shared" si="212"/>
        <v>0.25</v>
      </c>
      <c r="FX97" s="3">
        <f t="shared" si="213"/>
        <v>0.44</v>
      </c>
      <c r="FY97" s="3">
        <f t="shared" si="214"/>
        <v>0.31</v>
      </c>
      <c r="FZ97" s="3">
        <f t="shared" si="215"/>
        <v>4</v>
      </c>
    </row>
    <row r="98" spans="1:182">
      <c r="A98" s="556">
        <v>26</v>
      </c>
      <c r="C98" s="3">
        <f t="shared" si="169"/>
        <v>83</v>
      </c>
      <c r="D98" s="3">
        <v>83</v>
      </c>
      <c r="E98" s="3" t="s">
        <v>7291</v>
      </c>
      <c r="F98" s="3">
        <v>1000</v>
      </c>
      <c r="G98" s="3">
        <v>0.35</v>
      </c>
      <c r="H98" s="3">
        <v>0.35</v>
      </c>
      <c r="I98" s="3">
        <v>0.05</v>
      </c>
      <c r="J98" s="3">
        <v>0.05</v>
      </c>
      <c r="L98" s="3">
        <v>0.05</v>
      </c>
      <c r="M98" s="3">
        <v>0.05</v>
      </c>
      <c r="O98" s="3">
        <v>2</v>
      </c>
      <c r="P98" s="3">
        <f t="shared" si="170"/>
        <v>0.79999999999999993</v>
      </c>
      <c r="Q98" s="3">
        <v>27</v>
      </c>
      <c r="S98" s="3">
        <f t="shared" si="171"/>
        <v>27</v>
      </c>
      <c r="W98" s="3">
        <f t="shared" si="172"/>
        <v>0</v>
      </c>
      <c r="Y98" s="3">
        <f t="shared" si="173"/>
        <v>1.75</v>
      </c>
      <c r="Z98" s="3">
        <f t="shared" si="174"/>
        <v>1.75</v>
      </c>
      <c r="AA98" s="3">
        <f t="shared" si="175"/>
        <v>0.5</v>
      </c>
      <c r="AB98" s="3">
        <f t="shared" si="176"/>
        <v>0.5</v>
      </c>
      <c r="AC98" s="3">
        <f t="shared" si="177"/>
        <v>0.5</v>
      </c>
      <c r="AD98" s="3">
        <f t="shared" si="178"/>
        <v>1.75</v>
      </c>
      <c r="AE98" s="3">
        <f t="shared" si="179"/>
        <v>1.75</v>
      </c>
      <c r="AF98" s="3">
        <f t="shared" si="180"/>
        <v>0.5</v>
      </c>
      <c r="AG98" s="3">
        <f t="shared" si="181"/>
        <v>0.5</v>
      </c>
      <c r="AH98" s="3" t="str">
        <f t="shared" si="182"/>
        <v>자동</v>
      </c>
      <c r="AI98" s="3">
        <f t="shared" si="183"/>
        <v>0.5</v>
      </c>
      <c r="AJ98" s="3">
        <f t="shared" si="184"/>
        <v>0.5</v>
      </c>
      <c r="AL98" s="3" t="str">
        <f t="shared" si="185"/>
        <v/>
      </c>
      <c r="AN98" s="3" t="str">
        <f ca="1">IF($BA98=42,OFFSET(변환표준점수!C$119,$AP98-1,0),"")</f>
        <v/>
      </c>
      <c r="AO98" s="3" t="str">
        <f ca="1">IF($BA98=42,OFFSET(변환표준점수!D$119,$AP98-1,0),"")</f>
        <v/>
      </c>
      <c r="AP98" s="3">
        <f>IF(S98="","",MATCH(S98,변환표준점수!$B$119:$B$298,0))</f>
        <v>27</v>
      </c>
      <c r="AQ98" s="3">
        <v>1</v>
      </c>
      <c r="AR98" s="3">
        <v>1</v>
      </c>
      <c r="AS98" s="3">
        <v>4</v>
      </c>
      <c r="AT98" s="3">
        <v>4</v>
      </c>
      <c r="AV98" s="3">
        <v>4</v>
      </c>
      <c r="AW98" s="3">
        <v>4</v>
      </c>
      <c r="AX98" s="3">
        <v>3</v>
      </c>
      <c r="AY98" s="3">
        <v>3</v>
      </c>
      <c r="BA98" s="3">
        <f t="shared" si="186"/>
        <v>4</v>
      </c>
      <c r="BJ98" s="3">
        <f t="shared" si="187"/>
        <v>0</v>
      </c>
      <c r="CH98" s="206">
        <f t="shared" si="188"/>
        <v>799.99999999999989</v>
      </c>
      <c r="CI98" s="56">
        <v>200</v>
      </c>
      <c r="CJ98" s="3">
        <v>198</v>
      </c>
      <c r="CK98" s="3">
        <v>196</v>
      </c>
      <c r="CL98" s="3">
        <v>194</v>
      </c>
      <c r="CM98" s="3">
        <v>170</v>
      </c>
      <c r="CN98" s="3">
        <v>150</v>
      </c>
      <c r="CO98" s="3">
        <v>120</v>
      </c>
      <c r="CP98" s="3">
        <v>100</v>
      </c>
      <c r="CQ98" s="3">
        <v>0</v>
      </c>
      <c r="CR98" s="56">
        <v>10</v>
      </c>
      <c r="CS98" s="3">
        <v>10</v>
      </c>
      <c r="CT98" s="3">
        <v>10</v>
      </c>
      <c r="CU98" s="3">
        <v>9.8000000000000007</v>
      </c>
      <c r="CV98" s="3">
        <v>9.6</v>
      </c>
      <c r="CW98" s="3">
        <v>9.4</v>
      </c>
      <c r="CX98" s="3">
        <v>9.1999999999999993</v>
      </c>
      <c r="CY98" s="3">
        <v>9</v>
      </c>
      <c r="CZ98" s="3">
        <v>8.8000000000000007</v>
      </c>
      <c r="DJ98" s="3">
        <f t="shared" ca="1" si="189"/>
        <v>200</v>
      </c>
      <c r="DK98" s="93">
        <f t="shared" ca="1" si="190"/>
        <v>100</v>
      </c>
      <c r="DL98" s="3">
        <f t="shared" ca="1" si="191"/>
        <v>10</v>
      </c>
      <c r="DO98" s="3">
        <v>2</v>
      </c>
      <c r="DZ98" s="3">
        <v>1</v>
      </c>
      <c r="EA98" s="3">
        <f t="shared" si="192"/>
        <v>1</v>
      </c>
      <c r="EB98" s="3">
        <f t="shared" si="193"/>
        <v>2</v>
      </c>
      <c r="EC98" s="3">
        <f t="shared" si="194"/>
        <v>0</v>
      </c>
      <c r="ED98" s="3">
        <f t="shared" si="195"/>
        <v>0</v>
      </c>
      <c r="EF98" s="3">
        <f t="shared" ca="1" si="196"/>
        <v>0</v>
      </c>
      <c r="EG98" s="3">
        <f t="shared" ca="1" si="197"/>
        <v>0</v>
      </c>
      <c r="EH98" s="3">
        <f ca="1">IFERROR(IF(LEFT($BA98,1)="4",OFFSET(변환표준점수!$H$118,MATCH($S98,변환표준점수!$B$119:$B$198,0),),OFFSET(EH$3,MATCH(AS98,$ED$4:$ED$8,0),0)),0)</f>
        <v>0</v>
      </c>
      <c r="EI98" s="3">
        <f ca="1">IFERROR(IF(LEFT($BA98,1)="4",OFFSET(변환표준점수!$I$118,MATCH($S98,변환표준점수!$B$119:$B$198,0),0),OFFSET(EI$3,MATCH(AT98,$ED$4:$ED$8,0),0)),0)</f>
        <v>0</v>
      </c>
      <c r="EK98" s="3">
        <f ca="1">IFERROR(IF(LEFT($BA98,1)="4",OFFSET(변환표준점수!$J$118,MATCH($S98,변환표준점수!$B$119:$B$198,0),0),OFFSET(EJ$3,MATCH(AV98,$ED$4:$ED$8,0),0)),0)</f>
        <v>0</v>
      </c>
      <c r="EL98" s="3">
        <f ca="1">IFERROR(IF(LEFT($BA98,1)="4",OFFSET(변환표준점수!$K$118,MATCH($S98,변환표준점수!$B$119:$B$198,0),0),OFFSET(EK$3,MATCH(AW98,$ED$4:$ED$8,0),0)),0)</f>
        <v>0</v>
      </c>
      <c r="EM98" s="3" t="str">
        <f t="shared" ca="1" si="198"/>
        <v/>
      </c>
      <c r="EN98" s="3" t="str">
        <f t="shared" ca="1" si="199"/>
        <v/>
      </c>
      <c r="EO98" s="3">
        <f t="shared" ca="1" si="200"/>
        <v>0</v>
      </c>
      <c r="EQ98" s="3">
        <f t="shared" ca="1" si="201"/>
        <v>0</v>
      </c>
      <c r="ER98" s="3">
        <f t="shared" ca="1" si="202"/>
        <v>0</v>
      </c>
      <c r="ES98" s="3">
        <f t="shared" ca="1" si="203"/>
        <v>0</v>
      </c>
      <c r="ET98" s="3">
        <f t="shared" ca="1" si="204"/>
        <v>0</v>
      </c>
      <c r="EU98" s="3">
        <f t="shared" si="205"/>
        <v>0</v>
      </c>
      <c r="EV98" s="3">
        <f t="shared" ca="1" si="206"/>
        <v>0</v>
      </c>
      <c r="EW98" s="3">
        <f t="shared" ca="1" si="207"/>
        <v>0</v>
      </c>
      <c r="EX98" s="3">
        <f ca="1">LARGE((ES98:ET98,EV98:EW98),1)</f>
        <v>0</v>
      </c>
      <c r="EY98" s="3">
        <f ca="1">IF(O98&lt;2,0,LARGE((ES98:ET98,EV98:EW98),2))</f>
        <v>0</v>
      </c>
      <c r="EZ98" s="3">
        <f t="shared" ca="1" si="208"/>
        <v>0</v>
      </c>
      <c r="FA98" s="3">
        <f t="shared" ca="1" si="209"/>
        <v>0</v>
      </c>
      <c r="FB98" s="3">
        <f t="shared" ca="1" si="210"/>
        <v>0</v>
      </c>
      <c r="FG98" s="3">
        <f t="shared" ca="1" si="211"/>
        <v>0</v>
      </c>
      <c r="FH98" s="618"/>
      <c r="FU98" s="3" t="str">
        <f t="shared" si="166"/>
        <v>표점</v>
      </c>
      <c r="FV98" s="3" t="str">
        <f t="shared" si="167"/>
        <v>변표</v>
      </c>
      <c r="FW98" s="3">
        <f t="shared" si="212"/>
        <v>0.44</v>
      </c>
      <c r="FX98" s="3">
        <f t="shared" si="213"/>
        <v>0.44</v>
      </c>
      <c r="FY98" s="3">
        <f t="shared" si="214"/>
        <v>0.13</v>
      </c>
      <c r="FZ98" s="3">
        <f t="shared" si="215"/>
        <v>4</v>
      </c>
    </row>
    <row r="99" spans="1:182">
      <c r="A99" s="556">
        <v>26</v>
      </c>
      <c r="C99" s="3">
        <f t="shared" si="169"/>
        <v>84</v>
      </c>
      <c r="D99" s="3">
        <v>84</v>
      </c>
      <c r="E99" s="3" t="s">
        <v>452</v>
      </c>
      <c r="F99" s="3">
        <v>1000</v>
      </c>
      <c r="G99" s="3">
        <v>0.3</v>
      </c>
      <c r="H99" s="3">
        <v>0.25</v>
      </c>
      <c r="I99" s="3">
        <v>0.125</v>
      </c>
      <c r="J99" s="3">
        <v>0.125</v>
      </c>
      <c r="L99" s="3">
        <v>0.125</v>
      </c>
      <c r="M99" s="3">
        <v>0.125</v>
      </c>
      <c r="O99" s="3">
        <v>2</v>
      </c>
      <c r="P99" s="3">
        <f t="shared" si="170"/>
        <v>0.8</v>
      </c>
      <c r="Q99" s="3" t="s">
        <v>408</v>
      </c>
      <c r="S99" s="3" t="str">
        <f t="shared" si="171"/>
        <v/>
      </c>
      <c r="W99" s="3">
        <f t="shared" si="172"/>
        <v>0</v>
      </c>
      <c r="Y99" s="3">
        <f t="shared" si="173"/>
        <v>2.1582733812949639</v>
      </c>
      <c r="Z99" s="3">
        <f t="shared" si="174"/>
        <v>1.7857142857142858</v>
      </c>
      <c r="AA99" s="3">
        <f t="shared" si="175"/>
        <v>1.7902410380533638</v>
      </c>
      <c r="AB99" s="3">
        <f t="shared" si="176"/>
        <v>1.7467615041712663</v>
      </c>
      <c r="AC99" s="3">
        <f t="shared" si="177"/>
        <v>1.7467615041712663</v>
      </c>
      <c r="AD99" s="3">
        <f t="shared" si="178"/>
        <v>2.1582733812949639</v>
      </c>
      <c r="AE99" s="3">
        <f t="shared" si="179"/>
        <v>1.7857142857142858</v>
      </c>
      <c r="AF99" s="3">
        <f t="shared" si="180"/>
        <v>1.7902410380533638</v>
      </c>
      <c r="AG99" s="3">
        <f t="shared" si="181"/>
        <v>1.7902410380533638</v>
      </c>
      <c r="AH99" s="3" t="str">
        <f t="shared" si="182"/>
        <v>자동</v>
      </c>
      <c r="AI99" s="3">
        <f t="shared" si="183"/>
        <v>1.7467615041712663</v>
      </c>
      <c r="AJ99" s="3">
        <f t="shared" si="184"/>
        <v>1.7467615041712663</v>
      </c>
      <c r="AK99" s="3">
        <v>0.25</v>
      </c>
      <c r="AL99" s="3">
        <f t="shared" si="185"/>
        <v>0.25</v>
      </c>
      <c r="AN99" s="3" t="str">
        <f ca="1">IF($BA99=42,OFFSET(변환표준점수!C$119,$AP99-1,0),"")</f>
        <v/>
      </c>
      <c r="AO99" s="3" t="str">
        <f ca="1">IF($BA99=42,OFFSET(변환표준점수!D$119,$AP99-1,0),"")</f>
        <v/>
      </c>
      <c r="AP99" s="3" t="str">
        <f>IF(S99="","",MATCH(S99,변환표준점수!$B$119:$B$298,0))</f>
        <v/>
      </c>
      <c r="AQ99" s="3">
        <v>12</v>
      </c>
      <c r="AR99" s="3">
        <v>12</v>
      </c>
      <c r="AS99" s="3">
        <v>12</v>
      </c>
      <c r="AT99" s="3">
        <v>12</v>
      </c>
      <c r="AV99" s="3">
        <v>12</v>
      </c>
      <c r="AW99" s="3">
        <v>12</v>
      </c>
      <c r="AX99" s="3">
        <v>3</v>
      </c>
      <c r="AY99" s="3">
        <v>3</v>
      </c>
      <c r="BA99" s="3">
        <f t="shared" si="186"/>
        <v>12</v>
      </c>
      <c r="BJ99" s="3">
        <f t="shared" si="187"/>
        <v>0</v>
      </c>
      <c r="BL99" s="3">
        <f>0.07*AI99</f>
        <v>0.12227330529198865</v>
      </c>
      <c r="BM99" s="3">
        <f>0.07*AJ99</f>
        <v>0.12227330529198865</v>
      </c>
      <c r="BN99" s="212" t="s">
        <v>7292</v>
      </c>
      <c r="BV99" s="3">
        <f ca="1">BL99*EK99</f>
        <v>0</v>
      </c>
      <c r="BW99" s="3">
        <f ca="1">BM99*EL99</f>
        <v>0</v>
      </c>
      <c r="CH99" s="206">
        <f t="shared" si="188"/>
        <v>800</v>
      </c>
      <c r="CI99" s="56">
        <v>200</v>
      </c>
      <c r="CJ99" s="3">
        <v>195.55555555555554</v>
      </c>
      <c r="CK99" s="3">
        <v>189.63</v>
      </c>
      <c r="CL99" s="3">
        <v>177.78</v>
      </c>
      <c r="CM99" s="3">
        <v>148.14814814814815</v>
      </c>
      <c r="CN99" s="3">
        <v>118.5185185185185</v>
      </c>
      <c r="CO99" s="3">
        <v>88.888888888888886</v>
      </c>
      <c r="CP99" s="3">
        <v>44.444444444444443</v>
      </c>
      <c r="CQ99" s="3">
        <v>0</v>
      </c>
      <c r="CR99" s="56">
        <v>0</v>
      </c>
      <c r="CS99" s="3">
        <v>0</v>
      </c>
      <c r="CT99" s="3">
        <v>0</v>
      </c>
      <c r="CU99" s="3">
        <v>-1</v>
      </c>
      <c r="CV99" s="3">
        <v>-2</v>
      </c>
      <c r="CW99" s="3">
        <v>-3</v>
      </c>
      <c r="CX99" s="3">
        <v>-4</v>
      </c>
      <c r="CY99" s="3">
        <v>-5</v>
      </c>
      <c r="CZ99" s="3">
        <v>-10</v>
      </c>
      <c r="DJ99" s="3">
        <f t="shared" ca="1" si="189"/>
        <v>200</v>
      </c>
      <c r="DK99" s="93">
        <f t="shared" ca="1" si="190"/>
        <v>100</v>
      </c>
      <c r="DL99" s="3">
        <f t="shared" ca="1" si="191"/>
        <v>0</v>
      </c>
      <c r="DO99" s="3">
        <v>2</v>
      </c>
      <c r="EA99" s="3">
        <f t="shared" si="192"/>
        <v>2</v>
      </c>
      <c r="EB99" s="3">
        <f t="shared" si="193"/>
        <v>2</v>
      </c>
      <c r="EC99" s="3">
        <f t="shared" si="194"/>
        <v>0</v>
      </c>
      <c r="ED99" s="3">
        <f t="shared" si="195"/>
        <v>0</v>
      </c>
      <c r="EF99" s="3">
        <f t="shared" ca="1" si="196"/>
        <v>0</v>
      </c>
      <c r="EG99" s="3">
        <f t="shared" ca="1" si="197"/>
        <v>0</v>
      </c>
      <c r="EH99" s="3">
        <f ca="1">IFERROR(IF(LEFT($BA99,1)="4",OFFSET(변환표준점수!$H$118,MATCH($S99,변환표준점수!$B$119:$B$198,0),),OFFSET(EH$3,MATCH(AS99,$ED$4:$ED$8,0),0)),0)</f>
        <v>0</v>
      </c>
      <c r="EI99" s="3">
        <f ca="1">IFERROR(IF(LEFT($BA99,1)="4",OFFSET(변환표준점수!$I$118,MATCH($S99,변환표준점수!$B$119:$B$198,0),0),OFFSET(EI$3,MATCH(AT99,$ED$4:$ED$8,0),0)),0)</f>
        <v>0</v>
      </c>
      <c r="EK99" s="3">
        <f ca="1">IFERROR(IF(LEFT($BA99,1)="4",OFFSET(변환표준점수!$J$118,MATCH($S99,변환표준점수!$B$119:$B$198,0),0),OFFSET(EJ$3,MATCH(AV99,$ED$4:$ED$8,0),0)),0)</f>
        <v>0</v>
      </c>
      <c r="EL99" s="3">
        <f ca="1">IFERROR(IF(LEFT($BA99,1)="4",OFFSET(변환표준점수!$K$118,MATCH($S99,변환표준점수!$B$119:$B$198,0),0),OFFSET(EK$3,MATCH(AW99,$ED$4:$ED$8,0),0)),0)</f>
        <v>0</v>
      </c>
      <c r="EM99" s="3" t="str">
        <f t="shared" ca="1" si="198"/>
        <v/>
      </c>
      <c r="EN99" s="3" t="str">
        <f t="shared" ca="1" si="199"/>
        <v/>
      </c>
      <c r="EO99" s="3">
        <f t="shared" ca="1" si="200"/>
        <v>0</v>
      </c>
      <c r="EQ99" s="3">
        <f t="shared" ca="1" si="201"/>
        <v>0</v>
      </c>
      <c r="ER99" s="3">
        <f t="shared" ca="1" si="202"/>
        <v>0</v>
      </c>
      <c r="ES99" s="3">
        <f t="shared" ca="1" si="203"/>
        <v>0</v>
      </c>
      <c r="ET99" s="3">
        <f t="shared" ca="1" si="204"/>
        <v>0</v>
      </c>
      <c r="EU99" s="3">
        <f t="shared" si="205"/>
        <v>0</v>
      </c>
      <c r="EV99" s="3">
        <f t="shared" ca="1" si="206"/>
        <v>0</v>
      </c>
      <c r="EW99" s="3">
        <f t="shared" ca="1" si="207"/>
        <v>0</v>
      </c>
      <c r="EX99" s="3">
        <f ca="1">LARGE((ES99:ET99,EV99:EW99),1)</f>
        <v>0</v>
      </c>
      <c r="EY99" s="3">
        <f ca="1">IF(O99&lt;2,0,LARGE((ES99:ET99,EV99:EW99),2))</f>
        <v>0</v>
      </c>
      <c r="EZ99" s="3">
        <f t="shared" ca="1" si="208"/>
        <v>0</v>
      </c>
      <c r="FA99" s="3">
        <f t="shared" ca="1" si="209"/>
        <v>0</v>
      </c>
      <c r="FB99" s="3">
        <f t="shared" ca="1" si="210"/>
        <v>0</v>
      </c>
      <c r="FG99" s="3">
        <f t="shared" ca="1" si="211"/>
        <v>0</v>
      </c>
      <c r="FH99" s="618"/>
      <c r="FU99" s="3" t="str">
        <f t="shared" si="166"/>
        <v>표점/만점</v>
      </c>
      <c r="FV99" s="3" t="str">
        <f t="shared" si="167"/>
        <v>표점/만점</v>
      </c>
      <c r="FW99" s="3">
        <f t="shared" si="212"/>
        <v>0.38</v>
      </c>
      <c r="FX99" s="3">
        <f t="shared" si="213"/>
        <v>0.31</v>
      </c>
      <c r="FY99" s="3">
        <f t="shared" si="214"/>
        <v>0.31</v>
      </c>
      <c r="FZ99" s="3">
        <f t="shared" si="215"/>
        <v>5.6907491711805154</v>
      </c>
    </row>
    <row r="100" spans="1:182">
      <c r="A100" s="556">
        <v>26</v>
      </c>
      <c r="C100" s="3">
        <f t="shared" si="169"/>
        <v>85</v>
      </c>
      <c r="D100" s="3">
        <v>85</v>
      </c>
      <c r="E100" s="3" t="s">
        <v>7293</v>
      </c>
      <c r="F100" s="3">
        <v>1000</v>
      </c>
      <c r="G100" s="3">
        <v>0.2</v>
      </c>
      <c r="H100" s="3">
        <v>0.35</v>
      </c>
      <c r="I100" s="3">
        <v>0.125</v>
      </c>
      <c r="J100" s="3">
        <v>0.125</v>
      </c>
      <c r="L100" s="3">
        <v>0.125</v>
      </c>
      <c r="M100" s="3">
        <v>0.125</v>
      </c>
      <c r="O100" s="3">
        <v>2</v>
      </c>
      <c r="P100" s="3">
        <f t="shared" si="170"/>
        <v>0.8</v>
      </c>
      <c r="Q100" s="3" t="s">
        <v>408</v>
      </c>
      <c r="S100" s="3" t="str">
        <f t="shared" si="171"/>
        <v/>
      </c>
      <c r="W100" s="3">
        <f t="shared" si="172"/>
        <v>0</v>
      </c>
      <c r="Y100" s="3">
        <f t="shared" si="173"/>
        <v>1.4388489208633093</v>
      </c>
      <c r="Z100" s="3">
        <f t="shared" si="174"/>
        <v>2.5</v>
      </c>
      <c r="AA100" s="3">
        <f t="shared" si="175"/>
        <v>1.7902410380533638</v>
      </c>
      <c r="AB100" s="3">
        <f t="shared" si="176"/>
        <v>1.7467615041712663</v>
      </c>
      <c r="AC100" s="3">
        <f t="shared" si="177"/>
        <v>1.7902410380533638</v>
      </c>
      <c r="AD100" s="3">
        <f t="shared" si="178"/>
        <v>1.4388489208633093</v>
      </c>
      <c r="AE100" s="3">
        <f t="shared" si="179"/>
        <v>2.5</v>
      </c>
      <c r="AF100" s="3">
        <f t="shared" si="180"/>
        <v>1.7902410380533638</v>
      </c>
      <c r="AG100" s="3">
        <f t="shared" si="181"/>
        <v>1.7902410380533638</v>
      </c>
      <c r="AH100" s="3" t="str">
        <f t="shared" si="182"/>
        <v>자동</v>
      </c>
      <c r="AI100" s="3">
        <f t="shared" si="183"/>
        <v>1.7467615041712663</v>
      </c>
      <c r="AJ100" s="3">
        <f t="shared" si="184"/>
        <v>1.7467615041712663</v>
      </c>
      <c r="AK100" s="3">
        <v>0.25</v>
      </c>
      <c r="AL100" s="3">
        <f t="shared" si="185"/>
        <v>0.25</v>
      </c>
      <c r="AN100" s="3" t="str">
        <f ca="1">IF($BA100=42,OFFSET(변환표준점수!C$119,$AP100-1,0),"")</f>
        <v/>
      </c>
      <c r="AO100" s="3" t="str">
        <f ca="1">IF($BA100=42,OFFSET(변환표준점수!D$119,$AP100-1,0),"")</f>
        <v/>
      </c>
      <c r="AP100" s="3" t="str">
        <f>IF(S100="","",MATCH(S100,변환표준점수!$B$119:$B$298,0))</f>
        <v/>
      </c>
      <c r="AQ100" s="3">
        <v>12</v>
      </c>
      <c r="AR100" s="3">
        <v>12</v>
      </c>
      <c r="AS100" s="3">
        <v>12</v>
      </c>
      <c r="AT100" s="3">
        <v>12</v>
      </c>
      <c r="AV100" s="3">
        <v>12</v>
      </c>
      <c r="AW100" s="3">
        <v>12</v>
      </c>
      <c r="AX100" s="3">
        <v>3</v>
      </c>
      <c r="AY100" s="3">
        <v>3</v>
      </c>
      <c r="BA100" s="3">
        <f t="shared" si="186"/>
        <v>12</v>
      </c>
      <c r="BF100" s="3">
        <f>0.07*AF100</f>
        <v>0.12531687266373548</v>
      </c>
      <c r="BG100" s="3">
        <f>0.07*AG100</f>
        <v>0.12531687266373548</v>
      </c>
      <c r="BJ100" s="3">
        <f t="shared" si="187"/>
        <v>0</v>
      </c>
      <c r="BN100" s="212" t="s">
        <v>7294</v>
      </c>
      <c r="BS100" s="3">
        <f ca="1">BF100*EH100</f>
        <v>0</v>
      </c>
      <c r="BT100" s="3">
        <f ca="1">BG100*EI100</f>
        <v>0</v>
      </c>
      <c r="CH100" s="206">
        <f t="shared" si="188"/>
        <v>800</v>
      </c>
      <c r="CI100" s="56">
        <v>200</v>
      </c>
      <c r="CJ100" s="3">
        <v>195.55555555555554</v>
      </c>
      <c r="CK100" s="3">
        <v>189.63</v>
      </c>
      <c r="CL100" s="3">
        <v>177.78</v>
      </c>
      <c r="CM100" s="3">
        <v>148.14814814814815</v>
      </c>
      <c r="CN100" s="3">
        <v>118.5185185185185</v>
      </c>
      <c r="CO100" s="3">
        <v>88.888888888888886</v>
      </c>
      <c r="CP100" s="3">
        <v>44.444444444444443</v>
      </c>
      <c r="CQ100" s="3">
        <v>0</v>
      </c>
      <c r="CR100" s="56">
        <v>0</v>
      </c>
      <c r="CS100" s="3">
        <v>0</v>
      </c>
      <c r="CT100" s="3">
        <v>0</v>
      </c>
      <c r="CU100" s="3">
        <v>-1</v>
      </c>
      <c r="CV100" s="3">
        <v>-2</v>
      </c>
      <c r="CW100" s="3">
        <v>-3</v>
      </c>
      <c r="CX100" s="3">
        <v>-4</v>
      </c>
      <c r="CY100" s="3">
        <v>-5</v>
      </c>
      <c r="CZ100" s="3">
        <v>-10</v>
      </c>
      <c r="DJ100" s="3">
        <f t="shared" ca="1" si="189"/>
        <v>200</v>
      </c>
      <c r="DK100" s="93">
        <f t="shared" ca="1" si="190"/>
        <v>100</v>
      </c>
      <c r="DL100" s="3">
        <f t="shared" ca="1" si="191"/>
        <v>0</v>
      </c>
      <c r="DO100" s="3">
        <v>2</v>
      </c>
      <c r="DZ100" s="3">
        <v>1</v>
      </c>
      <c r="EA100" s="3">
        <f t="shared" si="192"/>
        <v>1</v>
      </c>
      <c r="EB100" s="3">
        <f t="shared" si="193"/>
        <v>2</v>
      </c>
      <c r="EC100" s="3">
        <f t="shared" si="194"/>
        <v>0</v>
      </c>
      <c r="ED100" s="3">
        <f t="shared" si="195"/>
        <v>0</v>
      </c>
      <c r="EF100" s="3">
        <f t="shared" ca="1" si="196"/>
        <v>0</v>
      </c>
      <c r="EG100" s="3">
        <f t="shared" ca="1" si="197"/>
        <v>0</v>
      </c>
      <c r="EH100" s="3">
        <f ca="1">IFERROR(IF(LEFT($BA100,1)="4",OFFSET(변환표준점수!$H$118,MATCH($S100,변환표준점수!$B$119:$B$198,0),),OFFSET(EH$3,MATCH(AS100,$ED$4:$ED$8,0),0)),0)</f>
        <v>0</v>
      </c>
      <c r="EI100" s="3">
        <f ca="1">IFERROR(IF(LEFT($BA100,1)="4",OFFSET(변환표준점수!$I$118,MATCH($S100,변환표준점수!$B$119:$B$198,0),0),OFFSET(EI$3,MATCH(AT100,$ED$4:$ED$8,0),0)),0)</f>
        <v>0</v>
      </c>
      <c r="EK100" s="3">
        <f ca="1">IFERROR(IF(LEFT($BA100,1)="4",OFFSET(변환표준점수!$J$118,MATCH($S100,변환표준점수!$B$119:$B$198,0),0),OFFSET(EJ$3,MATCH(AV100,$ED$4:$ED$8,0),0)),0)</f>
        <v>0</v>
      </c>
      <c r="EL100" s="3">
        <f ca="1">IFERROR(IF(LEFT($BA100,1)="4",OFFSET(변환표준점수!$K$118,MATCH($S100,변환표준점수!$B$119:$B$198,0),0),OFFSET(EK$3,MATCH(AW100,$ED$4:$ED$8,0),0)),0)</f>
        <v>0</v>
      </c>
      <c r="EM100" s="3" t="str">
        <f t="shared" ca="1" si="198"/>
        <v/>
      </c>
      <c r="EN100" s="3" t="str">
        <f t="shared" ca="1" si="199"/>
        <v/>
      </c>
      <c r="EO100" s="3">
        <f t="shared" ca="1" si="200"/>
        <v>0</v>
      </c>
      <c r="EQ100" s="3">
        <f t="shared" ca="1" si="201"/>
        <v>0</v>
      </c>
      <c r="ER100" s="3">
        <f t="shared" ca="1" si="202"/>
        <v>0</v>
      </c>
      <c r="ES100" s="3">
        <f t="shared" ca="1" si="203"/>
        <v>0</v>
      </c>
      <c r="ET100" s="3">
        <f t="shared" ca="1" si="204"/>
        <v>0</v>
      </c>
      <c r="EU100" s="3">
        <f t="shared" si="205"/>
        <v>0</v>
      </c>
      <c r="EV100" s="3">
        <f t="shared" ca="1" si="206"/>
        <v>0</v>
      </c>
      <c r="EW100" s="3">
        <f t="shared" ca="1" si="207"/>
        <v>0</v>
      </c>
      <c r="EX100" s="3">
        <f ca="1">LARGE((ES100:ET100,EV100:EW100),1)</f>
        <v>0</v>
      </c>
      <c r="EY100" s="3">
        <f ca="1">IF(O100&lt;2,0,LARGE((ES100:ET100,EV100:EW100),2))</f>
        <v>0</v>
      </c>
      <c r="EZ100" s="3">
        <f t="shared" ca="1" si="208"/>
        <v>0</v>
      </c>
      <c r="FA100" s="3">
        <f t="shared" ca="1" si="209"/>
        <v>0</v>
      </c>
      <c r="FB100" s="3">
        <f t="shared" ca="1" si="210"/>
        <v>0</v>
      </c>
      <c r="FG100" s="3">
        <f t="shared" ca="1" si="211"/>
        <v>0</v>
      </c>
      <c r="FH100" s="618"/>
      <c r="FU100" s="3" t="str">
        <f t="shared" si="166"/>
        <v>표점/만점</v>
      </c>
      <c r="FV100" s="3" t="str">
        <f t="shared" si="167"/>
        <v>표점/만점</v>
      </c>
      <c r="FW100" s="3">
        <f t="shared" si="212"/>
        <v>0.25</v>
      </c>
      <c r="FX100" s="3">
        <f t="shared" si="213"/>
        <v>0.44</v>
      </c>
      <c r="FY100" s="3">
        <f t="shared" si="214"/>
        <v>0.31</v>
      </c>
      <c r="FZ100" s="3">
        <f t="shared" si="215"/>
        <v>5.7290899589166733</v>
      </c>
    </row>
    <row r="101" spans="1:182">
      <c r="A101" s="556">
        <v>26</v>
      </c>
      <c r="C101" s="3">
        <f t="shared" si="169"/>
        <v>86</v>
      </c>
      <c r="D101" s="3">
        <v>86</v>
      </c>
      <c r="E101" s="3" t="s">
        <v>7295</v>
      </c>
      <c r="F101" s="3">
        <v>1000</v>
      </c>
      <c r="G101" s="3">
        <v>0.25</v>
      </c>
      <c r="H101" s="3">
        <v>0.3</v>
      </c>
      <c r="I101" s="3">
        <v>0.125</v>
      </c>
      <c r="J101" s="3">
        <v>0.125</v>
      </c>
      <c r="L101" s="3">
        <v>0.125</v>
      </c>
      <c r="M101" s="3">
        <v>0.125</v>
      </c>
      <c r="O101" s="3">
        <v>2</v>
      </c>
      <c r="P101" s="3">
        <f t="shared" si="170"/>
        <v>0.8</v>
      </c>
      <c r="Q101" s="3" t="s">
        <v>408</v>
      </c>
      <c r="S101" s="3" t="str">
        <f t="shared" si="171"/>
        <v/>
      </c>
      <c r="W101" s="3">
        <f t="shared" si="172"/>
        <v>0</v>
      </c>
      <c r="Y101" s="3">
        <f t="shared" si="173"/>
        <v>1.7985611510791366</v>
      </c>
      <c r="Z101" s="3">
        <f t="shared" si="174"/>
        <v>2.1428571428571428</v>
      </c>
      <c r="AA101" s="3">
        <f t="shared" si="175"/>
        <v>1.7902410380533638</v>
      </c>
      <c r="AB101" s="3">
        <f t="shared" si="176"/>
        <v>1.7467615041712663</v>
      </c>
      <c r="AC101" s="3">
        <f t="shared" si="177"/>
        <v>1.7902410380533638</v>
      </c>
      <c r="AD101" s="3">
        <f t="shared" si="178"/>
        <v>1.7985611510791366</v>
      </c>
      <c r="AE101" s="3">
        <f t="shared" si="179"/>
        <v>2.1428571428571428</v>
      </c>
      <c r="AF101" s="3">
        <f t="shared" si="180"/>
        <v>1.7902410380533638</v>
      </c>
      <c r="AG101" s="3">
        <f t="shared" si="181"/>
        <v>1.7902410380533638</v>
      </c>
      <c r="AH101" s="3" t="str">
        <f t="shared" si="182"/>
        <v>자동</v>
      </c>
      <c r="AI101" s="3">
        <f t="shared" si="183"/>
        <v>1.7467615041712663</v>
      </c>
      <c r="AJ101" s="3">
        <f t="shared" si="184"/>
        <v>1.7467615041712663</v>
      </c>
      <c r="AK101" s="3">
        <v>0.25</v>
      </c>
      <c r="AL101" s="3">
        <f t="shared" si="185"/>
        <v>0.25</v>
      </c>
      <c r="AN101" s="3" t="str">
        <f ca="1">IF($BA101=42,OFFSET(변환표준점수!C$119,$AP101-1,0),"")</f>
        <v/>
      </c>
      <c r="AO101" s="3" t="str">
        <f ca="1">IF($BA101=42,OFFSET(변환표준점수!D$119,$AP101-1,0),"")</f>
        <v/>
      </c>
      <c r="AP101" s="3" t="str">
        <f>IF(S101="","",MATCH(S101,변환표준점수!$B$119:$B$298,0))</f>
        <v/>
      </c>
      <c r="AQ101" s="3">
        <v>12</v>
      </c>
      <c r="AR101" s="3">
        <v>12</v>
      </c>
      <c r="AS101" s="3">
        <v>12</v>
      </c>
      <c r="AT101" s="3">
        <v>12</v>
      </c>
      <c r="AV101" s="3">
        <v>12</v>
      </c>
      <c r="AW101" s="3">
        <v>12</v>
      </c>
      <c r="AX101" s="3">
        <v>3</v>
      </c>
      <c r="AY101" s="3">
        <v>3</v>
      </c>
      <c r="BA101" s="3">
        <f t="shared" si="186"/>
        <v>12</v>
      </c>
      <c r="BJ101" s="3">
        <f t="shared" si="187"/>
        <v>0</v>
      </c>
      <c r="CH101" s="206">
        <f t="shared" si="188"/>
        <v>800</v>
      </c>
      <c r="CI101" s="56">
        <v>200</v>
      </c>
      <c r="CJ101" s="3">
        <v>195.55555555555554</v>
      </c>
      <c r="CK101" s="3">
        <v>189.63</v>
      </c>
      <c r="CL101" s="3">
        <v>177.78</v>
      </c>
      <c r="CM101" s="3">
        <v>148.14814814814815</v>
      </c>
      <c r="CN101" s="3">
        <v>118.5185185185185</v>
      </c>
      <c r="CO101" s="3">
        <v>88.888888888888886</v>
      </c>
      <c r="CP101" s="3">
        <v>44.444444444444443</v>
      </c>
      <c r="CQ101" s="3">
        <v>0</v>
      </c>
      <c r="CR101" s="56">
        <v>0</v>
      </c>
      <c r="CS101" s="3">
        <v>0</v>
      </c>
      <c r="CT101" s="3">
        <v>0</v>
      </c>
      <c r="CU101" s="3">
        <v>-1</v>
      </c>
      <c r="CV101" s="3">
        <v>-2</v>
      </c>
      <c r="CW101" s="3">
        <v>-3</v>
      </c>
      <c r="CX101" s="3">
        <v>-4</v>
      </c>
      <c r="CY101" s="3">
        <v>-5</v>
      </c>
      <c r="CZ101" s="3">
        <v>-10</v>
      </c>
      <c r="DJ101" s="3">
        <f t="shared" ca="1" si="189"/>
        <v>200</v>
      </c>
      <c r="DK101" s="93">
        <f t="shared" ca="1" si="190"/>
        <v>100</v>
      </c>
      <c r="DL101" s="3">
        <f t="shared" ca="1" si="191"/>
        <v>0</v>
      </c>
      <c r="DO101" s="3">
        <v>2</v>
      </c>
      <c r="DZ101" s="3">
        <v>1</v>
      </c>
      <c r="EA101" s="3">
        <f t="shared" si="192"/>
        <v>1</v>
      </c>
      <c r="EB101" s="3">
        <f t="shared" si="193"/>
        <v>2</v>
      </c>
      <c r="EC101" s="3">
        <f t="shared" si="194"/>
        <v>0</v>
      </c>
      <c r="ED101" s="3">
        <f t="shared" si="195"/>
        <v>0</v>
      </c>
      <c r="EF101" s="3">
        <f t="shared" ca="1" si="196"/>
        <v>0</v>
      </c>
      <c r="EG101" s="3">
        <f t="shared" ca="1" si="197"/>
        <v>0</v>
      </c>
      <c r="EH101" s="3">
        <f ca="1">IFERROR(IF(LEFT($BA101,1)="4",OFFSET(변환표준점수!$H$118,MATCH($S101,변환표준점수!$B$119:$B$198,0),),OFFSET(EH$3,MATCH(AS101,$ED$4:$ED$8,0),0)),0)</f>
        <v>0</v>
      </c>
      <c r="EI101" s="3">
        <f ca="1">IFERROR(IF(LEFT($BA101,1)="4",OFFSET(변환표준점수!$I$118,MATCH($S101,변환표준점수!$B$119:$B$198,0),0),OFFSET(EI$3,MATCH(AT101,$ED$4:$ED$8,0),0)),0)</f>
        <v>0</v>
      </c>
      <c r="EK101" s="3">
        <f ca="1">IFERROR(IF(LEFT($BA101,1)="4",OFFSET(변환표준점수!$J$118,MATCH($S101,변환표준점수!$B$119:$B$198,0),0),OFFSET(EJ$3,MATCH(AV101,$ED$4:$ED$8,0),0)),0)</f>
        <v>0</v>
      </c>
      <c r="EL101" s="3">
        <f ca="1">IFERROR(IF(LEFT($BA101,1)="4",OFFSET(변환표준점수!$K$118,MATCH($S101,변환표준점수!$B$119:$B$198,0),0),OFFSET(EK$3,MATCH(AW101,$ED$4:$ED$8,0),0)),0)</f>
        <v>0</v>
      </c>
      <c r="EM101" s="3" t="str">
        <f t="shared" ca="1" si="198"/>
        <v/>
      </c>
      <c r="EN101" s="3" t="str">
        <f t="shared" ca="1" si="199"/>
        <v/>
      </c>
      <c r="EO101" s="3">
        <f t="shared" ca="1" si="200"/>
        <v>0</v>
      </c>
      <c r="EQ101" s="3">
        <f t="shared" ca="1" si="201"/>
        <v>0</v>
      </c>
      <c r="ER101" s="3">
        <f t="shared" ca="1" si="202"/>
        <v>0</v>
      </c>
      <c r="ES101" s="3">
        <f t="shared" ca="1" si="203"/>
        <v>0</v>
      </c>
      <c r="ET101" s="3">
        <f t="shared" ca="1" si="204"/>
        <v>0</v>
      </c>
      <c r="EU101" s="3">
        <f t="shared" si="205"/>
        <v>0</v>
      </c>
      <c r="EV101" s="3">
        <f t="shared" ca="1" si="206"/>
        <v>0</v>
      </c>
      <c r="EW101" s="3">
        <f t="shared" ca="1" si="207"/>
        <v>0</v>
      </c>
      <c r="EX101" s="3">
        <f ca="1">LARGE((ES101:ET101,EV101:EW101),1)</f>
        <v>0</v>
      </c>
      <c r="EY101" s="3">
        <f ca="1">IF(O101&lt;2,0,LARGE((ES101:ET101,EV101:EW101),2))</f>
        <v>0</v>
      </c>
      <c r="EZ101" s="3">
        <f t="shared" ca="1" si="208"/>
        <v>0</v>
      </c>
      <c r="FA101" s="3">
        <f t="shared" ca="1" si="209"/>
        <v>0</v>
      </c>
      <c r="FB101" s="3">
        <f t="shared" ca="1" si="210"/>
        <v>0</v>
      </c>
      <c r="FG101" s="3">
        <f t="shared" ca="1" si="211"/>
        <v>0</v>
      </c>
      <c r="FH101" s="618"/>
      <c r="FU101" s="3" t="str">
        <f t="shared" si="166"/>
        <v>표점/만점</v>
      </c>
      <c r="FV101" s="3" t="str">
        <f t="shared" si="167"/>
        <v>표점/만점</v>
      </c>
      <c r="FW101" s="3">
        <f t="shared" si="212"/>
        <v>0.31</v>
      </c>
      <c r="FX101" s="3">
        <f t="shared" si="213"/>
        <v>0.37</v>
      </c>
      <c r="FY101" s="3">
        <f t="shared" si="214"/>
        <v>0.31</v>
      </c>
      <c r="FZ101" s="3">
        <f t="shared" si="215"/>
        <v>5.7316593319896434</v>
      </c>
    </row>
    <row r="102" spans="1:182">
      <c r="DK102" s="93"/>
      <c r="FH102" s="618"/>
    </row>
    <row r="103" spans="1:182">
      <c r="A103" s="556">
        <v>26</v>
      </c>
      <c r="C103" s="3">
        <f t="shared" ref="C103:C145" si="216">ROUND(ROW(C103)-ROW($C$15),0)</f>
        <v>88</v>
      </c>
      <c r="D103" s="3">
        <v>88</v>
      </c>
      <c r="E103" s="3" t="s">
        <v>268</v>
      </c>
      <c r="F103" s="3">
        <v>1000</v>
      </c>
      <c r="G103" s="3">
        <v>0.25</v>
      </c>
      <c r="H103" s="3">
        <v>0.3</v>
      </c>
      <c r="I103" s="3">
        <v>0.125</v>
      </c>
      <c r="J103" s="3">
        <v>0.125</v>
      </c>
      <c r="L103" s="3">
        <v>0.125</v>
      </c>
      <c r="M103" s="3">
        <v>0.125</v>
      </c>
      <c r="O103" s="3">
        <v>2</v>
      </c>
      <c r="P103" s="3">
        <f t="shared" ref="P103:P145" si="217">G103+H103+MAX((I103:J103),L103:M103)*O103</f>
        <v>0.8</v>
      </c>
      <c r="Q103" s="3">
        <v>29</v>
      </c>
      <c r="S103" s="3">
        <f t="shared" ref="S103:S145" si="218">IF(R103&gt;0,R103,Q103)</f>
        <v>29</v>
      </c>
      <c r="W103" s="3">
        <f t="shared" ref="W103:W145" si="219">IF(AND(BH103=0,CD103=0),0,IF(V103&gt;0,V103,IF(U103=1,$W$11,0)))</f>
        <v>0</v>
      </c>
      <c r="Y103" s="3">
        <f t="shared" ref="Y103:Y145" si="220">AD103</f>
        <v>1.7985611510791366</v>
      </c>
      <c r="Z103" s="3">
        <f t="shared" ref="Z103:Z145" si="221">AE103</f>
        <v>2.1428571428571428</v>
      </c>
      <c r="AA103" s="3">
        <f t="shared" ref="AA103:AA145" ca="1" si="222">IF($BB$7=1,AF103,IF(AS103=12,$F103*I103/($AF$8*AL103+$AF$9*(1-AL103)),AF103))</f>
        <v>1.7824041066590619</v>
      </c>
      <c r="AB103" s="3">
        <f t="shared" ref="AB103:AB145" ca="1" si="223">IF($BB$7=1,AI103,IF(AV103=12,$F103*L103/($AI$8*AL103+$AI$9*(1-AL103)),AI103))</f>
        <v>1.7885248247245671</v>
      </c>
      <c r="AC103" s="3">
        <f t="shared" ref="AC103:AC145" ca="1" si="224">IF(AND(AS103=2,EA103=1),AA103*O103,IF(AND(AS103=2,EA103=2),AB103*O103,IF(EA103=1,AA103,IF(EA103=2,AB103))))</f>
        <v>1.7824041066590619</v>
      </c>
      <c r="AD103" s="3">
        <f t="shared" ref="AD103:AD145" si="225">IF(AQ103=12,$F103*G103/$AQ$9,IF(OR(AQ103=1,AQ103=4),$F103*G103/200,IF(OR(AQ103=2,AQ103=9),$F103*G103/100,"자동")))</f>
        <v>1.7985611510791366</v>
      </c>
      <c r="AE103" s="3">
        <f t="shared" ref="AE103:AE145" si="226">IF(AR103=12,$F103*H103/$AR$9,IF(OR(AR103=1,AR103=4),$F103*H103/200,IF(OR(AR103=2,AR103=9),$F103*H103/100,"자동")))</f>
        <v>2.1428571428571428</v>
      </c>
      <c r="AF103" s="3">
        <f t="shared" ref="AF103:AF145" ca="1" si="227">IF(AS103=12,$F103*I103/IF($BB$7=1,IF($ED103=1,$AS$9,$AF$9),($AF$8*AL103+$AF$9*(1-AL103))),IF(AS103=42,$F103*I103/AN103,IF(OR(AS103=1,AS103=4,AS103=2),$F103*I103/100,IF(AS103=9,$F103*I103/50,"자동"))))</f>
        <v>1.7824041066590619</v>
      </c>
      <c r="AG103" s="3">
        <f t="shared" ref="AG103:AG145" ca="1" si="228">IF(AT103=12,$F103*J103/IF($BB$7=1,IF($ED103=1,$AT$9,$AG$9),($AG$8*AL103+$AG$9*(1-AL103))),IF(AT103=42,$F103*J103/AN103,IF(OR(AT103=1,AT103=4,AT103=2),$F103*J103/100,IF(AT103=9,$F103*J103/50,"자동"))))</f>
        <v>1.7824041066590619</v>
      </c>
      <c r="AH103" s="3" t="str">
        <f t="shared" ref="AH103:AH145" si="229">IF(AU103=12,$F103*K103/IF($BB$7=1,IF($ED103=1,$AU$9,$AH$9),($AH$8*AL103+$AH$9*(1-AL103))),IF(AU103=42,$F103*K103/$AN103,IF(OR(AU103=1,AU103=4,AU103=2),$F103*K103/100,IF(AU103=9,$F103*K103/50,"자동"))))</f>
        <v>자동</v>
      </c>
      <c r="AI103" s="3">
        <f t="shared" ref="AI103:AI145" ca="1" si="230">IF(AV103=12,$F103*L103/IF($BB$7=1,IF($ED103=1,$AV$9,$AI$9),($AI$8*AL103+$AI$9*(1-AL103))),IF(AV103=42,$F103*L103/AO103,IF(OR(AV103=1,AV103=4,AV103=2),$F103*L103/100,IF(AV103=9,$F103*L103/50,"자동"))))</f>
        <v>1.7885248247245671</v>
      </c>
      <c r="AJ103" s="3">
        <f t="shared" ref="AJ103:AJ145" ca="1" si="231">IF(AW103=12,$F103*M103/IF($BB$7=1,IF($ED103=1,$AW$9,$AJ$9),($AJ$8*AL103+$AJ$9*(1-AL103))),IF(AW103=42,$F103*M103/AO103,IF(OR(AW103=1,AW103=4,AW103=2),$F103*M103/100,IF(AW103=9,$F103*M103/50,"자동"))))</f>
        <v>1.7885248247245671</v>
      </c>
      <c r="AL103" s="3" t="str">
        <f t="shared" ref="AL103:AL145" si="232">IF(AK103&lt;&gt;"",AK103,IF(BA103&lt;&gt;12,"",IF(U103=1,1,IF(LEFT(E103,3)="서울대",0,""))))</f>
        <v/>
      </c>
      <c r="AN103" s="3">
        <f ca="1">IF($BA103=42,OFFSET(변환표준점수!C$119,$AP103-1,0),"")</f>
        <v>70.13</v>
      </c>
      <c r="AO103" s="3">
        <f ca="1">IF($BA103=42,OFFSET(변환표준점수!D$119,$AP103-1,0),"")</f>
        <v>69.89</v>
      </c>
      <c r="AP103" s="3">
        <f>IF(S103="","",MATCH(S103,변환표준점수!$B$119:$B$298,0))</f>
        <v>29</v>
      </c>
      <c r="AQ103" s="3">
        <v>12</v>
      </c>
      <c r="AR103" s="3">
        <v>12</v>
      </c>
      <c r="AS103" s="3">
        <v>42</v>
      </c>
      <c r="AT103" s="3">
        <v>42</v>
      </c>
      <c r="AV103" s="3">
        <v>42</v>
      </c>
      <c r="AW103" s="3">
        <v>42</v>
      </c>
      <c r="AX103" s="3">
        <v>3</v>
      </c>
      <c r="AY103" s="3">
        <v>3</v>
      </c>
      <c r="BA103" s="3">
        <f t="shared" ref="BA103:BA145" si="233">IF(AS103&gt;0,AS103,AV103)</f>
        <v>42</v>
      </c>
      <c r="BF103" s="3">
        <f ca="1">0.06*AF103</f>
        <v>0.10694424639954371</v>
      </c>
      <c r="BG103" s="3">
        <f ca="1">0.06*AG103</f>
        <v>0.10694424639954371</v>
      </c>
      <c r="BJ103" s="3">
        <f t="shared" ref="BJ103:BJ145" si="234">IF(BI103="",IF(DT103=1,1,$BI$3),BI103)</f>
        <v>0</v>
      </c>
      <c r="BN103" s="212" t="s">
        <v>7703</v>
      </c>
      <c r="BS103" s="3">
        <f ca="1">BF103*EH103</f>
        <v>0</v>
      </c>
      <c r="BT103" s="3">
        <f ca="1">BG103*EI103</f>
        <v>0</v>
      </c>
      <c r="CH103" s="206">
        <f t="shared" ref="CH103:CH121" si="235">F103*P103</f>
        <v>800</v>
      </c>
      <c r="CI103" s="56">
        <v>200</v>
      </c>
      <c r="CJ103" s="3">
        <v>196</v>
      </c>
      <c r="CK103" s="3">
        <v>188</v>
      </c>
      <c r="CL103" s="3">
        <v>176</v>
      </c>
      <c r="CM103" s="3">
        <v>168</v>
      </c>
      <c r="CN103" s="3">
        <v>160</v>
      </c>
      <c r="CO103" s="3">
        <v>152</v>
      </c>
      <c r="CP103" s="3">
        <v>144</v>
      </c>
      <c r="CQ103" s="3">
        <v>136</v>
      </c>
      <c r="CR103" s="56">
        <v>10</v>
      </c>
      <c r="CS103" s="3">
        <v>10</v>
      </c>
      <c r="CT103" s="3">
        <v>10</v>
      </c>
      <c r="CU103" s="3">
        <v>10</v>
      </c>
      <c r="CV103" s="3">
        <v>9.8000000000000007</v>
      </c>
      <c r="CW103" s="3">
        <v>9.6</v>
      </c>
      <c r="CX103" s="3">
        <v>9.4</v>
      </c>
      <c r="CY103" s="3">
        <v>9.1999999999999993</v>
      </c>
      <c r="CZ103" s="3">
        <v>8.5</v>
      </c>
      <c r="DJ103" s="3">
        <f t="shared" ref="DJ103:DJ145" ca="1" si="236">ROUND((CI103-EZ103),1)</f>
        <v>200</v>
      </c>
      <c r="DK103" s="93">
        <f t="shared" ref="DK103:DK145" ca="1" si="237">((CI103-EZ103)/(FG103+DJ103-FC103))*100</f>
        <v>100</v>
      </c>
      <c r="DL103" s="3">
        <f t="shared" ref="DL103:DL145" ca="1" si="238">ROUND((CR103-FA103)+(DA103-FB103),1)</f>
        <v>10</v>
      </c>
      <c r="DO103" s="3">
        <v>2</v>
      </c>
      <c r="DZ103" s="3">
        <v>1</v>
      </c>
      <c r="EA103" s="3">
        <f t="shared" ref="EA103:EA145" si="239">IF(DZ103&gt;0,DZ103,IF(DM103&gt;0,1,2))</f>
        <v>1</v>
      </c>
      <c r="EB103" s="3">
        <f t="shared" ref="EB103:EB145" si="240">MAX(DM103:DO103)</f>
        <v>2</v>
      </c>
      <c r="EC103" s="3">
        <f t="shared" ref="EC103:EC145" si="241">AND(DM103-0.1&lt;$DM$8,DN103-0.1&lt;$DN$8,DO103-0.1&lt;$DO$8)*1</f>
        <v>0</v>
      </c>
      <c r="ED103" s="3">
        <f t="shared" ref="ED103:ED145" si="242">IFERROR(IF(AND($DP$8&gt;=DP103,$DQ$8&gt;=DQ103,$DR$8&gt;=DR103,$DS$8&gt;=DS103,$DT$8&gt;=DT103,$DU$8&gt;=DU103,$DV$8&gt;=DV103,$DW$8&gt;=DW103,$DX$8&gt;=DX103,OR(DY103=0,$DY$8&lt;DY103),EC103=1),1,0),0)</f>
        <v>0</v>
      </c>
      <c r="EF103" s="3">
        <f t="shared" ref="EF103:EF145" ca="1" si="243">IFERROR(OFFSET(EF$3,MATCH(AQ103,$ED$4:$ED$10,0),0),0)</f>
        <v>0</v>
      </c>
      <c r="EG103" s="3">
        <f t="shared" ref="EG103:EG145" ca="1" si="244">IFERROR(OFFSET(EG$3,MATCH(AR103,$ED$4:$ED$10,0),0),0)</f>
        <v>0</v>
      </c>
      <c r="EH103" s="3">
        <f ca="1">IFERROR(IF(LEFT($BA103,1)="4",OFFSET(변환표준점수!$H$118,MATCH($S103,변환표준점수!$B$119:$B$198,0),),OFFSET(EH$3,MATCH(AS103,$ED$4:$ED$8,0),0)),0)</f>
        <v>0</v>
      </c>
      <c r="EI103" s="3">
        <f ca="1">IFERROR(IF(LEFT($BA103,1)="4",OFFSET(변환표준점수!$I$118,MATCH($S103,변환표준점수!$B$119:$B$198,0),0),OFFSET(EI$3,MATCH(AT103,$ED$4:$ED$8,0),0)),0)</f>
        <v>0</v>
      </c>
      <c r="EK103" s="3">
        <f ca="1">IFERROR(IF(LEFT($BA103,1)="4",OFFSET(변환표준점수!$J$118,MATCH($S103,변환표준점수!$B$119:$B$198,0),0),OFFSET(EJ$3,MATCH(AV103,$ED$4:$ED$8,0),0)),0)</f>
        <v>0</v>
      </c>
      <c r="EL103" s="3">
        <f ca="1">IFERROR(IF(LEFT($BA103,1)="4",OFFSET(변환표준점수!$K$118,MATCH($S103,변환표준점수!$B$119:$B$198,0),0),OFFSET(EK$3,MATCH(AW103,$ED$4:$ED$8,0),0)),0)</f>
        <v>0</v>
      </c>
      <c r="EM103" s="3" t="str">
        <f t="shared" ref="EM103:EM145" ca="1" si="245">IFERROR(OFFSET(EL$3,MATCH(AX103,$ED$4:$ED$8,0),0),0)</f>
        <v/>
      </c>
      <c r="EN103" s="3" t="str">
        <f t="shared" ref="EN103:EN145" ca="1" si="246">IFERROR(OFFSET(EM$3,MATCH(AY103,$ED$4:$ED$8,0),0),0)</f>
        <v/>
      </c>
      <c r="EO103" s="3">
        <f t="shared" ref="EO103:EO145" ca="1" si="247">IFERROR(OFFSET(EN$3,MATCH(AZ103,$ED$4:$ED$8,0),0),0)</f>
        <v>0</v>
      </c>
      <c r="EQ103" s="3">
        <f t="shared" ref="EQ103:EQ145" ca="1" si="248">IFERROR((EF103*AD103+BO103)*$EP$9,0)</f>
        <v>0</v>
      </c>
      <c r="ER103" s="3">
        <f t="shared" ref="ER103:ER145" ca="1" si="249">IFERROR(EG103*AE103+OFFSET($BP103,0,$ER$14-1),0)</f>
        <v>0</v>
      </c>
      <c r="ES103" s="3">
        <f t="shared" ref="ES103:ES145" ca="1" si="250">IFERROR((EH103*AF103+BS103)*$EP$9,0)</f>
        <v>0</v>
      </c>
      <c r="ET103" s="3">
        <f t="shared" ref="ET103:ET145" ca="1" si="251">IFERROR(IF(O103&lt;2,0,(EI103*AG103+BT103)*$EP$9),0)</f>
        <v>0</v>
      </c>
      <c r="EU103" s="3">
        <f t="shared" ref="EU103:EU145" si="252">IFERROR(BU103*$EP$9,0)</f>
        <v>0</v>
      </c>
      <c r="EV103" s="3">
        <f t="shared" ref="EV103:EV145" ca="1" si="253">IFERROR((EK103*AI103+BV103)*$EP$9,0)</f>
        <v>0</v>
      </c>
      <c r="EW103" s="3">
        <f t="shared" ref="EW103:EW145" ca="1" si="254">IFERROR(IF(O103&lt;2,0,(EL103*AJ103+BW103)*$EP$9),0)</f>
        <v>0</v>
      </c>
      <c r="EX103" s="3">
        <f ca="1">LARGE((ES103:ET103,EV103:EW103),1)</f>
        <v>0</v>
      </c>
      <c r="EY103" s="3">
        <f ca="1">IF(O103&lt;2,0,LARGE((ES103:ET103,EV103:EW103),2))</f>
        <v>0</v>
      </c>
      <c r="EZ103" s="3">
        <f t="shared" ref="EZ103:EZ145" ca="1" si="255">IFERROR(OFFSET(CI103,0,ROUND((1/(1/EM103))-1,0)),0)</f>
        <v>0</v>
      </c>
      <c r="FA103" s="3">
        <f t="shared" ref="FA103:FA145" ca="1" si="256">IFERROR(OFFSET(CR103,0,ROUND(1/(1/EN103),0)-1),0)</f>
        <v>0</v>
      </c>
      <c r="FB103" s="3">
        <f t="shared" ref="FB103:FB145" ca="1" si="257">IFERROR(OFFSET(DA103,0,ROUND(1/(1/EO103),0)-1),0)</f>
        <v>0</v>
      </c>
      <c r="FG103" s="3">
        <f t="shared" ref="FG103:FG145" ca="1" si="258">IF(FF103&gt;0,FF103,EQ103+ER103+EU103+EX103+EY103+EZ103+FA103+FB103+FC103)</f>
        <v>0</v>
      </c>
      <c r="FH103" s="618"/>
      <c r="FU103" s="3" t="str">
        <f t="shared" si="166"/>
        <v>표점/만점</v>
      </c>
      <c r="FV103" s="3" t="str">
        <f t="shared" si="167"/>
        <v>변표/만점</v>
      </c>
      <c r="FW103" s="3">
        <f t="shared" ref="FW103:FW145" ca="1" si="259">ROUND(Y103/$FZ103,2)</f>
        <v>0.31</v>
      </c>
      <c r="FX103" s="3">
        <f t="shared" ref="FX103:FX145" ca="1" si="260">ROUND(Z103/$FZ103,2)</f>
        <v>0.37</v>
      </c>
      <c r="FY103" s="3">
        <f t="shared" ref="FY103:FY145" ca="1" si="261">ROUND(AC103/$FZ103,2)</f>
        <v>0.31</v>
      </c>
      <c r="FZ103" s="3">
        <f t="shared" ref="FZ103:FZ145" ca="1" si="262">Y103+Z103+AC103</f>
        <v>5.7238224005953411</v>
      </c>
    </row>
    <row r="104" spans="1:182">
      <c r="A104" s="556">
        <v>26</v>
      </c>
      <c r="C104" s="3">
        <f t="shared" si="216"/>
        <v>89</v>
      </c>
      <c r="D104" s="3">
        <v>89</v>
      </c>
      <c r="E104" s="3" t="s">
        <v>269</v>
      </c>
      <c r="F104" s="3">
        <v>1000</v>
      </c>
      <c r="G104" s="3">
        <v>0.3</v>
      </c>
      <c r="H104" s="3">
        <v>0.3</v>
      </c>
      <c r="I104" s="3">
        <v>0.1</v>
      </c>
      <c r="J104" s="3">
        <v>0.1</v>
      </c>
      <c r="L104" s="3">
        <v>0.1</v>
      </c>
      <c r="M104" s="3">
        <v>0.1</v>
      </c>
      <c r="O104" s="3">
        <v>2</v>
      </c>
      <c r="P104" s="3">
        <f t="shared" si="217"/>
        <v>0.8</v>
      </c>
      <c r="Q104" s="3">
        <v>29</v>
      </c>
      <c r="S104" s="3">
        <f t="shared" si="218"/>
        <v>29</v>
      </c>
      <c r="W104" s="3">
        <f t="shared" si="219"/>
        <v>0</v>
      </c>
      <c r="Y104" s="3">
        <f t="shared" si="220"/>
        <v>2.1582733812949639</v>
      </c>
      <c r="Z104" s="3">
        <f t="shared" si="221"/>
        <v>2.1428571428571428</v>
      </c>
      <c r="AA104" s="3">
        <f t="shared" ca="1" si="222"/>
        <v>1.4259232853272494</v>
      </c>
      <c r="AB104" s="3">
        <f t="shared" ca="1" si="223"/>
        <v>1.4308198597796538</v>
      </c>
      <c r="AC104" s="3">
        <f t="shared" ca="1" si="224"/>
        <v>1.4308198597796538</v>
      </c>
      <c r="AD104" s="3">
        <f t="shared" si="225"/>
        <v>2.1582733812949639</v>
      </c>
      <c r="AE104" s="3">
        <f t="shared" si="226"/>
        <v>2.1428571428571428</v>
      </c>
      <c r="AF104" s="3">
        <f t="shared" ca="1" si="227"/>
        <v>1.4259232853272494</v>
      </c>
      <c r="AG104" s="3">
        <f t="shared" ca="1" si="228"/>
        <v>1.4259232853272494</v>
      </c>
      <c r="AH104" s="3" t="str">
        <f t="shared" si="229"/>
        <v>자동</v>
      </c>
      <c r="AI104" s="3">
        <f t="shared" ca="1" si="230"/>
        <v>1.4308198597796538</v>
      </c>
      <c r="AJ104" s="3">
        <f t="shared" ca="1" si="231"/>
        <v>1.4308198597796538</v>
      </c>
      <c r="AL104" s="3" t="str">
        <f t="shared" si="232"/>
        <v/>
      </c>
      <c r="AN104" s="3">
        <f ca="1">IF($BA104=42,OFFSET(변환표준점수!C$119,$AP104-1,0),"")</f>
        <v>70.13</v>
      </c>
      <c r="AO104" s="3">
        <f ca="1">IF($BA104=42,OFFSET(변환표준점수!D$119,$AP104-1,0),"")</f>
        <v>69.89</v>
      </c>
      <c r="AP104" s="3">
        <f>IF(S104="","",MATCH(S104,변환표준점수!$B$119:$B$298,0))</f>
        <v>29</v>
      </c>
      <c r="AQ104" s="3">
        <v>12</v>
      </c>
      <c r="AR104" s="3">
        <v>12</v>
      </c>
      <c r="AS104" s="3">
        <v>42</v>
      </c>
      <c r="AT104" s="3">
        <v>42</v>
      </c>
      <c r="AV104" s="3">
        <v>42</v>
      </c>
      <c r="AW104" s="3">
        <v>42</v>
      </c>
      <c r="AX104" s="3">
        <v>3</v>
      </c>
      <c r="AY104" s="3">
        <v>3</v>
      </c>
      <c r="BA104" s="3">
        <f t="shared" si="233"/>
        <v>42</v>
      </c>
      <c r="BJ104" s="3">
        <f t="shared" si="234"/>
        <v>0</v>
      </c>
      <c r="CH104" s="206">
        <f t="shared" si="235"/>
        <v>800</v>
      </c>
      <c r="CI104" s="56">
        <v>200</v>
      </c>
      <c r="CJ104" s="3">
        <v>196</v>
      </c>
      <c r="CK104" s="3">
        <v>188</v>
      </c>
      <c r="CL104" s="3">
        <v>176</v>
      </c>
      <c r="CM104" s="3">
        <v>168</v>
      </c>
      <c r="CN104" s="3">
        <v>160</v>
      </c>
      <c r="CO104" s="3">
        <v>152</v>
      </c>
      <c r="CP104" s="3">
        <v>144</v>
      </c>
      <c r="CQ104" s="3">
        <v>136</v>
      </c>
      <c r="CR104" s="56">
        <v>10</v>
      </c>
      <c r="CS104" s="3">
        <v>10</v>
      </c>
      <c r="CT104" s="3">
        <v>10</v>
      </c>
      <c r="CU104" s="3">
        <v>9.8000000000000007</v>
      </c>
      <c r="CV104" s="3">
        <v>9.6</v>
      </c>
      <c r="CW104" s="3">
        <v>9.4</v>
      </c>
      <c r="CX104" s="3">
        <v>9.1999999999999993</v>
      </c>
      <c r="CY104" s="3">
        <v>9</v>
      </c>
      <c r="CZ104" s="3">
        <v>8.5</v>
      </c>
      <c r="DJ104" s="3">
        <f t="shared" ca="1" si="236"/>
        <v>200</v>
      </c>
      <c r="DK104" s="93">
        <f t="shared" ca="1" si="237"/>
        <v>100</v>
      </c>
      <c r="DL104" s="3">
        <f t="shared" ca="1" si="238"/>
        <v>10</v>
      </c>
      <c r="DO104" s="3">
        <v>2</v>
      </c>
      <c r="EA104" s="3">
        <f t="shared" si="239"/>
        <v>2</v>
      </c>
      <c r="EB104" s="3">
        <f t="shared" si="240"/>
        <v>2</v>
      </c>
      <c r="EC104" s="3">
        <f t="shared" si="241"/>
        <v>0</v>
      </c>
      <c r="ED104" s="3">
        <f t="shared" si="242"/>
        <v>0</v>
      </c>
      <c r="EF104" s="3">
        <f t="shared" ca="1" si="243"/>
        <v>0</v>
      </c>
      <c r="EG104" s="3">
        <f t="shared" ca="1" si="244"/>
        <v>0</v>
      </c>
      <c r="EH104" s="3">
        <f ca="1">IFERROR(IF(LEFT($BA104,1)="4",OFFSET(변환표준점수!$H$118,MATCH($S104,변환표준점수!$B$119:$B$198,0),),OFFSET(EH$3,MATCH(AS104,$ED$4:$ED$8,0),0)),0)</f>
        <v>0</v>
      </c>
      <c r="EI104" s="3">
        <f ca="1">IFERROR(IF(LEFT($BA104,1)="4",OFFSET(변환표준점수!$I$118,MATCH($S104,변환표준점수!$B$119:$B$198,0),0),OFFSET(EI$3,MATCH(AT104,$ED$4:$ED$8,0),0)),0)</f>
        <v>0</v>
      </c>
      <c r="EK104" s="3">
        <f ca="1">IFERROR(IF(LEFT($BA104,1)="4",OFFSET(변환표준점수!$J$118,MATCH($S104,변환표준점수!$B$119:$B$198,0),0),OFFSET(EJ$3,MATCH(AV104,$ED$4:$ED$8,0),0)),0)</f>
        <v>0</v>
      </c>
      <c r="EL104" s="3">
        <f ca="1">IFERROR(IF(LEFT($BA104,1)="4",OFFSET(변환표준점수!$K$118,MATCH($S104,변환표준점수!$B$119:$B$198,0),0),OFFSET(EK$3,MATCH(AW104,$ED$4:$ED$8,0),0)),0)</f>
        <v>0</v>
      </c>
      <c r="EM104" s="3" t="str">
        <f t="shared" ca="1" si="245"/>
        <v/>
      </c>
      <c r="EN104" s="3" t="str">
        <f t="shared" ca="1" si="246"/>
        <v/>
      </c>
      <c r="EO104" s="3">
        <f t="shared" ca="1" si="247"/>
        <v>0</v>
      </c>
      <c r="EQ104" s="3">
        <f t="shared" ca="1" si="248"/>
        <v>0</v>
      </c>
      <c r="ER104" s="3">
        <f t="shared" ca="1" si="249"/>
        <v>0</v>
      </c>
      <c r="ES104" s="3">
        <f t="shared" ca="1" si="250"/>
        <v>0</v>
      </c>
      <c r="ET104" s="3">
        <f t="shared" ca="1" si="251"/>
        <v>0</v>
      </c>
      <c r="EU104" s="3">
        <f t="shared" si="252"/>
        <v>0</v>
      </c>
      <c r="EV104" s="3">
        <f t="shared" ca="1" si="253"/>
        <v>0</v>
      </c>
      <c r="EW104" s="3">
        <f t="shared" ca="1" si="254"/>
        <v>0</v>
      </c>
      <c r="EX104" s="3">
        <f ca="1">LARGE((ES104:ET104,EV104:EW104),1)</f>
        <v>0</v>
      </c>
      <c r="EY104" s="3">
        <f ca="1">IF(O104&lt;2,0,LARGE((ES104:ET104,EV104:EW104),2))</f>
        <v>0</v>
      </c>
      <c r="EZ104" s="3">
        <f t="shared" ca="1" si="255"/>
        <v>0</v>
      </c>
      <c r="FA104" s="3">
        <f t="shared" ca="1" si="256"/>
        <v>0</v>
      </c>
      <c r="FB104" s="3">
        <f t="shared" ca="1" si="257"/>
        <v>0</v>
      </c>
      <c r="FG104" s="3">
        <f t="shared" ca="1" si="258"/>
        <v>0</v>
      </c>
      <c r="FH104" s="618"/>
      <c r="FU104" s="3" t="str">
        <f t="shared" si="166"/>
        <v>표점/만점</v>
      </c>
      <c r="FV104" s="3" t="str">
        <f t="shared" si="167"/>
        <v>변표/만점</v>
      </c>
      <c r="FW104" s="3">
        <f t="shared" ca="1" si="259"/>
        <v>0.38</v>
      </c>
      <c r="FX104" s="3">
        <f t="shared" ca="1" si="260"/>
        <v>0.37</v>
      </c>
      <c r="FY104" s="3">
        <f t="shared" ca="1" si="261"/>
        <v>0.25</v>
      </c>
      <c r="FZ104" s="3">
        <f t="shared" ca="1" si="262"/>
        <v>5.7319503839317605</v>
      </c>
    </row>
    <row r="105" spans="1:182">
      <c r="A105" s="556">
        <v>26</v>
      </c>
      <c r="C105" s="3">
        <f t="shared" si="216"/>
        <v>90</v>
      </c>
      <c r="D105" s="3">
        <v>90</v>
      </c>
      <c r="E105" s="3" t="s">
        <v>455</v>
      </c>
      <c r="F105" s="3">
        <v>1000</v>
      </c>
      <c r="G105" s="3">
        <f ca="1">IF($BB$7=1,OFFSET(G$103,$N105-1,0),(G$103+G$104)/2)</f>
        <v>0.3</v>
      </c>
      <c r="H105" s="3">
        <f ca="1">IF($BB$7=1,OFFSET(H$103,$N105-1,0),(H$103+H$104)/2)</f>
        <v>0.3</v>
      </c>
      <c r="I105" s="3">
        <f ca="1">IF($BB$7=1,OFFSET(I$103,$N105-1,0),(I$103+I$104)/2)</f>
        <v>0.1</v>
      </c>
      <c r="J105" s="3">
        <f ca="1">IF($BB$7=1,OFFSET(J$103,$N105-1,0),(J$103+J$104)/2)</f>
        <v>0.1</v>
      </c>
      <c r="L105" s="3">
        <f ca="1">IF($BB$7=1,OFFSET(L$103,$N105-1,0),(L$103+L$104)/2)</f>
        <v>0.1</v>
      </c>
      <c r="M105" s="3">
        <f ca="1">IF($BB$7=1,OFFSET(M$103,$N105-1,0),(M$103+M$104)/2)</f>
        <v>0.1</v>
      </c>
      <c r="N105" s="3">
        <f ca="1">IF($BB$7&lt;&gt;1,2,IF(FG103&gt;FG104,1,2))</f>
        <v>2</v>
      </c>
      <c r="O105" s="3">
        <v>2</v>
      </c>
      <c r="P105" s="3">
        <f t="shared" ca="1" si="217"/>
        <v>0.8</v>
      </c>
      <c r="Q105" s="3">
        <v>29</v>
      </c>
      <c r="S105" s="3">
        <f t="shared" si="218"/>
        <v>29</v>
      </c>
      <c r="W105" s="3">
        <f t="shared" si="219"/>
        <v>0</v>
      </c>
      <c r="Y105" s="3">
        <f t="shared" ca="1" si="220"/>
        <v>2.1582733812949639</v>
      </c>
      <c r="Z105" s="3">
        <f t="shared" ca="1" si="221"/>
        <v>2.1428571428571428</v>
      </c>
      <c r="AA105" s="3">
        <f t="shared" ca="1" si="222"/>
        <v>1.4259232853272494</v>
      </c>
      <c r="AB105" s="3">
        <f t="shared" ca="1" si="223"/>
        <v>1.4308198597796538</v>
      </c>
      <c r="AC105" s="3">
        <f t="shared" ca="1" si="224"/>
        <v>1.4259232853272494</v>
      </c>
      <c r="AD105" s="3">
        <f t="shared" ca="1" si="225"/>
        <v>2.1582733812949639</v>
      </c>
      <c r="AE105" s="3">
        <f t="shared" ca="1" si="226"/>
        <v>2.1428571428571428</v>
      </c>
      <c r="AF105" s="3">
        <f t="shared" ca="1" si="227"/>
        <v>1.4259232853272494</v>
      </c>
      <c r="AG105" s="3">
        <f t="shared" ca="1" si="228"/>
        <v>1.4259232853272494</v>
      </c>
      <c r="AH105" s="3" t="str">
        <f t="shared" si="229"/>
        <v>자동</v>
      </c>
      <c r="AI105" s="3">
        <f t="shared" ca="1" si="230"/>
        <v>1.4308198597796538</v>
      </c>
      <c r="AJ105" s="3">
        <f t="shared" ca="1" si="231"/>
        <v>1.4308198597796538</v>
      </c>
      <c r="AL105" s="3" t="str">
        <f t="shared" si="232"/>
        <v/>
      </c>
      <c r="AN105" s="3">
        <f ca="1">IF($BA105=42,OFFSET(변환표준점수!C$119,$AP105-1,0),"")</f>
        <v>70.13</v>
      </c>
      <c r="AO105" s="3">
        <f ca="1">IF($BA105=42,OFFSET(변환표준점수!D$119,$AP105-1,0),"")</f>
        <v>69.89</v>
      </c>
      <c r="AP105" s="3">
        <f>IF(S105="","",MATCH(S105,변환표준점수!$B$119:$B$298,0))</f>
        <v>29</v>
      </c>
      <c r="AQ105" s="3">
        <v>12</v>
      </c>
      <c r="AR105" s="3">
        <v>12</v>
      </c>
      <c r="AS105" s="3">
        <v>42</v>
      </c>
      <c r="AT105" s="3">
        <v>42</v>
      </c>
      <c r="AV105" s="3">
        <v>42</v>
      </c>
      <c r="AW105" s="3">
        <v>42</v>
      </c>
      <c r="AX105" s="3">
        <v>3</v>
      </c>
      <c r="AY105" s="3">
        <v>3</v>
      </c>
      <c r="BA105" s="3">
        <f t="shared" si="233"/>
        <v>42</v>
      </c>
      <c r="BF105" s="3">
        <f ca="1">IF($BB$7=1,IF($N105=2,0,0.06*AF105),BF103)</f>
        <v>0</v>
      </c>
      <c r="BG105" s="3">
        <f ca="1">IF($BB$7=1,IF($N105=2,0,0.06*AG105),BG103)</f>
        <v>0</v>
      </c>
      <c r="BJ105" s="3">
        <f t="shared" si="234"/>
        <v>0</v>
      </c>
      <c r="BN105" s="212" t="s">
        <v>7703</v>
      </c>
      <c r="BS105" s="3">
        <f ca="1">BF105*EH105</f>
        <v>0</v>
      </c>
      <c r="BT105" s="3">
        <f ca="1">BG105*EI105</f>
        <v>0</v>
      </c>
      <c r="CH105" s="206">
        <f t="shared" ca="1" si="235"/>
        <v>800</v>
      </c>
      <c r="CI105" s="56">
        <v>200</v>
      </c>
      <c r="CJ105" s="3">
        <v>196</v>
      </c>
      <c r="CK105" s="3">
        <v>188</v>
      </c>
      <c r="CL105" s="3">
        <v>176</v>
      </c>
      <c r="CM105" s="3">
        <v>168</v>
      </c>
      <c r="CN105" s="3">
        <v>160</v>
      </c>
      <c r="CO105" s="3">
        <v>152</v>
      </c>
      <c r="CP105" s="3">
        <v>144</v>
      </c>
      <c r="CQ105" s="3">
        <v>136</v>
      </c>
      <c r="CR105" s="56">
        <v>10</v>
      </c>
      <c r="CS105" s="3">
        <v>10</v>
      </c>
      <c r="CT105" s="3">
        <v>10</v>
      </c>
      <c r="CU105" s="3">
        <v>9.8000000000000007</v>
      </c>
      <c r="CV105" s="3">
        <v>9.6</v>
      </c>
      <c r="CW105" s="3">
        <v>9.4</v>
      </c>
      <c r="CX105" s="3">
        <v>9.1999999999999993</v>
      </c>
      <c r="CY105" s="3">
        <v>9</v>
      </c>
      <c r="CZ105" s="3">
        <v>8.5</v>
      </c>
      <c r="DJ105" s="3">
        <f t="shared" ca="1" si="236"/>
        <v>200</v>
      </c>
      <c r="DK105" s="93">
        <f t="shared" ca="1" si="237"/>
        <v>100</v>
      </c>
      <c r="DL105" s="3">
        <f t="shared" ca="1" si="238"/>
        <v>10</v>
      </c>
      <c r="DO105" s="3">
        <v>2</v>
      </c>
      <c r="DZ105" s="3">
        <v>1</v>
      </c>
      <c r="EA105" s="3">
        <f t="shared" si="239"/>
        <v>1</v>
      </c>
      <c r="EB105" s="3">
        <f t="shared" si="240"/>
        <v>2</v>
      </c>
      <c r="EC105" s="3">
        <f t="shared" si="241"/>
        <v>0</v>
      </c>
      <c r="ED105" s="3">
        <f t="shared" si="242"/>
        <v>0</v>
      </c>
      <c r="EF105" s="3">
        <f t="shared" ca="1" si="243"/>
        <v>0</v>
      </c>
      <c r="EG105" s="3">
        <f t="shared" ca="1" si="244"/>
        <v>0</v>
      </c>
      <c r="EH105" s="3">
        <f ca="1">IFERROR(IF(LEFT($BA105,1)="4",OFFSET(변환표준점수!$H$118,MATCH($S105,변환표준점수!$B$119:$B$198,0),),OFFSET(EH$3,MATCH(AS105,$ED$4:$ED$8,0),0)),0)</f>
        <v>0</v>
      </c>
      <c r="EI105" s="3">
        <f ca="1">IFERROR(IF(LEFT($BA105,1)="4",OFFSET(변환표준점수!$I$118,MATCH($S105,변환표준점수!$B$119:$B$198,0),0),OFFSET(EI$3,MATCH(AT105,$ED$4:$ED$8,0),0)),0)</f>
        <v>0</v>
      </c>
      <c r="EK105" s="3">
        <f ca="1">IFERROR(IF(LEFT($BA105,1)="4",OFFSET(변환표준점수!$J$118,MATCH($S105,변환표준점수!$B$119:$B$198,0),0),OFFSET(EJ$3,MATCH(AV105,$ED$4:$ED$8,0),0)),0)</f>
        <v>0</v>
      </c>
      <c r="EL105" s="3">
        <f ca="1">IFERROR(IF(LEFT($BA105,1)="4",OFFSET(변환표준점수!$K$118,MATCH($S105,변환표준점수!$B$119:$B$198,0),0),OFFSET(EK$3,MATCH(AW105,$ED$4:$ED$8,0),0)),0)</f>
        <v>0</v>
      </c>
      <c r="EM105" s="3" t="str">
        <f t="shared" ca="1" si="245"/>
        <v/>
      </c>
      <c r="EN105" s="3" t="str">
        <f t="shared" ca="1" si="246"/>
        <v/>
      </c>
      <c r="EO105" s="3">
        <f t="shared" ca="1" si="247"/>
        <v>0</v>
      </c>
      <c r="EQ105" s="3">
        <f t="shared" ca="1" si="248"/>
        <v>0</v>
      </c>
      <c r="ER105" s="3">
        <f t="shared" ca="1" si="249"/>
        <v>0</v>
      </c>
      <c r="ES105" s="3">
        <f t="shared" ca="1" si="250"/>
        <v>0</v>
      </c>
      <c r="ET105" s="3">
        <f t="shared" ca="1" si="251"/>
        <v>0</v>
      </c>
      <c r="EU105" s="3">
        <f t="shared" si="252"/>
        <v>0</v>
      </c>
      <c r="EV105" s="3">
        <f t="shared" ca="1" si="253"/>
        <v>0</v>
      </c>
      <c r="EW105" s="3">
        <f t="shared" ca="1" si="254"/>
        <v>0</v>
      </c>
      <c r="EX105" s="3">
        <f ca="1">LARGE((ES105:ET105,EV105:EW105),1)</f>
        <v>0</v>
      </c>
      <c r="EY105" s="3">
        <f ca="1">IF(O105&lt;2,0,LARGE((ES105:ET105,EV105:EW105),2))</f>
        <v>0</v>
      </c>
      <c r="EZ105" s="3">
        <f t="shared" ca="1" si="255"/>
        <v>0</v>
      </c>
      <c r="FA105" s="3">
        <f t="shared" ca="1" si="256"/>
        <v>0</v>
      </c>
      <c r="FB105" s="3">
        <f t="shared" ca="1" si="257"/>
        <v>0</v>
      </c>
      <c r="FF105" s="3">
        <f ca="1">IF($BB$7=1,LARGE(FG103:FG104,1),FG103)</f>
        <v>0</v>
      </c>
      <c r="FG105" s="3">
        <f t="shared" ca="1" si="258"/>
        <v>0</v>
      </c>
      <c r="FH105" s="618"/>
      <c r="FU105" s="3" t="str">
        <f t="shared" si="166"/>
        <v>표점/만점</v>
      </c>
      <c r="FV105" s="3" t="str">
        <f t="shared" si="167"/>
        <v>변표/만점</v>
      </c>
      <c r="FW105" s="3">
        <f t="shared" ca="1" si="259"/>
        <v>0.38</v>
      </c>
      <c r="FX105" s="3">
        <f t="shared" ca="1" si="260"/>
        <v>0.37</v>
      </c>
      <c r="FY105" s="3">
        <f t="shared" ca="1" si="261"/>
        <v>0.25</v>
      </c>
      <c r="FZ105" s="3">
        <f t="shared" ca="1" si="262"/>
        <v>5.7270538094793562</v>
      </c>
    </row>
    <row r="106" spans="1:182">
      <c r="A106" s="556">
        <v>26</v>
      </c>
      <c r="C106" s="3">
        <f t="shared" si="216"/>
        <v>91</v>
      </c>
      <c r="D106" s="3">
        <v>91</v>
      </c>
      <c r="E106" s="3" t="s">
        <v>350</v>
      </c>
      <c r="F106" s="3">
        <v>1000</v>
      </c>
      <c r="G106" s="3">
        <v>0.2</v>
      </c>
      <c r="H106" s="3">
        <v>0.35</v>
      </c>
      <c r="I106" s="3">
        <v>0.15</v>
      </c>
      <c r="J106" s="3">
        <v>0.15</v>
      </c>
      <c r="L106" s="3">
        <v>0.15</v>
      </c>
      <c r="M106" s="3">
        <v>0.15</v>
      </c>
      <c r="O106" s="3">
        <v>2</v>
      </c>
      <c r="P106" s="3">
        <f t="shared" si="217"/>
        <v>0.85000000000000009</v>
      </c>
      <c r="Q106" s="3" t="s">
        <v>408</v>
      </c>
      <c r="S106" s="3" t="str">
        <f t="shared" si="218"/>
        <v/>
      </c>
      <c r="W106" s="3">
        <f t="shared" si="219"/>
        <v>0</v>
      </c>
      <c r="Y106" s="3">
        <f t="shared" si="220"/>
        <v>2</v>
      </c>
      <c r="Z106" s="3">
        <f t="shared" si="221"/>
        <v>3.5</v>
      </c>
      <c r="AA106" s="3">
        <f t="shared" si="222"/>
        <v>1.5</v>
      </c>
      <c r="AB106" s="3">
        <f t="shared" si="223"/>
        <v>1.5</v>
      </c>
      <c r="AC106" s="3">
        <f t="shared" si="224"/>
        <v>3</v>
      </c>
      <c r="AD106" s="3">
        <f t="shared" si="225"/>
        <v>2</v>
      </c>
      <c r="AE106" s="3">
        <f t="shared" si="226"/>
        <v>3.5</v>
      </c>
      <c r="AF106" s="3">
        <f t="shared" si="227"/>
        <v>1.5</v>
      </c>
      <c r="AG106" s="3">
        <f t="shared" si="228"/>
        <v>1.5</v>
      </c>
      <c r="AH106" s="3" t="str">
        <f t="shared" si="229"/>
        <v>자동</v>
      </c>
      <c r="AI106" s="3">
        <f t="shared" si="230"/>
        <v>1.5</v>
      </c>
      <c r="AJ106" s="3">
        <f t="shared" si="231"/>
        <v>1.5</v>
      </c>
      <c r="AL106" s="3" t="str">
        <f t="shared" si="232"/>
        <v/>
      </c>
      <c r="AN106" s="3" t="str">
        <f ca="1">IF($BA106=42,OFFSET(변환표준점수!C$119,$AP106-1,0),"")</f>
        <v/>
      </c>
      <c r="AO106" s="3" t="str">
        <f ca="1">IF($BA106=42,OFFSET(변환표준점수!D$119,$AP106-1,0),"")</f>
        <v/>
      </c>
      <c r="AP106" s="3" t="str">
        <f>IF(S106="","",MATCH(S106,변환표준점수!$B$119:$B$298,0))</f>
        <v/>
      </c>
      <c r="AQ106" s="3">
        <v>2</v>
      </c>
      <c r="AR106" s="3">
        <v>2</v>
      </c>
      <c r="AS106" s="3">
        <v>2</v>
      </c>
      <c r="AT106" s="3">
        <v>2</v>
      </c>
      <c r="AV106" s="3">
        <v>2</v>
      </c>
      <c r="AW106" s="3">
        <v>2</v>
      </c>
      <c r="AX106" s="3">
        <v>3</v>
      </c>
      <c r="AY106" s="3">
        <v>3</v>
      </c>
      <c r="BA106" s="3">
        <f t="shared" si="233"/>
        <v>2</v>
      </c>
      <c r="BC106" s="3">
        <f>0.05*$AE106</f>
        <v>0.17500000000000002</v>
      </c>
      <c r="BD106" s="3">
        <f>0.05*$AE106</f>
        <v>0.17500000000000002</v>
      </c>
      <c r="BF106" s="3">
        <f>0.05*AF106</f>
        <v>7.5000000000000011E-2</v>
      </c>
      <c r="BG106" s="3">
        <f>0.05*AG106</f>
        <v>7.5000000000000011E-2</v>
      </c>
      <c r="BJ106" s="3">
        <f t="shared" si="234"/>
        <v>0</v>
      </c>
      <c r="BN106" s="212" t="s">
        <v>7296</v>
      </c>
      <c r="BP106" s="3">
        <f>IF(BP$6&gt;0,BC106*$EG106,0)</f>
        <v>0</v>
      </c>
      <c r="BQ106" s="3">
        <f>IF(BQ$6&gt;0,BD106*$EG106,0)</f>
        <v>0</v>
      </c>
      <c r="BS106" s="3">
        <f ca="1">BF106*EH106</f>
        <v>0</v>
      </c>
      <c r="BT106" s="3">
        <f ca="1">BG106*EI106</f>
        <v>0</v>
      </c>
      <c r="CH106" s="206">
        <f t="shared" si="235"/>
        <v>850.00000000000011</v>
      </c>
      <c r="CI106" s="56">
        <v>150</v>
      </c>
      <c r="CJ106" s="3">
        <v>147</v>
      </c>
      <c r="CK106" s="3">
        <v>142.5</v>
      </c>
      <c r="CL106" s="3">
        <v>127.5</v>
      </c>
      <c r="CM106" s="3">
        <v>105</v>
      </c>
      <c r="CN106" s="3">
        <v>60</v>
      </c>
      <c r="CO106" s="3">
        <v>22.5</v>
      </c>
      <c r="CP106" s="3">
        <v>7.5</v>
      </c>
      <c r="CQ106" s="3">
        <v>0</v>
      </c>
      <c r="CR106" s="56">
        <v>5</v>
      </c>
      <c r="CS106" s="3">
        <v>5</v>
      </c>
      <c r="CT106" s="3">
        <v>5</v>
      </c>
      <c r="CU106" s="3">
        <v>5</v>
      </c>
      <c r="CV106" s="3">
        <v>4</v>
      </c>
      <c r="CW106" s="3">
        <v>3</v>
      </c>
      <c r="CX106" s="3">
        <v>2</v>
      </c>
      <c r="CY106" s="3">
        <v>1</v>
      </c>
      <c r="CZ106" s="3">
        <v>0</v>
      </c>
      <c r="DJ106" s="3">
        <f t="shared" ca="1" si="236"/>
        <v>150</v>
      </c>
      <c r="DK106" s="93">
        <f t="shared" ca="1" si="237"/>
        <v>100</v>
      </c>
      <c r="DL106" s="3">
        <f t="shared" ca="1" si="238"/>
        <v>5</v>
      </c>
      <c r="DO106" s="3">
        <v>2</v>
      </c>
      <c r="DZ106" s="3">
        <v>1</v>
      </c>
      <c r="EA106" s="3">
        <f t="shared" si="239"/>
        <v>1</v>
      </c>
      <c r="EB106" s="3">
        <f t="shared" si="240"/>
        <v>2</v>
      </c>
      <c r="EC106" s="3">
        <f t="shared" si="241"/>
        <v>0</v>
      </c>
      <c r="ED106" s="3">
        <f t="shared" si="242"/>
        <v>0</v>
      </c>
      <c r="EF106" s="3">
        <f t="shared" ca="1" si="243"/>
        <v>0</v>
      </c>
      <c r="EG106" s="3">
        <f t="shared" ca="1" si="244"/>
        <v>0</v>
      </c>
      <c r="EH106" s="3">
        <f ca="1">IFERROR(IF(LEFT($BA106,1)="4",OFFSET(변환표준점수!$H$118,MATCH($S106,변환표준점수!$B$119:$B$198,0),),OFFSET(EH$3,MATCH(AS106,$ED$4:$ED$8,0),0)),0)</f>
        <v>0</v>
      </c>
      <c r="EI106" s="3">
        <f ca="1">IFERROR(IF(LEFT($BA106,1)="4",OFFSET(변환표준점수!$I$118,MATCH($S106,변환표준점수!$B$119:$B$198,0),0),OFFSET(EI$3,MATCH(AT106,$ED$4:$ED$8,0),0)),0)</f>
        <v>0</v>
      </c>
      <c r="EK106" s="3">
        <f ca="1">IFERROR(IF(LEFT($BA106,1)="4",OFFSET(변환표준점수!$J$118,MATCH($S106,변환표준점수!$B$119:$B$198,0),0),OFFSET(EJ$3,MATCH(AV106,$ED$4:$ED$8,0),0)),0)</f>
        <v>0</v>
      </c>
      <c r="EL106" s="3">
        <f ca="1">IFERROR(IF(LEFT($BA106,1)="4",OFFSET(변환표준점수!$K$118,MATCH($S106,변환표준점수!$B$119:$B$198,0),0),OFFSET(EK$3,MATCH(AW106,$ED$4:$ED$8,0),0)),0)</f>
        <v>0</v>
      </c>
      <c r="EM106" s="3" t="str">
        <f t="shared" ca="1" si="245"/>
        <v/>
      </c>
      <c r="EN106" s="3" t="str">
        <f t="shared" ca="1" si="246"/>
        <v/>
      </c>
      <c r="EO106" s="3">
        <f t="shared" ca="1" si="247"/>
        <v>0</v>
      </c>
      <c r="EQ106" s="3">
        <f t="shared" ca="1" si="248"/>
        <v>0</v>
      </c>
      <c r="ER106" s="3">
        <f t="shared" ca="1" si="249"/>
        <v>0</v>
      </c>
      <c r="ES106" s="3">
        <f t="shared" ca="1" si="250"/>
        <v>0</v>
      </c>
      <c r="ET106" s="3">
        <f t="shared" ca="1" si="251"/>
        <v>0</v>
      </c>
      <c r="EU106" s="3">
        <f t="shared" si="252"/>
        <v>0</v>
      </c>
      <c r="EV106" s="3">
        <f t="shared" ca="1" si="253"/>
        <v>0</v>
      </c>
      <c r="EW106" s="3">
        <f t="shared" ca="1" si="254"/>
        <v>0</v>
      </c>
      <c r="EX106" s="3">
        <f ca="1">LARGE((ES106:ET106,EV106:EW106),1)</f>
        <v>0</v>
      </c>
      <c r="EY106" s="3">
        <f ca="1">IF(O106&lt;2,0,LARGE((ES106:ET106,EV106:EW106),2))</f>
        <v>0</v>
      </c>
      <c r="EZ106" s="3">
        <f t="shared" ca="1" si="255"/>
        <v>0</v>
      </c>
      <c r="FA106" s="3">
        <f t="shared" ca="1" si="256"/>
        <v>0</v>
      </c>
      <c r="FB106" s="3">
        <f t="shared" ca="1" si="257"/>
        <v>0</v>
      </c>
      <c r="FG106" s="3">
        <f t="shared" ca="1" si="258"/>
        <v>0</v>
      </c>
      <c r="FH106" s="618"/>
      <c r="FU106" s="3" t="str">
        <f t="shared" si="166"/>
        <v>백분위</v>
      </c>
      <c r="FV106" s="3" t="str">
        <f t="shared" si="167"/>
        <v>백분위</v>
      </c>
      <c r="FW106" s="3">
        <f t="shared" si="259"/>
        <v>0.24</v>
      </c>
      <c r="FX106" s="3">
        <f t="shared" si="260"/>
        <v>0.41</v>
      </c>
      <c r="FY106" s="3">
        <f t="shared" si="261"/>
        <v>0.35</v>
      </c>
      <c r="FZ106" s="3">
        <f t="shared" si="262"/>
        <v>8.5</v>
      </c>
    </row>
    <row r="107" spans="1:182">
      <c r="A107" s="556">
        <v>26</v>
      </c>
      <c r="C107" s="3">
        <f t="shared" si="216"/>
        <v>92</v>
      </c>
      <c r="D107" s="3">
        <v>92</v>
      </c>
      <c r="E107" s="3" t="s">
        <v>351</v>
      </c>
      <c r="F107" s="3">
        <v>1000</v>
      </c>
      <c r="G107" s="3">
        <v>0.35</v>
      </c>
      <c r="H107" s="3">
        <v>0.25</v>
      </c>
      <c r="I107" s="3">
        <v>0.1</v>
      </c>
      <c r="J107" s="3">
        <v>0.1</v>
      </c>
      <c r="L107" s="3">
        <v>0.1</v>
      </c>
      <c r="M107" s="3">
        <v>0.1</v>
      </c>
      <c r="O107" s="3">
        <v>2</v>
      </c>
      <c r="P107" s="3">
        <f t="shared" si="217"/>
        <v>0.8</v>
      </c>
      <c r="Q107" s="3" t="s">
        <v>408</v>
      </c>
      <c r="S107" s="3" t="str">
        <f t="shared" si="218"/>
        <v/>
      </c>
      <c r="W107" s="3">
        <f t="shared" si="219"/>
        <v>0</v>
      </c>
      <c r="Y107" s="3">
        <f t="shared" si="220"/>
        <v>3.5</v>
      </c>
      <c r="Z107" s="3">
        <f t="shared" si="221"/>
        <v>2.5</v>
      </c>
      <c r="AA107" s="3">
        <f t="shared" si="222"/>
        <v>1</v>
      </c>
      <c r="AB107" s="3">
        <f t="shared" si="223"/>
        <v>1</v>
      </c>
      <c r="AC107" s="3">
        <f t="shared" si="224"/>
        <v>2</v>
      </c>
      <c r="AD107" s="3">
        <f t="shared" si="225"/>
        <v>3.5</v>
      </c>
      <c r="AE107" s="3">
        <f t="shared" si="226"/>
        <v>2.5</v>
      </c>
      <c r="AF107" s="3">
        <f t="shared" si="227"/>
        <v>1</v>
      </c>
      <c r="AG107" s="3">
        <f t="shared" si="228"/>
        <v>1</v>
      </c>
      <c r="AH107" s="3" t="str">
        <f t="shared" si="229"/>
        <v>자동</v>
      </c>
      <c r="AI107" s="3">
        <f t="shared" si="230"/>
        <v>1</v>
      </c>
      <c r="AJ107" s="3">
        <f t="shared" si="231"/>
        <v>1</v>
      </c>
      <c r="AL107" s="3" t="str">
        <f t="shared" si="232"/>
        <v/>
      </c>
      <c r="AN107" s="3" t="str">
        <f ca="1">IF($BA107=42,OFFSET(변환표준점수!C$119,$AP107-1,0),"")</f>
        <v/>
      </c>
      <c r="AO107" s="3" t="str">
        <f ca="1">IF($BA107=42,OFFSET(변환표준점수!D$119,$AP107-1,0),"")</f>
        <v/>
      </c>
      <c r="AP107" s="3" t="str">
        <f>IF(S107="","",MATCH(S107,변환표준점수!$B$119:$B$298,0))</f>
        <v/>
      </c>
      <c r="AQ107" s="3">
        <v>2</v>
      </c>
      <c r="AR107" s="3">
        <v>2</v>
      </c>
      <c r="AS107" s="3">
        <v>2</v>
      </c>
      <c r="AT107" s="3">
        <v>2</v>
      </c>
      <c r="AV107" s="3">
        <v>2</v>
      </c>
      <c r="AW107" s="3">
        <v>2</v>
      </c>
      <c r="AX107" s="3">
        <v>3</v>
      </c>
      <c r="AY107" s="3">
        <v>3</v>
      </c>
      <c r="BA107" s="3">
        <f t="shared" si="233"/>
        <v>2</v>
      </c>
      <c r="BJ107" s="3">
        <f t="shared" si="234"/>
        <v>0</v>
      </c>
      <c r="CH107" s="206">
        <f t="shared" si="235"/>
        <v>800</v>
      </c>
      <c r="CI107" s="56">
        <v>200</v>
      </c>
      <c r="CJ107" s="3">
        <v>196</v>
      </c>
      <c r="CK107" s="3">
        <v>190</v>
      </c>
      <c r="CL107" s="3">
        <v>170</v>
      </c>
      <c r="CM107" s="3">
        <v>140</v>
      </c>
      <c r="CN107" s="3">
        <v>80</v>
      </c>
      <c r="CO107" s="3">
        <v>30</v>
      </c>
      <c r="CP107" s="3">
        <v>10</v>
      </c>
      <c r="CQ107" s="3">
        <v>0</v>
      </c>
      <c r="CR107" s="56">
        <v>5</v>
      </c>
      <c r="CS107" s="3">
        <v>5</v>
      </c>
      <c r="CT107" s="3">
        <v>5</v>
      </c>
      <c r="CU107" s="3">
        <v>5</v>
      </c>
      <c r="CV107" s="3">
        <v>4</v>
      </c>
      <c r="CW107" s="3">
        <v>3</v>
      </c>
      <c r="CX107" s="3">
        <v>2</v>
      </c>
      <c r="CY107" s="3">
        <v>1</v>
      </c>
      <c r="CZ107" s="3">
        <v>0</v>
      </c>
      <c r="DJ107" s="3">
        <f t="shared" ca="1" si="236"/>
        <v>200</v>
      </c>
      <c r="DK107" s="93">
        <f t="shared" ca="1" si="237"/>
        <v>100</v>
      </c>
      <c r="DL107" s="3">
        <f t="shared" ca="1" si="238"/>
        <v>5</v>
      </c>
      <c r="DO107" s="3">
        <v>2</v>
      </c>
      <c r="DZ107" s="3">
        <v>1</v>
      </c>
      <c r="EA107" s="3">
        <f t="shared" si="239"/>
        <v>1</v>
      </c>
      <c r="EB107" s="3">
        <f t="shared" si="240"/>
        <v>2</v>
      </c>
      <c r="EC107" s="3">
        <f t="shared" si="241"/>
        <v>0</v>
      </c>
      <c r="ED107" s="3">
        <f t="shared" si="242"/>
        <v>0</v>
      </c>
      <c r="EF107" s="3">
        <f t="shared" ca="1" si="243"/>
        <v>0</v>
      </c>
      <c r="EG107" s="3">
        <f t="shared" ca="1" si="244"/>
        <v>0</v>
      </c>
      <c r="EH107" s="3">
        <f ca="1">IFERROR(IF(LEFT($BA107,1)="4",OFFSET(변환표준점수!$H$118,MATCH($S107,변환표준점수!$B$119:$B$198,0),),OFFSET(EH$3,MATCH(AS107,$ED$4:$ED$8,0),0)),0)</f>
        <v>0</v>
      </c>
      <c r="EI107" s="3">
        <f ca="1">IFERROR(IF(LEFT($BA107,1)="4",OFFSET(변환표준점수!$I$118,MATCH($S107,변환표준점수!$B$119:$B$198,0),0),OFFSET(EI$3,MATCH(AT107,$ED$4:$ED$8,0),0)),0)</f>
        <v>0</v>
      </c>
      <c r="EK107" s="3">
        <f ca="1">IFERROR(IF(LEFT($BA107,1)="4",OFFSET(변환표준점수!$J$118,MATCH($S107,변환표준점수!$B$119:$B$198,0),0),OFFSET(EJ$3,MATCH(AV107,$ED$4:$ED$8,0),0)),0)</f>
        <v>0</v>
      </c>
      <c r="EL107" s="3">
        <f ca="1">IFERROR(IF(LEFT($BA107,1)="4",OFFSET(변환표준점수!$K$118,MATCH($S107,변환표준점수!$B$119:$B$198,0),0),OFFSET(EK$3,MATCH(AW107,$ED$4:$ED$8,0),0)),0)</f>
        <v>0</v>
      </c>
      <c r="EM107" s="3" t="str">
        <f t="shared" ca="1" si="245"/>
        <v/>
      </c>
      <c r="EN107" s="3" t="str">
        <f t="shared" ca="1" si="246"/>
        <v/>
      </c>
      <c r="EO107" s="3">
        <f t="shared" ca="1" si="247"/>
        <v>0</v>
      </c>
      <c r="EQ107" s="3">
        <f t="shared" ca="1" si="248"/>
        <v>0</v>
      </c>
      <c r="ER107" s="3">
        <f t="shared" ca="1" si="249"/>
        <v>0</v>
      </c>
      <c r="ES107" s="3">
        <f t="shared" ca="1" si="250"/>
        <v>0</v>
      </c>
      <c r="ET107" s="3">
        <f t="shared" ca="1" si="251"/>
        <v>0</v>
      </c>
      <c r="EU107" s="3">
        <f t="shared" si="252"/>
        <v>0</v>
      </c>
      <c r="EV107" s="3">
        <f t="shared" ca="1" si="253"/>
        <v>0</v>
      </c>
      <c r="EW107" s="3">
        <f t="shared" ca="1" si="254"/>
        <v>0</v>
      </c>
      <c r="EX107" s="3">
        <f ca="1">LARGE((ES107:ET107,EV107:EW107),1)</f>
        <v>0</v>
      </c>
      <c r="EY107" s="3">
        <f ca="1">IF(O107&lt;2,0,LARGE((ES107:ET107,EV107:EW107),2))</f>
        <v>0</v>
      </c>
      <c r="EZ107" s="3">
        <f t="shared" ca="1" si="255"/>
        <v>0</v>
      </c>
      <c r="FA107" s="3">
        <f t="shared" ca="1" si="256"/>
        <v>0</v>
      </c>
      <c r="FB107" s="3">
        <f t="shared" ca="1" si="257"/>
        <v>0</v>
      </c>
      <c r="FG107" s="3">
        <f t="shared" ca="1" si="258"/>
        <v>0</v>
      </c>
      <c r="FH107" s="618"/>
      <c r="FU107" s="3" t="str">
        <f t="shared" si="166"/>
        <v>백분위</v>
      </c>
      <c r="FV107" s="3" t="str">
        <f t="shared" si="167"/>
        <v>백분위</v>
      </c>
      <c r="FW107" s="3">
        <f t="shared" si="259"/>
        <v>0.44</v>
      </c>
      <c r="FX107" s="3">
        <f t="shared" si="260"/>
        <v>0.31</v>
      </c>
      <c r="FY107" s="3">
        <f t="shared" si="261"/>
        <v>0.25</v>
      </c>
      <c r="FZ107" s="3">
        <f t="shared" si="262"/>
        <v>8</v>
      </c>
    </row>
    <row r="108" spans="1:182">
      <c r="A108" s="556">
        <v>26</v>
      </c>
      <c r="C108" s="3">
        <f t="shared" si="216"/>
        <v>93</v>
      </c>
      <c r="D108" s="3">
        <v>93</v>
      </c>
      <c r="E108" s="3" t="s">
        <v>352</v>
      </c>
      <c r="F108" s="3">
        <v>1000</v>
      </c>
      <c r="G108" s="3">
        <v>0.35</v>
      </c>
      <c r="H108" s="3">
        <v>0.25</v>
      </c>
      <c r="I108" s="3">
        <v>0.1</v>
      </c>
      <c r="J108" s="3">
        <v>0.1</v>
      </c>
      <c r="L108" s="3">
        <v>0.1</v>
      </c>
      <c r="M108" s="3">
        <v>0.1</v>
      </c>
      <c r="O108" s="3">
        <v>2</v>
      </c>
      <c r="P108" s="3">
        <f t="shared" si="217"/>
        <v>0.8</v>
      </c>
      <c r="Q108" s="3" t="s">
        <v>408</v>
      </c>
      <c r="S108" s="3" t="str">
        <f t="shared" si="218"/>
        <v/>
      </c>
      <c r="W108" s="3">
        <f t="shared" si="219"/>
        <v>0</v>
      </c>
      <c r="Y108" s="3">
        <f t="shared" si="220"/>
        <v>3.5</v>
      </c>
      <c r="Z108" s="3">
        <f t="shared" si="221"/>
        <v>2.5</v>
      </c>
      <c r="AA108" s="3">
        <f t="shared" si="222"/>
        <v>1</v>
      </c>
      <c r="AB108" s="3">
        <f t="shared" si="223"/>
        <v>1</v>
      </c>
      <c r="AC108" s="3">
        <f t="shared" si="224"/>
        <v>2</v>
      </c>
      <c r="AD108" s="3">
        <f t="shared" si="225"/>
        <v>3.5</v>
      </c>
      <c r="AE108" s="3">
        <f t="shared" si="226"/>
        <v>2.5</v>
      </c>
      <c r="AF108" s="3">
        <f t="shared" si="227"/>
        <v>1</v>
      </c>
      <c r="AG108" s="3">
        <f t="shared" si="228"/>
        <v>1</v>
      </c>
      <c r="AH108" s="3" t="str">
        <f t="shared" si="229"/>
        <v>자동</v>
      </c>
      <c r="AI108" s="3">
        <f t="shared" si="230"/>
        <v>1</v>
      </c>
      <c r="AJ108" s="3">
        <f t="shared" si="231"/>
        <v>1</v>
      </c>
      <c r="AL108" s="3" t="str">
        <f t="shared" si="232"/>
        <v/>
      </c>
      <c r="AN108" s="3" t="str">
        <f ca="1">IF($BA108=42,OFFSET(변환표준점수!C$119,$AP108-1,0),"")</f>
        <v/>
      </c>
      <c r="AO108" s="3" t="str">
        <f ca="1">IF($BA108=42,OFFSET(변환표준점수!D$119,$AP108-1,0),"")</f>
        <v/>
      </c>
      <c r="AP108" s="3" t="str">
        <f>IF(S108="","",MATCH(S108,변환표준점수!$B$119:$B$298,0))</f>
        <v/>
      </c>
      <c r="AQ108" s="3">
        <v>2</v>
      </c>
      <c r="AR108" s="3">
        <v>2</v>
      </c>
      <c r="AS108" s="3">
        <v>2</v>
      </c>
      <c r="AT108" s="3">
        <v>2</v>
      </c>
      <c r="AV108" s="3">
        <v>2</v>
      </c>
      <c r="AW108" s="3">
        <v>2</v>
      </c>
      <c r="AX108" s="3">
        <v>3</v>
      </c>
      <c r="AY108" s="3">
        <v>3</v>
      </c>
      <c r="BA108" s="3">
        <f t="shared" si="233"/>
        <v>2</v>
      </c>
      <c r="BJ108" s="3">
        <f t="shared" si="234"/>
        <v>0</v>
      </c>
      <c r="CH108" s="206">
        <f t="shared" si="235"/>
        <v>800</v>
      </c>
      <c r="CI108" s="56">
        <v>200</v>
      </c>
      <c r="CJ108" s="3">
        <v>196</v>
      </c>
      <c r="CK108" s="3">
        <v>190</v>
      </c>
      <c r="CL108" s="3">
        <v>170</v>
      </c>
      <c r="CM108" s="3">
        <v>140</v>
      </c>
      <c r="CN108" s="3">
        <v>80</v>
      </c>
      <c r="CO108" s="3">
        <v>30</v>
      </c>
      <c r="CP108" s="3">
        <v>10</v>
      </c>
      <c r="CQ108" s="3">
        <v>0</v>
      </c>
      <c r="CR108" s="56">
        <v>5</v>
      </c>
      <c r="CS108" s="3">
        <v>5</v>
      </c>
      <c r="CT108" s="3">
        <v>5</v>
      </c>
      <c r="CU108" s="3">
        <v>5</v>
      </c>
      <c r="CV108" s="3">
        <v>4</v>
      </c>
      <c r="CW108" s="3">
        <v>3</v>
      </c>
      <c r="CX108" s="3">
        <v>2</v>
      </c>
      <c r="CY108" s="3">
        <v>1</v>
      </c>
      <c r="CZ108" s="3">
        <v>0</v>
      </c>
      <c r="DJ108" s="3">
        <f t="shared" ca="1" si="236"/>
        <v>200</v>
      </c>
      <c r="DK108" s="93">
        <f t="shared" ca="1" si="237"/>
        <v>100</v>
      </c>
      <c r="DL108" s="3">
        <f t="shared" ca="1" si="238"/>
        <v>5</v>
      </c>
      <c r="DO108" s="3">
        <v>2</v>
      </c>
      <c r="EA108" s="3">
        <f t="shared" si="239"/>
        <v>2</v>
      </c>
      <c r="EB108" s="3">
        <f t="shared" si="240"/>
        <v>2</v>
      </c>
      <c r="EC108" s="3">
        <f t="shared" si="241"/>
        <v>0</v>
      </c>
      <c r="ED108" s="3">
        <f t="shared" si="242"/>
        <v>0</v>
      </c>
      <c r="EF108" s="3">
        <f t="shared" ca="1" si="243"/>
        <v>0</v>
      </c>
      <c r="EG108" s="3">
        <f t="shared" ca="1" si="244"/>
        <v>0</v>
      </c>
      <c r="EH108" s="3">
        <f ca="1">IFERROR(IF(LEFT($BA108,1)="4",OFFSET(변환표준점수!$H$118,MATCH($S108,변환표준점수!$B$119:$B$198,0),),OFFSET(EH$3,MATCH(AS108,$ED$4:$ED$8,0),0)),0)</f>
        <v>0</v>
      </c>
      <c r="EI108" s="3">
        <f ca="1">IFERROR(IF(LEFT($BA108,1)="4",OFFSET(변환표준점수!$I$118,MATCH($S108,변환표준점수!$B$119:$B$198,0),0),OFFSET(EI$3,MATCH(AT108,$ED$4:$ED$8,0),0)),0)</f>
        <v>0</v>
      </c>
      <c r="EK108" s="3">
        <f ca="1">IFERROR(IF(LEFT($BA108,1)="4",OFFSET(변환표준점수!$J$118,MATCH($S108,변환표준점수!$B$119:$B$198,0),0),OFFSET(EJ$3,MATCH(AV108,$ED$4:$ED$8,0),0)),0)</f>
        <v>0</v>
      </c>
      <c r="EL108" s="3">
        <f ca="1">IFERROR(IF(LEFT($BA108,1)="4",OFFSET(변환표준점수!$K$118,MATCH($S108,변환표준점수!$B$119:$B$198,0),0),OFFSET(EK$3,MATCH(AW108,$ED$4:$ED$8,0),0)),0)</f>
        <v>0</v>
      </c>
      <c r="EM108" s="3" t="str">
        <f t="shared" ca="1" si="245"/>
        <v/>
      </c>
      <c r="EN108" s="3" t="str">
        <f t="shared" ca="1" si="246"/>
        <v/>
      </c>
      <c r="EO108" s="3">
        <f t="shared" ca="1" si="247"/>
        <v>0</v>
      </c>
      <c r="EQ108" s="3">
        <f t="shared" ca="1" si="248"/>
        <v>0</v>
      </c>
      <c r="ER108" s="3">
        <f t="shared" ca="1" si="249"/>
        <v>0</v>
      </c>
      <c r="ES108" s="3">
        <f t="shared" ca="1" si="250"/>
        <v>0</v>
      </c>
      <c r="ET108" s="3">
        <f t="shared" ca="1" si="251"/>
        <v>0</v>
      </c>
      <c r="EU108" s="3">
        <f t="shared" si="252"/>
        <v>0</v>
      </c>
      <c r="EV108" s="3">
        <f t="shared" ca="1" si="253"/>
        <v>0</v>
      </c>
      <c r="EW108" s="3">
        <f t="shared" ca="1" si="254"/>
        <v>0</v>
      </c>
      <c r="EX108" s="3">
        <f ca="1">LARGE((ES108:ET108,EV108:EW108),1)</f>
        <v>0</v>
      </c>
      <c r="EY108" s="3">
        <f ca="1">IF(O108&lt;2,0,LARGE((ES108:ET108,EV108:EW108),2))</f>
        <v>0</v>
      </c>
      <c r="EZ108" s="3">
        <f t="shared" ca="1" si="255"/>
        <v>0</v>
      </c>
      <c r="FA108" s="3">
        <f t="shared" ca="1" si="256"/>
        <v>0</v>
      </c>
      <c r="FB108" s="3">
        <f t="shared" ca="1" si="257"/>
        <v>0</v>
      </c>
      <c r="FG108" s="3">
        <f t="shared" ca="1" si="258"/>
        <v>0</v>
      </c>
      <c r="FH108" s="618"/>
      <c r="FU108" s="3" t="str">
        <f t="shared" si="166"/>
        <v>백분위</v>
      </c>
      <c r="FV108" s="3" t="str">
        <f t="shared" si="167"/>
        <v>백분위</v>
      </c>
      <c r="FW108" s="3">
        <f t="shared" si="259"/>
        <v>0.44</v>
      </c>
      <c r="FX108" s="3">
        <f t="shared" si="260"/>
        <v>0.31</v>
      </c>
      <c r="FY108" s="3">
        <f t="shared" si="261"/>
        <v>0.25</v>
      </c>
      <c r="FZ108" s="3">
        <f t="shared" si="262"/>
        <v>8</v>
      </c>
    </row>
    <row r="109" spans="1:182">
      <c r="A109" s="556">
        <v>26</v>
      </c>
      <c r="C109" s="3">
        <f t="shared" si="216"/>
        <v>94</v>
      </c>
      <c r="D109" s="3">
        <v>94</v>
      </c>
      <c r="E109" s="3" t="s">
        <v>353</v>
      </c>
      <c r="F109" s="3">
        <v>1000</v>
      </c>
      <c r="G109" s="3">
        <v>0.25</v>
      </c>
      <c r="H109" s="3">
        <v>0.35</v>
      </c>
      <c r="I109" s="3">
        <v>0.1</v>
      </c>
      <c r="J109" s="3">
        <v>0.1</v>
      </c>
      <c r="L109" s="3">
        <v>0.1</v>
      </c>
      <c r="M109" s="3">
        <v>0.1</v>
      </c>
      <c r="O109" s="3">
        <v>2</v>
      </c>
      <c r="P109" s="3">
        <f t="shared" si="217"/>
        <v>0.8</v>
      </c>
      <c r="Q109" s="3" t="s">
        <v>408</v>
      </c>
      <c r="S109" s="3" t="str">
        <f t="shared" si="218"/>
        <v/>
      </c>
      <c r="W109" s="3">
        <f t="shared" si="219"/>
        <v>0</v>
      </c>
      <c r="Y109" s="3">
        <f t="shared" si="220"/>
        <v>2.5</v>
      </c>
      <c r="Z109" s="3">
        <f t="shared" si="221"/>
        <v>3.5</v>
      </c>
      <c r="AA109" s="3">
        <f t="shared" si="222"/>
        <v>1</v>
      </c>
      <c r="AB109" s="3">
        <f t="shared" si="223"/>
        <v>1</v>
      </c>
      <c r="AC109" s="3">
        <f t="shared" si="224"/>
        <v>2</v>
      </c>
      <c r="AD109" s="3">
        <f t="shared" si="225"/>
        <v>2.5</v>
      </c>
      <c r="AE109" s="3">
        <f t="shared" si="226"/>
        <v>3.5</v>
      </c>
      <c r="AF109" s="3">
        <f t="shared" si="227"/>
        <v>1</v>
      </c>
      <c r="AG109" s="3">
        <f t="shared" si="228"/>
        <v>1</v>
      </c>
      <c r="AH109" s="3" t="str">
        <f t="shared" si="229"/>
        <v>자동</v>
      </c>
      <c r="AI109" s="3">
        <f t="shared" si="230"/>
        <v>1</v>
      </c>
      <c r="AJ109" s="3">
        <f t="shared" si="231"/>
        <v>1</v>
      </c>
      <c r="AL109" s="3" t="str">
        <f t="shared" si="232"/>
        <v/>
      </c>
      <c r="AN109" s="3" t="str">
        <f ca="1">IF($BA109=42,OFFSET(변환표준점수!C$119,$AP109-1,0),"")</f>
        <v/>
      </c>
      <c r="AO109" s="3" t="str">
        <f ca="1">IF($BA109=42,OFFSET(변환표준점수!D$119,$AP109-1,0),"")</f>
        <v/>
      </c>
      <c r="AP109" s="3" t="str">
        <f>IF(S109="","",MATCH(S109,변환표준점수!$B$119:$B$298,0))</f>
        <v/>
      </c>
      <c r="AQ109" s="3">
        <v>2</v>
      </c>
      <c r="AR109" s="3">
        <v>2</v>
      </c>
      <c r="AS109" s="3">
        <v>2</v>
      </c>
      <c r="AT109" s="3">
        <v>2</v>
      </c>
      <c r="AV109" s="3">
        <v>2</v>
      </c>
      <c r="AW109" s="3">
        <v>2</v>
      </c>
      <c r="AX109" s="3">
        <v>3</v>
      </c>
      <c r="AY109" s="3">
        <v>3</v>
      </c>
      <c r="BA109" s="3">
        <f t="shared" si="233"/>
        <v>2</v>
      </c>
      <c r="BJ109" s="3">
        <f t="shared" si="234"/>
        <v>0</v>
      </c>
      <c r="CH109" s="206">
        <f t="shared" si="235"/>
        <v>800</v>
      </c>
      <c r="CI109" s="56">
        <v>200</v>
      </c>
      <c r="CJ109" s="3">
        <v>196</v>
      </c>
      <c r="CK109" s="3">
        <v>190</v>
      </c>
      <c r="CL109" s="3">
        <v>170</v>
      </c>
      <c r="CM109" s="3">
        <v>140</v>
      </c>
      <c r="CN109" s="3">
        <v>80</v>
      </c>
      <c r="CO109" s="3">
        <v>30</v>
      </c>
      <c r="CP109" s="3">
        <v>10</v>
      </c>
      <c r="CQ109" s="3">
        <v>0</v>
      </c>
      <c r="CR109" s="56">
        <v>5</v>
      </c>
      <c r="CS109" s="3">
        <v>5</v>
      </c>
      <c r="CT109" s="3">
        <v>5</v>
      </c>
      <c r="CU109" s="3">
        <v>5</v>
      </c>
      <c r="CV109" s="3">
        <v>4</v>
      </c>
      <c r="CW109" s="3">
        <v>3</v>
      </c>
      <c r="CX109" s="3">
        <v>2</v>
      </c>
      <c r="CY109" s="3">
        <v>1</v>
      </c>
      <c r="CZ109" s="3">
        <v>0</v>
      </c>
      <c r="DJ109" s="3">
        <f t="shared" ca="1" si="236"/>
        <v>200</v>
      </c>
      <c r="DK109" s="93">
        <f t="shared" ca="1" si="237"/>
        <v>100</v>
      </c>
      <c r="DL109" s="3">
        <f t="shared" ca="1" si="238"/>
        <v>5</v>
      </c>
      <c r="DO109" s="3">
        <v>2</v>
      </c>
      <c r="EA109" s="3">
        <f t="shared" si="239"/>
        <v>2</v>
      </c>
      <c r="EB109" s="3">
        <f t="shared" si="240"/>
        <v>2</v>
      </c>
      <c r="EC109" s="3">
        <f t="shared" si="241"/>
        <v>0</v>
      </c>
      <c r="ED109" s="3">
        <f t="shared" si="242"/>
        <v>0</v>
      </c>
      <c r="EF109" s="3">
        <f t="shared" ca="1" si="243"/>
        <v>0</v>
      </c>
      <c r="EG109" s="3">
        <f t="shared" ca="1" si="244"/>
        <v>0</v>
      </c>
      <c r="EH109" s="3">
        <f ca="1">IFERROR(IF(LEFT($BA109,1)="4",OFFSET(변환표준점수!$H$118,MATCH($S109,변환표준점수!$B$119:$B$198,0),),OFFSET(EH$3,MATCH(AS109,$ED$4:$ED$8,0),0)),0)</f>
        <v>0</v>
      </c>
      <c r="EI109" s="3">
        <f ca="1">IFERROR(IF(LEFT($BA109,1)="4",OFFSET(변환표준점수!$I$118,MATCH($S109,변환표준점수!$B$119:$B$198,0),0),OFFSET(EI$3,MATCH(AT109,$ED$4:$ED$8,0),0)),0)</f>
        <v>0</v>
      </c>
      <c r="EK109" s="3">
        <f ca="1">IFERROR(IF(LEFT($BA109,1)="4",OFFSET(변환표준점수!$J$118,MATCH($S109,변환표준점수!$B$119:$B$198,0),0),OFFSET(EJ$3,MATCH(AV109,$ED$4:$ED$8,0),0)),0)</f>
        <v>0</v>
      </c>
      <c r="EL109" s="3">
        <f ca="1">IFERROR(IF(LEFT($BA109,1)="4",OFFSET(변환표준점수!$K$118,MATCH($S109,변환표준점수!$B$119:$B$198,0),0),OFFSET(EK$3,MATCH(AW109,$ED$4:$ED$8,0),0)),0)</f>
        <v>0</v>
      </c>
      <c r="EM109" s="3" t="str">
        <f t="shared" ca="1" si="245"/>
        <v/>
      </c>
      <c r="EN109" s="3" t="str">
        <f t="shared" ca="1" si="246"/>
        <v/>
      </c>
      <c r="EO109" s="3">
        <f t="shared" ca="1" si="247"/>
        <v>0</v>
      </c>
      <c r="EQ109" s="3">
        <f t="shared" ca="1" si="248"/>
        <v>0</v>
      </c>
      <c r="ER109" s="3">
        <f t="shared" ca="1" si="249"/>
        <v>0</v>
      </c>
      <c r="ES109" s="3">
        <f t="shared" ca="1" si="250"/>
        <v>0</v>
      </c>
      <c r="ET109" s="3">
        <f t="shared" ca="1" si="251"/>
        <v>0</v>
      </c>
      <c r="EU109" s="3">
        <f t="shared" si="252"/>
        <v>0</v>
      </c>
      <c r="EV109" s="3">
        <f t="shared" ca="1" si="253"/>
        <v>0</v>
      </c>
      <c r="EW109" s="3">
        <f t="shared" ca="1" si="254"/>
        <v>0</v>
      </c>
      <c r="EX109" s="3">
        <f ca="1">LARGE((ES109:ET109,EV109:EW109),1)</f>
        <v>0</v>
      </c>
      <c r="EY109" s="3">
        <f ca="1">IF(O109&lt;2,0,LARGE((ES109:ET109,EV109:EW109),2))</f>
        <v>0</v>
      </c>
      <c r="EZ109" s="3">
        <f t="shared" ca="1" si="255"/>
        <v>0</v>
      </c>
      <c r="FA109" s="3">
        <f t="shared" ca="1" si="256"/>
        <v>0</v>
      </c>
      <c r="FB109" s="3">
        <f t="shared" ca="1" si="257"/>
        <v>0</v>
      </c>
      <c r="FG109" s="3">
        <f t="shared" ca="1" si="258"/>
        <v>0</v>
      </c>
      <c r="FH109" s="618"/>
      <c r="FU109" s="3" t="str">
        <f t="shared" si="166"/>
        <v>백분위</v>
      </c>
      <c r="FV109" s="3" t="str">
        <f t="shared" si="167"/>
        <v>백분위</v>
      </c>
      <c r="FW109" s="3">
        <f t="shared" si="259"/>
        <v>0.31</v>
      </c>
      <c r="FX109" s="3">
        <f t="shared" si="260"/>
        <v>0.44</v>
      </c>
      <c r="FY109" s="3">
        <f t="shared" si="261"/>
        <v>0.25</v>
      </c>
      <c r="FZ109" s="3">
        <f t="shared" si="262"/>
        <v>8</v>
      </c>
    </row>
    <row r="110" spans="1:182">
      <c r="A110" s="556">
        <v>26</v>
      </c>
      <c r="C110" s="3">
        <f t="shared" si="216"/>
        <v>95</v>
      </c>
      <c r="D110" s="3">
        <v>95</v>
      </c>
      <c r="E110" s="3" t="s">
        <v>7297</v>
      </c>
      <c r="F110" s="3">
        <v>1000</v>
      </c>
      <c r="G110" s="3">
        <v>0.3</v>
      </c>
      <c r="H110" s="3">
        <v>0.3</v>
      </c>
      <c r="I110" s="3">
        <v>0.1</v>
      </c>
      <c r="J110" s="3">
        <v>0.1</v>
      </c>
      <c r="L110" s="3">
        <v>0.1</v>
      </c>
      <c r="M110" s="3">
        <v>0.1</v>
      </c>
      <c r="O110" s="3">
        <v>2</v>
      </c>
      <c r="P110" s="3">
        <f t="shared" si="217"/>
        <v>0.8</v>
      </c>
      <c r="Q110" s="3" t="s">
        <v>408</v>
      </c>
      <c r="S110" s="3" t="str">
        <f t="shared" si="218"/>
        <v/>
      </c>
      <c r="W110" s="3">
        <f t="shared" si="219"/>
        <v>0</v>
      </c>
      <c r="Y110" s="3">
        <f t="shared" si="220"/>
        <v>3</v>
      </c>
      <c r="Z110" s="3">
        <f t="shared" si="221"/>
        <v>3</v>
      </c>
      <c r="AA110" s="3">
        <f t="shared" si="222"/>
        <v>1</v>
      </c>
      <c r="AB110" s="3">
        <f t="shared" si="223"/>
        <v>1</v>
      </c>
      <c r="AC110" s="3">
        <f t="shared" si="224"/>
        <v>2</v>
      </c>
      <c r="AD110" s="3">
        <f t="shared" si="225"/>
        <v>3</v>
      </c>
      <c r="AE110" s="3">
        <f t="shared" si="226"/>
        <v>3</v>
      </c>
      <c r="AF110" s="3">
        <f t="shared" si="227"/>
        <v>1</v>
      </c>
      <c r="AG110" s="3">
        <f t="shared" si="228"/>
        <v>1</v>
      </c>
      <c r="AH110" s="3" t="str">
        <f t="shared" si="229"/>
        <v>자동</v>
      </c>
      <c r="AI110" s="3">
        <f t="shared" si="230"/>
        <v>1</v>
      </c>
      <c r="AJ110" s="3">
        <f t="shared" si="231"/>
        <v>1</v>
      </c>
      <c r="AL110" s="3" t="str">
        <f t="shared" si="232"/>
        <v/>
      </c>
      <c r="AN110" s="3" t="str">
        <f ca="1">IF($BA110=42,OFFSET(변환표준점수!C$119,$AP110-1,0),"")</f>
        <v/>
      </c>
      <c r="AO110" s="3" t="str">
        <f ca="1">IF($BA110=42,OFFSET(변환표준점수!D$119,$AP110-1,0),"")</f>
        <v/>
      </c>
      <c r="AP110" s="3" t="str">
        <f>IF(S110="","",MATCH(S110,변환표준점수!$B$119:$B$298,0))</f>
        <v/>
      </c>
      <c r="AQ110" s="3">
        <v>2</v>
      </c>
      <c r="AR110" s="3">
        <v>2</v>
      </c>
      <c r="AS110" s="3">
        <v>2</v>
      </c>
      <c r="AT110" s="3">
        <v>2</v>
      </c>
      <c r="AV110" s="3">
        <v>2</v>
      </c>
      <c r="AW110" s="3">
        <v>2</v>
      </c>
      <c r="AX110" s="3">
        <v>3</v>
      </c>
      <c r="AY110" s="3">
        <v>3</v>
      </c>
      <c r="BA110" s="3">
        <f t="shared" si="233"/>
        <v>2</v>
      </c>
      <c r="BJ110" s="3">
        <f t="shared" si="234"/>
        <v>0</v>
      </c>
      <c r="CH110" s="206">
        <f t="shared" si="235"/>
        <v>800</v>
      </c>
      <c r="CI110" s="56">
        <v>200</v>
      </c>
      <c r="CJ110" s="3">
        <v>196</v>
      </c>
      <c r="CK110" s="3">
        <v>190</v>
      </c>
      <c r="CL110" s="3">
        <v>170</v>
      </c>
      <c r="CM110" s="3">
        <v>140</v>
      </c>
      <c r="CN110" s="3">
        <v>80</v>
      </c>
      <c r="CO110" s="3">
        <v>30</v>
      </c>
      <c r="CP110" s="3">
        <v>10</v>
      </c>
      <c r="CQ110" s="3">
        <v>0</v>
      </c>
      <c r="CR110" s="56">
        <v>5</v>
      </c>
      <c r="CS110" s="3">
        <v>5</v>
      </c>
      <c r="CT110" s="3">
        <v>5</v>
      </c>
      <c r="CU110" s="3">
        <v>5</v>
      </c>
      <c r="CV110" s="3">
        <v>4</v>
      </c>
      <c r="CW110" s="3">
        <v>3</v>
      </c>
      <c r="CX110" s="3">
        <v>2</v>
      </c>
      <c r="CY110" s="3">
        <v>1</v>
      </c>
      <c r="CZ110" s="3">
        <v>0</v>
      </c>
      <c r="DJ110" s="3">
        <f t="shared" ca="1" si="236"/>
        <v>200</v>
      </c>
      <c r="DK110" s="93">
        <f t="shared" ca="1" si="237"/>
        <v>100</v>
      </c>
      <c r="DL110" s="3">
        <f t="shared" ca="1" si="238"/>
        <v>5</v>
      </c>
      <c r="DO110" s="3">
        <v>2</v>
      </c>
      <c r="EA110" s="3">
        <f t="shared" si="239"/>
        <v>2</v>
      </c>
      <c r="EB110" s="3">
        <f t="shared" si="240"/>
        <v>2</v>
      </c>
      <c r="EC110" s="3">
        <f t="shared" si="241"/>
        <v>0</v>
      </c>
      <c r="ED110" s="3">
        <f t="shared" si="242"/>
        <v>0</v>
      </c>
      <c r="EF110" s="3">
        <f t="shared" ca="1" si="243"/>
        <v>0</v>
      </c>
      <c r="EG110" s="3">
        <f t="shared" ca="1" si="244"/>
        <v>0</v>
      </c>
      <c r="EH110" s="3">
        <f ca="1">IFERROR(IF(LEFT($BA110,1)="4",OFFSET(변환표준점수!$H$118,MATCH($S110,변환표준점수!$B$119:$B$198,0),),OFFSET(EH$3,MATCH(AS110,$ED$4:$ED$8,0),0)),0)</f>
        <v>0</v>
      </c>
      <c r="EI110" s="3">
        <f ca="1">IFERROR(IF(LEFT($BA110,1)="4",OFFSET(변환표준점수!$I$118,MATCH($S110,변환표준점수!$B$119:$B$198,0),0),OFFSET(EI$3,MATCH(AT110,$ED$4:$ED$8,0),0)),0)</f>
        <v>0</v>
      </c>
      <c r="EK110" s="3">
        <f ca="1">IFERROR(IF(LEFT($BA110,1)="4",OFFSET(변환표준점수!$J$118,MATCH($S110,변환표준점수!$B$119:$B$198,0),0),OFFSET(EJ$3,MATCH(AV110,$ED$4:$ED$8,0),0)),0)</f>
        <v>0</v>
      </c>
      <c r="EL110" s="3">
        <f ca="1">IFERROR(IF(LEFT($BA110,1)="4",OFFSET(변환표준점수!$K$118,MATCH($S110,변환표준점수!$B$119:$B$198,0),0),OFFSET(EK$3,MATCH(AW110,$ED$4:$ED$8,0),0)),0)</f>
        <v>0</v>
      </c>
      <c r="EM110" s="3" t="str">
        <f t="shared" ca="1" si="245"/>
        <v/>
      </c>
      <c r="EN110" s="3" t="str">
        <f t="shared" ca="1" si="246"/>
        <v/>
      </c>
      <c r="EO110" s="3">
        <f t="shared" ca="1" si="247"/>
        <v>0</v>
      </c>
      <c r="EQ110" s="3">
        <f t="shared" ca="1" si="248"/>
        <v>0</v>
      </c>
      <c r="ER110" s="3">
        <f t="shared" ca="1" si="249"/>
        <v>0</v>
      </c>
      <c r="ES110" s="3">
        <f t="shared" ca="1" si="250"/>
        <v>0</v>
      </c>
      <c r="ET110" s="3">
        <f t="shared" ca="1" si="251"/>
        <v>0</v>
      </c>
      <c r="EU110" s="3">
        <f t="shared" si="252"/>
        <v>0</v>
      </c>
      <c r="EV110" s="3">
        <f t="shared" ca="1" si="253"/>
        <v>0</v>
      </c>
      <c r="EW110" s="3">
        <f t="shared" ca="1" si="254"/>
        <v>0</v>
      </c>
      <c r="EX110" s="3">
        <f ca="1">LARGE((ES110:ET110,EV110:EW110),1)</f>
        <v>0</v>
      </c>
      <c r="EY110" s="3">
        <f ca="1">IF(O110&lt;2,0,LARGE((ES110:ET110,EV110:EW110),2))</f>
        <v>0</v>
      </c>
      <c r="EZ110" s="3">
        <f t="shared" ca="1" si="255"/>
        <v>0</v>
      </c>
      <c r="FA110" s="3">
        <f t="shared" ca="1" si="256"/>
        <v>0</v>
      </c>
      <c r="FB110" s="3">
        <f t="shared" ca="1" si="257"/>
        <v>0</v>
      </c>
      <c r="FG110" s="3">
        <f t="shared" ca="1" si="258"/>
        <v>0</v>
      </c>
      <c r="FH110" s="618"/>
      <c r="FU110" s="3" t="str">
        <f t="shared" si="166"/>
        <v>백분위</v>
      </c>
      <c r="FV110" s="3" t="str">
        <f t="shared" si="167"/>
        <v>백분위</v>
      </c>
      <c r="FW110" s="3">
        <f t="shared" si="259"/>
        <v>0.38</v>
      </c>
      <c r="FX110" s="3">
        <f t="shared" si="260"/>
        <v>0.38</v>
      </c>
      <c r="FY110" s="3">
        <f t="shared" si="261"/>
        <v>0.25</v>
      </c>
      <c r="FZ110" s="3">
        <f t="shared" si="262"/>
        <v>8</v>
      </c>
    </row>
    <row r="111" spans="1:182">
      <c r="A111" s="556">
        <v>26</v>
      </c>
      <c r="C111" s="3">
        <f t="shared" si="216"/>
        <v>96</v>
      </c>
      <c r="D111" s="3">
        <v>96</v>
      </c>
      <c r="E111" s="3" t="s">
        <v>354</v>
      </c>
      <c r="F111" s="3">
        <v>1000</v>
      </c>
      <c r="G111" s="3">
        <v>0.2</v>
      </c>
      <c r="H111" s="3">
        <v>0.35</v>
      </c>
      <c r="I111" s="3">
        <v>0.125</v>
      </c>
      <c r="J111" s="3">
        <v>0.125</v>
      </c>
      <c r="L111" s="3">
        <v>0.125</v>
      </c>
      <c r="M111" s="3">
        <v>0.125</v>
      </c>
      <c r="O111" s="3">
        <v>2</v>
      </c>
      <c r="P111" s="3">
        <f t="shared" si="217"/>
        <v>0.8</v>
      </c>
      <c r="Q111" s="3">
        <v>31</v>
      </c>
      <c r="S111" s="3">
        <f t="shared" si="218"/>
        <v>31</v>
      </c>
      <c r="W111" s="3">
        <f t="shared" si="219"/>
        <v>0</v>
      </c>
      <c r="Y111" s="3">
        <f t="shared" si="220"/>
        <v>1</v>
      </c>
      <c r="Z111" s="3">
        <f t="shared" si="221"/>
        <v>1.75</v>
      </c>
      <c r="AA111" s="3">
        <f t="shared" si="222"/>
        <v>1.25</v>
      </c>
      <c r="AB111" s="3">
        <f t="shared" si="223"/>
        <v>1.25</v>
      </c>
      <c r="AC111" s="3">
        <f t="shared" si="224"/>
        <v>1.25</v>
      </c>
      <c r="AD111" s="3">
        <f t="shared" si="225"/>
        <v>1</v>
      </c>
      <c r="AE111" s="3">
        <f t="shared" si="226"/>
        <v>1.75</v>
      </c>
      <c r="AF111" s="3">
        <f t="shared" si="227"/>
        <v>1.25</v>
      </c>
      <c r="AG111" s="3">
        <f t="shared" si="228"/>
        <v>1.25</v>
      </c>
      <c r="AH111" s="3" t="str">
        <f t="shared" si="229"/>
        <v>자동</v>
      </c>
      <c r="AI111" s="3">
        <f t="shared" si="230"/>
        <v>1.25</v>
      </c>
      <c r="AJ111" s="3">
        <f t="shared" si="231"/>
        <v>1.25</v>
      </c>
      <c r="AL111" s="3" t="str">
        <f t="shared" si="232"/>
        <v/>
      </c>
      <c r="AN111" s="3" t="str">
        <f ca="1">IF($BA111=42,OFFSET(변환표준점수!C$119,$AP111-1,0),"")</f>
        <v/>
      </c>
      <c r="AO111" s="3" t="str">
        <f ca="1">IF($BA111=42,OFFSET(변환표준점수!D$119,$AP111-1,0),"")</f>
        <v/>
      </c>
      <c r="AP111" s="3">
        <f>IF(S111="","",MATCH(S111,변환표준점수!$B$119:$B$298,0))</f>
        <v>31</v>
      </c>
      <c r="AQ111" s="3">
        <v>1</v>
      </c>
      <c r="AR111" s="3">
        <v>1</v>
      </c>
      <c r="AS111" s="3">
        <v>4</v>
      </c>
      <c r="AT111" s="3">
        <v>4</v>
      </c>
      <c r="AV111" s="3">
        <v>4</v>
      </c>
      <c r="AW111" s="3">
        <v>4</v>
      </c>
      <c r="AX111" s="3">
        <v>3</v>
      </c>
      <c r="AY111" s="3">
        <v>3</v>
      </c>
      <c r="BA111" s="3">
        <f t="shared" si="233"/>
        <v>4</v>
      </c>
      <c r="BC111" s="3">
        <f>0.03*$AE111</f>
        <v>5.2499999999999998E-2</v>
      </c>
      <c r="BD111" s="3">
        <f>0.03*$AE111</f>
        <v>5.2499999999999998E-2</v>
      </c>
      <c r="BF111" s="3">
        <f>0.05*AF111</f>
        <v>6.25E-2</v>
      </c>
      <c r="BG111" s="3">
        <f>0.05*AG111</f>
        <v>6.25E-2</v>
      </c>
      <c r="BJ111" s="3">
        <f t="shared" si="234"/>
        <v>0</v>
      </c>
      <c r="BN111" s="212" t="s">
        <v>7298</v>
      </c>
      <c r="BP111" s="3">
        <f>IF(BP$6&gt;0,BC111*$EG111,0)</f>
        <v>0</v>
      </c>
      <c r="BQ111" s="3">
        <f>IF(BQ$6&gt;0,BD111*$EG111,0)</f>
        <v>0</v>
      </c>
      <c r="BS111" s="3">
        <f ca="1">BF111*EH111</f>
        <v>0</v>
      </c>
      <c r="BT111" s="3">
        <f ca="1">BG111*EI111</f>
        <v>0</v>
      </c>
      <c r="CH111" s="206">
        <f t="shared" si="235"/>
        <v>800</v>
      </c>
      <c r="CI111" s="56">
        <v>200</v>
      </c>
      <c r="CJ111" s="3">
        <v>198</v>
      </c>
      <c r="CK111" s="3">
        <v>195</v>
      </c>
      <c r="CL111" s="3">
        <v>190</v>
      </c>
      <c r="CM111" s="3">
        <v>182</v>
      </c>
      <c r="CN111" s="3">
        <v>170</v>
      </c>
      <c r="CO111" s="3">
        <v>158</v>
      </c>
      <c r="CP111" s="3">
        <v>146</v>
      </c>
      <c r="CQ111" s="3">
        <v>0</v>
      </c>
      <c r="CR111" s="56">
        <v>10</v>
      </c>
      <c r="CS111" s="3">
        <v>10</v>
      </c>
      <c r="CT111" s="3">
        <v>10</v>
      </c>
      <c r="CU111" s="3">
        <v>10</v>
      </c>
      <c r="CV111" s="3">
        <v>9.8000000000000007</v>
      </c>
      <c r="CW111" s="3">
        <v>9.6</v>
      </c>
      <c r="CX111" s="3">
        <v>9.4</v>
      </c>
      <c r="CY111" s="3">
        <v>9.1999999999999993</v>
      </c>
      <c r="CZ111" s="3">
        <v>9</v>
      </c>
      <c r="DJ111" s="3">
        <f t="shared" ca="1" si="236"/>
        <v>200</v>
      </c>
      <c r="DK111" s="93">
        <f t="shared" ca="1" si="237"/>
        <v>100</v>
      </c>
      <c r="DL111" s="3">
        <f t="shared" ca="1" si="238"/>
        <v>10</v>
      </c>
      <c r="DO111" s="3">
        <v>2</v>
      </c>
      <c r="DZ111" s="3">
        <v>1</v>
      </c>
      <c r="EA111" s="3">
        <f t="shared" si="239"/>
        <v>1</v>
      </c>
      <c r="EB111" s="3">
        <f t="shared" si="240"/>
        <v>2</v>
      </c>
      <c r="EC111" s="3">
        <f t="shared" si="241"/>
        <v>0</v>
      </c>
      <c r="ED111" s="3">
        <f t="shared" si="242"/>
        <v>0</v>
      </c>
      <c r="EF111" s="3">
        <f t="shared" ca="1" si="243"/>
        <v>0</v>
      </c>
      <c r="EG111" s="3">
        <f t="shared" ca="1" si="244"/>
        <v>0</v>
      </c>
      <c r="EH111" s="3">
        <f ca="1">IFERROR(IF(LEFT($BA111,1)="4",OFFSET(변환표준점수!$H$118,MATCH($S111,변환표준점수!$B$119:$B$198,0),),OFFSET(EH$3,MATCH(AS111,$ED$4:$ED$8,0),0)),0)</f>
        <v>0</v>
      </c>
      <c r="EI111" s="3">
        <f ca="1">IFERROR(IF(LEFT($BA111,1)="4",OFFSET(변환표준점수!$I$118,MATCH($S111,변환표준점수!$B$119:$B$198,0),0),OFFSET(EI$3,MATCH(AT111,$ED$4:$ED$8,0),0)),0)</f>
        <v>0</v>
      </c>
      <c r="EK111" s="3">
        <f ca="1">IFERROR(IF(LEFT($BA111,1)="4",OFFSET(변환표준점수!$J$118,MATCH($S111,변환표준점수!$B$119:$B$198,0),0),OFFSET(EJ$3,MATCH(AV111,$ED$4:$ED$8,0),0)),0)</f>
        <v>0</v>
      </c>
      <c r="EL111" s="3">
        <f ca="1">IFERROR(IF(LEFT($BA111,1)="4",OFFSET(변환표준점수!$K$118,MATCH($S111,변환표준점수!$B$119:$B$198,0),0),OFFSET(EK$3,MATCH(AW111,$ED$4:$ED$8,0),0)),0)</f>
        <v>0</v>
      </c>
      <c r="EM111" s="3" t="str">
        <f t="shared" ca="1" si="245"/>
        <v/>
      </c>
      <c r="EN111" s="3" t="str">
        <f t="shared" ca="1" si="246"/>
        <v/>
      </c>
      <c r="EO111" s="3">
        <f t="shared" ca="1" si="247"/>
        <v>0</v>
      </c>
      <c r="EQ111" s="3">
        <f t="shared" ca="1" si="248"/>
        <v>0</v>
      </c>
      <c r="ER111" s="3">
        <f t="shared" ca="1" si="249"/>
        <v>0</v>
      </c>
      <c r="ES111" s="3">
        <f t="shared" ca="1" si="250"/>
        <v>0</v>
      </c>
      <c r="ET111" s="3">
        <f t="shared" ca="1" si="251"/>
        <v>0</v>
      </c>
      <c r="EU111" s="3">
        <f t="shared" si="252"/>
        <v>0</v>
      </c>
      <c r="EV111" s="3">
        <f t="shared" ca="1" si="253"/>
        <v>0</v>
      </c>
      <c r="EW111" s="3">
        <f t="shared" ca="1" si="254"/>
        <v>0</v>
      </c>
      <c r="EX111" s="3">
        <f ca="1">LARGE((ES111:ET111,EV111:EW111),1)</f>
        <v>0</v>
      </c>
      <c r="EY111" s="3">
        <f ca="1">IF(O111&lt;2,0,LARGE((ES111:ET111,EV111:EW111),2))</f>
        <v>0</v>
      </c>
      <c r="EZ111" s="3">
        <f t="shared" ca="1" si="255"/>
        <v>0</v>
      </c>
      <c r="FA111" s="3">
        <f t="shared" ca="1" si="256"/>
        <v>0</v>
      </c>
      <c r="FB111" s="3">
        <f t="shared" ca="1" si="257"/>
        <v>0</v>
      </c>
      <c r="FG111" s="3">
        <f t="shared" ca="1" si="258"/>
        <v>0</v>
      </c>
      <c r="FH111" s="618"/>
      <c r="FU111" s="3" t="str">
        <f t="shared" si="166"/>
        <v>표점</v>
      </c>
      <c r="FV111" s="3" t="str">
        <f t="shared" si="167"/>
        <v>변표</v>
      </c>
      <c r="FW111" s="3">
        <f t="shared" si="259"/>
        <v>0.25</v>
      </c>
      <c r="FX111" s="3">
        <f t="shared" si="260"/>
        <v>0.44</v>
      </c>
      <c r="FY111" s="3">
        <f t="shared" si="261"/>
        <v>0.31</v>
      </c>
      <c r="FZ111" s="3">
        <f t="shared" si="262"/>
        <v>4</v>
      </c>
    </row>
    <row r="112" spans="1:182">
      <c r="A112" s="556">
        <v>26</v>
      </c>
      <c r="C112" s="3">
        <f t="shared" si="216"/>
        <v>97</v>
      </c>
      <c r="D112" s="3">
        <v>97</v>
      </c>
      <c r="E112" s="3" t="s">
        <v>355</v>
      </c>
      <c r="F112" s="3">
        <v>1000</v>
      </c>
      <c r="G112" s="3">
        <v>0.3</v>
      </c>
      <c r="H112" s="3">
        <v>0.25</v>
      </c>
      <c r="I112" s="3">
        <v>0.125</v>
      </c>
      <c r="J112" s="3">
        <v>0.125</v>
      </c>
      <c r="L112" s="3">
        <v>0.125</v>
      </c>
      <c r="M112" s="3">
        <v>0.125</v>
      </c>
      <c r="O112" s="3">
        <v>2</v>
      </c>
      <c r="P112" s="3">
        <f t="shared" si="217"/>
        <v>0.8</v>
      </c>
      <c r="Q112" s="3">
        <v>31</v>
      </c>
      <c r="S112" s="3">
        <f t="shared" si="218"/>
        <v>31</v>
      </c>
      <c r="W112" s="3">
        <f t="shared" si="219"/>
        <v>0</v>
      </c>
      <c r="Y112" s="3">
        <f t="shared" si="220"/>
        <v>1.5</v>
      </c>
      <c r="Z112" s="3">
        <f t="shared" si="221"/>
        <v>1.25</v>
      </c>
      <c r="AA112" s="3">
        <f t="shared" si="222"/>
        <v>1.25</v>
      </c>
      <c r="AB112" s="3">
        <f t="shared" si="223"/>
        <v>1.25</v>
      </c>
      <c r="AC112" s="3">
        <f t="shared" si="224"/>
        <v>1.25</v>
      </c>
      <c r="AD112" s="3">
        <f t="shared" si="225"/>
        <v>1.5</v>
      </c>
      <c r="AE112" s="3">
        <f t="shared" si="226"/>
        <v>1.25</v>
      </c>
      <c r="AF112" s="3">
        <f t="shared" si="227"/>
        <v>1.25</v>
      </c>
      <c r="AG112" s="3">
        <f t="shared" si="228"/>
        <v>1.25</v>
      </c>
      <c r="AH112" s="3" t="str">
        <f t="shared" si="229"/>
        <v>자동</v>
      </c>
      <c r="AI112" s="3">
        <f t="shared" si="230"/>
        <v>1.25</v>
      </c>
      <c r="AJ112" s="3">
        <f t="shared" si="231"/>
        <v>1.25</v>
      </c>
      <c r="AL112" s="3" t="str">
        <f t="shared" si="232"/>
        <v/>
      </c>
      <c r="AN112" s="3" t="str">
        <f ca="1">IF($BA112=42,OFFSET(변환표준점수!C$119,$AP112-1,0),"")</f>
        <v/>
      </c>
      <c r="AO112" s="3" t="str">
        <f ca="1">IF($BA112=42,OFFSET(변환표준점수!D$119,$AP112-1,0),"")</f>
        <v/>
      </c>
      <c r="AP112" s="3">
        <f>IF(S112="","",MATCH(S112,변환표준점수!$B$119:$B$298,0))</f>
        <v>31</v>
      </c>
      <c r="AQ112" s="3">
        <v>1</v>
      </c>
      <c r="AR112" s="3">
        <v>1</v>
      </c>
      <c r="AS112" s="3">
        <v>4</v>
      </c>
      <c r="AT112" s="3">
        <v>4</v>
      </c>
      <c r="AV112" s="3">
        <v>4</v>
      </c>
      <c r="AW112" s="3">
        <v>4</v>
      </c>
      <c r="AX112" s="3">
        <v>3</v>
      </c>
      <c r="AY112" s="3">
        <v>3</v>
      </c>
      <c r="BA112" s="3">
        <f t="shared" si="233"/>
        <v>4</v>
      </c>
      <c r="BJ112" s="3">
        <f t="shared" si="234"/>
        <v>0</v>
      </c>
      <c r="CH112" s="206">
        <f t="shared" si="235"/>
        <v>800</v>
      </c>
      <c r="CI112" s="56">
        <v>200</v>
      </c>
      <c r="CJ112" s="3">
        <v>198</v>
      </c>
      <c r="CK112" s="3">
        <v>195</v>
      </c>
      <c r="CL112" s="3">
        <v>190</v>
      </c>
      <c r="CM112" s="3">
        <v>182</v>
      </c>
      <c r="CN112" s="3">
        <v>170</v>
      </c>
      <c r="CO112" s="3">
        <v>158</v>
      </c>
      <c r="CP112" s="3">
        <v>146</v>
      </c>
      <c r="CQ112" s="3">
        <v>0</v>
      </c>
      <c r="CR112" s="56">
        <v>10</v>
      </c>
      <c r="CS112" s="3">
        <v>10</v>
      </c>
      <c r="CT112" s="3">
        <v>10</v>
      </c>
      <c r="CU112" s="3">
        <v>10</v>
      </c>
      <c r="CV112" s="3">
        <v>9.8000000000000007</v>
      </c>
      <c r="CW112" s="3">
        <v>9.6</v>
      </c>
      <c r="CX112" s="3">
        <v>9.4</v>
      </c>
      <c r="CY112" s="3">
        <v>9.1999999999999993</v>
      </c>
      <c r="CZ112" s="3">
        <v>9</v>
      </c>
      <c r="DJ112" s="3">
        <f t="shared" ca="1" si="236"/>
        <v>200</v>
      </c>
      <c r="DK112" s="93">
        <f t="shared" ca="1" si="237"/>
        <v>100</v>
      </c>
      <c r="DL112" s="3">
        <f t="shared" ca="1" si="238"/>
        <v>10</v>
      </c>
      <c r="DO112" s="3">
        <v>2</v>
      </c>
      <c r="EA112" s="3">
        <f t="shared" si="239"/>
        <v>2</v>
      </c>
      <c r="EB112" s="3">
        <f t="shared" si="240"/>
        <v>2</v>
      </c>
      <c r="EC112" s="3">
        <f t="shared" si="241"/>
        <v>0</v>
      </c>
      <c r="ED112" s="3">
        <f t="shared" si="242"/>
        <v>0</v>
      </c>
      <c r="EF112" s="3">
        <f t="shared" ca="1" si="243"/>
        <v>0</v>
      </c>
      <c r="EG112" s="3">
        <f t="shared" ca="1" si="244"/>
        <v>0</v>
      </c>
      <c r="EH112" s="3">
        <f ca="1">IFERROR(IF(LEFT($BA112,1)="4",OFFSET(변환표준점수!$H$118,MATCH($S112,변환표준점수!$B$119:$B$198,0),),OFFSET(EH$3,MATCH(AS112,$ED$4:$ED$8,0),0)),0)</f>
        <v>0</v>
      </c>
      <c r="EI112" s="3">
        <f ca="1">IFERROR(IF(LEFT($BA112,1)="4",OFFSET(변환표준점수!$I$118,MATCH($S112,변환표준점수!$B$119:$B$198,0),0),OFFSET(EI$3,MATCH(AT112,$ED$4:$ED$8,0),0)),0)</f>
        <v>0</v>
      </c>
      <c r="EK112" s="3">
        <f ca="1">IFERROR(IF(LEFT($BA112,1)="4",OFFSET(변환표준점수!$J$118,MATCH($S112,변환표준점수!$B$119:$B$198,0),0),OFFSET(EJ$3,MATCH(AV112,$ED$4:$ED$8,0),0)),0)</f>
        <v>0</v>
      </c>
      <c r="EL112" s="3">
        <f ca="1">IFERROR(IF(LEFT($BA112,1)="4",OFFSET(변환표준점수!$K$118,MATCH($S112,변환표준점수!$B$119:$B$198,0),0),OFFSET(EK$3,MATCH(AW112,$ED$4:$ED$8,0),0)),0)</f>
        <v>0</v>
      </c>
      <c r="EM112" s="3" t="str">
        <f t="shared" ca="1" si="245"/>
        <v/>
      </c>
      <c r="EN112" s="3" t="str">
        <f t="shared" ca="1" si="246"/>
        <v/>
      </c>
      <c r="EO112" s="3">
        <f t="shared" ca="1" si="247"/>
        <v>0</v>
      </c>
      <c r="EQ112" s="3">
        <f t="shared" ca="1" si="248"/>
        <v>0</v>
      </c>
      <c r="ER112" s="3">
        <f t="shared" ca="1" si="249"/>
        <v>0</v>
      </c>
      <c r="ES112" s="3">
        <f t="shared" ca="1" si="250"/>
        <v>0</v>
      </c>
      <c r="ET112" s="3">
        <f t="shared" ca="1" si="251"/>
        <v>0</v>
      </c>
      <c r="EU112" s="3">
        <f t="shared" si="252"/>
        <v>0</v>
      </c>
      <c r="EV112" s="3">
        <f t="shared" ca="1" si="253"/>
        <v>0</v>
      </c>
      <c r="EW112" s="3">
        <f t="shared" ca="1" si="254"/>
        <v>0</v>
      </c>
      <c r="EX112" s="3">
        <f ca="1">LARGE((ES112:ET112,EV112:EW112),1)</f>
        <v>0</v>
      </c>
      <c r="EY112" s="3">
        <f ca="1">IF(O112&lt;2,0,LARGE((ES112:ET112,EV112:EW112),2))</f>
        <v>0</v>
      </c>
      <c r="EZ112" s="3">
        <f t="shared" ca="1" si="255"/>
        <v>0</v>
      </c>
      <c r="FA112" s="3">
        <f t="shared" ca="1" si="256"/>
        <v>0</v>
      </c>
      <c r="FB112" s="3">
        <f t="shared" ca="1" si="257"/>
        <v>0</v>
      </c>
      <c r="FG112" s="3">
        <f t="shared" ca="1" si="258"/>
        <v>0</v>
      </c>
      <c r="FH112" s="618"/>
      <c r="FU112" s="3" t="str">
        <f t="shared" si="166"/>
        <v>표점</v>
      </c>
      <c r="FV112" s="3" t="str">
        <f t="shared" si="167"/>
        <v>변표</v>
      </c>
      <c r="FW112" s="3">
        <f t="shared" si="259"/>
        <v>0.38</v>
      </c>
      <c r="FX112" s="3">
        <f t="shared" si="260"/>
        <v>0.31</v>
      </c>
      <c r="FY112" s="3">
        <f t="shared" si="261"/>
        <v>0.31</v>
      </c>
      <c r="FZ112" s="3">
        <f t="shared" si="262"/>
        <v>4</v>
      </c>
    </row>
    <row r="113" spans="1:182">
      <c r="A113" s="556">
        <v>26</v>
      </c>
      <c r="C113" s="3">
        <f t="shared" si="216"/>
        <v>98</v>
      </c>
      <c r="D113" s="3">
        <v>98</v>
      </c>
      <c r="E113" s="3" t="s">
        <v>356</v>
      </c>
      <c r="F113" s="3">
        <v>1000</v>
      </c>
      <c r="G113" s="3">
        <v>0.3</v>
      </c>
      <c r="H113" s="3">
        <v>0.3</v>
      </c>
      <c r="I113" s="3">
        <v>0.1</v>
      </c>
      <c r="J113" s="3">
        <v>0.1</v>
      </c>
      <c r="L113" s="3">
        <v>0.1</v>
      </c>
      <c r="M113" s="3">
        <v>0.1</v>
      </c>
      <c r="O113" s="3">
        <v>2</v>
      </c>
      <c r="P113" s="3">
        <f t="shared" si="217"/>
        <v>0.8</v>
      </c>
      <c r="Q113" s="3">
        <v>31</v>
      </c>
      <c r="S113" s="3">
        <f t="shared" si="218"/>
        <v>31</v>
      </c>
      <c r="W113" s="3">
        <f t="shared" si="219"/>
        <v>0</v>
      </c>
      <c r="Y113" s="3">
        <f t="shared" si="220"/>
        <v>1.5</v>
      </c>
      <c r="Z113" s="3">
        <f t="shared" si="221"/>
        <v>1.5</v>
      </c>
      <c r="AA113" s="3">
        <f t="shared" si="222"/>
        <v>1</v>
      </c>
      <c r="AB113" s="3">
        <f t="shared" si="223"/>
        <v>1</v>
      </c>
      <c r="AC113" s="3">
        <f t="shared" si="224"/>
        <v>1</v>
      </c>
      <c r="AD113" s="3">
        <f t="shared" si="225"/>
        <v>1.5</v>
      </c>
      <c r="AE113" s="3">
        <f t="shared" si="226"/>
        <v>1.5</v>
      </c>
      <c r="AF113" s="3">
        <f t="shared" si="227"/>
        <v>1</v>
      </c>
      <c r="AG113" s="3">
        <f t="shared" si="228"/>
        <v>1</v>
      </c>
      <c r="AH113" s="3" t="str">
        <f t="shared" si="229"/>
        <v>자동</v>
      </c>
      <c r="AI113" s="3">
        <f t="shared" si="230"/>
        <v>1</v>
      </c>
      <c r="AJ113" s="3">
        <f t="shared" si="231"/>
        <v>1</v>
      </c>
      <c r="AL113" s="3" t="str">
        <f t="shared" si="232"/>
        <v/>
      </c>
      <c r="AN113" s="3" t="str">
        <f ca="1">IF($BA113=42,OFFSET(변환표준점수!C$119,$AP113-1,0),"")</f>
        <v/>
      </c>
      <c r="AO113" s="3" t="str">
        <f ca="1">IF($BA113=42,OFFSET(변환표준점수!D$119,$AP113-1,0),"")</f>
        <v/>
      </c>
      <c r="AP113" s="3">
        <f>IF(S113="","",MATCH(S113,변환표준점수!$B$119:$B$298,0))</f>
        <v>31</v>
      </c>
      <c r="AQ113" s="3">
        <v>1</v>
      </c>
      <c r="AR113" s="3">
        <v>1</v>
      </c>
      <c r="AS113" s="3">
        <v>4</v>
      </c>
      <c r="AT113" s="3">
        <v>4</v>
      </c>
      <c r="AV113" s="3">
        <v>4</v>
      </c>
      <c r="AW113" s="3">
        <v>4</v>
      </c>
      <c r="AX113" s="3">
        <v>3</v>
      </c>
      <c r="AY113" s="3">
        <v>3</v>
      </c>
      <c r="BA113" s="3">
        <f t="shared" si="233"/>
        <v>4</v>
      </c>
      <c r="BJ113" s="3">
        <f t="shared" si="234"/>
        <v>0</v>
      </c>
      <c r="CH113" s="206">
        <f t="shared" si="235"/>
        <v>800</v>
      </c>
      <c r="CI113" s="56">
        <v>200</v>
      </c>
      <c r="CJ113" s="3">
        <v>198</v>
      </c>
      <c r="CK113" s="3">
        <v>195</v>
      </c>
      <c r="CL113" s="3">
        <v>190</v>
      </c>
      <c r="CM113" s="3">
        <v>182</v>
      </c>
      <c r="CN113" s="3">
        <v>170</v>
      </c>
      <c r="CO113" s="3">
        <v>158</v>
      </c>
      <c r="CP113" s="3">
        <v>146</v>
      </c>
      <c r="CQ113" s="3">
        <v>0</v>
      </c>
      <c r="CR113" s="56">
        <v>10</v>
      </c>
      <c r="CS113" s="3">
        <v>10</v>
      </c>
      <c r="CT113" s="3">
        <v>10</v>
      </c>
      <c r="CU113" s="3">
        <v>10</v>
      </c>
      <c r="CV113" s="3">
        <v>9.8000000000000007</v>
      </c>
      <c r="CW113" s="3">
        <v>9.6</v>
      </c>
      <c r="CX113" s="3">
        <v>9.4</v>
      </c>
      <c r="CY113" s="3">
        <v>9.1999999999999993</v>
      </c>
      <c r="CZ113" s="3">
        <v>9</v>
      </c>
      <c r="DJ113" s="3">
        <f t="shared" ca="1" si="236"/>
        <v>200</v>
      </c>
      <c r="DK113" s="93">
        <f t="shared" ca="1" si="237"/>
        <v>100</v>
      </c>
      <c r="DL113" s="3">
        <f t="shared" ca="1" si="238"/>
        <v>10</v>
      </c>
      <c r="DO113" s="3">
        <v>2</v>
      </c>
      <c r="EA113" s="3">
        <f t="shared" si="239"/>
        <v>2</v>
      </c>
      <c r="EB113" s="3">
        <f t="shared" si="240"/>
        <v>2</v>
      </c>
      <c r="EC113" s="3">
        <f t="shared" si="241"/>
        <v>0</v>
      </c>
      <c r="ED113" s="3">
        <f t="shared" si="242"/>
        <v>0</v>
      </c>
      <c r="EF113" s="3">
        <f t="shared" ca="1" si="243"/>
        <v>0</v>
      </c>
      <c r="EG113" s="3">
        <f t="shared" ca="1" si="244"/>
        <v>0</v>
      </c>
      <c r="EH113" s="3">
        <f ca="1">IFERROR(IF(LEFT($BA113,1)="4",OFFSET(변환표준점수!$H$118,MATCH($S113,변환표준점수!$B$119:$B$198,0),),OFFSET(EH$3,MATCH(AS113,$ED$4:$ED$8,0),0)),0)</f>
        <v>0</v>
      </c>
      <c r="EI113" s="3">
        <f ca="1">IFERROR(IF(LEFT($BA113,1)="4",OFFSET(변환표준점수!$I$118,MATCH($S113,변환표준점수!$B$119:$B$198,0),0),OFFSET(EI$3,MATCH(AT113,$ED$4:$ED$8,0),0)),0)</f>
        <v>0</v>
      </c>
      <c r="EK113" s="3">
        <f ca="1">IFERROR(IF(LEFT($BA113,1)="4",OFFSET(변환표준점수!$J$118,MATCH($S113,변환표준점수!$B$119:$B$198,0),0),OFFSET(EJ$3,MATCH(AV113,$ED$4:$ED$8,0),0)),0)</f>
        <v>0</v>
      </c>
      <c r="EL113" s="3">
        <f ca="1">IFERROR(IF(LEFT($BA113,1)="4",OFFSET(변환표준점수!$K$118,MATCH($S113,변환표준점수!$B$119:$B$198,0),0),OFFSET(EK$3,MATCH(AW113,$ED$4:$ED$8,0),0)),0)</f>
        <v>0</v>
      </c>
      <c r="EM113" s="3" t="str">
        <f t="shared" ca="1" si="245"/>
        <v/>
      </c>
      <c r="EN113" s="3" t="str">
        <f t="shared" ca="1" si="246"/>
        <v/>
      </c>
      <c r="EO113" s="3">
        <f t="shared" ca="1" si="247"/>
        <v>0</v>
      </c>
      <c r="EQ113" s="3">
        <f t="shared" ca="1" si="248"/>
        <v>0</v>
      </c>
      <c r="ER113" s="3">
        <f t="shared" ca="1" si="249"/>
        <v>0</v>
      </c>
      <c r="ES113" s="3">
        <f t="shared" ca="1" si="250"/>
        <v>0</v>
      </c>
      <c r="ET113" s="3">
        <f t="shared" ca="1" si="251"/>
        <v>0</v>
      </c>
      <c r="EU113" s="3">
        <f t="shared" si="252"/>
        <v>0</v>
      </c>
      <c r="EV113" s="3">
        <f t="shared" ca="1" si="253"/>
        <v>0</v>
      </c>
      <c r="EW113" s="3">
        <f t="shared" ca="1" si="254"/>
        <v>0</v>
      </c>
      <c r="EX113" s="3">
        <f ca="1">LARGE((ES113:ET113,EV113:EW113),1)</f>
        <v>0</v>
      </c>
      <c r="EY113" s="3">
        <f ca="1">IF(O113&lt;2,0,LARGE((ES113:ET113,EV113:EW113),2))</f>
        <v>0</v>
      </c>
      <c r="EZ113" s="3">
        <f t="shared" ca="1" si="255"/>
        <v>0</v>
      </c>
      <c r="FA113" s="3">
        <f t="shared" ca="1" si="256"/>
        <v>0</v>
      </c>
      <c r="FB113" s="3">
        <f t="shared" ca="1" si="257"/>
        <v>0</v>
      </c>
      <c r="FG113" s="3">
        <f t="shared" ca="1" si="258"/>
        <v>0</v>
      </c>
      <c r="FH113" s="618"/>
      <c r="FU113" s="3" t="str">
        <f t="shared" si="166"/>
        <v>표점</v>
      </c>
      <c r="FV113" s="3" t="str">
        <f t="shared" si="167"/>
        <v>변표</v>
      </c>
      <c r="FW113" s="3">
        <f t="shared" si="259"/>
        <v>0.38</v>
      </c>
      <c r="FX113" s="3">
        <f t="shared" si="260"/>
        <v>0.38</v>
      </c>
      <c r="FY113" s="3">
        <f t="shared" si="261"/>
        <v>0.25</v>
      </c>
      <c r="FZ113" s="3">
        <f t="shared" si="262"/>
        <v>4</v>
      </c>
    </row>
    <row r="114" spans="1:182">
      <c r="A114" s="556">
        <v>26</v>
      </c>
      <c r="C114" s="3">
        <f t="shared" si="216"/>
        <v>99</v>
      </c>
      <c r="D114" s="3">
        <v>99</v>
      </c>
      <c r="E114" s="3" t="s">
        <v>7299</v>
      </c>
      <c r="F114" s="3">
        <v>1000</v>
      </c>
      <c r="G114" s="3">
        <v>0.2</v>
      </c>
      <c r="H114" s="3">
        <v>0.35</v>
      </c>
      <c r="I114" s="3">
        <v>0.125</v>
      </c>
      <c r="J114" s="3">
        <v>0.125</v>
      </c>
      <c r="L114" s="3">
        <v>0.125</v>
      </c>
      <c r="M114" s="3">
        <v>0.125</v>
      </c>
      <c r="O114" s="3">
        <v>2</v>
      </c>
      <c r="P114" s="3">
        <f t="shared" si="217"/>
        <v>0.8</v>
      </c>
      <c r="Q114" s="3">
        <v>31</v>
      </c>
      <c r="S114" s="3">
        <f t="shared" si="218"/>
        <v>31</v>
      </c>
      <c r="W114" s="3">
        <f t="shared" si="219"/>
        <v>0</v>
      </c>
      <c r="Y114" s="3">
        <f t="shared" si="220"/>
        <v>1</v>
      </c>
      <c r="Z114" s="3">
        <f t="shared" si="221"/>
        <v>1.75</v>
      </c>
      <c r="AA114" s="3">
        <f t="shared" si="222"/>
        <v>1.25</v>
      </c>
      <c r="AB114" s="3">
        <f t="shared" si="223"/>
        <v>1.25</v>
      </c>
      <c r="AC114" s="3">
        <f t="shared" si="224"/>
        <v>1.25</v>
      </c>
      <c r="AD114" s="3">
        <f t="shared" si="225"/>
        <v>1</v>
      </c>
      <c r="AE114" s="3">
        <f t="shared" si="226"/>
        <v>1.75</v>
      </c>
      <c r="AF114" s="3">
        <f t="shared" si="227"/>
        <v>1.25</v>
      </c>
      <c r="AG114" s="3">
        <f t="shared" si="228"/>
        <v>1.25</v>
      </c>
      <c r="AH114" s="3" t="str">
        <f t="shared" si="229"/>
        <v>자동</v>
      </c>
      <c r="AI114" s="3">
        <f t="shared" si="230"/>
        <v>1.25</v>
      </c>
      <c r="AJ114" s="3">
        <f t="shared" si="231"/>
        <v>1.25</v>
      </c>
      <c r="AL114" s="3" t="str">
        <f t="shared" si="232"/>
        <v/>
      </c>
      <c r="AN114" s="3" t="str">
        <f ca="1">IF($BA114=42,OFFSET(변환표준점수!C$119,$AP114-1,0),"")</f>
        <v/>
      </c>
      <c r="AO114" s="3" t="str">
        <f ca="1">IF($BA114=42,OFFSET(변환표준점수!D$119,$AP114-1,0),"")</f>
        <v/>
      </c>
      <c r="AP114" s="3">
        <f>IF(S114="","",MATCH(S114,변환표준점수!$B$119:$B$298,0))</f>
        <v>31</v>
      </c>
      <c r="AQ114" s="3">
        <v>1</v>
      </c>
      <c r="AR114" s="3">
        <v>1</v>
      </c>
      <c r="AS114" s="3">
        <v>4</v>
      </c>
      <c r="AT114" s="3">
        <v>4</v>
      </c>
      <c r="AV114" s="3">
        <v>4</v>
      </c>
      <c r="AW114" s="3">
        <v>4</v>
      </c>
      <c r="AX114" s="3">
        <v>3</v>
      </c>
      <c r="AY114" s="3">
        <v>3</v>
      </c>
      <c r="BA114" s="3">
        <f t="shared" si="233"/>
        <v>4</v>
      </c>
      <c r="BJ114" s="3">
        <f t="shared" si="234"/>
        <v>0</v>
      </c>
      <c r="CH114" s="206">
        <f t="shared" si="235"/>
        <v>800</v>
      </c>
      <c r="CI114" s="56">
        <v>200</v>
      </c>
      <c r="CJ114" s="3">
        <v>198</v>
      </c>
      <c r="CK114" s="3">
        <v>195</v>
      </c>
      <c r="CL114" s="3">
        <v>190</v>
      </c>
      <c r="CM114" s="3">
        <v>182</v>
      </c>
      <c r="CN114" s="3">
        <v>170</v>
      </c>
      <c r="CO114" s="3">
        <v>158</v>
      </c>
      <c r="CP114" s="3">
        <v>146</v>
      </c>
      <c r="CQ114" s="3">
        <v>0</v>
      </c>
      <c r="CR114" s="56">
        <v>10</v>
      </c>
      <c r="CS114" s="3">
        <v>10</v>
      </c>
      <c r="CT114" s="3">
        <v>10</v>
      </c>
      <c r="CU114" s="3">
        <v>10</v>
      </c>
      <c r="CV114" s="3">
        <v>9.8000000000000007</v>
      </c>
      <c r="CW114" s="3">
        <v>9.6</v>
      </c>
      <c r="CX114" s="3">
        <v>9.4</v>
      </c>
      <c r="CY114" s="3">
        <v>9.1999999999999993</v>
      </c>
      <c r="CZ114" s="3">
        <v>9</v>
      </c>
      <c r="DJ114" s="3">
        <f t="shared" ca="1" si="236"/>
        <v>200</v>
      </c>
      <c r="DK114" s="93">
        <f t="shared" ca="1" si="237"/>
        <v>100</v>
      </c>
      <c r="DL114" s="3">
        <f t="shared" ca="1" si="238"/>
        <v>10</v>
      </c>
      <c r="DO114" s="3">
        <v>2</v>
      </c>
      <c r="DZ114" s="3">
        <v>1</v>
      </c>
      <c r="EA114" s="3">
        <f t="shared" si="239"/>
        <v>1</v>
      </c>
      <c r="EB114" s="3">
        <f t="shared" si="240"/>
        <v>2</v>
      </c>
      <c r="EC114" s="3">
        <f t="shared" si="241"/>
        <v>0</v>
      </c>
      <c r="ED114" s="3">
        <f t="shared" si="242"/>
        <v>0</v>
      </c>
      <c r="EF114" s="3">
        <f t="shared" ca="1" si="243"/>
        <v>0</v>
      </c>
      <c r="EG114" s="3">
        <f t="shared" ca="1" si="244"/>
        <v>0</v>
      </c>
      <c r="EH114" s="3">
        <f ca="1">IFERROR(IF(LEFT($BA114,1)="4",OFFSET(변환표준점수!$H$118,MATCH($S114,변환표준점수!$B$119:$B$198,0),),OFFSET(EH$3,MATCH(AS114,$ED$4:$ED$8,0),0)),0)</f>
        <v>0</v>
      </c>
      <c r="EI114" s="3">
        <f ca="1">IFERROR(IF(LEFT($BA114,1)="4",OFFSET(변환표준점수!$I$118,MATCH($S114,변환표준점수!$B$119:$B$198,0),0),OFFSET(EI$3,MATCH(AT114,$ED$4:$ED$8,0),0)),0)</f>
        <v>0</v>
      </c>
      <c r="EK114" s="3">
        <f ca="1">IFERROR(IF(LEFT($BA114,1)="4",OFFSET(변환표준점수!$J$118,MATCH($S114,변환표준점수!$B$119:$B$198,0),0),OFFSET(EJ$3,MATCH(AV114,$ED$4:$ED$8,0),0)),0)</f>
        <v>0</v>
      </c>
      <c r="EL114" s="3">
        <f ca="1">IFERROR(IF(LEFT($BA114,1)="4",OFFSET(변환표준점수!$K$118,MATCH($S114,변환표준점수!$B$119:$B$198,0),0),OFFSET(EK$3,MATCH(AW114,$ED$4:$ED$8,0),0)),0)</f>
        <v>0</v>
      </c>
      <c r="EM114" s="3" t="str">
        <f t="shared" ca="1" si="245"/>
        <v/>
      </c>
      <c r="EN114" s="3" t="str">
        <f t="shared" ca="1" si="246"/>
        <v/>
      </c>
      <c r="EO114" s="3">
        <f t="shared" ca="1" si="247"/>
        <v>0</v>
      </c>
      <c r="EQ114" s="3">
        <f t="shared" ca="1" si="248"/>
        <v>0</v>
      </c>
      <c r="ER114" s="3">
        <f t="shared" ca="1" si="249"/>
        <v>0</v>
      </c>
      <c r="ES114" s="3">
        <f t="shared" ca="1" si="250"/>
        <v>0</v>
      </c>
      <c r="ET114" s="3">
        <f t="shared" ca="1" si="251"/>
        <v>0</v>
      </c>
      <c r="EU114" s="3">
        <f t="shared" si="252"/>
        <v>0</v>
      </c>
      <c r="EV114" s="3">
        <f t="shared" ca="1" si="253"/>
        <v>0</v>
      </c>
      <c r="EW114" s="3">
        <f t="shared" ca="1" si="254"/>
        <v>0</v>
      </c>
      <c r="EX114" s="3">
        <f ca="1">LARGE((ES114:ET114,EV114:EW114),1)</f>
        <v>0</v>
      </c>
      <c r="EY114" s="3">
        <f ca="1">IF(O114&lt;2,0,LARGE((ES114:ET114,EV114:EW114),2))</f>
        <v>0</v>
      </c>
      <c r="EZ114" s="3">
        <f t="shared" ca="1" si="255"/>
        <v>0</v>
      </c>
      <c r="FA114" s="3">
        <f t="shared" ca="1" si="256"/>
        <v>0</v>
      </c>
      <c r="FB114" s="3">
        <f t="shared" ca="1" si="257"/>
        <v>0</v>
      </c>
      <c r="FG114" s="3">
        <f t="shared" ca="1" si="258"/>
        <v>0</v>
      </c>
      <c r="FH114" s="618"/>
      <c r="FU114" s="3" t="str">
        <f t="shared" si="166"/>
        <v>표점</v>
      </c>
      <c r="FV114" s="3" t="str">
        <f t="shared" si="167"/>
        <v>변표</v>
      </c>
      <c r="FW114" s="3">
        <f t="shared" si="259"/>
        <v>0.25</v>
      </c>
      <c r="FX114" s="3">
        <f t="shared" si="260"/>
        <v>0.44</v>
      </c>
      <c r="FY114" s="3">
        <f t="shared" si="261"/>
        <v>0.31</v>
      </c>
      <c r="FZ114" s="3">
        <f t="shared" si="262"/>
        <v>4</v>
      </c>
    </row>
    <row r="115" spans="1:182">
      <c r="A115" s="556">
        <v>26</v>
      </c>
      <c r="C115" s="3">
        <f t="shared" si="216"/>
        <v>100</v>
      </c>
      <c r="D115" s="3">
        <v>100</v>
      </c>
      <c r="E115" s="3" t="s">
        <v>358</v>
      </c>
      <c r="F115" s="3">
        <v>1000</v>
      </c>
      <c r="G115" s="3">
        <v>0.35</v>
      </c>
      <c r="H115" s="3">
        <v>0.25</v>
      </c>
      <c r="I115" s="3">
        <v>0.2</v>
      </c>
      <c r="L115" s="3">
        <v>0.2</v>
      </c>
      <c r="O115" s="3">
        <v>1</v>
      </c>
      <c r="P115" s="3">
        <f t="shared" si="217"/>
        <v>0.8</v>
      </c>
      <c r="Q115" s="3" t="s">
        <v>408</v>
      </c>
      <c r="S115" s="3" t="str">
        <f t="shared" si="218"/>
        <v/>
      </c>
      <c r="W115" s="3">
        <f t="shared" si="219"/>
        <v>0</v>
      </c>
      <c r="Y115" s="3">
        <f t="shared" si="220"/>
        <v>3.5</v>
      </c>
      <c r="Z115" s="3">
        <f t="shared" si="221"/>
        <v>2.5</v>
      </c>
      <c r="AA115" s="3">
        <f t="shared" si="222"/>
        <v>2</v>
      </c>
      <c r="AB115" s="3">
        <f t="shared" si="223"/>
        <v>2</v>
      </c>
      <c r="AC115" s="3">
        <f t="shared" si="224"/>
        <v>2</v>
      </c>
      <c r="AD115" s="3">
        <f t="shared" si="225"/>
        <v>3.5</v>
      </c>
      <c r="AE115" s="3">
        <f t="shared" si="226"/>
        <v>2.5</v>
      </c>
      <c r="AF115" s="3">
        <f t="shared" si="227"/>
        <v>2</v>
      </c>
      <c r="AG115" s="3" t="str">
        <f t="shared" si="228"/>
        <v>자동</v>
      </c>
      <c r="AH115" s="3" t="str">
        <f t="shared" si="229"/>
        <v>자동</v>
      </c>
      <c r="AI115" s="3">
        <f t="shared" si="230"/>
        <v>2</v>
      </c>
      <c r="AJ115" s="3" t="str">
        <f t="shared" si="231"/>
        <v>자동</v>
      </c>
      <c r="AL115" s="3" t="str">
        <f t="shared" si="232"/>
        <v/>
      </c>
      <c r="AN115" s="3" t="str">
        <f ca="1">IF($BA115=42,OFFSET(변환표준점수!C$119,$AP115-1,0),"")</f>
        <v/>
      </c>
      <c r="AO115" s="3" t="str">
        <f ca="1">IF($BA115=42,OFFSET(변환표준점수!D$119,$AP115-1,0),"")</f>
        <v/>
      </c>
      <c r="AP115" s="3" t="str">
        <f>IF(S115="","",MATCH(S115,변환표준점수!$B$119:$B$298,0))</f>
        <v/>
      </c>
      <c r="AQ115" s="3">
        <v>2</v>
      </c>
      <c r="AR115" s="3">
        <v>2</v>
      </c>
      <c r="AS115" s="3">
        <v>2</v>
      </c>
      <c r="AV115" s="3">
        <v>2</v>
      </c>
      <c r="AX115" s="3">
        <v>3</v>
      </c>
      <c r="AY115" s="3">
        <v>3</v>
      </c>
      <c r="BA115" s="3">
        <f t="shared" si="233"/>
        <v>2</v>
      </c>
      <c r="BJ115" s="3">
        <f t="shared" si="234"/>
        <v>0</v>
      </c>
      <c r="CH115" s="206">
        <f t="shared" si="235"/>
        <v>800</v>
      </c>
      <c r="CI115" s="56">
        <v>200</v>
      </c>
      <c r="CJ115" s="3">
        <v>196</v>
      </c>
      <c r="CK115" s="3">
        <v>192</v>
      </c>
      <c r="CL115" s="3">
        <v>180</v>
      </c>
      <c r="CM115" s="3">
        <v>160</v>
      </c>
      <c r="CN115" s="3">
        <v>120</v>
      </c>
      <c r="CO115" s="3">
        <v>80</v>
      </c>
      <c r="CP115" s="3">
        <v>40</v>
      </c>
      <c r="CQ115" s="3">
        <v>0</v>
      </c>
      <c r="CR115" s="56">
        <v>3</v>
      </c>
      <c r="CS115" s="3">
        <v>3</v>
      </c>
      <c r="CT115" s="3">
        <v>3</v>
      </c>
      <c r="CU115" s="3">
        <v>3</v>
      </c>
      <c r="CV115" s="3">
        <v>3</v>
      </c>
      <c r="CW115" s="3">
        <v>3</v>
      </c>
      <c r="CX115" s="3">
        <v>2</v>
      </c>
      <c r="CY115" s="3">
        <v>2</v>
      </c>
      <c r="CZ115" s="3">
        <v>2</v>
      </c>
      <c r="DJ115" s="3">
        <f t="shared" ca="1" si="236"/>
        <v>200</v>
      </c>
      <c r="DK115" s="93">
        <f t="shared" ca="1" si="237"/>
        <v>100</v>
      </c>
      <c r="DL115" s="3">
        <f t="shared" ca="1" si="238"/>
        <v>3</v>
      </c>
      <c r="DO115" s="3">
        <v>1</v>
      </c>
      <c r="EA115" s="3">
        <f t="shared" si="239"/>
        <v>2</v>
      </c>
      <c r="EB115" s="3">
        <f t="shared" si="240"/>
        <v>1</v>
      </c>
      <c r="EC115" s="3">
        <f t="shared" si="241"/>
        <v>0</v>
      </c>
      <c r="ED115" s="3">
        <f t="shared" si="242"/>
        <v>0</v>
      </c>
      <c r="EF115" s="3">
        <f t="shared" ca="1" si="243"/>
        <v>0</v>
      </c>
      <c r="EG115" s="3">
        <f t="shared" ca="1" si="244"/>
        <v>0</v>
      </c>
      <c r="EH115" s="3">
        <f ca="1">IFERROR(IF(LEFT($BA115,1)="4",OFFSET(변환표준점수!$H$118,MATCH($S115,변환표준점수!$B$119:$B$198,0),),OFFSET(EH$3,MATCH(AS115,$ED$4:$ED$8,0),0)),0)</f>
        <v>0</v>
      </c>
      <c r="EI115" s="3">
        <f ca="1">IFERROR(IF(LEFT($BA115,1)="4",OFFSET(변환표준점수!$I$118,MATCH($S115,변환표준점수!$B$119:$B$198,0),0),OFFSET(EI$3,MATCH(AT115,$ED$4:$ED$8,0),0)),0)</f>
        <v>0</v>
      </c>
      <c r="EK115" s="3">
        <f ca="1">IFERROR(IF(LEFT($BA115,1)="4",OFFSET(변환표준점수!$J$118,MATCH($S115,변환표준점수!$B$119:$B$198,0),0),OFFSET(EJ$3,MATCH(AV115,$ED$4:$ED$8,0),0)),0)</f>
        <v>0</v>
      </c>
      <c r="EL115" s="3">
        <f ca="1">IFERROR(IF(LEFT($BA115,1)="4",OFFSET(변환표준점수!$K$118,MATCH($S115,변환표준점수!$B$119:$B$198,0),0),OFFSET(EK$3,MATCH(AW115,$ED$4:$ED$8,0),0)),0)</f>
        <v>0</v>
      </c>
      <c r="EM115" s="3" t="str">
        <f t="shared" ca="1" si="245"/>
        <v/>
      </c>
      <c r="EN115" s="3" t="str">
        <f t="shared" ca="1" si="246"/>
        <v/>
      </c>
      <c r="EO115" s="3">
        <f t="shared" ca="1" si="247"/>
        <v>0</v>
      </c>
      <c r="EQ115" s="3">
        <f t="shared" ca="1" si="248"/>
        <v>0</v>
      </c>
      <c r="ER115" s="3">
        <f t="shared" ca="1" si="249"/>
        <v>0</v>
      </c>
      <c r="ES115" s="3">
        <f t="shared" ca="1" si="250"/>
        <v>0</v>
      </c>
      <c r="ET115" s="3">
        <f t="shared" si="251"/>
        <v>0</v>
      </c>
      <c r="EU115" s="3">
        <f t="shared" si="252"/>
        <v>0</v>
      </c>
      <c r="EV115" s="3">
        <f t="shared" ca="1" si="253"/>
        <v>0</v>
      </c>
      <c r="EW115" s="3">
        <f t="shared" si="254"/>
        <v>0</v>
      </c>
      <c r="EX115" s="3">
        <f ca="1">LARGE((ES115:ET115,EV115:EW115),1)</f>
        <v>0</v>
      </c>
      <c r="EY115" s="3">
        <f>IF(O115&lt;2,0,LARGE((ES115:ET115,EV115:EW115),2))</f>
        <v>0</v>
      </c>
      <c r="EZ115" s="3">
        <f t="shared" ca="1" si="255"/>
        <v>0</v>
      </c>
      <c r="FA115" s="3">
        <f t="shared" ca="1" si="256"/>
        <v>0</v>
      </c>
      <c r="FB115" s="3">
        <f t="shared" ca="1" si="257"/>
        <v>0</v>
      </c>
      <c r="FG115" s="3">
        <f t="shared" ca="1" si="258"/>
        <v>0</v>
      </c>
      <c r="FH115" s="618"/>
      <c r="FU115" s="3" t="str">
        <f t="shared" si="166"/>
        <v>백분위</v>
      </c>
      <c r="FV115" s="3" t="str">
        <f t="shared" si="167"/>
        <v>백분위</v>
      </c>
      <c r="FW115" s="3">
        <f t="shared" si="259"/>
        <v>0.44</v>
      </c>
      <c r="FX115" s="3">
        <f t="shared" si="260"/>
        <v>0.31</v>
      </c>
      <c r="FY115" s="3">
        <f t="shared" si="261"/>
        <v>0.25</v>
      </c>
      <c r="FZ115" s="3">
        <f t="shared" si="262"/>
        <v>8</v>
      </c>
    </row>
    <row r="116" spans="1:182">
      <c r="A116" s="556">
        <v>26</v>
      </c>
      <c r="C116" s="3">
        <f t="shared" si="216"/>
        <v>101</v>
      </c>
      <c r="D116" s="3">
        <v>101</v>
      </c>
      <c r="E116" s="3" t="s">
        <v>357</v>
      </c>
      <c r="F116" s="3">
        <v>1000</v>
      </c>
      <c r="G116" s="3">
        <v>0.25</v>
      </c>
      <c r="H116" s="3">
        <v>0.35</v>
      </c>
      <c r="I116" s="3">
        <v>0.2</v>
      </c>
      <c r="L116" s="3">
        <v>0.2</v>
      </c>
      <c r="O116" s="3">
        <v>1</v>
      </c>
      <c r="P116" s="3">
        <f t="shared" si="217"/>
        <v>0.8</v>
      </c>
      <c r="Q116" s="3" t="s">
        <v>408</v>
      </c>
      <c r="S116" s="3" t="str">
        <f t="shared" si="218"/>
        <v/>
      </c>
      <c r="W116" s="3">
        <f t="shared" si="219"/>
        <v>0</v>
      </c>
      <c r="Y116" s="3">
        <f t="shared" si="220"/>
        <v>2.5</v>
      </c>
      <c r="Z116" s="3">
        <f t="shared" si="221"/>
        <v>3.5</v>
      </c>
      <c r="AA116" s="3">
        <f t="shared" si="222"/>
        <v>2</v>
      </c>
      <c r="AB116" s="3">
        <f t="shared" si="223"/>
        <v>2</v>
      </c>
      <c r="AC116" s="3">
        <f t="shared" si="224"/>
        <v>2</v>
      </c>
      <c r="AD116" s="3">
        <f t="shared" si="225"/>
        <v>2.5</v>
      </c>
      <c r="AE116" s="3">
        <f t="shared" si="226"/>
        <v>3.5</v>
      </c>
      <c r="AF116" s="3">
        <f t="shared" si="227"/>
        <v>2</v>
      </c>
      <c r="AG116" s="3" t="str">
        <f t="shared" si="228"/>
        <v>자동</v>
      </c>
      <c r="AH116" s="3" t="str">
        <f t="shared" si="229"/>
        <v>자동</v>
      </c>
      <c r="AI116" s="3">
        <f t="shared" si="230"/>
        <v>2</v>
      </c>
      <c r="AJ116" s="3" t="str">
        <f t="shared" si="231"/>
        <v>자동</v>
      </c>
      <c r="AL116" s="3" t="str">
        <f t="shared" si="232"/>
        <v/>
      </c>
      <c r="AN116" s="3" t="str">
        <f ca="1">IF($BA116=42,OFFSET(변환표준점수!C$119,$AP116-1,0),"")</f>
        <v/>
      </c>
      <c r="AO116" s="3" t="str">
        <f ca="1">IF($BA116=42,OFFSET(변환표준점수!D$119,$AP116-1,0),"")</f>
        <v/>
      </c>
      <c r="AP116" s="3" t="str">
        <f>IF(S116="","",MATCH(S116,변환표준점수!$B$119:$B$298,0))</f>
        <v/>
      </c>
      <c r="AQ116" s="3">
        <v>2</v>
      </c>
      <c r="AR116" s="3">
        <v>2</v>
      </c>
      <c r="AS116" s="3">
        <v>2</v>
      </c>
      <c r="AV116" s="3">
        <v>2</v>
      </c>
      <c r="AX116" s="3">
        <v>3</v>
      </c>
      <c r="AY116" s="3">
        <v>3</v>
      </c>
      <c r="BA116" s="3">
        <f t="shared" si="233"/>
        <v>2</v>
      </c>
      <c r="BF116" s="3">
        <f>0.1*AF116</f>
        <v>0.2</v>
      </c>
      <c r="BJ116" s="3">
        <f t="shared" si="234"/>
        <v>0</v>
      </c>
      <c r="BN116" s="212" t="s">
        <v>7300</v>
      </c>
      <c r="BS116" s="3">
        <f ca="1">BF116*EH116</f>
        <v>0</v>
      </c>
      <c r="CH116" s="206">
        <f t="shared" si="235"/>
        <v>800</v>
      </c>
      <c r="CI116" s="56">
        <v>200</v>
      </c>
      <c r="CJ116" s="3">
        <v>196</v>
      </c>
      <c r="CK116" s="3">
        <v>192</v>
      </c>
      <c r="CL116" s="3">
        <v>180</v>
      </c>
      <c r="CM116" s="3">
        <v>160</v>
      </c>
      <c r="CN116" s="3">
        <v>120</v>
      </c>
      <c r="CO116" s="3">
        <v>80</v>
      </c>
      <c r="CP116" s="3">
        <v>40</v>
      </c>
      <c r="CQ116" s="3">
        <v>0</v>
      </c>
      <c r="CR116" s="56">
        <v>3</v>
      </c>
      <c r="CS116" s="3">
        <v>3</v>
      </c>
      <c r="CT116" s="3">
        <v>3</v>
      </c>
      <c r="CU116" s="3">
        <v>3</v>
      </c>
      <c r="CV116" s="3">
        <v>3</v>
      </c>
      <c r="CW116" s="3">
        <v>3</v>
      </c>
      <c r="CX116" s="3">
        <v>2</v>
      </c>
      <c r="CY116" s="3">
        <v>2</v>
      </c>
      <c r="CZ116" s="3">
        <v>2</v>
      </c>
      <c r="DJ116" s="3">
        <f t="shared" ca="1" si="236"/>
        <v>200</v>
      </c>
      <c r="DK116" s="93">
        <f t="shared" ca="1" si="237"/>
        <v>100</v>
      </c>
      <c r="DL116" s="3">
        <f t="shared" ca="1" si="238"/>
        <v>3</v>
      </c>
      <c r="DO116" s="3">
        <v>1</v>
      </c>
      <c r="DZ116" s="3">
        <v>1</v>
      </c>
      <c r="EA116" s="3">
        <f t="shared" si="239"/>
        <v>1</v>
      </c>
      <c r="EB116" s="3">
        <f t="shared" si="240"/>
        <v>1</v>
      </c>
      <c r="EC116" s="3">
        <f t="shared" si="241"/>
        <v>0</v>
      </c>
      <c r="ED116" s="3">
        <f t="shared" si="242"/>
        <v>0</v>
      </c>
      <c r="EF116" s="3">
        <f t="shared" ca="1" si="243"/>
        <v>0</v>
      </c>
      <c r="EG116" s="3">
        <f t="shared" ca="1" si="244"/>
        <v>0</v>
      </c>
      <c r="EH116" s="3">
        <f ca="1">IFERROR(IF(LEFT($BA116,1)="4",OFFSET(변환표준점수!$H$118,MATCH($S116,변환표준점수!$B$119:$B$198,0),),OFFSET(EH$3,MATCH(AS116,$ED$4:$ED$8,0),0)),0)</f>
        <v>0</v>
      </c>
      <c r="EI116" s="3">
        <f ca="1">IFERROR(IF(LEFT($BA116,1)="4",OFFSET(변환표준점수!$I$118,MATCH($S116,변환표준점수!$B$119:$B$198,0),0),OFFSET(EI$3,MATCH(AT116,$ED$4:$ED$8,0),0)),0)</f>
        <v>0</v>
      </c>
      <c r="EK116" s="3">
        <f ca="1">IFERROR(IF(LEFT($BA116,1)="4",OFFSET(변환표준점수!$J$118,MATCH($S116,변환표준점수!$B$119:$B$198,0),0),OFFSET(EJ$3,MATCH(AV116,$ED$4:$ED$8,0),0)),0)</f>
        <v>0</v>
      </c>
      <c r="EL116" s="3">
        <f ca="1">IFERROR(IF(LEFT($BA116,1)="4",OFFSET(변환표준점수!$K$118,MATCH($S116,변환표준점수!$B$119:$B$198,0),0),OFFSET(EK$3,MATCH(AW116,$ED$4:$ED$8,0),0)),0)</f>
        <v>0</v>
      </c>
      <c r="EM116" s="3" t="str">
        <f t="shared" ca="1" si="245"/>
        <v/>
      </c>
      <c r="EN116" s="3" t="str">
        <f t="shared" ca="1" si="246"/>
        <v/>
      </c>
      <c r="EO116" s="3">
        <f t="shared" ca="1" si="247"/>
        <v>0</v>
      </c>
      <c r="EQ116" s="3">
        <f t="shared" ca="1" si="248"/>
        <v>0</v>
      </c>
      <c r="ER116" s="3">
        <f t="shared" ca="1" si="249"/>
        <v>0</v>
      </c>
      <c r="ES116" s="3">
        <f t="shared" ca="1" si="250"/>
        <v>0</v>
      </c>
      <c r="ET116" s="3">
        <f t="shared" si="251"/>
        <v>0</v>
      </c>
      <c r="EU116" s="3">
        <f t="shared" si="252"/>
        <v>0</v>
      </c>
      <c r="EV116" s="3">
        <f t="shared" ca="1" si="253"/>
        <v>0</v>
      </c>
      <c r="EW116" s="3">
        <f t="shared" si="254"/>
        <v>0</v>
      </c>
      <c r="EX116" s="3">
        <f ca="1">LARGE((ES116:ET116,EV116:EW116),1)</f>
        <v>0</v>
      </c>
      <c r="EY116" s="3">
        <f>IF(O116&lt;2,0,LARGE((ES116:ET116,EV116:EW116),2))</f>
        <v>0</v>
      </c>
      <c r="EZ116" s="3">
        <f t="shared" ca="1" si="255"/>
        <v>0</v>
      </c>
      <c r="FA116" s="3">
        <f t="shared" ca="1" si="256"/>
        <v>0</v>
      </c>
      <c r="FB116" s="3">
        <f t="shared" ca="1" si="257"/>
        <v>0</v>
      </c>
      <c r="FG116" s="3">
        <f t="shared" ca="1" si="258"/>
        <v>0</v>
      </c>
      <c r="FH116" s="618"/>
      <c r="FU116" s="3" t="str">
        <f t="shared" si="166"/>
        <v>백분위</v>
      </c>
      <c r="FV116" s="3" t="str">
        <f t="shared" si="167"/>
        <v>백분위</v>
      </c>
      <c r="FW116" s="3">
        <f t="shared" si="259"/>
        <v>0.31</v>
      </c>
      <c r="FX116" s="3">
        <f t="shared" si="260"/>
        <v>0.44</v>
      </c>
      <c r="FY116" s="3">
        <f t="shared" si="261"/>
        <v>0.25</v>
      </c>
      <c r="FZ116" s="3">
        <f t="shared" si="262"/>
        <v>8</v>
      </c>
    </row>
    <row r="117" spans="1:182">
      <c r="A117" s="556">
        <v>26</v>
      </c>
      <c r="C117" s="3">
        <f t="shared" si="216"/>
        <v>102</v>
      </c>
      <c r="D117" s="3">
        <v>102</v>
      </c>
      <c r="E117" s="3" t="s">
        <v>7301</v>
      </c>
      <c r="F117" s="3">
        <v>1000</v>
      </c>
      <c r="G117" s="3">
        <v>0.3</v>
      </c>
      <c r="H117" s="3">
        <v>0.3</v>
      </c>
      <c r="I117" s="3">
        <v>0.2</v>
      </c>
      <c r="L117" s="3">
        <v>0.2</v>
      </c>
      <c r="O117" s="3">
        <v>1</v>
      </c>
      <c r="P117" s="3">
        <f t="shared" si="217"/>
        <v>0.8</v>
      </c>
      <c r="Q117" s="3" t="s">
        <v>408</v>
      </c>
      <c r="S117" s="3" t="str">
        <f t="shared" si="218"/>
        <v/>
      </c>
      <c r="W117" s="3">
        <f t="shared" si="219"/>
        <v>0</v>
      </c>
      <c r="Y117" s="3">
        <f t="shared" si="220"/>
        <v>3</v>
      </c>
      <c r="Z117" s="3">
        <f t="shared" si="221"/>
        <v>3</v>
      </c>
      <c r="AA117" s="3">
        <f t="shared" si="222"/>
        <v>2</v>
      </c>
      <c r="AB117" s="3">
        <f t="shared" si="223"/>
        <v>2</v>
      </c>
      <c r="AC117" s="3">
        <f t="shared" si="224"/>
        <v>2</v>
      </c>
      <c r="AD117" s="3">
        <f t="shared" si="225"/>
        <v>3</v>
      </c>
      <c r="AE117" s="3">
        <f t="shared" si="226"/>
        <v>3</v>
      </c>
      <c r="AF117" s="3">
        <f t="shared" si="227"/>
        <v>2</v>
      </c>
      <c r="AG117" s="3" t="str">
        <f t="shared" si="228"/>
        <v>자동</v>
      </c>
      <c r="AH117" s="3" t="str">
        <f t="shared" si="229"/>
        <v>자동</v>
      </c>
      <c r="AI117" s="3">
        <f t="shared" si="230"/>
        <v>2</v>
      </c>
      <c r="AJ117" s="3" t="str">
        <f t="shared" si="231"/>
        <v>자동</v>
      </c>
      <c r="AL117" s="3" t="str">
        <f t="shared" si="232"/>
        <v/>
      </c>
      <c r="AN117" s="3" t="str">
        <f ca="1">IF($BA117=42,OFFSET(변환표준점수!C$119,$AP117-1,0),"")</f>
        <v/>
      </c>
      <c r="AO117" s="3" t="str">
        <f ca="1">IF($BA117=42,OFFSET(변환표준점수!D$119,$AP117-1,0),"")</f>
        <v/>
      </c>
      <c r="AP117" s="3" t="str">
        <f>IF(S117="","",MATCH(S117,변환표준점수!$B$119:$B$298,0))</f>
        <v/>
      </c>
      <c r="AQ117" s="3">
        <v>2</v>
      </c>
      <c r="AR117" s="3">
        <v>2</v>
      </c>
      <c r="AS117" s="3">
        <v>2</v>
      </c>
      <c r="AV117" s="3">
        <v>2</v>
      </c>
      <c r="AX117" s="3">
        <v>3</v>
      </c>
      <c r="AY117" s="3">
        <v>3</v>
      </c>
      <c r="BA117" s="3">
        <f t="shared" si="233"/>
        <v>2</v>
      </c>
      <c r="BJ117" s="3">
        <f t="shared" si="234"/>
        <v>0</v>
      </c>
      <c r="CH117" s="206">
        <f t="shared" si="235"/>
        <v>800</v>
      </c>
      <c r="CI117" s="56">
        <v>200</v>
      </c>
      <c r="CJ117" s="3">
        <v>196</v>
      </c>
      <c r="CK117" s="3">
        <v>192</v>
      </c>
      <c r="CL117" s="3">
        <v>180</v>
      </c>
      <c r="CM117" s="3">
        <v>160</v>
      </c>
      <c r="CN117" s="3">
        <v>120</v>
      </c>
      <c r="CO117" s="3">
        <v>80</v>
      </c>
      <c r="CP117" s="3">
        <v>40</v>
      </c>
      <c r="CQ117" s="3">
        <v>0</v>
      </c>
      <c r="CR117" s="56">
        <v>3</v>
      </c>
      <c r="CS117" s="3">
        <v>3</v>
      </c>
      <c r="CT117" s="3">
        <v>3</v>
      </c>
      <c r="CU117" s="3">
        <v>3</v>
      </c>
      <c r="CV117" s="3">
        <v>3</v>
      </c>
      <c r="CW117" s="3">
        <v>3</v>
      </c>
      <c r="CX117" s="3">
        <v>2</v>
      </c>
      <c r="CY117" s="3">
        <v>2</v>
      </c>
      <c r="CZ117" s="3">
        <v>2</v>
      </c>
      <c r="DJ117" s="3">
        <f t="shared" ca="1" si="236"/>
        <v>200</v>
      </c>
      <c r="DK117" s="93">
        <f t="shared" ca="1" si="237"/>
        <v>100</v>
      </c>
      <c r="DL117" s="3">
        <f t="shared" ca="1" si="238"/>
        <v>3</v>
      </c>
      <c r="DO117" s="3">
        <v>1</v>
      </c>
      <c r="EA117" s="3">
        <f t="shared" si="239"/>
        <v>2</v>
      </c>
      <c r="EB117" s="3">
        <f t="shared" si="240"/>
        <v>1</v>
      </c>
      <c r="EC117" s="3">
        <f t="shared" si="241"/>
        <v>0</v>
      </c>
      <c r="ED117" s="3">
        <f t="shared" si="242"/>
        <v>0</v>
      </c>
      <c r="EF117" s="3">
        <f t="shared" ca="1" si="243"/>
        <v>0</v>
      </c>
      <c r="EG117" s="3">
        <f t="shared" ca="1" si="244"/>
        <v>0</v>
      </c>
      <c r="EH117" s="3">
        <f ca="1">IFERROR(IF(LEFT($BA117,1)="4",OFFSET(변환표준점수!$H$118,MATCH($S117,변환표준점수!$B$119:$B$198,0),),OFFSET(EH$3,MATCH(AS117,$ED$4:$ED$8,0),0)),0)</f>
        <v>0</v>
      </c>
      <c r="EI117" s="3">
        <f ca="1">IFERROR(IF(LEFT($BA117,1)="4",OFFSET(변환표준점수!$I$118,MATCH($S117,변환표준점수!$B$119:$B$198,0),0),OFFSET(EI$3,MATCH(AT117,$ED$4:$ED$8,0),0)),0)</f>
        <v>0</v>
      </c>
      <c r="EK117" s="3">
        <f ca="1">IFERROR(IF(LEFT($BA117,1)="4",OFFSET(변환표준점수!$J$118,MATCH($S117,변환표준점수!$B$119:$B$198,0),0),OFFSET(EJ$3,MATCH(AV117,$ED$4:$ED$8,0),0)),0)</f>
        <v>0</v>
      </c>
      <c r="EL117" s="3">
        <f ca="1">IFERROR(IF(LEFT($BA117,1)="4",OFFSET(변환표준점수!$K$118,MATCH($S117,변환표준점수!$B$119:$B$198,0),0),OFFSET(EK$3,MATCH(AW117,$ED$4:$ED$8,0),0)),0)</f>
        <v>0</v>
      </c>
      <c r="EM117" s="3" t="str">
        <f t="shared" ca="1" si="245"/>
        <v/>
      </c>
      <c r="EN117" s="3" t="str">
        <f t="shared" ca="1" si="246"/>
        <v/>
      </c>
      <c r="EO117" s="3">
        <f t="shared" ca="1" si="247"/>
        <v>0</v>
      </c>
      <c r="EQ117" s="3">
        <f t="shared" ca="1" si="248"/>
        <v>0</v>
      </c>
      <c r="ER117" s="3">
        <f t="shared" ca="1" si="249"/>
        <v>0</v>
      </c>
      <c r="ES117" s="3">
        <f t="shared" ca="1" si="250"/>
        <v>0</v>
      </c>
      <c r="ET117" s="3">
        <f t="shared" si="251"/>
        <v>0</v>
      </c>
      <c r="EU117" s="3">
        <f t="shared" si="252"/>
        <v>0</v>
      </c>
      <c r="EV117" s="3">
        <f t="shared" ca="1" si="253"/>
        <v>0</v>
      </c>
      <c r="EW117" s="3">
        <f t="shared" si="254"/>
        <v>0</v>
      </c>
      <c r="EX117" s="3">
        <f ca="1">LARGE((ES117:ET117,EV117:EW117),1)</f>
        <v>0</v>
      </c>
      <c r="EY117" s="3">
        <f>IF(O117&lt;2,0,LARGE((ES117:ET117,EV117:EW117),2))</f>
        <v>0</v>
      </c>
      <c r="EZ117" s="3">
        <f t="shared" ca="1" si="255"/>
        <v>0</v>
      </c>
      <c r="FA117" s="3">
        <f t="shared" ca="1" si="256"/>
        <v>0</v>
      </c>
      <c r="FB117" s="3">
        <f t="shared" ca="1" si="257"/>
        <v>0</v>
      </c>
      <c r="FG117" s="3">
        <f t="shared" ca="1" si="258"/>
        <v>0</v>
      </c>
      <c r="FH117" s="618"/>
      <c r="FU117" s="3" t="str">
        <f t="shared" si="166"/>
        <v>백분위</v>
      </c>
      <c r="FV117" s="3" t="str">
        <f t="shared" si="167"/>
        <v>백분위</v>
      </c>
      <c r="FW117" s="3">
        <f t="shared" si="259"/>
        <v>0.38</v>
      </c>
      <c r="FX117" s="3">
        <f t="shared" si="260"/>
        <v>0.38</v>
      </c>
      <c r="FY117" s="3">
        <f t="shared" si="261"/>
        <v>0.25</v>
      </c>
      <c r="FZ117" s="3">
        <f t="shared" si="262"/>
        <v>8</v>
      </c>
    </row>
    <row r="118" spans="1:182">
      <c r="A118" s="556">
        <v>26</v>
      </c>
      <c r="C118" s="3">
        <f t="shared" si="216"/>
        <v>103</v>
      </c>
      <c r="D118" s="3">
        <v>103</v>
      </c>
      <c r="E118" s="3" t="s">
        <v>359</v>
      </c>
      <c r="F118" s="3">
        <v>1000</v>
      </c>
      <c r="G118" s="3">
        <v>0.25</v>
      </c>
      <c r="H118" s="3">
        <v>0.35</v>
      </c>
      <c r="I118" s="3">
        <v>0.2</v>
      </c>
      <c r="L118" s="3">
        <v>0.2</v>
      </c>
      <c r="O118" s="3">
        <v>1</v>
      </c>
      <c r="P118" s="3">
        <f t="shared" si="217"/>
        <v>0.8</v>
      </c>
      <c r="Q118" s="3" t="s">
        <v>408</v>
      </c>
      <c r="S118" s="3" t="str">
        <f t="shared" si="218"/>
        <v/>
      </c>
      <c r="W118" s="3">
        <f t="shared" si="219"/>
        <v>0</v>
      </c>
      <c r="Y118" s="3">
        <f t="shared" si="220"/>
        <v>2.5</v>
      </c>
      <c r="Z118" s="3">
        <f t="shared" si="221"/>
        <v>3.5</v>
      </c>
      <c r="AA118" s="3">
        <f t="shared" si="222"/>
        <v>2</v>
      </c>
      <c r="AB118" s="3">
        <f t="shared" si="223"/>
        <v>2</v>
      </c>
      <c r="AC118" s="3">
        <f t="shared" si="224"/>
        <v>2</v>
      </c>
      <c r="AD118" s="3">
        <f t="shared" si="225"/>
        <v>2.5</v>
      </c>
      <c r="AE118" s="3">
        <f t="shared" si="226"/>
        <v>3.5</v>
      </c>
      <c r="AF118" s="3">
        <f t="shared" si="227"/>
        <v>2</v>
      </c>
      <c r="AG118" s="3" t="str">
        <f t="shared" si="228"/>
        <v>자동</v>
      </c>
      <c r="AH118" s="3" t="str">
        <f t="shared" si="229"/>
        <v>자동</v>
      </c>
      <c r="AI118" s="3">
        <f t="shared" si="230"/>
        <v>2</v>
      </c>
      <c r="AJ118" s="3" t="str">
        <f t="shared" si="231"/>
        <v>자동</v>
      </c>
      <c r="AL118" s="3" t="str">
        <f t="shared" si="232"/>
        <v/>
      </c>
      <c r="AN118" s="3" t="str">
        <f ca="1">IF($BA118=42,OFFSET(변환표준점수!C$119,$AP118-1,0),"")</f>
        <v/>
      </c>
      <c r="AO118" s="3" t="str">
        <f ca="1">IF($BA118=42,OFFSET(변환표준점수!D$119,$AP118-1,0),"")</f>
        <v/>
      </c>
      <c r="AP118" s="3" t="str">
        <f>IF(S118="","",MATCH(S118,변환표준점수!$B$119:$B$298,0))</f>
        <v/>
      </c>
      <c r="AQ118" s="3">
        <v>2</v>
      </c>
      <c r="AR118" s="3">
        <v>2</v>
      </c>
      <c r="AS118" s="3">
        <v>2</v>
      </c>
      <c r="AV118" s="3">
        <v>2</v>
      </c>
      <c r="AX118" s="3">
        <v>3</v>
      </c>
      <c r="AY118" s="3">
        <v>3</v>
      </c>
      <c r="BA118" s="3">
        <f t="shared" si="233"/>
        <v>2</v>
      </c>
      <c r="BC118" s="3">
        <f>$AE118*0.1</f>
        <v>0.35000000000000003</v>
      </c>
      <c r="BD118" s="3">
        <f>$AE118*0.1</f>
        <v>0.35000000000000003</v>
      </c>
      <c r="BF118" s="3">
        <f>0.05*AF118</f>
        <v>0.1</v>
      </c>
      <c r="BJ118" s="3">
        <f t="shared" si="234"/>
        <v>0</v>
      </c>
      <c r="BN118" s="212" t="s">
        <v>7302</v>
      </c>
      <c r="BP118" s="3">
        <f>IF(BP$6&gt;0,BC118*$EG118,0)</f>
        <v>0</v>
      </c>
      <c r="BQ118" s="3">
        <f>IF(BQ$6&gt;0,BD118*$EG118,0)</f>
        <v>0</v>
      </c>
      <c r="BS118" s="3">
        <f ca="1">EH118*BF118</f>
        <v>0</v>
      </c>
      <c r="CH118" s="206">
        <f t="shared" si="235"/>
        <v>800</v>
      </c>
      <c r="CI118" s="56">
        <v>200</v>
      </c>
      <c r="CJ118" s="3">
        <v>196</v>
      </c>
      <c r="CK118" s="3">
        <v>192</v>
      </c>
      <c r="CL118" s="3">
        <v>188</v>
      </c>
      <c r="CM118" s="3">
        <v>180</v>
      </c>
      <c r="CN118" s="3">
        <v>160</v>
      </c>
      <c r="CO118" s="3">
        <v>120</v>
      </c>
      <c r="CP118" s="3">
        <v>80</v>
      </c>
      <c r="CQ118" s="3">
        <v>0</v>
      </c>
      <c r="CR118" s="56">
        <v>10</v>
      </c>
      <c r="CS118" s="3">
        <v>10</v>
      </c>
      <c r="CT118" s="3">
        <v>10</v>
      </c>
      <c r="CU118" s="3">
        <v>10</v>
      </c>
      <c r="CV118" s="3">
        <v>9.8000000000000007</v>
      </c>
      <c r="CW118" s="3">
        <v>9.6</v>
      </c>
      <c r="CX118" s="3">
        <v>9.4</v>
      </c>
      <c r="CY118" s="3">
        <v>9.1999999999999993</v>
      </c>
      <c r="CZ118" s="3">
        <v>9</v>
      </c>
      <c r="DJ118" s="3">
        <f t="shared" ca="1" si="236"/>
        <v>200</v>
      </c>
      <c r="DK118" s="93">
        <f t="shared" ca="1" si="237"/>
        <v>100</v>
      </c>
      <c r="DL118" s="3">
        <f t="shared" ca="1" si="238"/>
        <v>10</v>
      </c>
      <c r="DO118" s="3">
        <v>1</v>
      </c>
      <c r="DZ118" s="3">
        <v>1</v>
      </c>
      <c r="EA118" s="3">
        <f t="shared" si="239"/>
        <v>1</v>
      </c>
      <c r="EB118" s="3">
        <f t="shared" si="240"/>
        <v>1</v>
      </c>
      <c r="EC118" s="3">
        <f t="shared" si="241"/>
        <v>0</v>
      </c>
      <c r="ED118" s="3">
        <f t="shared" si="242"/>
        <v>0</v>
      </c>
      <c r="EF118" s="3">
        <f t="shared" ca="1" si="243"/>
        <v>0</v>
      </c>
      <c r="EG118" s="3">
        <f t="shared" ca="1" si="244"/>
        <v>0</v>
      </c>
      <c r="EH118" s="3">
        <f ca="1">IFERROR(IF(LEFT($BA118,1)="4",OFFSET(변환표준점수!$H$118,MATCH($S118,변환표준점수!$B$119:$B$198,0),),OFFSET(EH$3,MATCH(AS118,$ED$4:$ED$8,0),0)),0)</f>
        <v>0</v>
      </c>
      <c r="EI118" s="3">
        <f ca="1">IFERROR(IF(LEFT($BA118,1)="4",OFFSET(변환표준점수!$I$118,MATCH($S118,변환표준점수!$B$119:$B$198,0),0),OFFSET(EI$3,MATCH(AT118,$ED$4:$ED$8,0),0)),0)</f>
        <v>0</v>
      </c>
      <c r="EK118" s="3">
        <f ca="1">IFERROR(IF(LEFT($BA118,1)="4",OFFSET(변환표준점수!$J$118,MATCH($S118,변환표준점수!$B$119:$B$198,0),0),OFFSET(EJ$3,MATCH(AV118,$ED$4:$ED$8,0),0)),0)</f>
        <v>0</v>
      </c>
      <c r="EL118" s="3">
        <f ca="1">IFERROR(IF(LEFT($BA118,1)="4",OFFSET(변환표준점수!$K$118,MATCH($S118,변환표준점수!$B$119:$B$198,0),0),OFFSET(EK$3,MATCH(AW118,$ED$4:$ED$8,0),0)),0)</f>
        <v>0</v>
      </c>
      <c r="EM118" s="3" t="str">
        <f t="shared" ca="1" si="245"/>
        <v/>
      </c>
      <c r="EN118" s="3" t="str">
        <f t="shared" ca="1" si="246"/>
        <v/>
      </c>
      <c r="EO118" s="3">
        <f t="shared" ca="1" si="247"/>
        <v>0</v>
      </c>
      <c r="EQ118" s="3">
        <f t="shared" ca="1" si="248"/>
        <v>0</v>
      </c>
      <c r="ER118" s="3">
        <f t="shared" ca="1" si="249"/>
        <v>0</v>
      </c>
      <c r="ES118" s="3">
        <f t="shared" ca="1" si="250"/>
        <v>0</v>
      </c>
      <c r="ET118" s="3">
        <f t="shared" si="251"/>
        <v>0</v>
      </c>
      <c r="EU118" s="3">
        <f t="shared" si="252"/>
        <v>0</v>
      </c>
      <c r="EV118" s="3">
        <f t="shared" ca="1" si="253"/>
        <v>0</v>
      </c>
      <c r="EW118" s="3">
        <f t="shared" si="254"/>
        <v>0</v>
      </c>
      <c r="EX118" s="3">
        <f ca="1">LARGE((ES118:ET118,EV118:EW118),1)</f>
        <v>0</v>
      </c>
      <c r="EY118" s="3">
        <f>IF(O118&lt;2,0,LARGE((ES118:ET118,EV118:EW118),2))</f>
        <v>0</v>
      </c>
      <c r="EZ118" s="3">
        <f t="shared" ca="1" si="255"/>
        <v>0</v>
      </c>
      <c r="FA118" s="3">
        <f t="shared" ca="1" si="256"/>
        <v>0</v>
      </c>
      <c r="FB118" s="3">
        <f t="shared" ca="1" si="257"/>
        <v>0</v>
      </c>
      <c r="FG118" s="3">
        <f t="shared" ca="1" si="258"/>
        <v>0</v>
      </c>
      <c r="FH118" s="618"/>
      <c r="FU118" s="3" t="str">
        <f t="shared" si="166"/>
        <v>백분위</v>
      </c>
      <c r="FV118" s="3" t="str">
        <f t="shared" si="167"/>
        <v>백분위</v>
      </c>
      <c r="FW118" s="3">
        <f t="shared" si="259"/>
        <v>0.31</v>
      </c>
      <c r="FX118" s="3">
        <f t="shared" si="260"/>
        <v>0.44</v>
      </c>
      <c r="FY118" s="3">
        <f t="shared" si="261"/>
        <v>0.25</v>
      </c>
      <c r="FZ118" s="3">
        <f t="shared" si="262"/>
        <v>8</v>
      </c>
    </row>
    <row r="119" spans="1:182">
      <c r="A119" s="556">
        <v>26</v>
      </c>
      <c r="C119" s="3">
        <f t="shared" si="216"/>
        <v>104</v>
      </c>
      <c r="D119" s="3">
        <v>104</v>
      </c>
      <c r="E119" s="3" t="s">
        <v>360</v>
      </c>
      <c r="F119" s="3">
        <v>1000</v>
      </c>
      <c r="G119" s="3">
        <v>0.35</v>
      </c>
      <c r="H119" s="3">
        <v>0.25</v>
      </c>
      <c r="I119" s="3">
        <v>0.2</v>
      </c>
      <c r="L119" s="3">
        <v>0.2</v>
      </c>
      <c r="O119" s="3">
        <v>1</v>
      </c>
      <c r="P119" s="3">
        <f t="shared" si="217"/>
        <v>0.8</v>
      </c>
      <c r="Q119" s="3" t="s">
        <v>408</v>
      </c>
      <c r="S119" s="3" t="str">
        <f t="shared" si="218"/>
        <v/>
      </c>
      <c r="W119" s="3">
        <f t="shared" si="219"/>
        <v>0</v>
      </c>
      <c r="Y119" s="3">
        <f t="shared" si="220"/>
        <v>3.5</v>
      </c>
      <c r="Z119" s="3">
        <f t="shared" si="221"/>
        <v>2.5</v>
      </c>
      <c r="AA119" s="3">
        <f t="shared" si="222"/>
        <v>2</v>
      </c>
      <c r="AB119" s="3">
        <f t="shared" si="223"/>
        <v>2</v>
      </c>
      <c r="AC119" s="3">
        <f t="shared" si="224"/>
        <v>2</v>
      </c>
      <c r="AD119" s="3">
        <f t="shared" si="225"/>
        <v>3.5</v>
      </c>
      <c r="AE119" s="3">
        <f t="shared" si="226"/>
        <v>2.5</v>
      </c>
      <c r="AF119" s="3">
        <f t="shared" si="227"/>
        <v>2</v>
      </c>
      <c r="AG119" s="3" t="str">
        <f t="shared" si="228"/>
        <v>자동</v>
      </c>
      <c r="AH119" s="3" t="str">
        <f t="shared" si="229"/>
        <v>자동</v>
      </c>
      <c r="AI119" s="3">
        <f t="shared" si="230"/>
        <v>2</v>
      </c>
      <c r="AJ119" s="3" t="str">
        <f t="shared" si="231"/>
        <v>자동</v>
      </c>
      <c r="AL119" s="3" t="str">
        <f t="shared" si="232"/>
        <v/>
      </c>
      <c r="AN119" s="3" t="str">
        <f ca="1">IF($BA119=42,OFFSET(변환표준점수!C$119,$AP119-1,0),"")</f>
        <v/>
      </c>
      <c r="AO119" s="3" t="str">
        <f ca="1">IF($BA119=42,OFFSET(변환표준점수!D$119,$AP119-1,0),"")</f>
        <v/>
      </c>
      <c r="AP119" s="3" t="str">
        <f>IF(S119="","",MATCH(S119,변환표준점수!$B$119:$B$298,0))</f>
        <v/>
      </c>
      <c r="AQ119" s="3">
        <v>2</v>
      </c>
      <c r="AR119" s="3">
        <v>2</v>
      </c>
      <c r="AS119" s="3">
        <v>2</v>
      </c>
      <c r="AV119" s="3">
        <v>2</v>
      </c>
      <c r="AX119" s="3">
        <v>3</v>
      </c>
      <c r="AY119" s="3">
        <v>3</v>
      </c>
      <c r="BA119" s="3">
        <f t="shared" si="233"/>
        <v>2</v>
      </c>
      <c r="BJ119" s="3">
        <f t="shared" si="234"/>
        <v>0</v>
      </c>
      <c r="CH119" s="206">
        <f t="shared" si="235"/>
        <v>800</v>
      </c>
      <c r="CI119" s="56">
        <v>200</v>
      </c>
      <c r="CJ119" s="3">
        <v>196</v>
      </c>
      <c r="CK119" s="3">
        <v>192</v>
      </c>
      <c r="CL119" s="3">
        <v>188</v>
      </c>
      <c r="CM119" s="3">
        <v>180</v>
      </c>
      <c r="CN119" s="3">
        <v>160</v>
      </c>
      <c r="CO119" s="3">
        <v>120</v>
      </c>
      <c r="CP119" s="3">
        <v>80</v>
      </c>
      <c r="CQ119" s="3">
        <v>0</v>
      </c>
      <c r="CR119" s="56">
        <v>10</v>
      </c>
      <c r="CS119" s="3">
        <v>10</v>
      </c>
      <c r="CT119" s="3">
        <v>10</v>
      </c>
      <c r="CU119" s="3">
        <v>10</v>
      </c>
      <c r="CV119" s="3">
        <v>9.8000000000000007</v>
      </c>
      <c r="CW119" s="3">
        <v>9.6</v>
      </c>
      <c r="CX119" s="3">
        <v>9.4</v>
      </c>
      <c r="CY119" s="3">
        <v>9.1999999999999993</v>
      </c>
      <c r="CZ119" s="3">
        <v>9</v>
      </c>
      <c r="DJ119" s="3">
        <f t="shared" ca="1" si="236"/>
        <v>200</v>
      </c>
      <c r="DK119" s="93">
        <f t="shared" ca="1" si="237"/>
        <v>100</v>
      </c>
      <c r="DL119" s="3">
        <f t="shared" ca="1" si="238"/>
        <v>10</v>
      </c>
      <c r="DO119" s="3">
        <v>1</v>
      </c>
      <c r="EA119" s="3">
        <f t="shared" si="239"/>
        <v>2</v>
      </c>
      <c r="EB119" s="3">
        <f t="shared" si="240"/>
        <v>1</v>
      </c>
      <c r="EC119" s="3">
        <f t="shared" si="241"/>
        <v>0</v>
      </c>
      <c r="ED119" s="3">
        <f t="shared" si="242"/>
        <v>0</v>
      </c>
      <c r="EF119" s="3">
        <f t="shared" ca="1" si="243"/>
        <v>0</v>
      </c>
      <c r="EG119" s="3">
        <f t="shared" ca="1" si="244"/>
        <v>0</v>
      </c>
      <c r="EH119" s="3">
        <f ca="1">IFERROR(IF(LEFT($BA119,1)="4",OFFSET(변환표준점수!$H$118,MATCH($S119,변환표준점수!$B$119:$B$198,0),),OFFSET(EH$3,MATCH(AS119,$ED$4:$ED$8,0),0)),0)</f>
        <v>0</v>
      </c>
      <c r="EI119" s="3">
        <f ca="1">IFERROR(IF(LEFT($BA119,1)="4",OFFSET(변환표준점수!$I$118,MATCH($S119,변환표준점수!$B$119:$B$198,0),0),OFFSET(EI$3,MATCH(AT119,$ED$4:$ED$8,0),0)),0)</f>
        <v>0</v>
      </c>
      <c r="EK119" s="3">
        <f ca="1">IFERROR(IF(LEFT($BA119,1)="4",OFFSET(변환표준점수!$J$118,MATCH($S119,변환표준점수!$B$119:$B$198,0),0),OFFSET(EJ$3,MATCH(AV119,$ED$4:$ED$8,0),0)),0)</f>
        <v>0</v>
      </c>
      <c r="EL119" s="3">
        <f ca="1">IFERROR(IF(LEFT($BA119,1)="4",OFFSET(변환표준점수!$K$118,MATCH($S119,변환표준점수!$B$119:$B$198,0),0),OFFSET(EK$3,MATCH(AW119,$ED$4:$ED$8,0),0)),0)</f>
        <v>0</v>
      </c>
      <c r="EM119" s="3" t="str">
        <f t="shared" ca="1" si="245"/>
        <v/>
      </c>
      <c r="EN119" s="3" t="str">
        <f t="shared" ca="1" si="246"/>
        <v/>
      </c>
      <c r="EO119" s="3">
        <f t="shared" ca="1" si="247"/>
        <v>0</v>
      </c>
      <c r="EQ119" s="3">
        <f t="shared" ca="1" si="248"/>
        <v>0</v>
      </c>
      <c r="ER119" s="3">
        <f t="shared" ca="1" si="249"/>
        <v>0</v>
      </c>
      <c r="ES119" s="3">
        <f t="shared" ca="1" si="250"/>
        <v>0</v>
      </c>
      <c r="ET119" s="3">
        <f t="shared" si="251"/>
        <v>0</v>
      </c>
      <c r="EU119" s="3">
        <f t="shared" si="252"/>
        <v>0</v>
      </c>
      <c r="EV119" s="3">
        <f t="shared" ca="1" si="253"/>
        <v>0</v>
      </c>
      <c r="EW119" s="3">
        <f t="shared" si="254"/>
        <v>0</v>
      </c>
      <c r="EX119" s="3">
        <f ca="1">LARGE((ES119:ET119,EV119:EW119),1)</f>
        <v>0</v>
      </c>
      <c r="EY119" s="3">
        <f>IF(O119&lt;2,0,LARGE((ES119:ET119,EV119:EW119),2))</f>
        <v>0</v>
      </c>
      <c r="EZ119" s="3">
        <f t="shared" ca="1" si="255"/>
        <v>0</v>
      </c>
      <c r="FA119" s="3">
        <f t="shared" ca="1" si="256"/>
        <v>0</v>
      </c>
      <c r="FB119" s="3">
        <f t="shared" ca="1" si="257"/>
        <v>0</v>
      </c>
      <c r="FG119" s="3">
        <f t="shared" ca="1" si="258"/>
        <v>0</v>
      </c>
      <c r="FH119" s="618"/>
      <c r="FU119" s="3" t="str">
        <f t="shared" si="166"/>
        <v>백분위</v>
      </c>
      <c r="FV119" s="3" t="str">
        <f t="shared" si="167"/>
        <v>백분위</v>
      </c>
      <c r="FW119" s="3">
        <f t="shared" si="259"/>
        <v>0.44</v>
      </c>
      <c r="FX119" s="3">
        <f t="shared" si="260"/>
        <v>0.31</v>
      </c>
      <c r="FY119" s="3">
        <f t="shared" si="261"/>
        <v>0.25</v>
      </c>
      <c r="FZ119" s="3">
        <f t="shared" si="262"/>
        <v>8</v>
      </c>
    </row>
    <row r="120" spans="1:182">
      <c r="A120" s="556">
        <v>26</v>
      </c>
      <c r="C120" s="3">
        <f t="shared" si="216"/>
        <v>105</v>
      </c>
      <c r="D120" s="3">
        <v>105</v>
      </c>
      <c r="E120" s="3" t="s">
        <v>361</v>
      </c>
      <c r="F120" s="3">
        <v>1000</v>
      </c>
      <c r="G120" s="3">
        <v>0.3</v>
      </c>
      <c r="H120" s="3">
        <v>0.3</v>
      </c>
      <c r="I120" s="3">
        <v>0.2</v>
      </c>
      <c r="L120" s="3">
        <v>0.2</v>
      </c>
      <c r="O120" s="3">
        <v>1</v>
      </c>
      <c r="P120" s="3">
        <f t="shared" si="217"/>
        <v>0.8</v>
      </c>
      <c r="Q120" s="3" t="s">
        <v>408</v>
      </c>
      <c r="S120" s="3" t="str">
        <f t="shared" si="218"/>
        <v/>
      </c>
      <c r="W120" s="3">
        <f t="shared" si="219"/>
        <v>0</v>
      </c>
      <c r="Y120" s="3">
        <f t="shared" si="220"/>
        <v>3</v>
      </c>
      <c r="Z120" s="3">
        <f t="shared" si="221"/>
        <v>3</v>
      </c>
      <c r="AA120" s="3">
        <f t="shared" si="222"/>
        <v>2</v>
      </c>
      <c r="AB120" s="3">
        <f t="shared" si="223"/>
        <v>2</v>
      </c>
      <c r="AC120" s="3">
        <f t="shared" si="224"/>
        <v>2</v>
      </c>
      <c r="AD120" s="3">
        <f t="shared" si="225"/>
        <v>3</v>
      </c>
      <c r="AE120" s="3">
        <f t="shared" si="226"/>
        <v>3</v>
      </c>
      <c r="AF120" s="3">
        <f t="shared" si="227"/>
        <v>2</v>
      </c>
      <c r="AG120" s="3" t="str">
        <f t="shared" si="228"/>
        <v>자동</v>
      </c>
      <c r="AH120" s="3" t="str">
        <f t="shared" si="229"/>
        <v>자동</v>
      </c>
      <c r="AI120" s="3">
        <f t="shared" si="230"/>
        <v>2</v>
      </c>
      <c r="AJ120" s="3" t="str">
        <f t="shared" si="231"/>
        <v>자동</v>
      </c>
      <c r="AL120" s="3" t="str">
        <f t="shared" si="232"/>
        <v/>
      </c>
      <c r="AN120" s="3" t="str">
        <f ca="1">IF($BA120=42,OFFSET(변환표준점수!C$119,$AP120-1,0),"")</f>
        <v/>
      </c>
      <c r="AO120" s="3" t="str">
        <f ca="1">IF($BA120=42,OFFSET(변환표준점수!D$119,$AP120-1,0),"")</f>
        <v/>
      </c>
      <c r="AP120" s="3" t="str">
        <f>IF(S120="","",MATCH(S120,변환표준점수!$B$119:$B$298,0))</f>
        <v/>
      </c>
      <c r="AQ120" s="3">
        <v>2</v>
      </c>
      <c r="AR120" s="3">
        <v>2</v>
      </c>
      <c r="AS120" s="3">
        <v>2</v>
      </c>
      <c r="AV120" s="3">
        <v>2</v>
      </c>
      <c r="AX120" s="3">
        <v>3</v>
      </c>
      <c r="AY120" s="3">
        <v>3</v>
      </c>
      <c r="BA120" s="3">
        <f t="shared" si="233"/>
        <v>2</v>
      </c>
      <c r="BJ120" s="3">
        <f t="shared" si="234"/>
        <v>0</v>
      </c>
      <c r="CH120" s="206">
        <f t="shared" si="235"/>
        <v>800</v>
      </c>
      <c r="CI120" s="56">
        <v>200</v>
      </c>
      <c r="CJ120" s="3">
        <v>195</v>
      </c>
      <c r="CK120" s="3">
        <v>190</v>
      </c>
      <c r="CL120" s="3">
        <v>185</v>
      </c>
      <c r="CM120" s="3">
        <v>180</v>
      </c>
      <c r="CN120" s="3">
        <v>175</v>
      </c>
      <c r="CO120" s="3">
        <v>170</v>
      </c>
      <c r="CP120" s="3">
        <v>160</v>
      </c>
      <c r="CQ120" s="3">
        <v>140</v>
      </c>
      <c r="CR120" s="56">
        <v>10</v>
      </c>
      <c r="CS120" s="3">
        <v>10</v>
      </c>
      <c r="CT120" s="3">
        <v>10</v>
      </c>
      <c r="CU120" s="3">
        <v>10</v>
      </c>
      <c r="CV120" s="3">
        <v>9</v>
      </c>
      <c r="CW120" s="3">
        <v>9</v>
      </c>
      <c r="CX120" s="3">
        <v>8</v>
      </c>
      <c r="CY120" s="3">
        <v>8</v>
      </c>
      <c r="CZ120" s="3">
        <v>8</v>
      </c>
      <c r="DJ120" s="3">
        <f t="shared" ca="1" si="236"/>
        <v>200</v>
      </c>
      <c r="DK120" s="93">
        <f t="shared" ca="1" si="237"/>
        <v>100</v>
      </c>
      <c r="DL120" s="3">
        <f t="shared" ca="1" si="238"/>
        <v>10</v>
      </c>
      <c r="DO120" s="3">
        <v>1</v>
      </c>
      <c r="DZ120" s="3">
        <v>1</v>
      </c>
      <c r="EA120" s="3">
        <f t="shared" si="239"/>
        <v>1</v>
      </c>
      <c r="EB120" s="3">
        <f t="shared" si="240"/>
        <v>1</v>
      </c>
      <c r="EC120" s="3">
        <f t="shared" si="241"/>
        <v>0</v>
      </c>
      <c r="ED120" s="3">
        <f t="shared" si="242"/>
        <v>0</v>
      </c>
      <c r="EF120" s="3">
        <f t="shared" ca="1" si="243"/>
        <v>0</v>
      </c>
      <c r="EG120" s="3">
        <f t="shared" ca="1" si="244"/>
        <v>0</v>
      </c>
      <c r="EH120" s="3">
        <f ca="1">IFERROR(IF(LEFT($BA120,1)="4",OFFSET(변환표준점수!$H$118,MATCH($S120,변환표준점수!$B$119:$B$198,0),),OFFSET(EH$3,MATCH(AS120,$ED$4:$ED$8,0),0)),0)</f>
        <v>0</v>
      </c>
      <c r="EI120" s="3">
        <f ca="1">IFERROR(IF(LEFT($BA120,1)="4",OFFSET(변환표준점수!$I$118,MATCH($S120,변환표준점수!$B$119:$B$198,0),0),OFFSET(EI$3,MATCH(AT120,$ED$4:$ED$8,0),0)),0)</f>
        <v>0</v>
      </c>
      <c r="EK120" s="3">
        <f ca="1">IFERROR(IF(LEFT($BA120,1)="4",OFFSET(변환표준점수!$J$118,MATCH($S120,변환표준점수!$B$119:$B$198,0),0),OFFSET(EJ$3,MATCH(AV120,$ED$4:$ED$8,0),0)),0)</f>
        <v>0</v>
      </c>
      <c r="EL120" s="3">
        <f ca="1">IFERROR(IF(LEFT($BA120,1)="4",OFFSET(변환표준점수!$K$118,MATCH($S120,변환표준점수!$B$119:$B$198,0),0),OFFSET(EK$3,MATCH(AW120,$ED$4:$ED$8,0),0)),0)</f>
        <v>0</v>
      </c>
      <c r="EM120" s="3" t="str">
        <f t="shared" ca="1" si="245"/>
        <v/>
      </c>
      <c r="EN120" s="3" t="str">
        <f t="shared" ca="1" si="246"/>
        <v/>
      </c>
      <c r="EO120" s="3">
        <f t="shared" ca="1" si="247"/>
        <v>0</v>
      </c>
      <c r="EQ120" s="3">
        <f t="shared" ca="1" si="248"/>
        <v>0</v>
      </c>
      <c r="ER120" s="3">
        <f t="shared" ca="1" si="249"/>
        <v>0</v>
      </c>
      <c r="ES120" s="3">
        <f t="shared" ca="1" si="250"/>
        <v>0</v>
      </c>
      <c r="ET120" s="3">
        <f t="shared" si="251"/>
        <v>0</v>
      </c>
      <c r="EU120" s="3">
        <f t="shared" si="252"/>
        <v>0</v>
      </c>
      <c r="EV120" s="3">
        <f t="shared" ca="1" si="253"/>
        <v>0</v>
      </c>
      <c r="EW120" s="3">
        <f t="shared" si="254"/>
        <v>0</v>
      </c>
      <c r="EX120" s="3">
        <f ca="1">LARGE((ES120:ET120,EV120:EW120),1)</f>
        <v>0</v>
      </c>
      <c r="EY120" s="3">
        <f>IF(O120&lt;2,0,LARGE((ES120:ET120,EV120:EW120),2))</f>
        <v>0</v>
      </c>
      <c r="EZ120" s="3">
        <f t="shared" ca="1" si="255"/>
        <v>0</v>
      </c>
      <c r="FA120" s="3">
        <f t="shared" ca="1" si="256"/>
        <v>0</v>
      </c>
      <c r="FB120" s="3">
        <f t="shared" ca="1" si="257"/>
        <v>0</v>
      </c>
      <c r="FG120" s="3">
        <f t="shared" ca="1" si="258"/>
        <v>0</v>
      </c>
      <c r="FH120" s="618"/>
      <c r="FU120" s="3" t="str">
        <f t="shared" si="166"/>
        <v>백분위</v>
      </c>
      <c r="FV120" s="3" t="str">
        <f t="shared" si="167"/>
        <v>백분위</v>
      </c>
      <c r="FW120" s="3">
        <f t="shared" si="259"/>
        <v>0.38</v>
      </c>
      <c r="FX120" s="3">
        <f t="shared" si="260"/>
        <v>0.38</v>
      </c>
      <c r="FY120" s="3">
        <f t="shared" si="261"/>
        <v>0.25</v>
      </c>
      <c r="FZ120" s="3">
        <f t="shared" si="262"/>
        <v>8</v>
      </c>
    </row>
    <row r="121" spans="1:182">
      <c r="A121" s="556">
        <v>26</v>
      </c>
      <c r="C121" s="3">
        <f t="shared" si="216"/>
        <v>106</v>
      </c>
      <c r="D121" s="3">
        <v>106</v>
      </c>
      <c r="E121" s="3" t="s">
        <v>7303</v>
      </c>
      <c r="F121" s="3">
        <v>1000</v>
      </c>
      <c r="G121" s="3">
        <v>0.3</v>
      </c>
      <c r="H121" s="3">
        <v>0.3</v>
      </c>
      <c r="I121" s="3">
        <v>0.2</v>
      </c>
      <c r="L121" s="3">
        <v>0.2</v>
      </c>
      <c r="O121" s="3">
        <v>1</v>
      </c>
      <c r="P121" s="3">
        <f t="shared" si="217"/>
        <v>0.8</v>
      </c>
      <c r="Q121" s="3" t="s">
        <v>408</v>
      </c>
      <c r="S121" s="3" t="str">
        <f t="shared" si="218"/>
        <v/>
      </c>
      <c r="W121" s="3">
        <f t="shared" si="219"/>
        <v>0</v>
      </c>
      <c r="Y121" s="3">
        <f t="shared" si="220"/>
        <v>3</v>
      </c>
      <c r="Z121" s="3">
        <f t="shared" si="221"/>
        <v>3</v>
      </c>
      <c r="AA121" s="3">
        <f t="shared" si="222"/>
        <v>2</v>
      </c>
      <c r="AB121" s="3">
        <f t="shared" si="223"/>
        <v>2</v>
      </c>
      <c r="AC121" s="3">
        <f t="shared" si="224"/>
        <v>2</v>
      </c>
      <c r="AD121" s="3">
        <f t="shared" si="225"/>
        <v>3</v>
      </c>
      <c r="AE121" s="3">
        <f t="shared" si="226"/>
        <v>3</v>
      </c>
      <c r="AF121" s="3">
        <f t="shared" si="227"/>
        <v>2</v>
      </c>
      <c r="AG121" s="3" t="str">
        <f t="shared" si="228"/>
        <v>자동</v>
      </c>
      <c r="AH121" s="3" t="str">
        <f t="shared" si="229"/>
        <v>자동</v>
      </c>
      <c r="AI121" s="3">
        <f t="shared" si="230"/>
        <v>2</v>
      </c>
      <c r="AJ121" s="3" t="str">
        <f t="shared" si="231"/>
        <v>자동</v>
      </c>
      <c r="AL121" s="3" t="str">
        <f t="shared" si="232"/>
        <v/>
      </c>
      <c r="AN121" s="3" t="str">
        <f ca="1">IF($BA121=42,OFFSET(변환표준점수!C$119,$AP121-1,0),"")</f>
        <v/>
      </c>
      <c r="AO121" s="3" t="str">
        <f ca="1">IF($BA121=42,OFFSET(변환표준점수!D$119,$AP121-1,0),"")</f>
        <v/>
      </c>
      <c r="AP121" s="3" t="str">
        <f>IF(S121="","",MATCH(S121,변환표준점수!$B$119:$B$298,0))</f>
        <v/>
      </c>
      <c r="AQ121" s="3">
        <v>2</v>
      </c>
      <c r="AR121" s="3">
        <v>2</v>
      </c>
      <c r="AS121" s="3">
        <v>2</v>
      </c>
      <c r="AV121" s="3">
        <v>2</v>
      </c>
      <c r="AX121" s="3">
        <v>3</v>
      </c>
      <c r="AY121" s="3">
        <v>3</v>
      </c>
      <c r="BA121" s="3">
        <f t="shared" si="233"/>
        <v>2</v>
      </c>
      <c r="BJ121" s="3">
        <f t="shared" si="234"/>
        <v>0</v>
      </c>
      <c r="CH121" s="206">
        <f t="shared" si="235"/>
        <v>800</v>
      </c>
      <c r="CI121" s="56">
        <v>200</v>
      </c>
      <c r="CJ121" s="3">
        <v>195</v>
      </c>
      <c r="CK121" s="3">
        <v>190</v>
      </c>
      <c r="CL121" s="3">
        <v>185</v>
      </c>
      <c r="CM121" s="3">
        <v>180</v>
      </c>
      <c r="CN121" s="3">
        <v>175</v>
      </c>
      <c r="CO121" s="3">
        <v>170</v>
      </c>
      <c r="CP121" s="3">
        <v>160</v>
      </c>
      <c r="CQ121" s="3">
        <v>140</v>
      </c>
      <c r="CR121" s="56">
        <v>10</v>
      </c>
      <c r="CS121" s="3">
        <v>10</v>
      </c>
      <c r="CT121" s="3">
        <v>10</v>
      </c>
      <c r="CU121" s="3">
        <v>10</v>
      </c>
      <c r="CV121" s="3">
        <v>9</v>
      </c>
      <c r="CW121" s="3">
        <v>9</v>
      </c>
      <c r="CX121" s="3">
        <v>8</v>
      </c>
      <c r="CY121" s="3">
        <v>8</v>
      </c>
      <c r="CZ121" s="3">
        <v>8</v>
      </c>
      <c r="DJ121" s="3">
        <f t="shared" ca="1" si="236"/>
        <v>200</v>
      </c>
      <c r="DK121" s="93">
        <f t="shared" ca="1" si="237"/>
        <v>100</v>
      </c>
      <c r="DL121" s="3">
        <f t="shared" ca="1" si="238"/>
        <v>10</v>
      </c>
      <c r="DO121" s="3">
        <v>1</v>
      </c>
      <c r="EA121" s="3">
        <f t="shared" si="239"/>
        <v>2</v>
      </c>
      <c r="EB121" s="3">
        <f t="shared" si="240"/>
        <v>1</v>
      </c>
      <c r="EC121" s="3">
        <f t="shared" si="241"/>
        <v>0</v>
      </c>
      <c r="ED121" s="3">
        <f t="shared" si="242"/>
        <v>0</v>
      </c>
      <c r="EF121" s="3">
        <f t="shared" ca="1" si="243"/>
        <v>0</v>
      </c>
      <c r="EG121" s="3">
        <f t="shared" ca="1" si="244"/>
        <v>0</v>
      </c>
      <c r="EH121" s="3">
        <f ca="1">IFERROR(IF(LEFT($BA121,1)="4",OFFSET(변환표준점수!$H$118,MATCH($S121,변환표준점수!$B$119:$B$198,0),),OFFSET(EH$3,MATCH(AS121,$ED$4:$ED$8,0),0)),0)</f>
        <v>0</v>
      </c>
      <c r="EI121" s="3">
        <f ca="1">IFERROR(IF(LEFT($BA121,1)="4",OFFSET(변환표준점수!$I$118,MATCH($S121,변환표준점수!$B$119:$B$198,0),0),OFFSET(EI$3,MATCH(AT121,$ED$4:$ED$8,0),0)),0)</f>
        <v>0</v>
      </c>
      <c r="EK121" s="3">
        <f ca="1">IFERROR(IF(LEFT($BA121,1)="4",OFFSET(변환표준점수!$J$118,MATCH($S121,변환표준점수!$B$119:$B$198,0),0),OFFSET(EJ$3,MATCH(AV121,$ED$4:$ED$8,0),0)),0)</f>
        <v>0</v>
      </c>
      <c r="EL121" s="3">
        <f ca="1">IFERROR(IF(LEFT($BA121,1)="4",OFFSET(변환표준점수!$K$118,MATCH($S121,변환표준점수!$B$119:$B$198,0),0),OFFSET(EK$3,MATCH(AW121,$ED$4:$ED$8,0),0)),0)</f>
        <v>0</v>
      </c>
      <c r="EM121" s="3" t="str">
        <f t="shared" ca="1" si="245"/>
        <v/>
      </c>
      <c r="EN121" s="3" t="str">
        <f t="shared" ca="1" si="246"/>
        <v/>
      </c>
      <c r="EO121" s="3">
        <f t="shared" ca="1" si="247"/>
        <v>0</v>
      </c>
      <c r="EQ121" s="3">
        <f t="shared" ca="1" si="248"/>
        <v>0</v>
      </c>
      <c r="ER121" s="3">
        <f t="shared" ca="1" si="249"/>
        <v>0</v>
      </c>
      <c r="ES121" s="3">
        <f t="shared" ca="1" si="250"/>
        <v>0</v>
      </c>
      <c r="ET121" s="3">
        <f t="shared" si="251"/>
        <v>0</v>
      </c>
      <c r="EU121" s="3">
        <f t="shared" si="252"/>
        <v>0</v>
      </c>
      <c r="EV121" s="3">
        <f t="shared" ca="1" si="253"/>
        <v>0</v>
      </c>
      <c r="EW121" s="3">
        <f t="shared" si="254"/>
        <v>0</v>
      </c>
      <c r="EX121" s="3">
        <f ca="1">LARGE((ES121:ET121,EV121:EW121),1)</f>
        <v>0</v>
      </c>
      <c r="EY121" s="3">
        <f>IF(O121&lt;2,0,LARGE((ES121:ET121,EV121:EW121),2))</f>
        <v>0</v>
      </c>
      <c r="EZ121" s="3">
        <f t="shared" ca="1" si="255"/>
        <v>0</v>
      </c>
      <c r="FA121" s="3">
        <f t="shared" ca="1" si="256"/>
        <v>0</v>
      </c>
      <c r="FB121" s="3">
        <f t="shared" ca="1" si="257"/>
        <v>0</v>
      </c>
      <c r="FG121" s="3">
        <f t="shared" ca="1" si="258"/>
        <v>0</v>
      </c>
      <c r="FH121" s="618"/>
      <c r="FU121" s="3" t="str">
        <f t="shared" si="166"/>
        <v>백분위</v>
      </c>
      <c r="FV121" s="3" t="str">
        <f t="shared" si="167"/>
        <v>백분위</v>
      </c>
      <c r="FW121" s="3">
        <f t="shared" si="259"/>
        <v>0.38</v>
      </c>
      <c r="FX121" s="3">
        <f t="shared" si="260"/>
        <v>0.38</v>
      </c>
      <c r="FY121" s="3">
        <f t="shared" si="261"/>
        <v>0.25</v>
      </c>
      <c r="FZ121" s="3">
        <f t="shared" si="262"/>
        <v>8</v>
      </c>
    </row>
    <row r="122" spans="1:182">
      <c r="A122" s="556">
        <v>26</v>
      </c>
      <c r="C122" s="3">
        <f t="shared" si="216"/>
        <v>107</v>
      </c>
      <c r="D122" s="3">
        <v>107</v>
      </c>
      <c r="E122" s="3" t="s">
        <v>7304</v>
      </c>
      <c r="F122" s="3">
        <v>1000</v>
      </c>
      <c r="G122" s="3">
        <f>IF($BB$7=1,IF(G9&gt;=H9,0.5,0),0.5)</f>
        <v>0.5</v>
      </c>
      <c r="H122" s="3">
        <f>IF($BB$7=1,IF(G9&gt;=H9,0,0.5),0)</f>
        <v>0</v>
      </c>
      <c r="I122" s="3">
        <v>0.5</v>
      </c>
      <c r="L122" s="3">
        <v>0.5</v>
      </c>
      <c r="O122" s="3">
        <v>1</v>
      </c>
      <c r="P122" s="3">
        <f t="shared" si="217"/>
        <v>1</v>
      </c>
      <c r="Q122" s="3" t="s">
        <v>408</v>
      </c>
      <c r="S122" s="3" t="str">
        <f t="shared" si="218"/>
        <v/>
      </c>
      <c r="W122" s="3">
        <f t="shared" si="219"/>
        <v>0</v>
      </c>
      <c r="Y122" s="3">
        <f t="shared" si="220"/>
        <v>5</v>
      </c>
      <c r="Z122" s="3">
        <f t="shared" si="221"/>
        <v>0</v>
      </c>
      <c r="AA122" s="3">
        <f t="shared" si="222"/>
        <v>5</v>
      </c>
      <c r="AB122" s="3">
        <f t="shared" si="223"/>
        <v>5</v>
      </c>
      <c r="AC122" s="3">
        <f t="shared" si="224"/>
        <v>5</v>
      </c>
      <c r="AD122" s="3">
        <f t="shared" si="225"/>
        <v>5</v>
      </c>
      <c r="AE122" s="3">
        <f t="shared" si="226"/>
        <v>0</v>
      </c>
      <c r="AF122" s="3">
        <f t="shared" si="227"/>
        <v>5</v>
      </c>
      <c r="AG122" s="3" t="str">
        <f t="shared" si="228"/>
        <v>자동</v>
      </c>
      <c r="AH122" s="3" t="str">
        <f t="shared" si="229"/>
        <v>자동</v>
      </c>
      <c r="AI122" s="3">
        <f t="shared" si="230"/>
        <v>5</v>
      </c>
      <c r="AJ122" s="3" t="str">
        <f t="shared" si="231"/>
        <v>자동</v>
      </c>
      <c r="AL122" s="3" t="str">
        <f t="shared" si="232"/>
        <v/>
      </c>
      <c r="AN122" s="3" t="str">
        <f ca="1">IF($BA122=42,OFFSET(변환표준점수!C$119,$AP122-1,0),"")</f>
        <v/>
      </c>
      <c r="AO122" s="3" t="str">
        <f ca="1">IF($BA122=42,OFFSET(변환표준점수!D$119,$AP122-1,0),"")</f>
        <v/>
      </c>
      <c r="AP122" s="3" t="str">
        <f>IF(S122="","",MATCH(S122,변환표준점수!$B$119:$B$298,0))</f>
        <v/>
      </c>
      <c r="AQ122" s="3">
        <v>2</v>
      </c>
      <c r="AR122" s="3">
        <v>2</v>
      </c>
      <c r="AS122" s="3">
        <v>2</v>
      </c>
      <c r="AV122" s="3">
        <v>2</v>
      </c>
      <c r="AX122" s="3">
        <v>3</v>
      </c>
      <c r="AY122" s="3">
        <v>3</v>
      </c>
      <c r="BA122" s="3">
        <f t="shared" si="233"/>
        <v>2</v>
      </c>
      <c r="BJ122" s="3">
        <f t="shared" si="234"/>
        <v>0</v>
      </c>
      <c r="CH122" s="206">
        <v>1000</v>
      </c>
      <c r="CJ122" s="3">
        <v>-1</v>
      </c>
      <c r="CK122" s="3">
        <v>-3</v>
      </c>
      <c r="CL122" s="3">
        <v>-5</v>
      </c>
      <c r="CM122" s="3">
        <v>-7</v>
      </c>
      <c r="CN122" s="3">
        <v>-9</v>
      </c>
      <c r="CO122" s="3">
        <v>-12</v>
      </c>
      <c r="CP122" s="3">
        <v>-15</v>
      </c>
      <c r="CQ122" s="3">
        <v>-20</v>
      </c>
      <c r="CV122" s="3">
        <v>-1</v>
      </c>
      <c r="CW122" s="3">
        <v>-1</v>
      </c>
      <c r="CX122" s="3">
        <v>-2</v>
      </c>
      <c r="CY122" s="3">
        <v>-2</v>
      </c>
      <c r="CZ122" s="3">
        <v>-2</v>
      </c>
      <c r="DJ122" s="3">
        <f t="shared" ca="1" si="236"/>
        <v>0</v>
      </c>
      <c r="DK122" s="93" t="e">
        <f t="shared" ca="1" si="237"/>
        <v>#DIV/0!</v>
      </c>
      <c r="DL122" s="3">
        <f t="shared" ca="1" si="238"/>
        <v>0</v>
      </c>
      <c r="DO122" s="3">
        <v>1</v>
      </c>
      <c r="DZ122" s="3">
        <v>1</v>
      </c>
      <c r="EA122" s="3">
        <f t="shared" si="239"/>
        <v>1</v>
      </c>
      <c r="EB122" s="3">
        <f t="shared" si="240"/>
        <v>1</v>
      </c>
      <c r="EC122" s="3">
        <f t="shared" si="241"/>
        <v>0</v>
      </c>
      <c r="ED122" s="3">
        <f t="shared" si="242"/>
        <v>0</v>
      </c>
      <c r="EF122" s="3">
        <f t="shared" ca="1" si="243"/>
        <v>0</v>
      </c>
      <c r="EG122" s="3">
        <f t="shared" ca="1" si="244"/>
        <v>0</v>
      </c>
      <c r="EH122" s="3">
        <f ca="1">IFERROR(IF(LEFT($BA122,1)="4",OFFSET(변환표준점수!$H$118,MATCH($S122,변환표준점수!$B$119:$B$198,0),),OFFSET(EH$3,MATCH(AS122,$ED$4:$ED$8,0),0)),0)</f>
        <v>0</v>
      </c>
      <c r="EI122" s="3">
        <f ca="1">IFERROR(IF(LEFT($BA122,1)="4",OFFSET(변환표준점수!$I$118,MATCH($S122,변환표준점수!$B$119:$B$198,0),0),OFFSET(EI$3,MATCH(AT122,$ED$4:$ED$8,0),0)),0)</f>
        <v>0</v>
      </c>
      <c r="EK122" s="3">
        <f ca="1">IFERROR(IF(LEFT($BA122,1)="4",OFFSET(변환표준점수!$J$118,MATCH($S122,변환표준점수!$B$119:$B$198,0),0),OFFSET(EJ$3,MATCH(AV122,$ED$4:$ED$8,0),0)),0)</f>
        <v>0</v>
      </c>
      <c r="EL122" s="3">
        <f ca="1">IFERROR(IF(LEFT($BA122,1)="4",OFFSET(변환표준점수!$K$118,MATCH($S122,변환표준점수!$B$119:$B$198,0),0),OFFSET(EK$3,MATCH(AW122,$ED$4:$ED$8,0),0)),0)</f>
        <v>0</v>
      </c>
      <c r="EM122" s="3" t="str">
        <f t="shared" ca="1" si="245"/>
        <v/>
      </c>
      <c r="EN122" s="3" t="str">
        <f t="shared" ca="1" si="246"/>
        <v/>
      </c>
      <c r="EO122" s="3">
        <f t="shared" ca="1" si="247"/>
        <v>0</v>
      </c>
      <c r="EQ122" s="3">
        <f t="shared" ca="1" si="248"/>
        <v>0</v>
      </c>
      <c r="ER122" s="3">
        <f t="shared" ca="1" si="249"/>
        <v>0</v>
      </c>
      <c r="ES122" s="3">
        <f t="shared" ca="1" si="250"/>
        <v>0</v>
      </c>
      <c r="ET122" s="3">
        <f t="shared" si="251"/>
        <v>0</v>
      </c>
      <c r="EU122" s="3">
        <f t="shared" si="252"/>
        <v>0</v>
      </c>
      <c r="EV122" s="3">
        <f t="shared" ca="1" si="253"/>
        <v>0</v>
      </c>
      <c r="EW122" s="3">
        <f t="shared" si="254"/>
        <v>0</v>
      </c>
      <c r="EX122" s="3">
        <f ca="1">LARGE((ES122:ET122,EV122:EW122),1)</f>
        <v>0</v>
      </c>
      <c r="EY122" s="3">
        <f>IF(O122&lt;2,0,LARGE((ES122:ET122,EV122:EW122),2))</f>
        <v>0</v>
      </c>
      <c r="EZ122" s="3">
        <f t="shared" ca="1" si="255"/>
        <v>0</v>
      </c>
      <c r="FA122" s="3">
        <f t="shared" ca="1" si="256"/>
        <v>0</v>
      </c>
      <c r="FB122" s="3">
        <f t="shared" ca="1" si="257"/>
        <v>0</v>
      </c>
      <c r="FG122" s="3">
        <f t="shared" ca="1" si="258"/>
        <v>0</v>
      </c>
      <c r="FH122" s="618"/>
      <c r="FU122" s="3" t="str">
        <f t="shared" si="166"/>
        <v>백분위</v>
      </c>
      <c r="FV122" s="3" t="str">
        <f t="shared" si="167"/>
        <v>백분위</v>
      </c>
      <c r="FW122" s="3">
        <f t="shared" si="259"/>
        <v>0.5</v>
      </c>
      <c r="FX122" s="3">
        <f t="shared" si="260"/>
        <v>0</v>
      </c>
      <c r="FY122" s="3">
        <f t="shared" si="261"/>
        <v>0.5</v>
      </c>
      <c r="FZ122" s="3">
        <f t="shared" si="262"/>
        <v>10</v>
      </c>
    </row>
    <row r="123" spans="1:182">
      <c r="A123" s="556">
        <v>26</v>
      </c>
      <c r="C123" s="3">
        <f t="shared" si="216"/>
        <v>108</v>
      </c>
      <c r="D123" s="3">
        <v>108</v>
      </c>
      <c r="E123" s="3" t="s">
        <v>7305</v>
      </c>
      <c r="F123" s="3">
        <v>1000</v>
      </c>
      <c r="G123" s="3">
        <v>0.3</v>
      </c>
      <c r="H123" s="3">
        <v>0.4</v>
      </c>
      <c r="I123" s="3">
        <v>0.15</v>
      </c>
      <c r="J123" s="3">
        <v>0.15</v>
      </c>
      <c r="L123" s="3">
        <v>0.15</v>
      </c>
      <c r="M123" s="3">
        <v>0.15</v>
      </c>
      <c r="O123" s="3">
        <v>2</v>
      </c>
      <c r="P123" s="3">
        <f t="shared" si="217"/>
        <v>1</v>
      </c>
      <c r="Q123" s="3">
        <v>33</v>
      </c>
      <c r="S123" s="3">
        <f t="shared" si="218"/>
        <v>33</v>
      </c>
      <c r="U123" s="3">
        <v>1</v>
      </c>
      <c r="W123" s="3">
        <f t="shared" si="219"/>
        <v>0</v>
      </c>
      <c r="Y123" s="3">
        <f t="shared" si="220"/>
        <v>1.5</v>
      </c>
      <c r="Z123" s="3">
        <f t="shared" si="221"/>
        <v>2</v>
      </c>
      <c r="AA123" s="3">
        <f t="shared" si="222"/>
        <v>1.5</v>
      </c>
      <c r="AB123" s="3">
        <f t="shared" si="223"/>
        <v>1.5</v>
      </c>
      <c r="AC123" s="3">
        <f t="shared" si="224"/>
        <v>1.5</v>
      </c>
      <c r="AD123" s="3">
        <f t="shared" si="225"/>
        <v>1.5</v>
      </c>
      <c r="AE123" s="3">
        <f t="shared" si="226"/>
        <v>2</v>
      </c>
      <c r="AF123" s="3">
        <f t="shared" si="227"/>
        <v>1.5</v>
      </c>
      <c r="AG123" s="3">
        <f t="shared" si="228"/>
        <v>1.5</v>
      </c>
      <c r="AH123" s="3" t="str">
        <f t="shared" si="229"/>
        <v>자동</v>
      </c>
      <c r="AI123" s="3">
        <f t="shared" si="230"/>
        <v>1.5</v>
      </c>
      <c r="AJ123" s="3">
        <f t="shared" si="231"/>
        <v>1.5</v>
      </c>
      <c r="AL123" s="3" t="str">
        <f t="shared" si="232"/>
        <v/>
      </c>
      <c r="AN123" s="3" t="str">
        <f ca="1">IF($BA123=42,OFFSET(변환표준점수!C$119,$AP123-1,0),"")</f>
        <v/>
      </c>
      <c r="AO123" s="3" t="str">
        <f ca="1">IF($BA123=42,OFFSET(변환표준점수!D$119,$AP123-1,0),"")</f>
        <v/>
      </c>
      <c r="AP123" s="3">
        <f>IF(S123="","",MATCH(S123,변환표준점수!$B$119:$B$298,0))</f>
        <v>33</v>
      </c>
      <c r="AQ123" s="3">
        <v>1</v>
      </c>
      <c r="AR123" s="3">
        <v>1</v>
      </c>
      <c r="AS123" s="3">
        <v>4</v>
      </c>
      <c r="AT123" s="3">
        <v>4</v>
      </c>
      <c r="AV123" s="3">
        <v>4</v>
      </c>
      <c r="AW123" s="3">
        <v>4</v>
      </c>
      <c r="AX123" s="3">
        <v>3</v>
      </c>
      <c r="AY123" s="3">
        <v>3</v>
      </c>
      <c r="BA123" s="3">
        <f t="shared" si="233"/>
        <v>4</v>
      </c>
      <c r="BF123" s="3">
        <f>0.03*AF123</f>
        <v>4.4999999999999998E-2</v>
      </c>
      <c r="BG123" s="3">
        <f>0.03*AG123</f>
        <v>4.4999999999999998E-2</v>
      </c>
      <c r="BJ123" s="3">
        <f t="shared" si="234"/>
        <v>0</v>
      </c>
      <c r="BS123" s="3">
        <f ca="1">BF123*EH123</f>
        <v>0</v>
      </c>
      <c r="BT123" s="3">
        <f ca="1">BG123*EI123</f>
        <v>0</v>
      </c>
      <c r="CH123" s="206">
        <f t="shared" ref="CH123:CH145" si="263">F123*P123</f>
        <v>1000</v>
      </c>
      <c r="CJ123" s="3">
        <v>-1</v>
      </c>
      <c r="CK123" s="3">
        <v>-3</v>
      </c>
      <c r="CL123" s="3">
        <v>-5</v>
      </c>
      <c r="CM123" s="3">
        <v>-7</v>
      </c>
      <c r="CN123" s="3">
        <v>-9</v>
      </c>
      <c r="CO123" s="3">
        <v>-12</v>
      </c>
      <c r="CP123" s="3">
        <v>-15</v>
      </c>
      <c r="CQ123" s="3">
        <v>-20</v>
      </c>
      <c r="CV123" s="3">
        <v>-1</v>
      </c>
      <c r="CW123" s="3">
        <v>-1</v>
      </c>
      <c r="CX123" s="3">
        <v>-2</v>
      </c>
      <c r="CY123" s="3">
        <v>-2</v>
      </c>
      <c r="CZ123" s="3">
        <v>-2</v>
      </c>
      <c r="DJ123" s="3">
        <f t="shared" ca="1" si="236"/>
        <v>0</v>
      </c>
      <c r="DK123" s="93" t="e">
        <f t="shared" ca="1" si="237"/>
        <v>#DIV/0!</v>
      </c>
      <c r="DL123" s="3">
        <f t="shared" ca="1" si="238"/>
        <v>0</v>
      </c>
      <c r="DO123" s="3">
        <v>2</v>
      </c>
      <c r="DZ123" s="3">
        <v>1</v>
      </c>
      <c r="EA123" s="3">
        <f t="shared" si="239"/>
        <v>1</v>
      </c>
      <c r="EB123" s="3">
        <f t="shared" si="240"/>
        <v>2</v>
      </c>
      <c r="EC123" s="3">
        <f t="shared" si="241"/>
        <v>0</v>
      </c>
      <c r="ED123" s="3">
        <f t="shared" si="242"/>
        <v>0</v>
      </c>
      <c r="EF123" s="3">
        <f t="shared" ca="1" si="243"/>
        <v>0</v>
      </c>
      <c r="EG123" s="3">
        <f t="shared" ca="1" si="244"/>
        <v>0</v>
      </c>
      <c r="EH123" s="3">
        <f ca="1">IFERROR(IF(LEFT($BA123,1)="4",OFFSET(변환표준점수!$H$118,MATCH($S123,변환표준점수!$B$119:$B$198,0),),OFFSET(EH$3,MATCH(AS123,$ED$4:$ED$8,0),0)),0)</f>
        <v>0</v>
      </c>
      <c r="EI123" s="3">
        <f ca="1">IFERROR(IF(LEFT($BA123,1)="4",OFFSET(변환표준점수!$I$118,MATCH($S123,변환표준점수!$B$119:$B$198,0),0),OFFSET(EI$3,MATCH(AT123,$ED$4:$ED$8,0),0)),0)</f>
        <v>0</v>
      </c>
      <c r="EK123" s="3">
        <f ca="1">IFERROR(IF(LEFT($BA123,1)="4",OFFSET(변환표준점수!$J$118,MATCH($S123,변환표준점수!$B$119:$B$198,0),0),OFFSET(EJ$3,MATCH(AV123,$ED$4:$ED$8,0),0)),0)</f>
        <v>0</v>
      </c>
      <c r="EL123" s="3">
        <f ca="1">IFERROR(IF(LEFT($BA123,1)="4",OFFSET(변환표준점수!$K$118,MATCH($S123,변환표준점수!$B$119:$B$198,0),0),OFFSET(EK$3,MATCH(AW123,$ED$4:$ED$8,0),0)),0)</f>
        <v>0</v>
      </c>
      <c r="EM123" s="3" t="str">
        <f t="shared" ca="1" si="245"/>
        <v/>
      </c>
      <c r="EN123" s="3" t="str">
        <f t="shared" ca="1" si="246"/>
        <v/>
      </c>
      <c r="EO123" s="3">
        <f t="shared" ca="1" si="247"/>
        <v>0</v>
      </c>
      <c r="EQ123" s="3">
        <f t="shared" ca="1" si="248"/>
        <v>0</v>
      </c>
      <c r="ER123" s="3">
        <f t="shared" ca="1" si="249"/>
        <v>0</v>
      </c>
      <c r="ES123" s="3">
        <f t="shared" ca="1" si="250"/>
        <v>0</v>
      </c>
      <c r="ET123" s="3">
        <f t="shared" ca="1" si="251"/>
        <v>0</v>
      </c>
      <c r="EU123" s="3">
        <f t="shared" si="252"/>
        <v>0</v>
      </c>
      <c r="EV123" s="3">
        <f t="shared" ca="1" si="253"/>
        <v>0</v>
      </c>
      <c r="EW123" s="3">
        <f t="shared" ca="1" si="254"/>
        <v>0</v>
      </c>
      <c r="EX123" s="3">
        <f ca="1">LARGE((ES123:ET123,EV123:EW123),1)</f>
        <v>0</v>
      </c>
      <c r="EY123" s="3">
        <f ca="1">IF(O123&lt;2,0,LARGE((ES123:ET123,EV123:EW123),2))</f>
        <v>0</v>
      </c>
      <c r="EZ123" s="3">
        <f t="shared" ca="1" si="255"/>
        <v>0</v>
      </c>
      <c r="FA123" s="3">
        <f t="shared" ca="1" si="256"/>
        <v>0</v>
      </c>
      <c r="FB123" s="3">
        <f t="shared" ca="1" si="257"/>
        <v>0</v>
      </c>
      <c r="FG123" s="3">
        <f t="shared" ca="1" si="258"/>
        <v>0</v>
      </c>
      <c r="FH123" s="618"/>
      <c r="FU123" s="3" t="str">
        <f t="shared" si="166"/>
        <v>표점</v>
      </c>
      <c r="FV123" s="3" t="str">
        <f t="shared" si="167"/>
        <v>변표</v>
      </c>
      <c r="FW123" s="3">
        <f t="shared" si="259"/>
        <v>0.3</v>
      </c>
      <c r="FX123" s="3">
        <f t="shared" si="260"/>
        <v>0.4</v>
      </c>
      <c r="FY123" s="3">
        <f t="shared" si="261"/>
        <v>0.3</v>
      </c>
      <c r="FZ123" s="3">
        <f t="shared" si="262"/>
        <v>5</v>
      </c>
    </row>
    <row r="124" spans="1:182">
      <c r="A124" s="556">
        <v>26</v>
      </c>
      <c r="C124" s="3">
        <f t="shared" si="216"/>
        <v>109</v>
      </c>
      <c r="D124" s="3">
        <v>109</v>
      </c>
      <c r="E124" s="3" t="s">
        <v>7306</v>
      </c>
      <c r="F124" s="3">
        <v>1000</v>
      </c>
      <c r="G124" s="3">
        <v>0.3</v>
      </c>
      <c r="H124" s="3">
        <v>0.4</v>
      </c>
      <c r="I124" s="3">
        <v>0.15</v>
      </c>
      <c r="J124" s="3">
        <v>0.15</v>
      </c>
      <c r="L124" s="3">
        <v>0.15</v>
      </c>
      <c r="M124" s="3">
        <v>0.15</v>
      </c>
      <c r="O124" s="3">
        <v>2</v>
      </c>
      <c r="P124" s="3">
        <f t="shared" si="217"/>
        <v>1</v>
      </c>
      <c r="Q124" s="3">
        <v>33</v>
      </c>
      <c r="S124" s="3">
        <f t="shared" si="218"/>
        <v>33</v>
      </c>
      <c r="U124" s="3">
        <v>1</v>
      </c>
      <c r="W124" s="3">
        <f t="shared" si="219"/>
        <v>0</v>
      </c>
      <c r="Y124" s="3">
        <f t="shared" si="220"/>
        <v>1.5</v>
      </c>
      <c r="Z124" s="3">
        <f t="shared" si="221"/>
        <v>2</v>
      </c>
      <c r="AA124" s="3">
        <f t="shared" si="222"/>
        <v>1.5</v>
      </c>
      <c r="AB124" s="3">
        <f t="shared" si="223"/>
        <v>1.5</v>
      </c>
      <c r="AC124" s="3">
        <f t="shared" si="224"/>
        <v>1.5</v>
      </c>
      <c r="AD124" s="3">
        <f t="shared" si="225"/>
        <v>1.5</v>
      </c>
      <c r="AE124" s="3">
        <f t="shared" si="226"/>
        <v>2</v>
      </c>
      <c r="AF124" s="3">
        <f t="shared" si="227"/>
        <v>1.5</v>
      </c>
      <c r="AG124" s="3">
        <f t="shared" si="228"/>
        <v>1.5</v>
      </c>
      <c r="AH124" s="3" t="str">
        <f t="shared" si="229"/>
        <v>자동</v>
      </c>
      <c r="AI124" s="3">
        <f t="shared" si="230"/>
        <v>1.5</v>
      </c>
      <c r="AJ124" s="3">
        <f t="shared" si="231"/>
        <v>1.5</v>
      </c>
      <c r="AL124" s="3" t="str">
        <f t="shared" si="232"/>
        <v/>
      </c>
      <c r="AN124" s="3" t="str">
        <f ca="1">IF($BA124=42,OFFSET(변환표준점수!C$119,$AP124-1,0),"")</f>
        <v/>
      </c>
      <c r="AO124" s="3" t="str">
        <f ca="1">IF($BA124=42,OFFSET(변환표준점수!D$119,$AP124-1,0),"")</f>
        <v/>
      </c>
      <c r="AP124" s="3">
        <f>IF(S124="","",MATCH(S124,변환표준점수!$B$119:$B$298,0))</f>
        <v>33</v>
      </c>
      <c r="AQ124" s="3">
        <v>1</v>
      </c>
      <c r="AR124" s="3">
        <v>1</v>
      </c>
      <c r="AS124" s="3">
        <v>4</v>
      </c>
      <c r="AT124" s="3">
        <v>4</v>
      </c>
      <c r="AV124" s="3">
        <v>4</v>
      </c>
      <c r="AW124" s="3">
        <v>4</v>
      </c>
      <c r="AX124" s="3">
        <v>3</v>
      </c>
      <c r="AY124" s="3">
        <v>3</v>
      </c>
      <c r="BA124" s="3">
        <f t="shared" si="233"/>
        <v>4</v>
      </c>
      <c r="BF124" s="3">
        <f>0.03*AF124</f>
        <v>4.4999999999999998E-2</v>
      </c>
      <c r="BG124" s="3">
        <f>0.03*AG124</f>
        <v>4.4999999999999998E-2</v>
      </c>
      <c r="BJ124" s="3">
        <f t="shared" si="234"/>
        <v>0</v>
      </c>
      <c r="BS124" s="3">
        <f ca="1">BF124*EH124</f>
        <v>0</v>
      </c>
      <c r="BT124" s="3">
        <f ca="1">BG124*EI124</f>
        <v>0</v>
      </c>
      <c r="CH124" s="206">
        <f t="shared" si="263"/>
        <v>1000</v>
      </c>
      <c r="CJ124" s="3">
        <v>-1</v>
      </c>
      <c r="CK124" s="3">
        <v>-3</v>
      </c>
      <c r="CL124" s="3">
        <v>-5</v>
      </c>
      <c r="CM124" s="3">
        <v>-7</v>
      </c>
      <c r="CN124" s="3">
        <v>-9</v>
      </c>
      <c r="CO124" s="3">
        <v>-12</v>
      </c>
      <c r="CP124" s="3">
        <v>-15</v>
      </c>
      <c r="CQ124" s="3">
        <v>-20</v>
      </c>
      <c r="CV124" s="3">
        <v>-1</v>
      </c>
      <c r="CW124" s="3">
        <v>-1</v>
      </c>
      <c r="CX124" s="3">
        <v>-2</v>
      </c>
      <c r="CY124" s="3">
        <v>-2</v>
      </c>
      <c r="CZ124" s="3">
        <v>-2</v>
      </c>
      <c r="DJ124" s="3">
        <f t="shared" ca="1" si="236"/>
        <v>0</v>
      </c>
      <c r="DK124" s="93" t="e">
        <f t="shared" ca="1" si="237"/>
        <v>#DIV/0!</v>
      </c>
      <c r="DL124" s="3">
        <f t="shared" ca="1" si="238"/>
        <v>0</v>
      </c>
      <c r="DO124" s="3">
        <v>2</v>
      </c>
      <c r="DZ124" s="3">
        <v>1</v>
      </c>
      <c r="EA124" s="3">
        <f t="shared" si="239"/>
        <v>1</v>
      </c>
      <c r="EB124" s="3">
        <f t="shared" si="240"/>
        <v>2</v>
      </c>
      <c r="EC124" s="3">
        <f t="shared" si="241"/>
        <v>0</v>
      </c>
      <c r="ED124" s="3">
        <f t="shared" si="242"/>
        <v>0</v>
      </c>
      <c r="EF124" s="3">
        <f t="shared" ca="1" si="243"/>
        <v>0</v>
      </c>
      <c r="EG124" s="3">
        <f t="shared" ca="1" si="244"/>
        <v>0</v>
      </c>
      <c r="EH124" s="3">
        <f ca="1">IFERROR(IF(LEFT($BA124,1)="4",OFFSET(변환표준점수!$H$118,MATCH($S124,변환표준점수!$B$119:$B$198,0),),OFFSET(EH$3,MATCH(AS124,$ED$4:$ED$8,0),0)),0)</f>
        <v>0</v>
      </c>
      <c r="EI124" s="3">
        <f ca="1">IFERROR(IF(LEFT($BA124,1)="4",OFFSET(변환표준점수!$I$118,MATCH($S124,변환표준점수!$B$119:$B$198,0),0),OFFSET(EI$3,MATCH(AT124,$ED$4:$ED$8,0),0)),0)</f>
        <v>0</v>
      </c>
      <c r="EK124" s="3">
        <f ca="1">IFERROR(IF(LEFT($BA124,1)="4",OFFSET(변환표준점수!$J$118,MATCH($S124,변환표준점수!$B$119:$B$198,0),0),OFFSET(EJ$3,MATCH(AV124,$ED$4:$ED$8,0),0)),0)</f>
        <v>0</v>
      </c>
      <c r="EL124" s="3">
        <f ca="1">IFERROR(IF(LEFT($BA124,1)="4",OFFSET(변환표준점수!$K$118,MATCH($S124,변환표준점수!$B$119:$B$198,0),0),OFFSET(EK$3,MATCH(AW124,$ED$4:$ED$8,0),0)),0)</f>
        <v>0</v>
      </c>
      <c r="EM124" s="3" t="str">
        <f t="shared" ca="1" si="245"/>
        <v/>
      </c>
      <c r="EN124" s="3" t="str">
        <f t="shared" ca="1" si="246"/>
        <v/>
      </c>
      <c r="EO124" s="3">
        <f t="shared" ca="1" si="247"/>
        <v>0</v>
      </c>
      <c r="EQ124" s="3">
        <f t="shared" ca="1" si="248"/>
        <v>0</v>
      </c>
      <c r="ER124" s="3">
        <f t="shared" ca="1" si="249"/>
        <v>0</v>
      </c>
      <c r="ES124" s="3">
        <f t="shared" ca="1" si="250"/>
        <v>0</v>
      </c>
      <c r="ET124" s="3">
        <f t="shared" ca="1" si="251"/>
        <v>0</v>
      </c>
      <c r="EU124" s="3">
        <f t="shared" si="252"/>
        <v>0</v>
      </c>
      <c r="EV124" s="3">
        <f t="shared" ca="1" si="253"/>
        <v>0</v>
      </c>
      <c r="EW124" s="3">
        <f t="shared" ca="1" si="254"/>
        <v>0</v>
      </c>
      <c r="EX124" s="3">
        <f ca="1">LARGE((ES124:ET124,EV124:EW124),1)</f>
        <v>0</v>
      </c>
      <c r="EY124" s="3">
        <f ca="1">IF(O124&lt;2,0,LARGE((ES124:ET124,EV124:EW124),2))</f>
        <v>0</v>
      </c>
      <c r="EZ124" s="3">
        <f t="shared" ca="1" si="255"/>
        <v>0</v>
      </c>
      <c r="FA124" s="3">
        <f t="shared" ca="1" si="256"/>
        <v>0</v>
      </c>
      <c r="FB124" s="3">
        <f t="shared" ca="1" si="257"/>
        <v>0</v>
      </c>
      <c r="FG124" s="3">
        <f t="shared" ca="1" si="258"/>
        <v>0</v>
      </c>
      <c r="FH124" s="618"/>
      <c r="FU124" s="3" t="str">
        <f t="shared" si="166"/>
        <v>표점</v>
      </c>
      <c r="FV124" s="3" t="str">
        <f t="shared" si="167"/>
        <v>변표</v>
      </c>
      <c r="FW124" s="3">
        <f t="shared" si="259"/>
        <v>0.3</v>
      </c>
      <c r="FX124" s="3">
        <f t="shared" si="260"/>
        <v>0.4</v>
      </c>
      <c r="FY124" s="3">
        <f t="shared" si="261"/>
        <v>0.3</v>
      </c>
      <c r="FZ124" s="3">
        <f t="shared" si="262"/>
        <v>5</v>
      </c>
    </row>
    <row r="125" spans="1:182">
      <c r="A125" s="556">
        <v>26</v>
      </c>
      <c r="C125" s="3">
        <f t="shared" si="216"/>
        <v>110</v>
      </c>
      <c r="D125" s="3">
        <v>110</v>
      </c>
      <c r="E125" s="3" t="s">
        <v>7307</v>
      </c>
      <c r="F125" s="3">
        <v>1000</v>
      </c>
      <c r="G125" s="3">
        <v>0.3</v>
      </c>
      <c r="H125" s="3">
        <v>0.4</v>
      </c>
      <c r="I125" s="3">
        <v>0.15</v>
      </c>
      <c r="J125" s="3">
        <v>0.15</v>
      </c>
      <c r="L125" s="3">
        <v>0.15</v>
      </c>
      <c r="M125" s="3">
        <v>0.15</v>
      </c>
      <c r="O125" s="3">
        <v>2</v>
      </c>
      <c r="P125" s="3">
        <f t="shared" si="217"/>
        <v>1</v>
      </c>
      <c r="Q125" s="3">
        <v>34</v>
      </c>
      <c r="S125" s="3">
        <f t="shared" si="218"/>
        <v>34</v>
      </c>
      <c r="W125" s="3">
        <f t="shared" si="219"/>
        <v>0</v>
      </c>
      <c r="Y125" s="3">
        <f t="shared" si="220"/>
        <v>1.5</v>
      </c>
      <c r="Z125" s="3">
        <f t="shared" si="221"/>
        <v>2</v>
      </c>
      <c r="AA125" s="3">
        <f t="shared" si="222"/>
        <v>1.5</v>
      </c>
      <c r="AB125" s="3">
        <f t="shared" si="223"/>
        <v>1.5</v>
      </c>
      <c r="AC125" s="3">
        <f t="shared" si="224"/>
        <v>1.5</v>
      </c>
      <c r="AD125" s="3">
        <f t="shared" si="225"/>
        <v>1.5</v>
      </c>
      <c r="AE125" s="3">
        <f t="shared" si="226"/>
        <v>2</v>
      </c>
      <c r="AF125" s="3">
        <f t="shared" si="227"/>
        <v>1.5</v>
      </c>
      <c r="AG125" s="3">
        <f t="shared" si="228"/>
        <v>1.5</v>
      </c>
      <c r="AH125" s="3" t="str">
        <f t="shared" si="229"/>
        <v>자동</v>
      </c>
      <c r="AI125" s="3">
        <f t="shared" si="230"/>
        <v>1.5</v>
      </c>
      <c r="AJ125" s="3">
        <f t="shared" si="231"/>
        <v>1.5</v>
      </c>
      <c r="AL125" s="3" t="str">
        <f t="shared" si="232"/>
        <v/>
      </c>
      <c r="AN125" s="3" t="str">
        <f ca="1">IF($BA125=42,OFFSET(변환표준점수!C$119,$AP125-1,0),"")</f>
        <v/>
      </c>
      <c r="AO125" s="3" t="str">
        <f ca="1">IF($BA125=42,OFFSET(변환표준점수!D$119,$AP125-1,0),"")</f>
        <v/>
      </c>
      <c r="AP125" s="3">
        <f>IF(S125="","",MATCH(S125,변환표준점수!$B$119:$B$298,0))</f>
        <v>34</v>
      </c>
      <c r="AQ125" s="3">
        <v>1</v>
      </c>
      <c r="AR125" s="3">
        <v>1</v>
      </c>
      <c r="AS125" s="3">
        <v>4</v>
      </c>
      <c r="AT125" s="3">
        <v>4</v>
      </c>
      <c r="AV125" s="3">
        <v>4</v>
      </c>
      <c r="AW125" s="3">
        <v>4</v>
      </c>
      <c r="AX125" s="3">
        <v>3</v>
      </c>
      <c r="AY125" s="3">
        <v>3</v>
      </c>
      <c r="BA125" s="3">
        <f t="shared" si="233"/>
        <v>4</v>
      </c>
      <c r="BJ125" s="3">
        <f t="shared" si="234"/>
        <v>0</v>
      </c>
      <c r="CH125" s="206">
        <f t="shared" si="263"/>
        <v>1000</v>
      </c>
      <c r="CJ125" s="3">
        <v>-1</v>
      </c>
      <c r="CK125" s="3">
        <v>-3</v>
      </c>
      <c r="CL125" s="3">
        <v>-5</v>
      </c>
      <c r="CM125" s="3">
        <v>-7</v>
      </c>
      <c r="CN125" s="3">
        <v>-9</v>
      </c>
      <c r="CO125" s="3">
        <v>-12</v>
      </c>
      <c r="CP125" s="3">
        <v>-15</v>
      </c>
      <c r="CQ125" s="3">
        <v>-20</v>
      </c>
      <c r="CV125" s="3">
        <v>-1</v>
      </c>
      <c r="CW125" s="3">
        <v>-1</v>
      </c>
      <c r="CX125" s="3">
        <v>-2</v>
      </c>
      <c r="CY125" s="3">
        <v>-2</v>
      </c>
      <c r="CZ125" s="3">
        <v>-2</v>
      </c>
      <c r="DJ125" s="3">
        <f t="shared" ca="1" si="236"/>
        <v>0</v>
      </c>
      <c r="DK125" s="93" t="e">
        <f t="shared" ca="1" si="237"/>
        <v>#DIV/0!</v>
      </c>
      <c r="DL125" s="3">
        <f t="shared" ca="1" si="238"/>
        <v>0</v>
      </c>
      <c r="DO125" s="3">
        <v>2</v>
      </c>
      <c r="DZ125" s="3">
        <v>1</v>
      </c>
      <c r="EA125" s="3">
        <f t="shared" si="239"/>
        <v>1</v>
      </c>
      <c r="EB125" s="3">
        <f t="shared" si="240"/>
        <v>2</v>
      </c>
      <c r="EC125" s="3">
        <f t="shared" si="241"/>
        <v>0</v>
      </c>
      <c r="ED125" s="3">
        <f t="shared" si="242"/>
        <v>0</v>
      </c>
      <c r="EF125" s="3">
        <f t="shared" ca="1" si="243"/>
        <v>0</v>
      </c>
      <c r="EG125" s="3">
        <f t="shared" ca="1" si="244"/>
        <v>0</v>
      </c>
      <c r="EH125" s="3">
        <f ca="1">IFERROR(IF(LEFT($BA125,1)="4",OFFSET(변환표준점수!$H$118,MATCH($S125,변환표준점수!$B$119:$B$198,0),),OFFSET(EH$3,MATCH(AS125,$ED$4:$ED$8,0),0)),0)</f>
        <v>0</v>
      </c>
      <c r="EI125" s="3">
        <f ca="1">IFERROR(IF(LEFT($BA125,1)="4",OFFSET(변환표준점수!$I$118,MATCH($S125,변환표준점수!$B$119:$B$198,0),0),OFFSET(EI$3,MATCH(AT125,$ED$4:$ED$8,0),0)),0)</f>
        <v>0</v>
      </c>
      <c r="EK125" s="3">
        <f ca="1">IFERROR(IF(LEFT($BA125,1)="4",OFFSET(변환표준점수!$J$118,MATCH($S125,변환표준점수!$B$119:$B$198,0),0),OFFSET(EJ$3,MATCH(AV125,$ED$4:$ED$8,0),0)),0)</f>
        <v>0</v>
      </c>
      <c r="EL125" s="3">
        <f ca="1">IFERROR(IF(LEFT($BA125,1)="4",OFFSET(변환표준점수!$K$118,MATCH($S125,변환표준점수!$B$119:$B$198,0),0),OFFSET(EK$3,MATCH(AW125,$ED$4:$ED$8,0),0)),0)</f>
        <v>0</v>
      </c>
      <c r="EM125" s="3" t="str">
        <f t="shared" ca="1" si="245"/>
        <v/>
      </c>
      <c r="EN125" s="3" t="str">
        <f t="shared" ca="1" si="246"/>
        <v/>
      </c>
      <c r="EO125" s="3">
        <f t="shared" ca="1" si="247"/>
        <v>0</v>
      </c>
      <c r="EQ125" s="3">
        <f t="shared" ca="1" si="248"/>
        <v>0</v>
      </c>
      <c r="ER125" s="3">
        <f t="shared" ca="1" si="249"/>
        <v>0</v>
      </c>
      <c r="ES125" s="3">
        <f t="shared" ca="1" si="250"/>
        <v>0</v>
      </c>
      <c r="ET125" s="3">
        <f t="shared" ca="1" si="251"/>
        <v>0</v>
      </c>
      <c r="EU125" s="3">
        <f t="shared" si="252"/>
        <v>0</v>
      </c>
      <c r="EV125" s="3">
        <f t="shared" ca="1" si="253"/>
        <v>0</v>
      </c>
      <c r="EW125" s="3">
        <f t="shared" ca="1" si="254"/>
        <v>0</v>
      </c>
      <c r="EX125" s="3">
        <f ca="1">LARGE((ES125:ET125,EV125:EW125),1)</f>
        <v>0</v>
      </c>
      <c r="EY125" s="3">
        <f ca="1">IF(O125&lt;2,0,LARGE((ES125:ET125,EV125:EW125),2))</f>
        <v>0</v>
      </c>
      <c r="EZ125" s="3">
        <f t="shared" ca="1" si="255"/>
        <v>0</v>
      </c>
      <c r="FA125" s="3">
        <f t="shared" ca="1" si="256"/>
        <v>0</v>
      </c>
      <c r="FB125" s="3">
        <f t="shared" ca="1" si="257"/>
        <v>0</v>
      </c>
      <c r="FG125" s="3">
        <f t="shared" ca="1" si="258"/>
        <v>0</v>
      </c>
      <c r="FH125" s="618"/>
      <c r="FU125" s="3" t="str">
        <f t="shared" si="166"/>
        <v>표점</v>
      </c>
      <c r="FV125" s="3" t="str">
        <f t="shared" si="167"/>
        <v>변표</v>
      </c>
      <c r="FW125" s="3">
        <f t="shared" si="259"/>
        <v>0.3</v>
      </c>
      <c r="FX125" s="3">
        <f t="shared" si="260"/>
        <v>0.4</v>
      </c>
      <c r="FY125" s="3">
        <f t="shared" si="261"/>
        <v>0.3</v>
      </c>
      <c r="FZ125" s="3">
        <f t="shared" si="262"/>
        <v>5</v>
      </c>
    </row>
    <row r="126" spans="1:182">
      <c r="A126" s="556">
        <v>26</v>
      </c>
      <c r="C126" s="3">
        <f t="shared" si="216"/>
        <v>111</v>
      </c>
      <c r="D126" s="3">
        <v>111</v>
      </c>
      <c r="E126" s="3" t="s">
        <v>326</v>
      </c>
      <c r="F126" s="3">
        <v>1000</v>
      </c>
      <c r="G126" s="3">
        <v>0.2</v>
      </c>
      <c r="H126" s="3">
        <v>0.35</v>
      </c>
      <c r="I126" s="3">
        <v>0.15</v>
      </c>
      <c r="J126" s="3">
        <v>0.15</v>
      </c>
      <c r="L126" s="3">
        <v>0.15</v>
      </c>
      <c r="M126" s="3">
        <v>0.15</v>
      </c>
      <c r="O126" s="3">
        <v>2</v>
      </c>
      <c r="P126" s="3">
        <f t="shared" si="217"/>
        <v>0.85000000000000009</v>
      </c>
      <c r="Q126" s="3">
        <v>36</v>
      </c>
      <c r="S126" s="3">
        <f t="shared" si="218"/>
        <v>36</v>
      </c>
      <c r="W126" s="3">
        <f t="shared" si="219"/>
        <v>0</v>
      </c>
      <c r="Y126" s="3">
        <f t="shared" si="220"/>
        <v>1.4388489208633093</v>
      </c>
      <c r="Z126" s="3">
        <f t="shared" si="221"/>
        <v>2.5</v>
      </c>
      <c r="AA126" s="3">
        <f t="shared" ca="1" si="222"/>
        <v>2.1410219811590063</v>
      </c>
      <c r="AB126" s="3">
        <f t="shared" ca="1" si="223"/>
        <v>2.15393452039058</v>
      </c>
      <c r="AC126" s="3">
        <f t="shared" ca="1" si="224"/>
        <v>2.1410219811590063</v>
      </c>
      <c r="AD126" s="69">
        <f t="shared" si="225"/>
        <v>1.4388489208633093</v>
      </c>
      <c r="AE126" s="69">
        <f t="shared" si="226"/>
        <v>2.5</v>
      </c>
      <c r="AF126" s="3">
        <f t="shared" ca="1" si="227"/>
        <v>2.1410219811590063</v>
      </c>
      <c r="AG126" s="3">
        <f t="shared" ca="1" si="228"/>
        <v>2.1410219811590063</v>
      </c>
      <c r="AH126" s="3" t="str">
        <f t="shared" si="229"/>
        <v>자동</v>
      </c>
      <c r="AI126" s="3">
        <f t="shared" ca="1" si="230"/>
        <v>2.15393452039058</v>
      </c>
      <c r="AJ126" s="3">
        <f t="shared" ca="1" si="231"/>
        <v>2.15393452039058</v>
      </c>
      <c r="AL126" s="3" t="str">
        <f t="shared" si="232"/>
        <v/>
      </c>
      <c r="AN126" s="3">
        <f ca="1">IF($BA126=42,OFFSET(변환표준점수!C$119,$AP126-1,0),"")</f>
        <v>70.06</v>
      </c>
      <c r="AO126" s="3">
        <f ca="1">IF($BA126=42,OFFSET(변환표준점수!D$119,$AP126-1,0),"")</f>
        <v>69.64</v>
      </c>
      <c r="AP126" s="120">
        <f>IF(S126="","",MATCH(S126,변환표준점수!$B$119:$B$298,0))</f>
        <v>36</v>
      </c>
      <c r="AQ126" s="3">
        <v>12</v>
      </c>
      <c r="AR126" s="3">
        <v>12</v>
      </c>
      <c r="AS126" s="3">
        <v>42</v>
      </c>
      <c r="AT126" s="3">
        <v>42</v>
      </c>
      <c r="AV126" s="3">
        <v>42</v>
      </c>
      <c r="AW126" s="3">
        <v>42</v>
      </c>
      <c r="AX126" s="3">
        <v>3</v>
      </c>
      <c r="AY126" s="3">
        <v>3</v>
      </c>
      <c r="BA126" s="3">
        <f t="shared" si="233"/>
        <v>42</v>
      </c>
      <c r="BC126" s="3">
        <f>0.03*$AE126</f>
        <v>7.4999999999999997E-2</v>
      </c>
      <c r="BD126" s="3">
        <f>0.03*$AE126</f>
        <v>7.4999999999999997E-2</v>
      </c>
      <c r="BF126" s="3">
        <f ca="1">0.03*AF126</f>
        <v>6.4230659434770188E-2</v>
      </c>
      <c r="BG126" s="3">
        <f ca="1">0.03*AG126</f>
        <v>6.4230659434770188E-2</v>
      </c>
      <c r="BJ126" s="3">
        <f t="shared" si="234"/>
        <v>0</v>
      </c>
      <c r="BN126" s="212" t="s">
        <v>7308</v>
      </c>
      <c r="BP126" s="3">
        <f>IF(BP$6&gt;0,BC126*$EG126,0)</f>
        <v>0</v>
      </c>
      <c r="BQ126" s="3">
        <f>IF(BQ$6&gt;0,BD126*$EG126,0)</f>
        <v>0</v>
      </c>
      <c r="BS126" s="3">
        <f ca="1">BF126*EH126</f>
        <v>0</v>
      </c>
      <c r="BT126" s="3">
        <f ca="1">BG126*EI126</f>
        <v>0</v>
      </c>
      <c r="CH126" s="206">
        <f t="shared" si="263"/>
        <v>850.00000000000011</v>
      </c>
      <c r="CI126" s="56">
        <v>150</v>
      </c>
      <c r="CJ126" s="3">
        <v>147</v>
      </c>
      <c r="CK126" s="3">
        <v>144</v>
      </c>
      <c r="CL126" s="3">
        <v>126</v>
      </c>
      <c r="CM126" s="3">
        <v>90</v>
      </c>
      <c r="CN126" s="3">
        <v>60</v>
      </c>
      <c r="CO126" s="3">
        <v>30</v>
      </c>
      <c r="CP126" s="3">
        <v>15</v>
      </c>
      <c r="CQ126" s="3">
        <v>0</v>
      </c>
      <c r="CV126" s="3">
        <v>-5</v>
      </c>
      <c r="CW126" s="3">
        <v>-10</v>
      </c>
      <c r="CX126" s="3">
        <v>-20</v>
      </c>
      <c r="CY126" s="3">
        <v>-30</v>
      </c>
      <c r="CZ126" s="3">
        <v>-40</v>
      </c>
      <c r="DJ126" s="3">
        <f t="shared" ca="1" si="236"/>
        <v>150</v>
      </c>
      <c r="DK126" s="93">
        <f t="shared" ca="1" si="237"/>
        <v>100</v>
      </c>
      <c r="DL126" s="3">
        <f t="shared" ca="1" si="238"/>
        <v>0</v>
      </c>
      <c r="DO126" s="3">
        <v>2</v>
      </c>
      <c r="DZ126" s="3">
        <v>1</v>
      </c>
      <c r="EA126" s="3">
        <f t="shared" si="239"/>
        <v>1</v>
      </c>
      <c r="EB126" s="3">
        <f t="shared" si="240"/>
        <v>2</v>
      </c>
      <c r="EC126" s="3">
        <f t="shared" si="241"/>
        <v>0</v>
      </c>
      <c r="ED126" s="3">
        <f t="shared" si="242"/>
        <v>0</v>
      </c>
      <c r="EF126" s="3">
        <f t="shared" ca="1" si="243"/>
        <v>0</v>
      </c>
      <c r="EG126" s="3">
        <f t="shared" ca="1" si="244"/>
        <v>0</v>
      </c>
      <c r="EH126" s="3">
        <f ca="1">IFERROR(IF(LEFT($BA126,1)="4",OFFSET(변환표준점수!$H$118,MATCH($S126,변환표준점수!$B$119:$B$198,0),),OFFSET(EH$3,MATCH(AS126,$ED$4:$ED$8,0),0)),0)</f>
        <v>0</v>
      </c>
      <c r="EI126" s="3">
        <f ca="1">IFERROR(IF(LEFT($BA126,1)="4",OFFSET(변환표준점수!$I$118,MATCH($S126,변환표준점수!$B$119:$B$198,0),0),OFFSET(EI$3,MATCH(AT126,$ED$4:$ED$8,0),0)),0)</f>
        <v>0</v>
      </c>
      <c r="EK126" s="3">
        <f ca="1">IFERROR(IF(LEFT($BA126,1)="4",OFFSET(변환표준점수!$J$118,MATCH($S126,변환표준점수!$B$119:$B$198,0),0),OFFSET(EJ$3,MATCH(AV126,$ED$4:$ED$8,0),0)),0)</f>
        <v>0</v>
      </c>
      <c r="EL126" s="3">
        <f ca="1">IFERROR(IF(LEFT($BA126,1)="4",OFFSET(변환표준점수!$K$118,MATCH($S126,변환표준점수!$B$119:$B$198,0),0),OFFSET(EK$3,MATCH(AW126,$ED$4:$ED$8,0),0)),0)</f>
        <v>0</v>
      </c>
      <c r="EM126" s="3" t="str">
        <f t="shared" ca="1" si="245"/>
        <v/>
      </c>
      <c r="EN126" s="3" t="str">
        <f t="shared" ca="1" si="246"/>
        <v/>
      </c>
      <c r="EO126" s="3">
        <f t="shared" ca="1" si="247"/>
        <v>0</v>
      </c>
      <c r="EQ126" s="3">
        <f t="shared" ca="1" si="248"/>
        <v>0</v>
      </c>
      <c r="ER126" s="3">
        <f t="shared" ca="1" si="249"/>
        <v>0</v>
      </c>
      <c r="ES126" s="3">
        <f t="shared" ca="1" si="250"/>
        <v>0</v>
      </c>
      <c r="ET126" s="3">
        <f t="shared" ca="1" si="251"/>
        <v>0</v>
      </c>
      <c r="EU126" s="3">
        <f t="shared" si="252"/>
        <v>0</v>
      </c>
      <c r="EV126" s="3">
        <f t="shared" ca="1" si="253"/>
        <v>0</v>
      </c>
      <c r="EW126" s="3">
        <f t="shared" ca="1" si="254"/>
        <v>0</v>
      </c>
      <c r="EX126" s="3">
        <f ca="1">LARGE((ES126:ET126,EV126:EW126),1)</f>
        <v>0</v>
      </c>
      <c r="EY126" s="3">
        <f ca="1">IF(O126&lt;2,0,LARGE((ES126:ET126,EV126:EW126),2))</f>
        <v>0</v>
      </c>
      <c r="EZ126" s="3">
        <f t="shared" ca="1" si="255"/>
        <v>0</v>
      </c>
      <c r="FA126" s="3">
        <f t="shared" ca="1" si="256"/>
        <v>0</v>
      </c>
      <c r="FB126" s="3">
        <f t="shared" ca="1" si="257"/>
        <v>0</v>
      </c>
      <c r="FG126" s="3">
        <f t="shared" ca="1" si="258"/>
        <v>0</v>
      </c>
      <c r="FH126" s="618"/>
      <c r="FU126" s="3" t="str">
        <f t="shared" si="166"/>
        <v>표점/만점</v>
      </c>
      <c r="FV126" s="3" t="str">
        <f t="shared" si="167"/>
        <v>변표/만점</v>
      </c>
      <c r="FW126" s="3">
        <f t="shared" ca="1" si="259"/>
        <v>0.24</v>
      </c>
      <c r="FX126" s="3">
        <f t="shared" ca="1" si="260"/>
        <v>0.41</v>
      </c>
      <c r="FY126" s="3">
        <f t="shared" ca="1" si="261"/>
        <v>0.35</v>
      </c>
      <c r="FZ126" s="3">
        <f t="shared" ca="1" si="262"/>
        <v>6.0798709020223161</v>
      </c>
    </row>
    <row r="127" spans="1:182">
      <c r="A127" s="556">
        <v>26</v>
      </c>
      <c r="C127" s="3">
        <f t="shared" si="216"/>
        <v>112</v>
      </c>
      <c r="D127" s="3">
        <v>112</v>
      </c>
      <c r="E127" s="3" t="s">
        <v>7704</v>
      </c>
      <c r="F127" s="3">
        <v>950</v>
      </c>
      <c r="G127" s="3">
        <v>0.2</v>
      </c>
      <c r="H127" s="3">
        <v>0.4</v>
      </c>
      <c r="I127" s="3">
        <v>0.15</v>
      </c>
      <c r="J127" s="3">
        <v>0.15</v>
      </c>
      <c r="L127" s="3">
        <v>0.15</v>
      </c>
      <c r="M127" s="3">
        <v>0.15</v>
      </c>
      <c r="O127" s="3">
        <v>2</v>
      </c>
      <c r="P127" s="3">
        <f t="shared" si="217"/>
        <v>0.90000000000000013</v>
      </c>
      <c r="Q127" s="3">
        <v>36</v>
      </c>
      <c r="S127" s="3">
        <f t="shared" si="218"/>
        <v>36</v>
      </c>
      <c r="U127" s="3">
        <v>1</v>
      </c>
      <c r="W127" s="3">
        <f t="shared" si="219"/>
        <v>0</v>
      </c>
      <c r="Y127" s="3">
        <f t="shared" si="220"/>
        <v>1.3669064748201438</v>
      </c>
      <c r="Z127" s="3">
        <f t="shared" si="221"/>
        <v>2.7142857142857144</v>
      </c>
      <c r="AA127" s="3">
        <f t="shared" ca="1" si="222"/>
        <v>2.0339708821010563</v>
      </c>
      <c r="AB127" s="3">
        <f t="shared" ca="1" si="223"/>
        <v>2.0462377943710512</v>
      </c>
      <c r="AC127" s="3">
        <f t="shared" ca="1" si="224"/>
        <v>2.0339708821010563</v>
      </c>
      <c r="AD127" s="69">
        <f t="shared" si="225"/>
        <v>1.3669064748201438</v>
      </c>
      <c r="AE127" s="69">
        <f t="shared" si="226"/>
        <v>2.7142857142857144</v>
      </c>
      <c r="AF127" s="3">
        <f t="shared" ca="1" si="227"/>
        <v>2.0339708821010563</v>
      </c>
      <c r="AG127" s="3">
        <f t="shared" ca="1" si="228"/>
        <v>2.0339708821010563</v>
      </c>
      <c r="AH127" s="3" t="str">
        <f t="shared" si="229"/>
        <v>자동</v>
      </c>
      <c r="AI127" s="3">
        <f t="shared" ca="1" si="230"/>
        <v>2.0462377943710512</v>
      </c>
      <c r="AJ127" s="3">
        <f t="shared" ca="1" si="231"/>
        <v>2.0462377943710512</v>
      </c>
      <c r="AL127" s="3" t="str">
        <f t="shared" si="232"/>
        <v/>
      </c>
      <c r="AN127" s="3">
        <f ca="1">IF($BA127=42,OFFSET(변환표준점수!C$119,$AP127-1,0),"")</f>
        <v>70.06</v>
      </c>
      <c r="AO127" s="3">
        <f ca="1">IF($BA127=42,OFFSET(변환표준점수!D$119,$AP127-1,0),"")</f>
        <v>69.64</v>
      </c>
      <c r="AP127" s="21">
        <f>IF(S127="","",MATCH(S127,변환표준점수!$B$119:$B$298,0))</f>
        <v>36</v>
      </c>
      <c r="AQ127" s="3">
        <v>12</v>
      </c>
      <c r="AR127" s="3">
        <v>12</v>
      </c>
      <c r="AS127" s="3">
        <v>42</v>
      </c>
      <c r="AT127" s="3">
        <v>42</v>
      </c>
      <c r="AV127" s="3">
        <v>42</v>
      </c>
      <c r="AW127" s="3">
        <v>42</v>
      </c>
      <c r="AX127" s="3">
        <v>3</v>
      </c>
      <c r="AY127" s="3">
        <v>3</v>
      </c>
      <c r="BA127" s="3">
        <f t="shared" si="233"/>
        <v>42</v>
      </c>
      <c r="BC127" s="3">
        <f>0.03*$AE127</f>
        <v>8.1428571428571433E-2</v>
      </c>
      <c r="BD127" s="3">
        <f>0.03*$AE127</f>
        <v>8.1428571428571433E-2</v>
      </c>
      <c r="BF127" s="3">
        <f ca="1">0.03*AF127</f>
        <v>6.1019126463031682E-2</v>
      </c>
      <c r="BG127" s="3">
        <f ca="1">0.03*AG127</f>
        <v>6.1019126463031682E-2</v>
      </c>
      <c r="BJ127" s="3">
        <f t="shared" si="234"/>
        <v>0</v>
      </c>
      <c r="BN127" s="212" t="s">
        <v>7308</v>
      </c>
      <c r="BP127" s="3">
        <f>IF(BP$6&gt;0,BC127*$EG127,0)</f>
        <v>0</v>
      </c>
      <c r="BQ127" s="3">
        <f>IF(BQ$6&gt;0,BD127*$EG127,0)</f>
        <v>0</v>
      </c>
      <c r="BS127" s="3">
        <f ca="1">BF127*EH127</f>
        <v>0</v>
      </c>
      <c r="BT127" s="3">
        <f ca="1">BG127*EI127</f>
        <v>0</v>
      </c>
      <c r="CH127" s="206">
        <f t="shared" si="263"/>
        <v>855.00000000000011</v>
      </c>
      <c r="CI127" s="56">
        <v>95</v>
      </c>
      <c r="CJ127" s="3">
        <v>93.1</v>
      </c>
      <c r="CK127" s="3">
        <v>91.2</v>
      </c>
      <c r="CL127" s="3">
        <v>79.8</v>
      </c>
      <c r="CM127" s="3">
        <v>57</v>
      </c>
      <c r="CN127" s="3">
        <v>38</v>
      </c>
      <c r="CO127" s="3">
        <v>19</v>
      </c>
      <c r="CP127" s="3">
        <v>9.5</v>
      </c>
      <c r="CQ127" s="3">
        <v>0</v>
      </c>
      <c r="CV127" s="3">
        <v>-5</v>
      </c>
      <c r="CW127" s="3">
        <v>-10</v>
      </c>
      <c r="CX127" s="3">
        <v>-20</v>
      </c>
      <c r="CY127" s="3">
        <v>-30</v>
      </c>
      <c r="CZ127" s="3">
        <v>-40</v>
      </c>
      <c r="DJ127" s="3">
        <f t="shared" ca="1" si="236"/>
        <v>95</v>
      </c>
      <c r="DK127" s="93">
        <f t="shared" ca="1" si="237"/>
        <v>100</v>
      </c>
      <c r="DL127" s="3">
        <f t="shared" ca="1" si="238"/>
        <v>0</v>
      </c>
      <c r="DO127" s="3">
        <v>2</v>
      </c>
      <c r="DZ127" s="3">
        <v>1</v>
      </c>
      <c r="EA127" s="3">
        <f t="shared" si="239"/>
        <v>1</v>
      </c>
      <c r="EB127" s="3">
        <f t="shared" si="240"/>
        <v>2</v>
      </c>
      <c r="EC127" s="3">
        <f t="shared" si="241"/>
        <v>0</v>
      </c>
      <c r="ED127" s="3">
        <f t="shared" si="242"/>
        <v>0</v>
      </c>
      <c r="EF127" s="3">
        <f t="shared" ca="1" si="243"/>
        <v>0</v>
      </c>
      <c r="EG127" s="3">
        <f t="shared" ca="1" si="244"/>
        <v>0</v>
      </c>
      <c r="EH127" s="3">
        <f ca="1">IFERROR(IF(LEFT($BA127,1)="4",OFFSET(변환표준점수!$H$118,MATCH($S127,변환표준점수!$B$119:$B$198,0),),OFFSET(EH$3,MATCH(AS127,$ED$4:$ED$8,0),0)),0)</f>
        <v>0</v>
      </c>
      <c r="EI127" s="3">
        <f ca="1">IFERROR(IF(LEFT($BA127,1)="4",OFFSET(변환표준점수!$I$118,MATCH($S127,변환표준점수!$B$119:$B$198,0),0),OFFSET(EI$3,MATCH(AT127,$ED$4:$ED$8,0),0)),0)</f>
        <v>0</v>
      </c>
      <c r="EK127" s="3">
        <f ca="1">IFERROR(IF(LEFT($BA127,1)="4",OFFSET(변환표준점수!$J$118,MATCH($S127,변환표준점수!$B$119:$B$198,0),0),OFFSET(EJ$3,MATCH(AV127,$ED$4:$ED$8,0),0)),0)</f>
        <v>0</v>
      </c>
      <c r="EL127" s="3">
        <f ca="1">IFERROR(IF(LEFT($BA127,1)="4",OFFSET(변환표준점수!$K$118,MATCH($S127,변환표준점수!$B$119:$B$198,0),0),OFFSET(EK$3,MATCH(AW127,$ED$4:$ED$8,0),0)),0)</f>
        <v>0</v>
      </c>
      <c r="EM127" s="3" t="str">
        <f t="shared" ca="1" si="245"/>
        <v/>
      </c>
      <c r="EN127" s="3" t="str">
        <f t="shared" ca="1" si="246"/>
        <v/>
      </c>
      <c r="EO127" s="3">
        <f t="shared" ca="1" si="247"/>
        <v>0</v>
      </c>
      <c r="EQ127" s="3">
        <f t="shared" ca="1" si="248"/>
        <v>0</v>
      </c>
      <c r="ER127" s="3">
        <f t="shared" ca="1" si="249"/>
        <v>0</v>
      </c>
      <c r="ES127" s="3">
        <f t="shared" ca="1" si="250"/>
        <v>0</v>
      </c>
      <c r="ET127" s="3">
        <f t="shared" ca="1" si="251"/>
        <v>0</v>
      </c>
      <c r="EU127" s="3">
        <f t="shared" si="252"/>
        <v>0</v>
      </c>
      <c r="EV127" s="3">
        <f t="shared" ca="1" si="253"/>
        <v>0</v>
      </c>
      <c r="EW127" s="3">
        <f t="shared" ca="1" si="254"/>
        <v>0</v>
      </c>
      <c r="EX127" s="3">
        <f ca="1">LARGE((ES127:ET127,EV127:EW127),1)</f>
        <v>0</v>
      </c>
      <c r="EY127" s="3">
        <f ca="1">IF(O127&lt;2,0,LARGE((ES127:ET127,EV127:EW127),2))</f>
        <v>0</v>
      </c>
      <c r="EZ127" s="3">
        <f t="shared" ca="1" si="255"/>
        <v>0</v>
      </c>
      <c r="FA127" s="3">
        <f t="shared" ca="1" si="256"/>
        <v>0</v>
      </c>
      <c r="FB127" s="3">
        <f t="shared" ca="1" si="257"/>
        <v>0</v>
      </c>
      <c r="FG127" s="3">
        <f t="shared" ca="1" si="258"/>
        <v>0</v>
      </c>
      <c r="FH127" s="618"/>
      <c r="FU127" s="3" t="str">
        <f t="shared" si="166"/>
        <v>표점/만점</v>
      </c>
      <c r="FV127" s="3" t="str">
        <f t="shared" si="167"/>
        <v>변표/만점</v>
      </c>
      <c r="FW127" s="3">
        <f t="shared" ca="1" si="259"/>
        <v>0.22</v>
      </c>
      <c r="FX127" s="3">
        <f t="shared" ca="1" si="260"/>
        <v>0.44</v>
      </c>
      <c r="FY127" s="3">
        <f t="shared" ca="1" si="261"/>
        <v>0.33</v>
      </c>
      <c r="FZ127" s="3">
        <f t="shared" ca="1" si="262"/>
        <v>6.115163071206914</v>
      </c>
    </row>
    <row r="128" spans="1:182">
      <c r="A128" s="556">
        <v>26</v>
      </c>
      <c r="C128" s="3">
        <f t="shared" si="216"/>
        <v>113</v>
      </c>
      <c r="D128" s="3">
        <v>113</v>
      </c>
      <c r="E128" s="3" t="s">
        <v>7705</v>
      </c>
      <c r="F128" s="3">
        <v>1000</v>
      </c>
      <c r="G128" s="3">
        <v>0.25</v>
      </c>
      <c r="H128" s="3">
        <v>0.4</v>
      </c>
      <c r="I128" s="3">
        <v>0.1</v>
      </c>
      <c r="J128" s="3">
        <v>0.1</v>
      </c>
      <c r="L128" s="3">
        <v>0.1</v>
      </c>
      <c r="M128" s="3">
        <v>0.1</v>
      </c>
      <c r="O128" s="3">
        <v>2</v>
      </c>
      <c r="P128" s="3">
        <f t="shared" si="217"/>
        <v>0.85000000000000009</v>
      </c>
      <c r="Q128" s="3">
        <v>36</v>
      </c>
      <c r="S128" s="3">
        <f t="shared" si="218"/>
        <v>36</v>
      </c>
      <c r="W128" s="3">
        <f t="shared" si="219"/>
        <v>0</v>
      </c>
      <c r="Y128" s="3">
        <f t="shared" si="220"/>
        <v>1.7985611510791366</v>
      </c>
      <c r="Z128" s="3">
        <f t="shared" si="221"/>
        <v>2.8571428571428572</v>
      </c>
      <c r="AA128" s="3">
        <f t="shared" ca="1" si="222"/>
        <v>1.4273479874393378</v>
      </c>
      <c r="AB128" s="3">
        <f t="shared" ca="1" si="223"/>
        <v>1.4359563469270533</v>
      </c>
      <c r="AC128" s="3">
        <f t="shared" ca="1" si="224"/>
        <v>1.4359563469270533</v>
      </c>
      <c r="AD128" s="69">
        <f t="shared" si="225"/>
        <v>1.7985611510791366</v>
      </c>
      <c r="AE128" s="69">
        <f t="shared" si="226"/>
        <v>2.8571428571428572</v>
      </c>
      <c r="AF128" s="3">
        <f t="shared" ca="1" si="227"/>
        <v>1.4273479874393378</v>
      </c>
      <c r="AG128" s="3">
        <f t="shared" ca="1" si="228"/>
        <v>1.4273479874393378</v>
      </c>
      <c r="AH128" s="3" t="str">
        <f t="shared" si="229"/>
        <v>자동</v>
      </c>
      <c r="AI128" s="3">
        <f t="shared" ca="1" si="230"/>
        <v>1.4359563469270533</v>
      </c>
      <c r="AJ128" s="3">
        <f t="shared" ca="1" si="231"/>
        <v>1.4359563469270533</v>
      </c>
      <c r="AL128" s="3" t="str">
        <f t="shared" si="232"/>
        <v/>
      </c>
      <c r="AN128" s="3">
        <f ca="1">IF($BA128=42,OFFSET(변환표준점수!C$119,$AP128-1,0),"")</f>
        <v>70.06</v>
      </c>
      <c r="AO128" s="3">
        <f ca="1">IF($BA128=42,OFFSET(변환표준점수!D$119,$AP128-1,0),"")</f>
        <v>69.64</v>
      </c>
      <c r="AP128" s="21">
        <f>IF(S128="","",MATCH(S128,변환표준점수!$B$119:$B$298,0))</f>
        <v>36</v>
      </c>
      <c r="AQ128" s="3">
        <v>12</v>
      </c>
      <c r="AR128" s="3">
        <v>12</v>
      </c>
      <c r="AS128" s="3">
        <v>42</v>
      </c>
      <c r="AT128" s="3">
        <v>42</v>
      </c>
      <c r="AV128" s="3">
        <v>42</v>
      </c>
      <c r="AW128" s="3">
        <v>42</v>
      </c>
      <c r="AX128" s="3">
        <v>3</v>
      </c>
      <c r="AY128" s="3">
        <v>3</v>
      </c>
      <c r="BA128" s="3">
        <f t="shared" si="233"/>
        <v>42</v>
      </c>
      <c r="BJ128" s="3">
        <f t="shared" si="234"/>
        <v>0</v>
      </c>
      <c r="CH128" s="206">
        <f t="shared" si="263"/>
        <v>850.00000000000011</v>
      </c>
      <c r="CI128" s="56">
        <v>150</v>
      </c>
      <c r="CJ128" s="3">
        <v>147</v>
      </c>
      <c r="CK128" s="3">
        <v>144</v>
      </c>
      <c r="CL128" s="3">
        <v>126</v>
      </c>
      <c r="CM128" s="3">
        <v>90</v>
      </c>
      <c r="CN128" s="3">
        <v>60</v>
      </c>
      <c r="CO128" s="3">
        <v>30</v>
      </c>
      <c r="CP128" s="3">
        <v>15</v>
      </c>
      <c r="CQ128" s="3">
        <v>0</v>
      </c>
      <c r="CV128" s="3">
        <v>-5</v>
      </c>
      <c r="CW128" s="3">
        <v>-10</v>
      </c>
      <c r="CX128" s="3">
        <v>-20</v>
      </c>
      <c r="CY128" s="3">
        <v>-30</v>
      </c>
      <c r="CZ128" s="3">
        <v>-40</v>
      </c>
      <c r="DJ128" s="3">
        <f t="shared" ca="1" si="236"/>
        <v>150</v>
      </c>
      <c r="DK128" s="93">
        <f t="shared" ca="1" si="237"/>
        <v>100</v>
      </c>
      <c r="DL128" s="3">
        <f t="shared" ca="1" si="238"/>
        <v>0</v>
      </c>
      <c r="DO128" s="3">
        <v>2</v>
      </c>
      <c r="EA128" s="3">
        <f t="shared" si="239"/>
        <v>2</v>
      </c>
      <c r="EB128" s="3">
        <f t="shared" si="240"/>
        <v>2</v>
      </c>
      <c r="EC128" s="3">
        <f t="shared" si="241"/>
        <v>0</v>
      </c>
      <c r="ED128" s="3">
        <f t="shared" si="242"/>
        <v>0</v>
      </c>
      <c r="EF128" s="3">
        <f t="shared" ca="1" si="243"/>
        <v>0</v>
      </c>
      <c r="EG128" s="3">
        <f t="shared" ca="1" si="244"/>
        <v>0</v>
      </c>
      <c r="EH128" s="3">
        <f ca="1">IFERROR(IF(LEFT($BA128,1)="4",OFFSET(변환표준점수!$H$118,MATCH($S128,변환표준점수!$B$119:$B$198,0),),OFFSET(EH$3,MATCH(AS128,$ED$4:$ED$8,0),0)),0)</f>
        <v>0</v>
      </c>
      <c r="EI128" s="3">
        <f ca="1">IFERROR(IF(LEFT($BA128,1)="4",OFFSET(변환표준점수!$I$118,MATCH($S128,변환표준점수!$B$119:$B$198,0),0),OFFSET(EI$3,MATCH(AT128,$ED$4:$ED$8,0),0)),0)</f>
        <v>0</v>
      </c>
      <c r="EK128" s="3">
        <f ca="1">IFERROR(IF(LEFT($BA128,1)="4",OFFSET(변환표준점수!$J$118,MATCH($S128,변환표준점수!$B$119:$B$198,0),0),OFFSET(EJ$3,MATCH(AV128,$ED$4:$ED$8,0),0)),0)</f>
        <v>0</v>
      </c>
      <c r="EL128" s="3">
        <f ca="1">IFERROR(IF(LEFT($BA128,1)="4",OFFSET(변환표준점수!$K$118,MATCH($S128,변환표준점수!$B$119:$B$198,0),0),OFFSET(EK$3,MATCH(AW128,$ED$4:$ED$8,0),0)),0)</f>
        <v>0</v>
      </c>
      <c r="EM128" s="3" t="str">
        <f t="shared" ca="1" si="245"/>
        <v/>
      </c>
      <c r="EN128" s="3" t="str">
        <f t="shared" ca="1" si="246"/>
        <v/>
      </c>
      <c r="EO128" s="3">
        <f t="shared" ca="1" si="247"/>
        <v>0</v>
      </c>
      <c r="EQ128" s="3">
        <f t="shared" ca="1" si="248"/>
        <v>0</v>
      </c>
      <c r="ER128" s="3">
        <f t="shared" ca="1" si="249"/>
        <v>0</v>
      </c>
      <c r="ES128" s="3">
        <f t="shared" ca="1" si="250"/>
        <v>0</v>
      </c>
      <c r="ET128" s="3">
        <f t="shared" ca="1" si="251"/>
        <v>0</v>
      </c>
      <c r="EU128" s="3">
        <f t="shared" si="252"/>
        <v>0</v>
      </c>
      <c r="EV128" s="3">
        <f t="shared" ca="1" si="253"/>
        <v>0</v>
      </c>
      <c r="EW128" s="3">
        <f t="shared" ca="1" si="254"/>
        <v>0</v>
      </c>
      <c r="EX128" s="3">
        <f ca="1">LARGE((ES128:ET128,EV128:EW128),1)</f>
        <v>0</v>
      </c>
      <c r="EY128" s="3">
        <f ca="1">IF(O128&lt;2,0,LARGE((ES128:ET128,EV128:EW128),2))</f>
        <v>0</v>
      </c>
      <c r="EZ128" s="3">
        <f t="shared" ca="1" si="255"/>
        <v>0</v>
      </c>
      <c r="FA128" s="3">
        <f t="shared" ca="1" si="256"/>
        <v>0</v>
      </c>
      <c r="FB128" s="3">
        <f t="shared" ca="1" si="257"/>
        <v>0</v>
      </c>
      <c r="FG128" s="3">
        <f t="shared" ca="1" si="258"/>
        <v>0</v>
      </c>
      <c r="FH128" s="618"/>
      <c r="FU128" s="3" t="str">
        <f t="shared" si="166"/>
        <v>표점/만점</v>
      </c>
      <c r="FV128" s="3" t="str">
        <f t="shared" si="167"/>
        <v>변표/만점</v>
      </c>
      <c r="FW128" s="3">
        <f t="shared" ca="1" si="259"/>
        <v>0.3</v>
      </c>
      <c r="FX128" s="3">
        <f t="shared" ca="1" si="260"/>
        <v>0.47</v>
      </c>
      <c r="FY128" s="3">
        <f t="shared" ca="1" si="261"/>
        <v>0.24</v>
      </c>
      <c r="FZ128" s="3">
        <f t="shared" ca="1" si="262"/>
        <v>6.0916603551490471</v>
      </c>
    </row>
    <row r="129" spans="1:182">
      <c r="A129" s="556">
        <v>26</v>
      </c>
      <c r="C129" s="3">
        <f t="shared" si="216"/>
        <v>114</v>
      </c>
      <c r="D129" s="3">
        <v>114</v>
      </c>
      <c r="E129" s="3" t="s">
        <v>327</v>
      </c>
      <c r="F129" s="3">
        <v>1000</v>
      </c>
      <c r="G129" s="3">
        <v>0.35</v>
      </c>
      <c r="H129" s="3">
        <v>0.25</v>
      </c>
      <c r="I129" s="3">
        <v>0.125</v>
      </c>
      <c r="J129" s="3">
        <v>0.125</v>
      </c>
      <c r="L129" s="3">
        <v>0.125</v>
      </c>
      <c r="M129" s="3">
        <v>0.125</v>
      </c>
      <c r="O129" s="3">
        <v>2</v>
      </c>
      <c r="P129" s="3">
        <f t="shared" si="217"/>
        <v>0.85</v>
      </c>
      <c r="Q129" s="3">
        <v>36</v>
      </c>
      <c r="S129" s="3">
        <f t="shared" si="218"/>
        <v>36</v>
      </c>
      <c r="W129" s="3">
        <f t="shared" si="219"/>
        <v>0</v>
      </c>
      <c r="Y129" s="3">
        <f t="shared" si="220"/>
        <v>2.5179856115107913</v>
      </c>
      <c r="Z129" s="3">
        <f t="shared" si="221"/>
        <v>1.7857142857142858</v>
      </c>
      <c r="AA129" s="3">
        <f t="shared" ca="1" si="222"/>
        <v>1.7841849842991722</v>
      </c>
      <c r="AB129" s="3">
        <f t="shared" ca="1" si="223"/>
        <v>1.7949454336588166</v>
      </c>
      <c r="AC129" s="3">
        <f t="shared" ca="1" si="224"/>
        <v>1.7949454336588166</v>
      </c>
      <c r="AD129" s="69">
        <f t="shared" si="225"/>
        <v>2.5179856115107913</v>
      </c>
      <c r="AE129" s="69">
        <f t="shared" si="226"/>
        <v>1.7857142857142858</v>
      </c>
      <c r="AF129" s="3">
        <f t="shared" ca="1" si="227"/>
        <v>1.7841849842991722</v>
      </c>
      <c r="AG129" s="3">
        <f t="shared" ca="1" si="228"/>
        <v>1.7841849842991722</v>
      </c>
      <c r="AH129" s="3" t="str">
        <f t="shared" si="229"/>
        <v>자동</v>
      </c>
      <c r="AI129" s="3">
        <f t="shared" ca="1" si="230"/>
        <v>1.7949454336588166</v>
      </c>
      <c r="AJ129" s="3">
        <f t="shared" ca="1" si="231"/>
        <v>1.7949454336588166</v>
      </c>
      <c r="AL129" s="3" t="str">
        <f t="shared" si="232"/>
        <v/>
      </c>
      <c r="AN129" s="3">
        <f ca="1">IF($BA129=42,OFFSET(변환표준점수!C$119,$AP129-1,0),"")</f>
        <v>70.06</v>
      </c>
      <c r="AO129" s="3">
        <f ca="1">IF($BA129=42,OFFSET(변환표준점수!D$119,$AP129-1,0),"")</f>
        <v>69.64</v>
      </c>
      <c r="AP129" s="120">
        <f>IF(S129="","",MATCH(S129,변환표준점수!$B$119:$B$298,0))</f>
        <v>36</v>
      </c>
      <c r="AQ129" s="3">
        <v>12</v>
      </c>
      <c r="AR129" s="3">
        <v>12</v>
      </c>
      <c r="AS129" s="3">
        <v>42</v>
      </c>
      <c r="AT129" s="3">
        <v>42</v>
      </c>
      <c r="AV129" s="3">
        <v>42</v>
      </c>
      <c r="AW129" s="3">
        <v>42</v>
      </c>
      <c r="AX129" s="3">
        <v>3</v>
      </c>
      <c r="AY129" s="3">
        <v>3</v>
      </c>
      <c r="BA129" s="3">
        <f t="shared" si="233"/>
        <v>42</v>
      </c>
      <c r="BJ129" s="3">
        <f t="shared" si="234"/>
        <v>0</v>
      </c>
      <c r="CH129" s="206">
        <f t="shared" si="263"/>
        <v>850</v>
      </c>
      <c r="CI129" s="56">
        <v>150</v>
      </c>
      <c r="CJ129" s="3">
        <v>147</v>
      </c>
      <c r="CK129" s="3">
        <v>144</v>
      </c>
      <c r="CL129" s="3">
        <v>126</v>
      </c>
      <c r="CM129" s="3">
        <v>90</v>
      </c>
      <c r="CN129" s="3">
        <v>60</v>
      </c>
      <c r="CO129" s="3">
        <v>30</v>
      </c>
      <c r="CP129" s="3">
        <v>15</v>
      </c>
      <c r="CQ129" s="3">
        <v>0</v>
      </c>
      <c r="CV129" s="3">
        <v>-5</v>
      </c>
      <c r="CW129" s="3">
        <v>-10</v>
      </c>
      <c r="CX129" s="3">
        <v>-20</v>
      </c>
      <c r="CY129" s="3">
        <v>-30</v>
      </c>
      <c r="CZ129" s="3">
        <v>-40</v>
      </c>
      <c r="DJ129" s="3">
        <f t="shared" ca="1" si="236"/>
        <v>150</v>
      </c>
      <c r="DK129" s="93">
        <f t="shared" ca="1" si="237"/>
        <v>100</v>
      </c>
      <c r="DL129" s="3">
        <f t="shared" ca="1" si="238"/>
        <v>0</v>
      </c>
      <c r="DO129" s="3">
        <v>2</v>
      </c>
      <c r="EA129" s="3">
        <f t="shared" si="239"/>
        <v>2</v>
      </c>
      <c r="EB129" s="3">
        <f t="shared" si="240"/>
        <v>2</v>
      </c>
      <c r="EC129" s="3">
        <f t="shared" si="241"/>
        <v>0</v>
      </c>
      <c r="ED129" s="3">
        <f t="shared" si="242"/>
        <v>0</v>
      </c>
      <c r="EF129" s="3">
        <f t="shared" ca="1" si="243"/>
        <v>0</v>
      </c>
      <c r="EG129" s="3">
        <f t="shared" ca="1" si="244"/>
        <v>0</v>
      </c>
      <c r="EH129" s="3">
        <f ca="1">IFERROR(IF(LEFT($BA129,1)="4",OFFSET(변환표준점수!$H$118,MATCH($S129,변환표준점수!$B$119:$B$198,0),),OFFSET(EH$3,MATCH(AS129,$ED$4:$ED$8,0),0)),0)</f>
        <v>0</v>
      </c>
      <c r="EI129" s="3">
        <f ca="1">IFERROR(IF(LEFT($BA129,1)="4",OFFSET(변환표준점수!$I$118,MATCH($S129,변환표준점수!$B$119:$B$198,0),0),OFFSET(EI$3,MATCH(AT129,$ED$4:$ED$8,0),0)),0)</f>
        <v>0</v>
      </c>
      <c r="EK129" s="3">
        <f ca="1">IFERROR(IF(LEFT($BA129,1)="4",OFFSET(변환표준점수!$J$118,MATCH($S129,변환표준점수!$B$119:$B$198,0),0),OFFSET(EJ$3,MATCH(AV129,$ED$4:$ED$8,0),0)),0)</f>
        <v>0</v>
      </c>
      <c r="EL129" s="3">
        <f ca="1">IFERROR(IF(LEFT($BA129,1)="4",OFFSET(변환표준점수!$K$118,MATCH($S129,변환표준점수!$B$119:$B$198,0),0),OFFSET(EK$3,MATCH(AW129,$ED$4:$ED$8,0),0)),0)</f>
        <v>0</v>
      </c>
      <c r="EM129" s="3" t="str">
        <f t="shared" ca="1" si="245"/>
        <v/>
      </c>
      <c r="EN129" s="3" t="str">
        <f t="shared" ca="1" si="246"/>
        <v/>
      </c>
      <c r="EO129" s="3">
        <f t="shared" ca="1" si="247"/>
        <v>0</v>
      </c>
      <c r="EQ129" s="3">
        <f t="shared" ca="1" si="248"/>
        <v>0</v>
      </c>
      <c r="ER129" s="3">
        <f t="shared" ca="1" si="249"/>
        <v>0</v>
      </c>
      <c r="ES129" s="3">
        <f t="shared" ca="1" si="250"/>
        <v>0</v>
      </c>
      <c r="ET129" s="3">
        <f t="shared" ca="1" si="251"/>
        <v>0</v>
      </c>
      <c r="EU129" s="3">
        <f t="shared" si="252"/>
        <v>0</v>
      </c>
      <c r="EV129" s="3">
        <f t="shared" ca="1" si="253"/>
        <v>0</v>
      </c>
      <c r="EW129" s="3">
        <f t="shared" ca="1" si="254"/>
        <v>0</v>
      </c>
      <c r="EX129" s="3">
        <f ca="1">LARGE((ES129:ET129,EV129:EW129),1)</f>
        <v>0</v>
      </c>
      <c r="EY129" s="3">
        <f ca="1">IF(O129&lt;2,0,LARGE((ES129:ET129,EV129:EW129),2))</f>
        <v>0</v>
      </c>
      <c r="EZ129" s="3">
        <f t="shared" ca="1" si="255"/>
        <v>0</v>
      </c>
      <c r="FA129" s="3">
        <f t="shared" ca="1" si="256"/>
        <v>0</v>
      </c>
      <c r="FB129" s="3">
        <f t="shared" ca="1" si="257"/>
        <v>0</v>
      </c>
      <c r="FG129" s="3">
        <f t="shared" ca="1" si="258"/>
        <v>0</v>
      </c>
      <c r="FH129" s="618"/>
      <c r="FU129" s="3" t="str">
        <f t="shared" si="166"/>
        <v>표점/만점</v>
      </c>
      <c r="FV129" s="3" t="str">
        <f t="shared" si="167"/>
        <v>변표/만점</v>
      </c>
      <c r="FW129" s="3">
        <f t="shared" ca="1" si="259"/>
        <v>0.41</v>
      </c>
      <c r="FX129" s="3">
        <f t="shared" ca="1" si="260"/>
        <v>0.28999999999999998</v>
      </c>
      <c r="FY129" s="3">
        <f t="shared" ca="1" si="261"/>
        <v>0.28999999999999998</v>
      </c>
      <c r="FZ129" s="3">
        <f t="shared" ca="1" si="262"/>
        <v>6.0986453308838939</v>
      </c>
    </row>
    <row r="130" spans="1:182">
      <c r="A130" s="556">
        <v>26</v>
      </c>
      <c r="C130" s="3">
        <f t="shared" si="216"/>
        <v>115</v>
      </c>
      <c r="D130" s="3">
        <v>115</v>
      </c>
      <c r="E130" s="3" t="s">
        <v>7309</v>
      </c>
      <c r="F130" s="3">
        <v>1000</v>
      </c>
      <c r="G130" s="3">
        <v>0.25</v>
      </c>
      <c r="H130" s="3">
        <v>0.35</v>
      </c>
      <c r="I130" s="3">
        <v>0.15</v>
      </c>
      <c r="J130" s="3">
        <v>0.15</v>
      </c>
      <c r="L130" s="3">
        <v>0.15</v>
      </c>
      <c r="M130" s="3">
        <v>0.15</v>
      </c>
      <c r="O130" s="3">
        <v>2</v>
      </c>
      <c r="P130" s="3">
        <f t="shared" si="217"/>
        <v>0.89999999999999991</v>
      </c>
      <c r="Q130" s="3">
        <v>38</v>
      </c>
      <c r="S130" s="3">
        <f t="shared" si="218"/>
        <v>38</v>
      </c>
      <c r="W130" s="3">
        <f t="shared" si="219"/>
        <v>0</v>
      </c>
      <c r="Y130" s="3">
        <f t="shared" si="220"/>
        <v>1.7985611510791366</v>
      </c>
      <c r="Z130" s="3">
        <f t="shared" si="221"/>
        <v>2.5</v>
      </c>
      <c r="AA130" s="3">
        <f t="shared" ca="1" si="222"/>
        <v>2.0749757919490937</v>
      </c>
      <c r="AB130" s="3">
        <f t="shared" ca="1" si="223"/>
        <v>2.0749757919490937</v>
      </c>
      <c r="AC130" s="3">
        <f t="shared" ca="1" si="224"/>
        <v>2.0749757919490937</v>
      </c>
      <c r="AD130" s="69">
        <f t="shared" si="225"/>
        <v>1.7985611510791366</v>
      </c>
      <c r="AE130" s="69">
        <f t="shared" si="226"/>
        <v>2.5</v>
      </c>
      <c r="AF130" s="3">
        <f t="shared" ca="1" si="227"/>
        <v>2.0749757919490937</v>
      </c>
      <c r="AG130" s="3">
        <f t="shared" ca="1" si="228"/>
        <v>2.0749757919490937</v>
      </c>
      <c r="AH130" s="3" t="str">
        <f t="shared" si="229"/>
        <v>자동</v>
      </c>
      <c r="AI130" s="3">
        <f t="shared" ca="1" si="230"/>
        <v>2.0749757919490937</v>
      </c>
      <c r="AJ130" s="3">
        <f t="shared" ca="1" si="231"/>
        <v>2.0749757919490937</v>
      </c>
      <c r="AL130" s="3" t="str">
        <f t="shared" si="232"/>
        <v/>
      </c>
      <c r="AN130" s="3">
        <f ca="1">IF($BA130=42,OFFSET(변환표준점수!C$119,$AP130-1,0),"")</f>
        <v>72.290000000000006</v>
      </c>
      <c r="AO130" s="3">
        <f ca="1">IF($BA130=42,OFFSET(변환표준점수!D$119,$AP130-1,0),"")</f>
        <v>72.290000000000006</v>
      </c>
      <c r="AP130" s="21">
        <f>IF(S130="","",MATCH(S130,변환표준점수!$B$119:$B$298,0))</f>
        <v>38</v>
      </c>
      <c r="AQ130" s="3">
        <v>12</v>
      </c>
      <c r="AR130" s="3">
        <v>12</v>
      </c>
      <c r="AS130" s="3">
        <v>42</v>
      </c>
      <c r="AT130" s="3">
        <v>42</v>
      </c>
      <c r="AV130" s="3">
        <v>42</v>
      </c>
      <c r="AW130" s="3">
        <v>42</v>
      </c>
      <c r="AX130" s="3">
        <v>3</v>
      </c>
      <c r="AY130" s="3">
        <v>3</v>
      </c>
      <c r="BA130" s="3">
        <f t="shared" si="233"/>
        <v>42</v>
      </c>
      <c r="BC130" s="3">
        <f>0.03*$AE130</f>
        <v>7.4999999999999997E-2</v>
      </c>
      <c r="BD130" s="3">
        <f>0.03*$AE130</f>
        <v>7.4999999999999997E-2</v>
      </c>
      <c r="BF130" s="3">
        <f t="shared" ref="BF130:BG132" ca="1" si="264">0.03*AF130</f>
        <v>6.2249273758472806E-2</v>
      </c>
      <c r="BG130" s="3">
        <f t="shared" ca="1" si="264"/>
        <v>6.2249273758472806E-2</v>
      </c>
      <c r="BJ130" s="3">
        <f t="shared" si="234"/>
        <v>0</v>
      </c>
      <c r="BN130" s="212" t="s">
        <v>7706</v>
      </c>
      <c r="BP130" s="3">
        <f>IF(BP$6&gt;0,BC130*$EG130,0)</f>
        <v>0</v>
      </c>
      <c r="BQ130" s="3">
        <f>IF(BQ$6&gt;0,BD130*$EG130,0)</f>
        <v>0</v>
      </c>
      <c r="BS130" s="3">
        <f t="shared" ref="BS130:BT132" ca="1" si="265">BF130*EH130</f>
        <v>0</v>
      </c>
      <c r="BT130" s="3">
        <f t="shared" ca="1" si="265"/>
        <v>0</v>
      </c>
      <c r="CH130" s="206">
        <f t="shared" si="263"/>
        <v>899.99999999999989</v>
      </c>
      <c r="CI130" s="56">
        <v>100</v>
      </c>
      <c r="CJ130" s="3">
        <v>98</v>
      </c>
      <c r="CK130" s="3">
        <v>96</v>
      </c>
      <c r="CL130" s="3">
        <v>90</v>
      </c>
      <c r="CM130" s="3">
        <v>80</v>
      </c>
      <c r="CN130" s="3">
        <v>60</v>
      </c>
      <c r="CO130" s="3">
        <v>40</v>
      </c>
      <c r="CP130" s="3">
        <v>20</v>
      </c>
      <c r="CQ130" s="3">
        <v>0</v>
      </c>
      <c r="CV130" s="3">
        <v>-1</v>
      </c>
      <c r="CW130" s="3">
        <v>-2</v>
      </c>
      <c r="CX130" s="3">
        <v>-3</v>
      </c>
      <c r="CY130" s="3">
        <v>-4</v>
      </c>
      <c r="CZ130" s="3">
        <v>-5</v>
      </c>
      <c r="DJ130" s="3">
        <f t="shared" ca="1" si="236"/>
        <v>100</v>
      </c>
      <c r="DK130" s="93">
        <f t="shared" ca="1" si="237"/>
        <v>100</v>
      </c>
      <c r="DL130" s="3">
        <f t="shared" ca="1" si="238"/>
        <v>0</v>
      </c>
      <c r="DO130" s="3">
        <v>2</v>
      </c>
      <c r="DZ130" s="3">
        <v>1</v>
      </c>
      <c r="EA130" s="3">
        <f t="shared" si="239"/>
        <v>1</v>
      </c>
      <c r="EB130" s="3">
        <f t="shared" si="240"/>
        <v>2</v>
      </c>
      <c r="EC130" s="3">
        <f t="shared" si="241"/>
        <v>0</v>
      </c>
      <c r="ED130" s="3">
        <f t="shared" si="242"/>
        <v>0</v>
      </c>
      <c r="EF130" s="3">
        <f t="shared" ca="1" si="243"/>
        <v>0</v>
      </c>
      <c r="EG130" s="3">
        <f t="shared" ca="1" si="244"/>
        <v>0</v>
      </c>
      <c r="EH130" s="3">
        <f ca="1">IFERROR(IF(LEFT($BA130,1)="4",OFFSET(변환표준점수!$H$118,MATCH($S130,변환표준점수!$B$119:$B$198,0),),OFFSET(EH$3,MATCH(AS130,$ED$4:$ED$8,0),0)),0)</f>
        <v>0</v>
      </c>
      <c r="EI130" s="3">
        <f ca="1">IFERROR(IF(LEFT($BA130,1)="4",OFFSET(변환표준점수!$I$118,MATCH($S130,변환표준점수!$B$119:$B$198,0),0),OFFSET(EI$3,MATCH(AT130,$ED$4:$ED$8,0),0)),0)</f>
        <v>0</v>
      </c>
      <c r="EK130" s="3">
        <f ca="1">IFERROR(IF(LEFT($BA130,1)="4",OFFSET(변환표준점수!$J$118,MATCH($S130,변환표준점수!$B$119:$B$198,0),0),OFFSET(EJ$3,MATCH(AV130,$ED$4:$ED$8,0),0)),0)</f>
        <v>0</v>
      </c>
      <c r="EL130" s="3">
        <f ca="1">IFERROR(IF(LEFT($BA130,1)="4",OFFSET(변환표준점수!$K$118,MATCH($S130,변환표준점수!$B$119:$B$198,0),0),OFFSET(EK$3,MATCH(AW130,$ED$4:$ED$8,0),0)),0)</f>
        <v>0</v>
      </c>
      <c r="EM130" s="3" t="str">
        <f t="shared" ca="1" si="245"/>
        <v/>
      </c>
      <c r="EN130" s="3" t="str">
        <f t="shared" ca="1" si="246"/>
        <v/>
      </c>
      <c r="EO130" s="3">
        <f t="shared" ca="1" si="247"/>
        <v>0</v>
      </c>
      <c r="EQ130" s="3">
        <f t="shared" ca="1" si="248"/>
        <v>0</v>
      </c>
      <c r="ER130" s="3">
        <f t="shared" ca="1" si="249"/>
        <v>0</v>
      </c>
      <c r="ES130" s="3">
        <f t="shared" ca="1" si="250"/>
        <v>0</v>
      </c>
      <c r="ET130" s="3">
        <f t="shared" ca="1" si="251"/>
        <v>0</v>
      </c>
      <c r="EU130" s="3">
        <f t="shared" si="252"/>
        <v>0</v>
      </c>
      <c r="EV130" s="3">
        <f t="shared" ca="1" si="253"/>
        <v>0</v>
      </c>
      <c r="EW130" s="3">
        <f t="shared" ca="1" si="254"/>
        <v>0</v>
      </c>
      <c r="EX130" s="3">
        <f ca="1">LARGE((ES130:ET130,EV130:EW130),1)</f>
        <v>0</v>
      </c>
      <c r="EY130" s="3">
        <f ca="1">IF(O130&lt;2,0,LARGE((ES130:ET130,EV130:EW130),2))</f>
        <v>0</v>
      </c>
      <c r="EZ130" s="3">
        <f t="shared" ca="1" si="255"/>
        <v>0</v>
      </c>
      <c r="FA130" s="3">
        <f t="shared" ca="1" si="256"/>
        <v>0</v>
      </c>
      <c r="FB130" s="3">
        <f t="shared" ca="1" si="257"/>
        <v>0</v>
      </c>
      <c r="FG130" s="3">
        <f t="shared" ca="1" si="258"/>
        <v>0</v>
      </c>
      <c r="FH130" s="618"/>
      <c r="FU130" s="3" t="str">
        <f t="shared" si="166"/>
        <v>표점/만점</v>
      </c>
      <c r="FV130" s="3" t="str">
        <f t="shared" si="167"/>
        <v>변표/만점</v>
      </c>
      <c r="FW130" s="3">
        <f t="shared" ca="1" si="259"/>
        <v>0.28000000000000003</v>
      </c>
      <c r="FX130" s="3">
        <f t="shared" ca="1" si="260"/>
        <v>0.39</v>
      </c>
      <c r="FY130" s="3">
        <f t="shared" ca="1" si="261"/>
        <v>0.33</v>
      </c>
      <c r="FZ130" s="3">
        <f t="shared" ca="1" si="262"/>
        <v>6.3735369430282294</v>
      </c>
    </row>
    <row r="131" spans="1:182">
      <c r="A131" s="556">
        <v>26</v>
      </c>
      <c r="C131" s="3">
        <f t="shared" si="216"/>
        <v>116</v>
      </c>
      <c r="D131" s="3">
        <v>116</v>
      </c>
      <c r="E131" s="3" t="s">
        <v>7310</v>
      </c>
      <c r="F131" s="3">
        <v>1000</v>
      </c>
      <c r="G131" s="3">
        <v>0.25</v>
      </c>
      <c r="H131" s="3">
        <v>0.35</v>
      </c>
      <c r="I131" s="3">
        <v>0.15</v>
      </c>
      <c r="J131" s="3">
        <v>0.15</v>
      </c>
      <c r="L131" s="3">
        <v>0.15</v>
      </c>
      <c r="M131" s="3">
        <v>0.15</v>
      </c>
      <c r="O131" s="3">
        <v>2</v>
      </c>
      <c r="P131" s="3">
        <f t="shared" si="217"/>
        <v>0.89999999999999991</v>
      </c>
      <c r="Q131" s="3">
        <v>38</v>
      </c>
      <c r="S131" s="3">
        <f t="shared" si="218"/>
        <v>38</v>
      </c>
      <c r="W131" s="3">
        <f t="shared" si="219"/>
        <v>0</v>
      </c>
      <c r="Y131" s="3">
        <f t="shared" si="220"/>
        <v>1.7985611510791366</v>
      </c>
      <c r="Z131" s="3">
        <f t="shared" si="221"/>
        <v>2.5</v>
      </c>
      <c r="AA131" s="3">
        <f t="shared" ca="1" si="222"/>
        <v>2.0749757919490937</v>
      </c>
      <c r="AB131" s="3">
        <f t="shared" ca="1" si="223"/>
        <v>2.0749757919490937</v>
      </c>
      <c r="AC131" s="3">
        <f t="shared" ca="1" si="224"/>
        <v>2.0749757919490937</v>
      </c>
      <c r="AD131" s="3">
        <f t="shared" si="225"/>
        <v>1.7985611510791366</v>
      </c>
      <c r="AE131" s="3">
        <f t="shared" si="226"/>
        <v>2.5</v>
      </c>
      <c r="AF131" s="3">
        <f t="shared" ca="1" si="227"/>
        <v>2.0749757919490937</v>
      </c>
      <c r="AG131" s="3">
        <f t="shared" ca="1" si="228"/>
        <v>2.0749757919490937</v>
      </c>
      <c r="AH131" s="3" t="str">
        <f t="shared" si="229"/>
        <v>자동</v>
      </c>
      <c r="AI131" s="3">
        <f t="shared" ca="1" si="230"/>
        <v>2.0749757919490937</v>
      </c>
      <c r="AJ131" s="3">
        <f t="shared" ca="1" si="231"/>
        <v>2.0749757919490937</v>
      </c>
      <c r="AL131" s="3" t="str">
        <f t="shared" si="232"/>
        <v/>
      </c>
      <c r="AN131" s="3">
        <f ca="1">IF($BA131=42,OFFSET(변환표준점수!C$119,$AP131-1,0),"")</f>
        <v>72.290000000000006</v>
      </c>
      <c r="AO131" s="3">
        <f ca="1">IF($BA131=42,OFFSET(변환표준점수!D$119,$AP131-1,0),"")</f>
        <v>72.290000000000006</v>
      </c>
      <c r="AP131" s="3">
        <f>IF(S131="","",MATCH(S131,변환표준점수!$B$119:$B$298,0))</f>
        <v>38</v>
      </c>
      <c r="AQ131" s="3">
        <v>12</v>
      </c>
      <c r="AR131" s="3">
        <v>12</v>
      </c>
      <c r="AS131" s="3">
        <v>42</v>
      </c>
      <c r="AT131" s="3">
        <v>42</v>
      </c>
      <c r="AV131" s="3">
        <v>42</v>
      </c>
      <c r="AW131" s="3">
        <v>42</v>
      </c>
      <c r="AX131" s="3">
        <v>3</v>
      </c>
      <c r="AY131" s="3">
        <v>3</v>
      </c>
      <c r="BA131" s="3">
        <f t="shared" si="233"/>
        <v>42</v>
      </c>
      <c r="BF131" s="3">
        <f t="shared" ca="1" si="264"/>
        <v>6.2249273758472806E-2</v>
      </c>
      <c r="BG131" s="3">
        <f t="shared" ca="1" si="264"/>
        <v>6.2249273758472806E-2</v>
      </c>
      <c r="BJ131" s="3">
        <f t="shared" si="234"/>
        <v>0</v>
      </c>
      <c r="BN131" s="212" t="s">
        <v>7269</v>
      </c>
      <c r="BS131" s="3">
        <f t="shared" ca="1" si="265"/>
        <v>0</v>
      </c>
      <c r="BT131" s="3">
        <f t="shared" ca="1" si="265"/>
        <v>0</v>
      </c>
      <c r="CH131" s="206">
        <f t="shared" si="263"/>
        <v>899.99999999999989</v>
      </c>
      <c r="CI131" s="56">
        <v>100</v>
      </c>
      <c r="CJ131" s="3">
        <v>98</v>
      </c>
      <c r="CK131" s="3">
        <v>96</v>
      </c>
      <c r="CL131" s="3">
        <v>90</v>
      </c>
      <c r="CM131" s="3">
        <v>80</v>
      </c>
      <c r="CN131" s="3">
        <v>60</v>
      </c>
      <c r="CO131" s="3">
        <v>40</v>
      </c>
      <c r="CP131" s="3">
        <v>20</v>
      </c>
      <c r="CQ131" s="3">
        <v>0</v>
      </c>
      <c r="CV131" s="3">
        <v>-1</v>
      </c>
      <c r="CW131" s="3">
        <v>-2</v>
      </c>
      <c r="CX131" s="3">
        <v>-3</v>
      </c>
      <c r="CY131" s="3">
        <v>-4</v>
      </c>
      <c r="CZ131" s="3">
        <v>-5</v>
      </c>
      <c r="DJ131" s="3">
        <f t="shared" ca="1" si="236"/>
        <v>100</v>
      </c>
      <c r="DK131" s="93">
        <f t="shared" ca="1" si="237"/>
        <v>100</v>
      </c>
      <c r="DL131" s="3">
        <f t="shared" ca="1" si="238"/>
        <v>0</v>
      </c>
      <c r="DO131" s="3">
        <v>2</v>
      </c>
      <c r="DZ131" s="3">
        <v>1</v>
      </c>
      <c r="EA131" s="3">
        <f t="shared" si="239"/>
        <v>1</v>
      </c>
      <c r="EB131" s="3">
        <f t="shared" si="240"/>
        <v>2</v>
      </c>
      <c r="EC131" s="3">
        <f t="shared" si="241"/>
        <v>0</v>
      </c>
      <c r="ED131" s="3">
        <f t="shared" si="242"/>
        <v>0</v>
      </c>
      <c r="EF131" s="3">
        <f t="shared" ca="1" si="243"/>
        <v>0</v>
      </c>
      <c r="EG131" s="3">
        <f t="shared" ca="1" si="244"/>
        <v>0</v>
      </c>
      <c r="EH131" s="3">
        <f ca="1">IFERROR(IF(LEFT($BA131,1)="4",OFFSET(변환표준점수!$H$118,MATCH($S131,변환표준점수!$B$119:$B$198,0),),OFFSET(EH$3,MATCH(AS131,$ED$4:$ED$8,0),0)),0)</f>
        <v>0</v>
      </c>
      <c r="EI131" s="3">
        <f ca="1">IFERROR(IF(LEFT($BA131,1)="4",OFFSET(변환표준점수!$I$118,MATCH($S131,변환표준점수!$B$119:$B$198,0),0),OFFSET(EI$3,MATCH(AT131,$ED$4:$ED$8,0),0)),0)</f>
        <v>0</v>
      </c>
      <c r="EK131" s="3">
        <f ca="1">IFERROR(IF(LEFT($BA131,1)="4",OFFSET(변환표준점수!$J$118,MATCH($S131,변환표준점수!$B$119:$B$198,0),0),OFFSET(EJ$3,MATCH(AV131,$ED$4:$ED$8,0),0)),0)</f>
        <v>0</v>
      </c>
      <c r="EL131" s="3">
        <f ca="1">IFERROR(IF(LEFT($BA131,1)="4",OFFSET(변환표준점수!$K$118,MATCH($S131,변환표준점수!$B$119:$B$198,0),0),OFFSET(EK$3,MATCH(AW131,$ED$4:$ED$8,0),0)),0)</f>
        <v>0</v>
      </c>
      <c r="EM131" s="3" t="str">
        <f t="shared" ca="1" si="245"/>
        <v/>
      </c>
      <c r="EN131" s="3" t="str">
        <f t="shared" ca="1" si="246"/>
        <v/>
      </c>
      <c r="EO131" s="3">
        <f t="shared" ca="1" si="247"/>
        <v>0</v>
      </c>
      <c r="EQ131" s="3">
        <f t="shared" ca="1" si="248"/>
        <v>0</v>
      </c>
      <c r="ER131" s="3">
        <f t="shared" ca="1" si="249"/>
        <v>0</v>
      </c>
      <c r="ES131" s="3">
        <f t="shared" ca="1" si="250"/>
        <v>0</v>
      </c>
      <c r="ET131" s="3">
        <f t="shared" ca="1" si="251"/>
        <v>0</v>
      </c>
      <c r="EU131" s="3">
        <f t="shared" si="252"/>
        <v>0</v>
      </c>
      <c r="EV131" s="3">
        <f t="shared" ca="1" si="253"/>
        <v>0</v>
      </c>
      <c r="EW131" s="3">
        <f t="shared" ca="1" si="254"/>
        <v>0</v>
      </c>
      <c r="EX131" s="3">
        <f ca="1">LARGE((ES131:ET131,EV131:EW131),1)</f>
        <v>0</v>
      </c>
      <c r="EY131" s="3">
        <f ca="1">IF(O131&lt;2,0,LARGE((ES131:ET131,EV131:EW131),2))</f>
        <v>0</v>
      </c>
      <c r="EZ131" s="3">
        <f t="shared" ca="1" si="255"/>
        <v>0</v>
      </c>
      <c r="FA131" s="3">
        <f t="shared" ca="1" si="256"/>
        <v>0</v>
      </c>
      <c r="FB131" s="3">
        <f t="shared" ca="1" si="257"/>
        <v>0</v>
      </c>
      <c r="FG131" s="3">
        <f t="shared" ca="1" si="258"/>
        <v>0</v>
      </c>
      <c r="FH131" s="618"/>
      <c r="FU131" s="3" t="str">
        <f t="shared" si="166"/>
        <v>표점/만점</v>
      </c>
      <c r="FV131" s="3" t="str">
        <f t="shared" si="167"/>
        <v>변표/만점</v>
      </c>
      <c r="FW131" s="3">
        <f t="shared" ca="1" si="259"/>
        <v>0.28000000000000003</v>
      </c>
      <c r="FX131" s="3">
        <f t="shared" ca="1" si="260"/>
        <v>0.39</v>
      </c>
      <c r="FY131" s="3">
        <f t="shared" ca="1" si="261"/>
        <v>0.33</v>
      </c>
      <c r="FZ131" s="3">
        <f t="shared" ca="1" si="262"/>
        <v>6.3735369430282294</v>
      </c>
    </row>
    <row r="132" spans="1:182">
      <c r="A132" s="556">
        <v>26</v>
      </c>
      <c r="C132" s="3">
        <f t="shared" si="216"/>
        <v>117</v>
      </c>
      <c r="D132" s="3">
        <v>117</v>
      </c>
      <c r="E132" s="3" t="s">
        <v>7311</v>
      </c>
      <c r="F132" s="3">
        <v>1000</v>
      </c>
      <c r="G132" s="3">
        <v>0.25</v>
      </c>
      <c r="H132" s="3">
        <v>0.4</v>
      </c>
      <c r="I132" s="3">
        <v>0.125</v>
      </c>
      <c r="J132" s="3">
        <v>0.125</v>
      </c>
      <c r="L132" s="3">
        <v>0.125</v>
      </c>
      <c r="M132" s="3">
        <v>0.125</v>
      </c>
      <c r="O132" s="3">
        <v>2</v>
      </c>
      <c r="P132" s="3">
        <f t="shared" si="217"/>
        <v>0.9</v>
      </c>
      <c r="Q132" s="3">
        <v>38</v>
      </c>
      <c r="S132" s="3">
        <f t="shared" si="218"/>
        <v>38</v>
      </c>
      <c r="W132" s="3">
        <f t="shared" si="219"/>
        <v>0</v>
      </c>
      <c r="Y132" s="3">
        <f t="shared" si="220"/>
        <v>1.7985611510791366</v>
      </c>
      <c r="Z132" s="3">
        <f t="shared" si="221"/>
        <v>2.8571428571428572</v>
      </c>
      <c r="AA132" s="3">
        <f t="shared" ca="1" si="222"/>
        <v>1.7291464932909115</v>
      </c>
      <c r="AB132" s="3">
        <f t="shared" ca="1" si="223"/>
        <v>1.7291464932909115</v>
      </c>
      <c r="AC132" s="3">
        <f t="shared" ca="1" si="224"/>
        <v>1.7291464932909115</v>
      </c>
      <c r="AD132" s="3">
        <f t="shared" si="225"/>
        <v>1.7985611510791366</v>
      </c>
      <c r="AE132" s="3">
        <f t="shared" si="226"/>
        <v>2.8571428571428572</v>
      </c>
      <c r="AF132" s="3">
        <f t="shared" ca="1" si="227"/>
        <v>1.7291464932909115</v>
      </c>
      <c r="AG132" s="3">
        <f t="shared" ca="1" si="228"/>
        <v>1.7291464932909115</v>
      </c>
      <c r="AH132" s="3" t="str">
        <f t="shared" si="229"/>
        <v>자동</v>
      </c>
      <c r="AI132" s="3">
        <f t="shared" ca="1" si="230"/>
        <v>1.7291464932909115</v>
      </c>
      <c r="AJ132" s="3">
        <f t="shared" ca="1" si="231"/>
        <v>1.7291464932909115</v>
      </c>
      <c r="AL132" s="3" t="str">
        <f t="shared" si="232"/>
        <v/>
      </c>
      <c r="AN132" s="3">
        <f ca="1">IF($BA132=42,OFFSET(변환표준점수!C$119,$AP132-1,0),"")</f>
        <v>72.290000000000006</v>
      </c>
      <c r="AO132" s="3">
        <f ca="1">IF($BA132=42,OFFSET(변환표준점수!D$119,$AP132-1,0),"")</f>
        <v>72.290000000000006</v>
      </c>
      <c r="AP132" s="3">
        <f>IF(S132="","",MATCH(S132,변환표준점수!$B$119:$B$298,0))</f>
        <v>38</v>
      </c>
      <c r="AQ132" s="3">
        <v>12</v>
      </c>
      <c r="AR132" s="3">
        <v>12</v>
      </c>
      <c r="AS132" s="3">
        <v>42</v>
      </c>
      <c r="AT132" s="3">
        <v>42</v>
      </c>
      <c r="AV132" s="3">
        <v>42</v>
      </c>
      <c r="AW132" s="3">
        <v>42</v>
      </c>
      <c r="AX132" s="3">
        <v>3</v>
      </c>
      <c r="AY132" s="3">
        <v>3</v>
      </c>
      <c r="BA132" s="3">
        <f t="shared" si="233"/>
        <v>42</v>
      </c>
      <c r="BF132" s="3">
        <f t="shared" ca="1" si="264"/>
        <v>5.1874394798727345E-2</v>
      </c>
      <c r="BG132" s="3">
        <f t="shared" ca="1" si="264"/>
        <v>5.1874394798727345E-2</v>
      </c>
      <c r="BJ132" s="3">
        <f t="shared" si="234"/>
        <v>0</v>
      </c>
      <c r="BN132" s="212" t="s">
        <v>7269</v>
      </c>
      <c r="BS132" s="3">
        <f t="shared" ca="1" si="265"/>
        <v>0</v>
      </c>
      <c r="BT132" s="3">
        <f t="shared" ca="1" si="265"/>
        <v>0</v>
      </c>
      <c r="CH132" s="206">
        <f t="shared" si="263"/>
        <v>900</v>
      </c>
      <c r="CI132" s="56">
        <v>100</v>
      </c>
      <c r="CJ132" s="3">
        <v>98</v>
      </c>
      <c r="CK132" s="3">
        <v>96</v>
      </c>
      <c r="CL132" s="3">
        <v>90</v>
      </c>
      <c r="CM132" s="3">
        <v>80</v>
      </c>
      <c r="CN132" s="3">
        <v>60</v>
      </c>
      <c r="CO132" s="3">
        <v>40</v>
      </c>
      <c r="CP132" s="3">
        <v>20</v>
      </c>
      <c r="CQ132" s="3">
        <v>0</v>
      </c>
      <c r="CV132" s="3">
        <v>-1</v>
      </c>
      <c r="CW132" s="3">
        <v>-2</v>
      </c>
      <c r="CX132" s="3">
        <v>-3</v>
      </c>
      <c r="CY132" s="3">
        <v>-4</v>
      </c>
      <c r="CZ132" s="3">
        <v>-5</v>
      </c>
      <c r="DJ132" s="3">
        <f t="shared" ca="1" si="236"/>
        <v>100</v>
      </c>
      <c r="DK132" s="93">
        <f t="shared" ca="1" si="237"/>
        <v>100</v>
      </c>
      <c r="DL132" s="3">
        <f t="shared" ca="1" si="238"/>
        <v>0</v>
      </c>
      <c r="DO132" s="3">
        <v>2</v>
      </c>
      <c r="DZ132" s="3">
        <v>1</v>
      </c>
      <c r="EA132" s="3">
        <f t="shared" si="239"/>
        <v>1</v>
      </c>
      <c r="EB132" s="3">
        <f t="shared" si="240"/>
        <v>2</v>
      </c>
      <c r="EC132" s="3">
        <f t="shared" si="241"/>
        <v>0</v>
      </c>
      <c r="ED132" s="3">
        <f t="shared" si="242"/>
        <v>0</v>
      </c>
      <c r="EF132" s="3">
        <f t="shared" ca="1" si="243"/>
        <v>0</v>
      </c>
      <c r="EG132" s="3">
        <f t="shared" ca="1" si="244"/>
        <v>0</v>
      </c>
      <c r="EH132" s="3">
        <f ca="1">IFERROR(IF(LEFT($BA132,1)="4",OFFSET(변환표준점수!$H$118,MATCH($S132,변환표준점수!$B$119:$B$198,0),),OFFSET(EH$3,MATCH(AS132,$ED$4:$ED$8,0),0)),0)</f>
        <v>0</v>
      </c>
      <c r="EI132" s="3">
        <f ca="1">IFERROR(IF(LEFT($BA132,1)="4",OFFSET(변환표준점수!$I$118,MATCH($S132,변환표준점수!$B$119:$B$198,0),0),OFFSET(EI$3,MATCH(AT132,$ED$4:$ED$8,0),0)),0)</f>
        <v>0</v>
      </c>
      <c r="EK132" s="3">
        <f ca="1">IFERROR(IF(LEFT($BA132,1)="4",OFFSET(변환표준점수!$J$118,MATCH($S132,변환표준점수!$B$119:$B$198,0),0),OFFSET(EJ$3,MATCH(AV132,$ED$4:$ED$8,0),0)),0)</f>
        <v>0</v>
      </c>
      <c r="EL132" s="3">
        <f ca="1">IFERROR(IF(LEFT($BA132,1)="4",OFFSET(변환표준점수!$K$118,MATCH($S132,변환표준점수!$B$119:$B$198,0),0),OFFSET(EK$3,MATCH(AW132,$ED$4:$ED$8,0),0)),0)</f>
        <v>0</v>
      </c>
      <c r="EM132" s="3" t="str">
        <f t="shared" ca="1" si="245"/>
        <v/>
      </c>
      <c r="EN132" s="3" t="str">
        <f t="shared" ca="1" si="246"/>
        <v/>
      </c>
      <c r="EO132" s="3">
        <f t="shared" ca="1" si="247"/>
        <v>0</v>
      </c>
      <c r="EQ132" s="3">
        <f t="shared" ca="1" si="248"/>
        <v>0</v>
      </c>
      <c r="ER132" s="3">
        <f t="shared" ca="1" si="249"/>
        <v>0</v>
      </c>
      <c r="ES132" s="3">
        <f t="shared" ca="1" si="250"/>
        <v>0</v>
      </c>
      <c r="ET132" s="3">
        <f t="shared" ca="1" si="251"/>
        <v>0</v>
      </c>
      <c r="EU132" s="3">
        <f t="shared" si="252"/>
        <v>0</v>
      </c>
      <c r="EV132" s="3">
        <f t="shared" ca="1" si="253"/>
        <v>0</v>
      </c>
      <c r="EW132" s="3">
        <f t="shared" ca="1" si="254"/>
        <v>0</v>
      </c>
      <c r="EX132" s="3">
        <f ca="1">LARGE((ES132:ET132,EV132:EW132),1)</f>
        <v>0</v>
      </c>
      <c r="EY132" s="3">
        <f ca="1">IF(O132&lt;2,0,LARGE((ES132:ET132,EV132:EW132),2))</f>
        <v>0</v>
      </c>
      <c r="EZ132" s="3">
        <f t="shared" ca="1" si="255"/>
        <v>0</v>
      </c>
      <c r="FA132" s="3">
        <f t="shared" ca="1" si="256"/>
        <v>0</v>
      </c>
      <c r="FB132" s="3">
        <f t="shared" ca="1" si="257"/>
        <v>0</v>
      </c>
      <c r="FF132" s="3">
        <f ca="1">IF($BB$7=1,MAX(EQ132+ER132+EU132+EX132+EY132+EZ132+FA132+FB132+FC132,FG131),EQ132+ER132+EU132+EX132+EY132+EZ132+FA132+FB132+FC132)</f>
        <v>0</v>
      </c>
      <c r="FG132" s="3">
        <f t="shared" ca="1" si="258"/>
        <v>0</v>
      </c>
      <c r="FH132" s="618" t="s">
        <v>7338</v>
      </c>
      <c r="FU132" s="3" t="str">
        <f t="shared" si="166"/>
        <v>표점/만점</v>
      </c>
      <c r="FV132" s="3" t="str">
        <f t="shared" si="167"/>
        <v>변표/만점</v>
      </c>
      <c r="FW132" s="3">
        <f t="shared" ca="1" si="259"/>
        <v>0.28000000000000003</v>
      </c>
      <c r="FX132" s="3">
        <f t="shared" ca="1" si="260"/>
        <v>0.45</v>
      </c>
      <c r="FY132" s="3">
        <f t="shared" ca="1" si="261"/>
        <v>0.27</v>
      </c>
      <c r="FZ132" s="3">
        <f t="shared" ca="1" si="262"/>
        <v>6.3848505015129051</v>
      </c>
    </row>
    <row r="133" spans="1:182">
      <c r="A133" s="556">
        <v>26</v>
      </c>
      <c r="C133" s="3">
        <f t="shared" si="216"/>
        <v>118</v>
      </c>
      <c r="D133" s="3">
        <v>118</v>
      </c>
      <c r="E133" s="3" t="s">
        <v>362</v>
      </c>
      <c r="F133" s="3">
        <v>1000</v>
      </c>
      <c r="G133" s="3">
        <v>0.35</v>
      </c>
      <c r="H133" s="3">
        <v>0.25</v>
      </c>
      <c r="I133" s="3">
        <v>0.125</v>
      </c>
      <c r="J133" s="3">
        <v>0.125</v>
      </c>
      <c r="L133" s="3">
        <v>0.125</v>
      </c>
      <c r="M133" s="3">
        <v>0.125</v>
      </c>
      <c r="O133" s="3">
        <v>2</v>
      </c>
      <c r="P133" s="3">
        <f t="shared" si="217"/>
        <v>0.85</v>
      </c>
      <c r="Q133" s="3">
        <v>38</v>
      </c>
      <c r="S133" s="3">
        <f t="shared" si="218"/>
        <v>38</v>
      </c>
      <c r="W133" s="3">
        <f t="shared" si="219"/>
        <v>0</v>
      </c>
      <c r="Y133" s="3">
        <f t="shared" si="220"/>
        <v>2.5179856115107913</v>
      </c>
      <c r="Z133" s="3">
        <f t="shared" si="221"/>
        <v>1.7857142857142858</v>
      </c>
      <c r="AA133" s="3">
        <f t="shared" ca="1" si="222"/>
        <v>1.7291464932909115</v>
      </c>
      <c r="AB133" s="3">
        <f t="shared" ca="1" si="223"/>
        <v>1.7291464932909115</v>
      </c>
      <c r="AC133" s="3">
        <f t="shared" ca="1" si="224"/>
        <v>1.7291464932909115</v>
      </c>
      <c r="AD133" s="3">
        <f t="shared" si="225"/>
        <v>2.5179856115107913</v>
      </c>
      <c r="AE133" s="3">
        <f t="shared" si="226"/>
        <v>1.7857142857142858</v>
      </c>
      <c r="AF133" s="3">
        <f t="shared" ca="1" si="227"/>
        <v>1.7291464932909115</v>
      </c>
      <c r="AG133" s="3">
        <f t="shared" ca="1" si="228"/>
        <v>1.7291464932909115</v>
      </c>
      <c r="AH133" s="3" t="str">
        <f t="shared" si="229"/>
        <v>자동</v>
      </c>
      <c r="AI133" s="3">
        <f t="shared" ca="1" si="230"/>
        <v>1.7291464932909115</v>
      </c>
      <c r="AJ133" s="3">
        <f t="shared" ca="1" si="231"/>
        <v>1.7291464932909115</v>
      </c>
      <c r="AL133" s="3" t="str">
        <f t="shared" si="232"/>
        <v/>
      </c>
      <c r="AN133" s="3">
        <f ca="1">IF($BA133=42,OFFSET(변환표준점수!C$119,$AP133-1,0),"")</f>
        <v>72.290000000000006</v>
      </c>
      <c r="AO133" s="3">
        <f ca="1">IF($BA133=42,OFFSET(변환표준점수!D$119,$AP133-1,0),"")</f>
        <v>72.290000000000006</v>
      </c>
      <c r="AP133" s="3">
        <f>IF(S133="","",MATCH(S133,변환표준점수!$B$119:$B$298,0))</f>
        <v>38</v>
      </c>
      <c r="AQ133" s="3">
        <v>12</v>
      </c>
      <c r="AR133" s="3">
        <v>12</v>
      </c>
      <c r="AS133" s="3">
        <v>42</v>
      </c>
      <c r="AT133" s="3">
        <v>42</v>
      </c>
      <c r="AV133" s="3">
        <v>42</v>
      </c>
      <c r="AW133" s="3">
        <v>42</v>
      </c>
      <c r="AX133" s="3">
        <v>3</v>
      </c>
      <c r="AY133" s="3">
        <v>3</v>
      </c>
      <c r="BA133" s="3">
        <f t="shared" si="233"/>
        <v>42</v>
      </c>
      <c r="BJ133" s="3">
        <f t="shared" si="234"/>
        <v>0</v>
      </c>
      <c r="BL133" s="3">
        <f t="shared" ref="BL133:BM135" ca="1" si="266">0.03*AI133</f>
        <v>5.1874394798727345E-2</v>
      </c>
      <c r="BM133" s="3">
        <f t="shared" ca="1" si="266"/>
        <v>5.1874394798727345E-2</v>
      </c>
      <c r="BN133" s="212" t="s">
        <v>7270</v>
      </c>
      <c r="BV133" s="3">
        <f t="shared" ref="BV133:BW135" ca="1" si="267">BL133*EK133</f>
        <v>0</v>
      </c>
      <c r="BW133" s="3">
        <f t="shared" ca="1" si="267"/>
        <v>0</v>
      </c>
      <c r="CH133" s="206">
        <f t="shared" si="263"/>
        <v>850</v>
      </c>
      <c r="CI133" s="56">
        <v>150</v>
      </c>
      <c r="CJ133" s="3">
        <v>148</v>
      </c>
      <c r="CK133" s="3">
        <v>145</v>
      </c>
      <c r="CL133" s="3">
        <v>135</v>
      </c>
      <c r="CM133" s="3">
        <v>120</v>
      </c>
      <c r="CN133" s="3">
        <v>100</v>
      </c>
      <c r="CO133" s="3">
        <v>80</v>
      </c>
      <c r="CP133" s="3">
        <v>40</v>
      </c>
      <c r="CQ133" s="3">
        <v>0</v>
      </c>
      <c r="CV133" s="3">
        <v>-1</v>
      </c>
      <c r="CW133" s="3">
        <v>-2</v>
      </c>
      <c r="CX133" s="3">
        <v>-3</v>
      </c>
      <c r="CY133" s="3">
        <v>-4</v>
      </c>
      <c r="CZ133" s="3">
        <v>-5</v>
      </c>
      <c r="DJ133" s="3">
        <f t="shared" ca="1" si="236"/>
        <v>150</v>
      </c>
      <c r="DK133" s="93">
        <f t="shared" ca="1" si="237"/>
        <v>100</v>
      </c>
      <c r="DL133" s="3">
        <f t="shared" ca="1" si="238"/>
        <v>0</v>
      </c>
      <c r="DO133" s="3">
        <v>2</v>
      </c>
      <c r="EA133" s="3">
        <f t="shared" si="239"/>
        <v>2</v>
      </c>
      <c r="EB133" s="3">
        <f t="shared" si="240"/>
        <v>2</v>
      </c>
      <c r="EC133" s="3">
        <f t="shared" si="241"/>
        <v>0</v>
      </c>
      <c r="ED133" s="3">
        <f t="shared" si="242"/>
        <v>0</v>
      </c>
      <c r="EF133" s="3">
        <f t="shared" ca="1" si="243"/>
        <v>0</v>
      </c>
      <c r="EG133" s="3">
        <f t="shared" ca="1" si="244"/>
        <v>0</v>
      </c>
      <c r="EH133" s="3">
        <f ca="1">IFERROR(IF(LEFT($BA133,1)="4",OFFSET(변환표준점수!$H$118,MATCH($S133,변환표준점수!$B$119:$B$198,0),),OFFSET(EH$3,MATCH(AS133,$ED$4:$ED$8,0),0)),0)</f>
        <v>0</v>
      </c>
      <c r="EI133" s="3">
        <f ca="1">IFERROR(IF(LEFT($BA133,1)="4",OFFSET(변환표준점수!$I$118,MATCH($S133,변환표준점수!$B$119:$B$198,0),0),OFFSET(EI$3,MATCH(AT133,$ED$4:$ED$8,0),0)),0)</f>
        <v>0</v>
      </c>
      <c r="EK133" s="3">
        <f ca="1">IFERROR(IF(LEFT($BA133,1)="4",OFFSET(변환표준점수!$J$118,MATCH($S133,변환표준점수!$B$119:$B$198,0),0),OFFSET(EJ$3,MATCH(AV133,$ED$4:$ED$8,0),0)),0)</f>
        <v>0</v>
      </c>
      <c r="EL133" s="3">
        <f ca="1">IFERROR(IF(LEFT($BA133,1)="4",OFFSET(변환표준점수!$K$118,MATCH($S133,변환표준점수!$B$119:$B$198,0),0),OFFSET(EK$3,MATCH(AW133,$ED$4:$ED$8,0),0)),0)</f>
        <v>0</v>
      </c>
      <c r="EM133" s="3" t="str">
        <f t="shared" ca="1" si="245"/>
        <v/>
      </c>
      <c r="EN133" s="3" t="str">
        <f t="shared" ca="1" si="246"/>
        <v/>
      </c>
      <c r="EO133" s="3">
        <f t="shared" ca="1" si="247"/>
        <v>0</v>
      </c>
      <c r="EQ133" s="3">
        <f t="shared" ca="1" si="248"/>
        <v>0</v>
      </c>
      <c r="ER133" s="3">
        <f t="shared" ca="1" si="249"/>
        <v>0</v>
      </c>
      <c r="ES133" s="3">
        <f t="shared" ca="1" si="250"/>
        <v>0</v>
      </c>
      <c r="ET133" s="3">
        <f t="shared" ca="1" si="251"/>
        <v>0</v>
      </c>
      <c r="EU133" s="3">
        <f t="shared" si="252"/>
        <v>0</v>
      </c>
      <c r="EV133" s="3">
        <f t="shared" ca="1" si="253"/>
        <v>0</v>
      </c>
      <c r="EW133" s="3">
        <f t="shared" ca="1" si="254"/>
        <v>0</v>
      </c>
      <c r="EX133" s="3">
        <f ca="1">LARGE((ES133:ET133,EV133:EW133),1)</f>
        <v>0</v>
      </c>
      <c r="EY133" s="3">
        <f ca="1">IF(O133&lt;2,0,LARGE((ES133:ET133,EV133:EW133),2))</f>
        <v>0</v>
      </c>
      <c r="EZ133" s="3">
        <f t="shared" ca="1" si="255"/>
        <v>0</v>
      </c>
      <c r="FA133" s="3">
        <f t="shared" ca="1" si="256"/>
        <v>0</v>
      </c>
      <c r="FB133" s="3">
        <f t="shared" ca="1" si="257"/>
        <v>0</v>
      </c>
      <c r="FG133" s="3">
        <f t="shared" ca="1" si="258"/>
        <v>0</v>
      </c>
      <c r="FH133" s="618"/>
      <c r="FU133" s="3" t="str">
        <f t="shared" si="166"/>
        <v>표점/만점</v>
      </c>
      <c r="FV133" s="3" t="str">
        <f t="shared" si="167"/>
        <v>변표/만점</v>
      </c>
      <c r="FW133" s="3">
        <f t="shared" ca="1" si="259"/>
        <v>0.42</v>
      </c>
      <c r="FX133" s="3">
        <f t="shared" ca="1" si="260"/>
        <v>0.3</v>
      </c>
      <c r="FY133" s="3">
        <f t="shared" ca="1" si="261"/>
        <v>0.28999999999999998</v>
      </c>
      <c r="FZ133" s="3">
        <f t="shared" ca="1" si="262"/>
        <v>6.0328463905159886</v>
      </c>
    </row>
    <row r="134" spans="1:182">
      <c r="A134" s="556">
        <v>26</v>
      </c>
      <c r="C134" s="3">
        <f t="shared" si="216"/>
        <v>119</v>
      </c>
      <c r="D134" s="3">
        <v>119</v>
      </c>
      <c r="E134" s="3" t="s">
        <v>7312</v>
      </c>
      <c r="F134" s="3">
        <v>1000</v>
      </c>
      <c r="G134" s="3">
        <v>0.35</v>
      </c>
      <c r="H134" s="3">
        <v>0.3</v>
      </c>
      <c r="I134" s="3">
        <v>0.125</v>
      </c>
      <c r="J134" s="3">
        <v>0.125</v>
      </c>
      <c r="L134" s="3">
        <v>0.125</v>
      </c>
      <c r="M134" s="3">
        <v>0.125</v>
      </c>
      <c r="O134" s="3">
        <v>2</v>
      </c>
      <c r="P134" s="3">
        <f t="shared" si="217"/>
        <v>0.89999999999999991</v>
      </c>
      <c r="Q134" s="3">
        <v>38</v>
      </c>
      <c r="S134" s="3">
        <f t="shared" si="218"/>
        <v>38</v>
      </c>
      <c r="W134" s="3">
        <f t="shared" si="219"/>
        <v>0</v>
      </c>
      <c r="Y134" s="3">
        <f t="shared" si="220"/>
        <v>2.5179856115107913</v>
      </c>
      <c r="Z134" s="3">
        <f t="shared" si="221"/>
        <v>2.1428571428571428</v>
      </c>
      <c r="AA134" s="3">
        <f t="shared" ca="1" si="222"/>
        <v>1.7291464932909115</v>
      </c>
      <c r="AB134" s="3">
        <f t="shared" ca="1" si="223"/>
        <v>1.7291464932909115</v>
      </c>
      <c r="AC134" s="3">
        <f t="shared" ca="1" si="224"/>
        <v>1.7291464932909115</v>
      </c>
      <c r="AD134" s="3">
        <f t="shared" si="225"/>
        <v>2.5179856115107913</v>
      </c>
      <c r="AE134" s="3">
        <f t="shared" si="226"/>
        <v>2.1428571428571428</v>
      </c>
      <c r="AF134" s="3">
        <f t="shared" ca="1" si="227"/>
        <v>1.7291464932909115</v>
      </c>
      <c r="AG134" s="3">
        <f t="shared" ca="1" si="228"/>
        <v>1.7291464932909115</v>
      </c>
      <c r="AH134" s="3" t="str">
        <f t="shared" si="229"/>
        <v>자동</v>
      </c>
      <c r="AI134" s="3">
        <f t="shared" ca="1" si="230"/>
        <v>1.7291464932909115</v>
      </c>
      <c r="AJ134" s="3">
        <f t="shared" ca="1" si="231"/>
        <v>1.7291464932909115</v>
      </c>
      <c r="AL134" s="3" t="str">
        <f t="shared" si="232"/>
        <v/>
      </c>
      <c r="AN134" s="3">
        <f ca="1">IF($BA134=42,OFFSET(변환표준점수!C$119,$AP134-1,0),"")</f>
        <v>72.290000000000006</v>
      </c>
      <c r="AO134" s="3">
        <f ca="1">IF($BA134=42,OFFSET(변환표준점수!D$119,$AP134-1,0),"")</f>
        <v>72.290000000000006</v>
      </c>
      <c r="AP134" s="3">
        <f>IF(S134="","",MATCH(S134,변환표준점수!$B$119:$B$298,0))</f>
        <v>38</v>
      </c>
      <c r="AQ134" s="3">
        <v>12</v>
      </c>
      <c r="AR134" s="3">
        <v>12</v>
      </c>
      <c r="AS134" s="3">
        <v>42</v>
      </c>
      <c r="AT134" s="3">
        <v>42</v>
      </c>
      <c r="AV134" s="3">
        <v>42</v>
      </c>
      <c r="AW134" s="3">
        <v>42</v>
      </c>
      <c r="AX134" s="3">
        <v>3</v>
      </c>
      <c r="AY134" s="3">
        <v>3</v>
      </c>
      <c r="BA134" s="3">
        <f t="shared" si="233"/>
        <v>42</v>
      </c>
      <c r="BJ134" s="3">
        <f t="shared" si="234"/>
        <v>0</v>
      </c>
      <c r="BL134" s="3">
        <f t="shared" ca="1" si="266"/>
        <v>5.1874394798727345E-2</v>
      </c>
      <c r="BM134" s="3">
        <f t="shared" ca="1" si="266"/>
        <v>5.1874394798727345E-2</v>
      </c>
      <c r="BN134" s="212" t="s">
        <v>7270</v>
      </c>
      <c r="BV134" s="3">
        <f t="shared" ca="1" si="267"/>
        <v>0</v>
      </c>
      <c r="BW134" s="3">
        <f t="shared" ca="1" si="267"/>
        <v>0</v>
      </c>
      <c r="CH134" s="206">
        <f t="shared" si="263"/>
        <v>899.99999999999989</v>
      </c>
      <c r="CI134" s="56">
        <v>100</v>
      </c>
      <c r="CJ134" s="3">
        <v>98</v>
      </c>
      <c r="CK134" s="3">
        <v>96</v>
      </c>
      <c r="CL134" s="3">
        <v>90</v>
      </c>
      <c r="CM134" s="3">
        <v>80</v>
      </c>
      <c r="CN134" s="3">
        <v>60</v>
      </c>
      <c r="CO134" s="3">
        <v>40</v>
      </c>
      <c r="CP134" s="3">
        <v>20</v>
      </c>
      <c r="CQ134" s="3">
        <v>0</v>
      </c>
      <c r="CV134" s="3">
        <v>-1</v>
      </c>
      <c r="CW134" s="3">
        <v>-2</v>
      </c>
      <c r="CX134" s="3">
        <v>-3</v>
      </c>
      <c r="CY134" s="3">
        <v>-4</v>
      </c>
      <c r="CZ134" s="3">
        <v>-5</v>
      </c>
      <c r="DJ134" s="3">
        <f t="shared" ca="1" si="236"/>
        <v>100</v>
      </c>
      <c r="DK134" s="93">
        <f t="shared" ca="1" si="237"/>
        <v>100</v>
      </c>
      <c r="DL134" s="3">
        <f t="shared" ca="1" si="238"/>
        <v>0</v>
      </c>
      <c r="DO134" s="3">
        <v>2</v>
      </c>
      <c r="EA134" s="3">
        <f t="shared" si="239"/>
        <v>2</v>
      </c>
      <c r="EB134" s="3">
        <f t="shared" si="240"/>
        <v>2</v>
      </c>
      <c r="EC134" s="3">
        <f t="shared" si="241"/>
        <v>0</v>
      </c>
      <c r="ED134" s="3">
        <f t="shared" si="242"/>
        <v>0</v>
      </c>
      <c r="EF134" s="3">
        <f t="shared" ca="1" si="243"/>
        <v>0</v>
      </c>
      <c r="EG134" s="3">
        <f t="shared" ca="1" si="244"/>
        <v>0</v>
      </c>
      <c r="EH134" s="3">
        <f ca="1">IFERROR(IF(LEFT($BA134,1)="4",OFFSET(변환표준점수!$H$118,MATCH($S134,변환표준점수!$B$119:$B$198,0),),OFFSET(EH$3,MATCH(AS134,$ED$4:$ED$8,0),0)),0)</f>
        <v>0</v>
      </c>
      <c r="EI134" s="3">
        <f ca="1">IFERROR(IF(LEFT($BA134,1)="4",OFFSET(변환표준점수!$I$118,MATCH($S134,변환표준점수!$B$119:$B$198,0),0),OFFSET(EI$3,MATCH(AT134,$ED$4:$ED$8,0),0)),0)</f>
        <v>0</v>
      </c>
      <c r="EK134" s="3">
        <f ca="1">IFERROR(IF(LEFT($BA134,1)="4",OFFSET(변환표준점수!$J$118,MATCH($S134,변환표준점수!$B$119:$B$198,0),0),OFFSET(EJ$3,MATCH(AV134,$ED$4:$ED$8,0),0)),0)</f>
        <v>0</v>
      </c>
      <c r="EL134" s="3">
        <f ca="1">IFERROR(IF(LEFT($BA134,1)="4",OFFSET(변환표준점수!$K$118,MATCH($S134,변환표준점수!$B$119:$B$198,0),0),OFFSET(EK$3,MATCH(AW134,$ED$4:$ED$8,0),0)),0)</f>
        <v>0</v>
      </c>
      <c r="EM134" s="3" t="str">
        <f t="shared" ca="1" si="245"/>
        <v/>
      </c>
      <c r="EN134" s="3" t="str">
        <f t="shared" ca="1" si="246"/>
        <v/>
      </c>
      <c r="EO134" s="3">
        <f t="shared" ca="1" si="247"/>
        <v>0</v>
      </c>
      <c r="EQ134" s="3">
        <f t="shared" ca="1" si="248"/>
        <v>0</v>
      </c>
      <c r="ER134" s="3">
        <f t="shared" ca="1" si="249"/>
        <v>0</v>
      </c>
      <c r="ES134" s="3">
        <f t="shared" ca="1" si="250"/>
        <v>0</v>
      </c>
      <c r="ET134" s="3">
        <f t="shared" ca="1" si="251"/>
        <v>0</v>
      </c>
      <c r="EU134" s="3">
        <f t="shared" si="252"/>
        <v>0</v>
      </c>
      <c r="EV134" s="3">
        <f t="shared" ca="1" si="253"/>
        <v>0</v>
      </c>
      <c r="EW134" s="3">
        <f t="shared" ca="1" si="254"/>
        <v>0</v>
      </c>
      <c r="EX134" s="3">
        <f ca="1">LARGE((ES134:ET134,EV134:EW134),1)</f>
        <v>0</v>
      </c>
      <c r="EY134" s="3">
        <f ca="1">IF(O134&lt;2,0,LARGE((ES134:ET134,EV134:EW134),2))</f>
        <v>0</v>
      </c>
      <c r="EZ134" s="3">
        <f t="shared" ca="1" si="255"/>
        <v>0</v>
      </c>
      <c r="FA134" s="3">
        <f t="shared" ca="1" si="256"/>
        <v>0</v>
      </c>
      <c r="FB134" s="3">
        <f t="shared" ca="1" si="257"/>
        <v>0</v>
      </c>
      <c r="FF134" s="3">
        <f ca="1">IF($BB$7=1,MAX(EQ134+ER134+EU134+EX134+EY134+EZ134+FA134+FB134+FC134,FG135),FG135)</f>
        <v>0</v>
      </c>
      <c r="FG134" s="3">
        <f t="shared" ca="1" si="258"/>
        <v>0</v>
      </c>
      <c r="FH134" s="618" t="s">
        <v>7339</v>
      </c>
      <c r="FU134" s="3" t="str">
        <f t="shared" si="166"/>
        <v>표점/만점</v>
      </c>
      <c r="FV134" s="3" t="str">
        <f t="shared" si="167"/>
        <v>변표/만점</v>
      </c>
      <c r="FW134" s="3">
        <f t="shared" ca="1" si="259"/>
        <v>0.39</v>
      </c>
      <c r="FX134" s="3">
        <f t="shared" ca="1" si="260"/>
        <v>0.34</v>
      </c>
      <c r="FY134" s="3">
        <f t="shared" ca="1" si="261"/>
        <v>0.27</v>
      </c>
      <c r="FZ134" s="3">
        <f t="shared" ca="1" si="262"/>
        <v>6.3899892476588454</v>
      </c>
    </row>
    <row r="135" spans="1:182">
      <c r="A135" s="556">
        <v>26</v>
      </c>
      <c r="C135" s="3">
        <f t="shared" si="216"/>
        <v>120</v>
      </c>
      <c r="D135" s="3">
        <v>120</v>
      </c>
      <c r="E135" s="3" t="s">
        <v>7313</v>
      </c>
      <c r="F135" s="3">
        <v>1000</v>
      </c>
      <c r="G135" s="3">
        <v>0.3</v>
      </c>
      <c r="H135" s="3">
        <v>0.3</v>
      </c>
      <c r="I135" s="3">
        <v>0.15</v>
      </c>
      <c r="J135" s="3">
        <v>0.15</v>
      </c>
      <c r="L135" s="3">
        <v>0.15</v>
      </c>
      <c r="M135" s="3">
        <v>0.15</v>
      </c>
      <c r="O135" s="3">
        <v>2</v>
      </c>
      <c r="P135" s="3">
        <f t="shared" si="217"/>
        <v>0.89999999999999991</v>
      </c>
      <c r="Q135" s="3">
        <v>38</v>
      </c>
      <c r="S135" s="3">
        <f t="shared" si="218"/>
        <v>38</v>
      </c>
      <c r="W135" s="3">
        <f t="shared" si="219"/>
        <v>0</v>
      </c>
      <c r="Y135" s="3">
        <f t="shared" si="220"/>
        <v>2.1582733812949639</v>
      </c>
      <c r="Z135" s="3">
        <f t="shared" si="221"/>
        <v>2.1428571428571428</v>
      </c>
      <c r="AA135" s="3">
        <f t="shared" ca="1" si="222"/>
        <v>2.0749757919490937</v>
      </c>
      <c r="AB135" s="3">
        <f t="shared" ca="1" si="223"/>
        <v>2.0749757919490937</v>
      </c>
      <c r="AC135" s="3">
        <f t="shared" ca="1" si="224"/>
        <v>2.0749757919490937</v>
      </c>
      <c r="AD135" s="3">
        <f t="shared" si="225"/>
        <v>2.1582733812949639</v>
      </c>
      <c r="AE135" s="3">
        <f t="shared" si="226"/>
        <v>2.1428571428571428</v>
      </c>
      <c r="AF135" s="3">
        <f t="shared" ca="1" si="227"/>
        <v>2.0749757919490937</v>
      </c>
      <c r="AG135" s="3">
        <f t="shared" ca="1" si="228"/>
        <v>2.0749757919490937</v>
      </c>
      <c r="AH135" s="3" t="str">
        <f t="shared" si="229"/>
        <v>자동</v>
      </c>
      <c r="AI135" s="3">
        <f t="shared" ca="1" si="230"/>
        <v>2.0749757919490937</v>
      </c>
      <c r="AJ135" s="3">
        <f t="shared" ca="1" si="231"/>
        <v>2.0749757919490937</v>
      </c>
      <c r="AL135" s="3" t="str">
        <f t="shared" si="232"/>
        <v/>
      </c>
      <c r="AN135" s="3">
        <f ca="1">IF($BA135=42,OFFSET(변환표준점수!C$119,$AP135-1,0),"")</f>
        <v>72.290000000000006</v>
      </c>
      <c r="AO135" s="3">
        <f ca="1">IF($BA135=42,OFFSET(변환표준점수!D$119,$AP135-1,0),"")</f>
        <v>72.290000000000006</v>
      </c>
      <c r="AP135" s="3">
        <f>IF(S135="","",MATCH(S135,변환표준점수!$B$119:$B$298,0))</f>
        <v>38</v>
      </c>
      <c r="AQ135" s="3">
        <v>12</v>
      </c>
      <c r="AR135" s="3">
        <v>12</v>
      </c>
      <c r="AS135" s="3">
        <v>42</v>
      </c>
      <c r="AT135" s="3">
        <v>42</v>
      </c>
      <c r="AV135" s="3">
        <v>42</v>
      </c>
      <c r="AW135" s="3">
        <v>42</v>
      </c>
      <c r="AX135" s="3">
        <v>3</v>
      </c>
      <c r="AY135" s="3">
        <v>3</v>
      </c>
      <c r="BA135" s="3">
        <f t="shared" si="233"/>
        <v>42</v>
      </c>
      <c r="BJ135" s="3">
        <f t="shared" si="234"/>
        <v>0</v>
      </c>
      <c r="BL135" s="3">
        <f t="shared" ca="1" si="266"/>
        <v>6.2249273758472806E-2</v>
      </c>
      <c r="BM135" s="3">
        <f t="shared" ca="1" si="266"/>
        <v>6.2249273758472806E-2</v>
      </c>
      <c r="BN135" s="212" t="s">
        <v>7270</v>
      </c>
      <c r="BV135" s="3">
        <f t="shared" ca="1" si="267"/>
        <v>0</v>
      </c>
      <c r="BW135" s="3">
        <f t="shared" ca="1" si="267"/>
        <v>0</v>
      </c>
      <c r="CH135" s="206">
        <f t="shared" si="263"/>
        <v>899.99999999999989</v>
      </c>
      <c r="CI135" s="56">
        <v>100</v>
      </c>
      <c r="CJ135" s="3">
        <v>98</v>
      </c>
      <c r="CK135" s="3">
        <v>96</v>
      </c>
      <c r="CL135" s="3">
        <v>90</v>
      </c>
      <c r="CM135" s="3">
        <v>80</v>
      </c>
      <c r="CN135" s="3">
        <v>60</v>
      </c>
      <c r="CO135" s="3">
        <v>40</v>
      </c>
      <c r="CP135" s="3">
        <v>20</v>
      </c>
      <c r="CQ135" s="3">
        <v>0</v>
      </c>
      <c r="CV135" s="3">
        <v>-1</v>
      </c>
      <c r="CW135" s="3">
        <v>-2</v>
      </c>
      <c r="CX135" s="3">
        <v>-3</v>
      </c>
      <c r="CY135" s="3">
        <v>-4</v>
      </c>
      <c r="CZ135" s="3">
        <v>-5</v>
      </c>
      <c r="DJ135" s="3">
        <f t="shared" ca="1" si="236"/>
        <v>100</v>
      </c>
      <c r="DK135" s="3">
        <f t="shared" ca="1" si="237"/>
        <v>100</v>
      </c>
      <c r="DL135" s="3">
        <f t="shared" ca="1" si="238"/>
        <v>0</v>
      </c>
      <c r="DO135" s="3">
        <v>2</v>
      </c>
      <c r="EA135" s="3">
        <f t="shared" si="239"/>
        <v>2</v>
      </c>
      <c r="EB135" s="3">
        <f t="shared" si="240"/>
        <v>2</v>
      </c>
      <c r="EC135" s="3">
        <f t="shared" si="241"/>
        <v>0</v>
      </c>
      <c r="ED135" s="3">
        <f t="shared" si="242"/>
        <v>0</v>
      </c>
      <c r="EF135" s="3">
        <f t="shared" ca="1" si="243"/>
        <v>0</v>
      </c>
      <c r="EG135" s="3">
        <f t="shared" ca="1" si="244"/>
        <v>0</v>
      </c>
      <c r="EH135" s="3">
        <f ca="1">IFERROR(IF(LEFT($BA135,1)="4",OFFSET(변환표준점수!$H$118,MATCH($S135,변환표준점수!$B$119:$B$198,0),),OFFSET(EH$3,MATCH(AS135,$ED$4:$ED$8,0),0)),0)</f>
        <v>0</v>
      </c>
      <c r="EI135" s="3">
        <f ca="1">IFERROR(IF(LEFT($BA135,1)="4",OFFSET(변환표준점수!$I$118,MATCH($S135,변환표준점수!$B$119:$B$198,0),0),OFFSET(EI$3,MATCH(AT135,$ED$4:$ED$8,0),0)),0)</f>
        <v>0</v>
      </c>
      <c r="EK135" s="3">
        <f ca="1">IFERROR(IF(LEFT($BA135,1)="4",OFFSET(변환표준점수!$J$118,MATCH($S135,변환표준점수!$B$119:$B$198,0),0),OFFSET(EJ$3,MATCH(AV135,$ED$4:$ED$8,0),0)),0)</f>
        <v>0</v>
      </c>
      <c r="EL135" s="3">
        <f ca="1">IFERROR(IF(LEFT($BA135,1)="4",OFFSET(변환표준점수!$K$118,MATCH($S135,변환표준점수!$B$119:$B$198,0),0),OFFSET(EK$3,MATCH(AW135,$ED$4:$ED$8,0),0)),0)</f>
        <v>0</v>
      </c>
      <c r="EM135" s="3" t="str">
        <f t="shared" ca="1" si="245"/>
        <v/>
      </c>
      <c r="EN135" s="3" t="str">
        <f t="shared" ca="1" si="246"/>
        <v/>
      </c>
      <c r="EO135" s="3">
        <f t="shared" ca="1" si="247"/>
        <v>0</v>
      </c>
      <c r="EQ135" s="3">
        <f t="shared" ca="1" si="248"/>
        <v>0</v>
      </c>
      <c r="ER135" s="3">
        <f t="shared" ca="1" si="249"/>
        <v>0</v>
      </c>
      <c r="ES135" s="3">
        <f t="shared" ca="1" si="250"/>
        <v>0</v>
      </c>
      <c r="ET135" s="3">
        <f t="shared" ca="1" si="251"/>
        <v>0</v>
      </c>
      <c r="EU135" s="3">
        <f t="shared" si="252"/>
        <v>0</v>
      </c>
      <c r="EV135" s="3">
        <f t="shared" ca="1" si="253"/>
        <v>0</v>
      </c>
      <c r="EW135" s="3">
        <f t="shared" ca="1" si="254"/>
        <v>0</v>
      </c>
      <c r="EX135" s="3">
        <f ca="1">LARGE((ES135:ET135,EV135:EW135),1)</f>
        <v>0</v>
      </c>
      <c r="EY135" s="3">
        <f ca="1">IF(O135&lt;2,0,LARGE((ES135:ET135,EV135:EW135),2))</f>
        <v>0</v>
      </c>
      <c r="EZ135" s="3">
        <f t="shared" ca="1" si="255"/>
        <v>0</v>
      </c>
      <c r="FA135" s="3">
        <f t="shared" ca="1" si="256"/>
        <v>0</v>
      </c>
      <c r="FB135" s="3">
        <f t="shared" ca="1" si="257"/>
        <v>0</v>
      </c>
      <c r="FG135" s="3">
        <f t="shared" ca="1" si="258"/>
        <v>0</v>
      </c>
      <c r="FH135" s="618"/>
      <c r="FU135" s="3" t="str">
        <f t="shared" si="166"/>
        <v>표점/만점</v>
      </c>
      <c r="FV135" s="3" t="str">
        <f t="shared" si="167"/>
        <v>변표/만점</v>
      </c>
      <c r="FW135" s="3">
        <f t="shared" ca="1" si="259"/>
        <v>0.34</v>
      </c>
      <c r="FX135" s="3">
        <f t="shared" ca="1" si="260"/>
        <v>0.34</v>
      </c>
      <c r="FY135" s="3">
        <f t="shared" ca="1" si="261"/>
        <v>0.33</v>
      </c>
      <c r="FZ135" s="3">
        <f t="shared" ca="1" si="262"/>
        <v>6.3761063161012004</v>
      </c>
    </row>
    <row r="136" spans="1:182">
      <c r="A136" s="556">
        <v>26</v>
      </c>
      <c r="C136" s="3">
        <f t="shared" si="216"/>
        <v>121</v>
      </c>
      <c r="D136" s="3">
        <v>121</v>
      </c>
      <c r="E136" s="3" t="s">
        <v>7314</v>
      </c>
      <c r="F136" s="3">
        <v>1000</v>
      </c>
      <c r="G136" s="3">
        <v>0.35</v>
      </c>
      <c r="H136" s="3">
        <v>0.3</v>
      </c>
      <c r="I136" s="3">
        <v>0.125</v>
      </c>
      <c r="J136" s="3">
        <v>0.125</v>
      </c>
      <c r="L136" s="3">
        <v>0.125</v>
      </c>
      <c r="M136" s="3">
        <v>0.125</v>
      </c>
      <c r="O136" s="3">
        <v>2</v>
      </c>
      <c r="P136" s="3">
        <f t="shared" si="217"/>
        <v>0.89999999999999991</v>
      </c>
      <c r="Q136" s="3">
        <v>38</v>
      </c>
      <c r="S136" s="3">
        <f t="shared" si="218"/>
        <v>38</v>
      </c>
      <c r="W136" s="3">
        <f t="shared" si="219"/>
        <v>0</v>
      </c>
      <c r="Y136" s="3">
        <f t="shared" si="220"/>
        <v>2.5179856115107913</v>
      </c>
      <c r="Z136" s="3">
        <f t="shared" si="221"/>
        <v>2.1428571428571428</v>
      </c>
      <c r="AA136" s="3">
        <f t="shared" ca="1" si="222"/>
        <v>1.7291464932909115</v>
      </c>
      <c r="AB136" s="3">
        <f t="shared" ca="1" si="223"/>
        <v>1.7291464932909115</v>
      </c>
      <c r="AC136" s="3">
        <f t="shared" ca="1" si="224"/>
        <v>1.7291464932909115</v>
      </c>
      <c r="AD136" s="3">
        <f t="shared" si="225"/>
        <v>2.5179856115107913</v>
      </c>
      <c r="AE136" s="3">
        <f t="shared" si="226"/>
        <v>2.1428571428571428</v>
      </c>
      <c r="AF136" s="3">
        <f t="shared" ca="1" si="227"/>
        <v>1.7291464932909115</v>
      </c>
      <c r="AG136" s="3">
        <f t="shared" ca="1" si="228"/>
        <v>1.7291464932909115</v>
      </c>
      <c r="AH136" s="3" t="str">
        <f t="shared" si="229"/>
        <v>자동</v>
      </c>
      <c r="AI136" s="3">
        <f t="shared" ca="1" si="230"/>
        <v>1.7291464932909115</v>
      </c>
      <c r="AJ136" s="3">
        <f t="shared" ca="1" si="231"/>
        <v>1.7291464932909115</v>
      </c>
      <c r="AL136" s="3" t="str">
        <f t="shared" si="232"/>
        <v/>
      </c>
      <c r="AN136" s="3">
        <f ca="1">IF($BA136=42,OFFSET(변환표준점수!C$119,$AP136-1,0),"")</f>
        <v>72.290000000000006</v>
      </c>
      <c r="AO136" s="3">
        <f ca="1">IF($BA136=42,OFFSET(변환표준점수!D$119,$AP136-1,0),"")</f>
        <v>72.290000000000006</v>
      </c>
      <c r="AP136" s="3">
        <f>IF(S136="","",MATCH(S136,변환표준점수!$B$119:$B$298,0))</f>
        <v>38</v>
      </c>
      <c r="AQ136" s="3">
        <v>12</v>
      </c>
      <c r="AR136" s="3">
        <v>12</v>
      </c>
      <c r="AS136" s="3">
        <v>42</v>
      </c>
      <c r="AT136" s="3">
        <v>42</v>
      </c>
      <c r="AV136" s="3">
        <v>42</v>
      </c>
      <c r="AW136" s="3">
        <v>42</v>
      </c>
      <c r="AX136" s="3">
        <v>3</v>
      </c>
      <c r="AY136" s="3">
        <v>3</v>
      </c>
      <c r="BA136" s="3">
        <f t="shared" si="233"/>
        <v>42</v>
      </c>
      <c r="BJ136" s="3">
        <f t="shared" si="234"/>
        <v>0</v>
      </c>
      <c r="CH136" s="206">
        <f t="shared" si="263"/>
        <v>899.99999999999989</v>
      </c>
      <c r="CI136" s="56">
        <v>100</v>
      </c>
      <c r="CJ136" s="3">
        <v>98</v>
      </c>
      <c r="CK136" s="3">
        <v>96</v>
      </c>
      <c r="CL136" s="3">
        <v>90</v>
      </c>
      <c r="CM136" s="3">
        <v>80</v>
      </c>
      <c r="CN136" s="3">
        <v>60</v>
      </c>
      <c r="CO136" s="3">
        <v>40</v>
      </c>
      <c r="CP136" s="3">
        <v>20</v>
      </c>
      <c r="CQ136" s="3">
        <v>0</v>
      </c>
      <c r="CV136" s="3">
        <v>-1</v>
      </c>
      <c r="CW136" s="3">
        <v>-2</v>
      </c>
      <c r="CX136" s="3">
        <v>-3</v>
      </c>
      <c r="CY136" s="3">
        <v>-4</v>
      </c>
      <c r="CZ136" s="3">
        <v>-5</v>
      </c>
      <c r="DJ136" s="3">
        <f t="shared" ca="1" si="236"/>
        <v>100</v>
      </c>
      <c r="DK136" s="3">
        <f t="shared" ca="1" si="237"/>
        <v>100</v>
      </c>
      <c r="DL136" s="3">
        <f t="shared" ca="1" si="238"/>
        <v>0</v>
      </c>
      <c r="DO136" s="3">
        <v>2</v>
      </c>
      <c r="DZ136" s="3">
        <v>1</v>
      </c>
      <c r="EA136" s="3">
        <f t="shared" si="239"/>
        <v>1</v>
      </c>
      <c r="EB136" s="3">
        <f t="shared" si="240"/>
        <v>2</v>
      </c>
      <c r="EC136" s="3">
        <f t="shared" si="241"/>
        <v>0</v>
      </c>
      <c r="ED136" s="3">
        <f t="shared" si="242"/>
        <v>0</v>
      </c>
      <c r="EF136" s="3">
        <f t="shared" ca="1" si="243"/>
        <v>0</v>
      </c>
      <c r="EG136" s="3">
        <f t="shared" ca="1" si="244"/>
        <v>0</v>
      </c>
      <c r="EH136" s="3">
        <f ca="1">IFERROR(IF(LEFT($BA136,1)="4",OFFSET(변환표준점수!$H$118,MATCH($S136,변환표준점수!$B$119:$B$198,0),),OFFSET(EH$3,MATCH(AS136,$ED$4:$ED$8,0),0)),0)</f>
        <v>0</v>
      </c>
      <c r="EI136" s="3">
        <f ca="1">IFERROR(IF(LEFT($BA136,1)="4",OFFSET(변환표준점수!$I$118,MATCH($S136,변환표준점수!$B$119:$B$198,0),0),OFFSET(EI$3,MATCH(AT136,$ED$4:$ED$8,0),0)),0)</f>
        <v>0</v>
      </c>
      <c r="EK136" s="3">
        <f ca="1">IFERROR(IF(LEFT($BA136,1)="4",OFFSET(변환표준점수!$J$118,MATCH($S136,변환표준점수!$B$119:$B$198,0),0),OFFSET(EJ$3,MATCH(AV136,$ED$4:$ED$8,0),0)),0)</f>
        <v>0</v>
      </c>
      <c r="EL136" s="3">
        <f ca="1">IFERROR(IF(LEFT($BA136,1)="4",OFFSET(변환표준점수!$K$118,MATCH($S136,변환표준점수!$B$119:$B$198,0),0),OFFSET(EK$3,MATCH(AW136,$ED$4:$ED$8,0),0)),0)</f>
        <v>0</v>
      </c>
      <c r="EM136" s="3" t="str">
        <f t="shared" ca="1" si="245"/>
        <v/>
      </c>
      <c r="EN136" s="3" t="str">
        <f t="shared" ca="1" si="246"/>
        <v/>
      </c>
      <c r="EO136" s="3">
        <f t="shared" ca="1" si="247"/>
        <v>0</v>
      </c>
      <c r="EQ136" s="3">
        <f t="shared" ca="1" si="248"/>
        <v>0</v>
      </c>
      <c r="ER136" s="3">
        <f t="shared" ca="1" si="249"/>
        <v>0</v>
      </c>
      <c r="ES136" s="3">
        <f t="shared" ca="1" si="250"/>
        <v>0</v>
      </c>
      <c r="ET136" s="3">
        <f t="shared" ca="1" si="251"/>
        <v>0</v>
      </c>
      <c r="EU136" s="3">
        <f t="shared" si="252"/>
        <v>0</v>
      </c>
      <c r="EV136" s="3">
        <f t="shared" ca="1" si="253"/>
        <v>0</v>
      </c>
      <c r="EW136" s="3">
        <f t="shared" ca="1" si="254"/>
        <v>0</v>
      </c>
      <c r="EX136" s="3">
        <f ca="1">LARGE((ES136:ET136,EV136:EW136),1)</f>
        <v>0</v>
      </c>
      <c r="EY136" s="3">
        <f ca="1">IF(O136&lt;2,0,LARGE((ES136:ET136,EV136:EW136),2))</f>
        <v>0</v>
      </c>
      <c r="EZ136" s="3">
        <f t="shared" ca="1" si="255"/>
        <v>0</v>
      </c>
      <c r="FA136" s="3">
        <f t="shared" ca="1" si="256"/>
        <v>0</v>
      </c>
      <c r="FB136" s="3">
        <f t="shared" ca="1" si="257"/>
        <v>0</v>
      </c>
      <c r="FF136" s="3">
        <f ca="1">IF($BB$7=1,MAX(EQ136+ER136+EU136+EX136+EY136+EZ136+FA136+FB136+FC136,FG137),FG137)</f>
        <v>0</v>
      </c>
      <c r="FG136" s="3">
        <f t="shared" ca="1" si="258"/>
        <v>0</v>
      </c>
      <c r="FH136" s="618" t="s">
        <v>7339</v>
      </c>
      <c r="FU136" s="3" t="str">
        <f t="shared" si="166"/>
        <v>표점/만점</v>
      </c>
      <c r="FV136" s="3" t="str">
        <f t="shared" si="167"/>
        <v>변표/만점</v>
      </c>
      <c r="FW136" s="3">
        <f t="shared" ca="1" si="259"/>
        <v>0.39</v>
      </c>
      <c r="FX136" s="3">
        <f t="shared" ca="1" si="260"/>
        <v>0.34</v>
      </c>
      <c r="FY136" s="3">
        <f t="shared" ca="1" si="261"/>
        <v>0.27</v>
      </c>
      <c r="FZ136" s="3">
        <f t="shared" ca="1" si="262"/>
        <v>6.3899892476588454</v>
      </c>
    </row>
    <row r="137" spans="1:182">
      <c r="A137" s="556">
        <v>26</v>
      </c>
      <c r="C137" s="3">
        <f t="shared" si="216"/>
        <v>122</v>
      </c>
      <c r="D137" s="3">
        <v>122</v>
      </c>
      <c r="E137" s="3" t="s">
        <v>7315</v>
      </c>
      <c r="F137" s="3">
        <v>1000</v>
      </c>
      <c r="G137" s="3">
        <v>0.3</v>
      </c>
      <c r="H137" s="3">
        <v>0.3</v>
      </c>
      <c r="I137" s="3">
        <v>0.15</v>
      </c>
      <c r="J137" s="3">
        <v>0.15</v>
      </c>
      <c r="L137" s="3">
        <v>0.15</v>
      </c>
      <c r="M137" s="3">
        <v>0.15</v>
      </c>
      <c r="O137" s="3">
        <v>2</v>
      </c>
      <c r="P137" s="3">
        <f t="shared" si="217"/>
        <v>0.89999999999999991</v>
      </c>
      <c r="Q137" s="3">
        <v>38</v>
      </c>
      <c r="S137" s="3">
        <f t="shared" si="218"/>
        <v>38</v>
      </c>
      <c r="W137" s="3">
        <f t="shared" si="219"/>
        <v>0</v>
      </c>
      <c r="Y137" s="3">
        <f t="shared" si="220"/>
        <v>2.1582733812949639</v>
      </c>
      <c r="Z137" s="3">
        <f t="shared" si="221"/>
        <v>2.1428571428571428</v>
      </c>
      <c r="AA137" s="3">
        <f t="shared" ca="1" si="222"/>
        <v>2.0749757919490937</v>
      </c>
      <c r="AB137" s="3">
        <f t="shared" ca="1" si="223"/>
        <v>2.0749757919490937</v>
      </c>
      <c r="AC137" s="3">
        <f t="shared" ca="1" si="224"/>
        <v>2.0749757919490937</v>
      </c>
      <c r="AD137" s="3">
        <f t="shared" si="225"/>
        <v>2.1582733812949639</v>
      </c>
      <c r="AE137" s="3">
        <f t="shared" si="226"/>
        <v>2.1428571428571428</v>
      </c>
      <c r="AF137" s="3">
        <f t="shared" ca="1" si="227"/>
        <v>2.0749757919490937</v>
      </c>
      <c r="AG137" s="3">
        <f t="shared" ca="1" si="228"/>
        <v>2.0749757919490937</v>
      </c>
      <c r="AH137" s="3" t="str">
        <f t="shared" si="229"/>
        <v>자동</v>
      </c>
      <c r="AI137" s="3">
        <f t="shared" ca="1" si="230"/>
        <v>2.0749757919490937</v>
      </c>
      <c r="AJ137" s="3">
        <f t="shared" ca="1" si="231"/>
        <v>2.0749757919490937</v>
      </c>
      <c r="AL137" s="3" t="str">
        <f t="shared" si="232"/>
        <v/>
      </c>
      <c r="AN137" s="3">
        <f ca="1">IF($BA137=42,OFFSET(변환표준점수!C$119,$AP137-1,0),"")</f>
        <v>72.290000000000006</v>
      </c>
      <c r="AO137" s="3">
        <f ca="1">IF($BA137=42,OFFSET(변환표준점수!D$119,$AP137-1,0),"")</f>
        <v>72.290000000000006</v>
      </c>
      <c r="AP137" s="3">
        <f>IF(S137="","",MATCH(S137,변환표준점수!$B$119:$B$298,0))</f>
        <v>38</v>
      </c>
      <c r="AQ137" s="3">
        <v>12</v>
      </c>
      <c r="AR137" s="3">
        <v>12</v>
      </c>
      <c r="AS137" s="3">
        <v>42</v>
      </c>
      <c r="AT137" s="3">
        <v>42</v>
      </c>
      <c r="AV137" s="3">
        <v>42</v>
      </c>
      <c r="AW137" s="3">
        <v>42</v>
      </c>
      <c r="AX137" s="3">
        <v>3</v>
      </c>
      <c r="AY137" s="3">
        <v>3</v>
      </c>
      <c r="BA137" s="3">
        <f t="shared" si="233"/>
        <v>42</v>
      </c>
      <c r="BJ137" s="3">
        <f t="shared" si="234"/>
        <v>0</v>
      </c>
      <c r="CH137" s="206">
        <f t="shared" si="263"/>
        <v>899.99999999999989</v>
      </c>
      <c r="CI137" s="56">
        <v>100</v>
      </c>
      <c r="CJ137" s="3">
        <v>98</v>
      </c>
      <c r="CK137" s="3">
        <v>96</v>
      </c>
      <c r="CL137" s="3">
        <v>90</v>
      </c>
      <c r="CM137" s="3">
        <v>80</v>
      </c>
      <c r="CN137" s="3">
        <v>60</v>
      </c>
      <c r="CO137" s="3">
        <v>40</v>
      </c>
      <c r="CP137" s="3">
        <v>20</v>
      </c>
      <c r="CQ137" s="3">
        <v>0</v>
      </c>
      <c r="CV137" s="3">
        <v>-1</v>
      </c>
      <c r="CW137" s="3">
        <v>-2</v>
      </c>
      <c r="CX137" s="3">
        <v>-3</v>
      </c>
      <c r="CY137" s="3">
        <v>-4</v>
      </c>
      <c r="CZ137" s="3">
        <v>-5</v>
      </c>
      <c r="DJ137" s="3">
        <f t="shared" ca="1" si="236"/>
        <v>100</v>
      </c>
      <c r="DK137" s="93">
        <f t="shared" ca="1" si="237"/>
        <v>100</v>
      </c>
      <c r="DL137" s="3">
        <f t="shared" ca="1" si="238"/>
        <v>0</v>
      </c>
      <c r="DO137" s="3">
        <v>2</v>
      </c>
      <c r="DZ137" s="3">
        <v>1</v>
      </c>
      <c r="EA137" s="3">
        <f t="shared" si="239"/>
        <v>1</v>
      </c>
      <c r="EB137" s="3">
        <f t="shared" si="240"/>
        <v>2</v>
      </c>
      <c r="EC137" s="3">
        <f t="shared" si="241"/>
        <v>0</v>
      </c>
      <c r="ED137" s="3">
        <f t="shared" si="242"/>
        <v>0</v>
      </c>
      <c r="EF137" s="3">
        <f t="shared" ca="1" si="243"/>
        <v>0</v>
      </c>
      <c r="EG137" s="3">
        <f t="shared" ca="1" si="244"/>
        <v>0</v>
      </c>
      <c r="EH137" s="3">
        <f ca="1">IFERROR(IF(LEFT($BA137,1)="4",OFFSET(변환표준점수!$H$118,MATCH($S137,변환표준점수!$B$119:$B$198,0),),OFFSET(EH$3,MATCH(AS137,$ED$4:$ED$8,0),0)),0)</f>
        <v>0</v>
      </c>
      <c r="EI137" s="3">
        <f ca="1">IFERROR(IF(LEFT($BA137,1)="4",OFFSET(변환표준점수!$I$118,MATCH($S137,변환표준점수!$B$119:$B$198,0),0),OFFSET(EI$3,MATCH(AT137,$ED$4:$ED$8,0),0)),0)</f>
        <v>0</v>
      </c>
      <c r="EK137" s="3">
        <f ca="1">IFERROR(IF(LEFT($BA137,1)="4",OFFSET(변환표준점수!$J$118,MATCH($S137,변환표준점수!$B$119:$B$198,0),0),OFFSET(EJ$3,MATCH(AV137,$ED$4:$ED$8,0),0)),0)</f>
        <v>0</v>
      </c>
      <c r="EL137" s="3">
        <f ca="1">IFERROR(IF(LEFT($BA137,1)="4",OFFSET(변환표준점수!$K$118,MATCH($S137,변환표준점수!$B$119:$B$198,0),0),OFFSET(EK$3,MATCH(AW137,$ED$4:$ED$8,0),0)),0)</f>
        <v>0</v>
      </c>
      <c r="EM137" s="3" t="str">
        <f t="shared" ca="1" si="245"/>
        <v/>
      </c>
      <c r="EN137" s="3" t="str">
        <f t="shared" ca="1" si="246"/>
        <v/>
      </c>
      <c r="EO137" s="3">
        <f t="shared" ca="1" si="247"/>
        <v>0</v>
      </c>
      <c r="EQ137" s="3">
        <f t="shared" ca="1" si="248"/>
        <v>0</v>
      </c>
      <c r="ER137" s="3">
        <f t="shared" ca="1" si="249"/>
        <v>0</v>
      </c>
      <c r="ES137" s="3">
        <f t="shared" ca="1" si="250"/>
        <v>0</v>
      </c>
      <c r="ET137" s="3">
        <f t="shared" ca="1" si="251"/>
        <v>0</v>
      </c>
      <c r="EU137" s="3">
        <f t="shared" si="252"/>
        <v>0</v>
      </c>
      <c r="EV137" s="3">
        <f t="shared" ca="1" si="253"/>
        <v>0</v>
      </c>
      <c r="EW137" s="3">
        <f t="shared" ca="1" si="254"/>
        <v>0</v>
      </c>
      <c r="EX137" s="3">
        <f ca="1">LARGE((ES137:ET137,EV137:EW137),1)</f>
        <v>0</v>
      </c>
      <c r="EY137" s="3">
        <f ca="1">IF(O137&lt;2,0,LARGE((ES137:ET137,EV137:EW137),2))</f>
        <v>0</v>
      </c>
      <c r="EZ137" s="3">
        <f t="shared" ca="1" si="255"/>
        <v>0</v>
      </c>
      <c r="FA137" s="3">
        <f t="shared" ca="1" si="256"/>
        <v>0</v>
      </c>
      <c r="FB137" s="3">
        <f t="shared" ca="1" si="257"/>
        <v>0</v>
      </c>
      <c r="FG137" s="3">
        <f t="shared" ca="1" si="258"/>
        <v>0</v>
      </c>
      <c r="FH137" s="618"/>
      <c r="FU137" s="3" t="str">
        <f t="shared" si="166"/>
        <v>표점/만점</v>
      </c>
      <c r="FV137" s="3" t="str">
        <f t="shared" si="167"/>
        <v>변표/만점</v>
      </c>
      <c r="FW137" s="3">
        <f t="shared" ca="1" si="259"/>
        <v>0.34</v>
      </c>
      <c r="FX137" s="3">
        <f t="shared" ca="1" si="260"/>
        <v>0.34</v>
      </c>
      <c r="FY137" s="3">
        <f t="shared" ca="1" si="261"/>
        <v>0.33</v>
      </c>
      <c r="FZ137" s="3">
        <f t="shared" ca="1" si="262"/>
        <v>6.3761063161012004</v>
      </c>
    </row>
    <row r="138" spans="1:182">
      <c r="A138" s="556">
        <v>26</v>
      </c>
      <c r="C138" s="3">
        <f t="shared" si="216"/>
        <v>123</v>
      </c>
      <c r="D138" s="3">
        <v>123</v>
      </c>
      <c r="E138" s="3" t="s">
        <v>7316</v>
      </c>
      <c r="F138" s="3">
        <v>1000</v>
      </c>
      <c r="G138" s="3">
        <v>0.25</v>
      </c>
      <c r="H138" s="3">
        <v>0.4</v>
      </c>
      <c r="I138" s="3">
        <v>0.125</v>
      </c>
      <c r="J138" s="3">
        <v>0.125</v>
      </c>
      <c r="L138" s="3">
        <v>0.125</v>
      </c>
      <c r="M138" s="3">
        <v>0.125</v>
      </c>
      <c r="O138" s="3">
        <v>2</v>
      </c>
      <c r="P138" s="3">
        <f t="shared" si="217"/>
        <v>0.9</v>
      </c>
      <c r="Q138" s="3">
        <v>38</v>
      </c>
      <c r="S138" s="3">
        <f t="shared" si="218"/>
        <v>38</v>
      </c>
      <c r="W138" s="3">
        <f t="shared" si="219"/>
        <v>0</v>
      </c>
      <c r="Y138" s="3">
        <f t="shared" si="220"/>
        <v>1.7985611510791366</v>
      </c>
      <c r="Z138" s="3">
        <f t="shared" si="221"/>
        <v>2.8571428571428572</v>
      </c>
      <c r="AA138" s="3">
        <f t="shared" ca="1" si="222"/>
        <v>1.7291464932909115</v>
      </c>
      <c r="AB138" s="3">
        <f t="shared" ca="1" si="223"/>
        <v>1.7291464932909115</v>
      </c>
      <c r="AC138" s="3">
        <f t="shared" ca="1" si="224"/>
        <v>1.7291464932909115</v>
      </c>
      <c r="AD138" s="3">
        <f t="shared" si="225"/>
        <v>1.7985611510791366</v>
      </c>
      <c r="AE138" s="3">
        <f t="shared" si="226"/>
        <v>2.8571428571428572</v>
      </c>
      <c r="AF138" s="3">
        <f t="shared" ca="1" si="227"/>
        <v>1.7291464932909115</v>
      </c>
      <c r="AG138" s="3">
        <f t="shared" ca="1" si="228"/>
        <v>1.7291464932909115</v>
      </c>
      <c r="AH138" s="3" t="str">
        <f t="shared" si="229"/>
        <v>자동</v>
      </c>
      <c r="AI138" s="3">
        <f t="shared" ca="1" si="230"/>
        <v>1.7291464932909115</v>
      </c>
      <c r="AJ138" s="3">
        <f t="shared" ca="1" si="231"/>
        <v>1.7291464932909115</v>
      </c>
      <c r="AL138" s="3" t="str">
        <f t="shared" si="232"/>
        <v/>
      </c>
      <c r="AN138" s="3">
        <f ca="1">IF($BA138=42,OFFSET(변환표준점수!C$119,$AP138-1,0),"")</f>
        <v>72.290000000000006</v>
      </c>
      <c r="AO138" s="3">
        <f ca="1">IF($BA138=42,OFFSET(변환표준점수!D$119,$AP138-1,0),"")</f>
        <v>72.290000000000006</v>
      </c>
      <c r="AP138" s="3">
        <f>IF(S138="","",MATCH(S138,변환표준점수!$B$119:$B$298,0))</f>
        <v>38</v>
      </c>
      <c r="AQ138" s="3">
        <v>12</v>
      </c>
      <c r="AR138" s="3">
        <v>12</v>
      </c>
      <c r="AS138" s="3">
        <v>42</v>
      </c>
      <c r="AT138" s="3">
        <v>42</v>
      </c>
      <c r="AV138" s="3">
        <v>42</v>
      </c>
      <c r="AW138" s="3">
        <v>42</v>
      </c>
      <c r="AX138" s="3">
        <v>3</v>
      </c>
      <c r="AY138" s="3">
        <v>3</v>
      </c>
      <c r="BA138" s="3">
        <f t="shared" si="233"/>
        <v>42</v>
      </c>
      <c r="BJ138" s="3">
        <f t="shared" si="234"/>
        <v>0</v>
      </c>
      <c r="CH138" s="206">
        <f t="shared" si="263"/>
        <v>900</v>
      </c>
      <c r="CI138" s="56">
        <v>100</v>
      </c>
      <c r="CJ138" s="3">
        <v>98</v>
      </c>
      <c r="CK138" s="3">
        <v>96</v>
      </c>
      <c r="CL138" s="3">
        <v>90</v>
      </c>
      <c r="CM138" s="3">
        <v>80</v>
      </c>
      <c r="CN138" s="3">
        <v>60</v>
      </c>
      <c r="CO138" s="3">
        <v>40</v>
      </c>
      <c r="CP138" s="3">
        <v>20</v>
      </c>
      <c r="CQ138" s="3">
        <v>0</v>
      </c>
      <c r="CV138" s="3">
        <v>-1</v>
      </c>
      <c r="CW138" s="3">
        <v>-2</v>
      </c>
      <c r="CX138" s="3">
        <v>-3</v>
      </c>
      <c r="CY138" s="3">
        <v>-4</v>
      </c>
      <c r="CZ138" s="3">
        <v>-5</v>
      </c>
      <c r="DJ138" s="3">
        <f t="shared" ca="1" si="236"/>
        <v>100</v>
      </c>
      <c r="DK138" s="93">
        <f t="shared" ca="1" si="237"/>
        <v>100</v>
      </c>
      <c r="DL138" s="3">
        <f t="shared" ca="1" si="238"/>
        <v>0</v>
      </c>
      <c r="DO138" s="3">
        <v>2</v>
      </c>
      <c r="DZ138" s="3">
        <v>1</v>
      </c>
      <c r="EA138" s="3">
        <f t="shared" si="239"/>
        <v>1</v>
      </c>
      <c r="EB138" s="3">
        <f t="shared" si="240"/>
        <v>2</v>
      </c>
      <c r="EC138" s="3">
        <f t="shared" si="241"/>
        <v>0</v>
      </c>
      <c r="ED138" s="3">
        <f t="shared" si="242"/>
        <v>0</v>
      </c>
      <c r="EF138" s="3">
        <f t="shared" ca="1" si="243"/>
        <v>0</v>
      </c>
      <c r="EG138" s="3">
        <f t="shared" ca="1" si="244"/>
        <v>0</v>
      </c>
      <c r="EH138" s="3">
        <f ca="1">IFERROR(IF(LEFT($BA138,1)="4",OFFSET(변환표준점수!$H$118,MATCH($S138,변환표준점수!$B$119:$B$198,0),),OFFSET(EH$3,MATCH(AS138,$ED$4:$ED$8,0),0)),0)</f>
        <v>0</v>
      </c>
      <c r="EI138" s="3">
        <f ca="1">IFERROR(IF(LEFT($BA138,1)="4",OFFSET(변환표준점수!$I$118,MATCH($S138,변환표준점수!$B$119:$B$198,0),0),OFFSET(EI$3,MATCH(AT138,$ED$4:$ED$8,0),0)),0)</f>
        <v>0</v>
      </c>
      <c r="EK138" s="3">
        <f ca="1">IFERROR(IF(LEFT($BA138,1)="4",OFFSET(변환표준점수!$J$118,MATCH($S138,변환표준점수!$B$119:$B$198,0),0),OFFSET(EJ$3,MATCH(AV138,$ED$4:$ED$8,0),0)),0)</f>
        <v>0</v>
      </c>
      <c r="EL138" s="3">
        <f ca="1">IFERROR(IF(LEFT($BA138,1)="4",OFFSET(변환표준점수!$K$118,MATCH($S138,변환표준점수!$B$119:$B$198,0),0),OFFSET(EK$3,MATCH(AW138,$ED$4:$ED$8,0),0)),0)</f>
        <v>0</v>
      </c>
      <c r="EM138" s="3" t="str">
        <f t="shared" ca="1" si="245"/>
        <v/>
      </c>
      <c r="EN138" s="3" t="str">
        <f t="shared" ca="1" si="246"/>
        <v/>
      </c>
      <c r="EO138" s="3">
        <f t="shared" ca="1" si="247"/>
        <v>0</v>
      </c>
      <c r="EQ138" s="3">
        <f t="shared" ca="1" si="248"/>
        <v>0</v>
      </c>
      <c r="ER138" s="3">
        <f t="shared" ca="1" si="249"/>
        <v>0</v>
      </c>
      <c r="ES138" s="3">
        <f t="shared" ca="1" si="250"/>
        <v>0</v>
      </c>
      <c r="ET138" s="3">
        <f t="shared" ca="1" si="251"/>
        <v>0</v>
      </c>
      <c r="EU138" s="3">
        <f t="shared" si="252"/>
        <v>0</v>
      </c>
      <c r="EV138" s="3">
        <f t="shared" ca="1" si="253"/>
        <v>0</v>
      </c>
      <c r="EW138" s="3">
        <f t="shared" ca="1" si="254"/>
        <v>0</v>
      </c>
      <c r="EX138" s="3">
        <f ca="1">LARGE((ES138:ET138,EV138:EW138),1)</f>
        <v>0</v>
      </c>
      <c r="EY138" s="3">
        <f ca="1">IF(O138&lt;2,0,LARGE((ES138:ET138,EV138:EW138),2))</f>
        <v>0</v>
      </c>
      <c r="EZ138" s="3">
        <f t="shared" ca="1" si="255"/>
        <v>0</v>
      </c>
      <c r="FA138" s="3">
        <f t="shared" ca="1" si="256"/>
        <v>0</v>
      </c>
      <c r="FB138" s="3">
        <f t="shared" ca="1" si="257"/>
        <v>0</v>
      </c>
      <c r="FF138" s="3">
        <f ca="1">IF($BB$7=1,MAX(EQ138+ER138+EU138+EX138+EY138+EZ138+FA138+FB138+FC138,FG139),EQ138+ER138+EU138+EX138+EY138+EZ138+FA138+FB138+FC138)</f>
        <v>0</v>
      </c>
      <c r="FG138" s="3">
        <f t="shared" ca="1" si="258"/>
        <v>0</v>
      </c>
      <c r="FH138" s="618" t="s">
        <v>7338</v>
      </c>
      <c r="FU138" s="3" t="str">
        <f t="shared" si="166"/>
        <v>표점/만점</v>
      </c>
      <c r="FV138" s="3" t="str">
        <f t="shared" si="167"/>
        <v>변표/만점</v>
      </c>
      <c r="FW138" s="3">
        <f t="shared" ca="1" si="259"/>
        <v>0.28000000000000003</v>
      </c>
      <c r="FX138" s="3">
        <f t="shared" ca="1" si="260"/>
        <v>0.45</v>
      </c>
      <c r="FY138" s="3">
        <f t="shared" ca="1" si="261"/>
        <v>0.27</v>
      </c>
      <c r="FZ138" s="3">
        <f t="shared" ca="1" si="262"/>
        <v>6.3848505015129051</v>
      </c>
    </row>
    <row r="139" spans="1:182">
      <c r="A139" s="556">
        <v>26</v>
      </c>
      <c r="C139" s="3">
        <f t="shared" si="216"/>
        <v>124</v>
      </c>
      <c r="D139" s="3">
        <v>124</v>
      </c>
      <c r="E139" s="3" t="s">
        <v>7317</v>
      </c>
      <c r="F139" s="3">
        <v>1000</v>
      </c>
      <c r="G139" s="3">
        <v>0.25</v>
      </c>
      <c r="H139" s="3">
        <v>0.35</v>
      </c>
      <c r="I139" s="3">
        <v>0.15</v>
      </c>
      <c r="J139" s="3">
        <v>0.15</v>
      </c>
      <c r="L139" s="3">
        <v>0.15</v>
      </c>
      <c r="M139" s="3">
        <v>0.15</v>
      </c>
      <c r="O139" s="3">
        <v>2</v>
      </c>
      <c r="P139" s="3">
        <f t="shared" si="217"/>
        <v>0.89999999999999991</v>
      </c>
      <c r="Q139" s="3">
        <v>38</v>
      </c>
      <c r="S139" s="3">
        <f t="shared" si="218"/>
        <v>38</v>
      </c>
      <c r="W139" s="3">
        <f t="shared" si="219"/>
        <v>0</v>
      </c>
      <c r="Y139" s="3">
        <f t="shared" si="220"/>
        <v>1.7985611510791366</v>
      </c>
      <c r="Z139" s="3">
        <f t="shared" si="221"/>
        <v>2.5</v>
      </c>
      <c r="AA139" s="3">
        <f t="shared" ca="1" si="222"/>
        <v>2.0749757919490937</v>
      </c>
      <c r="AB139" s="3">
        <f t="shared" ca="1" si="223"/>
        <v>2.0749757919490937</v>
      </c>
      <c r="AC139" s="3">
        <f t="shared" ca="1" si="224"/>
        <v>2.0749757919490937</v>
      </c>
      <c r="AD139" s="3">
        <f t="shared" si="225"/>
        <v>1.7985611510791366</v>
      </c>
      <c r="AE139" s="3">
        <f t="shared" si="226"/>
        <v>2.5</v>
      </c>
      <c r="AF139" s="3">
        <f t="shared" ca="1" si="227"/>
        <v>2.0749757919490937</v>
      </c>
      <c r="AG139" s="3">
        <f t="shared" ca="1" si="228"/>
        <v>2.0749757919490937</v>
      </c>
      <c r="AH139" s="3" t="str">
        <f t="shared" si="229"/>
        <v>자동</v>
      </c>
      <c r="AI139" s="3">
        <f t="shared" ca="1" si="230"/>
        <v>2.0749757919490937</v>
      </c>
      <c r="AJ139" s="3">
        <f t="shared" ca="1" si="231"/>
        <v>2.0749757919490937</v>
      </c>
      <c r="AL139" s="3" t="str">
        <f t="shared" si="232"/>
        <v/>
      </c>
      <c r="AN139" s="3">
        <f ca="1">IF($BA139=42,OFFSET(변환표준점수!C$119,$AP139-1,0),"")</f>
        <v>72.290000000000006</v>
      </c>
      <c r="AO139" s="3">
        <f ca="1">IF($BA139=42,OFFSET(변환표준점수!D$119,$AP139-1,0),"")</f>
        <v>72.290000000000006</v>
      </c>
      <c r="AP139" s="3">
        <f>IF(S139="","",MATCH(S139,변환표준점수!$B$119:$B$298,0))</f>
        <v>38</v>
      </c>
      <c r="AQ139" s="3">
        <v>12</v>
      </c>
      <c r="AR139" s="3">
        <v>12</v>
      </c>
      <c r="AS139" s="3">
        <v>42</v>
      </c>
      <c r="AT139" s="3">
        <v>42</v>
      </c>
      <c r="AV139" s="3">
        <v>42</v>
      </c>
      <c r="AW139" s="3">
        <v>42</v>
      </c>
      <c r="AX139" s="3">
        <v>3</v>
      </c>
      <c r="AY139" s="3">
        <v>3</v>
      </c>
      <c r="BA139" s="3">
        <f t="shared" si="233"/>
        <v>42</v>
      </c>
      <c r="BJ139" s="3">
        <f t="shared" si="234"/>
        <v>0</v>
      </c>
      <c r="CH139" s="206">
        <f t="shared" si="263"/>
        <v>899.99999999999989</v>
      </c>
      <c r="CI139" s="56">
        <v>100</v>
      </c>
      <c r="CJ139" s="3">
        <v>98</v>
      </c>
      <c r="CK139" s="3">
        <v>96</v>
      </c>
      <c r="CL139" s="3">
        <v>90</v>
      </c>
      <c r="CM139" s="3">
        <v>80</v>
      </c>
      <c r="CN139" s="3">
        <v>60</v>
      </c>
      <c r="CO139" s="3">
        <v>40</v>
      </c>
      <c r="CP139" s="3">
        <v>20</v>
      </c>
      <c r="CQ139" s="3">
        <v>0</v>
      </c>
      <c r="CV139" s="3">
        <v>-1</v>
      </c>
      <c r="CW139" s="3">
        <v>-2</v>
      </c>
      <c r="CX139" s="3">
        <v>-3</v>
      </c>
      <c r="CY139" s="3">
        <v>-4</v>
      </c>
      <c r="CZ139" s="3">
        <v>-5</v>
      </c>
      <c r="DJ139" s="3">
        <f t="shared" ca="1" si="236"/>
        <v>100</v>
      </c>
      <c r="DK139" s="93">
        <f t="shared" ca="1" si="237"/>
        <v>100</v>
      </c>
      <c r="DL139" s="3">
        <f t="shared" ca="1" si="238"/>
        <v>0</v>
      </c>
      <c r="DO139" s="3">
        <v>2</v>
      </c>
      <c r="DZ139" s="3">
        <v>1</v>
      </c>
      <c r="EA139" s="3">
        <f t="shared" si="239"/>
        <v>1</v>
      </c>
      <c r="EB139" s="3">
        <f t="shared" si="240"/>
        <v>2</v>
      </c>
      <c r="EC139" s="3">
        <f t="shared" si="241"/>
        <v>0</v>
      </c>
      <c r="ED139" s="3">
        <f t="shared" si="242"/>
        <v>0</v>
      </c>
      <c r="EF139" s="3">
        <f t="shared" ca="1" si="243"/>
        <v>0</v>
      </c>
      <c r="EG139" s="3">
        <f t="shared" ca="1" si="244"/>
        <v>0</v>
      </c>
      <c r="EH139" s="3">
        <f ca="1">IFERROR(IF(LEFT($BA139,1)="4",OFFSET(변환표준점수!$H$118,MATCH($S139,변환표준점수!$B$119:$B$198,0),),OFFSET(EH$3,MATCH(AS139,$ED$4:$ED$8,0),0)),0)</f>
        <v>0</v>
      </c>
      <c r="EI139" s="3">
        <f ca="1">IFERROR(IF(LEFT($BA139,1)="4",OFFSET(변환표준점수!$I$118,MATCH($S139,변환표준점수!$B$119:$B$198,0),0),OFFSET(EI$3,MATCH(AT139,$ED$4:$ED$8,0),0)),0)</f>
        <v>0</v>
      </c>
      <c r="EK139" s="3">
        <f ca="1">IFERROR(IF(LEFT($BA139,1)="4",OFFSET(변환표준점수!$J$118,MATCH($S139,변환표준점수!$B$119:$B$198,0),0),OFFSET(EJ$3,MATCH(AV139,$ED$4:$ED$8,0),0)),0)</f>
        <v>0</v>
      </c>
      <c r="EL139" s="3">
        <f ca="1">IFERROR(IF(LEFT($BA139,1)="4",OFFSET(변환표준점수!$K$118,MATCH($S139,변환표준점수!$B$119:$B$198,0),0),OFFSET(EK$3,MATCH(AW139,$ED$4:$ED$8,0),0)),0)</f>
        <v>0</v>
      </c>
      <c r="EM139" s="3" t="str">
        <f t="shared" ca="1" si="245"/>
        <v/>
      </c>
      <c r="EN139" s="3" t="str">
        <f t="shared" ca="1" si="246"/>
        <v/>
      </c>
      <c r="EO139" s="3">
        <f t="shared" ca="1" si="247"/>
        <v>0</v>
      </c>
      <c r="EQ139" s="3">
        <f t="shared" ca="1" si="248"/>
        <v>0</v>
      </c>
      <c r="ER139" s="3">
        <f t="shared" ca="1" si="249"/>
        <v>0</v>
      </c>
      <c r="ES139" s="3">
        <f t="shared" ca="1" si="250"/>
        <v>0</v>
      </c>
      <c r="ET139" s="3">
        <f t="shared" ca="1" si="251"/>
        <v>0</v>
      </c>
      <c r="EU139" s="3">
        <f t="shared" si="252"/>
        <v>0</v>
      </c>
      <c r="EV139" s="3">
        <f t="shared" ca="1" si="253"/>
        <v>0</v>
      </c>
      <c r="EW139" s="3">
        <f t="shared" ca="1" si="254"/>
        <v>0</v>
      </c>
      <c r="EX139" s="3">
        <f ca="1">LARGE((ES139:ET139,EV139:EW139),1)</f>
        <v>0</v>
      </c>
      <c r="EY139" s="3">
        <f ca="1">IF(O139&lt;2,0,LARGE((ES139:ET139,EV139:EW139),2))</f>
        <v>0</v>
      </c>
      <c r="EZ139" s="3">
        <f t="shared" ca="1" si="255"/>
        <v>0</v>
      </c>
      <c r="FA139" s="3">
        <f t="shared" ca="1" si="256"/>
        <v>0</v>
      </c>
      <c r="FB139" s="3">
        <f t="shared" ca="1" si="257"/>
        <v>0</v>
      </c>
      <c r="FG139" s="3">
        <f t="shared" ca="1" si="258"/>
        <v>0</v>
      </c>
      <c r="FH139" s="618"/>
      <c r="FU139" s="3" t="str">
        <f t="shared" si="166"/>
        <v>표점/만점</v>
      </c>
      <c r="FV139" s="3" t="str">
        <f t="shared" si="167"/>
        <v>변표/만점</v>
      </c>
      <c r="FW139" s="3">
        <f t="shared" ca="1" si="259"/>
        <v>0.28000000000000003</v>
      </c>
      <c r="FX139" s="3">
        <f t="shared" ca="1" si="260"/>
        <v>0.39</v>
      </c>
      <c r="FY139" s="3">
        <f t="shared" ca="1" si="261"/>
        <v>0.33</v>
      </c>
      <c r="FZ139" s="3">
        <f t="shared" ca="1" si="262"/>
        <v>6.3735369430282294</v>
      </c>
    </row>
    <row r="140" spans="1:182">
      <c r="A140" s="556">
        <v>26</v>
      </c>
      <c r="C140" s="3">
        <f t="shared" si="216"/>
        <v>125</v>
      </c>
      <c r="D140" s="3">
        <v>125</v>
      </c>
      <c r="E140" s="3" t="s">
        <v>7318</v>
      </c>
      <c r="F140" s="3">
        <v>1000</v>
      </c>
      <c r="G140" s="3">
        <v>0.3</v>
      </c>
      <c r="H140" s="3">
        <v>0.3</v>
      </c>
      <c r="I140" s="3">
        <v>0.125</v>
      </c>
      <c r="J140" s="3">
        <v>0.125</v>
      </c>
      <c r="L140" s="3">
        <v>0.125</v>
      </c>
      <c r="M140" s="3">
        <v>0.125</v>
      </c>
      <c r="O140" s="3">
        <v>2</v>
      </c>
      <c r="P140" s="3">
        <f t="shared" si="217"/>
        <v>0.85</v>
      </c>
      <c r="Q140" s="3">
        <v>40</v>
      </c>
      <c r="S140" s="3">
        <f t="shared" si="218"/>
        <v>40</v>
      </c>
      <c r="W140" s="3">
        <f t="shared" si="219"/>
        <v>0</v>
      </c>
      <c r="Y140" s="3">
        <f t="shared" si="220"/>
        <v>2.1582733812949639</v>
      </c>
      <c r="Z140" s="3">
        <f t="shared" si="221"/>
        <v>2.1428571428571428</v>
      </c>
      <c r="AA140" s="3">
        <f t="shared" ca="1" si="222"/>
        <v>1.7857142857142858</v>
      </c>
      <c r="AB140" s="3">
        <f t="shared" ca="1" si="223"/>
        <v>1.7857142857142858</v>
      </c>
      <c r="AC140" s="3">
        <f t="shared" ca="1" si="224"/>
        <v>1.7857142857142858</v>
      </c>
      <c r="AD140" s="3">
        <f t="shared" si="225"/>
        <v>2.1582733812949639</v>
      </c>
      <c r="AE140" s="3">
        <f t="shared" si="226"/>
        <v>2.1428571428571428</v>
      </c>
      <c r="AF140" s="3">
        <f t="shared" ca="1" si="227"/>
        <v>1.7857142857142858</v>
      </c>
      <c r="AG140" s="3">
        <f t="shared" ca="1" si="228"/>
        <v>1.7857142857142858</v>
      </c>
      <c r="AH140" s="3" t="str">
        <f t="shared" si="229"/>
        <v>자동</v>
      </c>
      <c r="AI140" s="3">
        <f t="shared" ca="1" si="230"/>
        <v>1.7857142857142858</v>
      </c>
      <c r="AJ140" s="3">
        <f t="shared" ca="1" si="231"/>
        <v>1.7857142857142858</v>
      </c>
      <c r="AL140" s="3" t="str">
        <f t="shared" si="232"/>
        <v/>
      </c>
      <c r="AN140" s="3">
        <f ca="1">IF($BA140=42,OFFSET(변환표준점수!C$119,$AP140-1,0),"")</f>
        <v>70</v>
      </c>
      <c r="AO140" s="3">
        <f ca="1">IF($BA140=42,OFFSET(변환표준점수!D$119,$AP140-1,0),"")</f>
        <v>70</v>
      </c>
      <c r="AP140" s="3">
        <f>IF(S140="","",MATCH(S140,변환표준점수!$B$119:$B$298,0))</f>
        <v>40</v>
      </c>
      <c r="AQ140" s="3">
        <v>12</v>
      </c>
      <c r="AR140" s="3">
        <v>12</v>
      </c>
      <c r="AS140" s="3">
        <v>42</v>
      </c>
      <c r="AT140" s="3">
        <v>42</v>
      </c>
      <c r="AV140" s="3">
        <v>42</v>
      </c>
      <c r="AW140" s="3">
        <v>42</v>
      </c>
      <c r="AX140" s="3">
        <v>3</v>
      </c>
      <c r="AY140" s="3">
        <v>3</v>
      </c>
      <c r="BA140" s="3">
        <f t="shared" si="233"/>
        <v>42</v>
      </c>
      <c r="BJ140" s="3">
        <f t="shared" si="234"/>
        <v>0</v>
      </c>
      <c r="BL140" s="3">
        <f ca="1">0.03*AI140</f>
        <v>5.3571428571428575E-2</v>
      </c>
      <c r="BM140" s="3">
        <f ca="1">0.03*AJ140</f>
        <v>5.3571428571428575E-2</v>
      </c>
      <c r="BN140" s="212" t="s">
        <v>7319</v>
      </c>
      <c r="BV140" s="3">
        <f ca="1">BL140*EK140</f>
        <v>0</v>
      </c>
      <c r="BW140" s="3">
        <f ca="1">BM140*EL140</f>
        <v>0</v>
      </c>
      <c r="CH140" s="206">
        <f t="shared" si="263"/>
        <v>850</v>
      </c>
      <c r="CI140" s="56">
        <v>150</v>
      </c>
      <c r="CJ140" s="3">
        <v>149.25</v>
      </c>
      <c r="CK140" s="3">
        <v>148.5</v>
      </c>
      <c r="CL140" s="3">
        <v>147</v>
      </c>
      <c r="CM140" s="3">
        <v>144.75</v>
      </c>
      <c r="CN140" s="3">
        <v>142.5</v>
      </c>
      <c r="CO140" s="3">
        <v>138.75</v>
      </c>
      <c r="CP140" s="3">
        <v>135</v>
      </c>
      <c r="CQ140" s="3">
        <v>127.5</v>
      </c>
      <c r="CR140" s="56">
        <v>10</v>
      </c>
      <c r="CS140" s="3">
        <v>10</v>
      </c>
      <c r="CT140" s="3">
        <v>10</v>
      </c>
      <c r="CU140" s="3">
        <v>10</v>
      </c>
      <c r="CV140" s="3">
        <v>9.9</v>
      </c>
      <c r="CW140" s="3">
        <v>9.8000000000000007</v>
      </c>
      <c r="CX140" s="3">
        <v>9.6999999999999993</v>
      </c>
      <c r="CY140" s="3">
        <v>9.6</v>
      </c>
      <c r="CZ140" s="3">
        <v>9</v>
      </c>
      <c r="DJ140" s="3">
        <f t="shared" ca="1" si="236"/>
        <v>150</v>
      </c>
      <c r="DK140" s="3">
        <f t="shared" ca="1" si="237"/>
        <v>100</v>
      </c>
      <c r="DL140" s="3">
        <f t="shared" ca="1" si="238"/>
        <v>10</v>
      </c>
      <c r="DO140" s="3">
        <v>2</v>
      </c>
      <c r="EA140" s="3">
        <f t="shared" si="239"/>
        <v>2</v>
      </c>
      <c r="EB140" s="3">
        <f t="shared" si="240"/>
        <v>2</v>
      </c>
      <c r="EC140" s="3">
        <f t="shared" si="241"/>
        <v>0</v>
      </c>
      <c r="ED140" s="3">
        <f t="shared" si="242"/>
        <v>0</v>
      </c>
      <c r="EF140" s="3">
        <f t="shared" ca="1" si="243"/>
        <v>0</v>
      </c>
      <c r="EG140" s="3">
        <f t="shared" ca="1" si="244"/>
        <v>0</v>
      </c>
      <c r="EH140" s="3">
        <f ca="1">IFERROR(IF(LEFT($BA140,1)="4",OFFSET(변환표준점수!$H$118,MATCH($S140,변환표준점수!$B$119:$B$198,0),),OFFSET(EH$3,MATCH(AS140,$ED$4:$ED$8,0),0)),0)</f>
        <v>0</v>
      </c>
      <c r="EI140" s="3">
        <f ca="1">IFERROR(IF(LEFT($BA140,1)="4",OFFSET(변환표준점수!$I$118,MATCH($S140,변환표준점수!$B$119:$B$198,0),0),OFFSET(EI$3,MATCH(AT140,$ED$4:$ED$8,0),0)),0)</f>
        <v>0</v>
      </c>
      <c r="EK140" s="3">
        <f ca="1">IFERROR(IF(LEFT($BA140,1)="4",OFFSET(변환표준점수!$J$118,MATCH($S140,변환표준점수!$B$119:$B$198,0),0),OFFSET(EJ$3,MATCH(AV140,$ED$4:$ED$8,0),0)),0)</f>
        <v>0</v>
      </c>
      <c r="EL140" s="3">
        <f ca="1">IFERROR(IF(LEFT($BA140,1)="4",OFFSET(변환표준점수!$K$118,MATCH($S140,변환표준점수!$B$119:$B$198,0),0),OFFSET(EK$3,MATCH(AW140,$ED$4:$ED$8,0),0)),0)</f>
        <v>0</v>
      </c>
      <c r="EM140" s="3" t="str">
        <f t="shared" ca="1" si="245"/>
        <v/>
      </c>
      <c r="EN140" s="3" t="str">
        <f t="shared" ca="1" si="246"/>
        <v/>
      </c>
      <c r="EO140" s="3">
        <f t="shared" ca="1" si="247"/>
        <v>0</v>
      </c>
      <c r="EQ140" s="3">
        <f t="shared" ca="1" si="248"/>
        <v>0</v>
      </c>
      <c r="ER140" s="3">
        <f t="shared" ca="1" si="249"/>
        <v>0</v>
      </c>
      <c r="ES140" s="3">
        <f t="shared" ca="1" si="250"/>
        <v>0</v>
      </c>
      <c r="ET140" s="3">
        <f t="shared" ca="1" si="251"/>
        <v>0</v>
      </c>
      <c r="EU140" s="3">
        <f t="shared" si="252"/>
        <v>0</v>
      </c>
      <c r="EV140" s="3">
        <f t="shared" ca="1" si="253"/>
        <v>0</v>
      </c>
      <c r="EW140" s="3">
        <f t="shared" ca="1" si="254"/>
        <v>0</v>
      </c>
      <c r="EX140" s="3">
        <f ca="1">LARGE((ES140:ET140,EV140:EW140),1)</f>
        <v>0</v>
      </c>
      <c r="EY140" s="3">
        <f ca="1">IF(O140&lt;2,0,LARGE((ES140:ET140,EV140:EW140),2))</f>
        <v>0</v>
      </c>
      <c r="EZ140" s="3">
        <f t="shared" ca="1" si="255"/>
        <v>0</v>
      </c>
      <c r="FA140" s="3">
        <f t="shared" ca="1" si="256"/>
        <v>0</v>
      </c>
      <c r="FB140" s="3">
        <f t="shared" ca="1" si="257"/>
        <v>0</v>
      </c>
      <c r="FG140" s="3">
        <f t="shared" ca="1" si="258"/>
        <v>0</v>
      </c>
      <c r="FH140" s="618"/>
      <c r="FU140" s="3" t="str">
        <f t="shared" si="166"/>
        <v>표점/만점</v>
      </c>
      <c r="FV140" s="3" t="str">
        <f t="shared" si="167"/>
        <v>변표/만점</v>
      </c>
      <c r="FW140" s="3">
        <f t="shared" ca="1" si="259"/>
        <v>0.35</v>
      </c>
      <c r="FX140" s="3">
        <f t="shared" ca="1" si="260"/>
        <v>0.35</v>
      </c>
      <c r="FY140" s="3">
        <f t="shared" ca="1" si="261"/>
        <v>0.28999999999999998</v>
      </c>
      <c r="FZ140" s="3">
        <f t="shared" ca="1" si="262"/>
        <v>6.0868448098663928</v>
      </c>
    </row>
    <row r="141" spans="1:182">
      <c r="A141" s="556">
        <v>26</v>
      </c>
      <c r="C141" s="3">
        <f t="shared" si="216"/>
        <v>126</v>
      </c>
      <c r="D141" s="3">
        <v>126</v>
      </c>
      <c r="E141" s="3" t="s">
        <v>7320</v>
      </c>
      <c r="F141" s="3">
        <v>1000</v>
      </c>
      <c r="G141" s="3">
        <v>0.25</v>
      </c>
      <c r="H141" s="3">
        <v>0.35</v>
      </c>
      <c r="I141" s="3">
        <v>0.125</v>
      </c>
      <c r="J141" s="3">
        <v>0.125</v>
      </c>
      <c r="L141" s="3">
        <v>0.125</v>
      </c>
      <c r="M141" s="3">
        <v>0.125</v>
      </c>
      <c r="O141" s="3">
        <v>2</v>
      </c>
      <c r="P141" s="3">
        <f t="shared" si="217"/>
        <v>0.85</v>
      </c>
      <c r="Q141" s="3">
        <v>40</v>
      </c>
      <c r="S141" s="3">
        <f t="shared" si="218"/>
        <v>40</v>
      </c>
      <c r="W141" s="3">
        <f t="shared" si="219"/>
        <v>0</v>
      </c>
      <c r="Y141" s="3">
        <f t="shared" si="220"/>
        <v>1.7985611510791366</v>
      </c>
      <c r="Z141" s="3">
        <f t="shared" si="221"/>
        <v>2.5</v>
      </c>
      <c r="AA141" s="3">
        <f t="shared" ca="1" si="222"/>
        <v>1.7857142857142858</v>
      </c>
      <c r="AB141" s="3">
        <f t="shared" ca="1" si="223"/>
        <v>1.7857142857142858</v>
      </c>
      <c r="AC141" s="3">
        <f t="shared" ca="1" si="224"/>
        <v>1.7857142857142858</v>
      </c>
      <c r="AD141" s="3">
        <f t="shared" si="225"/>
        <v>1.7985611510791366</v>
      </c>
      <c r="AE141" s="3">
        <f t="shared" si="226"/>
        <v>2.5</v>
      </c>
      <c r="AF141" s="3">
        <f t="shared" ca="1" si="227"/>
        <v>1.7857142857142858</v>
      </c>
      <c r="AG141" s="3">
        <f t="shared" ca="1" si="228"/>
        <v>1.7857142857142858</v>
      </c>
      <c r="AH141" s="3" t="str">
        <f t="shared" si="229"/>
        <v>자동</v>
      </c>
      <c r="AI141" s="3">
        <f t="shared" ca="1" si="230"/>
        <v>1.7857142857142858</v>
      </c>
      <c r="AJ141" s="3">
        <f t="shared" ca="1" si="231"/>
        <v>1.7857142857142858</v>
      </c>
      <c r="AL141" s="3" t="str">
        <f t="shared" si="232"/>
        <v/>
      </c>
      <c r="AN141" s="3">
        <f ca="1">IF($BA141=42,OFFSET(변환표준점수!C$119,$AP141-1,0),"")</f>
        <v>70</v>
      </c>
      <c r="AO141" s="3">
        <f ca="1">IF($BA141=42,OFFSET(변환표준점수!D$119,$AP141-1,0),"")</f>
        <v>70</v>
      </c>
      <c r="AP141" s="3">
        <f>IF(S141="","",MATCH(S141,변환표준점수!$B$119:$B$298,0))</f>
        <v>40</v>
      </c>
      <c r="AQ141" s="3">
        <v>12</v>
      </c>
      <c r="AR141" s="3">
        <v>12</v>
      </c>
      <c r="AS141" s="3">
        <v>42</v>
      </c>
      <c r="AT141" s="3">
        <v>42</v>
      </c>
      <c r="AV141" s="3">
        <v>42</v>
      </c>
      <c r="AW141" s="3">
        <v>42</v>
      </c>
      <c r="AX141" s="3">
        <v>3</v>
      </c>
      <c r="AY141" s="3">
        <v>3</v>
      </c>
      <c r="BA141" s="3">
        <f t="shared" si="233"/>
        <v>42</v>
      </c>
      <c r="BF141" s="3">
        <f ca="1">0.03*AF141</f>
        <v>5.3571428571428575E-2</v>
      </c>
      <c r="BG141" s="3">
        <f ca="1">0.03*AG141</f>
        <v>5.3571428571428575E-2</v>
      </c>
      <c r="BJ141" s="3">
        <f t="shared" si="234"/>
        <v>0</v>
      </c>
      <c r="BN141" s="212" t="s">
        <v>7321</v>
      </c>
      <c r="BS141" s="3">
        <f ca="1">BF141*EH141</f>
        <v>0</v>
      </c>
      <c r="BT141" s="3">
        <f ca="1">BG141*EI141</f>
        <v>0</v>
      </c>
      <c r="CH141" s="206">
        <f t="shared" si="263"/>
        <v>850</v>
      </c>
      <c r="CI141" s="56">
        <v>150</v>
      </c>
      <c r="CJ141" s="3">
        <v>149.25</v>
      </c>
      <c r="CK141" s="3">
        <v>148.5</v>
      </c>
      <c r="CL141" s="3">
        <v>147</v>
      </c>
      <c r="CM141" s="3">
        <v>144.75</v>
      </c>
      <c r="CN141" s="3">
        <v>142.5</v>
      </c>
      <c r="CO141" s="3">
        <v>138.75</v>
      </c>
      <c r="CP141" s="3">
        <v>135</v>
      </c>
      <c r="CQ141" s="3">
        <v>127.5</v>
      </c>
      <c r="CR141" s="56">
        <v>10</v>
      </c>
      <c r="CS141" s="3">
        <v>10</v>
      </c>
      <c r="CT141" s="3">
        <v>10</v>
      </c>
      <c r="CU141" s="3">
        <v>10</v>
      </c>
      <c r="CV141" s="3">
        <v>9.9</v>
      </c>
      <c r="CW141" s="3">
        <v>9.8000000000000007</v>
      </c>
      <c r="CX141" s="3">
        <v>9.6999999999999993</v>
      </c>
      <c r="CY141" s="3">
        <v>9.6</v>
      </c>
      <c r="CZ141" s="3">
        <v>9</v>
      </c>
      <c r="DJ141" s="3">
        <f t="shared" ca="1" si="236"/>
        <v>150</v>
      </c>
      <c r="DK141" s="3">
        <f t="shared" ca="1" si="237"/>
        <v>100</v>
      </c>
      <c r="DL141" s="3">
        <f t="shared" ca="1" si="238"/>
        <v>10</v>
      </c>
      <c r="DO141" s="3">
        <v>2</v>
      </c>
      <c r="DZ141" s="3">
        <v>1</v>
      </c>
      <c r="EA141" s="3">
        <f t="shared" si="239"/>
        <v>1</v>
      </c>
      <c r="EB141" s="3">
        <f t="shared" si="240"/>
        <v>2</v>
      </c>
      <c r="EC141" s="3">
        <f t="shared" si="241"/>
        <v>0</v>
      </c>
      <c r="ED141" s="3">
        <f t="shared" si="242"/>
        <v>0</v>
      </c>
      <c r="EF141" s="3">
        <f t="shared" ca="1" si="243"/>
        <v>0</v>
      </c>
      <c r="EG141" s="3">
        <f t="shared" ca="1" si="244"/>
        <v>0</v>
      </c>
      <c r="EH141" s="3">
        <f ca="1">IFERROR(IF(LEFT($BA141,1)="4",OFFSET(변환표준점수!$H$118,MATCH($S141,변환표준점수!$B$119:$B$198,0),),OFFSET(EH$3,MATCH(AS141,$ED$4:$ED$8,0),0)),0)</f>
        <v>0</v>
      </c>
      <c r="EI141" s="3">
        <f ca="1">IFERROR(IF(LEFT($BA141,1)="4",OFFSET(변환표준점수!$I$118,MATCH($S141,변환표준점수!$B$119:$B$198,0),0),OFFSET(EI$3,MATCH(AT141,$ED$4:$ED$8,0),0)),0)</f>
        <v>0</v>
      </c>
      <c r="EK141" s="3">
        <f ca="1">IFERROR(IF(LEFT($BA141,1)="4",OFFSET(변환표준점수!$J$118,MATCH($S141,변환표준점수!$B$119:$B$198,0),0),OFFSET(EJ$3,MATCH(AV141,$ED$4:$ED$8,0),0)),0)</f>
        <v>0</v>
      </c>
      <c r="EL141" s="3">
        <f ca="1">IFERROR(IF(LEFT($BA141,1)="4",OFFSET(변환표준점수!$K$118,MATCH($S141,변환표준점수!$B$119:$B$198,0),0),OFFSET(EK$3,MATCH(AW141,$ED$4:$ED$8,0),0)),0)</f>
        <v>0</v>
      </c>
      <c r="EM141" s="3" t="str">
        <f t="shared" ca="1" si="245"/>
        <v/>
      </c>
      <c r="EN141" s="3" t="str">
        <f t="shared" ca="1" si="246"/>
        <v/>
      </c>
      <c r="EO141" s="3">
        <f t="shared" ca="1" si="247"/>
        <v>0</v>
      </c>
      <c r="EQ141" s="3">
        <f t="shared" ca="1" si="248"/>
        <v>0</v>
      </c>
      <c r="ER141" s="3">
        <f t="shared" ca="1" si="249"/>
        <v>0</v>
      </c>
      <c r="ES141" s="3">
        <f t="shared" ca="1" si="250"/>
        <v>0</v>
      </c>
      <c r="ET141" s="3">
        <f t="shared" ca="1" si="251"/>
        <v>0</v>
      </c>
      <c r="EU141" s="3">
        <f t="shared" si="252"/>
        <v>0</v>
      </c>
      <c r="EV141" s="3">
        <f t="shared" ca="1" si="253"/>
        <v>0</v>
      </c>
      <c r="EW141" s="3">
        <f t="shared" ca="1" si="254"/>
        <v>0</v>
      </c>
      <c r="EX141" s="3">
        <f ca="1">LARGE((ES141:ET141,EV141:EW141),1)</f>
        <v>0</v>
      </c>
      <c r="EY141" s="3">
        <f ca="1">IF(O141&lt;2,0,LARGE((ES141:ET141,EV141:EW141),2))</f>
        <v>0</v>
      </c>
      <c r="EZ141" s="3">
        <f t="shared" ca="1" si="255"/>
        <v>0</v>
      </c>
      <c r="FA141" s="3">
        <f t="shared" ca="1" si="256"/>
        <v>0</v>
      </c>
      <c r="FB141" s="3">
        <f t="shared" ca="1" si="257"/>
        <v>0</v>
      </c>
      <c r="FG141" s="3">
        <f t="shared" ca="1" si="258"/>
        <v>0</v>
      </c>
      <c r="FH141" s="618"/>
      <c r="FU141" s="3" t="str">
        <f t="shared" si="166"/>
        <v>표점/만점</v>
      </c>
      <c r="FV141" s="3" t="str">
        <f t="shared" si="167"/>
        <v>변표/만점</v>
      </c>
      <c r="FW141" s="3">
        <f t="shared" ca="1" si="259"/>
        <v>0.3</v>
      </c>
      <c r="FX141" s="3">
        <f t="shared" ca="1" si="260"/>
        <v>0.41</v>
      </c>
      <c r="FY141" s="3">
        <f t="shared" ca="1" si="261"/>
        <v>0.28999999999999998</v>
      </c>
      <c r="FZ141" s="3">
        <f t="shared" ca="1" si="262"/>
        <v>6.0842754367934218</v>
      </c>
    </row>
    <row r="142" spans="1:182">
      <c r="A142" s="556">
        <v>26</v>
      </c>
      <c r="C142" s="3">
        <f t="shared" si="216"/>
        <v>127</v>
      </c>
      <c r="D142" s="3">
        <v>127</v>
      </c>
      <c r="E142" s="3" t="s">
        <v>7322</v>
      </c>
      <c r="F142" s="3">
        <v>1000</v>
      </c>
      <c r="G142" s="3">
        <v>0.25</v>
      </c>
      <c r="H142" s="3">
        <v>0.35</v>
      </c>
      <c r="I142" s="3">
        <v>0.125</v>
      </c>
      <c r="J142" s="3">
        <v>0.125</v>
      </c>
      <c r="L142" s="3">
        <v>0.125</v>
      </c>
      <c r="M142" s="3">
        <v>0.125</v>
      </c>
      <c r="O142" s="3">
        <v>2</v>
      </c>
      <c r="P142" s="3">
        <f t="shared" si="217"/>
        <v>0.85</v>
      </c>
      <c r="Q142" s="3">
        <v>40</v>
      </c>
      <c r="S142" s="3">
        <f t="shared" si="218"/>
        <v>40</v>
      </c>
      <c r="W142" s="3">
        <f t="shared" si="219"/>
        <v>0</v>
      </c>
      <c r="Y142" s="3">
        <f t="shared" si="220"/>
        <v>1.7985611510791366</v>
      </c>
      <c r="Z142" s="3">
        <f t="shared" si="221"/>
        <v>2.5</v>
      </c>
      <c r="AA142" s="3">
        <f t="shared" ca="1" si="222"/>
        <v>1.7857142857142858</v>
      </c>
      <c r="AB142" s="3">
        <f t="shared" ca="1" si="223"/>
        <v>1.7857142857142858</v>
      </c>
      <c r="AC142" s="3">
        <f t="shared" ca="1" si="224"/>
        <v>1.7857142857142858</v>
      </c>
      <c r="AD142" s="3">
        <f t="shared" si="225"/>
        <v>1.7985611510791366</v>
      </c>
      <c r="AE142" s="3">
        <f t="shared" si="226"/>
        <v>2.5</v>
      </c>
      <c r="AF142" s="3">
        <f t="shared" ca="1" si="227"/>
        <v>1.7857142857142858</v>
      </c>
      <c r="AG142" s="3">
        <f t="shared" ca="1" si="228"/>
        <v>1.7857142857142858</v>
      </c>
      <c r="AH142" s="3" t="str">
        <f t="shared" si="229"/>
        <v>자동</v>
      </c>
      <c r="AI142" s="3">
        <f t="shared" ca="1" si="230"/>
        <v>1.7857142857142858</v>
      </c>
      <c r="AJ142" s="3">
        <f t="shared" ca="1" si="231"/>
        <v>1.7857142857142858</v>
      </c>
      <c r="AL142" s="3" t="str">
        <f t="shared" si="232"/>
        <v/>
      </c>
      <c r="AN142" s="3">
        <f ca="1">IF($BA142=42,OFFSET(변환표준점수!C$119,$AP142-1,0),"")</f>
        <v>70</v>
      </c>
      <c r="AO142" s="3">
        <f ca="1">IF($BA142=42,OFFSET(변환표준점수!D$119,$AP142-1,0),"")</f>
        <v>70</v>
      </c>
      <c r="AP142" s="3">
        <f>IF(S142="","",MATCH(S142,변환표준점수!$B$119:$B$298,0))</f>
        <v>40</v>
      </c>
      <c r="AQ142" s="3">
        <v>12</v>
      </c>
      <c r="AR142" s="3">
        <v>12</v>
      </c>
      <c r="AS142" s="3">
        <v>42</v>
      </c>
      <c r="AT142" s="3">
        <v>42</v>
      </c>
      <c r="AV142" s="3">
        <v>42</v>
      </c>
      <c r="AW142" s="3">
        <v>42</v>
      </c>
      <c r="AX142" s="3">
        <v>3</v>
      </c>
      <c r="AY142" s="3">
        <v>3</v>
      </c>
      <c r="BA142" s="3">
        <f t="shared" si="233"/>
        <v>42</v>
      </c>
      <c r="BJ142" s="3">
        <f t="shared" si="234"/>
        <v>0</v>
      </c>
      <c r="CH142" s="206">
        <f t="shared" si="263"/>
        <v>850</v>
      </c>
      <c r="CI142" s="56">
        <v>150</v>
      </c>
      <c r="CJ142" s="3">
        <v>149.25</v>
      </c>
      <c r="CK142" s="3">
        <v>148.5</v>
      </c>
      <c r="CL142" s="3">
        <v>147</v>
      </c>
      <c r="CM142" s="3">
        <v>144.75</v>
      </c>
      <c r="CN142" s="3">
        <v>142.5</v>
      </c>
      <c r="CO142" s="3">
        <v>138.75</v>
      </c>
      <c r="CP142" s="3">
        <v>135</v>
      </c>
      <c r="CQ142" s="3">
        <v>127.5</v>
      </c>
      <c r="CR142" s="56">
        <v>10</v>
      </c>
      <c r="CS142" s="3">
        <v>10</v>
      </c>
      <c r="CT142" s="3">
        <v>10</v>
      </c>
      <c r="CU142" s="3">
        <v>10</v>
      </c>
      <c r="CV142" s="3">
        <v>9.9</v>
      </c>
      <c r="CW142" s="3">
        <v>9.8000000000000007</v>
      </c>
      <c r="CX142" s="3">
        <v>9.6999999999999993</v>
      </c>
      <c r="CY142" s="3">
        <v>9.6</v>
      </c>
      <c r="CZ142" s="3">
        <v>9</v>
      </c>
      <c r="DJ142" s="3">
        <f t="shared" ca="1" si="236"/>
        <v>150</v>
      </c>
      <c r="DK142" s="3">
        <f t="shared" ca="1" si="237"/>
        <v>100</v>
      </c>
      <c r="DL142" s="3">
        <f t="shared" ca="1" si="238"/>
        <v>10</v>
      </c>
      <c r="DO142" s="3">
        <v>2</v>
      </c>
      <c r="DZ142" s="3">
        <v>1</v>
      </c>
      <c r="EA142" s="3">
        <f t="shared" si="239"/>
        <v>1</v>
      </c>
      <c r="EB142" s="3">
        <f t="shared" si="240"/>
        <v>2</v>
      </c>
      <c r="EC142" s="3">
        <f t="shared" si="241"/>
        <v>0</v>
      </c>
      <c r="ED142" s="3">
        <f t="shared" si="242"/>
        <v>0</v>
      </c>
      <c r="EF142" s="3">
        <f t="shared" ca="1" si="243"/>
        <v>0</v>
      </c>
      <c r="EG142" s="3">
        <f t="shared" ca="1" si="244"/>
        <v>0</v>
      </c>
      <c r="EH142" s="3">
        <f ca="1">IFERROR(IF(LEFT($BA142,1)="4",OFFSET(변환표준점수!$H$118,MATCH($S142,변환표준점수!$B$119:$B$198,0),),OFFSET(EH$3,MATCH(AS142,$ED$4:$ED$8,0),0)),0)</f>
        <v>0</v>
      </c>
      <c r="EI142" s="3">
        <f ca="1">IFERROR(IF(LEFT($BA142,1)="4",OFFSET(변환표준점수!$I$118,MATCH($S142,변환표준점수!$B$119:$B$198,0),0),OFFSET(EI$3,MATCH(AT142,$ED$4:$ED$8,0),0)),0)</f>
        <v>0</v>
      </c>
      <c r="EK142" s="3">
        <f ca="1">IFERROR(IF(LEFT($BA142,1)="4",OFFSET(변환표준점수!$J$118,MATCH($S142,변환표준점수!$B$119:$B$198,0),0),OFFSET(EJ$3,MATCH(AV142,$ED$4:$ED$8,0),0)),0)</f>
        <v>0</v>
      </c>
      <c r="EL142" s="3">
        <f ca="1">IFERROR(IF(LEFT($BA142,1)="4",OFFSET(변환표준점수!$K$118,MATCH($S142,변환표준점수!$B$119:$B$198,0),0),OFFSET(EK$3,MATCH(AW142,$ED$4:$ED$8,0),0)),0)</f>
        <v>0</v>
      </c>
      <c r="EM142" s="3" t="str">
        <f t="shared" ca="1" si="245"/>
        <v/>
      </c>
      <c r="EN142" s="3" t="str">
        <f t="shared" ca="1" si="246"/>
        <v/>
      </c>
      <c r="EO142" s="3">
        <f t="shared" ca="1" si="247"/>
        <v>0</v>
      </c>
      <c r="EQ142" s="3">
        <f t="shared" ca="1" si="248"/>
        <v>0</v>
      </c>
      <c r="ER142" s="3">
        <f t="shared" ca="1" si="249"/>
        <v>0</v>
      </c>
      <c r="ES142" s="3">
        <f t="shared" ca="1" si="250"/>
        <v>0</v>
      </c>
      <c r="ET142" s="3">
        <f t="shared" ca="1" si="251"/>
        <v>0</v>
      </c>
      <c r="EU142" s="3">
        <f t="shared" si="252"/>
        <v>0</v>
      </c>
      <c r="EV142" s="3">
        <f t="shared" ca="1" si="253"/>
        <v>0</v>
      </c>
      <c r="EW142" s="3">
        <f t="shared" ca="1" si="254"/>
        <v>0</v>
      </c>
      <c r="EX142" s="3">
        <f ca="1">LARGE((ES142:ET142,EV142:EW142),1)</f>
        <v>0</v>
      </c>
      <c r="EY142" s="3">
        <f ca="1">IF(O142&lt;2,0,LARGE((ES142:ET142,EV142:EW142),2))</f>
        <v>0</v>
      </c>
      <c r="EZ142" s="3">
        <f t="shared" ca="1" si="255"/>
        <v>0</v>
      </c>
      <c r="FA142" s="3">
        <f t="shared" ca="1" si="256"/>
        <v>0</v>
      </c>
      <c r="FB142" s="3">
        <f t="shared" ca="1" si="257"/>
        <v>0</v>
      </c>
      <c r="FG142" s="3">
        <f t="shared" ca="1" si="258"/>
        <v>0</v>
      </c>
      <c r="FH142" s="618"/>
      <c r="FU142" s="3" t="str">
        <f t="shared" si="166"/>
        <v>표점/만점</v>
      </c>
      <c r="FV142" s="3" t="str">
        <f t="shared" si="167"/>
        <v>변표/만점</v>
      </c>
      <c r="FW142" s="3">
        <f t="shared" ca="1" si="259"/>
        <v>0.3</v>
      </c>
      <c r="FX142" s="3">
        <f t="shared" ca="1" si="260"/>
        <v>0.41</v>
      </c>
      <c r="FY142" s="3">
        <f t="shared" ca="1" si="261"/>
        <v>0.28999999999999998</v>
      </c>
      <c r="FZ142" s="3">
        <f t="shared" ca="1" si="262"/>
        <v>6.0842754367934218</v>
      </c>
    </row>
    <row r="143" spans="1:182">
      <c r="A143" s="556">
        <v>26</v>
      </c>
      <c r="C143" s="3">
        <f t="shared" si="216"/>
        <v>128</v>
      </c>
      <c r="D143" s="3">
        <v>128</v>
      </c>
      <c r="E143" s="3" t="s">
        <v>7323</v>
      </c>
      <c r="F143" s="3">
        <v>1000</v>
      </c>
      <c r="G143" s="3">
        <v>0.3</v>
      </c>
      <c r="H143" s="3">
        <v>0.35</v>
      </c>
      <c r="I143" s="3">
        <v>0.125</v>
      </c>
      <c r="J143" s="3">
        <v>0.125</v>
      </c>
      <c r="L143" s="3">
        <v>0.125</v>
      </c>
      <c r="M143" s="3">
        <v>0.125</v>
      </c>
      <c r="O143" s="3">
        <v>2</v>
      </c>
      <c r="P143" s="3">
        <f t="shared" si="217"/>
        <v>0.89999999999999991</v>
      </c>
      <c r="Q143" s="3">
        <v>40</v>
      </c>
      <c r="S143" s="3">
        <f t="shared" si="218"/>
        <v>40</v>
      </c>
      <c r="W143" s="3">
        <f t="shared" si="219"/>
        <v>0</v>
      </c>
      <c r="Y143" s="3">
        <f t="shared" si="220"/>
        <v>2.1582733812949639</v>
      </c>
      <c r="Z143" s="3">
        <f t="shared" si="221"/>
        <v>2.5</v>
      </c>
      <c r="AA143" s="3">
        <f t="shared" ca="1" si="222"/>
        <v>1.7857142857142858</v>
      </c>
      <c r="AB143" s="3">
        <f t="shared" ca="1" si="223"/>
        <v>1.7857142857142858</v>
      </c>
      <c r="AC143" s="3">
        <f t="shared" ca="1" si="224"/>
        <v>1.7857142857142858</v>
      </c>
      <c r="AD143" s="3">
        <f t="shared" si="225"/>
        <v>2.1582733812949639</v>
      </c>
      <c r="AE143" s="3">
        <f t="shared" si="226"/>
        <v>2.5</v>
      </c>
      <c r="AF143" s="3">
        <f t="shared" ca="1" si="227"/>
        <v>1.7857142857142858</v>
      </c>
      <c r="AG143" s="3">
        <f t="shared" ca="1" si="228"/>
        <v>1.7857142857142858</v>
      </c>
      <c r="AH143" s="3" t="str">
        <f t="shared" si="229"/>
        <v>자동</v>
      </c>
      <c r="AI143" s="3">
        <f t="shared" ca="1" si="230"/>
        <v>1.7857142857142858</v>
      </c>
      <c r="AJ143" s="3">
        <f t="shared" ca="1" si="231"/>
        <v>1.7857142857142858</v>
      </c>
      <c r="AL143" s="3" t="str">
        <f t="shared" si="232"/>
        <v/>
      </c>
      <c r="AN143" s="3">
        <f ca="1">IF($BA143=42,OFFSET(변환표준점수!C$119,$AP143-1,0),"")</f>
        <v>70</v>
      </c>
      <c r="AO143" s="3">
        <f ca="1">IF($BA143=42,OFFSET(변환표준점수!D$119,$AP143-1,0),"")</f>
        <v>70</v>
      </c>
      <c r="AP143" s="3">
        <f>IF(S143="","",MATCH(S143,변환표준점수!$B$119:$B$298,0))</f>
        <v>40</v>
      </c>
      <c r="AQ143" s="3">
        <v>12</v>
      </c>
      <c r="AR143" s="3">
        <v>12</v>
      </c>
      <c r="AS143" s="3">
        <v>42</v>
      </c>
      <c r="AT143" s="3">
        <v>42</v>
      </c>
      <c r="AV143" s="3">
        <v>42</v>
      </c>
      <c r="AW143" s="3">
        <v>42</v>
      </c>
      <c r="AX143" s="3">
        <v>3</v>
      </c>
      <c r="AY143" s="3">
        <v>3</v>
      </c>
      <c r="BA143" s="3">
        <f t="shared" si="233"/>
        <v>42</v>
      </c>
      <c r="BJ143" s="3">
        <f t="shared" si="234"/>
        <v>0</v>
      </c>
      <c r="CH143" s="206">
        <f t="shared" si="263"/>
        <v>899.99999999999989</v>
      </c>
      <c r="CI143" s="56">
        <v>100</v>
      </c>
      <c r="CJ143" s="3">
        <v>99.5</v>
      </c>
      <c r="CK143" s="3">
        <v>99</v>
      </c>
      <c r="CL143" s="3">
        <v>98</v>
      </c>
      <c r="CM143" s="3">
        <v>96.5</v>
      </c>
      <c r="CN143" s="3">
        <v>95</v>
      </c>
      <c r="CO143" s="3">
        <v>92.5</v>
      </c>
      <c r="CP143" s="3">
        <v>90</v>
      </c>
      <c r="CQ143" s="3">
        <v>85</v>
      </c>
      <c r="CR143" s="56">
        <v>10</v>
      </c>
      <c r="CS143" s="3">
        <v>10</v>
      </c>
      <c r="CT143" s="3">
        <v>10</v>
      </c>
      <c r="CU143" s="3">
        <v>10</v>
      </c>
      <c r="CV143" s="3">
        <v>9.9</v>
      </c>
      <c r="CW143" s="3">
        <v>9.8000000000000007</v>
      </c>
      <c r="CX143" s="3">
        <v>9.6999999999999993</v>
      </c>
      <c r="CY143" s="3">
        <v>9.6</v>
      </c>
      <c r="CZ143" s="3">
        <v>9</v>
      </c>
      <c r="DJ143" s="3">
        <f t="shared" ca="1" si="236"/>
        <v>100</v>
      </c>
      <c r="DK143" s="3">
        <f t="shared" ca="1" si="237"/>
        <v>100</v>
      </c>
      <c r="DL143" s="3">
        <f t="shared" ca="1" si="238"/>
        <v>10</v>
      </c>
      <c r="DO143" s="3">
        <v>2</v>
      </c>
      <c r="DZ143" s="3">
        <v>1</v>
      </c>
      <c r="EA143" s="3">
        <f t="shared" si="239"/>
        <v>1</v>
      </c>
      <c r="EB143" s="3">
        <f t="shared" si="240"/>
        <v>2</v>
      </c>
      <c r="EC143" s="3">
        <f t="shared" si="241"/>
        <v>0</v>
      </c>
      <c r="ED143" s="3">
        <f t="shared" si="242"/>
        <v>0</v>
      </c>
      <c r="EF143" s="3">
        <f t="shared" ca="1" si="243"/>
        <v>0</v>
      </c>
      <c r="EG143" s="3">
        <f t="shared" ca="1" si="244"/>
        <v>0</v>
      </c>
      <c r="EH143" s="3">
        <f ca="1">IFERROR(IF(LEFT($BA143,1)="4",OFFSET(변환표준점수!$H$118,MATCH($S143,변환표준점수!$B$119:$B$198,0),),OFFSET(EH$3,MATCH(AS143,$ED$4:$ED$8,0),0)),0)</f>
        <v>0</v>
      </c>
      <c r="EI143" s="3">
        <f ca="1">IFERROR(IF(LEFT($BA143,1)="4",OFFSET(변환표준점수!$I$118,MATCH($S143,변환표준점수!$B$119:$B$198,0),0),OFFSET(EI$3,MATCH(AT143,$ED$4:$ED$8,0),0)),0)</f>
        <v>0</v>
      </c>
      <c r="EK143" s="3">
        <f ca="1">IFERROR(IF(LEFT($BA143,1)="4",OFFSET(변환표준점수!$J$118,MATCH($S143,변환표준점수!$B$119:$B$198,0),0),OFFSET(EJ$3,MATCH(AV143,$ED$4:$ED$8,0),0)),0)</f>
        <v>0</v>
      </c>
      <c r="EL143" s="3">
        <f ca="1">IFERROR(IF(LEFT($BA143,1)="4",OFFSET(변환표준점수!$K$118,MATCH($S143,변환표준점수!$B$119:$B$198,0),0),OFFSET(EK$3,MATCH(AW143,$ED$4:$ED$8,0),0)),0)</f>
        <v>0</v>
      </c>
      <c r="EM143" s="3" t="str">
        <f t="shared" ca="1" si="245"/>
        <v/>
      </c>
      <c r="EN143" s="3" t="str">
        <f t="shared" ca="1" si="246"/>
        <v/>
      </c>
      <c r="EO143" s="3">
        <f t="shared" ca="1" si="247"/>
        <v>0</v>
      </c>
      <c r="EQ143" s="3">
        <f t="shared" ca="1" si="248"/>
        <v>0</v>
      </c>
      <c r="ER143" s="3">
        <f t="shared" ca="1" si="249"/>
        <v>0</v>
      </c>
      <c r="ES143" s="3">
        <f t="shared" ca="1" si="250"/>
        <v>0</v>
      </c>
      <c r="ET143" s="3">
        <f t="shared" ca="1" si="251"/>
        <v>0</v>
      </c>
      <c r="EU143" s="3">
        <f t="shared" si="252"/>
        <v>0</v>
      </c>
      <c r="EV143" s="3">
        <f t="shared" ca="1" si="253"/>
        <v>0</v>
      </c>
      <c r="EW143" s="3">
        <f t="shared" ca="1" si="254"/>
        <v>0</v>
      </c>
      <c r="EX143" s="3">
        <f ca="1">LARGE((ES143:ET143,EV143:EW143),1)</f>
        <v>0</v>
      </c>
      <c r="EY143" s="3">
        <f ca="1">IF(O143&lt;2,0,LARGE((ES143:ET143,EV143:EW143),2))</f>
        <v>0</v>
      </c>
      <c r="EZ143" s="3">
        <f t="shared" ca="1" si="255"/>
        <v>0</v>
      </c>
      <c r="FA143" s="3">
        <f t="shared" ca="1" si="256"/>
        <v>0</v>
      </c>
      <c r="FB143" s="3">
        <f t="shared" ca="1" si="257"/>
        <v>0</v>
      </c>
      <c r="FG143" s="3">
        <f t="shared" ca="1" si="258"/>
        <v>0</v>
      </c>
      <c r="FH143" s="618"/>
      <c r="FU143" s="3" t="str">
        <f t="shared" si="166"/>
        <v>표점/만점</v>
      </c>
      <c r="FV143" s="3" t="str">
        <f t="shared" si="167"/>
        <v>변표/만점</v>
      </c>
      <c r="FW143" s="3">
        <f t="shared" ca="1" si="259"/>
        <v>0.33</v>
      </c>
      <c r="FX143" s="3">
        <f t="shared" ca="1" si="260"/>
        <v>0.39</v>
      </c>
      <c r="FY143" s="3">
        <f t="shared" ca="1" si="261"/>
        <v>0.28000000000000003</v>
      </c>
      <c r="FZ143" s="3">
        <f t="shared" ca="1" si="262"/>
        <v>6.4439876670092495</v>
      </c>
    </row>
    <row r="144" spans="1:182">
      <c r="A144" s="556">
        <v>26</v>
      </c>
      <c r="C144" s="3">
        <f t="shared" si="216"/>
        <v>129</v>
      </c>
      <c r="D144" s="3">
        <v>129</v>
      </c>
      <c r="E144" s="3" t="s">
        <v>450</v>
      </c>
      <c r="F144" s="3">
        <v>1000</v>
      </c>
      <c r="G144" s="3">
        <v>0.35</v>
      </c>
      <c r="H144" s="3">
        <v>0.3</v>
      </c>
      <c r="I144" s="3">
        <v>0.125</v>
      </c>
      <c r="J144" s="3">
        <v>0.125</v>
      </c>
      <c r="L144" s="3">
        <v>0.125</v>
      </c>
      <c r="M144" s="3">
        <v>0.125</v>
      </c>
      <c r="O144" s="3">
        <v>2</v>
      </c>
      <c r="P144" s="3">
        <f t="shared" si="217"/>
        <v>0.89999999999999991</v>
      </c>
      <c r="Q144" s="3" t="s">
        <v>408</v>
      </c>
      <c r="S144" s="3" t="str">
        <f t="shared" si="218"/>
        <v/>
      </c>
      <c r="W144" s="3">
        <f t="shared" si="219"/>
        <v>0</v>
      </c>
      <c r="Y144" s="3">
        <f t="shared" si="220"/>
        <v>3.5</v>
      </c>
      <c r="Z144" s="3">
        <f t="shared" si="221"/>
        <v>3</v>
      </c>
      <c r="AA144" s="3">
        <f t="shared" si="222"/>
        <v>1.25</v>
      </c>
      <c r="AB144" s="3">
        <f t="shared" si="223"/>
        <v>1.25</v>
      </c>
      <c r="AC144" s="3">
        <f t="shared" si="224"/>
        <v>2.5</v>
      </c>
      <c r="AD144" s="3">
        <f t="shared" si="225"/>
        <v>3.5</v>
      </c>
      <c r="AE144" s="3">
        <f t="shared" si="226"/>
        <v>3</v>
      </c>
      <c r="AF144" s="3">
        <f t="shared" si="227"/>
        <v>1.25</v>
      </c>
      <c r="AG144" s="3">
        <f t="shared" si="228"/>
        <v>1.25</v>
      </c>
      <c r="AH144" s="3" t="str">
        <f t="shared" si="229"/>
        <v>자동</v>
      </c>
      <c r="AI144" s="3">
        <f t="shared" si="230"/>
        <v>1.25</v>
      </c>
      <c r="AJ144" s="3">
        <f t="shared" si="231"/>
        <v>1.25</v>
      </c>
      <c r="AL144" s="3" t="str">
        <f t="shared" si="232"/>
        <v/>
      </c>
      <c r="AN144" s="3" t="str">
        <f ca="1">IF($BA144=42,OFFSET(변환표준점수!C$119,$AP144-1,0),"")</f>
        <v/>
      </c>
      <c r="AO144" s="3" t="str">
        <f ca="1">IF($BA144=42,OFFSET(변환표준점수!D$119,$AP144-1,0),"")</f>
        <v/>
      </c>
      <c r="AP144" s="3" t="str">
        <f>IF(S144="","",MATCH(S144,변환표준점수!$B$119:$B$298,0))</f>
        <v/>
      </c>
      <c r="AQ144" s="3">
        <v>2</v>
      </c>
      <c r="AR144" s="3">
        <v>2</v>
      </c>
      <c r="AS144" s="3">
        <v>2</v>
      </c>
      <c r="AT144" s="3">
        <v>2</v>
      </c>
      <c r="AV144" s="3">
        <v>2</v>
      </c>
      <c r="AW144" s="3">
        <v>2</v>
      </c>
      <c r="AX144" s="3">
        <v>3</v>
      </c>
      <c r="AY144" s="3">
        <v>3</v>
      </c>
      <c r="BA144" s="3">
        <f t="shared" si="233"/>
        <v>2</v>
      </c>
      <c r="BJ144" s="3">
        <f t="shared" si="234"/>
        <v>0</v>
      </c>
      <c r="CH144" s="206">
        <f t="shared" si="263"/>
        <v>899.99999999999989</v>
      </c>
      <c r="CI144" s="56">
        <v>100</v>
      </c>
      <c r="CJ144" s="3">
        <v>98</v>
      </c>
      <c r="CK144" s="3">
        <v>95</v>
      </c>
      <c r="CL144" s="3">
        <v>80</v>
      </c>
      <c r="CM144" s="3">
        <v>70</v>
      </c>
      <c r="CN144" s="3">
        <v>60</v>
      </c>
      <c r="CO144" s="3">
        <v>30</v>
      </c>
      <c r="CP144" s="3">
        <v>10</v>
      </c>
      <c r="CQ144" s="3">
        <v>0</v>
      </c>
      <c r="DJ144" s="3">
        <f t="shared" ca="1" si="236"/>
        <v>100</v>
      </c>
      <c r="DK144" s="3">
        <f t="shared" ca="1" si="237"/>
        <v>100</v>
      </c>
      <c r="DL144" s="3">
        <f t="shared" ca="1" si="238"/>
        <v>0</v>
      </c>
      <c r="DO144" s="3">
        <v>2</v>
      </c>
      <c r="EA144" s="3">
        <f t="shared" si="239"/>
        <v>2</v>
      </c>
      <c r="EB144" s="3">
        <f t="shared" si="240"/>
        <v>2</v>
      </c>
      <c r="EC144" s="3">
        <f t="shared" si="241"/>
        <v>0</v>
      </c>
      <c r="ED144" s="3">
        <f t="shared" si="242"/>
        <v>0</v>
      </c>
      <c r="EF144" s="3">
        <f t="shared" ca="1" si="243"/>
        <v>0</v>
      </c>
      <c r="EG144" s="3">
        <f t="shared" ca="1" si="244"/>
        <v>0</v>
      </c>
      <c r="EH144" s="3">
        <f ca="1">IFERROR(IF(LEFT($BA144,1)="4",OFFSET(변환표준점수!$H$118,MATCH($S144,변환표준점수!$B$119:$B$198,0),),OFFSET(EH$3,MATCH(AS144,$ED$4:$ED$8,0),0)),0)</f>
        <v>0</v>
      </c>
      <c r="EI144" s="3">
        <f ca="1">IFERROR(IF(LEFT($BA144,1)="4",OFFSET(변환표준점수!$I$118,MATCH($S144,변환표준점수!$B$119:$B$198,0),0),OFFSET(EI$3,MATCH(AT144,$ED$4:$ED$8,0),0)),0)</f>
        <v>0</v>
      </c>
      <c r="EK144" s="3">
        <f ca="1">IFERROR(IF(LEFT($BA144,1)="4",OFFSET(변환표준점수!$J$118,MATCH($S144,변환표준점수!$B$119:$B$198,0),0),OFFSET(EJ$3,MATCH(AV144,$ED$4:$ED$8,0),0)),0)</f>
        <v>0</v>
      </c>
      <c r="EL144" s="3">
        <f ca="1">IFERROR(IF(LEFT($BA144,1)="4",OFFSET(변환표준점수!$K$118,MATCH($S144,변환표준점수!$B$119:$B$198,0),0),OFFSET(EK$3,MATCH(AW144,$ED$4:$ED$8,0),0)),0)</f>
        <v>0</v>
      </c>
      <c r="EM144" s="3" t="str">
        <f t="shared" ca="1" si="245"/>
        <v/>
      </c>
      <c r="EN144" s="3" t="str">
        <f t="shared" ca="1" si="246"/>
        <v/>
      </c>
      <c r="EO144" s="3">
        <f t="shared" ca="1" si="247"/>
        <v>0</v>
      </c>
      <c r="EQ144" s="3">
        <f t="shared" ca="1" si="248"/>
        <v>0</v>
      </c>
      <c r="ER144" s="3">
        <f t="shared" ca="1" si="249"/>
        <v>0</v>
      </c>
      <c r="ES144" s="3">
        <f t="shared" ca="1" si="250"/>
        <v>0</v>
      </c>
      <c r="ET144" s="3">
        <f t="shared" ca="1" si="251"/>
        <v>0</v>
      </c>
      <c r="EU144" s="3">
        <f t="shared" si="252"/>
        <v>0</v>
      </c>
      <c r="EV144" s="3">
        <f t="shared" ca="1" si="253"/>
        <v>0</v>
      </c>
      <c r="EW144" s="3">
        <f t="shared" ca="1" si="254"/>
        <v>0</v>
      </c>
      <c r="EX144" s="3">
        <f ca="1">LARGE((ES144:ET144,EV144:EW144),1)</f>
        <v>0</v>
      </c>
      <c r="EY144" s="3">
        <f ca="1">IF(O144&lt;2,0,LARGE((ES144:ET144,EV144:EW144),2))</f>
        <v>0</v>
      </c>
      <c r="EZ144" s="3">
        <f t="shared" ca="1" si="255"/>
        <v>0</v>
      </c>
      <c r="FA144" s="3">
        <f t="shared" ca="1" si="256"/>
        <v>0</v>
      </c>
      <c r="FB144" s="3">
        <f t="shared" ca="1" si="257"/>
        <v>0</v>
      </c>
      <c r="FG144" s="3">
        <f t="shared" ca="1" si="258"/>
        <v>0</v>
      </c>
      <c r="FH144" s="618"/>
      <c r="FU144" s="3" t="str">
        <f t="shared" si="166"/>
        <v>백분위</v>
      </c>
      <c r="FV144" s="3" t="str">
        <f t="shared" si="167"/>
        <v>백분위</v>
      </c>
      <c r="FW144" s="3">
        <f t="shared" si="259"/>
        <v>0.39</v>
      </c>
      <c r="FX144" s="3">
        <f t="shared" si="260"/>
        <v>0.33</v>
      </c>
      <c r="FY144" s="3">
        <f t="shared" si="261"/>
        <v>0.28000000000000003</v>
      </c>
      <c r="FZ144" s="3">
        <f t="shared" si="262"/>
        <v>9</v>
      </c>
    </row>
    <row r="145" spans="1:182">
      <c r="A145" s="556">
        <v>26</v>
      </c>
      <c r="C145" s="3">
        <f t="shared" si="216"/>
        <v>130</v>
      </c>
      <c r="D145" s="3">
        <v>130</v>
      </c>
      <c r="E145" s="3" t="s">
        <v>451</v>
      </c>
      <c r="F145" s="3">
        <v>1000</v>
      </c>
      <c r="G145" s="3">
        <v>0.25</v>
      </c>
      <c r="H145" s="3">
        <v>0.35</v>
      </c>
      <c r="I145" s="3">
        <v>0.15</v>
      </c>
      <c r="J145" s="3">
        <v>0.15</v>
      </c>
      <c r="L145" s="3">
        <v>0.15</v>
      </c>
      <c r="M145" s="3">
        <v>0.15</v>
      </c>
      <c r="O145" s="3">
        <v>2</v>
      </c>
      <c r="P145" s="3">
        <f t="shared" si="217"/>
        <v>0.89999999999999991</v>
      </c>
      <c r="Q145" s="3" t="s">
        <v>408</v>
      </c>
      <c r="S145" s="3" t="str">
        <f t="shared" si="218"/>
        <v/>
      </c>
      <c r="W145" s="3">
        <f t="shared" si="219"/>
        <v>0</v>
      </c>
      <c r="Y145" s="3">
        <f t="shared" si="220"/>
        <v>2.5</v>
      </c>
      <c r="Z145" s="3">
        <f t="shared" si="221"/>
        <v>3.5</v>
      </c>
      <c r="AA145" s="3">
        <f t="shared" si="222"/>
        <v>1.5</v>
      </c>
      <c r="AB145" s="3">
        <f t="shared" si="223"/>
        <v>1.5</v>
      </c>
      <c r="AC145" s="3">
        <f t="shared" si="224"/>
        <v>3</v>
      </c>
      <c r="AD145" s="3">
        <f t="shared" si="225"/>
        <v>2.5</v>
      </c>
      <c r="AE145" s="3">
        <f t="shared" si="226"/>
        <v>3.5</v>
      </c>
      <c r="AF145" s="3">
        <f t="shared" si="227"/>
        <v>1.5</v>
      </c>
      <c r="AG145" s="3">
        <f t="shared" si="228"/>
        <v>1.5</v>
      </c>
      <c r="AH145" s="3" t="str">
        <f t="shared" si="229"/>
        <v>자동</v>
      </c>
      <c r="AI145" s="3">
        <f t="shared" si="230"/>
        <v>1.5</v>
      </c>
      <c r="AJ145" s="3">
        <f t="shared" si="231"/>
        <v>1.5</v>
      </c>
      <c r="AL145" s="3" t="str">
        <f t="shared" si="232"/>
        <v/>
      </c>
      <c r="AN145" s="3" t="str">
        <f ca="1">IF($BA145=42,OFFSET(변환표준점수!C$119,$AP145-1,0),"")</f>
        <v/>
      </c>
      <c r="AO145" s="3" t="str">
        <f ca="1">IF($BA145=42,OFFSET(변환표준점수!D$119,$AP145-1,0),"")</f>
        <v/>
      </c>
      <c r="AP145" s="3" t="str">
        <f>IF(S145="","",MATCH(S145,변환표준점수!$B$119:$B$298,0))</f>
        <v/>
      </c>
      <c r="AQ145" s="3">
        <v>2</v>
      </c>
      <c r="AR145" s="3">
        <v>2</v>
      </c>
      <c r="AS145" s="3">
        <v>2</v>
      </c>
      <c r="AT145" s="3">
        <v>2</v>
      </c>
      <c r="AV145" s="3">
        <v>2</v>
      </c>
      <c r="AW145" s="3">
        <v>2</v>
      </c>
      <c r="AX145" s="3">
        <v>3</v>
      </c>
      <c r="AY145" s="3">
        <v>3</v>
      </c>
      <c r="BA145" s="3">
        <f t="shared" si="233"/>
        <v>2</v>
      </c>
      <c r="BJ145" s="3">
        <f t="shared" si="234"/>
        <v>0</v>
      </c>
      <c r="CH145" s="206">
        <f t="shared" si="263"/>
        <v>899.99999999999989</v>
      </c>
      <c r="CI145" s="56">
        <v>100</v>
      </c>
      <c r="CJ145" s="3">
        <v>98</v>
      </c>
      <c r="CK145" s="3">
        <v>95</v>
      </c>
      <c r="CL145" s="3">
        <v>80</v>
      </c>
      <c r="CM145" s="3">
        <v>70</v>
      </c>
      <c r="CN145" s="3">
        <v>60</v>
      </c>
      <c r="CO145" s="3">
        <v>30</v>
      </c>
      <c r="CP145" s="3">
        <v>10</v>
      </c>
      <c r="CQ145" s="3">
        <v>0</v>
      </c>
      <c r="DJ145" s="3">
        <f t="shared" ca="1" si="236"/>
        <v>100</v>
      </c>
      <c r="DK145" s="3">
        <f t="shared" ca="1" si="237"/>
        <v>100</v>
      </c>
      <c r="DL145" s="3">
        <f t="shared" ca="1" si="238"/>
        <v>0</v>
      </c>
      <c r="DO145" s="3">
        <v>2</v>
      </c>
      <c r="EA145" s="3">
        <f t="shared" si="239"/>
        <v>2</v>
      </c>
      <c r="EB145" s="3">
        <f t="shared" si="240"/>
        <v>2</v>
      </c>
      <c r="EC145" s="3">
        <f t="shared" si="241"/>
        <v>0</v>
      </c>
      <c r="ED145" s="3">
        <f t="shared" si="242"/>
        <v>0</v>
      </c>
      <c r="EF145" s="3">
        <f t="shared" ca="1" si="243"/>
        <v>0</v>
      </c>
      <c r="EG145" s="3">
        <f t="shared" ca="1" si="244"/>
        <v>0</v>
      </c>
      <c r="EH145" s="3">
        <f ca="1">IFERROR(IF(LEFT($BA145,1)="4",OFFSET(변환표준점수!$H$118,MATCH($S145,변환표준점수!$B$119:$B$198,0),),OFFSET(EH$3,MATCH(AS145,$ED$4:$ED$8,0),0)),0)</f>
        <v>0</v>
      </c>
      <c r="EI145" s="3">
        <f ca="1">IFERROR(IF(LEFT($BA145,1)="4",OFFSET(변환표준점수!$I$118,MATCH($S145,변환표준점수!$B$119:$B$198,0),0),OFFSET(EI$3,MATCH(AT145,$ED$4:$ED$8,0),0)),0)</f>
        <v>0</v>
      </c>
      <c r="EK145" s="3">
        <f ca="1">IFERROR(IF(LEFT($BA145,1)="4",OFFSET(변환표준점수!$J$118,MATCH($S145,변환표준점수!$B$119:$B$198,0),0),OFFSET(EJ$3,MATCH(AV145,$ED$4:$ED$8,0),0)),0)</f>
        <v>0</v>
      </c>
      <c r="EL145" s="3">
        <f ca="1">IFERROR(IF(LEFT($BA145,1)="4",OFFSET(변환표준점수!$K$118,MATCH($S145,변환표준점수!$B$119:$B$198,0),0),OFFSET(EK$3,MATCH(AW145,$ED$4:$ED$8,0),0)),0)</f>
        <v>0</v>
      </c>
      <c r="EM145" s="3" t="str">
        <f t="shared" ca="1" si="245"/>
        <v/>
      </c>
      <c r="EN145" s="3" t="str">
        <f t="shared" ca="1" si="246"/>
        <v/>
      </c>
      <c r="EO145" s="3">
        <f t="shared" ca="1" si="247"/>
        <v>0</v>
      </c>
      <c r="EQ145" s="3">
        <f t="shared" ca="1" si="248"/>
        <v>0</v>
      </c>
      <c r="ER145" s="3">
        <f t="shared" ca="1" si="249"/>
        <v>0</v>
      </c>
      <c r="ES145" s="3">
        <f t="shared" ca="1" si="250"/>
        <v>0</v>
      </c>
      <c r="ET145" s="3">
        <f t="shared" ca="1" si="251"/>
        <v>0</v>
      </c>
      <c r="EU145" s="3">
        <f t="shared" si="252"/>
        <v>0</v>
      </c>
      <c r="EV145" s="3">
        <f t="shared" ca="1" si="253"/>
        <v>0</v>
      </c>
      <c r="EW145" s="3">
        <f t="shared" ca="1" si="254"/>
        <v>0</v>
      </c>
      <c r="EX145" s="3">
        <f ca="1">LARGE((ES145:ET145,EV145:EW145),1)</f>
        <v>0</v>
      </c>
      <c r="EY145" s="3">
        <f ca="1">IF(O145&lt;2,0,LARGE((ES145:ET145,EV145:EW145),2))</f>
        <v>0</v>
      </c>
      <c r="EZ145" s="3">
        <f t="shared" ca="1" si="255"/>
        <v>0</v>
      </c>
      <c r="FA145" s="3">
        <f t="shared" ca="1" si="256"/>
        <v>0</v>
      </c>
      <c r="FB145" s="3">
        <f t="shared" ca="1" si="257"/>
        <v>0</v>
      </c>
      <c r="FG145" s="3">
        <f t="shared" ca="1" si="258"/>
        <v>0</v>
      </c>
      <c r="FH145" s="618"/>
      <c r="FU145" s="3" t="str">
        <f t="shared" ref="FU145:FU208" si="268">IF(AQ145=1,"표점",IF(AQ145=12,"표점/만점",IF(AQ145=2,"백분위")))</f>
        <v>백분위</v>
      </c>
      <c r="FV145" s="3" t="str">
        <f t="shared" ref="FV145:FV208" si="269">IF(BA145=1,"표점",IF(BA145=12,"표점/만점",IF(BA145=2,"백분위",IF(BA145=4,"변표",IF(BA145=42,"변표/만점")))))</f>
        <v>백분위</v>
      </c>
      <c r="FW145" s="3">
        <f t="shared" si="259"/>
        <v>0.28000000000000003</v>
      </c>
      <c r="FX145" s="3">
        <f t="shared" si="260"/>
        <v>0.39</v>
      </c>
      <c r="FY145" s="3">
        <f t="shared" si="261"/>
        <v>0.33</v>
      </c>
      <c r="FZ145" s="3">
        <f t="shared" si="262"/>
        <v>9</v>
      </c>
    </row>
    <row r="146" spans="1:182">
      <c r="FH146" s="618"/>
    </row>
    <row r="147" spans="1:182">
      <c r="A147" s="556">
        <v>26</v>
      </c>
      <c r="C147" s="3">
        <f t="shared" ref="C147:C194" si="270">ROUND(ROW(C147)-ROW($C$15),0)</f>
        <v>132</v>
      </c>
      <c r="D147" s="3">
        <v>132</v>
      </c>
      <c r="E147" s="3" t="s">
        <v>7707</v>
      </c>
      <c r="F147" s="3">
        <v>1000</v>
      </c>
      <c r="G147" s="3">
        <v>0.25</v>
      </c>
      <c r="H147" s="3">
        <v>0.35</v>
      </c>
      <c r="I147" s="3">
        <v>0.15</v>
      </c>
      <c r="J147" s="3">
        <v>0.15</v>
      </c>
      <c r="L147" s="3">
        <v>0.15</v>
      </c>
      <c r="M147" s="3">
        <v>0.15</v>
      </c>
      <c r="O147" s="3">
        <v>2</v>
      </c>
      <c r="P147" s="3">
        <f t="shared" ref="P147:P194" si="271">G147+H147+MAX((I147:J147),L147:M147)*O147</f>
        <v>0.89999999999999991</v>
      </c>
      <c r="Q147" s="3" t="s">
        <v>408</v>
      </c>
      <c r="S147" s="3" t="str">
        <f t="shared" ref="S147:S194" si="272">IF(R147&gt;0,R147,Q147)</f>
        <v/>
      </c>
      <c r="W147" s="3">
        <f t="shared" ref="W147:W194" si="273">IF(AND(BH147=0,CD147=0),0,IF(V147&gt;0,V147,IF(U147=1,$W$11,0)))</f>
        <v>0</v>
      </c>
      <c r="Y147" s="3">
        <f t="shared" ref="Y147:Y194" si="274">AD147</f>
        <v>2.5</v>
      </c>
      <c r="Z147" s="3">
        <f t="shared" ref="Z147:Z194" si="275">AE147</f>
        <v>3.5</v>
      </c>
      <c r="AA147" s="3">
        <f t="shared" ref="AA147:AA194" si="276">IF($BB$7=1,AF147,IF(AS147=12,$F147*I147/($AF$8*AL147+$AF$9*(1-AL147)),AF147))</f>
        <v>1.5</v>
      </c>
      <c r="AB147" s="3">
        <f t="shared" ref="AB147:AB194" si="277">IF($BB$7=1,AI147,IF(AV147=12,$F147*L147/($AI$8*AL147+$AI$9*(1-AL147)),AI147))</f>
        <v>1.5</v>
      </c>
      <c r="AC147" s="3">
        <f t="shared" ref="AC147:AC194" si="278">IF(AND(AS147=2,EA147=1),AA147*O147,IF(AND(AS147=2,EA147=2),AB147*O147,IF(EA147=1,AA147,IF(EA147=2,AB147))))</f>
        <v>3</v>
      </c>
      <c r="AD147" s="3">
        <f t="shared" ref="AD147:AD194" si="279">IF(AQ147=12,$F147*G147/$AQ$9,IF(OR(AQ147=1,AQ147=4),$F147*G147/200,IF(OR(AQ147=2,AQ147=9),$F147*G147/100,"자동")))</f>
        <v>2.5</v>
      </c>
      <c r="AE147" s="3">
        <f t="shared" ref="AE147:AE194" si="280">IF(AR147=12,$F147*H147/$AR$9,IF(OR(AR147=1,AR147=4),$F147*H147/200,IF(OR(AR147=2,AR147=9),$F147*H147/100,"자동")))</f>
        <v>3.5</v>
      </c>
      <c r="AF147" s="3">
        <f t="shared" ref="AF147:AF194" si="281">IF(AS147=12,$F147*I147/IF($BB$7=1,IF($ED147=1,$AS$9,$AF$9),($AF$8*AL147+$AF$9*(1-AL147))),IF(AS147=42,$F147*I147/AN147,IF(OR(AS147=1,AS147=4,AS147=2),$F147*I147/100,IF(AS147=9,$F147*I147/50,"자동"))))</f>
        <v>1.5</v>
      </c>
      <c r="AG147" s="3">
        <f t="shared" ref="AG147:AG194" si="282">IF(AT147=12,$F147*J147/IF($BB$7=1,IF($ED147=1,$AT$9,$AG$9),($AG$8*AL147+$AG$9*(1-AL147))),IF(AT147=42,$F147*J147/AN147,IF(OR(AT147=1,AT147=4,AT147=2),$F147*J147/100,IF(AT147=9,$F147*J147/50,"자동"))))</f>
        <v>1.5</v>
      </c>
      <c r="AH147" s="3" t="str">
        <f t="shared" ref="AH147:AH194" si="283">IF(AU147=12,$F147*K147/IF($BB$7=1,IF($ED147=1,$AU$9,$AH$9),($AH$8*AL147+$AH$9*(1-AL147))),IF(AU147=42,$F147*K147/$AN147,IF(OR(AU147=1,AU147=4,AU147=2),$F147*K147/100,IF(AU147=9,$F147*K147/50,"자동"))))</f>
        <v>자동</v>
      </c>
      <c r="AI147" s="3">
        <f t="shared" ref="AI147:AI194" si="284">IF(AV147=12,$F147*L147/IF($BB$7=1,IF($ED147=1,$AV$9,$AI$9),($AI$8*AL147+$AI$9*(1-AL147))),IF(AV147=42,$F147*L147/AO147,IF(OR(AV147=1,AV147=4,AV147=2),$F147*L147/100,IF(AV147=9,$F147*L147/50,"자동"))))</f>
        <v>1.5</v>
      </c>
      <c r="AJ147" s="3">
        <f t="shared" ref="AJ147:AJ194" si="285">IF(AW147=12,$F147*M147/IF($BB$7=1,IF($ED147=1,$AW$9,$AJ$9),($AJ$8*AL147+$AJ$9*(1-AL147))),IF(AW147=42,$F147*M147/AO147,IF(OR(AW147=1,AW147=4,AW147=2),$F147*M147/100,IF(AW147=9,$F147*M147/50,"자동"))))</f>
        <v>1.5</v>
      </c>
      <c r="AL147" s="3" t="str">
        <f t="shared" ref="AL147:AL194" si="286">IF(AK147&lt;&gt;"",AK147,IF(BA147&lt;&gt;12,"",IF(U147=1,1,IF(LEFT(E147,3)="서울대",0,""))))</f>
        <v/>
      </c>
      <c r="AN147" s="3" t="str">
        <f ca="1">IF($BA147=42,OFFSET(변환표준점수!C$119,$AP147-1,0),"")</f>
        <v/>
      </c>
      <c r="AO147" s="3" t="str">
        <f ca="1">IF($BA147=42,OFFSET(변환표준점수!D$119,$AP147-1,0),"")</f>
        <v/>
      </c>
      <c r="AP147" s="3" t="str">
        <f>IF(S147="","",MATCH(S147,변환표준점수!$B$119:$B$298,0))</f>
        <v/>
      </c>
      <c r="AQ147" s="3">
        <v>2</v>
      </c>
      <c r="AR147" s="3">
        <v>2</v>
      </c>
      <c r="AS147" s="3">
        <v>2</v>
      </c>
      <c r="AT147" s="3">
        <v>2</v>
      </c>
      <c r="AV147" s="3">
        <v>2</v>
      </c>
      <c r="AW147" s="3">
        <v>2</v>
      </c>
      <c r="AX147" s="3">
        <v>3</v>
      </c>
      <c r="AY147" s="3">
        <v>3</v>
      </c>
      <c r="BA147" s="3">
        <f t="shared" ref="BA147:BA194" si="287">IF(AS147&gt;0,AS147,AV147)</f>
        <v>2</v>
      </c>
      <c r="BJ147" s="3">
        <f t="shared" ref="BJ147:BJ194" si="288">IF(BI147="",IF(DT147=1,1,$BI$3),BI147)</f>
        <v>0</v>
      </c>
      <c r="CH147" s="206">
        <f t="shared" ref="CH147:CH194" si="289">F147*P147</f>
        <v>899.99999999999989</v>
      </c>
      <c r="CI147" s="56">
        <v>100</v>
      </c>
      <c r="CJ147" s="3">
        <v>98</v>
      </c>
      <c r="CK147" s="3">
        <v>95</v>
      </c>
      <c r="CL147" s="3">
        <v>80</v>
      </c>
      <c r="CM147" s="3">
        <v>70</v>
      </c>
      <c r="CN147" s="3">
        <v>60</v>
      </c>
      <c r="CO147" s="3">
        <v>30</v>
      </c>
      <c r="CP147" s="3">
        <v>10</v>
      </c>
      <c r="CQ147" s="3">
        <v>0</v>
      </c>
      <c r="DJ147" s="3">
        <f t="shared" ref="DJ147:DJ194" ca="1" si="290">ROUND((CI147-EZ147),1)</f>
        <v>100</v>
      </c>
      <c r="DK147" s="3">
        <f t="shared" ref="DK147:DK194" ca="1" si="291">((CI147-EZ147)/(FG147+DJ147-FC147))*100</f>
        <v>100</v>
      </c>
      <c r="DL147" s="3">
        <f t="shared" ref="DL147:DL194" ca="1" si="292">ROUND((CR147-FA147)+(DA147-FB147),1)</f>
        <v>0</v>
      </c>
      <c r="DO147" s="3">
        <v>2</v>
      </c>
      <c r="DZ147" s="3">
        <v>1</v>
      </c>
      <c r="EA147" s="3">
        <f t="shared" ref="EA147:EA194" si="293">IF(DZ147&gt;0,DZ147,IF(DM147&gt;0,1,2))</f>
        <v>1</v>
      </c>
      <c r="EB147" s="3">
        <f t="shared" ref="EB147:EB194" si="294">MAX(DM147:DO147)</f>
        <v>2</v>
      </c>
      <c r="EC147" s="3">
        <f t="shared" ref="EC147:EC194" si="295">AND(DM147-0.1&lt;$DM$8,DN147-0.1&lt;$DN$8,DO147-0.1&lt;$DO$8)*1</f>
        <v>0</v>
      </c>
      <c r="ED147" s="3">
        <f t="shared" ref="ED147:ED194" si="296">IFERROR(IF(AND($DP$8&gt;=DP147,$DQ$8&gt;=DQ147,$DR$8&gt;=DR147,$DS$8&gt;=DS147,$DT$8&gt;=DT147,$DU$8&gt;=DU147,$DV$8&gt;=DV147,$DW$8&gt;=DW147,$DX$8&gt;=DX147,OR(DY147=0,$DY$8&lt;DY147),EC147=1),1,0),0)</f>
        <v>0</v>
      </c>
      <c r="EF147" s="3">
        <f t="shared" ref="EF147:EF194" ca="1" si="297">IFERROR(OFFSET(EF$3,MATCH(AQ147,$ED$4:$ED$10,0),0),0)</f>
        <v>0</v>
      </c>
      <c r="EG147" s="3">
        <f t="shared" ref="EG147:EG194" ca="1" si="298">IFERROR(OFFSET(EG$3,MATCH(AR147,$ED$4:$ED$10,0),0),0)</f>
        <v>0</v>
      </c>
      <c r="EH147" s="3">
        <f ca="1">IFERROR(IF(LEFT($BA147,1)="4",OFFSET(변환표준점수!$H$118,MATCH($S147,변환표준점수!$B$119:$B$198,0),),OFFSET(EH$3,MATCH(AS147,$ED$4:$ED$8,0),0)),0)</f>
        <v>0</v>
      </c>
      <c r="EI147" s="3">
        <f ca="1">IFERROR(IF(LEFT($BA147,1)="4",OFFSET(변환표준점수!$I$118,MATCH($S147,변환표준점수!$B$119:$B$198,0),0),OFFSET(EI$3,MATCH(AT147,$ED$4:$ED$8,0),0)),0)</f>
        <v>0</v>
      </c>
      <c r="EK147" s="3">
        <f ca="1">IFERROR(IF(LEFT($BA147,1)="4",OFFSET(변환표준점수!$J$118,MATCH($S147,변환표준점수!$B$119:$B$198,0),0),OFFSET(EJ$3,MATCH(AV147,$ED$4:$ED$8,0),0)),0)</f>
        <v>0</v>
      </c>
      <c r="EL147" s="3">
        <f ca="1">IFERROR(IF(LEFT($BA147,1)="4",OFFSET(변환표준점수!$K$118,MATCH($S147,변환표준점수!$B$119:$B$198,0),0),OFFSET(EK$3,MATCH(AW147,$ED$4:$ED$8,0),0)),0)</f>
        <v>0</v>
      </c>
      <c r="EM147" s="3" t="str">
        <f t="shared" ref="EM147:EM194" ca="1" si="299">IFERROR(OFFSET(EL$3,MATCH(AX147,$ED$4:$ED$8,0),0),0)</f>
        <v/>
      </c>
      <c r="EN147" s="3" t="str">
        <f t="shared" ref="EN147:EN194" ca="1" si="300">IFERROR(OFFSET(EM$3,MATCH(AY147,$ED$4:$ED$8,0),0),0)</f>
        <v/>
      </c>
      <c r="EO147" s="3">
        <f t="shared" ref="EO147:EO194" ca="1" si="301">IFERROR(OFFSET(EN$3,MATCH(AZ147,$ED$4:$ED$8,0),0),0)</f>
        <v>0</v>
      </c>
      <c r="EQ147" s="3">
        <f t="shared" ref="EQ147:EQ194" ca="1" si="302">IFERROR((EF147*AD147+BO147)*$EP$9,0)</f>
        <v>0</v>
      </c>
      <c r="ER147" s="3">
        <f t="shared" ref="ER147:ER194" ca="1" si="303">IFERROR(EG147*AE147+OFFSET($BP147,0,$ER$14-1),0)</f>
        <v>0</v>
      </c>
      <c r="ES147" s="3">
        <f t="shared" ref="ES147:ES194" ca="1" si="304">IFERROR((EH147*AF147+BS147)*$EP$9,0)</f>
        <v>0</v>
      </c>
      <c r="ET147" s="3">
        <f t="shared" ref="ET147:ET194" ca="1" si="305">IFERROR(IF(O147&lt;2,0,(EI147*AG147+BT147)*$EP$9),0)</f>
        <v>0</v>
      </c>
      <c r="EU147" s="3">
        <f t="shared" ref="EU147:EU194" si="306">IFERROR(BU147*$EP$9,0)</f>
        <v>0</v>
      </c>
      <c r="EV147" s="3">
        <f t="shared" ref="EV147:EV194" ca="1" si="307">IFERROR((EK147*AI147+BV147)*$EP$9,0)</f>
        <v>0</v>
      </c>
      <c r="EW147" s="3">
        <f t="shared" ref="EW147:EW194" ca="1" si="308">IFERROR(IF(O147&lt;2,0,(EL147*AJ147+BW147)*$EP$9),0)</f>
        <v>0</v>
      </c>
      <c r="EX147" s="3">
        <f ca="1">LARGE((ES147:ET147,EV147:EW147),1)</f>
        <v>0</v>
      </c>
      <c r="EY147" s="3">
        <f ca="1">IF(O147&lt;2,0,LARGE((ES147:ET147,EV147:EW147),2))</f>
        <v>0</v>
      </c>
      <c r="EZ147" s="3">
        <f t="shared" ref="EZ147:EZ194" ca="1" si="309">IFERROR(OFFSET(CI147,0,ROUND((1/(1/EM147))-1,0)),0)</f>
        <v>0</v>
      </c>
      <c r="FA147" s="3">
        <f t="shared" ref="FA147:FA194" ca="1" si="310">IFERROR(OFFSET(CR147,0,ROUND(1/(1/EN147),0)-1),0)</f>
        <v>0</v>
      </c>
      <c r="FB147" s="3">
        <f t="shared" ref="FB147:FB194" ca="1" si="311">IFERROR(OFFSET(DA147,0,ROUND(1/(1/EO147),0)-1),0)</f>
        <v>0</v>
      </c>
      <c r="FG147" s="3">
        <f t="shared" ref="FG147:FG194" ca="1" si="312">IF(FF147&gt;0,FF147,EQ147+ER147+EU147+EX147+EY147+EZ147+FA147+FB147+FC147)</f>
        <v>0</v>
      </c>
      <c r="FH147" s="618"/>
      <c r="FU147" s="3" t="str">
        <f t="shared" si="268"/>
        <v>백분위</v>
      </c>
      <c r="FV147" s="3" t="str">
        <f t="shared" si="269"/>
        <v>백분위</v>
      </c>
      <c r="FW147" s="3">
        <f t="shared" ref="FW147:FW194" si="313">ROUND(Y147/$FZ147,2)</f>
        <v>0.28000000000000003</v>
      </c>
      <c r="FX147" s="3">
        <f t="shared" ref="FX147:FX194" si="314">ROUND(Z147/$FZ147,2)</f>
        <v>0.39</v>
      </c>
      <c r="FY147" s="3">
        <f t="shared" ref="FY147:FY194" si="315">ROUND(AC147/$FZ147,2)</f>
        <v>0.33</v>
      </c>
      <c r="FZ147" s="3">
        <f t="shared" ref="FZ147:FZ194" si="316">Y147+Z147+AC147</f>
        <v>9</v>
      </c>
    </row>
    <row r="148" spans="1:182">
      <c r="A148" s="556">
        <v>26</v>
      </c>
      <c r="C148" s="3">
        <f t="shared" si="270"/>
        <v>133</v>
      </c>
      <c r="D148" s="3">
        <v>133</v>
      </c>
      <c r="E148" s="3" t="s">
        <v>7708</v>
      </c>
      <c r="F148" s="3">
        <v>1000</v>
      </c>
      <c r="G148" s="3">
        <v>0.2</v>
      </c>
      <c r="H148" s="3">
        <v>0.35</v>
      </c>
      <c r="I148" s="3">
        <v>0.125</v>
      </c>
      <c r="J148" s="3">
        <v>0.125</v>
      </c>
      <c r="L148" s="3">
        <v>0.125</v>
      </c>
      <c r="M148" s="3">
        <v>0.125</v>
      </c>
      <c r="O148" s="3">
        <v>2</v>
      </c>
      <c r="P148" s="3">
        <f t="shared" si="271"/>
        <v>0.8</v>
      </c>
      <c r="Q148" s="3">
        <v>42</v>
      </c>
      <c r="S148" s="3">
        <f t="shared" si="272"/>
        <v>42</v>
      </c>
      <c r="W148" s="3">
        <f t="shared" si="273"/>
        <v>0</v>
      </c>
      <c r="Y148" s="3">
        <f t="shared" si="274"/>
        <v>1.4388489208633093</v>
      </c>
      <c r="Z148" s="3">
        <f t="shared" si="275"/>
        <v>2.5</v>
      </c>
      <c r="AA148" s="3">
        <f t="shared" ca="1" si="276"/>
        <v>1.7826583000570448</v>
      </c>
      <c r="AB148" s="3">
        <f t="shared" ca="1" si="277"/>
        <v>1.7857142857142858</v>
      </c>
      <c r="AC148" s="3">
        <f t="shared" ca="1" si="278"/>
        <v>1.7826583000570448</v>
      </c>
      <c r="AD148" s="3">
        <f t="shared" si="279"/>
        <v>1.4388489208633093</v>
      </c>
      <c r="AE148" s="3">
        <f t="shared" si="280"/>
        <v>2.5</v>
      </c>
      <c r="AF148" s="3">
        <f t="shared" ca="1" si="281"/>
        <v>1.7826583000570448</v>
      </c>
      <c r="AG148" s="3">
        <f t="shared" ca="1" si="282"/>
        <v>1.7826583000570448</v>
      </c>
      <c r="AH148" s="3" t="str">
        <f t="shared" si="283"/>
        <v>자동</v>
      </c>
      <c r="AI148" s="3">
        <f t="shared" ca="1" si="284"/>
        <v>1.7857142857142858</v>
      </c>
      <c r="AJ148" s="3">
        <f t="shared" ca="1" si="285"/>
        <v>1.7857142857142858</v>
      </c>
      <c r="AL148" s="3" t="str">
        <f t="shared" si="286"/>
        <v/>
      </c>
      <c r="AN148" s="3">
        <f ca="1">IF($BA148=42,OFFSET(변환표준점수!C$119,$AP148-1,0),"")</f>
        <v>70.12</v>
      </c>
      <c r="AO148" s="3">
        <f ca="1">IF($BA148=42,OFFSET(변환표준점수!D$119,$AP148-1,0),"")</f>
        <v>70</v>
      </c>
      <c r="AP148" s="3">
        <f>IF(S148="","",MATCH(S148,변환표준점수!$B$119:$B$298,0))</f>
        <v>42</v>
      </c>
      <c r="AQ148" s="3">
        <v>12</v>
      </c>
      <c r="AR148" s="3">
        <v>12</v>
      </c>
      <c r="AS148" s="3">
        <v>42</v>
      </c>
      <c r="AT148" s="3">
        <v>42</v>
      </c>
      <c r="AV148" s="3">
        <v>42</v>
      </c>
      <c r="AW148" s="3">
        <v>42</v>
      </c>
      <c r="AX148" s="3">
        <v>3</v>
      </c>
      <c r="AY148" s="3">
        <v>3</v>
      </c>
      <c r="BA148" s="3">
        <f t="shared" si="287"/>
        <v>42</v>
      </c>
      <c r="BF148" s="3">
        <f ca="1">0.03*AF148</f>
        <v>5.3479749001711346E-2</v>
      </c>
      <c r="BG148" s="3">
        <f ca="1">0.03*AG148</f>
        <v>5.3479749001711346E-2</v>
      </c>
      <c r="BJ148" s="3">
        <f t="shared" si="288"/>
        <v>0</v>
      </c>
      <c r="BN148" s="212" t="s">
        <v>7321</v>
      </c>
      <c r="BS148" s="3">
        <f ca="1">BF148*EH148</f>
        <v>0</v>
      </c>
      <c r="BT148" s="3">
        <f ca="1">BG148*EI148</f>
        <v>0</v>
      </c>
      <c r="CH148" s="206">
        <f t="shared" si="289"/>
        <v>800</v>
      </c>
      <c r="CI148" s="56">
        <v>200</v>
      </c>
      <c r="CJ148" s="3">
        <v>190</v>
      </c>
      <c r="CK148" s="3">
        <v>180</v>
      </c>
      <c r="CL148" s="3">
        <v>160</v>
      </c>
      <c r="CM148" s="3">
        <v>140</v>
      </c>
      <c r="CN148" s="3">
        <v>120</v>
      </c>
      <c r="CO148" s="3">
        <v>80</v>
      </c>
      <c r="CP148" s="3">
        <v>40</v>
      </c>
      <c r="CQ148" s="3">
        <v>20</v>
      </c>
      <c r="DJ148" s="3">
        <f t="shared" ca="1" si="290"/>
        <v>200</v>
      </c>
      <c r="DK148" s="3">
        <f t="shared" ca="1" si="291"/>
        <v>100</v>
      </c>
      <c r="DL148" s="3">
        <f t="shared" ca="1" si="292"/>
        <v>0</v>
      </c>
      <c r="DO148" s="3">
        <v>2</v>
      </c>
      <c r="DZ148" s="3">
        <v>1</v>
      </c>
      <c r="EA148" s="3">
        <f t="shared" si="293"/>
        <v>1</v>
      </c>
      <c r="EB148" s="3">
        <f t="shared" si="294"/>
        <v>2</v>
      </c>
      <c r="EC148" s="3">
        <f t="shared" si="295"/>
        <v>0</v>
      </c>
      <c r="ED148" s="3">
        <f t="shared" si="296"/>
        <v>0</v>
      </c>
      <c r="EF148" s="3">
        <f t="shared" ca="1" si="297"/>
        <v>0</v>
      </c>
      <c r="EG148" s="3">
        <f t="shared" ca="1" si="298"/>
        <v>0</v>
      </c>
      <c r="EH148" s="3">
        <f ca="1">IFERROR(IF(LEFT($BA148,1)="4",OFFSET(변환표준점수!$H$118,MATCH($S148,변환표준점수!$B$119:$B$198,0),),OFFSET(EH$3,MATCH(AS148,$ED$4:$ED$8,0),0)),0)</f>
        <v>0</v>
      </c>
      <c r="EI148" s="3">
        <f ca="1">IFERROR(IF(LEFT($BA148,1)="4",OFFSET(변환표준점수!$I$118,MATCH($S148,변환표준점수!$B$119:$B$198,0),0),OFFSET(EI$3,MATCH(AT148,$ED$4:$ED$8,0),0)),0)</f>
        <v>0</v>
      </c>
      <c r="EK148" s="3">
        <f ca="1">IFERROR(IF(LEFT($BA148,1)="4",OFFSET(변환표준점수!$J$118,MATCH($S148,변환표준점수!$B$119:$B$198,0),0),OFFSET(EJ$3,MATCH(AV148,$ED$4:$ED$8,0),0)),0)</f>
        <v>0</v>
      </c>
      <c r="EL148" s="3">
        <f ca="1">IFERROR(IF(LEFT($BA148,1)="4",OFFSET(변환표준점수!$K$118,MATCH($S148,변환표준점수!$B$119:$B$198,0),0),OFFSET(EK$3,MATCH(AW148,$ED$4:$ED$8,0),0)),0)</f>
        <v>0</v>
      </c>
      <c r="EM148" s="3" t="str">
        <f t="shared" ca="1" si="299"/>
        <v/>
      </c>
      <c r="EN148" s="3" t="str">
        <f t="shared" ca="1" si="300"/>
        <v/>
      </c>
      <c r="EO148" s="3">
        <f t="shared" ca="1" si="301"/>
        <v>0</v>
      </c>
      <c r="EQ148" s="3">
        <f t="shared" ca="1" si="302"/>
        <v>0</v>
      </c>
      <c r="ER148" s="3">
        <f t="shared" ca="1" si="303"/>
        <v>0</v>
      </c>
      <c r="ES148" s="3">
        <f t="shared" ca="1" si="304"/>
        <v>0</v>
      </c>
      <c r="ET148" s="3">
        <f t="shared" ca="1" si="305"/>
        <v>0</v>
      </c>
      <c r="EU148" s="3">
        <f t="shared" si="306"/>
        <v>0</v>
      </c>
      <c r="EV148" s="3">
        <f t="shared" ca="1" si="307"/>
        <v>0</v>
      </c>
      <c r="EW148" s="3">
        <f t="shared" ca="1" si="308"/>
        <v>0</v>
      </c>
      <c r="EX148" s="3">
        <f ca="1">LARGE((ES148:ET148,EV148:EW148),1)</f>
        <v>0</v>
      </c>
      <c r="EY148" s="3">
        <f ca="1">IF(O148&lt;2,0,LARGE((ES148:ET148,EV148:EW148),2))</f>
        <v>0</v>
      </c>
      <c r="EZ148" s="3">
        <f t="shared" ca="1" si="309"/>
        <v>0</v>
      </c>
      <c r="FA148" s="3">
        <f t="shared" ca="1" si="310"/>
        <v>0</v>
      </c>
      <c r="FB148" s="3">
        <f t="shared" ca="1" si="311"/>
        <v>0</v>
      </c>
      <c r="FG148" s="3">
        <f t="shared" ca="1" si="312"/>
        <v>0</v>
      </c>
      <c r="FH148" s="618"/>
      <c r="FU148" s="3" t="str">
        <f t="shared" si="268"/>
        <v>표점/만점</v>
      </c>
      <c r="FV148" s="3" t="str">
        <f t="shared" si="269"/>
        <v>변표/만점</v>
      </c>
      <c r="FW148" s="3">
        <f t="shared" ca="1" si="313"/>
        <v>0.25</v>
      </c>
      <c r="FX148" s="3">
        <f t="shared" ca="1" si="314"/>
        <v>0.44</v>
      </c>
      <c r="FY148" s="3">
        <f t="shared" ca="1" si="315"/>
        <v>0.31</v>
      </c>
      <c r="FZ148" s="3">
        <f t="shared" ca="1" si="316"/>
        <v>5.7215072209203539</v>
      </c>
    </row>
    <row r="149" spans="1:182">
      <c r="A149" s="556">
        <v>26</v>
      </c>
      <c r="C149" s="3">
        <f t="shared" si="270"/>
        <v>134</v>
      </c>
      <c r="D149" s="3">
        <v>134</v>
      </c>
      <c r="E149" s="3" t="s">
        <v>7324</v>
      </c>
      <c r="F149" s="3">
        <v>1000</v>
      </c>
      <c r="G149" s="3">
        <v>0.2</v>
      </c>
      <c r="H149" s="3">
        <v>0.35</v>
      </c>
      <c r="I149" s="3">
        <v>0.125</v>
      </c>
      <c r="J149" s="3">
        <v>0.125</v>
      </c>
      <c r="O149" s="3">
        <v>2</v>
      </c>
      <c r="P149" s="3">
        <f t="shared" si="271"/>
        <v>0.8</v>
      </c>
      <c r="Q149" s="3">
        <v>42</v>
      </c>
      <c r="S149" s="3">
        <f t="shared" si="272"/>
        <v>42</v>
      </c>
      <c r="W149" s="3">
        <f t="shared" si="273"/>
        <v>0</v>
      </c>
      <c r="Y149" s="3">
        <f t="shared" si="274"/>
        <v>1.4388489208633093</v>
      </c>
      <c r="Z149" s="3">
        <f t="shared" si="275"/>
        <v>2.5</v>
      </c>
      <c r="AA149" s="3">
        <f t="shared" ca="1" si="276"/>
        <v>1.7826583000570448</v>
      </c>
      <c r="AB149" s="3" t="str">
        <f t="shared" si="277"/>
        <v>자동</v>
      </c>
      <c r="AC149" s="3">
        <f t="shared" ca="1" si="278"/>
        <v>1.7826583000570448</v>
      </c>
      <c r="AD149" s="3">
        <f t="shared" si="279"/>
        <v>1.4388489208633093</v>
      </c>
      <c r="AE149" s="3">
        <f t="shared" si="280"/>
        <v>2.5</v>
      </c>
      <c r="AF149" s="3">
        <f t="shared" ca="1" si="281"/>
        <v>1.7826583000570448</v>
      </c>
      <c r="AG149" s="3">
        <f t="shared" ca="1" si="282"/>
        <v>1.7826583000570448</v>
      </c>
      <c r="AH149" s="3" t="str">
        <f t="shared" si="283"/>
        <v>자동</v>
      </c>
      <c r="AI149" s="3" t="str">
        <f t="shared" si="284"/>
        <v>자동</v>
      </c>
      <c r="AJ149" s="3" t="str">
        <f t="shared" si="285"/>
        <v>자동</v>
      </c>
      <c r="AL149" s="3" t="str">
        <f t="shared" si="286"/>
        <v/>
      </c>
      <c r="AN149" s="3">
        <f ca="1">IF($BA149=42,OFFSET(변환표준점수!C$119,$AP149-1,0),"")</f>
        <v>70.12</v>
      </c>
      <c r="AO149" s="3">
        <f ca="1">IF($BA149=42,OFFSET(변환표준점수!D$119,$AP149-1,0),"")</f>
        <v>70</v>
      </c>
      <c r="AP149" s="3">
        <f>IF(S149="","",MATCH(S149,변환표준점수!$B$119:$B$298,0))</f>
        <v>42</v>
      </c>
      <c r="AQ149" s="3">
        <v>12</v>
      </c>
      <c r="AR149" s="3">
        <v>12</v>
      </c>
      <c r="AS149" s="3">
        <v>42</v>
      </c>
      <c r="AT149" s="3">
        <v>42</v>
      </c>
      <c r="AX149" s="3">
        <v>3</v>
      </c>
      <c r="AY149" s="3">
        <v>3</v>
      </c>
      <c r="BA149" s="3">
        <f t="shared" si="287"/>
        <v>42</v>
      </c>
      <c r="BJ149" s="3">
        <f t="shared" si="288"/>
        <v>0</v>
      </c>
      <c r="CH149" s="206">
        <f t="shared" si="289"/>
        <v>800</v>
      </c>
      <c r="CI149" s="56">
        <v>200</v>
      </c>
      <c r="CJ149" s="3">
        <v>190</v>
      </c>
      <c r="CK149" s="3">
        <v>180</v>
      </c>
      <c r="CL149" s="3">
        <v>160</v>
      </c>
      <c r="CM149" s="3">
        <v>140</v>
      </c>
      <c r="CN149" s="3">
        <v>120</v>
      </c>
      <c r="CO149" s="3">
        <v>80</v>
      </c>
      <c r="CP149" s="3">
        <v>40</v>
      </c>
      <c r="CQ149" s="3">
        <v>20</v>
      </c>
      <c r="DJ149" s="3">
        <f t="shared" ca="1" si="290"/>
        <v>200</v>
      </c>
      <c r="DK149" s="3">
        <f t="shared" ca="1" si="291"/>
        <v>100</v>
      </c>
      <c r="DL149" s="3">
        <f t="shared" ca="1" si="292"/>
        <v>0</v>
      </c>
      <c r="DM149" s="3">
        <v>2</v>
      </c>
      <c r="DQ149" s="3">
        <v>1</v>
      </c>
      <c r="DS149" s="3">
        <v>1</v>
      </c>
      <c r="EA149" s="3">
        <f t="shared" si="293"/>
        <v>1</v>
      </c>
      <c r="EB149" s="3">
        <f t="shared" si="294"/>
        <v>2</v>
      </c>
      <c r="EC149" s="3">
        <f t="shared" si="295"/>
        <v>0</v>
      </c>
      <c r="ED149" s="3">
        <f t="shared" si="296"/>
        <v>0</v>
      </c>
      <c r="EF149" s="3">
        <f t="shared" ca="1" si="297"/>
        <v>0</v>
      </c>
      <c r="EG149" s="3">
        <f t="shared" ca="1" si="298"/>
        <v>0</v>
      </c>
      <c r="EH149" s="3">
        <f ca="1">IFERROR(IF(LEFT($BA149,1)="4",OFFSET(변환표준점수!$H$118,MATCH($S149,변환표준점수!$B$119:$B$198,0),),OFFSET(EH$3,MATCH(AS149,$ED$4:$ED$8,0),0)),0)</f>
        <v>0</v>
      </c>
      <c r="EI149" s="3">
        <f ca="1">IFERROR(IF(LEFT($BA149,1)="4",OFFSET(변환표준점수!$I$118,MATCH($S149,변환표준점수!$B$119:$B$198,0),0),OFFSET(EI$3,MATCH(AT149,$ED$4:$ED$8,0),0)),0)</f>
        <v>0</v>
      </c>
      <c r="EK149" s="3">
        <f ca="1">IFERROR(IF(LEFT($BA149,1)="4",OFFSET(변환표준점수!$J$118,MATCH($S149,변환표준점수!$B$119:$B$198,0),0),OFFSET(EJ$3,MATCH(AV149,$ED$4:$ED$8,0),0)),0)</f>
        <v>0</v>
      </c>
      <c r="EL149" s="3">
        <f ca="1">IFERROR(IF(LEFT($BA149,1)="4",OFFSET(변환표준점수!$K$118,MATCH($S149,변환표준점수!$B$119:$B$198,0),0),OFFSET(EK$3,MATCH(AW149,$ED$4:$ED$8,0),0)),0)</f>
        <v>0</v>
      </c>
      <c r="EM149" s="3" t="str">
        <f t="shared" ca="1" si="299"/>
        <v/>
      </c>
      <c r="EN149" s="3" t="str">
        <f t="shared" ca="1" si="300"/>
        <v/>
      </c>
      <c r="EO149" s="3">
        <f t="shared" ca="1" si="301"/>
        <v>0</v>
      </c>
      <c r="EQ149" s="3">
        <f t="shared" ca="1" si="302"/>
        <v>0</v>
      </c>
      <c r="ER149" s="3">
        <f t="shared" ca="1" si="303"/>
        <v>0</v>
      </c>
      <c r="ES149" s="3">
        <f t="shared" ca="1" si="304"/>
        <v>0</v>
      </c>
      <c r="ET149" s="3">
        <f t="shared" ca="1" si="305"/>
        <v>0</v>
      </c>
      <c r="EU149" s="3">
        <f t="shared" si="306"/>
        <v>0</v>
      </c>
      <c r="EV149" s="3">
        <f t="shared" ca="1" si="307"/>
        <v>0</v>
      </c>
      <c r="EW149" s="3">
        <f t="shared" ca="1" si="308"/>
        <v>0</v>
      </c>
      <c r="EX149" s="3">
        <f ca="1">LARGE((ES149:ET149,EV149:EW149),1)</f>
        <v>0</v>
      </c>
      <c r="EY149" s="3">
        <f ca="1">IF(O149&lt;2,0,LARGE((ES149:ET149,EV149:EW149),2))</f>
        <v>0</v>
      </c>
      <c r="EZ149" s="3">
        <f t="shared" ca="1" si="309"/>
        <v>0</v>
      </c>
      <c r="FA149" s="3">
        <f t="shared" ca="1" si="310"/>
        <v>0</v>
      </c>
      <c r="FB149" s="3">
        <f t="shared" ca="1" si="311"/>
        <v>0</v>
      </c>
      <c r="FG149" s="3">
        <f t="shared" ca="1" si="312"/>
        <v>0</v>
      </c>
      <c r="FH149" s="618"/>
      <c r="FU149" s="3" t="str">
        <f t="shared" si="268"/>
        <v>표점/만점</v>
      </c>
      <c r="FV149" s="3" t="str">
        <f t="shared" si="269"/>
        <v>변표/만점</v>
      </c>
      <c r="FW149" s="3">
        <f t="shared" ca="1" si="313"/>
        <v>0.25</v>
      </c>
      <c r="FX149" s="3">
        <f t="shared" ca="1" si="314"/>
        <v>0.44</v>
      </c>
      <c r="FY149" s="3">
        <f t="shared" ca="1" si="315"/>
        <v>0.31</v>
      </c>
      <c r="FZ149" s="3">
        <f t="shared" ca="1" si="316"/>
        <v>5.7215072209203539</v>
      </c>
    </row>
    <row r="150" spans="1:182">
      <c r="A150" s="556">
        <v>26</v>
      </c>
      <c r="C150" s="3">
        <f t="shared" si="270"/>
        <v>135</v>
      </c>
      <c r="D150" s="3">
        <v>135</v>
      </c>
      <c r="E150" s="3" t="s">
        <v>7325</v>
      </c>
      <c r="F150" s="3">
        <v>1000</v>
      </c>
      <c r="G150" s="3">
        <v>0.2</v>
      </c>
      <c r="H150" s="3">
        <v>0.35</v>
      </c>
      <c r="I150" s="3">
        <v>0.125</v>
      </c>
      <c r="J150" s="3">
        <v>0.125</v>
      </c>
      <c r="O150" s="3">
        <v>2</v>
      </c>
      <c r="P150" s="3">
        <f t="shared" si="271"/>
        <v>0.8</v>
      </c>
      <c r="Q150" s="3">
        <v>42</v>
      </c>
      <c r="S150" s="3">
        <f t="shared" si="272"/>
        <v>42</v>
      </c>
      <c r="U150" s="3">
        <v>1</v>
      </c>
      <c r="W150" s="3">
        <f t="shared" si="273"/>
        <v>0</v>
      </c>
      <c r="Y150" s="3">
        <f t="shared" si="274"/>
        <v>1.4388489208633093</v>
      </c>
      <c r="Z150" s="3">
        <f t="shared" si="275"/>
        <v>2.5</v>
      </c>
      <c r="AA150" s="3">
        <f t="shared" ca="1" si="276"/>
        <v>1.7826583000570448</v>
      </c>
      <c r="AB150" s="3" t="str">
        <f t="shared" si="277"/>
        <v>자동</v>
      </c>
      <c r="AC150" s="3">
        <f t="shared" ca="1" si="278"/>
        <v>1.7826583000570448</v>
      </c>
      <c r="AD150" s="3">
        <f t="shared" si="279"/>
        <v>1.4388489208633093</v>
      </c>
      <c r="AE150" s="3">
        <f t="shared" si="280"/>
        <v>2.5</v>
      </c>
      <c r="AF150" s="3">
        <f t="shared" ca="1" si="281"/>
        <v>1.7826583000570448</v>
      </c>
      <c r="AG150" s="3">
        <f t="shared" ca="1" si="282"/>
        <v>1.7826583000570448</v>
      </c>
      <c r="AH150" s="3" t="str">
        <f t="shared" si="283"/>
        <v>자동</v>
      </c>
      <c r="AI150" s="3" t="str">
        <f t="shared" si="284"/>
        <v>자동</v>
      </c>
      <c r="AJ150" s="3" t="str">
        <f t="shared" si="285"/>
        <v>자동</v>
      </c>
      <c r="AL150" s="3" t="str">
        <f t="shared" si="286"/>
        <v/>
      </c>
      <c r="AN150" s="3">
        <f ca="1">IF($BA150=42,OFFSET(변환표준점수!C$119,$AP150-1,0),"")</f>
        <v>70.12</v>
      </c>
      <c r="AO150" s="3">
        <f ca="1">IF($BA150=42,OFFSET(변환표준점수!D$119,$AP150-1,0),"")</f>
        <v>70</v>
      </c>
      <c r="AP150" s="3">
        <f>IF(S150="","",MATCH(S150,변환표준점수!$B$119:$B$298,0))</f>
        <v>42</v>
      </c>
      <c r="AQ150" s="3">
        <v>12</v>
      </c>
      <c r="AR150" s="3">
        <v>12</v>
      </c>
      <c r="AS150" s="3">
        <v>42</v>
      </c>
      <c r="AT150" s="3">
        <v>42</v>
      </c>
      <c r="AX150" s="3">
        <v>3</v>
      </c>
      <c r="AY150" s="3">
        <v>3</v>
      </c>
      <c r="BA150" s="3">
        <f t="shared" si="287"/>
        <v>42</v>
      </c>
      <c r="BJ150" s="3">
        <f t="shared" si="288"/>
        <v>0</v>
      </c>
      <c r="CH150" s="206">
        <f t="shared" si="289"/>
        <v>800</v>
      </c>
      <c r="CI150" s="56">
        <v>200</v>
      </c>
      <c r="CJ150" s="3">
        <v>190</v>
      </c>
      <c r="CK150" s="3">
        <v>180</v>
      </c>
      <c r="CL150" s="3">
        <v>160</v>
      </c>
      <c r="CM150" s="3">
        <v>140</v>
      </c>
      <c r="CN150" s="3">
        <v>120</v>
      </c>
      <c r="CO150" s="3">
        <v>80</v>
      </c>
      <c r="CP150" s="3">
        <v>40</v>
      </c>
      <c r="CQ150" s="3">
        <v>20</v>
      </c>
      <c r="DJ150" s="3">
        <f t="shared" ca="1" si="290"/>
        <v>200</v>
      </c>
      <c r="DK150" s="3">
        <f t="shared" ca="1" si="291"/>
        <v>100</v>
      </c>
      <c r="DL150" s="3">
        <f t="shared" ca="1" si="292"/>
        <v>0</v>
      </c>
      <c r="DM150" s="3">
        <v>2</v>
      </c>
      <c r="DQ150" s="3">
        <v>1</v>
      </c>
      <c r="DS150" s="3">
        <v>1</v>
      </c>
      <c r="EA150" s="3">
        <f t="shared" si="293"/>
        <v>1</v>
      </c>
      <c r="EB150" s="3">
        <f t="shared" si="294"/>
        <v>2</v>
      </c>
      <c r="EC150" s="3">
        <f t="shared" si="295"/>
        <v>0</v>
      </c>
      <c r="ED150" s="3">
        <f t="shared" si="296"/>
        <v>0</v>
      </c>
      <c r="EF150" s="3">
        <f t="shared" ca="1" si="297"/>
        <v>0</v>
      </c>
      <c r="EG150" s="3">
        <f t="shared" ca="1" si="298"/>
        <v>0</v>
      </c>
      <c r="EH150" s="3">
        <f ca="1">IFERROR(IF(LEFT($BA150,1)="4",OFFSET(변환표준점수!$H$118,MATCH($S150,변환표준점수!$B$119:$B$198,0),),OFFSET(EH$3,MATCH(AS150,$ED$4:$ED$8,0),0)),0)</f>
        <v>0</v>
      </c>
      <c r="EI150" s="3">
        <f ca="1">IFERROR(IF(LEFT($BA150,1)="4",OFFSET(변환표준점수!$I$118,MATCH($S150,변환표준점수!$B$119:$B$198,0),0),OFFSET(EI$3,MATCH(AT150,$ED$4:$ED$8,0),0)),0)</f>
        <v>0</v>
      </c>
      <c r="EK150" s="3">
        <f ca="1">IFERROR(IF(LEFT($BA150,1)="4",OFFSET(변환표준점수!$J$118,MATCH($S150,변환표준점수!$B$119:$B$198,0),0),OFFSET(EJ$3,MATCH(AV150,$ED$4:$ED$8,0),0)),0)</f>
        <v>0</v>
      </c>
      <c r="EL150" s="3">
        <f ca="1">IFERROR(IF(LEFT($BA150,1)="4",OFFSET(변환표준점수!$K$118,MATCH($S150,변환표준점수!$B$119:$B$198,0),0),OFFSET(EK$3,MATCH(AW150,$ED$4:$ED$8,0),0)),0)</f>
        <v>0</v>
      </c>
      <c r="EM150" s="3" t="str">
        <f t="shared" ca="1" si="299"/>
        <v/>
      </c>
      <c r="EN150" s="3" t="str">
        <f t="shared" ca="1" si="300"/>
        <v/>
      </c>
      <c r="EO150" s="3">
        <f t="shared" ca="1" si="301"/>
        <v>0</v>
      </c>
      <c r="EQ150" s="3">
        <f t="shared" ca="1" si="302"/>
        <v>0</v>
      </c>
      <c r="ER150" s="3">
        <f t="shared" ca="1" si="303"/>
        <v>0</v>
      </c>
      <c r="ES150" s="3">
        <f t="shared" ca="1" si="304"/>
        <v>0</v>
      </c>
      <c r="ET150" s="3">
        <f t="shared" ca="1" si="305"/>
        <v>0</v>
      </c>
      <c r="EU150" s="3">
        <f t="shared" si="306"/>
        <v>0</v>
      </c>
      <c r="EV150" s="3">
        <f t="shared" ca="1" si="307"/>
        <v>0</v>
      </c>
      <c r="EW150" s="3">
        <f t="shared" ca="1" si="308"/>
        <v>0</v>
      </c>
      <c r="EX150" s="3">
        <f ca="1">LARGE((ES150:ET150,EV150:EW150),1)</f>
        <v>0</v>
      </c>
      <c r="EY150" s="3">
        <f ca="1">IF(O150&lt;2,0,LARGE((ES150:ET150,EV150:EW150),2))</f>
        <v>0</v>
      </c>
      <c r="EZ150" s="3">
        <f t="shared" ca="1" si="309"/>
        <v>0</v>
      </c>
      <c r="FA150" s="3">
        <f t="shared" ca="1" si="310"/>
        <v>0</v>
      </c>
      <c r="FB150" s="3">
        <f t="shared" ca="1" si="311"/>
        <v>0</v>
      </c>
      <c r="FG150" s="3">
        <f t="shared" ca="1" si="312"/>
        <v>0</v>
      </c>
      <c r="FH150" s="618"/>
      <c r="FU150" s="3" t="str">
        <f t="shared" si="268"/>
        <v>표점/만점</v>
      </c>
      <c r="FV150" s="3" t="str">
        <f t="shared" si="269"/>
        <v>변표/만점</v>
      </c>
      <c r="FW150" s="3">
        <f t="shared" ca="1" si="313"/>
        <v>0.25</v>
      </c>
      <c r="FX150" s="3">
        <f t="shared" ca="1" si="314"/>
        <v>0.44</v>
      </c>
      <c r="FY150" s="3">
        <f t="shared" ca="1" si="315"/>
        <v>0.31</v>
      </c>
      <c r="FZ150" s="3">
        <f t="shared" ca="1" si="316"/>
        <v>5.7215072209203539</v>
      </c>
    </row>
    <row r="151" spans="1:182">
      <c r="A151" s="556">
        <v>26</v>
      </c>
      <c r="C151" s="3">
        <f t="shared" si="270"/>
        <v>136</v>
      </c>
      <c r="D151" s="3">
        <v>136</v>
      </c>
      <c r="E151" s="3" t="s">
        <v>7326</v>
      </c>
      <c r="F151" s="3">
        <v>1000</v>
      </c>
      <c r="G151" s="3">
        <v>0.2</v>
      </c>
      <c r="H151" s="3">
        <v>0.35</v>
      </c>
      <c r="I151" s="3">
        <v>0.125</v>
      </c>
      <c r="J151" s="3">
        <v>0.125</v>
      </c>
      <c r="L151" s="3">
        <v>0.125</v>
      </c>
      <c r="M151" s="3">
        <v>0.125</v>
      </c>
      <c r="O151" s="3">
        <v>2</v>
      </c>
      <c r="P151" s="3">
        <f t="shared" si="271"/>
        <v>0.8</v>
      </c>
      <c r="Q151" s="3">
        <v>42</v>
      </c>
      <c r="S151" s="3">
        <f t="shared" si="272"/>
        <v>42</v>
      </c>
      <c r="W151" s="3">
        <f t="shared" si="273"/>
        <v>0</v>
      </c>
      <c r="Y151" s="3">
        <f t="shared" si="274"/>
        <v>1.4388489208633093</v>
      </c>
      <c r="Z151" s="3">
        <f t="shared" si="275"/>
        <v>2.5</v>
      </c>
      <c r="AA151" s="3">
        <f t="shared" ca="1" si="276"/>
        <v>1.7826583000570448</v>
      </c>
      <c r="AB151" s="3">
        <f t="shared" ca="1" si="277"/>
        <v>1.7857142857142858</v>
      </c>
      <c r="AC151" s="3">
        <f t="shared" ca="1" si="278"/>
        <v>1.7826583000570448</v>
      </c>
      <c r="AD151" s="3">
        <f t="shared" si="279"/>
        <v>1.4388489208633093</v>
      </c>
      <c r="AE151" s="3">
        <f t="shared" si="280"/>
        <v>2.5</v>
      </c>
      <c r="AF151" s="3">
        <f t="shared" ca="1" si="281"/>
        <v>1.7826583000570448</v>
      </c>
      <c r="AG151" s="3">
        <f t="shared" ca="1" si="282"/>
        <v>1.7826583000570448</v>
      </c>
      <c r="AH151" s="3" t="str">
        <f t="shared" si="283"/>
        <v>자동</v>
      </c>
      <c r="AI151" s="3">
        <f t="shared" ca="1" si="284"/>
        <v>1.7857142857142858</v>
      </c>
      <c r="AJ151" s="3">
        <f t="shared" ca="1" si="285"/>
        <v>1.7857142857142858</v>
      </c>
      <c r="AL151" s="3" t="str">
        <f t="shared" si="286"/>
        <v/>
      </c>
      <c r="AN151" s="3">
        <f ca="1">IF($BA151=42,OFFSET(변환표준점수!C$119,$AP151-1,0),"")</f>
        <v>70.12</v>
      </c>
      <c r="AO151" s="3">
        <f ca="1">IF($BA151=42,OFFSET(변환표준점수!D$119,$AP151-1,0),"")</f>
        <v>70</v>
      </c>
      <c r="AP151" s="3">
        <f>IF(S151="","",MATCH(S151,변환표준점수!$B$119:$B$298,0))</f>
        <v>42</v>
      </c>
      <c r="AQ151" s="3">
        <v>12</v>
      </c>
      <c r="AR151" s="3">
        <v>12</v>
      </c>
      <c r="AS151" s="3">
        <v>42</v>
      </c>
      <c r="AT151" s="3">
        <v>42</v>
      </c>
      <c r="AV151" s="3">
        <v>42</v>
      </c>
      <c r="AW151" s="3">
        <v>42</v>
      </c>
      <c r="AX151" s="3">
        <v>3</v>
      </c>
      <c r="AY151" s="3">
        <v>3</v>
      </c>
      <c r="BA151" s="3">
        <f t="shared" si="287"/>
        <v>42</v>
      </c>
      <c r="BJ151" s="3">
        <f t="shared" si="288"/>
        <v>0</v>
      </c>
      <c r="CH151" s="206">
        <f t="shared" si="289"/>
        <v>800</v>
      </c>
      <c r="CI151" s="56">
        <v>200</v>
      </c>
      <c r="CJ151" s="3">
        <v>190</v>
      </c>
      <c r="CK151" s="3">
        <v>180</v>
      </c>
      <c r="CL151" s="3">
        <v>160</v>
      </c>
      <c r="CM151" s="3">
        <v>140</v>
      </c>
      <c r="CN151" s="3">
        <v>120</v>
      </c>
      <c r="CO151" s="3">
        <v>80</v>
      </c>
      <c r="CP151" s="3">
        <v>40</v>
      </c>
      <c r="CQ151" s="3">
        <v>20</v>
      </c>
      <c r="DJ151" s="3">
        <f t="shared" ca="1" si="290"/>
        <v>200</v>
      </c>
      <c r="DK151" s="3">
        <f t="shared" ca="1" si="291"/>
        <v>100</v>
      </c>
      <c r="DL151" s="3">
        <f t="shared" ca="1" si="292"/>
        <v>0</v>
      </c>
      <c r="DO151" s="3">
        <v>2</v>
      </c>
      <c r="DZ151" s="3">
        <v>1</v>
      </c>
      <c r="EA151" s="3">
        <f t="shared" si="293"/>
        <v>1</v>
      </c>
      <c r="EB151" s="3">
        <f t="shared" si="294"/>
        <v>2</v>
      </c>
      <c r="EC151" s="3">
        <f t="shared" si="295"/>
        <v>0</v>
      </c>
      <c r="ED151" s="3">
        <f t="shared" si="296"/>
        <v>0</v>
      </c>
      <c r="EF151" s="3">
        <f t="shared" ca="1" si="297"/>
        <v>0</v>
      </c>
      <c r="EG151" s="3">
        <f t="shared" ca="1" si="298"/>
        <v>0</v>
      </c>
      <c r="EH151" s="3">
        <f ca="1">IFERROR(IF(LEFT($BA151,1)="4",OFFSET(변환표준점수!$H$118,MATCH($S151,변환표준점수!$B$119:$B$198,0),),OFFSET(EH$3,MATCH(AS151,$ED$4:$ED$8,0),0)),0)</f>
        <v>0</v>
      </c>
      <c r="EI151" s="3">
        <f ca="1">IFERROR(IF(LEFT($BA151,1)="4",OFFSET(변환표준점수!$I$118,MATCH($S151,변환표준점수!$B$119:$B$198,0),0),OFFSET(EI$3,MATCH(AT151,$ED$4:$ED$8,0),0)),0)</f>
        <v>0</v>
      </c>
      <c r="EK151" s="3">
        <f ca="1">IFERROR(IF(LEFT($BA151,1)="4",OFFSET(변환표준점수!$J$118,MATCH($S151,변환표준점수!$B$119:$B$198,0),0),OFFSET(EJ$3,MATCH(AV151,$ED$4:$ED$8,0),0)),0)</f>
        <v>0</v>
      </c>
      <c r="EL151" s="3">
        <f ca="1">IFERROR(IF(LEFT($BA151,1)="4",OFFSET(변환표준점수!$K$118,MATCH($S151,변환표준점수!$B$119:$B$198,0),0),OFFSET(EK$3,MATCH(AW151,$ED$4:$ED$8,0),0)),0)</f>
        <v>0</v>
      </c>
      <c r="EM151" s="3" t="str">
        <f t="shared" ca="1" si="299"/>
        <v/>
      </c>
      <c r="EN151" s="3" t="str">
        <f t="shared" ca="1" si="300"/>
        <v/>
      </c>
      <c r="EO151" s="3">
        <f t="shared" ca="1" si="301"/>
        <v>0</v>
      </c>
      <c r="EQ151" s="3">
        <f t="shared" ca="1" si="302"/>
        <v>0</v>
      </c>
      <c r="ER151" s="3">
        <f t="shared" ca="1" si="303"/>
        <v>0</v>
      </c>
      <c r="ES151" s="3">
        <f t="shared" ca="1" si="304"/>
        <v>0</v>
      </c>
      <c r="ET151" s="3">
        <f t="shared" ca="1" si="305"/>
        <v>0</v>
      </c>
      <c r="EU151" s="3">
        <f t="shared" si="306"/>
        <v>0</v>
      </c>
      <c r="EV151" s="3">
        <f t="shared" ca="1" si="307"/>
        <v>0</v>
      </c>
      <c r="EW151" s="3">
        <f t="shared" ca="1" si="308"/>
        <v>0</v>
      </c>
      <c r="EX151" s="3">
        <f ca="1">LARGE((ES151:ET151,EV151:EW151),1)</f>
        <v>0</v>
      </c>
      <c r="EY151" s="3">
        <f ca="1">IF(O151&lt;2,0,LARGE((ES151:ET151,EV151:EW151),2))</f>
        <v>0</v>
      </c>
      <c r="EZ151" s="3">
        <f t="shared" ca="1" si="309"/>
        <v>0</v>
      </c>
      <c r="FA151" s="3">
        <f t="shared" ca="1" si="310"/>
        <v>0</v>
      </c>
      <c r="FB151" s="3">
        <f t="shared" ca="1" si="311"/>
        <v>0</v>
      </c>
      <c r="FG151" s="3">
        <f t="shared" ca="1" si="312"/>
        <v>0</v>
      </c>
      <c r="FH151" s="618"/>
      <c r="FU151" s="3" t="str">
        <f t="shared" si="268"/>
        <v>표점/만점</v>
      </c>
      <c r="FV151" s="3" t="str">
        <f t="shared" si="269"/>
        <v>변표/만점</v>
      </c>
      <c r="FW151" s="3">
        <f t="shared" ca="1" si="313"/>
        <v>0.25</v>
      </c>
      <c r="FX151" s="3">
        <f t="shared" ca="1" si="314"/>
        <v>0.44</v>
      </c>
      <c r="FY151" s="3">
        <f t="shared" ca="1" si="315"/>
        <v>0.31</v>
      </c>
      <c r="FZ151" s="3">
        <f t="shared" ca="1" si="316"/>
        <v>5.7215072209203539</v>
      </c>
    </row>
    <row r="152" spans="1:182">
      <c r="A152" s="556">
        <v>26</v>
      </c>
      <c r="C152" s="3">
        <f t="shared" si="270"/>
        <v>137</v>
      </c>
      <c r="D152" s="3">
        <v>137</v>
      </c>
      <c r="E152" s="3" t="s">
        <v>7327</v>
      </c>
      <c r="F152" s="3">
        <v>1000</v>
      </c>
      <c r="G152" s="3">
        <v>0.35</v>
      </c>
      <c r="H152" s="3">
        <v>0.2</v>
      </c>
      <c r="I152" s="3">
        <v>0.125</v>
      </c>
      <c r="J152" s="3">
        <v>0.125</v>
      </c>
      <c r="L152" s="3">
        <v>0.125</v>
      </c>
      <c r="M152" s="3">
        <v>0.125</v>
      </c>
      <c r="O152" s="3">
        <v>2</v>
      </c>
      <c r="P152" s="3">
        <f t="shared" si="271"/>
        <v>0.8</v>
      </c>
      <c r="Q152" s="3">
        <v>42</v>
      </c>
      <c r="S152" s="3">
        <f t="shared" si="272"/>
        <v>42</v>
      </c>
      <c r="W152" s="3">
        <f t="shared" si="273"/>
        <v>0</v>
      </c>
      <c r="Y152" s="3">
        <f t="shared" si="274"/>
        <v>2.5179856115107913</v>
      </c>
      <c r="Z152" s="3">
        <f t="shared" si="275"/>
        <v>1.4285714285714286</v>
      </c>
      <c r="AA152" s="3">
        <f t="shared" ca="1" si="276"/>
        <v>1.7826583000570448</v>
      </c>
      <c r="AB152" s="3">
        <f t="shared" ca="1" si="277"/>
        <v>1.7857142857142858</v>
      </c>
      <c r="AC152" s="3">
        <f t="shared" ca="1" si="278"/>
        <v>1.7857142857142858</v>
      </c>
      <c r="AD152" s="3">
        <f t="shared" si="279"/>
        <v>2.5179856115107913</v>
      </c>
      <c r="AE152" s="3">
        <f t="shared" si="280"/>
        <v>1.4285714285714286</v>
      </c>
      <c r="AF152" s="3">
        <f t="shared" ca="1" si="281"/>
        <v>1.7826583000570448</v>
      </c>
      <c r="AG152" s="3">
        <f t="shared" ca="1" si="282"/>
        <v>1.7826583000570448</v>
      </c>
      <c r="AH152" s="3" t="str">
        <f t="shared" si="283"/>
        <v>자동</v>
      </c>
      <c r="AI152" s="3">
        <f t="shared" ca="1" si="284"/>
        <v>1.7857142857142858</v>
      </c>
      <c r="AJ152" s="3">
        <f t="shared" ca="1" si="285"/>
        <v>1.7857142857142858</v>
      </c>
      <c r="AL152" s="3" t="str">
        <f t="shared" si="286"/>
        <v/>
      </c>
      <c r="AN152" s="3">
        <f ca="1">IF($BA152=42,OFFSET(변환표준점수!C$119,$AP152-1,0),"")</f>
        <v>70.12</v>
      </c>
      <c r="AO152" s="3">
        <f ca="1">IF($BA152=42,OFFSET(변환표준점수!D$119,$AP152-1,0),"")</f>
        <v>70</v>
      </c>
      <c r="AP152" s="3">
        <f>IF(S152="","",MATCH(S152,변환표준점수!$B$119:$B$298,0))</f>
        <v>42</v>
      </c>
      <c r="AQ152" s="3">
        <v>12</v>
      </c>
      <c r="AR152" s="3">
        <v>12</v>
      </c>
      <c r="AS152" s="3">
        <v>42</v>
      </c>
      <c r="AT152" s="3">
        <v>42</v>
      </c>
      <c r="AV152" s="3">
        <v>42</v>
      </c>
      <c r="AW152" s="3">
        <v>42</v>
      </c>
      <c r="AX152" s="3">
        <v>3</v>
      </c>
      <c r="AY152" s="3">
        <v>3</v>
      </c>
      <c r="BA152" s="3">
        <f t="shared" si="287"/>
        <v>42</v>
      </c>
      <c r="BJ152" s="3">
        <f t="shared" si="288"/>
        <v>0</v>
      </c>
      <c r="CH152" s="206">
        <f t="shared" si="289"/>
        <v>800</v>
      </c>
      <c r="CI152" s="56">
        <v>200</v>
      </c>
      <c r="CJ152" s="3">
        <v>190</v>
      </c>
      <c r="CK152" s="3">
        <v>180</v>
      </c>
      <c r="CL152" s="3">
        <v>160</v>
      </c>
      <c r="CM152" s="3">
        <v>140</v>
      </c>
      <c r="CN152" s="3">
        <v>120</v>
      </c>
      <c r="CO152" s="3">
        <v>80</v>
      </c>
      <c r="CP152" s="3">
        <v>40</v>
      </c>
      <c r="CQ152" s="3">
        <v>20</v>
      </c>
      <c r="DJ152" s="3">
        <f t="shared" ca="1" si="290"/>
        <v>200</v>
      </c>
      <c r="DK152" s="3">
        <f t="shared" ca="1" si="291"/>
        <v>100</v>
      </c>
      <c r="DL152" s="3">
        <f t="shared" ca="1" si="292"/>
        <v>0</v>
      </c>
      <c r="DO152" s="3">
        <v>2</v>
      </c>
      <c r="EA152" s="3">
        <f t="shared" si="293"/>
        <v>2</v>
      </c>
      <c r="EB152" s="3">
        <f t="shared" si="294"/>
        <v>2</v>
      </c>
      <c r="EC152" s="3">
        <f t="shared" si="295"/>
        <v>0</v>
      </c>
      <c r="ED152" s="3">
        <f t="shared" si="296"/>
        <v>0</v>
      </c>
      <c r="EF152" s="3">
        <f t="shared" ca="1" si="297"/>
        <v>0</v>
      </c>
      <c r="EG152" s="3">
        <f t="shared" ca="1" si="298"/>
        <v>0</v>
      </c>
      <c r="EH152" s="3">
        <f ca="1">IFERROR(IF(LEFT($BA152,1)="4",OFFSET(변환표준점수!$H$118,MATCH($S152,변환표준점수!$B$119:$B$198,0),),OFFSET(EH$3,MATCH(AS152,$ED$4:$ED$8,0),0)),0)</f>
        <v>0</v>
      </c>
      <c r="EI152" s="3">
        <f ca="1">IFERROR(IF(LEFT($BA152,1)="4",OFFSET(변환표준점수!$I$118,MATCH($S152,변환표준점수!$B$119:$B$198,0),0),OFFSET(EI$3,MATCH(AT152,$ED$4:$ED$8,0),0)),0)</f>
        <v>0</v>
      </c>
      <c r="EK152" s="3">
        <f ca="1">IFERROR(IF(LEFT($BA152,1)="4",OFFSET(변환표준점수!$J$118,MATCH($S152,변환표준점수!$B$119:$B$198,0),0),OFFSET(EJ$3,MATCH(AV152,$ED$4:$ED$8,0),0)),0)</f>
        <v>0</v>
      </c>
      <c r="EL152" s="3">
        <f ca="1">IFERROR(IF(LEFT($BA152,1)="4",OFFSET(변환표준점수!$K$118,MATCH($S152,변환표준점수!$B$119:$B$198,0),0),OFFSET(EK$3,MATCH(AW152,$ED$4:$ED$8,0),0)),0)</f>
        <v>0</v>
      </c>
      <c r="EM152" s="3" t="str">
        <f t="shared" ca="1" si="299"/>
        <v/>
      </c>
      <c r="EN152" s="3" t="str">
        <f t="shared" ca="1" si="300"/>
        <v/>
      </c>
      <c r="EO152" s="3">
        <f t="shared" ca="1" si="301"/>
        <v>0</v>
      </c>
      <c r="EQ152" s="3">
        <f t="shared" ca="1" si="302"/>
        <v>0</v>
      </c>
      <c r="ER152" s="3">
        <f t="shared" ca="1" si="303"/>
        <v>0</v>
      </c>
      <c r="ES152" s="3">
        <f t="shared" ca="1" si="304"/>
        <v>0</v>
      </c>
      <c r="ET152" s="3">
        <f t="shared" ca="1" si="305"/>
        <v>0</v>
      </c>
      <c r="EU152" s="3">
        <f t="shared" si="306"/>
        <v>0</v>
      </c>
      <c r="EV152" s="3">
        <f t="shared" ca="1" si="307"/>
        <v>0</v>
      </c>
      <c r="EW152" s="3">
        <f t="shared" ca="1" si="308"/>
        <v>0</v>
      </c>
      <c r="EX152" s="3">
        <f ca="1">LARGE((ES152:ET152,EV152:EW152),1)</f>
        <v>0</v>
      </c>
      <c r="EY152" s="3">
        <f ca="1">IF(O152&lt;2,0,LARGE((ES152:ET152,EV152:EW152),2))</f>
        <v>0</v>
      </c>
      <c r="EZ152" s="3">
        <f t="shared" ca="1" si="309"/>
        <v>0</v>
      </c>
      <c r="FA152" s="3">
        <f t="shared" ca="1" si="310"/>
        <v>0</v>
      </c>
      <c r="FB152" s="3">
        <f t="shared" ca="1" si="311"/>
        <v>0</v>
      </c>
      <c r="FG152" s="3">
        <f t="shared" ca="1" si="312"/>
        <v>0</v>
      </c>
      <c r="FH152" s="618"/>
      <c r="FU152" s="3" t="str">
        <f t="shared" si="268"/>
        <v>표점/만점</v>
      </c>
      <c r="FV152" s="3" t="str">
        <f t="shared" si="269"/>
        <v>변표/만점</v>
      </c>
      <c r="FW152" s="3">
        <f t="shared" ca="1" si="313"/>
        <v>0.44</v>
      </c>
      <c r="FX152" s="3">
        <f t="shared" ca="1" si="314"/>
        <v>0.25</v>
      </c>
      <c r="FY152" s="3">
        <f t="shared" ca="1" si="315"/>
        <v>0.31</v>
      </c>
      <c r="FZ152" s="3">
        <f t="shared" ca="1" si="316"/>
        <v>5.7322713257965052</v>
      </c>
    </row>
    <row r="153" spans="1:182">
      <c r="A153" s="556">
        <v>26</v>
      </c>
      <c r="C153" s="3">
        <f t="shared" si="270"/>
        <v>138</v>
      </c>
      <c r="D153" s="3">
        <v>138</v>
      </c>
      <c r="E153" s="3" t="s">
        <v>7328</v>
      </c>
      <c r="F153" s="3">
        <v>1000</v>
      </c>
      <c r="G153" s="3">
        <v>0.3</v>
      </c>
      <c r="H153" s="3">
        <v>0.3</v>
      </c>
      <c r="I153" s="3">
        <v>0.1</v>
      </c>
      <c r="J153" s="3">
        <v>0.1</v>
      </c>
      <c r="L153" s="3">
        <v>0.1</v>
      </c>
      <c r="M153" s="3">
        <v>0.1</v>
      </c>
      <c r="O153" s="3">
        <v>2</v>
      </c>
      <c r="P153" s="3">
        <f t="shared" si="271"/>
        <v>0.8</v>
      </c>
      <c r="Q153" s="3">
        <v>42</v>
      </c>
      <c r="S153" s="3">
        <f t="shared" si="272"/>
        <v>42</v>
      </c>
      <c r="W153" s="3">
        <f t="shared" si="273"/>
        <v>0</v>
      </c>
      <c r="Y153" s="3">
        <f t="shared" si="274"/>
        <v>2.1582733812949639</v>
      </c>
      <c r="Z153" s="3">
        <f t="shared" si="275"/>
        <v>2.1428571428571428</v>
      </c>
      <c r="AA153" s="3">
        <f t="shared" ca="1" si="276"/>
        <v>1.4261266400456361</v>
      </c>
      <c r="AB153" s="3">
        <f t="shared" ca="1" si="277"/>
        <v>1.4285714285714286</v>
      </c>
      <c r="AC153" s="3">
        <f t="shared" ca="1" si="278"/>
        <v>1.4285714285714286</v>
      </c>
      <c r="AD153" s="3">
        <f t="shared" si="279"/>
        <v>2.1582733812949639</v>
      </c>
      <c r="AE153" s="3">
        <f t="shared" si="280"/>
        <v>2.1428571428571428</v>
      </c>
      <c r="AF153" s="3">
        <f t="shared" ca="1" si="281"/>
        <v>1.4261266400456361</v>
      </c>
      <c r="AG153" s="3">
        <f t="shared" ca="1" si="282"/>
        <v>1.4261266400456361</v>
      </c>
      <c r="AH153" s="3" t="str">
        <f t="shared" si="283"/>
        <v>자동</v>
      </c>
      <c r="AI153" s="3">
        <f t="shared" ca="1" si="284"/>
        <v>1.4285714285714286</v>
      </c>
      <c r="AJ153" s="3">
        <f t="shared" ca="1" si="285"/>
        <v>1.4285714285714286</v>
      </c>
      <c r="AL153" s="3" t="str">
        <f t="shared" si="286"/>
        <v/>
      </c>
      <c r="AN153" s="3">
        <f ca="1">IF($BA153=42,OFFSET(변환표준점수!C$119,$AP153-1,0),"")</f>
        <v>70.12</v>
      </c>
      <c r="AO153" s="3">
        <f ca="1">IF($BA153=42,OFFSET(변환표준점수!D$119,$AP153-1,0),"")</f>
        <v>70</v>
      </c>
      <c r="AP153" s="3">
        <f>IF(S153="","",MATCH(S153,변환표준점수!$B$119:$B$298,0))</f>
        <v>42</v>
      </c>
      <c r="AQ153" s="3">
        <v>12</v>
      </c>
      <c r="AR153" s="3">
        <v>12</v>
      </c>
      <c r="AS153" s="3">
        <v>42</v>
      </c>
      <c r="AT153" s="3">
        <v>42</v>
      </c>
      <c r="AV153" s="3">
        <v>42</v>
      </c>
      <c r="AW153" s="3">
        <v>42</v>
      </c>
      <c r="AX153" s="3">
        <v>3</v>
      </c>
      <c r="AY153" s="3">
        <v>3</v>
      </c>
      <c r="BA153" s="3">
        <f t="shared" si="287"/>
        <v>42</v>
      </c>
      <c r="BJ153" s="3">
        <f t="shared" si="288"/>
        <v>0</v>
      </c>
      <c r="CH153" s="206">
        <f t="shared" si="289"/>
        <v>800</v>
      </c>
      <c r="CI153" s="56">
        <v>200</v>
      </c>
      <c r="CJ153" s="3">
        <v>190</v>
      </c>
      <c r="CK153" s="3">
        <v>180</v>
      </c>
      <c r="CL153" s="3">
        <v>160</v>
      </c>
      <c r="CM153" s="3">
        <v>140</v>
      </c>
      <c r="CN153" s="3">
        <v>120</v>
      </c>
      <c r="CO153" s="3">
        <v>80</v>
      </c>
      <c r="CP153" s="3">
        <v>40</v>
      </c>
      <c r="CQ153" s="3">
        <v>20</v>
      </c>
      <c r="DJ153" s="3">
        <f t="shared" ca="1" si="290"/>
        <v>200</v>
      </c>
      <c r="DK153" s="3">
        <f t="shared" ca="1" si="291"/>
        <v>100</v>
      </c>
      <c r="DL153" s="3">
        <f t="shared" ca="1" si="292"/>
        <v>0</v>
      </c>
      <c r="DO153" s="3">
        <v>2</v>
      </c>
      <c r="EA153" s="3">
        <f t="shared" si="293"/>
        <v>2</v>
      </c>
      <c r="EB153" s="3">
        <f t="shared" si="294"/>
        <v>2</v>
      </c>
      <c r="EC153" s="3">
        <f t="shared" si="295"/>
        <v>0</v>
      </c>
      <c r="ED153" s="3">
        <f t="shared" si="296"/>
        <v>0</v>
      </c>
      <c r="EF153" s="3">
        <f t="shared" ca="1" si="297"/>
        <v>0</v>
      </c>
      <c r="EG153" s="3">
        <f t="shared" ca="1" si="298"/>
        <v>0</v>
      </c>
      <c r="EH153" s="3">
        <f ca="1">IFERROR(IF(LEFT($BA153,1)="4",OFFSET(변환표준점수!$H$118,MATCH($S153,변환표준점수!$B$119:$B$198,0),),OFFSET(EH$3,MATCH(AS153,$ED$4:$ED$8,0),0)),0)</f>
        <v>0</v>
      </c>
      <c r="EI153" s="3">
        <f ca="1">IFERROR(IF(LEFT($BA153,1)="4",OFFSET(변환표준점수!$I$118,MATCH($S153,변환표준점수!$B$119:$B$198,0),0),OFFSET(EI$3,MATCH(AT153,$ED$4:$ED$8,0),0)),0)</f>
        <v>0</v>
      </c>
      <c r="EK153" s="3">
        <f ca="1">IFERROR(IF(LEFT($BA153,1)="4",OFFSET(변환표준점수!$J$118,MATCH($S153,변환표준점수!$B$119:$B$198,0),0),OFFSET(EJ$3,MATCH(AV153,$ED$4:$ED$8,0),0)),0)</f>
        <v>0</v>
      </c>
      <c r="EL153" s="3">
        <f ca="1">IFERROR(IF(LEFT($BA153,1)="4",OFFSET(변환표준점수!$K$118,MATCH($S153,변환표준점수!$B$119:$B$198,0),0),OFFSET(EK$3,MATCH(AW153,$ED$4:$ED$8,0),0)),0)</f>
        <v>0</v>
      </c>
      <c r="EM153" s="3" t="str">
        <f t="shared" ca="1" si="299"/>
        <v/>
      </c>
      <c r="EN153" s="3" t="str">
        <f t="shared" ca="1" si="300"/>
        <v/>
      </c>
      <c r="EO153" s="3">
        <f t="shared" ca="1" si="301"/>
        <v>0</v>
      </c>
      <c r="EQ153" s="3">
        <f t="shared" ca="1" si="302"/>
        <v>0</v>
      </c>
      <c r="ER153" s="3">
        <f t="shared" ca="1" si="303"/>
        <v>0</v>
      </c>
      <c r="ES153" s="3">
        <f t="shared" ca="1" si="304"/>
        <v>0</v>
      </c>
      <c r="ET153" s="3">
        <f t="shared" ca="1" si="305"/>
        <v>0</v>
      </c>
      <c r="EU153" s="3">
        <f t="shared" si="306"/>
        <v>0</v>
      </c>
      <c r="EV153" s="3">
        <f t="shared" ca="1" si="307"/>
        <v>0</v>
      </c>
      <c r="EW153" s="3">
        <f t="shared" ca="1" si="308"/>
        <v>0</v>
      </c>
      <c r="EX153" s="3">
        <f ca="1">LARGE((ES153:ET153,EV153:EW153),1)</f>
        <v>0</v>
      </c>
      <c r="EY153" s="3">
        <f ca="1">IF(O153&lt;2,0,LARGE((ES153:ET153,EV153:EW153),2))</f>
        <v>0</v>
      </c>
      <c r="EZ153" s="3">
        <f t="shared" ca="1" si="309"/>
        <v>0</v>
      </c>
      <c r="FA153" s="3">
        <f t="shared" ca="1" si="310"/>
        <v>0</v>
      </c>
      <c r="FB153" s="3">
        <f t="shared" ca="1" si="311"/>
        <v>0</v>
      </c>
      <c r="FG153" s="3">
        <f t="shared" ca="1" si="312"/>
        <v>0</v>
      </c>
      <c r="FH153" s="618"/>
      <c r="FU153" s="3" t="str">
        <f t="shared" si="268"/>
        <v>표점/만점</v>
      </c>
      <c r="FV153" s="3" t="str">
        <f t="shared" si="269"/>
        <v>변표/만점</v>
      </c>
      <c r="FW153" s="3">
        <f t="shared" ca="1" si="313"/>
        <v>0.38</v>
      </c>
      <c r="FX153" s="3">
        <f t="shared" ca="1" si="314"/>
        <v>0.37</v>
      </c>
      <c r="FY153" s="3">
        <f t="shared" ca="1" si="315"/>
        <v>0.25</v>
      </c>
      <c r="FZ153" s="3">
        <f t="shared" ca="1" si="316"/>
        <v>5.729701952723536</v>
      </c>
    </row>
    <row r="154" spans="1:182">
      <c r="A154" s="556">
        <v>26</v>
      </c>
      <c r="C154" s="3">
        <f t="shared" si="270"/>
        <v>139</v>
      </c>
      <c r="D154" s="3">
        <v>139</v>
      </c>
      <c r="E154" s="3" t="s">
        <v>310</v>
      </c>
      <c r="F154" s="3">
        <v>100</v>
      </c>
      <c r="G154" s="3">
        <v>0.25</v>
      </c>
      <c r="H154" s="3">
        <v>0.3</v>
      </c>
      <c r="I154" s="3">
        <v>0.125</v>
      </c>
      <c r="J154" s="3">
        <v>0.125</v>
      </c>
      <c r="O154" s="3">
        <v>2</v>
      </c>
      <c r="P154" s="3">
        <f t="shared" si="271"/>
        <v>0.8</v>
      </c>
      <c r="Q154" s="3" t="s">
        <v>408</v>
      </c>
      <c r="S154" s="3" t="str">
        <f t="shared" si="272"/>
        <v/>
      </c>
      <c r="U154" s="3">
        <v>1</v>
      </c>
      <c r="W154" s="3">
        <f t="shared" si="273"/>
        <v>0</v>
      </c>
      <c r="Y154" s="3">
        <f t="shared" si="274"/>
        <v>0.25</v>
      </c>
      <c r="Z154" s="3">
        <f t="shared" si="275"/>
        <v>0.3</v>
      </c>
      <c r="AA154" s="3">
        <f t="shared" si="276"/>
        <v>0.125</v>
      </c>
      <c r="AB154" s="3" t="str">
        <f t="shared" si="277"/>
        <v>자동</v>
      </c>
      <c r="AC154" s="3">
        <f t="shared" si="278"/>
        <v>0.25</v>
      </c>
      <c r="AD154" s="3">
        <f t="shared" si="279"/>
        <v>0.25</v>
      </c>
      <c r="AE154" s="3">
        <f t="shared" si="280"/>
        <v>0.3</v>
      </c>
      <c r="AF154" s="3">
        <f t="shared" si="281"/>
        <v>0.125</v>
      </c>
      <c r="AG154" s="3">
        <f t="shared" si="282"/>
        <v>0.125</v>
      </c>
      <c r="AH154" s="3" t="str">
        <f t="shared" si="283"/>
        <v>자동</v>
      </c>
      <c r="AI154" s="3" t="str">
        <f t="shared" si="284"/>
        <v>자동</v>
      </c>
      <c r="AJ154" s="3" t="str">
        <f t="shared" si="285"/>
        <v>자동</v>
      </c>
      <c r="AL154" s="3" t="str">
        <f t="shared" si="286"/>
        <v/>
      </c>
      <c r="AN154" s="3" t="str">
        <f ca="1">IF($BA154=42,OFFSET(변환표준점수!C$119,$AP154-1,0),"")</f>
        <v/>
      </c>
      <c r="AO154" s="3" t="str">
        <f ca="1">IF($BA154=42,OFFSET(변환표준점수!D$119,$AP154-1,0),"")</f>
        <v/>
      </c>
      <c r="AP154" s="3" t="str">
        <f>IF(S154="","",MATCH(S154,변환표준점수!$B$119:$B$298,0))</f>
        <v/>
      </c>
      <c r="AQ154" s="3">
        <v>2</v>
      </c>
      <c r="AR154" s="3">
        <v>2</v>
      </c>
      <c r="AS154" s="3">
        <v>2</v>
      </c>
      <c r="AT154" s="3">
        <v>2</v>
      </c>
      <c r="AX154" s="3">
        <v>3</v>
      </c>
      <c r="AY154" s="3">
        <v>3</v>
      </c>
      <c r="BA154" s="3">
        <f t="shared" si="287"/>
        <v>2</v>
      </c>
      <c r="BJ154" s="3">
        <f t="shared" si="288"/>
        <v>0</v>
      </c>
      <c r="CH154" s="206">
        <f t="shared" si="289"/>
        <v>80</v>
      </c>
      <c r="CI154" s="56">
        <v>19.600000000000001</v>
      </c>
      <c r="CJ154" s="3">
        <v>19</v>
      </c>
      <c r="CK154" s="3">
        <v>18.400000000000002</v>
      </c>
      <c r="CL154" s="3">
        <v>17.2</v>
      </c>
      <c r="CM154" s="3">
        <v>16</v>
      </c>
      <c r="CN154" s="3">
        <v>12</v>
      </c>
      <c r="CO154" s="3">
        <v>10</v>
      </c>
      <c r="CP154" s="3">
        <v>8</v>
      </c>
      <c r="CQ154" s="3">
        <v>6</v>
      </c>
      <c r="DJ154" s="3">
        <f t="shared" ca="1" si="290"/>
        <v>19.600000000000001</v>
      </c>
      <c r="DK154" s="3">
        <f t="shared" ca="1" si="291"/>
        <v>100</v>
      </c>
      <c r="DL154" s="3">
        <f t="shared" ca="1" si="292"/>
        <v>0</v>
      </c>
      <c r="DM154" s="3">
        <v>2</v>
      </c>
      <c r="DQ154" s="3">
        <v>1</v>
      </c>
      <c r="DS154" s="3">
        <v>1</v>
      </c>
      <c r="EA154" s="3">
        <f t="shared" si="293"/>
        <v>1</v>
      </c>
      <c r="EB154" s="3">
        <f t="shared" si="294"/>
        <v>2</v>
      </c>
      <c r="EC154" s="3">
        <f t="shared" si="295"/>
        <v>0</v>
      </c>
      <c r="ED154" s="3">
        <f t="shared" si="296"/>
        <v>0</v>
      </c>
      <c r="EF154" s="3">
        <f t="shared" ca="1" si="297"/>
        <v>0</v>
      </c>
      <c r="EG154" s="3">
        <f t="shared" ca="1" si="298"/>
        <v>0</v>
      </c>
      <c r="EH154" s="3">
        <f ca="1">IFERROR(IF(LEFT($BA154,1)="4",OFFSET(변환표준점수!$H$118,MATCH($S154,변환표준점수!$B$119:$B$198,0),),OFFSET(EH$3,MATCH(AS154,$ED$4:$ED$8,0),0)),0)</f>
        <v>0</v>
      </c>
      <c r="EI154" s="3">
        <f ca="1">IFERROR(IF(LEFT($BA154,1)="4",OFFSET(변환표준점수!$I$118,MATCH($S154,변환표준점수!$B$119:$B$198,0),0),OFFSET(EI$3,MATCH(AT154,$ED$4:$ED$8,0),0)),0)</f>
        <v>0</v>
      </c>
      <c r="EK154" s="3">
        <f ca="1">IFERROR(IF(LEFT($BA154,1)="4",OFFSET(변환표준점수!$J$118,MATCH($S154,변환표준점수!$B$119:$B$198,0),0),OFFSET(EJ$3,MATCH(AV154,$ED$4:$ED$8,0),0)),0)</f>
        <v>0</v>
      </c>
      <c r="EL154" s="3">
        <f ca="1">IFERROR(IF(LEFT($BA154,1)="4",OFFSET(변환표준점수!$K$118,MATCH($S154,변환표준점수!$B$119:$B$198,0),0),OFFSET(EK$3,MATCH(AW154,$ED$4:$ED$8,0),0)),0)</f>
        <v>0</v>
      </c>
      <c r="EM154" s="3" t="str">
        <f t="shared" ca="1" si="299"/>
        <v/>
      </c>
      <c r="EN154" s="3" t="str">
        <f t="shared" ca="1" si="300"/>
        <v/>
      </c>
      <c r="EO154" s="3">
        <f t="shared" ca="1" si="301"/>
        <v>0</v>
      </c>
      <c r="EQ154" s="3">
        <f t="shared" ca="1" si="302"/>
        <v>0</v>
      </c>
      <c r="ER154" s="3">
        <f t="shared" ca="1" si="303"/>
        <v>0</v>
      </c>
      <c r="ES154" s="3">
        <f t="shared" ca="1" si="304"/>
        <v>0</v>
      </c>
      <c r="ET154" s="3">
        <f t="shared" ca="1" si="305"/>
        <v>0</v>
      </c>
      <c r="EU154" s="3">
        <f t="shared" si="306"/>
        <v>0</v>
      </c>
      <c r="EV154" s="3">
        <f t="shared" ca="1" si="307"/>
        <v>0</v>
      </c>
      <c r="EW154" s="3">
        <f t="shared" ca="1" si="308"/>
        <v>0</v>
      </c>
      <c r="EX154" s="3">
        <f ca="1">LARGE((ES154:ET154,EV154:EW154),1)</f>
        <v>0</v>
      </c>
      <c r="EY154" s="3">
        <f ca="1">IF(O154&lt;2,0,LARGE((ES154:ET154,EV154:EW154),2))</f>
        <v>0</v>
      </c>
      <c r="EZ154" s="3">
        <f t="shared" ca="1" si="309"/>
        <v>0</v>
      </c>
      <c r="FA154" s="3">
        <f t="shared" ca="1" si="310"/>
        <v>0</v>
      </c>
      <c r="FB154" s="3">
        <f t="shared" ca="1" si="311"/>
        <v>0</v>
      </c>
      <c r="FG154" s="3">
        <f t="shared" ca="1" si="312"/>
        <v>0</v>
      </c>
      <c r="FH154" s="618"/>
      <c r="FU154" s="3" t="str">
        <f t="shared" si="268"/>
        <v>백분위</v>
      </c>
      <c r="FV154" s="3" t="str">
        <f t="shared" si="269"/>
        <v>백분위</v>
      </c>
      <c r="FW154" s="3">
        <f t="shared" si="313"/>
        <v>0.31</v>
      </c>
      <c r="FX154" s="3">
        <f t="shared" si="314"/>
        <v>0.38</v>
      </c>
      <c r="FY154" s="3">
        <f t="shared" si="315"/>
        <v>0.31</v>
      </c>
      <c r="FZ154" s="3">
        <f t="shared" si="316"/>
        <v>0.8</v>
      </c>
    </row>
    <row r="155" spans="1:182">
      <c r="A155" s="556">
        <v>26</v>
      </c>
      <c r="C155" s="3">
        <f t="shared" si="270"/>
        <v>140</v>
      </c>
      <c r="D155" s="3">
        <v>140</v>
      </c>
      <c r="E155" s="3" t="s">
        <v>319</v>
      </c>
      <c r="F155" s="3">
        <v>100</v>
      </c>
      <c r="G155" s="3">
        <v>0.25</v>
      </c>
      <c r="H155" s="3">
        <v>0.3</v>
      </c>
      <c r="I155" s="3">
        <v>0.125</v>
      </c>
      <c r="J155" s="3">
        <v>0.125</v>
      </c>
      <c r="L155" s="3">
        <v>0.125</v>
      </c>
      <c r="M155" s="3">
        <v>0.125</v>
      </c>
      <c r="O155" s="3">
        <v>2</v>
      </c>
      <c r="P155" s="3">
        <f t="shared" si="271"/>
        <v>0.8</v>
      </c>
      <c r="Q155" s="3" t="s">
        <v>408</v>
      </c>
      <c r="S155" s="3" t="str">
        <f t="shared" si="272"/>
        <v/>
      </c>
      <c r="U155" s="3">
        <v>1</v>
      </c>
      <c r="W155" s="3">
        <f t="shared" si="273"/>
        <v>0</v>
      </c>
      <c r="Y155" s="3">
        <f t="shared" si="274"/>
        <v>0.25</v>
      </c>
      <c r="Z155" s="3">
        <f t="shared" si="275"/>
        <v>0.3</v>
      </c>
      <c r="AA155" s="3">
        <f t="shared" si="276"/>
        <v>0.125</v>
      </c>
      <c r="AB155" s="3">
        <f t="shared" si="277"/>
        <v>0.125</v>
      </c>
      <c r="AC155" s="3">
        <f t="shared" si="278"/>
        <v>0.25</v>
      </c>
      <c r="AD155" s="3">
        <f t="shared" si="279"/>
        <v>0.25</v>
      </c>
      <c r="AE155" s="3">
        <f t="shared" si="280"/>
        <v>0.3</v>
      </c>
      <c r="AF155" s="3">
        <f t="shared" si="281"/>
        <v>0.125</v>
      </c>
      <c r="AG155" s="3">
        <f t="shared" si="282"/>
        <v>0.125</v>
      </c>
      <c r="AH155" s="3" t="str">
        <f t="shared" si="283"/>
        <v>자동</v>
      </c>
      <c r="AI155" s="3">
        <f t="shared" si="284"/>
        <v>0.125</v>
      </c>
      <c r="AJ155" s="3">
        <f t="shared" si="285"/>
        <v>0.125</v>
      </c>
      <c r="AL155" s="3" t="str">
        <f t="shared" si="286"/>
        <v/>
      </c>
      <c r="AN155" s="3" t="str">
        <f ca="1">IF($BA155=42,OFFSET(변환표준점수!C$119,$AP155-1,0),"")</f>
        <v/>
      </c>
      <c r="AO155" s="3" t="str">
        <f ca="1">IF($BA155=42,OFFSET(변환표준점수!D$119,$AP155-1,0),"")</f>
        <v/>
      </c>
      <c r="AP155" s="3" t="str">
        <f>IF(S155="","",MATCH(S155,변환표준점수!$B$119:$B$298,0))</f>
        <v/>
      </c>
      <c r="AQ155" s="3">
        <v>2</v>
      </c>
      <c r="AR155" s="3">
        <v>2</v>
      </c>
      <c r="AS155" s="3">
        <v>2</v>
      </c>
      <c r="AT155" s="3">
        <v>2</v>
      </c>
      <c r="AV155" s="3">
        <v>2</v>
      </c>
      <c r="AW155" s="3">
        <v>2</v>
      </c>
      <c r="AX155" s="3">
        <v>3</v>
      </c>
      <c r="AY155" s="3">
        <v>3</v>
      </c>
      <c r="BA155" s="3">
        <f t="shared" si="287"/>
        <v>2</v>
      </c>
      <c r="BJ155" s="3">
        <f t="shared" si="288"/>
        <v>0</v>
      </c>
      <c r="CH155" s="206">
        <f t="shared" si="289"/>
        <v>80</v>
      </c>
      <c r="CI155" s="56">
        <v>19.600000000000001</v>
      </c>
      <c r="CJ155" s="3">
        <v>19</v>
      </c>
      <c r="CK155" s="3">
        <v>18.400000000000002</v>
      </c>
      <c r="CL155" s="3">
        <v>17.2</v>
      </c>
      <c r="CM155" s="3">
        <v>16</v>
      </c>
      <c r="CN155" s="3">
        <v>12</v>
      </c>
      <c r="CO155" s="3">
        <v>10</v>
      </c>
      <c r="CP155" s="3">
        <v>8</v>
      </c>
      <c r="CQ155" s="3">
        <v>6</v>
      </c>
      <c r="DJ155" s="3">
        <f t="shared" ca="1" si="290"/>
        <v>19.600000000000001</v>
      </c>
      <c r="DK155" s="3">
        <f t="shared" ca="1" si="291"/>
        <v>100</v>
      </c>
      <c r="DL155" s="3">
        <f t="shared" ca="1" si="292"/>
        <v>0</v>
      </c>
      <c r="DO155" s="3">
        <v>2</v>
      </c>
      <c r="DZ155" s="3">
        <v>1</v>
      </c>
      <c r="EA155" s="3">
        <f t="shared" si="293"/>
        <v>1</v>
      </c>
      <c r="EB155" s="3">
        <f t="shared" si="294"/>
        <v>2</v>
      </c>
      <c r="EC155" s="3">
        <f t="shared" si="295"/>
        <v>0</v>
      </c>
      <c r="ED155" s="3">
        <f t="shared" si="296"/>
        <v>0</v>
      </c>
      <c r="EF155" s="3">
        <f t="shared" ca="1" si="297"/>
        <v>0</v>
      </c>
      <c r="EG155" s="3">
        <f t="shared" ca="1" si="298"/>
        <v>0</v>
      </c>
      <c r="EH155" s="3">
        <f ca="1">IFERROR(IF(LEFT($BA155,1)="4",OFFSET(변환표준점수!$H$118,MATCH($S155,변환표준점수!$B$119:$B$198,0),),OFFSET(EH$3,MATCH(AS155,$ED$4:$ED$8,0),0)),0)</f>
        <v>0</v>
      </c>
      <c r="EI155" s="3">
        <f ca="1">IFERROR(IF(LEFT($BA155,1)="4",OFFSET(변환표준점수!$I$118,MATCH($S155,변환표준점수!$B$119:$B$198,0),0),OFFSET(EI$3,MATCH(AT155,$ED$4:$ED$8,0),0)),0)</f>
        <v>0</v>
      </c>
      <c r="EK155" s="3">
        <f ca="1">IFERROR(IF(LEFT($BA155,1)="4",OFFSET(변환표준점수!$J$118,MATCH($S155,변환표준점수!$B$119:$B$198,0),0),OFFSET(EJ$3,MATCH(AV155,$ED$4:$ED$8,0),0)),0)</f>
        <v>0</v>
      </c>
      <c r="EL155" s="3">
        <f ca="1">IFERROR(IF(LEFT($BA155,1)="4",OFFSET(변환표준점수!$K$118,MATCH($S155,변환표준점수!$B$119:$B$198,0),0),OFFSET(EK$3,MATCH(AW155,$ED$4:$ED$8,0),0)),0)</f>
        <v>0</v>
      </c>
      <c r="EM155" s="3" t="str">
        <f t="shared" ca="1" si="299"/>
        <v/>
      </c>
      <c r="EN155" s="3" t="str">
        <f t="shared" ca="1" si="300"/>
        <v/>
      </c>
      <c r="EO155" s="3">
        <f t="shared" ca="1" si="301"/>
        <v>0</v>
      </c>
      <c r="EQ155" s="3">
        <f t="shared" ca="1" si="302"/>
        <v>0</v>
      </c>
      <c r="ER155" s="3">
        <f t="shared" ca="1" si="303"/>
        <v>0</v>
      </c>
      <c r="ES155" s="3">
        <f t="shared" ca="1" si="304"/>
        <v>0</v>
      </c>
      <c r="ET155" s="3">
        <f t="shared" ca="1" si="305"/>
        <v>0</v>
      </c>
      <c r="EU155" s="3">
        <f t="shared" si="306"/>
        <v>0</v>
      </c>
      <c r="EV155" s="3">
        <f t="shared" ca="1" si="307"/>
        <v>0</v>
      </c>
      <c r="EW155" s="3">
        <f t="shared" ca="1" si="308"/>
        <v>0</v>
      </c>
      <c r="EX155" s="3">
        <f ca="1">LARGE((ES155:ET155,EV155:EW155),1)</f>
        <v>0</v>
      </c>
      <c r="EY155" s="3">
        <f ca="1">IF(O155&lt;2,0,LARGE((ES155:ET155,EV155:EW155),2))</f>
        <v>0</v>
      </c>
      <c r="EZ155" s="3">
        <f t="shared" ca="1" si="309"/>
        <v>0</v>
      </c>
      <c r="FA155" s="3">
        <f t="shared" ca="1" si="310"/>
        <v>0</v>
      </c>
      <c r="FB155" s="3">
        <f t="shared" ca="1" si="311"/>
        <v>0</v>
      </c>
      <c r="FG155" s="3">
        <f t="shared" ca="1" si="312"/>
        <v>0</v>
      </c>
      <c r="FH155" s="618"/>
      <c r="FU155" s="3" t="str">
        <f t="shared" si="268"/>
        <v>백분위</v>
      </c>
      <c r="FV155" s="3" t="str">
        <f t="shared" si="269"/>
        <v>백분위</v>
      </c>
      <c r="FW155" s="3">
        <f t="shared" si="313"/>
        <v>0.31</v>
      </c>
      <c r="FX155" s="3">
        <f t="shared" si="314"/>
        <v>0.38</v>
      </c>
      <c r="FY155" s="3">
        <f t="shared" si="315"/>
        <v>0.31</v>
      </c>
      <c r="FZ155" s="3">
        <f t="shared" si="316"/>
        <v>0.8</v>
      </c>
    </row>
    <row r="156" spans="1:182">
      <c r="A156" s="556">
        <v>26</v>
      </c>
      <c r="C156" s="3">
        <f t="shared" si="270"/>
        <v>141</v>
      </c>
      <c r="D156" s="3">
        <v>141</v>
      </c>
      <c r="E156" s="3" t="s">
        <v>288</v>
      </c>
      <c r="F156" s="3">
        <v>1000</v>
      </c>
      <c r="G156" s="3">
        <v>0.2</v>
      </c>
      <c r="H156" s="3">
        <v>0.35</v>
      </c>
      <c r="I156" s="3">
        <v>0.125</v>
      </c>
      <c r="J156" s="3">
        <v>0.125</v>
      </c>
      <c r="O156" s="3">
        <v>2</v>
      </c>
      <c r="P156" s="3">
        <f t="shared" si="271"/>
        <v>0.8</v>
      </c>
      <c r="Q156" s="3" t="s">
        <v>408</v>
      </c>
      <c r="S156" s="3" t="str">
        <f t="shared" si="272"/>
        <v/>
      </c>
      <c r="U156" s="3">
        <v>1</v>
      </c>
      <c r="W156" s="3">
        <f t="shared" si="273"/>
        <v>0</v>
      </c>
      <c r="Y156" s="3">
        <f t="shared" si="274"/>
        <v>2</v>
      </c>
      <c r="Z156" s="3">
        <f t="shared" si="275"/>
        <v>3.5</v>
      </c>
      <c r="AA156" s="3">
        <f t="shared" si="276"/>
        <v>1.25</v>
      </c>
      <c r="AB156" s="3" t="str">
        <f t="shared" si="277"/>
        <v>자동</v>
      </c>
      <c r="AC156" s="3">
        <f t="shared" si="278"/>
        <v>2.5</v>
      </c>
      <c r="AD156" s="3">
        <f t="shared" si="279"/>
        <v>2</v>
      </c>
      <c r="AE156" s="3">
        <f t="shared" si="280"/>
        <v>3.5</v>
      </c>
      <c r="AF156" s="3">
        <f t="shared" si="281"/>
        <v>1.25</v>
      </c>
      <c r="AG156" s="3">
        <f t="shared" si="282"/>
        <v>1.25</v>
      </c>
      <c r="AH156" s="3" t="str">
        <f t="shared" si="283"/>
        <v>자동</v>
      </c>
      <c r="AI156" s="3" t="str">
        <f t="shared" si="284"/>
        <v>자동</v>
      </c>
      <c r="AJ156" s="3" t="str">
        <f t="shared" si="285"/>
        <v>자동</v>
      </c>
      <c r="AL156" s="3" t="str">
        <f t="shared" si="286"/>
        <v/>
      </c>
      <c r="AN156" s="3" t="str">
        <f ca="1">IF($BA156=42,OFFSET(변환표준점수!C$119,$AP156-1,0),"")</f>
        <v/>
      </c>
      <c r="AO156" s="3" t="str">
        <f ca="1">IF($BA156=42,OFFSET(변환표준점수!D$119,$AP156-1,0),"")</f>
        <v/>
      </c>
      <c r="AP156" s="3" t="str">
        <f>IF(S156="","",MATCH(S156,변환표준점수!$B$119:$B$298,0))</f>
        <v/>
      </c>
      <c r="AQ156" s="3">
        <v>2</v>
      </c>
      <c r="AR156" s="3">
        <v>2</v>
      </c>
      <c r="AS156" s="3">
        <v>2</v>
      </c>
      <c r="AT156" s="3">
        <v>2</v>
      </c>
      <c r="AX156" s="3">
        <v>3</v>
      </c>
      <c r="AY156" s="3">
        <v>3</v>
      </c>
      <c r="BA156" s="3">
        <f t="shared" si="287"/>
        <v>2</v>
      </c>
      <c r="BJ156" s="3">
        <f t="shared" si="288"/>
        <v>0</v>
      </c>
      <c r="CH156" s="206">
        <f t="shared" si="289"/>
        <v>800</v>
      </c>
      <c r="CI156" s="56">
        <v>200</v>
      </c>
      <c r="CJ156" s="3">
        <v>190</v>
      </c>
      <c r="CK156" s="3">
        <v>180</v>
      </c>
      <c r="CL156" s="3">
        <v>170</v>
      </c>
      <c r="CM156" s="3">
        <v>155</v>
      </c>
      <c r="CN156" s="3">
        <v>140</v>
      </c>
      <c r="CO156" s="3">
        <v>125</v>
      </c>
      <c r="CP156" s="3">
        <v>110</v>
      </c>
      <c r="CQ156" s="3">
        <v>80</v>
      </c>
      <c r="CR156" s="56">
        <v>3</v>
      </c>
      <c r="CS156" s="3">
        <v>2</v>
      </c>
      <c r="CT156" s="3">
        <v>1</v>
      </c>
      <c r="DJ156" s="3">
        <f t="shared" ca="1" si="290"/>
        <v>200</v>
      </c>
      <c r="DK156" s="3">
        <f t="shared" ca="1" si="291"/>
        <v>100</v>
      </c>
      <c r="DL156" s="3">
        <f t="shared" ca="1" si="292"/>
        <v>3</v>
      </c>
      <c r="DM156" s="3">
        <v>2</v>
      </c>
      <c r="DS156" s="3">
        <v>1</v>
      </c>
      <c r="EA156" s="3">
        <f t="shared" si="293"/>
        <v>1</v>
      </c>
      <c r="EB156" s="3">
        <f t="shared" si="294"/>
        <v>2</v>
      </c>
      <c r="EC156" s="3">
        <f t="shared" si="295"/>
        <v>0</v>
      </c>
      <c r="ED156" s="3">
        <f t="shared" si="296"/>
        <v>0</v>
      </c>
      <c r="EF156" s="3">
        <f t="shared" ca="1" si="297"/>
        <v>0</v>
      </c>
      <c r="EG156" s="3">
        <f t="shared" ca="1" si="298"/>
        <v>0</v>
      </c>
      <c r="EH156" s="3">
        <f ca="1">IFERROR(IF(LEFT($BA156,1)="4",OFFSET(변환표준점수!$H$118,MATCH($S156,변환표준점수!$B$119:$B$198,0),),OFFSET(EH$3,MATCH(AS156,$ED$4:$ED$8,0),0)),0)</f>
        <v>0</v>
      </c>
      <c r="EI156" s="3">
        <f ca="1">IFERROR(IF(LEFT($BA156,1)="4",OFFSET(변환표준점수!$I$118,MATCH($S156,변환표준점수!$B$119:$B$198,0),0),OFFSET(EI$3,MATCH(AT156,$ED$4:$ED$8,0),0)),0)</f>
        <v>0</v>
      </c>
      <c r="EK156" s="3">
        <f ca="1">IFERROR(IF(LEFT($BA156,1)="4",OFFSET(변환표준점수!$J$118,MATCH($S156,변환표준점수!$B$119:$B$198,0),0),OFFSET(EJ$3,MATCH(AV156,$ED$4:$ED$8,0),0)),0)</f>
        <v>0</v>
      </c>
      <c r="EL156" s="3">
        <f ca="1">IFERROR(IF(LEFT($BA156,1)="4",OFFSET(변환표준점수!$K$118,MATCH($S156,변환표준점수!$B$119:$B$198,0),0),OFFSET(EK$3,MATCH(AW156,$ED$4:$ED$8,0),0)),0)</f>
        <v>0</v>
      </c>
      <c r="EM156" s="3" t="str">
        <f t="shared" ca="1" si="299"/>
        <v/>
      </c>
      <c r="EN156" s="3" t="str">
        <f t="shared" ca="1" si="300"/>
        <v/>
      </c>
      <c r="EO156" s="3">
        <f t="shared" ca="1" si="301"/>
        <v>0</v>
      </c>
      <c r="EQ156" s="3">
        <f t="shared" ca="1" si="302"/>
        <v>0</v>
      </c>
      <c r="ER156" s="3">
        <f t="shared" ca="1" si="303"/>
        <v>0</v>
      </c>
      <c r="ES156" s="3">
        <f t="shared" ca="1" si="304"/>
        <v>0</v>
      </c>
      <c r="ET156" s="3">
        <f t="shared" ca="1" si="305"/>
        <v>0</v>
      </c>
      <c r="EU156" s="3">
        <f t="shared" si="306"/>
        <v>0</v>
      </c>
      <c r="EV156" s="3">
        <f t="shared" ca="1" si="307"/>
        <v>0</v>
      </c>
      <c r="EW156" s="3">
        <f t="shared" ca="1" si="308"/>
        <v>0</v>
      </c>
      <c r="EX156" s="3">
        <f ca="1">LARGE((ES156:ET156,EV156:EW156),1)</f>
        <v>0</v>
      </c>
      <c r="EY156" s="3">
        <f ca="1">IF(O156&lt;2,0,LARGE((ES156:ET156,EV156:EW156),2))</f>
        <v>0</v>
      </c>
      <c r="EZ156" s="3">
        <f t="shared" ca="1" si="309"/>
        <v>0</v>
      </c>
      <c r="FA156" s="3">
        <f t="shared" ca="1" si="310"/>
        <v>0</v>
      </c>
      <c r="FB156" s="3">
        <f t="shared" ca="1" si="311"/>
        <v>0</v>
      </c>
      <c r="FG156" s="3">
        <f t="shared" ca="1" si="312"/>
        <v>0</v>
      </c>
      <c r="FH156" s="618"/>
      <c r="FU156" s="3" t="str">
        <f t="shared" si="268"/>
        <v>백분위</v>
      </c>
      <c r="FV156" s="3" t="str">
        <f t="shared" si="269"/>
        <v>백분위</v>
      </c>
      <c r="FW156" s="3">
        <f t="shared" si="313"/>
        <v>0.25</v>
      </c>
      <c r="FX156" s="3">
        <f t="shared" si="314"/>
        <v>0.44</v>
      </c>
      <c r="FY156" s="3">
        <f t="shared" si="315"/>
        <v>0.31</v>
      </c>
      <c r="FZ156" s="3">
        <f t="shared" si="316"/>
        <v>8</v>
      </c>
    </row>
    <row r="157" spans="1:182">
      <c r="A157" s="556">
        <v>26</v>
      </c>
      <c r="C157" s="3">
        <f t="shared" si="270"/>
        <v>142</v>
      </c>
      <c r="D157" s="3">
        <v>142</v>
      </c>
      <c r="E157" s="3" t="s">
        <v>273</v>
      </c>
      <c r="F157" s="3">
        <v>1000</v>
      </c>
      <c r="G157" s="3">
        <v>0.2</v>
      </c>
      <c r="H157" s="3">
        <v>0.3</v>
      </c>
      <c r="I157" s="3">
        <v>0.15</v>
      </c>
      <c r="J157" s="3">
        <v>0.15</v>
      </c>
      <c r="O157" s="3">
        <v>2</v>
      </c>
      <c r="P157" s="3">
        <f t="shared" si="271"/>
        <v>0.8</v>
      </c>
      <c r="Q157" s="3" t="s">
        <v>408</v>
      </c>
      <c r="S157" s="3" t="str">
        <f t="shared" si="272"/>
        <v/>
      </c>
      <c r="U157" s="3">
        <v>1</v>
      </c>
      <c r="W157" s="3">
        <f t="shared" si="273"/>
        <v>0</v>
      </c>
      <c r="Y157" s="3">
        <f t="shared" si="274"/>
        <v>1.4388489208633093</v>
      </c>
      <c r="Z157" s="3">
        <f t="shared" si="275"/>
        <v>2.1428571428571428</v>
      </c>
      <c r="AA157" s="3">
        <f t="shared" si="276"/>
        <v>2.1482892456640363</v>
      </c>
      <c r="AB157" s="3" t="str">
        <f t="shared" si="277"/>
        <v>자동</v>
      </c>
      <c r="AC157" s="3">
        <f t="shared" si="278"/>
        <v>2.1482892456640363</v>
      </c>
      <c r="AD157" s="3">
        <f t="shared" si="279"/>
        <v>1.4388489208633093</v>
      </c>
      <c r="AE157" s="3">
        <f t="shared" si="280"/>
        <v>2.1428571428571428</v>
      </c>
      <c r="AF157" s="3">
        <f t="shared" si="281"/>
        <v>2.1482892456640363</v>
      </c>
      <c r="AG157" s="3">
        <f t="shared" si="282"/>
        <v>2.1482892456640363</v>
      </c>
      <c r="AH157" s="3" t="str">
        <f t="shared" si="283"/>
        <v>자동</v>
      </c>
      <c r="AI157" s="3" t="str">
        <f t="shared" si="284"/>
        <v>자동</v>
      </c>
      <c r="AJ157" s="3" t="str">
        <f t="shared" si="285"/>
        <v>자동</v>
      </c>
      <c r="AK157" s="3">
        <v>1</v>
      </c>
      <c r="AL157" s="3">
        <f t="shared" si="286"/>
        <v>1</v>
      </c>
      <c r="AN157" s="3" t="str">
        <f ca="1">IF($BA157=42,OFFSET(변환표준점수!C$119,$AP157-1,0),"")</f>
        <v/>
      </c>
      <c r="AO157" s="3" t="str">
        <f ca="1">IF($BA157=42,OFFSET(변환표준점수!D$119,$AP157-1,0),"")</f>
        <v/>
      </c>
      <c r="AP157" s="3" t="str">
        <f>IF(S157="","",MATCH(S157,변환표준점수!$B$119:$B$298,0))</f>
        <v/>
      </c>
      <c r="AQ157" s="3">
        <v>12</v>
      </c>
      <c r="AR157" s="3">
        <v>12</v>
      </c>
      <c r="AS157" s="3">
        <v>12</v>
      </c>
      <c r="AT157" s="3">
        <v>12</v>
      </c>
      <c r="AX157" s="3">
        <v>3</v>
      </c>
      <c r="AY157" s="3">
        <v>3</v>
      </c>
      <c r="BA157" s="3">
        <f t="shared" si="287"/>
        <v>12</v>
      </c>
      <c r="BJ157" s="3">
        <f t="shared" si="288"/>
        <v>0</v>
      </c>
      <c r="CH157" s="206">
        <f t="shared" si="289"/>
        <v>800</v>
      </c>
      <c r="CI157" s="56">
        <v>200</v>
      </c>
      <c r="CJ157" s="3">
        <v>189.47</v>
      </c>
      <c r="CK157" s="3">
        <v>178.95</v>
      </c>
      <c r="CL157" s="3">
        <v>168.42</v>
      </c>
      <c r="CM157" s="3">
        <v>157.88999999999999</v>
      </c>
      <c r="CN157" s="3">
        <v>84.21</v>
      </c>
      <c r="CO157" s="3">
        <v>63.16</v>
      </c>
      <c r="CP157" s="3">
        <v>42.11</v>
      </c>
      <c r="CQ157" s="3">
        <v>0</v>
      </c>
      <c r="DJ157" s="3">
        <f t="shared" ca="1" si="290"/>
        <v>200</v>
      </c>
      <c r="DK157" s="3">
        <f t="shared" ca="1" si="291"/>
        <v>100</v>
      </c>
      <c r="DL157" s="3">
        <f t="shared" ca="1" si="292"/>
        <v>0</v>
      </c>
      <c r="DM157" s="3">
        <v>2</v>
      </c>
      <c r="DS157" s="3">
        <v>1</v>
      </c>
      <c r="EA157" s="3">
        <f t="shared" si="293"/>
        <v>1</v>
      </c>
      <c r="EB157" s="3">
        <f t="shared" si="294"/>
        <v>2</v>
      </c>
      <c r="EC157" s="3">
        <f t="shared" si="295"/>
        <v>0</v>
      </c>
      <c r="ED157" s="3">
        <f t="shared" si="296"/>
        <v>0</v>
      </c>
      <c r="EF157" s="3">
        <f t="shared" ca="1" si="297"/>
        <v>0</v>
      </c>
      <c r="EG157" s="3">
        <f t="shared" ca="1" si="298"/>
        <v>0</v>
      </c>
      <c r="EH157" s="3">
        <f ca="1">IFERROR(IF(LEFT($BA157,1)="4",OFFSET(변환표준점수!$H$118,MATCH($S157,변환표준점수!$B$119:$B$198,0),),OFFSET(EH$3,MATCH(AS157,$ED$4:$ED$8,0),0)),0)</f>
        <v>0</v>
      </c>
      <c r="EI157" s="3">
        <f ca="1">IFERROR(IF(LEFT($BA157,1)="4",OFFSET(변환표준점수!$I$118,MATCH($S157,변환표준점수!$B$119:$B$198,0),0),OFFSET(EI$3,MATCH(AT157,$ED$4:$ED$8,0),0)),0)</f>
        <v>0</v>
      </c>
      <c r="EK157" s="3">
        <f ca="1">IFERROR(IF(LEFT($BA157,1)="4",OFFSET(변환표준점수!$J$118,MATCH($S157,변환표준점수!$B$119:$B$198,0),0),OFFSET(EJ$3,MATCH(AV157,$ED$4:$ED$8,0),0)),0)</f>
        <v>0</v>
      </c>
      <c r="EL157" s="3">
        <f ca="1">IFERROR(IF(LEFT($BA157,1)="4",OFFSET(변환표준점수!$K$118,MATCH($S157,변환표준점수!$B$119:$B$198,0),0),OFFSET(EK$3,MATCH(AW157,$ED$4:$ED$8,0),0)),0)</f>
        <v>0</v>
      </c>
      <c r="EM157" s="3" t="str">
        <f t="shared" ca="1" si="299"/>
        <v/>
      </c>
      <c r="EN157" s="3" t="str">
        <f t="shared" ca="1" si="300"/>
        <v/>
      </c>
      <c r="EO157" s="3">
        <f t="shared" ca="1" si="301"/>
        <v>0</v>
      </c>
      <c r="EQ157" s="3">
        <f t="shared" ca="1" si="302"/>
        <v>0</v>
      </c>
      <c r="ER157" s="3">
        <f t="shared" ca="1" si="303"/>
        <v>0</v>
      </c>
      <c r="ES157" s="3">
        <f t="shared" ca="1" si="304"/>
        <v>0</v>
      </c>
      <c r="ET157" s="3">
        <f t="shared" ca="1" si="305"/>
        <v>0</v>
      </c>
      <c r="EU157" s="3">
        <f t="shared" si="306"/>
        <v>0</v>
      </c>
      <c r="EV157" s="3">
        <f t="shared" ca="1" si="307"/>
        <v>0</v>
      </c>
      <c r="EW157" s="3">
        <f t="shared" ca="1" si="308"/>
        <v>0</v>
      </c>
      <c r="EX157" s="3">
        <f ca="1">LARGE((ES157:ET157,EV157:EW157),1)</f>
        <v>0</v>
      </c>
      <c r="EY157" s="3">
        <f ca="1">IF(O157&lt;2,0,LARGE((ES157:ET157,EV157:EW157),2))</f>
        <v>0</v>
      </c>
      <c r="EZ157" s="3">
        <f t="shared" ca="1" si="309"/>
        <v>0</v>
      </c>
      <c r="FA157" s="3">
        <f t="shared" ca="1" si="310"/>
        <v>0</v>
      </c>
      <c r="FB157" s="3">
        <f t="shared" ca="1" si="311"/>
        <v>0</v>
      </c>
      <c r="FG157" s="3">
        <f t="shared" ca="1" si="312"/>
        <v>0</v>
      </c>
      <c r="FH157" s="618"/>
      <c r="FU157" s="3" t="str">
        <f t="shared" si="268"/>
        <v>표점/만점</v>
      </c>
      <c r="FV157" s="3" t="str">
        <f t="shared" si="269"/>
        <v>표점/만점</v>
      </c>
      <c r="FW157" s="3">
        <f t="shared" si="313"/>
        <v>0.25</v>
      </c>
      <c r="FX157" s="3">
        <f t="shared" si="314"/>
        <v>0.37</v>
      </c>
      <c r="FY157" s="3">
        <f t="shared" si="315"/>
        <v>0.37</v>
      </c>
      <c r="FZ157" s="3">
        <f t="shared" si="316"/>
        <v>5.7299953093844884</v>
      </c>
    </row>
    <row r="158" spans="1:182">
      <c r="A158" s="556">
        <v>26</v>
      </c>
      <c r="C158" s="3">
        <f t="shared" si="270"/>
        <v>143</v>
      </c>
      <c r="D158" s="3">
        <v>143</v>
      </c>
      <c r="E158" s="3" t="s">
        <v>313</v>
      </c>
      <c r="F158" s="3">
        <v>1000</v>
      </c>
      <c r="G158" s="3">
        <v>0.2</v>
      </c>
      <c r="H158" s="3">
        <v>0.3</v>
      </c>
      <c r="I158" s="3">
        <v>0.15</v>
      </c>
      <c r="J158" s="3">
        <v>0.15</v>
      </c>
      <c r="O158" s="3">
        <v>2</v>
      </c>
      <c r="P158" s="3">
        <f t="shared" si="271"/>
        <v>0.8</v>
      </c>
      <c r="Q158" s="3" t="s">
        <v>408</v>
      </c>
      <c r="S158" s="3" t="str">
        <f t="shared" si="272"/>
        <v/>
      </c>
      <c r="U158" s="3">
        <v>1</v>
      </c>
      <c r="W158" s="3">
        <f t="shared" si="273"/>
        <v>0</v>
      </c>
      <c r="Y158" s="3">
        <f t="shared" si="274"/>
        <v>2</v>
      </c>
      <c r="Z158" s="3">
        <f t="shared" si="275"/>
        <v>3</v>
      </c>
      <c r="AA158" s="3">
        <f t="shared" si="276"/>
        <v>1.5</v>
      </c>
      <c r="AB158" s="3" t="str">
        <f t="shared" si="277"/>
        <v>자동</v>
      </c>
      <c r="AC158" s="3">
        <f t="shared" si="278"/>
        <v>3</v>
      </c>
      <c r="AD158" s="3">
        <f t="shared" si="279"/>
        <v>2</v>
      </c>
      <c r="AE158" s="3">
        <f t="shared" si="280"/>
        <v>3</v>
      </c>
      <c r="AF158" s="3">
        <f t="shared" si="281"/>
        <v>1.5</v>
      </c>
      <c r="AG158" s="3">
        <f t="shared" si="282"/>
        <v>1.5</v>
      </c>
      <c r="AH158" s="3" t="str">
        <f t="shared" si="283"/>
        <v>자동</v>
      </c>
      <c r="AI158" s="3" t="str">
        <f t="shared" si="284"/>
        <v>자동</v>
      </c>
      <c r="AJ158" s="3" t="str">
        <f t="shared" si="285"/>
        <v>자동</v>
      </c>
      <c r="AL158" s="3" t="str">
        <f t="shared" si="286"/>
        <v/>
      </c>
      <c r="AN158" s="3" t="str">
        <f ca="1">IF($BA158=42,OFFSET(변환표준점수!C$119,$AP158-1,0),"")</f>
        <v/>
      </c>
      <c r="AO158" s="3" t="str">
        <f ca="1">IF($BA158=42,OFFSET(변환표준점수!D$119,$AP158-1,0),"")</f>
        <v/>
      </c>
      <c r="AP158" s="3" t="str">
        <f>IF(S158="","",MATCH(S158,변환표준점수!$B$119:$B$298,0))</f>
        <v/>
      </c>
      <c r="AQ158" s="3">
        <v>2</v>
      </c>
      <c r="AR158" s="3">
        <v>2</v>
      </c>
      <c r="AS158" s="3">
        <v>2</v>
      </c>
      <c r="AT158" s="3">
        <v>2</v>
      </c>
      <c r="AX158" s="3">
        <v>3</v>
      </c>
      <c r="AY158" s="3">
        <v>3</v>
      </c>
      <c r="BA158" s="3">
        <f t="shared" si="287"/>
        <v>2</v>
      </c>
      <c r="BJ158" s="3">
        <f t="shared" si="288"/>
        <v>0</v>
      </c>
      <c r="CH158" s="206">
        <f t="shared" si="289"/>
        <v>800</v>
      </c>
      <c r="CI158" s="56">
        <v>200</v>
      </c>
      <c r="CJ158" s="3">
        <v>196</v>
      </c>
      <c r="CK158" s="3">
        <v>192</v>
      </c>
      <c r="CL158" s="3">
        <v>188</v>
      </c>
      <c r="CM158" s="3">
        <v>184</v>
      </c>
      <c r="CN158" s="3">
        <v>180</v>
      </c>
      <c r="CO158" s="3">
        <v>176</v>
      </c>
      <c r="CP158" s="3">
        <v>172</v>
      </c>
      <c r="CQ158" s="3">
        <v>168</v>
      </c>
      <c r="DJ158" s="3">
        <f t="shared" ca="1" si="290"/>
        <v>200</v>
      </c>
      <c r="DK158" s="3">
        <f t="shared" ca="1" si="291"/>
        <v>100</v>
      </c>
      <c r="DL158" s="3">
        <f t="shared" ca="1" si="292"/>
        <v>0</v>
      </c>
      <c r="DM158" s="3">
        <v>2</v>
      </c>
      <c r="DS158" s="3">
        <v>1</v>
      </c>
      <c r="EA158" s="3">
        <f t="shared" si="293"/>
        <v>1</v>
      </c>
      <c r="EB158" s="3">
        <f t="shared" si="294"/>
        <v>2</v>
      </c>
      <c r="EC158" s="3">
        <f t="shared" si="295"/>
        <v>0</v>
      </c>
      <c r="ED158" s="3">
        <f t="shared" si="296"/>
        <v>0</v>
      </c>
      <c r="EF158" s="3">
        <f t="shared" ca="1" si="297"/>
        <v>0</v>
      </c>
      <c r="EG158" s="3">
        <f t="shared" ca="1" si="298"/>
        <v>0</v>
      </c>
      <c r="EH158" s="3">
        <f ca="1">IFERROR(IF(LEFT($BA158,1)="4",OFFSET(변환표준점수!$H$118,MATCH($S158,변환표준점수!$B$119:$B$198,0),),OFFSET(EH$3,MATCH(AS158,$ED$4:$ED$8,0),0)),0)</f>
        <v>0</v>
      </c>
      <c r="EI158" s="3">
        <f ca="1">IFERROR(IF(LEFT($BA158,1)="4",OFFSET(변환표준점수!$I$118,MATCH($S158,변환표준점수!$B$119:$B$198,0),0),OFFSET(EI$3,MATCH(AT158,$ED$4:$ED$8,0),0)),0)</f>
        <v>0</v>
      </c>
      <c r="EK158" s="3">
        <f ca="1">IFERROR(IF(LEFT($BA158,1)="4",OFFSET(변환표준점수!$J$118,MATCH($S158,변환표준점수!$B$119:$B$198,0),0),OFFSET(EJ$3,MATCH(AV158,$ED$4:$ED$8,0),0)),0)</f>
        <v>0</v>
      </c>
      <c r="EL158" s="3">
        <f ca="1">IFERROR(IF(LEFT($BA158,1)="4",OFFSET(변환표준점수!$K$118,MATCH($S158,변환표준점수!$B$119:$B$198,0),0),OFFSET(EK$3,MATCH(AW158,$ED$4:$ED$8,0),0)),0)</f>
        <v>0</v>
      </c>
      <c r="EM158" s="3" t="str">
        <f t="shared" ca="1" si="299"/>
        <v/>
      </c>
      <c r="EN158" s="3" t="str">
        <f t="shared" ca="1" si="300"/>
        <v/>
      </c>
      <c r="EO158" s="3">
        <f t="shared" ca="1" si="301"/>
        <v>0</v>
      </c>
      <c r="EQ158" s="3">
        <f t="shared" ca="1" si="302"/>
        <v>0</v>
      </c>
      <c r="ER158" s="3">
        <f t="shared" ca="1" si="303"/>
        <v>0</v>
      </c>
      <c r="ES158" s="3">
        <f t="shared" ca="1" si="304"/>
        <v>0</v>
      </c>
      <c r="ET158" s="3">
        <f t="shared" ca="1" si="305"/>
        <v>0</v>
      </c>
      <c r="EU158" s="3">
        <f t="shared" si="306"/>
        <v>0</v>
      </c>
      <c r="EV158" s="3">
        <f t="shared" ca="1" si="307"/>
        <v>0</v>
      </c>
      <c r="EW158" s="3">
        <f t="shared" ca="1" si="308"/>
        <v>0</v>
      </c>
      <c r="EX158" s="3">
        <f ca="1">LARGE((ES158:ET158,EV158:EW158),1)</f>
        <v>0</v>
      </c>
      <c r="EY158" s="3">
        <f ca="1">IF(O158&lt;2,0,LARGE((ES158:ET158,EV158:EW158),2))</f>
        <v>0</v>
      </c>
      <c r="EZ158" s="3">
        <f t="shared" ca="1" si="309"/>
        <v>0</v>
      </c>
      <c r="FA158" s="3">
        <f t="shared" ca="1" si="310"/>
        <v>0</v>
      </c>
      <c r="FB158" s="3">
        <f t="shared" ca="1" si="311"/>
        <v>0</v>
      </c>
      <c r="FG158" s="3">
        <f t="shared" ca="1" si="312"/>
        <v>0</v>
      </c>
      <c r="FH158" s="618"/>
      <c r="FU158" s="3" t="str">
        <f t="shared" si="268"/>
        <v>백분위</v>
      </c>
      <c r="FV158" s="3" t="str">
        <f t="shared" si="269"/>
        <v>백분위</v>
      </c>
      <c r="FW158" s="3">
        <f t="shared" si="313"/>
        <v>0.25</v>
      </c>
      <c r="FX158" s="3">
        <f t="shared" si="314"/>
        <v>0.38</v>
      </c>
      <c r="FY158" s="3">
        <f t="shared" si="315"/>
        <v>0.38</v>
      </c>
      <c r="FZ158" s="3">
        <f t="shared" si="316"/>
        <v>8</v>
      </c>
    </row>
    <row r="159" spans="1:182">
      <c r="A159" s="556">
        <v>26</v>
      </c>
      <c r="C159" s="3">
        <f t="shared" si="270"/>
        <v>144</v>
      </c>
      <c r="D159" s="3">
        <v>144</v>
      </c>
      <c r="E159" s="3" t="s">
        <v>316</v>
      </c>
      <c r="F159" s="3">
        <v>800</v>
      </c>
      <c r="G159" s="3">
        <v>0.25</v>
      </c>
      <c r="H159" s="3">
        <v>0.3</v>
      </c>
      <c r="I159" s="3">
        <v>0.125</v>
      </c>
      <c r="J159" s="3">
        <v>0.125</v>
      </c>
      <c r="O159" s="3">
        <v>2</v>
      </c>
      <c r="P159" s="3">
        <f t="shared" si="271"/>
        <v>0.8</v>
      </c>
      <c r="Q159" s="3" t="s">
        <v>408</v>
      </c>
      <c r="S159" s="3" t="str">
        <f t="shared" si="272"/>
        <v/>
      </c>
      <c r="U159" s="3">
        <v>1</v>
      </c>
      <c r="W159" s="3">
        <f t="shared" si="273"/>
        <v>0</v>
      </c>
      <c r="Y159" s="3">
        <f t="shared" si="274"/>
        <v>1</v>
      </c>
      <c r="Z159" s="3">
        <f t="shared" si="275"/>
        <v>1.2</v>
      </c>
      <c r="AA159" s="3">
        <f t="shared" si="276"/>
        <v>1</v>
      </c>
      <c r="AB159" s="3" t="str">
        <f t="shared" si="277"/>
        <v>자동</v>
      </c>
      <c r="AC159" s="3">
        <f t="shared" si="278"/>
        <v>1</v>
      </c>
      <c r="AD159" s="3">
        <f t="shared" si="279"/>
        <v>1</v>
      </c>
      <c r="AE159" s="3">
        <f t="shared" si="280"/>
        <v>1.2</v>
      </c>
      <c r="AF159" s="3">
        <f t="shared" si="281"/>
        <v>1</v>
      </c>
      <c r="AG159" s="3">
        <f t="shared" si="282"/>
        <v>1</v>
      </c>
      <c r="AH159" s="3">
        <f t="shared" si="283"/>
        <v>0</v>
      </c>
      <c r="AI159" s="3" t="str">
        <f t="shared" si="284"/>
        <v>자동</v>
      </c>
      <c r="AJ159" s="3" t="str">
        <f t="shared" si="285"/>
        <v>자동</v>
      </c>
      <c r="AL159" s="3" t="str">
        <f t="shared" si="286"/>
        <v/>
      </c>
      <c r="AN159" s="3" t="str">
        <f ca="1">IF($BA159=42,OFFSET(변환표준점수!C$119,$AP159-1,0),"")</f>
        <v/>
      </c>
      <c r="AO159" s="3" t="str">
        <f ca="1">IF($BA159=42,OFFSET(변환표준점수!D$119,$AP159-1,0),"")</f>
        <v/>
      </c>
      <c r="AP159" s="3" t="str">
        <f>IF(S159="","",MATCH(S159,변환표준점수!$B$119:$B$298,0))</f>
        <v/>
      </c>
      <c r="AQ159" s="3">
        <v>1</v>
      </c>
      <c r="AR159" s="3">
        <v>1</v>
      </c>
      <c r="AS159" s="3">
        <v>1</v>
      </c>
      <c r="AT159" s="3">
        <v>1</v>
      </c>
      <c r="AU159" s="3">
        <v>1</v>
      </c>
      <c r="AX159" s="3">
        <v>3</v>
      </c>
      <c r="BA159" s="3">
        <f t="shared" si="287"/>
        <v>1</v>
      </c>
      <c r="BJ159" s="3">
        <f t="shared" si="288"/>
        <v>0</v>
      </c>
      <c r="BN159" s="212" t="s">
        <v>7329</v>
      </c>
      <c r="BU159" s="3">
        <f>IF(RIGHT($I$13,2)="II",2,0)+IF(RIGHT($J$13,2)="II",2,0)</f>
        <v>4</v>
      </c>
      <c r="CD159" s="3">
        <v>2</v>
      </c>
      <c r="CH159" s="206">
        <f t="shared" si="289"/>
        <v>640</v>
      </c>
      <c r="CI159" s="56">
        <v>160</v>
      </c>
      <c r="CJ159" s="3">
        <v>158.4</v>
      </c>
      <c r="CK159" s="3">
        <v>156</v>
      </c>
      <c r="CL159" s="3">
        <v>152</v>
      </c>
      <c r="CM159" s="3">
        <v>148</v>
      </c>
      <c r="CN159" s="3">
        <v>144</v>
      </c>
      <c r="CO159" s="3">
        <v>140</v>
      </c>
      <c r="CP159" s="3">
        <v>136</v>
      </c>
      <c r="CQ159" s="3">
        <v>132</v>
      </c>
      <c r="DJ159" s="3">
        <f t="shared" ca="1" si="290"/>
        <v>160</v>
      </c>
      <c r="DK159" s="3">
        <f t="shared" ca="1" si="291"/>
        <v>97.560975609756099</v>
      </c>
      <c r="DL159" s="3">
        <f t="shared" ca="1" si="292"/>
        <v>0</v>
      </c>
      <c r="DM159" s="3">
        <v>2</v>
      </c>
      <c r="DQ159" s="3">
        <v>1</v>
      </c>
      <c r="DS159" s="3">
        <v>1</v>
      </c>
      <c r="EA159" s="3">
        <f t="shared" si="293"/>
        <v>1</v>
      </c>
      <c r="EB159" s="3">
        <f t="shared" si="294"/>
        <v>2</v>
      </c>
      <c r="EC159" s="3">
        <f t="shared" si="295"/>
        <v>0</v>
      </c>
      <c r="ED159" s="3">
        <f t="shared" si="296"/>
        <v>0</v>
      </c>
      <c r="EF159" s="3">
        <f t="shared" ca="1" si="297"/>
        <v>0</v>
      </c>
      <c r="EG159" s="3">
        <f t="shared" ca="1" si="298"/>
        <v>0</v>
      </c>
      <c r="EH159" s="3">
        <f ca="1">IFERROR(IF(LEFT($BA159,1)="4",OFFSET(변환표준점수!$H$118,MATCH($S159,변환표준점수!$B$119:$B$198,0),),OFFSET(EH$3,MATCH(AS159,$ED$4:$ED$8,0),0)),0)</f>
        <v>0</v>
      </c>
      <c r="EI159" s="3">
        <f ca="1">IFERROR(IF(LEFT($BA159,1)="4",OFFSET(변환표준점수!$I$118,MATCH($S159,변환표준점수!$B$119:$B$198,0),0),OFFSET(EI$3,MATCH(AT159,$ED$4:$ED$8,0),0)),0)</f>
        <v>0</v>
      </c>
      <c r="EK159" s="3">
        <f ca="1">IFERROR(IF(LEFT($BA159,1)="4",OFFSET(변환표준점수!$J$118,MATCH($S159,변환표준점수!$B$119:$B$198,0),0),OFFSET(EJ$3,MATCH(AV159,$ED$4:$ED$8,0),0)),0)</f>
        <v>0</v>
      </c>
      <c r="EL159" s="3">
        <f ca="1">IFERROR(IF(LEFT($BA159,1)="4",OFFSET(변환표준점수!$K$118,MATCH($S159,변환표준점수!$B$119:$B$198,0),0),OFFSET(EK$3,MATCH(AW159,$ED$4:$ED$8,0),0)),0)</f>
        <v>0</v>
      </c>
      <c r="EM159" s="3" t="str">
        <f t="shared" ca="1" si="299"/>
        <v/>
      </c>
      <c r="EN159" s="3">
        <f t="shared" ca="1" si="300"/>
        <v>0</v>
      </c>
      <c r="EO159" s="3">
        <f t="shared" ca="1" si="301"/>
        <v>0</v>
      </c>
      <c r="EQ159" s="3">
        <f t="shared" ca="1" si="302"/>
        <v>0</v>
      </c>
      <c r="ER159" s="3">
        <f t="shared" ca="1" si="303"/>
        <v>0</v>
      </c>
      <c r="ES159" s="3">
        <f t="shared" ca="1" si="304"/>
        <v>0</v>
      </c>
      <c r="ET159" s="3">
        <f t="shared" ca="1" si="305"/>
        <v>0</v>
      </c>
      <c r="EU159" s="3">
        <f t="shared" si="306"/>
        <v>4</v>
      </c>
      <c r="EV159" s="3">
        <f t="shared" ca="1" si="307"/>
        <v>0</v>
      </c>
      <c r="EW159" s="3">
        <f t="shared" ca="1" si="308"/>
        <v>0</v>
      </c>
      <c r="EX159" s="3">
        <f ca="1">LARGE((ES159:ET159,EV159:EW159),1)</f>
        <v>0</v>
      </c>
      <c r="EY159" s="3">
        <f ca="1">IF(O159&lt;2,0,LARGE((ES159:ET159,EV159:EW159),2))</f>
        <v>0</v>
      </c>
      <c r="EZ159" s="3">
        <f t="shared" ca="1" si="309"/>
        <v>0</v>
      </c>
      <c r="FA159" s="3">
        <f t="shared" ca="1" si="310"/>
        <v>0</v>
      </c>
      <c r="FB159" s="3">
        <f t="shared" ca="1" si="311"/>
        <v>0</v>
      </c>
      <c r="FG159" s="3">
        <f t="shared" ca="1" si="312"/>
        <v>4</v>
      </c>
      <c r="FH159" s="618"/>
      <c r="FU159" s="3" t="str">
        <f t="shared" si="268"/>
        <v>표점</v>
      </c>
      <c r="FV159" s="3" t="str">
        <f t="shared" si="269"/>
        <v>표점</v>
      </c>
      <c r="FW159" s="3">
        <f t="shared" si="313"/>
        <v>0.31</v>
      </c>
      <c r="FX159" s="3">
        <f t="shared" si="314"/>
        <v>0.38</v>
      </c>
      <c r="FY159" s="3">
        <f t="shared" si="315"/>
        <v>0.31</v>
      </c>
      <c r="FZ159" s="3">
        <f t="shared" si="316"/>
        <v>3.2</v>
      </c>
    </row>
    <row r="160" spans="1:182">
      <c r="A160" s="556">
        <v>26</v>
      </c>
      <c r="C160" s="3">
        <f t="shared" si="270"/>
        <v>145</v>
      </c>
      <c r="D160" s="3">
        <v>145</v>
      </c>
      <c r="E160" s="3" t="s">
        <v>58</v>
      </c>
      <c r="F160" s="3">
        <v>400</v>
      </c>
      <c r="G160" s="3">
        <v>0.25</v>
      </c>
      <c r="H160" s="3">
        <v>0.3</v>
      </c>
      <c r="I160" s="3">
        <v>0.125</v>
      </c>
      <c r="J160" s="3">
        <v>0.125</v>
      </c>
      <c r="O160" s="3">
        <v>2</v>
      </c>
      <c r="P160" s="3">
        <f t="shared" si="271"/>
        <v>0.8</v>
      </c>
      <c r="Q160" s="3" t="s">
        <v>408</v>
      </c>
      <c r="S160" s="3" t="str">
        <f t="shared" si="272"/>
        <v/>
      </c>
      <c r="U160" s="3">
        <v>1</v>
      </c>
      <c r="W160" s="3">
        <f t="shared" si="273"/>
        <v>0</v>
      </c>
      <c r="Y160" s="3">
        <f t="shared" si="274"/>
        <v>1</v>
      </c>
      <c r="Z160" s="3">
        <f t="shared" si="275"/>
        <v>1.2</v>
      </c>
      <c r="AA160" s="3">
        <f t="shared" si="276"/>
        <v>0.5</v>
      </c>
      <c r="AB160" s="3" t="str">
        <f t="shared" si="277"/>
        <v>자동</v>
      </c>
      <c r="AC160" s="3">
        <f t="shared" si="278"/>
        <v>1</v>
      </c>
      <c r="AD160" s="3">
        <f t="shared" si="279"/>
        <v>1</v>
      </c>
      <c r="AE160" s="3">
        <f t="shared" si="280"/>
        <v>1.2</v>
      </c>
      <c r="AF160" s="3">
        <f t="shared" si="281"/>
        <v>0.5</v>
      </c>
      <c r="AG160" s="3">
        <f t="shared" si="282"/>
        <v>0.5</v>
      </c>
      <c r="AH160" s="3" t="str">
        <f t="shared" si="283"/>
        <v>자동</v>
      </c>
      <c r="AI160" s="3" t="str">
        <f t="shared" si="284"/>
        <v>자동</v>
      </c>
      <c r="AJ160" s="3" t="str">
        <f t="shared" si="285"/>
        <v>자동</v>
      </c>
      <c r="AL160" s="3" t="str">
        <f t="shared" si="286"/>
        <v/>
      </c>
      <c r="AN160" s="3" t="str">
        <f ca="1">IF($BA160=42,OFFSET(변환표준점수!C$119,$AP160-1,0),"")</f>
        <v/>
      </c>
      <c r="AO160" s="3" t="str">
        <f ca="1">IF($BA160=42,OFFSET(변환표준점수!D$119,$AP160-1,0),"")</f>
        <v/>
      </c>
      <c r="AP160" s="3" t="str">
        <f>IF(S160="","",MATCH(S160,변환표준점수!$B$119:$B$298,0))</f>
        <v/>
      </c>
      <c r="AQ160" s="3">
        <v>2</v>
      </c>
      <c r="AR160" s="3">
        <v>2</v>
      </c>
      <c r="AS160" s="3">
        <v>2</v>
      </c>
      <c r="AT160" s="3">
        <v>2</v>
      </c>
      <c r="AX160" s="3">
        <v>3</v>
      </c>
      <c r="AY160" s="3">
        <v>3</v>
      </c>
      <c r="BA160" s="3">
        <f t="shared" si="287"/>
        <v>2</v>
      </c>
      <c r="BJ160" s="3">
        <f t="shared" si="288"/>
        <v>0</v>
      </c>
      <c r="CH160" s="206">
        <f t="shared" si="289"/>
        <v>320</v>
      </c>
      <c r="CI160" s="56">
        <v>100</v>
      </c>
      <c r="CJ160" s="3">
        <v>98</v>
      </c>
      <c r="CK160" s="3">
        <v>94</v>
      </c>
      <c r="CL160" s="3">
        <v>90</v>
      </c>
      <c r="CM160" s="3">
        <v>86</v>
      </c>
      <c r="CN160" s="3">
        <v>82</v>
      </c>
      <c r="CO160" s="3">
        <v>78</v>
      </c>
      <c r="CP160" s="3">
        <v>74</v>
      </c>
      <c r="CQ160" s="3">
        <v>60</v>
      </c>
      <c r="CR160" s="56">
        <v>5</v>
      </c>
      <c r="CS160" s="3">
        <v>5</v>
      </c>
      <c r="CT160" s="3">
        <v>4.5</v>
      </c>
      <c r="CU160" s="3">
        <v>4.5</v>
      </c>
      <c r="CV160" s="3">
        <v>4</v>
      </c>
      <c r="CW160" s="3">
        <v>4</v>
      </c>
      <c r="CX160" s="3">
        <v>3.5</v>
      </c>
      <c r="CY160" s="3">
        <v>3.5</v>
      </c>
      <c r="CZ160" s="3">
        <v>3</v>
      </c>
      <c r="DJ160" s="3">
        <f t="shared" ca="1" si="290"/>
        <v>100</v>
      </c>
      <c r="DK160" s="3">
        <f t="shared" ca="1" si="291"/>
        <v>100</v>
      </c>
      <c r="DL160" s="3">
        <f t="shared" ca="1" si="292"/>
        <v>5</v>
      </c>
      <c r="DM160" s="3">
        <v>2</v>
      </c>
      <c r="DQ160" s="3">
        <v>1</v>
      </c>
      <c r="DS160" s="3">
        <v>1</v>
      </c>
      <c r="EA160" s="3">
        <f t="shared" si="293"/>
        <v>1</v>
      </c>
      <c r="EB160" s="3">
        <f t="shared" si="294"/>
        <v>2</v>
      </c>
      <c r="EC160" s="3">
        <f t="shared" si="295"/>
        <v>0</v>
      </c>
      <c r="ED160" s="3">
        <f t="shared" si="296"/>
        <v>0</v>
      </c>
      <c r="EF160" s="3">
        <f t="shared" ca="1" si="297"/>
        <v>0</v>
      </c>
      <c r="EG160" s="3">
        <f t="shared" ca="1" si="298"/>
        <v>0</v>
      </c>
      <c r="EH160" s="3">
        <f ca="1">IFERROR(IF(LEFT($BA160,1)="4",OFFSET(변환표준점수!$H$118,MATCH($S160,변환표준점수!$B$119:$B$198,0),),OFFSET(EH$3,MATCH(AS160,$ED$4:$ED$8,0),0)),0)</f>
        <v>0</v>
      </c>
      <c r="EI160" s="3">
        <f ca="1">IFERROR(IF(LEFT($BA160,1)="4",OFFSET(변환표준점수!$I$118,MATCH($S160,변환표준점수!$B$119:$B$198,0),0),OFFSET(EI$3,MATCH(AT160,$ED$4:$ED$8,0),0)),0)</f>
        <v>0</v>
      </c>
      <c r="EK160" s="3">
        <f ca="1">IFERROR(IF(LEFT($BA160,1)="4",OFFSET(변환표준점수!$J$118,MATCH($S160,변환표준점수!$B$119:$B$198,0),0),OFFSET(EJ$3,MATCH(AV160,$ED$4:$ED$8,0),0)),0)</f>
        <v>0</v>
      </c>
      <c r="EL160" s="3">
        <f ca="1">IFERROR(IF(LEFT($BA160,1)="4",OFFSET(변환표준점수!$K$118,MATCH($S160,변환표준점수!$B$119:$B$198,0),0),OFFSET(EK$3,MATCH(AW160,$ED$4:$ED$8,0),0)),0)</f>
        <v>0</v>
      </c>
      <c r="EM160" s="3" t="str">
        <f t="shared" ca="1" si="299"/>
        <v/>
      </c>
      <c r="EN160" s="3" t="str">
        <f t="shared" ca="1" si="300"/>
        <v/>
      </c>
      <c r="EO160" s="3">
        <f t="shared" ca="1" si="301"/>
        <v>0</v>
      </c>
      <c r="EQ160" s="3">
        <f t="shared" ca="1" si="302"/>
        <v>0</v>
      </c>
      <c r="ER160" s="3">
        <f t="shared" ca="1" si="303"/>
        <v>0</v>
      </c>
      <c r="ES160" s="3">
        <f t="shared" ca="1" si="304"/>
        <v>0</v>
      </c>
      <c r="ET160" s="3">
        <f t="shared" ca="1" si="305"/>
        <v>0</v>
      </c>
      <c r="EU160" s="3">
        <f t="shared" si="306"/>
        <v>0</v>
      </c>
      <c r="EV160" s="3">
        <f t="shared" ca="1" si="307"/>
        <v>0</v>
      </c>
      <c r="EW160" s="3">
        <f t="shared" ca="1" si="308"/>
        <v>0</v>
      </c>
      <c r="EX160" s="3">
        <f ca="1">LARGE((ES160:ET160,EV160:EW160),1)</f>
        <v>0</v>
      </c>
      <c r="EY160" s="3">
        <f ca="1">IF(O160&lt;2,0,LARGE((ES160:ET160,EV160:EW160),2))</f>
        <v>0</v>
      </c>
      <c r="EZ160" s="3">
        <f t="shared" ca="1" si="309"/>
        <v>0</v>
      </c>
      <c r="FA160" s="3">
        <f t="shared" ca="1" si="310"/>
        <v>0</v>
      </c>
      <c r="FB160" s="3">
        <f t="shared" ca="1" si="311"/>
        <v>0</v>
      </c>
      <c r="FG160" s="3">
        <f t="shared" ca="1" si="312"/>
        <v>0</v>
      </c>
      <c r="FH160" s="618"/>
      <c r="FU160" s="3" t="str">
        <f t="shared" si="268"/>
        <v>백분위</v>
      </c>
      <c r="FV160" s="3" t="str">
        <f t="shared" si="269"/>
        <v>백분위</v>
      </c>
      <c r="FW160" s="3">
        <f t="shared" si="313"/>
        <v>0.31</v>
      </c>
      <c r="FX160" s="3">
        <f t="shared" si="314"/>
        <v>0.38</v>
      </c>
      <c r="FY160" s="3">
        <f t="shared" si="315"/>
        <v>0.31</v>
      </c>
      <c r="FZ160" s="3">
        <f t="shared" si="316"/>
        <v>3.2</v>
      </c>
    </row>
    <row r="161" spans="1:182">
      <c r="A161" s="556">
        <v>26</v>
      </c>
      <c r="C161" s="3">
        <f t="shared" si="270"/>
        <v>146</v>
      </c>
      <c r="D161" s="3">
        <v>146</v>
      </c>
      <c r="E161" s="3" t="s">
        <v>287</v>
      </c>
      <c r="F161" s="3">
        <v>1000</v>
      </c>
      <c r="G161" s="3">
        <v>0.2</v>
      </c>
      <c r="H161" s="3">
        <v>0.3</v>
      </c>
      <c r="I161" s="3">
        <v>0.1</v>
      </c>
      <c r="J161" s="3">
        <v>0.1</v>
      </c>
      <c r="O161" s="3">
        <v>2</v>
      </c>
      <c r="P161" s="3">
        <f t="shared" si="271"/>
        <v>0.7</v>
      </c>
      <c r="Q161" s="3" t="s">
        <v>408</v>
      </c>
      <c r="S161" s="3" t="str">
        <f t="shared" si="272"/>
        <v/>
      </c>
      <c r="U161" s="3">
        <v>1</v>
      </c>
      <c r="W161" s="3">
        <f t="shared" si="273"/>
        <v>0</v>
      </c>
      <c r="Y161" s="3">
        <f t="shared" si="274"/>
        <v>1</v>
      </c>
      <c r="Z161" s="3">
        <f t="shared" si="275"/>
        <v>1.5</v>
      </c>
      <c r="AA161" s="3">
        <f t="shared" si="276"/>
        <v>1</v>
      </c>
      <c r="AB161" s="3" t="str">
        <f t="shared" si="277"/>
        <v>자동</v>
      </c>
      <c r="AC161" s="3">
        <f t="shared" si="278"/>
        <v>1</v>
      </c>
      <c r="AD161" s="3">
        <f t="shared" si="279"/>
        <v>1</v>
      </c>
      <c r="AE161" s="3">
        <f t="shared" si="280"/>
        <v>1.5</v>
      </c>
      <c r="AF161" s="3">
        <f t="shared" si="281"/>
        <v>1</v>
      </c>
      <c r="AG161" s="3">
        <f t="shared" si="282"/>
        <v>1</v>
      </c>
      <c r="AH161" s="3" t="str">
        <f t="shared" si="283"/>
        <v>자동</v>
      </c>
      <c r="AI161" s="3" t="str">
        <f t="shared" si="284"/>
        <v>자동</v>
      </c>
      <c r="AJ161" s="3" t="str">
        <f t="shared" si="285"/>
        <v>자동</v>
      </c>
      <c r="AL161" s="3" t="str">
        <f t="shared" si="286"/>
        <v/>
      </c>
      <c r="AN161" s="3" t="str">
        <f ca="1">IF($BA161=42,OFFSET(변환표준점수!C$119,$AP161-1,0),"")</f>
        <v/>
      </c>
      <c r="AO161" s="3" t="str">
        <f ca="1">IF($BA161=42,OFFSET(변환표준점수!D$119,$AP161-1,0),"")</f>
        <v/>
      </c>
      <c r="AP161" s="3" t="str">
        <f>IF(S161="","",MATCH(S161,변환표준점수!$B$119:$B$298,0))</f>
        <v/>
      </c>
      <c r="AQ161" s="3">
        <v>1</v>
      </c>
      <c r="AR161" s="3">
        <v>1</v>
      </c>
      <c r="AS161" s="3">
        <v>1</v>
      </c>
      <c r="AT161" s="3">
        <v>1</v>
      </c>
      <c r="AX161" s="3">
        <v>3</v>
      </c>
      <c r="AY161" s="3">
        <v>3</v>
      </c>
      <c r="BA161" s="3">
        <f t="shared" si="287"/>
        <v>1</v>
      </c>
      <c r="BJ161" s="3">
        <f t="shared" si="288"/>
        <v>0</v>
      </c>
      <c r="CH161" s="206">
        <f t="shared" si="289"/>
        <v>700</v>
      </c>
      <c r="CI161" s="56">
        <v>202.5</v>
      </c>
      <c r="CJ161" s="3">
        <v>199.5</v>
      </c>
      <c r="CK161" s="3">
        <v>193.5</v>
      </c>
      <c r="CL161" s="3">
        <v>184.5</v>
      </c>
      <c r="CM161" s="3">
        <v>172.5</v>
      </c>
      <c r="CN161" s="3">
        <v>163.5</v>
      </c>
      <c r="CO161" s="3">
        <v>157.5</v>
      </c>
      <c r="CP161" s="3">
        <v>154.5</v>
      </c>
      <c r="CQ161" s="3">
        <v>150</v>
      </c>
      <c r="DJ161" s="3">
        <f t="shared" ca="1" si="290"/>
        <v>202.5</v>
      </c>
      <c r="DK161" s="3">
        <f t="shared" ca="1" si="291"/>
        <v>100</v>
      </c>
      <c r="DL161" s="3">
        <f t="shared" ca="1" si="292"/>
        <v>0</v>
      </c>
      <c r="DM161" s="3">
        <v>2</v>
      </c>
      <c r="DQ161" s="3">
        <v>1</v>
      </c>
      <c r="DS161" s="3">
        <v>1</v>
      </c>
      <c r="DY161" s="56">
        <v>1</v>
      </c>
      <c r="EA161" s="3">
        <f t="shared" si="293"/>
        <v>1</v>
      </c>
      <c r="EB161" s="3">
        <f t="shared" si="294"/>
        <v>2</v>
      </c>
      <c r="EC161" s="3">
        <f t="shared" si="295"/>
        <v>0</v>
      </c>
      <c r="ED161" s="3">
        <f t="shared" si="296"/>
        <v>0</v>
      </c>
      <c r="EF161" s="3">
        <f t="shared" ca="1" si="297"/>
        <v>0</v>
      </c>
      <c r="EG161" s="3">
        <f t="shared" ca="1" si="298"/>
        <v>0</v>
      </c>
      <c r="EH161" s="3">
        <f ca="1">IFERROR(IF(LEFT($BA161,1)="4",OFFSET(변환표준점수!$H$118,MATCH($S161,변환표준점수!$B$119:$B$198,0),),OFFSET(EH$3,MATCH(AS161,$ED$4:$ED$8,0),0)),0)</f>
        <v>0</v>
      </c>
      <c r="EI161" s="3">
        <f ca="1">IFERROR(IF(LEFT($BA161,1)="4",OFFSET(변환표준점수!$I$118,MATCH($S161,변환표준점수!$B$119:$B$198,0),0),OFFSET(EI$3,MATCH(AT161,$ED$4:$ED$8,0),0)),0)</f>
        <v>0</v>
      </c>
      <c r="EK161" s="3">
        <f ca="1">IFERROR(IF(LEFT($BA161,1)="4",OFFSET(변환표준점수!$J$118,MATCH($S161,변환표준점수!$B$119:$B$198,0),0),OFFSET(EJ$3,MATCH(AV161,$ED$4:$ED$8,0),0)),0)</f>
        <v>0</v>
      </c>
      <c r="EL161" s="3">
        <f ca="1">IFERROR(IF(LEFT($BA161,1)="4",OFFSET(변환표준점수!$K$118,MATCH($S161,변환표준점수!$B$119:$B$198,0),0),OFFSET(EK$3,MATCH(AW161,$ED$4:$ED$8,0),0)),0)</f>
        <v>0</v>
      </c>
      <c r="EM161" s="3" t="str">
        <f t="shared" ca="1" si="299"/>
        <v/>
      </c>
      <c r="EN161" s="3" t="str">
        <f t="shared" ca="1" si="300"/>
        <v/>
      </c>
      <c r="EO161" s="3">
        <f t="shared" ca="1" si="301"/>
        <v>0</v>
      </c>
      <c r="EQ161" s="3">
        <f t="shared" ca="1" si="302"/>
        <v>0</v>
      </c>
      <c r="ER161" s="3">
        <f t="shared" ca="1" si="303"/>
        <v>0</v>
      </c>
      <c r="ES161" s="3">
        <f t="shared" ca="1" si="304"/>
        <v>0</v>
      </c>
      <c r="ET161" s="3">
        <f t="shared" ca="1" si="305"/>
        <v>0</v>
      </c>
      <c r="EU161" s="3">
        <f t="shared" si="306"/>
        <v>0</v>
      </c>
      <c r="EV161" s="3">
        <f t="shared" ca="1" si="307"/>
        <v>0</v>
      </c>
      <c r="EW161" s="3">
        <f t="shared" ca="1" si="308"/>
        <v>0</v>
      </c>
      <c r="EX161" s="3">
        <f ca="1">LARGE((ES161:ET161,EV161:EW161),1)</f>
        <v>0</v>
      </c>
      <c r="EY161" s="3">
        <f ca="1">IF(O161&lt;2,0,LARGE((ES161:ET161,EV161:EW161),2))</f>
        <v>0</v>
      </c>
      <c r="EZ161" s="3">
        <f t="shared" ca="1" si="309"/>
        <v>0</v>
      </c>
      <c r="FA161" s="3">
        <f t="shared" ca="1" si="310"/>
        <v>0</v>
      </c>
      <c r="FB161" s="3">
        <f t="shared" ca="1" si="311"/>
        <v>0</v>
      </c>
      <c r="FG161" s="3">
        <f t="shared" ca="1" si="312"/>
        <v>0</v>
      </c>
      <c r="FH161" s="618"/>
      <c r="FU161" s="3" t="str">
        <f t="shared" si="268"/>
        <v>표점</v>
      </c>
      <c r="FV161" s="3" t="str">
        <f t="shared" si="269"/>
        <v>표점</v>
      </c>
      <c r="FW161" s="3">
        <f t="shared" si="313"/>
        <v>0.28999999999999998</v>
      </c>
      <c r="FX161" s="3">
        <f t="shared" si="314"/>
        <v>0.43</v>
      </c>
      <c r="FY161" s="3">
        <f t="shared" si="315"/>
        <v>0.28999999999999998</v>
      </c>
      <c r="FZ161" s="3">
        <f t="shared" si="316"/>
        <v>3.5</v>
      </c>
    </row>
    <row r="162" spans="1:182">
      <c r="A162" s="556">
        <v>26</v>
      </c>
      <c r="C162" s="3">
        <f t="shared" si="270"/>
        <v>147</v>
      </c>
      <c r="D162" s="3">
        <v>147</v>
      </c>
      <c r="E162" s="3" t="s">
        <v>276</v>
      </c>
      <c r="F162" s="3">
        <v>1000</v>
      </c>
      <c r="G162" s="3">
        <v>0.2</v>
      </c>
      <c r="H162" s="3">
        <v>0.3</v>
      </c>
      <c r="I162" s="3">
        <v>0.15</v>
      </c>
      <c r="J162" s="3">
        <v>0.15</v>
      </c>
      <c r="K162" s="3">
        <v>0.15</v>
      </c>
      <c r="L162" s="3">
        <v>0.15</v>
      </c>
      <c r="M162" s="3">
        <v>0.15</v>
      </c>
      <c r="O162" s="3">
        <v>2</v>
      </c>
      <c r="P162" s="3">
        <f t="shared" si="271"/>
        <v>0.8</v>
      </c>
      <c r="Q162" s="3" t="s">
        <v>408</v>
      </c>
      <c r="S162" s="3" t="str">
        <f t="shared" si="272"/>
        <v/>
      </c>
      <c r="U162" s="3">
        <v>1</v>
      </c>
      <c r="W162" s="3">
        <f t="shared" si="273"/>
        <v>0</v>
      </c>
      <c r="Y162" s="3">
        <f t="shared" si="274"/>
        <v>2</v>
      </c>
      <c r="Z162" s="3">
        <f t="shared" si="275"/>
        <v>3</v>
      </c>
      <c r="AA162" s="3">
        <f t="shared" si="276"/>
        <v>1.5</v>
      </c>
      <c r="AB162" s="3">
        <f t="shared" si="277"/>
        <v>1.5</v>
      </c>
      <c r="AC162" s="3">
        <f t="shared" si="278"/>
        <v>3</v>
      </c>
      <c r="AD162" s="3">
        <f t="shared" si="279"/>
        <v>2</v>
      </c>
      <c r="AE162" s="3">
        <f t="shared" si="280"/>
        <v>3</v>
      </c>
      <c r="AF162" s="3">
        <f t="shared" si="281"/>
        <v>1.5</v>
      </c>
      <c r="AG162" s="3">
        <f t="shared" si="282"/>
        <v>1.5</v>
      </c>
      <c r="AH162" s="3">
        <f t="shared" si="283"/>
        <v>1.5</v>
      </c>
      <c r="AI162" s="3">
        <f t="shared" si="284"/>
        <v>1.5</v>
      </c>
      <c r="AJ162" s="3">
        <f t="shared" si="285"/>
        <v>1.5</v>
      </c>
      <c r="AL162" s="3" t="str">
        <f t="shared" si="286"/>
        <v/>
      </c>
      <c r="AN162" s="3" t="str">
        <f ca="1">IF($BA162=42,OFFSET(변환표준점수!C$119,$AP162-1,0),"")</f>
        <v/>
      </c>
      <c r="AO162" s="3" t="str">
        <f ca="1">IF($BA162=42,OFFSET(변환표준점수!D$119,$AP162-1,0),"")</f>
        <v/>
      </c>
      <c r="AP162" s="3" t="str">
        <f>IF(S162="","",MATCH(S162,변환표준점수!$B$119:$B$298,0))</f>
        <v/>
      </c>
      <c r="AQ162" s="3">
        <v>2</v>
      </c>
      <c r="AR162" s="3">
        <v>2</v>
      </c>
      <c r="AS162" s="3">
        <v>2</v>
      </c>
      <c r="AT162" s="3">
        <v>2</v>
      </c>
      <c r="AU162" s="3">
        <v>2</v>
      </c>
      <c r="AV162" s="3">
        <v>2</v>
      </c>
      <c r="AW162" s="3">
        <v>2</v>
      </c>
      <c r="AX162" s="3">
        <v>3</v>
      </c>
      <c r="AY162" s="3">
        <v>3</v>
      </c>
      <c r="BA162" s="3">
        <f t="shared" si="287"/>
        <v>2</v>
      </c>
      <c r="BF162" s="3">
        <f>0.05*AF162</f>
        <v>7.5000000000000011E-2</v>
      </c>
      <c r="BG162" s="3">
        <f>0.05*AG162</f>
        <v>7.5000000000000011E-2</v>
      </c>
      <c r="BH162" s="3">
        <f>0.02*2*AF162</f>
        <v>0.06</v>
      </c>
      <c r="BJ162" s="3">
        <f t="shared" si="288"/>
        <v>0</v>
      </c>
      <c r="BN162" s="212" t="s">
        <v>7709</v>
      </c>
      <c r="BS162" s="3">
        <f>IF($DM$8=2,EH162*BF162,0)</f>
        <v>0</v>
      </c>
      <c r="BT162" s="3">
        <f>IF($DM$8=2,EI162*BG162,0)</f>
        <v>0</v>
      </c>
      <c r="BU162" s="3">
        <f>IF(AND($DM$8&gt;1,OR(LEFT($AU$2,1)="생",LEFT($AU$2,1)="화")),((EH162+EI162)/2)*BH162,0)</f>
        <v>0</v>
      </c>
      <c r="CH162" s="206">
        <f t="shared" si="289"/>
        <v>800</v>
      </c>
      <c r="CI162" s="56">
        <v>200</v>
      </c>
      <c r="CJ162" s="3">
        <v>196</v>
      </c>
      <c r="CK162" s="3">
        <v>190</v>
      </c>
      <c r="CL162" s="3">
        <v>184</v>
      </c>
      <c r="CM162" s="3">
        <v>178</v>
      </c>
      <c r="CN162" s="3">
        <v>172</v>
      </c>
      <c r="CO162" s="3">
        <v>166</v>
      </c>
      <c r="CP162" s="3">
        <v>160</v>
      </c>
      <c r="CQ162" s="3">
        <v>156</v>
      </c>
      <c r="CR162" s="56">
        <v>10</v>
      </c>
      <c r="CS162" s="3">
        <v>10</v>
      </c>
      <c r="CT162" s="3">
        <v>10</v>
      </c>
      <c r="CU162" s="3">
        <v>10</v>
      </c>
      <c r="CV162" s="3">
        <v>9</v>
      </c>
      <c r="CW162" s="3">
        <v>9</v>
      </c>
      <c r="CX162" s="3">
        <v>9</v>
      </c>
      <c r="CY162" s="3">
        <v>8</v>
      </c>
      <c r="CZ162" s="3">
        <v>8</v>
      </c>
      <c r="DJ162" s="3">
        <f t="shared" ca="1" si="290"/>
        <v>200</v>
      </c>
      <c r="DK162" s="3">
        <f t="shared" ca="1" si="291"/>
        <v>100</v>
      </c>
      <c r="DL162" s="3">
        <f t="shared" ca="1" si="292"/>
        <v>10</v>
      </c>
      <c r="DO162" s="3">
        <v>2</v>
      </c>
      <c r="DZ162" s="3">
        <v>1</v>
      </c>
      <c r="EA162" s="3">
        <f t="shared" si="293"/>
        <v>1</v>
      </c>
      <c r="EB162" s="3">
        <f t="shared" si="294"/>
        <v>2</v>
      </c>
      <c r="EC162" s="3">
        <f t="shared" si="295"/>
        <v>0</v>
      </c>
      <c r="ED162" s="3">
        <f t="shared" si="296"/>
        <v>0</v>
      </c>
      <c r="EF162" s="3">
        <f t="shared" ca="1" si="297"/>
        <v>0</v>
      </c>
      <c r="EG162" s="3">
        <f t="shared" ca="1" si="298"/>
        <v>0</v>
      </c>
      <c r="EH162" s="3">
        <f ca="1">IFERROR(IF(LEFT($BA162,1)="4",OFFSET(변환표준점수!$H$118,MATCH($S162,변환표준점수!$B$119:$B$198,0),),OFFSET(EH$3,MATCH(AS162,$ED$4:$ED$8,0),0)),0)</f>
        <v>0</v>
      </c>
      <c r="EI162" s="3">
        <f ca="1">IFERROR(IF(LEFT($BA162,1)="4",OFFSET(변환표준점수!$I$118,MATCH($S162,변환표준점수!$B$119:$B$198,0),0),OFFSET(EI$3,MATCH(AT162,$ED$4:$ED$8,0),0)),0)</f>
        <v>0</v>
      </c>
      <c r="EK162" s="3">
        <f ca="1">IFERROR(IF(LEFT($BA162,1)="4",OFFSET(변환표준점수!$J$118,MATCH($S162,변환표준점수!$B$119:$B$198,0),0),OFFSET(EJ$3,MATCH(AV162,$ED$4:$ED$8,0),0)),0)</f>
        <v>0</v>
      </c>
      <c r="EL162" s="3">
        <f ca="1">IFERROR(IF(LEFT($BA162,1)="4",OFFSET(변환표준점수!$K$118,MATCH($S162,변환표준점수!$B$119:$B$198,0),0),OFFSET(EK$3,MATCH(AW162,$ED$4:$ED$8,0),0)),0)</f>
        <v>0</v>
      </c>
      <c r="EM162" s="3" t="str">
        <f t="shared" ca="1" si="299"/>
        <v/>
      </c>
      <c r="EN162" s="3" t="str">
        <f t="shared" ca="1" si="300"/>
        <v/>
      </c>
      <c r="EO162" s="3">
        <f t="shared" ca="1" si="301"/>
        <v>0</v>
      </c>
      <c r="EQ162" s="3">
        <f t="shared" ca="1" si="302"/>
        <v>0</v>
      </c>
      <c r="ER162" s="3">
        <f t="shared" ca="1" si="303"/>
        <v>0</v>
      </c>
      <c r="ES162" s="3">
        <f t="shared" ca="1" si="304"/>
        <v>0</v>
      </c>
      <c r="ET162" s="3">
        <f t="shared" ca="1" si="305"/>
        <v>0</v>
      </c>
      <c r="EU162" s="3">
        <f t="shared" si="306"/>
        <v>0</v>
      </c>
      <c r="EV162" s="3">
        <f t="shared" ca="1" si="307"/>
        <v>0</v>
      </c>
      <c r="EW162" s="3">
        <f t="shared" ca="1" si="308"/>
        <v>0</v>
      </c>
      <c r="EX162" s="3">
        <f ca="1">LARGE((ES162:ET162,EV162:EW162),1)</f>
        <v>0</v>
      </c>
      <c r="EY162" s="3">
        <f ca="1">IF(O162&lt;2,0,LARGE((ES162:ET162,EV162:EW162),2))</f>
        <v>0</v>
      </c>
      <c r="EZ162" s="3">
        <f t="shared" ca="1" si="309"/>
        <v>0</v>
      </c>
      <c r="FA162" s="3">
        <f t="shared" ca="1" si="310"/>
        <v>0</v>
      </c>
      <c r="FB162" s="3">
        <f t="shared" ca="1" si="311"/>
        <v>0</v>
      </c>
      <c r="FG162" s="3">
        <f t="shared" ca="1" si="312"/>
        <v>0</v>
      </c>
      <c r="FH162" s="618"/>
      <c r="FU162" s="3" t="str">
        <f t="shared" si="268"/>
        <v>백분위</v>
      </c>
      <c r="FV162" s="3" t="str">
        <f t="shared" si="269"/>
        <v>백분위</v>
      </c>
      <c r="FW162" s="3">
        <f t="shared" si="313"/>
        <v>0.25</v>
      </c>
      <c r="FX162" s="3">
        <f t="shared" si="314"/>
        <v>0.38</v>
      </c>
      <c r="FY162" s="3">
        <f t="shared" si="315"/>
        <v>0.38</v>
      </c>
      <c r="FZ162" s="3">
        <f t="shared" si="316"/>
        <v>8</v>
      </c>
    </row>
    <row r="163" spans="1:182">
      <c r="A163" s="556">
        <v>26</v>
      </c>
      <c r="C163" s="3">
        <f t="shared" si="270"/>
        <v>148</v>
      </c>
      <c r="D163" s="3">
        <v>148</v>
      </c>
      <c r="E163" s="3" t="s">
        <v>60</v>
      </c>
      <c r="F163" s="3">
        <v>1000</v>
      </c>
      <c r="G163" s="3">
        <v>0.25</v>
      </c>
      <c r="H163" s="3">
        <v>0.35</v>
      </c>
      <c r="I163" s="3">
        <v>0.125</v>
      </c>
      <c r="J163" s="3">
        <v>0.125</v>
      </c>
      <c r="K163" s="3">
        <v>0.125</v>
      </c>
      <c r="O163" s="3">
        <v>2</v>
      </c>
      <c r="P163" s="3">
        <f t="shared" si="271"/>
        <v>0.85</v>
      </c>
      <c r="Q163" s="3" t="s">
        <v>408</v>
      </c>
      <c r="S163" s="3" t="str">
        <f t="shared" si="272"/>
        <v/>
      </c>
      <c r="U163" s="3">
        <v>1</v>
      </c>
      <c r="W163" s="3">
        <f t="shared" si="273"/>
        <v>0</v>
      </c>
      <c r="Y163" s="3">
        <f t="shared" si="274"/>
        <v>1.7985611510791366</v>
      </c>
      <c r="Z163" s="3">
        <f t="shared" si="275"/>
        <v>2.5</v>
      </c>
      <c r="AA163" s="3">
        <f t="shared" si="276"/>
        <v>1.25</v>
      </c>
      <c r="AB163" s="3" t="str">
        <f t="shared" si="277"/>
        <v>자동</v>
      </c>
      <c r="AC163" s="3">
        <f t="shared" si="278"/>
        <v>2.5</v>
      </c>
      <c r="AD163" s="3">
        <f t="shared" si="279"/>
        <v>1.7985611510791366</v>
      </c>
      <c r="AE163" s="3">
        <f t="shared" si="280"/>
        <v>2.5</v>
      </c>
      <c r="AF163" s="3">
        <f t="shared" si="281"/>
        <v>1.25</v>
      </c>
      <c r="AG163" s="3">
        <f t="shared" si="282"/>
        <v>1.25</v>
      </c>
      <c r="AH163" s="3">
        <f t="shared" si="283"/>
        <v>1.25</v>
      </c>
      <c r="AI163" s="3" t="str">
        <f t="shared" si="284"/>
        <v>자동</v>
      </c>
      <c r="AJ163" s="3" t="str">
        <f t="shared" si="285"/>
        <v>자동</v>
      </c>
      <c r="AL163" s="3" t="str">
        <f t="shared" si="286"/>
        <v/>
      </c>
      <c r="AN163" s="3" t="str">
        <f ca="1">IF($BA163=42,OFFSET(변환표준점수!C$119,$AP163-1,0),"")</f>
        <v/>
      </c>
      <c r="AO163" s="3" t="str">
        <f ca="1">IF($BA163=42,OFFSET(변환표준점수!D$119,$AP163-1,0),"")</f>
        <v/>
      </c>
      <c r="AP163" s="3" t="str">
        <f>IF(S163="","",MATCH(S163,변환표준점수!$B$119:$B$298,0))</f>
        <v/>
      </c>
      <c r="AQ163" s="3">
        <v>12</v>
      </c>
      <c r="AR163" s="3">
        <v>12</v>
      </c>
      <c r="AS163" s="3">
        <v>2</v>
      </c>
      <c r="AT163" s="3">
        <v>2</v>
      </c>
      <c r="AU163" s="3">
        <v>2</v>
      </c>
      <c r="AX163" s="3">
        <v>3</v>
      </c>
      <c r="AY163" s="3">
        <v>3</v>
      </c>
      <c r="BA163" s="3">
        <f t="shared" si="287"/>
        <v>2</v>
      </c>
      <c r="BH163" s="3">
        <f>0.05*AF163</f>
        <v>6.25E-2</v>
      </c>
      <c r="BJ163" s="3">
        <f t="shared" si="288"/>
        <v>0</v>
      </c>
      <c r="BN163" s="212" t="s">
        <v>7330</v>
      </c>
      <c r="BU163" s="3">
        <f ca="1">IF(RIGHT($I$13,2)="II",EH163*BH163,0)+IF(RIGHT($J$13,2)="II",EI163*BH163,0)</f>
        <v>0</v>
      </c>
      <c r="CH163" s="206">
        <f t="shared" si="289"/>
        <v>850</v>
      </c>
      <c r="CI163" s="56">
        <v>150</v>
      </c>
      <c r="CJ163" s="3">
        <v>135</v>
      </c>
      <c r="CK163" s="3">
        <v>105</v>
      </c>
      <c r="CL163" s="3">
        <v>60</v>
      </c>
      <c r="CM163" s="3">
        <v>45</v>
      </c>
      <c r="CN163" s="3">
        <v>30</v>
      </c>
      <c r="CO163" s="3">
        <v>22.5</v>
      </c>
      <c r="CP163" s="3">
        <v>7.5</v>
      </c>
      <c r="CQ163" s="3">
        <v>0</v>
      </c>
      <c r="CR163" s="56">
        <v>5</v>
      </c>
      <c r="CS163" s="3">
        <v>5</v>
      </c>
      <c r="CT163" s="3">
        <v>5</v>
      </c>
      <c r="CU163" s="3">
        <v>5</v>
      </c>
      <c r="CV163" s="3">
        <v>4</v>
      </c>
      <c r="CW163" s="3">
        <v>3</v>
      </c>
      <c r="CX163" s="3">
        <v>2</v>
      </c>
      <c r="CY163" s="3">
        <v>1</v>
      </c>
      <c r="CZ163" s="3">
        <v>0</v>
      </c>
      <c r="DJ163" s="3">
        <f t="shared" ca="1" si="290"/>
        <v>150</v>
      </c>
      <c r="DK163" s="3">
        <f t="shared" ca="1" si="291"/>
        <v>100</v>
      </c>
      <c r="DL163" s="3">
        <f t="shared" ca="1" si="292"/>
        <v>5</v>
      </c>
      <c r="DM163" s="3">
        <v>2</v>
      </c>
      <c r="DQ163" s="3">
        <v>1</v>
      </c>
      <c r="DS163" s="3">
        <v>1</v>
      </c>
      <c r="EA163" s="3">
        <f t="shared" si="293"/>
        <v>1</v>
      </c>
      <c r="EB163" s="3">
        <f t="shared" si="294"/>
        <v>2</v>
      </c>
      <c r="EC163" s="3">
        <f t="shared" si="295"/>
        <v>0</v>
      </c>
      <c r="ED163" s="3">
        <f t="shared" si="296"/>
        <v>0</v>
      </c>
      <c r="EF163" s="3">
        <f t="shared" ca="1" si="297"/>
        <v>0</v>
      </c>
      <c r="EG163" s="3">
        <f t="shared" ca="1" si="298"/>
        <v>0</v>
      </c>
      <c r="EH163" s="3">
        <f ca="1">IFERROR(IF(LEFT($BA163,1)="4",OFFSET(변환표준점수!$H$118,MATCH($S163,변환표준점수!$B$119:$B$198,0),),OFFSET(EH$3,MATCH(AS163,$ED$4:$ED$8,0),0)),0)</f>
        <v>0</v>
      </c>
      <c r="EI163" s="3">
        <f ca="1">IFERROR(IF(LEFT($BA163,1)="4",OFFSET(변환표준점수!$I$118,MATCH($S163,변환표준점수!$B$119:$B$198,0),0),OFFSET(EI$3,MATCH(AT163,$ED$4:$ED$8,0),0)),0)</f>
        <v>0</v>
      </c>
      <c r="EK163" s="3">
        <f ca="1">IFERROR(IF(LEFT($BA163,1)="4",OFFSET(변환표준점수!$J$118,MATCH($S163,변환표준점수!$B$119:$B$198,0),0),OFFSET(EJ$3,MATCH(AV163,$ED$4:$ED$8,0),0)),0)</f>
        <v>0</v>
      </c>
      <c r="EL163" s="3">
        <f ca="1">IFERROR(IF(LEFT($BA163,1)="4",OFFSET(변환표준점수!$K$118,MATCH($S163,변환표준점수!$B$119:$B$198,0),0),OFFSET(EK$3,MATCH(AW163,$ED$4:$ED$8,0),0)),0)</f>
        <v>0</v>
      </c>
      <c r="EM163" s="3" t="str">
        <f t="shared" ca="1" si="299"/>
        <v/>
      </c>
      <c r="EN163" s="3" t="str">
        <f t="shared" ca="1" si="300"/>
        <v/>
      </c>
      <c r="EO163" s="3">
        <f t="shared" ca="1" si="301"/>
        <v>0</v>
      </c>
      <c r="EQ163" s="3">
        <f t="shared" ca="1" si="302"/>
        <v>0</v>
      </c>
      <c r="ER163" s="3">
        <f t="shared" ca="1" si="303"/>
        <v>0</v>
      </c>
      <c r="ES163" s="3">
        <f t="shared" ca="1" si="304"/>
        <v>0</v>
      </c>
      <c r="ET163" s="3">
        <f t="shared" ca="1" si="305"/>
        <v>0</v>
      </c>
      <c r="EU163" s="3">
        <f t="shared" ca="1" si="306"/>
        <v>0</v>
      </c>
      <c r="EV163" s="3">
        <f t="shared" ca="1" si="307"/>
        <v>0</v>
      </c>
      <c r="EW163" s="3">
        <f t="shared" ca="1" si="308"/>
        <v>0</v>
      </c>
      <c r="EX163" s="3">
        <f ca="1">LARGE((ES163:ET163,EV163:EW163),1)</f>
        <v>0</v>
      </c>
      <c r="EY163" s="3">
        <f ca="1">IF(O163&lt;2,0,LARGE((ES163:ET163,EV163:EW163),2))</f>
        <v>0</v>
      </c>
      <c r="EZ163" s="3">
        <f t="shared" ca="1" si="309"/>
        <v>0</v>
      </c>
      <c r="FA163" s="3">
        <f t="shared" ca="1" si="310"/>
        <v>0</v>
      </c>
      <c r="FB163" s="3">
        <f t="shared" ca="1" si="311"/>
        <v>0</v>
      </c>
      <c r="FG163" s="3">
        <f t="shared" ca="1" si="312"/>
        <v>0</v>
      </c>
      <c r="FH163" s="618"/>
      <c r="FU163" s="3" t="str">
        <f t="shared" si="268"/>
        <v>표점/만점</v>
      </c>
      <c r="FV163" s="3" t="str">
        <f t="shared" si="269"/>
        <v>백분위</v>
      </c>
      <c r="FW163" s="3">
        <f t="shared" si="313"/>
        <v>0.26</v>
      </c>
      <c r="FX163" s="3">
        <f t="shared" si="314"/>
        <v>0.37</v>
      </c>
      <c r="FY163" s="3">
        <f t="shared" si="315"/>
        <v>0.37</v>
      </c>
      <c r="FZ163" s="3">
        <f t="shared" si="316"/>
        <v>6.7985611510791362</v>
      </c>
    </row>
    <row r="164" spans="1:182">
      <c r="A164" s="556">
        <v>26</v>
      </c>
      <c r="C164" s="3">
        <f t="shared" si="270"/>
        <v>149</v>
      </c>
      <c r="D164" s="3">
        <v>149</v>
      </c>
      <c r="E164" s="3" t="s">
        <v>321</v>
      </c>
      <c r="F164" s="3">
        <v>1000</v>
      </c>
      <c r="G164" s="3">
        <v>0.27</v>
      </c>
      <c r="H164" s="3">
        <v>0.28000000000000003</v>
      </c>
      <c r="I164" s="3">
        <v>0.125</v>
      </c>
      <c r="J164" s="3">
        <v>0.125</v>
      </c>
      <c r="L164" s="3">
        <v>0.125</v>
      </c>
      <c r="M164" s="3">
        <v>0.125</v>
      </c>
      <c r="O164" s="3">
        <v>2</v>
      </c>
      <c r="P164" s="3">
        <f t="shared" si="271"/>
        <v>0.8</v>
      </c>
      <c r="Q164" s="3" t="s">
        <v>408</v>
      </c>
      <c r="S164" s="3" t="str">
        <f t="shared" si="272"/>
        <v/>
      </c>
      <c r="U164" s="3">
        <v>1</v>
      </c>
      <c r="W164" s="3">
        <f t="shared" si="273"/>
        <v>0</v>
      </c>
      <c r="Y164" s="3">
        <f t="shared" si="274"/>
        <v>2.7</v>
      </c>
      <c r="Z164" s="3">
        <f t="shared" si="275"/>
        <v>2.8</v>
      </c>
      <c r="AA164" s="3">
        <f t="shared" si="276"/>
        <v>1.25</v>
      </c>
      <c r="AB164" s="3">
        <f t="shared" si="277"/>
        <v>1.25</v>
      </c>
      <c r="AC164" s="3">
        <f t="shared" si="278"/>
        <v>2.5</v>
      </c>
      <c r="AD164" s="3">
        <f t="shared" si="279"/>
        <v>2.7</v>
      </c>
      <c r="AE164" s="3">
        <f t="shared" si="280"/>
        <v>2.8</v>
      </c>
      <c r="AF164" s="3">
        <f t="shared" si="281"/>
        <v>1.25</v>
      </c>
      <c r="AG164" s="3">
        <f t="shared" si="282"/>
        <v>1.25</v>
      </c>
      <c r="AH164" s="3" t="str">
        <f t="shared" si="283"/>
        <v>자동</v>
      </c>
      <c r="AI164" s="3">
        <f t="shared" si="284"/>
        <v>1.25</v>
      </c>
      <c r="AJ164" s="3">
        <f t="shared" si="285"/>
        <v>1.25</v>
      </c>
      <c r="AL164" s="3" t="str">
        <f t="shared" si="286"/>
        <v/>
      </c>
      <c r="AN164" s="3" t="str">
        <f ca="1">IF($BA164=42,OFFSET(변환표준점수!C$119,$AP164-1,0),"")</f>
        <v/>
      </c>
      <c r="AO164" s="3" t="str">
        <f ca="1">IF($BA164=42,OFFSET(변환표준점수!D$119,$AP164-1,0),"")</f>
        <v/>
      </c>
      <c r="AP164" s="3" t="str">
        <f>IF(S164="","",MATCH(S164,변환표준점수!$B$119:$B$298,0))</f>
        <v/>
      </c>
      <c r="AQ164" s="3">
        <v>2</v>
      </c>
      <c r="AR164" s="3">
        <v>2</v>
      </c>
      <c r="AS164" s="3">
        <v>2</v>
      </c>
      <c r="AT164" s="3">
        <v>2</v>
      </c>
      <c r="AV164" s="3">
        <v>2</v>
      </c>
      <c r="AW164" s="3">
        <v>2</v>
      </c>
      <c r="AX164" s="3">
        <v>3</v>
      </c>
      <c r="AY164" s="3">
        <v>3</v>
      </c>
      <c r="BA164" s="3">
        <f t="shared" si="287"/>
        <v>2</v>
      </c>
      <c r="BJ164" s="3">
        <f t="shared" si="288"/>
        <v>0</v>
      </c>
      <c r="BN164" s="212" t="s">
        <v>7710</v>
      </c>
      <c r="BP164" s="3">
        <f>IF(BP$6&gt;0,BY164,0)</f>
        <v>0</v>
      </c>
      <c r="BQ164" s="3">
        <f>IF(BQ$6&gt;0,BZ164,0)</f>
        <v>0</v>
      </c>
      <c r="BS164" s="3">
        <f>IF(EH6&gt;0,CB164,0)</f>
        <v>0</v>
      </c>
      <c r="BT164" s="3">
        <f>IF(EI6&gt;0,CC164,0)</f>
        <v>0</v>
      </c>
      <c r="BY164" s="3">
        <v>3</v>
      </c>
      <c r="BZ164" s="3">
        <v>3</v>
      </c>
      <c r="CB164" s="3">
        <v>1.5</v>
      </c>
      <c r="CC164" s="3">
        <v>1.5</v>
      </c>
      <c r="CH164" s="206">
        <f t="shared" si="289"/>
        <v>800</v>
      </c>
      <c r="CI164" s="56">
        <v>200</v>
      </c>
      <c r="CJ164" s="3">
        <v>180</v>
      </c>
      <c r="CK164" s="3">
        <v>160</v>
      </c>
      <c r="CL164" s="3">
        <v>140</v>
      </c>
      <c r="CM164" s="3">
        <v>120</v>
      </c>
      <c r="CN164" s="3">
        <v>90</v>
      </c>
      <c r="CO164" s="3">
        <v>60</v>
      </c>
      <c r="CP164" s="3">
        <v>30</v>
      </c>
      <c r="CQ164" s="3">
        <v>0</v>
      </c>
      <c r="CR164" s="56">
        <v>5</v>
      </c>
      <c r="CS164" s="3">
        <v>5</v>
      </c>
      <c r="CT164" s="3">
        <v>5</v>
      </c>
      <c r="CU164" s="3">
        <v>5</v>
      </c>
      <c r="CV164" s="3">
        <v>4</v>
      </c>
      <c r="CW164" s="3">
        <v>3</v>
      </c>
      <c r="CX164" s="3">
        <v>2</v>
      </c>
      <c r="CY164" s="3">
        <v>1</v>
      </c>
      <c r="CZ164" s="3">
        <v>0</v>
      </c>
      <c r="DJ164" s="3">
        <f t="shared" ca="1" si="290"/>
        <v>200</v>
      </c>
      <c r="DK164" s="3">
        <f t="shared" ca="1" si="291"/>
        <v>100</v>
      </c>
      <c r="DL164" s="3">
        <f t="shared" ca="1" si="292"/>
        <v>5</v>
      </c>
      <c r="DO164" s="3">
        <v>2</v>
      </c>
      <c r="DZ164" s="3">
        <v>1</v>
      </c>
      <c r="EA164" s="3">
        <f t="shared" si="293"/>
        <v>1</v>
      </c>
      <c r="EB164" s="3">
        <f t="shared" si="294"/>
        <v>2</v>
      </c>
      <c r="EC164" s="3">
        <f t="shared" si="295"/>
        <v>0</v>
      </c>
      <c r="ED164" s="3">
        <f t="shared" si="296"/>
        <v>0</v>
      </c>
      <c r="EF164" s="3">
        <f t="shared" ca="1" si="297"/>
        <v>0</v>
      </c>
      <c r="EG164" s="3">
        <f t="shared" ca="1" si="298"/>
        <v>0</v>
      </c>
      <c r="EH164" s="3">
        <f ca="1">IFERROR(IF(LEFT($BA164,1)="4",OFFSET(변환표준점수!$H$118,MATCH($S164,변환표준점수!$B$119:$B$198,0),),OFFSET(EH$3,MATCH(AS164,$ED$4:$ED$8,0),0)),0)</f>
        <v>0</v>
      </c>
      <c r="EI164" s="3">
        <f ca="1">IFERROR(IF(LEFT($BA164,1)="4",OFFSET(변환표준점수!$I$118,MATCH($S164,변환표준점수!$B$119:$B$198,0),0),OFFSET(EI$3,MATCH(AT164,$ED$4:$ED$8,0),0)),0)</f>
        <v>0</v>
      </c>
      <c r="EK164" s="3">
        <f ca="1">IFERROR(IF(LEFT($BA164,1)="4",OFFSET(변환표준점수!$J$118,MATCH($S164,변환표준점수!$B$119:$B$198,0),0),OFFSET(EJ$3,MATCH(AV164,$ED$4:$ED$8,0),0)),0)</f>
        <v>0</v>
      </c>
      <c r="EL164" s="3">
        <f ca="1">IFERROR(IF(LEFT($BA164,1)="4",OFFSET(변환표준점수!$K$118,MATCH($S164,변환표준점수!$B$119:$B$198,0),0),OFFSET(EK$3,MATCH(AW164,$ED$4:$ED$8,0),0)),0)</f>
        <v>0</v>
      </c>
      <c r="EM164" s="3" t="str">
        <f t="shared" ca="1" si="299"/>
        <v/>
      </c>
      <c r="EN164" s="3" t="str">
        <f t="shared" ca="1" si="300"/>
        <v/>
      </c>
      <c r="EO164" s="3">
        <f t="shared" ca="1" si="301"/>
        <v>0</v>
      </c>
      <c r="EQ164" s="3">
        <f t="shared" ca="1" si="302"/>
        <v>0</v>
      </c>
      <c r="ER164" s="3">
        <f t="shared" ca="1" si="303"/>
        <v>0</v>
      </c>
      <c r="ES164" s="3">
        <f t="shared" ca="1" si="304"/>
        <v>0</v>
      </c>
      <c r="ET164" s="3">
        <f t="shared" ca="1" si="305"/>
        <v>0</v>
      </c>
      <c r="EU164" s="3">
        <f t="shared" si="306"/>
        <v>0</v>
      </c>
      <c r="EV164" s="3">
        <f t="shared" ca="1" si="307"/>
        <v>0</v>
      </c>
      <c r="EW164" s="3">
        <f t="shared" ca="1" si="308"/>
        <v>0</v>
      </c>
      <c r="EX164" s="3">
        <f ca="1">LARGE((ES164:ET164,EV164:EW164),1)</f>
        <v>0</v>
      </c>
      <c r="EY164" s="3">
        <f ca="1">IF(O164&lt;2,0,LARGE((ES164:ET164,EV164:EW164),2))</f>
        <v>0</v>
      </c>
      <c r="EZ164" s="3">
        <f t="shared" ca="1" si="309"/>
        <v>0</v>
      </c>
      <c r="FA164" s="3">
        <f t="shared" ca="1" si="310"/>
        <v>0</v>
      </c>
      <c r="FB164" s="3">
        <f t="shared" ca="1" si="311"/>
        <v>0</v>
      </c>
      <c r="FG164" s="3">
        <f t="shared" ca="1" si="312"/>
        <v>0</v>
      </c>
      <c r="FH164" s="618"/>
      <c r="FU164" s="3" t="str">
        <f t="shared" si="268"/>
        <v>백분위</v>
      </c>
      <c r="FV164" s="3" t="str">
        <f t="shared" si="269"/>
        <v>백분위</v>
      </c>
      <c r="FW164" s="3">
        <f t="shared" si="313"/>
        <v>0.34</v>
      </c>
      <c r="FX164" s="3">
        <f t="shared" si="314"/>
        <v>0.35</v>
      </c>
      <c r="FY164" s="3">
        <f t="shared" si="315"/>
        <v>0.31</v>
      </c>
      <c r="FZ164" s="3">
        <f t="shared" si="316"/>
        <v>8</v>
      </c>
    </row>
    <row r="165" spans="1:182">
      <c r="A165" s="556">
        <v>26</v>
      </c>
      <c r="C165" s="3">
        <f t="shared" si="270"/>
        <v>150</v>
      </c>
      <c r="D165" s="3">
        <v>150</v>
      </c>
      <c r="E165" s="3" t="s">
        <v>448</v>
      </c>
      <c r="F165" s="3">
        <v>800</v>
      </c>
      <c r="G165" s="3">
        <v>0.3</v>
      </c>
      <c r="H165" s="3">
        <v>0.3</v>
      </c>
      <c r="I165" s="3">
        <f>0.3/2/2</f>
        <v>7.4999999999999997E-2</v>
      </c>
      <c r="J165" s="3">
        <f>I165</f>
        <v>7.4999999999999997E-2</v>
      </c>
      <c r="O165" s="3">
        <v>2</v>
      </c>
      <c r="P165" s="3">
        <f t="shared" si="271"/>
        <v>0.75</v>
      </c>
      <c r="Q165" s="3" t="s">
        <v>408</v>
      </c>
      <c r="S165" s="3" t="str">
        <f t="shared" si="272"/>
        <v/>
      </c>
      <c r="U165" s="3">
        <v>1</v>
      </c>
      <c r="W165" s="3">
        <f t="shared" si="273"/>
        <v>0</v>
      </c>
      <c r="Y165" s="3">
        <f t="shared" si="274"/>
        <v>1.2</v>
      </c>
      <c r="Z165" s="3">
        <f t="shared" si="275"/>
        <v>1.2</v>
      </c>
      <c r="AA165" s="3">
        <f t="shared" si="276"/>
        <v>0.8593156982656146</v>
      </c>
      <c r="AB165" s="3" t="str">
        <f t="shared" si="277"/>
        <v>자동</v>
      </c>
      <c r="AC165" s="3">
        <f t="shared" si="278"/>
        <v>0.8593156982656146</v>
      </c>
      <c r="AD165" s="3">
        <f t="shared" si="279"/>
        <v>1.2</v>
      </c>
      <c r="AE165" s="3">
        <f t="shared" si="280"/>
        <v>1.2</v>
      </c>
      <c r="AF165" s="3">
        <f t="shared" si="281"/>
        <v>0.8593156982656146</v>
      </c>
      <c r="AG165" s="3">
        <f t="shared" si="282"/>
        <v>0.8593156982656146</v>
      </c>
      <c r="AH165" s="3" t="str">
        <f t="shared" si="283"/>
        <v>자동</v>
      </c>
      <c r="AI165" s="3" t="str">
        <f t="shared" si="284"/>
        <v>자동</v>
      </c>
      <c r="AJ165" s="3" t="str">
        <f t="shared" si="285"/>
        <v>자동</v>
      </c>
      <c r="AK165" s="3">
        <v>1</v>
      </c>
      <c r="AL165" s="3">
        <f t="shared" si="286"/>
        <v>1</v>
      </c>
      <c r="AN165" s="3" t="str">
        <f ca="1">IF($BA165=42,OFFSET(변환표준점수!C$119,$AP165-1,0),"")</f>
        <v/>
      </c>
      <c r="AO165" s="3" t="str">
        <f ca="1">IF($BA165=42,OFFSET(변환표준점수!D$119,$AP165-1,0),"")</f>
        <v/>
      </c>
      <c r="AP165" s="3" t="str">
        <f>IF(S165="","",MATCH(S165,변환표준점수!$B$119:$B$298,0))</f>
        <v/>
      </c>
      <c r="AQ165" s="3">
        <v>1</v>
      </c>
      <c r="AR165" s="3">
        <v>1</v>
      </c>
      <c r="AS165" s="3">
        <v>12</v>
      </c>
      <c r="AT165" s="3">
        <v>12</v>
      </c>
      <c r="AX165" s="3">
        <v>3</v>
      </c>
      <c r="AY165" s="3">
        <v>3</v>
      </c>
      <c r="BA165" s="3">
        <f t="shared" si="287"/>
        <v>12</v>
      </c>
      <c r="BJ165" s="3">
        <f t="shared" si="288"/>
        <v>0</v>
      </c>
      <c r="CH165" s="206">
        <f t="shared" si="289"/>
        <v>600</v>
      </c>
      <c r="CI165" s="56">
        <v>80</v>
      </c>
      <c r="CJ165" s="3">
        <f t="shared" ref="CJ165:CQ165" si="317">CI165-8</f>
        <v>72</v>
      </c>
      <c r="CK165" s="3">
        <f t="shared" si="317"/>
        <v>64</v>
      </c>
      <c r="CL165" s="3">
        <f t="shared" si="317"/>
        <v>56</v>
      </c>
      <c r="CM165" s="3">
        <f t="shared" si="317"/>
        <v>48</v>
      </c>
      <c r="CN165" s="3">
        <f t="shared" si="317"/>
        <v>40</v>
      </c>
      <c r="CO165" s="3">
        <f t="shared" si="317"/>
        <v>32</v>
      </c>
      <c r="CP165" s="3">
        <f t="shared" si="317"/>
        <v>24</v>
      </c>
      <c r="CQ165" s="3">
        <f t="shared" si="317"/>
        <v>16</v>
      </c>
      <c r="CR165" s="56">
        <v>6</v>
      </c>
      <c r="CS165" s="3">
        <v>6</v>
      </c>
      <c r="CT165" s="3">
        <v>4.8</v>
      </c>
      <c r="CU165" s="3">
        <v>4.8</v>
      </c>
      <c r="CV165" s="3">
        <v>3.5999999999999996</v>
      </c>
      <c r="CW165" s="3">
        <v>3.5999999999999996</v>
      </c>
      <c r="CX165" s="3">
        <v>2.4</v>
      </c>
      <c r="CY165" s="3">
        <v>1.2</v>
      </c>
      <c r="CZ165" s="3">
        <v>0</v>
      </c>
      <c r="DJ165" s="3">
        <f t="shared" ca="1" si="290"/>
        <v>80</v>
      </c>
      <c r="DK165" s="3">
        <f t="shared" ca="1" si="291"/>
        <v>100</v>
      </c>
      <c r="DL165" s="3">
        <f t="shared" ca="1" si="292"/>
        <v>6</v>
      </c>
      <c r="DM165" s="3">
        <v>2</v>
      </c>
      <c r="DQ165" s="3">
        <v>1</v>
      </c>
      <c r="DS165" s="3">
        <v>1</v>
      </c>
      <c r="EA165" s="3">
        <f t="shared" si="293"/>
        <v>1</v>
      </c>
      <c r="EB165" s="3">
        <f t="shared" si="294"/>
        <v>2</v>
      </c>
      <c r="EC165" s="3">
        <f t="shared" si="295"/>
        <v>0</v>
      </c>
      <c r="ED165" s="3">
        <f t="shared" si="296"/>
        <v>0</v>
      </c>
      <c r="EF165" s="3">
        <f t="shared" ca="1" si="297"/>
        <v>0</v>
      </c>
      <c r="EG165" s="3">
        <f t="shared" ca="1" si="298"/>
        <v>0</v>
      </c>
      <c r="EH165" s="3">
        <f ca="1">IFERROR(IF(LEFT($BA165,1)="4",OFFSET(변환표준점수!$H$118,MATCH($S165,변환표준점수!$B$119:$B$198,0),),OFFSET(EH$3,MATCH(AS165,$ED$4:$ED$8,0),0)),0)</f>
        <v>0</v>
      </c>
      <c r="EI165" s="3">
        <f ca="1">IFERROR(IF(LEFT($BA165,1)="4",OFFSET(변환표준점수!$I$118,MATCH($S165,변환표준점수!$B$119:$B$198,0),0),OFFSET(EI$3,MATCH(AT165,$ED$4:$ED$8,0),0)),0)</f>
        <v>0</v>
      </c>
      <c r="EK165" s="3">
        <f ca="1">IFERROR(IF(LEFT($BA165,1)="4",OFFSET(변환표준점수!$J$118,MATCH($S165,변환표준점수!$B$119:$B$198,0),0),OFFSET(EJ$3,MATCH(AV165,$ED$4:$ED$8,0),0)),0)</f>
        <v>0</v>
      </c>
      <c r="EL165" s="3">
        <f ca="1">IFERROR(IF(LEFT($BA165,1)="4",OFFSET(변환표준점수!$K$118,MATCH($S165,변환표준점수!$B$119:$B$198,0),0),OFFSET(EK$3,MATCH(AW165,$ED$4:$ED$8,0),0)),0)</f>
        <v>0</v>
      </c>
      <c r="EM165" s="3" t="str">
        <f t="shared" ca="1" si="299"/>
        <v/>
      </c>
      <c r="EN165" s="3" t="str">
        <f t="shared" ca="1" si="300"/>
        <v/>
      </c>
      <c r="EO165" s="3">
        <f t="shared" ca="1" si="301"/>
        <v>0</v>
      </c>
      <c r="EQ165" s="3">
        <f t="shared" ca="1" si="302"/>
        <v>0</v>
      </c>
      <c r="ER165" s="3">
        <f t="shared" ca="1" si="303"/>
        <v>0</v>
      </c>
      <c r="ES165" s="3">
        <f t="shared" ca="1" si="304"/>
        <v>0</v>
      </c>
      <c r="ET165" s="3">
        <f t="shared" ca="1" si="305"/>
        <v>0</v>
      </c>
      <c r="EU165" s="3">
        <f t="shared" si="306"/>
        <v>0</v>
      </c>
      <c r="EV165" s="3">
        <f t="shared" ca="1" si="307"/>
        <v>0</v>
      </c>
      <c r="EW165" s="3">
        <f t="shared" ca="1" si="308"/>
        <v>0</v>
      </c>
      <c r="EX165" s="3">
        <f ca="1">LARGE((ES165:ET165,EV165:EW165),1)</f>
        <v>0</v>
      </c>
      <c r="EY165" s="3">
        <f ca="1">IF(O165&lt;2,0,LARGE((ES165:ET165,EV165:EW165),2))</f>
        <v>0</v>
      </c>
      <c r="EZ165" s="3">
        <f t="shared" ca="1" si="309"/>
        <v>0</v>
      </c>
      <c r="FA165" s="3">
        <f t="shared" ca="1" si="310"/>
        <v>0</v>
      </c>
      <c r="FB165" s="3">
        <f t="shared" ca="1" si="311"/>
        <v>0</v>
      </c>
      <c r="FG165" s="3">
        <f t="shared" ca="1" si="312"/>
        <v>0</v>
      </c>
      <c r="FH165" s="618"/>
      <c r="FU165" s="3" t="str">
        <f t="shared" si="268"/>
        <v>표점</v>
      </c>
      <c r="FV165" s="3" t="str">
        <f t="shared" si="269"/>
        <v>표점/만점</v>
      </c>
      <c r="FW165" s="3">
        <f t="shared" si="313"/>
        <v>0.37</v>
      </c>
      <c r="FX165" s="3">
        <f t="shared" si="314"/>
        <v>0.37</v>
      </c>
      <c r="FY165" s="3">
        <f t="shared" si="315"/>
        <v>0.26</v>
      </c>
      <c r="FZ165" s="3">
        <f t="shared" si="316"/>
        <v>3.2593156982656146</v>
      </c>
    </row>
    <row r="166" spans="1:182">
      <c r="A166" s="556">
        <v>26</v>
      </c>
      <c r="C166" s="3">
        <f t="shared" si="270"/>
        <v>151</v>
      </c>
      <c r="D166" s="3">
        <v>151</v>
      </c>
      <c r="E166" s="3" t="s">
        <v>449</v>
      </c>
      <c r="F166" s="3">
        <v>800</v>
      </c>
      <c r="G166" s="3">
        <v>0.3</v>
      </c>
      <c r="H166" s="3">
        <v>0.3</v>
      </c>
      <c r="I166" s="3">
        <f>0.3/2/2</f>
        <v>7.4999999999999997E-2</v>
      </c>
      <c r="J166" s="3">
        <f>I166</f>
        <v>7.4999999999999997E-2</v>
      </c>
      <c r="O166" s="3">
        <v>2</v>
      </c>
      <c r="P166" s="3">
        <f t="shared" si="271"/>
        <v>0.75</v>
      </c>
      <c r="Q166" s="3" t="s">
        <v>408</v>
      </c>
      <c r="S166" s="3" t="str">
        <f t="shared" si="272"/>
        <v/>
      </c>
      <c r="U166" s="3">
        <v>1</v>
      </c>
      <c r="W166" s="3">
        <f t="shared" si="273"/>
        <v>0</v>
      </c>
      <c r="Y166" s="3">
        <f t="shared" si="274"/>
        <v>1.2</v>
      </c>
      <c r="Z166" s="3">
        <f t="shared" si="275"/>
        <v>1.2</v>
      </c>
      <c r="AA166" s="3">
        <f t="shared" si="276"/>
        <v>0.8593156982656146</v>
      </c>
      <c r="AB166" s="3" t="str">
        <f t="shared" si="277"/>
        <v>자동</v>
      </c>
      <c r="AC166" s="3">
        <f t="shared" si="278"/>
        <v>0.8593156982656146</v>
      </c>
      <c r="AD166" s="3">
        <f t="shared" si="279"/>
        <v>1.2</v>
      </c>
      <c r="AE166" s="3">
        <f t="shared" si="280"/>
        <v>1.2</v>
      </c>
      <c r="AF166" s="3">
        <f t="shared" si="281"/>
        <v>0.8593156982656146</v>
      </c>
      <c r="AG166" s="3">
        <f t="shared" si="282"/>
        <v>0.8593156982656146</v>
      </c>
      <c r="AH166" s="3" t="str">
        <f t="shared" si="283"/>
        <v>자동</v>
      </c>
      <c r="AI166" s="3" t="str">
        <f t="shared" si="284"/>
        <v>자동</v>
      </c>
      <c r="AJ166" s="3" t="str">
        <f t="shared" si="285"/>
        <v>자동</v>
      </c>
      <c r="AK166" s="3">
        <v>1</v>
      </c>
      <c r="AL166" s="3">
        <f t="shared" si="286"/>
        <v>1</v>
      </c>
      <c r="AN166" s="3" t="str">
        <f ca="1">IF($BA166=42,OFFSET(변환표준점수!C$119,$AP166-1,0),"")</f>
        <v/>
      </c>
      <c r="AO166" s="3" t="str">
        <f ca="1">IF($BA166=42,OFFSET(변환표준점수!D$119,$AP166-1,0),"")</f>
        <v/>
      </c>
      <c r="AP166" s="3" t="str">
        <f>IF(S166="","",MATCH(S166,변환표준점수!$B$119:$B$298,0))</f>
        <v/>
      </c>
      <c r="AQ166" s="3">
        <v>1</v>
      </c>
      <c r="AR166" s="3">
        <v>1</v>
      </c>
      <c r="AS166" s="3">
        <v>12</v>
      </c>
      <c r="AT166" s="3">
        <v>12</v>
      </c>
      <c r="AX166" s="3">
        <v>3</v>
      </c>
      <c r="AY166" s="3">
        <v>3</v>
      </c>
      <c r="BA166" s="3">
        <f t="shared" si="287"/>
        <v>12</v>
      </c>
      <c r="BJ166" s="3">
        <f t="shared" si="288"/>
        <v>0</v>
      </c>
      <c r="CH166" s="206">
        <f t="shared" si="289"/>
        <v>600</v>
      </c>
      <c r="CI166" s="56">
        <v>80</v>
      </c>
      <c r="CJ166" s="3">
        <v>72</v>
      </c>
      <c r="CK166" s="3">
        <v>64</v>
      </c>
      <c r="CL166" s="3">
        <v>56</v>
      </c>
      <c r="CM166" s="3">
        <v>48</v>
      </c>
      <c r="CN166" s="3">
        <v>40</v>
      </c>
      <c r="CO166" s="3">
        <v>32</v>
      </c>
      <c r="CP166" s="3">
        <v>24</v>
      </c>
      <c r="CQ166" s="3">
        <v>16</v>
      </c>
      <c r="CR166" s="56">
        <v>6</v>
      </c>
      <c r="CS166" s="3">
        <v>6</v>
      </c>
      <c r="CT166" s="3">
        <v>4.8</v>
      </c>
      <c r="CU166" s="3">
        <v>4.8</v>
      </c>
      <c r="CV166" s="3">
        <v>3.5999999999999996</v>
      </c>
      <c r="CW166" s="3">
        <v>3.5999999999999996</v>
      </c>
      <c r="CX166" s="3">
        <v>2.4</v>
      </c>
      <c r="CY166" s="3">
        <v>1.2</v>
      </c>
      <c r="CZ166" s="3">
        <v>0</v>
      </c>
      <c r="DJ166" s="3">
        <f t="shared" ca="1" si="290"/>
        <v>80</v>
      </c>
      <c r="DK166" s="3">
        <f t="shared" ca="1" si="291"/>
        <v>100</v>
      </c>
      <c r="DL166" s="3">
        <f t="shared" ca="1" si="292"/>
        <v>6</v>
      </c>
      <c r="DM166" s="3">
        <v>2</v>
      </c>
      <c r="DQ166" s="3">
        <v>1</v>
      </c>
      <c r="DS166" s="3">
        <v>1</v>
      </c>
      <c r="EA166" s="3">
        <f t="shared" si="293"/>
        <v>1</v>
      </c>
      <c r="EB166" s="3">
        <f t="shared" si="294"/>
        <v>2</v>
      </c>
      <c r="EC166" s="3">
        <f t="shared" si="295"/>
        <v>0</v>
      </c>
      <c r="ED166" s="3">
        <f t="shared" si="296"/>
        <v>0</v>
      </c>
      <c r="EF166" s="3">
        <f t="shared" ca="1" si="297"/>
        <v>0</v>
      </c>
      <c r="EG166" s="3">
        <f t="shared" ca="1" si="298"/>
        <v>0</v>
      </c>
      <c r="EH166" s="3">
        <f ca="1">IFERROR(IF(LEFT($BA166,1)="4",OFFSET(변환표준점수!$H$118,MATCH($S166,변환표준점수!$B$119:$B$198,0),),OFFSET(EH$3,MATCH(AS166,$ED$4:$ED$8,0),0)),0)</f>
        <v>0</v>
      </c>
      <c r="EI166" s="3">
        <f ca="1">IFERROR(IF(LEFT($BA166,1)="4",OFFSET(변환표준점수!$I$118,MATCH($S166,변환표준점수!$B$119:$B$198,0),0),OFFSET(EI$3,MATCH(AT166,$ED$4:$ED$8,0),0)),0)</f>
        <v>0</v>
      </c>
      <c r="EK166" s="3">
        <f ca="1">IFERROR(IF(LEFT($BA166,1)="4",OFFSET(변환표준점수!$J$118,MATCH($S166,변환표준점수!$B$119:$B$198,0),0),OFFSET(EJ$3,MATCH(AV166,$ED$4:$ED$8,0),0)),0)</f>
        <v>0</v>
      </c>
      <c r="EL166" s="3">
        <f ca="1">IFERROR(IF(LEFT($BA166,1)="4",OFFSET(변환표준점수!$K$118,MATCH($S166,변환표준점수!$B$119:$B$198,0),0),OFFSET(EK$3,MATCH(AW166,$ED$4:$ED$8,0),0)),0)</f>
        <v>0</v>
      </c>
      <c r="EM166" s="3" t="str">
        <f t="shared" ca="1" si="299"/>
        <v/>
      </c>
      <c r="EN166" s="3" t="str">
        <f t="shared" ca="1" si="300"/>
        <v/>
      </c>
      <c r="EO166" s="3">
        <f t="shared" ca="1" si="301"/>
        <v>0</v>
      </c>
      <c r="EQ166" s="3">
        <f t="shared" ca="1" si="302"/>
        <v>0</v>
      </c>
      <c r="ER166" s="3">
        <f t="shared" ca="1" si="303"/>
        <v>0</v>
      </c>
      <c r="ES166" s="3">
        <f t="shared" ca="1" si="304"/>
        <v>0</v>
      </c>
      <c r="ET166" s="3">
        <f t="shared" ca="1" si="305"/>
        <v>0</v>
      </c>
      <c r="EU166" s="3">
        <f t="shared" si="306"/>
        <v>0</v>
      </c>
      <c r="EV166" s="3">
        <f t="shared" ca="1" si="307"/>
        <v>0</v>
      </c>
      <c r="EW166" s="3">
        <f t="shared" ca="1" si="308"/>
        <v>0</v>
      </c>
      <c r="EX166" s="3">
        <f ca="1">LARGE((ES166:ET166,EV166:EW166),1)</f>
        <v>0</v>
      </c>
      <c r="EY166" s="3">
        <f ca="1">IF(O166&lt;2,0,LARGE((ES166:ET166,EV166:EW166),2))</f>
        <v>0</v>
      </c>
      <c r="EZ166" s="3">
        <f t="shared" ca="1" si="309"/>
        <v>0</v>
      </c>
      <c r="FA166" s="3">
        <f t="shared" ca="1" si="310"/>
        <v>0</v>
      </c>
      <c r="FB166" s="3">
        <f t="shared" ca="1" si="311"/>
        <v>0</v>
      </c>
      <c r="FG166" s="3">
        <f t="shared" ca="1" si="312"/>
        <v>0</v>
      </c>
      <c r="FH166" s="618"/>
      <c r="FU166" s="3" t="str">
        <f t="shared" si="268"/>
        <v>표점</v>
      </c>
      <c r="FV166" s="3" t="str">
        <f t="shared" si="269"/>
        <v>표점/만점</v>
      </c>
      <c r="FW166" s="3">
        <f t="shared" si="313"/>
        <v>0.37</v>
      </c>
      <c r="FX166" s="3">
        <f t="shared" si="314"/>
        <v>0.37</v>
      </c>
      <c r="FY166" s="3">
        <f t="shared" si="315"/>
        <v>0.26</v>
      </c>
      <c r="FZ166" s="3">
        <f t="shared" si="316"/>
        <v>3.2593156982656146</v>
      </c>
    </row>
    <row r="167" spans="1:182">
      <c r="A167" s="556">
        <v>26</v>
      </c>
      <c r="C167" s="3">
        <f t="shared" si="270"/>
        <v>152</v>
      </c>
      <c r="D167" s="3">
        <v>152</v>
      </c>
      <c r="E167" s="3" t="s">
        <v>280</v>
      </c>
      <c r="F167" s="3">
        <v>400</v>
      </c>
      <c r="G167" s="3">
        <v>0.25</v>
      </c>
      <c r="H167" s="3">
        <v>0.25</v>
      </c>
      <c r="I167" s="3">
        <v>0.125</v>
      </c>
      <c r="J167" s="3">
        <v>0.125</v>
      </c>
      <c r="O167" s="3">
        <v>2</v>
      </c>
      <c r="P167" s="3">
        <f t="shared" si="271"/>
        <v>0.75</v>
      </c>
      <c r="Q167" s="3" t="s">
        <v>408</v>
      </c>
      <c r="S167" s="3" t="str">
        <f t="shared" si="272"/>
        <v/>
      </c>
      <c r="U167" s="3">
        <v>1</v>
      </c>
      <c r="W167" s="3">
        <f t="shared" si="273"/>
        <v>0</v>
      </c>
      <c r="Y167" s="3">
        <f t="shared" si="274"/>
        <v>1</v>
      </c>
      <c r="Z167" s="3">
        <f t="shared" si="275"/>
        <v>1</v>
      </c>
      <c r="AA167" s="3">
        <f t="shared" si="276"/>
        <v>0.5</v>
      </c>
      <c r="AB167" s="3" t="str">
        <f t="shared" si="277"/>
        <v>자동</v>
      </c>
      <c r="AC167" s="3">
        <f t="shared" si="278"/>
        <v>1</v>
      </c>
      <c r="AD167" s="3">
        <f t="shared" si="279"/>
        <v>1</v>
      </c>
      <c r="AE167" s="3">
        <f t="shared" si="280"/>
        <v>1</v>
      </c>
      <c r="AF167" s="3">
        <f t="shared" si="281"/>
        <v>0.5</v>
      </c>
      <c r="AG167" s="3">
        <f t="shared" si="282"/>
        <v>0.5</v>
      </c>
      <c r="AH167" s="3" t="str">
        <f t="shared" si="283"/>
        <v>자동</v>
      </c>
      <c r="AI167" s="3" t="str">
        <f t="shared" si="284"/>
        <v>자동</v>
      </c>
      <c r="AJ167" s="3" t="str">
        <f t="shared" si="285"/>
        <v>자동</v>
      </c>
      <c r="AL167" s="3" t="str">
        <f t="shared" si="286"/>
        <v/>
      </c>
      <c r="AN167" s="3" t="str">
        <f ca="1">IF($BA167=42,OFFSET(변환표준점수!C$119,$AP167-1,0),"")</f>
        <v/>
      </c>
      <c r="AO167" s="3" t="str">
        <f ca="1">IF($BA167=42,OFFSET(변환표준점수!D$119,$AP167-1,0),"")</f>
        <v/>
      </c>
      <c r="AP167" s="3" t="str">
        <f>IF(S167="","",MATCH(S167,변환표준점수!$B$119:$B$298,0))</f>
        <v/>
      </c>
      <c r="AQ167" s="3">
        <v>2</v>
      </c>
      <c r="AR167" s="3">
        <v>2</v>
      </c>
      <c r="AS167" s="3">
        <v>2</v>
      </c>
      <c r="AT167" s="3">
        <v>2</v>
      </c>
      <c r="AX167" s="3">
        <v>3</v>
      </c>
      <c r="AY167" s="3">
        <v>3</v>
      </c>
      <c r="BA167" s="3">
        <f t="shared" si="287"/>
        <v>2</v>
      </c>
      <c r="BJ167" s="3">
        <f t="shared" si="288"/>
        <v>0</v>
      </c>
      <c r="CH167" s="206">
        <f t="shared" si="289"/>
        <v>300</v>
      </c>
      <c r="CI167" s="56">
        <v>100</v>
      </c>
      <c r="CJ167" s="3">
        <v>98</v>
      </c>
      <c r="CK167" s="3">
        <v>96</v>
      </c>
      <c r="CL167" s="3">
        <v>94</v>
      </c>
      <c r="CM167" s="3">
        <v>92</v>
      </c>
      <c r="CN167" s="3">
        <v>90</v>
      </c>
      <c r="CO167" s="3">
        <v>88</v>
      </c>
      <c r="CP167" s="3">
        <v>86</v>
      </c>
      <c r="CQ167" s="3">
        <v>84</v>
      </c>
      <c r="CR167" s="56">
        <v>10</v>
      </c>
      <c r="CS167" s="3">
        <v>10</v>
      </c>
      <c r="CT167" s="3">
        <v>9</v>
      </c>
      <c r="CU167" s="3">
        <v>9</v>
      </c>
      <c r="CV167" s="3">
        <v>8</v>
      </c>
      <c r="CW167" s="3">
        <v>8</v>
      </c>
      <c r="CX167" s="3">
        <v>7</v>
      </c>
      <c r="CY167" s="3">
        <v>6</v>
      </c>
      <c r="CZ167" s="3">
        <v>5</v>
      </c>
      <c r="DJ167" s="3">
        <f t="shared" ca="1" si="290"/>
        <v>100</v>
      </c>
      <c r="DK167" s="3">
        <f t="shared" ca="1" si="291"/>
        <v>100</v>
      </c>
      <c r="DL167" s="3">
        <f t="shared" ca="1" si="292"/>
        <v>10</v>
      </c>
      <c r="DM167" s="3">
        <v>2</v>
      </c>
      <c r="DQ167" s="3">
        <v>1</v>
      </c>
      <c r="DS167" s="3">
        <v>1</v>
      </c>
      <c r="EA167" s="3">
        <f t="shared" si="293"/>
        <v>1</v>
      </c>
      <c r="EB167" s="3">
        <f t="shared" si="294"/>
        <v>2</v>
      </c>
      <c r="EC167" s="3">
        <f t="shared" si="295"/>
        <v>0</v>
      </c>
      <c r="ED167" s="3">
        <f t="shared" si="296"/>
        <v>0</v>
      </c>
      <c r="EF167" s="3">
        <f t="shared" ca="1" si="297"/>
        <v>0</v>
      </c>
      <c r="EG167" s="3">
        <f t="shared" ca="1" si="298"/>
        <v>0</v>
      </c>
      <c r="EH167" s="3">
        <f ca="1">IFERROR(IF(LEFT($BA167,1)="4",OFFSET(변환표준점수!$H$118,MATCH($S167,변환표준점수!$B$119:$B$198,0),),OFFSET(EH$3,MATCH(AS167,$ED$4:$ED$8,0),0)),0)</f>
        <v>0</v>
      </c>
      <c r="EI167" s="3">
        <f ca="1">IFERROR(IF(LEFT($BA167,1)="4",OFFSET(변환표준점수!$I$118,MATCH($S167,변환표준점수!$B$119:$B$198,0),0),OFFSET(EI$3,MATCH(AT167,$ED$4:$ED$8,0),0)),0)</f>
        <v>0</v>
      </c>
      <c r="EK167" s="3">
        <f ca="1">IFERROR(IF(LEFT($BA167,1)="4",OFFSET(변환표준점수!$J$118,MATCH($S167,변환표준점수!$B$119:$B$198,0),0),OFFSET(EJ$3,MATCH(AV167,$ED$4:$ED$8,0),0)),0)</f>
        <v>0</v>
      </c>
      <c r="EL167" s="3">
        <f ca="1">IFERROR(IF(LEFT($BA167,1)="4",OFFSET(변환표준점수!$K$118,MATCH($S167,변환표준점수!$B$119:$B$198,0),0),OFFSET(EK$3,MATCH(AW167,$ED$4:$ED$8,0),0)),0)</f>
        <v>0</v>
      </c>
      <c r="EM167" s="3" t="str">
        <f t="shared" ca="1" si="299"/>
        <v/>
      </c>
      <c r="EN167" s="3" t="str">
        <f t="shared" ca="1" si="300"/>
        <v/>
      </c>
      <c r="EO167" s="3">
        <f t="shared" ca="1" si="301"/>
        <v>0</v>
      </c>
      <c r="EQ167" s="3">
        <f t="shared" ca="1" si="302"/>
        <v>0</v>
      </c>
      <c r="ER167" s="3">
        <f t="shared" ca="1" si="303"/>
        <v>0</v>
      </c>
      <c r="ES167" s="3">
        <f t="shared" ca="1" si="304"/>
        <v>0</v>
      </c>
      <c r="ET167" s="3">
        <f t="shared" ca="1" si="305"/>
        <v>0</v>
      </c>
      <c r="EU167" s="3">
        <f t="shared" si="306"/>
        <v>0</v>
      </c>
      <c r="EV167" s="3">
        <f t="shared" ca="1" si="307"/>
        <v>0</v>
      </c>
      <c r="EW167" s="3">
        <f t="shared" ca="1" si="308"/>
        <v>0</v>
      </c>
      <c r="EX167" s="3">
        <f ca="1">LARGE((ES167:ET167,EV167:EW167),1)</f>
        <v>0</v>
      </c>
      <c r="EY167" s="3">
        <f ca="1">IF(O167&lt;2,0,LARGE((ES167:ET167,EV167:EW167),2))</f>
        <v>0</v>
      </c>
      <c r="EZ167" s="3">
        <f t="shared" ca="1" si="309"/>
        <v>0</v>
      </c>
      <c r="FA167" s="3">
        <f t="shared" ca="1" si="310"/>
        <v>0</v>
      </c>
      <c r="FB167" s="3">
        <f t="shared" ca="1" si="311"/>
        <v>0</v>
      </c>
      <c r="FC167" s="3">
        <v>600</v>
      </c>
      <c r="FG167" s="3">
        <f t="shared" ca="1" si="312"/>
        <v>600</v>
      </c>
      <c r="FH167" s="618"/>
      <c r="FU167" s="3" t="str">
        <f t="shared" si="268"/>
        <v>백분위</v>
      </c>
      <c r="FV167" s="3" t="str">
        <f t="shared" si="269"/>
        <v>백분위</v>
      </c>
      <c r="FW167" s="3">
        <f t="shared" si="313"/>
        <v>0.33</v>
      </c>
      <c r="FX167" s="3">
        <f t="shared" si="314"/>
        <v>0.33</v>
      </c>
      <c r="FY167" s="3">
        <f t="shared" si="315"/>
        <v>0.33</v>
      </c>
      <c r="FZ167" s="3">
        <f t="shared" si="316"/>
        <v>3</v>
      </c>
    </row>
    <row r="168" spans="1:182">
      <c r="A168" s="556">
        <v>26</v>
      </c>
      <c r="C168" s="3">
        <f t="shared" si="270"/>
        <v>153</v>
      </c>
      <c r="D168" s="3">
        <v>153</v>
      </c>
      <c r="E168" s="3" t="s">
        <v>284</v>
      </c>
      <c r="F168" s="3">
        <v>400</v>
      </c>
      <c r="G168" s="3">
        <v>0.25</v>
      </c>
      <c r="H168" s="3">
        <v>0.25</v>
      </c>
      <c r="L168" s="3">
        <v>0.125</v>
      </c>
      <c r="M168" s="3">
        <v>0.125</v>
      </c>
      <c r="O168" s="3">
        <v>2</v>
      </c>
      <c r="P168" s="3">
        <f t="shared" si="271"/>
        <v>0.75</v>
      </c>
      <c r="Q168" s="3" t="s">
        <v>408</v>
      </c>
      <c r="S168" s="3" t="str">
        <f t="shared" si="272"/>
        <v/>
      </c>
      <c r="U168" s="3">
        <v>1</v>
      </c>
      <c r="W168" s="3">
        <f t="shared" si="273"/>
        <v>0</v>
      </c>
      <c r="Y168" s="3">
        <f t="shared" si="274"/>
        <v>1</v>
      </c>
      <c r="Z168" s="3">
        <f t="shared" si="275"/>
        <v>1</v>
      </c>
      <c r="AA168" s="3" t="str">
        <f t="shared" si="276"/>
        <v>자동</v>
      </c>
      <c r="AB168" s="3">
        <f t="shared" si="277"/>
        <v>0.5</v>
      </c>
      <c r="AC168" s="3">
        <f t="shared" si="278"/>
        <v>0.5</v>
      </c>
      <c r="AD168" s="3">
        <f t="shared" si="279"/>
        <v>1</v>
      </c>
      <c r="AE168" s="3">
        <f t="shared" si="280"/>
        <v>1</v>
      </c>
      <c r="AF168" s="3" t="str">
        <f t="shared" si="281"/>
        <v>자동</v>
      </c>
      <c r="AG168" s="3" t="str">
        <f t="shared" si="282"/>
        <v>자동</v>
      </c>
      <c r="AH168" s="3" t="str">
        <f t="shared" si="283"/>
        <v>자동</v>
      </c>
      <c r="AI168" s="3">
        <f t="shared" si="284"/>
        <v>0.5</v>
      </c>
      <c r="AJ168" s="3">
        <f t="shared" si="285"/>
        <v>0.5</v>
      </c>
      <c r="AL168" s="3" t="str">
        <f t="shared" si="286"/>
        <v/>
      </c>
      <c r="AN168" s="3" t="str">
        <f ca="1">IF($BA168=42,OFFSET(변환표준점수!C$119,$AP168-1,0),"")</f>
        <v/>
      </c>
      <c r="AO168" s="3" t="str">
        <f ca="1">IF($BA168=42,OFFSET(변환표준점수!D$119,$AP168-1,0),"")</f>
        <v/>
      </c>
      <c r="AP168" s="3" t="str">
        <f>IF(S168="","",MATCH(S168,변환표준점수!$B$119:$B$298,0))</f>
        <v/>
      </c>
      <c r="AQ168" s="3">
        <v>2</v>
      </c>
      <c r="AR168" s="3">
        <v>2</v>
      </c>
      <c r="AV168" s="3">
        <v>2</v>
      </c>
      <c r="AW168" s="3">
        <v>2</v>
      </c>
      <c r="AX168" s="3">
        <v>3</v>
      </c>
      <c r="AY168" s="3">
        <v>3</v>
      </c>
      <c r="BA168" s="3">
        <f t="shared" si="287"/>
        <v>2</v>
      </c>
      <c r="BJ168" s="3">
        <f t="shared" si="288"/>
        <v>0</v>
      </c>
      <c r="CH168" s="206">
        <f t="shared" si="289"/>
        <v>300</v>
      </c>
      <c r="CI168" s="56">
        <v>100</v>
      </c>
      <c r="CJ168" s="3">
        <v>98</v>
      </c>
      <c r="CK168" s="3">
        <v>96</v>
      </c>
      <c r="CL168" s="3">
        <v>94</v>
      </c>
      <c r="CM168" s="3">
        <v>92</v>
      </c>
      <c r="CN168" s="3">
        <v>90</v>
      </c>
      <c r="CO168" s="3">
        <v>88</v>
      </c>
      <c r="CP168" s="3">
        <v>86</v>
      </c>
      <c r="CQ168" s="3">
        <v>84</v>
      </c>
      <c r="CR168" s="56">
        <v>10</v>
      </c>
      <c r="CS168" s="3">
        <v>10</v>
      </c>
      <c r="CT168" s="3">
        <v>9</v>
      </c>
      <c r="CU168" s="3">
        <v>9</v>
      </c>
      <c r="CV168" s="3">
        <v>8</v>
      </c>
      <c r="CW168" s="3">
        <v>8</v>
      </c>
      <c r="CX168" s="3">
        <v>7</v>
      </c>
      <c r="CY168" s="3">
        <v>6</v>
      </c>
      <c r="CZ168" s="3">
        <v>5</v>
      </c>
      <c r="DJ168" s="3">
        <f t="shared" ca="1" si="290"/>
        <v>100</v>
      </c>
      <c r="DK168" s="3">
        <f t="shared" ca="1" si="291"/>
        <v>100</v>
      </c>
      <c r="DL168" s="3">
        <f t="shared" ca="1" si="292"/>
        <v>10</v>
      </c>
      <c r="DN168" s="3">
        <v>2</v>
      </c>
      <c r="DR168" s="3">
        <v>1</v>
      </c>
      <c r="DU168" s="3">
        <v>1</v>
      </c>
      <c r="EA168" s="3">
        <f t="shared" si="293"/>
        <v>2</v>
      </c>
      <c r="EB168" s="3">
        <f t="shared" si="294"/>
        <v>2</v>
      </c>
      <c r="EC168" s="3">
        <f t="shared" si="295"/>
        <v>0</v>
      </c>
      <c r="ED168" s="3">
        <f t="shared" si="296"/>
        <v>0</v>
      </c>
      <c r="EF168" s="3">
        <f t="shared" ca="1" si="297"/>
        <v>0</v>
      </c>
      <c r="EG168" s="3">
        <f t="shared" ca="1" si="298"/>
        <v>0</v>
      </c>
      <c r="EH168" s="3">
        <f ca="1">IFERROR(IF(LEFT($BA168,1)="4",OFFSET(변환표준점수!$H$118,MATCH($S168,변환표준점수!$B$119:$B$198,0),),OFFSET(EH$3,MATCH(AS168,$ED$4:$ED$8,0),0)),0)</f>
        <v>0</v>
      </c>
      <c r="EI168" s="3">
        <f ca="1">IFERROR(IF(LEFT($BA168,1)="4",OFFSET(변환표준점수!$I$118,MATCH($S168,변환표준점수!$B$119:$B$198,0),0),OFFSET(EI$3,MATCH(AT168,$ED$4:$ED$8,0),0)),0)</f>
        <v>0</v>
      </c>
      <c r="EK168" s="3">
        <f ca="1">IFERROR(IF(LEFT($BA168,1)="4",OFFSET(변환표준점수!$J$118,MATCH($S168,변환표준점수!$B$119:$B$198,0),0),OFFSET(EJ$3,MATCH(AV168,$ED$4:$ED$8,0),0)),0)</f>
        <v>0</v>
      </c>
      <c r="EL168" s="3">
        <f ca="1">IFERROR(IF(LEFT($BA168,1)="4",OFFSET(변환표준점수!$K$118,MATCH($S168,변환표준점수!$B$119:$B$198,0),0),OFFSET(EK$3,MATCH(AW168,$ED$4:$ED$8,0),0)),0)</f>
        <v>0</v>
      </c>
      <c r="EM168" s="3" t="str">
        <f t="shared" ca="1" si="299"/>
        <v/>
      </c>
      <c r="EN168" s="3" t="str">
        <f t="shared" ca="1" si="300"/>
        <v/>
      </c>
      <c r="EO168" s="3">
        <f t="shared" ca="1" si="301"/>
        <v>0</v>
      </c>
      <c r="EQ168" s="3">
        <f t="shared" ca="1" si="302"/>
        <v>0</v>
      </c>
      <c r="ER168" s="3">
        <f t="shared" ca="1" si="303"/>
        <v>0</v>
      </c>
      <c r="ES168" s="3">
        <f t="shared" ca="1" si="304"/>
        <v>0</v>
      </c>
      <c r="ET168" s="3">
        <f t="shared" ca="1" si="305"/>
        <v>0</v>
      </c>
      <c r="EU168" s="3">
        <f t="shared" si="306"/>
        <v>0</v>
      </c>
      <c r="EV168" s="3">
        <f t="shared" ca="1" si="307"/>
        <v>0</v>
      </c>
      <c r="EW168" s="3">
        <f t="shared" ca="1" si="308"/>
        <v>0</v>
      </c>
      <c r="EX168" s="3">
        <f ca="1">LARGE((ES168:ET168,EV168:EW168),1)</f>
        <v>0</v>
      </c>
      <c r="EY168" s="3">
        <f ca="1">IF(O168&lt;2,0,LARGE((ES168:ET168,EV168:EW168),2))</f>
        <v>0</v>
      </c>
      <c r="EZ168" s="3">
        <f t="shared" ca="1" si="309"/>
        <v>0</v>
      </c>
      <c r="FA168" s="3">
        <f t="shared" ca="1" si="310"/>
        <v>0</v>
      </c>
      <c r="FB168" s="3">
        <f t="shared" ca="1" si="311"/>
        <v>0</v>
      </c>
      <c r="FC168" s="3">
        <v>600</v>
      </c>
      <c r="FG168" s="3">
        <f t="shared" ca="1" si="312"/>
        <v>600</v>
      </c>
      <c r="FH168" s="618"/>
      <c r="FU168" s="3" t="str">
        <f t="shared" si="268"/>
        <v>백분위</v>
      </c>
      <c r="FV168" s="3" t="str">
        <f t="shared" si="269"/>
        <v>백분위</v>
      </c>
      <c r="FW168" s="3">
        <f t="shared" si="313"/>
        <v>0.4</v>
      </c>
      <c r="FX168" s="3">
        <f t="shared" si="314"/>
        <v>0.4</v>
      </c>
      <c r="FY168" s="3">
        <f t="shared" si="315"/>
        <v>0.2</v>
      </c>
      <c r="FZ168" s="3">
        <f t="shared" si="316"/>
        <v>2.5</v>
      </c>
    </row>
    <row r="169" spans="1:182">
      <c r="A169" s="556">
        <v>26</v>
      </c>
      <c r="C169" s="3">
        <f t="shared" si="270"/>
        <v>154</v>
      </c>
      <c r="D169" s="3">
        <v>154</v>
      </c>
      <c r="E169" s="3" t="s">
        <v>315</v>
      </c>
      <c r="F169" s="3">
        <v>1000</v>
      </c>
      <c r="G169" s="3">
        <v>0.25</v>
      </c>
      <c r="H169" s="3">
        <v>0.3</v>
      </c>
      <c r="I169" s="3">
        <v>0.125</v>
      </c>
      <c r="J169" s="3">
        <v>0.125</v>
      </c>
      <c r="O169" s="3">
        <v>2</v>
      </c>
      <c r="P169" s="3">
        <f t="shared" si="271"/>
        <v>0.8</v>
      </c>
      <c r="Q169" s="3" t="s">
        <v>408</v>
      </c>
      <c r="S169" s="3" t="str">
        <f t="shared" si="272"/>
        <v/>
      </c>
      <c r="U169" s="3">
        <v>1</v>
      </c>
      <c r="W169" s="3">
        <f t="shared" si="273"/>
        <v>0</v>
      </c>
      <c r="Y169" s="3">
        <f t="shared" si="274"/>
        <v>2.5</v>
      </c>
      <c r="Z169" s="3">
        <f t="shared" si="275"/>
        <v>3</v>
      </c>
      <c r="AA169" s="3">
        <f t="shared" si="276"/>
        <v>1.25</v>
      </c>
      <c r="AB169" s="3" t="str">
        <f t="shared" si="277"/>
        <v>자동</v>
      </c>
      <c r="AC169" s="3">
        <f t="shared" si="278"/>
        <v>2.5</v>
      </c>
      <c r="AD169" s="3">
        <f t="shared" si="279"/>
        <v>2.5</v>
      </c>
      <c r="AE169" s="3">
        <f t="shared" si="280"/>
        <v>3</v>
      </c>
      <c r="AF169" s="3">
        <f t="shared" si="281"/>
        <v>1.25</v>
      </c>
      <c r="AG169" s="3">
        <f t="shared" si="282"/>
        <v>1.25</v>
      </c>
      <c r="AH169" s="3" t="str">
        <f t="shared" si="283"/>
        <v>자동</v>
      </c>
      <c r="AI169" s="3" t="str">
        <f t="shared" si="284"/>
        <v>자동</v>
      </c>
      <c r="AJ169" s="3" t="str">
        <f t="shared" si="285"/>
        <v>자동</v>
      </c>
      <c r="AL169" s="3" t="str">
        <f t="shared" si="286"/>
        <v/>
      </c>
      <c r="AN169" s="3" t="str">
        <f ca="1">IF($BA169=42,OFFSET(변환표준점수!C$119,$AP169-1,0),"")</f>
        <v/>
      </c>
      <c r="AO169" s="3" t="str">
        <f ca="1">IF($BA169=42,OFFSET(변환표준점수!D$119,$AP169-1,0),"")</f>
        <v/>
      </c>
      <c r="AP169" s="3" t="str">
        <f>IF(S169="","",MATCH(S169,변환표준점수!$B$119:$B$298,0))</f>
        <v/>
      </c>
      <c r="AQ169" s="3">
        <v>2</v>
      </c>
      <c r="AR169" s="3">
        <v>2</v>
      </c>
      <c r="AS169" s="3">
        <v>2</v>
      </c>
      <c r="AT169" s="3">
        <v>2</v>
      </c>
      <c r="AX169" s="3">
        <v>3</v>
      </c>
      <c r="AY169" s="3">
        <v>3</v>
      </c>
      <c r="BA169" s="3">
        <f t="shared" si="287"/>
        <v>2</v>
      </c>
      <c r="BJ169" s="3">
        <f t="shared" si="288"/>
        <v>0</v>
      </c>
      <c r="CH169" s="206">
        <f t="shared" si="289"/>
        <v>800</v>
      </c>
      <c r="CI169" s="56">
        <v>200</v>
      </c>
      <c r="CJ169" s="3">
        <v>196</v>
      </c>
      <c r="CK169" s="3">
        <v>192</v>
      </c>
      <c r="CL169" s="3">
        <v>160</v>
      </c>
      <c r="CM169" s="3">
        <v>140</v>
      </c>
      <c r="CN169" s="3">
        <v>120</v>
      </c>
      <c r="CO169" s="3">
        <v>100</v>
      </c>
      <c r="CP169" s="3">
        <v>80</v>
      </c>
      <c r="CQ169" s="3">
        <v>0</v>
      </c>
      <c r="CR169" s="56">
        <v>10</v>
      </c>
      <c r="CS169" s="3">
        <v>10</v>
      </c>
      <c r="CT169" s="3">
        <v>10</v>
      </c>
      <c r="CU169" s="3">
        <v>10</v>
      </c>
      <c r="CV169" s="3">
        <v>9</v>
      </c>
      <c r="CW169" s="3">
        <v>8</v>
      </c>
      <c r="CX169" s="3">
        <v>7</v>
      </c>
      <c r="CY169" s="3">
        <v>6</v>
      </c>
      <c r="CZ169" s="3">
        <v>0</v>
      </c>
      <c r="DJ169" s="3">
        <f t="shared" ca="1" si="290"/>
        <v>200</v>
      </c>
      <c r="DK169" s="3">
        <f t="shared" ca="1" si="291"/>
        <v>100</v>
      </c>
      <c r="DL169" s="3">
        <f t="shared" ca="1" si="292"/>
        <v>10</v>
      </c>
      <c r="DM169" s="3">
        <v>2</v>
      </c>
      <c r="DS169" s="3">
        <v>1</v>
      </c>
      <c r="EA169" s="3">
        <f t="shared" si="293"/>
        <v>1</v>
      </c>
      <c r="EB169" s="3">
        <f t="shared" si="294"/>
        <v>2</v>
      </c>
      <c r="EC169" s="3">
        <f t="shared" si="295"/>
        <v>0</v>
      </c>
      <c r="ED169" s="3">
        <f t="shared" si="296"/>
        <v>0</v>
      </c>
      <c r="EF169" s="3">
        <f t="shared" ca="1" si="297"/>
        <v>0</v>
      </c>
      <c r="EG169" s="3">
        <f t="shared" ca="1" si="298"/>
        <v>0</v>
      </c>
      <c r="EH169" s="3">
        <f ca="1">IFERROR(IF(LEFT($BA169,1)="4",OFFSET(변환표준점수!$H$118,MATCH($S169,변환표준점수!$B$119:$B$198,0),),OFFSET(EH$3,MATCH(AS169,$ED$4:$ED$8,0),0)),0)</f>
        <v>0</v>
      </c>
      <c r="EI169" s="3">
        <f ca="1">IFERROR(IF(LEFT($BA169,1)="4",OFFSET(변환표준점수!$I$118,MATCH($S169,변환표준점수!$B$119:$B$198,0),0),OFFSET(EI$3,MATCH(AT169,$ED$4:$ED$8,0),0)),0)</f>
        <v>0</v>
      </c>
      <c r="EK169" s="3">
        <f ca="1">IFERROR(IF(LEFT($BA169,1)="4",OFFSET(변환표준점수!$J$118,MATCH($S169,변환표준점수!$B$119:$B$198,0),0),OFFSET(EJ$3,MATCH(AV169,$ED$4:$ED$8,0),0)),0)</f>
        <v>0</v>
      </c>
      <c r="EL169" s="3">
        <f ca="1">IFERROR(IF(LEFT($BA169,1)="4",OFFSET(변환표준점수!$K$118,MATCH($S169,변환표준점수!$B$119:$B$198,0),0),OFFSET(EK$3,MATCH(AW169,$ED$4:$ED$8,0),0)),0)</f>
        <v>0</v>
      </c>
      <c r="EM169" s="3" t="str">
        <f t="shared" ca="1" si="299"/>
        <v/>
      </c>
      <c r="EN169" s="3" t="str">
        <f t="shared" ca="1" si="300"/>
        <v/>
      </c>
      <c r="EO169" s="3">
        <f t="shared" ca="1" si="301"/>
        <v>0</v>
      </c>
      <c r="EQ169" s="3">
        <f t="shared" ca="1" si="302"/>
        <v>0</v>
      </c>
      <c r="ER169" s="3">
        <f t="shared" ca="1" si="303"/>
        <v>0</v>
      </c>
      <c r="ES169" s="3">
        <f t="shared" ca="1" si="304"/>
        <v>0</v>
      </c>
      <c r="ET169" s="3">
        <f t="shared" ca="1" si="305"/>
        <v>0</v>
      </c>
      <c r="EU169" s="3">
        <f t="shared" si="306"/>
        <v>0</v>
      </c>
      <c r="EV169" s="3">
        <f t="shared" ca="1" si="307"/>
        <v>0</v>
      </c>
      <c r="EW169" s="3">
        <f t="shared" ca="1" si="308"/>
        <v>0</v>
      </c>
      <c r="EX169" s="3">
        <f ca="1">LARGE((ES169:ET169,EV169:EW169),1)</f>
        <v>0</v>
      </c>
      <c r="EY169" s="3">
        <f ca="1">IF(O169&lt;2,0,LARGE((ES169:ET169,EV169:EW169),2))</f>
        <v>0</v>
      </c>
      <c r="EZ169" s="3">
        <f t="shared" ca="1" si="309"/>
        <v>0</v>
      </c>
      <c r="FA169" s="3">
        <f t="shared" ca="1" si="310"/>
        <v>0</v>
      </c>
      <c r="FB169" s="3">
        <f t="shared" ca="1" si="311"/>
        <v>0</v>
      </c>
      <c r="FG169" s="3">
        <f t="shared" ca="1" si="312"/>
        <v>0</v>
      </c>
      <c r="FH169" s="618"/>
      <c r="FU169" s="3" t="str">
        <f t="shared" si="268"/>
        <v>백분위</v>
      </c>
      <c r="FV169" s="3" t="str">
        <f t="shared" si="269"/>
        <v>백분위</v>
      </c>
      <c r="FW169" s="3">
        <f t="shared" si="313"/>
        <v>0.31</v>
      </c>
      <c r="FX169" s="3">
        <f t="shared" si="314"/>
        <v>0.38</v>
      </c>
      <c r="FY169" s="3">
        <f t="shared" si="315"/>
        <v>0.31</v>
      </c>
      <c r="FZ169" s="3">
        <f t="shared" si="316"/>
        <v>8</v>
      </c>
    </row>
    <row r="170" spans="1:182">
      <c r="A170" s="556">
        <v>26</v>
      </c>
      <c r="C170" s="3">
        <f t="shared" si="270"/>
        <v>155</v>
      </c>
      <c r="D170" s="3">
        <v>155</v>
      </c>
      <c r="E170" s="3" t="s">
        <v>286</v>
      </c>
      <c r="F170" s="3">
        <v>1000</v>
      </c>
      <c r="G170" s="3">
        <v>0.25</v>
      </c>
      <c r="H170" s="3">
        <v>0.35</v>
      </c>
      <c r="I170" s="3">
        <v>0.1</v>
      </c>
      <c r="J170" s="3">
        <v>0.1</v>
      </c>
      <c r="O170" s="3">
        <v>2</v>
      </c>
      <c r="P170" s="3">
        <f t="shared" si="271"/>
        <v>0.8</v>
      </c>
      <c r="Q170" s="3" t="s">
        <v>408</v>
      </c>
      <c r="S170" s="3" t="str">
        <f t="shared" si="272"/>
        <v/>
      </c>
      <c r="U170" s="3">
        <v>1</v>
      </c>
      <c r="W170" s="3">
        <f t="shared" si="273"/>
        <v>0</v>
      </c>
      <c r="Y170" s="3">
        <f t="shared" si="274"/>
        <v>2.5</v>
      </c>
      <c r="Z170" s="3">
        <f t="shared" si="275"/>
        <v>3.5</v>
      </c>
      <c r="AA170" s="3">
        <f t="shared" si="276"/>
        <v>1</v>
      </c>
      <c r="AB170" s="3" t="str">
        <f t="shared" si="277"/>
        <v>자동</v>
      </c>
      <c r="AC170" s="3">
        <f t="shared" si="278"/>
        <v>2</v>
      </c>
      <c r="AD170" s="3">
        <f t="shared" si="279"/>
        <v>2.5</v>
      </c>
      <c r="AE170" s="3">
        <f t="shared" si="280"/>
        <v>3.5</v>
      </c>
      <c r="AF170" s="3">
        <f t="shared" si="281"/>
        <v>1</v>
      </c>
      <c r="AG170" s="3">
        <f t="shared" si="282"/>
        <v>1</v>
      </c>
      <c r="AH170" s="3">
        <f t="shared" si="283"/>
        <v>0</v>
      </c>
      <c r="AI170" s="3" t="str">
        <f t="shared" si="284"/>
        <v>자동</v>
      </c>
      <c r="AJ170" s="3" t="str">
        <f t="shared" si="285"/>
        <v>자동</v>
      </c>
      <c r="AL170" s="3" t="str">
        <f t="shared" si="286"/>
        <v/>
      </c>
      <c r="AN170" s="3" t="str">
        <f ca="1">IF($BA170=42,OFFSET(변환표준점수!C$119,$AP170-1,0),"")</f>
        <v/>
      </c>
      <c r="AO170" s="3" t="str">
        <f ca="1">IF($BA170=42,OFFSET(변환표준점수!D$119,$AP170-1,0),"")</f>
        <v/>
      </c>
      <c r="AP170" s="3" t="str">
        <f>IF(S170="","",MATCH(S170,변환표준점수!$B$119:$B$298,0))</f>
        <v/>
      </c>
      <c r="AQ170" s="3">
        <v>2</v>
      </c>
      <c r="AR170" s="3">
        <v>2</v>
      </c>
      <c r="AS170" s="3">
        <v>2</v>
      </c>
      <c r="AT170" s="3">
        <v>2</v>
      </c>
      <c r="AU170" s="3">
        <v>2</v>
      </c>
      <c r="AX170" s="3">
        <v>3</v>
      </c>
      <c r="AY170" s="3">
        <v>3</v>
      </c>
      <c r="BA170" s="3">
        <f t="shared" si="287"/>
        <v>2</v>
      </c>
      <c r="BH170" s="3">
        <f>0.05*AF170</f>
        <v>0.05</v>
      </c>
      <c r="BJ170" s="3">
        <f t="shared" si="288"/>
        <v>0</v>
      </c>
      <c r="BU170" s="3">
        <f ca="1">IF(RIGHT($I$13,2)="II",EH170*BH170,0)+IF(RIGHT($J$13,2)="II",EI170*BH170,0)</f>
        <v>0</v>
      </c>
      <c r="CH170" s="206">
        <f t="shared" si="289"/>
        <v>800</v>
      </c>
      <c r="CI170" s="56">
        <v>200</v>
      </c>
      <c r="CJ170" s="3">
        <v>190</v>
      </c>
      <c r="CK170" s="3">
        <v>180</v>
      </c>
      <c r="CL170" s="3">
        <v>170</v>
      </c>
      <c r="CM170" s="3">
        <v>160</v>
      </c>
      <c r="CN170" s="3">
        <v>150</v>
      </c>
      <c r="CO170" s="3">
        <v>140</v>
      </c>
      <c r="CP170" s="3">
        <v>130</v>
      </c>
      <c r="CQ170" s="3">
        <v>120</v>
      </c>
      <c r="CR170" s="56">
        <v>10</v>
      </c>
      <c r="CS170" s="3">
        <v>10</v>
      </c>
      <c r="CT170" s="3">
        <v>10</v>
      </c>
      <c r="CU170" s="3">
        <v>9</v>
      </c>
      <c r="CV170" s="3">
        <v>9</v>
      </c>
      <c r="CW170" s="3">
        <v>9</v>
      </c>
      <c r="CX170" s="3">
        <v>9</v>
      </c>
      <c r="CY170" s="3">
        <v>9</v>
      </c>
      <c r="CZ170" s="3">
        <v>9</v>
      </c>
      <c r="DJ170" s="3">
        <f t="shared" ca="1" si="290"/>
        <v>200</v>
      </c>
      <c r="DK170" s="3">
        <f t="shared" ca="1" si="291"/>
        <v>100</v>
      </c>
      <c r="DL170" s="3">
        <f t="shared" ca="1" si="292"/>
        <v>10</v>
      </c>
      <c r="DM170" s="3">
        <v>2</v>
      </c>
      <c r="DQ170" s="3">
        <v>1</v>
      </c>
      <c r="DS170" s="3">
        <v>1</v>
      </c>
      <c r="EA170" s="3">
        <f t="shared" si="293"/>
        <v>1</v>
      </c>
      <c r="EB170" s="3">
        <f t="shared" si="294"/>
        <v>2</v>
      </c>
      <c r="EC170" s="3">
        <f t="shared" si="295"/>
        <v>0</v>
      </c>
      <c r="ED170" s="3">
        <f t="shared" si="296"/>
        <v>0</v>
      </c>
      <c r="EF170" s="3">
        <f t="shared" ca="1" si="297"/>
        <v>0</v>
      </c>
      <c r="EG170" s="3">
        <f t="shared" ca="1" si="298"/>
        <v>0</v>
      </c>
      <c r="EH170" s="3">
        <f ca="1">IFERROR(IF(LEFT($BA170,1)="4",OFFSET(변환표준점수!$H$118,MATCH($S170,변환표준점수!$B$119:$B$198,0),),OFFSET(EH$3,MATCH(AS170,$ED$4:$ED$8,0),0)),0)</f>
        <v>0</v>
      </c>
      <c r="EI170" s="3">
        <f ca="1">IFERROR(IF(LEFT($BA170,1)="4",OFFSET(변환표준점수!$I$118,MATCH($S170,변환표준점수!$B$119:$B$198,0),0),OFFSET(EI$3,MATCH(AT170,$ED$4:$ED$8,0),0)),0)</f>
        <v>0</v>
      </c>
      <c r="EK170" s="3">
        <f ca="1">IFERROR(IF(LEFT($BA170,1)="4",OFFSET(변환표준점수!$J$118,MATCH($S170,변환표준점수!$B$119:$B$198,0),0),OFFSET(EJ$3,MATCH(AV170,$ED$4:$ED$8,0),0)),0)</f>
        <v>0</v>
      </c>
      <c r="EL170" s="3">
        <f ca="1">IFERROR(IF(LEFT($BA170,1)="4",OFFSET(변환표준점수!$K$118,MATCH($S170,변환표준점수!$B$119:$B$198,0),0),OFFSET(EK$3,MATCH(AW170,$ED$4:$ED$8,0),0)),0)</f>
        <v>0</v>
      </c>
      <c r="EM170" s="3" t="str">
        <f t="shared" ca="1" si="299"/>
        <v/>
      </c>
      <c r="EN170" s="3" t="str">
        <f t="shared" ca="1" si="300"/>
        <v/>
      </c>
      <c r="EO170" s="3">
        <f t="shared" ca="1" si="301"/>
        <v>0</v>
      </c>
      <c r="EQ170" s="3">
        <f t="shared" ca="1" si="302"/>
        <v>0</v>
      </c>
      <c r="ER170" s="3">
        <f t="shared" ca="1" si="303"/>
        <v>0</v>
      </c>
      <c r="ES170" s="3">
        <f t="shared" ca="1" si="304"/>
        <v>0</v>
      </c>
      <c r="ET170" s="3">
        <f t="shared" ca="1" si="305"/>
        <v>0</v>
      </c>
      <c r="EU170" s="3">
        <f t="shared" ca="1" si="306"/>
        <v>0</v>
      </c>
      <c r="EV170" s="3">
        <f t="shared" ca="1" si="307"/>
        <v>0</v>
      </c>
      <c r="EW170" s="3">
        <f t="shared" ca="1" si="308"/>
        <v>0</v>
      </c>
      <c r="EX170" s="3">
        <f ca="1">LARGE((ES170:ET170,EV170:EW170),1)</f>
        <v>0</v>
      </c>
      <c r="EY170" s="3">
        <f ca="1">IF(O170&lt;2,0,LARGE((ES170:ET170,EV170:EW170),2))</f>
        <v>0</v>
      </c>
      <c r="EZ170" s="3">
        <f t="shared" ca="1" si="309"/>
        <v>0</v>
      </c>
      <c r="FA170" s="3">
        <f t="shared" ca="1" si="310"/>
        <v>0</v>
      </c>
      <c r="FB170" s="3">
        <f t="shared" ca="1" si="311"/>
        <v>0</v>
      </c>
      <c r="FG170" s="3">
        <f t="shared" ca="1" si="312"/>
        <v>0</v>
      </c>
      <c r="FH170" s="618"/>
      <c r="FU170" s="3" t="str">
        <f t="shared" si="268"/>
        <v>백분위</v>
      </c>
      <c r="FV170" s="3" t="str">
        <f t="shared" si="269"/>
        <v>백분위</v>
      </c>
      <c r="FW170" s="3">
        <f t="shared" si="313"/>
        <v>0.31</v>
      </c>
      <c r="FX170" s="3">
        <f t="shared" si="314"/>
        <v>0.44</v>
      </c>
      <c r="FY170" s="3">
        <f t="shared" si="315"/>
        <v>0.25</v>
      </c>
      <c r="FZ170" s="3">
        <f t="shared" si="316"/>
        <v>8</v>
      </c>
    </row>
    <row r="171" spans="1:182">
      <c r="A171" s="556">
        <v>26</v>
      </c>
      <c r="C171" s="3">
        <f t="shared" si="270"/>
        <v>156</v>
      </c>
      <c r="D171" s="3">
        <v>156</v>
      </c>
      <c r="E171" s="3" t="s">
        <v>291</v>
      </c>
      <c r="F171" s="3">
        <v>1000</v>
      </c>
      <c r="G171" s="3">
        <v>0.25</v>
      </c>
      <c r="H171" s="3">
        <v>0.35</v>
      </c>
      <c r="I171" s="3">
        <v>0.1</v>
      </c>
      <c r="J171" s="3">
        <v>0.1</v>
      </c>
      <c r="O171" s="3">
        <v>2</v>
      </c>
      <c r="P171" s="3">
        <f t="shared" si="271"/>
        <v>0.8</v>
      </c>
      <c r="Q171" s="3" t="s">
        <v>408</v>
      </c>
      <c r="S171" s="3" t="str">
        <f t="shared" si="272"/>
        <v/>
      </c>
      <c r="U171" s="3">
        <v>1</v>
      </c>
      <c r="W171" s="3">
        <f t="shared" si="273"/>
        <v>0</v>
      </c>
      <c r="Y171" s="3">
        <f t="shared" si="274"/>
        <v>2.5</v>
      </c>
      <c r="Z171" s="3">
        <f t="shared" si="275"/>
        <v>3.5</v>
      </c>
      <c r="AA171" s="3">
        <f t="shared" si="276"/>
        <v>1</v>
      </c>
      <c r="AB171" s="3" t="str">
        <f t="shared" si="277"/>
        <v>자동</v>
      </c>
      <c r="AC171" s="3">
        <f t="shared" si="278"/>
        <v>2</v>
      </c>
      <c r="AD171" s="3">
        <f t="shared" si="279"/>
        <v>2.5</v>
      </c>
      <c r="AE171" s="3">
        <f t="shared" si="280"/>
        <v>3.5</v>
      </c>
      <c r="AF171" s="3">
        <f t="shared" si="281"/>
        <v>1</v>
      </c>
      <c r="AG171" s="3">
        <f t="shared" si="282"/>
        <v>1</v>
      </c>
      <c r="AH171" s="3" t="str">
        <f t="shared" si="283"/>
        <v>자동</v>
      </c>
      <c r="AI171" s="3" t="str">
        <f t="shared" si="284"/>
        <v>자동</v>
      </c>
      <c r="AJ171" s="3" t="str">
        <f t="shared" si="285"/>
        <v>자동</v>
      </c>
      <c r="AL171" s="3" t="str">
        <f t="shared" si="286"/>
        <v/>
      </c>
      <c r="AN171" s="3" t="str">
        <f ca="1">IF($BA171=42,OFFSET(변환표준점수!C$119,$AP171-1,0),"")</f>
        <v/>
      </c>
      <c r="AO171" s="3" t="str">
        <f ca="1">IF($BA171=42,OFFSET(변환표준점수!D$119,$AP171-1,0),"")</f>
        <v/>
      </c>
      <c r="AP171" s="3" t="str">
        <f>IF(S171="","",MATCH(S171,변환표준점수!$B$119:$B$298,0))</f>
        <v/>
      </c>
      <c r="AQ171" s="3">
        <v>2</v>
      </c>
      <c r="AR171" s="3">
        <v>2</v>
      </c>
      <c r="AS171" s="3">
        <v>2</v>
      </c>
      <c r="AT171" s="3">
        <v>2</v>
      </c>
      <c r="AX171" s="3">
        <v>3</v>
      </c>
      <c r="AY171" s="3">
        <v>3</v>
      </c>
      <c r="BA171" s="3">
        <f t="shared" si="287"/>
        <v>2</v>
      </c>
      <c r="BJ171" s="3">
        <f t="shared" si="288"/>
        <v>0</v>
      </c>
      <c r="CH171" s="206">
        <f t="shared" si="289"/>
        <v>800</v>
      </c>
      <c r="CI171" s="56">
        <v>200</v>
      </c>
      <c r="CJ171" s="3">
        <v>190</v>
      </c>
      <c r="CK171" s="3">
        <v>180</v>
      </c>
      <c r="CL171" s="3">
        <v>170</v>
      </c>
      <c r="CM171" s="3">
        <v>160</v>
      </c>
      <c r="CN171" s="3">
        <v>150</v>
      </c>
      <c r="CO171" s="3">
        <v>140</v>
      </c>
      <c r="CP171" s="3">
        <v>130</v>
      </c>
      <c r="CQ171" s="3">
        <v>120</v>
      </c>
      <c r="CR171" s="56">
        <v>10</v>
      </c>
      <c r="CS171" s="3">
        <v>10</v>
      </c>
      <c r="CT171" s="3">
        <v>10</v>
      </c>
      <c r="CU171" s="3">
        <v>9</v>
      </c>
      <c r="CV171" s="3">
        <v>9</v>
      </c>
      <c r="CW171" s="3">
        <v>9</v>
      </c>
      <c r="CX171" s="3">
        <v>9</v>
      </c>
      <c r="CY171" s="3">
        <v>9</v>
      </c>
      <c r="CZ171" s="3">
        <v>9</v>
      </c>
      <c r="DJ171" s="3">
        <f t="shared" ca="1" si="290"/>
        <v>200</v>
      </c>
      <c r="DK171" s="3">
        <f t="shared" ca="1" si="291"/>
        <v>100</v>
      </c>
      <c r="DL171" s="3">
        <f t="shared" ca="1" si="292"/>
        <v>10</v>
      </c>
      <c r="DM171" s="3">
        <v>2</v>
      </c>
      <c r="DQ171" s="3">
        <v>1</v>
      </c>
      <c r="DS171" s="3">
        <v>1</v>
      </c>
      <c r="EA171" s="3">
        <f t="shared" si="293"/>
        <v>1</v>
      </c>
      <c r="EB171" s="3">
        <f t="shared" si="294"/>
        <v>2</v>
      </c>
      <c r="EC171" s="3">
        <f t="shared" si="295"/>
        <v>0</v>
      </c>
      <c r="ED171" s="3">
        <f t="shared" si="296"/>
        <v>0</v>
      </c>
      <c r="EF171" s="3">
        <f t="shared" ca="1" si="297"/>
        <v>0</v>
      </c>
      <c r="EG171" s="3">
        <f t="shared" ca="1" si="298"/>
        <v>0</v>
      </c>
      <c r="EH171" s="3">
        <f ca="1">IFERROR(IF(LEFT($BA171,1)="4",OFFSET(변환표준점수!$H$118,MATCH($S171,변환표준점수!$B$119:$B$198,0),),OFFSET(EH$3,MATCH(AS171,$ED$4:$ED$8,0),0)),0)</f>
        <v>0</v>
      </c>
      <c r="EI171" s="3">
        <f ca="1">IFERROR(IF(LEFT($BA171,1)="4",OFFSET(변환표준점수!$I$118,MATCH($S171,변환표준점수!$B$119:$B$198,0),0),OFFSET(EI$3,MATCH(AT171,$ED$4:$ED$8,0),0)),0)</f>
        <v>0</v>
      </c>
      <c r="EK171" s="3">
        <f ca="1">IFERROR(IF(LEFT($BA171,1)="4",OFFSET(변환표준점수!$J$118,MATCH($S171,변환표준점수!$B$119:$B$198,0),0),OFFSET(EJ$3,MATCH(AV171,$ED$4:$ED$8,0),0)),0)</f>
        <v>0</v>
      </c>
      <c r="EL171" s="3">
        <f ca="1">IFERROR(IF(LEFT($BA171,1)="4",OFFSET(변환표준점수!$K$118,MATCH($S171,변환표준점수!$B$119:$B$198,0),0),OFFSET(EK$3,MATCH(AW171,$ED$4:$ED$8,0),0)),0)</f>
        <v>0</v>
      </c>
      <c r="EM171" s="3" t="str">
        <f t="shared" ca="1" si="299"/>
        <v/>
      </c>
      <c r="EN171" s="3" t="str">
        <f t="shared" ca="1" si="300"/>
        <v/>
      </c>
      <c r="EO171" s="3">
        <f t="shared" ca="1" si="301"/>
        <v>0</v>
      </c>
      <c r="EQ171" s="3">
        <f t="shared" ca="1" si="302"/>
        <v>0</v>
      </c>
      <c r="ER171" s="3">
        <f t="shared" ca="1" si="303"/>
        <v>0</v>
      </c>
      <c r="ES171" s="3">
        <f t="shared" ca="1" si="304"/>
        <v>0</v>
      </c>
      <c r="ET171" s="3">
        <f t="shared" ca="1" si="305"/>
        <v>0</v>
      </c>
      <c r="EU171" s="3">
        <f t="shared" si="306"/>
        <v>0</v>
      </c>
      <c r="EV171" s="3">
        <f t="shared" ca="1" si="307"/>
        <v>0</v>
      </c>
      <c r="EW171" s="3">
        <f t="shared" ca="1" si="308"/>
        <v>0</v>
      </c>
      <c r="EX171" s="3">
        <f ca="1">LARGE((ES171:ET171,EV171:EW171),1)</f>
        <v>0</v>
      </c>
      <c r="EY171" s="3">
        <f ca="1">IF(O171&lt;2,0,LARGE((ES171:ET171,EV171:EW171),2))</f>
        <v>0</v>
      </c>
      <c r="EZ171" s="3">
        <f t="shared" ca="1" si="309"/>
        <v>0</v>
      </c>
      <c r="FA171" s="3">
        <f t="shared" ca="1" si="310"/>
        <v>0</v>
      </c>
      <c r="FB171" s="3">
        <f t="shared" ca="1" si="311"/>
        <v>0</v>
      </c>
      <c r="FG171" s="3">
        <f t="shared" ca="1" si="312"/>
        <v>0</v>
      </c>
      <c r="FH171" s="618"/>
      <c r="FU171" s="3" t="str">
        <f t="shared" si="268"/>
        <v>백분위</v>
      </c>
      <c r="FV171" s="3" t="str">
        <f t="shared" si="269"/>
        <v>백분위</v>
      </c>
      <c r="FW171" s="3">
        <f t="shared" si="313"/>
        <v>0.31</v>
      </c>
      <c r="FX171" s="3">
        <f t="shared" si="314"/>
        <v>0.44</v>
      </c>
      <c r="FY171" s="3">
        <f t="shared" si="315"/>
        <v>0.25</v>
      </c>
      <c r="FZ171" s="3">
        <f t="shared" si="316"/>
        <v>8</v>
      </c>
    </row>
    <row r="172" spans="1:182">
      <c r="A172" s="556">
        <v>26</v>
      </c>
      <c r="C172" s="3">
        <f t="shared" si="270"/>
        <v>157</v>
      </c>
      <c r="D172" s="3">
        <v>157</v>
      </c>
      <c r="E172" s="3" t="s">
        <v>293</v>
      </c>
      <c r="F172" s="3">
        <v>1000</v>
      </c>
      <c r="G172" s="3">
        <v>0.25</v>
      </c>
      <c r="H172" s="3">
        <v>0.35</v>
      </c>
      <c r="I172" s="3">
        <v>0.1</v>
      </c>
      <c r="J172" s="3">
        <v>0.1</v>
      </c>
      <c r="L172" s="3">
        <v>0.1</v>
      </c>
      <c r="M172" s="3">
        <v>0.1</v>
      </c>
      <c r="O172" s="3">
        <v>2</v>
      </c>
      <c r="P172" s="3">
        <f t="shared" si="271"/>
        <v>0.8</v>
      </c>
      <c r="Q172" s="3" t="s">
        <v>408</v>
      </c>
      <c r="S172" s="3" t="str">
        <f t="shared" si="272"/>
        <v/>
      </c>
      <c r="U172" s="3">
        <v>1</v>
      </c>
      <c r="W172" s="3">
        <f t="shared" si="273"/>
        <v>0</v>
      </c>
      <c r="Y172" s="3">
        <f t="shared" si="274"/>
        <v>2.5</v>
      </c>
      <c r="Z172" s="3">
        <f t="shared" si="275"/>
        <v>3.5</v>
      </c>
      <c r="AA172" s="3">
        <f t="shared" si="276"/>
        <v>1</v>
      </c>
      <c r="AB172" s="3">
        <f t="shared" si="277"/>
        <v>1</v>
      </c>
      <c r="AC172" s="3">
        <f t="shared" si="278"/>
        <v>2</v>
      </c>
      <c r="AD172" s="3">
        <f t="shared" si="279"/>
        <v>2.5</v>
      </c>
      <c r="AE172" s="3">
        <f t="shared" si="280"/>
        <v>3.5</v>
      </c>
      <c r="AF172" s="3">
        <f t="shared" si="281"/>
        <v>1</v>
      </c>
      <c r="AG172" s="3">
        <f t="shared" si="282"/>
        <v>1</v>
      </c>
      <c r="AH172" s="3" t="str">
        <f t="shared" si="283"/>
        <v>자동</v>
      </c>
      <c r="AI172" s="3">
        <f t="shared" si="284"/>
        <v>1</v>
      </c>
      <c r="AJ172" s="3">
        <f t="shared" si="285"/>
        <v>1</v>
      </c>
      <c r="AL172" s="3" t="str">
        <f t="shared" si="286"/>
        <v/>
      </c>
      <c r="AN172" s="3" t="str">
        <f ca="1">IF($BA172=42,OFFSET(변환표준점수!C$119,$AP172-1,0),"")</f>
        <v/>
      </c>
      <c r="AO172" s="3" t="str">
        <f ca="1">IF($BA172=42,OFFSET(변환표준점수!D$119,$AP172-1,0),"")</f>
        <v/>
      </c>
      <c r="AP172" s="3" t="str">
        <f>IF(S172="","",MATCH(S172,변환표준점수!$B$119:$B$298,0))</f>
        <v/>
      </c>
      <c r="AQ172" s="3">
        <v>2</v>
      </c>
      <c r="AR172" s="3">
        <v>2</v>
      </c>
      <c r="AS172" s="3">
        <v>2</v>
      </c>
      <c r="AT172" s="3">
        <v>2</v>
      </c>
      <c r="AV172" s="3">
        <v>2</v>
      </c>
      <c r="AW172" s="3">
        <v>2</v>
      </c>
      <c r="AX172" s="3">
        <v>3</v>
      </c>
      <c r="AY172" s="3">
        <v>3</v>
      </c>
      <c r="BA172" s="3">
        <f t="shared" si="287"/>
        <v>2</v>
      </c>
      <c r="BJ172" s="3">
        <f t="shared" si="288"/>
        <v>0</v>
      </c>
      <c r="CH172" s="206">
        <f t="shared" si="289"/>
        <v>800</v>
      </c>
      <c r="CI172" s="56">
        <v>200</v>
      </c>
      <c r="CJ172" s="3">
        <v>190</v>
      </c>
      <c r="CK172" s="3">
        <v>180</v>
      </c>
      <c r="CL172" s="3">
        <v>170</v>
      </c>
      <c r="CM172" s="3">
        <v>160</v>
      </c>
      <c r="CN172" s="3">
        <v>150</v>
      </c>
      <c r="CO172" s="3">
        <v>140</v>
      </c>
      <c r="CP172" s="3">
        <v>130</v>
      </c>
      <c r="CQ172" s="3">
        <v>120</v>
      </c>
      <c r="CR172" s="56">
        <v>10</v>
      </c>
      <c r="CS172" s="3">
        <v>10</v>
      </c>
      <c r="CT172" s="3">
        <v>10</v>
      </c>
      <c r="CU172" s="3">
        <v>9</v>
      </c>
      <c r="CV172" s="3">
        <v>9</v>
      </c>
      <c r="CW172" s="3">
        <v>9</v>
      </c>
      <c r="CX172" s="3">
        <v>9</v>
      </c>
      <c r="CY172" s="3">
        <v>9</v>
      </c>
      <c r="CZ172" s="3">
        <v>9</v>
      </c>
      <c r="DJ172" s="3">
        <f t="shared" ca="1" si="290"/>
        <v>200</v>
      </c>
      <c r="DK172" s="3">
        <f t="shared" ca="1" si="291"/>
        <v>100</v>
      </c>
      <c r="DL172" s="3">
        <f t="shared" ca="1" si="292"/>
        <v>10</v>
      </c>
      <c r="DO172" s="3">
        <v>2</v>
      </c>
      <c r="DZ172" s="3">
        <v>1</v>
      </c>
      <c r="EA172" s="3">
        <f t="shared" si="293"/>
        <v>1</v>
      </c>
      <c r="EB172" s="3">
        <f t="shared" si="294"/>
        <v>2</v>
      </c>
      <c r="EC172" s="3">
        <f t="shared" si="295"/>
        <v>0</v>
      </c>
      <c r="ED172" s="3">
        <f t="shared" si="296"/>
        <v>0</v>
      </c>
      <c r="EF172" s="3">
        <f t="shared" ca="1" si="297"/>
        <v>0</v>
      </c>
      <c r="EG172" s="3">
        <f t="shared" ca="1" si="298"/>
        <v>0</v>
      </c>
      <c r="EH172" s="3">
        <f ca="1">IFERROR(IF(LEFT($BA172,1)="4",OFFSET(변환표준점수!$H$118,MATCH($S172,변환표준점수!$B$119:$B$198,0),),OFFSET(EH$3,MATCH(AS172,$ED$4:$ED$8,0),0)),0)</f>
        <v>0</v>
      </c>
      <c r="EI172" s="3">
        <f ca="1">IFERROR(IF(LEFT($BA172,1)="4",OFFSET(변환표준점수!$I$118,MATCH($S172,변환표준점수!$B$119:$B$198,0),0),OFFSET(EI$3,MATCH(AT172,$ED$4:$ED$8,0),0)),0)</f>
        <v>0</v>
      </c>
      <c r="EK172" s="3">
        <f ca="1">IFERROR(IF(LEFT($BA172,1)="4",OFFSET(변환표준점수!$J$118,MATCH($S172,변환표준점수!$B$119:$B$198,0),0),OFFSET(EJ$3,MATCH(AV172,$ED$4:$ED$8,0),0)),0)</f>
        <v>0</v>
      </c>
      <c r="EL172" s="3">
        <f ca="1">IFERROR(IF(LEFT($BA172,1)="4",OFFSET(변환표준점수!$K$118,MATCH($S172,변환표준점수!$B$119:$B$198,0),0),OFFSET(EK$3,MATCH(AW172,$ED$4:$ED$8,0),0)),0)</f>
        <v>0</v>
      </c>
      <c r="EM172" s="3" t="str">
        <f t="shared" ca="1" si="299"/>
        <v/>
      </c>
      <c r="EN172" s="3" t="str">
        <f t="shared" ca="1" si="300"/>
        <v/>
      </c>
      <c r="EO172" s="3">
        <f t="shared" ca="1" si="301"/>
        <v>0</v>
      </c>
      <c r="EQ172" s="3">
        <f t="shared" ca="1" si="302"/>
        <v>0</v>
      </c>
      <c r="ER172" s="3">
        <f t="shared" ca="1" si="303"/>
        <v>0</v>
      </c>
      <c r="ES172" s="3">
        <f t="shared" ca="1" si="304"/>
        <v>0</v>
      </c>
      <c r="ET172" s="3">
        <f t="shared" ca="1" si="305"/>
        <v>0</v>
      </c>
      <c r="EU172" s="3">
        <f t="shared" si="306"/>
        <v>0</v>
      </c>
      <c r="EV172" s="3">
        <f t="shared" ca="1" si="307"/>
        <v>0</v>
      </c>
      <c r="EW172" s="3">
        <f t="shared" ca="1" si="308"/>
        <v>0</v>
      </c>
      <c r="EX172" s="3">
        <f ca="1">LARGE((ES172:ET172,EV172:EW172),1)</f>
        <v>0</v>
      </c>
      <c r="EY172" s="3">
        <f ca="1">IF(O172&lt;2,0,LARGE((ES172:ET172,EV172:EW172),2))</f>
        <v>0</v>
      </c>
      <c r="EZ172" s="3">
        <f t="shared" ca="1" si="309"/>
        <v>0</v>
      </c>
      <c r="FA172" s="3">
        <f t="shared" ca="1" si="310"/>
        <v>0</v>
      </c>
      <c r="FB172" s="3">
        <f t="shared" ca="1" si="311"/>
        <v>0</v>
      </c>
      <c r="FG172" s="3">
        <f t="shared" ca="1" si="312"/>
        <v>0</v>
      </c>
      <c r="FH172" s="618"/>
      <c r="FU172" s="3" t="str">
        <f t="shared" si="268"/>
        <v>백분위</v>
      </c>
      <c r="FV172" s="3" t="str">
        <f t="shared" si="269"/>
        <v>백분위</v>
      </c>
      <c r="FW172" s="3">
        <f t="shared" si="313"/>
        <v>0.31</v>
      </c>
      <c r="FX172" s="3">
        <f t="shared" si="314"/>
        <v>0.44</v>
      </c>
      <c r="FY172" s="3">
        <f t="shared" si="315"/>
        <v>0.25</v>
      </c>
      <c r="FZ172" s="3">
        <f t="shared" si="316"/>
        <v>8</v>
      </c>
    </row>
    <row r="173" spans="1:182">
      <c r="A173" s="556">
        <v>26</v>
      </c>
      <c r="C173" s="3">
        <f t="shared" si="270"/>
        <v>158</v>
      </c>
      <c r="D173" s="3">
        <v>158</v>
      </c>
      <c r="E173" s="3" t="s">
        <v>277</v>
      </c>
      <c r="F173" s="3">
        <v>1000</v>
      </c>
      <c r="G173" s="3">
        <v>0.25</v>
      </c>
      <c r="H173" s="3">
        <v>0.35</v>
      </c>
      <c r="I173" s="3">
        <v>0.1</v>
      </c>
      <c r="J173" s="3">
        <v>0.1</v>
      </c>
      <c r="O173" s="3">
        <v>2</v>
      </c>
      <c r="P173" s="3">
        <f t="shared" si="271"/>
        <v>0.8</v>
      </c>
      <c r="Q173" s="3" t="s">
        <v>408</v>
      </c>
      <c r="S173" s="3" t="str">
        <f t="shared" si="272"/>
        <v/>
      </c>
      <c r="U173" s="3">
        <v>1</v>
      </c>
      <c r="W173" s="3">
        <f t="shared" si="273"/>
        <v>0</v>
      </c>
      <c r="Y173" s="3">
        <f t="shared" si="274"/>
        <v>2.5</v>
      </c>
      <c r="Z173" s="3">
        <f t="shared" si="275"/>
        <v>3.5</v>
      </c>
      <c r="AA173" s="3">
        <f t="shared" si="276"/>
        <v>1</v>
      </c>
      <c r="AB173" s="3" t="str">
        <f t="shared" si="277"/>
        <v>자동</v>
      </c>
      <c r="AC173" s="3">
        <f t="shared" si="278"/>
        <v>2</v>
      </c>
      <c r="AD173" s="3">
        <f t="shared" si="279"/>
        <v>2.5</v>
      </c>
      <c r="AE173" s="3">
        <f t="shared" si="280"/>
        <v>3.5</v>
      </c>
      <c r="AF173" s="3">
        <f t="shared" si="281"/>
        <v>1</v>
      </c>
      <c r="AG173" s="3">
        <f t="shared" si="282"/>
        <v>1</v>
      </c>
      <c r="AH173" s="3" t="str">
        <f t="shared" si="283"/>
        <v>자동</v>
      </c>
      <c r="AI173" s="3" t="str">
        <f t="shared" si="284"/>
        <v>자동</v>
      </c>
      <c r="AJ173" s="3" t="str">
        <f t="shared" si="285"/>
        <v>자동</v>
      </c>
      <c r="AL173" s="3" t="str">
        <f t="shared" si="286"/>
        <v/>
      </c>
      <c r="AN173" s="3" t="str">
        <f ca="1">IF($BA173=42,OFFSET(변환표준점수!C$119,$AP173-1,0),"")</f>
        <v/>
      </c>
      <c r="AO173" s="3" t="str">
        <f ca="1">IF($BA173=42,OFFSET(변환표준점수!D$119,$AP173-1,0),"")</f>
        <v/>
      </c>
      <c r="AP173" s="3" t="str">
        <f>IF(S173="","",MATCH(S173,변환표준점수!$B$119:$B$298,0))</f>
        <v/>
      </c>
      <c r="AQ173" s="3">
        <v>2</v>
      </c>
      <c r="AR173" s="3">
        <v>2</v>
      </c>
      <c r="AS173" s="3">
        <v>2</v>
      </c>
      <c r="AT173" s="3">
        <v>2</v>
      </c>
      <c r="AX173" s="3">
        <v>3</v>
      </c>
      <c r="AY173" s="3">
        <v>3</v>
      </c>
      <c r="BA173" s="3">
        <f t="shared" si="287"/>
        <v>2</v>
      </c>
      <c r="BJ173" s="3">
        <f t="shared" si="288"/>
        <v>0</v>
      </c>
      <c r="CH173" s="206">
        <f t="shared" si="289"/>
        <v>800</v>
      </c>
      <c r="CI173" s="56">
        <v>200</v>
      </c>
      <c r="CJ173" s="3">
        <v>198</v>
      </c>
      <c r="CK173" s="3">
        <v>192</v>
      </c>
      <c r="CL173" s="3">
        <v>170</v>
      </c>
      <c r="CM173" s="3">
        <v>140</v>
      </c>
      <c r="CN173" s="3">
        <v>110</v>
      </c>
      <c r="CO173" s="3">
        <v>80</v>
      </c>
      <c r="CP173" s="3">
        <v>40</v>
      </c>
      <c r="CQ173" s="3">
        <v>0</v>
      </c>
      <c r="CR173" s="56">
        <v>3</v>
      </c>
      <c r="CS173" s="3">
        <v>3</v>
      </c>
      <c r="CT173" s="3">
        <v>3</v>
      </c>
      <c r="CU173" s="3">
        <v>3</v>
      </c>
      <c r="CV173" s="3">
        <v>2.5</v>
      </c>
      <c r="CW173" s="3">
        <v>2</v>
      </c>
      <c r="CX173" s="3">
        <v>1.5</v>
      </c>
      <c r="CY173" s="3">
        <v>1</v>
      </c>
      <c r="CZ173" s="3">
        <v>0.5</v>
      </c>
      <c r="DJ173" s="3">
        <f t="shared" ca="1" si="290"/>
        <v>200</v>
      </c>
      <c r="DK173" s="3">
        <f t="shared" ca="1" si="291"/>
        <v>100</v>
      </c>
      <c r="DL173" s="3">
        <f t="shared" ca="1" si="292"/>
        <v>3</v>
      </c>
      <c r="DM173" s="3">
        <v>2</v>
      </c>
      <c r="DQ173" s="3">
        <v>1</v>
      </c>
      <c r="DS173" s="3">
        <v>1</v>
      </c>
      <c r="EA173" s="3">
        <f t="shared" si="293"/>
        <v>1</v>
      </c>
      <c r="EB173" s="3">
        <f t="shared" si="294"/>
        <v>2</v>
      </c>
      <c r="EC173" s="3">
        <f t="shared" si="295"/>
        <v>0</v>
      </c>
      <c r="ED173" s="3">
        <f t="shared" si="296"/>
        <v>0</v>
      </c>
      <c r="EF173" s="3">
        <f t="shared" ca="1" si="297"/>
        <v>0</v>
      </c>
      <c r="EG173" s="3">
        <f t="shared" ca="1" si="298"/>
        <v>0</v>
      </c>
      <c r="EH173" s="3">
        <f ca="1">IFERROR(IF(LEFT($BA173,1)="4",OFFSET(변환표준점수!$H$118,MATCH($S173,변환표준점수!$B$119:$B$198,0),),OFFSET(EH$3,MATCH(AS173,$ED$4:$ED$8,0),0)),0)</f>
        <v>0</v>
      </c>
      <c r="EI173" s="3">
        <f ca="1">IFERROR(IF(LEFT($BA173,1)="4",OFFSET(변환표준점수!$I$118,MATCH($S173,변환표준점수!$B$119:$B$198,0),0),OFFSET(EI$3,MATCH(AT173,$ED$4:$ED$8,0),0)),0)</f>
        <v>0</v>
      </c>
      <c r="EK173" s="3">
        <f ca="1">IFERROR(IF(LEFT($BA173,1)="4",OFFSET(변환표준점수!$J$118,MATCH($S173,변환표준점수!$B$119:$B$198,0),0),OFFSET(EJ$3,MATCH(AV173,$ED$4:$ED$8,0),0)),0)</f>
        <v>0</v>
      </c>
      <c r="EL173" s="3">
        <f ca="1">IFERROR(IF(LEFT($BA173,1)="4",OFFSET(변환표준점수!$K$118,MATCH($S173,변환표준점수!$B$119:$B$198,0),0),OFFSET(EK$3,MATCH(AW173,$ED$4:$ED$8,0),0)),0)</f>
        <v>0</v>
      </c>
      <c r="EM173" s="3" t="str">
        <f t="shared" ca="1" si="299"/>
        <v/>
      </c>
      <c r="EN173" s="3" t="str">
        <f t="shared" ca="1" si="300"/>
        <v/>
      </c>
      <c r="EO173" s="3">
        <f t="shared" ca="1" si="301"/>
        <v>0</v>
      </c>
      <c r="EQ173" s="3">
        <f t="shared" ca="1" si="302"/>
        <v>0</v>
      </c>
      <c r="ER173" s="3">
        <f t="shared" ca="1" si="303"/>
        <v>0</v>
      </c>
      <c r="ES173" s="3">
        <f t="shared" ca="1" si="304"/>
        <v>0</v>
      </c>
      <c r="ET173" s="3">
        <f t="shared" ca="1" si="305"/>
        <v>0</v>
      </c>
      <c r="EU173" s="3">
        <f t="shared" si="306"/>
        <v>0</v>
      </c>
      <c r="EV173" s="3">
        <f t="shared" ca="1" si="307"/>
        <v>0</v>
      </c>
      <c r="EW173" s="3">
        <f t="shared" ca="1" si="308"/>
        <v>0</v>
      </c>
      <c r="EX173" s="3">
        <f ca="1">LARGE((ES173:ET173,EV173:EW173),1)</f>
        <v>0</v>
      </c>
      <c r="EY173" s="3">
        <f ca="1">IF(O173&lt;2,0,LARGE((ES173:ET173,EV173:EW173),2))</f>
        <v>0</v>
      </c>
      <c r="EZ173" s="3">
        <f t="shared" ca="1" si="309"/>
        <v>0</v>
      </c>
      <c r="FA173" s="3">
        <f t="shared" ca="1" si="310"/>
        <v>0</v>
      </c>
      <c r="FB173" s="3">
        <f t="shared" ca="1" si="311"/>
        <v>0</v>
      </c>
      <c r="FG173" s="3">
        <f t="shared" ca="1" si="312"/>
        <v>0</v>
      </c>
      <c r="FH173" s="618"/>
      <c r="FU173" s="3" t="str">
        <f t="shared" si="268"/>
        <v>백분위</v>
      </c>
      <c r="FV173" s="3" t="str">
        <f t="shared" si="269"/>
        <v>백분위</v>
      </c>
      <c r="FW173" s="3">
        <f t="shared" si="313"/>
        <v>0.31</v>
      </c>
      <c r="FX173" s="3">
        <f t="shared" si="314"/>
        <v>0.44</v>
      </c>
      <c r="FY173" s="3">
        <f t="shared" si="315"/>
        <v>0.25</v>
      </c>
      <c r="FZ173" s="3">
        <f t="shared" si="316"/>
        <v>8</v>
      </c>
    </row>
    <row r="174" spans="1:182">
      <c r="A174" s="556">
        <v>26</v>
      </c>
      <c r="C174" s="3">
        <f t="shared" si="270"/>
        <v>159</v>
      </c>
      <c r="D174" s="3">
        <v>159</v>
      </c>
      <c r="E174" s="3" t="s">
        <v>320</v>
      </c>
      <c r="F174" s="3">
        <v>1000</v>
      </c>
      <c r="G174" s="3">
        <v>0.25</v>
      </c>
      <c r="H174" s="3">
        <v>0.25</v>
      </c>
      <c r="I174" s="3">
        <v>0.2</v>
      </c>
      <c r="L174" s="3">
        <v>0.2</v>
      </c>
      <c r="O174" s="3">
        <v>1</v>
      </c>
      <c r="P174" s="3">
        <f t="shared" si="271"/>
        <v>0.7</v>
      </c>
      <c r="Q174" s="3" t="s">
        <v>408</v>
      </c>
      <c r="S174" s="3" t="str">
        <f t="shared" si="272"/>
        <v/>
      </c>
      <c r="U174" s="3">
        <v>1</v>
      </c>
      <c r="W174" s="3">
        <f t="shared" si="273"/>
        <v>0</v>
      </c>
      <c r="Y174" s="3">
        <f t="shared" si="274"/>
        <v>2.5</v>
      </c>
      <c r="Z174" s="3">
        <f t="shared" si="275"/>
        <v>2.5</v>
      </c>
      <c r="AA174" s="3">
        <f t="shared" si="276"/>
        <v>2</v>
      </c>
      <c r="AB174" s="3">
        <f t="shared" si="277"/>
        <v>2</v>
      </c>
      <c r="AC174" s="3">
        <f t="shared" si="278"/>
        <v>2</v>
      </c>
      <c r="AD174" s="3">
        <f t="shared" si="279"/>
        <v>2.5</v>
      </c>
      <c r="AE174" s="3">
        <f t="shared" si="280"/>
        <v>2.5</v>
      </c>
      <c r="AF174" s="3">
        <f t="shared" si="281"/>
        <v>2</v>
      </c>
      <c r="AG174" s="3" t="str">
        <f t="shared" si="282"/>
        <v>자동</v>
      </c>
      <c r="AH174" s="3" t="str">
        <f t="shared" si="283"/>
        <v>자동</v>
      </c>
      <c r="AI174" s="3">
        <f t="shared" si="284"/>
        <v>2</v>
      </c>
      <c r="AJ174" s="3" t="str">
        <f t="shared" si="285"/>
        <v>자동</v>
      </c>
      <c r="AL174" s="3" t="str">
        <f t="shared" si="286"/>
        <v/>
      </c>
      <c r="AN174" s="3" t="str">
        <f ca="1">IF($BA174=42,OFFSET(변환표준점수!C$119,$AP174-1,0),"")</f>
        <v/>
      </c>
      <c r="AO174" s="3" t="str">
        <f ca="1">IF($BA174=42,OFFSET(변환표준점수!D$119,$AP174-1,0),"")</f>
        <v/>
      </c>
      <c r="AP174" s="3" t="str">
        <f>IF(S174="","",MATCH(S174,변환표준점수!$B$119:$B$298,0))</f>
        <v/>
      </c>
      <c r="AQ174" s="3">
        <v>2</v>
      </c>
      <c r="AR174" s="3">
        <v>2</v>
      </c>
      <c r="AS174" s="3">
        <v>2</v>
      </c>
      <c r="AV174" s="3">
        <v>2</v>
      </c>
      <c r="AX174" s="3">
        <v>3</v>
      </c>
      <c r="AY174" s="3">
        <v>3</v>
      </c>
      <c r="BA174" s="3">
        <f t="shared" si="287"/>
        <v>2</v>
      </c>
      <c r="BC174" s="3">
        <f>$AE174*0.05</f>
        <v>0.125</v>
      </c>
      <c r="BD174" s="3">
        <f>$AE174*0.05</f>
        <v>0.125</v>
      </c>
      <c r="BJ174" s="3">
        <f t="shared" si="288"/>
        <v>0</v>
      </c>
      <c r="BN174" s="212" t="s">
        <v>7368</v>
      </c>
      <c r="BP174" s="3">
        <f>IF(BP$6&gt;0,BC174*$EG174,0)</f>
        <v>0</v>
      </c>
      <c r="BQ174" s="3">
        <f>IF(BQ$6&gt;0,BD174*$EG174,0)</f>
        <v>0</v>
      </c>
      <c r="CH174" s="206">
        <f t="shared" si="289"/>
        <v>700</v>
      </c>
      <c r="CI174" s="56">
        <v>200</v>
      </c>
      <c r="CJ174" s="3">
        <v>180</v>
      </c>
      <c r="CK174" s="3">
        <v>160</v>
      </c>
      <c r="CL174" s="3">
        <v>140</v>
      </c>
      <c r="CM174" s="3">
        <v>120</v>
      </c>
      <c r="CN174" s="3">
        <v>100</v>
      </c>
      <c r="CO174" s="3">
        <v>80</v>
      </c>
      <c r="CP174" s="3">
        <v>60</v>
      </c>
      <c r="CQ174" s="3">
        <v>40</v>
      </c>
      <c r="CR174" s="56">
        <v>100</v>
      </c>
      <c r="CS174" s="3">
        <v>90</v>
      </c>
      <c r="CT174" s="3">
        <v>80</v>
      </c>
      <c r="CU174" s="3">
        <v>70</v>
      </c>
      <c r="CV174" s="3">
        <v>60</v>
      </c>
      <c r="CW174" s="3">
        <v>50</v>
      </c>
      <c r="CX174" s="3">
        <v>40</v>
      </c>
      <c r="CY174" s="3">
        <v>30</v>
      </c>
      <c r="CZ174" s="3">
        <v>20</v>
      </c>
      <c r="DJ174" s="3">
        <f t="shared" ca="1" si="290"/>
        <v>200</v>
      </c>
      <c r="DK174" s="3">
        <f t="shared" ca="1" si="291"/>
        <v>100</v>
      </c>
      <c r="DL174" s="3">
        <f t="shared" ca="1" si="292"/>
        <v>100</v>
      </c>
      <c r="DO174" s="3">
        <v>1</v>
      </c>
      <c r="DZ174" s="3">
        <v>1</v>
      </c>
      <c r="EA174" s="3">
        <f t="shared" si="293"/>
        <v>1</v>
      </c>
      <c r="EB174" s="3">
        <f t="shared" si="294"/>
        <v>1</v>
      </c>
      <c r="EC174" s="3">
        <f t="shared" si="295"/>
        <v>0</v>
      </c>
      <c r="ED174" s="3">
        <f t="shared" si="296"/>
        <v>0</v>
      </c>
      <c r="EF174" s="3">
        <f t="shared" ca="1" si="297"/>
        <v>0</v>
      </c>
      <c r="EG174" s="3">
        <f t="shared" ca="1" si="298"/>
        <v>0</v>
      </c>
      <c r="EH174" s="3">
        <f ca="1">IFERROR(IF(LEFT($BA174,1)="4",OFFSET(변환표준점수!$H$118,MATCH($S174,변환표준점수!$B$119:$B$198,0),),OFFSET(EH$3,MATCH(AS174,$ED$4:$ED$8,0),0)),0)</f>
        <v>0</v>
      </c>
      <c r="EI174" s="3">
        <f ca="1">IFERROR(IF(LEFT($BA174,1)="4",OFFSET(변환표준점수!$I$118,MATCH($S174,변환표준점수!$B$119:$B$198,0),0),OFFSET(EI$3,MATCH(AT174,$ED$4:$ED$8,0),0)),0)</f>
        <v>0</v>
      </c>
      <c r="EK174" s="3">
        <f ca="1">IFERROR(IF(LEFT($BA174,1)="4",OFFSET(변환표준점수!$J$118,MATCH($S174,변환표준점수!$B$119:$B$198,0),0),OFFSET(EJ$3,MATCH(AV174,$ED$4:$ED$8,0),0)),0)</f>
        <v>0</v>
      </c>
      <c r="EL174" s="3">
        <f ca="1">IFERROR(IF(LEFT($BA174,1)="4",OFFSET(변환표준점수!$K$118,MATCH($S174,변환표준점수!$B$119:$B$198,0),0),OFFSET(EK$3,MATCH(AW174,$ED$4:$ED$8,0),0)),0)</f>
        <v>0</v>
      </c>
      <c r="EM174" s="3" t="str">
        <f t="shared" ca="1" si="299"/>
        <v/>
      </c>
      <c r="EN174" s="3" t="str">
        <f t="shared" ca="1" si="300"/>
        <v/>
      </c>
      <c r="EO174" s="3">
        <f t="shared" ca="1" si="301"/>
        <v>0</v>
      </c>
      <c r="EQ174" s="3">
        <f t="shared" ca="1" si="302"/>
        <v>0</v>
      </c>
      <c r="ER174" s="3">
        <f t="shared" ca="1" si="303"/>
        <v>0</v>
      </c>
      <c r="ES174" s="3">
        <f t="shared" ca="1" si="304"/>
        <v>0</v>
      </c>
      <c r="ET174" s="3">
        <f t="shared" si="305"/>
        <v>0</v>
      </c>
      <c r="EU174" s="3">
        <f t="shared" si="306"/>
        <v>0</v>
      </c>
      <c r="EV174" s="3">
        <f t="shared" ca="1" si="307"/>
        <v>0</v>
      </c>
      <c r="EW174" s="3">
        <f t="shared" si="308"/>
        <v>0</v>
      </c>
      <c r="EX174" s="3">
        <f ca="1">LARGE((ES174:ET174,EV174:EW174),1)</f>
        <v>0</v>
      </c>
      <c r="EY174" s="3">
        <f>IF(O174&lt;2,0,LARGE((ES174:ET174,EV174:EW174),2))</f>
        <v>0</v>
      </c>
      <c r="EZ174" s="3">
        <f t="shared" ca="1" si="309"/>
        <v>0</v>
      </c>
      <c r="FA174" s="3">
        <f t="shared" ca="1" si="310"/>
        <v>0</v>
      </c>
      <c r="FB174" s="3">
        <f t="shared" ca="1" si="311"/>
        <v>0</v>
      </c>
      <c r="FG174" s="3">
        <f t="shared" ca="1" si="312"/>
        <v>0</v>
      </c>
      <c r="FH174" s="618"/>
      <c r="FU174" s="3" t="str">
        <f t="shared" si="268"/>
        <v>백분위</v>
      </c>
      <c r="FV174" s="3" t="str">
        <f t="shared" si="269"/>
        <v>백분위</v>
      </c>
      <c r="FW174" s="3">
        <f t="shared" si="313"/>
        <v>0.36</v>
      </c>
      <c r="FX174" s="3">
        <f t="shared" si="314"/>
        <v>0.36</v>
      </c>
      <c r="FY174" s="3">
        <f t="shared" si="315"/>
        <v>0.28999999999999998</v>
      </c>
      <c r="FZ174" s="3">
        <f t="shared" si="316"/>
        <v>7</v>
      </c>
    </row>
    <row r="175" spans="1:182">
      <c r="A175" s="556">
        <v>26</v>
      </c>
      <c r="C175" s="3">
        <f t="shared" si="270"/>
        <v>160</v>
      </c>
      <c r="D175" s="3">
        <v>160</v>
      </c>
      <c r="E175" s="3" t="s">
        <v>312</v>
      </c>
      <c r="F175" s="3">
        <v>800</v>
      </c>
      <c r="G175" s="3">
        <v>0.25</v>
      </c>
      <c r="H175" s="3">
        <v>0.25</v>
      </c>
      <c r="I175" s="3">
        <v>0.125</v>
      </c>
      <c r="J175" s="3">
        <v>0.125</v>
      </c>
      <c r="L175" s="3">
        <v>0.125</v>
      </c>
      <c r="M175" s="3">
        <v>0.125</v>
      </c>
      <c r="O175" s="3">
        <v>2</v>
      </c>
      <c r="P175" s="3">
        <f t="shared" si="271"/>
        <v>0.75</v>
      </c>
      <c r="Q175" s="3" t="s">
        <v>408</v>
      </c>
      <c r="S175" s="3" t="str">
        <f t="shared" si="272"/>
        <v/>
      </c>
      <c r="U175" s="3">
        <v>1</v>
      </c>
      <c r="W175" s="3">
        <f t="shared" si="273"/>
        <v>0</v>
      </c>
      <c r="Y175" s="3">
        <f t="shared" si="274"/>
        <v>1</v>
      </c>
      <c r="Z175" s="3">
        <f t="shared" si="275"/>
        <v>1</v>
      </c>
      <c r="AA175" s="3">
        <f t="shared" si="276"/>
        <v>1</v>
      </c>
      <c r="AB175" s="3">
        <f t="shared" si="277"/>
        <v>1</v>
      </c>
      <c r="AC175" s="3">
        <f t="shared" si="278"/>
        <v>1</v>
      </c>
      <c r="AD175" s="3">
        <f t="shared" si="279"/>
        <v>1</v>
      </c>
      <c r="AE175" s="3">
        <f t="shared" si="280"/>
        <v>1</v>
      </c>
      <c r="AF175" s="3">
        <f t="shared" si="281"/>
        <v>1</v>
      </c>
      <c r="AG175" s="3">
        <f t="shared" si="282"/>
        <v>1</v>
      </c>
      <c r="AH175" s="3" t="str">
        <f t="shared" si="283"/>
        <v>자동</v>
      </c>
      <c r="AI175" s="3">
        <f t="shared" si="284"/>
        <v>1</v>
      </c>
      <c r="AJ175" s="3">
        <f t="shared" si="285"/>
        <v>1</v>
      </c>
      <c r="AL175" s="3" t="str">
        <f t="shared" si="286"/>
        <v/>
      </c>
      <c r="AN175" s="3" t="str">
        <f ca="1">IF($BA175=42,OFFSET(변환표준점수!C$119,$AP175-1,0),"")</f>
        <v/>
      </c>
      <c r="AO175" s="3" t="str">
        <f ca="1">IF($BA175=42,OFFSET(변환표준점수!D$119,$AP175-1,0),"")</f>
        <v/>
      </c>
      <c r="AP175" s="3" t="str">
        <f>IF(S175="","",MATCH(S175,변환표준점수!$B$119:$B$298,0))</f>
        <v/>
      </c>
      <c r="AQ175" s="3">
        <v>1</v>
      </c>
      <c r="AR175" s="3">
        <v>1</v>
      </c>
      <c r="AS175" s="3">
        <v>1</v>
      </c>
      <c r="AT175" s="3">
        <v>1</v>
      </c>
      <c r="AV175" s="3">
        <v>1</v>
      </c>
      <c r="AW175" s="3">
        <v>1</v>
      </c>
      <c r="AX175" s="3">
        <v>3</v>
      </c>
      <c r="AY175" s="3">
        <v>3</v>
      </c>
      <c r="BA175" s="3">
        <f t="shared" si="287"/>
        <v>1</v>
      </c>
      <c r="BF175" s="3">
        <f>0.05*AA175</f>
        <v>0.05</v>
      </c>
      <c r="BG175" s="3">
        <f>0.05*AA175</f>
        <v>0.05</v>
      </c>
      <c r="BJ175" s="3">
        <f t="shared" si="288"/>
        <v>0</v>
      </c>
      <c r="BN175" s="212" t="s">
        <v>7711</v>
      </c>
      <c r="BS175" s="3">
        <f ca="1">EH175*BF175</f>
        <v>0</v>
      </c>
      <c r="BT175" s="3">
        <f ca="1">EI175*BG175</f>
        <v>0</v>
      </c>
      <c r="CH175" s="206">
        <f t="shared" si="289"/>
        <v>600</v>
      </c>
      <c r="CI175" s="56">
        <v>200</v>
      </c>
      <c r="CJ175" s="3">
        <v>198</v>
      </c>
      <c r="CK175" s="3">
        <v>195</v>
      </c>
      <c r="CL175" s="3">
        <v>192</v>
      </c>
      <c r="CM175" s="3">
        <v>187</v>
      </c>
      <c r="CN175" s="3">
        <v>182</v>
      </c>
      <c r="CO175" s="3">
        <v>172</v>
      </c>
      <c r="CP175" s="3">
        <v>162</v>
      </c>
      <c r="CQ175" s="3">
        <v>152</v>
      </c>
      <c r="CR175" s="56">
        <v>1</v>
      </c>
      <c r="CS175" s="3">
        <v>1</v>
      </c>
      <c r="CT175" s="3">
        <v>1</v>
      </c>
      <c r="CU175" s="3">
        <v>1</v>
      </c>
      <c r="CV175" s="3">
        <v>1</v>
      </c>
      <c r="CW175" s="3">
        <v>0.9</v>
      </c>
      <c r="CX175" s="3">
        <v>0.8</v>
      </c>
      <c r="CY175" s="3">
        <v>0.7</v>
      </c>
      <c r="CZ175" s="3">
        <v>0.6</v>
      </c>
      <c r="DJ175" s="3">
        <f t="shared" ca="1" si="290"/>
        <v>200</v>
      </c>
      <c r="DK175" s="3">
        <f t="shared" ca="1" si="291"/>
        <v>100</v>
      </c>
      <c r="DL175" s="3">
        <f t="shared" ca="1" si="292"/>
        <v>1</v>
      </c>
      <c r="DO175" s="3">
        <v>2</v>
      </c>
      <c r="DZ175" s="3">
        <v>1</v>
      </c>
      <c r="EA175" s="3">
        <f t="shared" si="293"/>
        <v>1</v>
      </c>
      <c r="EB175" s="3">
        <f t="shared" si="294"/>
        <v>2</v>
      </c>
      <c r="EC175" s="3">
        <f t="shared" si="295"/>
        <v>0</v>
      </c>
      <c r="ED175" s="3">
        <f t="shared" si="296"/>
        <v>0</v>
      </c>
      <c r="EF175" s="3">
        <f t="shared" ca="1" si="297"/>
        <v>0</v>
      </c>
      <c r="EG175" s="3">
        <f t="shared" ca="1" si="298"/>
        <v>0</v>
      </c>
      <c r="EH175" s="3">
        <f ca="1">IFERROR(IF(LEFT($BA175,1)="4",OFFSET(변환표준점수!$H$118,MATCH($S175,변환표준점수!$B$119:$B$198,0),),OFFSET(EH$3,MATCH(AS175,$ED$4:$ED$8,0),0)),0)</f>
        <v>0</v>
      </c>
      <c r="EI175" s="3">
        <f ca="1">IFERROR(IF(LEFT($BA175,1)="4",OFFSET(변환표준점수!$I$118,MATCH($S175,변환표준점수!$B$119:$B$198,0),0),OFFSET(EI$3,MATCH(AT175,$ED$4:$ED$8,0),0)),0)</f>
        <v>0</v>
      </c>
      <c r="EK175" s="3">
        <f ca="1">IFERROR(IF(LEFT($BA175,1)="4",OFFSET(변환표준점수!$J$118,MATCH($S175,변환표준점수!$B$119:$B$198,0),0),OFFSET(EJ$3,MATCH(AV175,$ED$4:$ED$8,0),0)),0)</f>
        <v>0</v>
      </c>
      <c r="EL175" s="3">
        <f ca="1">IFERROR(IF(LEFT($BA175,1)="4",OFFSET(변환표준점수!$K$118,MATCH($S175,변환표준점수!$B$119:$B$198,0),0),OFFSET(EK$3,MATCH(AW175,$ED$4:$ED$8,0),0)),0)</f>
        <v>0</v>
      </c>
      <c r="EM175" s="3" t="str">
        <f t="shared" ca="1" si="299"/>
        <v/>
      </c>
      <c r="EN175" s="3" t="str">
        <f t="shared" ca="1" si="300"/>
        <v/>
      </c>
      <c r="EO175" s="3">
        <f t="shared" ca="1" si="301"/>
        <v>0</v>
      </c>
      <c r="EQ175" s="3">
        <f t="shared" ca="1" si="302"/>
        <v>0</v>
      </c>
      <c r="ER175" s="3">
        <f t="shared" ca="1" si="303"/>
        <v>0</v>
      </c>
      <c r="ES175" s="3">
        <f t="shared" ca="1" si="304"/>
        <v>0</v>
      </c>
      <c r="ET175" s="3">
        <f t="shared" ca="1" si="305"/>
        <v>0</v>
      </c>
      <c r="EU175" s="3">
        <f t="shared" si="306"/>
        <v>0</v>
      </c>
      <c r="EV175" s="3">
        <f t="shared" ca="1" si="307"/>
        <v>0</v>
      </c>
      <c r="EW175" s="3">
        <f t="shared" ca="1" si="308"/>
        <v>0</v>
      </c>
      <c r="EX175" s="3">
        <f ca="1">LARGE((ES175:ET175,EV175:EW175),1)</f>
        <v>0</v>
      </c>
      <c r="EY175" s="3">
        <f ca="1">IF(O175&lt;2,0,LARGE((ES175:ET175,EV175:EW175),2))</f>
        <v>0</v>
      </c>
      <c r="EZ175" s="3">
        <f t="shared" ca="1" si="309"/>
        <v>0</v>
      </c>
      <c r="FA175" s="3">
        <f t="shared" ca="1" si="310"/>
        <v>0</v>
      </c>
      <c r="FB175" s="3">
        <f t="shared" ca="1" si="311"/>
        <v>0</v>
      </c>
      <c r="FG175" s="3">
        <f t="shared" ca="1" si="312"/>
        <v>0</v>
      </c>
      <c r="FH175" s="618"/>
      <c r="FU175" s="3" t="str">
        <f t="shared" si="268"/>
        <v>표점</v>
      </c>
      <c r="FV175" s="3" t="str">
        <f t="shared" si="269"/>
        <v>표점</v>
      </c>
      <c r="FW175" s="3">
        <f t="shared" si="313"/>
        <v>0.33</v>
      </c>
      <c r="FX175" s="3">
        <f t="shared" si="314"/>
        <v>0.33</v>
      </c>
      <c r="FY175" s="3">
        <f t="shared" si="315"/>
        <v>0.33</v>
      </c>
      <c r="FZ175" s="3">
        <f t="shared" si="316"/>
        <v>3</v>
      </c>
    </row>
    <row r="176" spans="1:182">
      <c r="A176" s="556">
        <v>26</v>
      </c>
      <c r="C176" s="3">
        <f t="shared" si="270"/>
        <v>161</v>
      </c>
      <c r="D176" s="3">
        <v>161</v>
      </c>
      <c r="E176" s="3" t="s">
        <v>282</v>
      </c>
      <c r="F176" s="3">
        <v>800</v>
      </c>
      <c r="G176" s="3">
        <v>0.25</v>
      </c>
      <c r="H176" s="3">
        <v>0.25</v>
      </c>
      <c r="I176" s="3">
        <v>0.125</v>
      </c>
      <c r="J176" s="3">
        <v>0.125</v>
      </c>
      <c r="L176" s="3">
        <v>0.125</v>
      </c>
      <c r="M176" s="3">
        <v>0.125</v>
      </c>
      <c r="O176" s="3">
        <v>2</v>
      </c>
      <c r="P176" s="3">
        <f t="shared" si="271"/>
        <v>0.75</v>
      </c>
      <c r="Q176" s="3">
        <v>44</v>
      </c>
      <c r="S176" s="3">
        <f t="shared" si="272"/>
        <v>44</v>
      </c>
      <c r="U176" s="3">
        <v>1</v>
      </c>
      <c r="W176" s="3">
        <f t="shared" si="273"/>
        <v>0</v>
      </c>
      <c r="Y176" s="3">
        <f t="shared" si="274"/>
        <v>1</v>
      </c>
      <c r="Z176" s="3">
        <f t="shared" si="275"/>
        <v>1</v>
      </c>
      <c r="AA176" s="3">
        <f t="shared" si="276"/>
        <v>1</v>
      </c>
      <c r="AB176" s="3">
        <f t="shared" si="277"/>
        <v>1</v>
      </c>
      <c r="AC176" s="3">
        <f t="shared" si="278"/>
        <v>1</v>
      </c>
      <c r="AD176" s="3">
        <f t="shared" si="279"/>
        <v>1</v>
      </c>
      <c r="AE176" s="3">
        <f t="shared" si="280"/>
        <v>1</v>
      </c>
      <c r="AF176" s="3">
        <f t="shared" si="281"/>
        <v>1</v>
      </c>
      <c r="AG176" s="3">
        <f t="shared" si="282"/>
        <v>1</v>
      </c>
      <c r="AH176" s="3" t="str">
        <f t="shared" si="283"/>
        <v>자동</v>
      </c>
      <c r="AI176" s="3">
        <f t="shared" si="284"/>
        <v>1</v>
      </c>
      <c r="AJ176" s="3">
        <f t="shared" si="285"/>
        <v>1</v>
      </c>
      <c r="AL176" s="3" t="str">
        <f t="shared" si="286"/>
        <v/>
      </c>
      <c r="AN176" s="3" t="str">
        <f ca="1">IF($BA176=42,OFFSET(변환표준점수!C$119,$AP176-1,0),"")</f>
        <v/>
      </c>
      <c r="AO176" s="3" t="str">
        <f ca="1">IF($BA176=42,OFFSET(변환표준점수!D$119,$AP176-1,0),"")</f>
        <v/>
      </c>
      <c r="AP176" s="3">
        <f>IF(S176="","",MATCH(S176,변환표준점수!$B$119:$B$298,0))</f>
        <v>44</v>
      </c>
      <c r="AQ176" s="3">
        <v>1</v>
      </c>
      <c r="AR176" s="3">
        <v>1</v>
      </c>
      <c r="AS176" s="3">
        <v>4</v>
      </c>
      <c r="AT176" s="3">
        <v>4</v>
      </c>
      <c r="AV176" s="3">
        <v>4</v>
      </c>
      <c r="AW176" s="3">
        <v>4</v>
      </c>
      <c r="AX176" s="3">
        <v>3</v>
      </c>
      <c r="AY176" s="3">
        <v>3</v>
      </c>
      <c r="BA176" s="3">
        <f t="shared" si="287"/>
        <v>4</v>
      </c>
      <c r="BJ176" s="3">
        <f t="shared" si="288"/>
        <v>0</v>
      </c>
      <c r="CH176" s="206">
        <f t="shared" si="289"/>
        <v>600</v>
      </c>
      <c r="CI176" s="56">
        <v>139</v>
      </c>
      <c r="CJ176" s="3">
        <v>131</v>
      </c>
      <c r="CK176" s="3">
        <v>123</v>
      </c>
      <c r="CL176" s="3">
        <v>115</v>
      </c>
      <c r="CM176" s="3">
        <v>107</v>
      </c>
      <c r="CN176" s="3">
        <v>99</v>
      </c>
      <c r="CO176" s="3">
        <v>91</v>
      </c>
      <c r="CP176" s="3">
        <v>83</v>
      </c>
      <c r="CQ176" s="3">
        <v>75</v>
      </c>
      <c r="DJ176" s="3">
        <f t="shared" ca="1" si="290"/>
        <v>139</v>
      </c>
      <c r="DK176" s="3">
        <f t="shared" ca="1" si="291"/>
        <v>100</v>
      </c>
      <c r="DL176" s="3">
        <f t="shared" ca="1" si="292"/>
        <v>0</v>
      </c>
      <c r="DO176" s="3">
        <v>2</v>
      </c>
      <c r="DQ176" s="3">
        <v>1</v>
      </c>
      <c r="DZ176" s="3">
        <v>1</v>
      </c>
      <c r="EA176" s="3">
        <f t="shared" si="293"/>
        <v>1</v>
      </c>
      <c r="EB176" s="3">
        <f t="shared" si="294"/>
        <v>2</v>
      </c>
      <c r="EC176" s="3">
        <f t="shared" si="295"/>
        <v>0</v>
      </c>
      <c r="ED176" s="3">
        <f t="shared" si="296"/>
        <v>0</v>
      </c>
      <c r="EF176" s="3">
        <f t="shared" ca="1" si="297"/>
        <v>0</v>
      </c>
      <c r="EG176" s="3">
        <f t="shared" ca="1" si="298"/>
        <v>0</v>
      </c>
      <c r="EH176" s="3">
        <f ca="1">IFERROR(IF(LEFT($BA176,1)="4",OFFSET(변환표준점수!$H$118,MATCH($S176,변환표준점수!$B$119:$B$198,0),),OFFSET(EH$3,MATCH(AS176,$ED$4:$ED$8,0),0)),0)</f>
        <v>0</v>
      </c>
      <c r="EI176" s="3">
        <f ca="1">IFERROR(IF(LEFT($BA176,1)="4",OFFSET(변환표준점수!$I$118,MATCH($S176,변환표준점수!$B$119:$B$198,0),0),OFFSET(EI$3,MATCH(AT176,$ED$4:$ED$8,0),0)),0)</f>
        <v>0</v>
      </c>
      <c r="EK176" s="3">
        <f ca="1">IFERROR(IF(LEFT($BA176,1)="4",OFFSET(변환표준점수!$J$118,MATCH($S176,변환표준점수!$B$119:$B$198,0),0),OFFSET(EJ$3,MATCH(AV176,$ED$4:$ED$8,0),0)),0)</f>
        <v>0</v>
      </c>
      <c r="EL176" s="3">
        <f ca="1">IFERROR(IF(LEFT($BA176,1)="4",OFFSET(변환표준점수!$K$118,MATCH($S176,변환표준점수!$B$119:$B$198,0),0),OFFSET(EK$3,MATCH(AW176,$ED$4:$ED$8,0),0)),0)</f>
        <v>0</v>
      </c>
      <c r="EM176" s="3" t="str">
        <f t="shared" ca="1" si="299"/>
        <v/>
      </c>
      <c r="EN176" s="3" t="str">
        <f t="shared" ca="1" si="300"/>
        <v/>
      </c>
      <c r="EO176" s="3">
        <f t="shared" ca="1" si="301"/>
        <v>0</v>
      </c>
      <c r="EQ176" s="3">
        <f t="shared" ca="1" si="302"/>
        <v>0</v>
      </c>
      <c r="ER176" s="3">
        <f t="shared" ca="1" si="303"/>
        <v>0</v>
      </c>
      <c r="ES176" s="3">
        <f t="shared" ca="1" si="304"/>
        <v>0</v>
      </c>
      <c r="ET176" s="3">
        <f t="shared" ca="1" si="305"/>
        <v>0</v>
      </c>
      <c r="EU176" s="3">
        <f t="shared" si="306"/>
        <v>0</v>
      </c>
      <c r="EV176" s="3">
        <f t="shared" ca="1" si="307"/>
        <v>0</v>
      </c>
      <c r="EW176" s="3">
        <f t="shared" ca="1" si="308"/>
        <v>0</v>
      </c>
      <c r="EX176" s="3">
        <f ca="1">LARGE((ES176:ET176,EV176:EW176),1)</f>
        <v>0</v>
      </c>
      <c r="EY176" s="3">
        <f ca="1">IF(O176&lt;2,0,LARGE((ES176:ET176,EV176:EW176),2))</f>
        <v>0</v>
      </c>
      <c r="EZ176" s="3">
        <f t="shared" ca="1" si="309"/>
        <v>0</v>
      </c>
      <c r="FA176" s="3">
        <f t="shared" ca="1" si="310"/>
        <v>0</v>
      </c>
      <c r="FB176" s="3">
        <f t="shared" ca="1" si="311"/>
        <v>0</v>
      </c>
      <c r="FG176" s="3">
        <f t="shared" ca="1" si="312"/>
        <v>0</v>
      </c>
      <c r="FH176" s="618"/>
      <c r="FU176" s="3" t="str">
        <f t="shared" si="268"/>
        <v>표점</v>
      </c>
      <c r="FV176" s="3" t="str">
        <f t="shared" si="269"/>
        <v>변표</v>
      </c>
      <c r="FW176" s="3">
        <f t="shared" si="313"/>
        <v>0.33</v>
      </c>
      <c r="FX176" s="3">
        <f t="shared" si="314"/>
        <v>0.33</v>
      </c>
      <c r="FY176" s="3">
        <f t="shared" si="315"/>
        <v>0.33</v>
      </c>
      <c r="FZ176" s="3">
        <f t="shared" si="316"/>
        <v>3</v>
      </c>
    </row>
    <row r="177" spans="1:182">
      <c r="A177" s="556">
        <v>26</v>
      </c>
      <c r="C177" s="3">
        <f t="shared" si="270"/>
        <v>162</v>
      </c>
      <c r="D177" s="3">
        <v>162</v>
      </c>
      <c r="E177" s="3" t="s">
        <v>283</v>
      </c>
      <c r="F177" s="3">
        <v>800</v>
      </c>
      <c r="G177" s="3">
        <v>0.25</v>
      </c>
      <c r="H177" s="3">
        <v>0.25</v>
      </c>
      <c r="I177" s="3">
        <v>0.125</v>
      </c>
      <c r="J177" s="3">
        <v>0.125</v>
      </c>
      <c r="L177" s="3">
        <v>0.125</v>
      </c>
      <c r="M177" s="3">
        <v>0.125</v>
      </c>
      <c r="O177" s="3">
        <v>2</v>
      </c>
      <c r="P177" s="3">
        <f t="shared" si="271"/>
        <v>0.75</v>
      </c>
      <c r="Q177" s="3">
        <v>44</v>
      </c>
      <c r="S177" s="3">
        <f t="shared" si="272"/>
        <v>44</v>
      </c>
      <c r="U177" s="3">
        <v>1</v>
      </c>
      <c r="W177" s="3">
        <f t="shared" si="273"/>
        <v>0</v>
      </c>
      <c r="Y177" s="3">
        <f t="shared" si="274"/>
        <v>1</v>
      </c>
      <c r="Z177" s="3">
        <f t="shared" si="275"/>
        <v>1</v>
      </c>
      <c r="AA177" s="3">
        <f t="shared" si="276"/>
        <v>1</v>
      </c>
      <c r="AB177" s="3">
        <f t="shared" si="277"/>
        <v>1</v>
      </c>
      <c r="AC177" s="3">
        <f t="shared" si="278"/>
        <v>1</v>
      </c>
      <c r="AD177" s="3">
        <f t="shared" si="279"/>
        <v>1</v>
      </c>
      <c r="AE177" s="3">
        <f t="shared" si="280"/>
        <v>1</v>
      </c>
      <c r="AF177" s="3">
        <f t="shared" si="281"/>
        <v>1</v>
      </c>
      <c r="AG177" s="3">
        <f t="shared" si="282"/>
        <v>1</v>
      </c>
      <c r="AH177" s="3" t="str">
        <f t="shared" si="283"/>
        <v>자동</v>
      </c>
      <c r="AI177" s="3">
        <f t="shared" si="284"/>
        <v>1</v>
      </c>
      <c r="AJ177" s="3">
        <f t="shared" si="285"/>
        <v>1</v>
      </c>
      <c r="AL177" s="3" t="str">
        <f t="shared" si="286"/>
        <v/>
      </c>
      <c r="AN177" s="3" t="str">
        <f ca="1">IF($BA177=42,OFFSET(변환표준점수!C$119,$AP177-1,0),"")</f>
        <v/>
      </c>
      <c r="AO177" s="3" t="str">
        <f ca="1">IF($BA177=42,OFFSET(변환표준점수!D$119,$AP177-1,0),"")</f>
        <v/>
      </c>
      <c r="AP177" s="3">
        <f>IF(S177="","",MATCH(S177,변환표준점수!$B$119:$B$298,0))</f>
        <v>44</v>
      </c>
      <c r="AQ177" s="3">
        <v>1</v>
      </c>
      <c r="AR177" s="3">
        <v>1</v>
      </c>
      <c r="AS177" s="3">
        <v>4</v>
      </c>
      <c r="AT177" s="3">
        <v>4</v>
      </c>
      <c r="AV177" s="3">
        <v>4</v>
      </c>
      <c r="AW177" s="3">
        <v>4</v>
      </c>
      <c r="AX177" s="3">
        <v>3</v>
      </c>
      <c r="AY177" s="3">
        <v>3</v>
      </c>
      <c r="BA177" s="3">
        <f t="shared" si="287"/>
        <v>4</v>
      </c>
      <c r="BJ177" s="3">
        <f t="shared" si="288"/>
        <v>0</v>
      </c>
      <c r="CH177" s="206">
        <f t="shared" si="289"/>
        <v>600</v>
      </c>
      <c r="CI177" s="56">
        <v>139</v>
      </c>
      <c r="CJ177" s="3">
        <v>131</v>
      </c>
      <c r="CK177" s="3">
        <v>123</v>
      </c>
      <c r="CL177" s="3">
        <v>115</v>
      </c>
      <c r="CM177" s="3">
        <v>107</v>
      </c>
      <c r="CN177" s="3">
        <v>99</v>
      </c>
      <c r="CO177" s="3">
        <v>91</v>
      </c>
      <c r="CP177" s="3">
        <v>83</v>
      </c>
      <c r="CQ177" s="3">
        <v>75</v>
      </c>
      <c r="DJ177" s="3">
        <f t="shared" ca="1" si="290"/>
        <v>139</v>
      </c>
      <c r="DK177" s="3">
        <f t="shared" ca="1" si="291"/>
        <v>100</v>
      </c>
      <c r="DL177" s="3">
        <f t="shared" ca="1" si="292"/>
        <v>0</v>
      </c>
      <c r="DO177" s="3">
        <v>2</v>
      </c>
      <c r="DR177" s="3">
        <v>1</v>
      </c>
      <c r="EA177" s="3">
        <f t="shared" si="293"/>
        <v>2</v>
      </c>
      <c r="EB177" s="3">
        <f t="shared" si="294"/>
        <v>2</v>
      </c>
      <c r="EC177" s="3">
        <f t="shared" si="295"/>
        <v>0</v>
      </c>
      <c r="ED177" s="3">
        <f t="shared" si="296"/>
        <v>0</v>
      </c>
      <c r="EF177" s="3">
        <f t="shared" ca="1" si="297"/>
        <v>0</v>
      </c>
      <c r="EG177" s="3">
        <f t="shared" ca="1" si="298"/>
        <v>0</v>
      </c>
      <c r="EH177" s="3">
        <f ca="1">IFERROR(IF(LEFT($BA177,1)="4",OFFSET(변환표준점수!$H$118,MATCH($S177,변환표준점수!$B$119:$B$198,0),),OFFSET(EH$3,MATCH(AS177,$ED$4:$ED$8,0),0)),0)</f>
        <v>0</v>
      </c>
      <c r="EI177" s="3">
        <f ca="1">IFERROR(IF(LEFT($BA177,1)="4",OFFSET(변환표준점수!$I$118,MATCH($S177,변환표준점수!$B$119:$B$198,0),0),OFFSET(EI$3,MATCH(AT177,$ED$4:$ED$8,0),0)),0)</f>
        <v>0</v>
      </c>
      <c r="EK177" s="3">
        <f ca="1">IFERROR(IF(LEFT($BA177,1)="4",OFFSET(변환표준점수!$J$118,MATCH($S177,변환표준점수!$B$119:$B$198,0),0),OFFSET(EJ$3,MATCH(AV177,$ED$4:$ED$8,0),0)),0)</f>
        <v>0</v>
      </c>
      <c r="EL177" s="3">
        <f ca="1">IFERROR(IF(LEFT($BA177,1)="4",OFFSET(변환표준점수!$K$118,MATCH($S177,변환표준점수!$B$119:$B$198,0),0),OFFSET(EK$3,MATCH(AW177,$ED$4:$ED$8,0),0)),0)</f>
        <v>0</v>
      </c>
      <c r="EM177" s="3" t="str">
        <f t="shared" ca="1" si="299"/>
        <v/>
      </c>
      <c r="EN177" s="3" t="str">
        <f t="shared" ca="1" si="300"/>
        <v/>
      </c>
      <c r="EO177" s="3">
        <f t="shared" ca="1" si="301"/>
        <v>0</v>
      </c>
      <c r="EQ177" s="3">
        <f t="shared" ca="1" si="302"/>
        <v>0</v>
      </c>
      <c r="ER177" s="3">
        <f t="shared" ca="1" si="303"/>
        <v>0</v>
      </c>
      <c r="ES177" s="3">
        <f t="shared" ca="1" si="304"/>
        <v>0</v>
      </c>
      <c r="ET177" s="3">
        <f t="shared" ca="1" si="305"/>
        <v>0</v>
      </c>
      <c r="EU177" s="3">
        <f t="shared" si="306"/>
        <v>0</v>
      </c>
      <c r="EV177" s="3">
        <f t="shared" ca="1" si="307"/>
        <v>0</v>
      </c>
      <c r="EW177" s="3">
        <f t="shared" ca="1" si="308"/>
        <v>0</v>
      </c>
      <c r="EX177" s="3">
        <f ca="1">LARGE((ES177:ET177,EV177:EW177),1)</f>
        <v>0</v>
      </c>
      <c r="EY177" s="3">
        <f ca="1">IF(O177&lt;2,0,LARGE((ES177:ET177,EV177:EW177),2))</f>
        <v>0</v>
      </c>
      <c r="EZ177" s="3">
        <f t="shared" ca="1" si="309"/>
        <v>0</v>
      </c>
      <c r="FA177" s="3">
        <f t="shared" ca="1" si="310"/>
        <v>0</v>
      </c>
      <c r="FB177" s="3">
        <f t="shared" ca="1" si="311"/>
        <v>0</v>
      </c>
      <c r="FG177" s="3">
        <f t="shared" ca="1" si="312"/>
        <v>0</v>
      </c>
      <c r="FH177" s="618"/>
      <c r="FU177" s="3" t="str">
        <f t="shared" si="268"/>
        <v>표점</v>
      </c>
      <c r="FV177" s="3" t="str">
        <f t="shared" si="269"/>
        <v>변표</v>
      </c>
      <c r="FW177" s="3">
        <f t="shared" si="313"/>
        <v>0.33</v>
      </c>
      <c r="FX177" s="3">
        <f t="shared" si="314"/>
        <v>0.33</v>
      </c>
      <c r="FY177" s="3">
        <f t="shared" si="315"/>
        <v>0.33</v>
      </c>
      <c r="FZ177" s="3">
        <f t="shared" si="316"/>
        <v>3</v>
      </c>
    </row>
    <row r="178" spans="1:182">
      <c r="A178" s="556">
        <v>26</v>
      </c>
      <c r="C178" s="3">
        <f t="shared" si="270"/>
        <v>163</v>
      </c>
      <c r="D178" s="3">
        <v>163</v>
      </c>
      <c r="E178" s="3" t="s">
        <v>318</v>
      </c>
      <c r="F178" s="3">
        <v>1000</v>
      </c>
      <c r="G178" s="3">
        <f>IF($BB$7=1,0.3,0)</f>
        <v>0.3</v>
      </c>
      <c r="H178" s="3">
        <v>0.4</v>
      </c>
      <c r="I178" s="3">
        <v>0.15</v>
      </c>
      <c r="J178" s="3">
        <v>0.15</v>
      </c>
      <c r="O178" s="3">
        <v>2</v>
      </c>
      <c r="P178" s="3">
        <f t="shared" si="271"/>
        <v>1</v>
      </c>
      <c r="Q178" s="3" t="s">
        <v>408</v>
      </c>
      <c r="S178" s="3" t="str">
        <f t="shared" si="272"/>
        <v/>
      </c>
      <c r="U178" s="3">
        <v>1</v>
      </c>
      <c r="W178" s="3">
        <f t="shared" si="273"/>
        <v>0</v>
      </c>
      <c r="Y178" s="3">
        <f t="shared" si="274"/>
        <v>3</v>
      </c>
      <c r="Z178" s="3">
        <f t="shared" si="275"/>
        <v>4</v>
      </c>
      <c r="AA178" s="3">
        <f t="shared" si="276"/>
        <v>1.5</v>
      </c>
      <c r="AB178" s="3" t="str">
        <f t="shared" si="277"/>
        <v>자동</v>
      </c>
      <c r="AC178" s="3">
        <f t="shared" si="278"/>
        <v>3</v>
      </c>
      <c r="AD178" s="3">
        <f t="shared" si="279"/>
        <v>3</v>
      </c>
      <c r="AE178" s="3">
        <f t="shared" si="280"/>
        <v>4</v>
      </c>
      <c r="AF178" s="3">
        <f t="shared" si="281"/>
        <v>1.5</v>
      </c>
      <c r="AG178" s="3">
        <f t="shared" si="282"/>
        <v>1.5</v>
      </c>
      <c r="AH178" s="3" t="str">
        <f t="shared" si="283"/>
        <v>자동</v>
      </c>
      <c r="AI178" s="3" t="str">
        <f t="shared" si="284"/>
        <v>자동</v>
      </c>
      <c r="AJ178" s="3" t="str">
        <f t="shared" si="285"/>
        <v>자동</v>
      </c>
      <c r="AL178" s="3" t="str">
        <f t="shared" si="286"/>
        <v/>
      </c>
      <c r="AN178" s="3" t="str">
        <f ca="1">IF($BA178=42,OFFSET(변환표준점수!C$119,$AP178-1,0),"")</f>
        <v/>
      </c>
      <c r="AO178" s="3" t="str">
        <f ca="1">IF($BA178=42,OFFSET(변환표준점수!D$119,$AP178-1,0),"")</f>
        <v/>
      </c>
      <c r="AP178" s="3" t="str">
        <f>IF(S178="","",MATCH(S178,변환표준점수!$B$119:$B$298,0))</f>
        <v/>
      </c>
      <c r="AQ178" s="3">
        <v>2</v>
      </c>
      <c r="AR178" s="3">
        <v>2</v>
      </c>
      <c r="AS178" s="3">
        <v>2</v>
      </c>
      <c r="AT178" s="3">
        <v>2</v>
      </c>
      <c r="AX178" s="3">
        <v>3</v>
      </c>
      <c r="AY178" s="3">
        <v>3</v>
      </c>
      <c r="BA178" s="3">
        <f t="shared" si="287"/>
        <v>2</v>
      </c>
      <c r="BC178" s="3">
        <f>$Z178*0.1</f>
        <v>0.4</v>
      </c>
      <c r="BD178" s="3">
        <f>$Z178*0.1</f>
        <v>0.4</v>
      </c>
      <c r="BF178" s="3">
        <f>0.05*AA178</f>
        <v>7.5000000000000011E-2</v>
      </c>
      <c r="BG178" s="3">
        <f>0.05*AA178</f>
        <v>7.5000000000000011E-2</v>
      </c>
      <c r="BJ178" s="3">
        <f t="shared" si="288"/>
        <v>0</v>
      </c>
      <c r="BN178" s="212" t="s">
        <v>7712</v>
      </c>
      <c r="BP178" s="3">
        <f>IF(BP$6&gt;0,BC178*$EG178,0)</f>
        <v>0</v>
      </c>
      <c r="BQ178" s="3">
        <f>IF(BQ$6&gt;0,BD178*$EG178,0)</f>
        <v>0</v>
      </c>
      <c r="BS178" s="3">
        <f ca="1">EH178*BF178</f>
        <v>0</v>
      </c>
      <c r="BT178" s="3">
        <f ca="1">EI178*BG178</f>
        <v>0</v>
      </c>
      <c r="CH178" s="206">
        <f t="shared" si="289"/>
        <v>1000</v>
      </c>
      <c r="CI178" s="56">
        <v>300</v>
      </c>
      <c r="CJ178" s="3">
        <v>285</v>
      </c>
      <c r="CK178" s="3">
        <v>270</v>
      </c>
      <c r="CL178" s="3">
        <v>255</v>
      </c>
      <c r="CM178" s="3">
        <v>240</v>
      </c>
      <c r="CN178" s="3">
        <v>225</v>
      </c>
      <c r="CO178" s="3">
        <v>210</v>
      </c>
      <c r="CP178" s="3">
        <v>195</v>
      </c>
      <c r="CQ178" s="3">
        <v>0</v>
      </c>
      <c r="DJ178" s="3">
        <f t="shared" ca="1" si="290"/>
        <v>300</v>
      </c>
      <c r="DK178" s="3">
        <f t="shared" ca="1" si="291"/>
        <v>100</v>
      </c>
      <c r="DL178" s="3">
        <f t="shared" ca="1" si="292"/>
        <v>0</v>
      </c>
      <c r="DM178" s="3">
        <v>2</v>
      </c>
      <c r="DQ178" s="3">
        <v>1</v>
      </c>
      <c r="DS178" s="3">
        <v>1</v>
      </c>
      <c r="DW178" s="3">
        <f>IF(OR(LEFT(I13,1)="생",LEFT(I13,1)="화",LEFT(J13,1)="생",LEFT(J13,1)="화"),0,1)</f>
        <v>0</v>
      </c>
      <c r="DZ178" s="3">
        <v>1</v>
      </c>
      <c r="EA178" s="3">
        <f t="shared" si="293"/>
        <v>1</v>
      </c>
      <c r="EB178" s="3">
        <f t="shared" si="294"/>
        <v>2</v>
      </c>
      <c r="EC178" s="3">
        <f t="shared" si="295"/>
        <v>0</v>
      </c>
      <c r="ED178" s="3">
        <f t="shared" si="296"/>
        <v>0</v>
      </c>
      <c r="EF178" s="3">
        <f t="shared" ca="1" si="297"/>
        <v>0</v>
      </c>
      <c r="EG178" s="3">
        <f t="shared" ca="1" si="298"/>
        <v>0</v>
      </c>
      <c r="EH178" s="3">
        <f ca="1">IFERROR(IF(LEFT($BA178,1)="4",OFFSET(변환표준점수!$H$118,MATCH($S178,변환표준점수!$B$119:$B$198,0),),OFFSET(EH$3,MATCH(AS178,$ED$4:$ED$8,0),0)),0)</f>
        <v>0</v>
      </c>
      <c r="EI178" s="3">
        <f ca="1">IFERROR(IF(LEFT($BA178,1)="4",OFFSET(변환표준점수!$I$118,MATCH($S178,변환표준점수!$B$119:$B$198,0),0),OFFSET(EI$3,MATCH(AT178,$ED$4:$ED$8,0),0)),0)</f>
        <v>0</v>
      </c>
      <c r="EK178" s="3">
        <f ca="1">IFERROR(IF(LEFT($BA178,1)="4",OFFSET(변환표준점수!$J$118,MATCH($S178,변환표준점수!$B$119:$B$198,0),0),OFFSET(EJ$3,MATCH(AV178,$ED$4:$ED$8,0),0)),0)</f>
        <v>0</v>
      </c>
      <c r="EL178" s="3">
        <f ca="1">IFERROR(IF(LEFT($BA178,1)="4",OFFSET(변환표준점수!$K$118,MATCH($S178,변환표준점수!$B$119:$B$198,0),0),OFFSET(EK$3,MATCH(AW178,$ED$4:$ED$8,0),0)),0)</f>
        <v>0</v>
      </c>
      <c r="EM178" s="3" t="str">
        <f t="shared" ca="1" si="299"/>
        <v/>
      </c>
      <c r="EN178" s="3" t="str">
        <f t="shared" ca="1" si="300"/>
        <v/>
      </c>
      <c r="EO178" s="3">
        <f t="shared" ca="1" si="301"/>
        <v>0</v>
      </c>
      <c r="EQ178" s="3">
        <f t="shared" ca="1" si="302"/>
        <v>0</v>
      </c>
      <c r="ER178" s="3">
        <f t="shared" ca="1" si="303"/>
        <v>0</v>
      </c>
      <c r="ES178" s="3">
        <f t="shared" ca="1" si="304"/>
        <v>0</v>
      </c>
      <c r="ET178" s="3">
        <f t="shared" ca="1" si="305"/>
        <v>0</v>
      </c>
      <c r="EU178" s="3">
        <f t="shared" si="306"/>
        <v>0</v>
      </c>
      <c r="EV178" s="3">
        <f t="shared" ca="1" si="307"/>
        <v>0</v>
      </c>
      <c r="EW178" s="3">
        <f t="shared" ca="1" si="308"/>
        <v>0</v>
      </c>
      <c r="EX178" s="3">
        <f ca="1">LARGE((ES178:ET178,EV178:EW178),1)</f>
        <v>0</v>
      </c>
      <c r="EY178" s="3">
        <f ca="1">IF(O178&lt;2,0,LARGE((ES178:ET178,EV178:EW178),2))</f>
        <v>0</v>
      </c>
      <c r="EZ178" s="3">
        <f t="shared" ca="1" si="309"/>
        <v>0</v>
      </c>
      <c r="FA178" s="3">
        <f t="shared" ca="1" si="310"/>
        <v>0</v>
      </c>
      <c r="FB178" s="3">
        <f t="shared" ca="1" si="311"/>
        <v>0</v>
      </c>
      <c r="FE178" s="3" t="s">
        <v>445</v>
      </c>
      <c r="FF178" s="3">
        <f ca="1">ER178+EX178+EY178+MAX(EQ178,EZ178)+EU178+FA178+FB178</f>
        <v>0</v>
      </c>
      <c r="FG178" s="3">
        <f t="shared" ca="1" si="312"/>
        <v>0</v>
      </c>
      <c r="FH178" s="618" t="s">
        <v>7713</v>
      </c>
      <c r="FU178" s="3" t="str">
        <f t="shared" si="268"/>
        <v>백분위</v>
      </c>
      <c r="FV178" s="3" t="str">
        <f t="shared" si="269"/>
        <v>백분위</v>
      </c>
      <c r="FW178" s="3">
        <f t="shared" si="313"/>
        <v>0.3</v>
      </c>
      <c r="FX178" s="3">
        <f t="shared" si="314"/>
        <v>0.4</v>
      </c>
      <c r="FY178" s="3">
        <f t="shared" si="315"/>
        <v>0.3</v>
      </c>
      <c r="FZ178" s="3">
        <f t="shared" si="316"/>
        <v>10</v>
      </c>
    </row>
    <row r="179" spans="1:182">
      <c r="A179" s="556">
        <v>26</v>
      </c>
      <c r="C179" s="3">
        <f t="shared" si="270"/>
        <v>164</v>
      </c>
      <c r="D179" s="3">
        <v>164</v>
      </c>
      <c r="E179" s="3" t="s">
        <v>289</v>
      </c>
      <c r="F179" s="3">
        <v>1000</v>
      </c>
      <c r="G179" s="3">
        <v>0.25</v>
      </c>
      <c r="H179" s="3">
        <v>0.3</v>
      </c>
      <c r="I179" s="3">
        <v>0.1</v>
      </c>
      <c r="J179" s="3">
        <v>0.1</v>
      </c>
      <c r="L179" s="3">
        <v>0.1</v>
      </c>
      <c r="M179" s="3">
        <v>0.1</v>
      </c>
      <c r="O179" s="3">
        <v>2</v>
      </c>
      <c r="P179" s="3">
        <f t="shared" si="271"/>
        <v>0.75</v>
      </c>
      <c r="Q179" s="3" t="s">
        <v>408</v>
      </c>
      <c r="S179" s="3" t="str">
        <f t="shared" si="272"/>
        <v/>
      </c>
      <c r="U179" s="3">
        <v>1</v>
      </c>
      <c r="W179" s="3">
        <f t="shared" si="273"/>
        <v>0</v>
      </c>
      <c r="Y179" s="3">
        <f t="shared" si="274"/>
        <v>2.5</v>
      </c>
      <c r="Z179" s="3">
        <f t="shared" si="275"/>
        <v>3</v>
      </c>
      <c r="AA179" s="3">
        <f t="shared" si="276"/>
        <v>1</v>
      </c>
      <c r="AB179" s="3">
        <f t="shared" si="277"/>
        <v>1</v>
      </c>
      <c r="AC179" s="3">
        <f t="shared" si="278"/>
        <v>2</v>
      </c>
      <c r="AD179" s="3">
        <f t="shared" si="279"/>
        <v>2.5</v>
      </c>
      <c r="AE179" s="3">
        <f t="shared" si="280"/>
        <v>3</v>
      </c>
      <c r="AF179" s="3">
        <f t="shared" si="281"/>
        <v>1</v>
      </c>
      <c r="AG179" s="3">
        <f t="shared" si="282"/>
        <v>1</v>
      </c>
      <c r="AH179" s="3" t="str">
        <f t="shared" si="283"/>
        <v>자동</v>
      </c>
      <c r="AI179" s="3">
        <f t="shared" si="284"/>
        <v>1</v>
      </c>
      <c r="AJ179" s="3">
        <f t="shared" si="285"/>
        <v>1</v>
      </c>
      <c r="AL179" s="3" t="str">
        <f t="shared" si="286"/>
        <v/>
      </c>
      <c r="AN179" s="3" t="str">
        <f ca="1">IF($BA179=42,OFFSET(변환표준점수!C$119,$AP179-1,0),"")</f>
        <v/>
      </c>
      <c r="AO179" s="3" t="str">
        <f ca="1">IF($BA179=42,OFFSET(변환표준점수!D$119,$AP179-1,0),"")</f>
        <v/>
      </c>
      <c r="AP179" s="3" t="str">
        <f>IF(S179="","",MATCH(S179,변환표준점수!$B$119:$B$298,0))</f>
        <v/>
      </c>
      <c r="AQ179" s="3">
        <v>2</v>
      </c>
      <c r="AR179" s="3">
        <v>2</v>
      </c>
      <c r="AS179" s="3">
        <v>2</v>
      </c>
      <c r="AT179" s="3">
        <v>2</v>
      </c>
      <c r="AV179" s="3">
        <v>2</v>
      </c>
      <c r="AW179" s="3">
        <v>2</v>
      </c>
      <c r="AX179" s="3">
        <v>3</v>
      </c>
      <c r="AY179" s="3">
        <v>3</v>
      </c>
      <c r="BA179" s="3">
        <f t="shared" si="287"/>
        <v>2</v>
      </c>
      <c r="BC179" s="3">
        <f>$Z179*0.05</f>
        <v>0.15000000000000002</v>
      </c>
      <c r="BD179" s="3">
        <f>$Z179*0.05</f>
        <v>0.15000000000000002</v>
      </c>
      <c r="BF179" s="3">
        <f>0.03*AA179</f>
        <v>0.03</v>
      </c>
      <c r="BG179" s="3">
        <f>0.03*AA179</f>
        <v>0.03</v>
      </c>
      <c r="BJ179" s="3">
        <f t="shared" si="288"/>
        <v>0</v>
      </c>
      <c r="BN179" s="212" t="s">
        <v>7714</v>
      </c>
      <c r="BP179" s="3">
        <f>IF(BP$6&gt;0,BC179*$EG179,0)</f>
        <v>0</v>
      </c>
      <c r="BQ179" s="3">
        <f>IF(BQ$6&gt;0,BD179*$EG179,0)</f>
        <v>0</v>
      </c>
      <c r="BS179" s="3">
        <f>IF($DM$8&gt;1,EH179*BF179,0)</f>
        <v>0</v>
      </c>
      <c r="BT179" s="3">
        <f>IF($DM$8&gt;1,EI179*BG179,0)</f>
        <v>0</v>
      </c>
      <c r="CH179" s="206">
        <f t="shared" si="289"/>
        <v>750</v>
      </c>
      <c r="CI179" s="56">
        <v>245</v>
      </c>
      <c r="CJ179" s="3">
        <v>237.5</v>
      </c>
      <c r="CK179" s="3">
        <v>230</v>
      </c>
      <c r="CL179" s="3">
        <v>217.5</v>
      </c>
      <c r="CM179" s="3">
        <v>205</v>
      </c>
      <c r="CN179" s="3">
        <v>175</v>
      </c>
      <c r="CO179" s="3">
        <v>125</v>
      </c>
      <c r="CP179" s="3">
        <v>100</v>
      </c>
      <c r="CQ179" s="3">
        <v>75</v>
      </c>
      <c r="DJ179" s="3">
        <f t="shared" ca="1" si="290"/>
        <v>245</v>
      </c>
      <c r="DK179" s="3">
        <f t="shared" ca="1" si="291"/>
        <v>100</v>
      </c>
      <c r="DL179" s="3">
        <f t="shared" ca="1" si="292"/>
        <v>0</v>
      </c>
      <c r="DO179" s="3">
        <v>2</v>
      </c>
      <c r="DZ179" s="3">
        <v>1</v>
      </c>
      <c r="EA179" s="3">
        <f t="shared" si="293"/>
        <v>1</v>
      </c>
      <c r="EB179" s="3">
        <f t="shared" si="294"/>
        <v>2</v>
      </c>
      <c r="EC179" s="3">
        <f t="shared" si="295"/>
        <v>0</v>
      </c>
      <c r="ED179" s="3">
        <f t="shared" si="296"/>
        <v>0</v>
      </c>
      <c r="EF179" s="3">
        <f t="shared" ca="1" si="297"/>
        <v>0</v>
      </c>
      <c r="EG179" s="3">
        <f t="shared" ca="1" si="298"/>
        <v>0</v>
      </c>
      <c r="EH179" s="3">
        <f ca="1">IFERROR(IF(LEFT($BA179,1)="4",OFFSET(변환표준점수!$H$118,MATCH($S179,변환표준점수!$B$119:$B$198,0),),OFFSET(EH$3,MATCH(AS179,$ED$4:$ED$8,0),0)),0)</f>
        <v>0</v>
      </c>
      <c r="EI179" s="3">
        <f ca="1">IFERROR(IF(LEFT($BA179,1)="4",OFFSET(변환표준점수!$I$118,MATCH($S179,변환표준점수!$B$119:$B$198,0),0),OFFSET(EI$3,MATCH(AT179,$ED$4:$ED$8,0),0)),0)</f>
        <v>0</v>
      </c>
      <c r="EK179" s="3">
        <f ca="1">IFERROR(IF(LEFT($BA179,1)="4",OFFSET(변환표준점수!$J$118,MATCH($S179,변환표준점수!$B$119:$B$198,0),0),OFFSET(EJ$3,MATCH(AV179,$ED$4:$ED$8,0),0)),0)</f>
        <v>0</v>
      </c>
      <c r="EL179" s="3">
        <f ca="1">IFERROR(IF(LEFT($BA179,1)="4",OFFSET(변환표준점수!$K$118,MATCH($S179,변환표준점수!$B$119:$B$198,0),0),OFFSET(EK$3,MATCH(AW179,$ED$4:$ED$8,0),0)),0)</f>
        <v>0</v>
      </c>
      <c r="EM179" s="3" t="str">
        <f t="shared" ca="1" si="299"/>
        <v/>
      </c>
      <c r="EN179" s="3" t="str">
        <f t="shared" ca="1" si="300"/>
        <v/>
      </c>
      <c r="EO179" s="3">
        <f t="shared" ca="1" si="301"/>
        <v>0</v>
      </c>
      <c r="EQ179" s="3">
        <f t="shared" ca="1" si="302"/>
        <v>0</v>
      </c>
      <c r="ER179" s="3">
        <f t="shared" ca="1" si="303"/>
        <v>0</v>
      </c>
      <c r="ES179" s="3">
        <f t="shared" ca="1" si="304"/>
        <v>0</v>
      </c>
      <c r="ET179" s="3">
        <f t="shared" ca="1" si="305"/>
        <v>0</v>
      </c>
      <c r="EU179" s="3">
        <f t="shared" si="306"/>
        <v>0</v>
      </c>
      <c r="EV179" s="3">
        <f t="shared" ca="1" si="307"/>
        <v>0</v>
      </c>
      <c r="EW179" s="3">
        <f t="shared" ca="1" si="308"/>
        <v>0</v>
      </c>
      <c r="EX179" s="3">
        <f ca="1">LARGE((ES179:ET179,EV179:EW179),1)</f>
        <v>0</v>
      </c>
      <c r="EY179" s="3">
        <f ca="1">IF(O179&lt;2,0,LARGE((ES179:ET179,EV179:EW179),2))</f>
        <v>0</v>
      </c>
      <c r="EZ179" s="3">
        <f t="shared" ca="1" si="309"/>
        <v>0</v>
      </c>
      <c r="FA179" s="3">
        <f t="shared" ca="1" si="310"/>
        <v>0</v>
      </c>
      <c r="FB179" s="3">
        <f t="shared" ca="1" si="311"/>
        <v>0</v>
      </c>
      <c r="FG179" s="3">
        <f t="shared" ca="1" si="312"/>
        <v>0</v>
      </c>
      <c r="FH179" s="618"/>
      <c r="FU179" s="3" t="str">
        <f t="shared" si="268"/>
        <v>백분위</v>
      </c>
      <c r="FV179" s="3" t="str">
        <f t="shared" si="269"/>
        <v>백분위</v>
      </c>
      <c r="FW179" s="3">
        <f t="shared" si="313"/>
        <v>0.33</v>
      </c>
      <c r="FX179" s="3">
        <f t="shared" si="314"/>
        <v>0.4</v>
      </c>
      <c r="FY179" s="3">
        <f t="shared" si="315"/>
        <v>0.27</v>
      </c>
      <c r="FZ179" s="3">
        <f t="shared" si="316"/>
        <v>7.5</v>
      </c>
    </row>
    <row r="180" spans="1:182">
      <c r="A180" s="556">
        <v>26</v>
      </c>
      <c r="C180" s="3">
        <f t="shared" si="270"/>
        <v>165</v>
      </c>
      <c r="D180" s="3">
        <v>165</v>
      </c>
      <c r="E180" s="3" t="s">
        <v>292</v>
      </c>
      <c r="F180" s="3">
        <v>1000</v>
      </c>
      <c r="G180" s="3">
        <v>0.2</v>
      </c>
      <c r="H180" s="3">
        <v>0.4</v>
      </c>
      <c r="I180" s="3">
        <v>0.1</v>
      </c>
      <c r="J180" s="3">
        <v>0.1</v>
      </c>
      <c r="O180" s="3">
        <v>2</v>
      </c>
      <c r="P180" s="3">
        <f t="shared" si="271"/>
        <v>0.8</v>
      </c>
      <c r="Q180" s="3" t="s">
        <v>408</v>
      </c>
      <c r="S180" s="3" t="str">
        <f t="shared" si="272"/>
        <v/>
      </c>
      <c r="U180" s="3">
        <v>1</v>
      </c>
      <c r="W180" s="3">
        <f t="shared" si="273"/>
        <v>0</v>
      </c>
      <c r="Y180" s="3">
        <f t="shared" si="274"/>
        <v>2</v>
      </c>
      <c r="Z180" s="3">
        <f t="shared" si="275"/>
        <v>4</v>
      </c>
      <c r="AA180" s="3">
        <f t="shared" si="276"/>
        <v>1</v>
      </c>
      <c r="AB180" s="3" t="str">
        <f t="shared" si="277"/>
        <v>자동</v>
      </c>
      <c r="AC180" s="3">
        <f t="shared" si="278"/>
        <v>2</v>
      </c>
      <c r="AD180" s="3">
        <f t="shared" si="279"/>
        <v>2</v>
      </c>
      <c r="AE180" s="3">
        <f t="shared" si="280"/>
        <v>4</v>
      </c>
      <c r="AF180" s="3">
        <f t="shared" si="281"/>
        <v>1</v>
      </c>
      <c r="AG180" s="3">
        <f t="shared" si="282"/>
        <v>1</v>
      </c>
      <c r="AH180" s="3" t="str">
        <f t="shared" si="283"/>
        <v>자동</v>
      </c>
      <c r="AI180" s="3" t="str">
        <f t="shared" si="284"/>
        <v>자동</v>
      </c>
      <c r="AJ180" s="3" t="str">
        <f t="shared" si="285"/>
        <v>자동</v>
      </c>
      <c r="AL180" s="3" t="str">
        <f t="shared" si="286"/>
        <v/>
      </c>
      <c r="AN180" s="3" t="str">
        <f ca="1">IF($BA180=42,OFFSET(변환표준점수!C$119,$AP180-1,0),"")</f>
        <v/>
      </c>
      <c r="AO180" s="3" t="str">
        <f ca="1">IF($BA180=42,OFFSET(변환표준점수!D$119,$AP180-1,0),"")</f>
        <v/>
      </c>
      <c r="AP180" s="3" t="str">
        <f>IF(S180="","",MATCH(S180,변환표준점수!$B$119:$B$298,0))</f>
        <v/>
      </c>
      <c r="AQ180" s="3">
        <v>2</v>
      </c>
      <c r="AR180" s="3">
        <v>2</v>
      </c>
      <c r="AS180" s="3">
        <v>2</v>
      </c>
      <c r="AT180" s="3">
        <v>2</v>
      </c>
      <c r="AX180" s="3">
        <v>3</v>
      </c>
      <c r="AY180" s="3">
        <v>3</v>
      </c>
      <c r="BA180" s="3">
        <f t="shared" si="287"/>
        <v>2</v>
      </c>
      <c r="BJ180" s="3">
        <f t="shared" si="288"/>
        <v>0</v>
      </c>
      <c r="CH180" s="206">
        <f t="shared" si="289"/>
        <v>800</v>
      </c>
      <c r="CI180" s="56">
        <v>200</v>
      </c>
      <c r="CJ180" s="3">
        <v>180</v>
      </c>
      <c r="CK180" s="3">
        <v>150</v>
      </c>
      <c r="CL180" s="3">
        <v>120</v>
      </c>
      <c r="CM180" s="3">
        <v>110</v>
      </c>
      <c r="CN180" s="3">
        <v>100</v>
      </c>
      <c r="CO180" s="3">
        <v>70</v>
      </c>
      <c r="CP180" s="3">
        <v>40</v>
      </c>
      <c r="CQ180" s="3">
        <v>20</v>
      </c>
      <c r="CR180" s="56">
        <v>3</v>
      </c>
      <c r="CS180" s="3">
        <v>2</v>
      </c>
      <c r="CT180" s="3">
        <v>1</v>
      </c>
      <c r="DJ180" s="3">
        <f t="shared" ca="1" si="290"/>
        <v>200</v>
      </c>
      <c r="DK180" s="3">
        <f t="shared" ca="1" si="291"/>
        <v>100</v>
      </c>
      <c r="DL180" s="3">
        <f t="shared" ca="1" si="292"/>
        <v>3</v>
      </c>
      <c r="DM180" s="3">
        <v>2</v>
      </c>
      <c r="DQ180" s="3">
        <v>1</v>
      </c>
      <c r="DS180" s="3">
        <v>1</v>
      </c>
      <c r="EA180" s="3">
        <f t="shared" si="293"/>
        <v>1</v>
      </c>
      <c r="EB180" s="3">
        <f t="shared" si="294"/>
        <v>2</v>
      </c>
      <c r="EC180" s="3">
        <f t="shared" si="295"/>
        <v>0</v>
      </c>
      <c r="ED180" s="3">
        <f t="shared" si="296"/>
        <v>0</v>
      </c>
      <c r="EF180" s="3">
        <f t="shared" ca="1" si="297"/>
        <v>0</v>
      </c>
      <c r="EG180" s="3">
        <f t="shared" ca="1" si="298"/>
        <v>0</v>
      </c>
      <c r="EH180" s="3">
        <f ca="1">IFERROR(IF(LEFT($BA180,1)="4",OFFSET(변환표준점수!$H$118,MATCH($S180,변환표준점수!$B$119:$B$198,0),),OFFSET(EH$3,MATCH(AS180,$ED$4:$ED$8,0),0)),0)</f>
        <v>0</v>
      </c>
      <c r="EI180" s="3">
        <f ca="1">IFERROR(IF(LEFT($BA180,1)="4",OFFSET(변환표준점수!$I$118,MATCH($S180,변환표준점수!$B$119:$B$198,0),0),OFFSET(EI$3,MATCH(AT180,$ED$4:$ED$8,0),0)),0)</f>
        <v>0</v>
      </c>
      <c r="EK180" s="3">
        <f ca="1">IFERROR(IF(LEFT($BA180,1)="4",OFFSET(변환표준점수!$J$118,MATCH($S180,변환표준점수!$B$119:$B$198,0),0),OFFSET(EJ$3,MATCH(AV180,$ED$4:$ED$8,0),0)),0)</f>
        <v>0</v>
      </c>
      <c r="EL180" s="3">
        <f ca="1">IFERROR(IF(LEFT($BA180,1)="4",OFFSET(변환표준점수!$K$118,MATCH($S180,변환표준점수!$B$119:$B$198,0),0),OFFSET(EK$3,MATCH(AW180,$ED$4:$ED$8,0),0)),0)</f>
        <v>0</v>
      </c>
      <c r="EM180" s="3" t="str">
        <f t="shared" ca="1" si="299"/>
        <v/>
      </c>
      <c r="EN180" s="3" t="str">
        <f t="shared" ca="1" si="300"/>
        <v/>
      </c>
      <c r="EO180" s="3">
        <f t="shared" ca="1" si="301"/>
        <v>0</v>
      </c>
      <c r="EQ180" s="3">
        <f t="shared" ca="1" si="302"/>
        <v>0</v>
      </c>
      <c r="ER180" s="3">
        <f t="shared" ca="1" si="303"/>
        <v>0</v>
      </c>
      <c r="ES180" s="3">
        <f t="shared" ca="1" si="304"/>
        <v>0</v>
      </c>
      <c r="ET180" s="3">
        <f t="shared" ca="1" si="305"/>
        <v>0</v>
      </c>
      <c r="EU180" s="3">
        <f t="shared" si="306"/>
        <v>0</v>
      </c>
      <c r="EV180" s="3">
        <f t="shared" ca="1" si="307"/>
        <v>0</v>
      </c>
      <c r="EW180" s="3">
        <f t="shared" ca="1" si="308"/>
        <v>0</v>
      </c>
      <c r="EX180" s="3">
        <f ca="1">LARGE((ES180:ET180,EV180:EW180),1)</f>
        <v>0</v>
      </c>
      <c r="EY180" s="3">
        <f ca="1">IF(O180&lt;2,0,LARGE((ES180:ET180,EV180:EW180),2))</f>
        <v>0</v>
      </c>
      <c r="EZ180" s="3">
        <f t="shared" ca="1" si="309"/>
        <v>0</v>
      </c>
      <c r="FA180" s="3">
        <f t="shared" ca="1" si="310"/>
        <v>0</v>
      </c>
      <c r="FB180" s="3">
        <f t="shared" ca="1" si="311"/>
        <v>0</v>
      </c>
      <c r="FG180" s="3">
        <f t="shared" ca="1" si="312"/>
        <v>0</v>
      </c>
      <c r="FH180" s="618"/>
      <c r="FU180" s="3" t="str">
        <f t="shared" si="268"/>
        <v>백분위</v>
      </c>
      <c r="FV180" s="3" t="str">
        <f t="shared" si="269"/>
        <v>백분위</v>
      </c>
      <c r="FW180" s="3">
        <f t="shared" si="313"/>
        <v>0.25</v>
      </c>
      <c r="FX180" s="3">
        <f t="shared" si="314"/>
        <v>0.5</v>
      </c>
      <c r="FY180" s="3">
        <f t="shared" si="315"/>
        <v>0.25</v>
      </c>
      <c r="FZ180" s="3">
        <f t="shared" si="316"/>
        <v>8</v>
      </c>
    </row>
    <row r="181" spans="1:182">
      <c r="A181" s="556">
        <v>26</v>
      </c>
      <c r="C181" s="3">
        <f t="shared" si="270"/>
        <v>166</v>
      </c>
      <c r="D181" s="3">
        <v>166</v>
      </c>
      <c r="E181" s="3" t="s">
        <v>294</v>
      </c>
      <c r="F181" s="3">
        <v>1000</v>
      </c>
      <c r="G181" s="3">
        <v>0.2</v>
      </c>
      <c r="H181" s="3">
        <v>0.4</v>
      </c>
      <c r="I181" s="3">
        <v>0.1</v>
      </c>
      <c r="J181" s="3">
        <v>0.1</v>
      </c>
      <c r="L181" s="3">
        <v>0.1</v>
      </c>
      <c r="M181" s="3">
        <v>0.1</v>
      </c>
      <c r="O181" s="3">
        <v>2</v>
      </c>
      <c r="P181" s="3">
        <f t="shared" si="271"/>
        <v>0.8</v>
      </c>
      <c r="Q181" s="3" t="s">
        <v>408</v>
      </c>
      <c r="S181" s="3" t="str">
        <f t="shared" si="272"/>
        <v/>
      </c>
      <c r="U181" s="3">
        <v>1</v>
      </c>
      <c r="W181" s="3">
        <f t="shared" si="273"/>
        <v>0</v>
      </c>
      <c r="Y181" s="3">
        <f t="shared" si="274"/>
        <v>2</v>
      </c>
      <c r="Z181" s="3">
        <f t="shared" si="275"/>
        <v>4</v>
      </c>
      <c r="AA181" s="3">
        <f t="shared" si="276"/>
        <v>1</v>
      </c>
      <c r="AB181" s="3">
        <f t="shared" si="277"/>
        <v>1</v>
      </c>
      <c r="AC181" s="3">
        <f t="shared" si="278"/>
        <v>2</v>
      </c>
      <c r="AD181" s="3">
        <f t="shared" si="279"/>
        <v>2</v>
      </c>
      <c r="AE181" s="3">
        <f t="shared" si="280"/>
        <v>4</v>
      </c>
      <c r="AF181" s="3">
        <f t="shared" si="281"/>
        <v>1</v>
      </c>
      <c r="AG181" s="3">
        <f t="shared" si="282"/>
        <v>1</v>
      </c>
      <c r="AH181" s="3" t="str">
        <f t="shared" si="283"/>
        <v>자동</v>
      </c>
      <c r="AI181" s="3">
        <f t="shared" si="284"/>
        <v>1</v>
      </c>
      <c r="AJ181" s="3">
        <f t="shared" si="285"/>
        <v>1</v>
      </c>
      <c r="AL181" s="3" t="str">
        <f t="shared" si="286"/>
        <v/>
      </c>
      <c r="AN181" s="3" t="str">
        <f ca="1">IF($BA181=42,OFFSET(변환표준점수!C$119,$AP181-1,0),"")</f>
        <v/>
      </c>
      <c r="AO181" s="3" t="str">
        <f ca="1">IF($BA181=42,OFFSET(변환표준점수!D$119,$AP181-1,0),"")</f>
        <v/>
      </c>
      <c r="AP181" s="3" t="str">
        <f>IF(S181="","",MATCH(S181,변환표준점수!$B$119:$B$298,0))</f>
        <v/>
      </c>
      <c r="AQ181" s="3">
        <v>2</v>
      </c>
      <c r="AR181" s="3">
        <v>2</v>
      </c>
      <c r="AS181" s="3">
        <v>2</v>
      </c>
      <c r="AT181" s="3">
        <v>2</v>
      </c>
      <c r="AV181" s="3">
        <v>2</v>
      </c>
      <c r="AW181" s="3">
        <v>2</v>
      </c>
      <c r="AX181" s="3">
        <v>3</v>
      </c>
      <c r="AY181" s="3">
        <v>3</v>
      </c>
      <c r="BA181" s="3">
        <f t="shared" si="287"/>
        <v>2</v>
      </c>
      <c r="BJ181" s="3">
        <f t="shared" si="288"/>
        <v>0</v>
      </c>
      <c r="CH181" s="206">
        <f t="shared" si="289"/>
        <v>800</v>
      </c>
      <c r="CI181" s="56">
        <v>200</v>
      </c>
      <c r="CJ181" s="3">
        <v>180</v>
      </c>
      <c r="CK181" s="3">
        <v>150</v>
      </c>
      <c r="CL181" s="3">
        <v>120</v>
      </c>
      <c r="CM181" s="3">
        <v>110</v>
      </c>
      <c r="CN181" s="3">
        <v>100</v>
      </c>
      <c r="CO181" s="3">
        <v>70</v>
      </c>
      <c r="CP181" s="3">
        <v>40</v>
      </c>
      <c r="CQ181" s="3">
        <v>20</v>
      </c>
      <c r="CR181" s="56">
        <v>3</v>
      </c>
      <c r="CS181" s="3">
        <v>2</v>
      </c>
      <c r="CT181" s="3">
        <v>1</v>
      </c>
      <c r="DJ181" s="3">
        <f t="shared" ca="1" si="290"/>
        <v>200</v>
      </c>
      <c r="DK181" s="3">
        <f t="shared" ca="1" si="291"/>
        <v>100</v>
      </c>
      <c r="DL181" s="3">
        <f t="shared" ca="1" si="292"/>
        <v>3</v>
      </c>
      <c r="DO181" s="3">
        <v>2</v>
      </c>
      <c r="DZ181" s="3">
        <v>1</v>
      </c>
      <c r="EA181" s="3">
        <f t="shared" si="293"/>
        <v>1</v>
      </c>
      <c r="EB181" s="3">
        <f t="shared" si="294"/>
        <v>2</v>
      </c>
      <c r="EC181" s="3">
        <f t="shared" si="295"/>
        <v>0</v>
      </c>
      <c r="ED181" s="3">
        <f t="shared" si="296"/>
        <v>0</v>
      </c>
      <c r="EF181" s="3">
        <f t="shared" ca="1" si="297"/>
        <v>0</v>
      </c>
      <c r="EG181" s="3">
        <f t="shared" ca="1" si="298"/>
        <v>0</v>
      </c>
      <c r="EH181" s="3">
        <f ca="1">IFERROR(IF(LEFT($BA181,1)="4",OFFSET(변환표준점수!$H$118,MATCH($S181,변환표준점수!$B$119:$B$198,0),),OFFSET(EH$3,MATCH(AS181,$ED$4:$ED$8,0),0)),0)</f>
        <v>0</v>
      </c>
      <c r="EI181" s="3">
        <f ca="1">IFERROR(IF(LEFT($BA181,1)="4",OFFSET(변환표준점수!$I$118,MATCH($S181,변환표준점수!$B$119:$B$198,0),0),OFFSET(EI$3,MATCH(AT181,$ED$4:$ED$8,0),0)),0)</f>
        <v>0</v>
      </c>
      <c r="EK181" s="3">
        <f ca="1">IFERROR(IF(LEFT($BA181,1)="4",OFFSET(변환표준점수!$J$118,MATCH($S181,변환표준점수!$B$119:$B$198,0),0),OFFSET(EJ$3,MATCH(AV181,$ED$4:$ED$8,0),0)),0)</f>
        <v>0</v>
      </c>
      <c r="EL181" s="3">
        <f ca="1">IFERROR(IF(LEFT($BA181,1)="4",OFFSET(변환표준점수!$K$118,MATCH($S181,변환표준점수!$B$119:$B$198,0),0),OFFSET(EK$3,MATCH(AW181,$ED$4:$ED$8,0),0)),0)</f>
        <v>0</v>
      </c>
      <c r="EM181" s="3" t="str">
        <f t="shared" ca="1" si="299"/>
        <v/>
      </c>
      <c r="EN181" s="3" t="str">
        <f t="shared" ca="1" si="300"/>
        <v/>
      </c>
      <c r="EO181" s="3">
        <f t="shared" ca="1" si="301"/>
        <v>0</v>
      </c>
      <c r="EQ181" s="3">
        <f t="shared" ca="1" si="302"/>
        <v>0</v>
      </c>
      <c r="ER181" s="3">
        <f t="shared" ca="1" si="303"/>
        <v>0</v>
      </c>
      <c r="ES181" s="3">
        <f t="shared" ca="1" si="304"/>
        <v>0</v>
      </c>
      <c r="ET181" s="3">
        <f t="shared" ca="1" si="305"/>
        <v>0</v>
      </c>
      <c r="EU181" s="3">
        <f t="shared" si="306"/>
        <v>0</v>
      </c>
      <c r="EV181" s="3">
        <f t="shared" ca="1" si="307"/>
        <v>0</v>
      </c>
      <c r="EW181" s="3">
        <f t="shared" ca="1" si="308"/>
        <v>0</v>
      </c>
      <c r="EX181" s="3">
        <f ca="1">LARGE((ES181:ET181,EV181:EW181),1)</f>
        <v>0</v>
      </c>
      <c r="EY181" s="3">
        <f ca="1">IF(O181&lt;2,0,LARGE((ES181:ET181,EV181:EW181),2))</f>
        <v>0</v>
      </c>
      <c r="EZ181" s="3">
        <f t="shared" ca="1" si="309"/>
        <v>0</v>
      </c>
      <c r="FA181" s="3">
        <f t="shared" ca="1" si="310"/>
        <v>0</v>
      </c>
      <c r="FB181" s="3">
        <f t="shared" ca="1" si="311"/>
        <v>0</v>
      </c>
      <c r="FG181" s="3">
        <f t="shared" ca="1" si="312"/>
        <v>0</v>
      </c>
      <c r="FH181" s="618"/>
      <c r="FU181" s="3" t="str">
        <f t="shared" si="268"/>
        <v>백분위</v>
      </c>
      <c r="FV181" s="3" t="str">
        <f t="shared" si="269"/>
        <v>백분위</v>
      </c>
      <c r="FW181" s="3">
        <f t="shared" si="313"/>
        <v>0.25</v>
      </c>
      <c r="FX181" s="3">
        <f t="shared" si="314"/>
        <v>0.5</v>
      </c>
      <c r="FY181" s="3">
        <f t="shared" si="315"/>
        <v>0.25</v>
      </c>
      <c r="FZ181" s="3">
        <f t="shared" si="316"/>
        <v>8</v>
      </c>
    </row>
    <row r="182" spans="1:182">
      <c r="A182" s="556">
        <v>26</v>
      </c>
      <c r="C182" s="3">
        <f t="shared" si="270"/>
        <v>167</v>
      </c>
      <c r="D182" s="3">
        <v>167</v>
      </c>
      <c r="E182" s="3" t="s">
        <v>279</v>
      </c>
      <c r="F182" s="3">
        <v>1000</v>
      </c>
      <c r="G182" s="3">
        <v>0.3</v>
      </c>
      <c r="H182" s="3">
        <v>0.3</v>
      </c>
      <c r="I182" s="3">
        <v>0.15</v>
      </c>
      <c r="J182" s="3">
        <v>0.15</v>
      </c>
      <c r="L182" s="3">
        <v>0.15</v>
      </c>
      <c r="M182" s="3">
        <v>0.15</v>
      </c>
      <c r="O182" s="3">
        <v>2</v>
      </c>
      <c r="P182" s="3">
        <f t="shared" si="271"/>
        <v>0.89999999999999991</v>
      </c>
      <c r="Q182" s="3" t="s">
        <v>408</v>
      </c>
      <c r="S182" s="3" t="str">
        <f t="shared" si="272"/>
        <v/>
      </c>
      <c r="U182" s="3">
        <v>1</v>
      </c>
      <c r="W182" s="3">
        <f t="shared" si="273"/>
        <v>0</v>
      </c>
      <c r="Y182" s="3">
        <f t="shared" si="274"/>
        <v>3</v>
      </c>
      <c r="Z182" s="3">
        <f t="shared" si="275"/>
        <v>3</v>
      </c>
      <c r="AA182" s="3">
        <f t="shared" si="276"/>
        <v>1.5</v>
      </c>
      <c r="AB182" s="3">
        <f t="shared" si="277"/>
        <v>1.5</v>
      </c>
      <c r="AC182" s="3">
        <f t="shared" si="278"/>
        <v>3</v>
      </c>
      <c r="AD182" s="3">
        <f t="shared" si="279"/>
        <v>3</v>
      </c>
      <c r="AE182" s="3">
        <f t="shared" si="280"/>
        <v>3</v>
      </c>
      <c r="AF182" s="3">
        <f t="shared" si="281"/>
        <v>1.5</v>
      </c>
      <c r="AG182" s="3">
        <f t="shared" si="282"/>
        <v>1.5</v>
      </c>
      <c r="AH182" s="3" t="str">
        <f t="shared" si="283"/>
        <v>자동</v>
      </c>
      <c r="AI182" s="3">
        <f t="shared" si="284"/>
        <v>1.5</v>
      </c>
      <c r="AJ182" s="3">
        <f t="shared" si="285"/>
        <v>1.5</v>
      </c>
      <c r="AL182" s="3" t="str">
        <f t="shared" si="286"/>
        <v/>
      </c>
      <c r="AN182" s="3" t="str">
        <f ca="1">IF($BA182=42,OFFSET(변환표준점수!C$119,$AP182-1,0),"")</f>
        <v/>
      </c>
      <c r="AO182" s="3" t="str">
        <f ca="1">IF($BA182=42,OFFSET(변환표준점수!D$119,$AP182-1,0),"")</f>
        <v/>
      </c>
      <c r="AP182" s="3" t="str">
        <f>IF(S182="","",MATCH(S182,변환표준점수!$B$119:$B$298,0))</f>
        <v/>
      </c>
      <c r="AQ182" s="3">
        <v>2</v>
      </c>
      <c r="AR182" s="3">
        <v>2</v>
      </c>
      <c r="AS182" s="3">
        <v>2</v>
      </c>
      <c r="AT182" s="3">
        <v>2</v>
      </c>
      <c r="AV182" s="3">
        <v>2</v>
      </c>
      <c r="AW182" s="3">
        <v>2</v>
      </c>
      <c r="AX182" s="3">
        <v>3</v>
      </c>
      <c r="AY182" s="3">
        <v>3</v>
      </c>
      <c r="BA182" s="3">
        <f t="shared" si="287"/>
        <v>2</v>
      </c>
      <c r="BC182" s="3">
        <f>$Z182*0.05</f>
        <v>0.15000000000000002</v>
      </c>
      <c r="BD182" s="3">
        <f>$Z182*0.05</f>
        <v>0.15000000000000002</v>
      </c>
      <c r="BF182" s="3">
        <f>0.05*AF182</f>
        <v>7.5000000000000011E-2</v>
      </c>
      <c r="BG182" s="3">
        <f>0.05*AG182</f>
        <v>7.5000000000000011E-2</v>
      </c>
      <c r="BJ182" s="3">
        <f t="shared" si="288"/>
        <v>0</v>
      </c>
      <c r="BN182" s="212" t="s">
        <v>7715</v>
      </c>
      <c r="BP182" s="3">
        <f>IF(BP$6&gt;0,BC182*$EG182,0)</f>
        <v>0</v>
      </c>
      <c r="BQ182" s="3">
        <f>IF(BQ$6&gt;0,BD182*$EG182,0)</f>
        <v>0</v>
      </c>
      <c r="BS182" s="3">
        <f>IF($DM$8&gt;1,EH182*BF182,0)</f>
        <v>0</v>
      </c>
      <c r="BT182" s="3">
        <f>IF($DM$8&gt;1,EI182*BG182,0)</f>
        <v>0</v>
      </c>
      <c r="CH182" s="206">
        <f t="shared" si="289"/>
        <v>899.99999999999989</v>
      </c>
      <c r="CI182" s="56">
        <v>100</v>
      </c>
      <c r="CJ182" s="3">
        <v>90</v>
      </c>
      <c r="CK182" s="3">
        <v>80</v>
      </c>
      <c r="CL182" s="3">
        <v>70</v>
      </c>
      <c r="CM182" s="3">
        <v>60</v>
      </c>
      <c r="CN182" s="3">
        <v>50</v>
      </c>
      <c r="CO182" s="3">
        <v>40</v>
      </c>
      <c r="CP182" s="3">
        <v>30</v>
      </c>
      <c r="CQ182" s="3">
        <v>20</v>
      </c>
      <c r="DJ182" s="3">
        <f t="shared" ca="1" si="290"/>
        <v>100</v>
      </c>
      <c r="DK182" s="3">
        <f t="shared" ca="1" si="291"/>
        <v>100</v>
      </c>
      <c r="DL182" s="3">
        <f t="shared" ca="1" si="292"/>
        <v>0</v>
      </c>
      <c r="DO182" s="3">
        <v>2</v>
      </c>
      <c r="DZ182" s="3">
        <v>1</v>
      </c>
      <c r="EA182" s="3">
        <f t="shared" si="293"/>
        <v>1</v>
      </c>
      <c r="EB182" s="3">
        <f t="shared" si="294"/>
        <v>2</v>
      </c>
      <c r="EC182" s="3">
        <f t="shared" si="295"/>
        <v>0</v>
      </c>
      <c r="ED182" s="3">
        <f t="shared" si="296"/>
        <v>0</v>
      </c>
      <c r="EF182" s="3">
        <f t="shared" ca="1" si="297"/>
        <v>0</v>
      </c>
      <c r="EG182" s="3">
        <f t="shared" ca="1" si="298"/>
        <v>0</v>
      </c>
      <c r="EH182" s="3">
        <f ca="1">IFERROR(IF(LEFT($BA182,1)="4",OFFSET(변환표준점수!$H$118,MATCH($S182,변환표준점수!$B$119:$B$198,0),),OFFSET(EH$3,MATCH(AS182,$ED$4:$ED$8,0),0)),0)</f>
        <v>0</v>
      </c>
      <c r="EI182" s="3">
        <f ca="1">IFERROR(IF(LEFT($BA182,1)="4",OFFSET(변환표준점수!$I$118,MATCH($S182,변환표준점수!$B$119:$B$198,0),0),OFFSET(EI$3,MATCH(AT182,$ED$4:$ED$8,0),0)),0)</f>
        <v>0</v>
      </c>
      <c r="EK182" s="3">
        <f ca="1">IFERROR(IF(LEFT($BA182,1)="4",OFFSET(변환표준점수!$J$118,MATCH($S182,변환표준점수!$B$119:$B$198,0),0),OFFSET(EJ$3,MATCH(AV182,$ED$4:$ED$8,0),0)),0)</f>
        <v>0</v>
      </c>
      <c r="EL182" s="3">
        <f ca="1">IFERROR(IF(LEFT($BA182,1)="4",OFFSET(변환표준점수!$K$118,MATCH($S182,변환표준점수!$B$119:$B$198,0),0),OFFSET(EK$3,MATCH(AW182,$ED$4:$ED$8,0),0)),0)</f>
        <v>0</v>
      </c>
      <c r="EM182" s="3" t="str">
        <f t="shared" ca="1" si="299"/>
        <v/>
      </c>
      <c r="EN182" s="3" t="str">
        <f t="shared" ca="1" si="300"/>
        <v/>
      </c>
      <c r="EO182" s="3">
        <f t="shared" ca="1" si="301"/>
        <v>0</v>
      </c>
      <c r="EQ182" s="3">
        <f t="shared" ca="1" si="302"/>
        <v>0</v>
      </c>
      <c r="ER182" s="3">
        <f t="shared" ca="1" si="303"/>
        <v>0</v>
      </c>
      <c r="ES182" s="3">
        <f t="shared" ca="1" si="304"/>
        <v>0</v>
      </c>
      <c r="ET182" s="3">
        <f t="shared" ca="1" si="305"/>
        <v>0</v>
      </c>
      <c r="EU182" s="3">
        <f t="shared" si="306"/>
        <v>0</v>
      </c>
      <c r="EV182" s="3">
        <f t="shared" ca="1" si="307"/>
        <v>0</v>
      </c>
      <c r="EW182" s="3">
        <f t="shared" ca="1" si="308"/>
        <v>0</v>
      </c>
      <c r="EX182" s="3">
        <f ca="1">LARGE((ES182:ET182,EV182:EW182),1)</f>
        <v>0</v>
      </c>
      <c r="EY182" s="3">
        <f ca="1">IF(O182&lt;2,0,LARGE((ES182:ET182,EV182:EW182),2))</f>
        <v>0</v>
      </c>
      <c r="EZ182" s="3">
        <f t="shared" ca="1" si="309"/>
        <v>0</v>
      </c>
      <c r="FA182" s="3">
        <f t="shared" ca="1" si="310"/>
        <v>0</v>
      </c>
      <c r="FB182" s="3">
        <f t="shared" ca="1" si="311"/>
        <v>0</v>
      </c>
      <c r="FG182" s="3">
        <f t="shared" ca="1" si="312"/>
        <v>0</v>
      </c>
      <c r="FH182" s="618"/>
      <c r="FU182" s="3" t="str">
        <f t="shared" si="268"/>
        <v>백분위</v>
      </c>
      <c r="FV182" s="3" t="str">
        <f t="shared" si="269"/>
        <v>백분위</v>
      </c>
      <c r="FW182" s="3">
        <f t="shared" si="313"/>
        <v>0.33</v>
      </c>
      <c r="FX182" s="3">
        <f t="shared" si="314"/>
        <v>0.33</v>
      </c>
      <c r="FY182" s="3">
        <f t="shared" si="315"/>
        <v>0.33</v>
      </c>
      <c r="FZ182" s="3">
        <f t="shared" si="316"/>
        <v>9</v>
      </c>
    </row>
    <row r="183" spans="1:182">
      <c r="A183" s="556">
        <v>26</v>
      </c>
      <c r="C183" s="3">
        <f t="shared" si="270"/>
        <v>168</v>
      </c>
      <c r="D183" s="3">
        <v>168</v>
      </c>
      <c r="E183" s="3" t="s">
        <v>290</v>
      </c>
      <c r="F183" s="3">
        <v>300</v>
      </c>
      <c r="G183" s="3">
        <f>IF($BB$7=1,1/3,0)</f>
        <v>0.33333333333333331</v>
      </c>
      <c r="H183" s="3">
        <f>1/3</f>
        <v>0.33333333333333331</v>
      </c>
      <c r="I183" s="3">
        <f>1/3/2</f>
        <v>0.16666666666666666</v>
      </c>
      <c r="J183" s="3">
        <f>1/3/2</f>
        <v>0.16666666666666666</v>
      </c>
      <c r="O183" s="3">
        <v>2</v>
      </c>
      <c r="P183" s="3">
        <f t="shared" si="271"/>
        <v>1</v>
      </c>
      <c r="Q183" s="3" t="s">
        <v>408</v>
      </c>
      <c r="S183" s="3" t="str">
        <f t="shared" si="272"/>
        <v/>
      </c>
      <c r="U183" s="3">
        <v>1</v>
      </c>
      <c r="W183" s="3">
        <f t="shared" si="273"/>
        <v>0</v>
      </c>
      <c r="Y183" s="3">
        <f t="shared" si="274"/>
        <v>1</v>
      </c>
      <c r="Z183" s="3">
        <f t="shared" si="275"/>
        <v>1</v>
      </c>
      <c r="AA183" s="3">
        <f t="shared" si="276"/>
        <v>0.5</v>
      </c>
      <c r="AB183" s="3" t="str">
        <f t="shared" si="277"/>
        <v>자동</v>
      </c>
      <c r="AC183" s="3">
        <f t="shared" si="278"/>
        <v>1</v>
      </c>
      <c r="AD183" s="3">
        <f t="shared" si="279"/>
        <v>1</v>
      </c>
      <c r="AE183" s="3">
        <f t="shared" si="280"/>
        <v>1</v>
      </c>
      <c r="AF183" s="3">
        <f t="shared" si="281"/>
        <v>0.5</v>
      </c>
      <c r="AG183" s="3">
        <f t="shared" si="282"/>
        <v>0.5</v>
      </c>
      <c r="AH183" s="3" t="str">
        <f t="shared" si="283"/>
        <v>자동</v>
      </c>
      <c r="AI183" s="3" t="str">
        <f t="shared" si="284"/>
        <v>자동</v>
      </c>
      <c r="AJ183" s="3" t="str">
        <f t="shared" si="285"/>
        <v>자동</v>
      </c>
      <c r="AL183" s="3" t="str">
        <f t="shared" si="286"/>
        <v/>
      </c>
      <c r="AN183" s="3" t="str">
        <f ca="1">IF($BA183=42,OFFSET(변환표준점수!C$119,$AP183-1,0),"")</f>
        <v/>
      </c>
      <c r="AO183" s="3" t="str">
        <f ca="1">IF($BA183=42,OFFSET(변환표준점수!D$119,$AP183-1,0),"")</f>
        <v/>
      </c>
      <c r="AP183" s="3" t="str">
        <f>IF(S183="","",MATCH(S183,변환표준점수!$B$119:$B$298,0))</f>
        <v/>
      </c>
      <c r="AQ183" s="3">
        <v>2</v>
      </c>
      <c r="AR183" s="3">
        <v>2</v>
      </c>
      <c r="AS183" s="3">
        <v>2</v>
      </c>
      <c r="AT183" s="3">
        <v>2</v>
      </c>
      <c r="AX183" s="3">
        <v>3</v>
      </c>
      <c r="AY183" s="3">
        <v>3</v>
      </c>
      <c r="BA183" s="3">
        <f t="shared" si="287"/>
        <v>2</v>
      </c>
      <c r="BJ183" s="3">
        <f t="shared" si="288"/>
        <v>0</v>
      </c>
      <c r="CH183" s="206">
        <f t="shared" si="289"/>
        <v>300</v>
      </c>
      <c r="CI183" s="56">
        <v>100</v>
      </c>
      <c r="CJ183" s="3">
        <v>95</v>
      </c>
      <c r="CK183" s="3">
        <v>90</v>
      </c>
      <c r="CL183" s="3">
        <v>85</v>
      </c>
      <c r="CM183" s="3">
        <v>80</v>
      </c>
      <c r="CN183" s="3">
        <v>75</v>
      </c>
      <c r="CO183" s="3">
        <v>70</v>
      </c>
      <c r="CP183" s="3">
        <v>65</v>
      </c>
      <c r="CQ183" s="3">
        <v>60</v>
      </c>
      <c r="DJ183" s="3">
        <f t="shared" ca="1" si="290"/>
        <v>100</v>
      </c>
      <c r="DK183" s="3">
        <f t="shared" ca="1" si="291"/>
        <v>100</v>
      </c>
      <c r="DL183" s="3">
        <f t="shared" ca="1" si="292"/>
        <v>0</v>
      </c>
      <c r="DM183" s="3">
        <v>2</v>
      </c>
      <c r="DQ183" s="3">
        <v>1</v>
      </c>
      <c r="DS183" s="3">
        <v>1</v>
      </c>
      <c r="EA183" s="3">
        <f t="shared" si="293"/>
        <v>1</v>
      </c>
      <c r="EB183" s="3">
        <f t="shared" si="294"/>
        <v>2</v>
      </c>
      <c r="EC183" s="3">
        <f t="shared" si="295"/>
        <v>0</v>
      </c>
      <c r="ED183" s="3">
        <f t="shared" si="296"/>
        <v>0</v>
      </c>
      <c r="EF183" s="3">
        <f t="shared" ca="1" si="297"/>
        <v>0</v>
      </c>
      <c r="EG183" s="3">
        <f t="shared" ca="1" si="298"/>
        <v>0</v>
      </c>
      <c r="EH183" s="3">
        <f ca="1">IFERROR(IF(LEFT($BA183,1)="4",OFFSET(변환표준점수!$H$118,MATCH($S183,변환표준점수!$B$119:$B$198,0),),OFFSET(EH$3,MATCH(AS183,$ED$4:$ED$8,0),0)),0)</f>
        <v>0</v>
      </c>
      <c r="EI183" s="3">
        <f ca="1">IFERROR(IF(LEFT($BA183,1)="4",OFFSET(변환표준점수!$I$118,MATCH($S183,변환표준점수!$B$119:$B$198,0),0),OFFSET(EI$3,MATCH(AT183,$ED$4:$ED$8,0),0)),0)</f>
        <v>0</v>
      </c>
      <c r="EK183" s="3">
        <f ca="1">IFERROR(IF(LEFT($BA183,1)="4",OFFSET(변환표준점수!$J$118,MATCH($S183,변환표준점수!$B$119:$B$198,0),0),OFFSET(EJ$3,MATCH(AV183,$ED$4:$ED$8,0),0)),0)</f>
        <v>0</v>
      </c>
      <c r="EL183" s="3">
        <f ca="1">IFERROR(IF(LEFT($BA183,1)="4",OFFSET(변환표준점수!$K$118,MATCH($S183,변환표준점수!$B$119:$B$198,0),0),OFFSET(EK$3,MATCH(AW183,$ED$4:$ED$8,0),0)),0)</f>
        <v>0</v>
      </c>
      <c r="EM183" s="3" t="str">
        <f t="shared" ca="1" si="299"/>
        <v/>
      </c>
      <c r="EN183" s="3" t="str">
        <f t="shared" ca="1" si="300"/>
        <v/>
      </c>
      <c r="EO183" s="3">
        <f t="shared" ca="1" si="301"/>
        <v>0</v>
      </c>
      <c r="EQ183" s="3">
        <f t="shared" ca="1" si="302"/>
        <v>0</v>
      </c>
      <c r="ER183" s="3">
        <f t="shared" ca="1" si="303"/>
        <v>0</v>
      </c>
      <c r="ES183" s="3">
        <f t="shared" ca="1" si="304"/>
        <v>0</v>
      </c>
      <c r="ET183" s="3">
        <f t="shared" ca="1" si="305"/>
        <v>0</v>
      </c>
      <c r="EU183" s="3">
        <f t="shared" si="306"/>
        <v>0</v>
      </c>
      <c r="EV183" s="3">
        <f t="shared" ca="1" si="307"/>
        <v>0</v>
      </c>
      <c r="EW183" s="3">
        <f t="shared" ca="1" si="308"/>
        <v>0</v>
      </c>
      <c r="EX183" s="3">
        <f ca="1">LARGE((ES183:ET183,EV183:EW183),1)</f>
        <v>0</v>
      </c>
      <c r="EY183" s="3">
        <f ca="1">IF(O183&lt;2,0,LARGE((ES183:ET183,EV183:EW183),2))</f>
        <v>0</v>
      </c>
      <c r="EZ183" s="3">
        <f t="shared" ca="1" si="309"/>
        <v>0</v>
      </c>
      <c r="FA183" s="3">
        <f t="shared" ca="1" si="310"/>
        <v>0</v>
      </c>
      <c r="FB183" s="3">
        <f t="shared" ca="1" si="311"/>
        <v>0</v>
      </c>
      <c r="FE183" s="3" t="s">
        <v>445</v>
      </c>
      <c r="FF183" s="3">
        <f ca="1">ER183+EX183+EY183+LARGE((EQ183,EZ183),1)+FA183</f>
        <v>0</v>
      </c>
      <c r="FG183" s="3">
        <f t="shared" ca="1" si="312"/>
        <v>0</v>
      </c>
      <c r="FH183" s="618"/>
      <c r="FU183" s="3" t="str">
        <f t="shared" si="268"/>
        <v>백분위</v>
      </c>
      <c r="FV183" s="3" t="str">
        <f t="shared" si="269"/>
        <v>백분위</v>
      </c>
      <c r="FW183" s="3">
        <f t="shared" si="313"/>
        <v>0.33</v>
      </c>
      <c r="FX183" s="3">
        <f t="shared" si="314"/>
        <v>0.33</v>
      </c>
      <c r="FY183" s="3">
        <f t="shared" si="315"/>
        <v>0.33</v>
      </c>
      <c r="FZ183" s="3">
        <f t="shared" si="316"/>
        <v>3</v>
      </c>
    </row>
    <row r="184" spans="1:182">
      <c r="A184" s="556">
        <v>26</v>
      </c>
      <c r="C184" s="3">
        <f t="shared" si="270"/>
        <v>169</v>
      </c>
      <c r="D184" s="3">
        <v>169</v>
      </c>
      <c r="E184" s="3" t="s">
        <v>285</v>
      </c>
      <c r="F184" s="3">
        <v>200</v>
      </c>
      <c r="G184" s="3">
        <v>0.2</v>
      </c>
      <c r="H184" s="3">
        <v>0.3</v>
      </c>
      <c r="I184" s="3">
        <v>0.1</v>
      </c>
      <c r="J184" s="3">
        <v>0.1</v>
      </c>
      <c r="L184" s="3">
        <v>0.1</v>
      </c>
      <c r="M184" s="3">
        <v>0.1</v>
      </c>
      <c r="O184" s="3">
        <v>2</v>
      </c>
      <c r="P184" s="3">
        <f t="shared" si="271"/>
        <v>0.7</v>
      </c>
      <c r="Q184" s="3" t="s">
        <v>408</v>
      </c>
      <c r="S184" s="3" t="str">
        <f t="shared" si="272"/>
        <v/>
      </c>
      <c r="U184" s="3">
        <v>1</v>
      </c>
      <c r="W184" s="3">
        <f t="shared" si="273"/>
        <v>0</v>
      </c>
      <c r="Y184" s="3">
        <f t="shared" si="274"/>
        <v>0.4</v>
      </c>
      <c r="Z184" s="3">
        <f t="shared" si="275"/>
        <v>0.6</v>
      </c>
      <c r="AA184" s="3">
        <f t="shared" si="276"/>
        <v>0.2</v>
      </c>
      <c r="AB184" s="3">
        <f t="shared" si="277"/>
        <v>0.2</v>
      </c>
      <c r="AC184" s="3">
        <f t="shared" si="278"/>
        <v>0.4</v>
      </c>
      <c r="AD184" s="3">
        <f t="shared" si="279"/>
        <v>0.4</v>
      </c>
      <c r="AE184" s="3">
        <f t="shared" si="280"/>
        <v>0.6</v>
      </c>
      <c r="AF184" s="3">
        <f t="shared" si="281"/>
        <v>0.2</v>
      </c>
      <c r="AG184" s="3">
        <f t="shared" si="282"/>
        <v>0.2</v>
      </c>
      <c r="AH184" s="3" t="str">
        <f t="shared" si="283"/>
        <v>자동</v>
      </c>
      <c r="AI184" s="3">
        <f t="shared" si="284"/>
        <v>0.2</v>
      </c>
      <c r="AJ184" s="3">
        <f t="shared" si="285"/>
        <v>0.2</v>
      </c>
      <c r="AL184" s="3" t="str">
        <f t="shared" si="286"/>
        <v/>
      </c>
      <c r="AN184" s="3" t="str">
        <f ca="1">IF($BA184=42,OFFSET(변환표준점수!C$119,$AP184-1,0),"")</f>
        <v/>
      </c>
      <c r="AO184" s="3" t="str">
        <f ca="1">IF($BA184=42,OFFSET(변환표준점수!D$119,$AP184-1,0),"")</f>
        <v/>
      </c>
      <c r="AP184" s="3" t="str">
        <f>IF(S184="","",MATCH(S184,변환표준점수!$B$119:$B$298,0))</f>
        <v/>
      </c>
      <c r="AQ184" s="3">
        <v>2</v>
      </c>
      <c r="AR184" s="3">
        <v>2</v>
      </c>
      <c r="AS184" s="3">
        <v>2</v>
      </c>
      <c r="AT184" s="3">
        <v>2</v>
      </c>
      <c r="AV184" s="3">
        <v>2</v>
      </c>
      <c r="AW184" s="3">
        <v>2</v>
      </c>
      <c r="AX184" s="3">
        <v>3</v>
      </c>
      <c r="AY184" s="3">
        <v>3</v>
      </c>
      <c r="BA184" s="3">
        <f t="shared" si="287"/>
        <v>2</v>
      </c>
      <c r="BC184" s="3">
        <f>$Z184*0.1</f>
        <v>0.06</v>
      </c>
      <c r="BD184" s="3">
        <f>$Z184*0.1</f>
        <v>0.06</v>
      </c>
      <c r="BF184" s="3">
        <f>0.1*AA184</f>
        <v>2.0000000000000004E-2</v>
      </c>
      <c r="BG184" s="3">
        <f>0.1*AA184</f>
        <v>2.0000000000000004E-2</v>
      </c>
      <c r="BJ184" s="3">
        <f t="shared" si="288"/>
        <v>0</v>
      </c>
      <c r="BN184" s="212" t="s">
        <v>7716</v>
      </c>
      <c r="BP184" s="3">
        <f>IF(BP$6&gt;0,BC184*$EG184,0)</f>
        <v>0</v>
      </c>
      <c r="BQ184" s="3">
        <f>IF(BQ$6&gt;0,BD184*$EG184,0)</f>
        <v>0</v>
      </c>
      <c r="BS184" s="3">
        <f ca="1">EH184*BF184</f>
        <v>0</v>
      </c>
      <c r="BT184" s="3">
        <f ca="1">EI184*BG184</f>
        <v>0</v>
      </c>
      <c r="CH184" s="206">
        <f t="shared" si="289"/>
        <v>140</v>
      </c>
      <c r="CI184" s="56">
        <v>57.599999999999994</v>
      </c>
      <c r="CJ184" s="3">
        <v>55.199999999999996</v>
      </c>
      <c r="CK184" s="3">
        <v>51</v>
      </c>
      <c r="CL184" s="3">
        <v>43.8</v>
      </c>
      <c r="CM184" s="3">
        <v>33.6</v>
      </c>
      <c r="CN184" s="3">
        <v>21.599999999999998</v>
      </c>
      <c r="CO184" s="3">
        <v>11.4</v>
      </c>
      <c r="CP184" s="3">
        <v>4.2</v>
      </c>
      <c r="CQ184" s="3">
        <v>0</v>
      </c>
      <c r="DJ184" s="3">
        <f t="shared" ca="1" si="290"/>
        <v>57.6</v>
      </c>
      <c r="DK184" s="3">
        <f t="shared" ca="1" si="291"/>
        <v>99.999999999999957</v>
      </c>
      <c r="DL184" s="3">
        <f t="shared" ca="1" si="292"/>
        <v>0</v>
      </c>
      <c r="DO184" s="3">
        <v>2</v>
      </c>
      <c r="DZ184" s="3">
        <v>1</v>
      </c>
      <c r="EA184" s="3">
        <f t="shared" si="293"/>
        <v>1</v>
      </c>
      <c r="EB184" s="3">
        <f t="shared" si="294"/>
        <v>2</v>
      </c>
      <c r="EC184" s="3">
        <f t="shared" si="295"/>
        <v>0</v>
      </c>
      <c r="ED184" s="3">
        <f t="shared" si="296"/>
        <v>0</v>
      </c>
      <c r="EF184" s="3">
        <f t="shared" ca="1" si="297"/>
        <v>0</v>
      </c>
      <c r="EG184" s="3">
        <f t="shared" ca="1" si="298"/>
        <v>0</v>
      </c>
      <c r="EH184" s="3">
        <f ca="1">IFERROR(IF(LEFT($BA184,1)="4",OFFSET(변환표준점수!$H$118,MATCH($S184,변환표준점수!$B$119:$B$198,0),),OFFSET(EH$3,MATCH(AS184,$ED$4:$ED$8,0),0)),0)</f>
        <v>0</v>
      </c>
      <c r="EI184" s="3">
        <f ca="1">IFERROR(IF(LEFT($BA184,1)="4",OFFSET(변환표준점수!$I$118,MATCH($S184,변환표준점수!$B$119:$B$198,0),0),OFFSET(EI$3,MATCH(AT184,$ED$4:$ED$8,0),0)),0)</f>
        <v>0</v>
      </c>
      <c r="EK184" s="3">
        <f ca="1">IFERROR(IF(LEFT($BA184,1)="4",OFFSET(변환표준점수!$J$118,MATCH($S184,변환표준점수!$B$119:$B$198,0),0),OFFSET(EJ$3,MATCH(AV184,$ED$4:$ED$8,0),0)),0)</f>
        <v>0</v>
      </c>
      <c r="EL184" s="3">
        <f ca="1">IFERROR(IF(LEFT($BA184,1)="4",OFFSET(변환표준점수!$K$118,MATCH($S184,변환표준점수!$B$119:$B$198,0),0),OFFSET(EK$3,MATCH(AW184,$ED$4:$ED$8,0),0)),0)</f>
        <v>0</v>
      </c>
      <c r="EM184" s="3" t="str">
        <f t="shared" ca="1" si="299"/>
        <v/>
      </c>
      <c r="EN184" s="3" t="str">
        <f t="shared" ca="1" si="300"/>
        <v/>
      </c>
      <c r="EO184" s="3">
        <f t="shared" ca="1" si="301"/>
        <v>0</v>
      </c>
      <c r="EQ184" s="3">
        <f t="shared" ca="1" si="302"/>
        <v>0</v>
      </c>
      <c r="ER184" s="3">
        <f t="shared" ca="1" si="303"/>
        <v>0</v>
      </c>
      <c r="ES184" s="3">
        <f t="shared" ca="1" si="304"/>
        <v>0</v>
      </c>
      <c r="ET184" s="3">
        <f t="shared" ca="1" si="305"/>
        <v>0</v>
      </c>
      <c r="EU184" s="3">
        <f t="shared" si="306"/>
        <v>0</v>
      </c>
      <c r="EV184" s="3">
        <f t="shared" ca="1" si="307"/>
        <v>0</v>
      </c>
      <c r="EW184" s="3">
        <f t="shared" ca="1" si="308"/>
        <v>0</v>
      </c>
      <c r="EX184" s="3">
        <f ca="1">LARGE((ES184:ET184,EV184:EW184),1)</f>
        <v>0</v>
      </c>
      <c r="EY184" s="3">
        <f ca="1">IF(O184&lt;2,0,LARGE((ES184:ET184,EV184:EW184),2))</f>
        <v>0</v>
      </c>
      <c r="EZ184" s="3">
        <f t="shared" ca="1" si="309"/>
        <v>0</v>
      </c>
      <c r="FA184" s="3">
        <f t="shared" ca="1" si="310"/>
        <v>0</v>
      </c>
      <c r="FB184" s="3">
        <f t="shared" ca="1" si="311"/>
        <v>0</v>
      </c>
      <c r="FC184" s="3">
        <v>800</v>
      </c>
      <c r="FG184" s="3">
        <f t="shared" ca="1" si="312"/>
        <v>800</v>
      </c>
      <c r="FH184" s="618"/>
      <c r="FU184" s="3" t="str">
        <f t="shared" si="268"/>
        <v>백분위</v>
      </c>
      <c r="FV184" s="3" t="str">
        <f t="shared" si="269"/>
        <v>백분위</v>
      </c>
      <c r="FW184" s="3">
        <f t="shared" si="313"/>
        <v>0.28999999999999998</v>
      </c>
      <c r="FX184" s="3">
        <f t="shared" si="314"/>
        <v>0.43</v>
      </c>
      <c r="FY184" s="3">
        <f t="shared" si="315"/>
        <v>0.28999999999999998</v>
      </c>
      <c r="FZ184" s="3">
        <f t="shared" si="316"/>
        <v>1.4</v>
      </c>
    </row>
    <row r="185" spans="1:182">
      <c r="A185" s="556">
        <v>26</v>
      </c>
      <c r="C185" s="3">
        <f t="shared" si="270"/>
        <v>170</v>
      </c>
      <c r="D185" s="3">
        <v>170</v>
      </c>
      <c r="E185" s="3" t="s">
        <v>272</v>
      </c>
      <c r="F185" s="3">
        <v>1000</v>
      </c>
      <c r="G185" s="3">
        <f>200/900</f>
        <v>0.22222222222222221</v>
      </c>
      <c r="H185" s="3">
        <f>300/900</f>
        <v>0.33333333333333331</v>
      </c>
      <c r="I185" s="3">
        <f>(300/900)/2</f>
        <v>0.16666666666666666</v>
      </c>
      <c r="J185" s="3">
        <f>(300/900)/2</f>
        <v>0.16666666666666666</v>
      </c>
      <c r="O185" s="3">
        <v>2</v>
      </c>
      <c r="P185" s="3">
        <f t="shared" si="271"/>
        <v>0.88888888888888884</v>
      </c>
      <c r="Q185" s="3">
        <v>46</v>
      </c>
      <c r="S185" s="3">
        <f t="shared" si="272"/>
        <v>46</v>
      </c>
      <c r="U185" s="3">
        <v>1</v>
      </c>
      <c r="W185" s="3">
        <f t="shared" si="273"/>
        <v>0</v>
      </c>
      <c r="Y185" s="3">
        <f t="shared" si="274"/>
        <v>1.1111111111111109</v>
      </c>
      <c r="Z185" s="3">
        <f t="shared" si="275"/>
        <v>1.6666666666666665</v>
      </c>
      <c r="AA185" s="3">
        <f t="shared" si="276"/>
        <v>1.6666666666666665</v>
      </c>
      <c r="AB185" s="3" t="str">
        <f t="shared" si="277"/>
        <v>자동</v>
      </c>
      <c r="AC185" s="3">
        <f t="shared" si="278"/>
        <v>1.6666666666666665</v>
      </c>
      <c r="AD185" s="3">
        <f t="shared" si="279"/>
        <v>1.1111111111111109</v>
      </c>
      <c r="AE185" s="3">
        <f t="shared" si="280"/>
        <v>1.6666666666666665</v>
      </c>
      <c r="AF185" s="3">
        <f t="shared" si="281"/>
        <v>1.6666666666666665</v>
      </c>
      <c r="AG185" s="3">
        <f t="shared" si="282"/>
        <v>1.6666666666666665</v>
      </c>
      <c r="AH185" s="3" t="str">
        <f t="shared" si="283"/>
        <v>자동</v>
      </c>
      <c r="AI185" s="3" t="str">
        <f t="shared" si="284"/>
        <v>자동</v>
      </c>
      <c r="AJ185" s="3" t="str">
        <f t="shared" si="285"/>
        <v>자동</v>
      </c>
      <c r="AL185" s="3" t="str">
        <f t="shared" si="286"/>
        <v/>
      </c>
      <c r="AN185" s="3" t="str">
        <f ca="1">IF($BA185=42,OFFSET(변환표준점수!C$119,$AP185-1,0),"")</f>
        <v/>
      </c>
      <c r="AO185" s="3" t="str">
        <f ca="1">IF($BA185=42,OFFSET(변환표준점수!D$119,$AP185-1,0),"")</f>
        <v/>
      </c>
      <c r="AP185" s="3">
        <f>IF(S185="","",MATCH(S185,변환표준점수!$B$119:$B$298,0))</f>
        <v>46</v>
      </c>
      <c r="AQ185" s="3">
        <v>1</v>
      </c>
      <c r="AR185" s="3">
        <v>1</v>
      </c>
      <c r="AS185" s="3">
        <v>4</v>
      </c>
      <c r="AT185" s="3">
        <v>4</v>
      </c>
      <c r="AX185" s="3">
        <v>3</v>
      </c>
      <c r="AY185" s="3">
        <v>3</v>
      </c>
      <c r="BA185" s="3">
        <f t="shared" si="287"/>
        <v>4</v>
      </c>
      <c r="BJ185" s="3">
        <f t="shared" si="288"/>
        <v>0</v>
      </c>
      <c r="CH185" s="206">
        <f t="shared" si="289"/>
        <v>888.8888888888888</v>
      </c>
      <c r="CI185" s="56">
        <v>111.11111111111111</v>
      </c>
      <c r="CJ185" s="3">
        <v>105.55555555555556</v>
      </c>
      <c r="CK185" s="3">
        <v>97.222222222222229</v>
      </c>
      <c r="CL185" s="3">
        <v>83.333333333333329</v>
      </c>
      <c r="CM185" s="3">
        <v>66.666666666666671</v>
      </c>
      <c r="CN185" s="3">
        <v>44.444444444444443</v>
      </c>
      <c r="CO185" s="3">
        <v>27.777777777777779</v>
      </c>
      <c r="CP185" s="3">
        <v>17.222222222222221</v>
      </c>
      <c r="CQ185" s="3">
        <v>5.5555555555555554</v>
      </c>
      <c r="CR185" s="56">
        <v>10</v>
      </c>
      <c r="CS185" s="3">
        <v>10</v>
      </c>
      <c r="CT185" s="3">
        <v>10</v>
      </c>
      <c r="CU185" s="3">
        <v>9.5</v>
      </c>
      <c r="CV185" s="3">
        <v>9</v>
      </c>
      <c r="CW185" s="3">
        <v>8.5</v>
      </c>
      <c r="CX185" s="3">
        <v>8</v>
      </c>
      <c r="CY185" s="3">
        <v>7.5</v>
      </c>
      <c r="CZ185" s="3">
        <v>7</v>
      </c>
      <c r="DJ185" s="3">
        <f t="shared" ca="1" si="290"/>
        <v>111.1</v>
      </c>
      <c r="DK185" s="3">
        <f t="shared" ca="1" si="291"/>
        <v>100.01000100010002</v>
      </c>
      <c r="DL185" s="3">
        <f t="shared" ca="1" si="292"/>
        <v>10</v>
      </c>
      <c r="DM185" s="3">
        <v>2</v>
      </c>
      <c r="DQ185" s="3">
        <v>1</v>
      </c>
      <c r="DS185" s="3">
        <v>1</v>
      </c>
      <c r="DY185" s="56">
        <v>1</v>
      </c>
      <c r="EA185" s="3">
        <f t="shared" si="293"/>
        <v>1</v>
      </c>
      <c r="EB185" s="3">
        <f t="shared" si="294"/>
        <v>2</v>
      </c>
      <c r="EC185" s="3">
        <f t="shared" si="295"/>
        <v>0</v>
      </c>
      <c r="ED185" s="3">
        <f t="shared" si="296"/>
        <v>0</v>
      </c>
      <c r="EF185" s="3">
        <f t="shared" ca="1" si="297"/>
        <v>0</v>
      </c>
      <c r="EG185" s="3">
        <f t="shared" ca="1" si="298"/>
        <v>0</v>
      </c>
      <c r="EH185" s="3">
        <f ca="1">IFERROR(IF(LEFT($BA185,1)="4",OFFSET(변환표준점수!$H$118,MATCH($S185,변환표준점수!$B$119:$B$198,0),),OFFSET(EH$3,MATCH(AS185,$ED$4:$ED$8,0),0)),0)</f>
        <v>0</v>
      </c>
      <c r="EI185" s="3">
        <f ca="1">IFERROR(IF(LEFT($BA185,1)="4",OFFSET(변환표준점수!$I$118,MATCH($S185,변환표준점수!$B$119:$B$198,0),0),OFFSET(EI$3,MATCH(AT185,$ED$4:$ED$8,0),0)),0)</f>
        <v>0</v>
      </c>
      <c r="EK185" s="3">
        <f ca="1">IFERROR(IF(LEFT($BA185,1)="4",OFFSET(변환표준점수!$J$118,MATCH($S185,변환표준점수!$B$119:$B$198,0),0),OFFSET(EJ$3,MATCH(AV185,$ED$4:$ED$8,0),0)),0)</f>
        <v>0</v>
      </c>
      <c r="EL185" s="3">
        <f ca="1">IFERROR(IF(LEFT($BA185,1)="4",OFFSET(변환표준점수!$K$118,MATCH($S185,변환표준점수!$B$119:$B$198,0),0),OFFSET(EK$3,MATCH(AW185,$ED$4:$ED$8,0),0)),0)</f>
        <v>0</v>
      </c>
      <c r="EM185" s="3" t="str">
        <f t="shared" ca="1" si="299"/>
        <v/>
      </c>
      <c r="EN185" s="3" t="str">
        <f t="shared" ca="1" si="300"/>
        <v/>
      </c>
      <c r="EO185" s="3">
        <f t="shared" ca="1" si="301"/>
        <v>0</v>
      </c>
      <c r="EQ185" s="3">
        <f t="shared" ca="1" si="302"/>
        <v>0</v>
      </c>
      <c r="ER185" s="3">
        <f t="shared" ca="1" si="303"/>
        <v>0</v>
      </c>
      <c r="ES185" s="3">
        <f t="shared" ca="1" si="304"/>
        <v>0</v>
      </c>
      <c r="ET185" s="3">
        <f t="shared" ca="1" si="305"/>
        <v>0</v>
      </c>
      <c r="EU185" s="3">
        <f t="shared" si="306"/>
        <v>0</v>
      </c>
      <c r="EV185" s="3">
        <f t="shared" ca="1" si="307"/>
        <v>0</v>
      </c>
      <c r="EW185" s="3">
        <f t="shared" ca="1" si="308"/>
        <v>0</v>
      </c>
      <c r="EX185" s="3">
        <f ca="1">LARGE((ES185:ET185,EV185:EW185),1)</f>
        <v>0</v>
      </c>
      <c r="EY185" s="3">
        <f ca="1">IF(O185&lt;2,0,LARGE((ES185:ET185,EV185:EW185),2))</f>
        <v>0</v>
      </c>
      <c r="EZ185" s="3">
        <f t="shared" ca="1" si="309"/>
        <v>0</v>
      </c>
      <c r="FA185" s="3">
        <f t="shared" ca="1" si="310"/>
        <v>0</v>
      </c>
      <c r="FB185" s="3">
        <f t="shared" ca="1" si="311"/>
        <v>0</v>
      </c>
      <c r="FG185" s="3">
        <f t="shared" ca="1" si="312"/>
        <v>0</v>
      </c>
      <c r="FH185" s="618"/>
      <c r="FU185" s="3" t="str">
        <f t="shared" si="268"/>
        <v>표점</v>
      </c>
      <c r="FV185" s="3" t="str">
        <f t="shared" si="269"/>
        <v>변표</v>
      </c>
      <c r="FW185" s="3">
        <f t="shared" si="313"/>
        <v>0.25</v>
      </c>
      <c r="FX185" s="3">
        <f t="shared" si="314"/>
        <v>0.38</v>
      </c>
      <c r="FY185" s="3">
        <f t="shared" si="315"/>
        <v>0.38</v>
      </c>
      <c r="FZ185" s="3">
        <f t="shared" si="316"/>
        <v>4.4444444444444446</v>
      </c>
    </row>
    <row r="186" spans="1:182">
      <c r="A186" s="556">
        <v>26</v>
      </c>
      <c r="C186" s="3">
        <f t="shared" si="270"/>
        <v>171</v>
      </c>
      <c r="D186" s="3">
        <v>171</v>
      </c>
      <c r="E186" s="3" t="s">
        <v>274</v>
      </c>
      <c r="F186" s="3">
        <v>800</v>
      </c>
      <c r="G186" s="3">
        <f>0.2*(10/8)</f>
        <v>0.25</v>
      </c>
      <c r="H186" s="3">
        <f>0.28*(10/8)</f>
        <v>0.35000000000000003</v>
      </c>
      <c r="I186" s="3">
        <f>0.12*(10/8)</f>
        <v>0.15</v>
      </c>
      <c r="J186" s="3">
        <f>0.12*(10/8)</f>
        <v>0.15</v>
      </c>
      <c r="O186" s="3">
        <v>2</v>
      </c>
      <c r="P186" s="3">
        <f t="shared" si="271"/>
        <v>0.90000000000000013</v>
      </c>
      <c r="Q186" s="3" t="s">
        <v>408</v>
      </c>
      <c r="S186" s="3" t="str">
        <f t="shared" si="272"/>
        <v/>
      </c>
      <c r="U186" s="3">
        <v>1</v>
      </c>
      <c r="W186" s="3">
        <f t="shared" si="273"/>
        <v>0</v>
      </c>
      <c r="Y186" s="3">
        <f t="shared" si="274"/>
        <v>2</v>
      </c>
      <c r="Z186" s="3">
        <f t="shared" si="275"/>
        <v>2.8</v>
      </c>
      <c r="AA186" s="3">
        <f t="shared" si="276"/>
        <v>1.2</v>
      </c>
      <c r="AB186" s="3" t="str">
        <f t="shared" si="277"/>
        <v>자동</v>
      </c>
      <c r="AC186" s="3">
        <f t="shared" si="278"/>
        <v>2.4</v>
      </c>
      <c r="AD186" s="3">
        <f t="shared" si="279"/>
        <v>2</v>
      </c>
      <c r="AE186" s="3">
        <f t="shared" si="280"/>
        <v>2.8</v>
      </c>
      <c r="AF186" s="3">
        <f t="shared" si="281"/>
        <v>1.2</v>
      </c>
      <c r="AG186" s="3">
        <f t="shared" si="282"/>
        <v>1.2</v>
      </c>
      <c r="AH186" s="3" t="str">
        <f t="shared" si="283"/>
        <v>자동</v>
      </c>
      <c r="AI186" s="3" t="str">
        <f t="shared" si="284"/>
        <v>자동</v>
      </c>
      <c r="AJ186" s="3" t="str">
        <f t="shared" si="285"/>
        <v>자동</v>
      </c>
      <c r="AL186" s="3" t="str">
        <f t="shared" si="286"/>
        <v/>
      </c>
      <c r="AN186" s="3" t="str">
        <f ca="1">IF($BA186=42,OFFSET(변환표준점수!C$119,$AP186-1,0),"")</f>
        <v/>
      </c>
      <c r="AO186" s="3" t="str">
        <f ca="1">IF($BA186=42,OFFSET(변환표준점수!D$119,$AP186-1,0),"")</f>
        <v/>
      </c>
      <c r="AP186" s="3" t="str">
        <f>IF(S186="","",MATCH(S186,변환표준점수!$B$119:$B$298,0))</f>
        <v/>
      </c>
      <c r="AQ186" s="3">
        <v>2</v>
      </c>
      <c r="AR186" s="3">
        <v>2</v>
      </c>
      <c r="AS186" s="3">
        <v>2</v>
      </c>
      <c r="AT186" s="3">
        <v>2</v>
      </c>
      <c r="AX186" s="3">
        <v>3</v>
      </c>
      <c r="AY186" s="3">
        <v>3</v>
      </c>
      <c r="BA186" s="3">
        <f t="shared" si="287"/>
        <v>2</v>
      </c>
      <c r="BJ186" s="3">
        <f t="shared" si="288"/>
        <v>0</v>
      </c>
      <c r="CH186" s="206">
        <f t="shared" si="289"/>
        <v>720.00000000000011</v>
      </c>
      <c r="CI186" s="56">
        <v>80</v>
      </c>
      <c r="CJ186" s="3">
        <v>76</v>
      </c>
      <c r="CK186" s="3">
        <v>72</v>
      </c>
      <c r="CL186" s="3">
        <v>68</v>
      </c>
      <c r="CM186" s="3">
        <v>64</v>
      </c>
      <c r="CN186" s="3">
        <v>60</v>
      </c>
      <c r="CO186" s="3">
        <v>56</v>
      </c>
      <c r="CP186" s="3">
        <v>52</v>
      </c>
      <c r="CQ186" s="3">
        <v>48</v>
      </c>
      <c r="CR186" s="56">
        <v>10</v>
      </c>
      <c r="CS186" s="3">
        <v>9.8000000000000007</v>
      </c>
      <c r="CT186" s="3">
        <v>9.6</v>
      </c>
      <c r="CU186" s="3">
        <v>9.4</v>
      </c>
      <c r="CV186" s="3">
        <v>9.1999999999999993</v>
      </c>
      <c r="CW186" s="3">
        <v>9</v>
      </c>
      <c r="CX186" s="3">
        <v>8.8000000000000007</v>
      </c>
      <c r="CY186" s="3">
        <v>8.6</v>
      </c>
      <c r="CZ186" s="3">
        <v>8.4000000000000092</v>
      </c>
      <c r="DJ186" s="3">
        <f t="shared" ca="1" si="290"/>
        <v>80</v>
      </c>
      <c r="DK186" s="3">
        <f t="shared" ca="1" si="291"/>
        <v>100</v>
      </c>
      <c r="DL186" s="3">
        <f t="shared" ca="1" si="292"/>
        <v>10</v>
      </c>
      <c r="DM186" s="3">
        <v>2</v>
      </c>
      <c r="DS186" s="3">
        <v>1</v>
      </c>
      <c r="EA186" s="3">
        <f t="shared" si="293"/>
        <v>1</v>
      </c>
      <c r="EB186" s="3">
        <f t="shared" si="294"/>
        <v>2</v>
      </c>
      <c r="EC186" s="3">
        <f t="shared" si="295"/>
        <v>0</v>
      </c>
      <c r="ED186" s="3">
        <f t="shared" si="296"/>
        <v>0</v>
      </c>
      <c r="EF186" s="3">
        <f t="shared" ca="1" si="297"/>
        <v>0</v>
      </c>
      <c r="EG186" s="3">
        <f t="shared" ca="1" si="298"/>
        <v>0</v>
      </c>
      <c r="EH186" s="3">
        <f ca="1">IFERROR(IF(LEFT($BA186,1)="4",OFFSET(변환표준점수!$H$118,MATCH($S186,변환표준점수!$B$119:$B$198,0),),OFFSET(EH$3,MATCH(AS186,$ED$4:$ED$8,0),0)),0)</f>
        <v>0</v>
      </c>
      <c r="EI186" s="3">
        <f ca="1">IFERROR(IF(LEFT($BA186,1)="4",OFFSET(변환표준점수!$I$118,MATCH($S186,변환표준점수!$B$119:$B$198,0),0),OFFSET(EI$3,MATCH(AT186,$ED$4:$ED$8,0),0)),0)</f>
        <v>0</v>
      </c>
      <c r="EK186" s="3">
        <f ca="1">IFERROR(IF(LEFT($BA186,1)="4",OFFSET(변환표준점수!$J$118,MATCH($S186,변환표준점수!$B$119:$B$198,0),0),OFFSET(EJ$3,MATCH(AV186,$ED$4:$ED$8,0),0)),0)</f>
        <v>0</v>
      </c>
      <c r="EL186" s="3">
        <f ca="1">IFERROR(IF(LEFT($BA186,1)="4",OFFSET(변환표준점수!$K$118,MATCH($S186,변환표준점수!$B$119:$B$198,0),0),OFFSET(EK$3,MATCH(AW186,$ED$4:$ED$8,0),0)),0)</f>
        <v>0</v>
      </c>
      <c r="EM186" s="3" t="str">
        <f t="shared" ca="1" si="299"/>
        <v/>
      </c>
      <c r="EN186" s="3" t="str">
        <f t="shared" ca="1" si="300"/>
        <v/>
      </c>
      <c r="EO186" s="3">
        <f t="shared" ca="1" si="301"/>
        <v>0</v>
      </c>
      <c r="EQ186" s="3">
        <f t="shared" ca="1" si="302"/>
        <v>0</v>
      </c>
      <c r="ER186" s="3">
        <f t="shared" ca="1" si="303"/>
        <v>0</v>
      </c>
      <c r="ES186" s="3">
        <f t="shared" ca="1" si="304"/>
        <v>0</v>
      </c>
      <c r="ET186" s="3">
        <f t="shared" ca="1" si="305"/>
        <v>0</v>
      </c>
      <c r="EU186" s="3">
        <f t="shared" si="306"/>
        <v>0</v>
      </c>
      <c r="EV186" s="3">
        <f t="shared" ca="1" si="307"/>
        <v>0</v>
      </c>
      <c r="EW186" s="3">
        <f t="shared" ca="1" si="308"/>
        <v>0</v>
      </c>
      <c r="EX186" s="3">
        <f ca="1">LARGE((ES186:ET186,EV186:EW186),1)</f>
        <v>0</v>
      </c>
      <c r="EY186" s="3">
        <f ca="1">IF(O186&lt;2,0,LARGE((ES186:ET186,EV186:EW186),2))</f>
        <v>0</v>
      </c>
      <c r="EZ186" s="3">
        <f t="shared" ca="1" si="309"/>
        <v>0</v>
      </c>
      <c r="FA186" s="3">
        <f t="shared" ca="1" si="310"/>
        <v>0</v>
      </c>
      <c r="FB186" s="3">
        <f t="shared" ca="1" si="311"/>
        <v>0</v>
      </c>
      <c r="FG186" s="3">
        <f t="shared" ca="1" si="312"/>
        <v>0</v>
      </c>
      <c r="FH186" s="618"/>
      <c r="FU186" s="3" t="str">
        <f t="shared" si="268"/>
        <v>백분위</v>
      </c>
      <c r="FV186" s="3" t="str">
        <f t="shared" si="269"/>
        <v>백분위</v>
      </c>
      <c r="FW186" s="3">
        <f t="shared" si="313"/>
        <v>0.28000000000000003</v>
      </c>
      <c r="FX186" s="3">
        <f t="shared" si="314"/>
        <v>0.39</v>
      </c>
      <c r="FY186" s="3">
        <f t="shared" si="315"/>
        <v>0.33</v>
      </c>
      <c r="FZ186" s="3">
        <f t="shared" si="316"/>
        <v>7.1999999999999993</v>
      </c>
    </row>
    <row r="187" spans="1:182">
      <c r="A187" s="556">
        <v>26</v>
      </c>
      <c r="C187" s="3">
        <f t="shared" si="270"/>
        <v>172</v>
      </c>
      <c r="D187" s="3">
        <v>172</v>
      </c>
      <c r="E187" s="3" t="s">
        <v>278</v>
      </c>
      <c r="F187" s="3">
        <v>400</v>
      </c>
      <c r="G187" s="3">
        <v>0.2</v>
      </c>
      <c r="H187" s="3">
        <v>0.3</v>
      </c>
      <c r="I187" s="3">
        <v>0.15</v>
      </c>
      <c r="J187" s="3">
        <v>0.15</v>
      </c>
      <c r="O187" s="3">
        <v>2</v>
      </c>
      <c r="P187" s="3">
        <f t="shared" si="271"/>
        <v>0.8</v>
      </c>
      <c r="Q187" s="3" t="s">
        <v>408</v>
      </c>
      <c r="S187" s="3" t="str">
        <f t="shared" si="272"/>
        <v/>
      </c>
      <c r="U187" s="3">
        <v>1</v>
      </c>
      <c r="W187" s="3">
        <f t="shared" si="273"/>
        <v>0</v>
      </c>
      <c r="Y187" s="3">
        <f t="shared" si="274"/>
        <v>0.8</v>
      </c>
      <c r="Z187" s="3">
        <f t="shared" si="275"/>
        <v>1.2</v>
      </c>
      <c r="AA187" s="3">
        <f t="shared" si="276"/>
        <v>0.6</v>
      </c>
      <c r="AB187" s="3" t="str">
        <f t="shared" si="277"/>
        <v>자동</v>
      </c>
      <c r="AC187" s="3">
        <f t="shared" si="278"/>
        <v>1.2</v>
      </c>
      <c r="AD187" s="3">
        <f t="shared" si="279"/>
        <v>0.8</v>
      </c>
      <c r="AE187" s="3">
        <f t="shared" si="280"/>
        <v>1.2</v>
      </c>
      <c r="AF187" s="3">
        <f t="shared" si="281"/>
        <v>0.6</v>
      </c>
      <c r="AG187" s="3">
        <f t="shared" si="282"/>
        <v>0.6</v>
      </c>
      <c r="AH187" s="3" t="str">
        <f t="shared" si="283"/>
        <v>자동</v>
      </c>
      <c r="AI187" s="3" t="str">
        <f t="shared" si="284"/>
        <v>자동</v>
      </c>
      <c r="AJ187" s="3" t="str">
        <f t="shared" si="285"/>
        <v>자동</v>
      </c>
      <c r="AL187" s="3" t="str">
        <f t="shared" si="286"/>
        <v/>
      </c>
      <c r="AN187" s="3" t="str">
        <f ca="1">IF($BA187=42,OFFSET(변환표준점수!C$119,$AP187-1,0),"")</f>
        <v/>
      </c>
      <c r="AO187" s="3" t="str">
        <f ca="1">IF($BA187=42,OFFSET(변환표준점수!D$119,$AP187-1,0),"")</f>
        <v/>
      </c>
      <c r="AP187" s="3" t="str">
        <f>IF(S187="","",MATCH(S187,변환표준점수!$B$119:$B$298,0))</f>
        <v/>
      </c>
      <c r="AQ187" s="3">
        <v>2</v>
      </c>
      <c r="AR187" s="3">
        <v>2</v>
      </c>
      <c r="AS187" s="3">
        <v>2</v>
      </c>
      <c r="AT187" s="3">
        <v>2</v>
      </c>
      <c r="AX187" s="3">
        <v>3</v>
      </c>
      <c r="AY187" s="3">
        <v>3</v>
      </c>
      <c r="BA187" s="3">
        <f t="shared" si="287"/>
        <v>2</v>
      </c>
      <c r="BC187" s="3">
        <v>0.1</v>
      </c>
      <c r="BD187" s="3">
        <v>0.1</v>
      </c>
      <c r="BJ187" s="3">
        <f t="shared" si="288"/>
        <v>0</v>
      </c>
      <c r="BN187" s="212" t="s">
        <v>7717</v>
      </c>
      <c r="BP187" s="3">
        <f>IF(BP$6&gt;0,BC187*$EG187,0)</f>
        <v>0</v>
      </c>
      <c r="BQ187" s="3">
        <f>IF(BQ$6&gt;0,BD187*$EG187,0)</f>
        <v>0</v>
      </c>
      <c r="CH187" s="206">
        <f t="shared" si="289"/>
        <v>320</v>
      </c>
      <c r="CI187" s="56">
        <v>80</v>
      </c>
      <c r="CJ187" s="3">
        <v>76</v>
      </c>
      <c r="CK187" s="3">
        <v>72</v>
      </c>
      <c r="CL187" s="3">
        <v>68</v>
      </c>
      <c r="CM187" s="3">
        <v>64</v>
      </c>
      <c r="CN187" s="3">
        <v>60</v>
      </c>
      <c r="CO187" s="3">
        <v>56</v>
      </c>
      <c r="CP187" s="3">
        <v>52</v>
      </c>
      <c r="CQ187" s="3">
        <v>48</v>
      </c>
      <c r="CR187" s="56">
        <v>5</v>
      </c>
      <c r="CS187" s="3">
        <v>5</v>
      </c>
      <c r="CT187" s="3">
        <v>5</v>
      </c>
      <c r="CU187" s="3">
        <v>5</v>
      </c>
      <c r="CV187" s="3">
        <v>5</v>
      </c>
      <c r="CW187" s="3">
        <v>4</v>
      </c>
      <c r="CX187" s="3">
        <v>3</v>
      </c>
      <c r="CY187" s="3">
        <v>2</v>
      </c>
      <c r="CZ187" s="3">
        <v>1</v>
      </c>
      <c r="DJ187" s="3">
        <f t="shared" ca="1" si="290"/>
        <v>80</v>
      </c>
      <c r="DK187" s="3">
        <f t="shared" ca="1" si="291"/>
        <v>100</v>
      </c>
      <c r="DL187" s="3">
        <f t="shared" ca="1" si="292"/>
        <v>5</v>
      </c>
      <c r="DM187" s="3">
        <v>2</v>
      </c>
      <c r="DS187" s="3">
        <v>1</v>
      </c>
      <c r="EA187" s="3">
        <f t="shared" si="293"/>
        <v>1</v>
      </c>
      <c r="EB187" s="3">
        <f t="shared" si="294"/>
        <v>2</v>
      </c>
      <c r="EC187" s="3">
        <f t="shared" si="295"/>
        <v>0</v>
      </c>
      <c r="ED187" s="3">
        <f t="shared" si="296"/>
        <v>0</v>
      </c>
      <c r="EF187" s="3">
        <f t="shared" ca="1" si="297"/>
        <v>0</v>
      </c>
      <c r="EG187" s="3">
        <f t="shared" ca="1" si="298"/>
        <v>0</v>
      </c>
      <c r="EH187" s="3">
        <f ca="1">IFERROR(IF(LEFT($BA187,1)="4",OFFSET(변환표준점수!$H$118,MATCH($S187,변환표준점수!$B$119:$B$198,0),),OFFSET(EH$3,MATCH(AS187,$ED$4:$ED$8,0),0)),0)</f>
        <v>0</v>
      </c>
      <c r="EI187" s="3">
        <f ca="1">IFERROR(IF(LEFT($BA187,1)="4",OFFSET(변환표준점수!$I$118,MATCH($S187,변환표준점수!$B$119:$B$198,0),0),OFFSET(EI$3,MATCH(AT187,$ED$4:$ED$8,0),0)),0)</f>
        <v>0</v>
      </c>
      <c r="EK187" s="3">
        <f ca="1">IFERROR(IF(LEFT($BA187,1)="4",OFFSET(변환표준점수!$J$118,MATCH($S187,변환표준점수!$B$119:$B$198,0),0),OFFSET(EJ$3,MATCH(AV187,$ED$4:$ED$8,0),0)),0)</f>
        <v>0</v>
      </c>
      <c r="EL187" s="3">
        <f ca="1">IFERROR(IF(LEFT($BA187,1)="4",OFFSET(변환표준점수!$K$118,MATCH($S187,변환표준점수!$B$119:$B$198,0),0),OFFSET(EK$3,MATCH(AW187,$ED$4:$ED$8,0),0)),0)</f>
        <v>0</v>
      </c>
      <c r="EM187" s="3" t="str">
        <f t="shared" ca="1" si="299"/>
        <v/>
      </c>
      <c r="EN187" s="3" t="str">
        <f t="shared" ca="1" si="300"/>
        <v/>
      </c>
      <c r="EO187" s="3">
        <f t="shared" ca="1" si="301"/>
        <v>0</v>
      </c>
      <c r="EQ187" s="3">
        <f t="shared" ca="1" si="302"/>
        <v>0</v>
      </c>
      <c r="ER187" s="3">
        <f t="shared" ca="1" si="303"/>
        <v>0</v>
      </c>
      <c r="ES187" s="3">
        <f t="shared" ca="1" si="304"/>
        <v>0</v>
      </c>
      <c r="ET187" s="3">
        <f t="shared" ca="1" si="305"/>
        <v>0</v>
      </c>
      <c r="EU187" s="3">
        <f t="shared" si="306"/>
        <v>0</v>
      </c>
      <c r="EV187" s="3">
        <f t="shared" ca="1" si="307"/>
        <v>0</v>
      </c>
      <c r="EW187" s="3">
        <f t="shared" ca="1" si="308"/>
        <v>0</v>
      </c>
      <c r="EX187" s="3">
        <f ca="1">LARGE((ES187:ET187,EV187:EW187),1)</f>
        <v>0</v>
      </c>
      <c r="EY187" s="3">
        <f ca="1">IF(O187&lt;2,0,LARGE((ES187:ET187,EV187:EW187),2))</f>
        <v>0</v>
      </c>
      <c r="EZ187" s="3">
        <f t="shared" ca="1" si="309"/>
        <v>0</v>
      </c>
      <c r="FA187" s="3">
        <f t="shared" ca="1" si="310"/>
        <v>0</v>
      </c>
      <c r="FB187" s="3">
        <f t="shared" ca="1" si="311"/>
        <v>0</v>
      </c>
      <c r="FG187" s="3">
        <f t="shared" ca="1" si="312"/>
        <v>0</v>
      </c>
      <c r="FH187" s="618"/>
      <c r="FU187" s="3" t="str">
        <f t="shared" si="268"/>
        <v>백분위</v>
      </c>
      <c r="FV187" s="3" t="str">
        <f t="shared" si="269"/>
        <v>백분위</v>
      </c>
      <c r="FW187" s="3">
        <f t="shared" si="313"/>
        <v>0.25</v>
      </c>
      <c r="FX187" s="3">
        <f t="shared" si="314"/>
        <v>0.38</v>
      </c>
      <c r="FY187" s="3">
        <f t="shared" si="315"/>
        <v>0.38</v>
      </c>
      <c r="FZ187" s="3">
        <f t="shared" si="316"/>
        <v>3.2</v>
      </c>
    </row>
    <row r="188" spans="1:182">
      <c r="A188" s="556">
        <v>26</v>
      </c>
      <c r="C188" s="3">
        <f t="shared" si="270"/>
        <v>173</v>
      </c>
      <c r="D188" s="3">
        <v>173</v>
      </c>
      <c r="E188" s="3" t="s">
        <v>281</v>
      </c>
      <c r="F188" s="3">
        <v>400</v>
      </c>
      <c r="G188" s="3">
        <v>0.2</v>
      </c>
      <c r="H188" s="3">
        <v>0.3</v>
      </c>
      <c r="I188" s="3">
        <v>0.15</v>
      </c>
      <c r="J188" s="3">
        <v>0.15</v>
      </c>
      <c r="L188" s="3">
        <v>0.15</v>
      </c>
      <c r="M188" s="3">
        <v>0.15</v>
      </c>
      <c r="O188" s="3">
        <v>2</v>
      </c>
      <c r="P188" s="3">
        <f t="shared" si="271"/>
        <v>0.8</v>
      </c>
      <c r="Q188" s="3" t="s">
        <v>408</v>
      </c>
      <c r="S188" s="3" t="str">
        <f t="shared" si="272"/>
        <v/>
      </c>
      <c r="U188" s="3">
        <v>1</v>
      </c>
      <c r="W188" s="3">
        <f t="shared" si="273"/>
        <v>0</v>
      </c>
      <c r="Y188" s="3">
        <f t="shared" si="274"/>
        <v>0.8</v>
      </c>
      <c r="Z188" s="3">
        <f t="shared" si="275"/>
        <v>1.2</v>
      </c>
      <c r="AA188" s="3">
        <f t="shared" si="276"/>
        <v>0.6</v>
      </c>
      <c r="AB188" s="3">
        <f t="shared" si="277"/>
        <v>0.6</v>
      </c>
      <c r="AC188" s="3">
        <f t="shared" si="278"/>
        <v>1.2</v>
      </c>
      <c r="AD188" s="3">
        <f t="shared" si="279"/>
        <v>0.8</v>
      </c>
      <c r="AE188" s="3">
        <f t="shared" si="280"/>
        <v>1.2</v>
      </c>
      <c r="AF188" s="3">
        <f t="shared" si="281"/>
        <v>0.6</v>
      </c>
      <c r="AG188" s="3">
        <f t="shared" si="282"/>
        <v>0.6</v>
      </c>
      <c r="AH188" s="3" t="str">
        <f t="shared" si="283"/>
        <v>자동</v>
      </c>
      <c r="AI188" s="3">
        <f t="shared" si="284"/>
        <v>0.6</v>
      </c>
      <c r="AJ188" s="3">
        <f t="shared" si="285"/>
        <v>0.6</v>
      </c>
      <c r="AL188" s="3" t="str">
        <f t="shared" si="286"/>
        <v/>
      </c>
      <c r="AN188" s="3" t="str">
        <f ca="1">IF($BA188=42,OFFSET(변환표준점수!C$119,$AP188-1,0),"")</f>
        <v/>
      </c>
      <c r="AO188" s="3" t="str">
        <f ca="1">IF($BA188=42,OFFSET(변환표준점수!D$119,$AP188-1,0),"")</f>
        <v/>
      </c>
      <c r="AP188" s="3" t="str">
        <f>IF(S188="","",MATCH(S188,변환표준점수!$B$119:$B$298,0))</f>
        <v/>
      </c>
      <c r="AQ188" s="3">
        <v>2</v>
      </c>
      <c r="AR188" s="3">
        <v>2</v>
      </c>
      <c r="AS188" s="3">
        <v>2</v>
      </c>
      <c r="AT188" s="3">
        <v>2</v>
      </c>
      <c r="AV188" s="3">
        <v>2</v>
      </c>
      <c r="AW188" s="3">
        <v>2</v>
      </c>
      <c r="AX188" s="3">
        <v>3</v>
      </c>
      <c r="AY188" s="3">
        <v>3</v>
      </c>
      <c r="BA188" s="3">
        <f t="shared" si="287"/>
        <v>2</v>
      </c>
      <c r="BC188" s="3">
        <v>0.1</v>
      </c>
      <c r="BD188" s="3">
        <v>0.1</v>
      </c>
      <c r="BJ188" s="3">
        <f t="shared" si="288"/>
        <v>0</v>
      </c>
      <c r="BN188" s="212" t="s">
        <v>7717</v>
      </c>
      <c r="BP188" s="3">
        <f>IF(BP$6&gt;0,BC188*$EG188,0)</f>
        <v>0</v>
      </c>
      <c r="BQ188" s="3">
        <f>IF(BQ$6&gt;0,BD188*$EG188,0)</f>
        <v>0</v>
      </c>
      <c r="CH188" s="206">
        <f t="shared" si="289"/>
        <v>320</v>
      </c>
      <c r="CI188" s="56">
        <v>80</v>
      </c>
      <c r="CJ188" s="3">
        <v>76</v>
      </c>
      <c r="CK188" s="3">
        <v>72</v>
      </c>
      <c r="CL188" s="3">
        <v>68</v>
      </c>
      <c r="CM188" s="3">
        <v>64</v>
      </c>
      <c r="CN188" s="3">
        <v>60</v>
      </c>
      <c r="CO188" s="3">
        <v>56</v>
      </c>
      <c r="CP188" s="3">
        <v>52</v>
      </c>
      <c r="CQ188" s="3">
        <v>48</v>
      </c>
      <c r="CR188" s="56">
        <v>5</v>
      </c>
      <c r="CS188" s="3">
        <v>5</v>
      </c>
      <c r="CT188" s="3">
        <v>5</v>
      </c>
      <c r="CU188" s="3">
        <v>5</v>
      </c>
      <c r="CV188" s="3">
        <v>5</v>
      </c>
      <c r="CW188" s="3">
        <v>4</v>
      </c>
      <c r="CX188" s="3">
        <v>3</v>
      </c>
      <c r="CY188" s="3">
        <v>2</v>
      </c>
      <c r="CZ188" s="3">
        <v>1</v>
      </c>
      <c r="DJ188" s="3">
        <f t="shared" ca="1" si="290"/>
        <v>80</v>
      </c>
      <c r="DK188" s="3">
        <f t="shared" ca="1" si="291"/>
        <v>100</v>
      </c>
      <c r="DL188" s="3">
        <f t="shared" ca="1" si="292"/>
        <v>5</v>
      </c>
      <c r="DO188" s="3">
        <v>2</v>
      </c>
      <c r="DZ188" s="3">
        <v>1</v>
      </c>
      <c r="EA188" s="3">
        <f t="shared" si="293"/>
        <v>1</v>
      </c>
      <c r="EB188" s="3">
        <f t="shared" si="294"/>
        <v>2</v>
      </c>
      <c r="EC188" s="3">
        <f t="shared" si="295"/>
        <v>0</v>
      </c>
      <c r="ED188" s="3">
        <f t="shared" si="296"/>
        <v>0</v>
      </c>
      <c r="EF188" s="3">
        <f t="shared" ca="1" si="297"/>
        <v>0</v>
      </c>
      <c r="EG188" s="3">
        <f t="shared" ca="1" si="298"/>
        <v>0</v>
      </c>
      <c r="EH188" s="3">
        <f ca="1">IFERROR(IF(LEFT($BA188,1)="4",OFFSET(변환표준점수!$H$118,MATCH($S188,변환표준점수!$B$119:$B$198,0),),OFFSET(EH$3,MATCH(AS188,$ED$4:$ED$8,0),0)),0)</f>
        <v>0</v>
      </c>
      <c r="EI188" s="3">
        <f ca="1">IFERROR(IF(LEFT($BA188,1)="4",OFFSET(변환표준점수!$I$118,MATCH($S188,변환표준점수!$B$119:$B$198,0),0),OFFSET(EI$3,MATCH(AT188,$ED$4:$ED$8,0),0)),0)</f>
        <v>0</v>
      </c>
      <c r="EK188" s="3">
        <f ca="1">IFERROR(IF(LEFT($BA188,1)="4",OFFSET(변환표준점수!$J$118,MATCH($S188,변환표준점수!$B$119:$B$198,0),0),OFFSET(EJ$3,MATCH(AV188,$ED$4:$ED$8,0),0)),0)</f>
        <v>0</v>
      </c>
      <c r="EL188" s="3">
        <f ca="1">IFERROR(IF(LEFT($BA188,1)="4",OFFSET(변환표준점수!$K$118,MATCH($S188,변환표준점수!$B$119:$B$198,0),0),OFFSET(EK$3,MATCH(AW188,$ED$4:$ED$8,0),0)),0)</f>
        <v>0</v>
      </c>
      <c r="EM188" s="3" t="str">
        <f t="shared" ca="1" si="299"/>
        <v/>
      </c>
      <c r="EN188" s="3" t="str">
        <f t="shared" ca="1" si="300"/>
        <v/>
      </c>
      <c r="EO188" s="3">
        <f t="shared" ca="1" si="301"/>
        <v>0</v>
      </c>
      <c r="EQ188" s="3">
        <f t="shared" ca="1" si="302"/>
        <v>0</v>
      </c>
      <c r="ER188" s="3">
        <f t="shared" ca="1" si="303"/>
        <v>0</v>
      </c>
      <c r="ES188" s="3">
        <f t="shared" ca="1" si="304"/>
        <v>0</v>
      </c>
      <c r="ET188" s="3">
        <f t="shared" ca="1" si="305"/>
        <v>0</v>
      </c>
      <c r="EU188" s="3">
        <f t="shared" si="306"/>
        <v>0</v>
      </c>
      <c r="EV188" s="3">
        <f t="shared" ca="1" si="307"/>
        <v>0</v>
      </c>
      <c r="EW188" s="3">
        <f t="shared" ca="1" si="308"/>
        <v>0</v>
      </c>
      <c r="EX188" s="3">
        <f ca="1">LARGE((ES188:ET188,EV188:EW188),1)</f>
        <v>0</v>
      </c>
      <c r="EY188" s="3">
        <f ca="1">IF(O188&lt;2,0,LARGE((ES188:ET188,EV188:EW188),2))</f>
        <v>0</v>
      </c>
      <c r="EZ188" s="3">
        <f t="shared" ca="1" si="309"/>
        <v>0</v>
      </c>
      <c r="FA188" s="3">
        <f t="shared" ca="1" si="310"/>
        <v>0</v>
      </c>
      <c r="FB188" s="3">
        <f t="shared" ca="1" si="311"/>
        <v>0</v>
      </c>
      <c r="FG188" s="3">
        <f t="shared" ca="1" si="312"/>
        <v>0</v>
      </c>
      <c r="FH188" s="618"/>
      <c r="FU188" s="3" t="str">
        <f t="shared" si="268"/>
        <v>백분위</v>
      </c>
      <c r="FV188" s="3" t="str">
        <f t="shared" si="269"/>
        <v>백분위</v>
      </c>
      <c r="FW188" s="3">
        <f t="shared" si="313"/>
        <v>0.25</v>
      </c>
      <c r="FX188" s="3">
        <f t="shared" si="314"/>
        <v>0.38</v>
      </c>
      <c r="FY188" s="3">
        <f t="shared" si="315"/>
        <v>0.38</v>
      </c>
      <c r="FZ188" s="3">
        <f t="shared" si="316"/>
        <v>3.2</v>
      </c>
    </row>
    <row r="189" spans="1:182">
      <c r="A189" s="556">
        <v>26</v>
      </c>
      <c r="C189" s="3">
        <f t="shared" si="270"/>
        <v>174</v>
      </c>
      <c r="D189" s="3">
        <v>174</v>
      </c>
      <c r="E189" s="3" t="s">
        <v>308</v>
      </c>
      <c r="F189" s="3">
        <v>1000</v>
      </c>
      <c r="G189" s="3">
        <v>0.2</v>
      </c>
      <c r="H189" s="3">
        <v>0.3</v>
      </c>
      <c r="I189" s="3">
        <v>0.15</v>
      </c>
      <c r="J189" s="3">
        <v>0.15</v>
      </c>
      <c r="O189" s="3">
        <v>2</v>
      </c>
      <c r="P189" s="3">
        <f t="shared" si="271"/>
        <v>0.8</v>
      </c>
      <c r="Q189" s="3" t="s">
        <v>408</v>
      </c>
      <c r="S189" s="3" t="str">
        <f t="shared" si="272"/>
        <v/>
      </c>
      <c r="U189" s="3">
        <v>1</v>
      </c>
      <c r="W189" s="3">
        <f t="shared" si="273"/>
        <v>0</v>
      </c>
      <c r="Y189" s="3">
        <f t="shared" si="274"/>
        <v>1.4388489208633093</v>
      </c>
      <c r="Z189" s="3">
        <f t="shared" si="275"/>
        <v>2.1428571428571428</v>
      </c>
      <c r="AA189" s="3">
        <f t="shared" si="276"/>
        <v>2.1482892456640363</v>
      </c>
      <c r="AB189" s="3" t="str">
        <f t="shared" si="277"/>
        <v>자동</v>
      </c>
      <c r="AC189" s="3">
        <f t="shared" si="278"/>
        <v>2.1482892456640363</v>
      </c>
      <c r="AD189" s="3">
        <f t="shared" si="279"/>
        <v>1.4388489208633093</v>
      </c>
      <c r="AE189" s="3">
        <f t="shared" si="280"/>
        <v>2.1428571428571428</v>
      </c>
      <c r="AF189" s="3">
        <f t="shared" si="281"/>
        <v>2.1482892456640363</v>
      </c>
      <c r="AG189" s="3">
        <f t="shared" si="282"/>
        <v>2.1482892456640363</v>
      </c>
      <c r="AH189" s="3" t="str">
        <f t="shared" si="283"/>
        <v>자동</v>
      </c>
      <c r="AI189" s="3" t="str">
        <f t="shared" si="284"/>
        <v>자동</v>
      </c>
      <c r="AJ189" s="3" t="str">
        <f t="shared" si="285"/>
        <v>자동</v>
      </c>
      <c r="AK189" s="3">
        <v>1</v>
      </c>
      <c r="AL189" s="3">
        <f t="shared" si="286"/>
        <v>1</v>
      </c>
      <c r="AN189" s="3" t="str">
        <f ca="1">IF($BA189=42,OFFSET(변환표준점수!C$119,$AP189-1,0),"")</f>
        <v/>
      </c>
      <c r="AO189" s="3" t="str">
        <f ca="1">IF($BA189=42,OFFSET(변환표준점수!D$119,$AP189-1,0),"")</f>
        <v/>
      </c>
      <c r="AP189" s="3" t="str">
        <f>IF(S189="","",MATCH(S189,변환표준점수!$B$119:$B$298,0))</f>
        <v/>
      </c>
      <c r="AQ189" s="3">
        <v>12</v>
      </c>
      <c r="AR189" s="3">
        <v>12</v>
      </c>
      <c r="AS189" s="3">
        <v>12</v>
      </c>
      <c r="AT189" s="3">
        <v>12</v>
      </c>
      <c r="AX189" s="3">
        <v>3</v>
      </c>
      <c r="AY189" s="3">
        <v>3</v>
      </c>
      <c r="BA189" s="3">
        <f t="shared" si="287"/>
        <v>12</v>
      </c>
      <c r="BJ189" s="3">
        <f t="shared" si="288"/>
        <v>0</v>
      </c>
      <c r="CH189" s="206">
        <f t="shared" si="289"/>
        <v>800</v>
      </c>
      <c r="CI189" s="56">
        <v>190</v>
      </c>
      <c r="CJ189" s="3">
        <v>186.2</v>
      </c>
      <c r="CK189" s="3">
        <v>182.39999999999998</v>
      </c>
      <c r="CL189" s="3">
        <v>176.7</v>
      </c>
      <c r="CM189" s="3">
        <v>171</v>
      </c>
      <c r="CN189" s="3">
        <v>161.5</v>
      </c>
      <c r="CO189" s="3">
        <v>152</v>
      </c>
      <c r="CP189" s="3">
        <v>133</v>
      </c>
      <c r="CQ189" s="3">
        <v>114</v>
      </c>
      <c r="CR189" s="56">
        <v>10</v>
      </c>
      <c r="CS189" s="3">
        <v>10</v>
      </c>
      <c r="CT189" s="3">
        <v>10</v>
      </c>
      <c r="CU189" s="3">
        <v>10</v>
      </c>
      <c r="CV189" s="3">
        <v>9</v>
      </c>
      <c r="CW189" s="3">
        <v>8</v>
      </c>
      <c r="CX189" s="3">
        <v>7</v>
      </c>
      <c r="CY189" s="3">
        <v>6</v>
      </c>
      <c r="CZ189" s="3">
        <v>5</v>
      </c>
      <c r="DJ189" s="3">
        <f t="shared" ca="1" si="290"/>
        <v>190</v>
      </c>
      <c r="DK189" s="3">
        <f t="shared" ca="1" si="291"/>
        <v>100</v>
      </c>
      <c r="DL189" s="3">
        <f t="shared" ca="1" si="292"/>
        <v>10</v>
      </c>
      <c r="DM189" s="3">
        <v>2</v>
      </c>
      <c r="DQ189" s="3">
        <v>1</v>
      </c>
      <c r="DS189" s="3">
        <v>1</v>
      </c>
      <c r="DY189" s="56">
        <v>1</v>
      </c>
      <c r="EA189" s="3">
        <f t="shared" si="293"/>
        <v>1</v>
      </c>
      <c r="EB189" s="3">
        <f t="shared" si="294"/>
        <v>2</v>
      </c>
      <c r="EC189" s="3">
        <f t="shared" si="295"/>
        <v>0</v>
      </c>
      <c r="ED189" s="3">
        <f t="shared" si="296"/>
        <v>0</v>
      </c>
      <c r="EF189" s="3">
        <f t="shared" ca="1" si="297"/>
        <v>0</v>
      </c>
      <c r="EG189" s="3">
        <f t="shared" ca="1" si="298"/>
        <v>0</v>
      </c>
      <c r="EH189" s="3">
        <f ca="1">IFERROR(IF(LEFT($BA189,1)="4",OFFSET(변환표준점수!$H$118,MATCH($S189,변환표준점수!$B$119:$B$198,0),),OFFSET(EH$3,MATCH(AS189,$ED$4:$ED$8,0),0)),0)</f>
        <v>0</v>
      </c>
      <c r="EI189" s="3">
        <f ca="1">IFERROR(IF(LEFT($BA189,1)="4",OFFSET(변환표준점수!$I$118,MATCH($S189,변환표준점수!$B$119:$B$198,0),0),OFFSET(EI$3,MATCH(AT189,$ED$4:$ED$8,0),0)),0)</f>
        <v>0</v>
      </c>
      <c r="EK189" s="3">
        <f ca="1">IFERROR(IF(LEFT($BA189,1)="4",OFFSET(변환표준점수!$J$118,MATCH($S189,변환표준점수!$B$119:$B$198,0),0),OFFSET(EJ$3,MATCH(AV189,$ED$4:$ED$8,0),0)),0)</f>
        <v>0</v>
      </c>
      <c r="EL189" s="3">
        <f ca="1">IFERROR(IF(LEFT($BA189,1)="4",OFFSET(변환표준점수!$K$118,MATCH($S189,변환표준점수!$B$119:$B$198,0),0),OFFSET(EK$3,MATCH(AW189,$ED$4:$ED$8,0),0)),0)</f>
        <v>0</v>
      </c>
      <c r="EM189" s="3" t="str">
        <f t="shared" ca="1" si="299"/>
        <v/>
      </c>
      <c r="EN189" s="3" t="str">
        <f t="shared" ca="1" si="300"/>
        <v/>
      </c>
      <c r="EO189" s="3">
        <f t="shared" ca="1" si="301"/>
        <v>0</v>
      </c>
      <c r="EQ189" s="3">
        <f t="shared" ca="1" si="302"/>
        <v>0</v>
      </c>
      <c r="ER189" s="3">
        <f t="shared" ca="1" si="303"/>
        <v>0</v>
      </c>
      <c r="ES189" s="3">
        <f t="shared" ca="1" si="304"/>
        <v>0</v>
      </c>
      <c r="ET189" s="3">
        <f t="shared" ca="1" si="305"/>
        <v>0</v>
      </c>
      <c r="EU189" s="3">
        <f t="shared" si="306"/>
        <v>0</v>
      </c>
      <c r="EV189" s="3">
        <f t="shared" ca="1" si="307"/>
        <v>0</v>
      </c>
      <c r="EW189" s="3">
        <f t="shared" ca="1" si="308"/>
        <v>0</v>
      </c>
      <c r="EX189" s="3">
        <f ca="1">LARGE((ES189:ET189,EV189:EW189),1)</f>
        <v>0</v>
      </c>
      <c r="EY189" s="3">
        <f ca="1">IF(O189&lt;2,0,LARGE((ES189:ET189,EV189:EW189),2))</f>
        <v>0</v>
      </c>
      <c r="EZ189" s="3">
        <f t="shared" ca="1" si="309"/>
        <v>0</v>
      </c>
      <c r="FA189" s="3">
        <f t="shared" ca="1" si="310"/>
        <v>0</v>
      </c>
      <c r="FB189" s="3">
        <f t="shared" ca="1" si="311"/>
        <v>0</v>
      </c>
      <c r="FG189" s="3">
        <f t="shared" ca="1" si="312"/>
        <v>0</v>
      </c>
      <c r="FH189" s="618"/>
      <c r="FU189" s="3" t="str">
        <f t="shared" si="268"/>
        <v>표점/만점</v>
      </c>
      <c r="FV189" s="3" t="str">
        <f t="shared" si="269"/>
        <v>표점/만점</v>
      </c>
      <c r="FW189" s="3">
        <f t="shared" si="313"/>
        <v>0.25</v>
      </c>
      <c r="FX189" s="3">
        <f t="shared" si="314"/>
        <v>0.37</v>
      </c>
      <c r="FY189" s="3">
        <f t="shared" si="315"/>
        <v>0.37</v>
      </c>
      <c r="FZ189" s="3">
        <f t="shared" si="316"/>
        <v>5.7299953093844884</v>
      </c>
    </row>
    <row r="190" spans="1:182">
      <c r="A190" s="556">
        <v>26</v>
      </c>
      <c r="C190" s="3">
        <f t="shared" si="270"/>
        <v>175</v>
      </c>
      <c r="D190" s="3">
        <v>175</v>
      </c>
      <c r="E190" s="3" t="s">
        <v>275</v>
      </c>
      <c r="F190" s="3">
        <v>640</v>
      </c>
      <c r="G190" s="3">
        <f>200/640</f>
        <v>0.3125</v>
      </c>
      <c r="H190" s="3">
        <f>240/640</f>
        <v>0.375</v>
      </c>
      <c r="I190" s="3">
        <f>(200/640)/2/2</f>
        <v>7.8125E-2</v>
      </c>
      <c r="J190" s="3">
        <f>I190</f>
        <v>7.8125E-2</v>
      </c>
      <c r="O190" s="3">
        <v>2</v>
      </c>
      <c r="P190" s="3">
        <f t="shared" si="271"/>
        <v>0.84375</v>
      </c>
      <c r="Q190" s="3" t="s">
        <v>408</v>
      </c>
      <c r="S190" s="3" t="str">
        <f t="shared" si="272"/>
        <v/>
      </c>
      <c r="U190" s="3">
        <v>1</v>
      </c>
      <c r="W190" s="3">
        <f t="shared" si="273"/>
        <v>0</v>
      </c>
      <c r="Y190" s="3">
        <f t="shared" si="274"/>
        <v>1</v>
      </c>
      <c r="Z190" s="3">
        <f t="shared" si="275"/>
        <v>1.2</v>
      </c>
      <c r="AA190" s="3">
        <f t="shared" si="276"/>
        <v>0.5</v>
      </c>
      <c r="AB190" s="3" t="str">
        <f t="shared" si="277"/>
        <v>자동</v>
      </c>
      <c r="AC190" s="3">
        <f t="shared" si="278"/>
        <v>0.5</v>
      </c>
      <c r="AD190" s="3">
        <f t="shared" si="279"/>
        <v>1</v>
      </c>
      <c r="AE190" s="3">
        <f t="shared" si="280"/>
        <v>1.2</v>
      </c>
      <c r="AF190" s="3">
        <f t="shared" si="281"/>
        <v>0.5</v>
      </c>
      <c r="AG190" s="3">
        <f t="shared" si="282"/>
        <v>0.5</v>
      </c>
      <c r="AH190" s="3" t="str">
        <f t="shared" si="283"/>
        <v>자동</v>
      </c>
      <c r="AI190" s="3" t="str">
        <f t="shared" si="284"/>
        <v>자동</v>
      </c>
      <c r="AJ190" s="3" t="str">
        <f t="shared" si="285"/>
        <v>자동</v>
      </c>
      <c r="AL190" s="3" t="str">
        <f t="shared" si="286"/>
        <v/>
      </c>
      <c r="AN190" s="3" t="str">
        <f ca="1">IF($BA190=42,OFFSET(변환표준점수!C$119,$AP190-1,0),"")</f>
        <v/>
      </c>
      <c r="AO190" s="3" t="str">
        <f ca="1">IF($BA190=42,OFFSET(변환표준점수!D$119,$AP190-1,0),"")</f>
        <v/>
      </c>
      <c r="AP190" s="3" t="str">
        <f>IF(S190="","",MATCH(S190,변환표준점수!$B$119:$B$298,0))</f>
        <v/>
      </c>
      <c r="AQ190" s="3">
        <v>1</v>
      </c>
      <c r="AR190" s="3">
        <v>1</v>
      </c>
      <c r="AS190" s="3">
        <v>1</v>
      </c>
      <c r="AT190" s="3">
        <v>1</v>
      </c>
      <c r="AX190" s="3">
        <v>3</v>
      </c>
      <c r="AY190" s="3">
        <v>3</v>
      </c>
      <c r="BA190" s="3">
        <f t="shared" si="287"/>
        <v>1</v>
      </c>
      <c r="BJ190" s="3">
        <f t="shared" si="288"/>
        <v>0</v>
      </c>
      <c r="BN190" s="212" t="s">
        <v>7718</v>
      </c>
      <c r="CH190" s="206">
        <f t="shared" si="289"/>
        <v>540</v>
      </c>
      <c r="CI190" s="56">
        <v>100</v>
      </c>
      <c r="CJ190" s="3">
        <v>95</v>
      </c>
      <c r="CK190" s="3">
        <v>90</v>
      </c>
      <c r="CL190" s="3">
        <v>80</v>
      </c>
      <c r="CM190" s="3">
        <v>70</v>
      </c>
      <c r="CN190" s="3">
        <v>60</v>
      </c>
      <c r="CO190" s="3">
        <v>55</v>
      </c>
      <c r="CP190" s="3">
        <v>50</v>
      </c>
      <c r="CQ190" s="3">
        <v>45</v>
      </c>
      <c r="CR190" s="56">
        <v>5</v>
      </c>
      <c r="CS190" s="3">
        <v>5</v>
      </c>
      <c r="CT190" s="3">
        <v>5</v>
      </c>
      <c r="CU190" s="3">
        <v>5</v>
      </c>
      <c r="CV190" s="3">
        <v>5</v>
      </c>
      <c r="CW190" s="3">
        <v>4</v>
      </c>
      <c r="CX190" s="3">
        <v>3</v>
      </c>
      <c r="CY190" s="3">
        <v>2</v>
      </c>
      <c r="CZ190" s="3">
        <v>1</v>
      </c>
      <c r="DJ190" s="3">
        <f t="shared" ca="1" si="290"/>
        <v>100</v>
      </c>
      <c r="DK190" s="3">
        <f t="shared" ca="1" si="291"/>
        <v>100</v>
      </c>
      <c r="DL190" s="3">
        <f t="shared" ca="1" si="292"/>
        <v>5</v>
      </c>
      <c r="DM190" s="3">
        <v>2</v>
      </c>
      <c r="DS190" s="3">
        <v>1</v>
      </c>
      <c r="EA190" s="3">
        <f t="shared" si="293"/>
        <v>1</v>
      </c>
      <c r="EB190" s="3">
        <f t="shared" si="294"/>
        <v>2</v>
      </c>
      <c r="EC190" s="3">
        <f t="shared" si="295"/>
        <v>0</v>
      </c>
      <c r="ED190" s="3">
        <f t="shared" si="296"/>
        <v>0</v>
      </c>
      <c r="EF190" s="3">
        <f t="shared" ca="1" si="297"/>
        <v>0</v>
      </c>
      <c r="EG190" s="3">
        <f t="shared" ca="1" si="298"/>
        <v>0</v>
      </c>
      <c r="EH190" s="3">
        <f ca="1">IFERROR(IF(LEFT($BA190,1)="4",OFFSET(변환표준점수!$H$118,MATCH($S190,변환표준점수!$B$119:$B$198,0),),OFFSET(EH$3,MATCH(AS190,$ED$4:$ED$8,0),0)),0)</f>
        <v>0</v>
      </c>
      <c r="EI190" s="3">
        <f ca="1">IFERROR(IF(LEFT($BA190,1)="4",OFFSET(변환표준점수!$I$118,MATCH($S190,변환표준점수!$B$119:$B$198,0),0),OFFSET(EI$3,MATCH(AT190,$ED$4:$ED$8,0),0)),0)</f>
        <v>0</v>
      </c>
      <c r="EK190" s="3">
        <f ca="1">IFERROR(IF(LEFT($BA190,1)="4",OFFSET(변환표준점수!$J$118,MATCH($S190,변환표준점수!$B$119:$B$198,0),0),OFFSET(EJ$3,MATCH(AV190,$ED$4:$ED$8,0),0)),0)</f>
        <v>0</v>
      </c>
      <c r="EL190" s="3">
        <f ca="1">IFERROR(IF(LEFT($BA190,1)="4",OFFSET(변환표준점수!$K$118,MATCH($S190,변환표준점수!$B$119:$B$198,0),0),OFFSET(EK$3,MATCH(AW190,$ED$4:$ED$8,0),0)),0)</f>
        <v>0</v>
      </c>
      <c r="EM190" s="3" t="str">
        <f t="shared" ca="1" si="299"/>
        <v/>
      </c>
      <c r="EN190" s="3" t="str">
        <f t="shared" ca="1" si="300"/>
        <v/>
      </c>
      <c r="EO190" s="3">
        <f t="shared" ca="1" si="301"/>
        <v>0</v>
      </c>
      <c r="EQ190" s="3">
        <f t="shared" ca="1" si="302"/>
        <v>0</v>
      </c>
      <c r="ER190" s="3">
        <f t="shared" ca="1" si="303"/>
        <v>0</v>
      </c>
      <c r="ES190" s="3">
        <f t="shared" ca="1" si="304"/>
        <v>0</v>
      </c>
      <c r="ET190" s="3">
        <f t="shared" ca="1" si="305"/>
        <v>0</v>
      </c>
      <c r="EU190" s="3">
        <f t="shared" si="306"/>
        <v>0</v>
      </c>
      <c r="EV190" s="3">
        <f t="shared" ca="1" si="307"/>
        <v>0</v>
      </c>
      <c r="EW190" s="3">
        <f t="shared" ca="1" si="308"/>
        <v>0</v>
      </c>
      <c r="EX190" s="3">
        <f ca="1">LARGE((ES190:ET190,EV190:EW190),1)</f>
        <v>0</v>
      </c>
      <c r="EY190" s="3">
        <f ca="1">IF(O190&lt;2,0,LARGE((ES190:ET190,EV190:EW190),2))</f>
        <v>0</v>
      </c>
      <c r="EZ190" s="3">
        <f t="shared" ca="1" si="309"/>
        <v>0</v>
      </c>
      <c r="FA190" s="3">
        <f t="shared" ca="1" si="310"/>
        <v>0</v>
      </c>
      <c r="FB190" s="3">
        <f t="shared" ca="1" si="311"/>
        <v>0</v>
      </c>
      <c r="FF190" s="3">
        <f ca="1">EQ190+ER190+EU190+EX190+EY190+EZ190+FA190+FB190+FC190+($EH$6+$EI$6+$EJ$6+$EK$6)/2</f>
        <v>0</v>
      </c>
      <c r="FG190" s="3">
        <f t="shared" ca="1" si="312"/>
        <v>0</v>
      </c>
      <c r="FH190" s="618" t="s">
        <v>7719</v>
      </c>
      <c r="FT190" s="3">
        <v>0.5</v>
      </c>
      <c r="FU190" s="3" t="str">
        <f t="shared" si="268"/>
        <v>표점</v>
      </c>
      <c r="FV190" s="3" t="str">
        <f t="shared" si="269"/>
        <v>표점</v>
      </c>
      <c r="FW190" s="3">
        <f t="shared" si="313"/>
        <v>0.37</v>
      </c>
      <c r="FX190" s="3">
        <f t="shared" si="314"/>
        <v>0.44</v>
      </c>
      <c r="FY190" s="3">
        <f t="shared" si="315"/>
        <v>0.19</v>
      </c>
      <c r="FZ190" s="3">
        <f t="shared" si="316"/>
        <v>2.7</v>
      </c>
    </row>
    <row r="191" spans="1:182">
      <c r="A191" s="556">
        <v>26</v>
      </c>
      <c r="C191" s="3">
        <f t="shared" si="270"/>
        <v>176</v>
      </c>
      <c r="D191" s="3">
        <v>176</v>
      </c>
      <c r="E191" s="3" t="s">
        <v>363</v>
      </c>
      <c r="F191" s="3">
        <v>640</v>
      </c>
      <c r="G191" s="3">
        <f>240/640</f>
        <v>0.375</v>
      </c>
      <c r="H191" s="3">
        <f>200/640</f>
        <v>0.3125</v>
      </c>
      <c r="I191" s="3">
        <v>7.8125E-2</v>
      </c>
      <c r="J191" s="3">
        <v>7.8125E-2</v>
      </c>
      <c r="L191" s="3">
        <v>7.8125E-2</v>
      </c>
      <c r="M191" s="3">
        <v>7.8125E-2</v>
      </c>
      <c r="O191" s="3">
        <v>2</v>
      </c>
      <c r="P191" s="3">
        <f t="shared" si="271"/>
        <v>0.84375</v>
      </c>
      <c r="Q191" s="3" t="s">
        <v>408</v>
      </c>
      <c r="S191" s="3" t="str">
        <f t="shared" si="272"/>
        <v/>
      </c>
      <c r="U191" s="3">
        <v>1</v>
      </c>
      <c r="W191" s="3">
        <f t="shared" si="273"/>
        <v>0</v>
      </c>
      <c r="Y191" s="3">
        <f t="shared" si="274"/>
        <v>1.2</v>
      </c>
      <c r="Z191" s="3">
        <f t="shared" si="275"/>
        <v>1</v>
      </c>
      <c r="AA191" s="3">
        <f t="shared" si="276"/>
        <v>0.5</v>
      </c>
      <c r="AB191" s="3">
        <f t="shared" si="277"/>
        <v>0.5</v>
      </c>
      <c r="AC191" s="3">
        <f t="shared" si="278"/>
        <v>0.5</v>
      </c>
      <c r="AD191" s="3">
        <f t="shared" si="279"/>
        <v>1.2</v>
      </c>
      <c r="AE191" s="3">
        <f t="shared" si="280"/>
        <v>1</v>
      </c>
      <c r="AF191" s="3">
        <f t="shared" si="281"/>
        <v>0.5</v>
      </c>
      <c r="AG191" s="3">
        <f t="shared" si="282"/>
        <v>0.5</v>
      </c>
      <c r="AH191" s="3" t="str">
        <f t="shared" si="283"/>
        <v>자동</v>
      </c>
      <c r="AI191" s="3">
        <f t="shared" si="284"/>
        <v>0.5</v>
      </c>
      <c r="AJ191" s="3">
        <f t="shared" si="285"/>
        <v>0.5</v>
      </c>
      <c r="AL191" s="3" t="str">
        <f t="shared" si="286"/>
        <v/>
      </c>
      <c r="AN191" s="3" t="str">
        <f ca="1">IF($BA191=42,OFFSET(변환표준점수!C$119,$AP191-1,0),"")</f>
        <v/>
      </c>
      <c r="AO191" s="3" t="str">
        <f ca="1">IF($BA191=42,OFFSET(변환표준점수!D$119,$AP191-1,0),"")</f>
        <v/>
      </c>
      <c r="AP191" s="3" t="str">
        <f>IF(S191="","",MATCH(S191,변환표준점수!$B$119:$B$298,0))</f>
        <v/>
      </c>
      <c r="AQ191" s="3">
        <v>1</v>
      </c>
      <c r="AR191" s="3">
        <v>1</v>
      </c>
      <c r="AS191" s="3">
        <v>1</v>
      </c>
      <c r="AT191" s="3">
        <v>1</v>
      </c>
      <c r="AV191" s="3">
        <v>1</v>
      </c>
      <c r="AW191" s="3">
        <v>1</v>
      </c>
      <c r="AX191" s="3">
        <v>3</v>
      </c>
      <c r="AY191" s="3">
        <v>3</v>
      </c>
      <c r="BA191" s="3">
        <f t="shared" si="287"/>
        <v>1</v>
      </c>
      <c r="BJ191" s="3">
        <f t="shared" si="288"/>
        <v>0</v>
      </c>
      <c r="BN191" s="212" t="s">
        <v>7718</v>
      </c>
      <c r="CH191" s="206">
        <f t="shared" si="289"/>
        <v>540</v>
      </c>
      <c r="CI191" s="56">
        <v>100</v>
      </c>
      <c r="CJ191" s="3">
        <v>95</v>
      </c>
      <c r="CK191" s="3">
        <v>90</v>
      </c>
      <c r="CL191" s="3">
        <v>80</v>
      </c>
      <c r="CM191" s="3">
        <v>70</v>
      </c>
      <c r="CN191" s="3">
        <v>60</v>
      </c>
      <c r="CO191" s="3">
        <v>55</v>
      </c>
      <c r="CP191" s="3">
        <v>50</v>
      </c>
      <c r="CQ191" s="3">
        <v>45</v>
      </c>
      <c r="CR191" s="56">
        <v>5</v>
      </c>
      <c r="CS191" s="3">
        <v>5</v>
      </c>
      <c r="CT191" s="3">
        <v>5</v>
      </c>
      <c r="CU191" s="3">
        <v>5</v>
      </c>
      <c r="CV191" s="3">
        <v>5</v>
      </c>
      <c r="CW191" s="3">
        <v>4</v>
      </c>
      <c r="CX191" s="3">
        <v>3</v>
      </c>
      <c r="CY191" s="3">
        <v>2</v>
      </c>
      <c r="CZ191" s="3">
        <v>1</v>
      </c>
      <c r="DJ191" s="3">
        <f t="shared" ca="1" si="290"/>
        <v>100</v>
      </c>
      <c r="DK191" s="3">
        <f t="shared" ca="1" si="291"/>
        <v>100</v>
      </c>
      <c r="DL191" s="3">
        <f t="shared" ca="1" si="292"/>
        <v>5</v>
      </c>
      <c r="DN191" s="3">
        <v>2</v>
      </c>
      <c r="DU191" s="3">
        <v>1</v>
      </c>
      <c r="EA191" s="3">
        <f t="shared" si="293"/>
        <v>2</v>
      </c>
      <c r="EB191" s="3">
        <f t="shared" si="294"/>
        <v>2</v>
      </c>
      <c r="EC191" s="3">
        <f t="shared" si="295"/>
        <v>0</v>
      </c>
      <c r="ED191" s="3">
        <f t="shared" si="296"/>
        <v>0</v>
      </c>
      <c r="EF191" s="3">
        <f t="shared" ca="1" si="297"/>
        <v>0</v>
      </c>
      <c r="EG191" s="3">
        <f t="shared" ca="1" si="298"/>
        <v>0</v>
      </c>
      <c r="EH191" s="3">
        <f ca="1">IFERROR(IF(LEFT($BA191,1)="4",OFFSET(변환표준점수!$H$118,MATCH($S191,변환표준점수!$B$119:$B$198,0),),OFFSET(EH$3,MATCH(AS191,$ED$4:$ED$8,0),0)),0)</f>
        <v>0</v>
      </c>
      <c r="EI191" s="3">
        <f ca="1">IFERROR(IF(LEFT($BA191,1)="4",OFFSET(변환표준점수!$I$118,MATCH($S191,변환표준점수!$B$119:$B$198,0),0),OFFSET(EI$3,MATCH(AT191,$ED$4:$ED$8,0),0)),0)</f>
        <v>0</v>
      </c>
      <c r="EK191" s="3">
        <f ca="1">IFERROR(IF(LEFT($BA191,1)="4",OFFSET(변환표준점수!$J$118,MATCH($S191,변환표준점수!$B$119:$B$198,0),0),OFFSET(EJ$3,MATCH(AV191,$ED$4:$ED$8,0),0)),0)</f>
        <v>0</v>
      </c>
      <c r="EL191" s="3">
        <f ca="1">IFERROR(IF(LEFT($BA191,1)="4",OFFSET(변환표준점수!$K$118,MATCH($S191,변환표준점수!$B$119:$B$198,0),0),OFFSET(EK$3,MATCH(AW191,$ED$4:$ED$8,0),0)),0)</f>
        <v>0</v>
      </c>
      <c r="EM191" s="3" t="str">
        <f t="shared" ca="1" si="299"/>
        <v/>
      </c>
      <c r="EN191" s="3" t="str">
        <f t="shared" ca="1" si="300"/>
        <v/>
      </c>
      <c r="EO191" s="3">
        <f t="shared" ca="1" si="301"/>
        <v>0</v>
      </c>
      <c r="EQ191" s="3">
        <f t="shared" ca="1" si="302"/>
        <v>0</v>
      </c>
      <c r="ER191" s="3">
        <f t="shared" ca="1" si="303"/>
        <v>0</v>
      </c>
      <c r="ES191" s="3">
        <f t="shared" ca="1" si="304"/>
        <v>0</v>
      </c>
      <c r="ET191" s="3">
        <f t="shared" ca="1" si="305"/>
        <v>0</v>
      </c>
      <c r="EU191" s="3">
        <f t="shared" si="306"/>
        <v>0</v>
      </c>
      <c r="EV191" s="3">
        <f t="shared" ca="1" si="307"/>
        <v>0</v>
      </c>
      <c r="EW191" s="3">
        <f t="shared" ca="1" si="308"/>
        <v>0</v>
      </c>
      <c r="EX191" s="3">
        <f ca="1">LARGE((ES191:ET191,EV191:EW191),1)</f>
        <v>0</v>
      </c>
      <c r="EY191" s="3">
        <f ca="1">IF(O191&lt;2,0,LARGE((ES191:ET191,EV191:EW191),2))</f>
        <v>0</v>
      </c>
      <c r="EZ191" s="3">
        <f t="shared" ca="1" si="309"/>
        <v>0</v>
      </c>
      <c r="FA191" s="3">
        <f t="shared" ca="1" si="310"/>
        <v>0</v>
      </c>
      <c r="FB191" s="3">
        <f t="shared" ca="1" si="311"/>
        <v>0</v>
      </c>
      <c r="FF191" s="3">
        <f ca="1">EQ191+ER191+EU191+EX191+EY191+EZ191+FA191+FB191+FC191+($EH$6+$EI$6+$EJ$6+$EK$6)/2</f>
        <v>0</v>
      </c>
      <c r="FG191" s="3">
        <f t="shared" ca="1" si="312"/>
        <v>0</v>
      </c>
      <c r="FH191" s="618" t="s">
        <v>7719</v>
      </c>
      <c r="FT191" s="3">
        <v>0.5</v>
      </c>
      <c r="FU191" s="3" t="str">
        <f t="shared" si="268"/>
        <v>표점</v>
      </c>
      <c r="FV191" s="3" t="str">
        <f t="shared" si="269"/>
        <v>표점</v>
      </c>
      <c r="FW191" s="3">
        <f t="shared" si="313"/>
        <v>0.44</v>
      </c>
      <c r="FX191" s="3">
        <f t="shared" si="314"/>
        <v>0.37</v>
      </c>
      <c r="FY191" s="3">
        <f t="shared" si="315"/>
        <v>0.19</v>
      </c>
      <c r="FZ191" s="3">
        <f t="shared" si="316"/>
        <v>2.7</v>
      </c>
    </row>
    <row r="192" spans="1:182">
      <c r="A192" s="556">
        <v>26</v>
      </c>
      <c r="C192" s="3">
        <f t="shared" si="270"/>
        <v>177</v>
      </c>
      <c r="D192" s="3">
        <v>177</v>
      </c>
      <c r="E192" s="3" t="s">
        <v>271</v>
      </c>
      <c r="F192" s="3">
        <v>1000</v>
      </c>
      <c r="G192" s="3">
        <v>0.3</v>
      </c>
      <c r="H192" s="3">
        <v>0.3</v>
      </c>
      <c r="I192" s="3">
        <v>0.15</v>
      </c>
      <c r="J192" s="3">
        <v>0.15</v>
      </c>
      <c r="O192" s="3">
        <v>2</v>
      </c>
      <c r="P192" s="3">
        <f t="shared" si="271"/>
        <v>0.89999999999999991</v>
      </c>
      <c r="Q192" s="3" t="s">
        <v>408</v>
      </c>
      <c r="S192" s="3" t="str">
        <f t="shared" si="272"/>
        <v/>
      </c>
      <c r="U192" s="3">
        <v>1</v>
      </c>
      <c r="W192" s="3">
        <f t="shared" si="273"/>
        <v>0</v>
      </c>
      <c r="Y192" s="3">
        <f t="shared" si="274"/>
        <v>3</v>
      </c>
      <c r="Z192" s="3">
        <f t="shared" si="275"/>
        <v>3</v>
      </c>
      <c r="AA192" s="3">
        <f t="shared" si="276"/>
        <v>1.5</v>
      </c>
      <c r="AB192" s="3" t="str">
        <f t="shared" si="277"/>
        <v>자동</v>
      </c>
      <c r="AC192" s="3">
        <f t="shared" si="278"/>
        <v>3</v>
      </c>
      <c r="AD192" s="3">
        <f t="shared" si="279"/>
        <v>3</v>
      </c>
      <c r="AE192" s="3">
        <f t="shared" si="280"/>
        <v>3</v>
      </c>
      <c r="AF192" s="3">
        <f t="shared" si="281"/>
        <v>1.5</v>
      </c>
      <c r="AG192" s="3">
        <f t="shared" si="282"/>
        <v>1.5</v>
      </c>
      <c r="AH192" s="3" t="str">
        <f t="shared" si="283"/>
        <v>자동</v>
      </c>
      <c r="AI192" s="3" t="str">
        <f t="shared" si="284"/>
        <v>자동</v>
      </c>
      <c r="AJ192" s="3" t="str">
        <f t="shared" si="285"/>
        <v>자동</v>
      </c>
      <c r="AL192" s="3" t="str">
        <f t="shared" si="286"/>
        <v/>
      </c>
      <c r="AN192" s="3" t="str">
        <f ca="1">IF($BA192=42,OFFSET(변환표준점수!C$119,$AP192-1,0),"")</f>
        <v/>
      </c>
      <c r="AO192" s="3" t="str">
        <f ca="1">IF($BA192=42,OFFSET(변환표준점수!D$119,$AP192-1,0),"")</f>
        <v/>
      </c>
      <c r="AP192" s="3" t="str">
        <f>IF(S192="","",MATCH(S192,변환표준점수!$B$119:$B$298,0))</f>
        <v/>
      </c>
      <c r="AQ192" s="3">
        <v>2</v>
      </c>
      <c r="AR192" s="3">
        <v>2</v>
      </c>
      <c r="AS192" s="3">
        <v>2</v>
      </c>
      <c r="AT192" s="3">
        <v>2</v>
      </c>
      <c r="AX192" s="3">
        <v>3</v>
      </c>
      <c r="AY192" s="3">
        <v>3</v>
      </c>
      <c r="BA192" s="3">
        <f t="shared" si="287"/>
        <v>2</v>
      </c>
      <c r="BJ192" s="3">
        <f t="shared" si="288"/>
        <v>0</v>
      </c>
      <c r="BN192" s="212" t="s">
        <v>7720</v>
      </c>
      <c r="CH192" s="206">
        <f t="shared" si="289"/>
        <v>899.99999999999989</v>
      </c>
      <c r="CI192" s="56">
        <v>100</v>
      </c>
      <c r="CJ192" s="3">
        <v>95</v>
      </c>
      <c r="CK192" s="3">
        <v>90</v>
      </c>
      <c r="CL192" s="3">
        <v>80</v>
      </c>
      <c r="CM192" s="3">
        <v>70</v>
      </c>
      <c r="CN192" s="3">
        <v>60</v>
      </c>
      <c r="CO192" s="3">
        <v>50</v>
      </c>
      <c r="CP192" s="3">
        <v>30</v>
      </c>
      <c r="CQ192" s="3">
        <v>10</v>
      </c>
      <c r="CR192" s="56">
        <v>5</v>
      </c>
      <c r="CS192" s="3">
        <v>5</v>
      </c>
      <c r="CT192" s="3">
        <v>5</v>
      </c>
      <c r="CU192" s="3">
        <v>5</v>
      </c>
      <c r="CV192" s="3">
        <v>4</v>
      </c>
      <c r="CW192" s="3">
        <v>3</v>
      </c>
      <c r="CX192" s="3">
        <v>2</v>
      </c>
      <c r="CY192" s="3">
        <v>1</v>
      </c>
      <c r="CZ192" s="3">
        <v>0</v>
      </c>
      <c r="DJ192" s="3">
        <f t="shared" ca="1" si="290"/>
        <v>100</v>
      </c>
      <c r="DK192" s="3">
        <f t="shared" ca="1" si="291"/>
        <v>100</v>
      </c>
      <c r="DL192" s="3">
        <f t="shared" ca="1" si="292"/>
        <v>5</v>
      </c>
      <c r="DM192" s="3">
        <v>2</v>
      </c>
      <c r="DW192" s="3">
        <f>1-OR(LEFT(I13,1)="생",LEFT(J13,1)="생")</f>
        <v>0</v>
      </c>
      <c r="EA192" s="3">
        <f t="shared" si="293"/>
        <v>1</v>
      </c>
      <c r="EB192" s="3">
        <f t="shared" si="294"/>
        <v>2</v>
      </c>
      <c r="EC192" s="3">
        <f t="shared" si="295"/>
        <v>0</v>
      </c>
      <c r="ED192" s="3">
        <f t="shared" si="296"/>
        <v>0</v>
      </c>
      <c r="EF192" s="3">
        <f t="shared" ca="1" si="297"/>
        <v>0</v>
      </c>
      <c r="EG192" s="3">
        <f t="shared" ca="1" si="298"/>
        <v>0</v>
      </c>
      <c r="EH192" s="3">
        <f ca="1">IFERROR(IF(LEFT($BA192,1)="4",OFFSET(변환표준점수!$H$118,MATCH($S192,변환표준점수!$B$119:$B$198,0),),OFFSET(EH$3,MATCH(AS192,$ED$4:$ED$8,0),0)),0)</f>
        <v>0</v>
      </c>
      <c r="EI192" s="3">
        <f ca="1">IFERROR(IF(LEFT($BA192,1)="4",OFFSET(변환표준점수!$I$118,MATCH($S192,변환표준점수!$B$119:$B$198,0),0),OFFSET(EI$3,MATCH(AT192,$ED$4:$ED$8,0),0)),0)</f>
        <v>0</v>
      </c>
      <c r="EK192" s="3">
        <f ca="1">IFERROR(IF(LEFT($BA192,1)="4",OFFSET(변환표준점수!$J$118,MATCH($S192,변환표준점수!$B$119:$B$198,0),0),OFFSET(EJ$3,MATCH(AV192,$ED$4:$ED$8,0),0)),0)</f>
        <v>0</v>
      </c>
      <c r="EL192" s="3">
        <f ca="1">IFERROR(IF(LEFT($BA192,1)="4",OFFSET(변환표준점수!$K$118,MATCH($S192,변환표준점수!$B$119:$B$198,0),0),OFFSET(EK$3,MATCH(AW192,$ED$4:$ED$8,0),0)),0)</f>
        <v>0</v>
      </c>
      <c r="EM192" s="3" t="str">
        <f t="shared" ca="1" si="299"/>
        <v/>
      </c>
      <c r="EN192" s="3" t="str">
        <f t="shared" ca="1" si="300"/>
        <v/>
      </c>
      <c r="EO192" s="3">
        <f t="shared" ca="1" si="301"/>
        <v>0</v>
      </c>
      <c r="EQ192" s="3">
        <f t="shared" ca="1" si="302"/>
        <v>0</v>
      </c>
      <c r="ER192" s="3">
        <f t="shared" ca="1" si="303"/>
        <v>0</v>
      </c>
      <c r="ES192" s="3">
        <f t="shared" ca="1" si="304"/>
        <v>0</v>
      </c>
      <c r="ET192" s="3">
        <f t="shared" ca="1" si="305"/>
        <v>0</v>
      </c>
      <c r="EU192" s="3">
        <f t="shared" si="306"/>
        <v>0</v>
      </c>
      <c r="EV192" s="3">
        <f t="shared" ca="1" si="307"/>
        <v>0</v>
      </c>
      <c r="EW192" s="3">
        <f t="shared" ca="1" si="308"/>
        <v>0</v>
      </c>
      <c r="EX192" s="3">
        <f ca="1">LARGE((ES192:ET192,EV192:EW192),1)</f>
        <v>0</v>
      </c>
      <c r="EY192" s="3">
        <f ca="1">IF(O192&lt;2,0,LARGE((ES192:ET192,EV192:EW192),2))</f>
        <v>0</v>
      </c>
      <c r="EZ192" s="3">
        <f t="shared" ca="1" si="309"/>
        <v>0</v>
      </c>
      <c r="FA192" s="3">
        <f t="shared" ca="1" si="310"/>
        <v>0</v>
      </c>
      <c r="FB192" s="3">
        <f t="shared" ca="1" si="311"/>
        <v>0</v>
      </c>
      <c r="FG192" s="3">
        <f t="shared" ca="1" si="312"/>
        <v>0</v>
      </c>
      <c r="FH192" s="618" t="s">
        <v>7720</v>
      </c>
      <c r="FU192" s="3" t="str">
        <f t="shared" si="268"/>
        <v>백분위</v>
      </c>
      <c r="FV192" s="3" t="str">
        <f t="shared" si="269"/>
        <v>백분위</v>
      </c>
      <c r="FW192" s="3">
        <f t="shared" si="313"/>
        <v>0.33</v>
      </c>
      <c r="FX192" s="3">
        <f t="shared" si="314"/>
        <v>0.33</v>
      </c>
      <c r="FY192" s="3">
        <f t="shared" si="315"/>
        <v>0.33</v>
      </c>
      <c r="FZ192" s="3">
        <f t="shared" si="316"/>
        <v>9</v>
      </c>
    </row>
    <row r="193" spans="1:182">
      <c r="A193" s="556">
        <v>26</v>
      </c>
      <c r="C193" s="3">
        <f t="shared" si="270"/>
        <v>178</v>
      </c>
      <c r="D193" s="3">
        <v>178</v>
      </c>
      <c r="E193" s="3" t="s">
        <v>311</v>
      </c>
      <c r="F193" s="3">
        <v>800</v>
      </c>
      <c r="G193" s="3">
        <v>0.25</v>
      </c>
      <c r="H193" s="3">
        <v>0.25</v>
      </c>
      <c r="I193" s="3">
        <v>0.125</v>
      </c>
      <c r="J193" s="3">
        <v>0.125</v>
      </c>
      <c r="O193" s="3">
        <v>2</v>
      </c>
      <c r="P193" s="3">
        <f t="shared" si="271"/>
        <v>0.75</v>
      </c>
      <c r="Q193" s="3" t="s">
        <v>408</v>
      </c>
      <c r="S193" s="3" t="str">
        <f t="shared" si="272"/>
        <v/>
      </c>
      <c r="U193" s="3">
        <v>1</v>
      </c>
      <c r="W193" s="3">
        <f t="shared" si="273"/>
        <v>0</v>
      </c>
      <c r="Y193" s="3">
        <f t="shared" si="274"/>
        <v>1</v>
      </c>
      <c r="Z193" s="3">
        <f t="shared" si="275"/>
        <v>1</v>
      </c>
      <c r="AA193" s="3">
        <f t="shared" si="276"/>
        <v>1</v>
      </c>
      <c r="AB193" s="3" t="str">
        <f t="shared" si="277"/>
        <v>자동</v>
      </c>
      <c r="AC193" s="3">
        <f t="shared" si="278"/>
        <v>1</v>
      </c>
      <c r="AD193" s="3">
        <f t="shared" si="279"/>
        <v>1</v>
      </c>
      <c r="AE193" s="3">
        <f t="shared" si="280"/>
        <v>1</v>
      </c>
      <c r="AF193" s="3">
        <f t="shared" si="281"/>
        <v>1</v>
      </c>
      <c r="AG193" s="3">
        <f t="shared" si="282"/>
        <v>1</v>
      </c>
      <c r="AH193" s="3" t="str">
        <f t="shared" si="283"/>
        <v>자동</v>
      </c>
      <c r="AI193" s="3" t="str">
        <f t="shared" si="284"/>
        <v>자동</v>
      </c>
      <c r="AJ193" s="3" t="str">
        <f t="shared" si="285"/>
        <v>자동</v>
      </c>
      <c r="AL193" s="3" t="str">
        <f t="shared" si="286"/>
        <v/>
      </c>
      <c r="AN193" s="3" t="str">
        <f ca="1">IF($BA193=42,OFFSET(변환표준점수!C$119,$AP193-1,0),"")</f>
        <v/>
      </c>
      <c r="AO193" s="3" t="str">
        <f ca="1">IF($BA193=42,OFFSET(변환표준점수!D$119,$AP193-1,0),"")</f>
        <v/>
      </c>
      <c r="AP193" s="3" t="str">
        <f>IF(S193="","",MATCH(S193,변환표준점수!$B$119:$B$298,0))</f>
        <v/>
      </c>
      <c r="AQ193" s="3">
        <v>1</v>
      </c>
      <c r="AR193" s="3">
        <v>1</v>
      </c>
      <c r="AS193" s="3">
        <v>1</v>
      </c>
      <c r="AT193" s="3">
        <v>1</v>
      </c>
      <c r="AX193" s="3">
        <v>3</v>
      </c>
      <c r="AY193" s="3">
        <v>3</v>
      </c>
      <c r="BA193" s="3">
        <f t="shared" si="287"/>
        <v>1</v>
      </c>
      <c r="BJ193" s="3">
        <f t="shared" si="288"/>
        <v>0</v>
      </c>
      <c r="CH193" s="206">
        <f t="shared" si="289"/>
        <v>600</v>
      </c>
      <c r="CI193" s="56">
        <v>135</v>
      </c>
      <c r="CJ193" s="3">
        <v>130</v>
      </c>
      <c r="CK193" s="3">
        <v>123</v>
      </c>
      <c r="CL193" s="3">
        <v>114</v>
      </c>
      <c r="CM193" s="3">
        <v>103</v>
      </c>
      <c r="CN193" s="3">
        <v>94</v>
      </c>
      <c r="CO193" s="3">
        <v>87</v>
      </c>
      <c r="CP193" s="3">
        <v>82</v>
      </c>
      <c r="CQ193" s="3">
        <v>79</v>
      </c>
      <c r="DJ193" s="3">
        <f t="shared" ca="1" si="290"/>
        <v>135</v>
      </c>
      <c r="DK193" s="3">
        <f t="shared" ca="1" si="291"/>
        <v>100</v>
      </c>
      <c r="DL193" s="3">
        <f t="shared" ca="1" si="292"/>
        <v>0</v>
      </c>
      <c r="DM193" s="3">
        <v>2</v>
      </c>
      <c r="DQ193" s="3">
        <v>1</v>
      </c>
      <c r="DS193" s="3">
        <v>1</v>
      </c>
      <c r="EA193" s="3">
        <f t="shared" si="293"/>
        <v>1</v>
      </c>
      <c r="EB193" s="3">
        <f t="shared" si="294"/>
        <v>2</v>
      </c>
      <c r="EC193" s="3">
        <f t="shared" si="295"/>
        <v>0</v>
      </c>
      <c r="ED193" s="3">
        <f t="shared" si="296"/>
        <v>0</v>
      </c>
      <c r="EF193" s="3">
        <f t="shared" ca="1" si="297"/>
        <v>0</v>
      </c>
      <c r="EG193" s="3">
        <f t="shared" ca="1" si="298"/>
        <v>0</v>
      </c>
      <c r="EH193" s="3">
        <f ca="1">IFERROR(IF(LEFT($BA193,1)="4",OFFSET(변환표준점수!$H$118,MATCH($S193,변환표준점수!$B$119:$B$198,0),),OFFSET(EH$3,MATCH(AS193,$ED$4:$ED$8,0),0)),0)</f>
        <v>0</v>
      </c>
      <c r="EI193" s="3">
        <f ca="1">IFERROR(IF(LEFT($BA193,1)="4",OFFSET(변환표준점수!$I$118,MATCH($S193,변환표준점수!$B$119:$B$198,0),0),OFFSET(EI$3,MATCH(AT193,$ED$4:$ED$8,0),0)),0)</f>
        <v>0</v>
      </c>
      <c r="EK193" s="3">
        <f ca="1">IFERROR(IF(LEFT($BA193,1)="4",OFFSET(변환표준점수!$J$118,MATCH($S193,변환표준점수!$B$119:$B$198,0),0),OFFSET(EJ$3,MATCH(AV193,$ED$4:$ED$8,0),0)),0)</f>
        <v>0</v>
      </c>
      <c r="EL193" s="3">
        <f ca="1">IFERROR(IF(LEFT($BA193,1)="4",OFFSET(변환표준점수!$K$118,MATCH($S193,변환표준점수!$B$119:$B$198,0),0),OFFSET(EK$3,MATCH(AW193,$ED$4:$ED$8,0),0)),0)</f>
        <v>0</v>
      </c>
      <c r="EM193" s="3" t="str">
        <f t="shared" ca="1" si="299"/>
        <v/>
      </c>
      <c r="EN193" s="3" t="str">
        <f t="shared" ca="1" si="300"/>
        <v/>
      </c>
      <c r="EO193" s="3">
        <f t="shared" ca="1" si="301"/>
        <v>0</v>
      </c>
      <c r="EQ193" s="3">
        <f t="shared" ca="1" si="302"/>
        <v>0</v>
      </c>
      <c r="ER193" s="3">
        <f t="shared" ca="1" si="303"/>
        <v>0</v>
      </c>
      <c r="ES193" s="3">
        <f t="shared" ca="1" si="304"/>
        <v>0</v>
      </c>
      <c r="ET193" s="3">
        <f t="shared" ca="1" si="305"/>
        <v>0</v>
      </c>
      <c r="EU193" s="3">
        <f t="shared" si="306"/>
        <v>0</v>
      </c>
      <c r="EV193" s="3">
        <f t="shared" ca="1" si="307"/>
        <v>0</v>
      </c>
      <c r="EW193" s="3">
        <f t="shared" ca="1" si="308"/>
        <v>0</v>
      </c>
      <c r="EX193" s="3">
        <f ca="1">LARGE((ES193:ET193,EV193:EW193),1)</f>
        <v>0</v>
      </c>
      <c r="EY193" s="3">
        <f ca="1">IF(O193&lt;2,0,LARGE((ES193:ET193,EV193:EW193),2))</f>
        <v>0</v>
      </c>
      <c r="EZ193" s="3">
        <f t="shared" ca="1" si="309"/>
        <v>0</v>
      </c>
      <c r="FA193" s="3">
        <f t="shared" ca="1" si="310"/>
        <v>0</v>
      </c>
      <c r="FB193" s="3">
        <f t="shared" ca="1" si="311"/>
        <v>0</v>
      </c>
      <c r="FG193" s="3">
        <f t="shared" ca="1" si="312"/>
        <v>0</v>
      </c>
      <c r="FH193" s="618"/>
      <c r="FU193" s="3" t="str">
        <f t="shared" si="268"/>
        <v>표점</v>
      </c>
      <c r="FV193" s="3" t="str">
        <f t="shared" si="269"/>
        <v>표점</v>
      </c>
      <c r="FW193" s="3">
        <f t="shared" si="313"/>
        <v>0.33</v>
      </c>
      <c r="FX193" s="3">
        <f t="shared" si="314"/>
        <v>0.33</v>
      </c>
      <c r="FY193" s="3">
        <f t="shared" si="315"/>
        <v>0.33</v>
      </c>
      <c r="FZ193" s="3">
        <f t="shared" si="316"/>
        <v>3</v>
      </c>
    </row>
    <row r="194" spans="1:182">
      <c r="A194" s="556">
        <v>26</v>
      </c>
      <c r="C194" s="3">
        <f t="shared" si="270"/>
        <v>179</v>
      </c>
      <c r="D194" s="3">
        <v>179</v>
      </c>
      <c r="E194" s="3" t="s">
        <v>317</v>
      </c>
      <c r="F194" s="3">
        <v>800</v>
      </c>
      <c r="G194" s="3">
        <v>0.25</v>
      </c>
      <c r="H194" s="3">
        <v>0.25</v>
      </c>
      <c r="I194" s="3">
        <v>0.125</v>
      </c>
      <c r="J194" s="3">
        <v>0.125</v>
      </c>
      <c r="O194" s="3">
        <v>2</v>
      </c>
      <c r="P194" s="3">
        <f t="shared" si="271"/>
        <v>0.75</v>
      </c>
      <c r="Q194" s="3" t="s">
        <v>408</v>
      </c>
      <c r="S194" s="3" t="str">
        <f t="shared" si="272"/>
        <v/>
      </c>
      <c r="U194" s="3">
        <v>1</v>
      </c>
      <c r="W194" s="3">
        <f t="shared" si="273"/>
        <v>0</v>
      </c>
      <c r="Y194" s="3">
        <f t="shared" si="274"/>
        <v>1</v>
      </c>
      <c r="Z194" s="3">
        <f t="shared" si="275"/>
        <v>1</v>
      </c>
      <c r="AA194" s="3">
        <f t="shared" si="276"/>
        <v>1</v>
      </c>
      <c r="AB194" s="3" t="str">
        <f t="shared" si="277"/>
        <v>자동</v>
      </c>
      <c r="AC194" s="3">
        <f t="shared" si="278"/>
        <v>1</v>
      </c>
      <c r="AD194" s="3">
        <f t="shared" si="279"/>
        <v>1</v>
      </c>
      <c r="AE194" s="3">
        <f t="shared" si="280"/>
        <v>1</v>
      </c>
      <c r="AF194" s="3">
        <f t="shared" si="281"/>
        <v>1</v>
      </c>
      <c r="AG194" s="3">
        <f t="shared" si="282"/>
        <v>1</v>
      </c>
      <c r="AH194" s="3" t="str">
        <f t="shared" si="283"/>
        <v>자동</v>
      </c>
      <c r="AI194" s="3" t="str">
        <f t="shared" si="284"/>
        <v>자동</v>
      </c>
      <c r="AJ194" s="3" t="str">
        <f t="shared" si="285"/>
        <v>자동</v>
      </c>
      <c r="AL194" s="3" t="str">
        <f t="shared" si="286"/>
        <v/>
      </c>
      <c r="AN194" s="3" t="str">
        <f ca="1">IF($BA194=42,OFFSET(변환표준점수!C$119,$AP194-1,0),"")</f>
        <v/>
      </c>
      <c r="AO194" s="3" t="str">
        <f ca="1">IF($BA194=42,OFFSET(변환표준점수!D$119,$AP194-1,0),"")</f>
        <v/>
      </c>
      <c r="AP194" s="3" t="str">
        <f>IF(S194="","",MATCH(S194,변환표준점수!$B$119:$B$298,0))</f>
        <v/>
      </c>
      <c r="AQ194" s="3">
        <v>1</v>
      </c>
      <c r="AR194" s="3">
        <v>1</v>
      </c>
      <c r="AS194" s="3">
        <v>1</v>
      </c>
      <c r="AT194" s="3">
        <v>1</v>
      </c>
      <c r="AX194" s="3">
        <v>3</v>
      </c>
      <c r="AY194" s="3">
        <v>3</v>
      </c>
      <c r="BA194" s="3">
        <f t="shared" si="287"/>
        <v>1</v>
      </c>
      <c r="BJ194" s="3">
        <f t="shared" si="288"/>
        <v>0</v>
      </c>
      <c r="CH194" s="206">
        <f t="shared" si="289"/>
        <v>600</v>
      </c>
      <c r="CI194" s="56">
        <v>135</v>
      </c>
      <c r="CJ194" s="3">
        <v>130</v>
      </c>
      <c r="CK194" s="3">
        <v>123</v>
      </c>
      <c r="CL194" s="3">
        <v>114</v>
      </c>
      <c r="CM194" s="3">
        <v>103</v>
      </c>
      <c r="CN194" s="3">
        <v>94</v>
      </c>
      <c r="CO194" s="3">
        <v>87</v>
      </c>
      <c r="CP194" s="3">
        <v>82</v>
      </c>
      <c r="CQ194" s="3">
        <v>79</v>
      </c>
      <c r="DJ194" s="3">
        <f t="shared" ca="1" si="290"/>
        <v>135</v>
      </c>
      <c r="DK194" s="3">
        <f t="shared" ca="1" si="291"/>
        <v>100</v>
      </c>
      <c r="DL194" s="3">
        <f t="shared" ca="1" si="292"/>
        <v>0</v>
      </c>
      <c r="DM194" s="3">
        <v>2</v>
      </c>
      <c r="DQ194" s="3">
        <v>1</v>
      </c>
      <c r="DS194" s="3">
        <v>1</v>
      </c>
      <c r="EA194" s="3">
        <f t="shared" si="293"/>
        <v>1</v>
      </c>
      <c r="EB194" s="3">
        <f t="shared" si="294"/>
        <v>2</v>
      </c>
      <c r="EC194" s="3">
        <f t="shared" si="295"/>
        <v>0</v>
      </c>
      <c r="ED194" s="3">
        <f t="shared" si="296"/>
        <v>0</v>
      </c>
      <c r="EF194" s="3">
        <f t="shared" ca="1" si="297"/>
        <v>0</v>
      </c>
      <c r="EG194" s="3">
        <f t="shared" ca="1" si="298"/>
        <v>0</v>
      </c>
      <c r="EH194" s="3">
        <f ca="1">IFERROR(IF(LEFT($BA194,1)="4",OFFSET(변환표준점수!$H$118,MATCH($S194,변환표준점수!$B$119:$B$198,0),),OFFSET(EH$3,MATCH(AS194,$ED$4:$ED$8,0),0)),0)</f>
        <v>0</v>
      </c>
      <c r="EI194" s="3">
        <f ca="1">IFERROR(IF(LEFT($BA194,1)="4",OFFSET(변환표준점수!$I$118,MATCH($S194,변환표준점수!$B$119:$B$198,0),0),OFFSET(EI$3,MATCH(AT194,$ED$4:$ED$8,0),0)),0)</f>
        <v>0</v>
      </c>
      <c r="EK194" s="3">
        <f ca="1">IFERROR(IF(LEFT($BA194,1)="4",OFFSET(변환표준점수!$J$118,MATCH($S194,변환표준점수!$B$119:$B$198,0),0),OFFSET(EJ$3,MATCH(AV194,$ED$4:$ED$8,0),0)),0)</f>
        <v>0</v>
      </c>
      <c r="EL194" s="3">
        <f ca="1">IFERROR(IF(LEFT($BA194,1)="4",OFFSET(변환표준점수!$K$118,MATCH($S194,변환표준점수!$B$119:$B$198,0),0),OFFSET(EK$3,MATCH(AW194,$ED$4:$ED$8,0),0)),0)</f>
        <v>0</v>
      </c>
      <c r="EM194" s="3" t="str">
        <f t="shared" ca="1" si="299"/>
        <v/>
      </c>
      <c r="EN194" s="3" t="str">
        <f t="shared" ca="1" si="300"/>
        <v/>
      </c>
      <c r="EO194" s="3">
        <f t="shared" ca="1" si="301"/>
        <v>0</v>
      </c>
      <c r="EQ194" s="3">
        <f t="shared" ca="1" si="302"/>
        <v>0</v>
      </c>
      <c r="ER194" s="3">
        <f t="shared" ca="1" si="303"/>
        <v>0</v>
      </c>
      <c r="ES194" s="3">
        <f t="shared" ca="1" si="304"/>
        <v>0</v>
      </c>
      <c r="ET194" s="3">
        <f t="shared" ca="1" si="305"/>
        <v>0</v>
      </c>
      <c r="EU194" s="3">
        <f t="shared" si="306"/>
        <v>0</v>
      </c>
      <c r="EV194" s="3">
        <f t="shared" ca="1" si="307"/>
        <v>0</v>
      </c>
      <c r="EW194" s="3">
        <f t="shared" ca="1" si="308"/>
        <v>0</v>
      </c>
      <c r="EX194" s="3">
        <f ca="1">LARGE((ES194:ET194,EV194:EW194),1)</f>
        <v>0</v>
      </c>
      <c r="EY194" s="3">
        <f ca="1">IF(O194&lt;2,0,LARGE((ES194:ET194,EV194:EW194),2))</f>
        <v>0</v>
      </c>
      <c r="EZ194" s="3">
        <f t="shared" ca="1" si="309"/>
        <v>0</v>
      </c>
      <c r="FA194" s="3">
        <f t="shared" ca="1" si="310"/>
        <v>0</v>
      </c>
      <c r="FB194" s="3">
        <f t="shared" ca="1" si="311"/>
        <v>0</v>
      </c>
      <c r="FG194" s="3">
        <f t="shared" ca="1" si="312"/>
        <v>0</v>
      </c>
      <c r="FH194" s="618"/>
      <c r="FU194" s="3" t="str">
        <f t="shared" si="268"/>
        <v>표점</v>
      </c>
      <c r="FV194" s="3" t="str">
        <f t="shared" si="269"/>
        <v>표점</v>
      </c>
      <c r="FW194" s="3">
        <f t="shared" si="313"/>
        <v>0.33</v>
      </c>
      <c r="FX194" s="3">
        <f t="shared" si="314"/>
        <v>0.33</v>
      </c>
      <c r="FY194" s="3">
        <f t="shared" si="315"/>
        <v>0.33</v>
      </c>
      <c r="FZ194" s="3">
        <f t="shared" si="316"/>
        <v>3</v>
      </c>
    </row>
    <row r="195" spans="1:182">
      <c r="FH195" s="618"/>
    </row>
    <row r="196" spans="1:182">
      <c r="A196" s="556">
        <v>26</v>
      </c>
      <c r="C196" s="3">
        <f t="shared" ref="C196:C212" si="318">ROUND(ROW(C196)-ROW($C$15),0)</f>
        <v>181</v>
      </c>
      <c r="D196" s="3">
        <v>181</v>
      </c>
      <c r="E196" s="3" t="s">
        <v>314</v>
      </c>
      <c r="F196" s="3">
        <v>800</v>
      </c>
      <c r="G196" s="3">
        <v>0.25</v>
      </c>
      <c r="H196" s="3">
        <v>0.35</v>
      </c>
      <c r="I196" s="3">
        <v>0.15</v>
      </c>
      <c r="O196" s="3">
        <v>1</v>
      </c>
      <c r="P196" s="3">
        <f t="shared" ref="P196:P212" si="319">G196+H196+MAX((I196:J196),L196:M196)*O196</f>
        <v>0.75</v>
      </c>
      <c r="Q196" s="3" t="s">
        <v>408</v>
      </c>
      <c r="S196" s="3" t="str">
        <f t="shared" ref="S196:S212" si="320">IF(R196&gt;0,R196,Q196)</f>
        <v/>
      </c>
      <c r="U196" s="3">
        <v>1</v>
      </c>
      <c r="W196" s="3">
        <f t="shared" ref="W196:W212" si="321">IF(AND(BH196=0,CD196=0),0,IF(V196&gt;0,V196,IF(U196=1,$W$11,0)))</f>
        <v>0</v>
      </c>
      <c r="Y196" s="3">
        <f t="shared" ref="Y196:Y212" si="322">AD196</f>
        <v>2</v>
      </c>
      <c r="Z196" s="3">
        <f t="shared" ref="Z196:Z212" si="323">AE196</f>
        <v>2.8</v>
      </c>
      <c r="AA196" s="3">
        <f t="shared" ref="AA196:AA212" si="324">IF($BB$7=1,AF196,IF(AS196=12,$F196*I196/($AF$8*AL196+$AF$9*(1-AL196)),AF196))</f>
        <v>1.2</v>
      </c>
      <c r="AB196" s="3" t="str">
        <f t="shared" ref="AB196:AB212" si="325">IF($BB$7=1,AI196,IF(AV196=12,$F196*L196/($AI$8*AL196+$AI$9*(1-AL196)),AI196))</f>
        <v>자동</v>
      </c>
      <c r="AC196" s="3">
        <f t="shared" ref="AC196:AC212" si="326">IF(AND(AS196=2,EA196=1),AA196*O196,IF(AND(AS196=2,EA196=2),AB196*O196,IF(EA196=1,AA196,IF(EA196=2,AB196))))</f>
        <v>1.2</v>
      </c>
      <c r="AD196" s="3">
        <f t="shared" ref="AD196:AD212" si="327">IF(AQ196=12,$F196*G196/$AQ$9,IF(OR(AQ196=1,AQ196=4),$F196*G196/200,IF(OR(AQ196=2,AQ196=9),$F196*G196/100,"자동")))</f>
        <v>2</v>
      </c>
      <c r="AE196" s="3">
        <f t="shared" ref="AE196:AE212" si="328">IF(AR196=12,$F196*H196/$AR$9,IF(OR(AR196=1,AR196=4),$F196*H196/200,IF(OR(AR196=2,AR196=9),$F196*H196/100,"자동")))</f>
        <v>2.8</v>
      </c>
      <c r="AF196" s="3">
        <f t="shared" ref="AF196:AF212" si="329">IF(AS196=12,$F196*I196/IF($BB$7=1,IF($ED196=1,$AS$9,$AF$9),($AF$8*AL196+$AF$9*(1-AL196))),IF(AS196=42,$F196*I196/AN196,IF(OR(AS196=1,AS196=4,AS196=2),$F196*I196/100,IF(AS196=9,$F196*I196/50,"자동"))))</f>
        <v>1.2</v>
      </c>
      <c r="AG196" s="3" t="str">
        <f t="shared" ref="AG196:AG212" si="330">IF(AT196=12,$F196*J196/IF($BB$7=1,IF($ED196=1,$AT$9,$AG$9),($AG$8*AL196+$AG$9*(1-AL196))),IF(AT196=42,$F196*J196/AN196,IF(OR(AT196=1,AT196=4,AT196=2),$F196*J196/100,IF(AT196=9,$F196*J196/50,"자동"))))</f>
        <v>자동</v>
      </c>
      <c r="AH196" s="3" t="str">
        <f t="shared" ref="AH196:AH212" si="331">IF(AU196=12,$F196*K196/IF($BB$7=1,IF($ED196=1,$AU$9,$AH$9),($AH$8*AL196+$AH$9*(1-AL196))),IF(AU196=42,$F196*K196/$AN196,IF(OR(AU196=1,AU196=4,AU196=2),$F196*K196/100,IF(AU196=9,$F196*K196/50,"자동"))))</f>
        <v>자동</v>
      </c>
      <c r="AI196" s="3" t="str">
        <f t="shared" ref="AI196:AI212" si="332">IF(AV196=12,$F196*L196/IF($BB$7=1,IF($ED196=1,$AV$9,$AI$9),($AI$8*AL196+$AI$9*(1-AL196))),IF(AV196=42,$F196*L196/AO196,IF(OR(AV196=1,AV196=4,AV196=2),$F196*L196/100,IF(AV196=9,$F196*L196/50,"자동"))))</f>
        <v>자동</v>
      </c>
      <c r="AJ196" s="3" t="str">
        <f t="shared" ref="AJ196:AJ212" si="333">IF(AW196=12,$F196*M196/IF($BB$7=1,IF($ED196=1,$AW$9,$AJ$9),($AJ$8*AL196+$AJ$9*(1-AL196))),IF(AW196=42,$F196*M196/AO196,IF(OR(AW196=1,AW196=4,AW196=2),$F196*M196/100,IF(AW196=9,$F196*M196/50,"자동"))))</f>
        <v>자동</v>
      </c>
      <c r="AL196" s="3" t="str">
        <f t="shared" ref="AL196:AL212" si="334">IF(AK196&lt;&gt;"",AK196,IF(BA196&lt;&gt;12,"",IF(U196=1,1,IF(LEFT(E196,3)="서울대",0,""))))</f>
        <v/>
      </c>
      <c r="AN196" s="3" t="str">
        <f ca="1">IF($BA196=42,OFFSET(변환표준점수!C$119,$AP196-1,0),"")</f>
        <v/>
      </c>
      <c r="AO196" s="3" t="str">
        <f ca="1">IF($BA196=42,OFFSET(변환표준점수!D$119,$AP196-1,0),"")</f>
        <v/>
      </c>
      <c r="AP196" s="3" t="str">
        <f>IF(S196="","",MATCH(S196,변환표준점수!$B$119:$B$298,0))</f>
        <v/>
      </c>
      <c r="AQ196" s="3">
        <v>2</v>
      </c>
      <c r="AR196" s="3">
        <v>2</v>
      </c>
      <c r="AS196" s="3">
        <v>2</v>
      </c>
      <c r="AX196" s="3">
        <v>3</v>
      </c>
      <c r="AY196" s="3">
        <v>3</v>
      </c>
      <c r="BA196" s="3">
        <f t="shared" ref="BA196:BA212" si="335">IF(AS196&gt;0,AS196,AV196)</f>
        <v>2</v>
      </c>
      <c r="BJ196" s="3">
        <f t="shared" ref="BJ196:BJ212" si="336">IF(BI196="",IF(DT196=1,1,$BI$3),BI196)</f>
        <v>0</v>
      </c>
      <c r="CH196" s="206">
        <f>F196*P196</f>
        <v>600</v>
      </c>
      <c r="CI196" s="56">
        <v>200</v>
      </c>
      <c r="CJ196" s="3">
        <v>195</v>
      </c>
      <c r="CK196" s="3">
        <v>190</v>
      </c>
      <c r="CL196" s="3">
        <v>185</v>
      </c>
      <c r="CM196" s="3">
        <v>180</v>
      </c>
      <c r="CN196" s="3">
        <v>175</v>
      </c>
      <c r="CO196" s="3">
        <v>170</v>
      </c>
      <c r="CP196" s="3">
        <v>165</v>
      </c>
      <c r="CQ196" s="3">
        <v>0</v>
      </c>
      <c r="CR196" s="56">
        <v>10</v>
      </c>
      <c r="CS196" s="3">
        <v>10</v>
      </c>
      <c r="CT196" s="3">
        <v>10</v>
      </c>
      <c r="CU196" s="3">
        <v>9</v>
      </c>
      <c r="CV196" s="3">
        <v>9</v>
      </c>
      <c r="CW196" s="3">
        <v>9</v>
      </c>
      <c r="CX196" s="3">
        <v>8</v>
      </c>
      <c r="CY196" s="3">
        <v>8</v>
      </c>
      <c r="CZ196" s="3">
        <v>8</v>
      </c>
      <c r="DJ196" s="3">
        <f t="shared" ref="DJ196:DJ212" ca="1" si="337">ROUND((CI196-EZ196),1)</f>
        <v>200</v>
      </c>
      <c r="DK196" s="3">
        <f t="shared" ref="DK196:DK212" ca="1" si="338">((CI196-EZ196)/(FG196+DJ196-FC196))*100</f>
        <v>100</v>
      </c>
      <c r="DL196" s="3">
        <f t="shared" ref="DL196:DL212" ca="1" si="339">ROUND((CR196-FA196)+(DA196-FB196),1)</f>
        <v>10</v>
      </c>
      <c r="DM196" s="3">
        <v>1</v>
      </c>
      <c r="DQ196" s="3">
        <v>1</v>
      </c>
      <c r="DS196" s="3">
        <v>1</v>
      </c>
      <c r="EA196" s="3">
        <f t="shared" ref="EA196:EA212" si="340">IF(DZ196&gt;0,DZ196,IF(DM196&gt;0,1,2))</f>
        <v>1</v>
      </c>
      <c r="EB196" s="3">
        <f t="shared" ref="EB196:EB212" si="341">MAX(DM196:DO196)</f>
        <v>1</v>
      </c>
      <c r="EC196" s="3">
        <f t="shared" ref="EC196:EC212" si="342">AND(DM196-0.1&lt;$DM$8,DN196-0.1&lt;$DN$8,DO196-0.1&lt;$DO$8)*1</f>
        <v>0</v>
      </c>
      <c r="ED196" s="3">
        <f t="shared" ref="ED196:ED212" si="343">IFERROR(IF(AND($DP$8&gt;=DP196,$DQ$8&gt;=DQ196,$DR$8&gt;=DR196,$DS$8&gt;=DS196,$DT$8&gt;=DT196,$DU$8&gt;=DU196,$DV$8&gt;=DV196,$DW$8&gt;=DW196,$DX$8&gt;=DX196,OR(DY196=0,$DY$8&lt;DY196),EC196=1),1,0),0)</f>
        <v>0</v>
      </c>
      <c r="EF196" s="3">
        <f t="shared" ref="EF196:EF212" ca="1" si="344">IFERROR(OFFSET(EF$3,MATCH(AQ196,$ED$4:$ED$10,0),0),0)</f>
        <v>0</v>
      </c>
      <c r="EG196" s="3">
        <f t="shared" ref="EG196:EG212" ca="1" si="345">IFERROR(OFFSET(EG$3,MATCH(AR196,$ED$4:$ED$10,0),0),0)</f>
        <v>0</v>
      </c>
      <c r="EH196" s="3">
        <f ca="1">IFERROR(IF(LEFT($BA196,1)="4",OFFSET(변환표준점수!$H$118,MATCH($S196,변환표준점수!$B$119:$B$198,0),),OFFSET(EH$3,MATCH(AS196,$ED$4:$ED$8,0),0)),0)</f>
        <v>0</v>
      </c>
      <c r="EI196" s="3">
        <f ca="1">IFERROR(IF(LEFT($BA196,1)="4",OFFSET(변환표준점수!$I$118,MATCH($S196,변환표준점수!$B$119:$B$198,0),0),OFFSET(EI$3,MATCH(AT196,$ED$4:$ED$8,0),0)),0)</f>
        <v>0</v>
      </c>
      <c r="EK196" s="3">
        <f ca="1">IFERROR(IF(LEFT($BA196,1)="4",OFFSET(변환표준점수!$J$118,MATCH($S196,변환표준점수!$B$119:$B$198,0),0),OFFSET(EJ$3,MATCH(AV196,$ED$4:$ED$8,0),0)),0)</f>
        <v>0</v>
      </c>
      <c r="EL196" s="3">
        <f ca="1">IFERROR(IF(LEFT($BA196,1)="4",OFFSET(변환표준점수!$K$118,MATCH($S196,변환표준점수!$B$119:$B$198,0),0),OFFSET(EK$3,MATCH(AW196,$ED$4:$ED$8,0),0)),0)</f>
        <v>0</v>
      </c>
      <c r="EM196" s="3" t="str">
        <f t="shared" ref="EM196:EM212" ca="1" si="346">IFERROR(OFFSET(EL$3,MATCH(AX196,$ED$4:$ED$8,0),0),0)</f>
        <v/>
      </c>
      <c r="EN196" s="3" t="str">
        <f t="shared" ref="EN196:EN212" ca="1" si="347">IFERROR(OFFSET(EM$3,MATCH(AY196,$ED$4:$ED$8,0),0),0)</f>
        <v/>
      </c>
      <c r="EO196" s="3">
        <f t="shared" ref="EO196:EO212" ca="1" si="348">IFERROR(OFFSET(EN$3,MATCH(AZ196,$ED$4:$ED$8,0),0),0)</f>
        <v>0</v>
      </c>
      <c r="EQ196" s="3">
        <f t="shared" ref="EQ196:EQ212" ca="1" si="349">IFERROR((EF196*AD196+BO196)*$EP$9,0)</f>
        <v>0</v>
      </c>
      <c r="ER196" s="3">
        <f t="shared" ref="ER196:ER212" ca="1" si="350">IFERROR(EG196*AE196+OFFSET($BP196,0,$ER$14-1),0)</f>
        <v>0</v>
      </c>
      <c r="ES196" s="3">
        <f t="shared" ref="ES196:ES212" ca="1" si="351">IFERROR((EH196*AF196+BS196)*$EP$9,0)</f>
        <v>0</v>
      </c>
      <c r="ET196" s="3">
        <f t="shared" ref="ET196:ET212" si="352">IFERROR(IF(O196&lt;2,0,(EI196*AG196+BT196)*$EP$9),0)</f>
        <v>0</v>
      </c>
      <c r="EU196" s="3">
        <f t="shared" ref="EU196:EU212" si="353">IFERROR(BU196*$EP$9,0)</f>
        <v>0</v>
      </c>
      <c r="EV196" s="3">
        <f t="shared" ref="EV196:EV212" ca="1" si="354">IFERROR((EK196*AI196+BV196)*$EP$9,0)</f>
        <v>0</v>
      </c>
      <c r="EW196" s="3">
        <f t="shared" ref="EW196:EW212" si="355">IFERROR(IF(O196&lt;2,0,(EL196*AJ196+BW196)*$EP$9),0)</f>
        <v>0</v>
      </c>
      <c r="EX196" s="3">
        <f ca="1">LARGE((ES196:ET196,EV196:EW196),1)</f>
        <v>0</v>
      </c>
      <c r="EY196" s="3">
        <f>IF(O196&lt;2,0,LARGE((ES196:ET196,EV196:EW196),2))</f>
        <v>0</v>
      </c>
      <c r="EZ196" s="3">
        <f t="shared" ref="EZ196:EZ212" ca="1" si="356">IFERROR(OFFSET(CI196,0,ROUND((1/(1/EM196))-1,0)),0)</f>
        <v>0</v>
      </c>
      <c r="FA196" s="3">
        <f t="shared" ref="FA196:FA212" ca="1" si="357">IFERROR(OFFSET(CR196,0,ROUND(1/(1/EN196),0)-1),0)</f>
        <v>0</v>
      </c>
      <c r="FB196" s="3">
        <f t="shared" ref="FB196:FB212" ca="1" si="358">IFERROR(OFFSET(DA196,0,ROUND(1/(1/EO196),0)-1),0)</f>
        <v>0</v>
      </c>
      <c r="FG196" s="3">
        <f t="shared" ref="FG196:FG212" ca="1" si="359">IF(FF196&gt;0,FF196,EQ196+ER196+EU196+EX196+EY196+EZ196+FA196+FB196+FC196)</f>
        <v>0</v>
      </c>
      <c r="FH196" s="618"/>
      <c r="FU196" s="3" t="str">
        <f t="shared" si="268"/>
        <v>백분위</v>
      </c>
      <c r="FV196" s="3" t="str">
        <f t="shared" si="269"/>
        <v>백분위</v>
      </c>
      <c r="FW196" s="3">
        <f t="shared" ref="FW196:FW212" si="360">ROUND(Y196/$FZ196,2)</f>
        <v>0.33</v>
      </c>
      <c r="FX196" s="3">
        <f t="shared" ref="FX196:FX212" si="361">ROUND(Z196/$FZ196,2)</f>
        <v>0.47</v>
      </c>
      <c r="FY196" s="3">
        <f t="shared" ref="FY196:FY212" si="362">ROUND(AC196/$FZ196,2)</f>
        <v>0.2</v>
      </c>
      <c r="FZ196" s="3">
        <f t="shared" ref="FZ196:FZ212" si="363">Y196+Z196+AC196</f>
        <v>6</v>
      </c>
    </row>
    <row r="197" spans="1:182">
      <c r="A197" s="556">
        <v>26</v>
      </c>
      <c r="C197" s="3">
        <f t="shared" si="318"/>
        <v>182</v>
      </c>
      <c r="D197" s="3">
        <v>182</v>
      </c>
      <c r="E197" s="3" t="s">
        <v>364</v>
      </c>
      <c r="F197" s="3">
        <v>100</v>
      </c>
      <c r="G197" s="3">
        <v>0.2</v>
      </c>
      <c r="H197" s="3">
        <v>0.3</v>
      </c>
      <c r="I197" s="3">
        <v>0.15</v>
      </c>
      <c r="J197" s="3">
        <v>0.15</v>
      </c>
      <c r="O197" s="3">
        <v>2</v>
      </c>
      <c r="P197" s="3">
        <f t="shared" si="319"/>
        <v>0.8</v>
      </c>
      <c r="Q197" s="3">
        <v>48</v>
      </c>
      <c r="S197" s="3">
        <f t="shared" si="320"/>
        <v>48</v>
      </c>
      <c r="U197" s="3">
        <v>1</v>
      </c>
      <c r="W197" s="3">
        <f t="shared" ca="1" si="321"/>
        <v>0</v>
      </c>
      <c r="Y197" s="3">
        <f t="shared" si="322"/>
        <v>0.14388489208633093</v>
      </c>
      <c r="Z197" s="3">
        <f t="shared" si="323"/>
        <v>0.21428571428571427</v>
      </c>
      <c r="AA197" s="3">
        <f t="shared" ca="1" si="324"/>
        <v>0.21468441391155002</v>
      </c>
      <c r="AB197" s="3" t="str">
        <f t="shared" si="325"/>
        <v>자동</v>
      </c>
      <c r="AC197" s="3">
        <f t="shared" ca="1" si="326"/>
        <v>0.21468441391155002</v>
      </c>
      <c r="AD197" s="3">
        <f t="shared" si="327"/>
        <v>0.14388489208633093</v>
      </c>
      <c r="AE197" s="3">
        <f t="shared" si="328"/>
        <v>0.21428571428571427</v>
      </c>
      <c r="AF197" s="3">
        <f t="shared" ca="1" si="329"/>
        <v>0.21468441391155002</v>
      </c>
      <c r="AG197" s="3">
        <f t="shared" ca="1" si="330"/>
        <v>0.21468441391155002</v>
      </c>
      <c r="AH197" s="3">
        <f t="shared" ca="1" si="331"/>
        <v>0</v>
      </c>
      <c r="AI197" s="3" t="str">
        <f t="shared" si="332"/>
        <v>자동</v>
      </c>
      <c r="AJ197" s="3" t="str">
        <f t="shared" si="333"/>
        <v>자동</v>
      </c>
      <c r="AL197" s="3" t="str">
        <f t="shared" si="334"/>
        <v/>
      </c>
      <c r="AN197" s="3">
        <f ca="1">IF($BA197=42,OFFSET(변환표준점수!C$119,$AP197-1,0),"")</f>
        <v>69.87</v>
      </c>
      <c r="AO197" s="3">
        <f ca="1">IF($BA197=42,OFFSET(변환표준점수!D$119,$AP197-1,0),"")</f>
        <v>69.87</v>
      </c>
      <c r="AP197" s="3">
        <f>IF(S197="","",MATCH(S197,변환표준점수!$B$119:$B$298,0))</f>
        <v>48</v>
      </c>
      <c r="AQ197" s="3">
        <v>12</v>
      </c>
      <c r="AR197" s="3">
        <v>12</v>
      </c>
      <c r="AS197" s="3">
        <v>42</v>
      </c>
      <c r="AT197" s="3">
        <v>42</v>
      </c>
      <c r="AU197" s="3">
        <v>42</v>
      </c>
      <c r="AX197" s="3">
        <v>3</v>
      </c>
      <c r="AY197" s="3">
        <v>3</v>
      </c>
      <c r="BA197" s="3">
        <f t="shared" si="335"/>
        <v>42</v>
      </c>
      <c r="BH197" s="3">
        <f ca="1">AA197*0.05</f>
        <v>1.0734220695577501E-2</v>
      </c>
      <c r="BJ197" s="3">
        <f t="shared" si="336"/>
        <v>0</v>
      </c>
      <c r="BN197" s="212" t="s">
        <v>7721</v>
      </c>
      <c r="BU197" s="3">
        <f ca="1">IF(OR(I13="생명과학II",I13="화학II"),$BH197*EH197,0)+IF(OR(J13="생명과학II",J13="화학II"),$BH197*EI197,0)</f>
        <v>0</v>
      </c>
      <c r="CH197" s="206">
        <f>F197*P197</f>
        <v>80</v>
      </c>
      <c r="CI197" s="56">
        <v>20</v>
      </c>
      <c r="CJ197" s="3">
        <v>19.200000000000003</v>
      </c>
      <c r="CK197" s="3">
        <v>17.8</v>
      </c>
      <c r="CL197" s="3">
        <v>15.4</v>
      </c>
      <c r="CM197" s="3">
        <v>12</v>
      </c>
      <c r="CN197" s="3">
        <v>8</v>
      </c>
      <c r="CO197" s="3">
        <v>4.6000000000000005</v>
      </c>
      <c r="CP197" s="3">
        <v>2.2000000000000002</v>
      </c>
      <c r="CQ197" s="3">
        <v>0</v>
      </c>
      <c r="DJ197" s="3">
        <f t="shared" ca="1" si="337"/>
        <v>20</v>
      </c>
      <c r="DK197" s="3">
        <f t="shared" ca="1" si="338"/>
        <v>100</v>
      </c>
      <c r="DL197" s="3">
        <f t="shared" ca="1" si="339"/>
        <v>0</v>
      </c>
      <c r="DM197" s="3">
        <v>2</v>
      </c>
      <c r="DQ197" s="3">
        <v>1</v>
      </c>
      <c r="DS197" s="3">
        <v>1</v>
      </c>
      <c r="EA197" s="3">
        <f t="shared" si="340"/>
        <v>1</v>
      </c>
      <c r="EB197" s="3">
        <f t="shared" si="341"/>
        <v>2</v>
      </c>
      <c r="EC197" s="3">
        <f t="shared" si="342"/>
        <v>0</v>
      </c>
      <c r="ED197" s="3">
        <f t="shared" si="343"/>
        <v>0</v>
      </c>
      <c r="EF197" s="3">
        <f t="shared" ca="1" si="344"/>
        <v>0</v>
      </c>
      <c r="EG197" s="3">
        <f t="shared" ca="1" si="345"/>
        <v>0</v>
      </c>
      <c r="EH197" s="3">
        <f ca="1">IFERROR(IF(LEFT($BA197,1)="4",OFFSET(변환표준점수!$H$118,MATCH($S197,변환표준점수!$B$119:$B$198,0),),OFFSET(EH$3,MATCH(AS197,$ED$4:$ED$8,0),0)),0)</f>
        <v>0</v>
      </c>
      <c r="EI197" s="3">
        <f ca="1">IFERROR(IF(LEFT($BA197,1)="4",OFFSET(변환표준점수!$I$118,MATCH($S197,변환표준점수!$B$119:$B$198,0),0),OFFSET(EI$3,MATCH(AT197,$ED$4:$ED$8,0),0)),0)</f>
        <v>0</v>
      </c>
      <c r="EK197" s="3">
        <f ca="1">IFERROR(IF(LEFT($BA197,1)="4",OFFSET(변환표준점수!$J$118,MATCH($S197,변환표준점수!$B$119:$B$198,0),0),OFFSET(EJ$3,MATCH(AV197,$ED$4:$ED$8,0),0)),0)</f>
        <v>0</v>
      </c>
      <c r="EL197" s="3">
        <f ca="1">IFERROR(IF(LEFT($BA197,1)="4",OFFSET(변환표준점수!$K$118,MATCH($S197,변환표준점수!$B$119:$B$198,0),0),OFFSET(EK$3,MATCH(AW197,$ED$4:$ED$8,0),0)),0)</f>
        <v>0</v>
      </c>
      <c r="EM197" s="3" t="str">
        <f t="shared" ca="1" si="346"/>
        <v/>
      </c>
      <c r="EN197" s="3" t="str">
        <f t="shared" ca="1" si="347"/>
        <v/>
      </c>
      <c r="EO197" s="3">
        <f t="shared" ca="1" si="348"/>
        <v>0</v>
      </c>
      <c r="EQ197" s="3">
        <f t="shared" ca="1" si="349"/>
        <v>0</v>
      </c>
      <c r="ER197" s="3">
        <f t="shared" ca="1" si="350"/>
        <v>0</v>
      </c>
      <c r="ES197" s="3">
        <f t="shared" ca="1" si="351"/>
        <v>0</v>
      </c>
      <c r="ET197" s="3">
        <f t="shared" ca="1" si="352"/>
        <v>0</v>
      </c>
      <c r="EU197" s="3">
        <f t="shared" ca="1" si="353"/>
        <v>0</v>
      </c>
      <c r="EV197" s="3">
        <f t="shared" ca="1" si="354"/>
        <v>0</v>
      </c>
      <c r="EW197" s="3">
        <f t="shared" ca="1" si="355"/>
        <v>0</v>
      </c>
      <c r="EX197" s="3">
        <f ca="1">LARGE((ES197:ET197,EV197:EW197),1)</f>
        <v>0</v>
      </c>
      <c r="EY197" s="3">
        <f ca="1">IF(O197&lt;2,0,LARGE((ES197:ET197,EV197:EW197),2))</f>
        <v>0</v>
      </c>
      <c r="EZ197" s="3">
        <f t="shared" ca="1" si="356"/>
        <v>0</v>
      </c>
      <c r="FA197" s="3">
        <f t="shared" ca="1" si="357"/>
        <v>0</v>
      </c>
      <c r="FB197" s="3">
        <f t="shared" ca="1" si="358"/>
        <v>0</v>
      </c>
      <c r="FG197" s="3">
        <f t="shared" ca="1" si="359"/>
        <v>0</v>
      </c>
      <c r="FH197" s="618"/>
      <c r="FU197" s="3" t="str">
        <f t="shared" si="268"/>
        <v>표점/만점</v>
      </c>
      <c r="FV197" s="3" t="str">
        <f t="shared" si="269"/>
        <v>변표/만점</v>
      </c>
      <c r="FW197" s="3">
        <f t="shared" ca="1" si="360"/>
        <v>0.25</v>
      </c>
      <c r="FX197" s="3">
        <f t="shared" ca="1" si="361"/>
        <v>0.37</v>
      </c>
      <c r="FY197" s="3">
        <f t="shared" ca="1" si="362"/>
        <v>0.37</v>
      </c>
      <c r="FZ197" s="3">
        <f t="shared" ca="1" si="363"/>
        <v>0.57285502028359525</v>
      </c>
    </row>
    <row r="198" spans="1:182">
      <c r="A198" s="556">
        <v>26</v>
      </c>
      <c r="C198" s="3">
        <f t="shared" si="318"/>
        <v>183</v>
      </c>
      <c r="D198" s="3">
        <v>183</v>
      </c>
      <c r="E198" s="3" t="s">
        <v>270</v>
      </c>
      <c r="F198" s="3">
        <v>1000</v>
      </c>
      <c r="G198" s="3">
        <v>0.2</v>
      </c>
      <c r="H198" s="3">
        <v>0.4</v>
      </c>
      <c r="I198" s="3">
        <v>0.15</v>
      </c>
      <c r="J198" s="3">
        <v>0.15</v>
      </c>
      <c r="O198" s="3">
        <v>2</v>
      </c>
      <c r="P198" s="3">
        <f t="shared" si="319"/>
        <v>0.90000000000000013</v>
      </c>
      <c r="Q198" s="3" t="s">
        <v>408</v>
      </c>
      <c r="S198" s="3" t="str">
        <f t="shared" si="320"/>
        <v/>
      </c>
      <c r="U198" s="3">
        <v>1</v>
      </c>
      <c r="W198" s="3">
        <f t="shared" si="321"/>
        <v>0</v>
      </c>
      <c r="Y198" s="3">
        <f t="shared" si="322"/>
        <v>1.4388489208633093</v>
      </c>
      <c r="Z198" s="3">
        <f t="shared" si="323"/>
        <v>2.8571428571428572</v>
      </c>
      <c r="AA198" s="3">
        <f t="shared" si="324"/>
        <v>2.1482892456640363</v>
      </c>
      <c r="AB198" s="3" t="str">
        <f t="shared" si="325"/>
        <v>자동</v>
      </c>
      <c r="AC198" s="3">
        <f t="shared" si="326"/>
        <v>2.1482892456640363</v>
      </c>
      <c r="AD198" s="3">
        <f t="shared" si="327"/>
        <v>1.4388489208633093</v>
      </c>
      <c r="AE198" s="3">
        <f t="shared" si="328"/>
        <v>2.8571428571428572</v>
      </c>
      <c r="AF198" s="3">
        <f t="shared" si="329"/>
        <v>2.1482892456640363</v>
      </c>
      <c r="AG198" s="3">
        <f t="shared" si="330"/>
        <v>2.1482892456640363</v>
      </c>
      <c r="AH198" s="3" t="str">
        <f t="shared" si="331"/>
        <v>자동</v>
      </c>
      <c r="AI198" s="3" t="str">
        <f t="shared" si="332"/>
        <v>자동</v>
      </c>
      <c r="AJ198" s="3" t="str">
        <f t="shared" si="333"/>
        <v>자동</v>
      </c>
      <c r="AK198" s="3">
        <v>1</v>
      </c>
      <c r="AL198" s="3">
        <f t="shared" si="334"/>
        <v>1</v>
      </c>
      <c r="AN198" s="3" t="str">
        <f ca="1">IF($BA198=42,OFFSET(변환표준점수!C$119,$AP198-1,0),"")</f>
        <v/>
      </c>
      <c r="AO198" s="3" t="str">
        <f ca="1">IF($BA198=42,OFFSET(변환표준점수!D$119,$AP198-1,0),"")</f>
        <v/>
      </c>
      <c r="AP198" s="3" t="str">
        <f>IF(S198="","",MATCH(S198,변환표준점수!$B$119:$B$298,0))</f>
        <v/>
      </c>
      <c r="AQ198" s="3">
        <v>12</v>
      </c>
      <c r="AR198" s="3">
        <v>12</v>
      </c>
      <c r="AS198" s="3">
        <v>12</v>
      </c>
      <c r="AT198" s="3">
        <v>12</v>
      </c>
      <c r="AX198" s="3">
        <v>3</v>
      </c>
      <c r="AY198" s="3">
        <v>3</v>
      </c>
      <c r="BA198" s="3">
        <f t="shared" si="335"/>
        <v>12</v>
      </c>
      <c r="BJ198" s="3">
        <f t="shared" si="336"/>
        <v>0</v>
      </c>
      <c r="CH198" s="206">
        <f>F198*P198</f>
        <v>900.00000000000011</v>
      </c>
      <c r="CI198" s="56">
        <v>100</v>
      </c>
      <c r="CJ198" s="3">
        <v>95</v>
      </c>
      <c r="CK198" s="3">
        <v>88</v>
      </c>
      <c r="CL198" s="3">
        <v>76</v>
      </c>
      <c r="CM198" s="3">
        <v>59</v>
      </c>
      <c r="CN198" s="3">
        <v>39</v>
      </c>
      <c r="CO198" s="3">
        <v>22</v>
      </c>
      <c r="CP198" s="3">
        <v>10</v>
      </c>
      <c r="CQ198" s="3">
        <v>0</v>
      </c>
      <c r="DJ198" s="3">
        <f t="shared" ca="1" si="337"/>
        <v>100</v>
      </c>
      <c r="DK198" s="3">
        <f t="shared" ca="1" si="338"/>
        <v>100</v>
      </c>
      <c r="DL198" s="3">
        <f t="shared" ca="1" si="339"/>
        <v>0</v>
      </c>
      <c r="DM198" s="3">
        <v>2</v>
      </c>
      <c r="DQ198" s="3">
        <v>1</v>
      </c>
      <c r="DS198" s="3">
        <v>1</v>
      </c>
      <c r="EA198" s="3">
        <f t="shared" si="340"/>
        <v>1</v>
      </c>
      <c r="EB198" s="3">
        <f t="shared" si="341"/>
        <v>2</v>
      </c>
      <c r="EC198" s="3">
        <f t="shared" si="342"/>
        <v>0</v>
      </c>
      <c r="ED198" s="3">
        <f t="shared" si="343"/>
        <v>0</v>
      </c>
      <c r="EF198" s="3">
        <f t="shared" ca="1" si="344"/>
        <v>0</v>
      </c>
      <c r="EG198" s="3">
        <f t="shared" ca="1" si="345"/>
        <v>0</v>
      </c>
      <c r="EH198" s="3">
        <f ca="1">IFERROR(IF(LEFT($BA198,1)="4",OFFSET(변환표준점수!$H$118,MATCH($S198,변환표준점수!$B$119:$B$198,0),),OFFSET(EH$3,MATCH(AS198,$ED$4:$ED$8,0),0)),0)</f>
        <v>0</v>
      </c>
      <c r="EI198" s="3">
        <f ca="1">IFERROR(IF(LEFT($BA198,1)="4",OFFSET(변환표준점수!$I$118,MATCH($S198,변환표준점수!$B$119:$B$198,0),0),OFFSET(EI$3,MATCH(AT198,$ED$4:$ED$8,0),0)),0)</f>
        <v>0</v>
      </c>
      <c r="EK198" s="3">
        <f ca="1">IFERROR(IF(LEFT($BA198,1)="4",OFFSET(변환표준점수!$J$118,MATCH($S198,변환표준점수!$B$119:$B$198,0),0),OFFSET(EJ$3,MATCH(AV198,$ED$4:$ED$8,0),0)),0)</f>
        <v>0</v>
      </c>
      <c r="EL198" s="3">
        <f ca="1">IFERROR(IF(LEFT($BA198,1)="4",OFFSET(변환표준점수!$K$118,MATCH($S198,변환표준점수!$B$119:$B$198,0),0),OFFSET(EK$3,MATCH(AW198,$ED$4:$ED$8,0),0)),0)</f>
        <v>0</v>
      </c>
      <c r="EM198" s="3" t="str">
        <f t="shared" ca="1" si="346"/>
        <v/>
      </c>
      <c r="EN198" s="3" t="str">
        <f t="shared" ca="1" si="347"/>
        <v/>
      </c>
      <c r="EO198" s="3">
        <f t="shared" ca="1" si="348"/>
        <v>0</v>
      </c>
      <c r="EQ198" s="3">
        <f t="shared" ca="1" si="349"/>
        <v>0</v>
      </c>
      <c r="ER198" s="3">
        <f t="shared" ca="1" si="350"/>
        <v>0</v>
      </c>
      <c r="ES198" s="3">
        <f t="shared" ca="1" si="351"/>
        <v>0</v>
      </c>
      <c r="ET198" s="3">
        <f t="shared" ca="1" si="352"/>
        <v>0</v>
      </c>
      <c r="EU198" s="3">
        <f t="shared" si="353"/>
        <v>0</v>
      </c>
      <c r="EV198" s="3">
        <f t="shared" ca="1" si="354"/>
        <v>0</v>
      </c>
      <c r="EW198" s="3">
        <f t="shared" ca="1" si="355"/>
        <v>0</v>
      </c>
      <c r="EX198" s="3">
        <f ca="1">LARGE((ES198:ET198,EV198:EW198),1)</f>
        <v>0</v>
      </c>
      <c r="EY198" s="3">
        <f ca="1">IF(O198&lt;2,0,LARGE((ES198:ET198,EV198:EW198),2))</f>
        <v>0</v>
      </c>
      <c r="EZ198" s="3">
        <f t="shared" ca="1" si="356"/>
        <v>0</v>
      </c>
      <c r="FA198" s="3">
        <f t="shared" ca="1" si="357"/>
        <v>0</v>
      </c>
      <c r="FB198" s="3">
        <f t="shared" ca="1" si="358"/>
        <v>0</v>
      </c>
      <c r="FG198" s="3">
        <f t="shared" ca="1" si="359"/>
        <v>0</v>
      </c>
      <c r="FH198" s="618"/>
      <c r="FU198" s="3" t="str">
        <f t="shared" si="268"/>
        <v>표점/만점</v>
      </c>
      <c r="FV198" s="3" t="str">
        <f t="shared" si="269"/>
        <v>표점/만점</v>
      </c>
      <c r="FW198" s="3">
        <f t="shared" si="360"/>
        <v>0.22</v>
      </c>
      <c r="FX198" s="3">
        <f t="shared" si="361"/>
        <v>0.44</v>
      </c>
      <c r="FY198" s="3">
        <f t="shared" si="362"/>
        <v>0.33</v>
      </c>
      <c r="FZ198" s="3">
        <f t="shared" si="363"/>
        <v>6.4442810236702037</v>
      </c>
    </row>
    <row r="199" spans="1:182">
      <c r="A199" s="556">
        <v>26</v>
      </c>
      <c r="C199" s="3">
        <f t="shared" si="318"/>
        <v>184</v>
      </c>
      <c r="D199" s="3">
        <v>184</v>
      </c>
      <c r="E199" s="3" t="s">
        <v>7722</v>
      </c>
      <c r="F199" s="3">
        <v>800</v>
      </c>
      <c r="G199" s="3">
        <v>0.3</v>
      </c>
      <c r="H199" s="3">
        <v>0.4</v>
      </c>
      <c r="I199" s="3">
        <v>0.15</v>
      </c>
      <c r="J199" s="3">
        <v>0.15</v>
      </c>
      <c r="O199" s="3">
        <v>2</v>
      </c>
      <c r="P199" s="3">
        <f t="shared" si="319"/>
        <v>1</v>
      </c>
      <c r="Q199" s="3" t="s">
        <v>408</v>
      </c>
      <c r="S199" s="3" t="str">
        <f t="shared" si="320"/>
        <v/>
      </c>
      <c r="U199" s="3">
        <v>1</v>
      </c>
      <c r="W199" s="3">
        <f t="shared" si="321"/>
        <v>0</v>
      </c>
      <c r="Y199" s="69">
        <f t="shared" si="322"/>
        <v>1.7266187050359711</v>
      </c>
      <c r="Z199" s="69">
        <f t="shared" si="323"/>
        <v>2.2857142857142856</v>
      </c>
      <c r="AA199" s="69">
        <f t="shared" si="324"/>
        <v>1.7186313965312292</v>
      </c>
      <c r="AB199" s="69" t="str">
        <f t="shared" si="325"/>
        <v>자동</v>
      </c>
      <c r="AC199" s="69">
        <f t="shared" si="326"/>
        <v>1.7186313965312292</v>
      </c>
      <c r="AD199" s="69">
        <f t="shared" si="327"/>
        <v>1.7266187050359711</v>
      </c>
      <c r="AE199" s="69">
        <f t="shared" si="328"/>
        <v>2.2857142857142856</v>
      </c>
      <c r="AF199" s="3">
        <f t="shared" si="329"/>
        <v>1.7186313965312292</v>
      </c>
      <c r="AG199" s="3">
        <f t="shared" si="330"/>
        <v>1.7186313965312292</v>
      </c>
      <c r="AH199" s="69" t="str">
        <f t="shared" si="331"/>
        <v>자동</v>
      </c>
      <c r="AI199" s="3" t="str">
        <f t="shared" si="332"/>
        <v>자동</v>
      </c>
      <c r="AJ199" s="3" t="str">
        <f t="shared" si="333"/>
        <v>자동</v>
      </c>
      <c r="AK199" s="3">
        <v>1</v>
      </c>
      <c r="AL199" s="3">
        <f t="shared" si="334"/>
        <v>1</v>
      </c>
      <c r="AN199" s="69" t="str">
        <f ca="1">IF($BA199=42,OFFSET(변환표준점수!C$119,$AP199-1,0),"")</f>
        <v/>
      </c>
      <c r="AO199" s="69" t="str">
        <f ca="1">IF($BA199=42,OFFSET(변환표준점수!D$119,$AP199-1,0),"")</f>
        <v/>
      </c>
      <c r="AP199" s="69" t="str">
        <f>IF(S199="","",MATCH(S199,변환표준점수!$B$119:$B$298,0))</f>
        <v/>
      </c>
      <c r="AQ199" s="69">
        <v>12</v>
      </c>
      <c r="AR199" s="69">
        <v>12</v>
      </c>
      <c r="AS199" s="69">
        <v>12</v>
      </c>
      <c r="AT199" s="69">
        <v>12</v>
      </c>
      <c r="AU199" s="57"/>
      <c r="AV199" s="57"/>
      <c r="AW199" s="57"/>
      <c r="AX199" s="3">
        <v>3</v>
      </c>
      <c r="AY199" s="3">
        <v>3</v>
      </c>
      <c r="BA199" s="3">
        <f t="shared" si="335"/>
        <v>12</v>
      </c>
      <c r="BJ199" s="3">
        <f t="shared" si="336"/>
        <v>0</v>
      </c>
      <c r="CH199" s="206">
        <v>800</v>
      </c>
      <c r="CI199" s="56">
        <v>200</v>
      </c>
      <c r="CJ199" s="3">
        <v>190</v>
      </c>
      <c r="CK199" s="3">
        <v>180</v>
      </c>
      <c r="CL199" s="3">
        <v>170</v>
      </c>
      <c r="CM199" s="3">
        <v>160</v>
      </c>
      <c r="CN199" s="3">
        <v>150</v>
      </c>
      <c r="CO199" s="3">
        <v>140</v>
      </c>
      <c r="CP199" s="3">
        <v>130</v>
      </c>
      <c r="CQ199" s="3">
        <v>0</v>
      </c>
      <c r="CR199" s="56">
        <v>10</v>
      </c>
      <c r="CS199" s="3">
        <v>10</v>
      </c>
      <c r="CT199" s="3">
        <v>10</v>
      </c>
      <c r="CU199" s="3">
        <v>10</v>
      </c>
      <c r="CV199" s="3">
        <v>10</v>
      </c>
      <c r="CW199" s="3">
        <v>9</v>
      </c>
      <c r="CX199" s="3">
        <v>8</v>
      </c>
      <c r="CY199" s="3">
        <v>7</v>
      </c>
      <c r="CZ199" s="3">
        <v>0</v>
      </c>
      <c r="DJ199" s="3">
        <f t="shared" ca="1" si="337"/>
        <v>200</v>
      </c>
      <c r="DK199" s="3">
        <f t="shared" ca="1" si="338"/>
        <v>100</v>
      </c>
      <c r="DL199" s="3">
        <f t="shared" ca="1" si="339"/>
        <v>10</v>
      </c>
      <c r="DM199" s="3">
        <v>2</v>
      </c>
      <c r="DQ199" s="3">
        <v>1</v>
      </c>
      <c r="DS199" s="3">
        <v>1</v>
      </c>
      <c r="EA199" s="3">
        <f t="shared" si="340"/>
        <v>1</v>
      </c>
      <c r="EB199" s="3">
        <f t="shared" si="341"/>
        <v>2</v>
      </c>
      <c r="EC199" s="3">
        <f t="shared" si="342"/>
        <v>0</v>
      </c>
      <c r="ED199" s="3">
        <f t="shared" si="343"/>
        <v>0</v>
      </c>
      <c r="EF199" s="3">
        <f t="shared" ca="1" si="344"/>
        <v>0</v>
      </c>
      <c r="EG199" s="3">
        <f t="shared" ca="1" si="345"/>
        <v>0</v>
      </c>
      <c r="EH199" s="3">
        <f ca="1">IFERROR(IF(LEFT($BA199,1)="4",OFFSET(변환표준점수!$H$118,MATCH($S199,변환표준점수!$B$119:$B$198,0),),OFFSET(EH$3,MATCH(AS199,$ED$4:$ED$8,0),0)),0)</f>
        <v>0</v>
      </c>
      <c r="EI199" s="3">
        <f ca="1">IFERROR(IF(LEFT($BA199,1)="4",OFFSET(변환표준점수!$I$118,MATCH($S199,변환표준점수!$B$119:$B$198,0),0),OFFSET(EI$3,MATCH(AT199,$ED$4:$ED$8,0),0)),0)</f>
        <v>0</v>
      </c>
      <c r="EK199" s="3">
        <f ca="1">IFERROR(IF(LEFT($BA199,1)="4",OFFSET(변환표준점수!$J$118,MATCH($S199,변환표준점수!$B$119:$B$198,0),0),OFFSET(EJ$3,MATCH(AV199,$ED$4:$ED$8,0),0)),0)</f>
        <v>0</v>
      </c>
      <c r="EL199" s="3">
        <f ca="1">IFERROR(IF(LEFT($BA199,1)="4",OFFSET(변환표준점수!$K$118,MATCH($S199,변환표준점수!$B$119:$B$198,0),0),OFFSET(EK$3,MATCH(AW199,$ED$4:$ED$8,0),0)),0)</f>
        <v>0</v>
      </c>
      <c r="EM199" s="3" t="str">
        <f t="shared" ca="1" si="346"/>
        <v/>
      </c>
      <c r="EN199" s="3" t="str">
        <f t="shared" ca="1" si="347"/>
        <v/>
      </c>
      <c r="EO199" s="3">
        <f t="shared" ca="1" si="348"/>
        <v>0</v>
      </c>
      <c r="EQ199" s="3">
        <f t="shared" ca="1" si="349"/>
        <v>0</v>
      </c>
      <c r="ER199" s="3">
        <f t="shared" ca="1" si="350"/>
        <v>0</v>
      </c>
      <c r="ES199" s="3">
        <f t="shared" ca="1" si="351"/>
        <v>0</v>
      </c>
      <c r="ET199" s="3">
        <f t="shared" ca="1" si="352"/>
        <v>0</v>
      </c>
      <c r="EU199" s="3">
        <f t="shared" si="353"/>
        <v>0</v>
      </c>
      <c r="EV199" s="3">
        <f t="shared" ca="1" si="354"/>
        <v>0</v>
      </c>
      <c r="EW199" s="3">
        <f t="shared" ca="1" si="355"/>
        <v>0</v>
      </c>
      <c r="EX199" s="3">
        <f ca="1">LARGE((ES199:ET199,EV199:EW199),1)</f>
        <v>0</v>
      </c>
      <c r="EY199" s="3">
        <f ca="1">IF(O199&lt;2,0,LARGE((ES199:ET199,EV199:EW199),2))</f>
        <v>0</v>
      </c>
      <c r="EZ199" s="3">
        <f t="shared" ca="1" si="356"/>
        <v>0</v>
      </c>
      <c r="FA199" s="3">
        <f t="shared" ca="1" si="357"/>
        <v>0</v>
      </c>
      <c r="FB199" s="3">
        <f t="shared" ca="1" si="358"/>
        <v>0</v>
      </c>
      <c r="FG199" s="3">
        <f t="shared" ca="1" si="359"/>
        <v>0</v>
      </c>
      <c r="FH199" s="618"/>
      <c r="FU199" s="3" t="str">
        <f t="shared" si="268"/>
        <v>표점/만점</v>
      </c>
      <c r="FV199" s="3" t="str">
        <f t="shared" si="269"/>
        <v>표점/만점</v>
      </c>
      <c r="FW199" s="3">
        <f t="shared" si="360"/>
        <v>0.3</v>
      </c>
      <c r="FX199" s="3">
        <f t="shared" si="361"/>
        <v>0.4</v>
      </c>
      <c r="FY199" s="3">
        <f t="shared" si="362"/>
        <v>0.3</v>
      </c>
      <c r="FZ199" s="3">
        <f t="shared" si="363"/>
        <v>5.7309643872814862</v>
      </c>
    </row>
    <row r="200" spans="1:182">
      <c r="A200" s="556">
        <v>26</v>
      </c>
      <c r="C200" s="3">
        <f t="shared" si="318"/>
        <v>185</v>
      </c>
      <c r="D200" s="3">
        <v>185</v>
      </c>
      <c r="E200" s="3" t="s">
        <v>365</v>
      </c>
      <c r="F200" s="3">
        <v>500</v>
      </c>
      <c r="G200" s="3">
        <v>0.3</v>
      </c>
      <c r="H200" s="3">
        <v>0.2</v>
      </c>
      <c r="I200" s="3">
        <v>0.1</v>
      </c>
      <c r="J200" s="3">
        <v>0.1</v>
      </c>
      <c r="L200" s="3">
        <v>0.1</v>
      </c>
      <c r="M200" s="3">
        <v>0.1</v>
      </c>
      <c r="O200" s="3">
        <v>2</v>
      </c>
      <c r="P200" s="3">
        <f t="shared" si="319"/>
        <v>0.7</v>
      </c>
      <c r="Q200" s="3" t="s">
        <v>408</v>
      </c>
      <c r="S200" s="3" t="str">
        <f t="shared" si="320"/>
        <v/>
      </c>
      <c r="W200" s="3">
        <f t="shared" si="321"/>
        <v>0</v>
      </c>
      <c r="Y200" s="3">
        <f t="shared" si="322"/>
        <v>1.5</v>
      </c>
      <c r="Z200" s="3">
        <f t="shared" si="323"/>
        <v>1</v>
      </c>
      <c r="AA200" s="3">
        <f t="shared" si="324"/>
        <v>0.5</v>
      </c>
      <c r="AB200" s="3">
        <f t="shared" si="325"/>
        <v>0.5</v>
      </c>
      <c r="AC200" s="3">
        <f t="shared" si="326"/>
        <v>1</v>
      </c>
      <c r="AD200" s="3">
        <f t="shared" si="327"/>
        <v>1.5</v>
      </c>
      <c r="AE200" s="3">
        <f t="shared" si="328"/>
        <v>1</v>
      </c>
      <c r="AF200" s="3">
        <f t="shared" si="329"/>
        <v>0.5</v>
      </c>
      <c r="AG200" s="3">
        <f t="shared" si="330"/>
        <v>0.5</v>
      </c>
      <c r="AH200" s="3" t="str">
        <f t="shared" si="331"/>
        <v>자동</v>
      </c>
      <c r="AI200" s="3">
        <f t="shared" si="332"/>
        <v>0.5</v>
      </c>
      <c r="AJ200" s="3">
        <f t="shared" si="333"/>
        <v>0.5</v>
      </c>
      <c r="AL200" s="3" t="str">
        <f t="shared" si="334"/>
        <v/>
      </c>
      <c r="AN200" s="3" t="str">
        <f ca="1">IF($BA200=42,OFFSET(변환표준점수!C$119,$AP200-1,0),"")</f>
        <v/>
      </c>
      <c r="AO200" s="3" t="str">
        <f ca="1">IF($BA200=42,OFFSET(변환표준점수!D$119,$AP200-1,0),"")</f>
        <v/>
      </c>
      <c r="AP200" s="3" t="str">
        <f>IF(S200="","",MATCH(S200,변환표준점수!$B$119:$B$298,0))</f>
        <v/>
      </c>
      <c r="AQ200" s="3">
        <v>2</v>
      </c>
      <c r="AR200" s="3">
        <v>2</v>
      </c>
      <c r="AS200" s="3">
        <v>2</v>
      </c>
      <c r="AT200" s="3">
        <v>2</v>
      </c>
      <c r="AV200" s="3">
        <v>2</v>
      </c>
      <c r="AW200" s="3">
        <v>2</v>
      </c>
      <c r="AX200" s="3">
        <v>3</v>
      </c>
      <c r="AY200" s="3">
        <v>3</v>
      </c>
      <c r="BA200" s="3">
        <f t="shared" si="335"/>
        <v>2</v>
      </c>
      <c r="BJ200" s="3">
        <f t="shared" si="336"/>
        <v>0</v>
      </c>
      <c r="BL200" s="3">
        <f>0.1*AB201</f>
        <v>7.5000000000000011E-2</v>
      </c>
      <c r="BM200" s="3">
        <f>0.1*AB201</f>
        <v>7.5000000000000011E-2</v>
      </c>
      <c r="BN200" s="212" t="s">
        <v>7723</v>
      </c>
      <c r="BV200" s="3">
        <f ca="1">EK200*BL200</f>
        <v>0</v>
      </c>
      <c r="BW200" s="3">
        <f ca="1">EL200*BM200</f>
        <v>0</v>
      </c>
      <c r="CH200" s="206">
        <f t="shared" ref="CH200:CH212" si="364">F200*P200</f>
        <v>350</v>
      </c>
      <c r="CI200" s="56">
        <v>150</v>
      </c>
      <c r="CJ200" s="3">
        <v>145.5</v>
      </c>
      <c r="CK200" s="3">
        <v>141</v>
      </c>
      <c r="CL200" s="3">
        <v>136.5</v>
      </c>
      <c r="CM200" s="3">
        <v>121.5</v>
      </c>
      <c r="CN200" s="3">
        <v>117</v>
      </c>
      <c r="CO200" s="3">
        <v>112.5</v>
      </c>
      <c r="CP200" s="3">
        <v>108</v>
      </c>
      <c r="CQ200" s="3">
        <v>0</v>
      </c>
      <c r="CR200" s="56">
        <v>1.5</v>
      </c>
      <c r="CS200" s="3">
        <v>1</v>
      </c>
      <c r="CT200" s="3">
        <v>0.5</v>
      </c>
      <c r="CV200" s="3">
        <v>-0.5</v>
      </c>
      <c r="CW200" s="3">
        <v>-1</v>
      </c>
      <c r="CX200" s="3">
        <v>-1.5</v>
      </c>
      <c r="CY200" s="3">
        <v>-2</v>
      </c>
      <c r="CZ200" s="3">
        <v>-2.5</v>
      </c>
      <c r="DJ200" s="3">
        <f t="shared" ca="1" si="337"/>
        <v>150</v>
      </c>
      <c r="DK200" s="3">
        <f t="shared" ca="1" si="338"/>
        <v>100</v>
      </c>
      <c r="DL200" s="3">
        <f t="shared" ca="1" si="339"/>
        <v>1.5</v>
      </c>
      <c r="DO200" s="3">
        <v>2</v>
      </c>
      <c r="EA200" s="3">
        <f t="shared" si="340"/>
        <v>2</v>
      </c>
      <c r="EB200" s="3">
        <f t="shared" si="341"/>
        <v>2</v>
      </c>
      <c r="EC200" s="3">
        <f t="shared" si="342"/>
        <v>0</v>
      </c>
      <c r="ED200" s="3">
        <f t="shared" si="343"/>
        <v>0</v>
      </c>
      <c r="EF200" s="3">
        <f t="shared" ca="1" si="344"/>
        <v>0</v>
      </c>
      <c r="EG200" s="3">
        <f t="shared" ca="1" si="345"/>
        <v>0</v>
      </c>
      <c r="EH200" s="3">
        <f ca="1">IFERROR(IF(LEFT($BA200,1)="4",OFFSET(변환표준점수!$H$118,MATCH($S200,변환표준점수!$B$119:$B$198,0),),OFFSET(EH$3,MATCH(AS200,$ED$4:$ED$8,0),0)),0)</f>
        <v>0</v>
      </c>
      <c r="EI200" s="3">
        <f ca="1">IFERROR(IF(LEFT($BA200,1)="4",OFFSET(변환표준점수!$I$118,MATCH($S200,변환표준점수!$B$119:$B$198,0),0),OFFSET(EI$3,MATCH(AT200,$ED$4:$ED$8,0),0)),0)</f>
        <v>0</v>
      </c>
      <c r="EK200" s="3">
        <f ca="1">IFERROR(IF(LEFT($BA200,1)="4",OFFSET(변환표준점수!$J$118,MATCH($S200,변환표준점수!$B$119:$B$198,0),0),OFFSET(EJ$3,MATCH(AV200,$ED$4:$ED$8,0),0)),0)</f>
        <v>0</v>
      </c>
      <c r="EL200" s="3">
        <f ca="1">IFERROR(IF(LEFT($BA200,1)="4",OFFSET(변환표준점수!$K$118,MATCH($S200,변환표준점수!$B$119:$B$198,0),0),OFFSET(EK$3,MATCH(AW200,$ED$4:$ED$8,0),0)),0)</f>
        <v>0</v>
      </c>
      <c r="EM200" s="3" t="str">
        <f t="shared" ca="1" si="346"/>
        <v/>
      </c>
      <c r="EN200" s="3" t="str">
        <f t="shared" ca="1" si="347"/>
        <v/>
      </c>
      <c r="EO200" s="3">
        <f t="shared" ca="1" si="348"/>
        <v>0</v>
      </c>
      <c r="EQ200" s="3">
        <f t="shared" ca="1" si="349"/>
        <v>0</v>
      </c>
      <c r="ER200" s="3">
        <f t="shared" ca="1" si="350"/>
        <v>0</v>
      </c>
      <c r="ES200" s="3">
        <f t="shared" ca="1" si="351"/>
        <v>0</v>
      </c>
      <c r="ET200" s="3">
        <f t="shared" ca="1" si="352"/>
        <v>0</v>
      </c>
      <c r="EU200" s="3">
        <f t="shared" si="353"/>
        <v>0</v>
      </c>
      <c r="EV200" s="3">
        <f t="shared" ca="1" si="354"/>
        <v>0</v>
      </c>
      <c r="EW200" s="3">
        <f t="shared" ca="1" si="355"/>
        <v>0</v>
      </c>
      <c r="EX200" s="3">
        <f ca="1">LARGE((ES200:ET200,EV200:EW200),1)</f>
        <v>0</v>
      </c>
      <c r="EY200" s="3">
        <f ca="1">IF(O200&lt;2,0,LARGE((ES200:ET200,EV200:EW200),2))</f>
        <v>0</v>
      </c>
      <c r="EZ200" s="3">
        <f t="shared" ca="1" si="356"/>
        <v>0</v>
      </c>
      <c r="FA200" s="3">
        <f t="shared" ca="1" si="357"/>
        <v>0</v>
      </c>
      <c r="FB200" s="3">
        <f t="shared" ca="1" si="358"/>
        <v>0</v>
      </c>
      <c r="FG200" s="3">
        <f t="shared" ca="1" si="359"/>
        <v>0</v>
      </c>
      <c r="FH200" s="618"/>
      <c r="FU200" s="3" t="str">
        <f t="shared" si="268"/>
        <v>백분위</v>
      </c>
      <c r="FV200" s="3" t="str">
        <f t="shared" si="269"/>
        <v>백분위</v>
      </c>
      <c r="FW200" s="3">
        <f t="shared" si="360"/>
        <v>0.43</v>
      </c>
      <c r="FX200" s="3">
        <f t="shared" si="361"/>
        <v>0.28999999999999998</v>
      </c>
      <c r="FY200" s="3">
        <f t="shared" si="362"/>
        <v>0.28999999999999998</v>
      </c>
      <c r="FZ200" s="3">
        <f t="shared" si="363"/>
        <v>3.5</v>
      </c>
    </row>
    <row r="201" spans="1:182">
      <c r="A201" s="556">
        <v>26</v>
      </c>
      <c r="C201" s="3">
        <f t="shared" si="318"/>
        <v>186</v>
      </c>
      <c r="D201" s="3">
        <v>186</v>
      </c>
      <c r="E201" s="3" t="s">
        <v>7724</v>
      </c>
      <c r="F201" s="3">
        <v>500</v>
      </c>
      <c r="G201" s="3">
        <v>0.2</v>
      </c>
      <c r="H201" s="3">
        <v>0.3</v>
      </c>
      <c r="I201" s="3">
        <v>0.15</v>
      </c>
      <c r="J201" s="3">
        <v>0.15</v>
      </c>
      <c r="L201" s="3">
        <v>0.15</v>
      </c>
      <c r="M201" s="3">
        <v>0.15</v>
      </c>
      <c r="O201" s="3">
        <v>2</v>
      </c>
      <c r="P201" s="3">
        <f t="shared" si="319"/>
        <v>0.8</v>
      </c>
      <c r="Q201" s="3" t="s">
        <v>408</v>
      </c>
      <c r="S201" s="3" t="str">
        <f t="shared" si="320"/>
        <v/>
      </c>
      <c r="W201" s="3">
        <f t="shared" si="321"/>
        <v>0</v>
      </c>
      <c r="Y201" s="3">
        <f t="shared" si="322"/>
        <v>1</v>
      </c>
      <c r="Z201" s="3">
        <f t="shared" si="323"/>
        <v>1.5</v>
      </c>
      <c r="AA201" s="3">
        <f t="shared" si="324"/>
        <v>0.75</v>
      </c>
      <c r="AB201" s="3">
        <f t="shared" si="325"/>
        <v>0.75</v>
      </c>
      <c r="AC201" s="3">
        <f t="shared" si="326"/>
        <v>1.5</v>
      </c>
      <c r="AD201" s="3">
        <f t="shared" si="327"/>
        <v>1</v>
      </c>
      <c r="AE201" s="3">
        <f t="shared" si="328"/>
        <v>1.5</v>
      </c>
      <c r="AF201" s="3">
        <f t="shared" si="329"/>
        <v>0.75</v>
      </c>
      <c r="AG201" s="3">
        <f t="shared" si="330"/>
        <v>0.75</v>
      </c>
      <c r="AH201" s="3" t="str">
        <f t="shared" si="331"/>
        <v>자동</v>
      </c>
      <c r="AI201" s="3">
        <f t="shared" si="332"/>
        <v>0.75</v>
      </c>
      <c r="AJ201" s="3">
        <f t="shared" si="333"/>
        <v>0.75</v>
      </c>
      <c r="AL201" s="3" t="str">
        <f t="shared" si="334"/>
        <v/>
      </c>
      <c r="AN201" s="3" t="str">
        <f ca="1">IF($BA201=42,OFFSET(변환표준점수!C$119,$AP201-1,0),"")</f>
        <v/>
      </c>
      <c r="AO201" s="3" t="str">
        <f ca="1">IF($BA201=42,OFFSET(변환표준점수!D$119,$AP201-1,0),"")</f>
        <v/>
      </c>
      <c r="AP201" s="3" t="str">
        <f>IF(S201="","",MATCH(S201,변환표준점수!$B$119:$B$298,0))</f>
        <v/>
      </c>
      <c r="AQ201" s="3">
        <v>2</v>
      </c>
      <c r="AR201" s="3">
        <v>2</v>
      </c>
      <c r="AS201" s="3">
        <v>2</v>
      </c>
      <c r="AT201" s="3">
        <v>2</v>
      </c>
      <c r="AV201" s="3">
        <v>2</v>
      </c>
      <c r="AW201" s="3">
        <v>2</v>
      </c>
      <c r="AX201" s="3">
        <v>3</v>
      </c>
      <c r="AY201" s="3">
        <v>3</v>
      </c>
      <c r="BA201" s="3">
        <f t="shared" si="335"/>
        <v>2</v>
      </c>
      <c r="BC201" s="3">
        <f>$Z201*0.1</f>
        <v>0.15000000000000002</v>
      </c>
      <c r="BD201" s="3">
        <f>$Z201*0.1</f>
        <v>0.15000000000000002</v>
      </c>
      <c r="BF201" s="3">
        <f>0.1*AA201</f>
        <v>7.5000000000000011E-2</v>
      </c>
      <c r="BG201" s="3">
        <f>0.1*AA201</f>
        <v>7.5000000000000011E-2</v>
      </c>
      <c r="BJ201" s="3">
        <f t="shared" si="336"/>
        <v>0</v>
      </c>
      <c r="BN201" s="212" t="s">
        <v>7725</v>
      </c>
      <c r="BP201" s="3">
        <f>IF(BP$6&gt;0,BC201*$EG201,0)</f>
        <v>0</v>
      </c>
      <c r="BQ201" s="3">
        <f>IF(BQ$6&gt;0,BD201*$EG201,0)</f>
        <v>0</v>
      </c>
      <c r="BS201" s="3">
        <f ca="1">EH201*BF201</f>
        <v>0</v>
      </c>
      <c r="BT201" s="3">
        <f ca="1">EI201*BG201</f>
        <v>0</v>
      </c>
      <c r="CH201" s="206">
        <f t="shared" si="364"/>
        <v>400</v>
      </c>
      <c r="CI201" s="56">
        <v>100</v>
      </c>
      <c r="CJ201" s="3">
        <v>97</v>
      </c>
      <c r="CK201" s="3">
        <v>94</v>
      </c>
      <c r="CL201" s="3">
        <v>91</v>
      </c>
      <c r="CM201" s="3">
        <v>81</v>
      </c>
      <c r="CN201" s="3">
        <v>78</v>
      </c>
      <c r="CO201" s="3">
        <v>75</v>
      </c>
      <c r="CP201" s="3">
        <v>72</v>
      </c>
      <c r="CQ201" s="3">
        <v>0</v>
      </c>
      <c r="CR201" s="56">
        <v>1.5</v>
      </c>
      <c r="CS201" s="3">
        <v>1</v>
      </c>
      <c r="CT201" s="3">
        <v>0.5</v>
      </c>
      <c r="CV201" s="3">
        <v>-0.5</v>
      </c>
      <c r="CW201" s="3">
        <v>-1</v>
      </c>
      <c r="CX201" s="3">
        <v>-1.5</v>
      </c>
      <c r="CY201" s="3">
        <v>-2</v>
      </c>
      <c r="CZ201" s="3">
        <v>-2.5</v>
      </c>
      <c r="DJ201" s="3">
        <f t="shared" ca="1" si="337"/>
        <v>100</v>
      </c>
      <c r="DK201" s="3">
        <f t="shared" ca="1" si="338"/>
        <v>100</v>
      </c>
      <c r="DL201" s="3">
        <f t="shared" ca="1" si="339"/>
        <v>1.5</v>
      </c>
      <c r="DO201" s="3">
        <v>2</v>
      </c>
      <c r="DZ201" s="3">
        <v>1</v>
      </c>
      <c r="EA201" s="3">
        <f t="shared" si="340"/>
        <v>1</v>
      </c>
      <c r="EB201" s="3">
        <f t="shared" si="341"/>
        <v>2</v>
      </c>
      <c r="EC201" s="3">
        <f t="shared" si="342"/>
        <v>0</v>
      </c>
      <c r="ED201" s="3">
        <f t="shared" si="343"/>
        <v>0</v>
      </c>
      <c r="EF201" s="3">
        <f t="shared" ca="1" si="344"/>
        <v>0</v>
      </c>
      <c r="EG201" s="3">
        <f t="shared" ca="1" si="345"/>
        <v>0</v>
      </c>
      <c r="EH201" s="3">
        <f ca="1">IFERROR(IF(LEFT($BA201,1)="4",OFFSET(변환표준점수!$H$118,MATCH($S201,변환표준점수!$B$119:$B$198,0),),OFFSET(EH$3,MATCH(AS201,$ED$4:$ED$8,0),0)),0)</f>
        <v>0</v>
      </c>
      <c r="EI201" s="3">
        <f ca="1">IFERROR(IF(LEFT($BA201,1)="4",OFFSET(변환표준점수!$I$118,MATCH($S201,변환표준점수!$B$119:$B$198,0),0),OFFSET(EI$3,MATCH(AT201,$ED$4:$ED$8,0),0)),0)</f>
        <v>0</v>
      </c>
      <c r="EK201" s="3">
        <f ca="1">IFERROR(IF(LEFT($BA201,1)="4",OFFSET(변환표준점수!$J$118,MATCH($S201,변환표준점수!$B$119:$B$198,0),0),OFFSET(EJ$3,MATCH(AV201,$ED$4:$ED$8,0),0)),0)</f>
        <v>0</v>
      </c>
      <c r="EL201" s="3">
        <f ca="1">IFERROR(IF(LEFT($BA201,1)="4",OFFSET(변환표준점수!$K$118,MATCH($S201,변환표준점수!$B$119:$B$198,0),0),OFFSET(EK$3,MATCH(AW201,$ED$4:$ED$8,0),0)),0)</f>
        <v>0</v>
      </c>
      <c r="EM201" s="3" t="str">
        <f t="shared" ca="1" si="346"/>
        <v/>
      </c>
      <c r="EN201" s="3" t="str">
        <f t="shared" ca="1" si="347"/>
        <v/>
      </c>
      <c r="EO201" s="3">
        <f t="shared" ca="1" si="348"/>
        <v>0</v>
      </c>
      <c r="EQ201" s="3">
        <f t="shared" ca="1" si="349"/>
        <v>0</v>
      </c>
      <c r="ER201" s="3">
        <f t="shared" ca="1" si="350"/>
        <v>0</v>
      </c>
      <c r="ES201" s="3">
        <f t="shared" ca="1" si="351"/>
        <v>0</v>
      </c>
      <c r="ET201" s="3">
        <f t="shared" ca="1" si="352"/>
        <v>0</v>
      </c>
      <c r="EU201" s="3">
        <f t="shared" si="353"/>
        <v>0</v>
      </c>
      <c r="EV201" s="3">
        <f t="shared" ca="1" si="354"/>
        <v>0</v>
      </c>
      <c r="EW201" s="3">
        <f t="shared" ca="1" si="355"/>
        <v>0</v>
      </c>
      <c r="EX201" s="3">
        <f ca="1">LARGE((ES201:ET201,EV201:EW201),1)</f>
        <v>0</v>
      </c>
      <c r="EY201" s="3">
        <f ca="1">IF(O201&lt;2,0,LARGE((ES201:ET201,EV201:EW201),2))</f>
        <v>0</v>
      </c>
      <c r="EZ201" s="3">
        <f t="shared" ca="1" si="356"/>
        <v>0</v>
      </c>
      <c r="FA201" s="3">
        <f t="shared" ca="1" si="357"/>
        <v>0</v>
      </c>
      <c r="FB201" s="3">
        <f t="shared" ca="1" si="358"/>
        <v>0</v>
      </c>
      <c r="FG201" s="3">
        <f t="shared" ca="1" si="359"/>
        <v>0</v>
      </c>
      <c r="FH201" s="618"/>
      <c r="FU201" s="3" t="str">
        <f t="shared" si="268"/>
        <v>백분위</v>
      </c>
      <c r="FV201" s="3" t="str">
        <f t="shared" si="269"/>
        <v>백분위</v>
      </c>
      <c r="FW201" s="3">
        <f t="shared" si="360"/>
        <v>0.25</v>
      </c>
      <c r="FX201" s="3">
        <f t="shared" si="361"/>
        <v>0.38</v>
      </c>
      <c r="FY201" s="3">
        <f t="shared" si="362"/>
        <v>0.38</v>
      </c>
      <c r="FZ201" s="3">
        <f t="shared" si="363"/>
        <v>4</v>
      </c>
    </row>
    <row r="202" spans="1:182">
      <c r="A202" s="556">
        <v>26</v>
      </c>
      <c r="C202" s="3">
        <f t="shared" si="318"/>
        <v>187</v>
      </c>
      <c r="D202" s="3">
        <v>187</v>
      </c>
      <c r="E202" s="3" t="s">
        <v>7726</v>
      </c>
      <c r="F202" s="3">
        <v>500</v>
      </c>
      <c r="G202" s="3">
        <v>0.2</v>
      </c>
      <c r="H202" s="3">
        <v>0.3</v>
      </c>
      <c r="I202" s="3">
        <v>0.15</v>
      </c>
      <c r="J202" s="3">
        <v>0.15</v>
      </c>
      <c r="O202" s="3">
        <v>2</v>
      </c>
      <c r="P202" s="3">
        <f t="shared" si="319"/>
        <v>0.8</v>
      </c>
      <c r="Q202" s="3" t="s">
        <v>408</v>
      </c>
      <c r="S202" s="3" t="str">
        <f t="shared" si="320"/>
        <v/>
      </c>
      <c r="W202" s="3">
        <f t="shared" si="321"/>
        <v>0</v>
      </c>
      <c r="Y202" s="3">
        <f t="shared" si="322"/>
        <v>1</v>
      </c>
      <c r="Z202" s="3">
        <f t="shared" si="323"/>
        <v>1.5</v>
      </c>
      <c r="AA202" s="3">
        <f t="shared" si="324"/>
        <v>0.75</v>
      </c>
      <c r="AB202" s="3" t="str">
        <f t="shared" si="325"/>
        <v>자동</v>
      </c>
      <c r="AC202" s="3">
        <f t="shared" si="326"/>
        <v>1.5</v>
      </c>
      <c r="AD202" s="3">
        <f t="shared" si="327"/>
        <v>1</v>
      </c>
      <c r="AE202" s="3">
        <f t="shared" si="328"/>
        <v>1.5</v>
      </c>
      <c r="AF202" s="3">
        <f t="shared" si="329"/>
        <v>0.75</v>
      </c>
      <c r="AG202" s="3">
        <f t="shared" si="330"/>
        <v>0.75</v>
      </c>
      <c r="AH202" s="3" t="str">
        <f t="shared" si="331"/>
        <v>자동</v>
      </c>
      <c r="AI202" s="3" t="str">
        <f t="shared" si="332"/>
        <v>자동</v>
      </c>
      <c r="AJ202" s="3" t="str">
        <f t="shared" si="333"/>
        <v>자동</v>
      </c>
      <c r="AL202" s="3" t="str">
        <f t="shared" si="334"/>
        <v/>
      </c>
      <c r="AN202" s="3" t="str">
        <f ca="1">IF($BA202=42,OFFSET(변환표준점수!C$119,$AP202-1,0),"")</f>
        <v/>
      </c>
      <c r="AO202" s="3" t="str">
        <f ca="1">IF($BA202=42,OFFSET(변환표준점수!D$119,$AP202-1,0),"")</f>
        <v/>
      </c>
      <c r="AP202" s="3" t="str">
        <f>IF(S202="","",MATCH(S202,변환표준점수!$B$119:$B$298,0))</f>
        <v/>
      </c>
      <c r="AQ202" s="3">
        <v>2</v>
      </c>
      <c r="AR202" s="3">
        <v>2</v>
      </c>
      <c r="AS202" s="3">
        <v>2</v>
      </c>
      <c r="AT202" s="3">
        <v>2</v>
      </c>
      <c r="AX202" s="3">
        <v>3</v>
      </c>
      <c r="AY202" s="3">
        <v>3</v>
      </c>
      <c r="BA202" s="3">
        <f t="shared" si="335"/>
        <v>2</v>
      </c>
      <c r="BC202" s="3">
        <f>$Z202*0.1</f>
        <v>0.15000000000000002</v>
      </c>
      <c r="BD202" s="3">
        <f>$Z202*0.1</f>
        <v>0.15000000000000002</v>
      </c>
      <c r="BJ202" s="3">
        <f t="shared" si="336"/>
        <v>0</v>
      </c>
      <c r="BN202" s="212" t="s">
        <v>7727</v>
      </c>
      <c r="BP202" s="3">
        <f>IF(BP$6&gt;0,BC202*$EG202,0)</f>
        <v>0</v>
      </c>
      <c r="BQ202" s="3">
        <f>IF(BQ$6&gt;0,BD202*$EG202,0)</f>
        <v>0</v>
      </c>
      <c r="CH202" s="206">
        <f t="shared" si="364"/>
        <v>400</v>
      </c>
      <c r="CI202" s="56">
        <v>100</v>
      </c>
      <c r="CJ202" s="3">
        <v>97</v>
      </c>
      <c r="CK202" s="3">
        <v>94</v>
      </c>
      <c r="CL202" s="3">
        <v>91</v>
      </c>
      <c r="CM202" s="3">
        <v>81</v>
      </c>
      <c r="CN202" s="3">
        <v>78</v>
      </c>
      <c r="CO202" s="3">
        <v>75</v>
      </c>
      <c r="CP202" s="3">
        <v>72</v>
      </c>
      <c r="CQ202" s="3">
        <v>0</v>
      </c>
      <c r="CR202" s="56">
        <v>1.5</v>
      </c>
      <c r="CS202" s="3">
        <v>1</v>
      </c>
      <c r="CT202" s="3">
        <v>0.5</v>
      </c>
      <c r="CV202" s="3">
        <v>-0.5</v>
      </c>
      <c r="CW202" s="3">
        <v>-1</v>
      </c>
      <c r="CX202" s="3">
        <v>-1.5</v>
      </c>
      <c r="CY202" s="3">
        <v>-2</v>
      </c>
      <c r="CZ202" s="3">
        <v>-2.5</v>
      </c>
      <c r="DJ202" s="3">
        <f t="shared" ca="1" si="337"/>
        <v>100</v>
      </c>
      <c r="DK202" s="3">
        <f t="shared" ca="1" si="338"/>
        <v>100</v>
      </c>
      <c r="DL202" s="3">
        <f t="shared" ca="1" si="339"/>
        <v>1.5</v>
      </c>
      <c r="DM202" s="3">
        <v>2</v>
      </c>
      <c r="DS202" s="3">
        <v>1</v>
      </c>
      <c r="DZ202" s="3">
        <v>1</v>
      </c>
      <c r="EA202" s="3">
        <f t="shared" si="340"/>
        <v>1</v>
      </c>
      <c r="EB202" s="3">
        <f t="shared" si="341"/>
        <v>2</v>
      </c>
      <c r="EC202" s="3">
        <f t="shared" si="342"/>
        <v>0</v>
      </c>
      <c r="ED202" s="3">
        <f t="shared" si="343"/>
        <v>0</v>
      </c>
      <c r="EF202" s="3">
        <f t="shared" ca="1" si="344"/>
        <v>0</v>
      </c>
      <c r="EG202" s="3">
        <f t="shared" ca="1" si="345"/>
        <v>0</v>
      </c>
      <c r="EH202" s="3">
        <f ca="1">IFERROR(IF(LEFT($BA202,1)="4",OFFSET(변환표준점수!$H$118,MATCH($S202,변환표준점수!$B$119:$B$198,0),),OFFSET(EH$3,MATCH(AS202,$ED$4:$ED$8,0),0)),0)</f>
        <v>0</v>
      </c>
      <c r="EI202" s="3">
        <f ca="1">IFERROR(IF(LEFT($BA202,1)="4",OFFSET(변환표준점수!$I$118,MATCH($S202,변환표준점수!$B$119:$B$198,0),0),OFFSET(EI$3,MATCH(AT202,$ED$4:$ED$8,0),0)),0)</f>
        <v>0</v>
      </c>
      <c r="EK202" s="3">
        <f ca="1">IFERROR(IF(LEFT($BA202,1)="4",OFFSET(변환표준점수!$J$118,MATCH($S202,변환표준점수!$B$119:$B$198,0),0),OFFSET(EJ$3,MATCH(AV202,$ED$4:$ED$8,0),0)),0)</f>
        <v>0</v>
      </c>
      <c r="EL202" s="3">
        <f ca="1">IFERROR(IF(LEFT($BA202,1)="4",OFFSET(변환표준점수!$K$118,MATCH($S202,변환표준점수!$B$119:$B$198,0),0),OFFSET(EK$3,MATCH(AW202,$ED$4:$ED$8,0),0)),0)</f>
        <v>0</v>
      </c>
      <c r="EM202" s="3" t="str">
        <f t="shared" ca="1" si="346"/>
        <v/>
      </c>
      <c r="EN202" s="3" t="str">
        <f t="shared" ca="1" si="347"/>
        <v/>
      </c>
      <c r="EO202" s="3">
        <f t="shared" ca="1" si="348"/>
        <v>0</v>
      </c>
      <c r="EQ202" s="3">
        <f t="shared" ca="1" si="349"/>
        <v>0</v>
      </c>
      <c r="ER202" s="3">
        <f t="shared" ca="1" si="350"/>
        <v>0</v>
      </c>
      <c r="ES202" s="3">
        <f t="shared" ca="1" si="351"/>
        <v>0</v>
      </c>
      <c r="ET202" s="3">
        <f t="shared" ca="1" si="352"/>
        <v>0</v>
      </c>
      <c r="EU202" s="3">
        <f t="shared" si="353"/>
        <v>0</v>
      </c>
      <c r="EV202" s="3">
        <f t="shared" ca="1" si="354"/>
        <v>0</v>
      </c>
      <c r="EW202" s="3">
        <f t="shared" ca="1" si="355"/>
        <v>0</v>
      </c>
      <c r="EX202" s="3">
        <f ca="1">LARGE((ES202:ET202,EV202:EW202),1)</f>
        <v>0</v>
      </c>
      <c r="EY202" s="3">
        <f ca="1">IF(O202&lt;2,0,LARGE((ES202:ET202,EV202:EW202),2))</f>
        <v>0</v>
      </c>
      <c r="EZ202" s="3">
        <f t="shared" ca="1" si="356"/>
        <v>0</v>
      </c>
      <c r="FA202" s="3">
        <f t="shared" ca="1" si="357"/>
        <v>0</v>
      </c>
      <c r="FB202" s="3">
        <f t="shared" ca="1" si="358"/>
        <v>0</v>
      </c>
      <c r="FG202" s="3">
        <f t="shared" ca="1" si="359"/>
        <v>0</v>
      </c>
      <c r="FH202" s="618"/>
      <c r="FU202" s="3" t="str">
        <f t="shared" si="268"/>
        <v>백분위</v>
      </c>
      <c r="FV202" s="3" t="str">
        <f t="shared" si="269"/>
        <v>백분위</v>
      </c>
      <c r="FW202" s="3">
        <f t="shared" si="360"/>
        <v>0.25</v>
      </c>
      <c r="FX202" s="3">
        <f t="shared" si="361"/>
        <v>0.38</v>
      </c>
      <c r="FY202" s="3">
        <f t="shared" si="362"/>
        <v>0.38</v>
      </c>
      <c r="FZ202" s="3">
        <f t="shared" si="363"/>
        <v>4</v>
      </c>
    </row>
    <row r="203" spans="1:182">
      <c r="A203" s="556" t="s">
        <v>7687</v>
      </c>
      <c r="C203" s="3">
        <f t="shared" si="318"/>
        <v>188</v>
      </c>
      <c r="D203" s="3">
        <v>188</v>
      </c>
      <c r="E203" s="3" t="s">
        <v>366</v>
      </c>
      <c r="F203" s="3">
        <v>500</v>
      </c>
      <c r="G203" s="3">
        <v>0.2</v>
      </c>
      <c r="H203" s="3">
        <v>0.3</v>
      </c>
      <c r="I203" s="3">
        <v>0.15</v>
      </c>
      <c r="J203" s="3">
        <v>0.15</v>
      </c>
      <c r="O203" s="3">
        <v>2</v>
      </c>
      <c r="P203" s="3">
        <f t="shared" si="319"/>
        <v>0.8</v>
      </c>
      <c r="Q203" s="3" t="s">
        <v>408</v>
      </c>
      <c r="S203" s="3" t="str">
        <f t="shared" si="320"/>
        <v/>
      </c>
      <c r="W203" s="3">
        <f t="shared" si="321"/>
        <v>0</v>
      </c>
      <c r="Y203" s="3">
        <f t="shared" si="322"/>
        <v>1</v>
      </c>
      <c r="Z203" s="3">
        <f t="shared" si="323"/>
        <v>1.5</v>
      </c>
      <c r="AA203" s="3">
        <f t="shared" si="324"/>
        <v>0.75</v>
      </c>
      <c r="AB203" s="3" t="str">
        <f t="shared" si="325"/>
        <v>자동</v>
      </c>
      <c r="AC203" s="3">
        <f t="shared" si="326"/>
        <v>1.5</v>
      </c>
      <c r="AD203" s="3">
        <f t="shared" si="327"/>
        <v>1</v>
      </c>
      <c r="AE203" s="3">
        <f t="shared" si="328"/>
        <v>1.5</v>
      </c>
      <c r="AF203" s="3">
        <f t="shared" si="329"/>
        <v>0.75</v>
      </c>
      <c r="AG203" s="3">
        <f t="shared" si="330"/>
        <v>0.75</v>
      </c>
      <c r="AH203" s="3" t="str">
        <f t="shared" si="331"/>
        <v>자동</v>
      </c>
      <c r="AI203" s="3" t="str">
        <f t="shared" si="332"/>
        <v>자동</v>
      </c>
      <c r="AJ203" s="3" t="str">
        <f t="shared" si="333"/>
        <v>자동</v>
      </c>
      <c r="AL203" s="3" t="str">
        <f t="shared" si="334"/>
        <v/>
      </c>
      <c r="AN203" s="3" t="str">
        <f ca="1">IF($BA203=42,OFFSET(변환표준점수!C$119,$AP203-1,0),"")</f>
        <v/>
      </c>
      <c r="AO203" s="3" t="str">
        <f ca="1">IF($BA203=42,OFFSET(변환표준점수!D$119,$AP203-1,0),"")</f>
        <v/>
      </c>
      <c r="AP203" s="3" t="str">
        <f>IF(S203="","",MATCH(S203,변환표준점수!$B$119:$B$298,0))</f>
        <v/>
      </c>
      <c r="AQ203" s="3">
        <v>2</v>
      </c>
      <c r="AR203" s="3">
        <v>2</v>
      </c>
      <c r="AS203" s="3">
        <v>2</v>
      </c>
      <c r="AT203" s="3">
        <v>2</v>
      </c>
      <c r="AX203" s="3">
        <v>3</v>
      </c>
      <c r="AY203" s="3">
        <v>3</v>
      </c>
      <c r="BA203" s="3">
        <f t="shared" si="335"/>
        <v>2</v>
      </c>
      <c r="BJ203" s="3">
        <f t="shared" si="336"/>
        <v>0</v>
      </c>
      <c r="CH203" s="206">
        <f t="shared" si="364"/>
        <v>400</v>
      </c>
      <c r="CI203" s="56">
        <v>100</v>
      </c>
      <c r="CJ203" s="3">
        <v>97</v>
      </c>
      <c r="CK203" s="3">
        <v>94</v>
      </c>
      <c r="CL203" s="3">
        <v>91</v>
      </c>
      <c r="CM203" s="3">
        <v>81</v>
      </c>
      <c r="CN203" s="3">
        <v>78</v>
      </c>
      <c r="CO203" s="3">
        <v>75</v>
      </c>
      <c r="CP203" s="3">
        <v>72</v>
      </c>
      <c r="CQ203" s="3">
        <v>0</v>
      </c>
      <c r="CR203" s="56">
        <v>1.5</v>
      </c>
      <c r="CS203" s="3">
        <v>1</v>
      </c>
      <c r="CT203" s="3">
        <v>0.5</v>
      </c>
      <c r="CV203" s="3">
        <v>-0.5</v>
      </c>
      <c r="CW203" s="3">
        <v>-1</v>
      </c>
      <c r="CX203" s="3">
        <v>-1.5</v>
      </c>
      <c r="CY203" s="3">
        <v>-2</v>
      </c>
      <c r="CZ203" s="3">
        <v>-2.5</v>
      </c>
      <c r="DJ203" s="3">
        <f t="shared" ca="1" si="337"/>
        <v>100</v>
      </c>
      <c r="DK203" s="3">
        <f t="shared" ca="1" si="338"/>
        <v>100</v>
      </c>
      <c r="DL203" s="3">
        <f t="shared" ca="1" si="339"/>
        <v>1.5</v>
      </c>
      <c r="DM203" s="3">
        <v>2</v>
      </c>
      <c r="DQ203" s="3">
        <v>1</v>
      </c>
      <c r="DS203" s="3">
        <v>1</v>
      </c>
      <c r="DZ203" s="3">
        <v>1</v>
      </c>
      <c r="EA203" s="3">
        <f t="shared" si="340"/>
        <v>1</v>
      </c>
      <c r="EB203" s="3">
        <f t="shared" si="341"/>
        <v>2</v>
      </c>
      <c r="EC203" s="3">
        <f t="shared" si="342"/>
        <v>0</v>
      </c>
      <c r="ED203" s="3">
        <f t="shared" si="343"/>
        <v>0</v>
      </c>
      <c r="EF203" s="3">
        <f t="shared" ca="1" si="344"/>
        <v>0</v>
      </c>
      <c r="EG203" s="3">
        <f t="shared" ca="1" si="345"/>
        <v>0</v>
      </c>
      <c r="EH203" s="3">
        <f ca="1">IFERROR(IF(LEFT($BA203,1)="4",OFFSET(변환표준점수!$H$118,MATCH($S203,변환표준점수!$B$119:$B$198,0),),OFFSET(EH$3,MATCH(AS203,$ED$4:$ED$8,0),0)),0)</f>
        <v>0</v>
      </c>
      <c r="EI203" s="3">
        <f ca="1">IFERROR(IF(LEFT($BA203,1)="4",OFFSET(변환표준점수!$I$118,MATCH($S203,변환표준점수!$B$119:$B$198,0),0),OFFSET(EI$3,MATCH(AT203,$ED$4:$ED$8,0),0)),0)</f>
        <v>0</v>
      </c>
      <c r="EK203" s="3">
        <f ca="1">IFERROR(IF(LEFT($BA203,1)="4",OFFSET(변환표준점수!$J$118,MATCH($S203,변환표준점수!$B$119:$B$198,0),0),OFFSET(EJ$3,MATCH(AV203,$ED$4:$ED$8,0),0)),0)</f>
        <v>0</v>
      </c>
      <c r="EL203" s="3">
        <f ca="1">IFERROR(IF(LEFT($BA203,1)="4",OFFSET(변환표준점수!$K$118,MATCH($S203,변환표준점수!$B$119:$B$198,0),0),OFFSET(EK$3,MATCH(AW203,$ED$4:$ED$8,0),0)),0)</f>
        <v>0</v>
      </c>
      <c r="EM203" s="3" t="str">
        <f t="shared" ca="1" si="346"/>
        <v/>
      </c>
      <c r="EN203" s="3" t="str">
        <f t="shared" ca="1" si="347"/>
        <v/>
      </c>
      <c r="EO203" s="3">
        <f t="shared" ca="1" si="348"/>
        <v>0</v>
      </c>
      <c r="EQ203" s="3">
        <f t="shared" ca="1" si="349"/>
        <v>0</v>
      </c>
      <c r="ER203" s="3">
        <f t="shared" ca="1" si="350"/>
        <v>0</v>
      </c>
      <c r="ES203" s="3">
        <f t="shared" ca="1" si="351"/>
        <v>0</v>
      </c>
      <c r="ET203" s="3">
        <f t="shared" ca="1" si="352"/>
        <v>0</v>
      </c>
      <c r="EU203" s="3">
        <f t="shared" si="353"/>
        <v>0</v>
      </c>
      <c r="EV203" s="3">
        <f t="shared" ca="1" si="354"/>
        <v>0</v>
      </c>
      <c r="EW203" s="3">
        <f t="shared" ca="1" si="355"/>
        <v>0</v>
      </c>
      <c r="EX203" s="3">
        <f ca="1">LARGE((ES203:ET203,EV203:EW203),1)</f>
        <v>0</v>
      </c>
      <c r="EY203" s="3">
        <f ca="1">IF(O203&lt;2,0,LARGE((ES203:ET203,EV203:EW203),2))</f>
        <v>0</v>
      </c>
      <c r="EZ203" s="3">
        <f t="shared" ca="1" si="356"/>
        <v>0</v>
      </c>
      <c r="FA203" s="3">
        <f t="shared" ca="1" si="357"/>
        <v>0</v>
      </c>
      <c r="FB203" s="3">
        <f t="shared" ca="1" si="358"/>
        <v>0</v>
      </c>
      <c r="FG203" s="3">
        <f t="shared" ca="1" si="359"/>
        <v>0</v>
      </c>
      <c r="FH203" s="618"/>
      <c r="FU203" s="3" t="str">
        <f t="shared" si="268"/>
        <v>백분위</v>
      </c>
      <c r="FV203" s="3" t="str">
        <f t="shared" si="269"/>
        <v>백분위</v>
      </c>
      <c r="FW203" s="3">
        <f t="shared" si="360"/>
        <v>0.25</v>
      </c>
      <c r="FX203" s="3">
        <f t="shared" si="361"/>
        <v>0.38</v>
      </c>
      <c r="FY203" s="3">
        <f t="shared" si="362"/>
        <v>0.38</v>
      </c>
      <c r="FZ203" s="3">
        <f t="shared" si="363"/>
        <v>4</v>
      </c>
    </row>
    <row r="204" spans="1:182">
      <c r="A204" s="556">
        <v>26</v>
      </c>
      <c r="C204" s="3">
        <f t="shared" si="318"/>
        <v>189</v>
      </c>
      <c r="D204" s="3">
        <v>189</v>
      </c>
      <c r="E204" s="3" t="s">
        <v>367</v>
      </c>
      <c r="F204" s="3">
        <v>1000</v>
      </c>
      <c r="G204" s="3">
        <v>0.3</v>
      </c>
      <c r="H204" s="3">
        <v>0.25</v>
      </c>
      <c r="I204" s="3">
        <v>0.125</v>
      </c>
      <c r="J204" s="3">
        <v>0.125</v>
      </c>
      <c r="L204" s="3">
        <v>0.125</v>
      </c>
      <c r="M204" s="3">
        <v>0.125</v>
      </c>
      <c r="O204" s="3">
        <v>2</v>
      </c>
      <c r="P204" s="3">
        <f t="shared" si="319"/>
        <v>0.8</v>
      </c>
      <c r="Q204" s="3" t="s">
        <v>408</v>
      </c>
      <c r="S204" s="3" t="str">
        <f t="shared" si="320"/>
        <v/>
      </c>
      <c r="W204" s="3">
        <f t="shared" si="321"/>
        <v>0</v>
      </c>
      <c r="Y204" s="3">
        <f t="shared" si="322"/>
        <v>2.1582733812949639</v>
      </c>
      <c r="Z204" s="3">
        <f t="shared" si="323"/>
        <v>1.7857142857142858</v>
      </c>
      <c r="AA204" s="3">
        <f t="shared" si="324"/>
        <v>1.7902410380533638</v>
      </c>
      <c r="AB204" s="3">
        <f t="shared" si="325"/>
        <v>1.7467615041712663</v>
      </c>
      <c r="AC204" s="3">
        <f t="shared" si="326"/>
        <v>1.7467615041712663</v>
      </c>
      <c r="AD204" s="3">
        <f t="shared" si="327"/>
        <v>2.1582733812949639</v>
      </c>
      <c r="AE204" s="3">
        <f t="shared" si="328"/>
        <v>1.7857142857142858</v>
      </c>
      <c r="AF204" s="3">
        <f t="shared" si="329"/>
        <v>1.7902410380533638</v>
      </c>
      <c r="AG204" s="3">
        <f t="shared" si="330"/>
        <v>1.7902410380533638</v>
      </c>
      <c r="AH204" s="3" t="str">
        <f t="shared" si="331"/>
        <v>자동</v>
      </c>
      <c r="AI204" s="3">
        <f t="shared" si="332"/>
        <v>1.7467615041712663</v>
      </c>
      <c r="AJ204" s="3">
        <f t="shared" si="333"/>
        <v>1.7467615041712663</v>
      </c>
      <c r="AK204" s="3">
        <v>0</v>
      </c>
      <c r="AL204" s="3">
        <f t="shared" si="334"/>
        <v>0</v>
      </c>
      <c r="AN204" s="3" t="str">
        <f ca="1">IF($BA204=42,OFFSET(변환표준점수!C$119,$AP204-1,0),"")</f>
        <v/>
      </c>
      <c r="AO204" s="3" t="str">
        <f ca="1">IF($BA204=42,OFFSET(변환표준점수!D$119,$AP204-1,0),"")</f>
        <v/>
      </c>
      <c r="AP204" s="3" t="str">
        <f>IF(S204="","",MATCH(S204,변환표준점수!$B$119:$B$298,0))</f>
        <v/>
      </c>
      <c r="AQ204" s="3">
        <v>12</v>
      </c>
      <c r="AR204" s="3">
        <v>12</v>
      </c>
      <c r="AS204" s="3">
        <v>12</v>
      </c>
      <c r="AT204" s="3">
        <v>12</v>
      </c>
      <c r="AV204" s="3">
        <v>12</v>
      </c>
      <c r="AW204" s="3">
        <v>12</v>
      </c>
      <c r="AX204" s="3">
        <v>3</v>
      </c>
      <c r="AY204" s="3">
        <v>3</v>
      </c>
      <c r="BA204" s="3">
        <f t="shared" si="335"/>
        <v>12</v>
      </c>
      <c r="BJ204" s="3">
        <f t="shared" si="336"/>
        <v>0</v>
      </c>
      <c r="CH204" s="206">
        <f t="shared" si="364"/>
        <v>800</v>
      </c>
      <c r="CI204" s="56">
        <v>200</v>
      </c>
      <c r="CJ204" s="3">
        <v>196</v>
      </c>
      <c r="CK204" s="3">
        <v>192</v>
      </c>
      <c r="CL204" s="3">
        <v>188</v>
      </c>
      <c r="CM204" s="3">
        <v>184</v>
      </c>
      <c r="CN204" s="3">
        <v>180</v>
      </c>
      <c r="CO204" s="3">
        <v>176</v>
      </c>
      <c r="CP204" s="3">
        <v>172</v>
      </c>
      <c r="CQ204" s="3">
        <v>168</v>
      </c>
      <c r="DJ204" s="3">
        <f t="shared" ca="1" si="337"/>
        <v>200</v>
      </c>
      <c r="DK204" s="3">
        <f t="shared" ca="1" si="338"/>
        <v>100</v>
      </c>
      <c r="DL204" s="3">
        <f t="shared" ca="1" si="339"/>
        <v>0</v>
      </c>
      <c r="DO204" s="3">
        <v>2</v>
      </c>
      <c r="EA204" s="3">
        <f t="shared" si="340"/>
        <v>2</v>
      </c>
      <c r="EB204" s="3">
        <f t="shared" si="341"/>
        <v>2</v>
      </c>
      <c r="EC204" s="3">
        <f t="shared" si="342"/>
        <v>0</v>
      </c>
      <c r="ED204" s="3">
        <f t="shared" si="343"/>
        <v>0</v>
      </c>
      <c r="EF204" s="3">
        <f t="shared" ca="1" si="344"/>
        <v>0</v>
      </c>
      <c r="EG204" s="3">
        <f t="shared" ca="1" si="345"/>
        <v>0</v>
      </c>
      <c r="EH204" s="3">
        <f ca="1">IFERROR(IF(LEFT($BA204,1)="4",OFFSET(변환표준점수!$H$118,MATCH($S204,변환표준점수!$B$119:$B$198,0),),OFFSET(EH$3,MATCH(AS204,$ED$4:$ED$8,0),0)),0)</f>
        <v>0</v>
      </c>
      <c r="EI204" s="3">
        <f ca="1">IFERROR(IF(LEFT($BA204,1)="4",OFFSET(변환표준점수!$I$118,MATCH($S204,변환표준점수!$B$119:$B$198,0),0),OFFSET(EI$3,MATCH(AT204,$ED$4:$ED$8,0),0)),0)</f>
        <v>0</v>
      </c>
      <c r="EK204" s="3">
        <f ca="1">IFERROR(IF(LEFT($BA204,1)="4",OFFSET(변환표준점수!$J$118,MATCH($S204,변환표준점수!$B$119:$B$198,0),0),OFFSET(EJ$3,MATCH(AV204,$ED$4:$ED$8,0),0)),0)</f>
        <v>0</v>
      </c>
      <c r="EL204" s="3">
        <f ca="1">IFERROR(IF(LEFT($BA204,1)="4",OFFSET(변환표준점수!$K$118,MATCH($S204,변환표준점수!$B$119:$B$198,0),0),OFFSET(EK$3,MATCH(AW204,$ED$4:$ED$8,0),0)),0)</f>
        <v>0</v>
      </c>
      <c r="EM204" s="3" t="str">
        <f t="shared" ca="1" si="346"/>
        <v/>
      </c>
      <c r="EN204" s="3" t="str">
        <f t="shared" ca="1" si="347"/>
        <v/>
      </c>
      <c r="EO204" s="3">
        <f t="shared" ca="1" si="348"/>
        <v>0</v>
      </c>
      <c r="EQ204" s="3">
        <f t="shared" ca="1" si="349"/>
        <v>0</v>
      </c>
      <c r="ER204" s="3">
        <f t="shared" ca="1" si="350"/>
        <v>0</v>
      </c>
      <c r="ES204" s="3">
        <f t="shared" ca="1" si="351"/>
        <v>0</v>
      </c>
      <c r="ET204" s="3">
        <f t="shared" ca="1" si="352"/>
        <v>0</v>
      </c>
      <c r="EU204" s="3">
        <f t="shared" si="353"/>
        <v>0</v>
      </c>
      <c r="EV204" s="3">
        <f t="shared" ca="1" si="354"/>
        <v>0</v>
      </c>
      <c r="EW204" s="3">
        <f t="shared" ca="1" si="355"/>
        <v>0</v>
      </c>
      <c r="EX204" s="3">
        <f ca="1">LARGE((ES204:ET204,EV204:EW204),1)</f>
        <v>0</v>
      </c>
      <c r="EY204" s="3">
        <f ca="1">IF(O204&lt;2,0,LARGE((ES204:ET204,EV204:EW204),2))</f>
        <v>0</v>
      </c>
      <c r="EZ204" s="3">
        <f t="shared" ca="1" si="356"/>
        <v>0</v>
      </c>
      <c r="FA204" s="3">
        <f t="shared" ca="1" si="357"/>
        <v>0</v>
      </c>
      <c r="FB204" s="3">
        <f t="shared" ca="1" si="358"/>
        <v>0</v>
      </c>
      <c r="FG204" s="3">
        <f t="shared" ca="1" si="359"/>
        <v>0</v>
      </c>
      <c r="FH204" s="618"/>
      <c r="FU204" s="3" t="str">
        <f t="shared" si="268"/>
        <v>표점/만점</v>
      </c>
      <c r="FV204" s="3" t="str">
        <f t="shared" si="269"/>
        <v>표점/만점</v>
      </c>
      <c r="FW204" s="3">
        <f t="shared" si="360"/>
        <v>0.38</v>
      </c>
      <c r="FX204" s="3">
        <f t="shared" si="361"/>
        <v>0.31</v>
      </c>
      <c r="FY204" s="3">
        <f t="shared" si="362"/>
        <v>0.31</v>
      </c>
      <c r="FZ204" s="3">
        <f t="shared" si="363"/>
        <v>5.6907491711805154</v>
      </c>
    </row>
    <row r="205" spans="1:182">
      <c r="A205" s="556">
        <v>26</v>
      </c>
      <c r="C205" s="3">
        <f t="shared" si="318"/>
        <v>190</v>
      </c>
      <c r="D205" s="3">
        <v>190</v>
      </c>
      <c r="E205" s="3" t="s">
        <v>368</v>
      </c>
      <c r="F205" s="3">
        <v>1000</v>
      </c>
      <c r="G205" s="3">
        <v>0.25</v>
      </c>
      <c r="H205" s="3">
        <v>0.3</v>
      </c>
      <c r="I205" s="3">
        <v>0.125</v>
      </c>
      <c r="J205" s="3">
        <v>0.125</v>
      </c>
      <c r="K205" s="3">
        <v>0.125</v>
      </c>
      <c r="L205" s="3">
        <v>0.125</v>
      </c>
      <c r="M205" s="3">
        <v>0.125</v>
      </c>
      <c r="O205" s="3">
        <v>2</v>
      </c>
      <c r="P205" s="3">
        <f t="shared" si="319"/>
        <v>0.8</v>
      </c>
      <c r="Q205" s="3" t="s">
        <v>408</v>
      </c>
      <c r="S205" s="3" t="str">
        <f t="shared" si="320"/>
        <v/>
      </c>
      <c r="W205" s="3">
        <f t="shared" si="321"/>
        <v>0</v>
      </c>
      <c r="Y205" s="3">
        <f t="shared" si="322"/>
        <v>1.7985611510791366</v>
      </c>
      <c r="Z205" s="3">
        <f t="shared" si="323"/>
        <v>2.1428571428571428</v>
      </c>
      <c r="AA205" s="3">
        <f t="shared" si="324"/>
        <v>1.7902410380533638</v>
      </c>
      <c r="AB205" s="3">
        <f t="shared" si="325"/>
        <v>1.7467615041712663</v>
      </c>
      <c r="AC205" s="3">
        <f t="shared" si="326"/>
        <v>1.7902410380533638</v>
      </c>
      <c r="AD205" s="3">
        <f t="shared" si="327"/>
        <v>1.7985611510791366</v>
      </c>
      <c r="AE205" s="3">
        <f t="shared" si="328"/>
        <v>2.1428571428571428</v>
      </c>
      <c r="AF205" s="3">
        <f t="shared" si="329"/>
        <v>1.7902410380533638</v>
      </c>
      <c r="AG205" s="3">
        <f t="shared" si="330"/>
        <v>1.7902410380533638</v>
      </c>
      <c r="AH205" s="3">
        <f t="shared" si="331"/>
        <v>1.7902410380533638</v>
      </c>
      <c r="AI205" s="3">
        <f t="shared" si="332"/>
        <v>1.7467615041712663</v>
      </c>
      <c r="AJ205" s="3">
        <f t="shared" si="333"/>
        <v>1.7467615041712663</v>
      </c>
      <c r="AK205" s="3">
        <v>0</v>
      </c>
      <c r="AL205" s="3">
        <f t="shared" si="334"/>
        <v>0</v>
      </c>
      <c r="AN205" s="3" t="str">
        <f ca="1">IF($BA205=42,OFFSET(변환표준점수!C$119,$AP205-1,0),"")</f>
        <v/>
      </c>
      <c r="AO205" s="3" t="str">
        <f ca="1">IF($BA205=42,OFFSET(변환표준점수!D$119,$AP205-1,0),"")</f>
        <v/>
      </c>
      <c r="AP205" s="3" t="str">
        <f>IF(S205="","",MATCH(S205,변환표준점수!$B$119:$B$298,0))</f>
        <v/>
      </c>
      <c r="AQ205" s="3">
        <v>12</v>
      </c>
      <c r="AR205" s="3">
        <v>12</v>
      </c>
      <c r="AS205" s="3">
        <v>12</v>
      </c>
      <c r="AT205" s="3">
        <v>12</v>
      </c>
      <c r="AU205" s="3">
        <v>12</v>
      </c>
      <c r="AV205" s="3">
        <v>12</v>
      </c>
      <c r="AW205" s="3">
        <v>12</v>
      </c>
      <c r="AX205" s="3">
        <v>3</v>
      </c>
      <c r="AY205" s="3">
        <v>3</v>
      </c>
      <c r="BA205" s="3">
        <f t="shared" si="335"/>
        <v>12</v>
      </c>
      <c r="BH205" s="3">
        <f>0.05*AA205*2</f>
        <v>0.1790241038053364</v>
      </c>
      <c r="BI205" s="3">
        <v>0.01</v>
      </c>
      <c r="BJ205" s="3">
        <f t="shared" si="336"/>
        <v>0.01</v>
      </c>
      <c r="BK205" s="3">
        <v>1</v>
      </c>
      <c r="BN205" s="212" t="s">
        <v>7728</v>
      </c>
      <c r="BU205" s="3">
        <f>IF(AND($DM$8=2,COUNTIF($BW$6:$BZ$6,"&gt;"&amp;0)&gt;0),(EH205+EI205)*(BH205/2),0)</f>
        <v>0</v>
      </c>
      <c r="CH205" s="206">
        <f t="shared" si="364"/>
        <v>800</v>
      </c>
      <c r="CI205" s="56">
        <v>200</v>
      </c>
      <c r="CJ205" s="3">
        <v>196</v>
      </c>
      <c r="CK205" s="3">
        <v>192</v>
      </c>
      <c r="CL205" s="3">
        <v>188</v>
      </c>
      <c r="CM205" s="3">
        <v>184</v>
      </c>
      <c r="CN205" s="3">
        <v>180</v>
      </c>
      <c r="CO205" s="3">
        <v>176</v>
      </c>
      <c r="CP205" s="3">
        <v>172</v>
      </c>
      <c r="CQ205" s="3">
        <v>168</v>
      </c>
      <c r="DJ205" s="3">
        <f t="shared" ca="1" si="337"/>
        <v>200</v>
      </c>
      <c r="DK205" s="3">
        <f t="shared" ca="1" si="338"/>
        <v>100</v>
      </c>
      <c r="DL205" s="3">
        <f t="shared" ca="1" si="339"/>
        <v>0</v>
      </c>
      <c r="DO205" s="3">
        <v>2</v>
      </c>
      <c r="DZ205" s="3">
        <v>1</v>
      </c>
      <c r="EA205" s="3">
        <f t="shared" si="340"/>
        <v>1</v>
      </c>
      <c r="EB205" s="3">
        <f t="shared" si="341"/>
        <v>2</v>
      </c>
      <c r="EC205" s="3">
        <f t="shared" si="342"/>
        <v>0</v>
      </c>
      <c r="ED205" s="3">
        <f t="shared" si="343"/>
        <v>0</v>
      </c>
      <c r="EF205" s="3">
        <f t="shared" ca="1" si="344"/>
        <v>0</v>
      </c>
      <c r="EG205" s="3">
        <f t="shared" ca="1" si="345"/>
        <v>0</v>
      </c>
      <c r="EH205" s="3">
        <f ca="1">IFERROR(IF(LEFT($BA205,1)="4",OFFSET(변환표준점수!$H$118,MATCH($S205,변환표준점수!$B$119:$B$198,0),),OFFSET(EH$3,MATCH(AS205,$ED$4:$ED$8,0),0)),0)</f>
        <v>0</v>
      </c>
      <c r="EI205" s="3">
        <f ca="1">IFERROR(IF(LEFT($BA205,1)="4",OFFSET(변환표준점수!$I$118,MATCH($S205,변환표준점수!$B$119:$B$198,0),0),OFFSET(EI$3,MATCH(AT205,$ED$4:$ED$8,0),0)),0)</f>
        <v>0</v>
      </c>
      <c r="EK205" s="3">
        <f ca="1">IFERROR(IF(LEFT($BA205,1)="4",OFFSET(변환표준점수!$J$118,MATCH($S205,변환표준점수!$B$119:$B$198,0),0),OFFSET(EJ$3,MATCH(AV205,$ED$4:$ED$8,0),0)),0)</f>
        <v>0</v>
      </c>
      <c r="EL205" s="3">
        <f ca="1">IFERROR(IF(LEFT($BA205,1)="4",OFFSET(변환표준점수!$K$118,MATCH($S205,변환표준점수!$B$119:$B$198,0),0),OFFSET(EK$3,MATCH(AW205,$ED$4:$ED$8,0),0)),0)</f>
        <v>0</v>
      </c>
      <c r="EM205" s="3" t="str">
        <f t="shared" ca="1" si="346"/>
        <v/>
      </c>
      <c r="EN205" s="3" t="str">
        <f t="shared" ca="1" si="347"/>
        <v/>
      </c>
      <c r="EO205" s="3">
        <f t="shared" ca="1" si="348"/>
        <v>0</v>
      </c>
      <c r="EQ205" s="3">
        <f t="shared" ca="1" si="349"/>
        <v>0</v>
      </c>
      <c r="ER205" s="3">
        <f t="shared" ca="1" si="350"/>
        <v>0</v>
      </c>
      <c r="ES205" s="3">
        <f t="shared" ca="1" si="351"/>
        <v>0</v>
      </c>
      <c r="ET205" s="3">
        <f t="shared" ca="1" si="352"/>
        <v>0</v>
      </c>
      <c r="EU205" s="3">
        <f t="shared" si="353"/>
        <v>0</v>
      </c>
      <c r="EV205" s="3">
        <f t="shared" ca="1" si="354"/>
        <v>0</v>
      </c>
      <c r="EW205" s="3">
        <f t="shared" ca="1" si="355"/>
        <v>0</v>
      </c>
      <c r="EX205" s="3">
        <f ca="1">LARGE((ES205:ET205,EV205:EW205),1)</f>
        <v>0</v>
      </c>
      <c r="EY205" s="3">
        <f ca="1">IF(O205&lt;2,0,LARGE((ES205:ET205,EV205:EW205),2))</f>
        <v>0</v>
      </c>
      <c r="EZ205" s="3">
        <f t="shared" ca="1" si="356"/>
        <v>0</v>
      </c>
      <c r="FA205" s="3">
        <f t="shared" ca="1" si="357"/>
        <v>0</v>
      </c>
      <c r="FB205" s="3">
        <f t="shared" ca="1" si="358"/>
        <v>0</v>
      </c>
      <c r="FG205" s="3">
        <f t="shared" ca="1" si="359"/>
        <v>0</v>
      </c>
      <c r="FH205" s="618"/>
      <c r="FU205" s="3" t="str">
        <f t="shared" si="268"/>
        <v>표점/만점</v>
      </c>
      <c r="FV205" s="3" t="str">
        <f t="shared" si="269"/>
        <v>표점/만점</v>
      </c>
      <c r="FW205" s="3">
        <f t="shared" si="360"/>
        <v>0.31</v>
      </c>
      <c r="FX205" s="3">
        <f t="shared" si="361"/>
        <v>0.37</v>
      </c>
      <c r="FY205" s="3">
        <f t="shared" si="362"/>
        <v>0.31</v>
      </c>
      <c r="FZ205" s="3">
        <f t="shared" si="363"/>
        <v>5.7316593319896434</v>
      </c>
    </row>
    <row r="206" spans="1:182">
      <c r="A206" s="556">
        <v>26</v>
      </c>
      <c r="C206" s="3">
        <f t="shared" si="318"/>
        <v>191</v>
      </c>
      <c r="D206" s="3">
        <v>191</v>
      </c>
      <c r="E206" s="3" t="s">
        <v>369</v>
      </c>
      <c r="F206" s="3">
        <v>1000</v>
      </c>
      <c r="G206" s="3">
        <v>0.25</v>
      </c>
      <c r="H206" s="3">
        <v>0.3</v>
      </c>
      <c r="I206" s="3">
        <v>0.125</v>
      </c>
      <c r="J206" s="3">
        <v>0.125</v>
      </c>
      <c r="K206" s="3">
        <v>0.125</v>
      </c>
      <c r="O206" s="3">
        <v>2</v>
      </c>
      <c r="P206" s="3">
        <f t="shared" si="319"/>
        <v>0.8</v>
      </c>
      <c r="Q206" s="3" t="s">
        <v>408</v>
      </c>
      <c r="S206" s="3" t="str">
        <f t="shared" si="320"/>
        <v/>
      </c>
      <c r="U206" s="3">
        <v>1</v>
      </c>
      <c r="W206" s="3">
        <f t="shared" si="321"/>
        <v>0</v>
      </c>
      <c r="Y206" s="3">
        <f t="shared" si="322"/>
        <v>1.7985611510791366</v>
      </c>
      <c r="Z206" s="3">
        <f t="shared" si="323"/>
        <v>2.1428571428571428</v>
      </c>
      <c r="AA206" s="3">
        <f t="shared" si="324"/>
        <v>1.7902410380533638</v>
      </c>
      <c r="AB206" s="3" t="str">
        <f t="shared" si="325"/>
        <v>자동</v>
      </c>
      <c r="AC206" s="3">
        <f t="shared" si="326"/>
        <v>1.7902410380533638</v>
      </c>
      <c r="AD206" s="3">
        <f t="shared" si="327"/>
        <v>1.7985611510791366</v>
      </c>
      <c r="AE206" s="3">
        <f t="shared" si="328"/>
        <v>2.1428571428571428</v>
      </c>
      <c r="AF206" s="3">
        <f t="shared" si="329"/>
        <v>1.7902410380533638</v>
      </c>
      <c r="AG206" s="3">
        <f t="shared" si="330"/>
        <v>1.7902410380533638</v>
      </c>
      <c r="AH206" s="3">
        <f t="shared" si="331"/>
        <v>1.7902410380533638</v>
      </c>
      <c r="AI206" s="3" t="str">
        <f t="shared" si="332"/>
        <v>자동</v>
      </c>
      <c r="AJ206" s="3" t="str">
        <f t="shared" si="333"/>
        <v>자동</v>
      </c>
      <c r="AK206" s="3">
        <v>1</v>
      </c>
      <c r="AL206" s="3">
        <f t="shared" si="334"/>
        <v>1</v>
      </c>
      <c r="AN206" s="3" t="str">
        <f ca="1">IF($BA206=42,OFFSET(변환표준점수!C$119,$AP206-1,0),"")</f>
        <v/>
      </c>
      <c r="AO206" s="3" t="str">
        <f ca="1">IF($BA206=42,OFFSET(변환표준점수!D$119,$AP206-1,0),"")</f>
        <v/>
      </c>
      <c r="AP206" s="3" t="str">
        <f>IF(S206="","",MATCH(S206,변환표준점수!$B$119:$B$298,0))</f>
        <v/>
      </c>
      <c r="AQ206" s="3">
        <v>12</v>
      </c>
      <c r="AR206" s="3">
        <v>12</v>
      </c>
      <c r="AS206" s="3">
        <v>12</v>
      </c>
      <c r="AT206" s="3">
        <v>12</v>
      </c>
      <c r="AU206" s="3">
        <v>12</v>
      </c>
      <c r="AX206" s="3">
        <v>3</v>
      </c>
      <c r="AY206" s="3">
        <v>3</v>
      </c>
      <c r="BA206" s="3">
        <f t="shared" si="335"/>
        <v>12</v>
      </c>
      <c r="BH206" s="3">
        <f>0.05*AA206*2</f>
        <v>0.1790241038053364</v>
      </c>
      <c r="BJ206" s="3">
        <f t="shared" si="336"/>
        <v>0</v>
      </c>
      <c r="BN206" s="212" t="s">
        <v>7728</v>
      </c>
      <c r="BU206" s="3">
        <f>IF(AND($DM$8=2,COUNTIF($BW$6:$BZ$6,"&gt;"&amp;0)&gt;0),(EH206+EI206)*(BH206/2),0)</f>
        <v>0</v>
      </c>
      <c r="CH206" s="206">
        <f t="shared" si="364"/>
        <v>800</v>
      </c>
      <c r="CI206" s="56">
        <v>200</v>
      </c>
      <c r="CJ206" s="3">
        <v>196</v>
      </c>
      <c r="CK206" s="3">
        <v>192</v>
      </c>
      <c r="CL206" s="3">
        <v>188</v>
      </c>
      <c r="CM206" s="3">
        <v>184</v>
      </c>
      <c r="CN206" s="3">
        <v>180</v>
      </c>
      <c r="CO206" s="3">
        <v>176</v>
      </c>
      <c r="CP206" s="3">
        <v>172</v>
      </c>
      <c r="CQ206" s="3">
        <v>168</v>
      </c>
      <c r="DJ206" s="3">
        <f t="shared" ca="1" si="337"/>
        <v>200</v>
      </c>
      <c r="DK206" s="3">
        <f t="shared" ca="1" si="338"/>
        <v>100</v>
      </c>
      <c r="DL206" s="3">
        <f t="shared" ca="1" si="339"/>
        <v>0</v>
      </c>
      <c r="DM206" s="3">
        <v>2</v>
      </c>
      <c r="DQ206" s="3">
        <v>1</v>
      </c>
      <c r="DS206" s="3">
        <v>1</v>
      </c>
      <c r="EA206" s="3">
        <f t="shared" si="340"/>
        <v>1</v>
      </c>
      <c r="EB206" s="3">
        <f t="shared" si="341"/>
        <v>2</v>
      </c>
      <c r="EC206" s="3">
        <f t="shared" si="342"/>
        <v>0</v>
      </c>
      <c r="ED206" s="3">
        <f t="shared" si="343"/>
        <v>0</v>
      </c>
      <c r="EF206" s="3">
        <f t="shared" ca="1" si="344"/>
        <v>0</v>
      </c>
      <c r="EG206" s="3">
        <f t="shared" ca="1" si="345"/>
        <v>0</v>
      </c>
      <c r="EH206" s="3">
        <f ca="1">IFERROR(IF(LEFT($BA206,1)="4",OFFSET(변환표준점수!$H$118,MATCH($S206,변환표준점수!$B$119:$B$198,0),),OFFSET(EH$3,MATCH(AS206,$ED$4:$ED$8,0),0)),0)</f>
        <v>0</v>
      </c>
      <c r="EI206" s="3">
        <f ca="1">IFERROR(IF(LEFT($BA206,1)="4",OFFSET(변환표준점수!$I$118,MATCH($S206,변환표준점수!$B$119:$B$198,0),0),OFFSET(EI$3,MATCH(AT206,$ED$4:$ED$8,0),0)),0)</f>
        <v>0</v>
      </c>
      <c r="EK206" s="3">
        <f ca="1">IFERROR(IF(LEFT($BA206,1)="4",OFFSET(변환표준점수!$J$118,MATCH($S206,변환표준점수!$B$119:$B$198,0),0),OFFSET(EJ$3,MATCH(AV206,$ED$4:$ED$8,0),0)),0)</f>
        <v>0</v>
      </c>
      <c r="EL206" s="3">
        <f ca="1">IFERROR(IF(LEFT($BA206,1)="4",OFFSET(변환표준점수!$K$118,MATCH($S206,변환표준점수!$B$119:$B$198,0),0),OFFSET(EK$3,MATCH(AW206,$ED$4:$ED$8,0),0)),0)</f>
        <v>0</v>
      </c>
      <c r="EM206" s="3" t="str">
        <f t="shared" ca="1" si="346"/>
        <v/>
      </c>
      <c r="EN206" s="3" t="str">
        <f t="shared" ca="1" si="347"/>
        <v/>
      </c>
      <c r="EO206" s="3">
        <f t="shared" ca="1" si="348"/>
        <v>0</v>
      </c>
      <c r="EQ206" s="3">
        <f t="shared" ca="1" si="349"/>
        <v>0</v>
      </c>
      <c r="ER206" s="3">
        <f t="shared" ca="1" si="350"/>
        <v>0</v>
      </c>
      <c r="ES206" s="3">
        <f t="shared" ca="1" si="351"/>
        <v>0</v>
      </c>
      <c r="ET206" s="3">
        <f t="shared" ca="1" si="352"/>
        <v>0</v>
      </c>
      <c r="EU206" s="3">
        <f t="shared" si="353"/>
        <v>0</v>
      </c>
      <c r="EV206" s="3">
        <f t="shared" ca="1" si="354"/>
        <v>0</v>
      </c>
      <c r="EW206" s="3">
        <f t="shared" ca="1" si="355"/>
        <v>0</v>
      </c>
      <c r="EX206" s="3">
        <f ca="1">LARGE((ES206:ET206,EV206:EW206),1)</f>
        <v>0</v>
      </c>
      <c r="EY206" s="3">
        <f ca="1">IF(O206&lt;2,0,LARGE((ES206:ET206,EV206:EW206),2))</f>
        <v>0</v>
      </c>
      <c r="EZ206" s="3">
        <f t="shared" ca="1" si="356"/>
        <v>0</v>
      </c>
      <c r="FA206" s="3">
        <f t="shared" ca="1" si="357"/>
        <v>0</v>
      </c>
      <c r="FB206" s="3">
        <f t="shared" ca="1" si="358"/>
        <v>0</v>
      </c>
      <c r="FG206" s="3">
        <f t="shared" ca="1" si="359"/>
        <v>0</v>
      </c>
      <c r="FH206" s="618"/>
      <c r="FU206" s="3" t="str">
        <f t="shared" si="268"/>
        <v>표점/만점</v>
      </c>
      <c r="FV206" s="3" t="str">
        <f t="shared" si="269"/>
        <v>표점/만점</v>
      </c>
      <c r="FW206" s="3">
        <f t="shared" si="360"/>
        <v>0.31</v>
      </c>
      <c r="FX206" s="3">
        <f t="shared" si="361"/>
        <v>0.37</v>
      </c>
      <c r="FY206" s="3">
        <f t="shared" si="362"/>
        <v>0.31</v>
      </c>
      <c r="FZ206" s="3">
        <f t="shared" si="363"/>
        <v>5.7316593319896434</v>
      </c>
    </row>
    <row r="207" spans="1:182">
      <c r="A207" s="556">
        <v>26</v>
      </c>
      <c r="C207" s="3">
        <f t="shared" si="318"/>
        <v>192</v>
      </c>
      <c r="D207" s="3">
        <v>192</v>
      </c>
      <c r="E207" s="3" t="s">
        <v>370</v>
      </c>
      <c r="F207" s="3">
        <v>1000</v>
      </c>
      <c r="G207" s="3">
        <v>0.25</v>
      </c>
      <c r="H207" s="3">
        <v>0.3</v>
      </c>
      <c r="I207" s="3">
        <v>0.125</v>
      </c>
      <c r="J207" s="3">
        <v>0.125</v>
      </c>
      <c r="K207" s="3">
        <v>0.125</v>
      </c>
      <c r="O207" s="3">
        <v>2</v>
      </c>
      <c r="P207" s="3">
        <f t="shared" si="319"/>
        <v>0.8</v>
      </c>
      <c r="Q207" s="3" t="s">
        <v>408</v>
      </c>
      <c r="S207" s="3" t="str">
        <f t="shared" si="320"/>
        <v/>
      </c>
      <c r="U207" s="3">
        <v>1</v>
      </c>
      <c r="W207" s="3">
        <f t="shared" si="321"/>
        <v>0</v>
      </c>
      <c r="Y207" s="3">
        <f t="shared" si="322"/>
        <v>1.7985611510791366</v>
      </c>
      <c r="Z207" s="3">
        <f t="shared" si="323"/>
        <v>2.1428571428571428</v>
      </c>
      <c r="AA207" s="3">
        <f t="shared" si="324"/>
        <v>1.7902410380533638</v>
      </c>
      <c r="AB207" s="3" t="str">
        <f t="shared" si="325"/>
        <v>자동</v>
      </c>
      <c r="AC207" s="3">
        <f t="shared" si="326"/>
        <v>1.7902410380533638</v>
      </c>
      <c r="AD207" s="3">
        <f t="shared" si="327"/>
        <v>1.7985611510791366</v>
      </c>
      <c r="AE207" s="3">
        <f t="shared" si="328"/>
        <v>2.1428571428571428</v>
      </c>
      <c r="AF207" s="3">
        <f t="shared" si="329"/>
        <v>1.7902410380533638</v>
      </c>
      <c r="AG207" s="3">
        <f t="shared" si="330"/>
        <v>1.7902410380533638</v>
      </c>
      <c r="AH207" s="3">
        <f t="shared" si="331"/>
        <v>1.7902410380533638</v>
      </c>
      <c r="AI207" s="3" t="str">
        <f t="shared" si="332"/>
        <v>자동</v>
      </c>
      <c r="AJ207" s="3" t="str">
        <f t="shared" si="333"/>
        <v>자동</v>
      </c>
      <c r="AK207" s="3">
        <v>1</v>
      </c>
      <c r="AL207" s="3">
        <f t="shared" si="334"/>
        <v>1</v>
      </c>
      <c r="AN207" s="3" t="str">
        <f ca="1">IF($BA207=42,OFFSET(변환표준점수!C$119,$AP207-1,0),"")</f>
        <v/>
      </c>
      <c r="AO207" s="3" t="str">
        <f ca="1">IF($BA207=42,OFFSET(변환표준점수!D$119,$AP207-1,0),"")</f>
        <v/>
      </c>
      <c r="AP207" s="3" t="str">
        <f>IF(S207="","",MATCH(S207,변환표준점수!$B$119:$B$298,0))</f>
        <v/>
      </c>
      <c r="AQ207" s="3">
        <v>12</v>
      </c>
      <c r="AR207" s="3">
        <v>12</v>
      </c>
      <c r="AS207" s="3">
        <v>12</v>
      </c>
      <c r="AT207" s="3">
        <v>12</v>
      </c>
      <c r="AU207" s="3">
        <v>12</v>
      </c>
      <c r="AX207" s="3">
        <v>3</v>
      </c>
      <c r="AY207" s="3">
        <v>3</v>
      </c>
      <c r="BA207" s="3">
        <f t="shared" si="335"/>
        <v>12</v>
      </c>
      <c r="BH207" s="3">
        <f>0.05*AA207*2</f>
        <v>0.1790241038053364</v>
      </c>
      <c r="BJ207" s="3">
        <f t="shared" si="336"/>
        <v>0</v>
      </c>
      <c r="BN207" s="212" t="s">
        <v>7728</v>
      </c>
      <c r="BU207" s="3">
        <f>IF(AND($DM$8=2,COUNTIF($BW$6:$BZ$6,"&gt;"&amp;0)&gt;0),(EH207+EI207)*(BH207/2),0)</f>
        <v>0</v>
      </c>
      <c r="CH207" s="206">
        <f t="shared" si="364"/>
        <v>800</v>
      </c>
      <c r="CI207" s="56">
        <v>200</v>
      </c>
      <c r="CJ207" s="3">
        <v>196</v>
      </c>
      <c r="CK207" s="3">
        <v>192</v>
      </c>
      <c r="CL207" s="3">
        <v>188</v>
      </c>
      <c r="CM207" s="3">
        <v>184</v>
      </c>
      <c r="CN207" s="3">
        <v>180</v>
      </c>
      <c r="CO207" s="3">
        <v>176</v>
      </c>
      <c r="CP207" s="3">
        <v>172</v>
      </c>
      <c r="CQ207" s="3">
        <v>168</v>
      </c>
      <c r="DJ207" s="3">
        <f t="shared" ca="1" si="337"/>
        <v>200</v>
      </c>
      <c r="DK207" s="3">
        <f t="shared" ca="1" si="338"/>
        <v>100</v>
      </c>
      <c r="DL207" s="3">
        <f t="shared" ca="1" si="339"/>
        <v>0</v>
      </c>
      <c r="DM207" s="3">
        <v>2</v>
      </c>
      <c r="DQ207" s="3">
        <v>1</v>
      </c>
      <c r="DS207" s="3">
        <v>1</v>
      </c>
      <c r="EA207" s="3">
        <f t="shared" si="340"/>
        <v>1</v>
      </c>
      <c r="EB207" s="3">
        <f t="shared" si="341"/>
        <v>2</v>
      </c>
      <c r="EC207" s="3">
        <f t="shared" si="342"/>
        <v>0</v>
      </c>
      <c r="ED207" s="3">
        <f t="shared" si="343"/>
        <v>0</v>
      </c>
      <c r="EF207" s="3">
        <f t="shared" ca="1" si="344"/>
        <v>0</v>
      </c>
      <c r="EG207" s="3">
        <f t="shared" ca="1" si="345"/>
        <v>0</v>
      </c>
      <c r="EH207" s="3">
        <f ca="1">IFERROR(IF(LEFT($BA207,1)="4",OFFSET(변환표준점수!$H$118,MATCH($S207,변환표준점수!$B$119:$B$198,0),),OFFSET(EH$3,MATCH(AS207,$ED$4:$ED$8,0),0)),0)</f>
        <v>0</v>
      </c>
      <c r="EI207" s="3">
        <f ca="1">IFERROR(IF(LEFT($BA207,1)="4",OFFSET(변환표준점수!$I$118,MATCH($S207,변환표준점수!$B$119:$B$198,0),0),OFFSET(EI$3,MATCH(AT207,$ED$4:$ED$8,0),0)),0)</f>
        <v>0</v>
      </c>
      <c r="EK207" s="3">
        <f ca="1">IFERROR(IF(LEFT($BA207,1)="4",OFFSET(변환표준점수!$J$118,MATCH($S207,변환표준점수!$B$119:$B$198,0),0),OFFSET(EJ$3,MATCH(AV207,$ED$4:$ED$8,0),0)),0)</f>
        <v>0</v>
      </c>
      <c r="EL207" s="3">
        <f ca="1">IFERROR(IF(LEFT($BA207,1)="4",OFFSET(변환표준점수!$K$118,MATCH($S207,변환표준점수!$B$119:$B$198,0),0),OFFSET(EK$3,MATCH(AW207,$ED$4:$ED$8,0),0)),0)</f>
        <v>0</v>
      </c>
      <c r="EM207" s="3" t="str">
        <f t="shared" ca="1" si="346"/>
        <v/>
      </c>
      <c r="EN207" s="3" t="str">
        <f t="shared" ca="1" si="347"/>
        <v/>
      </c>
      <c r="EO207" s="3">
        <f t="shared" ca="1" si="348"/>
        <v>0</v>
      </c>
      <c r="EQ207" s="3">
        <f t="shared" ca="1" si="349"/>
        <v>0</v>
      </c>
      <c r="ER207" s="3">
        <f t="shared" ca="1" si="350"/>
        <v>0</v>
      </c>
      <c r="ES207" s="3">
        <f t="shared" ca="1" si="351"/>
        <v>0</v>
      </c>
      <c r="ET207" s="3">
        <f t="shared" ca="1" si="352"/>
        <v>0</v>
      </c>
      <c r="EU207" s="3">
        <f t="shared" si="353"/>
        <v>0</v>
      </c>
      <c r="EV207" s="3">
        <f t="shared" ca="1" si="354"/>
        <v>0</v>
      </c>
      <c r="EW207" s="3">
        <f t="shared" ca="1" si="355"/>
        <v>0</v>
      </c>
      <c r="EX207" s="3">
        <f ca="1">LARGE((ES207:ET207,EV207:EW207),1)</f>
        <v>0</v>
      </c>
      <c r="EY207" s="3">
        <f ca="1">IF(O207&lt;2,0,LARGE((ES207:ET207,EV207:EW207),2))</f>
        <v>0</v>
      </c>
      <c r="EZ207" s="3">
        <f t="shared" ca="1" si="356"/>
        <v>0</v>
      </c>
      <c r="FA207" s="3">
        <f t="shared" ca="1" si="357"/>
        <v>0</v>
      </c>
      <c r="FB207" s="3">
        <f t="shared" ca="1" si="358"/>
        <v>0</v>
      </c>
      <c r="FG207" s="3">
        <f t="shared" ca="1" si="359"/>
        <v>0</v>
      </c>
      <c r="FH207" s="618"/>
      <c r="FU207" s="3" t="str">
        <f t="shared" si="268"/>
        <v>표점/만점</v>
      </c>
      <c r="FV207" s="3" t="str">
        <f t="shared" si="269"/>
        <v>표점/만점</v>
      </c>
      <c r="FW207" s="3">
        <f t="shared" si="360"/>
        <v>0.31</v>
      </c>
      <c r="FX207" s="3">
        <f t="shared" si="361"/>
        <v>0.37</v>
      </c>
      <c r="FY207" s="3">
        <f t="shared" si="362"/>
        <v>0.31</v>
      </c>
      <c r="FZ207" s="3">
        <f t="shared" si="363"/>
        <v>5.7316593319896434</v>
      </c>
    </row>
    <row r="208" spans="1:182">
      <c r="A208" s="556">
        <v>26</v>
      </c>
      <c r="C208" s="3">
        <f t="shared" si="318"/>
        <v>193</v>
      </c>
      <c r="D208" s="3">
        <v>193</v>
      </c>
      <c r="E208" s="3" t="s">
        <v>371</v>
      </c>
      <c r="F208" s="3">
        <v>1000</v>
      </c>
      <c r="G208" s="3">
        <f>(300*10/8)*0.001</f>
        <v>0.375</v>
      </c>
      <c r="H208" s="3">
        <f>200*0.00125</f>
        <v>0.25</v>
      </c>
      <c r="I208" s="3">
        <f>100*0.00125</f>
        <v>0.125</v>
      </c>
      <c r="J208" s="3">
        <f>I208</f>
        <v>0.125</v>
      </c>
      <c r="L208" s="3">
        <v>0.125</v>
      </c>
      <c r="M208" s="3">
        <v>0.125</v>
      </c>
      <c r="O208" s="3">
        <v>2</v>
      </c>
      <c r="P208" s="3">
        <f t="shared" si="319"/>
        <v>0.875</v>
      </c>
      <c r="Q208" s="3">
        <v>50</v>
      </c>
      <c r="S208" s="3">
        <f t="shared" si="320"/>
        <v>50</v>
      </c>
      <c r="W208" s="3">
        <f t="shared" si="321"/>
        <v>0</v>
      </c>
      <c r="Y208" s="3">
        <f t="shared" si="322"/>
        <v>1.875</v>
      </c>
      <c r="Z208" s="3">
        <f t="shared" si="323"/>
        <v>1.25</v>
      </c>
      <c r="AA208" s="3">
        <f t="shared" si="324"/>
        <v>1.25</v>
      </c>
      <c r="AB208" s="3">
        <f t="shared" si="325"/>
        <v>1.25</v>
      </c>
      <c r="AC208" s="3">
        <f t="shared" si="326"/>
        <v>1.25</v>
      </c>
      <c r="AD208" s="3">
        <f t="shared" si="327"/>
        <v>1.875</v>
      </c>
      <c r="AE208" s="3">
        <f t="shared" si="328"/>
        <v>1.25</v>
      </c>
      <c r="AF208" s="3">
        <f t="shared" si="329"/>
        <v>1.25</v>
      </c>
      <c r="AG208" s="3">
        <f t="shared" si="330"/>
        <v>1.25</v>
      </c>
      <c r="AH208" s="3" t="str">
        <f t="shared" si="331"/>
        <v>자동</v>
      </c>
      <c r="AI208" s="3">
        <f t="shared" si="332"/>
        <v>1.25</v>
      </c>
      <c r="AJ208" s="3">
        <f t="shared" si="333"/>
        <v>1.25</v>
      </c>
      <c r="AL208" s="3" t="str">
        <f t="shared" si="334"/>
        <v/>
      </c>
      <c r="AN208" s="3" t="str">
        <f ca="1">IF($BA208=42,OFFSET(변환표준점수!C$119,$AP208-1,0),"")</f>
        <v/>
      </c>
      <c r="AO208" s="3" t="str">
        <f ca="1">IF($BA208=42,OFFSET(변환표준점수!D$119,$AP208-1,0),"")</f>
        <v/>
      </c>
      <c r="AP208" s="3">
        <f>IF(S208="","",MATCH(S208,변환표준점수!$B$119:$B$298,0))</f>
        <v>50</v>
      </c>
      <c r="AQ208" s="3">
        <v>1</v>
      </c>
      <c r="AR208" s="3">
        <v>1</v>
      </c>
      <c r="AS208" s="3">
        <v>4</v>
      </c>
      <c r="AT208" s="3">
        <v>4</v>
      </c>
      <c r="AV208" s="3">
        <v>4</v>
      </c>
      <c r="AW208" s="3">
        <v>4</v>
      </c>
      <c r="AX208" s="3">
        <v>3</v>
      </c>
      <c r="AY208" s="3">
        <v>3</v>
      </c>
      <c r="BA208" s="3">
        <f t="shared" si="335"/>
        <v>4</v>
      </c>
      <c r="BJ208" s="3">
        <f t="shared" si="336"/>
        <v>0</v>
      </c>
      <c r="CH208" s="206">
        <f t="shared" si="364"/>
        <v>875</v>
      </c>
      <c r="CI208" s="56">
        <v>125</v>
      </c>
      <c r="CJ208" s="3">
        <v>121.25</v>
      </c>
      <c r="CK208" s="3">
        <v>115</v>
      </c>
      <c r="CL208" s="3">
        <v>108.75</v>
      </c>
      <c r="CM208" s="3">
        <v>102.5</v>
      </c>
      <c r="CN208" s="3">
        <v>96.25</v>
      </c>
      <c r="CO208" s="3">
        <v>90</v>
      </c>
      <c r="CP208" s="3">
        <v>83.75</v>
      </c>
      <c r="CQ208" s="3">
        <v>77.5</v>
      </c>
      <c r="CR208" s="56">
        <v>10</v>
      </c>
      <c r="CS208" s="3">
        <v>10</v>
      </c>
      <c r="CT208" s="3">
        <v>10</v>
      </c>
      <c r="CU208" s="3">
        <v>10</v>
      </c>
      <c r="CV208" s="3">
        <v>9.8000000000000007</v>
      </c>
      <c r="CW208" s="3">
        <v>9.6</v>
      </c>
      <c r="CX208" s="3">
        <v>9.4</v>
      </c>
      <c r="CY208" s="3">
        <v>9.1999999999999993</v>
      </c>
      <c r="CZ208" s="3">
        <v>9</v>
      </c>
      <c r="DJ208" s="3">
        <f t="shared" ca="1" si="337"/>
        <v>125</v>
      </c>
      <c r="DK208" s="3">
        <f t="shared" ca="1" si="338"/>
        <v>100</v>
      </c>
      <c r="DL208" s="3">
        <f t="shared" ca="1" si="339"/>
        <v>10</v>
      </c>
      <c r="DO208" s="3">
        <v>2</v>
      </c>
      <c r="EA208" s="3">
        <f t="shared" si="340"/>
        <v>2</v>
      </c>
      <c r="EB208" s="3">
        <f t="shared" si="341"/>
        <v>2</v>
      </c>
      <c r="EC208" s="3">
        <f t="shared" si="342"/>
        <v>0</v>
      </c>
      <c r="ED208" s="3">
        <f t="shared" si="343"/>
        <v>0</v>
      </c>
      <c r="EF208" s="3">
        <f t="shared" ca="1" si="344"/>
        <v>0</v>
      </c>
      <c r="EG208" s="3">
        <f t="shared" ca="1" si="345"/>
        <v>0</v>
      </c>
      <c r="EH208" s="3">
        <f ca="1">IFERROR(IF(LEFT($BA208,1)="4",OFFSET(변환표준점수!$H$118,MATCH($S208,변환표준점수!$B$119:$B$198,0),),OFFSET(EH$3,MATCH(AS208,$ED$4:$ED$8,0),0)),0)</f>
        <v>0</v>
      </c>
      <c r="EI208" s="3">
        <f ca="1">IFERROR(IF(LEFT($BA208,1)="4",OFFSET(변환표준점수!$I$118,MATCH($S208,변환표준점수!$B$119:$B$198,0),0),OFFSET(EI$3,MATCH(AT208,$ED$4:$ED$8,0),0)),0)</f>
        <v>0</v>
      </c>
      <c r="EK208" s="3">
        <f ca="1">IFERROR(IF(LEFT($BA208,1)="4",OFFSET(변환표준점수!$J$118,MATCH($S208,변환표준점수!$B$119:$B$198,0),0),OFFSET(EJ$3,MATCH(AV208,$ED$4:$ED$8,0),0)),0)</f>
        <v>0</v>
      </c>
      <c r="EL208" s="3">
        <f ca="1">IFERROR(IF(LEFT($BA208,1)="4",OFFSET(변환표준점수!$K$118,MATCH($S208,변환표준점수!$B$119:$B$198,0),0),OFFSET(EK$3,MATCH(AW208,$ED$4:$ED$8,0),0)),0)</f>
        <v>0</v>
      </c>
      <c r="EM208" s="3" t="str">
        <f t="shared" ca="1" si="346"/>
        <v/>
      </c>
      <c r="EN208" s="3" t="str">
        <f t="shared" ca="1" si="347"/>
        <v/>
      </c>
      <c r="EO208" s="3">
        <f t="shared" ca="1" si="348"/>
        <v>0</v>
      </c>
      <c r="EQ208" s="3">
        <f t="shared" ca="1" si="349"/>
        <v>0</v>
      </c>
      <c r="ER208" s="3">
        <f t="shared" ca="1" si="350"/>
        <v>0</v>
      </c>
      <c r="ES208" s="3">
        <f t="shared" ca="1" si="351"/>
        <v>0</v>
      </c>
      <c r="ET208" s="3">
        <f t="shared" ca="1" si="352"/>
        <v>0</v>
      </c>
      <c r="EU208" s="3">
        <f t="shared" si="353"/>
        <v>0</v>
      </c>
      <c r="EV208" s="3">
        <f t="shared" ca="1" si="354"/>
        <v>0</v>
      </c>
      <c r="EW208" s="3">
        <f t="shared" ca="1" si="355"/>
        <v>0</v>
      </c>
      <c r="EX208" s="3">
        <f ca="1">LARGE((ES208:ET208,EV208:EW208),1)</f>
        <v>0</v>
      </c>
      <c r="EY208" s="3">
        <f ca="1">IF(O208&lt;2,0,LARGE((ES208:ET208,EV208:EW208),2))</f>
        <v>0</v>
      </c>
      <c r="EZ208" s="3">
        <f t="shared" ca="1" si="356"/>
        <v>0</v>
      </c>
      <c r="FA208" s="3">
        <f t="shared" ca="1" si="357"/>
        <v>0</v>
      </c>
      <c r="FB208" s="3">
        <f t="shared" ca="1" si="358"/>
        <v>0</v>
      </c>
      <c r="FG208" s="3">
        <f t="shared" ca="1" si="359"/>
        <v>0</v>
      </c>
      <c r="FH208" s="618"/>
      <c r="FU208" s="3" t="str">
        <f t="shared" si="268"/>
        <v>표점</v>
      </c>
      <c r="FV208" s="3" t="str">
        <f t="shared" si="269"/>
        <v>변표</v>
      </c>
      <c r="FW208" s="3">
        <f t="shared" si="360"/>
        <v>0.43</v>
      </c>
      <c r="FX208" s="3">
        <f t="shared" si="361"/>
        <v>0.28999999999999998</v>
      </c>
      <c r="FY208" s="3">
        <f t="shared" si="362"/>
        <v>0.28999999999999998</v>
      </c>
      <c r="FZ208" s="3">
        <f t="shared" si="363"/>
        <v>4.375</v>
      </c>
    </row>
    <row r="209" spans="1:182">
      <c r="A209" s="556">
        <v>26</v>
      </c>
      <c r="C209" s="3">
        <f t="shared" si="318"/>
        <v>194</v>
      </c>
      <c r="D209" s="3">
        <v>194</v>
      </c>
      <c r="E209" s="3" t="s">
        <v>7729</v>
      </c>
      <c r="F209" s="3">
        <v>1000</v>
      </c>
      <c r="G209" s="3">
        <f>(250*10/8)*0.001</f>
        <v>0.3125</v>
      </c>
      <c r="H209" s="3">
        <f>250*0.00125</f>
        <v>0.3125</v>
      </c>
      <c r="I209" s="3">
        <f>100*0.00125</f>
        <v>0.125</v>
      </c>
      <c r="J209" s="3">
        <f>I209</f>
        <v>0.125</v>
      </c>
      <c r="L209" s="3">
        <v>0.125</v>
      </c>
      <c r="M209" s="3">
        <v>0.125</v>
      </c>
      <c r="O209" s="3">
        <v>2</v>
      </c>
      <c r="P209" s="3">
        <f t="shared" si="319"/>
        <v>0.875</v>
      </c>
      <c r="Q209" s="3">
        <v>50</v>
      </c>
      <c r="S209" s="3">
        <f t="shared" si="320"/>
        <v>50</v>
      </c>
      <c r="W209" s="3">
        <f t="shared" si="321"/>
        <v>0</v>
      </c>
      <c r="Y209" s="3">
        <f t="shared" si="322"/>
        <v>1.5625</v>
      </c>
      <c r="Z209" s="3">
        <f t="shared" si="323"/>
        <v>1.5625</v>
      </c>
      <c r="AA209" s="3">
        <f t="shared" si="324"/>
        <v>1.25</v>
      </c>
      <c r="AB209" s="3">
        <f t="shared" si="325"/>
        <v>1.25</v>
      </c>
      <c r="AC209" s="3">
        <f t="shared" si="326"/>
        <v>1.25</v>
      </c>
      <c r="AD209" s="3">
        <f t="shared" si="327"/>
        <v>1.5625</v>
      </c>
      <c r="AE209" s="3">
        <f t="shared" si="328"/>
        <v>1.5625</v>
      </c>
      <c r="AF209" s="3">
        <f t="shared" si="329"/>
        <v>1.25</v>
      </c>
      <c r="AG209" s="3">
        <f t="shared" si="330"/>
        <v>1.25</v>
      </c>
      <c r="AH209" s="3" t="str">
        <f t="shared" si="331"/>
        <v>자동</v>
      </c>
      <c r="AI209" s="3">
        <f t="shared" si="332"/>
        <v>1.25</v>
      </c>
      <c r="AJ209" s="3">
        <f t="shared" si="333"/>
        <v>1.25</v>
      </c>
      <c r="AL209" s="3" t="str">
        <f t="shared" si="334"/>
        <v/>
      </c>
      <c r="AN209" s="3" t="str">
        <f ca="1">IF($BA209=42,OFFSET(변환표준점수!C$119,$AP209-1,0),"")</f>
        <v/>
      </c>
      <c r="AO209" s="3" t="str">
        <f ca="1">IF($BA209=42,OFFSET(변환표준점수!D$119,$AP209-1,0),"")</f>
        <v/>
      </c>
      <c r="AP209" s="3">
        <f>IF(S209="","",MATCH(S209,변환표준점수!$B$119:$B$298,0))</f>
        <v>50</v>
      </c>
      <c r="AQ209" s="3">
        <v>1</v>
      </c>
      <c r="AR209" s="3">
        <v>1</v>
      </c>
      <c r="AS209" s="3">
        <v>4</v>
      </c>
      <c r="AT209" s="3">
        <v>4</v>
      </c>
      <c r="AV209" s="3">
        <v>4</v>
      </c>
      <c r="AW209" s="3">
        <v>4</v>
      </c>
      <c r="AX209" s="3">
        <v>3</v>
      </c>
      <c r="AY209" s="3">
        <v>3</v>
      </c>
      <c r="BA209" s="3">
        <f t="shared" si="335"/>
        <v>4</v>
      </c>
      <c r="BJ209" s="3">
        <f t="shared" si="336"/>
        <v>0</v>
      </c>
      <c r="CH209" s="206">
        <f t="shared" si="364"/>
        <v>875</v>
      </c>
      <c r="CI209" s="56">
        <v>125</v>
      </c>
      <c r="CJ209" s="3">
        <v>121.25</v>
      </c>
      <c r="CK209" s="3">
        <v>115</v>
      </c>
      <c r="CL209" s="3">
        <v>108.75</v>
      </c>
      <c r="CM209" s="3">
        <v>102.5</v>
      </c>
      <c r="CN209" s="3">
        <v>96.25</v>
      </c>
      <c r="CO209" s="3">
        <v>90</v>
      </c>
      <c r="CP209" s="3">
        <v>83.75</v>
      </c>
      <c r="CQ209" s="3">
        <v>77.5</v>
      </c>
      <c r="CR209" s="56">
        <v>10</v>
      </c>
      <c r="CS209" s="3">
        <v>10</v>
      </c>
      <c r="CT209" s="3">
        <v>10</v>
      </c>
      <c r="CU209" s="3">
        <v>10</v>
      </c>
      <c r="CV209" s="3">
        <v>9.8000000000000007</v>
      </c>
      <c r="CW209" s="3">
        <v>9.6</v>
      </c>
      <c r="CX209" s="3">
        <v>9.4</v>
      </c>
      <c r="CY209" s="3">
        <v>9.1999999999999993</v>
      </c>
      <c r="CZ209" s="3">
        <v>9</v>
      </c>
      <c r="DJ209" s="3">
        <f t="shared" ca="1" si="337"/>
        <v>125</v>
      </c>
      <c r="DK209" s="3">
        <f t="shared" ca="1" si="338"/>
        <v>100</v>
      </c>
      <c r="DL209" s="3">
        <f t="shared" ca="1" si="339"/>
        <v>10</v>
      </c>
      <c r="DO209" s="3">
        <v>2</v>
      </c>
      <c r="EA209" s="3">
        <f t="shared" si="340"/>
        <v>2</v>
      </c>
      <c r="EB209" s="3">
        <f t="shared" si="341"/>
        <v>2</v>
      </c>
      <c r="EC209" s="3">
        <f t="shared" si="342"/>
        <v>0</v>
      </c>
      <c r="ED209" s="3">
        <f t="shared" si="343"/>
        <v>0</v>
      </c>
      <c r="EF209" s="3">
        <f t="shared" ca="1" si="344"/>
        <v>0</v>
      </c>
      <c r="EG209" s="3">
        <f t="shared" ca="1" si="345"/>
        <v>0</v>
      </c>
      <c r="EH209" s="3">
        <f ca="1">IFERROR(IF(LEFT($BA209,1)="4",OFFSET(변환표준점수!$H$118,MATCH($S209,변환표준점수!$B$119:$B$198,0),),OFFSET(EH$3,MATCH(AS209,$ED$4:$ED$8,0),0)),0)</f>
        <v>0</v>
      </c>
      <c r="EI209" s="3">
        <f ca="1">IFERROR(IF(LEFT($BA209,1)="4",OFFSET(변환표준점수!$I$118,MATCH($S209,변환표준점수!$B$119:$B$198,0),0),OFFSET(EI$3,MATCH(AT209,$ED$4:$ED$8,0),0)),0)</f>
        <v>0</v>
      </c>
      <c r="EK209" s="3">
        <f ca="1">IFERROR(IF(LEFT($BA209,1)="4",OFFSET(변환표준점수!$J$118,MATCH($S209,변환표준점수!$B$119:$B$198,0),0),OFFSET(EJ$3,MATCH(AV209,$ED$4:$ED$8,0),0)),0)</f>
        <v>0</v>
      </c>
      <c r="EL209" s="3">
        <f ca="1">IFERROR(IF(LEFT($BA209,1)="4",OFFSET(변환표준점수!$K$118,MATCH($S209,변환표준점수!$B$119:$B$198,0),0),OFFSET(EK$3,MATCH(AW209,$ED$4:$ED$8,0),0)),0)</f>
        <v>0</v>
      </c>
      <c r="EM209" s="3" t="str">
        <f t="shared" ca="1" si="346"/>
        <v/>
      </c>
      <c r="EN209" s="3" t="str">
        <f t="shared" ca="1" si="347"/>
        <v/>
      </c>
      <c r="EO209" s="3">
        <f t="shared" ca="1" si="348"/>
        <v>0</v>
      </c>
      <c r="EQ209" s="3">
        <f t="shared" ca="1" si="349"/>
        <v>0</v>
      </c>
      <c r="ER209" s="3">
        <f t="shared" ca="1" si="350"/>
        <v>0</v>
      </c>
      <c r="ES209" s="3">
        <f t="shared" ca="1" si="351"/>
        <v>0</v>
      </c>
      <c r="ET209" s="3">
        <f t="shared" ca="1" si="352"/>
        <v>0</v>
      </c>
      <c r="EU209" s="3">
        <f t="shared" si="353"/>
        <v>0</v>
      </c>
      <c r="EV209" s="3">
        <f t="shared" ca="1" si="354"/>
        <v>0</v>
      </c>
      <c r="EW209" s="3">
        <f t="shared" ca="1" si="355"/>
        <v>0</v>
      </c>
      <c r="EX209" s="3">
        <f ca="1">LARGE((ES209:ET209,EV209:EW209),1)</f>
        <v>0</v>
      </c>
      <c r="EY209" s="3">
        <f ca="1">IF(O209&lt;2,0,LARGE((ES209:ET209,EV209:EW209),2))</f>
        <v>0</v>
      </c>
      <c r="EZ209" s="3">
        <f t="shared" ca="1" si="356"/>
        <v>0</v>
      </c>
      <c r="FA209" s="3">
        <f t="shared" ca="1" si="357"/>
        <v>0</v>
      </c>
      <c r="FB209" s="3">
        <f t="shared" ca="1" si="358"/>
        <v>0</v>
      </c>
      <c r="FG209" s="3">
        <f t="shared" ca="1" si="359"/>
        <v>0</v>
      </c>
      <c r="FH209" s="618"/>
      <c r="FU209" s="3" t="str">
        <f t="shared" ref="FU209:FU272" si="365">IF(AQ209=1,"표점",IF(AQ209=12,"표점/만점",IF(AQ209=2,"백분위")))</f>
        <v>표점</v>
      </c>
      <c r="FV209" s="3" t="str">
        <f t="shared" ref="FV209:FV272" si="366">IF(BA209=1,"표점",IF(BA209=12,"표점/만점",IF(BA209=2,"백분위",IF(BA209=4,"변표",IF(BA209=42,"변표/만점")))))</f>
        <v>변표</v>
      </c>
      <c r="FW209" s="3">
        <f t="shared" si="360"/>
        <v>0.36</v>
      </c>
      <c r="FX209" s="3">
        <f t="shared" si="361"/>
        <v>0.36</v>
      </c>
      <c r="FY209" s="3">
        <f t="shared" si="362"/>
        <v>0.28999999999999998</v>
      </c>
      <c r="FZ209" s="3">
        <f t="shared" si="363"/>
        <v>4.375</v>
      </c>
    </row>
    <row r="210" spans="1:182">
      <c r="A210" s="556">
        <v>26</v>
      </c>
      <c r="C210" s="3">
        <f t="shared" si="318"/>
        <v>195</v>
      </c>
      <c r="D210" s="3">
        <v>195</v>
      </c>
      <c r="E210" s="3" t="s">
        <v>372</v>
      </c>
      <c r="F210" s="3">
        <v>1000</v>
      </c>
      <c r="G210" s="3">
        <f>(200*10/8)*0.001</f>
        <v>0.25</v>
      </c>
      <c r="H210" s="3">
        <f>300*0.00125</f>
        <v>0.375</v>
      </c>
      <c r="I210" s="3">
        <f>100*0.00125</f>
        <v>0.125</v>
      </c>
      <c r="J210" s="3">
        <f>I210</f>
        <v>0.125</v>
      </c>
      <c r="L210" s="3">
        <v>0.125</v>
      </c>
      <c r="M210" s="3">
        <v>0.125</v>
      </c>
      <c r="O210" s="3">
        <v>2</v>
      </c>
      <c r="P210" s="3">
        <f t="shared" si="319"/>
        <v>0.875</v>
      </c>
      <c r="Q210" s="3">
        <v>50</v>
      </c>
      <c r="S210" s="3">
        <f t="shared" si="320"/>
        <v>50</v>
      </c>
      <c r="W210" s="3">
        <f t="shared" si="321"/>
        <v>0</v>
      </c>
      <c r="Y210" s="3">
        <f t="shared" si="322"/>
        <v>1.25</v>
      </c>
      <c r="Z210" s="3">
        <f t="shared" si="323"/>
        <v>1.875</v>
      </c>
      <c r="AA210" s="3">
        <f t="shared" si="324"/>
        <v>1.25</v>
      </c>
      <c r="AB210" s="3">
        <f t="shared" si="325"/>
        <v>1.25</v>
      </c>
      <c r="AC210" s="3">
        <f t="shared" si="326"/>
        <v>1.25</v>
      </c>
      <c r="AD210" s="3">
        <f t="shared" si="327"/>
        <v>1.25</v>
      </c>
      <c r="AE210" s="3">
        <f t="shared" si="328"/>
        <v>1.875</v>
      </c>
      <c r="AF210" s="3">
        <f t="shared" si="329"/>
        <v>1.25</v>
      </c>
      <c r="AG210" s="3">
        <f t="shared" si="330"/>
        <v>1.25</v>
      </c>
      <c r="AH210" s="3" t="str">
        <f t="shared" si="331"/>
        <v>자동</v>
      </c>
      <c r="AI210" s="3">
        <f t="shared" si="332"/>
        <v>1.25</v>
      </c>
      <c r="AJ210" s="3">
        <f t="shared" si="333"/>
        <v>1.25</v>
      </c>
      <c r="AL210" s="3" t="str">
        <f t="shared" si="334"/>
        <v/>
      </c>
      <c r="AN210" s="3" t="str">
        <f ca="1">IF($BA210=42,OFFSET(변환표준점수!C$119,$AP210-1,0),"")</f>
        <v/>
      </c>
      <c r="AO210" s="3" t="str">
        <f ca="1">IF($BA210=42,OFFSET(변환표준점수!D$119,$AP210-1,0),"")</f>
        <v/>
      </c>
      <c r="AP210" s="3">
        <f>IF(S210="","",MATCH(S210,변환표준점수!$B$119:$B$298,0))</f>
        <v>50</v>
      </c>
      <c r="AQ210" s="3">
        <v>1</v>
      </c>
      <c r="AR210" s="3">
        <v>1</v>
      </c>
      <c r="AS210" s="3">
        <v>4</v>
      </c>
      <c r="AT210" s="3">
        <v>4</v>
      </c>
      <c r="AV210" s="3">
        <v>4</v>
      </c>
      <c r="AW210" s="3">
        <v>4</v>
      </c>
      <c r="AX210" s="3">
        <v>3</v>
      </c>
      <c r="AY210" s="3">
        <v>3</v>
      </c>
      <c r="BA210" s="3">
        <f t="shared" si="335"/>
        <v>4</v>
      </c>
      <c r="BF210" s="3">
        <f>0.05*AF210</f>
        <v>6.25E-2</v>
      </c>
      <c r="BG210" s="3">
        <f>0.05*AG210</f>
        <v>6.25E-2</v>
      </c>
      <c r="BJ210" s="3">
        <f t="shared" si="336"/>
        <v>0</v>
      </c>
      <c r="BN210" s="212" t="s">
        <v>7273</v>
      </c>
      <c r="BS210" s="3">
        <f ca="1">BF210*EH210</f>
        <v>0</v>
      </c>
      <c r="BT210" s="3">
        <f ca="1">BG210*EI210</f>
        <v>0</v>
      </c>
      <c r="CH210" s="206">
        <f t="shared" si="364"/>
        <v>875</v>
      </c>
      <c r="CI210" s="56">
        <v>125</v>
      </c>
      <c r="CJ210" s="3">
        <v>121.25</v>
      </c>
      <c r="CK210" s="3">
        <v>115</v>
      </c>
      <c r="CL210" s="3">
        <v>108.75</v>
      </c>
      <c r="CM210" s="3">
        <v>102.5</v>
      </c>
      <c r="CN210" s="3">
        <v>96.25</v>
      </c>
      <c r="CO210" s="3">
        <v>90</v>
      </c>
      <c r="CP210" s="3">
        <v>83.75</v>
      </c>
      <c r="CQ210" s="3">
        <v>77.5</v>
      </c>
      <c r="CR210" s="56">
        <v>10</v>
      </c>
      <c r="CS210" s="3">
        <v>10</v>
      </c>
      <c r="CT210" s="3">
        <v>10</v>
      </c>
      <c r="CU210" s="3">
        <v>10</v>
      </c>
      <c r="CV210" s="3">
        <v>9.8000000000000007</v>
      </c>
      <c r="CW210" s="3">
        <v>9.6</v>
      </c>
      <c r="CX210" s="3">
        <v>9.4</v>
      </c>
      <c r="CY210" s="3">
        <v>9.1999999999999993</v>
      </c>
      <c r="CZ210" s="3">
        <v>9</v>
      </c>
      <c r="DJ210" s="3">
        <f t="shared" ca="1" si="337"/>
        <v>125</v>
      </c>
      <c r="DK210" s="3">
        <f t="shared" ca="1" si="338"/>
        <v>100</v>
      </c>
      <c r="DL210" s="3">
        <f t="shared" ca="1" si="339"/>
        <v>10</v>
      </c>
      <c r="DO210" s="3">
        <v>2</v>
      </c>
      <c r="DZ210" s="3">
        <v>1</v>
      </c>
      <c r="EA210" s="3">
        <f t="shared" si="340"/>
        <v>1</v>
      </c>
      <c r="EB210" s="3">
        <f t="shared" si="341"/>
        <v>2</v>
      </c>
      <c r="EC210" s="3">
        <f t="shared" si="342"/>
        <v>0</v>
      </c>
      <c r="ED210" s="3">
        <f t="shared" si="343"/>
        <v>0</v>
      </c>
      <c r="EF210" s="3">
        <f t="shared" ca="1" si="344"/>
        <v>0</v>
      </c>
      <c r="EG210" s="3">
        <f t="shared" ca="1" si="345"/>
        <v>0</v>
      </c>
      <c r="EH210" s="3">
        <f ca="1">IFERROR(IF(LEFT($BA210,1)="4",OFFSET(변환표준점수!$H$118,MATCH($S210,변환표준점수!$B$119:$B$198,0),),OFFSET(EH$3,MATCH(AS210,$ED$4:$ED$8,0),0)),0)</f>
        <v>0</v>
      </c>
      <c r="EI210" s="3">
        <f ca="1">IFERROR(IF(LEFT($BA210,1)="4",OFFSET(변환표준점수!$I$118,MATCH($S210,변환표준점수!$B$119:$B$198,0),0),OFFSET(EI$3,MATCH(AT210,$ED$4:$ED$8,0),0)),0)</f>
        <v>0</v>
      </c>
      <c r="EK210" s="3">
        <f ca="1">IFERROR(IF(LEFT($BA210,1)="4",OFFSET(변환표준점수!$J$118,MATCH($S210,변환표준점수!$B$119:$B$198,0),0),OFFSET(EJ$3,MATCH(AV210,$ED$4:$ED$8,0),0)),0)</f>
        <v>0</v>
      </c>
      <c r="EL210" s="3">
        <f ca="1">IFERROR(IF(LEFT($BA210,1)="4",OFFSET(변환표준점수!$K$118,MATCH($S210,변환표준점수!$B$119:$B$198,0),0),OFFSET(EK$3,MATCH(AW210,$ED$4:$ED$8,0),0)),0)</f>
        <v>0</v>
      </c>
      <c r="EM210" s="3" t="str">
        <f t="shared" ca="1" si="346"/>
        <v/>
      </c>
      <c r="EN210" s="3" t="str">
        <f t="shared" ca="1" si="347"/>
        <v/>
      </c>
      <c r="EO210" s="3">
        <f t="shared" ca="1" si="348"/>
        <v>0</v>
      </c>
      <c r="EQ210" s="3">
        <f t="shared" ca="1" si="349"/>
        <v>0</v>
      </c>
      <c r="ER210" s="3">
        <f t="shared" ca="1" si="350"/>
        <v>0</v>
      </c>
      <c r="ES210" s="3">
        <f t="shared" ca="1" si="351"/>
        <v>0</v>
      </c>
      <c r="ET210" s="3">
        <f t="shared" ca="1" si="352"/>
        <v>0</v>
      </c>
      <c r="EU210" s="3">
        <f t="shared" si="353"/>
        <v>0</v>
      </c>
      <c r="EV210" s="3">
        <f t="shared" ca="1" si="354"/>
        <v>0</v>
      </c>
      <c r="EW210" s="3">
        <f t="shared" ca="1" si="355"/>
        <v>0</v>
      </c>
      <c r="EX210" s="3">
        <f ca="1">LARGE((ES210:ET210,EV210:EW210),1)</f>
        <v>0</v>
      </c>
      <c r="EY210" s="3">
        <f ca="1">IF(O210&lt;2,0,LARGE((ES210:ET210,EV210:EW210),2))</f>
        <v>0</v>
      </c>
      <c r="EZ210" s="3">
        <f t="shared" ca="1" si="356"/>
        <v>0</v>
      </c>
      <c r="FA210" s="3">
        <f t="shared" ca="1" si="357"/>
        <v>0</v>
      </c>
      <c r="FB210" s="3">
        <f t="shared" ca="1" si="358"/>
        <v>0</v>
      </c>
      <c r="FG210" s="3">
        <f t="shared" ca="1" si="359"/>
        <v>0</v>
      </c>
      <c r="FH210" s="618"/>
      <c r="FU210" s="3" t="str">
        <f t="shared" si="365"/>
        <v>표점</v>
      </c>
      <c r="FV210" s="3" t="str">
        <f t="shared" si="366"/>
        <v>변표</v>
      </c>
      <c r="FW210" s="3">
        <f t="shared" si="360"/>
        <v>0.28999999999999998</v>
      </c>
      <c r="FX210" s="3">
        <f t="shared" si="361"/>
        <v>0.43</v>
      </c>
      <c r="FY210" s="3">
        <f t="shared" si="362"/>
        <v>0.28999999999999998</v>
      </c>
      <c r="FZ210" s="3">
        <f t="shared" si="363"/>
        <v>4.375</v>
      </c>
    </row>
    <row r="211" spans="1:182">
      <c r="A211" s="556">
        <v>26</v>
      </c>
      <c r="C211" s="3">
        <f t="shared" si="318"/>
        <v>196</v>
      </c>
      <c r="D211" s="3">
        <v>196</v>
      </c>
      <c r="E211" s="3" t="s">
        <v>373</v>
      </c>
      <c r="F211" s="3">
        <v>1000</v>
      </c>
      <c r="G211" s="3">
        <f>(200*10/8)*0.001</f>
        <v>0.25</v>
      </c>
      <c r="H211" s="3">
        <f>300*0.00125</f>
        <v>0.375</v>
      </c>
      <c r="I211" s="3">
        <f>100*0.00125</f>
        <v>0.125</v>
      </c>
      <c r="J211" s="3">
        <f>I211</f>
        <v>0.125</v>
      </c>
      <c r="O211" s="3">
        <v>2</v>
      </c>
      <c r="P211" s="3">
        <f t="shared" si="319"/>
        <v>0.875</v>
      </c>
      <c r="Q211" s="3">
        <v>50</v>
      </c>
      <c r="S211" s="3">
        <f t="shared" si="320"/>
        <v>50</v>
      </c>
      <c r="W211" s="3">
        <f t="shared" si="321"/>
        <v>0</v>
      </c>
      <c r="Y211" s="3">
        <f t="shared" si="322"/>
        <v>1.25</v>
      </c>
      <c r="Z211" s="3">
        <f t="shared" si="323"/>
        <v>1.875</v>
      </c>
      <c r="AA211" s="3">
        <f t="shared" si="324"/>
        <v>1.25</v>
      </c>
      <c r="AB211" s="3" t="str">
        <f t="shared" si="325"/>
        <v>자동</v>
      </c>
      <c r="AC211" s="3">
        <f t="shared" si="326"/>
        <v>1.25</v>
      </c>
      <c r="AD211" s="3">
        <f t="shared" si="327"/>
        <v>1.25</v>
      </c>
      <c r="AE211" s="3">
        <f t="shared" si="328"/>
        <v>1.875</v>
      </c>
      <c r="AF211" s="3">
        <f t="shared" si="329"/>
        <v>1.25</v>
      </c>
      <c r="AG211" s="3">
        <f t="shared" si="330"/>
        <v>1.25</v>
      </c>
      <c r="AH211" s="3" t="str">
        <f t="shared" si="331"/>
        <v>자동</v>
      </c>
      <c r="AI211" s="3" t="str">
        <f t="shared" si="332"/>
        <v>자동</v>
      </c>
      <c r="AJ211" s="3" t="str">
        <f t="shared" si="333"/>
        <v>자동</v>
      </c>
      <c r="AL211" s="3" t="str">
        <f t="shared" si="334"/>
        <v/>
      </c>
      <c r="AN211" s="3" t="str">
        <f ca="1">IF($BA211=42,OFFSET(변환표준점수!C$119,$AP211-1,0),"")</f>
        <v/>
      </c>
      <c r="AO211" s="3" t="str">
        <f ca="1">IF($BA211=42,OFFSET(변환표준점수!D$119,$AP211-1,0),"")</f>
        <v/>
      </c>
      <c r="AP211" s="3">
        <f>IF(S211="","",MATCH(S211,변환표준점수!$B$119:$B$298,0))</f>
        <v>50</v>
      </c>
      <c r="AQ211" s="3">
        <v>1</v>
      </c>
      <c r="AR211" s="3">
        <v>1</v>
      </c>
      <c r="AS211" s="3">
        <v>4</v>
      </c>
      <c r="AT211" s="3">
        <v>4</v>
      </c>
      <c r="AX211" s="3">
        <v>3</v>
      </c>
      <c r="AY211" s="3">
        <v>3</v>
      </c>
      <c r="BA211" s="3">
        <f t="shared" si="335"/>
        <v>4</v>
      </c>
      <c r="BJ211" s="3">
        <f t="shared" si="336"/>
        <v>0</v>
      </c>
      <c r="CH211" s="206">
        <f t="shared" si="364"/>
        <v>875</v>
      </c>
      <c r="CI211" s="56">
        <v>125</v>
      </c>
      <c r="CJ211" s="3">
        <v>121.25</v>
      </c>
      <c r="CK211" s="3">
        <v>115</v>
      </c>
      <c r="CL211" s="3">
        <v>108.75</v>
      </c>
      <c r="CM211" s="3">
        <v>102.5</v>
      </c>
      <c r="CN211" s="3">
        <v>96.25</v>
      </c>
      <c r="CO211" s="3">
        <v>90</v>
      </c>
      <c r="CP211" s="3">
        <v>83.75</v>
      </c>
      <c r="CQ211" s="3">
        <v>77.5</v>
      </c>
      <c r="CR211" s="56">
        <v>10</v>
      </c>
      <c r="CS211" s="3">
        <v>10</v>
      </c>
      <c r="CT211" s="3">
        <v>10</v>
      </c>
      <c r="CU211" s="3">
        <v>10</v>
      </c>
      <c r="CV211" s="3">
        <v>9.8000000000000007</v>
      </c>
      <c r="CW211" s="3">
        <v>9.6</v>
      </c>
      <c r="CX211" s="3">
        <v>9.4</v>
      </c>
      <c r="CY211" s="3">
        <v>9.1999999999999993</v>
      </c>
      <c r="CZ211" s="3">
        <v>9</v>
      </c>
      <c r="DJ211" s="3">
        <f t="shared" ca="1" si="337"/>
        <v>125</v>
      </c>
      <c r="DK211" s="3">
        <f t="shared" ca="1" si="338"/>
        <v>100</v>
      </c>
      <c r="DL211" s="3">
        <f t="shared" ca="1" si="339"/>
        <v>10</v>
      </c>
      <c r="DM211" s="3">
        <v>2</v>
      </c>
      <c r="DQ211" s="3">
        <v>1</v>
      </c>
      <c r="DS211" s="3">
        <v>1</v>
      </c>
      <c r="EA211" s="3">
        <f t="shared" si="340"/>
        <v>1</v>
      </c>
      <c r="EB211" s="3">
        <f t="shared" si="341"/>
        <v>2</v>
      </c>
      <c r="EC211" s="3">
        <f t="shared" si="342"/>
        <v>0</v>
      </c>
      <c r="ED211" s="3">
        <f t="shared" si="343"/>
        <v>0</v>
      </c>
      <c r="EF211" s="3">
        <f t="shared" ca="1" si="344"/>
        <v>0</v>
      </c>
      <c r="EG211" s="3">
        <f t="shared" ca="1" si="345"/>
        <v>0</v>
      </c>
      <c r="EH211" s="3">
        <f ca="1">IFERROR(IF(LEFT($BA211,1)="4",OFFSET(변환표준점수!$H$118,MATCH($S211,변환표준점수!$B$119:$B$198,0),),OFFSET(EH$3,MATCH(AS211,$ED$4:$ED$8,0),0)),0)</f>
        <v>0</v>
      </c>
      <c r="EI211" s="3">
        <f ca="1">IFERROR(IF(LEFT($BA211,1)="4",OFFSET(변환표준점수!$I$118,MATCH($S211,변환표준점수!$B$119:$B$198,0),0),OFFSET(EI$3,MATCH(AT211,$ED$4:$ED$8,0),0)),0)</f>
        <v>0</v>
      </c>
      <c r="EK211" s="3">
        <f ca="1">IFERROR(IF(LEFT($BA211,1)="4",OFFSET(변환표준점수!$J$118,MATCH($S211,변환표준점수!$B$119:$B$198,0),0),OFFSET(EJ$3,MATCH(AV211,$ED$4:$ED$8,0),0)),0)</f>
        <v>0</v>
      </c>
      <c r="EL211" s="3">
        <f ca="1">IFERROR(IF(LEFT($BA211,1)="4",OFFSET(변환표준점수!$K$118,MATCH($S211,변환표준점수!$B$119:$B$198,0),0),OFFSET(EK$3,MATCH(AW211,$ED$4:$ED$8,0),0)),0)</f>
        <v>0</v>
      </c>
      <c r="EM211" s="3" t="str">
        <f t="shared" ca="1" si="346"/>
        <v/>
      </c>
      <c r="EN211" s="3" t="str">
        <f t="shared" ca="1" si="347"/>
        <v/>
      </c>
      <c r="EO211" s="3">
        <f t="shared" ca="1" si="348"/>
        <v>0</v>
      </c>
      <c r="EQ211" s="3">
        <f t="shared" ca="1" si="349"/>
        <v>0</v>
      </c>
      <c r="ER211" s="3">
        <f t="shared" ca="1" si="350"/>
        <v>0</v>
      </c>
      <c r="ES211" s="3">
        <f t="shared" ca="1" si="351"/>
        <v>0</v>
      </c>
      <c r="ET211" s="3">
        <f t="shared" ca="1" si="352"/>
        <v>0</v>
      </c>
      <c r="EU211" s="3">
        <f t="shared" si="353"/>
        <v>0</v>
      </c>
      <c r="EV211" s="3">
        <f t="shared" ca="1" si="354"/>
        <v>0</v>
      </c>
      <c r="EW211" s="3">
        <f t="shared" ca="1" si="355"/>
        <v>0</v>
      </c>
      <c r="EX211" s="3">
        <f ca="1">LARGE((ES211:ET211,EV211:EW211),1)</f>
        <v>0</v>
      </c>
      <c r="EY211" s="3">
        <f ca="1">IF(O211&lt;2,0,LARGE((ES211:ET211,EV211:EW211),2))</f>
        <v>0</v>
      </c>
      <c r="EZ211" s="3">
        <f t="shared" ca="1" si="356"/>
        <v>0</v>
      </c>
      <c r="FA211" s="3">
        <f t="shared" ca="1" si="357"/>
        <v>0</v>
      </c>
      <c r="FB211" s="3">
        <f t="shared" ca="1" si="358"/>
        <v>0</v>
      </c>
      <c r="FG211" s="3">
        <f t="shared" ca="1" si="359"/>
        <v>0</v>
      </c>
      <c r="FH211" s="618"/>
      <c r="FU211" s="3" t="str">
        <f t="shared" si="365"/>
        <v>표점</v>
      </c>
      <c r="FV211" s="3" t="str">
        <f t="shared" si="366"/>
        <v>변표</v>
      </c>
      <c r="FW211" s="3">
        <f t="shared" si="360"/>
        <v>0.28999999999999998</v>
      </c>
      <c r="FX211" s="3">
        <f t="shared" si="361"/>
        <v>0.43</v>
      </c>
      <c r="FY211" s="3">
        <f t="shared" si="362"/>
        <v>0.28999999999999998</v>
      </c>
      <c r="FZ211" s="3">
        <f t="shared" si="363"/>
        <v>4.375</v>
      </c>
    </row>
    <row r="212" spans="1:182">
      <c r="A212" s="556">
        <v>26</v>
      </c>
      <c r="C212" s="3">
        <f t="shared" si="318"/>
        <v>197</v>
      </c>
      <c r="D212" s="3">
        <v>197</v>
      </c>
      <c r="E212" s="3" t="s">
        <v>7369</v>
      </c>
      <c r="F212" s="3">
        <v>1000</v>
      </c>
      <c r="G212" s="3">
        <v>0</v>
      </c>
      <c r="H212" s="3">
        <f>400*0.00125</f>
        <v>0.5</v>
      </c>
      <c r="I212" s="3">
        <f>100*0.00125</f>
        <v>0.125</v>
      </c>
      <c r="J212" s="3">
        <f>I212</f>
        <v>0.125</v>
      </c>
      <c r="L212" s="3">
        <v>0.125</v>
      </c>
      <c r="M212" s="3">
        <v>0.125</v>
      </c>
      <c r="O212" s="3">
        <v>2</v>
      </c>
      <c r="P212" s="3">
        <f t="shared" si="319"/>
        <v>0.75</v>
      </c>
      <c r="Q212" s="3">
        <v>50</v>
      </c>
      <c r="S212" s="3">
        <f t="shared" si="320"/>
        <v>50</v>
      </c>
      <c r="W212" s="3">
        <f t="shared" si="321"/>
        <v>0</v>
      </c>
      <c r="Y212" s="3">
        <f t="shared" si="322"/>
        <v>0</v>
      </c>
      <c r="Z212" s="3">
        <f t="shared" si="323"/>
        <v>2.5</v>
      </c>
      <c r="AA212" s="3">
        <f t="shared" si="324"/>
        <v>1.25</v>
      </c>
      <c r="AB212" s="3">
        <f t="shared" si="325"/>
        <v>1.25</v>
      </c>
      <c r="AC212" s="3">
        <f t="shared" si="326"/>
        <v>1.25</v>
      </c>
      <c r="AD212" s="3">
        <f t="shared" si="327"/>
        <v>0</v>
      </c>
      <c r="AE212" s="3">
        <f t="shared" si="328"/>
        <v>2.5</v>
      </c>
      <c r="AF212" s="3">
        <f t="shared" si="329"/>
        <v>1.25</v>
      </c>
      <c r="AG212" s="3">
        <f t="shared" si="330"/>
        <v>1.25</v>
      </c>
      <c r="AH212" s="3" t="str">
        <f t="shared" si="331"/>
        <v>자동</v>
      </c>
      <c r="AI212" s="3">
        <f t="shared" si="332"/>
        <v>1.25</v>
      </c>
      <c r="AJ212" s="3">
        <f t="shared" si="333"/>
        <v>1.25</v>
      </c>
      <c r="AL212" s="3" t="str">
        <f t="shared" si="334"/>
        <v/>
      </c>
      <c r="AN212" s="3" t="str">
        <f ca="1">IF($BA212=42,OFFSET(변환표준점수!C$119,$AP212-1,0),"")</f>
        <v/>
      </c>
      <c r="AO212" s="3" t="str">
        <f ca="1">IF($BA212=42,OFFSET(변환표준점수!D$119,$AP212-1,0),"")</f>
        <v/>
      </c>
      <c r="AP212" s="3">
        <f>IF(S212="","",MATCH(S212,변환표준점수!$B$119:$B$298,0))</f>
        <v>50</v>
      </c>
      <c r="AQ212" s="3">
        <v>1</v>
      </c>
      <c r="AR212" s="3">
        <v>1</v>
      </c>
      <c r="AS212" s="3">
        <v>4</v>
      </c>
      <c r="AT212" s="3">
        <v>4</v>
      </c>
      <c r="AV212" s="3">
        <v>4</v>
      </c>
      <c r="AW212" s="3">
        <v>4</v>
      </c>
      <c r="AX212" s="3">
        <v>3</v>
      </c>
      <c r="AY212" s="3">
        <v>3</v>
      </c>
      <c r="BA212" s="3">
        <f t="shared" si="335"/>
        <v>4</v>
      </c>
      <c r="BJ212" s="3">
        <f t="shared" si="336"/>
        <v>0</v>
      </c>
      <c r="CH212" s="206">
        <f t="shared" si="364"/>
        <v>750</v>
      </c>
      <c r="CI212" s="56">
        <v>250</v>
      </c>
      <c r="CJ212" s="3">
        <v>242.5</v>
      </c>
      <c r="CK212" s="3">
        <v>230</v>
      </c>
      <c r="CL212" s="3">
        <v>217.5</v>
      </c>
      <c r="CM212" s="3">
        <v>205</v>
      </c>
      <c r="CN212" s="3">
        <v>192.5</v>
      </c>
      <c r="CO212" s="3">
        <v>180</v>
      </c>
      <c r="CP212" s="3">
        <v>167.5</v>
      </c>
      <c r="CQ212" s="3">
        <v>155</v>
      </c>
      <c r="CR212" s="56">
        <v>10</v>
      </c>
      <c r="CS212" s="3">
        <v>10</v>
      </c>
      <c r="CT212" s="3">
        <v>10</v>
      </c>
      <c r="CU212" s="3">
        <v>10</v>
      </c>
      <c r="CV212" s="3">
        <v>9.8000000000000007</v>
      </c>
      <c r="CW212" s="3">
        <v>9.6</v>
      </c>
      <c r="CX212" s="3">
        <v>9.4</v>
      </c>
      <c r="CY212" s="3">
        <v>9.1999999999999993</v>
      </c>
      <c r="CZ212" s="3">
        <v>9</v>
      </c>
      <c r="DJ212" s="3">
        <f t="shared" ca="1" si="337"/>
        <v>250</v>
      </c>
      <c r="DK212" s="3">
        <f t="shared" ca="1" si="338"/>
        <v>100</v>
      </c>
      <c r="DL212" s="3">
        <f t="shared" ca="1" si="339"/>
        <v>10</v>
      </c>
      <c r="DO212" s="3">
        <v>2</v>
      </c>
      <c r="EA212" s="3">
        <f t="shared" si="340"/>
        <v>2</v>
      </c>
      <c r="EB212" s="3">
        <f t="shared" si="341"/>
        <v>2</v>
      </c>
      <c r="EC212" s="3">
        <f t="shared" si="342"/>
        <v>0</v>
      </c>
      <c r="ED212" s="3">
        <f t="shared" si="343"/>
        <v>0</v>
      </c>
      <c r="EF212" s="3">
        <f t="shared" ca="1" si="344"/>
        <v>0</v>
      </c>
      <c r="EG212" s="3">
        <f t="shared" ca="1" si="345"/>
        <v>0</v>
      </c>
      <c r="EH212" s="3">
        <f ca="1">IFERROR(IF(LEFT($BA212,1)="4",OFFSET(변환표준점수!$H$118,MATCH($S212,변환표준점수!$B$119:$B$198,0),),OFFSET(EH$3,MATCH(AS212,$ED$4:$ED$8,0),0)),0)</f>
        <v>0</v>
      </c>
      <c r="EI212" s="3">
        <f ca="1">IFERROR(IF(LEFT($BA212,1)="4",OFFSET(변환표준점수!$I$118,MATCH($S212,변환표준점수!$B$119:$B$198,0),0),OFFSET(EI$3,MATCH(AT212,$ED$4:$ED$8,0),0)),0)</f>
        <v>0</v>
      </c>
      <c r="EK212" s="3">
        <f ca="1">IFERROR(IF(LEFT($BA212,1)="4",OFFSET(변환표준점수!$J$118,MATCH($S212,변환표준점수!$B$119:$B$198,0),0),OFFSET(EJ$3,MATCH(AV212,$ED$4:$ED$8,0),0)),0)</f>
        <v>0</v>
      </c>
      <c r="EL212" s="3">
        <f ca="1">IFERROR(IF(LEFT($BA212,1)="4",OFFSET(변환표준점수!$K$118,MATCH($S212,변환표준점수!$B$119:$B$198,0),0),OFFSET(EK$3,MATCH(AW212,$ED$4:$ED$8,0),0)),0)</f>
        <v>0</v>
      </c>
      <c r="EM212" s="3" t="str">
        <f t="shared" ca="1" si="346"/>
        <v/>
      </c>
      <c r="EN212" s="3" t="str">
        <f t="shared" ca="1" si="347"/>
        <v/>
      </c>
      <c r="EO212" s="3">
        <f t="shared" ca="1" si="348"/>
        <v>0</v>
      </c>
      <c r="EQ212" s="3">
        <f t="shared" ca="1" si="349"/>
        <v>0</v>
      </c>
      <c r="ER212" s="3">
        <f t="shared" ca="1" si="350"/>
        <v>0</v>
      </c>
      <c r="ES212" s="3">
        <f t="shared" ca="1" si="351"/>
        <v>0</v>
      </c>
      <c r="ET212" s="3">
        <f t="shared" ca="1" si="352"/>
        <v>0</v>
      </c>
      <c r="EU212" s="3">
        <f t="shared" si="353"/>
        <v>0</v>
      </c>
      <c r="EV212" s="3">
        <f t="shared" ca="1" si="354"/>
        <v>0</v>
      </c>
      <c r="EW212" s="3">
        <f t="shared" ca="1" si="355"/>
        <v>0</v>
      </c>
      <c r="EX212" s="3">
        <f ca="1">LARGE((ES212:ET212,EV212:EW212),1)</f>
        <v>0</v>
      </c>
      <c r="EY212" s="3">
        <f ca="1">IF(O212&lt;2,0,LARGE((ES212:ET212,EV212:EW212),2))</f>
        <v>0</v>
      </c>
      <c r="EZ212" s="3">
        <f t="shared" ca="1" si="356"/>
        <v>0</v>
      </c>
      <c r="FA212" s="3">
        <f t="shared" ca="1" si="357"/>
        <v>0</v>
      </c>
      <c r="FB212" s="3">
        <f t="shared" ca="1" si="358"/>
        <v>0</v>
      </c>
      <c r="FG212" s="3">
        <f t="shared" ca="1" si="359"/>
        <v>0</v>
      </c>
      <c r="FH212" s="618"/>
      <c r="FU212" s="3" t="str">
        <f t="shared" si="365"/>
        <v>표점</v>
      </c>
      <c r="FV212" s="3" t="str">
        <f t="shared" si="366"/>
        <v>변표</v>
      </c>
      <c r="FW212" s="3">
        <f t="shared" si="360"/>
        <v>0</v>
      </c>
      <c r="FX212" s="3">
        <f t="shared" si="361"/>
        <v>0.67</v>
      </c>
      <c r="FY212" s="3">
        <f t="shared" si="362"/>
        <v>0.33</v>
      </c>
      <c r="FZ212" s="3">
        <f t="shared" si="363"/>
        <v>3.75</v>
      </c>
    </row>
    <row r="213" spans="1:182">
      <c r="FH213" s="618"/>
    </row>
    <row r="214" spans="1:182">
      <c r="FH214" s="618"/>
    </row>
    <row r="215" spans="1:182">
      <c r="FH215" s="618"/>
    </row>
    <row r="216" spans="1:182">
      <c r="FH216" s="618"/>
    </row>
    <row r="217" spans="1:182">
      <c r="FH217" s="618"/>
    </row>
    <row r="218" spans="1:182">
      <c r="A218" s="556">
        <v>26</v>
      </c>
      <c r="C218" s="3">
        <f t="shared" ref="C218:C249" si="367">ROUND(ROW(C218)-ROW($C$15),0)</f>
        <v>203</v>
      </c>
      <c r="D218" s="3">
        <v>203</v>
      </c>
      <c r="E218" s="3" t="s">
        <v>376</v>
      </c>
      <c r="F218" s="3">
        <v>1000</v>
      </c>
      <c r="G218" s="3">
        <v>0.32</v>
      </c>
      <c r="H218" s="3">
        <v>0.24</v>
      </c>
      <c r="I218" s="3">
        <v>0.12</v>
      </c>
      <c r="J218" s="3">
        <v>0.12</v>
      </c>
      <c r="L218" s="3">
        <v>0.12</v>
      </c>
      <c r="M218" s="3">
        <v>0.12</v>
      </c>
      <c r="O218" s="3">
        <v>2</v>
      </c>
      <c r="P218" s="3">
        <f t="shared" ref="P218:P249" si="368">G218+H218+MAX((I218:J218),L218:M218)*O218</f>
        <v>0.8</v>
      </c>
      <c r="Q218" s="3" t="s">
        <v>408</v>
      </c>
      <c r="S218" s="3" t="str">
        <f t="shared" ref="S218:S249" si="369">IF(R218&gt;0,R218,Q218)</f>
        <v/>
      </c>
      <c r="W218" s="3">
        <f t="shared" ref="W218:W249" si="370">IF(AND(BH218=0,CD218=0),0,IF(V218&gt;0,V218,IF(U218=1,$W$11,0)))</f>
        <v>0</v>
      </c>
      <c r="Y218" s="3">
        <f t="shared" ref="Y218:Y252" si="371">AD218</f>
        <v>2.3021582733812949</v>
      </c>
      <c r="Z218" s="3">
        <f t="shared" ref="Z218:Z252" si="372">AE218</f>
        <v>1.7142857142857142</v>
      </c>
      <c r="AA218" s="3">
        <f t="shared" ref="AA218:AA252" si="373">IF($BB$7=1,AF218,IF(AS218=12,$F218*I218/($AF$8*AL218+$AF$9*(1-AL218)),AF218))</f>
        <v>1.7186313965312292</v>
      </c>
      <c r="AB218" s="3">
        <f t="shared" ref="AB218:AB252" si="374">IF($BB$7=1,AI218,IF(AV218=12,$F218*L218/($AI$8*AL218+$AI$9*(1-AL218)),AI218))</f>
        <v>1.6768910440044156</v>
      </c>
      <c r="AC218" s="3">
        <f t="shared" ref="AC218:AC252" si="375">IF(AND(AS218=2,EA218=1),AA218*O218,IF(AND(AS218=2,EA218=2),AB218*O218,IF(EA218=1,AA218,IF(EA218=2,AB218))))</f>
        <v>1.6768910440044156</v>
      </c>
      <c r="AD218" s="3">
        <f t="shared" ref="AD218:AD252" si="376">IF(AQ218=12,$F218*G218/$AQ$9,IF(OR(AQ218=1,AQ218=4),$F218*G218/200,IF(OR(AQ218=2,AQ218=9),$F218*G218/100,"자동")))</f>
        <v>2.3021582733812949</v>
      </c>
      <c r="AE218" s="3">
        <f t="shared" ref="AE218:AE252" si="377">IF(AR218=12,$F218*H218/$AR$9,IF(OR(AR218=1,AR218=4),$F218*H218/200,IF(OR(AR218=2,AR218=9),$F218*H218/100,"자동")))</f>
        <v>1.7142857142857142</v>
      </c>
      <c r="AF218" s="3">
        <f t="shared" ref="AF218:AF252" si="378">IF(AS218=12,$F218*I218/IF($BB$7=1,IF($ED218=1,$AS$9,$AF$9),($AF$8*AL218+$AF$9*(1-AL218))),IF(AS218=42,$F218*I218/AN218,IF(OR(AS218=1,AS218=4,AS218=2),$F218*I218/100,IF(AS218=9,$F218*I218/50,"자동"))))</f>
        <v>1.7186313965312292</v>
      </c>
      <c r="AG218" s="3">
        <f t="shared" ref="AG218:AG252" si="379">IF(AT218=12,$F218*J218/IF($BB$7=1,IF($ED218=1,$AT$9,$AG$9),($AG$8*AL218+$AG$9*(1-AL218))),IF(AT218=42,$F218*J218/AN218,IF(OR(AT218=1,AT218=4,AT218=2),$F218*J218/100,IF(AT218=9,$F218*J218/50,"자동"))))</f>
        <v>1.7186313965312292</v>
      </c>
      <c r="AH218" s="3" t="str">
        <f t="shared" ref="AH218:AH249" si="380">IF(AU218=12,$F218*K218/IF($BB$7=1,IF($ED218=1,$AU$9,$AH$9),($AH$8*AL218+$AH$9*(1-AL218))),IF(AU218=42,$F218*K218/$AN218,IF(OR(AU218=1,AU218=4,AU218=2),$F218*K218/100,IF(AU218=9,$F218*K218/50,"자동"))))</f>
        <v>자동</v>
      </c>
      <c r="AI218" s="3">
        <f t="shared" ref="AI218:AI252" si="381">IF(AV218=12,$F218*L218/IF($BB$7=1,IF($ED218=1,$AV$9,$AI$9),($AI$8*AL218+$AI$9*(1-AL218))),IF(AV218=42,$F218*L218/AO218,IF(OR(AV218=1,AV218=4,AV218=2),$F218*L218/100,IF(AV218=9,$F218*L218/50,"자동"))))</f>
        <v>1.6768910440044156</v>
      </c>
      <c r="AJ218" s="3">
        <f t="shared" ref="AJ218:AJ252" si="382">IF(AW218=12,$F218*M218/IF($BB$7=1,IF($ED218=1,$AW$9,$AJ$9),($AJ$8*AL218+$AJ$9*(1-AL218))),IF(AW218=42,$F218*M218/AO218,IF(OR(AW218=1,AW218=4,AW218=2),$F218*M218/100,IF(AW218=9,$F218*M218/50,"자동"))))</f>
        <v>1.6768910440044156</v>
      </c>
      <c r="AK218" s="3">
        <v>0</v>
      </c>
      <c r="AL218" s="3">
        <f t="shared" ref="AL218:AL249" si="383">IF(AK218&lt;&gt;"",AK218,IF(BA218&lt;&gt;12,"",IF(U218=1,1,IF(LEFT(E218,3)="서울대",0,""))))</f>
        <v>0</v>
      </c>
      <c r="AN218" s="3" t="str">
        <f ca="1">IF($BA218=42,OFFSET(변환표준점수!C$119,$AP218-1,0),"")</f>
        <v/>
      </c>
      <c r="AO218" s="3" t="str">
        <f ca="1">IF($BA218=42,OFFSET(변환표준점수!D$119,$AP218-1,0),"")</f>
        <v/>
      </c>
      <c r="AP218" s="3" t="str">
        <f>IF(S218="","",MATCH(S218,변환표준점수!$B$119:$B$298,0))</f>
        <v/>
      </c>
      <c r="AQ218" s="3">
        <v>12</v>
      </c>
      <c r="AR218" s="3">
        <v>12</v>
      </c>
      <c r="AS218" s="3">
        <v>12</v>
      </c>
      <c r="AT218" s="3">
        <v>12</v>
      </c>
      <c r="AV218" s="3">
        <v>12</v>
      </c>
      <c r="AW218" s="3">
        <v>12</v>
      </c>
      <c r="AX218" s="3">
        <v>3</v>
      </c>
      <c r="AY218" s="3">
        <v>3</v>
      </c>
      <c r="BA218" s="3">
        <f t="shared" ref="BA218:BA249" si="384">IF(AS218&gt;0,AS218,AV218)</f>
        <v>12</v>
      </c>
      <c r="BJ218" s="3">
        <f t="shared" ref="BJ218:BJ249" si="385">IF(BI218="",IF(DT218=1,1,$BI$3),BI218)</f>
        <v>0</v>
      </c>
      <c r="CH218" s="206">
        <f t="shared" ref="CH218:CH249" si="386">F218*P218</f>
        <v>800</v>
      </c>
      <c r="CI218" s="56">
        <v>200</v>
      </c>
      <c r="CJ218" s="3">
        <v>190</v>
      </c>
      <c r="CK218" s="3">
        <v>180</v>
      </c>
      <c r="CL218" s="3">
        <v>170</v>
      </c>
      <c r="CM218" s="3">
        <v>160</v>
      </c>
      <c r="CN218" s="3">
        <v>150</v>
      </c>
      <c r="CO218" s="3">
        <v>140</v>
      </c>
      <c r="CP218" s="3">
        <v>130</v>
      </c>
      <c r="CQ218" s="3">
        <v>0</v>
      </c>
      <c r="CR218" s="56">
        <v>10</v>
      </c>
      <c r="CS218" s="3">
        <v>10</v>
      </c>
      <c r="CT218" s="3">
        <v>10</v>
      </c>
      <c r="CU218" s="3">
        <v>10</v>
      </c>
      <c r="CV218" s="3">
        <v>10</v>
      </c>
      <c r="CW218" s="3">
        <v>9</v>
      </c>
      <c r="CX218" s="3">
        <v>8</v>
      </c>
      <c r="CY218" s="3">
        <v>7</v>
      </c>
      <c r="CZ218" s="3">
        <v>0</v>
      </c>
      <c r="DJ218" s="3">
        <f t="shared" ref="DJ218:DJ249" ca="1" si="387">ROUND((CI218-EZ218),1)</f>
        <v>200</v>
      </c>
      <c r="DK218" s="3">
        <f t="shared" ref="DK218:DK249" ca="1" si="388">((CI218-EZ218)/(FG218+DJ218-FC218))*100</f>
        <v>100</v>
      </c>
      <c r="DL218" s="3">
        <f t="shared" ref="DL218:DL249" ca="1" si="389">ROUND((CR218-FA218)+(DA218-FB218),1)</f>
        <v>10</v>
      </c>
      <c r="DO218" s="3">
        <v>2</v>
      </c>
      <c r="EA218" s="3">
        <f t="shared" ref="EA218:EA249" si="390">IF(DZ218&gt;0,DZ218,IF(DM218&gt;0,1,2))</f>
        <v>2</v>
      </c>
      <c r="EB218" s="3">
        <f t="shared" ref="EB218:EB249" si="391">MAX(DM218:DO218)</f>
        <v>2</v>
      </c>
      <c r="EC218" s="3">
        <f t="shared" ref="EC218:EC249" si="392">AND(DM218-0.1&lt;$DM$8,DN218-0.1&lt;$DN$8,DO218-0.1&lt;$DO$8)*1</f>
        <v>0</v>
      </c>
      <c r="ED218" s="3">
        <f t="shared" ref="ED218:ED249" si="393">IFERROR(IF(AND($DP$8&gt;=DP218,$DQ$8&gt;=DQ218,$DR$8&gt;=DR218,$DS$8&gt;=DS218,$DT$8&gt;=DT218,$DU$8&gt;=DU218,$DV$8&gt;=DV218,$DW$8&gt;=DW218,$DX$8&gt;=DX218,OR(DY218=0,$DY$8&lt;DY218),EC218=1),1,0),0)</f>
        <v>0</v>
      </c>
      <c r="EF218" s="3">
        <f t="shared" ref="EF218:EF249" ca="1" si="394">IFERROR(OFFSET(EF$3,MATCH(AQ218,$ED$4:$ED$10,0),0),0)</f>
        <v>0</v>
      </c>
      <c r="EG218" s="3">
        <f t="shared" ref="EG218:EG249" ca="1" si="395">IFERROR(OFFSET(EG$3,MATCH(AR218,$ED$4:$ED$10,0),0),0)</f>
        <v>0</v>
      </c>
      <c r="EH218" s="3">
        <f ca="1">IFERROR(IF(LEFT($BA218,1)="4",OFFSET(변환표준점수!$H$118,MATCH($S218,변환표준점수!$B$119:$B$198,0),),OFFSET(EH$3,MATCH(AS218,$ED$4:$ED$8,0),0)),0)</f>
        <v>0</v>
      </c>
      <c r="EI218" s="3">
        <f ca="1">IFERROR(IF(LEFT($BA218,1)="4",OFFSET(변환표준점수!$I$118,MATCH($S218,변환표준점수!$B$119:$B$198,0),0),OFFSET(EI$3,MATCH(AT218,$ED$4:$ED$8,0),0)),0)</f>
        <v>0</v>
      </c>
      <c r="EK218" s="3">
        <f ca="1">IFERROR(IF(LEFT($BA218,1)="4",OFFSET(변환표준점수!$J$118,MATCH($S218,변환표준점수!$B$119:$B$198,0),0),OFFSET(EJ$3,MATCH(AV218,$ED$4:$ED$8,0),0)),0)</f>
        <v>0</v>
      </c>
      <c r="EL218" s="3">
        <f ca="1">IFERROR(IF(LEFT($BA218,1)="4",OFFSET(변환표준점수!$K$118,MATCH($S218,변환표준점수!$B$119:$B$198,0),0),OFFSET(EK$3,MATCH(AW218,$ED$4:$ED$8,0),0)),0)</f>
        <v>0</v>
      </c>
      <c r="EM218" s="3" t="str">
        <f t="shared" ref="EM218:EM249" ca="1" si="396">IFERROR(OFFSET(EL$3,MATCH(AX218,$ED$4:$ED$8,0),0),0)</f>
        <v/>
      </c>
      <c r="EN218" s="3" t="str">
        <f t="shared" ref="EN218:EN249" ca="1" si="397">IFERROR(OFFSET(EM$3,MATCH(AY218,$ED$4:$ED$8,0),0),0)</f>
        <v/>
      </c>
      <c r="EO218" s="3">
        <f t="shared" ref="EO218:EO249" ca="1" si="398">IFERROR(OFFSET(EN$3,MATCH(AZ218,$ED$4:$ED$8,0),0),0)</f>
        <v>0</v>
      </c>
      <c r="EQ218" s="3">
        <f t="shared" ref="EQ218:EQ249" ca="1" si="399">IFERROR((EF218*AD218+BO218)*$EP$9,0)</f>
        <v>0</v>
      </c>
      <c r="ER218" s="3">
        <f t="shared" ref="ER218:ER249" ca="1" si="400">IFERROR(EG218*AE218+OFFSET($BP218,0,$ER$14-1),0)</f>
        <v>0</v>
      </c>
      <c r="ES218" s="3">
        <f t="shared" ref="ES218:ES249" ca="1" si="401">IFERROR((EH218*AF218+BS218)*$EP$9,0)</f>
        <v>0</v>
      </c>
      <c r="ET218" s="3">
        <f t="shared" ref="ET218:ET249" ca="1" si="402">IFERROR(IF(O218&lt;2,0,(EI218*AG218+BT218)*$EP$9),0)</f>
        <v>0</v>
      </c>
      <c r="EU218" s="3">
        <f t="shared" ref="EU218:EU249" si="403">IFERROR(BU218*$EP$9,0)</f>
        <v>0</v>
      </c>
      <c r="EV218" s="3">
        <f t="shared" ref="EV218:EV249" ca="1" si="404">IFERROR((EK218*AI218+BV218)*$EP$9,0)</f>
        <v>0</v>
      </c>
      <c r="EW218" s="3">
        <f t="shared" ref="EW218:EW249" ca="1" si="405">IFERROR(IF(O218&lt;2,0,(EL218*AJ218+BW218)*$EP$9),0)</f>
        <v>0</v>
      </c>
      <c r="EX218" s="3">
        <f ca="1">LARGE((ES218:ET218,EV218:EW218),1)</f>
        <v>0</v>
      </c>
      <c r="EY218" s="3">
        <f ca="1">IF(O218&lt;2,0,LARGE((ES218:ET218,EV218:EW218),2))</f>
        <v>0</v>
      </c>
      <c r="EZ218" s="3">
        <f t="shared" ref="EZ218:EZ249" ca="1" si="406">IFERROR(OFFSET(CI218,0,ROUND((1/(1/EM218))-1,0)),0)</f>
        <v>0</v>
      </c>
      <c r="FA218" s="3">
        <f t="shared" ref="FA218:FA249" ca="1" si="407">IFERROR(OFFSET(CR218,0,ROUND(1/(1/EN218),0)-1),0)</f>
        <v>0</v>
      </c>
      <c r="FB218" s="3">
        <f t="shared" ref="FB218:FB249" ca="1" si="408">IFERROR(OFFSET(DA218,0,ROUND(1/(1/EO218),0)-1),0)</f>
        <v>0</v>
      </c>
      <c r="FG218" s="3">
        <f t="shared" ref="FG218:FG249" ca="1" si="409">IF(FF218&gt;0,FF218,EQ218+ER218+EU218+EX218+EY218+EZ218+FA218+FB218+FC218)</f>
        <v>0</v>
      </c>
      <c r="FH218" s="618"/>
      <c r="FU218" s="3" t="str">
        <f t="shared" si="365"/>
        <v>표점/만점</v>
      </c>
      <c r="FV218" s="3" t="str">
        <f t="shared" si="366"/>
        <v>표점/만점</v>
      </c>
      <c r="FW218" s="3">
        <f t="shared" ref="FW218:FW249" si="410">ROUND(Y218/$FZ218,2)</f>
        <v>0.4</v>
      </c>
      <c r="FX218" s="3">
        <f t="shared" ref="FX218:FX249" si="411">ROUND(Z218/$FZ218,2)</f>
        <v>0.3</v>
      </c>
      <c r="FY218" s="3">
        <f t="shared" ref="FY218:FY249" si="412">ROUND(AC218/$FZ218,2)</f>
        <v>0.28999999999999998</v>
      </c>
      <c r="FZ218" s="3">
        <f t="shared" ref="FZ218:FZ249" si="413">Y218+Z218+AC218</f>
        <v>5.6933350316714249</v>
      </c>
    </row>
    <row r="219" spans="1:182">
      <c r="A219" s="556">
        <v>26</v>
      </c>
      <c r="C219" s="3">
        <f t="shared" si="367"/>
        <v>204</v>
      </c>
      <c r="D219" s="3">
        <v>204</v>
      </c>
      <c r="E219" s="3" t="s">
        <v>377</v>
      </c>
      <c r="F219" s="3">
        <v>1000</v>
      </c>
      <c r="G219" s="3">
        <v>0.24</v>
      </c>
      <c r="H219" s="3">
        <v>0.32</v>
      </c>
      <c r="I219" s="3">
        <v>0.12</v>
      </c>
      <c r="J219" s="3">
        <v>0.12</v>
      </c>
      <c r="L219" s="3">
        <v>0.12</v>
      </c>
      <c r="M219" s="3">
        <v>0.12</v>
      </c>
      <c r="O219" s="3">
        <v>2</v>
      </c>
      <c r="P219" s="3">
        <f t="shared" si="368"/>
        <v>0.8</v>
      </c>
      <c r="Q219" s="3" t="s">
        <v>408</v>
      </c>
      <c r="S219" s="3" t="str">
        <f t="shared" si="369"/>
        <v/>
      </c>
      <c r="W219" s="3">
        <f t="shared" si="370"/>
        <v>0</v>
      </c>
      <c r="Y219" s="3">
        <f t="shared" si="371"/>
        <v>1.7266187050359711</v>
      </c>
      <c r="Z219" s="3">
        <f t="shared" si="372"/>
        <v>2.2857142857142856</v>
      </c>
      <c r="AA219" s="3">
        <f t="shared" si="373"/>
        <v>1.7186313965312292</v>
      </c>
      <c r="AB219" s="3">
        <f t="shared" si="374"/>
        <v>1.6768910440044156</v>
      </c>
      <c r="AC219" s="3">
        <f t="shared" si="375"/>
        <v>1.7186313965312292</v>
      </c>
      <c r="AD219" s="3">
        <f t="shared" si="376"/>
        <v>1.7266187050359711</v>
      </c>
      <c r="AE219" s="3">
        <f t="shared" si="377"/>
        <v>2.2857142857142856</v>
      </c>
      <c r="AF219" s="3">
        <f t="shared" si="378"/>
        <v>1.7186313965312292</v>
      </c>
      <c r="AG219" s="3">
        <f t="shared" si="379"/>
        <v>1.7186313965312292</v>
      </c>
      <c r="AH219" s="3" t="str">
        <f t="shared" si="380"/>
        <v>자동</v>
      </c>
      <c r="AI219" s="3">
        <f t="shared" si="381"/>
        <v>1.6768910440044156</v>
      </c>
      <c r="AJ219" s="3">
        <f t="shared" si="382"/>
        <v>1.6768910440044156</v>
      </c>
      <c r="AK219" s="3">
        <v>0</v>
      </c>
      <c r="AL219" s="3">
        <f t="shared" si="383"/>
        <v>0</v>
      </c>
      <c r="AN219" s="3" t="str">
        <f ca="1">IF($BA219=42,OFFSET(변환표준점수!C$119,$AP219-1,0),"")</f>
        <v/>
      </c>
      <c r="AO219" s="3" t="str">
        <f ca="1">IF($BA219=42,OFFSET(변환표준점수!D$119,$AP219-1,0),"")</f>
        <v/>
      </c>
      <c r="AP219" s="3" t="str">
        <f>IF(S219="","",MATCH(S219,변환표준점수!$B$119:$B$298,0))</f>
        <v/>
      </c>
      <c r="AQ219" s="3">
        <v>12</v>
      </c>
      <c r="AR219" s="3">
        <v>12</v>
      </c>
      <c r="AS219" s="3">
        <v>12</v>
      </c>
      <c r="AT219" s="3">
        <v>12</v>
      </c>
      <c r="AV219" s="3">
        <v>12</v>
      </c>
      <c r="AW219" s="3">
        <v>12</v>
      </c>
      <c r="AX219" s="3">
        <v>3</v>
      </c>
      <c r="AY219" s="3">
        <v>3</v>
      </c>
      <c r="BA219" s="3">
        <f t="shared" si="384"/>
        <v>12</v>
      </c>
      <c r="BJ219" s="3">
        <f t="shared" si="385"/>
        <v>0</v>
      </c>
      <c r="CH219" s="206">
        <f t="shared" si="386"/>
        <v>800</v>
      </c>
      <c r="CI219" s="56">
        <v>200</v>
      </c>
      <c r="CJ219" s="3">
        <v>190</v>
      </c>
      <c r="CK219" s="3">
        <v>180</v>
      </c>
      <c r="CL219" s="3">
        <v>170</v>
      </c>
      <c r="CM219" s="3">
        <v>160</v>
      </c>
      <c r="CN219" s="3">
        <v>150</v>
      </c>
      <c r="CO219" s="3">
        <v>140</v>
      </c>
      <c r="CP219" s="3">
        <v>130</v>
      </c>
      <c r="CQ219" s="3">
        <v>0</v>
      </c>
      <c r="CR219" s="56">
        <v>10</v>
      </c>
      <c r="CS219" s="3">
        <v>10</v>
      </c>
      <c r="CT219" s="3">
        <v>10</v>
      </c>
      <c r="CU219" s="3">
        <v>10</v>
      </c>
      <c r="CV219" s="3">
        <v>10</v>
      </c>
      <c r="CW219" s="3">
        <v>9</v>
      </c>
      <c r="CX219" s="3">
        <v>8</v>
      </c>
      <c r="CY219" s="3">
        <v>7</v>
      </c>
      <c r="CZ219" s="3">
        <v>0</v>
      </c>
      <c r="DJ219" s="3">
        <f t="shared" ca="1" si="387"/>
        <v>200</v>
      </c>
      <c r="DK219" s="3">
        <f t="shared" ca="1" si="388"/>
        <v>100</v>
      </c>
      <c r="DL219" s="3">
        <f t="shared" ca="1" si="389"/>
        <v>10</v>
      </c>
      <c r="DO219" s="3">
        <v>2</v>
      </c>
      <c r="DZ219" s="3">
        <v>1</v>
      </c>
      <c r="EA219" s="3">
        <f t="shared" si="390"/>
        <v>1</v>
      </c>
      <c r="EB219" s="3">
        <f t="shared" si="391"/>
        <v>2</v>
      </c>
      <c r="EC219" s="3">
        <f t="shared" si="392"/>
        <v>0</v>
      </c>
      <c r="ED219" s="3">
        <f t="shared" si="393"/>
        <v>0</v>
      </c>
      <c r="EF219" s="3">
        <f t="shared" ca="1" si="394"/>
        <v>0</v>
      </c>
      <c r="EG219" s="3">
        <f t="shared" ca="1" si="395"/>
        <v>0</v>
      </c>
      <c r="EH219" s="3">
        <f ca="1">IFERROR(IF(LEFT($BA219,1)="4",OFFSET(변환표준점수!$H$118,MATCH($S219,변환표준점수!$B$119:$B$198,0),),OFFSET(EH$3,MATCH(AS219,$ED$4:$ED$8,0),0)),0)</f>
        <v>0</v>
      </c>
      <c r="EI219" s="3">
        <f ca="1">IFERROR(IF(LEFT($BA219,1)="4",OFFSET(변환표준점수!$I$118,MATCH($S219,변환표준점수!$B$119:$B$198,0),0),OFFSET(EI$3,MATCH(AT219,$ED$4:$ED$8,0),0)),0)</f>
        <v>0</v>
      </c>
      <c r="EK219" s="3">
        <f ca="1">IFERROR(IF(LEFT($BA219,1)="4",OFFSET(변환표준점수!$J$118,MATCH($S219,변환표준점수!$B$119:$B$198,0),0),OFFSET(EJ$3,MATCH(AV219,$ED$4:$ED$8,0),0)),0)</f>
        <v>0</v>
      </c>
      <c r="EL219" s="3">
        <f ca="1">IFERROR(IF(LEFT($BA219,1)="4",OFFSET(변환표준점수!$K$118,MATCH($S219,변환표준점수!$B$119:$B$198,0),0),OFFSET(EK$3,MATCH(AW219,$ED$4:$ED$8,0),0)),0)</f>
        <v>0</v>
      </c>
      <c r="EM219" s="3" t="str">
        <f t="shared" ca="1" si="396"/>
        <v/>
      </c>
      <c r="EN219" s="3" t="str">
        <f t="shared" ca="1" si="397"/>
        <v/>
      </c>
      <c r="EO219" s="3">
        <f t="shared" ca="1" si="398"/>
        <v>0</v>
      </c>
      <c r="EQ219" s="3">
        <f t="shared" ca="1" si="399"/>
        <v>0</v>
      </c>
      <c r="ER219" s="3">
        <f t="shared" ca="1" si="400"/>
        <v>0</v>
      </c>
      <c r="ES219" s="3">
        <f t="shared" ca="1" si="401"/>
        <v>0</v>
      </c>
      <c r="ET219" s="3">
        <f t="shared" ca="1" si="402"/>
        <v>0</v>
      </c>
      <c r="EU219" s="3">
        <f t="shared" si="403"/>
        <v>0</v>
      </c>
      <c r="EV219" s="3">
        <f t="shared" ca="1" si="404"/>
        <v>0</v>
      </c>
      <c r="EW219" s="3">
        <f t="shared" ca="1" si="405"/>
        <v>0</v>
      </c>
      <c r="EX219" s="3">
        <f ca="1">LARGE((ES219:ET219,EV219:EW219),1)</f>
        <v>0</v>
      </c>
      <c r="EY219" s="3">
        <f ca="1">IF(O219&lt;2,0,LARGE((ES219:ET219,EV219:EW219),2))</f>
        <v>0</v>
      </c>
      <c r="EZ219" s="3">
        <f t="shared" ca="1" si="406"/>
        <v>0</v>
      </c>
      <c r="FA219" s="3">
        <f t="shared" ca="1" si="407"/>
        <v>0</v>
      </c>
      <c r="FB219" s="3">
        <f t="shared" ca="1" si="408"/>
        <v>0</v>
      </c>
      <c r="FG219" s="3">
        <f t="shared" ca="1" si="409"/>
        <v>0</v>
      </c>
      <c r="FH219" s="618"/>
      <c r="FU219" s="3" t="str">
        <f t="shared" si="365"/>
        <v>표점/만점</v>
      </c>
      <c r="FV219" s="3" t="str">
        <f t="shared" si="366"/>
        <v>표점/만점</v>
      </c>
      <c r="FW219" s="3">
        <f t="shared" si="410"/>
        <v>0.3</v>
      </c>
      <c r="FX219" s="3">
        <f t="shared" si="411"/>
        <v>0.4</v>
      </c>
      <c r="FY219" s="3">
        <f t="shared" si="412"/>
        <v>0.3</v>
      </c>
      <c r="FZ219" s="3">
        <f t="shared" si="413"/>
        <v>5.7309643872814862</v>
      </c>
    </row>
    <row r="220" spans="1:182">
      <c r="A220" s="556">
        <v>26</v>
      </c>
      <c r="C220" s="3">
        <f t="shared" si="367"/>
        <v>205</v>
      </c>
      <c r="D220" s="3">
        <v>205</v>
      </c>
      <c r="E220" s="3" t="s">
        <v>378</v>
      </c>
      <c r="F220" s="3">
        <v>1000</v>
      </c>
      <c r="G220" s="3">
        <v>0.24</v>
      </c>
      <c r="H220" s="3">
        <v>0.32</v>
      </c>
      <c r="I220" s="3">
        <v>0.12</v>
      </c>
      <c r="J220" s="3">
        <v>0.12</v>
      </c>
      <c r="L220" s="3">
        <v>0.12</v>
      </c>
      <c r="M220" s="3">
        <v>0.12</v>
      </c>
      <c r="O220" s="3">
        <v>2</v>
      </c>
      <c r="P220" s="3">
        <f t="shared" si="368"/>
        <v>0.8</v>
      </c>
      <c r="Q220" s="3" t="s">
        <v>408</v>
      </c>
      <c r="S220" s="3" t="str">
        <f t="shared" si="369"/>
        <v/>
      </c>
      <c r="W220" s="3">
        <f t="shared" si="370"/>
        <v>0</v>
      </c>
      <c r="Y220" s="3">
        <f t="shared" si="371"/>
        <v>1.7266187050359711</v>
      </c>
      <c r="Z220" s="3">
        <f t="shared" si="372"/>
        <v>2.2857142857142856</v>
      </c>
      <c r="AA220" s="3">
        <f t="shared" si="373"/>
        <v>1.7186313965312292</v>
      </c>
      <c r="AB220" s="3">
        <f t="shared" si="374"/>
        <v>1.6768910440044156</v>
      </c>
      <c r="AC220" s="3">
        <f t="shared" si="375"/>
        <v>1.7186313965312292</v>
      </c>
      <c r="AD220" s="3">
        <f t="shared" si="376"/>
        <v>1.7266187050359711</v>
      </c>
      <c r="AE220" s="3">
        <f t="shared" si="377"/>
        <v>2.2857142857142856</v>
      </c>
      <c r="AF220" s="3">
        <f t="shared" si="378"/>
        <v>1.7186313965312292</v>
      </c>
      <c r="AG220" s="3">
        <f t="shared" si="379"/>
        <v>1.7186313965312292</v>
      </c>
      <c r="AH220" s="3" t="str">
        <f t="shared" si="380"/>
        <v>자동</v>
      </c>
      <c r="AI220" s="3">
        <f t="shared" si="381"/>
        <v>1.6768910440044156</v>
      </c>
      <c r="AJ220" s="3">
        <f t="shared" si="382"/>
        <v>1.6768910440044156</v>
      </c>
      <c r="AK220" s="3">
        <v>0</v>
      </c>
      <c r="AL220" s="3">
        <f t="shared" si="383"/>
        <v>0</v>
      </c>
      <c r="AN220" s="3" t="str">
        <f ca="1">IF($BA220=42,OFFSET(변환표준점수!C$119,$AP220-1,0),"")</f>
        <v/>
      </c>
      <c r="AO220" s="3" t="str">
        <f ca="1">IF($BA220=42,OFFSET(변환표준점수!D$119,$AP220-1,0),"")</f>
        <v/>
      </c>
      <c r="AP220" s="3" t="str">
        <f>IF(S220="","",MATCH(S220,변환표준점수!$B$119:$B$298,0))</f>
        <v/>
      </c>
      <c r="AQ220" s="3">
        <v>12</v>
      </c>
      <c r="AR220" s="3">
        <v>12</v>
      </c>
      <c r="AS220" s="3">
        <v>12</v>
      </c>
      <c r="AT220" s="3">
        <v>12</v>
      </c>
      <c r="AV220" s="3">
        <v>12</v>
      </c>
      <c r="AW220" s="3">
        <v>12</v>
      </c>
      <c r="AX220" s="3">
        <v>3</v>
      </c>
      <c r="AY220" s="3">
        <v>3</v>
      </c>
      <c r="BA220" s="3">
        <f t="shared" si="384"/>
        <v>12</v>
      </c>
      <c r="BJ220" s="3">
        <f t="shared" si="385"/>
        <v>0</v>
      </c>
      <c r="CH220" s="206">
        <f t="shared" si="386"/>
        <v>800</v>
      </c>
      <c r="CI220" s="56">
        <v>200</v>
      </c>
      <c r="CJ220" s="3">
        <v>190</v>
      </c>
      <c r="CK220" s="3">
        <v>180</v>
      </c>
      <c r="CL220" s="3">
        <v>170</v>
      </c>
      <c r="CM220" s="3">
        <v>160</v>
      </c>
      <c r="CN220" s="3">
        <v>150</v>
      </c>
      <c r="CO220" s="3">
        <v>140</v>
      </c>
      <c r="CP220" s="3">
        <v>130</v>
      </c>
      <c r="CQ220" s="3">
        <v>0</v>
      </c>
      <c r="CR220" s="56">
        <v>10</v>
      </c>
      <c r="CS220" s="3">
        <v>10</v>
      </c>
      <c r="CT220" s="3">
        <v>10</v>
      </c>
      <c r="CU220" s="3">
        <v>10</v>
      </c>
      <c r="CV220" s="3">
        <v>10</v>
      </c>
      <c r="CW220" s="3">
        <v>9</v>
      </c>
      <c r="CX220" s="3">
        <v>8</v>
      </c>
      <c r="CY220" s="3">
        <v>7</v>
      </c>
      <c r="CZ220" s="3">
        <v>0</v>
      </c>
      <c r="DJ220" s="3">
        <f t="shared" ca="1" si="387"/>
        <v>200</v>
      </c>
      <c r="DK220" s="3">
        <f t="shared" ca="1" si="388"/>
        <v>100</v>
      </c>
      <c r="DL220" s="3">
        <f t="shared" ca="1" si="389"/>
        <v>10</v>
      </c>
      <c r="DO220" s="3">
        <v>2</v>
      </c>
      <c r="DQ220" s="3">
        <v>1</v>
      </c>
      <c r="DZ220" s="3">
        <v>1</v>
      </c>
      <c r="EA220" s="3">
        <f t="shared" si="390"/>
        <v>1</v>
      </c>
      <c r="EB220" s="3">
        <f t="shared" si="391"/>
        <v>2</v>
      </c>
      <c r="EC220" s="3">
        <f t="shared" si="392"/>
        <v>0</v>
      </c>
      <c r="ED220" s="3">
        <f t="shared" si="393"/>
        <v>0</v>
      </c>
      <c r="EF220" s="3">
        <f t="shared" ca="1" si="394"/>
        <v>0</v>
      </c>
      <c r="EG220" s="3">
        <f t="shared" ca="1" si="395"/>
        <v>0</v>
      </c>
      <c r="EH220" s="3">
        <f ca="1">IFERROR(IF(LEFT($BA220,1)="4",OFFSET(변환표준점수!$H$118,MATCH($S220,변환표준점수!$B$119:$B$198,0),),OFFSET(EH$3,MATCH(AS220,$ED$4:$ED$8,0),0)),0)</f>
        <v>0</v>
      </c>
      <c r="EI220" s="3">
        <f ca="1">IFERROR(IF(LEFT($BA220,1)="4",OFFSET(변환표준점수!$I$118,MATCH($S220,변환표준점수!$B$119:$B$198,0),0),OFFSET(EI$3,MATCH(AT220,$ED$4:$ED$8,0),0)),0)</f>
        <v>0</v>
      </c>
      <c r="EK220" s="3">
        <f ca="1">IFERROR(IF(LEFT($BA220,1)="4",OFFSET(변환표준점수!$J$118,MATCH($S220,변환표준점수!$B$119:$B$198,0),0),OFFSET(EJ$3,MATCH(AV220,$ED$4:$ED$8,0),0)),0)</f>
        <v>0</v>
      </c>
      <c r="EL220" s="3">
        <f ca="1">IFERROR(IF(LEFT($BA220,1)="4",OFFSET(변환표준점수!$K$118,MATCH($S220,변환표준점수!$B$119:$B$198,0),0),OFFSET(EK$3,MATCH(AW220,$ED$4:$ED$8,0),0)),0)</f>
        <v>0</v>
      </c>
      <c r="EM220" s="3" t="str">
        <f t="shared" ca="1" si="396"/>
        <v/>
      </c>
      <c r="EN220" s="3" t="str">
        <f t="shared" ca="1" si="397"/>
        <v/>
      </c>
      <c r="EO220" s="3">
        <f t="shared" ca="1" si="398"/>
        <v>0</v>
      </c>
      <c r="EQ220" s="3">
        <f t="shared" ca="1" si="399"/>
        <v>0</v>
      </c>
      <c r="ER220" s="3">
        <f t="shared" ca="1" si="400"/>
        <v>0</v>
      </c>
      <c r="ES220" s="3">
        <f t="shared" ca="1" si="401"/>
        <v>0</v>
      </c>
      <c r="ET220" s="3">
        <f t="shared" ca="1" si="402"/>
        <v>0</v>
      </c>
      <c r="EU220" s="3">
        <f t="shared" si="403"/>
        <v>0</v>
      </c>
      <c r="EV220" s="3">
        <f t="shared" ca="1" si="404"/>
        <v>0</v>
      </c>
      <c r="EW220" s="3">
        <f t="shared" ca="1" si="405"/>
        <v>0</v>
      </c>
      <c r="EX220" s="3">
        <f ca="1">LARGE((ES220:ET220,EV220:EW220),1)</f>
        <v>0</v>
      </c>
      <c r="EY220" s="3">
        <f ca="1">IF(O220&lt;2,0,LARGE((ES220:ET220,EV220:EW220),2))</f>
        <v>0</v>
      </c>
      <c r="EZ220" s="3">
        <f t="shared" ca="1" si="406"/>
        <v>0</v>
      </c>
      <c r="FA220" s="3">
        <f t="shared" ca="1" si="407"/>
        <v>0</v>
      </c>
      <c r="FB220" s="3">
        <f t="shared" ca="1" si="408"/>
        <v>0</v>
      </c>
      <c r="FG220" s="3">
        <f t="shared" ca="1" si="409"/>
        <v>0</v>
      </c>
      <c r="FH220" s="618"/>
      <c r="FU220" s="3" t="str">
        <f t="shared" si="365"/>
        <v>표점/만점</v>
      </c>
      <c r="FV220" s="3" t="str">
        <f t="shared" si="366"/>
        <v>표점/만점</v>
      </c>
      <c r="FW220" s="3">
        <f t="shared" si="410"/>
        <v>0.3</v>
      </c>
      <c r="FX220" s="3">
        <f t="shared" si="411"/>
        <v>0.4</v>
      </c>
      <c r="FY220" s="3">
        <f t="shared" si="412"/>
        <v>0.3</v>
      </c>
      <c r="FZ220" s="3">
        <f t="shared" si="413"/>
        <v>5.7309643872814862</v>
      </c>
    </row>
    <row r="221" spans="1:182">
      <c r="A221" s="556">
        <v>26</v>
      </c>
      <c r="C221" s="3">
        <f t="shared" si="367"/>
        <v>206</v>
      </c>
      <c r="D221" s="3">
        <v>206</v>
      </c>
      <c r="E221" s="3" t="s">
        <v>379</v>
      </c>
      <c r="F221" s="3">
        <v>1000</v>
      </c>
      <c r="G221" s="3">
        <v>0.24</v>
      </c>
      <c r="H221" s="3">
        <v>0.32</v>
      </c>
      <c r="I221" s="3">
        <v>0.12</v>
      </c>
      <c r="J221" s="3">
        <v>0.12</v>
      </c>
      <c r="O221" s="3">
        <v>2</v>
      </c>
      <c r="P221" s="3">
        <f t="shared" si="368"/>
        <v>0.8</v>
      </c>
      <c r="Q221" s="3" t="s">
        <v>408</v>
      </c>
      <c r="S221" s="3" t="str">
        <f t="shared" si="369"/>
        <v/>
      </c>
      <c r="W221" s="3">
        <f t="shared" si="370"/>
        <v>0</v>
      </c>
      <c r="Y221" s="3">
        <f t="shared" si="371"/>
        <v>1.7266187050359711</v>
      </c>
      <c r="Z221" s="3">
        <f t="shared" si="372"/>
        <v>2.2857142857142856</v>
      </c>
      <c r="AA221" s="3">
        <f t="shared" si="373"/>
        <v>1.7186313965312292</v>
      </c>
      <c r="AB221" s="3" t="str">
        <f t="shared" si="374"/>
        <v>자동</v>
      </c>
      <c r="AC221" s="3">
        <f t="shared" si="375"/>
        <v>1.7186313965312292</v>
      </c>
      <c r="AD221" s="3">
        <f t="shared" si="376"/>
        <v>1.7266187050359711</v>
      </c>
      <c r="AE221" s="3">
        <f t="shared" si="377"/>
        <v>2.2857142857142856</v>
      </c>
      <c r="AF221" s="3">
        <f t="shared" si="378"/>
        <v>1.7186313965312292</v>
      </c>
      <c r="AG221" s="3">
        <f t="shared" si="379"/>
        <v>1.7186313965312292</v>
      </c>
      <c r="AH221" s="3" t="str">
        <f t="shared" si="380"/>
        <v>자동</v>
      </c>
      <c r="AI221" s="3" t="str">
        <f t="shared" si="381"/>
        <v>자동</v>
      </c>
      <c r="AJ221" s="3" t="str">
        <f t="shared" si="382"/>
        <v>자동</v>
      </c>
      <c r="AK221" s="3">
        <v>0</v>
      </c>
      <c r="AL221" s="3">
        <f t="shared" si="383"/>
        <v>0</v>
      </c>
      <c r="AN221" s="3" t="str">
        <f ca="1">IF($BA221=42,OFFSET(변환표준점수!C$119,$AP221-1,0),"")</f>
        <v/>
      </c>
      <c r="AO221" s="3" t="str">
        <f ca="1">IF($BA221=42,OFFSET(변환표준점수!D$119,$AP221-1,0),"")</f>
        <v/>
      </c>
      <c r="AP221" s="3" t="str">
        <f>IF(S221="","",MATCH(S221,변환표준점수!$B$119:$B$298,0))</f>
        <v/>
      </c>
      <c r="AQ221" s="3">
        <v>12</v>
      </c>
      <c r="AR221" s="3">
        <v>12</v>
      </c>
      <c r="AS221" s="3">
        <v>12</v>
      </c>
      <c r="AT221" s="3">
        <v>12</v>
      </c>
      <c r="AX221" s="3">
        <v>3</v>
      </c>
      <c r="AY221" s="3">
        <v>3</v>
      </c>
      <c r="BA221" s="3">
        <f t="shared" si="384"/>
        <v>12</v>
      </c>
      <c r="BJ221" s="3">
        <f t="shared" si="385"/>
        <v>0</v>
      </c>
      <c r="CH221" s="206">
        <f t="shared" si="386"/>
        <v>800</v>
      </c>
      <c r="CI221" s="56">
        <v>200</v>
      </c>
      <c r="CJ221" s="3">
        <v>190</v>
      </c>
      <c r="CK221" s="3">
        <v>180</v>
      </c>
      <c r="CL221" s="3">
        <v>170</v>
      </c>
      <c r="CM221" s="3">
        <v>160</v>
      </c>
      <c r="CN221" s="3">
        <v>150</v>
      </c>
      <c r="CO221" s="3">
        <v>140</v>
      </c>
      <c r="CP221" s="3">
        <v>130</v>
      </c>
      <c r="CQ221" s="3">
        <v>0</v>
      </c>
      <c r="CR221" s="56">
        <v>10</v>
      </c>
      <c r="CS221" s="3">
        <v>10</v>
      </c>
      <c r="CT221" s="3">
        <v>10</v>
      </c>
      <c r="CU221" s="3">
        <v>10</v>
      </c>
      <c r="CV221" s="3">
        <v>10</v>
      </c>
      <c r="CW221" s="3">
        <v>9</v>
      </c>
      <c r="CX221" s="3">
        <v>8</v>
      </c>
      <c r="CY221" s="3">
        <v>7</v>
      </c>
      <c r="CZ221" s="3">
        <v>0</v>
      </c>
      <c r="DJ221" s="3">
        <f t="shared" ca="1" si="387"/>
        <v>200</v>
      </c>
      <c r="DK221" s="3">
        <f t="shared" ca="1" si="388"/>
        <v>100</v>
      </c>
      <c r="DL221" s="3">
        <f t="shared" ca="1" si="389"/>
        <v>10</v>
      </c>
      <c r="DM221" s="3">
        <v>2</v>
      </c>
      <c r="DQ221" s="3">
        <v>1</v>
      </c>
      <c r="DS221" s="3">
        <v>1</v>
      </c>
      <c r="EA221" s="3">
        <f t="shared" si="390"/>
        <v>1</v>
      </c>
      <c r="EB221" s="3">
        <f t="shared" si="391"/>
        <v>2</v>
      </c>
      <c r="EC221" s="3">
        <f t="shared" si="392"/>
        <v>0</v>
      </c>
      <c r="ED221" s="3">
        <f t="shared" si="393"/>
        <v>0</v>
      </c>
      <c r="EF221" s="3">
        <f t="shared" ca="1" si="394"/>
        <v>0</v>
      </c>
      <c r="EG221" s="3">
        <f t="shared" ca="1" si="395"/>
        <v>0</v>
      </c>
      <c r="EH221" s="3">
        <f ca="1">IFERROR(IF(LEFT($BA221,1)="4",OFFSET(변환표준점수!$H$118,MATCH($S221,변환표준점수!$B$119:$B$198,0),),OFFSET(EH$3,MATCH(AS221,$ED$4:$ED$8,0),0)),0)</f>
        <v>0</v>
      </c>
      <c r="EI221" s="3">
        <f ca="1">IFERROR(IF(LEFT($BA221,1)="4",OFFSET(변환표준점수!$I$118,MATCH($S221,변환표준점수!$B$119:$B$198,0),0),OFFSET(EI$3,MATCH(AT221,$ED$4:$ED$8,0),0)),0)</f>
        <v>0</v>
      </c>
      <c r="EK221" s="3">
        <f ca="1">IFERROR(IF(LEFT($BA221,1)="4",OFFSET(변환표준점수!$J$118,MATCH($S221,변환표준점수!$B$119:$B$198,0),0),OFFSET(EJ$3,MATCH(AV221,$ED$4:$ED$8,0),0)),0)</f>
        <v>0</v>
      </c>
      <c r="EL221" s="3">
        <f ca="1">IFERROR(IF(LEFT($BA221,1)="4",OFFSET(변환표준점수!$K$118,MATCH($S221,변환표준점수!$B$119:$B$198,0),0),OFFSET(EK$3,MATCH(AW221,$ED$4:$ED$8,0),0)),0)</f>
        <v>0</v>
      </c>
      <c r="EM221" s="3" t="str">
        <f t="shared" ca="1" si="396"/>
        <v/>
      </c>
      <c r="EN221" s="3" t="str">
        <f t="shared" ca="1" si="397"/>
        <v/>
      </c>
      <c r="EO221" s="3">
        <f t="shared" ca="1" si="398"/>
        <v>0</v>
      </c>
      <c r="EQ221" s="3">
        <f t="shared" ca="1" si="399"/>
        <v>0</v>
      </c>
      <c r="ER221" s="3">
        <f t="shared" ca="1" si="400"/>
        <v>0</v>
      </c>
      <c r="ES221" s="3">
        <f t="shared" ca="1" si="401"/>
        <v>0</v>
      </c>
      <c r="ET221" s="3">
        <f t="shared" ca="1" si="402"/>
        <v>0</v>
      </c>
      <c r="EU221" s="3">
        <f t="shared" si="403"/>
        <v>0</v>
      </c>
      <c r="EV221" s="3">
        <f t="shared" ca="1" si="404"/>
        <v>0</v>
      </c>
      <c r="EW221" s="3">
        <f t="shared" ca="1" si="405"/>
        <v>0</v>
      </c>
      <c r="EX221" s="3">
        <f ca="1">LARGE((ES221:ET221,EV221:EW221),1)</f>
        <v>0</v>
      </c>
      <c r="EY221" s="3">
        <f ca="1">IF(O221&lt;2,0,LARGE((ES221:ET221,EV221:EW221),2))</f>
        <v>0</v>
      </c>
      <c r="EZ221" s="3">
        <f t="shared" ca="1" si="406"/>
        <v>0</v>
      </c>
      <c r="FA221" s="3">
        <f t="shared" ca="1" si="407"/>
        <v>0</v>
      </c>
      <c r="FB221" s="3">
        <f t="shared" ca="1" si="408"/>
        <v>0</v>
      </c>
      <c r="FG221" s="3">
        <f t="shared" ca="1" si="409"/>
        <v>0</v>
      </c>
      <c r="FH221" s="618"/>
      <c r="FU221" s="3" t="str">
        <f t="shared" si="365"/>
        <v>표점/만점</v>
      </c>
      <c r="FV221" s="3" t="str">
        <f t="shared" si="366"/>
        <v>표점/만점</v>
      </c>
      <c r="FW221" s="3">
        <f t="shared" si="410"/>
        <v>0.3</v>
      </c>
      <c r="FX221" s="3">
        <f t="shared" si="411"/>
        <v>0.4</v>
      </c>
      <c r="FY221" s="3">
        <f t="shared" si="412"/>
        <v>0.3</v>
      </c>
      <c r="FZ221" s="3">
        <f t="shared" si="413"/>
        <v>5.7309643872814862</v>
      </c>
    </row>
    <row r="222" spans="1:182">
      <c r="A222" s="556">
        <v>26</v>
      </c>
      <c r="C222" s="3">
        <f t="shared" si="367"/>
        <v>207</v>
      </c>
      <c r="D222" s="3">
        <v>207</v>
      </c>
      <c r="E222" s="3" t="s">
        <v>380</v>
      </c>
      <c r="F222" s="3">
        <v>500</v>
      </c>
      <c r="G222" s="3">
        <v>0.4</v>
      </c>
      <c r="H222" s="3">
        <v>0.3</v>
      </c>
      <c r="I222" s="3">
        <v>0.15</v>
      </c>
      <c r="J222" s="3">
        <v>0.15</v>
      </c>
      <c r="L222" s="3">
        <v>0.15</v>
      </c>
      <c r="M222" s="3">
        <v>0.15</v>
      </c>
      <c r="O222" s="3">
        <v>2</v>
      </c>
      <c r="P222" s="3">
        <f t="shared" si="368"/>
        <v>1</v>
      </c>
      <c r="Q222" s="3">
        <v>52</v>
      </c>
      <c r="S222" s="3">
        <f t="shared" si="369"/>
        <v>52</v>
      </c>
      <c r="W222" s="3">
        <f t="shared" si="370"/>
        <v>0</v>
      </c>
      <c r="Y222" s="3">
        <f t="shared" si="371"/>
        <v>1</v>
      </c>
      <c r="Z222" s="3">
        <f t="shared" si="372"/>
        <v>0.75</v>
      </c>
      <c r="AA222" s="3">
        <f t="shared" si="373"/>
        <v>0.75</v>
      </c>
      <c r="AB222" s="3">
        <f t="shared" si="374"/>
        <v>0.75</v>
      </c>
      <c r="AC222" s="3">
        <f t="shared" si="375"/>
        <v>0.75</v>
      </c>
      <c r="AD222" s="3">
        <f t="shared" si="376"/>
        <v>1</v>
      </c>
      <c r="AE222" s="3">
        <f t="shared" si="377"/>
        <v>0.75</v>
      </c>
      <c r="AF222" s="3">
        <f t="shared" si="378"/>
        <v>0.75</v>
      </c>
      <c r="AG222" s="3">
        <f t="shared" si="379"/>
        <v>0.75</v>
      </c>
      <c r="AH222" s="3" t="str">
        <f t="shared" si="380"/>
        <v>자동</v>
      </c>
      <c r="AI222" s="3">
        <f t="shared" si="381"/>
        <v>0.75</v>
      </c>
      <c r="AJ222" s="3">
        <f t="shared" si="382"/>
        <v>0.75</v>
      </c>
      <c r="AL222" s="3" t="str">
        <f t="shared" si="383"/>
        <v/>
      </c>
      <c r="AN222" s="3" t="str">
        <f ca="1">IF($BA222=42,OFFSET(변환표준점수!C$119,$AP222-1,0),"")</f>
        <v/>
      </c>
      <c r="AO222" s="3" t="str">
        <f ca="1">IF($BA222=42,OFFSET(변환표준점수!D$119,$AP222-1,0),"")</f>
        <v/>
      </c>
      <c r="AP222" s="3">
        <f>IF(S222="","",MATCH(S222,변환표준점수!$B$119:$B$298,0))</f>
        <v>52</v>
      </c>
      <c r="AQ222" s="3">
        <v>1</v>
      </c>
      <c r="AR222" s="3">
        <v>1</v>
      </c>
      <c r="AS222" s="3">
        <v>4</v>
      </c>
      <c r="AT222" s="3">
        <v>4</v>
      </c>
      <c r="AV222" s="3">
        <v>4</v>
      </c>
      <c r="AW222" s="3">
        <v>4</v>
      </c>
      <c r="AX222" s="3">
        <v>3</v>
      </c>
      <c r="AY222" s="3">
        <v>3</v>
      </c>
      <c r="BA222" s="3">
        <f t="shared" si="384"/>
        <v>4</v>
      </c>
      <c r="BJ222" s="3">
        <f t="shared" si="385"/>
        <v>0</v>
      </c>
      <c r="CH222" s="206">
        <f t="shared" si="386"/>
        <v>500</v>
      </c>
      <c r="CI222" s="56">
        <v>30</v>
      </c>
      <c r="CJ222" s="3">
        <v>27</v>
      </c>
      <c r="CK222" s="3">
        <v>24</v>
      </c>
      <c r="CL222" s="3">
        <v>18</v>
      </c>
      <c r="CM222" s="3">
        <v>12</v>
      </c>
      <c r="CN222" s="3">
        <v>9</v>
      </c>
      <c r="CO222" s="3">
        <v>6</v>
      </c>
      <c r="CP222" s="3">
        <v>3</v>
      </c>
      <c r="CQ222" s="3">
        <v>0</v>
      </c>
      <c r="CR222" s="56">
        <v>5</v>
      </c>
      <c r="CS222" s="3">
        <v>5</v>
      </c>
      <c r="CT222" s="3">
        <v>5</v>
      </c>
      <c r="CU222" s="3">
        <v>5</v>
      </c>
      <c r="CV222" s="3">
        <v>5</v>
      </c>
      <c r="CW222" s="3">
        <v>4</v>
      </c>
      <c r="CX222" s="3">
        <v>3</v>
      </c>
      <c r="CY222" s="3">
        <v>2</v>
      </c>
      <c r="CZ222" s="3">
        <v>1</v>
      </c>
      <c r="DJ222" s="3">
        <f t="shared" ca="1" si="387"/>
        <v>30</v>
      </c>
      <c r="DK222" s="3">
        <f t="shared" ca="1" si="388"/>
        <v>100</v>
      </c>
      <c r="DL222" s="3">
        <f t="shared" ca="1" si="389"/>
        <v>5</v>
      </c>
      <c r="DO222" s="3">
        <v>2</v>
      </c>
      <c r="EA222" s="3">
        <f t="shared" si="390"/>
        <v>2</v>
      </c>
      <c r="EB222" s="3">
        <f t="shared" si="391"/>
        <v>2</v>
      </c>
      <c r="EC222" s="3">
        <f t="shared" si="392"/>
        <v>0</v>
      </c>
      <c r="ED222" s="3">
        <f t="shared" si="393"/>
        <v>0</v>
      </c>
      <c r="EF222" s="3">
        <f t="shared" ca="1" si="394"/>
        <v>0</v>
      </c>
      <c r="EG222" s="3">
        <f t="shared" ca="1" si="395"/>
        <v>0</v>
      </c>
      <c r="EH222" s="3">
        <f ca="1">IFERROR(IF(LEFT($BA222,1)="4",OFFSET(변환표준점수!$H$118,MATCH($S222,변환표준점수!$B$119:$B$198,0),),OFFSET(EH$3,MATCH(AS222,$ED$4:$ED$8,0),0)),0)</f>
        <v>0</v>
      </c>
      <c r="EI222" s="3">
        <f ca="1">IFERROR(IF(LEFT($BA222,1)="4",OFFSET(변환표준점수!$I$118,MATCH($S222,변환표준점수!$B$119:$B$198,0),0),OFFSET(EI$3,MATCH(AT222,$ED$4:$ED$8,0),0)),0)</f>
        <v>0</v>
      </c>
      <c r="EK222" s="3">
        <f ca="1">IFERROR(IF(LEFT($BA222,1)="4",OFFSET(변환표준점수!$J$118,MATCH($S222,변환표준점수!$B$119:$B$198,0),0),OFFSET(EJ$3,MATCH(AV222,$ED$4:$ED$8,0),0)),0)</f>
        <v>0</v>
      </c>
      <c r="EL222" s="3">
        <f ca="1">IFERROR(IF(LEFT($BA222,1)="4",OFFSET(변환표준점수!$K$118,MATCH($S222,변환표준점수!$B$119:$B$198,0),0),OFFSET(EK$3,MATCH(AW222,$ED$4:$ED$8,0),0)),0)</f>
        <v>0</v>
      </c>
      <c r="EM222" s="3" t="str">
        <f t="shared" ca="1" si="396"/>
        <v/>
      </c>
      <c r="EN222" s="3" t="str">
        <f t="shared" ca="1" si="397"/>
        <v/>
      </c>
      <c r="EO222" s="3">
        <f t="shared" ca="1" si="398"/>
        <v>0</v>
      </c>
      <c r="EQ222" s="3">
        <f t="shared" ca="1" si="399"/>
        <v>0</v>
      </c>
      <c r="ER222" s="3">
        <f t="shared" ca="1" si="400"/>
        <v>0</v>
      </c>
      <c r="ES222" s="3">
        <f t="shared" ca="1" si="401"/>
        <v>0</v>
      </c>
      <c r="ET222" s="3">
        <f t="shared" ca="1" si="402"/>
        <v>0</v>
      </c>
      <c r="EU222" s="3">
        <f t="shared" si="403"/>
        <v>0</v>
      </c>
      <c r="EV222" s="3">
        <f t="shared" ca="1" si="404"/>
        <v>0</v>
      </c>
      <c r="EW222" s="3">
        <f t="shared" ca="1" si="405"/>
        <v>0</v>
      </c>
      <c r="EX222" s="3">
        <f ca="1">LARGE((ES222:ET222,EV222:EW222),1)</f>
        <v>0</v>
      </c>
      <c r="EY222" s="3">
        <f ca="1">IF(O222&lt;2,0,LARGE((ES222:ET222,EV222:EW222),2))</f>
        <v>0</v>
      </c>
      <c r="EZ222" s="3">
        <f t="shared" ca="1" si="406"/>
        <v>0</v>
      </c>
      <c r="FA222" s="3">
        <f t="shared" ca="1" si="407"/>
        <v>0</v>
      </c>
      <c r="FB222" s="3">
        <f t="shared" ca="1" si="408"/>
        <v>0</v>
      </c>
      <c r="FG222" s="3">
        <f t="shared" ca="1" si="409"/>
        <v>0</v>
      </c>
      <c r="FH222" s="618"/>
      <c r="FU222" s="3" t="str">
        <f t="shared" si="365"/>
        <v>표점</v>
      </c>
      <c r="FV222" s="3" t="str">
        <f t="shared" si="366"/>
        <v>변표</v>
      </c>
      <c r="FW222" s="3">
        <f t="shared" si="410"/>
        <v>0.4</v>
      </c>
      <c r="FX222" s="3">
        <f t="shared" si="411"/>
        <v>0.3</v>
      </c>
      <c r="FY222" s="3">
        <f t="shared" si="412"/>
        <v>0.3</v>
      </c>
      <c r="FZ222" s="3">
        <f t="shared" si="413"/>
        <v>2.5</v>
      </c>
    </row>
    <row r="223" spans="1:182">
      <c r="A223" s="556">
        <v>26</v>
      </c>
      <c r="C223" s="3">
        <f t="shared" si="367"/>
        <v>208</v>
      </c>
      <c r="D223" s="3">
        <v>208</v>
      </c>
      <c r="E223" s="3" t="s">
        <v>381</v>
      </c>
      <c r="F223" s="3">
        <v>500</v>
      </c>
      <c r="G223" s="3">
        <v>0.3</v>
      </c>
      <c r="H223" s="3">
        <v>0.4</v>
      </c>
      <c r="I223" s="3">
        <v>0.15</v>
      </c>
      <c r="J223" s="3">
        <v>0.15</v>
      </c>
      <c r="L223" s="3">
        <v>0.15</v>
      </c>
      <c r="M223" s="3">
        <v>0.15</v>
      </c>
      <c r="O223" s="3">
        <v>2</v>
      </c>
      <c r="P223" s="3">
        <f t="shared" si="368"/>
        <v>1</v>
      </c>
      <c r="Q223" s="3">
        <v>52</v>
      </c>
      <c r="S223" s="3">
        <f t="shared" si="369"/>
        <v>52</v>
      </c>
      <c r="W223" s="3">
        <f t="shared" si="370"/>
        <v>0</v>
      </c>
      <c r="Y223" s="3">
        <f t="shared" si="371"/>
        <v>0.75</v>
      </c>
      <c r="Z223" s="3">
        <f t="shared" si="372"/>
        <v>1</v>
      </c>
      <c r="AA223" s="3">
        <f t="shared" si="373"/>
        <v>0.75</v>
      </c>
      <c r="AB223" s="3">
        <f t="shared" si="374"/>
        <v>0.75</v>
      </c>
      <c r="AC223" s="3">
        <f t="shared" si="375"/>
        <v>0.75</v>
      </c>
      <c r="AD223" s="3">
        <f t="shared" si="376"/>
        <v>0.75</v>
      </c>
      <c r="AE223" s="3">
        <f t="shared" si="377"/>
        <v>1</v>
      </c>
      <c r="AF223" s="3">
        <f t="shared" si="378"/>
        <v>0.75</v>
      </c>
      <c r="AG223" s="3">
        <f t="shared" si="379"/>
        <v>0.75</v>
      </c>
      <c r="AH223" s="3" t="str">
        <f t="shared" si="380"/>
        <v>자동</v>
      </c>
      <c r="AI223" s="3">
        <f t="shared" si="381"/>
        <v>0.75</v>
      </c>
      <c r="AJ223" s="3">
        <f t="shared" si="382"/>
        <v>0.75</v>
      </c>
      <c r="AL223" s="3" t="str">
        <f t="shared" si="383"/>
        <v/>
      </c>
      <c r="AN223" s="3" t="str">
        <f ca="1">IF($BA223=42,OFFSET(변환표준점수!C$119,$AP223-1,0),"")</f>
        <v/>
      </c>
      <c r="AO223" s="3" t="str">
        <f ca="1">IF($BA223=42,OFFSET(변환표준점수!D$119,$AP223-1,0),"")</f>
        <v/>
      </c>
      <c r="AP223" s="3">
        <f>IF(S223="","",MATCH(S223,변환표준점수!$B$119:$B$298,0))</f>
        <v>52</v>
      </c>
      <c r="AQ223" s="3">
        <v>1</v>
      </c>
      <c r="AR223" s="3">
        <v>1</v>
      </c>
      <c r="AS223" s="3">
        <v>4</v>
      </c>
      <c r="AT223" s="3">
        <v>4</v>
      </c>
      <c r="AV223" s="3">
        <v>4</v>
      </c>
      <c r="AW223" s="3">
        <v>4</v>
      </c>
      <c r="AX223" s="3">
        <v>3</v>
      </c>
      <c r="AY223" s="3">
        <v>3</v>
      </c>
      <c r="BA223" s="3">
        <f t="shared" si="384"/>
        <v>4</v>
      </c>
      <c r="BF223" s="3">
        <f>AF223*0.1</f>
        <v>7.5000000000000011E-2</v>
      </c>
      <c r="BG223" s="3">
        <f>AG223*0.1</f>
        <v>7.5000000000000011E-2</v>
      </c>
      <c r="BJ223" s="3">
        <f t="shared" si="385"/>
        <v>0</v>
      </c>
      <c r="BN223" s="212" t="s">
        <v>7371</v>
      </c>
      <c r="BS223" s="3">
        <f ca="1">BF223*EH223</f>
        <v>0</v>
      </c>
      <c r="BT223" s="3">
        <f ca="1">BG223*EI223</f>
        <v>0</v>
      </c>
      <c r="CH223" s="206">
        <f t="shared" si="386"/>
        <v>500</v>
      </c>
      <c r="CI223" s="56">
        <v>30</v>
      </c>
      <c r="CJ223" s="3">
        <v>27</v>
      </c>
      <c r="CK223" s="3">
        <v>24</v>
      </c>
      <c r="CL223" s="3">
        <v>18</v>
      </c>
      <c r="CM223" s="3">
        <v>12</v>
      </c>
      <c r="CN223" s="3">
        <v>9</v>
      </c>
      <c r="CO223" s="3">
        <v>6</v>
      </c>
      <c r="CP223" s="3">
        <v>3</v>
      </c>
      <c r="CQ223" s="3">
        <v>0</v>
      </c>
      <c r="CR223" s="56">
        <v>5</v>
      </c>
      <c r="CS223" s="3">
        <v>5</v>
      </c>
      <c r="CT223" s="3">
        <v>5</v>
      </c>
      <c r="CU223" s="3">
        <v>5</v>
      </c>
      <c r="CV223" s="3">
        <v>5</v>
      </c>
      <c r="CW223" s="3">
        <v>4</v>
      </c>
      <c r="CX223" s="3">
        <v>3</v>
      </c>
      <c r="CY223" s="3">
        <v>2</v>
      </c>
      <c r="CZ223" s="3">
        <v>1</v>
      </c>
      <c r="DJ223" s="3">
        <f t="shared" ca="1" si="387"/>
        <v>30</v>
      </c>
      <c r="DK223" s="3">
        <f t="shared" ca="1" si="388"/>
        <v>100</v>
      </c>
      <c r="DL223" s="3">
        <f t="shared" ca="1" si="389"/>
        <v>5</v>
      </c>
      <c r="DO223" s="3">
        <v>2</v>
      </c>
      <c r="DZ223" s="3">
        <v>1</v>
      </c>
      <c r="EA223" s="3">
        <f t="shared" si="390"/>
        <v>1</v>
      </c>
      <c r="EB223" s="3">
        <f t="shared" si="391"/>
        <v>2</v>
      </c>
      <c r="EC223" s="3">
        <f t="shared" si="392"/>
        <v>0</v>
      </c>
      <c r="ED223" s="3">
        <f t="shared" si="393"/>
        <v>0</v>
      </c>
      <c r="EF223" s="3">
        <f t="shared" ca="1" si="394"/>
        <v>0</v>
      </c>
      <c r="EG223" s="3">
        <f t="shared" ca="1" si="395"/>
        <v>0</v>
      </c>
      <c r="EH223" s="3">
        <f ca="1">IFERROR(IF(LEFT($BA223,1)="4",OFFSET(변환표준점수!$H$118,MATCH($S223,변환표준점수!$B$119:$B$198,0),),OFFSET(EH$3,MATCH(AS223,$ED$4:$ED$8,0),0)),0)</f>
        <v>0</v>
      </c>
      <c r="EI223" s="3">
        <f ca="1">IFERROR(IF(LEFT($BA223,1)="4",OFFSET(변환표준점수!$I$118,MATCH($S223,변환표준점수!$B$119:$B$198,0),0),OFFSET(EI$3,MATCH(AT223,$ED$4:$ED$8,0),0)),0)</f>
        <v>0</v>
      </c>
      <c r="EK223" s="3">
        <f ca="1">IFERROR(IF(LEFT($BA223,1)="4",OFFSET(변환표준점수!$J$118,MATCH($S223,변환표준점수!$B$119:$B$198,0),0),OFFSET(EJ$3,MATCH(AV223,$ED$4:$ED$8,0),0)),0)</f>
        <v>0</v>
      </c>
      <c r="EL223" s="3">
        <f ca="1">IFERROR(IF(LEFT($BA223,1)="4",OFFSET(변환표준점수!$K$118,MATCH($S223,변환표준점수!$B$119:$B$198,0),0),OFFSET(EK$3,MATCH(AW223,$ED$4:$ED$8,0),0)),0)</f>
        <v>0</v>
      </c>
      <c r="EM223" s="3" t="str">
        <f t="shared" ca="1" si="396"/>
        <v/>
      </c>
      <c r="EN223" s="3" t="str">
        <f t="shared" ca="1" si="397"/>
        <v/>
      </c>
      <c r="EO223" s="3">
        <f t="shared" ca="1" si="398"/>
        <v>0</v>
      </c>
      <c r="EQ223" s="3">
        <f t="shared" ca="1" si="399"/>
        <v>0</v>
      </c>
      <c r="ER223" s="3">
        <f t="shared" ca="1" si="400"/>
        <v>0</v>
      </c>
      <c r="ES223" s="3">
        <f t="shared" ca="1" si="401"/>
        <v>0</v>
      </c>
      <c r="ET223" s="3">
        <f t="shared" ca="1" si="402"/>
        <v>0</v>
      </c>
      <c r="EU223" s="3">
        <f t="shared" si="403"/>
        <v>0</v>
      </c>
      <c r="EV223" s="3">
        <f t="shared" ca="1" si="404"/>
        <v>0</v>
      </c>
      <c r="EW223" s="3">
        <f t="shared" ca="1" si="405"/>
        <v>0</v>
      </c>
      <c r="EX223" s="3">
        <f ca="1">LARGE((ES223:ET223,EV223:EW223),1)</f>
        <v>0</v>
      </c>
      <c r="EY223" s="3">
        <f ca="1">IF(O223&lt;2,0,LARGE((ES223:ET223,EV223:EW223),2))</f>
        <v>0</v>
      </c>
      <c r="EZ223" s="3">
        <f t="shared" ca="1" si="406"/>
        <v>0</v>
      </c>
      <c r="FA223" s="3">
        <f t="shared" ca="1" si="407"/>
        <v>0</v>
      </c>
      <c r="FB223" s="3">
        <f t="shared" ca="1" si="408"/>
        <v>0</v>
      </c>
      <c r="FG223" s="3">
        <f t="shared" ca="1" si="409"/>
        <v>0</v>
      </c>
      <c r="FH223" s="618"/>
      <c r="FU223" s="3" t="str">
        <f t="shared" si="365"/>
        <v>표점</v>
      </c>
      <c r="FV223" s="3" t="str">
        <f t="shared" si="366"/>
        <v>변표</v>
      </c>
      <c r="FW223" s="3">
        <f t="shared" si="410"/>
        <v>0.3</v>
      </c>
      <c r="FX223" s="3">
        <f t="shared" si="411"/>
        <v>0.4</v>
      </c>
      <c r="FY223" s="3">
        <f t="shared" si="412"/>
        <v>0.3</v>
      </c>
      <c r="FZ223" s="3">
        <f t="shared" si="413"/>
        <v>2.5</v>
      </c>
    </row>
    <row r="224" spans="1:182">
      <c r="A224" s="556">
        <v>26</v>
      </c>
      <c r="C224" s="3">
        <f t="shared" si="367"/>
        <v>209</v>
      </c>
      <c r="D224" s="3">
        <v>209</v>
      </c>
      <c r="E224" s="3" t="s">
        <v>382</v>
      </c>
      <c r="F224" s="3">
        <v>500</v>
      </c>
      <c r="G224" s="3">
        <v>0.2</v>
      </c>
      <c r="H224" s="3">
        <v>0.4</v>
      </c>
      <c r="I224" s="3">
        <v>0.2</v>
      </c>
      <c r="J224" s="3">
        <v>0.2</v>
      </c>
      <c r="O224" s="3">
        <v>2</v>
      </c>
      <c r="P224" s="3">
        <f t="shared" si="368"/>
        <v>1</v>
      </c>
      <c r="Q224" s="3">
        <v>52</v>
      </c>
      <c r="S224" s="3">
        <f t="shared" si="369"/>
        <v>52</v>
      </c>
      <c r="W224" s="3">
        <f t="shared" si="370"/>
        <v>0</v>
      </c>
      <c r="Y224" s="3">
        <f t="shared" si="371"/>
        <v>0.5</v>
      </c>
      <c r="Z224" s="3">
        <f t="shared" si="372"/>
        <v>1</v>
      </c>
      <c r="AA224" s="3">
        <f t="shared" si="373"/>
        <v>1</v>
      </c>
      <c r="AB224" s="3" t="str">
        <f t="shared" si="374"/>
        <v>자동</v>
      </c>
      <c r="AC224" s="3">
        <f t="shared" si="375"/>
        <v>1</v>
      </c>
      <c r="AD224" s="3">
        <f t="shared" si="376"/>
        <v>0.5</v>
      </c>
      <c r="AE224" s="3">
        <f t="shared" si="377"/>
        <v>1</v>
      </c>
      <c r="AF224" s="3">
        <f t="shared" si="378"/>
        <v>1</v>
      </c>
      <c r="AG224" s="3">
        <f t="shared" si="379"/>
        <v>1</v>
      </c>
      <c r="AH224" s="3" t="str">
        <f t="shared" si="380"/>
        <v>자동</v>
      </c>
      <c r="AI224" s="3" t="str">
        <f t="shared" si="381"/>
        <v>자동</v>
      </c>
      <c r="AJ224" s="3" t="str">
        <f t="shared" si="382"/>
        <v>자동</v>
      </c>
      <c r="AL224" s="3" t="str">
        <f t="shared" si="383"/>
        <v/>
      </c>
      <c r="AN224" s="3" t="str">
        <f ca="1">IF($BA224=42,OFFSET(변환표준점수!C$119,$AP224-1,0),"")</f>
        <v/>
      </c>
      <c r="AO224" s="3" t="str">
        <f ca="1">IF($BA224=42,OFFSET(변환표준점수!D$119,$AP224-1,0),"")</f>
        <v/>
      </c>
      <c r="AP224" s="3">
        <f>IF(S224="","",MATCH(S224,변환표준점수!$B$119:$B$298,0))</f>
        <v>52</v>
      </c>
      <c r="AQ224" s="3">
        <v>1</v>
      </c>
      <c r="AR224" s="3">
        <v>1</v>
      </c>
      <c r="AS224" s="3">
        <v>4</v>
      </c>
      <c r="AT224" s="3">
        <v>4</v>
      </c>
      <c r="AX224" s="3">
        <v>3</v>
      </c>
      <c r="AY224" s="3">
        <v>3</v>
      </c>
      <c r="BA224" s="3">
        <f t="shared" si="384"/>
        <v>4</v>
      </c>
      <c r="BJ224" s="3">
        <f t="shared" si="385"/>
        <v>0</v>
      </c>
      <c r="CH224" s="206">
        <f t="shared" si="386"/>
        <v>500</v>
      </c>
      <c r="CI224" s="56">
        <v>30</v>
      </c>
      <c r="CJ224" s="3">
        <v>27</v>
      </c>
      <c r="CK224" s="3">
        <v>24</v>
      </c>
      <c r="CL224" s="3">
        <v>18</v>
      </c>
      <c r="CM224" s="3">
        <v>12</v>
      </c>
      <c r="CN224" s="3">
        <v>9</v>
      </c>
      <c r="CO224" s="3">
        <v>6</v>
      </c>
      <c r="CP224" s="3">
        <v>3</v>
      </c>
      <c r="CQ224" s="3">
        <v>0</v>
      </c>
      <c r="CR224" s="56">
        <v>5</v>
      </c>
      <c r="CS224" s="3">
        <v>5</v>
      </c>
      <c r="CT224" s="3">
        <v>5</v>
      </c>
      <c r="CU224" s="3">
        <v>5</v>
      </c>
      <c r="CV224" s="3">
        <v>5</v>
      </c>
      <c r="CW224" s="3">
        <v>4</v>
      </c>
      <c r="CX224" s="3">
        <v>3</v>
      </c>
      <c r="CY224" s="3">
        <v>2</v>
      </c>
      <c r="CZ224" s="3">
        <v>1</v>
      </c>
      <c r="DJ224" s="3">
        <f t="shared" ca="1" si="387"/>
        <v>30</v>
      </c>
      <c r="DK224" s="3">
        <f t="shared" ca="1" si="388"/>
        <v>100</v>
      </c>
      <c r="DL224" s="3">
        <f t="shared" ca="1" si="389"/>
        <v>5</v>
      </c>
      <c r="DM224" s="3">
        <v>2</v>
      </c>
      <c r="DS224" s="3">
        <v>1</v>
      </c>
      <c r="EA224" s="3">
        <f t="shared" si="390"/>
        <v>1</v>
      </c>
      <c r="EB224" s="3">
        <f t="shared" si="391"/>
        <v>2</v>
      </c>
      <c r="EC224" s="3">
        <f t="shared" si="392"/>
        <v>0</v>
      </c>
      <c r="ED224" s="3">
        <f t="shared" si="393"/>
        <v>0</v>
      </c>
      <c r="EF224" s="3">
        <f t="shared" ca="1" si="394"/>
        <v>0</v>
      </c>
      <c r="EG224" s="3">
        <f t="shared" ca="1" si="395"/>
        <v>0</v>
      </c>
      <c r="EH224" s="3">
        <f ca="1">IFERROR(IF(LEFT($BA224,1)="4",OFFSET(변환표준점수!$H$118,MATCH($S224,변환표준점수!$B$119:$B$198,0),),OFFSET(EH$3,MATCH(AS224,$ED$4:$ED$8,0),0)),0)</f>
        <v>0</v>
      </c>
      <c r="EI224" s="3">
        <f ca="1">IFERROR(IF(LEFT($BA224,1)="4",OFFSET(변환표준점수!$I$118,MATCH($S224,변환표준점수!$B$119:$B$198,0),0),OFFSET(EI$3,MATCH(AT224,$ED$4:$ED$8,0),0)),0)</f>
        <v>0</v>
      </c>
      <c r="EK224" s="3">
        <f ca="1">IFERROR(IF(LEFT($BA224,1)="4",OFFSET(변환표준점수!$J$118,MATCH($S224,변환표준점수!$B$119:$B$198,0),0),OFFSET(EJ$3,MATCH(AV224,$ED$4:$ED$8,0),0)),0)</f>
        <v>0</v>
      </c>
      <c r="EL224" s="3">
        <f ca="1">IFERROR(IF(LEFT($BA224,1)="4",OFFSET(변환표준점수!$K$118,MATCH($S224,변환표준점수!$B$119:$B$198,0),0),OFFSET(EK$3,MATCH(AW224,$ED$4:$ED$8,0),0)),0)</f>
        <v>0</v>
      </c>
      <c r="EM224" s="3" t="str">
        <f t="shared" ca="1" si="396"/>
        <v/>
      </c>
      <c r="EN224" s="3" t="str">
        <f t="shared" ca="1" si="397"/>
        <v/>
      </c>
      <c r="EO224" s="3">
        <f t="shared" ca="1" si="398"/>
        <v>0</v>
      </c>
      <c r="EQ224" s="3">
        <f t="shared" ca="1" si="399"/>
        <v>0</v>
      </c>
      <c r="ER224" s="3">
        <f t="shared" ca="1" si="400"/>
        <v>0</v>
      </c>
      <c r="ES224" s="3">
        <f t="shared" ca="1" si="401"/>
        <v>0</v>
      </c>
      <c r="ET224" s="3">
        <f t="shared" ca="1" si="402"/>
        <v>0</v>
      </c>
      <c r="EU224" s="3">
        <f t="shared" si="403"/>
        <v>0</v>
      </c>
      <c r="EV224" s="3">
        <f t="shared" ca="1" si="404"/>
        <v>0</v>
      </c>
      <c r="EW224" s="3">
        <f t="shared" ca="1" si="405"/>
        <v>0</v>
      </c>
      <c r="EX224" s="3">
        <f ca="1">LARGE((ES224:ET224,EV224:EW224),1)</f>
        <v>0</v>
      </c>
      <c r="EY224" s="3">
        <f ca="1">IF(O224&lt;2,0,LARGE((ES224:ET224,EV224:EW224),2))</f>
        <v>0</v>
      </c>
      <c r="EZ224" s="3">
        <f t="shared" ca="1" si="406"/>
        <v>0</v>
      </c>
      <c r="FA224" s="3">
        <f t="shared" ca="1" si="407"/>
        <v>0</v>
      </c>
      <c r="FB224" s="3">
        <f t="shared" ca="1" si="408"/>
        <v>0</v>
      </c>
      <c r="FG224" s="3">
        <f t="shared" ca="1" si="409"/>
        <v>0</v>
      </c>
      <c r="FH224" s="618"/>
      <c r="FU224" s="3" t="str">
        <f t="shared" si="365"/>
        <v>표점</v>
      </c>
      <c r="FV224" s="3" t="str">
        <f t="shared" si="366"/>
        <v>변표</v>
      </c>
      <c r="FW224" s="3">
        <f t="shared" si="410"/>
        <v>0.2</v>
      </c>
      <c r="FX224" s="3">
        <f t="shared" si="411"/>
        <v>0.4</v>
      </c>
      <c r="FY224" s="3">
        <f t="shared" si="412"/>
        <v>0.4</v>
      </c>
      <c r="FZ224" s="3">
        <f t="shared" si="413"/>
        <v>2.5</v>
      </c>
    </row>
    <row r="225" spans="1:182">
      <c r="A225" s="556">
        <v>26</v>
      </c>
      <c r="C225" s="3">
        <f t="shared" si="367"/>
        <v>210</v>
      </c>
      <c r="D225" s="3">
        <v>210</v>
      </c>
      <c r="E225" s="3" t="s">
        <v>383</v>
      </c>
      <c r="F225" s="3">
        <v>500</v>
      </c>
      <c r="G225" s="3">
        <v>0.3</v>
      </c>
      <c r="H225" s="3">
        <v>0.4</v>
      </c>
      <c r="I225" s="3">
        <v>0.15</v>
      </c>
      <c r="J225" s="3">
        <v>0.15</v>
      </c>
      <c r="O225" s="3">
        <v>2</v>
      </c>
      <c r="P225" s="3">
        <f t="shared" si="368"/>
        <v>1</v>
      </c>
      <c r="Q225" s="3">
        <v>52</v>
      </c>
      <c r="S225" s="3">
        <f t="shared" si="369"/>
        <v>52</v>
      </c>
      <c r="W225" s="3">
        <f t="shared" si="370"/>
        <v>0</v>
      </c>
      <c r="Y225" s="3">
        <f t="shared" si="371"/>
        <v>0.75</v>
      </c>
      <c r="Z225" s="3">
        <f t="shared" si="372"/>
        <v>1</v>
      </c>
      <c r="AA225" s="3">
        <f t="shared" si="373"/>
        <v>0.75</v>
      </c>
      <c r="AB225" s="3" t="str">
        <f t="shared" si="374"/>
        <v>자동</v>
      </c>
      <c r="AC225" s="3">
        <f t="shared" si="375"/>
        <v>0.75</v>
      </c>
      <c r="AD225" s="3">
        <f t="shared" si="376"/>
        <v>0.75</v>
      </c>
      <c r="AE225" s="3">
        <f t="shared" si="377"/>
        <v>1</v>
      </c>
      <c r="AF225" s="3">
        <f t="shared" si="378"/>
        <v>0.75</v>
      </c>
      <c r="AG225" s="3">
        <f t="shared" si="379"/>
        <v>0.75</v>
      </c>
      <c r="AH225" s="3" t="str">
        <f t="shared" si="380"/>
        <v>자동</v>
      </c>
      <c r="AI225" s="3" t="str">
        <f t="shared" si="381"/>
        <v>자동</v>
      </c>
      <c r="AJ225" s="3" t="str">
        <f t="shared" si="382"/>
        <v>자동</v>
      </c>
      <c r="AL225" s="3" t="str">
        <f t="shared" si="383"/>
        <v/>
      </c>
      <c r="AN225" s="3" t="str">
        <f ca="1">IF($BA225=42,OFFSET(변환표준점수!C$119,$AP225-1,0),"")</f>
        <v/>
      </c>
      <c r="AO225" s="3" t="str">
        <f ca="1">IF($BA225=42,OFFSET(변환표준점수!D$119,$AP225-1,0),"")</f>
        <v/>
      </c>
      <c r="AP225" s="3">
        <f>IF(S225="","",MATCH(S225,변환표준점수!$B$119:$B$298,0))</f>
        <v>52</v>
      </c>
      <c r="AQ225" s="3">
        <v>1</v>
      </c>
      <c r="AR225" s="3">
        <v>1</v>
      </c>
      <c r="AS225" s="3">
        <v>4</v>
      </c>
      <c r="AT225" s="3">
        <v>4</v>
      </c>
      <c r="AX225" s="3">
        <v>3</v>
      </c>
      <c r="AY225" s="3">
        <v>3</v>
      </c>
      <c r="BA225" s="3">
        <f t="shared" si="384"/>
        <v>4</v>
      </c>
      <c r="BJ225" s="3">
        <f t="shared" si="385"/>
        <v>0</v>
      </c>
      <c r="CH225" s="206">
        <f t="shared" si="386"/>
        <v>500</v>
      </c>
      <c r="CI225" s="56">
        <v>30</v>
      </c>
      <c r="CJ225" s="3">
        <v>27</v>
      </c>
      <c r="CK225" s="3">
        <v>24</v>
      </c>
      <c r="CL225" s="3">
        <v>18</v>
      </c>
      <c r="CM225" s="3">
        <v>12</v>
      </c>
      <c r="CN225" s="3">
        <v>9</v>
      </c>
      <c r="CO225" s="3">
        <v>6</v>
      </c>
      <c r="CP225" s="3">
        <v>3</v>
      </c>
      <c r="CQ225" s="3">
        <v>0</v>
      </c>
      <c r="CR225" s="56">
        <v>5</v>
      </c>
      <c r="CS225" s="3">
        <v>5</v>
      </c>
      <c r="CT225" s="3">
        <v>5</v>
      </c>
      <c r="CU225" s="3">
        <v>5</v>
      </c>
      <c r="CV225" s="3">
        <v>5</v>
      </c>
      <c r="CW225" s="3">
        <v>4</v>
      </c>
      <c r="CX225" s="3">
        <v>3</v>
      </c>
      <c r="CY225" s="3">
        <v>2</v>
      </c>
      <c r="CZ225" s="3">
        <v>1</v>
      </c>
      <c r="DJ225" s="3">
        <f t="shared" ca="1" si="387"/>
        <v>30</v>
      </c>
      <c r="DK225" s="3">
        <f t="shared" ca="1" si="388"/>
        <v>100</v>
      </c>
      <c r="DL225" s="3">
        <f t="shared" ca="1" si="389"/>
        <v>5</v>
      </c>
      <c r="DM225" s="3">
        <v>2</v>
      </c>
      <c r="DQ225" s="3">
        <v>1</v>
      </c>
      <c r="DS225" s="3">
        <v>1</v>
      </c>
      <c r="EA225" s="3">
        <f t="shared" si="390"/>
        <v>1</v>
      </c>
      <c r="EB225" s="3">
        <f t="shared" si="391"/>
        <v>2</v>
      </c>
      <c r="EC225" s="3">
        <f t="shared" si="392"/>
        <v>0</v>
      </c>
      <c r="ED225" s="3">
        <f t="shared" si="393"/>
        <v>0</v>
      </c>
      <c r="EF225" s="3">
        <f t="shared" ca="1" si="394"/>
        <v>0</v>
      </c>
      <c r="EG225" s="3">
        <f t="shared" ca="1" si="395"/>
        <v>0</v>
      </c>
      <c r="EH225" s="3">
        <f ca="1">IFERROR(IF(LEFT($BA225,1)="4",OFFSET(변환표준점수!$H$118,MATCH($S225,변환표준점수!$B$119:$B$198,0),),OFFSET(EH$3,MATCH(AS225,$ED$4:$ED$8,0),0)),0)</f>
        <v>0</v>
      </c>
      <c r="EI225" s="3">
        <f ca="1">IFERROR(IF(LEFT($BA225,1)="4",OFFSET(변환표준점수!$I$118,MATCH($S225,변환표준점수!$B$119:$B$198,0),0),OFFSET(EI$3,MATCH(AT225,$ED$4:$ED$8,0),0)),0)</f>
        <v>0</v>
      </c>
      <c r="EK225" s="3">
        <f ca="1">IFERROR(IF(LEFT($BA225,1)="4",OFFSET(변환표준점수!$J$118,MATCH($S225,변환표준점수!$B$119:$B$198,0),0),OFFSET(EJ$3,MATCH(AV225,$ED$4:$ED$8,0),0)),0)</f>
        <v>0</v>
      </c>
      <c r="EL225" s="3">
        <f ca="1">IFERROR(IF(LEFT($BA225,1)="4",OFFSET(변환표준점수!$K$118,MATCH($S225,변환표준점수!$B$119:$B$198,0),0),OFFSET(EK$3,MATCH(AW225,$ED$4:$ED$8,0),0)),0)</f>
        <v>0</v>
      </c>
      <c r="EM225" s="3" t="str">
        <f t="shared" ca="1" si="396"/>
        <v/>
      </c>
      <c r="EN225" s="3" t="str">
        <f t="shared" ca="1" si="397"/>
        <v/>
      </c>
      <c r="EO225" s="3">
        <f t="shared" ca="1" si="398"/>
        <v>0</v>
      </c>
      <c r="EQ225" s="3">
        <f t="shared" ca="1" si="399"/>
        <v>0</v>
      </c>
      <c r="ER225" s="3">
        <f t="shared" ca="1" si="400"/>
        <v>0</v>
      </c>
      <c r="ES225" s="3">
        <f t="shared" ca="1" si="401"/>
        <v>0</v>
      </c>
      <c r="ET225" s="3">
        <f t="shared" ca="1" si="402"/>
        <v>0</v>
      </c>
      <c r="EU225" s="3">
        <f t="shared" si="403"/>
        <v>0</v>
      </c>
      <c r="EV225" s="3">
        <f t="shared" ca="1" si="404"/>
        <v>0</v>
      </c>
      <c r="EW225" s="3">
        <f t="shared" ca="1" si="405"/>
        <v>0</v>
      </c>
      <c r="EX225" s="3">
        <f ca="1">LARGE((ES225:ET225,EV225:EW225),1)</f>
        <v>0</v>
      </c>
      <c r="EY225" s="3">
        <f ca="1">IF(O225&lt;2,0,LARGE((ES225:ET225,EV225:EW225),2))</f>
        <v>0</v>
      </c>
      <c r="EZ225" s="3">
        <f t="shared" ca="1" si="406"/>
        <v>0</v>
      </c>
      <c r="FA225" s="3">
        <f t="shared" ca="1" si="407"/>
        <v>0</v>
      </c>
      <c r="FB225" s="3">
        <f t="shared" ca="1" si="408"/>
        <v>0</v>
      </c>
      <c r="FG225" s="3">
        <f t="shared" ca="1" si="409"/>
        <v>0</v>
      </c>
      <c r="FH225" s="618"/>
      <c r="FU225" s="3" t="str">
        <f t="shared" si="365"/>
        <v>표점</v>
      </c>
      <c r="FV225" s="3" t="str">
        <f t="shared" si="366"/>
        <v>변표</v>
      </c>
      <c r="FW225" s="3">
        <f t="shared" si="410"/>
        <v>0.3</v>
      </c>
      <c r="FX225" s="3">
        <f t="shared" si="411"/>
        <v>0.4</v>
      </c>
      <c r="FY225" s="3">
        <f t="shared" si="412"/>
        <v>0.3</v>
      </c>
      <c r="FZ225" s="3">
        <f t="shared" si="413"/>
        <v>2.5</v>
      </c>
    </row>
    <row r="226" spans="1:182">
      <c r="A226" s="556">
        <v>26</v>
      </c>
      <c r="C226" s="3">
        <f t="shared" si="367"/>
        <v>211</v>
      </c>
      <c r="D226" s="3">
        <v>211</v>
      </c>
      <c r="E226" s="3" t="s">
        <v>7372</v>
      </c>
      <c r="F226" s="3">
        <v>500</v>
      </c>
      <c r="G226" s="3">
        <v>0.3</v>
      </c>
      <c r="H226" s="3">
        <v>0.5</v>
      </c>
      <c r="I226" s="3">
        <v>0.1</v>
      </c>
      <c r="J226" s="3">
        <v>0.1</v>
      </c>
      <c r="L226" s="3">
        <v>0.1</v>
      </c>
      <c r="M226" s="3">
        <v>0.1</v>
      </c>
      <c r="O226" s="3">
        <v>2</v>
      </c>
      <c r="P226" s="3">
        <f t="shared" si="368"/>
        <v>1</v>
      </c>
      <c r="Q226" s="3">
        <v>52</v>
      </c>
      <c r="S226" s="3">
        <f t="shared" si="369"/>
        <v>52</v>
      </c>
      <c r="W226" s="3">
        <f t="shared" si="370"/>
        <v>0</v>
      </c>
      <c r="Y226" s="3">
        <f t="shared" si="371"/>
        <v>0.75</v>
      </c>
      <c r="Z226" s="3">
        <f t="shared" si="372"/>
        <v>1.25</v>
      </c>
      <c r="AA226" s="3">
        <f t="shared" si="373"/>
        <v>0.5</v>
      </c>
      <c r="AB226" s="3">
        <f t="shared" si="374"/>
        <v>0.5</v>
      </c>
      <c r="AC226" s="3">
        <f t="shared" si="375"/>
        <v>0.5</v>
      </c>
      <c r="AD226" s="3">
        <f t="shared" si="376"/>
        <v>0.75</v>
      </c>
      <c r="AE226" s="3">
        <f t="shared" si="377"/>
        <v>1.25</v>
      </c>
      <c r="AF226" s="3">
        <f t="shared" si="378"/>
        <v>0.5</v>
      </c>
      <c r="AG226" s="3">
        <f t="shared" si="379"/>
        <v>0.5</v>
      </c>
      <c r="AH226" s="3" t="str">
        <f t="shared" si="380"/>
        <v>자동</v>
      </c>
      <c r="AI226" s="3">
        <f t="shared" si="381"/>
        <v>0.5</v>
      </c>
      <c r="AJ226" s="3">
        <f t="shared" si="382"/>
        <v>0.5</v>
      </c>
      <c r="AL226" s="3" t="str">
        <f t="shared" si="383"/>
        <v/>
      </c>
      <c r="AN226" s="3" t="str">
        <f ca="1">IF($BA226=42,OFFSET(변환표준점수!C$119,$AP226-1,0),"")</f>
        <v/>
      </c>
      <c r="AO226" s="3" t="str">
        <f ca="1">IF($BA226=42,OFFSET(변환표준점수!D$119,$AP226-1,0),"")</f>
        <v/>
      </c>
      <c r="AP226" s="3">
        <f>IF(S226="","",MATCH(S226,변환표준점수!$B$119:$B$298,0))</f>
        <v>52</v>
      </c>
      <c r="AQ226" s="3">
        <v>1</v>
      </c>
      <c r="AR226" s="3">
        <v>1</v>
      </c>
      <c r="AS226" s="3">
        <v>4</v>
      </c>
      <c r="AT226" s="3">
        <v>4</v>
      </c>
      <c r="AV226" s="3">
        <v>4</v>
      </c>
      <c r="AW226" s="3">
        <v>4</v>
      </c>
      <c r="AX226" s="3">
        <v>3</v>
      </c>
      <c r="AY226" s="3">
        <v>3</v>
      </c>
      <c r="BA226" s="3">
        <f t="shared" si="384"/>
        <v>4</v>
      </c>
      <c r="BJ226" s="3">
        <f t="shared" si="385"/>
        <v>0</v>
      </c>
      <c r="CH226" s="206">
        <f t="shared" si="386"/>
        <v>500</v>
      </c>
      <c r="CI226" s="56">
        <v>30</v>
      </c>
      <c r="CJ226" s="3">
        <v>27</v>
      </c>
      <c r="CK226" s="3">
        <v>24</v>
      </c>
      <c r="CL226" s="3">
        <v>18</v>
      </c>
      <c r="CM226" s="3">
        <v>12</v>
      </c>
      <c r="CN226" s="3">
        <v>9</v>
      </c>
      <c r="CO226" s="3">
        <v>6</v>
      </c>
      <c r="CP226" s="3">
        <v>3</v>
      </c>
      <c r="CQ226" s="3">
        <v>0</v>
      </c>
      <c r="CR226" s="56">
        <v>5</v>
      </c>
      <c r="CS226" s="3">
        <v>5</v>
      </c>
      <c r="CT226" s="3">
        <v>5</v>
      </c>
      <c r="CU226" s="3">
        <v>5</v>
      </c>
      <c r="CV226" s="3">
        <v>5</v>
      </c>
      <c r="CW226" s="3">
        <v>4</v>
      </c>
      <c r="CX226" s="3">
        <v>3</v>
      </c>
      <c r="CY226" s="3">
        <v>2</v>
      </c>
      <c r="CZ226" s="3">
        <v>1</v>
      </c>
      <c r="DJ226" s="3">
        <f t="shared" ca="1" si="387"/>
        <v>30</v>
      </c>
      <c r="DK226" s="3">
        <f t="shared" ca="1" si="388"/>
        <v>100</v>
      </c>
      <c r="DL226" s="3">
        <f t="shared" ca="1" si="389"/>
        <v>5</v>
      </c>
      <c r="DO226" s="3">
        <v>2</v>
      </c>
      <c r="DQ226" s="3">
        <v>1</v>
      </c>
      <c r="DZ226" s="3">
        <v>1</v>
      </c>
      <c r="EA226" s="3">
        <f t="shared" si="390"/>
        <v>1</v>
      </c>
      <c r="EB226" s="3">
        <f t="shared" si="391"/>
        <v>2</v>
      </c>
      <c r="EC226" s="3">
        <f t="shared" si="392"/>
        <v>0</v>
      </c>
      <c r="ED226" s="3">
        <f t="shared" si="393"/>
        <v>0</v>
      </c>
      <c r="EF226" s="3">
        <f t="shared" ca="1" si="394"/>
        <v>0</v>
      </c>
      <c r="EG226" s="3">
        <f t="shared" ca="1" si="395"/>
        <v>0</v>
      </c>
      <c r="EH226" s="3">
        <f ca="1">IFERROR(IF(LEFT($BA226,1)="4",OFFSET(변환표준점수!$H$118,MATCH($S226,변환표준점수!$B$119:$B$198,0),),OFFSET(EH$3,MATCH(AS226,$ED$4:$ED$8,0),0)),0)</f>
        <v>0</v>
      </c>
      <c r="EI226" s="3">
        <f ca="1">IFERROR(IF(LEFT($BA226,1)="4",OFFSET(변환표준점수!$I$118,MATCH($S226,변환표준점수!$B$119:$B$198,0),0),OFFSET(EI$3,MATCH(AT226,$ED$4:$ED$8,0),0)),0)</f>
        <v>0</v>
      </c>
      <c r="EK226" s="3">
        <f ca="1">IFERROR(IF(LEFT($BA226,1)="4",OFFSET(변환표준점수!$J$118,MATCH($S226,변환표준점수!$B$119:$B$198,0),0),OFFSET(EJ$3,MATCH(AV226,$ED$4:$ED$8,0),0)),0)</f>
        <v>0</v>
      </c>
      <c r="EL226" s="3">
        <f ca="1">IFERROR(IF(LEFT($BA226,1)="4",OFFSET(변환표준점수!$K$118,MATCH($S226,변환표준점수!$B$119:$B$198,0),0),OFFSET(EK$3,MATCH(AW226,$ED$4:$ED$8,0),0)),0)</f>
        <v>0</v>
      </c>
      <c r="EM226" s="3" t="str">
        <f t="shared" ca="1" si="396"/>
        <v/>
      </c>
      <c r="EN226" s="3" t="str">
        <f t="shared" ca="1" si="397"/>
        <v/>
      </c>
      <c r="EO226" s="3">
        <f t="shared" ca="1" si="398"/>
        <v>0</v>
      </c>
      <c r="EQ226" s="3">
        <f t="shared" ca="1" si="399"/>
        <v>0</v>
      </c>
      <c r="ER226" s="3">
        <f t="shared" ca="1" si="400"/>
        <v>0</v>
      </c>
      <c r="ES226" s="3">
        <f t="shared" ca="1" si="401"/>
        <v>0</v>
      </c>
      <c r="ET226" s="3">
        <f t="shared" ca="1" si="402"/>
        <v>0</v>
      </c>
      <c r="EU226" s="3">
        <f t="shared" si="403"/>
        <v>0</v>
      </c>
      <c r="EV226" s="3">
        <f t="shared" ca="1" si="404"/>
        <v>0</v>
      </c>
      <c r="EW226" s="3">
        <f t="shared" ca="1" si="405"/>
        <v>0</v>
      </c>
      <c r="EX226" s="3">
        <f ca="1">LARGE((ES226:ET226,EV226:EW226),1)</f>
        <v>0</v>
      </c>
      <c r="EY226" s="3">
        <f ca="1">IF(O226&lt;2,0,LARGE((ES226:ET226,EV226:EW226),2))</f>
        <v>0</v>
      </c>
      <c r="EZ226" s="3">
        <f t="shared" ca="1" si="406"/>
        <v>0</v>
      </c>
      <c r="FA226" s="3">
        <f t="shared" ca="1" si="407"/>
        <v>0</v>
      </c>
      <c r="FB226" s="3">
        <f t="shared" ca="1" si="408"/>
        <v>0</v>
      </c>
      <c r="FG226" s="3">
        <f t="shared" ca="1" si="409"/>
        <v>0</v>
      </c>
      <c r="FH226" s="618"/>
      <c r="FU226" s="3" t="str">
        <f t="shared" si="365"/>
        <v>표점</v>
      </c>
      <c r="FV226" s="3" t="str">
        <f t="shared" si="366"/>
        <v>변표</v>
      </c>
      <c r="FW226" s="3">
        <f t="shared" si="410"/>
        <v>0.3</v>
      </c>
      <c r="FX226" s="3">
        <f t="shared" si="411"/>
        <v>0.5</v>
      </c>
      <c r="FY226" s="3">
        <f t="shared" si="412"/>
        <v>0.2</v>
      </c>
      <c r="FZ226" s="3">
        <f t="shared" si="413"/>
        <v>2.5</v>
      </c>
    </row>
    <row r="227" spans="1:182">
      <c r="A227" s="556">
        <v>26</v>
      </c>
      <c r="C227" s="3">
        <f t="shared" si="367"/>
        <v>212</v>
      </c>
      <c r="D227" s="3">
        <v>212</v>
      </c>
      <c r="E227" s="3" t="s">
        <v>384</v>
      </c>
      <c r="F227" s="3">
        <v>1000</v>
      </c>
      <c r="G227" s="3">
        <v>0.3</v>
      </c>
      <c r="H227" s="3">
        <v>0.2</v>
      </c>
      <c r="I227" s="3">
        <v>0.15</v>
      </c>
      <c r="J227" s="3">
        <v>0.15</v>
      </c>
      <c r="L227" s="3">
        <v>0.15</v>
      </c>
      <c r="M227" s="3">
        <v>0.15</v>
      </c>
      <c r="O227" s="3">
        <v>2</v>
      </c>
      <c r="P227" s="3">
        <f t="shared" si="368"/>
        <v>0.8</v>
      </c>
      <c r="Q227" s="3" t="s">
        <v>408</v>
      </c>
      <c r="S227" s="3" t="str">
        <f t="shared" si="369"/>
        <v/>
      </c>
      <c r="W227" s="3">
        <f t="shared" si="370"/>
        <v>0</v>
      </c>
      <c r="Y227" s="3">
        <f t="shared" si="371"/>
        <v>3</v>
      </c>
      <c r="Z227" s="3">
        <f t="shared" si="372"/>
        <v>2</v>
      </c>
      <c r="AA227" s="3">
        <f t="shared" si="373"/>
        <v>1.5</v>
      </c>
      <c r="AB227" s="3">
        <f t="shared" si="374"/>
        <v>1.5</v>
      </c>
      <c r="AC227" s="3">
        <f t="shared" si="375"/>
        <v>3</v>
      </c>
      <c r="AD227" s="3">
        <f t="shared" si="376"/>
        <v>3</v>
      </c>
      <c r="AE227" s="3">
        <f t="shared" si="377"/>
        <v>2</v>
      </c>
      <c r="AF227" s="3">
        <f t="shared" si="378"/>
        <v>1.5</v>
      </c>
      <c r="AG227" s="3">
        <f t="shared" si="379"/>
        <v>1.5</v>
      </c>
      <c r="AH227" s="3" t="str">
        <f t="shared" si="380"/>
        <v>자동</v>
      </c>
      <c r="AI227" s="3">
        <f t="shared" si="381"/>
        <v>1.5</v>
      </c>
      <c r="AJ227" s="3">
        <f t="shared" si="382"/>
        <v>1.5</v>
      </c>
      <c r="AL227" s="3" t="str">
        <f t="shared" si="383"/>
        <v/>
      </c>
      <c r="AN227" s="3" t="str">
        <f ca="1">IF($BA227=42,OFFSET(변환표준점수!C$119,$AP227-1,0),"")</f>
        <v/>
      </c>
      <c r="AO227" s="3" t="str">
        <f ca="1">IF($BA227=42,OFFSET(변환표준점수!D$119,$AP227-1,0),"")</f>
        <v/>
      </c>
      <c r="AP227" s="3" t="str">
        <f>IF(S227="","",MATCH(S227,변환표준점수!$B$119:$B$298,0))</f>
        <v/>
      </c>
      <c r="AQ227" s="3">
        <v>2</v>
      </c>
      <c r="AR227" s="3">
        <v>2</v>
      </c>
      <c r="AS227" s="3">
        <v>2</v>
      </c>
      <c r="AT227" s="3">
        <v>2</v>
      </c>
      <c r="AV227" s="3">
        <v>2</v>
      </c>
      <c r="AW227" s="3">
        <v>2</v>
      </c>
      <c r="AX227" s="3">
        <v>3</v>
      </c>
      <c r="AY227" s="3">
        <v>3</v>
      </c>
      <c r="BA227" s="3">
        <f t="shared" si="384"/>
        <v>2</v>
      </c>
      <c r="BJ227" s="3">
        <f t="shared" si="385"/>
        <v>0</v>
      </c>
      <c r="CH227" s="206">
        <f t="shared" si="386"/>
        <v>800</v>
      </c>
      <c r="CI227" s="56">
        <v>200</v>
      </c>
      <c r="CJ227" s="3">
        <v>190</v>
      </c>
      <c r="CK227" s="3">
        <v>180</v>
      </c>
      <c r="CL227" s="3">
        <v>170</v>
      </c>
      <c r="CM227" s="3">
        <v>160</v>
      </c>
      <c r="CN227" s="3">
        <v>140</v>
      </c>
      <c r="CO227" s="3">
        <v>120</v>
      </c>
      <c r="CP227" s="3">
        <v>100</v>
      </c>
      <c r="CQ227" s="3">
        <v>60</v>
      </c>
      <c r="CR227" s="56">
        <v>10</v>
      </c>
      <c r="CS227" s="3">
        <v>10</v>
      </c>
      <c r="CT227" s="3">
        <v>10</v>
      </c>
      <c r="CU227" s="3">
        <v>10</v>
      </c>
      <c r="CV227" s="3">
        <v>9.8000000000000007</v>
      </c>
      <c r="CW227" s="3">
        <v>9.6</v>
      </c>
      <c r="CX227" s="3">
        <v>9.4</v>
      </c>
      <c r="CY227" s="3">
        <v>9.1999999999999993</v>
      </c>
      <c r="CZ227" s="3">
        <v>9</v>
      </c>
      <c r="DJ227" s="3">
        <f t="shared" ca="1" si="387"/>
        <v>200</v>
      </c>
      <c r="DK227" s="3">
        <f t="shared" ca="1" si="388"/>
        <v>100</v>
      </c>
      <c r="DL227" s="3">
        <f t="shared" ca="1" si="389"/>
        <v>10</v>
      </c>
      <c r="DO227" s="3">
        <v>2</v>
      </c>
      <c r="EA227" s="3">
        <f t="shared" si="390"/>
        <v>2</v>
      </c>
      <c r="EB227" s="3">
        <f t="shared" si="391"/>
        <v>2</v>
      </c>
      <c r="EC227" s="3">
        <f t="shared" si="392"/>
        <v>0</v>
      </c>
      <c r="ED227" s="3">
        <f t="shared" si="393"/>
        <v>0</v>
      </c>
      <c r="EF227" s="3">
        <f t="shared" ca="1" si="394"/>
        <v>0</v>
      </c>
      <c r="EG227" s="3">
        <f t="shared" ca="1" si="395"/>
        <v>0</v>
      </c>
      <c r="EH227" s="3">
        <f ca="1">IFERROR(IF(LEFT($BA227,1)="4",OFFSET(변환표준점수!$H$118,MATCH($S227,변환표준점수!$B$119:$B$198,0),),OFFSET(EH$3,MATCH(AS227,$ED$4:$ED$8,0),0)),0)</f>
        <v>0</v>
      </c>
      <c r="EI227" s="3">
        <f ca="1">IFERROR(IF(LEFT($BA227,1)="4",OFFSET(변환표준점수!$I$118,MATCH($S227,변환표준점수!$B$119:$B$198,0),0),OFFSET(EI$3,MATCH(AT227,$ED$4:$ED$8,0),0)),0)</f>
        <v>0</v>
      </c>
      <c r="EK227" s="3">
        <f ca="1">IFERROR(IF(LEFT($BA227,1)="4",OFFSET(변환표준점수!$J$118,MATCH($S227,변환표준점수!$B$119:$B$198,0),0),OFFSET(EJ$3,MATCH(AV227,$ED$4:$ED$8,0),0)),0)</f>
        <v>0</v>
      </c>
      <c r="EL227" s="3">
        <f ca="1">IFERROR(IF(LEFT($BA227,1)="4",OFFSET(변환표준점수!$K$118,MATCH($S227,변환표준점수!$B$119:$B$198,0),0),OFFSET(EK$3,MATCH(AW227,$ED$4:$ED$8,0),0)),0)</f>
        <v>0</v>
      </c>
      <c r="EM227" s="3" t="str">
        <f t="shared" ca="1" si="396"/>
        <v/>
      </c>
      <c r="EN227" s="3" t="str">
        <f t="shared" ca="1" si="397"/>
        <v/>
      </c>
      <c r="EO227" s="3">
        <f t="shared" ca="1" si="398"/>
        <v>0</v>
      </c>
      <c r="EQ227" s="3">
        <f t="shared" ca="1" si="399"/>
        <v>0</v>
      </c>
      <c r="ER227" s="3">
        <f t="shared" ca="1" si="400"/>
        <v>0</v>
      </c>
      <c r="ES227" s="3">
        <f t="shared" ca="1" si="401"/>
        <v>0</v>
      </c>
      <c r="ET227" s="3">
        <f t="shared" ca="1" si="402"/>
        <v>0</v>
      </c>
      <c r="EU227" s="3">
        <f t="shared" si="403"/>
        <v>0</v>
      </c>
      <c r="EV227" s="3">
        <f t="shared" ca="1" si="404"/>
        <v>0</v>
      </c>
      <c r="EW227" s="3">
        <f t="shared" ca="1" si="405"/>
        <v>0</v>
      </c>
      <c r="EX227" s="3">
        <f ca="1">LARGE((ES227:ET227,EV227:EW227),1)</f>
        <v>0</v>
      </c>
      <c r="EY227" s="3">
        <f ca="1">IF(O227&lt;2,0,LARGE((ES227:ET227,EV227:EW227),2))</f>
        <v>0</v>
      </c>
      <c r="EZ227" s="3">
        <f t="shared" ca="1" si="406"/>
        <v>0</v>
      </c>
      <c r="FA227" s="3">
        <f t="shared" ca="1" si="407"/>
        <v>0</v>
      </c>
      <c r="FB227" s="3">
        <f t="shared" ca="1" si="408"/>
        <v>0</v>
      </c>
      <c r="FG227" s="3">
        <f t="shared" ca="1" si="409"/>
        <v>0</v>
      </c>
      <c r="FH227" s="618"/>
      <c r="FU227" s="3" t="str">
        <f t="shared" si="365"/>
        <v>백분위</v>
      </c>
      <c r="FV227" s="3" t="str">
        <f t="shared" si="366"/>
        <v>백분위</v>
      </c>
      <c r="FW227" s="3">
        <f t="shared" si="410"/>
        <v>0.38</v>
      </c>
      <c r="FX227" s="3">
        <f t="shared" si="411"/>
        <v>0.25</v>
      </c>
      <c r="FY227" s="3">
        <f t="shared" si="412"/>
        <v>0.38</v>
      </c>
      <c r="FZ227" s="3">
        <f t="shared" si="413"/>
        <v>8</v>
      </c>
    </row>
    <row r="228" spans="1:182">
      <c r="A228" s="556">
        <v>26</v>
      </c>
      <c r="C228" s="3">
        <f t="shared" si="367"/>
        <v>213</v>
      </c>
      <c r="D228" s="3">
        <v>213</v>
      </c>
      <c r="E228" s="3" t="s">
        <v>385</v>
      </c>
      <c r="F228" s="3">
        <v>1000</v>
      </c>
      <c r="G228" s="3">
        <v>0.2</v>
      </c>
      <c r="H228" s="3">
        <v>0.3</v>
      </c>
      <c r="I228" s="3">
        <v>0.15</v>
      </c>
      <c r="J228" s="3">
        <v>0.15</v>
      </c>
      <c r="L228" s="3">
        <v>0.15</v>
      </c>
      <c r="M228" s="3">
        <v>0.15</v>
      </c>
      <c r="O228" s="3">
        <v>2</v>
      </c>
      <c r="P228" s="3">
        <f t="shared" si="368"/>
        <v>0.8</v>
      </c>
      <c r="Q228" s="3" t="s">
        <v>408</v>
      </c>
      <c r="S228" s="3" t="str">
        <f t="shared" si="369"/>
        <v/>
      </c>
      <c r="W228" s="3">
        <f t="shared" si="370"/>
        <v>0</v>
      </c>
      <c r="Y228" s="3">
        <f t="shared" si="371"/>
        <v>2</v>
      </c>
      <c r="Z228" s="3">
        <f t="shared" si="372"/>
        <v>3</v>
      </c>
      <c r="AA228" s="3">
        <f t="shared" si="373"/>
        <v>1.5</v>
      </c>
      <c r="AB228" s="3">
        <f t="shared" si="374"/>
        <v>1.5</v>
      </c>
      <c r="AC228" s="3">
        <f t="shared" si="375"/>
        <v>3</v>
      </c>
      <c r="AD228" s="3">
        <f t="shared" si="376"/>
        <v>2</v>
      </c>
      <c r="AE228" s="3">
        <f t="shared" si="377"/>
        <v>3</v>
      </c>
      <c r="AF228" s="3">
        <f t="shared" si="378"/>
        <v>1.5</v>
      </c>
      <c r="AG228" s="3">
        <f t="shared" si="379"/>
        <v>1.5</v>
      </c>
      <c r="AH228" s="3" t="str">
        <f t="shared" si="380"/>
        <v>자동</v>
      </c>
      <c r="AI228" s="3">
        <f t="shared" si="381"/>
        <v>1.5</v>
      </c>
      <c r="AJ228" s="3">
        <f t="shared" si="382"/>
        <v>1.5</v>
      </c>
      <c r="AL228" s="3" t="str">
        <f t="shared" si="383"/>
        <v/>
      </c>
      <c r="AN228" s="3" t="str">
        <f ca="1">IF($BA228=42,OFFSET(변환표준점수!C$119,$AP228-1,0),"")</f>
        <v/>
      </c>
      <c r="AO228" s="3" t="str">
        <f ca="1">IF($BA228=42,OFFSET(변환표준점수!D$119,$AP228-1,0),"")</f>
        <v/>
      </c>
      <c r="AP228" s="3" t="str">
        <f>IF(S228="","",MATCH(S228,변환표준점수!$B$119:$B$298,0))</f>
        <v/>
      </c>
      <c r="AQ228" s="3">
        <v>2</v>
      </c>
      <c r="AR228" s="3">
        <v>2</v>
      </c>
      <c r="AS228" s="3">
        <v>2</v>
      </c>
      <c r="AT228" s="3">
        <v>2</v>
      </c>
      <c r="AV228" s="3">
        <v>2</v>
      </c>
      <c r="AW228" s="3">
        <v>2</v>
      </c>
      <c r="AX228" s="3">
        <v>3</v>
      </c>
      <c r="AY228" s="3">
        <v>3</v>
      </c>
      <c r="BA228" s="3">
        <f t="shared" si="384"/>
        <v>2</v>
      </c>
      <c r="BC228" s="3">
        <f>$Z228*0.1</f>
        <v>0.30000000000000004</v>
      </c>
      <c r="BD228" s="3">
        <f>$Z228*0.1</f>
        <v>0.30000000000000004</v>
      </c>
      <c r="BF228" s="3">
        <f>AA228*0.1</f>
        <v>0.15000000000000002</v>
      </c>
      <c r="BG228" s="3">
        <f>AA228*0.1</f>
        <v>0.15000000000000002</v>
      </c>
      <c r="BJ228" s="3">
        <f t="shared" si="385"/>
        <v>0</v>
      </c>
      <c r="BN228" s="212" t="s">
        <v>7730</v>
      </c>
      <c r="BP228" s="3">
        <f t="shared" ref="BP228:BQ230" si="414">IF(BP$6&gt;0,BC228*$EG228,0)</f>
        <v>0</v>
      </c>
      <c r="BQ228" s="3">
        <f t="shared" si="414"/>
        <v>0</v>
      </c>
      <c r="BS228" s="3">
        <f>IF($DM$8&gt;=2,BF228*EH228,0)</f>
        <v>0</v>
      </c>
      <c r="BT228" s="3">
        <f>IF($DM$8&gt;=2,BG228*EI228,0)</f>
        <v>0</v>
      </c>
      <c r="CH228" s="206">
        <f t="shared" si="386"/>
        <v>800</v>
      </c>
      <c r="CI228" s="56">
        <v>200</v>
      </c>
      <c r="CJ228" s="3">
        <v>190</v>
      </c>
      <c r="CK228" s="3">
        <v>180</v>
      </c>
      <c r="CL228" s="3">
        <v>170</v>
      </c>
      <c r="CM228" s="3">
        <v>160</v>
      </c>
      <c r="CN228" s="3">
        <v>140</v>
      </c>
      <c r="CO228" s="3">
        <v>120</v>
      </c>
      <c r="CP228" s="3">
        <v>100</v>
      </c>
      <c r="CQ228" s="3">
        <v>60</v>
      </c>
      <c r="CR228" s="56">
        <v>10</v>
      </c>
      <c r="CS228" s="3">
        <v>10</v>
      </c>
      <c r="CT228" s="3">
        <v>10</v>
      </c>
      <c r="CU228" s="3">
        <v>10</v>
      </c>
      <c r="CV228" s="3">
        <v>9.8000000000000007</v>
      </c>
      <c r="CW228" s="3">
        <v>9.6</v>
      </c>
      <c r="CX228" s="3">
        <v>9.4</v>
      </c>
      <c r="CY228" s="3">
        <v>9.1999999999999993</v>
      </c>
      <c r="CZ228" s="3">
        <v>9</v>
      </c>
      <c r="DJ228" s="3">
        <f t="shared" ca="1" si="387"/>
        <v>200</v>
      </c>
      <c r="DK228" s="3">
        <f t="shared" ca="1" si="388"/>
        <v>100</v>
      </c>
      <c r="DL228" s="3">
        <f t="shared" ca="1" si="389"/>
        <v>10</v>
      </c>
      <c r="DO228" s="3">
        <v>2</v>
      </c>
      <c r="DZ228" s="3">
        <v>1</v>
      </c>
      <c r="EA228" s="3">
        <f t="shared" si="390"/>
        <v>1</v>
      </c>
      <c r="EB228" s="3">
        <f t="shared" si="391"/>
        <v>2</v>
      </c>
      <c r="EC228" s="3">
        <f t="shared" si="392"/>
        <v>0</v>
      </c>
      <c r="ED228" s="3">
        <f t="shared" si="393"/>
        <v>0</v>
      </c>
      <c r="EF228" s="3">
        <f t="shared" ca="1" si="394"/>
        <v>0</v>
      </c>
      <c r="EG228" s="3">
        <f t="shared" ca="1" si="395"/>
        <v>0</v>
      </c>
      <c r="EH228" s="3">
        <f ca="1">IFERROR(IF(LEFT($BA228,1)="4",OFFSET(변환표준점수!$H$118,MATCH($S228,변환표준점수!$B$119:$B$198,0),),OFFSET(EH$3,MATCH(AS228,$ED$4:$ED$8,0),0)),0)</f>
        <v>0</v>
      </c>
      <c r="EI228" s="3">
        <f ca="1">IFERROR(IF(LEFT($BA228,1)="4",OFFSET(변환표준점수!$I$118,MATCH($S228,변환표준점수!$B$119:$B$198,0),0),OFFSET(EI$3,MATCH(AT228,$ED$4:$ED$8,0),0)),0)</f>
        <v>0</v>
      </c>
      <c r="EK228" s="3">
        <f ca="1">IFERROR(IF(LEFT($BA228,1)="4",OFFSET(변환표준점수!$J$118,MATCH($S228,변환표준점수!$B$119:$B$198,0),0),OFFSET(EJ$3,MATCH(AV228,$ED$4:$ED$8,0),0)),0)</f>
        <v>0</v>
      </c>
      <c r="EL228" s="3">
        <f ca="1">IFERROR(IF(LEFT($BA228,1)="4",OFFSET(변환표준점수!$K$118,MATCH($S228,변환표준점수!$B$119:$B$198,0),0),OFFSET(EK$3,MATCH(AW228,$ED$4:$ED$8,0),0)),0)</f>
        <v>0</v>
      </c>
      <c r="EM228" s="3" t="str">
        <f t="shared" ca="1" si="396"/>
        <v/>
      </c>
      <c r="EN228" s="3" t="str">
        <f t="shared" ca="1" si="397"/>
        <v/>
      </c>
      <c r="EO228" s="3">
        <f t="shared" ca="1" si="398"/>
        <v>0</v>
      </c>
      <c r="EQ228" s="3">
        <f t="shared" ca="1" si="399"/>
        <v>0</v>
      </c>
      <c r="ER228" s="3">
        <f t="shared" ca="1" si="400"/>
        <v>0</v>
      </c>
      <c r="ES228" s="3">
        <f t="shared" ca="1" si="401"/>
        <v>0</v>
      </c>
      <c r="ET228" s="3">
        <f t="shared" ca="1" si="402"/>
        <v>0</v>
      </c>
      <c r="EU228" s="3">
        <f t="shared" si="403"/>
        <v>0</v>
      </c>
      <c r="EV228" s="3">
        <f t="shared" ca="1" si="404"/>
        <v>0</v>
      </c>
      <c r="EW228" s="3">
        <f t="shared" ca="1" si="405"/>
        <v>0</v>
      </c>
      <c r="EX228" s="3">
        <f ca="1">LARGE((ES228:ET228,EV228:EW228),1)</f>
        <v>0</v>
      </c>
      <c r="EY228" s="3">
        <f ca="1">IF(O228&lt;2,0,LARGE((ES228:ET228,EV228:EW228),2))</f>
        <v>0</v>
      </c>
      <c r="EZ228" s="3">
        <f t="shared" ca="1" si="406"/>
        <v>0</v>
      </c>
      <c r="FA228" s="3">
        <f t="shared" ca="1" si="407"/>
        <v>0</v>
      </c>
      <c r="FB228" s="3">
        <f t="shared" ca="1" si="408"/>
        <v>0</v>
      </c>
      <c r="FG228" s="3">
        <f t="shared" ca="1" si="409"/>
        <v>0</v>
      </c>
      <c r="FH228" s="618"/>
      <c r="FU228" s="3" t="str">
        <f t="shared" si="365"/>
        <v>백분위</v>
      </c>
      <c r="FV228" s="3" t="str">
        <f t="shared" si="366"/>
        <v>백분위</v>
      </c>
      <c r="FW228" s="3">
        <f t="shared" si="410"/>
        <v>0.25</v>
      </c>
      <c r="FX228" s="3">
        <f t="shared" si="411"/>
        <v>0.38</v>
      </c>
      <c r="FY228" s="3">
        <f t="shared" si="412"/>
        <v>0.38</v>
      </c>
      <c r="FZ228" s="3">
        <f t="shared" si="413"/>
        <v>8</v>
      </c>
    </row>
    <row r="229" spans="1:182">
      <c r="A229" s="556">
        <v>26</v>
      </c>
      <c r="C229" s="3">
        <f t="shared" si="367"/>
        <v>214</v>
      </c>
      <c r="D229" s="3">
        <v>214</v>
      </c>
      <c r="E229" s="3" t="s">
        <v>386</v>
      </c>
      <c r="F229" s="3">
        <v>1000</v>
      </c>
      <c r="G229" s="3">
        <v>0.2</v>
      </c>
      <c r="H229" s="3">
        <v>0.3</v>
      </c>
      <c r="I229" s="3">
        <v>0.15</v>
      </c>
      <c r="J229" s="3">
        <v>0.15</v>
      </c>
      <c r="L229" s="3">
        <v>0.15</v>
      </c>
      <c r="M229" s="3">
        <v>0.15</v>
      </c>
      <c r="O229" s="3">
        <v>2</v>
      </c>
      <c r="P229" s="3">
        <f t="shared" si="368"/>
        <v>0.8</v>
      </c>
      <c r="Q229" s="3" t="s">
        <v>408</v>
      </c>
      <c r="S229" s="3" t="str">
        <f t="shared" si="369"/>
        <v/>
      </c>
      <c r="W229" s="3">
        <f t="shared" si="370"/>
        <v>0</v>
      </c>
      <c r="Y229" s="3">
        <f t="shared" si="371"/>
        <v>2</v>
      </c>
      <c r="Z229" s="3">
        <f t="shared" si="372"/>
        <v>3</v>
      </c>
      <c r="AA229" s="3">
        <f t="shared" si="373"/>
        <v>1.5</v>
      </c>
      <c r="AB229" s="3">
        <f t="shared" si="374"/>
        <v>1.5</v>
      </c>
      <c r="AC229" s="3">
        <f t="shared" si="375"/>
        <v>3</v>
      </c>
      <c r="AD229" s="3">
        <f t="shared" si="376"/>
        <v>2</v>
      </c>
      <c r="AE229" s="3">
        <f t="shared" si="377"/>
        <v>3</v>
      </c>
      <c r="AF229" s="3">
        <f t="shared" si="378"/>
        <v>1.5</v>
      </c>
      <c r="AG229" s="3">
        <f t="shared" si="379"/>
        <v>1.5</v>
      </c>
      <c r="AH229" s="3" t="str">
        <f t="shared" si="380"/>
        <v>자동</v>
      </c>
      <c r="AI229" s="3">
        <f t="shared" si="381"/>
        <v>1.5</v>
      </c>
      <c r="AJ229" s="3">
        <f t="shared" si="382"/>
        <v>1.5</v>
      </c>
      <c r="AL229" s="3" t="str">
        <f t="shared" si="383"/>
        <v/>
      </c>
      <c r="AN229" s="3" t="str">
        <f ca="1">IF($BA229=42,OFFSET(변환표준점수!C$119,$AP229-1,0),"")</f>
        <v/>
      </c>
      <c r="AO229" s="3" t="str">
        <f ca="1">IF($BA229=42,OFFSET(변환표준점수!D$119,$AP229-1,0),"")</f>
        <v/>
      </c>
      <c r="AP229" s="3" t="str">
        <f>IF(S229="","",MATCH(S229,변환표준점수!$B$119:$B$298,0))</f>
        <v/>
      </c>
      <c r="AQ229" s="3">
        <v>2</v>
      </c>
      <c r="AR229" s="3">
        <v>2</v>
      </c>
      <c r="AS229" s="3">
        <v>2</v>
      </c>
      <c r="AT229" s="3">
        <v>2</v>
      </c>
      <c r="AV229" s="3">
        <v>2</v>
      </c>
      <c r="AW229" s="3">
        <v>2</v>
      </c>
      <c r="AX229" s="3">
        <v>3</v>
      </c>
      <c r="AY229" s="3">
        <v>3</v>
      </c>
      <c r="BA229" s="3">
        <f t="shared" si="384"/>
        <v>2</v>
      </c>
      <c r="BC229" s="3">
        <f>$Z229*0.15</f>
        <v>0.44999999999999996</v>
      </c>
      <c r="BD229" s="3">
        <f>$Z229*0.15</f>
        <v>0.44999999999999996</v>
      </c>
      <c r="BF229" s="3">
        <f>AA229*0.1</f>
        <v>0.15000000000000002</v>
      </c>
      <c r="BG229" s="3">
        <f>AA229*0.1</f>
        <v>0.15000000000000002</v>
      </c>
      <c r="BJ229" s="3">
        <f t="shared" si="385"/>
        <v>0</v>
      </c>
      <c r="BN229" s="212" t="s">
        <v>7731</v>
      </c>
      <c r="BP229" s="3">
        <f t="shared" si="414"/>
        <v>0</v>
      </c>
      <c r="BQ229" s="3">
        <f t="shared" si="414"/>
        <v>0</v>
      </c>
      <c r="BS229" s="3">
        <f>IF($DM$8&gt;=2,BF229*EH229,0)</f>
        <v>0</v>
      </c>
      <c r="BT229" s="3">
        <f>IF($DM$8&gt;=2,BG229*EI229,0)</f>
        <v>0</v>
      </c>
      <c r="CH229" s="206">
        <f t="shared" si="386"/>
        <v>800</v>
      </c>
      <c r="CI229" s="56">
        <v>200</v>
      </c>
      <c r="CJ229" s="3">
        <v>190</v>
      </c>
      <c r="CK229" s="3">
        <v>180</v>
      </c>
      <c r="CL229" s="3">
        <v>170</v>
      </c>
      <c r="CM229" s="3">
        <v>160</v>
      </c>
      <c r="CN229" s="3">
        <v>140</v>
      </c>
      <c r="CO229" s="3">
        <v>120</v>
      </c>
      <c r="CP229" s="3">
        <v>100</v>
      </c>
      <c r="CQ229" s="3">
        <v>60</v>
      </c>
      <c r="CR229" s="56">
        <v>10</v>
      </c>
      <c r="CS229" s="3">
        <v>10</v>
      </c>
      <c r="CT229" s="3">
        <v>10</v>
      </c>
      <c r="CU229" s="3">
        <v>10</v>
      </c>
      <c r="CV229" s="3">
        <v>9.8000000000000007</v>
      </c>
      <c r="CW229" s="3">
        <v>9.6</v>
      </c>
      <c r="CX229" s="3">
        <v>9.4</v>
      </c>
      <c r="CY229" s="3">
        <v>9.1999999999999993</v>
      </c>
      <c r="CZ229" s="3">
        <v>9</v>
      </c>
      <c r="DJ229" s="3">
        <f t="shared" ca="1" si="387"/>
        <v>200</v>
      </c>
      <c r="DK229" s="3">
        <f t="shared" ca="1" si="388"/>
        <v>100</v>
      </c>
      <c r="DL229" s="3">
        <f t="shared" ca="1" si="389"/>
        <v>10</v>
      </c>
      <c r="DO229" s="3">
        <v>2</v>
      </c>
      <c r="DZ229" s="3">
        <v>1</v>
      </c>
      <c r="EA229" s="3">
        <f t="shared" si="390"/>
        <v>1</v>
      </c>
      <c r="EB229" s="3">
        <f t="shared" si="391"/>
        <v>2</v>
      </c>
      <c r="EC229" s="3">
        <f t="shared" si="392"/>
        <v>0</v>
      </c>
      <c r="ED229" s="3">
        <f t="shared" si="393"/>
        <v>0</v>
      </c>
      <c r="EF229" s="3">
        <f t="shared" ca="1" si="394"/>
        <v>0</v>
      </c>
      <c r="EG229" s="3">
        <f t="shared" ca="1" si="395"/>
        <v>0</v>
      </c>
      <c r="EH229" s="3">
        <f ca="1">IFERROR(IF(LEFT($BA229,1)="4",OFFSET(변환표준점수!$H$118,MATCH($S229,변환표준점수!$B$119:$B$198,0),),OFFSET(EH$3,MATCH(AS229,$ED$4:$ED$8,0),0)),0)</f>
        <v>0</v>
      </c>
      <c r="EI229" s="3">
        <f ca="1">IFERROR(IF(LEFT($BA229,1)="4",OFFSET(변환표준점수!$I$118,MATCH($S229,변환표준점수!$B$119:$B$198,0),0),OFFSET(EI$3,MATCH(AT229,$ED$4:$ED$8,0),0)),0)</f>
        <v>0</v>
      </c>
      <c r="EK229" s="3">
        <f ca="1">IFERROR(IF(LEFT($BA229,1)="4",OFFSET(변환표준점수!$J$118,MATCH($S229,변환표준점수!$B$119:$B$198,0),0),OFFSET(EJ$3,MATCH(AV229,$ED$4:$ED$8,0),0)),0)</f>
        <v>0</v>
      </c>
      <c r="EL229" s="3">
        <f ca="1">IFERROR(IF(LEFT($BA229,1)="4",OFFSET(변환표준점수!$K$118,MATCH($S229,변환표준점수!$B$119:$B$198,0),0),OFFSET(EK$3,MATCH(AW229,$ED$4:$ED$8,0),0)),0)</f>
        <v>0</v>
      </c>
      <c r="EM229" s="3" t="str">
        <f t="shared" ca="1" si="396"/>
        <v/>
      </c>
      <c r="EN229" s="3" t="str">
        <f t="shared" ca="1" si="397"/>
        <v/>
      </c>
      <c r="EO229" s="3">
        <f t="shared" ca="1" si="398"/>
        <v>0</v>
      </c>
      <c r="EQ229" s="3">
        <f t="shared" ca="1" si="399"/>
        <v>0</v>
      </c>
      <c r="ER229" s="3">
        <f t="shared" ca="1" si="400"/>
        <v>0</v>
      </c>
      <c r="ES229" s="3">
        <f t="shared" ca="1" si="401"/>
        <v>0</v>
      </c>
      <c r="ET229" s="3">
        <f t="shared" ca="1" si="402"/>
        <v>0</v>
      </c>
      <c r="EU229" s="3">
        <f t="shared" si="403"/>
        <v>0</v>
      </c>
      <c r="EV229" s="3">
        <f t="shared" ca="1" si="404"/>
        <v>0</v>
      </c>
      <c r="EW229" s="3">
        <f t="shared" ca="1" si="405"/>
        <v>0</v>
      </c>
      <c r="EX229" s="3">
        <f ca="1">LARGE((ES229:ET229,EV229:EW229),1)</f>
        <v>0</v>
      </c>
      <c r="EY229" s="3">
        <f ca="1">IF(O229&lt;2,0,LARGE((ES229:ET229,EV229:EW229),2))</f>
        <v>0</v>
      </c>
      <c r="EZ229" s="3">
        <f t="shared" ca="1" si="406"/>
        <v>0</v>
      </c>
      <c r="FA229" s="3">
        <f t="shared" ca="1" si="407"/>
        <v>0</v>
      </c>
      <c r="FB229" s="3">
        <f t="shared" ca="1" si="408"/>
        <v>0</v>
      </c>
      <c r="FG229" s="3">
        <f t="shared" ca="1" si="409"/>
        <v>0</v>
      </c>
      <c r="FH229" s="618"/>
      <c r="FU229" s="3" t="str">
        <f t="shared" si="365"/>
        <v>백분위</v>
      </c>
      <c r="FV229" s="3" t="str">
        <f t="shared" si="366"/>
        <v>백분위</v>
      </c>
      <c r="FW229" s="3">
        <f t="shared" si="410"/>
        <v>0.25</v>
      </c>
      <c r="FX229" s="3">
        <f t="shared" si="411"/>
        <v>0.38</v>
      </c>
      <c r="FY229" s="3">
        <f t="shared" si="412"/>
        <v>0.38</v>
      </c>
      <c r="FZ229" s="3">
        <f t="shared" si="413"/>
        <v>8</v>
      </c>
    </row>
    <row r="230" spans="1:182">
      <c r="A230" s="556">
        <v>26</v>
      </c>
      <c r="C230" s="3">
        <f t="shared" si="367"/>
        <v>215</v>
      </c>
      <c r="D230" s="3">
        <v>215</v>
      </c>
      <c r="E230" s="3" t="s">
        <v>387</v>
      </c>
      <c r="F230" s="3">
        <v>1000</v>
      </c>
      <c r="G230" s="3">
        <v>0.2</v>
      </c>
      <c r="H230" s="3">
        <v>0.3</v>
      </c>
      <c r="I230" s="3">
        <v>0.15</v>
      </c>
      <c r="J230" s="3">
        <v>0.15</v>
      </c>
      <c r="O230" s="3">
        <v>2</v>
      </c>
      <c r="P230" s="3">
        <f t="shared" si="368"/>
        <v>0.8</v>
      </c>
      <c r="Q230" s="3" t="s">
        <v>408</v>
      </c>
      <c r="S230" s="3" t="str">
        <f t="shared" si="369"/>
        <v/>
      </c>
      <c r="W230" s="3">
        <f t="shared" si="370"/>
        <v>0</v>
      </c>
      <c r="Y230" s="3">
        <f t="shared" si="371"/>
        <v>2</v>
      </c>
      <c r="Z230" s="3">
        <f t="shared" si="372"/>
        <v>3</v>
      </c>
      <c r="AA230" s="3">
        <f t="shared" si="373"/>
        <v>1.5</v>
      </c>
      <c r="AB230" s="3" t="str">
        <f t="shared" si="374"/>
        <v>자동</v>
      </c>
      <c r="AC230" s="3">
        <f t="shared" si="375"/>
        <v>3</v>
      </c>
      <c r="AD230" s="3">
        <f t="shared" si="376"/>
        <v>2</v>
      </c>
      <c r="AE230" s="3">
        <f t="shared" si="377"/>
        <v>3</v>
      </c>
      <c r="AF230" s="3">
        <f t="shared" si="378"/>
        <v>1.5</v>
      </c>
      <c r="AG230" s="3">
        <f t="shared" si="379"/>
        <v>1.5</v>
      </c>
      <c r="AH230" s="3" t="str">
        <f t="shared" si="380"/>
        <v>자동</v>
      </c>
      <c r="AI230" s="3" t="str">
        <f t="shared" si="381"/>
        <v>자동</v>
      </c>
      <c r="AJ230" s="3" t="str">
        <f t="shared" si="382"/>
        <v>자동</v>
      </c>
      <c r="AL230" s="3" t="str">
        <f t="shared" si="383"/>
        <v/>
      </c>
      <c r="AN230" s="3" t="str">
        <f ca="1">IF($BA230=42,OFFSET(변환표준점수!C$119,$AP230-1,0),"")</f>
        <v/>
      </c>
      <c r="AO230" s="3" t="str">
        <f ca="1">IF($BA230=42,OFFSET(변환표준점수!D$119,$AP230-1,0),"")</f>
        <v/>
      </c>
      <c r="AP230" s="3" t="str">
        <f>IF(S230="","",MATCH(S230,변환표준점수!$B$119:$B$298,0))</f>
        <v/>
      </c>
      <c r="AQ230" s="3">
        <v>2</v>
      </c>
      <c r="AR230" s="3">
        <v>2</v>
      </c>
      <c r="AS230" s="3">
        <v>2</v>
      </c>
      <c r="AT230" s="3">
        <v>2</v>
      </c>
      <c r="AX230" s="3">
        <v>3</v>
      </c>
      <c r="AY230" s="3">
        <v>3</v>
      </c>
      <c r="BA230" s="3">
        <f t="shared" si="384"/>
        <v>2</v>
      </c>
      <c r="BC230" s="3">
        <f>$Z230*0.1</f>
        <v>0.30000000000000004</v>
      </c>
      <c r="BD230" s="3">
        <f>$Z230*0.1</f>
        <v>0.30000000000000004</v>
      </c>
      <c r="BJ230" s="3">
        <f t="shared" si="385"/>
        <v>0</v>
      </c>
      <c r="BN230" s="212" t="s">
        <v>7732</v>
      </c>
      <c r="BP230" s="3">
        <f t="shared" si="414"/>
        <v>0</v>
      </c>
      <c r="BQ230" s="3">
        <f t="shared" si="414"/>
        <v>0</v>
      </c>
      <c r="CH230" s="206">
        <f t="shared" si="386"/>
        <v>800</v>
      </c>
      <c r="CI230" s="56">
        <v>200</v>
      </c>
      <c r="CJ230" s="3">
        <v>190</v>
      </c>
      <c r="CK230" s="3">
        <v>180</v>
      </c>
      <c r="CL230" s="3">
        <v>170</v>
      </c>
      <c r="CM230" s="3">
        <v>160</v>
      </c>
      <c r="CN230" s="3">
        <v>140</v>
      </c>
      <c r="CO230" s="3">
        <v>120</v>
      </c>
      <c r="CP230" s="3">
        <v>100</v>
      </c>
      <c r="CQ230" s="3">
        <v>60</v>
      </c>
      <c r="CR230" s="56">
        <v>10</v>
      </c>
      <c r="CS230" s="3">
        <v>10</v>
      </c>
      <c r="CT230" s="3">
        <v>10</v>
      </c>
      <c r="CU230" s="3">
        <v>10</v>
      </c>
      <c r="CV230" s="3">
        <v>9.8000000000000007</v>
      </c>
      <c r="CW230" s="3">
        <v>9.6</v>
      </c>
      <c r="CX230" s="3">
        <v>9.4</v>
      </c>
      <c r="CY230" s="3">
        <v>9.1999999999999993</v>
      </c>
      <c r="CZ230" s="3">
        <v>9</v>
      </c>
      <c r="DJ230" s="3">
        <f t="shared" ca="1" si="387"/>
        <v>200</v>
      </c>
      <c r="DK230" s="3">
        <f t="shared" ca="1" si="388"/>
        <v>100</v>
      </c>
      <c r="DL230" s="3">
        <f t="shared" ca="1" si="389"/>
        <v>10</v>
      </c>
      <c r="DM230" s="3">
        <v>2</v>
      </c>
      <c r="DS230" s="3">
        <v>1</v>
      </c>
      <c r="DZ230" s="3">
        <v>1</v>
      </c>
      <c r="EA230" s="3">
        <f t="shared" si="390"/>
        <v>1</v>
      </c>
      <c r="EB230" s="3">
        <f t="shared" si="391"/>
        <v>2</v>
      </c>
      <c r="EC230" s="3">
        <f t="shared" si="392"/>
        <v>0</v>
      </c>
      <c r="ED230" s="3">
        <f t="shared" si="393"/>
        <v>0</v>
      </c>
      <c r="EF230" s="3">
        <f t="shared" ca="1" si="394"/>
        <v>0</v>
      </c>
      <c r="EG230" s="3">
        <f t="shared" ca="1" si="395"/>
        <v>0</v>
      </c>
      <c r="EH230" s="3">
        <f ca="1">IFERROR(IF(LEFT($BA230,1)="4",OFFSET(변환표준점수!$H$118,MATCH($S230,변환표준점수!$B$119:$B$198,0),),OFFSET(EH$3,MATCH(AS230,$ED$4:$ED$8,0),0)),0)</f>
        <v>0</v>
      </c>
      <c r="EI230" s="3">
        <f ca="1">IFERROR(IF(LEFT($BA230,1)="4",OFFSET(변환표준점수!$I$118,MATCH($S230,변환표준점수!$B$119:$B$198,0),0),OFFSET(EI$3,MATCH(AT230,$ED$4:$ED$8,0),0)),0)</f>
        <v>0</v>
      </c>
      <c r="EK230" s="3">
        <f ca="1">IFERROR(IF(LEFT($BA230,1)="4",OFFSET(변환표준점수!$J$118,MATCH($S230,변환표준점수!$B$119:$B$198,0),0),OFFSET(EJ$3,MATCH(AV230,$ED$4:$ED$8,0),0)),0)</f>
        <v>0</v>
      </c>
      <c r="EL230" s="3">
        <f ca="1">IFERROR(IF(LEFT($BA230,1)="4",OFFSET(변환표준점수!$K$118,MATCH($S230,변환표준점수!$B$119:$B$198,0),0),OFFSET(EK$3,MATCH(AW230,$ED$4:$ED$8,0),0)),0)</f>
        <v>0</v>
      </c>
      <c r="EM230" s="3" t="str">
        <f t="shared" ca="1" si="396"/>
        <v/>
      </c>
      <c r="EN230" s="3" t="str">
        <f t="shared" ca="1" si="397"/>
        <v/>
      </c>
      <c r="EO230" s="3">
        <f t="shared" ca="1" si="398"/>
        <v>0</v>
      </c>
      <c r="EQ230" s="3">
        <f t="shared" ca="1" si="399"/>
        <v>0</v>
      </c>
      <c r="ER230" s="3">
        <f t="shared" ca="1" si="400"/>
        <v>0</v>
      </c>
      <c r="ES230" s="3">
        <f t="shared" ca="1" si="401"/>
        <v>0</v>
      </c>
      <c r="ET230" s="3">
        <f t="shared" ca="1" si="402"/>
        <v>0</v>
      </c>
      <c r="EU230" s="3">
        <f t="shared" si="403"/>
        <v>0</v>
      </c>
      <c r="EV230" s="3">
        <f t="shared" ca="1" si="404"/>
        <v>0</v>
      </c>
      <c r="EW230" s="3">
        <f t="shared" ca="1" si="405"/>
        <v>0</v>
      </c>
      <c r="EX230" s="3">
        <f ca="1">LARGE((ES230:ET230,EV230:EW230),1)</f>
        <v>0</v>
      </c>
      <c r="EY230" s="3">
        <f ca="1">IF(O230&lt;2,0,LARGE((ES230:ET230,EV230:EW230),2))</f>
        <v>0</v>
      </c>
      <c r="EZ230" s="3">
        <f t="shared" ca="1" si="406"/>
        <v>0</v>
      </c>
      <c r="FA230" s="3">
        <f t="shared" ca="1" si="407"/>
        <v>0</v>
      </c>
      <c r="FB230" s="3">
        <f t="shared" ca="1" si="408"/>
        <v>0</v>
      </c>
      <c r="FG230" s="3">
        <f t="shared" ca="1" si="409"/>
        <v>0</v>
      </c>
      <c r="FH230" s="618"/>
      <c r="FU230" s="3" t="str">
        <f t="shared" si="365"/>
        <v>백분위</v>
      </c>
      <c r="FV230" s="3" t="str">
        <f t="shared" si="366"/>
        <v>백분위</v>
      </c>
      <c r="FW230" s="3">
        <f t="shared" si="410"/>
        <v>0.25</v>
      </c>
      <c r="FX230" s="3">
        <f t="shared" si="411"/>
        <v>0.38</v>
      </c>
      <c r="FY230" s="3">
        <f t="shared" si="412"/>
        <v>0.38</v>
      </c>
      <c r="FZ230" s="3">
        <f t="shared" si="413"/>
        <v>8</v>
      </c>
    </row>
    <row r="231" spans="1:182">
      <c r="A231" s="556">
        <v>26</v>
      </c>
      <c r="C231" s="3">
        <f t="shared" si="367"/>
        <v>216</v>
      </c>
      <c r="D231" s="3">
        <v>216</v>
      </c>
      <c r="E231" s="3" t="s">
        <v>388</v>
      </c>
      <c r="F231" s="3">
        <v>1000</v>
      </c>
      <c r="G231" s="3">
        <v>0.2</v>
      </c>
      <c r="H231" s="3">
        <v>0.3</v>
      </c>
      <c r="I231" s="3">
        <v>0.15</v>
      </c>
      <c r="J231" s="3">
        <v>0.15</v>
      </c>
      <c r="L231" s="3">
        <v>0.15</v>
      </c>
      <c r="M231" s="3">
        <v>0.15</v>
      </c>
      <c r="O231" s="3">
        <v>2</v>
      </c>
      <c r="P231" s="3">
        <f t="shared" si="368"/>
        <v>0.8</v>
      </c>
      <c r="Q231" s="3" t="s">
        <v>408</v>
      </c>
      <c r="S231" s="3" t="str">
        <f t="shared" si="369"/>
        <v/>
      </c>
      <c r="W231" s="3">
        <f t="shared" si="370"/>
        <v>0</v>
      </c>
      <c r="Y231" s="3">
        <f t="shared" si="371"/>
        <v>2</v>
      </c>
      <c r="Z231" s="3">
        <f t="shared" si="372"/>
        <v>3</v>
      </c>
      <c r="AA231" s="3">
        <f t="shared" si="373"/>
        <v>1.5</v>
      </c>
      <c r="AB231" s="3">
        <f t="shared" si="374"/>
        <v>1.5</v>
      </c>
      <c r="AC231" s="3">
        <f t="shared" si="375"/>
        <v>3</v>
      </c>
      <c r="AD231" s="3">
        <f t="shared" si="376"/>
        <v>2</v>
      </c>
      <c r="AE231" s="3">
        <f t="shared" si="377"/>
        <v>3</v>
      </c>
      <c r="AF231" s="3">
        <f t="shared" si="378"/>
        <v>1.5</v>
      </c>
      <c r="AG231" s="3">
        <f t="shared" si="379"/>
        <v>1.5</v>
      </c>
      <c r="AH231" s="3" t="str">
        <f t="shared" si="380"/>
        <v>자동</v>
      </c>
      <c r="AI231" s="3">
        <f t="shared" si="381"/>
        <v>1.5</v>
      </c>
      <c r="AJ231" s="3">
        <f t="shared" si="382"/>
        <v>1.5</v>
      </c>
      <c r="AL231" s="3" t="str">
        <f t="shared" si="383"/>
        <v/>
      </c>
      <c r="AN231" s="3" t="str">
        <f ca="1">IF($BA231=42,OFFSET(변환표준점수!C$119,$AP231-1,0),"")</f>
        <v/>
      </c>
      <c r="AO231" s="3" t="str">
        <f ca="1">IF($BA231=42,OFFSET(변환표준점수!D$119,$AP231-1,0),"")</f>
        <v/>
      </c>
      <c r="AP231" s="3" t="str">
        <f>IF(S231="","",MATCH(S231,변환표준점수!$B$119:$B$298,0))</f>
        <v/>
      </c>
      <c r="AQ231" s="3">
        <v>2</v>
      </c>
      <c r="AR231" s="3">
        <v>2</v>
      </c>
      <c r="AS231" s="3">
        <v>2</v>
      </c>
      <c r="AT231" s="3">
        <v>2</v>
      </c>
      <c r="AV231" s="3">
        <v>2</v>
      </c>
      <c r="AW231" s="3">
        <v>2</v>
      </c>
      <c r="AX231" s="3">
        <v>3</v>
      </c>
      <c r="AY231" s="3">
        <v>3</v>
      </c>
      <c r="BA231" s="3">
        <f t="shared" si="384"/>
        <v>2</v>
      </c>
      <c r="BF231" s="3">
        <f>AA231*0.1</f>
        <v>0.15000000000000002</v>
      </c>
      <c r="BG231" s="3">
        <f>AA231*0.1</f>
        <v>0.15000000000000002</v>
      </c>
      <c r="BJ231" s="3">
        <f t="shared" si="385"/>
        <v>0</v>
      </c>
      <c r="BN231" s="212" t="s">
        <v>7733</v>
      </c>
      <c r="BS231" s="3">
        <f>IF($DM$8&gt;=2,BF231*EH231,0)</f>
        <v>0</v>
      </c>
      <c r="BT231" s="3">
        <f>IF($DM$8&gt;=2,BG231*EI231,0)</f>
        <v>0</v>
      </c>
      <c r="CH231" s="206">
        <f t="shared" si="386"/>
        <v>800</v>
      </c>
      <c r="CI231" s="56">
        <v>200</v>
      </c>
      <c r="CJ231" s="3">
        <v>190</v>
      </c>
      <c r="CK231" s="3">
        <v>180</v>
      </c>
      <c r="CL231" s="3">
        <v>170</v>
      </c>
      <c r="CM231" s="3">
        <v>160</v>
      </c>
      <c r="CN231" s="3">
        <v>140</v>
      </c>
      <c r="CO231" s="3">
        <v>120</v>
      </c>
      <c r="CP231" s="3">
        <v>100</v>
      </c>
      <c r="CQ231" s="3">
        <v>60</v>
      </c>
      <c r="CR231" s="56">
        <v>10</v>
      </c>
      <c r="CS231" s="3">
        <v>10</v>
      </c>
      <c r="CT231" s="3">
        <v>10</v>
      </c>
      <c r="CU231" s="3">
        <v>10</v>
      </c>
      <c r="CV231" s="3">
        <v>9.8000000000000007</v>
      </c>
      <c r="CW231" s="3">
        <v>9.6</v>
      </c>
      <c r="CX231" s="3">
        <v>9.4</v>
      </c>
      <c r="CY231" s="3">
        <v>9.1999999999999993</v>
      </c>
      <c r="CZ231" s="3">
        <v>9</v>
      </c>
      <c r="DJ231" s="3">
        <f t="shared" ca="1" si="387"/>
        <v>200</v>
      </c>
      <c r="DK231" s="3">
        <f t="shared" ca="1" si="388"/>
        <v>100</v>
      </c>
      <c r="DL231" s="3">
        <f t="shared" ca="1" si="389"/>
        <v>10</v>
      </c>
      <c r="DO231" s="3">
        <v>2</v>
      </c>
      <c r="DQ231" s="3">
        <v>1</v>
      </c>
      <c r="DZ231" s="3">
        <v>1</v>
      </c>
      <c r="EA231" s="3">
        <f t="shared" si="390"/>
        <v>1</v>
      </c>
      <c r="EB231" s="3">
        <f t="shared" si="391"/>
        <v>2</v>
      </c>
      <c r="EC231" s="3">
        <f t="shared" si="392"/>
        <v>0</v>
      </c>
      <c r="ED231" s="3">
        <f t="shared" si="393"/>
        <v>0</v>
      </c>
      <c r="EF231" s="3">
        <f t="shared" ca="1" si="394"/>
        <v>0</v>
      </c>
      <c r="EG231" s="3">
        <f t="shared" ca="1" si="395"/>
        <v>0</v>
      </c>
      <c r="EH231" s="3">
        <f ca="1">IFERROR(IF(LEFT($BA231,1)="4",OFFSET(변환표준점수!$H$118,MATCH($S231,변환표준점수!$B$119:$B$198,0),),OFFSET(EH$3,MATCH(AS231,$ED$4:$ED$8,0),0)),0)</f>
        <v>0</v>
      </c>
      <c r="EI231" s="3">
        <f ca="1">IFERROR(IF(LEFT($BA231,1)="4",OFFSET(변환표준점수!$I$118,MATCH($S231,변환표준점수!$B$119:$B$198,0),0),OFFSET(EI$3,MATCH(AT231,$ED$4:$ED$8,0),0)),0)</f>
        <v>0</v>
      </c>
      <c r="EK231" s="3">
        <f ca="1">IFERROR(IF(LEFT($BA231,1)="4",OFFSET(변환표준점수!$J$118,MATCH($S231,변환표준점수!$B$119:$B$198,0),0),OFFSET(EJ$3,MATCH(AV231,$ED$4:$ED$8,0),0)),0)</f>
        <v>0</v>
      </c>
      <c r="EL231" s="3">
        <f ca="1">IFERROR(IF(LEFT($BA231,1)="4",OFFSET(변환표준점수!$K$118,MATCH($S231,변환표준점수!$B$119:$B$198,0),0),OFFSET(EK$3,MATCH(AW231,$ED$4:$ED$8,0),0)),0)</f>
        <v>0</v>
      </c>
      <c r="EM231" s="3" t="str">
        <f t="shared" ca="1" si="396"/>
        <v/>
      </c>
      <c r="EN231" s="3" t="str">
        <f t="shared" ca="1" si="397"/>
        <v/>
      </c>
      <c r="EO231" s="3">
        <f t="shared" ca="1" si="398"/>
        <v>0</v>
      </c>
      <c r="EQ231" s="3">
        <f t="shared" ca="1" si="399"/>
        <v>0</v>
      </c>
      <c r="ER231" s="3">
        <f t="shared" ca="1" si="400"/>
        <v>0</v>
      </c>
      <c r="ES231" s="3">
        <f t="shared" ca="1" si="401"/>
        <v>0</v>
      </c>
      <c r="ET231" s="3">
        <f t="shared" ca="1" si="402"/>
        <v>0</v>
      </c>
      <c r="EU231" s="3">
        <f t="shared" si="403"/>
        <v>0</v>
      </c>
      <c r="EV231" s="3">
        <f t="shared" ca="1" si="404"/>
        <v>0</v>
      </c>
      <c r="EW231" s="3">
        <f t="shared" ca="1" si="405"/>
        <v>0</v>
      </c>
      <c r="EX231" s="3">
        <f ca="1">LARGE((ES231:ET231,EV231:EW231),1)</f>
        <v>0</v>
      </c>
      <c r="EY231" s="3">
        <f ca="1">IF(O231&lt;2,0,LARGE((ES231:ET231,EV231:EW231),2))</f>
        <v>0</v>
      </c>
      <c r="EZ231" s="3">
        <f t="shared" ca="1" si="406"/>
        <v>0</v>
      </c>
      <c r="FA231" s="3">
        <f t="shared" ca="1" si="407"/>
        <v>0</v>
      </c>
      <c r="FB231" s="3">
        <f t="shared" ca="1" si="408"/>
        <v>0</v>
      </c>
      <c r="FG231" s="3">
        <f t="shared" ca="1" si="409"/>
        <v>0</v>
      </c>
      <c r="FH231" s="618"/>
      <c r="FU231" s="3" t="str">
        <f t="shared" si="365"/>
        <v>백분위</v>
      </c>
      <c r="FV231" s="3" t="str">
        <f t="shared" si="366"/>
        <v>백분위</v>
      </c>
      <c r="FW231" s="3">
        <f t="shared" si="410"/>
        <v>0.25</v>
      </c>
      <c r="FX231" s="3">
        <f t="shared" si="411"/>
        <v>0.38</v>
      </c>
      <c r="FY231" s="3">
        <f t="shared" si="412"/>
        <v>0.38</v>
      </c>
      <c r="FZ231" s="3">
        <f t="shared" si="413"/>
        <v>8</v>
      </c>
    </row>
    <row r="232" spans="1:182">
      <c r="A232" s="556">
        <v>26</v>
      </c>
      <c r="C232" s="3">
        <f t="shared" si="367"/>
        <v>217</v>
      </c>
      <c r="D232" s="3">
        <v>217</v>
      </c>
      <c r="E232" s="3" t="s">
        <v>389</v>
      </c>
      <c r="F232" s="3">
        <v>1000</v>
      </c>
      <c r="G232" s="3">
        <v>0.2</v>
      </c>
      <c r="H232" s="3">
        <v>0.3</v>
      </c>
      <c r="I232" s="3">
        <v>0.15</v>
      </c>
      <c r="J232" s="3">
        <v>0.15</v>
      </c>
      <c r="O232" s="3">
        <v>2</v>
      </c>
      <c r="P232" s="3">
        <f t="shared" si="368"/>
        <v>0.8</v>
      </c>
      <c r="Q232" s="3" t="s">
        <v>408</v>
      </c>
      <c r="S232" s="3" t="str">
        <f t="shared" si="369"/>
        <v/>
      </c>
      <c r="W232" s="3">
        <f t="shared" si="370"/>
        <v>0</v>
      </c>
      <c r="Y232" s="3">
        <f t="shared" si="371"/>
        <v>2</v>
      </c>
      <c r="Z232" s="3">
        <f t="shared" si="372"/>
        <v>3</v>
      </c>
      <c r="AA232" s="3">
        <f t="shared" si="373"/>
        <v>1.5</v>
      </c>
      <c r="AB232" s="3" t="str">
        <f t="shared" si="374"/>
        <v>자동</v>
      </c>
      <c r="AC232" s="3">
        <f t="shared" si="375"/>
        <v>3</v>
      </c>
      <c r="AD232" s="3">
        <f t="shared" si="376"/>
        <v>2</v>
      </c>
      <c r="AE232" s="3">
        <f t="shared" si="377"/>
        <v>3</v>
      </c>
      <c r="AF232" s="3">
        <f t="shared" si="378"/>
        <v>1.5</v>
      </c>
      <c r="AG232" s="3">
        <f t="shared" si="379"/>
        <v>1.5</v>
      </c>
      <c r="AH232" s="3" t="str">
        <f t="shared" si="380"/>
        <v>자동</v>
      </c>
      <c r="AI232" s="3" t="str">
        <f t="shared" si="381"/>
        <v>자동</v>
      </c>
      <c r="AJ232" s="3" t="str">
        <f t="shared" si="382"/>
        <v>자동</v>
      </c>
      <c r="AL232" s="3" t="str">
        <f t="shared" si="383"/>
        <v/>
      </c>
      <c r="AN232" s="3" t="str">
        <f ca="1">IF($BA232=42,OFFSET(변환표준점수!C$119,$AP232-1,0),"")</f>
        <v/>
      </c>
      <c r="AO232" s="3" t="str">
        <f ca="1">IF($BA232=42,OFFSET(변환표준점수!D$119,$AP232-1,0),"")</f>
        <v/>
      </c>
      <c r="AP232" s="3" t="str">
        <f>IF(S232="","",MATCH(S232,변환표준점수!$B$119:$B$298,0))</f>
        <v/>
      </c>
      <c r="AQ232" s="3">
        <v>2</v>
      </c>
      <c r="AR232" s="3">
        <v>2</v>
      </c>
      <c r="AS232" s="3">
        <v>2</v>
      </c>
      <c r="AT232" s="3">
        <v>2</v>
      </c>
      <c r="AX232" s="3">
        <v>3</v>
      </c>
      <c r="AY232" s="3">
        <v>3</v>
      </c>
      <c r="BA232" s="3">
        <f t="shared" si="384"/>
        <v>2</v>
      </c>
      <c r="BJ232" s="3">
        <f t="shared" si="385"/>
        <v>0</v>
      </c>
      <c r="CH232" s="206">
        <f t="shared" si="386"/>
        <v>800</v>
      </c>
      <c r="CI232" s="56">
        <v>200</v>
      </c>
      <c r="CJ232" s="3">
        <v>190</v>
      </c>
      <c r="CK232" s="3">
        <v>180</v>
      </c>
      <c r="CL232" s="3">
        <v>170</v>
      </c>
      <c r="CM232" s="3">
        <v>160</v>
      </c>
      <c r="CN232" s="3">
        <v>140</v>
      </c>
      <c r="CO232" s="3">
        <v>120</v>
      </c>
      <c r="CP232" s="3">
        <v>100</v>
      </c>
      <c r="CQ232" s="3">
        <v>60</v>
      </c>
      <c r="CR232" s="56">
        <v>10</v>
      </c>
      <c r="CS232" s="3">
        <v>10</v>
      </c>
      <c r="CT232" s="3">
        <v>10</v>
      </c>
      <c r="CU232" s="3">
        <v>10</v>
      </c>
      <c r="CV232" s="3">
        <v>9.8000000000000007</v>
      </c>
      <c r="CW232" s="3">
        <v>9.6</v>
      </c>
      <c r="CX232" s="3">
        <v>9.4</v>
      </c>
      <c r="CY232" s="3">
        <v>9.1999999999999993</v>
      </c>
      <c r="CZ232" s="3">
        <v>9</v>
      </c>
      <c r="DJ232" s="3">
        <f t="shared" ca="1" si="387"/>
        <v>200</v>
      </c>
      <c r="DK232" s="3">
        <f t="shared" ca="1" si="388"/>
        <v>100</v>
      </c>
      <c r="DL232" s="3">
        <f t="shared" ca="1" si="389"/>
        <v>10</v>
      </c>
      <c r="DM232" s="3">
        <v>2</v>
      </c>
      <c r="DQ232" s="3">
        <v>1</v>
      </c>
      <c r="DS232" s="3">
        <v>1</v>
      </c>
      <c r="EA232" s="3">
        <f t="shared" si="390"/>
        <v>1</v>
      </c>
      <c r="EB232" s="3">
        <f t="shared" si="391"/>
        <v>2</v>
      </c>
      <c r="EC232" s="3">
        <f t="shared" si="392"/>
        <v>0</v>
      </c>
      <c r="ED232" s="3">
        <f t="shared" si="393"/>
        <v>0</v>
      </c>
      <c r="EF232" s="3">
        <f t="shared" ca="1" si="394"/>
        <v>0</v>
      </c>
      <c r="EG232" s="3">
        <f t="shared" ca="1" si="395"/>
        <v>0</v>
      </c>
      <c r="EH232" s="3">
        <f ca="1">IFERROR(IF(LEFT($BA232,1)="4",OFFSET(변환표준점수!$H$118,MATCH($S232,변환표준점수!$B$119:$B$198,0),),OFFSET(EH$3,MATCH(AS232,$ED$4:$ED$8,0),0)),0)</f>
        <v>0</v>
      </c>
      <c r="EI232" s="3">
        <f ca="1">IFERROR(IF(LEFT($BA232,1)="4",OFFSET(변환표준점수!$I$118,MATCH($S232,변환표준점수!$B$119:$B$198,0),0),OFFSET(EI$3,MATCH(AT232,$ED$4:$ED$8,0),0)),0)</f>
        <v>0</v>
      </c>
      <c r="EK232" s="3">
        <f ca="1">IFERROR(IF(LEFT($BA232,1)="4",OFFSET(변환표준점수!$J$118,MATCH($S232,변환표준점수!$B$119:$B$198,0),0),OFFSET(EJ$3,MATCH(AV232,$ED$4:$ED$8,0),0)),0)</f>
        <v>0</v>
      </c>
      <c r="EL232" s="3">
        <f ca="1">IFERROR(IF(LEFT($BA232,1)="4",OFFSET(변환표준점수!$K$118,MATCH($S232,변환표준점수!$B$119:$B$198,0),0),OFFSET(EK$3,MATCH(AW232,$ED$4:$ED$8,0),0)),0)</f>
        <v>0</v>
      </c>
      <c r="EM232" s="3" t="str">
        <f t="shared" ca="1" si="396"/>
        <v/>
      </c>
      <c r="EN232" s="3" t="str">
        <f t="shared" ca="1" si="397"/>
        <v/>
      </c>
      <c r="EO232" s="3">
        <f t="shared" ca="1" si="398"/>
        <v>0</v>
      </c>
      <c r="EQ232" s="3">
        <f t="shared" ca="1" si="399"/>
        <v>0</v>
      </c>
      <c r="ER232" s="3">
        <f t="shared" ca="1" si="400"/>
        <v>0</v>
      </c>
      <c r="ES232" s="3">
        <f t="shared" ca="1" si="401"/>
        <v>0</v>
      </c>
      <c r="ET232" s="3">
        <f t="shared" ca="1" si="402"/>
        <v>0</v>
      </c>
      <c r="EU232" s="3">
        <f t="shared" si="403"/>
        <v>0</v>
      </c>
      <c r="EV232" s="3">
        <f t="shared" ca="1" si="404"/>
        <v>0</v>
      </c>
      <c r="EW232" s="3">
        <f t="shared" ca="1" si="405"/>
        <v>0</v>
      </c>
      <c r="EX232" s="3">
        <f ca="1">LARGE((ES232:ET232,EV232:EW232),1)</f>
        <v>0</v>
      </c>
      <c r="EY232" s="3">
        <f ca="1">IF(O232&lt;2,0,LARGE((ES232:ET232,EV232:EW232),2))</f>
        <v>0</v>
      </c>
      <c r="EZ232" s="3">
        <f t="shared" ca="1" si="406"/>
        <v>0</v>
      </c>
      <c r="FA232" s="3">
        <f t="shared" ca="1" si="407"/>
        <v>0</v>
      </c>
      <c r="FB232" s="3">
        <f t="shared" ca="1" si="408"/>
        <v>0</v>
      </c>
      <c r="FG232" s="3">
        <f t="shared" ca="1" si="409"/>
        <v>0</v>
      </c>
      <c r="FH232" s="618"/>
      <c r="FU232" s="3" t="str">
        <f t="shared" si="365"/>
        <v>백분위</v>
      </c>
      <c r="FV232" s="3" t="str">
        <f t="shared" si="366"/>
        <v>백분위</v>
      </c>
      <c r="FW232" s="3">
        <f t="shared" si="410"/>
        <v>0.25</v>
      </c>
      <c r="FX232" s="3">
        <f t="shared" si="411"/>
        <v>0.38</v>
      </c>
      <c r="FY232" s="3">
        <f t="shared" si="412"/>
        <v>0.38</v>
      </c>
      <c r="FZ232" s="3">
        <f t="shared" si="413"/>
        <v>8</v>
      </c>
    </row>
    <row r="233" spans="1:182">
      <c r="A233" s="556" t="s">
        <v>7687</v>
      </c>
      <c r="C233" s="3">
        <f t="shared" si="367"/>
        <v>218</v>
      </c>
      <c r="D233" s="3">
        <v>218</v>
      </c>
      <c r="E233" s="3" t="s">
        <v>7373</v>
      </c>
      <c r="F233" s="3">
        <v>1000</v>
      </c>
      <c r="G233" s="3">
        <v>0.2</v>
      </c>
      <c r="H233" s="3">
        <v>0.3</v>
      </c>
      <c r="I233" s="3">
        <v>0.15</v>
      </c>
      <c r="J233" s="3">
        <v>0.15</v>
      </c>
      <c r="O233" s="3">
        <v>2</v>
      </c>
      <c r="P233" s="3">
        <f t="shared" si="368"/>
        <v>0.8</v>
      </c>
      <c r="Q233" s="3" t="s">
        <v>408</v>
      </c>
      <c r="S233" s="3" t="str">
        <f t="shared" si="369"/>
        <v/>
      </c>
      <c r="W233" s="3">
        <f t="shared" si="370"/>
        <v>0</v>
      </c>
      <c r="Y233" s="3">
        <f t="shared" si="371"/>
        <v>2</v>
      </c>
      <c r="Z233" s="3">
        <f t="shared" si="372"/>
        <v>3</v>
      </c>
      <c r="AA233" s="3">
        <f t="shared" si="373"/>
        <v>1.5</v>
      </c>
      <c r="AB233" s="3" t="str">
        <f t="shared" si="374"/>
        <v>자동</v>
      </c>
      <c r="AC233" s="3">
        <f t="shared" si="375"/>
        <v>3</v>
      </c>
      <c r="AD233" s="3">
        <f t="shared" si="376"/>
        <v>2</v>
      </c>
      <c r="AE233" s="3">
        <f t="shared" si="377"/>
        <v>3</v>
      </c>
      <c r="AF233" s="3">
        <f t="shared" si="378"/>
        <v>1.5</v>
      </c>
      <c r="AG233" s="3">
        <f t="shared" si="379"/>
        <v>1.5</v>
      </c>
      <c r="AH233" s="3" t="str">
        <f t="shared" si="380"/>
        <v>자동</v>
      </c>
      <c r="AI233" s="3" t="str">
        <f t="shared" si="381"/>
        <v>자동</v>
      </c>
      <c r="AJ233" s="3" t="str">
        <f t="shared" si="382"/>
        <v>자동</v>
      </c>
      <c r="AL233" s="3" t="str">
        <f t="shared" si="383"/>
        <v/>
      </c>
      <c r="AN233" s="3" t="str">
        <f ca="1">IF($BA233=42,OFFSET(변환표준점수!C$119,$AP233-1,0),"")</f>
        <v/>
      </c>
      <c r="AO233" s="3" t="str">
        <f ca="1">IF($BA233=42,OFFSET(변환표준점수!D$119,$AP233-1,0),"")</f>
        <v/>
      </c>
      <c r="AP233" s="3" t="str">
        <f>IF(S233="","",MATCH(S233,변환표준점수!$B$119:$B$298,0))</f>
        <v/>
      </c>
      <c r="AQ233" s="3">
        <v>2</v>
      </c>
      <c r="AR233" s="3">
        <v>2</v>
      </c>
      <c r="AS233" s="3">
        <v>2</v>
      </c>
      <c r="AT233" s="3">
        <v>2</v>
      </c>
      <c r="AX233" s="3">
        <v>3</v>
      </c>
      <c r="AY233" s="3">
        <v>3</v>
      </c>
      <c r="BA233" s="3">
        <f t="shared" si="384"/>
        <v>2</v>
      </c>
      <c r="BC233" s="3">
        <f>$Z233*0.1</f>
        <v>0.30000000000000004</v>
      </c>
      <c r="BD233" s="3">
        <f>$Z233*0.1</f>
        <v>0.30000000000000004</v>
      </c>
      <c r="BJ233" s="3">
        <f t="shared" si="385"/>
        <v>0</v>
      </c>
      <c r="BN233" s="212" t="s">
        <v>7732</v>
      </c>
      <c r="BP233" s="3">
        <f>IF(BP$6&gt;0,BC233*$EG233,0)</f>
        <v>0</v>
      </c>
      <c r="BQ233" s="3">
        <f>IF(BQ$6&gt;0,BD233*$EG233,0)</f>
        <v>0</v>
      </c>
      <c r="CH233" s="206">
        <f t="shared" si="386"/>
        <v>800</v>
      </c>
      <c r="CI233" s="56">
        <v>200</v>
      </c>
      <c r="CJ233" s="3">
        <v>190</v>
      </c>
      <c r="CK233" s="3">
        <v>180</v>
      </c>
      <c r="CL233" s="3">
        <v>170</v>
      </c>
      <c r="CM233" s="3">
        <v>160</v>
      </c>
      <c r="CN233" s="3">
        <v>140</v>
      </c>
      <c r="CO233" s="3">
        <v>120</v>
      </c>
      <c r="CP233" s="3">
        <v>100</v>
      </c>
      <c r="CQ233" s="3">
        <v>60</v>
      </c>
      <c r="CR233" s="56">
        <v>10</v>
      </c>
      <c r="CS233" s="3">
        <v>10</v>
      </c>
      <c r="CT233" s="3">
        <v>10</v>
      </c>
      <c r="CU233" s="3">
        <v>10</v>
      </c>
      <c r="CV233" s="3">
        <v>9.8000000000000007</v>
      </c>
      <c r="CW233" s="3">
        <v>9.6</v>
      </c>
      <c r="CX233" s="3">
        <v>9.4</v>
      </c>
      <c r="CY233" s="3">
        <v>9.1999999999999993</v>
      </c>
      <c r="CZ233" s="3">
        <v>9</v>
      </c>
      <c r="DJ233" s="3">
        <f t="shared" ca="1" si="387"/>
        <v>200</v>
      </c>
      <c r="DK233" s="3">
        <f t="shared" ca="1" si="388"/>
        <v>100</v>
      </c>
      <c r="DL233" s="3">
        <f t="shared" ca="1" si="389"/>
        <v>10</v>
      </c>
      <c r="DM233" s="3">
        <v>2</v>
      </c>
      <c r="DZ233" s="3">
        <v>1</v>
      </c>
      <c r="EA233" s="3">
        <f t="shared" si="390"/>
        <v>1</v>
      </c>
      <c r="EB233" s="3">
        <f t="shared" si="391"/>
        <v>2</v>
      </c>
      <c r="EC233" s="3">
        <f t="shared" si="392"/>
        <v>0</v>
      </c>
      <c r="ED233" s="3">
        <f t="shared" si="393"/>
        <v>0</v>
      </c>
      <c r="EF233" s="3">
        <f t="shared" ca="1" si="394"/>
        <v>0</v>
      </c>
      <c r="EG233" s="3">
        <f t="shared" ca="1" si="395"/>
        <v>0</v>
      </c>
      <c r="EH233" s="3">
        <f ca="1">IFERROR(IF(LEFT($BA233,1)="4",OFFSET(변환표준점수!$H$118,MATCH($S233,변환표준점수!$B$119:$B$198,0),),OFFSET(EH$3,MATCH(AS233,$ED$4:$ED$8,0),0)),0)</f>
        <v>0</v>
      </c>
      <c r="EI233" s="3">
        <f ca="1">IFERROR(IF(LEFT($BA233,1)="4",OFFSET(변환표준점수!$I$118,MATCH($S233,변환표준점수!$B$119:$B$198,0),0),OFFSET(EI$3,MATCH(AT233,$ED$4:$ED$8,0),0)),0)</f>
        <v>0</v>
      </c>
      <c r="EK233" s="3">
        <f ca="1">IFERROR(IF(LEFT($BA233,1)="4",OFFSET(변환표준점수!$J$118,MATCH($S233,변환표준점수!$B$119:$B$198,0),0),OFFSET(EJ$3,MATCH(AV233,$ED$4:$ED$8,0),0)),0)</f>
        <v>0</v>
      </c>
      <c r="EL233" s="3">
        <f ca="1">IFERROR(IF(LEFT($BA233,1)="4",OFFSET(변환표준점수!$K$118,MATCH($S233,변환표준점수!$B$119:$B$198,0),0),OFFSET(EK$3,MATCH(AW233,$ED$4:$ED$8,0),0)),0)</f>
        <v>0</v>
      </c>
      <c r="EM233" s="3" t="str">
        <f t="shared" ca="1" si="396"/>
        <v/>
      </c>
      <c r="EN233" s="3" t="str">
        <f t="shared" ca="1" si="397"/>
        <v/>
      </c>
      <c r="EO233" s="3">
        <f t="shared" ca="1" si="398"/>
        <v>0</v>
      </c>
      <c r="EQ233" s="3">
        <f t="shared" ca="1" si="399"/>
        <v>0</v>
      </c>
      <c r="ER233" s="3">
        <f t="shared" ca="1" si="400"/>
        <v>0</v>
      </c>
      <c r="ES233" s="3">
        <f t="shared" ca="1" si="401"/>
        <v>0</v>
      </c>
      <c r="ET233" s="3">
        <f t="shared" ca="1" si="402"/>
        <v>0</v>
      </c>
      <c r="EU233" s="3">
        <f t="shared" si="403"/>
        <v>0</v>
      </c>
      <c r="EV233" s="3">
        <f t="shared" ca="1" si="404"/>
        <v>0</v>
      </c>
      <c r="EW233" s="3">
        <f t="shared" ca="1" si="405"/>
        <v>0</v>
      </c>
      <c r="EX233" s="3">
        <f ca="1">LARGE((ES233:ET233,EV233:EW233),1)</f>
        <v>0</v>
      </c>
      <c r="EY233" s="3">
        <f ca="1">IF(O233&lt;2,0,LARGE((ES233:ET233,EV233:EW233),2))</f>
        <v>0</v>
      </c>
      <c r="EZ233" s="3">
        <f t="shared" ca="1" si="406"/>
        <v>0</v>
      </c>
      <c r="FA233" s="3">
        <f t="shared" ca="1" si="407"/>
        <v>0</v>
      </c>
      <c r="FB233" s="3">
        <f t="shared" ca="1" si="408"/>
        <v>0</v>
      </c>
      <c r="FG233" s="3">
        <f t="shared" ca="1" si="409"/>
        <v>0</v>
      </c>
      <c r="FH233" s="618"/>
      <c r="FU233" s="3" t="str">
        <f t="shared" si="365"/>
        <v>백분위</v>
      </c>
      <c r="FV233" s="3" t="str">
        <f t="shared" si="366"/>
        <v>백분위</v>
      </c>
      <c r="FW233" s="3">
        <f t="shared" si="410"/>
        <v>0.25</v>
      </c>
      <c r="FX233" s="3">
        <f t="shared" si="411"/>
        <v>0.38</v>
      </c>
      <c r="FY233" s="3">
        <f t="shared" si="412"/>
        <v>0.38</v>
      </c>
      <c r="FZ233" s="3">
        <f t="shared" si="413"/>
        <v>8</v>
      </c>
    </row>
    <row r="234" spans="1:182">
      <c r="A234" s="556">
        <v>26</v>
      </c>
      <c r="C234" s="3">
        <f t="shared" si="367"/>
        <v>219</v>
      </c>
      <c r="D234" s="3">
        <v>219</v>
      </c>
      <c r="E234" s="3" t="s">
        <v>7374</v>
      </c>
      <c r="F234" s="3">
        <v>1000</v>
      </c>
      <c r="G234" s="3">
        <v>0.3</v>
      </c>
      <c r="H234" s="3">
        <v>0.2</v>
      </c>
      <c r="I234" s="3">
        <v>0.15</v>
      </c>
      <c r="J234" s="3">
        <v>0.15</v>
      </c>
      <c r="L234" s="3">
        <v>0.15</v>
      </c>
      <c r="M234" s="3">
        <v>0.15</v>
      </c>
      <c r="O234" s="3">
        <v>2</v>
      </c>
      <c r="P234" s="3">
        <f t="shared" si="368"/>
        <v>0.8</v>
      </c>
      <c r="Q234" s="3" t="s">
        <v>408</v>
      </c>
      <c r="S234" s="3" t="str">
        <f t="shared" si="369"/>
        <v/>
      </c>
      <c r="W234" s="3">
        <f t="shared" si="370"/>
        <v>0</v>
      </c>
      <c r="Y234" s="3">
        <f t="shared" si="371"/>
        <v>3</v>
      </c>
      <c r="Z234" s="3">
        <f t="shared" si="372"/>
        <v>2</v>
      </c>
      <c r="AA234" s="3">
        <f t="shared" si="373"/>
        <v>1.5</v>
      </c>
      <c r="AB234" s="3">
        <f t="shared" si="374"/>
        <v>1.5</v>
      </c>
      <c r="AC234" s="3">
        <f t="shared" si="375"/>
        <v>3</v>
      </c>
      <c r="AD234" s="3">
        <f t="shared" si="376"/>
        <v>3</v>
      </c>
      <c r="AE234" s="3">
        <f t="shared" si="377"/>
        <v>2</v>
      </c>
      <c r="AF234" s="3">
        <f t="shared" si="378"/>
        <v>1.5</v>
      </c>
      <c r="AG234" s="3">
        <f t="shared" si="379"/>
        <v>1.5</v>
      </c>
      <c r="AH234" s="3" t="str">
        <f t="shared" si="380"/>
        <v>자동</v>
      </c>
      <c r="AI234" s="3">
        <f t="shared" si="381"/>
        <v>1.5</v>
      </c>
      <c r="AJ234" s="3">
        <f t="shared" si="382"/>
        <v>1.5</v>
      </c>
      <c r="AL234" s="3" t="str">
        <f t="shared" si="383"/>
        <v/>
      </c>
      <c r="AN234" s="3" t="str">
        <f ca="1">IF($BA234=42,OFFSET(변환표준점수!C$119,$AP234-1,0),"")</f>
        <v/>
      </c>
      <c r="AO234" s="3" t="str">
        <f ca="1">IF($BA234=42,OFFSET(변환표준점수!D$119,$AP234-1,0),"")</f>
        <v/>
      </c>
      <c r="AP234" s="3" t="str">
        <f>IF(S234="","",MATCH(S234,변환표준점수!$B$119:$B$298,0))</f>
        <v/>
      </c>
      <c r="AQ234" s="3">
        <v>2</v>
      </c>
      <c r="AR234" s="3">
        <v>2</v>
      </c>
      <c r="AS234" s="3">
        <v>2</v>
      </c>
      <c r="AT234" s="3">
        <v>2</v>
      </c>
      <c r="AV234" s="3">
        <v>2</v>
      </c>
      <c r="AW234" s="3">
        <v>2</v>
      </c>
      <c r="AX234" s="3">
        <v>3</v>
      </c>
      <c r="AY234" s="3">
        <v>3</v>
      </c>
      <c r="BA234" s="3">
        <f t="shared" si="384"/>
        <v>2</v>
      </c>
      <c r="BC234" s="3">
        <f>$Z234*0.05</f>
        <v>0.1</v>
      </c>
      <c r="BD234" s="3">
        <f>$Z234*0.05</f>
        <v>0.1</v>
      </c>
      <c r="BF234" s="3">
        <f>AA234*0.05</f>
        <v>7.5000000000000011E-2</v>
      </c>
      <c r="BG234" s="3">
        <f>AA234*0.05</f>
        <v>7.5000000000000011E-2</v>
      </c>
      <c r="BJ234" s="3">
        <f t="shared" si="385"/>
        <v>0</v>
      </c>
      <c r="BN234" s="212" t="s">
        <v>7734</v>
      </c>
      <c r="BP234" s="3">
        <f>IF(BP$6&gt;0,BC234*$EG234,0)</f>
        <v>0</v>
      </c>
      <c r="BQ234" s="3">
        <f>IF(BQ$6&gt;0,BD234*$EG234,0)</f>
        <v>0</v>
      </c>
      <c r="BS234" s="3">
        <f>IF($DM$8&gt;=2,BF234*EH234,0)</f>
        <v>0</v>
      </c>
      <c r="BT234" s="3">
        <f>IF($DM$8&gt;=2,BG234*EI234,0)</f>
        <v>0</v>
      </c>
      <c r="CH234" s="206">
        <f t="shared" si="386"/>
        <v>800</v>
      </c>
      <c r="CI234" s="56">
        <v>200</v>
      </c>
      <c r="CJ234" s="3">
        <v>190</v>
      </c>
      <c r="CK234" s="3">
        <v>180</v>
      </c>
      <c r="CL234" s="3">
        <v>170</v>
      </c>
      <c r="CM234" s="3">
        <v>160</v>
      </c>
      <c r="CN234" s="3">
        <v>140</v>
      </c>
      <c r="CO234" s="3">
        <v>120</v>
      </c>
      <c r="CP234" s="3">
        <v>100</v>
      </c>
      <c r="CQ234" s="3">
        <v>60</v>
      </c>
      <c r="CR234" s="56">
        <v>10</v>
      </c>
      <c r="CS234" s="3">
        <v>10</v>
      </c>
      <c r="CT234" s="3">
        <v>10</v>
      </c>
      <c r="CU234" s="3">
        <v>10</v>
      </c>
      <c r="CV234" s="3">
        <v>9.8000000000000007</v>
      </c>
      <c r="CW234" s="3">
        <v>9.6</v>
      </c>
      <c r="CX234" s="3">
        <v>9.4</v>
      </c>
      <c r="CY234" s="3">
        <v>9.1999999999999993</v>
      </c>
      <c r="CZ234" s="3">
        <v>9</v>
      </c>
      <c r="DJ234" s="3">
        <f t="shared" ca="1" si="387"/>
        <v>200</v>
      </c>
      <c r="DK234" s="3">
        <f t="shared" ca="1" si="388"/>
        <v>100</v>
      </c>
      <c r="DL234" s="3">
        <f t="shared" ca="1" si="389"/>
        <v>10</v>
      </c>
      <c r="DO234" s="3">
        <v>2</v>
      </c>
      <c r="DZ234" s="3">
        <v>1</v>
      </c>
      <c r="EA234" s="3">
        <f t="shared" si="390"/>
        <v>1</v>
      </c>
      <c r="EB234" s="3">
        <f t="shared" si="391"/>
        <v>2</v>
      </c>
      <c r="EC234" s="3">
        <f t="shared" si="392"/>
        <v>0</v>
      </c>
      <c r="ED234" s="3">
        <f t="shared" si="393"/>
        <v>0</v>
      </c>
      <c r="EF234" s="3">
        <f t="shared" ca="1" si="394"/>
        <v>0</v>
      </c>
      <c r="EG234" s="3">
        <f t="shared" ca="1" si="395"/>
        <v>0</v>
      </c>
      <c r="EH234" s="3">
        <f ca="1">IFERROR(IF(LEFT($BA234,1)="4",OFFSET(변환표준점수!$H$118,MATCH($S234,변환표준점수!$B$119:$B$198,0),),OFFSET(EH$3,MATCH(AS234,$ED$4:$ED$8,0),0)),0)</f>
        <v>0</v>
      </c>
      <c r="EI234" s="3">
        <f ca="1">IFERROR(IF(LEFT($BA234,1)="4",OFFSET(변환표준점수!$I$118,MATCH($S234,변환표준점수!$B$119:$B$198,0),0),OFFSET(EI$3,MATCH(AT234,$ED$4:$ED$8,0),0)),0)</f>
        <v>0</v>
      </c>
      <c r="EK234" s="3">
        <f ca="1">IFERROR(IF(LEFT($BA234,1)="4",OFFSET(변환표준점수!$J$118,MATCH($S234,변환표준점수!$B$119:$B$198,0),0),OFFSET(EJ$3,MATCH(AV234,$ED$4:$ED$8,0),0)),0)</f>
        <v>0</v>
      </c>
      <c r="EL234" s="3">
        <f ca="1">IFERROR(IF(LEFT($BA234,1)="4",OFFSET(변환표준점수!$K$118,MATCH($S234,변환표준점수!$B$119:$B$198,0),0),OFFSET(EK$3,MATCH(AW234,$ED$4:$ED$8,0),0)),0)</f>
        <v>0</v>
      </c>
      <c r="EM234" s="3" t="str">
        <f t="shared" ca="1" si="396"/>
        <v/>
      </c>
      <c r="EN234" s="3" t="str">
        <f t="shared" ca="1" si="397"/>
        <v/>
      </c>
      <c r="EO234" s="3">
        <f t="shared" ca="1" si="398"/>
        <v>0</v>
      </c>
      <c r="EQ234" s="3">
        <f t="shared" ca="1" si="399"/>
        <v>0</v>
      </c>
      <c r="ER234" s="3">
        <f t="shared" ca="1" si="400"/>
        <v>0</v>
      </c>
      <c r="ES234" s="3">
        <f t="shared" ca="1" si="401"/>
        <v>0</v>
      </c>
      <c r="ET234" s="3">
        <f t="shared" ca="1" si="402"/>
        <v>0</v>
      </c>
      <c r="EU234" s="3">
        <f t="shared" si="403"/>
        <v>0</v>
      </c>
      <c r="EV234" s="3">
        <f t="shared" ca="1" si="404"/>
        <v>0</v>
      </c>
      <c r="EW234" s="3">
        <f t="shared" ca="1" si="405"/>
        <v>0</v>
      </c>
      <c r="EX234" s="3">
        <f ca="1">LARGE((ES234:ET234,EV234:EW234),1)</f>
        <v>0</v>
      </c>
      <c r="EY234" s="3">
        <f ca="1">IF(O234&lt;2,0,LARGE((ES234:ET234,EV234:EW234),2))</f>
        <v>0</v>
      </c>
      <c r="EZ234" s="3">
        <f t="shared" ca="1" si="406"/>
        <v>0</v>
      </c>
      <c r="FA234" s="3">
        <f t="shared" ca="1" si="407"/>
        <v>0</v>
      </c>
      <c r="FB234" s="3">
        <f t="shared" ca="1" si="408"/>
        <v>0</v>
      </c>
      <c r="FG234" s="3">
        <f t="shared" ca="1" si="409"/>
        <v>0</v>
      </c>
      <c r="FH234" s="618"/>
      <c r="FU234" s="3" t="str">
        <f t="shared" si="365"/>
        <v>백분위</v>
      </c>
      <c r="FV234" s="3" t="str">
        <f t="shared" si="366"/>
        <v>백분위</v>
      </c>
      <c r="FW234" s="3">
        <f t="shared" si="410"/>
        <v>0.38</v>
      </c>
      <c r="FX234" s="3">
        <f t="shared" si="411"/>
        <v>0.25</v>
      </c>
      <c r="FY234" s="3">
        <f t="shared" si="412"/>
        <v>0.38</v>
      </c>
      <c r="FZ234" s="3">
        <f t="shared" si="413"/>
        <v>8</v>
      </c>
    </row>
    <row r="235" spans="1:182">
      <c r="A235" s="556">
        <v>26</v>
      </c>
      <c r="C235" s="3">
        <f t="shared" si="367"/>
        <v>220</v>
      </c>
      <c r="D235" s="3">
        <v>220</v>
      </c>
      <c r="E235" s="3" t="s">
        <v>7375</v>
      </c>
      <c r="F235" s="3">
        <v>1000</v>
      </c>
      <c r="G235" s="3">
        <v>0.25</v>
      </c>
      <c r="H235" s="3">
        <v>0.25</v>
      </c>
      <c r="I235" s="3">
        <v>0.125</v>
      </c>
      <c r="J235" s="3">
        <v>0.125</v>
      </c>
      <c r="L235" s="3">
        <v>0.125</v>
      </c>
      <c r="M235" s="3">
        <v>0.125</v>
      </c>
      <c r="O235" s="3">
        <v>2</v>
      </c>
      <c r="P235" s="3">
        <f t="shared" si="368"/>
        <v>0.75</v>
      </c>
      <c r="Q235" s="3" t="s">
        <v>408</v>
      </c>
      <c r="S235" s="3" t="str">
        <f t="shared" si="369"/>
        <v/>
      </c>
      <c r="W235" s="3">
        <f t="shared" si="370"/>
        <v>0</v>
      </c>
      <c r="Y235" s="3">
        <f t="shared" si="371"/>
        <v>2.5</v>
      </c>
      <c r="Z235" s="3">
        <f t="shared" si="372"/>
        <v>2.5</v>
      </c>
      <c r="AA235" s="3">
        <f t="shared" si="373"/>
        <v>1.25</v>
      </c>
      <c r="AB235" s="3">
        <f t="shared" si="374"/>
        <v>1.25</v>
      </c>
      <c r="AC235" s="3">
        <f t="shared" si="375"/>
        <v>2.5</v>
      </c>
      <c r="AD235" s="3">
        <f t="shared" si="376"/>
        <v>2.5</v>
      </c>
      <c r="AE235" s="3">
        <f t="shared" si="377"/>
        <v>2.5</v>
      </c>
      <c r="AF235" s="3">
        <f t="shared" si="378"/>
        <v>1.25</v>
      </c>
      <c r="AG235" s="3">
        <f t="shared" si="379"/>
        <v>1.25</v>
      </c>
      <c r="AH235" s="3" t="str">
        <f t="shared" si="380"/>
        <v>자동</v>
      </c>
      <c r="AI235" s="3">
        <f t="shared" si="381"/>
        <v>1.25</v>
      </c>
      <c r="AJ235" s="3">
        <f t="shared" si="382"/>
        <v>1.25</v>
      </c>
      <c r="AL235" s="3" t="str">
        <f t="shared" si="383"/>
        <v/>
      </c>
      <c r="AN235" s="3" t="str">
        <f ca="1">IF($BA235=42,OFFSET(변환표준점수!C$119,$AP235-1,0),"")</f>
        <v/>
      </c>
      <c r="AO235" s="3" t="str">
        <f ca="1">IF($BA235=42,OFFSET(변환표준점수!D$119,$AP235-1,0),"")</f>
        <v/>
      </c>
      <c r="AP235" s="3" t="str">
        <f>IF(S235="","",MATCH(S235,변환표준점수!$B$119:$B$298,0))</f>
        <v/>
      </c>
      <c r="AQ235" s="3">
        <v>2</v>
      </c>
      <c r="AR235" s="3">
        <v>2</v>
      </c>
      <c r="AS235" s="3">
        <v>2</v>
      </c>
      <c r="AT235" s="3">
        <v>2</v>
      </c>
      <c r="AV235" s="3">
        <v>2</v>
      </c>
      <c r="AW235" s="3">
        <v>2</v>
      </c>
      <c r="AX235" s="3">
        <v>3</v>
      </c>
      <c r="AY235" s="3">
        <v>3</v>
      </c>
      <c r="BA235" s="3">
        <f t="shared" si="384"/>
        <v>2</v>
      </c>
      <c r="BJ235" s="3">
        <f t="shared" si="385"/>
        <v>0</v>
      </c>
      <c r="CH235" s="206">
        <f t="shared" si="386"/>
        <v>750</v>
      </c>
      <c r="CI235" s="56">
        <v>250</v>
      </c>
      <c r="CJ235" s="3">
        <v>237.5</v>
      </c>
      <c r="CK235" s="3">
        <v>225</v>
      </c>
      <c r="CL235" s="3">
        <v>212.5</v>
      </c>
      <c r="CM235" s="3">
        <v>200</v>
      </c>
      <c r="CN235" s="3">
        <v>175</v>
      </c>
      <c r="CO235" s="3">
        <v>150</v>
      </c>
      <c r="CP235" s="3">
        <v>125</v>
      </c>
      <c r="CQ235" s="3">
        <v>75</v>
      </c>
      <c r="CR235" s="56">
        <v>10</v>
      </c>
      <c r="CS235" s="3">
        <v>10</v>
      </c>
      <c r="CT235" s="3">
        <v>10</v>
      </c>
      <c r="CU235" s="3">
        <v>10</v>
      </c>
      <c r="CV235" s="3">
        <v>9.8000000000000007</v>
      </c>
      <c r="CW235" s="3">
        <v>9.6</v>
      </c>
      <c r="CX235" s="3">
        <v>9.4</v>
      </c>
      <c r="CY235" s="3">
        <v>9.1999999999999993</v>
      </c>
      <c r="CZ235" s="3">
        <v>9</v>
      </c>
      <c r="DJ235" s="3">
        <f t="shared" ca="1" si="387"/>
        <v>250</v>
      </c>
      <c r="DK235" s="3">
        <f t="shared" ca="1" si="388"/>
        <v>100</v>
      </c>
      <c r="DL235" s="3">
        <f t="shared" ca="1" si="389"/>
        <v>10</v>
      </c>
      <c r="DO235" s="3">
        <v>2</v>
      </c>
      <c r="DZ235" s="3">
        <v>1</v>
      </c>
      <c r="EA235" s="3">
        <f t="shared" si="390"/>
        <v>1</v>
      </c>
      <c r="EB235" s="3">
        <f t="shared" si="391"/>
        <v>2</v>
      </c>
      <c r="EC235" s="3">
        <f t="shared" si="392"/>
        <v>0</v>
      </c>
      <c r="ED235" s="3">
        <f t="shared" si="393"/>
        <v>0</v>
      </c>
      <c r="EF235" s="3">
        <f t="shared" ca="1" si="394"/>
        <v>0</v>
      </c>
      <c r="EG235" s="3">
        <f t="shared" ca="1" si="395"/>
        <v>0</v>
      </c>
      <c r="EH235" s="3">
        <f ca="1">IFERROR(IF(LEFT($BA235,1)="4",OFFSET(변환표준점수!$H$118,MATCH($S235,변환표준점수!$B$119:$B$198,0),),OFFSET(EH$3,MATCH(AS235,$ED$4:$ED$8,0),0)),0)</f>
        <v>0</v>
      </c>
      <c r="EI235" s="3">
        <f ca="1">IFERROR(IF(LEFT($BA235,1)="4",OFFSET(변환표준점수!$I$118,MATCH($S235,변환표준점수!$B$119:$B$198,0),0),OFFSET(EI$3,MATCH(AT235,$ED$4:$ED$8,0),0)),0)</f>
        <v>0</v>
      </c>
      <c r="EK235" s="3">
        <f ca="1">IFERROR(IF(LEFT($BA235,1)="4",OFFSET(변환표준점수!$J$118,MATCH($S235,변환표준점수!$B$119:$B$198,0),0),OFFSET(EJ$3,MATCH(AV235,$ED$4:$ED$8,0),0)),0)</f>
        <v>0</v>
      </c>
      <c r="EL235" s="3">
        <f ca="1">IFERROR(IF(LEFT($BA235,1)="4",OFFSET(변환표준점수!$K$118,MATCH($S235,변환표준점수!$B$119:$B$198,0),0),OFFSET(EK$3,MATCH(AW235,$ED$4:$ED$8,0),0)),0)</f>
        <v>0</v>
      </c>
      <c r="EM235" s="3" t="str">
        <f t="shared" ca="1" si="396"/>
        <v/>
      </c>
      <c r="EN235" s="3" t="str">
        <f t="shared" ca="1" si="397"/>
        <v/>
      </c>
      <c r="EO235" s="3">
        <f t="shared" ca="1" si="398"/>
        <v>0</v>
      </c>
      <c r="EQ235" s="3">
        <f t="shared" ca="1" si="399"/>
        <v>0</v>
      </c>
      <c r="ER235" s="3">
        <f t="shared" ca="1" si="400"/>
        <v>0</v>
      </c>
      <c r="ES235" s="3">
        <f t="shared" ca="1" si="401"/>
        <v>0</v>
      </c>
      <c r="ET235" s="3">
        <f t="shared" ca="1" si="402"/>
        <v>0</v>
      </c>
      <c r="EU235" s="3">
        <f t="shared" si="403"/>
        <v>0</v>
      </c>
      <c r="EV235" s="3">
        <f t="shared" ca="1" si="404"/>
        <v>0</v>
      </c>
      <c r="EW235" s="3">
        <f t="shared" ca="1" si="405"/>
        <v>0</v>
      </c>
      <c r="EX235" s="3">
        <f ca="1">LARGE((ES235:ET235,EV235:EW235),1)</f>
        <v>0</v>
      </c>
      <c r="EY235" s="3">
        <f ca="1">IF(O235&lt;2,0,LARGE((ES235:ET235,EV235:EW235),2))</f>
        <v>0</v>
      </c>
      <c r="EZ235" s="3">
        <f t="shared" ca="1" si="406"/>
        <v>0</v>
      </c>
      <c r="FA235" s="3">
        <f t="shared" ca="1" si="407"/>
        <v>0</v>
      </c>
      <c r="FB235" s="3">
        <f t="shared" ca="1" si="408"/>
        <v>0</v>
      </c>
      <c r="FG235" s="3">
        <f t="shared" ca="1" si="409"/>
        <v>0</v>
      </c>
      <c r="FH235" s="618"/>
      <c r="FU235" s="3" t="str">
        <f t="shared" si="365"/>
        <v>백분위</v>
      </c>
      <c r="FV235" s="3" t="str">
        <f t="shared" si="366"/>
        <v>백분위</v>
      </c>
      <c r="FW235" s="3">
        <f t="shared" si="410"/>
        <v>0.33</v>
      </c>
      <c r="FX235" s="3">
        <f t="shared" si="411"/>
        <v>0.33</v>
      </c>
      <c r="FY235" s="3">
        <f t="shared" si="412"/>
        <v>0.33</v>
      </c>
      <c r="FZ235" s="3">
        <f t="shared" si="413"/>
        <v>7.5</v>
      </c>
    </row>
    <row r="236" spans="1:182">
      <c r="A236" s="556">
        <v>26</v>
      </c>
      <c r="C236" s="3">
        <f t="shared" si="367"/>
        <v>221</v>
      </c>
      <c r="D236" s="3">
        <v>221</v>
      </c>
      <c r="E236" s="3" t="s">
        <v>390</v>
      </c>
      <c r="F236" s="3">
        <v>300</v>
      </c>
      <c r="G236" s="3">
        <v>0.45</v>
      </c>
      <c r="H236" s="3">
        <v>0.25</v>
      </c>
      <c r="I236" s="3">
        <v>0.15</v>
      </c>
      <c r="J236" s="3">
        <v>0.15</v>
      </c>
      <c r="L236" s="3">
        <v>0.15</v>
      </c>
      <c r="M236" s="3">
        <v>0.15</v>
      </c>
      <c r="O236" s="3">
        <v>2</v>
      </c>
      <c r="P236" s="3">
        <f t="shared" si="368"/>
        <v>1</v>
      </c>
      <c r="Q236" s="3" t="s">
        <v>408</v>
      </c>
      <c r="S236" s="3" t="str">
        <f t="shared" si="369"/>
        <v/>
      </c>
      <c r="W236" s="3">
        <f t="shared" si="370"/>
        <v>0</v>
      </c>
      <c r="Y236" s="3">
        <f t="shared" si="371"/>
        <v>0.67500000000000004</v>
      </c>
      <c r="Z236" s="3">
        <f t="shared" si="372"/>
        <v>0.375</v>
      </c>
      <c r="AA236" s="3">
        <f t="shared" si="373"/>
        <v>0.45</v>
      </c>
      <c r="AB236" s="3">
        <f t="shared" si="374"/>
        <v>0.45</v>
      </c>
      <c r="AC236" s="3">
        <f t="shared" si="375"/>
        <v>0.45</v>
      </c>
      <c r="AD236" s="3">
        <f t="shared" si="376"/>
        <v>0.67500000000000004</v>
      </c>
      <c r="AE236" s="3">
        <f t="shared" si="377"/>
        <v>0.375</v>
      </c>
      <c r="AF236" s="3">
        <f t="shared" si="378"/>
        <v>0.45</v>
      </c>
      <c r="AG236" s="3">
        <f t="shared" si="379"/>
        <v>0.45</v>
      </c>
      <c r="AH236" s="3" t="str">
        <f t="shared" si="380"/>
        <v>자동</v>
      </c>
      <c r="AI236" s="3">
        <f t="shared" si="381"/>
        <v>0.45</v>
      </c>
      <c r="AJ236" s="3">
        <f t="shared" si="382"/>
        <v>0.45</v>
      </c>
      <c r="AL236" s="3" t="str">
        <f t="shared" si="383"/>
        <v/>
      </c>
      <c r="AN236" s="3" t="str">
        <f ca="1">IF($BA236=42,OFFSET(변환표준점수!C$119,$AP236-1,0),"")</f>
        <v/>
      </c>
      <c r="AO236" s="3" t="str">
        <f ca="1">IF($BA236=42,OFFSET(변환표준점수!D$119,$AP236-1,0),"")</f>
        <v/>
      </c>
      <c r="AP236" s="3" t="str">
        <f>IF(S236="","",MATCH(S236,변환표준점수!$B$119:$B$298,0))</f>
        <v/>
      </c>
      <c r="AQ236" s="3">
        <v>1</v>
      </c>
      <c r="AR236" s="3">
        <v>1</v>
      </c>
      <c r="AS236" s="3">
        <v>1</v>
      </c>
      <c r="AT236" s="3">
        <v>1</v>
      </c>
      <c r="AV236" s="3">
        <v>1</v>
      </c>
      <c r="AW236" s="3">
        <v>1</v>
      </c>
      <c r="AX236" s="3">
        <v>3</v>
      </c>
      <c r="AY236" s="3">
        <v>3</v>
      </c>
      <c r="BA236" s="3">
        <f t="shared" si="384"/>
        <v>1</v>
      </c>
      <c r="BJ236" s="3">
        <f t="shared" si="385"/>
        <v>0</v>
      </c>
      <c r="CH236" s="206">
        <f t="shared" si="386"/>
        <v>300</v>
      </c>
      <c r="CJ236" s="3">
        <v>-2</v>
      </c>
      <c r="CK236" s="3">
        <v>-5</v>
      </c>
      <c r="CL236" s="3">
        <v>-8</v>
      </c>
      <c r="CM236" s="3">
        <v>-11</v>
      </c>
      <c r="CN236" s="3">
        <v>-14</v>
      </c>
      <c r="CO236" s="3">
        <v>-18</v>
      </c>
      <c r="CP236" s="3">
        <v>-22</v>
      </c>
      <c r="CQ236" s="3">
        <v>-26</v>
      </c>
      <c r="CU236" s="3">
        <v>-1</v>
      </c>
      <c r="CV236" s="3">
        <v>-1</v>
      </c>
      <c r="CW236" s="3">
        <v>-1</v>
      </c>
      <c r="CX236" s="3">
        <v>-2</v>
      </c>
      <c r="CY236" s="3">
        <v>-2</v>
      </c>
      <c r="CZ236" s="3">
        <v>-2</v>
      </c>
      <c r="DJ236" s="3">
        <f t="shared" ca="1" si="387"/>
        <v>0</v>
      </c>
      <c r="DK236" s="3" t="e">
        <f t="shared" ca="1" si="388"/>
        <v>#DIV/0!</v>
      </c>
      <c r="DL236" s="3">
        <f t="shared" ca="1" si="389"/>
        <v>0</v>
      </c>
      <c r="DO236" s="3">
        <v>2</v>
      </c>
      <c r="EA236" s="3">
        <f t="shared" si="390"/>
        <v>2</v>
      </c>
      <c r="EB236" s="3">
        <f t="shared" si="391"/>
        <v>2</v>
      </c>
      <c r="EC236" s="3">
        <f t="shared" si="392"/>
        <v>0</v>
      </c>
      <c r="ED236" s="3">
        <f t="shared" si="393"/>
        <v>0</v>
      </c>
      <c r="EF236" s="3">
        <f t="shared" ca="1" si="394"/>
        <v>0</v>
      </c>
      <c r="EG236" s="3">
        <f t="shared" ca="1" si="395"/>
        <v>0</v>
      </c>
      <c r="EH236" s="3">
        <f ca="1">IFERROR(IF(LEFT($BA236,1)="4",OFFSET(변환표준점수!$H$118,MATCH($S236,변환표준점수!$B$119:$B$198,0),),OFFSET(EH$3,MATCH(AS236,$ED$4:$ED$8,0),0)),0)</f>
        <v>0</v>
      </c>
      <c r="EI236" s="3">
        <f ca="1">IFERROR(IF(LEFT($BA236,1)="4",OFFSET(변환표준점수!$I$118,MATCH($S236,변환표준점수!$B$119:$B$198,0),0),OFFSET(EI$3,MATCH(AT236,$ED$4:$ED$8,0),0)),0)</f>
        <v>0</v>
      </c>
      <c r="EK236" s="3">
        <f ca="1">IFERROR(IF(LEFT($BA236,1)="4",OFFSET(변환표준점수!$J$118,MATCH($S236,변환표준점수!$B$119:$B$198,0),0),OFFSET(EJ$3,MATCH(AV236,$ED$4:$ED$8,0),0)),0)</f>
        <v>0</v>
      </c>
      <c r="EL236" s="3">
        <f ca="1">IFERROR(IF(LEFT($BA236,1)="4",OFFSET(변환표준점수!$K$118,MATCH($S236,변환표준점수!$B$119:$B$198,0),0),OFFSET(EK$3,MATCH(AW236,$ED$4:$ED$8,0),0)),0)</f>
        <v>0</v>
      </c>
      <c r="EM236" s="3" t="str">
        <f t="shared" ca="1" si="396"/>
        <v/>
      </c>
      <c r="EN236" s="3" t="str">
        <f t="shared" ca="1" si="397"/>
        <v/>
      </c>
      <c r="EO236" s="3">
        <f t="shared" ca="1" si="398"/>
        <v>0</v>
      </c>
      <c r="EQ236" s="3">
        <f t="shared" ca="1" si="399"/>
        <v>0</v>
      </c>
      <c r="ER236" s="3">
        <f t="shared" ca="1" si="400"/>
        <v>0</v>
      </c>
      <c r="ES236" s="3">
        <f t="shared" ca="1" si="401"/>
        <v>0</v>
      </c>
      <c r="ET236" s="3">
        <f t="shared" ca="1" si="402"/>
        <v>0</v>
      </c>
      <c r="EU236" s="3">
        <f t="shared" si="403"/>
        <v>0</v>
      </c>
      <c r="EV236" s="3">
        <f t="shared" ca="1" si="404"/>
        <v>0</v>
      </c>
      <c r="EW236" s="3">
        <f t="shared" ca="1" si="405"/>
        <v>0</v>
      </c>
      <c r="EX236" s="3">
        <f ca="1">LARGE((ES236:ET236,EV236:EW236),1)</f>
        <v>0</v>
      </c>
      <c r="EY236" s="3">
        <f ca="1">IF(O236&lt;2,0,LARGE((ES236:ET236,EV236:EW236),2))</f>
        <v>0</v>
      </c>
      <c r="EZ236" s="3">
        <f t="shared" ca="1" si="406"/>
        <v>0</v>
      </c>
      <c r="FA236" s="3">
        <f t="shared" ca="1" si="407"/>
        <v>0</v>
      </c>
      <c r="FB236" s="3">
        <f t="shared" ca="1" si="408"/>
        <v>0</v>
      </c>
      <c r="FG236" s="3">
        <f t="shared" ca="1" si="409"/>
        <v>0</v>
      </c>
      <c r="FH236" s="618"/>
      <c r="FU236" s="3" t="str">
        <f t="shared" si="365"/>
        <v>표점</v>
      </c>
      <c r="FV236" s="3" t="str">
        <f t="shared" si="366"/>
        <v>표점</v>
      </c>
      <c r="FW236" s="3">
        <f t="shared" si="410"/>
        <v>0.45</v>
      </c>
      <c r="FX236" s="3">
        <f t="shared" si="411"/>
        <v>0.25</v>
      </c>
      <c r="FY236" s="3">
        <f t="shared" si="412"/>
        <v>0.3</v>
      </c>
      <c r="FZ236" s="3">
        <f t="shared" si="413"/>
        <v>1.5</v>
      </c>
    </row>
    <row r="237" spans="1:182">
      <c r="A237" s="556">
        <v>26</v>
      </c>
      <c r="C237" s="3">
        <f t="shared" si="367"/>
        <v>222</v>
      </c>
      <c r="D237" s="3">
        <v>222</v>
      </c>
      <c r="E237" s="3" t="s">
        <v>392</v>
      </c>
      <c r="F237" s="3">
        <v>300</v>
      </c>
      <c r="G237" s="3">
        <v>0.25</v>
      </c>
      <c r="H237" s="3">
        <v>0.45</v>
      </c>
      <c r="I237" s="3">
        <v>0.15</v>
      </c>
      <c r="J237" s="3">
        <v>0.15</v>
      </c>
      <c r="O237" s="3">
        <v>2</v>
      </c>
      <c r="P237" s="3">
        <f t="shared" si="368"/>
        <v>1</v>
      </c>
      <c r="Q237" s="3" t="s">
        <v>408</v>
      </c>
      <c r="S237" s="3" t="str">
        <f t="shared" si="369"/>
        <v/>
      </c>
      <c r="W237" s="3">
        <f t="shared" si="370"/>
        <v>0</v>
      </c>
      <c r="Y237" s="3">
        <f t="shared" si="371"/>
        <v>0.375</v>
      </c>
      <c r="Z237" s="3">
        <f t="shared" si="372"/>
        <v>0.67500000000000004</v>
      </c>
      <c r="AA237" s="3">
        <f t="shared" si="373"/>
        <v>0.45</v>
      </c>
      <c r="AB237" s="3" t="str">
        <f t="shared" si="374"/>
        <v>자동</v>
      </c>
      <c r="AC237" s="3">
        <f t="shared" si="375"/>
        <v>0.45</v>
      </c>
      <c r="AD237" s="3">
        <f t="shared" si="376"/>
        <v>0.375</v>
      </c>
      <c r="AE237" s="3">
        <f t="shared" si="377"/>
        <v>0.67500000000000004</v>
      </c>
      <c r="AF237" s="3">
        <f t="shared" si="378"/>
        <v>0.45</v>
      </c>
      <c r="AG237" s="3">
        <f t="shared" si="379"/>
        <v>0.45</v>
      </c>
      <c r="AH237" s="3" t="str">
        <f t="shared" si="380"/>
        <v>자동</v>
      </c>
      <c r="AI237" s="3" t="str">
        <f t="shared" si="381"/>
        <v>자동</v>
      </c>
      <c r="AJ237" s="3" t="str">
        <f t="shared" si="382"/>
        <v>자동</v>
      </c>
      <c r="AL237" s="3" t="str">
        <f t="shared" si="383"/>
        <v/>
      </c>
      <c r="AN237" s="3" t="str">
        <f ca="1">IF($BA237=42,OFFSET(변환표준점수!C$119,$AP237-1,0),"")</f>
        <v/>
      </c>
      <c r="AO237" s="3" t="str">
        <f ca="1">IF($BA237=42,OFFSET(변환표준점수!D$119,$AP237-1,0),"")</f>
        <v/>
      </c>
      <c r="AP237" s="3" t="str">
        <f>IF(S237="","",MATCH(S237,변환표준점수!$B$119:$B$298,0))</f>
        <v/>
      </c>
      <c r="AQ237" s="3">
        <v>1</v>
      </c>
      <c r="AR237" s="3">
        <v>1</v>
      </c>
      <c r="AS237" s="3">
        <v>1</v>
      </c>
      <c r="AT237" s="3">
        <v>1</v>
      </c>
      <c r="AX237" s="3">
        <v>3</v>
      </c>
      <c r="AY237" s="3">
        <v>3</v>
      </c>
      <c r="BA237" s="3">
        <f t="shared" si="384"/>
        <v>1</v>
      </c>
      <c r="BJ237" s="3">
        <f t="shared" si="385"/>
        <v>0</v>
      </c>
      <c r="CH237" s="206">
        <f t="shared" si="386"/>
        <v>300</v>
      </c>
      <c r="CJ237" s="3">
        <v>-2</v>
      </c>
      <c r="CK237" s="3">
        <v>-5</v>
      </c>
      <c r="CL237" s="3">
        <v>-8</v>
      </c>
      <c r="CM237" s="3">
        <v>-11</v>
      </c>
      <c r="CN237" s="3">
        <v>-14</v>
      </c>
      <c r="CO237" s="3">
        <v>-18</v>
      </c>
      <c r="CP237" s="3">
        <v>-22</v>
      </c>
      <c r="CQ237" s="3">
        <v>-26</v>
      </c>
      <c r="CU237" s="3">
        <v>-1</v>
      </c>
      <c r="CV237" s="3">
        <v>-1</v>
      </c>
      <c r="CW237" s="3">
        <v>-1</v>
      </c>
      <c r="CX237" s="3">
        <v>-2</v>
      </c>
      <c r="CY237" s="3">
        <v>-2</v>
      </c>
      <c r="CZ237" s="3">
        <v>-2</v>
      </c>
      <c r="DJ237" s="3">
        <f t="shared" ca="1" si="387"/>
        <v>0</v>
      </c>
      <c r="DK237" s="3" t="e">
        <f t="shared" ca="1" si="388"/>
        <v>#DIV/0!</v>
      </c>
      <c r="DL237" s="3">
        <f t="shared" ca="1" si="389"/>
        <v>0</v>
      </c>
      <c r="DM237" s="3">
        <v>2</v>
      </c>
      <c r="EA237" s="3">
        <f t="shared" si="390"/>
        <v>1</v>
      </c>
      <c r="EB237" s="3">
        <f t="shared" si="391"/>
        <v>2</v>
      </c>
      <c r="EC237" s="3">
        <f t="shared" si="392"/>
        <v>0</v>
      </c>
      <c r="ED237" s="3">
        <f t="shared" si="393"/>
        <v>0</v>
      </c>
      <c r="EF237" s="3">
        <f t="shared" ca="1" si="394"/>
        <v>0</v>
      </c>
      <c r="EG237" s="3">
        <f t="shared" ca="1" si="395"/>
        <v>0</v>
      </c>
      <c r="EH237" s="3">
        <f ca="1">IFERROR(IF(LEFT($BA237,1)="4",OFFSET(변환표준점수!$H$118,MATCH($S237,변환표준점수!$B$119:$B$198,0),),OFFSET(EH$3,MATCH(AS237,$ED$4:$ED$8,0),0)),0)</f>
        <v>0</v>
      </c>
      <c r="EI237" s="3">
        <f ca="1">IFERROR(IF(LEFT($BA237,1)="4",OFFSET(변환표준점수!$I$118,MATCH($S237,변환표준점수!$B$119:$B$198,0),0),OFFSET(EI$3,MATCH(AT237,$ED$4:$ED$8,0),0)),0)</f>
        <v>0</v>
      </c>
      <c r="EK237" s="3">
        <f ca="1">IFERROR(IF(LEFT($BA237,1)="4",OFFSET(변환표준점수!$J$118,MATCH($S237,변환표준점수!$B$119:$B$198,0),0),OFFSET(EJ$3,MATCH(AV237,$ED$4:$ED$8,0),0)),0)</f>
        <v>0</v>
      </c>
      <c r="EL237" s="3">
        <f ca="1">IFERROR(IF(LEFT($BA237,1)="4",OFFSET(변환표준점수!$K$118,MATCH($S237,변환표준점수!$B$119:$B$198,0),0),OFFSET(EK$3,MATCH(AW237,$ED$4:$ED$8,0),0)),0)</f>
        <v>0</v>
      </c>
      <c r="EM237" s="3" t="str">
        <f t="shared" ca="1" si="396"/>
        <v/>
      </c>
      <c r="EN237" s="3" t="str">
        <f t="shared" ca="1" si="397"/>
        <v/>
      </c>
      <c r="EO237" s="3">
        <f t="shared" ca="1" si="398"/>
        <v>0</v>
      </c>
      <c r="EQ237" s="3">
        <f t="shared" ca="1" si="399"/>
        <v>0</v>
      </c>
      <c r="ER237" s="3">
        <f t="shared" ca="1" si="400"/>
        <v>0</v>
      </c>
      <c r="ES237" s="3">
        <f t="shared" ca="1" si="401"/>
        <v>0</v>
      </c>
      <c r="ET237" s="3">
        <f t="shared" ca="1" si="402"/>
        <v>0</v>
      </c>
      <c r="EU237" s="3">
        <f t="shared" si="403"/>
        <v>0</v>
      </c>
      <c r="EV237" s="3">
        <f t="shared" ca="1" si="404"/>
        <v>0</v>
      </c>
      <c r="EW237" s="3">
        <f t="shared" ca="1" si="405"/>
        <v>0</v>
      </c>
      <c r="EX237" s="3">
        <f ca="1">LARGE((ES237:ET237,EV237:EW237),1)</f>
        <v>0</v>
      </c>
      <c r="EY237" s="3">
        <f ca="1">IF(O237&lt;2,0,LARGE((ES237:ET237,EV237:EW237),2))</f>
        <v>0</v>
      </c>
      <c r="EZ237" s="3">
        <f t="shared" ca="1" si="406"/>
        <v>0</v>
      </c>
      <c r="FA237" s="3">
        <f t="shared" ca="1" si="407"/>
        <v>0</v>
      </c>
      <c r="FB237" s="3">
        <f t="shared" ca="1" si="408"/>
        <v>0</v>
      </c>
      <c r="FG237" s="3">
        <f t="shared" ca="1" si="409"/>
        <v>0</v>
      </c>
      <c r="FH237" s="618"/>
      <c r="FU237" s="3" t="str">
        <f t="shared" si="365"/>
        <v>표점</v>
      </c>
      <c r="FV237" s="3" t="str">
        <f t="shared" si="366"/>
        <v>표점</v>
      </c>
      <c r="FW237" s="3">
        <f t="shared" si="410"/>
        <v>0.25</v>
      </c>
      <c r="FX237" s="3">
        <f t="shared" si="411"/>
        <v>0.45</v>
      </c>
      <c r="FY237" s="3">
        <f t="shared" si="412"/>
        <v>0.3</v>
      </c>
      <c r="FZ237" s="3">
        <f t="shared" si="413"/>
        <v>1.5</v>
      </c>
    </row>
    <row r="238" spans="1:182">
      <c r="A238" s="556">
        <v>26</v>
      </c>
      <c r="C238" s="3">
        <f t="shared" si="367"/>
        <v>223</v>
      </c>
      <c r="D238" s="3">
        <v>223</v>
      </c>
      <c r="E238" s="3" t="s">
        <v>7376</v>
      </c>
      <c r="F238" s="3">
        <v>300</v>
      </c>
      <c r="G238" s="3">
        <v>0.25</v>
      </c>
      <c r="H238" s="3">
        <v>0.45</v>
      </c>
      <c r="I238" s="3">
        <v>0.15</v>
      </c>
      <c r="J238" s="3">
        <v>0.15</v>
      </c>
      <c r="L238" s="3">
        <v>0.15</v>
      </c>
      <c r="M238" s="3">
        <v>0.15</v>
      </c>
      <c r="O238" s="3">
        <v>2</v>
      </c>
      <c r="P238" s="3">
        <f t="shared" si="368"/>
        <v>1</v>
      </c>
      <c r="Q238" s="3" t="s">
        <v>408</v>
      </c>
      <c r="S238" s="3" t="str">
        <f t="shared" si="369"/>
        <v/>
      </c>
      <c r="W238" s="3">
        <f t="shared" si="370"/>
        <v>0</v>
      </c>
      <c r="Y238" s="3">
        <f t="shared" si="371"/>
        <v>0.375</v>
      </c>
      <c r="Z238" s="3">
        <f t="shared" si="372"/>
        <v>0.67500000000000004</v>
      </c>
      <c r="AA238" s="3">
        <f t="shared" si="373"/>
        <v>0.45</v>
      </c>
      <c r="AB238" s="3">
        <f t="shared" si="374"/>
        <v>0.45</v>
      </c>
      <c r="AC238" s="3">
        <f t="shared" si="375"/>
        <v>0.45</v>
      </c>
      <c r="AD238" s="3">
        <f t="shared" si="376"/>
        <v>0.375</v>
      </c>
      <c r="AE238" s="3">
        <f t="shared" si="377"/>
        <v>0.67500000000000004</v>
      </c>
      <c r="AF238" s="3">
        <f t="shared" si="378"/>
        <v>0.45</v>
      </c>
      <c r="AG238" s="3">
        <f t="shared" si="379"/>
        <v>0.45</v>
      </c>
      <c r="AH238" s="3" t="str">
        <f t="shared" si="380"/>
        <v>자동</v>
      </c>
      <c r="AI238" s="3">
        <f t="shared" si="381"/>
        <v>0.45</v>
      </c>
      <c r="AJ238" s="3">
        <f t="shared" si="382"/>
        <v>0.45</v>
      </c>
      <c r="AL238" s="3" t="str">
        <f t="shared" si="383"/>
        <v/>
      </c>
      <c r="AN238" s="3" t="str">
        <f ca="1">IF($BA238=42,OFFSET(변환표준점수!C$119,$AP238-1,0),"")</f>
        <v/>
      </c>
      <c r="AO238" s="3" t="str">
        <f ca="1">IF($BA238=42,OFFSET(변환표준점수!D$119,$AP238-1,0),"")</f>
        <v/>
      </c>
      <c r="AP238" s="3" t="str">
        <f>IF(S238="","",MATCH(S238,변환표준점수!$B$119:$B$298,0))</f>
        <v/>
      </c>
      <c r="AQ238" s="3">
        <v>1</v>
      </c>
      <c r="AR238" s="3">
        <v>1</v>
      </c>
      <c r="AS238" s="3">
        <v>1</v>
      </c>
      <c r="AT238" s="3">
        <v>1</v>
      </c>
      <c r="AV238" s="3">
        <v>1</v>
      </c>
      <c r="AW238" s="3">
        <v>1</v>
      </c>
      <c r="AX238" s="3">
        <v>3</v>
      </c>
      <c r="AY238" s="3">
        <v>3</v>
      </c>
      <c r="BA238" s="3">
        <f t="shared" si="384"/>
        <v>1</v>
      </c>
      <c r="BF238" s="3">
        <f>AA238*0.1</f>
        <v>4.5000000000000005E-2</v>
      </c>
      <c r="BG238" s="3">
        <f>AB238*0.1</f>
        <v>4.5000000000000005E-2</v>
      </c>
      <c r="BJ238" s="3">
        <f t="shared" si="385"/>
        <v>0</v>
      </c>
      <c r="BN238" s="212" t="s">
        <v>7735</v>
      </c>
      <c r="BS238" s="3">
        <f ca="1">BF238*EH238</f>
        <v>0</v>
      </c>
      <c r="BT238" s="3">
        <f ca="1">BG238*EI238</f>
        <v>0</v>
      </c>
      <c r="CH238" s="206">
        <f t="shared" si="386"/>
        <v>300</v>
      </c>
      <c r="CJ238" s="3">
        <v>-2</v>
      </c>
      <c r="CK238" s="3">
        <v>-5</v>
      </c>
      <c r="CL238" s="3">
        <v>-8</v>
      </c>
      <c r="CM238" s="3">
        <v>-11</v>
      </c>
      <c r="CN238" s="3">
        <v>-14</v>
      </c>
      <c r="CO238" s="3">
        <v>-18</v>
      </c>
      <c r="CP238" s="3">
        <v>-22</v>
      </c>
      <c r="CQ238" s="3">
        <v>-26</v>
      </c>
      <c r="CU238" s="3">
        <v>-1</v>
      </c>
      <c r="CV238" s="3">
        <v>-1</v>
      </c>
      <c r="CW238" s="3">
        <v>-1</v>
      </c>
      <c r="CX238" s="3">
        <v>-2</v>
      </c>
      <c r="CY238" s="3">
        <v>-2</v>
      </c>
      <c r="CZ238" s="3">
        <v>-2</v>
      </c>
      <c r="DJ238" s="3">
        <f t="shared" ca="1" si="387"/>
        <v>0</v>
      </c>
      <c r="DK238" s="3" t="e">
        <f t="shared" ca="1" si="388"/>
        <v>#DIV/0!</v>
      </c>
      <c r="DL238" s="3">
        <f t="shared" ca="1" si="389"/>
        <v>0</v>
      </c>
      <c r="DO238" s="3">
        <v>2</v>
      </c>
      <c r="DZ238" s="3">
        <v>1</v>
      </c>
      <c r="EA238" s="3">
        <f t="shared" si="390"/>
        <v>1</v>
      </c>
      <c r="EB238" s="3">
        <f t="shared" si="391"/>
        <v>2</v>
      </c>
      <c r="EC238" s="3">
        <f t="shared" si="392"/>
        <v>0</v>
      </c>
      <c r="ED238" s="3">
        <f t="shared" si="393"/>
        <v>0</v>
      </c>
      <c r="EF238" s="3">
        <f t="shared" ca="1" si="394"/>
        <v>0</v>
      </c>
      <c r="EG238" s="3">
        <f t="shared" ca="1" si="395"/>
        <v>0</v>
      </c>
      <c r="EH238" s="3">
        <f ca="1">IFERROR(IF(LEFT($BA238,1)="4",OFFSET(변환표준점수!$H$118,MATCH($S238,변환표준점수!$B$119:$B$198,0),),OFFSET(EH$3,MATCH(AS238,$ED$4:$ED$8,0),0)),0)</f>
        <v>0</v>
      </c>
      <c r="EI238" s="3">
        <f ca="1">IFERROR(IF(LEFT($BA238,1)="4",OFFSET(변환표준점수!$I$118,MATCH($S238,변환표준점수!$B$119:$B$198,0),0),OFFSET(EI$3,MATCH(AT238,$ED$4:$ED$8,0),0)),0)</f>
        <v>0</v>
      </c>
      <c r="EK238" s="3">
        <f ca="1">IFERROR(IF(LEFT($BA238,1)="4",OFFSET(변환표준점수!$J$118,MATCH($S238,변환표준점수!$B$119:$B$198,0),0),OFFSET(EJ$3,MATCH(AV238,$ED$4:$ED$8,0),0)),0)</f>
        <v>0</v>
      </c>
      <c r="EL238" s="3">
        <f ca="1">IFERROR(IF(LEFT($BA238,1)="4",OFFSET(변환표준점수!$K$118,MATCH($S238,변환표준점수!$B$119:$B$198,0),0),OFFSET(EK$3,MATCH(AW238,$ED$4:$ED$8,0),0)),0)</f>
        <v>0</v>
      </c>
      <c r="EM238" s="3" t="str">
        <f t="shared" ca="1" si="396"/>
        <v/>
      </c>
      <c r="EN238" s="3" t="str">
        <f t="shared" ca="1" si="397"/>
        <v/>
      </c>
      <c r="EO238" s="3">
        <f t="shared" ca="1" si="398"/>
        <v>0</v>
      </c>
      <c r="EQ238" s="3">
        <f t="shared" ca="1" si="399"/>
        <v>0</v>
      </c>
      <c r="ER238" s="3">
        <f t="shared" ca="1" si="400"/>
        <v>0</v>
      </c>
      <c r="ES238" s="3">
        <f t="shared" ca="1" si="401"/>
        <v>0</v>
      </c>
      <c r="ET238" s="3">
        <f t="shared" ca="1" si="402"/>
        <v>0</v>
      </c>
      <c r="EU238" s="3">
        <f t="shared" si="403"/>
        <v>0</v>
      </c>
      <c r="EV238" s="3">
        <f t="shared" ca="1" si="404"/>
        <v>0</v>
      </c>
      <c r="EW238" s="3">
        <f t="shared" ca="1" si="405"/>
        <v>0</v>
      </c>
      <c r="EX238" s="3">
        <f ca="1">LARGE((ES238:ET238,EV238:EW238),1)</f>
        <v>0</v>
      </c>
      <c r="EY238" s="3">
        <f ca="1">IF(O238&lt;2,0,LARGE((ES238:ET238,EV238:EW238),2))</f>
        <v>0</v>
      </c>
      <c r="EZ238" s="3">
        <f t="shared" ca="1" si="406"/>
        <v>0</v>
      </c>
      <c r="FA238" s="3">
        <f t="shared" ca="1" si="407"/>
        <v>0</v>
      </c>
      <c r="FB238" s="3">
        <f t="shared" ca="1" si="408"/>
        <v>0</v>
      </c>
      <c r="FG238" s="3">
        <f t="shared" ca="1" si="409"/>
        <v>0</v>
      </c>
      <c r="FH238" s="618"/>
      <c r="FU238" s="3" t="str">
        <f t="shared" si="365"/>
        <v>표점</v>
      </c>
      <c r="FV238" s="3" t="str">
        <f t="shared" si="366"/>
        <v>표점</v>
      </c>
      <c r="FW238" s="3">
        <f t="shared" si="410"/>
        <v>0.25</v>
      </c>
      <c r="FX238" s="3">
        <f t="shared" si="411"/>
        <v>0.45</v>
      </c>
      <c r="FY238" s="3">
        <f t="shared" si="412"/>
        <v>0.3</v>
      </c>
      <c r="FZ238" s="3">
        <f t="shared" si="413"/>
        <v>1.5</v>
      </c>
    </row>
    <row r="239" spans="1:182">
      <c r="A239" s="556">
        <v>26</v>
      </c>
      <c r="C239" s="3">
        <f t="shared" si="367"/>
        <v>224</v>
      </c>
      <c r="D239" s="3">
        <v>224</v>
      </c>
      <c r="E239" s="3" t="s">
        <v>391</v>
      </c>
      <c r="F239" s="3">
        <v>300</v>
      </c>
      <c r="G239" s="3">
        <v>0.25</v>
      </c>
      <c r="H239" s="3">
        <v>0.45</v>
      </c>
      <c r="I239" s="3">
        <v>0.15</v>
      </c>
      <c r="J239" s="3">
        <v>0.15</v>
      </c>
      <c r="L239" s="3">
        <v>0.15</v>
      </c>
      <c r="M239" s="3">
        <v>0.15</v>
      </c>
      <c r="O239" s="3">
        <v>2</v>
      </c>
      <c r="P239" s="3">
        <f t="shared" si="368"/>
        <v>1</v>
      </c>
      <c r="Q239" s="3" t="s">
        <v>408</v>
      </c>
      <c r="S239" s="3" t="str">
        <f t="shared" si="369"/>
        <v/>
      </c>
      <c r="W239" s="3">
        <f t="shared" si="370"/>
        <v>0</v>
      </c>
      <c r="Y239" s="3">
        <f t="shared" si="371"/>
        <v>0.375</v>
      </c>
      <c r="Z239" s="3">
        <f t="shared" si="372"/>
        <v>0.67500000000000004</v>
      </c>
      <c r="AA239" s="3">
        <f t="shared" si="373"/>
        <v>0.45</v>
      </c>
      <c r="AB239" s="3">
        <f t="shared" si="374"/>
        <v>0.45</v>
      </c>
      <c r="AC239" s="3">
        <f t="shared" si="375"/>
        <v>0.45</v>
      </c>
      <c r="AD239" s="3">
        <f t="shared" si="376"/>
        <v>0.375</v>
      </c>
      <c r="AE239" s="3">
        <f t="shared" si="377"/>
        <v>0.67500000000000004</v>
      </c>
      <c r="AF239" s="3">
        <f t="shared" si="378"/>
        <v>0.45</v>
      </c>
      <c r="AG239" s="3">
        <f t="shared" si="379"/>
        <v>0.45</v>
      </c>
      <c r="AH239" s="3" t="str">
        <f t="shared" si="380"/>
        <v>자동</v>
      </c>
      <c r="AI239" s="3">
        <f t="shared" si="381"/>
        <v>0.45</v>
      </c>
      <c r="AJ239" s="3">
        <f t="shared" si="382"/>
        <v>0.45</v>
      </c>
      <c r="AL239" s="3" t="str">
        <f t="shared" si="383"/>
        <v/>
      </c>
      <c r="AN239" s="3" t="str">
        <f ca="1">IF($BA239=42,OFFSET(변환표준점수!C$119,$AP239-1,0),"")</f>
        <v/>
      </c>
      <c r="AO239" s="3" t="str">
        <f ca="1">IF($BA239=42,OFFSET(변환표준점수!D$119,$AP239-1,0),"")</f>
        <v/>
      </c>
      <c r="AP239" s="3" t="str">
        <f>IF(S239="","",MATCH(S239,변환표준점수!$B$119:$B$298,0))</f>
        <v/>
      </c>
      <c r="AQ239" s="3">
        <v>1</v>
      </c>
      <c r="AR239" s="3">
        <v>1</v>
      </c>
      <c r="AS239" s="3">
        <v>1</v>
      </c>
      <c r="AT239" s="3">
        <v>1</v>
      </c>
      <c r="AV239" s="3">
        <v>1</v>
      </c>
      <c r="AW239" s="3">
        <v>1</v>
      </c>
      <c r="AX239" s="3">
        <v>3</v>
      </c>
      <c r="AY239" s="3">
        <v>3</v>
      </c>
      <c r="BA239" s="3">
        <f t="shared" si="384"/>
        <v>1</v>
      </c>
      <c r="BJ239" s="3">
        <f t="shared" si="385"/>
        <v>0</v>
      </c>
      <c r="CH239" s="206">
        <f t="shared" si="386"/>
        <v>300</v>
      </c>
      <c r="CJ239" s="3">
        <v>-2</v>
      </c>
      <c r="CK239" s="3">
        <v>-5</v>
      </c>
      <c r="CL239" s="3">
        <v>-8</v>
      </c>
      <c r="CM239" s="3">
        <v>-11</v>
      </c>
      <c r="CN239" s="3">
        <v>-14</v>
      </c>
      <c r="CO239" s="3">
        <v>-18</v>
      </c>
      <c r="CP239" s="3">
        <v>-22</v>
      </c>
      <c r="CQ239" s="3">
        <v>-26</v>
      </c>
      <c r="CU239" s="3">
        <v>-1</v>
      </c>
      <c r="CV239" s="3">
        <v>-1</v>
      </c>
      <c r="CW239" s="3">
        <v>-1</v>
      </c>
      <c r="CX239" s="3">
        <v>-2</v>
      </c>
      <c r="CY239" s="3">
        <v>-2</v>
      </c>
      <c r="CZ239" s="3">
        <v>-2</v>
      </c>
      <c r="DJ239" s="3">
        <f t="shared" ca="1" si="387"/>
        <v>0</v>
      </c>
      <c r="DK239" s="3" t="e">
        <f t="shared" ca="1" si="388"/>
        <v>#DIV/0!</v>
      </c>
      <c r="DL239" s="3">
        <f t="shared" ca="1" si="389"/>
        <v>0</v>
      </c>
      <c r="DO239" s="3">
        <v>2</v>
      </c>
      <c r="DS239" s="3">
        <v>1</v>
      </c>
      <c r="DZ239" s="3">
        <v>1</v>
      </c>
      <c r="EA239" s="3">
        <f t="shared" si="390"/>
        <v>1</v>
      </c>
      <c r="EB239" s="3">
        <f t="shared" si="391"/>
        <v>2</v>
      </c>
      <c r="EC239" s="3">
        <f t="shared" si="392"/>
        <v>0</v>
      </c>
      <c r="ED239" s="3">
        <f t="shared" si="393"/>
        <v>0</v>
      </c>
      <c r="EF239" s="3">
        <f t="shared" ca="1" si="394"/>
        <v>0</v>
      </c>
      <c r="EG239" s="3">
        <f t="shared" ca="1" si="395"/>
        <v>0</v>
      </c>
      <c r="EH239" s="3">
        <f ca="1">IFERROR(IF(LEFT($BA239,1)="4",OFFSET(변환표준점수!$H$118,MATCH($S239,변환표준점수!$B$119:$B$198,0),),OFFSET(EH$3,MATCH(AS239,$ED$4:$ED$8,0),0)),0)</f>
        <v>0</v>
      </c>
      <c r="EI239" s="3">
        <f ca="1">IFERROR(IF(LEFT($BA239,1)="4",OFFSET(변환표준점수!$I$118,MATCH($S239,변환표준점수!$B$119:$B$198,0),0),OFFSET(EI$3,MATCH(AT239,$ED$4:$ED$8,0),0)),0)</f>
        <v>0</v>
      </c>
      <c r="EK239" s="3">
        <f ca="1">IFERROR(IF(LEFT($BA239,1)="4",OFFSET(변환표준점수!$J$118,MATCH($S239,변환표준점수!$B$119:$B$198,0),0),OFFSET(EJ$3,MATCH(AV239,$ED$4:$ED$8,0),0)),0)</f>
        <v>0</v>
      </c>
      <c r="EL239" s="3">
        <f ca="1">IFERROR(IF(LEFT($BA239,1)="4",OFFSET(변환표준점수!$K$118,MATCH($S239,변환표준점수!$B$119:$B$198,0),0),OFFSET(EK$3,MATCH(AW239,$ED$4:$ED$8,0),0)),0)</f>
        <v>0</v>
      </c>
      <c r="EM239" s="3" t="str">
        <f t="shared" ca="1" si="396"/>
        <v/>
      </c>
      <c r="EN239" s="3" t="str">
        <f t="shared" ca="1" si="397"/>
        <v/>
      </c>
      <c r="EO239" s="3">
        <f t="shared" ca="1" si="398"/>
        <v>0</v>
      </c>
      <c r="EQ239" s="3">
        <f t="shared" ca="1" si="399"/>
        <v>0</v>
      </c>
      <c r="ER239" s="3">
        <f t="shared" ca="1" si="400"/>
        <v>0</v>
      </c>
      <c r="ES239" s="3">
        <f t="shared" ca="1" si="401"/>
        <v>0</v>
      </c>
      <c r="ET239" s="3">
        <f t="shared" ca="1" si="402"/>
        <v>0</v>
      </c>
      <c r="EU239" s="3">
        <f t="shared" si="403"/>
        <v>0</v>
      </c>
      <c r="EV239" s="3">
        <f t="shared" ca="1" si="404"/>
        <v>0</v>
      </c>
      <c r="EW239" s="3">
        <f t="shared" ca="1" si="405"/>
        <v>0</v>
      </c>
      <c r="EX239" s="3">
        <f ca="1">LARGE((ES239:ET239,EV239:EW239),1)</f>
        <v>0</v>
      </c>
      <c r="EY239" s="3">
        <f ca="1">IF(O239&lt;2,0,LARGE((ES239:ET239,EV239:EW239),2))</f>
        <v>0</v>
      </c>
      <c r="EZ239" s="3">
        <f t="shared" ca="1" si="406"/>
        <v>0</v>
      </c>
      <c r="FA239" s="3">
        <f t="shared" ca="1" si="407"/>
        <v>0</v>
      </c>
      <c r="FB239" s="3">
        <f t="shared" ca="1" si="408"/>
        <v>0</v>
      </c>
      <c r="FG239" s="3">
        <f t="shared" ca="1" si="409"/>
        <v>0</v>
      </c>
      <c r="FH239" s="618"/>
      <c r="FU239" s="3" t="str">
        <f t="shared" si="365"/>
        <v>표점</v>
      </c>
      <c r="FV239" s="3" t="str">
        <f t="shared" si="366"/>
        <v>표점</v>
      </c>
      <c r="FW239" s="3">
        <f t="shared" si="410"/>
        <v>0.25</v>
      </c>
      <c r="FX239" s="3">
        <f t="shared" si="411"/>
        <v>0.45</v>
      </c>
      <c r="FY239" s="3">
        <f t="shared" si="412"/>
        <v>0.3</v>
      </c>
      <c r="FZ239" s="3">
        <f t="shared" si="413"/>
        <v>1.5</v>
      </c>
    </row>
    <row r="240" spans="1:182">
      <c r="A240" s="556">
        <v>26</v>
      </c>
      <c r="C240" s="3">
        <f t="shared" si="367"/>
        <v>225</v>
      </c>
      <c r="D240" s="3">
        <v>225</v>
      </c>
      <c r="E240" s="3" t="s">
        <v>393</v>
      </c>
      <c r="F240" s="3">
        <v>300</v>
      </c>
      <c r="G240" s="3">
        <v>0.25</v>
      </c>
      <c r="H240" s="3">
        <v>0.45</v>
      </c>
      <c r="I240" s="3">
        <v>0.15</v>
      </c>
      <c r="J240" s="3">
        <v>0.15</v>
      </c>
      <c r="O240" s="3">
        <v>2</v>
      </c>
      <c r="P240" s="3">
        <f t="shared" si="368"/>
        <v>1</v>
      </c>
      <c r="Q240" s="3" t="s">
        <v>408</v>
      </c>
      <c r="S240" s="3" t="str">
        <f t="shared" si="369"/>
        <v/>
      </c>
      <c r="W240" s="3">
        <f t="shared" si="370"/>
        <v>0</v>
      </c>
      <c r="Y240" s="3">
        <f t="shared" si="371"/>
        <v>0.375</v>
      </c>
      <c r="Z240" s="3">
        <f t="shared" si="372"/>
        <v>0.67500000000000004</v>
      </c>
      <c r="AA240" s="3">
        <f t="shared" si="373"/>
        <v>0.45</v>
      </c>
      <c r="AB240" s="3" t="str">
        <f t="shared" si="374"/>
        <v>자동</v>
      </c>
      <c r="AC240" s="3">
        <f t="shared" si="375"/>
        <v>0.45</v>
      </c>
      <c r="AD240" s="3">
        <f t="shared" si="376"/>
        <v>0.375</v>
      </c>
      <c r="AE240" s="3">
        <f t="shared" si="377"/>
        <v>0.67500000000000004</v>
      </c>
      <c r="AF240" s="3">
        <f t="shared" si="378"/>
        <v>0.45</v>
      </c>
      <c r="AG240" s="3">
        <f t="shared" si="379"/>
        <v>0.45</v>
      </c>
      <c r="AH240" s="3" t="str">
        <f t="shared" si="380"/>
        <v>자동</v>
      </c>
      <c r="AI240" s="3" t="str">
        <f t="shared" si="381"/>
        <v>자동</v>
      </c>
      <c r="AJ240" s="3" t="str">
        <f t="shared" si="382"/>
        <v>자동</v>
      </c>
      <c r="AL240" s="3" t="str">
        <f t="shared" si="383"/>
        <v/>
      </c>
      <c r="AN240" s="3" t="str">
        <f ca="1">IF($BA240=42,OFFSET(변환표준점수!C$119,$AP240-1,0),"")</f>
        <v/>
      </c>
      <c r="AO240" s="3" t="str">
        <f ca="1">IF($BA240=42,OFFSET(변환표준점수!D$119,$AP240-1,0),"")</f>
        <v/>
      </c>
      <c r="AP240" s="3" t="str">
        <f>IF(S240="","",MATCH(S240,변환표준점수!$B$119:$B$298,0))</f>
        <v/>
      </c>
      <c r="AQ240" s="3">
        <v>1</v>
      </c>
      <c r="AR240" s="3">
        <v>1</v>
      </c>
      <c r="AS240" s="3">
        <v>1</v>
      </c>
      <c r="AT240" s="3">
        <v>1</v>
      </c>
      <c r="AX240" s="3">
        <v>3</v>
      </c>
      <c r="AY240" s="3">
        <v>3</v>
      </c>
      <c r="BA240" s="3">
        <f t="shared" si="384"/>
        <v>1</v>
      </c>
      <c r="BJ240" s="3">
        <f t="shared" si="385"/>
        <v>0</v>
      </c>
      <c r="CH240" s="206">
        <f t="shared" si="386"/>
        <v>300</v>
      </c>
      <c r="CJ240" s="3">
        <v>-2</v>
      </c>
      <c r="CK240" s="3">
        <v>-5</v>
      </c>
      <c r="CL240" s="3">
        <v>-8</v>
      </c>
      <c r="CM240" s="3">
        <v>-11</v>
      </c>
      <c r="CN240" s="3">
        <v>-14</v>
      </c>
      <c r="CO240" s="3">
        <v>-18</v>
      </c>
      <c r="CP240" s="3">
        <v>-22</v>
      </c>
      <c r="CQ240" s="3">
        <v>-26</v>
      </c>
      <c r="CU240" s="3">
        <v>-1</v>
      </c>
      <c r="CV240" s="3">
        <v>-1</v>
      </c>
      <c r="CW240" s="3">
        <v>-1</v>
      </c>
      <c r="CX240" s="3">
        <v>-2</v>
      </c>
      <c r="CY240" s="3">
        <v>-2</v>
      </c>
      <c r="CZ240" s="3">
        <v>-2</v>
      </c>
      <c r="DJ240" s="3">
        <f t="shared" ca="1" si="387"/>
        <v>0</v>
      </c>
      <c r="DK240" s="3" t="e">
        <f t="shared" ca="1" si="388"/>
        <v>#DIV/0!</v>
      </c>
      <c r="DL240" s="3">
        <f t="shared" ca="1" si="389"/>
        <v>0</v>
      </c>
      <c r="DM240" s="3">
        <v>2</v>
      </c>
      <c r="DQ240" s="3">
        <v>1</v>
      </c>
      <c r="DS240" s="3">
        <v>1</v>
      </c>
      <c r="EA240" s="3">
        <f t="shared" si="390"/>
        <v>1</v>
      </c>
      <c r="EB240" s="3">
        <f t="shared" si="391"/>
        <v>2</v>
      </c>
      <c r="EC240" s="3">
        <f t="shared" si="392"/>
        <v>0</v>
      </c>
      <c r="ED240" s="3">
        <f t="shared" si="393"/>
        <v>0</v>
      </c>
      <c r="EF240" s="3">
        <f t="shared" ca="1" si="394"/>
        <v>0</v>
      </c>
      <c r="EG240" s="3">
        <f t="shared" ca="1" si="395"/>
        <v>0</v>
      </c>
      <c r="EH240" s="3">
        <f ca="1">IFERROR(IF(LEFT($BA240,1)="4",OFFSET(변환표준점수!$H$118,MATCH($S240,변환표준점수!$B$119:$B$198,0),),OFFSET(EH$3,MATCH(AS240,$ED$4:$ED$8,0),0)),0)</f>
        <v>0</v>
      </c>
      <c r="EI240" s="3">
        <f ca="1">IFERROR(IF(LEFT($BA240,1)="4",OFFSET(변환표준점수!$I$118,MATCH($S240,변환표준점수!$B$119:$B$198,0),0),OFFSET(EI$3,MATCH(AT240,$ED$4:$ED$8,0),0)),0)</f>
        <v>0</v>
      </c>
      <c r="EK240" s="3">
        <f ca="1">IFERROR(IF(LEFT($BA240,1)="4",OFFSET(변환표준점수!$J$118,MATCH($S240,변환표준점수!$B$119:$B$198,0),0),OFFSET(EJ$3,MATCH(AV240,$ED$4:$ED$8,0),0)),0)</f>
        <v>0</v>
      </c>
      <c r="EL240" s="3">
        <f ca="1">IFERROR(IF(LEFT($BA240,1)="4",OFFSET(변환표준점수!$K$118,MATCH($S240,변환표준점수!$B$119:$B$198,0),0),OFFSET(EK$3,MATCH(AW240,$ED$4:$ED$8,0),0)),0)</f>
        <v>0</v>
      </c>
      <c r="EM240" s="3" t="str">
        <f t="shared" ca="1" si="396"/>
        <v/>
      </c>
      <c r="EN240" s="3" t="str">
        <f t="shared" ca="1" si="397"/>
        <v/>
      </c>
      <c r="EO240" s="3">
        <f t="shared" ca="1" si="398"/>
        <v>0</v>
      </c>
      <c r="EQ240" s="3">
        <f t="shared" ca="1" si="399"/>
        <v>0</v>
      </c>
      <c r="ER240" s="3">
        <f t="shared" ca="1" si="400"/>
        <v>0</v>
      </c>
      <c r="ES240" s="3">
        <f t="shared" ca="1" si="401"/>
        <v>0</v>
      </c>
      <c r="ET240" s="3">
        <f t="shared" ca="1" si="402"/>
        <v>0</v>
      </c>
      <c r="EU240" s="3">
        <f t="shared" si="403"/>
        <v>0</v>
      </c>
      <c r="EV240" s="3">
        <f t="shared" ca="1" si="404"/>
        <v>0</v>
      </c>
      <c r="EW240" s="3">
        <f t="shared" ca="1" si="405"/>
        <v>0</v>
      </c>
      <c r="EX240" s="3">
        <f ca="1">LARGE((ES240:ET240,EV240:EW240),1)</f>
        <v>0</v>
      </c>
      <c r="EY240" s="3">
        <f ca="1">IF(O240&lt;2,0,LARGE((ES240:ET240,EV240:EW240),2))</f>
        <v>0</v>
      </c>
      <c r="EZ240" s="3">
        <f t="shared" ca="1" si="406"/>
        <v>0</v>
      </c>
      <c r="FA240" s="3">
        <f t="shared" ca="1" si="407"/>
        <v>0</v>
      </c>
      <c r="FB240" s="3">
        <f t="shared" ca="1" si="408"/>
        <v>0</v>
      </c>
      <c r="FG240" s="3">
        <f t="shared" ca="1" si="409"/>
        <v>0</v>
      </c>
      <c r="FH240" s="618"/>
      <c r="FU240" s="3" t="str">
        <f t="shared" si="365"/>
        <v>표점</v>
      </c>
      <c r="FV240" s="3" t="str">
        <f t="shared" si="366"/>
        <v>표점</v>
      </c>
      <c r="FW240" s="3">
        <f t="shared" si="410"/>
        <v>0.25</v>
      </c>
      <c r="FX240" s="3">
        <f t="shared" si="411"/>
        <v>0.45</v>
      </c>
      <c r="FY240" s="3">
        <f t="shared" si="412"/>
        <v>0.3</v>
      </c>
      <c r="FZ240" s="3">
        <f t="shared" si="413"/>
        <v>1.5</v>
      </c>
    </row>
    <row r="241" spans="1:182">
      <c r="A241" s="556">
        <v>26</v>
      </c>
      <c r="C241" s="3">
        <f t="shared" si="367"/>
        <v>226</v>
      </c>
      <c r="D241" s="3">
        <v>226</v>
      </c>
      <c r="E241" s="3" t="s">
        <v>7377</v>
      </c>
      <c r="F241" s="3">
        <v>300</v>
      </c>
      <c r="G241" s="3">
        <v>0.35</v>
      </c>
      <c r="H241" s="3">
        <v>0.35</v>
      </c>
      <c r="I241" s="3">
        <v>0.15</v>
      </c>
      <c r="J241" s="3">
        <v>0.15</v>
      </c>
      <c r="L241" s="3">
        <v>0.15</v>
      </c>
      <c r="M241" s="3">
        <v>0.15</v>
      </c>
      <c r="O241" s="3">
        <v>2</v>
      </c>
      <c r="P241" s="3">
        <f t="shared" si="368"/>
        <v>1</v>
      </c>
      <c r="Q241" s="3" t="s">
        <v>408</v>
      </c>
      <c r="S241" s="3" t="str">
        <f t="shared" si="369"/>
        <v/>
      </c>
      <c r="W241" s="3">
        <f t="shared" si="370"/>
        <v>0</v>
      </c>
      <c r="Y241" s="3">
        <f t="shared" si="371"/>
        <v>0.52500000000000002</v>
      </c>
      <c r="Z241" s="3">
        <f t="shared" si="372"/>
        <v>0.52500000000000002</v>
      </c>
      <c r="AA241" s="3">
        <f t="shared" si="373"/>
        <v>0.45</v>
      </c>
      <c r="AB241" s="3">
        <f t="shared" si="374"/>
        <v>0.45</v>
      </c>
      <c r="AC241" s="3">
        <f t="shared" si="375"/>
        <v>0.45</v>
      </c>
      <c r="AD241" s="3">
        <f t="shared" si="376"/>
        <v>0.52500000000000002</v>
      </c>
      <c r="AE241" s="3">
        <f t="shared" si="377"/>
        <v>0.52500000000000002</v>
      </c>
      <c r="AF241" s="3">
        <f t="shared" si="378"/>
        <v>0.45</v>
      </c>
      <c r="AG241" s="3">
        <f t="shared" si="379"/>
        <v>0.45</v>
      </c>
      <c r="AH241" s="3" t="str">
        <f t="shared" si="380"/>
        <v>자동</v>
      </c>
      <c r="AI241" s="3">
        <f t="shared" si="381"/>
        <v>0.45</v>
      </c>
      <c r="AJ241" s="3">
        <f t="shared" si="382"/>
        <v>0.45</v>
      </c>
      <c r="AL241" s="3" t="str">
        <f t="shared" si="383"/>
        <v/>
      </c>
      <c r="AN241" s="3" t="str">
        <f ca="1">IF($BA241=42,OFFSET(변환표준점수!C$119,$AP241-1,0),"")</f>
        <v/>
      </c>
      <c r="AO241" s="3" t="str">
        <f ca="1">IF($BA241=42,OFFSET(변환표준점수!D$119,$AP241-1,0),"")</f>
        <v/>
      </c>
      <c r="AP241" s="3" t="str">
        <f>IF(S241="","",MATCH(S241,변환표준점수!$B$119:$B$298,0))</f>
        <v/>
      </c>
      <c r="AQ241" s="3">
        <v>1</v>
      </c>
      <c r="AR241" s="3">
        <v>1</v>
      </c>
      <c r="AS241" s="3">
        <v>1</v>
      </c>
      <c r="AT241" s="3">
        <v>1</v>
      </c>
      <c r="AV241" s="3">
        <v>1</v>
      </c>
      <c r="AW241" s="3">
        <v>1</v>
      </c>
      <c r="AX241" s="3">
        <v>3</v>
      </c>
      <c r="AY241" s="3">
        <v>3</v>
      </c>
      <c r="BA241" s="3">
        <f t="shared" si="384"/>
        <v>1</v>
      </c>
      <c r="BJ241" s="3">
        <f t="shared" si="385"/>
        <v>0</v>
      </c>
      <c r="CH241" s="206">
        <f t="shared" si="386"/>
        <v>300</v>
      </c>
      <c r="CJ241" s="3">
        <v>-2</v>
      </c>
      <c r="CK241" s="3">
        <v>-5</v>
      </c>
      <c r="CL241" s="3">
        <v>-8</v>
      </c>
      <c r="CM241" s="3">
        <v>-11</v>
      </c>
      <c r="CN241" s="3">
        <v>-14</v>
      </c>
      <c r="CO241" s="3">
        <v>-18</v>
      </c>
      <c r="CP241" s="3">
        <v>-22</v>
      </c>
      <c r="CQ241" s="3">
        <v>-26</v>
      </c>
      <c r="CU241" s="3">
        <v>-1</v>
      </c>
      <c r="CV241" s="3">
        <v>-1</v>
      </c>
      <c r="CW241" s="3">
        <v>-1</v>
      </c>
      <c r="CX241" s="3">
        <v>-2</v>
      </c>
      <c r="CY241" s="3">
        <v>-2</v>
      </c>
      <c r="CZ241" s="3">
        <v>-2</v>
      </c>
      <c r="DJ241" s="3">
        <f t="shared" ca="1" si="387"/>
        <v>0</v>
      </c>
      <c r="DK241" s="3" t="e">
        <f t="shared" ca="1" si="388"/>
        <v>#DIV/0!</v>
      </c>
      <c r="DL241" s="3">
        <f t="shared" ca="1" si="389"/>
        <v>0</v>
      </c>
      <c r="DO241" s="3">
        <v>2</v>
      </c>
      <c r="DZ241" s="3">
        <v>1</v>
      </c>
      <c r="EA241" s="3">
        <f t="shared" si="390"/>
        <v>1</v>
      </c>
      <c r="EB241" s="3">
        <f t="shared" si="391"/>
        <v>2</v>
      </c>
      <c r="EC241" s="3">
        <f t="shared" si="392"/>
        <v>0</v>
      </c>
      <c r="ED241" s="3">
        <f t="shared" si="393"/>
        <v>0</v>
      </c>
      <c r="EF241" s="3">
        <f t="shared" ca="1" si="394"/>
        <v>0</v>
      </c>
      <c r="EG241" s="3">
        <f t="shared" ca="1" si="395"/>
        <v>0</v>
      </c>
      <c r="EH241" s="3">
        <f ca="1">IFERROR(IF(LEFT($BA241,1)="4",OFFSET(변환표준점수!$H$118,MATCH($S241,변환표준점수!$B$119:$B$198,0),),OFFSET(EH$3,MATCH(AS241,$ED$4:$ED$8,0),0)),0)</f>
        <v>0</v>
      </c>
      <c r="EI241" s="3">
        <f ca="1">IFERROR(IF(LEFT($BA241,1)="4",OFFSET(변환표준점수!$I$118,MATCH($S241,변환표준점수!$B$119:$B$198,0),0),OFFSET(EI$3,MATCH(AT241,$ED$4:$ED$8,0),0)),0)</f>
        <v>0</v>
      </c>
      <c r="EK241" s="3">
        <f ca="1">IFERROR(IF(LEFT($BA241,1)="4",OFFSET(변환표준점수!$J$118,MATCH($S241,변환표준점수!$B$119:$B$198,0),0),OFFSET(EJ$3,MATCH(AV241,$ED$4:$ED$8,0),0)),0)</f>
        <v>0</v>
      </c>
      <c r="EL241" s="3">
        <f ca="1">IFERROR(IF(LEFT($BA241,1)="4",OFFSET(변환표준점수!$K$118,MATCH($S241,변환표준점수!$B$119:$B$198,0),0),OFFSET(EK$3,MATCH(AW241,$ED$4:$ED$8,0),0)),0)</f>
        <v>0</v>
      </c>
      <c r="EM241" s="3" t="str">
        <f t="shared" ca="1" si="396"/>
        <v/>
      </c>
      <c r="EN241" s="3" t="str">
        <f t="shared" ca="1" si="397"/>
        <v/>
      </c>
      <c r="EO241" s="3">
        <f t="shared" ca="1" si="398"/>
        <v>0</v>
      </c>
      <c r="EQ241" s="3">
        <f t="shared" ca="1" si="399"/>
        <v>0</v>
      </c>
      <c r="ER241" s="3">
        <f t="shared" ca="1" si="400"/>
        <v>0</v>
      </c>
      <c r="ES241" s="3">
        <f t="shared" ca="1" si="401"/>
        <v>0</v>
      </c>
      <c r="ET241" s="3">
        <f t="shared" ca="1" si="402"/>
        <v>0</v>
      </c>
      <c r="EU241" s="3">
        <f t="shared" si="403"/>
        <v>0</v>
      </c>
      <c r="EV241" s="3">
        <f t="shared" ca="1" si="404"/>
        <v>0</v>
      </c>
      <c r="EW241" s="3">
        <f t="shared" ca="1" si="405"/>
        <v>0</v>
      </c>
      <c r="EX241" s="3">
        <f ca="1">LARGE((ES241:ET241,EV241:EW241),1)</f>
        <v>0</v>
      </c>
      <c r="EY241" s="3">
        <f ca="1">IF(O241&lt;2,0,LARGE((ES241:ET241,EV241:EW241),2))</f>
        <v>0</v>
      </c>
      <c r="EZ241" s="3">
        <f t="shared" ca="1" si="406"/>
        <v>0</v>
      </c>
      <c r="FA241" s="3">
        <f t="shared" ca="1" si="407"/>
        <v>0</v>
      </c>
      <c r="FB241" s="3">
        <f t="shared" ca="1" si="408"/>
        <v>0</v>
      </c>
      <c r="FG241" s="3">
        <f t="shared" ca="1" si="409"/>
        <v>0</v>
      </c>
      <c r="FH241" s="618"/>
      <c r="FU241" s="3" t="str">
        <f t="shared" si="365"/>
        <v>표점</v>
      </c>
      <c r="FV241" s="3" t="str">
        <f t="shared" si="366"/>
        <v>표점</v>
      </c>
      <c r="FW241" s="3">
        <f t="shared" si="410"/>
        <v>0.35</v>
      </c>
      <c r="FX241" s="3">
        <f t="shared" si="411"/>
        <v>0.35</v>
      </c>
      <c r="FY241" s="3">
        <f t="shared" si="412"/>
        <v>0.3</v>
      </c>
      <c r="FZ241" s="3">
        <f t="shared" si="413"/>
        <v>1.5</v>
      </c>
    </row>
    <row r="242" spans="1:182">
      <c r="A242" s="556">
        <v>26</v>
      </c>
      <c r="C242" s="3">
        <f t="shared" si="367"/>
        <v>227</v>
      </c>
      <c r="D242" s="3">
        <v>227</v>
      </c>
      <c r="E242" s="3" t="s">
        <v>394</v>
      </c>
      <c r="F242" s="3">
        <v>200</v>
      </c>
      <c r="G242" s="3">
        <v>0.3</v>
      </c>
      <c r="H242" s="3">
        <v>0.2</v>
      </c>
      <c r="I242" s="3">
        <v>0.15</v>
      </c>
      <c r="J242" s="3">
        <v>0.15</v>
      </c>
      <c r="L242" s="3">
        <v>0.15</v>
      </c>
      <c r="M242" s="3">
        <v>0.15</v>
      </c>
      <c r="O242" s="3">
        <v>2</v>
      </c>
      <c r="P242" s="3">
        <f t="shared" si="368"/>
        <v>0.8</v>
      </c>
      <c r="Q242" s="3" t="s">
        <v>408</v>
      </c>
      <c r="S242" s="3" t="str">
        <f t="shared" si="369"/>
        <v/>
      </c>
      <c r="W242" s="3">
        <f t="shared" si="370"/>
        <v>0</v>
      </c>
      <c r="Y242" s="3">
        <f t="shared" si="371"/>
        <v>0.43165467625899279</v>
      </c>
      <c r="Z242" s="3">
        <f t="shared" si="372"/>
        <v>0.2857142857142857</v>
      </c>
      <c r="AA242" s="3">
        <f t="shared" si="373"/>
        <v>0.4296578491328073</v>
      </c>
      <c r="AB242" s="3">
        <f t="shared" si="374"/>
        <v>0.41922276100110389</v>
      </c>
      <c r="AC242" s="3">
        <f t="shared" si="375"/>
        <v>0.41922276100110389</v>
      </c>
      <c r="AD242" s="3">
        <f t="shared" si="376"/>
        <v>0.43165467625899279</v>
      </c>
      <c r="AE242" s="3">
        <f t="shared" si="377"/>
        <v>0.2857142857142857</v>
      </c>
      <c r="AF242" s="3">
        <f t="shared" si="378"/>
        <v>0.4296578491328073</v>
      </c>
      <c r="AG242" s="3">
        <f t="shared" si="379"/>
        <v>0.4296578491328073</v>
      </c>
      <c r="AH242" s="3" t="str">
        <f t="shared" si="380"/>
        <v>자동</v>
      </c>
      <c r="AI242" s="3">
        <f t="shared" si="381"/>
        <v>0.41922276100110389</v>
      </c>
      <c r="AJ242" s="3">
        <f t="shared" si="382"/>
        <v>0.41922276100110389</v>
      </c>
      <c r="AK242" s="3">
        <v>0</v>
      </c>
      <c r="AL242" s="3">
        <f t="shared" si="383"/>
        <v>0</v>
      </c>
      <c r="AN242" s="3" t="str">
        <f ca="1">IF($BA242=42,OFFSET(변환표준점수!C$119,$AP242-1,0),"")</f>
        <v/>
      </c>
      <c r="AO242" s="3" t="str">
        <f ca="1">IF($BA242=42,OFFSET(변환표준점수!D$119,$AP242-1,0),"")</f>
        <v/>
      </c>
      <c r="AP242" s="3" t="str">
        <f>IF(S242="","",MATCH(S242,변환표준점수!$B$119:$B$298,0))</f>
        <v/>
      </c>
      <c r="AQ242" s="3">
        <v>12</v>
      </c>
      <c r="AR242" s="3">
        <v>12</v>
      </c>
      <c r="AS242" s="3">
        <v>12</v>
      </c>
      <c r="AT242" s="3">
        <v>12</v>
      </c>
      <c r="AV242" s="3">
        <v>12</v>
      </c>
      <c r="AW242" s="3">
        <v>12</v>
      </c>
      <c r="AX242" s="3">
        <v>3</v>
      </c>
      <c r="AY242" s="3">
        <v>3</v>
      </c>
      <c r="BA242" s="3">
        <f t="shared" si="384"/>
        <v>12</v>
      </c>
      <c r="BJ242" s="3">
        <f t="shared" si="385"/>
        <v>0</v>
      </c>
      <c r="CH242" s="206">
        <f t="shared" si="386"/>
        <v>160</v>
      </c>
      <c r="CI242" s="56">
        <v>40</v>
      </c>
      <c r="CJ242" s="3">
        <v>38</v>
      </c>
      <c r="CK242" s="3">
        <v>36</v>
      </c>
      <c r="CL242" s="3">
        <v>34</v>
      </c>
      <c r="CM242" s="3">
        <v>32</v>
      </c>
      <c r="CN242" s="3">
        <v>30</v>
      </c>
      <c r="CO242" s="3">
        <v>28</v>
      </c>
      <c r="CP242" s="3">
        <v>16</v>
      </c>
      <c r="CQ242" s="3">
        <v>0</v>
      </c>
      <c r="DJ242" s="3">
        <f t="shared" ca="1" si="387"/>
        <v>40</v>
      </c>
      <c r="DK242" s="3">
        <f t="shared" ca="1" si="388"/>
        <v>100</v>
      </c>
      <c r="DL242" s="3">
        <f t="shared" ca="1" si="389"/>
        <v>0</v>
      </c>
      <c r="DO242" s="3">
        <v>2</v>
      </c>
      <c r="EA242" s="3">
        <f t="shared" si="390"/>
        <v>2</v>
      </c>
      <c r="EB242" s="3">
        <f t="shared" si="391"/>
        <v>2</v>
      </c>
      <c r="EC242" s="3">
        <f t="shared" si="392"/>
        <v>0</v>
      </c>
      <c r="ED242" s="3">
        <f t="shared" si="393"/>
        <v>0</v>
      </c>
      <c r="EF242" s="3">
        <f t="shared" ca="1" si="394"/>
        <v>0</v>
      </c>
      <c r="EG242" s="3">
        <f t="shared" ca="1" si="395"/>
        <v>0</v>
      </c>
      <c r="EH242" s="3">
        <f ca="1">IFERROR(IF(LEFT($BA242,1)="4",OFFSET(변환표준점수!$H$118,MATCH($S242,변환표준점수!$B$119:$B$198,0),),OFFSET(EH$3,MATCH(AS242,$ED$4:$ED$8,0),0)),0)</f>
        <v>0</v>
      </c>
      <c r="EI242" s="3">
        <f ca="1">IFERROR(IF(LEFT($BA242,1)="4",OFFSET(변환표준점수!$I$118,MATCH($S242,변환표준점수!$B$119:$B$198,0),0),OFFSET(EI$3,MATCH(AT242,$ED$4:$ED$8,0),0)),0)</f>
        <v>0</v>
      </c>
      <c r="EK242" s="3">
        <f ca="1">IFERROR(IF(LEFT($BA242,1)="4",OFFSET(변환표준점수!$J$118,MATCH($S242,변환표준점수!$B$119:$B$198,0),0),OFFSET(EJ$3,MATCH(AV242,$ED$4:$ED$8,0),0)),0)</f>
        <v>0</v>
      </c>
      <c r="EL242" s="3">
        <f ca="1">IFERROR(IF(LEFT($BA242,1)="4",OFFSET(변환표준점수!$K$118,MATCH($S242,변환표준점수!$B$119:$B$198,0),0),OFFSET(EK$3,MATCH(AW242,$ED$4:$ED$8,0),0)),0)</f>
        <v>0</v>
      </c>
      <c r="EM242" s="3" t="str">
        <f t="shared" ca="1" si="396"/>
        <v/>
      </c>
      <c r="EN242" s="3" t="str">
        <f t="shared" ca="1" si="397"/>
        <v/>
      </c>
      <c r="EO242" s="3">
        <f t="shared" ca="1" si="398"/>
        <v>0</v>
      </c>
      <c r="EQ242" s="3">
        <f t="shared" ca="1" si="399"/>
        <v>0</v>
      </c>
      <c r="ER242" s="3">
        <f t="shared" ca="1" si="400"/>
        <v>0</v>
      </c>
      <c r="ES242" s="3">
        <f t="shared" ca="1" si="401"/>
        <v>0</v>
      </c>
      <c r="ET242" s="3">
        <f t="shared" ca="1" si="402"/>
        <v>0</v>
      </c>
      <c r="EU242" s="3">
        <f t="shared" si="403"/>
        <v>0</v>
      </c>
      <c r="EV242" s="3">
        <f t="shared" ca="1" si="404"/>
        <v>0</v>
      </c>
      <c r="EW242" s="3">
        <f t="shared" ca="1" si="405"/>
        <v>0</v>
      </c>
      <c r="EX242" s="3">
        <f ca="1">LARGE((ES242:ET242,EV242:EW242),1)</f>
        <v>0</v>
      </c>
      <c r="EY242" s="3">
        <f ca="1">IF(O242&lt;2,0,LARGE((ES242:ET242,EV242:EW242),2))</f>
        <v>0</v>
      </c>
      <c r="EZ242" s="3">
        <f t="shared" ca="1" si="406"/>
        <v>0</v>
      </c>
      <c r="FA242" s="3">
        <f t="shared" ca="1" si="407"/>
        <v>0</v>
      </c>
      <c r="FB242" s="3">
        <f t="shared" ca="1" si="408"/>
        <v>0</v>
      </c>
      <c r="FC242" s="3">
        <v>800</v>
      </c>
      <c r="FG242" s="3">
        <f t="shared" ca="1" si="409"/>
        <v>800</v>
      </c>
      <c r="FH242" s="618"/>
      <c r="FU242" s="3" t="str">
        <f t="shared" si="365"/>
        <v>표점/만점</v>
      </c>
      <c r="FV242" s="3" t="str">
        <f t="shared" si="366"/>
        <v>표점/만점</v>
      </c>
      <c r="FW242" s="3">
        <f t="shared" si="410"/>
        <v>0.38</v>
      </c>
      <c r="FX242" s="3">
        <f t="shared" si="411"/>
        <v>0.25</v>
      </c>
      <c r="FY242" s="3">
        <f t="shared" si="412"/>
        <v>0.37</v>
      </c>
      <c r="FZ242" s="3">
        <f t="shared" si="413"/>
        <v>1.1365917229743823</v>
      </c>
    </row>
    <row r="243" spans="1:182">
      <c r="A243" s="556">
        <v>26</v>
      </c>
      <c r="C243" s="3">
        <f t="shared" si="367"/>
        <v>228</v>
      </c>
      <c r="D243" s="3">
        <v>228</v>
      </c>
      <c r="E243" s="3" t="s">
        <v>395</v>
      </c>
      <c r="F243" s="3">
        <v>200</v>
      </c>
      <c r="G243" s="3">
        <v>0.2</v>
      </c>
      <c r="H243" s="3">
        <v>0.3</v>
      </c>
      <c r="I243" s="3">
        <v>0.15</v>
      </c>
      <c r="J243" s="3">
        <v>0.15</v>
      </c>
      <c r="L243" s="3">
        <v>0.15</v>
      </c>
      <c r="M243" s="3">
        <v>0.15</v>
      </c>
      <c r="O243" s="3">
        <v>2</v>
      </c>
      <c r="P243" s="3">
        <f t="shared" si="368"/>
        <v>0.8</v>
      </c>
      <c r="Q243" s="3" t="s">
        <v>408</v>
      </c>
      <c r="S243" s="3" t="str">
        <f t="shared" si="369"/>
        <v/>
      </c>
      <c r="W243" s="3">
        <f t="shared" si="370"/>
        <v>0</v>
      </c>
      <c r="Y243" s="3">
        <f t="shared" si="371"/>
        <v>0.28776978417266186</v>
      </c>
      <c r="Z243" s="3">
        <f t="shared" si="372"/>
        <v>0.42857142857142855</v>
      </c>
      <c r="AA243" s="3">
        <f t="shared" si="373"/>
        <v>0.4296578491328073</v>
      </c>
      <c r="AB243" s="3">
        <f t="shared" si="374"/>
        <v>0.41922276100110389</v>
      </c>
      <c r="AC243" s="3">
        <f t="shared" si="375"/>
        <v>0.4296578491328073</v>
      </c>
      <c r="AD243" s="3">
        <f t="shared" si="376"/>
        <v>0.28776978417266186</v>
      </c>
      <c r="AE243" s="3">
        <f t="shared" si="377"/>
        <v>0.42857142857142855</v>
      </c>
      <c r="AF243" s="3">
        <f t="shared" si="378"/>
        <v>0.4296578491328073</v>
      </c>
      <c r="AG243" s="3">
        <f t="shared" si="379"/>
        <v>0.4296578491328073</v>
      </c>
      <c r="AH243" s="3" t="str">
        <f t="shared" si="380"/>
        <v>자동</v>
      </c>
      <c r="AI243" s="3">
        <f t="shared" si="381"/>
        <v>0.41922276100110389</v>
      </c>
      <c r="AJ243" s="3">
        <f t="shared" si="382"/>
        <v>0.41922276100110389</v>
      </c>
      <c r="AK243" s="3">
        <v>0</v>
      </c>
      <c r="AL243" s="3">
        <f t="shared" si="383"/>
        <v>0</v>
      </c>
      <c r="AN243" s="3" t="str">
        <f ca="1">IF($BA243=42,OFFSET(변환표준점수!C$119,$AP243-1,0),"")</f>
        <v/>
      </c>
      <c r="AO243" s="3" t="str">
        <f ca="1">IF($BA243=42,OFFSET(변환표준점수!D$119,$AP243-1,0),"")</f>
        <v/>
      </c>
      <c r="AP243" s="3" t="str">
        <f>IF(S243="","",MATCH(S243,변환표준점수!$B$119:$B$298,0))</f>
        <v/>
      </c>
      <c r="AQ243" s="3">
        <v>12</v>
      </c>
      <c r="AR243" s="3">
        <v>12</v>
      </c>
      <c r="AS243" s="3">
        <v>12</v>
      </c>
      <c r="AT243" s="3">
        <v>12</v>
      </c>
      <c r="AV243" s="3">
        <v>12</v>
      </c>
      <c r="AW243" s="3">
        <v>12</v>
      </c>
      <c r="AX243" s="3">
        <v>3</v>
      </c>
      <c r="AY243" s="3">
        <v>3</v>
      </c>
      <c r="BA243" s="3">
        <f t="shared" si="384"/>
        <v>12</v>
      </c>
      <c r="BJ243" s="3">
        <f t="shared" si="385"/>
        <v>0</v>
      </c>
      <c r="CH243" s="206">
        <f t="shared" si="386"/>
        <v>160</v>
      </c>
      <c r="CI243" s="56">
        <v>40</v>
      </c>
      <c r="CJ243" s="3">
        <v>38</v>
      </c>
      <c r="CK243" s="3">
        <v>36</v>
      </c>
      <c r="CL243" s="3">
        <v>34</v>
      </c>
      <c r="CM243" s="3">
        <v>32</v>
      </c>
      <c r="CN243" s="3">
        <v>30</v>
      </c>
      <c r="CO243" s="3">
        <v>28</v>
      </c>
      <c r="CP243" s="3">
        <v>16</v>
      </c>
      <c r="CQ243" s="3">
        <v>0</v>
      </c>
      <c r="DJ243" s="3">
        <f t="shared" ca="1" si="387"/>
        <v>40</v>
      </c>
      <c r="DK243" s="3">
        <f t="shared" ca="1" si="388"/>
        <v>100</v>
      </c>
      <c r="DL243" s="3">
        <f t="shared" ca="1" si="389"/>
        <v>0</v>
      </c>
      <c r="DO243" s="3">
        <v>2</v>
      </c>
      <c r="DZ243" s="3">
        <v>1</v>
      </c>
      <c r="EA243" s="3">
        <f t="shared" si="390"/>
        <v>1</v>
      </c>
      <c r="EB243" s="3">
        <f t="shared" si="391"/>
        <v>2</v>
      </c>
      <c r="EC243" s="3">
        <f t="shared" si="392"/>
        <v>0</v>
      </c>
      <c r="ED243" s="3">
        <f t="shared" si="393"/>
        <v>0</v>
      </c>
      <c r="EF243" s="3">
        <f t="shared" ca="1" si="394"/>
        <v>0</v>
      </c>
      <c r="EG243" s="3">
        <f t="shared" ca="1" si="395"/>
        <v>0</v>
      </c>
      <c r="EH243" s="3">
        <f ca="1">IFERROR(IF(LEFT($BA243,1)="4",OFFSET(변환표준점수!$H$118,MATCH($S243,변환표준점수!$B$119:$B$198,0),),OFFSET(EH$3,MATCH(AS243,$ED$4:$ED$8,0),0)),0)</f>
        <v>0</v>
      </c>
      <c r="EI243" s="3">
        <f ca="1">IFERROR(IF(LEFT($BA243,1)="4",OFFSET(변환표준점수!$I$118,MATCH($S243,변환표준점수!$B$119:$B$198,0),0),OFFSET(EI$3,MATCH(AT243,$ED$4:$ED$8,0),0)),0)</f>
        <v>0</v>
      </c>
      <c r="EK243" s="3">
        <f ca="1">IFERROR(IF(LEFT($BA243,1)="4",OFFSET(변환표준점수!$J$118,MATCH($S243,변환표준점수!$B$119:$B$198,0),0),OFFSET(EJ$3,MATCH(AV243,$ED$4:$ED$8,0),0)),0)</f>
        <v>0</v>
      </c>
      <c r="EL243" s="3">
        <f ca="1">IFERROR(IF(LEFT($BA243,1)="4",OFFSET(변환표준점수!$K$118,MATCH($S243,변환표준점수!$B$119:$B$198,0),0),OFFSET(EK$3,MATCH(AW243,$ED$4:$ED$8,0),0)),0)</f>
        <v>0</v>
      </c>
      <c r="EM243" s="3" t="str">
        <f t="shared" ca="1" si="396"/>
        <v/>
      </c>
      <c r="EN243" s="3" t="str">
        <f t="shared" ca="1" si="397"/>
        <v/>
      </c>
      <c r="EO243" s="3">
        <f t="shared" ca="1" si="398"/>
        <v>0</v>
      </c>
      <c r="EQ243" s="3">
        <f t="shared" ca="1" si="399"/>
        <v>0</v>
      </c>
      <c r="ER243" s="3">
        <f t="shared" ca="1" si="400"/>
        <v>0</v>
      </c>
      <c r="ES243" s="3">
        <f t="shared" ca="1" si="401"/>
        <v>0</v>
      </c>
      <c r="ET243" s="3">
        <f t="shared" ca="1" si="402"/>
        <v>0</v>
      </c>
      <c r="EU243" s="3">
        <f t="shared" si="403"/>
        <v>0</v>
      </c>
      <c r="EV243" s="3">
        <f t="shared" ca="1" si="404"/>
        <v>0</v>
      </c>
      <c r="EW243" s="3">
        <f t="shared" ca="1" si="405"/>
        <v>0</v>
      </c>
      <c r="EX243" s="3">
        <f ca="1">LARGE((ES243:ET243,EV243:EW243),1)</f>
        <v>0</v>
      </c>
      <c r="EY243" s="3">
        <f ca="1">IF(O243&lt;2,0,LARGE((ES243:ET243,EV243:EW243),2))</f>
        <v>0</v>
      </c>
      <c r="EZ243" s="3">
        <f t="shared" ca="1" si="406"/>
        <v>0</v>
      </c>
      <c r="FA243" s="3">
        <f t="shared" ca="1" si="407"/>
        <v>0</v>
      </c>
      <c r="FB243" s="3">
        <f t="shared" ca="1" si="408"/>
        <v>0</v>
      </c>
      <c r="FC243" s="3">
        <v>800</v>
      </c>
      <c r="FG243" s="3">
        <f t="shared" ca="1" si="409"/>
        <v>800</v>
      </c>
      <c r="FH243" s="618"/>
      <c r="FU243" s="3" t="str">
        <f t="shared" si="365"/>
        <v>표점/만점</v>
      </c>
      <c r="FV243" s="3" t="str">
        <f t="shared" si="366"/>
        <v>표점/만점</v>
      </c>
      <c r="FW243" s="3">
        <f t="shared" si="410"/>
        <v>0.25</v>
      </c>
      <c r="FX243" s="3">
        <f t="shared" si="411"/>
        <v>0.37</v>
      </c>
      <c r="FY243" s="3">
        <f t="shared" si="412"/>
        <v>0.37</v>
      </c>
      <c r="FZ243" s="3">
        <f t="shared" si="413"/>
        <v>1.1459990618768978</v>
      </c>
    </row>
    <row r="244" spans="1:182">
      <c r="A244" s="556">
        <v>26</v>
      </c>
      <c r="C244" s="3">
        <f t="shared" si="367"/>
        <v>229</v>
      </c>
      <c r="D244" s="3">
        <v>229</v>
      </c>
      <c r="E244" s="3" t="s">
        <v>7736</v>
      </c>
      <c r="F244" s="3">
        <v>200</v>
      </c>
      <c r="G244" s="3">
        <v>0.2</v>
      </c>
      <c r="H244" s="3">
        <v>0.3</v>
      </c>
      <c r="I244" s="3">
        <v>0.15</v>
      </c>
      <c r="J244" s="3">
        <v>0.15</v>
      </c>
      <c r="O244" s="3">
        <v>2</v>
      </c>
      <c r="P244" s="3">
        <f t="shared" si="368"/>
        <v>0.8</v>
      </c>
      <c r="Q244" s="3" t="s">
        <v>408</v>
      </c>
      <c r="S244" s="3" t="str">
        <f t="shared" si="369"/>
        <v/>
      </c>
      <c r="U244" s="3">
        <v>1</v>
      </c>
      <c r="W244" s="3">
        <f t="shared" si="370"/>
        <v>0</v>
      </c>
      <c r="Y244" s="3">
        <f t="shared" si="371"/>
        <v>0.28776978417266186</v>
      </c>
      <c r="Z244" s="3">
        <f t="shared" si="372"/>
        <v>0.42857142857142855</v>
      </c>
      <c r="AA244" s="3">
        <f t="shared" si="373"/>
        <v>0.4296578491328073</v>
      </c>
      <c r="AB244" s="3" t="str">
        <f t="shared" si="374"/>
        <v>자동</v>
      </c>
      <c r="AC244" s="3">
        <f t="shared" si="375"/>
        <v>0.4296578491328073</v>
      </c>
      <c r="AD244" s="3">
        <f t="shared" si="376"/>
        <v>0.28776978417266186</v>
      </c>
      <c r="AE244" s="3">
        <f t="shared" si="377"/>
        <v>0.42857142857142855</v>
      </c>
      <c r="AF244" s="3">
        <f t="shared" si="378"/>
        <v>0.4296578491328073</v>
      </c>
      <c r="AG244" s="3">
        <f t="shared" si="379"/>
        <v>0.4296578491328073</v>
      </c>
      <c r="AH244" s="3" t="str">
        <f t="shared" si="380"/>
        <v>자동</v>
      </c>
      <c r="AI244" s="3" t="str">
        <f t="shared" si="381"/>
        <v>자동</v>
      </c>
      <c r="AJ244" s="3" t="str">
        <f t="shared" si="382"/>
        <v>자동</v>
      </c>
      <c r="AK244" s="3">
        <v>1</v>
      </c>
      <c r="AL244" s="3">
        <f t="shared" si="383"/>
        <v>1</v>
      </c>
      <c r="AN244" s="3" t="str">
        <f ca="1">IF($BA244=42,OFFSET(변환표준점수!C$119,$AP244-1,0),"")</f>
        <v/>
      </c>
      <c r="AO244" s="3" t="str">
        <f ca="1">IF($BA244=42,OFFSET(변환표준점수!D$119,$AP244-1,0),"")</f>
        <v/>
      </c>
      <c r="AP244" s="3" t="str">
        <f>IF(S244="","",MATCH(S244,변환표준점수!$B$119:$B$298,0))</f>
        <v/>
      </c>
      <c r="AQ244" s="3">
        <v>12</v>
      </c>
      <c r="AR244" s="3">
        <v>12</v>
      </c>
      <c r="AS244" s="3">
        <v>12</v>
      </c>
      <c r="AT244" s="3">
        <v>12</v>
      </c>
      <c r="AX244" s="3">
        <v>3</v>
      </c>
      <c r="AY244" s="3">
        <v>3</v>
      </c>
      <c r="BA244" s="3">
        <f t="shared" si="384"/>
        <v>12</v>
      </c>
      <c r="BJ244" s="3">
        <f t="shared" si="385"/>
        <v>0</v>
      </c>
      <c r="CH244" s="206">
        <f t="shared" si="386"/>
        <v>160</v>
      </c>
      <c r="CI244" s="56">
        <v>40</v>
      </c>
      <c r="CJ244" s="3">
        <v>38</v>
      </c>
      <c r="CK244" s="3">
        <v>36</v>
      </c>
      <c r="CL244" s="3">
        <v>34</v>
      </c>
      <c r="CM244" s="3">
        <v>32</v>
      </c>
      <c r="CN244" s="3">
        <v>30</v>
      </c>
      <c r="CO244" s="3">
        <v>28</v>
      </c>
      <c r="CP244" s="3">
        <v>16</v>
      </c>
      <c r="CQ244" s="3">
        <v>0</v>
      </c>
      <c r="DJ244" s="3">
        <f t="shared" ca="1" si="387"/>
        <v>40</v>
      </c>
      <c r="DK244" s="3">
        <f t="shared" ca="1" si="388"/>
        <v>100</v>
      </c>
      <c r="DL244" s="3">
        <f t="shared" ca="1" si="389"/>
        <v>0</v>
      </c>
      <c r="DM244" s="3">
        <v>2</v>
      </c>
      <c r="DQ244" s="3">
        <v>1</v>
      </c>
      <c r="DS244" s="3">
        <v>1</v>
      </c>
      <c r="DZ244" s="3">
        <v>1</v>
      </c>
      <c r="EA244" s="3">
        <f t="shared" si="390"/>
        <v>1</v>
      </c>
      <c r="EB244" s="3">
        <f t="shared" si="391"/>
        <v>2</v>
      </c>
      <c r="EC244" s="3">
        <f t="shared" si="392"/>
        <v>0</v>
      </c>
      <c r="ED244" s="3">
        <f t="shared" si="393"/>
        <v>0</v>
      </c>
      <c r="EF244" s="3">
        <f t="shared" ca="1" si="394"/>
        <v>0</v>
      </c>
      <c r="EG244" s="3">
        <f t="shared" ca="1" si="395"/>
        <v>0</v>
      </c>
      <c r="EH244" s="3">
        <f ca="1">IFERROR(IF(LEFT($BA244,1)="4",OFFSET(변환표준점수!$H$118,MATCH($S244,변환표준점수!$B$119:$B$198,0),),OFFSET(EH$3,MATCH(AS244,$ED$4:$ED$8,0),0)),0)</f>
        <v>0</v>
      </c>
      <c r="EI244" s="3">
        <f ca="1">IFERROR(IF(LEFT($BA244,1)="4",OFFSET(변환표준점수!$I$118,MATCH($S244,변환표준점수!$B$119:$B$198,0),0),OFFSET(EI$3,MATCH(AT244,$ED$4:$ED$8,0),0)),0)</f>
        <v>0</v>
      </c>
      <c r="EK244" s="3">
        <f ca="1">IFERROR(IF(LEFT($BA244,1)="4",OFFSET(변환표준점수!$J$118,MATCH($S244,변환표준점수!$B$119:$B$198,0),0),OFFSET(EJ$3,MATCH(AV244,$ED$4:$ED$8,0),0)),0)</f>
        <v>0</v>
      </c>
      <c r="EL244" s="3">
        <f ca="1">IFERROR(IF(LEFT($BA244,1)="4",OFFSET(변환표준점수!$K$118,MATCH($S244,변환표준점수!$B$119:$B$198,0),0),OFFSET(EK$3,MATCH(AW244,$ED$4:$ED$8,0),0)),0)</f>
        <v>0</v>
      </c>
      <c r="EM244" s="3" t="str">
        <f t="shared" ca="1" si="396"/>
        <v/>
      </c>
      <c r="EN244" s="3" t="str">
        <f t="shared" ca="1" si="397"/>
        <v/>
      </c>
      <c r="EO244" s="3">
        <f t="shared" ca="1" si="398"/>
        <v>0</v>
      </c>
      <c r="EQ244" s="3">
        <f t="shared" ca="1" si="399"/>
        <v>0</v>
      </c>
      <c r="ER244" s="3">
        <f t="shared" ca="1" si="400"/>
        <v>0</v>
      </c>
      <c r="ES244" s="3">
        <f t="shared" ca="1" si="401"/>
        <v>0</v>
      </c>
      <c r="ET244" s="3">
        <f t="shared" ca="1" si="402"/>
        <v>0</v>
      </c>
      <c r="EU244" s="3">
        <f t="shared" si="403"/>
        <v>0</v>
      </c>
      <c r="EV244" s="3">
        <f t="shared" ca="1" si="404"/>
        <v>0</v>
      </c>
      <c r="EW244" s="3">
        <f t="shared" ca="1" si="405"/>
        <v>0</v>
      </c>
      <c r="EX244" s="3">
        <f ca="1">LARGE((ES244:ET244,EV244:EW244),1)</f>
        <v>0</v>
      </c>
      <c r="EY244" s="3">
        <f ca="1">IF(O244&lt;2,0,LARGE((ES244:ET244,EV244:EW244),2))</f>
        <v>0</v>
      </c>
      <c r="EZ244" s="3">
        <f t="shared" ca="1" si="406"/>
        <v>0</v>
      </c>
      <c r="FA244" s="3">
        <f t="shared" ca="1" si="407"/>
        <v>0</v>
      </c>
      <c r="FB244" s="3">
        <f t="shared" ca="1" si="408"/>
        <v>0</v>
      </c>
      <c r="FC244" s="3">
        <v>800</v>
      </c>
      <c r="FG244" s="3">
        <f t="shared" ca="1" si="409"/>
        <v>800</v>
      </c>
      <c r="FH244" s="618"/>
      <c r="FU244" s="3" t="str">
        <f t="shared" si="365"/>
        <v>표점/만점</v>
      </c>
      <c r="FV244" s="3" t="str">
        <f t="shared" si="366"/>
        <v>표점/만점</v>
      </c>
      <c r="FW244" s="3">
        <f t="shared" si="410"/>
        <v>0.25</v>
      </c>
      <c r="FX244" s="3">
        <f t="shared" si="411"/>
        <v>0.37</v>
      </c>
      <c r="FY244" s="3">
        <f t="shared" si="412"/>
        <v>0.37</v>
      </c>
      <c r="FZ244" s="3">
        <f t="shared" si="413"/>
        <v>1.1459990618768978</v>
      </c>
    </row>
    <row r="245" spans="1:182">
      <c r="A245" s="556">
        <v>26</v>
      </c>
      <c r="C245" s="3">
        <f t="shared" si="367"/>
        <v>230</v>
      </c>
      <c r="D245" s="3">
        <v>230</v>
      </c>
      <c r="E245" s="3" t="s">
        <v>7737</v>
      </c>
      <c r="F245" s="3">
        <v>200</v>
      </c>
      <c r="G245" s="3">
        <v>0.2</v>
      </c>
      <c r="H245" s="3">
        <v>0.3</v>
      </c>
      <c r="I245" s="3">
        <v>0.15</v>
      </c>
      <c r="J245" s="3">
        <v>0.15</v>
      </c>
      <c r="O245" s="3">
        <v>2</v>
      </c>
      <c r="P245" s="3">
        <f t="shared" si="368"/>
        <v>0.8</v>
      </c>
      <c r="Q245" s="3" t="s">
        <v>408</v>
      </c>
      <c r="S245" s="3" t="str">
        <f t="shared" si="369"/>
        <v/>
      </c>
      <c r="W245" s="3">
        <f t="shared" si="370"/>
        <v>0</v>
      </c>
      <c r="Y245" s="3">
        <f t="shared" si="371"/>
        <v>0.28776978417266186</v>
      </c>
      <c r="Z245" s="3">
        <f t="shared" si="372"/>
        <v>0.42857142857142855</v>
      </c>
      <c r="AA245" s="3">
        <f t="shared" si="373"/>
        <v>0.4296578491328073</v>
      </c>
      <c r="AB245" s="3" t="str">
        <f t="shared" si="374"/>
        <v>자동</v>
      </c>
      <c r="AC245" s="3">
        <f t="shared" si="375"/>
        <v>0.4296578491328073</v>
      </c>
      <c r="AD245" s="3">
        <f t="shared" si="376"/>
        <v>0.28776978417266186</v>
      </c>
      <c r="AE245" s="3">
        <f t="shared" si="377"/>
        <v>0.42857142857142855</v>
      </c>
      <c r="AF245" s="3">
        <f t="shared" si="378"/>
        <v>0.4296578491328073</v>
      </c>
      <c r="AG245" s="3">
        <f t="shared" si="379"/>
        <v>0.4296578491328073</v>
      </c>
      <c r="AH245" s="3" t="str">
        <f t="shared" si="380"/>
        <v>자동</v>
      </c>
      <c r="AI245" s="3" t="str">
        <f t="shared" si="381"/>
        <v>자동</v>
      </c>
      <c r="AJ245" s="3" t="str">
        <f t="shared" si="382"/>
        <v>자동</v>
      </c>
      <c r="AK245" s="3">
        <v>0</v>
      </c>
      <c r="AL245" s="3">
        <f t="shared" si="383"/>
        <v>0</v>
      </c>
      <c r="AN245" s="3" t="str">
        <f ca="1">IF($BA245=42,OFFSET(변환표준점수!C$119,$AP245-1,0),"")</f>
        <v/>
      </c>
      <c r="AO245" s="3" t="str">
        <f ca="1">IF($BA245=42,OFFSET(변환표준점수!D$119,$AP245-1,0),"")</f>
        <v/>
      </c>
      <c r="AP245" s="3" t="str">
        <f>IF(S245="","",MATCH(S245,변환표준점수!$B$119:$B$298,0))</f>
        <v/>
      </c>
      <c r="AQ245" s="3">
        <v>12</v>
      </c>
      <c r="AR245" s="3">
        <v>12</v>
      </c>
      <c r="AS245" s="3">
        <v>12</v>
      </c>
      <c r="AT245" s="3">
        <v>12</v>
      </c>
      <c r="AX245" s="3">
        <v>3</v>
      </c>
      <c r="AY245" s="3">
        <v>3</v>
      </c>
      <c r="BA245" s="3">
        <f t="shared" si="384"/>
        <v>12</v>
      </c>
      <c r="BJ245" s="3">
        <f t="shared" si="385"/>
        <v>0</v>
      </c>
      <c r="CH245" s="206">
        <f t="shared" si="386"/>
        <v>160</v>
      </c>
      <c r="CI245" s="56">
        <v>40</v>
      </c>
      <c r="CJ245" s="3">
        <v>38</v>
      </c>
      <c r="CK245" s="3">
        <v>36</v>
      </c>
      <c r="CL245" s="3">
        <v>34</v>
      </c>
      <c r="CM245" s="3">
        <v>32</v>
      </c>
      <c r="CN245" s="3">
        <v>30</v>
      </c>
      <c r="CO245" s="3">
        <v>28</v>
      </c>
      <c r="CP245" s="3">
        <v>16</v>
      </c>
      <c r="CQ245" s="3">
        <v>0</v>
      </c>
      <c r="DJ245" s="3">
        <f t="shared" ca="1" si="387"/>
        <v>40</v>
      </c>
      <c r="DK245" s="3">
        <f t="shared" ca="1" si="388"/>
        <v>100</v>
      </c>
      <c r="DL245" s="3">
        <f t="shared" ca="1" si="389"/>
        <v>0</v>
      </c>
      <c r="DM245" s="3">
        <v>2</v>
      </c>
      <c r="DS245" s="3">
        <v>1</v>
      </c>
      <c r="EA245" s="3">
        <f t="shared" si="390"/>
        <v>1</v>
      </c>
      <c r="EB245" s="3">
        <f t="shared" si="391"/>
        <v>2</v>
      </c>
      <c r="EC245" s="3">
        <f t="shared" si="392"/>
        <v>0</v>
      </c>
      <c r="ED245" s="3">
        <f t="shared" si="393"/>
        <v>0</v>
      </c>
      <c r="EF245" s="3">
        <f t="shared" ca="1" si="394"/>
        <v>0</v>
      </c>
      <c r="EG245" s="3">
        <f t="shared" ca="1" si="395"/>
        <v>0</v>
      </c>
      <c r="EH245" s="3">
        <f ca="1">IFERROR(IF(LEFT($BA245,1)="4",OFFSET(변환표준점수!$H$118,MATCH($S245,변환표준점수!$B$119:$B$198,0),),OFFSET(EH$3,MATCH(AS245,$ED$4:$ED$8,0),0)),0)</f>
        <v>0</v>
      </c>
      <c r="EI245" s="3">
        <f ca="1">IFERROR(IF(LEFT($BA245,1)="4",OFFSET(변환표준점수!$I$118,MATCH($S245,변환표준점수!$B$119:$B$198,0),0),OFFSET(EI$3,MATCH(AT245,$ED$4:$ED$8,0),0)),0)</f>
        <v>0</v>
      </c>
      <c r="EK245" s="3">
        <f ca="1">IFERROR(IF(LEFT($BA245,1)="4",OFFSET(변환표준점수!$J$118,MATCH($S245,변환표준점수!$B$119:$B$198,0),0),OFFSET(EJ$3,MATCH(AV245,$ED$4:$ED$8,0),0)),0)</f>
        <v>0</v>
      </c>
      <c r="EL245" s="3">
        <f ca="1">IFERROR(IF(LEFT($BA245,1)="4",OFFSET(변환표준점수!$K$118,MATCH($S245,변환표준점수!$B$119:$B$198,0),0),OFFSET(EK$3,MATCH(AW245,$ED$4:$ED$8,0),0)),0)</f>
        <v>0</v>
      </c>
      <c r="EM245" s="3" t="str">
        <f t="shared" ca="1" si="396"/>
        <v/>
      </c>
      <c r="EN245" s="3" t="str">
        <f t="shared" ca="1" si="397"/>
        <v/>
      </c>
      <c r="EO245" s="3">
        <f t="shared" ca="1" si="398"/>
        <v>0</v>
      </c>
      <c r="EQ245" s="3">
        <f t="shared" ca="1" si="399"/>
        <v>0</v>
      </c>
      <c r="ER245" s="3">
        <f t="shared" ca="1" si="400"/>
        <v>0</v>
      </c>
      <c r="ES245" s="3">
        <f t="shared" ca="1" si="401"/>
        <v>0</v>
      </c>
      <c r="ET245" s="3">
        <f t="shared" ca="1" si="402"/>
        <v>0</v>
      </c>
      <c r="EU245" s="3">
        <f t="shared" si="403"/>
        <v>0</v>
      </c>
      <c r="EV245" s="3">
        <f t="shared" ca="1" si="404"/>
        <v>0</v>
      </c>
      <c r="EW245" s="3">
        <f t="shared" ca="1" si="405"/>
        <v>0</v>
      </c>
      <c r="EX245" s="3">
        <f ca="1">LARGE((ES245:ET245,EV245:EW245),1)</f>
        <v>0</v>
      </c>
      <c r="EY245" s="3">
        <f ca="1">IF(O245&lt;2,0,LARGE((ES245:ET245,EV245:EW245),2))</f>
        <v>0</v>
      </c>
      <c r="EZ245" s="3">
        <f t="shared" ca="1" si="406"/>
        <v>0</v>
      </c>
      <c r="FA245" s="3">
        <f t="shared" ca="1" si="407"/>
        <v>0</v>
      </c>
      <c r="FB245" s="3">
        <f t="shared" ca="1" si="408"/>
        <v>0</v>
      </c>
      <c r="FC245" s="3">
        <v>800</v>
      </c>
      <c r="FG245" s="3">
        <f t="shared" ca="1" si="409"/>
        <v>800</v>
      </c>
      <c r="FH245" s="618"/>
      <c r="FU245" s="3" t="str">
        <f t="shared" si="365"/>
        <v>표점/만점</v>
      </c>
      <c r="FV245" s="3" t="str">
        <f t="shared" si="366"/>
        <v>표점/만점</v>
      </c>
      <c r="FW245" s="3">
        <f t="shared" si="410"/>
        <v>0.25</v>
      </c>
      <c r="FX245" s="3">
        <f t="shared" si="411"/>
        <v>0.37</v>
      </c>
      <c r="FY245" s="3">
        <f t="shared" si="412"/>
        <v>0.37</v>
      </c>
      <c r="FZ245" s="3">
        <f t="shared" si="413"/>
        <v>1.1459990618768978</v>
      </c>
    </row>
    <row r="246" spans="1:182">
      <c r="A246" s="556">
        <v>26</v>
      </c>
      <c r="C246" s="3">
        <f t="shared" si="367"/>
        <v>231</v>
      </c>
      <c r="D246" s="3">
        <v>231</v>
      </c>
      <c r="E246" s="3" t="s">
        <v>396</v>
      </c>
      <c r="F246" s="3">
        <v>200</v>
      </c>
      <c r="G246" s="3">
        <v>0.2</v>
      </c>
      <c r="H246" s="3">
        <v>0.3</v>
      </c>
      <c r="I246" s="3">
        <v>0.15</v>
      </c>
      <c r="J246" s="3">
        <v>0.15</v>
      </c>
      <c r="O246" s="3">
        <v>2</v>
      </c>
      <c r="P246" s="3">
        <f t="shared" si="368"/>
        <v>0.8</v>
      </c>
      <c r="Q246" s="3" t="s">
        <v>408</v>
      </c>
      <c r="S246" s="3" t="str">
        <f t="shared" si="369"/>
        <v/>
      </c>
      <c r="W246" s="3">
        <f t="shared" si="370"/>
        <v>0</v>
      </c>
      <c r="Y246" s="3">
        <f t="shared" si="371"/>
        <v>0.28776978417266186</v>
      </c>
      <c r="Z246" s="3">
        <f t="shared" si="372"/>
        <v>0.42857142857142855</v>
      </c>
      <c r="AA246" s="3">
        <f t="shared" si="373"/>
        <v>0.4296578491328073</v>
      </c>
      <c r="AB246" s="3" t="str">
        <f t="shared" si="374"/>
        <v>자동</v>
      </c>
      <c r="AC246" s="3">
        <f t="shared" si="375"/>
        <v>0.4296578491328073</v>
      </c>
      <c r="AD246" s="3">
        <f t="shared" si="376"/>
        <v>0.28776978417266186</v>
      </c>
      <c r="AE246" s="3">
        <f t="shared" si="377"/>
        <v>0.42857142857142855</v>
      </c>
      <c r="AF246" s="3">
        <f t="shared" si="378"/>
        <v>0.4296578491328073</v>
      </c>
      <c r="AG246" s="3">
        <f t="shared" si="379"/>
        <v>0.4296578491328073</v>
      </c>
      <c r="AH246" s="3" t="str">
        <f t="shared" si="380"/>
        <v>자동</v>
      </c>
      <c r="AI246" s="3" t="str">
        <f t="shared" si="381"/>
        <v>자동</v>
      </c>
      <c r="AJ246" s="3" t="str">
        <f t="shared" si="382"/>
        <v>자동</v>
      </c>
      <c r="AK246" s="3">
        <v>0</v>
      </c>
      <c r="AL246" s="3">
        <f t="shared" si="383"/>
        <v>0</v>
      </c>
      <c r="AN246" s="3" t="str">
        <f ca="1">IF($BA246=42,OFFSET(변환표준점수!C$119,$AP246-1,0),"")</f>
        <v/>
      </c>
      <c r="AO246" s="3" t="str">
        <f ca="1">IF($BA246=42,OFFSET(변환표준점수!D$119,$AP246-1,0),"")</f>
        <v/>
      </c>
      <c r="AP246" s="3" t="str">
        <f>IF(S246="","",MATCH(S246,변환표준점수!$B$119:$B$298,0))</f>
        <v/>
      </c>
      <c r="AQ246" s="3">
        <v>12</v>
      </c>
      <c r="AR246" s="3">
        <v>12</v>
      </c>
      <c r="AS246" s="3">
        <v>12</v>
      </c>
      <c r="AT246" s="3">
        <v>12</v>
      </c>
      <c r="AX246" s="3">
        <v>3</v>
      </c>
      <c r="AY246" s="3">
        <v>3</v>
      </c>
      <c r="BA246" s="3">
        <f t="shared" si="384"/>
        <v>12</v>
      </c>
      <c r="BJ246" s="3">
        <f t="shared" si="385"/>
        <v>0</v>
      </c>
      <c r="CH246" s="206">
        <f t="shared" si="386"/>
        <v>160</v>
      </c>
      <c r="CI246" s="56">
        <v>40</v>
      </c>
      <c r="CJ246" s="3">
        <v>38</v>
      </c>
      <c r="CK246" s="3">
        <v>36</v>
      </c>
      <c r="CL246" s="3">
        <v>34</v>
      </c>
      <c r="CM246" s="3">
        <v>32</v>
      </c>
      <c r="CN246" s="3">
        <v>30</v>
      </c>
      <c r="CO246" s="3">
        <v>28</v>
      </c>
      <c r="CP246" s="3">
        <v>16</v>
      </c>
      <c r="CQ246" s="3">
        <v>0</v>
      </c>
      <c r="DJ246" s="3">
        <f t="shared" ca="1" si="387"/>
        <v>40</v>
      </c>
      <c r="DK246" s="3">
        <f t="shared" ca="1" si="388"/>
        <v>100</v>
      </c>
      <c r="DL246" s="3">
        <f t="shared" ca="1" si="389"/>
        <v>0</v>
      </c>
      <c r="DM246" s="3">
        <v>2</v>
      </c>
      <c r="DQ246" s="3">
        <v>1</v>
      </c>
      <c r="DS246" s="3">
        <v>1</v>
      </c>
      <c r="EA246" s="3">
        <f t="shared" si="390"/>
        <v>1</v>
      </c>
      <c r="EB246" s="3">
        <f t="shared" si="391"/>
        <v>2</v>
      </c>
      <c r="EC246" s="3">
        <f t="shared" si="392"/>
        <v>0</v>
      </c>
      <c r="ED246" s="3">
        <f t="shared" si="393"/>
        <v>0</v>
      </c>
      <c r="EF246" s="3">
        <f t="shared" ca="1" si="394"/>
        <v>0</v>
      </c>
      <c r="EG246" s="3">
        <f t="shared" ca="1" si="395"/>
        <v>0</v>
      </c>
      <c r="EH246" s="3">
        <f ca="1">IFERROR(IF(LEFT($BA246,1)="4",OFFSET(변환표준점수!$H$118,MATCH($S246,변환표준점수!$B$119:$B$198,0),),OFFSET(EH$3,MATCH(AS246,$ED$4:$ED$8,0),0)),0)</f>
        <v>0</v>
      </c>
      <c r="EI246" s="3">
        <f ca="1">IFERROR(IF(LEFT($BA246,1)="4",OFFSET(변환표준점수!$I$118,MATCH($S246,변환표준점수!$B$119:$B$198,0),0),OFFSET(EI$3,MATCH(AT246,$ED$4:$ED$8,0),0)),0)</f>
        <v>0</v>
      </c>
      <c r="EK246" s="3">
        <f ca="1">IFERROR(IF(LEFT($BA246,1)="4",OFFSET(변환표준점수!$J$118,MATCH($S246,변환표준점수!$B$119:$B$198,0),0),OFFSET(EJ$3,MATCH(AV246,$ED$4:$ED$8,0),0)),0)</f>
        <v>0</v>
      </c>
      <c r="EL246" s="3">
        <f ca="1">IFERROR(IF(LEFT($BA246,1)="4",OFFSET(변환표준점수!$K$118,MATCH($S246,변환표준점수!$B$119:$B$198,0),0),OFFSET(EK$3,MATCH(AW246,$ED$4:$ED$8,0),0)),0)</f>
        <v>0</v>
      </c>
      <c r="EM246" s="3" t="str">
        <f t="shared" ca="1" si="396"/>
        <v/>
      </c>
      <c r="EN246" s="3" t="str">
        <f t="shared" ca="1" si="397"/>
        <v/>
      </c>
      <c r="EO246" s="3">
        <f t="shared" ca="1" si="398"/>
        <v>0</v>
      </c>
      <c r="EQ246" s="3">
        <f t="shared" ca="1" si="399"/>
        <v>0</v>
      </c>
      <c r="ER246" s="3">
        <f t="shared" ca="1" si="400"/>
        <v>0</v>
      </c>
      <c r="ES246" s="3">
        <f t="shared" ca="1" si="401"/>
        <v>0</v>
      </c>
      <c r="ET246" s="3">
        <f t="shared" ca="1" si="402"/>
        <v>0</v>
      </c>
      <c r="EU246" s="3">
        <f t="shared" si="403"/>
        <v>0</v>
      </c>
      <c r="EV246" s="3">
        <f t="shared" ca="1" si="404"/>
        <v>0</v>
      </c>
      <c r="EW246" s="3">
        <f t="shared" ca="1" si="405"/>
        <v>0</v>
      </c>
      <c r="EX246" s="3">
        <f ca="1">LARGE((ES246:ET246,EV246:EW246),1)</f>
        <v>0</v>
      </c>
      <c r="EY246" s="3">
        <f ca="1">IF(O246&lt;2,0,LARGE((ES246:ET246,EV246:EW246),2))</f>
        <v>0</v>
      </c>
      <c r="EZ246" s="3">
        <f t="shared" ca="1" si="406"/>
        <v>0</v>
      </c>
      <c r="FA246" s="3">
        <f t="shared" ca="1" si="407"/>
        <v>0</v>
      </c>
      <c r="FB246" s="3">
        <f t="shared" ca="1" si="408"/>
        <v>0</v>
      </c>
      <c r="FC246" s="3">
        <v>800</v>
      </c>
      <c r="FG246" s="3">
        <f t="shared" ca="1" si="409"/>
        <v>800</v>
      </c>
      <c r="FH246" s="618"/>
      <c r="FU246" s="3" t="str">
        <f t="shared" si="365"/>
        <v>표점/만점</v>
      </c>
      <c r="FV246" s="3" t="str">
        <f t="shared" si="366"/>
        <v>표점/만점</v>
      </c>
      <c r="FW246" s="3">
        <f t="shared" si="410"/>
        <v>0.25</v>
      </c>
      <c r="FX246" s="3">
        <f t="shared" si="411"/>
        <v>0.37</v>
      </c>
      <c r="FY246" s="3">
        <f t="shared" si="412"/>
        <v>0.37</v>
      </c>
      <c r="FZ246" s="3">
        <f t="shared" si="413"/>
        <v>1.1459990618768978</v>
      </c>
    </row>
    <row r="247" spans="1:182">
      <c r="A247" s="556">
        <v>26</v>
      </c>
      <c r="C247" s="3">
        <f t="shared" si="367"/>
        <v>232</v>
      </c>
      <c r="D247" s="3">
        <v>232</v>
      </c>
      <c r="E247" s="3" t="s">
        <v>397</v>
      </c>
      <c r="F247" s="3">
        <v>1000</v>
      </c>
      <c r="G247" s="3">
        <v>0.25</v>
      </c>
      <c r="H247" s="3">
        <v>0.25</v>
      </c>
      <c r="I247" s="3">
        <v>0.125</v>
      </c>
      <c r="J247" s="3">
        <v>0.125</v>
      </c>
      <c r="L247" s="3">
        <v>0.125</v>
      </c>
      <c r="M247" s="3">
        <v>0.125</v>
      </c>
      <c r="O247" s="3">
        <v>2</v>
      </c>
      <c r="P247" s="3">
        <f t="shared" si="368"/>
        <v>0.75</v>
      </c>
      <c r="Q247" s="3" t="s">
        <v>408</v>
      </c>
      <c r="S247" s="3" t="str">
        <f t="shared" si="369"/>
        <v/>
      </c>
      <c r="W247" s="3">
        <f t="shared" si="370"/>
        <v>0</v>
      </c>
      <c r="Y247" s="3">
        <f t="shared" si="371"/>
        <v>2.5</v>
      </c>
      <c r="Z247" s="3">
        <f t="shared" si="372"/>
        <v>2.5</v>
      </c>
      <c r="AA247" s="3">
        <f t="shared" si="373"/>
        <v>1.25</v>
      </c>
      <c r="AB247" s="3">
        <f t="shared" si="374"/>
        <v>1.25</v>
      </c>
      <c r="AC247" s="3">
        <f t="shared" si="375"/>
        <v>2.5</v>
      </c>
      <c r="AD247" s="3">
        <f t="shared" si="376"/>
        <v>2.5</v>
      </c>
      <c r="AE247" s="3">
        <f t="shared" si="377"/>
        <v>2.5</v>
      </c>
      <c r="AF247" s="3">
        <f t="shared" si="378"/>
        <v>1.25</v>
      </c>
      <c r="AG247" s="3">
        <f t="shared" si="379"/>
        <v>1.25</v>
      </c>
      <c r="AH247" s="3" t="str">
        <f t="shared" si="380"/>
        <v>자동</v>
      </c>
      <c r="AI247" s="3">
        <f t="shared" si="381"/>
        <v>1.25</v>
      </c>
      <c r="AJ247" s="3">
        <f t="shared" si="382"/>
        <v>1.25</v>
      </c>
      <c r="AL247" s="3" t="str">
        <f t="shared" si="383"/>
        <v/>
      </c>
      <c r="AN247" s="3" t="str">
        <f ca="1">IF($BA247=42,OFFSET(변환표준점수!C$119,$AP247-1,0),"")</f>
        <v/>
      </c>
      <c r="AO247" s="3" t="str">
        <f ca="1">IF($BA247=42,OFFSET(변환표준점수!D$119,$AP247-1,0),"")</f>
        <v/>
      </c>
      <c r="AP247" s="3" t="str">
        <f>IF(S247="","",MATCH(S247,변환표준점수!$B$119:$B$298,0))</f>
        <v/>
      </c>
      <c r="AQ247" s="3">
        <v>2</v>
      </c>
      <c r="AR247" s="3">
        <v>2</v>
      </c>
      <c r="AS247" s="3">
        <v>2</v>
      </c>
      <c r="AT247" s="3">
        <v>2</v>
      </c>
      <c r="AV247" s="3">
        <v>2</v>
      </c>
      <c r="AW247" s="3">
        <v>2</v>
      </c>
      <c r="AX247" s="3">
        <v>3</v>
      </c>
      <c r="AY247" s="3">
        <v>3</v>
      </c>
      <c r="BA247" s="3">
        <f t="shared" si="384"/>
        <v>2</v>
      </c>
      <c r="BC247" s="3">
        <f>$Z247*0.03</f>
        <v>7.4999999999999997E-2</v>
      </c>
      <c r="BD247" s="3">
        <f>$Z247*0.03</f>
        <v>7.4999999999999997E-2</v>
      </c>
      <c r="BJ247" s="3">
        <f t="shared" si="385"/>
        <v>0</v>
      </c>
      <c r="BN247" s="212" t="s">
        <v>7738</v>
      </c>
      <c r="BP247" s="3">
        <f>IF(BP$6&gt;0,BC247*$EG247,0)</f>
        <v>0</v>
      </c>
      <c r="BQ247" s="3">
        <f>IF(BQ$6&gt;0,BD247*$EG247,0)</f>
        <v>0</v>
      </c>
      <c r="CH247" s="206">
        <f t="shared" si="386"/>
        <v>750</v>
      </c>
      <c r="CI247" s="56">
        <v>250</v>
      </c>
      <c r="CJ247" s="3">
        <v>237.5</v>
      </c>
      <c r="CK247" s="3">
        <v>225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DJ247" s="3">
        <f t="shared" ca="1" si="387"/>
        <v>250</v>
      </c>
      <c r="DK247" s="3">
        <f t="shared" ca="1" si="388"/>
        <v>100</v>
      </c>
      <c r="DL247" s="3">
        <f t="shared" ca="1" si="389"/>
        <v>0</v>
      </c>
      <c r="DO247" s="3">
        <v>2</v>
      </c>
      <c r="DW247" s="3" t="e">
        <f>IF(AND($N$10+0&lt;3.1,$O$10+0&lt;4.1),0,1)</f>
        <v>#VALUE!</v>
      </c>
      <c r="EA247" s="3">
        <f t="shared" si="390"/>
        <v>2</v>
      </c>
      <c r="EB247" s="3">
        <f t="shared" si="391"/>
        <v>2</v>
      </c>
      <c r="EC247" s="3">
        <f t="shared" si="392"/>
        <v>0</v>
      </c>
      <c r="ED247" s="3">
        <f t="shared" si="393"/>
        <v>0</v>
      </c>
      <c r="EF247" s="3">
        <f t="shared" ca="1" si="394"/>
        <v>0</v>
      </c>
      <c r="EG247" s="3">
        <f t="shared" ca="1" si="395"/>
        <v>0</v>
      </c>
      <c r="EH247" s="3">
        <f ca="1">IFERROR(IF(LEFT($BA247,1)="4",OFFSET(변환표준점수!$H$118,MATCH($S247,변환표준점수!$B$119:$B$198,0),),OFFSET(EH$3,MATCH(AS247,$ED$4:$ED$8,0),0)),0)</f>
        <v>0</v>
      </c>
      <c r="EI247" s="3">
        <f ca="1">IFERROR(IF(LEFT($BA247,1)="4",OFFSET(변환표준점수!$I$118,MATCH($S247,변환표준점수!$B$119:$B$198,0),0),OFFSET(EI$3,MATCH(AT247,$ED$4:$ED$8,0),0)),0)</f>
        <v>0</v>
      </c>
      <c r="EK247" s="3">
        <f ca="1">IFERROR(IF(LEFT($BA247,1)="4",OFFSET(변환표준점수!$J$118,MATCH($S247,변환표준점수!$B$119:$B$198,0),0),OFFSET(EJ$3,MATCH(AV247,$ED$4:$ED$8,0),0)),0)</f>
        <v>0</v>
      </c>
      <c r="EL247" s="3">
        <f ca="1">IFERROR(IF(LEFT($BA247,1)="4",OFFSET(변환표준점수!$K$118,MATCH($S247,변환표준점수!$B$119:$B$198,0),0),OFFSET(EK$3,MATCH(AW247,$ED$4:$ED$8,0),0)),0)</f>
        <v>0</v>
      </c>
      <c r="EM247" s="3" t="str">
        <f t="shared" ca="1" si="396"/>
        <v/>
      </c>
      <c r="EN247" s="3" t="str">
        <f t="shared" ca="1" si="397"/>
        <v/>
      </c>
      <c r="EO247" s="3">
        <f t="shared" ca="1" si="398"/>
        <v>0</v>
      </c>
      <c r="EQ247" s="3">
        <f t="shared" ca="1" si="399"/>
        <v>0</v>
      </c>
      <c r="ER247" s="3">
        <f t="shared" ca="1" si="400"/>
        <v>0</v>
      </c>
      <c r="ES247" s="3">
        <f t="shared" ca="1" si="401"/>
        <v>0</v>
      </c>
      <c r="ET247" s="3">
        <f t="shared" ca="1" si="402"/>
        <v>0</v>
      </c>
      <c r="EU247" s="3">
        <f t="shared" si="403"/>
        <v>0</v>
      </c>
      <c r="EV247" s="3">
        <f t="shared" ca="1" si="404"/>
        <v>0</v>
      </c>
      <c r="EW247" s="3">
        <f t="shared" ca="1" si="405"/>
        <v>0</v>
      </c>
      <c r="EX247" s="3">
        <f ca="1">LARGE((ES247:ET247,EV247:EW247),1)</f>
        <v>0</v>
      </c>
      <c r="EY247" s="3">
        <f ca="1">IF(O247&lt;2,0,LARGE((ES247:ET247,EV247:EW247),2))</f>
        <v>0</v>
      </c>
      <c r="EZ247" s="3">
        <f t="shared" ca="1" si="406"/>
        <v>0</v>
      </c>
      <c r="FA247" s="3">
        <f t="shared" ca="1" si="407"/>
        <v>0</v>
      </c>
      <c r="FB247" s="3">
        <f t="shared" ca="1" si="408"/>
        <v>0</v>
      </c>
      <c r="FG247" s="3">
        <f t="shared" ca="1" si="409"/>
        <v>0</v>
      </c>
      <c r="FH247" s="618" t="s">
        <v>7739</v>
      </c>
      <c r="FU247" s="3" t="str">
        <f t="shared" si="365"/>
        <v>백분위</v>
      </c>
      <c r="FV247" s="3" t="str">
        <f t="shared" si="366"/>
        <v>백분위</v>
      </c>
      <c r="FW247" s="3">
        <f t="shared" si="410"/>
        <v>0.33</v>
      </c>
      <c r="FX247" s="3">
        <f t="shared" si="411"/>
        <v>0.33</v>
      </c>
      <c r="FY247" s="3">
        <f t="shared" si="412"/>
        <v>0.33</v>
      </c>
      <c r="FZ247" s="3">
        <f t="shared" si="413"/>
        <v>7.5</v>
      </c>
    </row>
    <row r="248" spans="1:182">
      <c r="A248" s="556">
        <v>26</v>
      </c>
      <c r="C248" s="3">
        <f t="shared" si="367"/>
        <v>233</v>
      </c>
      <c r="D248" s="3">
        <v>233</v>
      </c>
      <c r="E248" s="3" t="s">
        <v>7241</v>
      </c>
      <c r="F248" s="3">
        <v>1000</v>
      </c>
      <c r="G248" s="3">
        <v>0.25</v>
      </c>
      <c r="H248" s="3">
        <v>0.25</v>
      </c>
      <c r="I248" s="3">
        <v>0.125</v>
      </c>
      <c r="J248" s="3">
        <v>0.125</v>
      </c>
      <c r="L248" s="3">
        <v>0.125</v>
      </c>
      <c r="M248" s="3">
        <v>0.125</v>
      </c>
      <c r="O248" s="3">
        <v>2</v>
      </c>
      <c r="P248" s="3">
        <f t="shared" si="368"/>
        <v>0.75</v>
      </c>
      <c r="Q248" s="3" t="s">
        <v>408</v>
      </c>
      <c r="S248" s="3" t="str">
        <f t="shared" si="369"/>
        <v/>
      </c>
      <c r="W248" s="3">
        <f t="shared" si="370"/>
        <v>0</v>
      </c>
      <c r="Y248" s="3">
        <f t="shared" si="371"/>
        <v>2.5</v>
      </c>
      <c r="Z248" s="3">
        <f t="shared" si="372"/>
        <v>2.5</v>
      </c>
      <c r="AA248" s="3">
        <f t="shared" si="373"/>
        <v>1.25</v>
      </c>
      <c r="AB248" s="3">
        <f t="shared" si="374"/>
        <v>1.25</v>
      </c>
      <c r="AC248" s="3">
        <f t="shared" si="375"/>
        <v>2.5</v>
      </c>
      <c r="AD248" s="3">
        <f t="shared" si="376"/>
        <v>2.5</v>
      </c>
      <c r="AE248" s="3">
        <f t="shared" si="377"/>
        <v>2.5</v>
      </c>
      <c r="AF248" s="3">
        <f t="shared" si="378"/>
        <v>1.25</v>
      </c>
      <c r="AG248" s="3">
        <f t="shared" si="379"/>
        <v>1.25</v>
      </c>
      <c r="AH248" s="3" t="str">
        <f t="shared" si="380"/>
        <v>자동</v>
      </c>
      <c r="AI248" s="3">
        <f t="shared" si="381"/>
        <v>1.25</v>
      </c>
      <c r="AJ248" s="3">
        <f t="shared" si="382"/>
        <v>1.25</v>
      </c>
      <c r="AL248" s="3" t="str">
        <f t="shared" si="383"/>
        <v/>
      </c>
      <c r="AN248" s="3" t="str">
        <f ca="1">IF($BA248=42,OFFSET(변환표준점수!C$119,$AP248-1,0),"")</f>
        <v/>
      </c>
      <c r="AO248" s="3" t="str">
        <f ca="1">IF($BA248=42,OFFSET(변환표준점수!D$119,$AP248-1,0),"")</f>
        <v/>
      </c>
      <c r="AP248" s="3" t="str">
        <f>IF(S248="","",MATCH(S248,변환표준점수!$B$119:$B$298,0))</f>
        <v/>
      </c>
      <c r="AQ248" s="3">
        <v>2</v>
      </c>
      <c r="AR248" s="3">
        <v>2</v>
      </c>
      <c r="AS248" s="3">
        <v>2</v>
      </c>
      <c r="AT248" s="3">
        <v>2</v>
      </c>
      <c r="AV248" s="3">
        <v>2</v>
      </c>
      <c r="AW248" s="3">
        <v>2</v>
      </c>
      <c r="AX248" s="3">
        <v>3</v>
      </c>
      <c r="AY248" s="3">
        <v>3</v>
      </c>
      <c r="BA248" s="3">
        <f t="shared" si="384"/>
        <v>2</v>
      </c>
      <c r="BC248" s="3">
        <f>$Z248*0.03</f>
        <v>7.4999999999999997E-2</v>
      </c>
      <c r="BD248" s="3">
        <f>$Z248*0.03</f>
        <v>7.4999999999999997E-2</v>
      </c>
      <c r="BJ248" s="3">
        <f t="shared" si="385"/>
        <v>0</v>
      </c>
      <c r="BN248" s="212" t="s">
        <v>7738</v>
      </c>
      <c r="BP248" s="3">
        <f>IF(BP$6&gt;0,BC248*$EG248,0)</f>
        <v>0</v>
      </c>
      <c r="BQ248" s="3">
        <f>IF(BQ$6&gt;0,BD248*$EG248,0)</f>
        <v>0</v>
      </c>
      <c r="CH248" s="206">
        <f t="shared" si="386"/>
        <v>750</v>
      </c>
      <c r="CI248" s="56">
        <v>250</v>
      </c>
      <c r="CJ248" s="3">
        <v>237.5</v>
      </c>
      <c r="CK248" s="3">
        <v>225</v>
      </c>
      <c r="CL248" s="3">
        <v>212.5</v>
      </c>
      <c r="CM248" s="3">
        <v>200</v>
      </c>
      <c r="CN248" s="3">
        <v>187.5</v>
      </c>
      <c r="CO248" s="3">
        <v>175</v>
      </c>
      <c r="CP248" s="3">
        <v>162.5</v>
      </c>
      <c r="CQ248" s="3">
        <v>150</v>
      </c>
      <c r="CV248" s="3">
        <v>-2</v>
      </c>
      <c r="CW248" s="3">
        <v>-4</v>
      </c>
      <c r="CX248" s="3">
        <v>-6</v>
      </c>
      <c r="CY248" s="3">
        <v>-8</v>
      </c>
      <c r="CZ248" s="3">
        <v>-10</v>
      </c>
      <c r="DJ248" s="3">
        <f t="shared" ca="1" si="387"/>
        <v>250</v>
      </c>
      <c r="DK248" s="3">
        <f t="shared" ca="1" si="388"/>
        <v>100</v>
      </c>
      <c r="DL248" s="3">
        <f t="shared" ca="1" si="389"/>
        <v>0</v>
      </c>
      <c r="DO248" s="3">
        <v>2</v>
      </c>
      <c r="EA248" s="3">
        <f t="shared" si="390"/>
        <v>2</v>
      </c>
      <c r="EB248" s="3">
        <f t="shared" si="391"/>
        <v>2</v>
      </c>
      <c r="EC248" s="3">
        <f t="shared" si="392"/>
        <v>0</v>
      </c>
      <c r="ED248" s="3">
        <f t="shared" si="393"/>
        <v>0</v>
      </c>
      <c r="EF248" s="3">
        <f t="shared" ca="1" si="394"/>
        <v>0</v>
      </c>
      <c r="EG248" s="3">
        <f t="shared" ca="1" si="395"/>
        <v>0</v>
      </c>
      <c r="EH248" s="3">
        <f ca="1">IFERROR(IF(LEFT($BA248,1)="4",OFFSET(변환표준점수!$H$118,MATCH($S248,변환표준점수!$B$119:$B$198,0),),OFFSET(EH$3,MATCH(AS248,$ED$4:$ED$8,0),0)),0)</f>
        <v>0</v>
      </c>
      <c r="EI248" s="3">
        <f ca="1">IFERROR(IF(LEFT($BA248,1)="4",OFFSET(변환표준점수!$I$118,MATCH($S248,변환표준점수!$B$119:$B$198,0),0),OFFSET(EI$3,MATCH(AT248,$ED$4:$ED$8,0),0)),0)</f>
        <v>0</v>
      </c>
      <c r="EK248" s="3">
        <f ca="1">IFERROR(IF(LEFT($BA248,1)="4",OFFSET(변환표준점수!$J$118,MATCH($S248,변환표준점수!$B$119:$B$198,0),0),OFFSET(EJ$3,MATCH(AV248,$ED$4:$ED$8,0),0)),0)</f>
        <v>0</v>
      </c>
      <c r="EL248" s="3">
        <f ca="1">IFERROR(IF(LEFT($BA248,1)="4",OFFSET(변환표준점수!$K$118,MATCH($S248,변환표준점수!$B$119:$B$198,0),0),OFFSET(EK$3,MATCH(AW248,$ED$4:$ED$8,0),0)),0)</f>
        <v>0</v>
      </c>
      <c r="EM248" s="3" t="str">
        <f t="shared" ca="1" si="396"/>
        <v/>
      </c>
      <c r="EN248" s="3" t="str">
        <f t="shared" ca="1" si="397"/>
        <v/>
      </c>
      <c r="EO248" s="3">
        <f t="shared" ca="1" si="398"/>
        <v>0</v>
      </c>
      <c r="EQ248" s="3">
        <f t="shared" ca="1" si="399"/>
        <v>0</v>
      </c>
      <c r="ER248" s="3">
        <f t="shared" ca="1" si="400"/>
        <v>0</v>
      </c>
      <c r="ES248" s="3">
        <f t="shared" ca="1" si="401"/>
        <v>0</v>
      </c>
      <c r="ET248" s="3">
        <f t="shared" ca="1" si="402"/>
        <v>0</v>
      </c>
      <c r="EU248" s="3">
        <f t="shared" si="403"/>
        <v>0</v>
      </c>
      <c r="EV248" s="3">
        <f t="shared" ca="1" si="404"/>
        <v>0</v>
      </c>
      <c r="EW248" s="3">
        <f t="shared" ca="1" si="405"/>
        <v>0</v>
      </c>
      <c r="EX248" s="3">
        <f ca="1">LARGE((ES248:ET248,EV248:EW248),1)</f>
        <v>0</v>
      </c>
      <c r="EY248" s="3">
        <f ca="1">IF(O248&lt;2,0,LARGE((ES248:ET248,EV248:EW248),2))</f>
        <v>0</v>
      </c>
      <c r="EZ248" s="3">
        <f t="shared" ca="1" si="406"/>
        <v>0</v>
      </c>
      <c r="FA248" s="3">
        <f t="shared" ca="1" si="407"/>
        <v>0</v>
      </c>
      <c r="FB248" s="3">
        <f t="shared" ca="1" si="408"/>
        <v>0</v>
      </c>
      <c r="FG248" s="3">
        <f t="shared" ca="1" si="409"/>
        <v>0</v>
      </c>
      <c r="FH248" s="618"/>
      <c r="FU248" s="3" t="str">
        <f t="shared" si="365"/>
        <v>백분위</v>
      </c>
      <c r="FV248" s="3" t="str">
        <f t="shared" si="366"/>
        <v>백분위</v>
      </c>
      <c r="FW248" s="3">
        <f t="shared" si="410"/>
        <v>0.33</v>
      </c>
      <c r="FX248" s="3">
        <f t="shared" si="411"/>
        <v>0.33</v>
      </c>
      <c r="FY248" s="3">
        <f t="shared" si="412"/>
        <v>0.33</v>
      </c>
      <c r="FZ248" s="3">
        <f t="shared" si="413"/>
        <v>7.5</v>
      </c>
    </row>
    <row r="249" spans="1:182">
      <c r="A249" s="556">
        <v>26</v>
      </c>
      <c r="C249" s="3">
        <f t="shared" si="367"/>
        <v>234</v>
      </c>
      <c r="D249" s="3">
        <v>234</v>
      </c>
      <c r="E249" s="3" t="s">
        <v>398</v>
      </c>
      <c r="F249" s="3">
        <v>500</v>
      </c>
      <c r="G249" s="3">
        <v>0.25</v>
      </c>
      <c r="H249" s="3">
        <v>0.25</v>
      </c>
      <c r="I249" s="3">
        <v>0.125</v>
      </c>
      <c r="J249" s="3">
        <v>0.125</v>
      </c>
      <c r="L249" s="3">
        <v>0.125</v>
      </c>
      <c r="M249" s="3">
        <v>0.125</v>
      </c>
      <c r="O249" s="3">
        <v>2</v>
      </c>
      <c r="P249" s="3">
        <f t="shared" si="368"/>
        <v>0.75</v>
      </c>
      <c r="Q249" s="3" t="s">
        <v>408</v>
      </c>
      <c r="S249" s="3" t="str">
        <f t="shared" si="369"/>
        <v/>
      </c>
      <c r="W249" s="3">
        <f t="shared" si="370"/>
        <v>0</v>
      </c>
      <c r="Y249" s="3">
        <f t="shared" si="371"/>
        <v>0.625</v>
      </c>
      <c r="Z249" s="3">
        <f t="shared" si="372"/>
        <v>0.625</v>
      </c>
      <c r="AA249" s="3">
        <f t="shared" si="373"/>
        <v>0.625</v>
      </c>
      <c r="AB249" s="3">
        <f t="shared" si="374"/>
        <v>0.625</v>
      </c>
      <c r="AC249" s="3">
        <f t="shared" si="375"/>
        <v>0.625</v>
      </c>
      <c r="AD249" s="3">
        <f t="shared" si="376"/>
        <v>0.625</v>
      </c>
      <c r="AE249" s="3">
        <f t="shared" si="377"/>
        <v>0.625</v>
      </c>
      <c r="AF249" s="3">
        <f t="shared" si="378"/>
        <v>0.625</v>
      </c>
      <c r="AG249" s="3">
        <f t="shared" si="379"/>
        <v>0.625</v>
      </c>
      <c r="AH249" s="3" t="str">
        <f t="shared" si="380"/>
        <v>자동</v>
      </c>
      <c r="AI249" s="3">
        <f t="shared" si="381"/>
        <v>0.625</v>
      </c>
      <c r="AJ249" s="3">
        <f t="shared" si="382"/>
        <v>0.625</v>
      </c>
      <c r="AL249" s="3" t="str">
        <f t="shared" si="383"/>
        <v/>
      </c>
      <c r="AN249" s="3" t="str">
        <f ca="1">IF($BA249=42,OFFSET(변환표준점수!C$119,$AP249-1,0),"")</f>
        <v/>
      </c>
      <c r="AO249" s="3" t="str">
        <f ca="1">IF($BA249=42,OFFSET(변환표준점수!D$119,$AP249-1,0),"")</f>
        <v/>
      </c>
      <c r="AP249" s="3" t="str">
        <f>IF(S249="","",MATCH(S249,변환표준점수!$B$119:$B$298,0))</f>
        <v/>
      </c>
      <c r="AQ249" s="3">
        <v>1</v>
      </c>
      <c r="AR249" s="3">
        <v>1</v>
      </c>
      <c r="AS249" s="3">
        <v>1</v>
      </c>
      <c r="AT249" s="3">
        <v>1</v>
      </c>
      <c r="AV249" s="3">
        <v>1</v>
      </c>
      <c r="AW249" s="3">
        <v>1</v>
      </c>
      <c r="AX249" s="3">
        <v>3</v>
      </c>
      <c r="AY249" s="3">
        <v>3</v>
      </c>
      <c r="BA249" s="3">
        <f t="shared" si="384"/>
        <v>1</v>
      </c>
      <c r="BJ249" s="3">
        <f t="shared" si="385"/>
        <v>0</v>
      </c>
      <c r="CH249" s="206">
        <f t="shared" si="386"/>
        <v>375</v>
      </c>
      <c r="CI249" s="56">
        <v>125</v>
      </c>
      <c r="CJ249" s="3">
        <v>118.75</v>
      </c>
      <c r="CK249" s="3">
        <v>112.5</v>
      </c>
      <c r="CL249" s="3">
        <v>106.25</v>
      </c>
      <c r="CM249" s="3">
        <v>100</v>
      </c>
      <c r="CN249" s="3">
        <v>87.5</v>
      </c>
      <c r="CO249" s="3">
        <v>75</v>
      </c>
      <c r="CP249" s="3">
        <v>62.5</v>
      </c>
      <c r="CQ249" s="3">
        <v>50</v>
      </c>
      <c r="CR249" s="56">
        <v>2</v>
      </c>
      <c r="CS249" s="3">
        <v>2</v>
      </c>
      <c r="CT249" s="3">
        <v>1.75</v>
      </c>
      <c r="CU249" s="3">
        <v>1.75</v>
      </c>
      <c r="CV249" s="3">
        <v>1.5</v>
      </c>
      <c r="CW249" s="3">
        <v>1.5</v>
      </c>
      <c r="CX249" s="3">
        <v>1</v>
      </c>
      <c r="CY249" s="3">
        <v>1</v>
      </c>
      <c r="CZ249" s="3">
        <v>0</v>
      </c>
      <c r="DJ249" s="3">
        <f t="shared" ca="1" si="387"/>
        <v>125</v>
      </c>
      <c r="DK249" s="3">
        <f t="shared" ca="1" si="388"/>
        <v>100</v>
      </c>
      <c r="DL249" s="3">
        <f t="shared" ca="1" si="389"/>
        <v>2</v>
      </c>
      <c r="DO249" s="3">
        <v>2</v>
      </c>
      <c r="EA249" s="3">
        <f t="shared" si="390"/>
        <v>2</v>
      </c>
      <c r="EB249" s="3">
        <f t="shared" si="391"/>
        <v>2</v>
      </c>
      <c r="EC249" s="3">
        <f t="shared" si="392"/>
        <v>0</v>
      </c>
      <c r="ED249" s="3">
        <f t="shared" si="393"/>
        <v>0</v>
      </c>
      <c r="EF249" s="3">
        <f t="shared" ca="1" si="394"/>
        <v>0</v>
      </c>
      <c r="EG249" s="3">
        <f t="shared" ca="1" si="395"/>
        <v>0</v>
      </c>
      <c r="EH249" s="3">
        <f ca="1">IFERROR(IF(LEFT($BA249,1)="4",OFFSET(변환표준점수!$H$118,MATCH($S249,변환표준점수!$B$119:$B$198,0),),OFFSET(EH$3,MATCH(AS249,$ED$4:$ED$8,0),0)),0)</f>
        <v>0</v>
      </c>
      <c r="EI249" s="3">
        <f ca="1">IFERROR(IF(LEFT($BA249,1)="4",OFFSET(변환표준점수!$I$118,MATCH($S249,변환표준점수!$B$119:$B$198,0),0),OFFSET(EI$3,MATCH(AT249,$ED$4:$ED$8,0),0)),0)</f>
        <v>0</v>
      </c>
      <c r="EK249" s="3">
        <f ca="1">IFERROR(IF(LEFT($BA249,1)="4",OFFSET(변환표준점수!$J$118,MATCH($S249,변환표준점수!$B$119:$B$198,0),0),OFFSET(EJ$3,MATCH(AV249,$ED$4:$ED$8,0),0)),0)</f>
        <v>0</v>
      </c>
      <c r="EL249" s="3">
        <f ca="1">IFERROR(IF(LEFT($BA249,1)="4",OFFSET(변환표준점수!$K$118,MATCH($S249,변환표준점수!$B$119:$B$198,0),0),OFFSET(EK$3,MATCH(AW249,$ED$4:$ED$8,0),0)),0)</f>
        <v>0</v>
      </c>
      <c r="EM249" s="3" t="str">
        <f t="shared" ca="1" si="396"/>
        <v/>
      </c>
      <c r="EN249" s="3" t="str">
        <f t="shared" ca="1" si="397"/>
        <v/>
      </c>
      <c r="EO249" s="3">
        <f t="shared" ca="1" si="398"/>
        <v>0</v>
      </c>
      <c r="EQ249" s="3">
        <f t="shared" ca="1" si="399"/>
        <v>0</v>
      </c>
      <c r="ER249" s="3">
        <f t="shared" ca="1" si="400"/>
        <v>0</v>
      </c>
      <c r="ES249" s="3">
        <f t="shared" ca="1" si="401"/>
        <v>0</v>
      </c>
      <c r="ET249" s="3">
        <f t="shared" ca="1" si="402"/>
        <v>0</v>
      </c>
      <c r="EU249" s="3">
        <f t="shared" si="403"/>
        <v>0</v>
      </c>
      <c r="EV249" s="3">
        <f t="shared" ca="1" si="404"/>
        <v>0</v>
      </c>
      <c r="EW249" s="3">
        <f t="shared" ca="1" si="405"/>
        <v>0</v>
      </c>
      <c r="EX249" s="3">
        <f ca="1">LARGE((ES249:ET249,EV249:EW249),1)</f>
        <v>0</v>
      </c>
      <c r="EY249" s="3">
        <f ca="1">IF(O249&lt;2,0,LARGE((ES249:ET249,EV249:EW249),2))</f>
        <v>0</v>
      </c>
      <c r="EZ249" s="3">
        <f t="shared" ca="1" si="406"/>
        <v>0</v>
      </c>
      <c r="FA249" s="3">
        <f t="shared" ca="1" si="407"/>
        <v>0</v>
      </c>
      <c r="FB249" s="3">
        <f t="shared" ca="1" si="408"/>
        <v>0</v>
      </c>
      <c r="FG249" s="3">
        <f t="shared" ca="1" si="409"/>
        <v>0</v>
      </c>
      <c r="FH249" s="618"/>
      <c r="FU249" s="3" t="str">
        <f t="shared" si="365"/>
        <v>표점</v>
      </c>
      <c r="FV249" s="3" t="str">
        <f t="shared" si="366"/>
        <v>표점</v>
      </c>
      <c r="FW249" s="3">
        <f t="shared" si="410"/>
        <v>0.33</v>
      </c>
      <c r="FX249" s="3">
        <f t="shared" si="411"/>
        <v>0.33</v>
      </c>
      <c r="FY249" s="3">
        <f t="shared" si="412"/>
        <v>0.33</v>
      </c>
      <c r="FZ249" s="3">
        <f t="shared" si="413"/>
        <v>1.875</v>
      </c>
    </row>
    <row r="250" spans="1:182">
      <c r="A250" s="556">
        <v>26</v>
      </c>
      <c r="C250" s="3">
        <f t="shared" ref="C250:C278" si="415">ROUND(ROW(C250)-ROW($C$15),0)</f>
        <v>235</v>
      </c>
      <c r="D250" s="3">
        <v>235</v>
      </c>
      <c r="E250" s="3" t="s">
        <v>399</v>
      </c>
      <c r="F250" s="3">
        <v>1000</v>
      </c>
      <c r="G250" s="3">
        <v>0.25</v>
      </c>
      <c r="H250" s="3">
        <v>0.25</v>
      </c>
      <c r="I250" s="3">
        <v>0.125</v>
      </c>
      <c r="J250" s="3">
        <v>0.125</v>
      </c>
      <c r="L250" s="3">
        <v>0.125</v>
      </c>
      <c r="M250" s="3">
        <v>0.125</v>
      </c>
      <c r="O250" s="3">
        <v>2</v>
      </c>
      <c r="P250" s="3">
        <f t="shared" ref="P250:P278" si="416">G250+H250+MAX((I250:J250),L250:M250)*O250</f>
        <v>0.75</v>
      </c>
      <c r="Q250" s="3" t="s">
        <v>408</v>
      </c>
      <c r="S250" s="3" t="str">
        <f t="shared" ref="S250:S278" si="417">IF(R250&gt;0,R250,Q250)</f>
        <v/>
      </c>
      <c r="W250" s="3">
        <f t="shared" ref="W250:W278" si="418">IF(AND(BH250=0,CD250=0),0,IF(V250&gt;0,V250,IF(U250=1,$W$11,0)))</f>
        <v>0</v>
      </c>
      <c r="Y250" s="3">
        <f t="shared" si="371"/>
        <v>2.5</v>
      </c>
      <c r="Z250" s="3">
        <f t="shared" si="372"/>
        <v>2.5</v>
      </c>
      <c r="AA250" s="3">
        <f t="shared" si="373"/>
        <v>1.25</v>
      </c>
      <c r="AB250" s="3">
        <f t="shared" si="374"/>
        <v>1.25</v>
      </c>
      <c r="AC250" s="3">
        <f t="shared" si="375"/>
        <v>2.5</v>
      </c>
      <c r="AD250" s="3">
        <f t="shared" si="376"/>
        <v>2.5</v>
      </c>
      <c r="AE250" s="3">
        <f t="shared" si="377"/>
        <v>2.5</v>
      </c>
      <c r="AF250" s="3">
        <f t="shared" si="378"/>
        <v>1.25</v>
      </c>
      <c r="AG250" s="3">
        <f t="shared" si="379"/>
        <v>1.25</v>
      </c>
      <c r="AH250" s="3" t="str">
        <f t="shared" ref="AH250:AH278" si="419">IF(AU250=12,$F250*K250/IF($BB$7=1,IF($ED250=1,$AU$9,$AH$9),($AH$8*AL250+$AH$9*(1-AL250))),IF(AU250=42,$F250*K250/$AN250,IF(OR(AU250=1,AU250=4,AU250=2),$F250*K250/100,IF(AU250=9,$F250*K250/50,"자동"))))</f>
        <v>자동</v>
      </c>
      <c r="AI250" s="3">
        <f t="shared" si="381"/>
        <v>1.25</v>
      </c>
      <c r="AJ250" s="3">
        <f t="shared" si="382"/>
        <v>1.25</v>
      </c>
      <c r="AL250" s="3" t="str">
        <f t="shared" ref="AL250:AL278" si="420">IF(AK250&lt;&gt;"",AK250,IF(BA250&lt;&gt;12,"",IF(U250=1,1,IF(LEFT(E250,3)="서울대",0,""))))</f>
        <v/>
      </c>
      <c r="AN250" s="3" t="str">
        <f ca="1">IF($BA250=42,OFFSET(변환표준점수!C$119,$AP250-1,0),"")</f>
        <v/>
      </c>
      <c r="AO250" s="3" t="str">
        <f ca="1">IF($BA250=42,OFFSET(변환표준점수!D$119,$AP250-1,0),"")</f>
        <v/>
      </c>
      <c r="AP250" s="3" t="str">
        <f>IF(S250="","",MATCH(S250,변환표준점수!$B$119:$B$298,0))</f>
        <v/>
      </c>
      <c r="AQ250" s="3">
        <v>2</v>
      </c>
      <c r="AR250" s="3">
        <v>2</v>
      </c>
      <c r="AS250" s="3">
        <v>2</v>
      </c>
      <c r="AT250" s="3">
        <v>2</v>
      </c>
      <c r="AV250" s="3">
        <v>2</v>
      </c>
      <c r="AW250" s="3">
        <v>2</v>
      </c>
      <c r="AX250" s="3">
        <v>3</v>
      </c>
      <c r="AY250" s="3">
        <v>3</v>
      </c>
      <c r="BA250" s="3">
        <f t="shared" ref="BA250:BA278" si="421">IF(AS250&gt;0,AS250,AV250)</f>
        <v>2</v>
      </c>
      <c r="BJ250" s="3">
        <f t="shared" ref="BJ250:BJ278" si="422">IF(BI250="",IF(DT250=1,1,$BI$3),BI250)</f>
        <v>0</v>
      </c>
      <c r="CH250" s="206">
        <f t="shared" ref="CH250:CH278" si="423">F250*P250</f>
        <v>750</v>
      </c>
      <c r="CI250" s="56">
        <v>250</v>
      </c>
      <c r="CJ250" s="3">
        <v>240</v>
      </c>
      <c r="CK250" s="3">
        <v>230</v>
      </c>
      <c r="CL250" s="3">
        <v>220</v>
      </c>
      <c r="CM250" s="3">
        <v>210</v>
      </c>
      <c r="CN250" s="3">
        <v>200</v>
      </c>
      <c r="CO250" s="3">
        <v>190</v>
      </c>
      <c r="CP250" s="3">
        <v>180</v>
      </c>
      <c r="CQ250" s="3">
        <v>170</v>
      </c>
      <c r="CR250" s="56">
        <v>2</v>
      </c>
      <c r="CS250" s="3">
        <v>2</v>
      </c>
      <c r="CT250" s="3">
        <v>1.5</v>
      </c>
      <c r="CU250" s="3">
        <v>1.5</v>
      </c>
      <c r="CV250" s="3">
        <v>1</v>
      </c>
      <c r="CW250" s="3">
        <v>1</v>
      </c>
      <c r="CX250" s="3">
        <v>0.5</v>
      </c>
      <c r="CY250" s="3">
        <v>0.5</v>
      </c>
      <c r="CZ250" s="3">
        <v>0</v>
      </c>
      <c r="DJ250" s="3">
        <f t="shared" ref="DJ250:DJ278" ca="1" si="424">ROUND((CI250-EZ250),1)</f>
        <v>250</v>
      </c>
      <c r="DK250" s="3">
        <f t="shared" ref="DK250:DK278" ca="1" si="425">((CI250-EZ250)/(FG250+DJ250-FC250))*100</f>
        <v>100</v>
      </c>
      <c r="DL250" s="3">
        <f t="shared" ref="DL250:DL278" ca="1" si="426">ROUND((CR250-FA250)+(DA250-FB250),1)</f>
        <v>2</v>
      </c>
      <c r="DO250" s="3">
        <v>2</v>
      </c>
      <c r="EA250" s="3">
        <f t="shared" ref="EA250:EA278" si="427">IF(DZ250&gt;0,DZ250,IF(DM250&gt;0,1,2))</f>
        <v>2</v>
      </c>
      <c r="EB250" s="3">
        <f t="shared" ref="EB250:EB278" si="428">MAX(DM250:DO250)</f>
        <v>2</v>
      </c>
      <c r="EC250" s="3">
        <f t="shared" ref="EC250:EC278" si="429">AND(DM250-0.1&lt;$DM$8,DN250-0.1&lt;$DN$8,DO250-0.1&lt;$DO$8)*1</f>
        <v>0</v>
      </c>
      <c r="ED250" s="3">
        <f t="shared" ref="ED250:ED278" si="430">IFERROR(IF(AND($DP$8&gt;=DP250,$DQ$8&gt;=DQ250,$DR$8&gt;=DR250,$DS$8&gt;=DS250,$DT$8&gt;=DT250,$DU$8&gt;=DU250,$DV$8&gt;=DV250,$DW$8&gt;=DW250,$DX$8&gt;=DX250,OR(DY250=0,$DY$8&lt;DY250),EC250=1),1,0),0)</f>
        <v>0</v>
      </c>
      <c r="EF250" s="3">
        <f t="shared" ref="EF250:EF278" ca="1" si="431">IFERROR(OFFSET(EF$3,MATCH(AQ250,$ED$4:$ED$10,0),0),0)</f>
        <v>0</v>
      </c>
      <c r="EG250" s="3">
        <f t="shared" ref="EG250:EG278" ca="1" si="432">IFERROR(OFFSET(EG$3,MATCH(AR250,$ED$4:$ED$10,0),0),0)</f>
        <v>0</v>
      </c>
      <c r="EH250" s="3">
        <f ca="1">IFERROR(IF(LEFT($BA250,1)="4",OFFSET(변환표준점수!$H$118,MATCH($S250,변환표준점수!$B$119:$B$198,0),),OFFSET(EH$3,MATCH(AS250,$ED$4:$ED$8,0),0)),0)</f>
        <v>0</v>
      </c>
      <c r="EI250" s="3">
        <f ca="1">IFERROR(IF(LEFT($BA250,1)="4",OFFSET(변환표준점수!$I$118,MATCH($S250,변환표준점수!$B$119:$B$198,0),0),OFFSET(EI$3,MATCH(AT250,$ED$4:$ED$8,0),0)),0)</f>
        <v>0</v>
      </c>
      <c r="EK250" s="3">
        <f ca="1">IFERROR(IF(LEFT($BA250,1)="4",OFFSET(변환표준점수!$J$118,MATCH($S250,변환표준점수!$B$119:$B$198,0),0),OFFSET(EJ$3,MATCH(AV250,$ED$4:$ED$8,0),0)),0)</f>
        <v>0</v>
      </c>
      <c r="EL250" s="3">
        <f ca="1">IFERROR(IF(LEFT($BA250,1)="4",OFFSET(변환표준점수!$K$118,MATCH($S250,변환표준점수!$B$119:$B$198,0),0),OFFSET(EK$3,MATCH(AW250,$ED$4:$ED$8,0),0)),0)</f>
        <v>0</v>
      </c>
      <c r="EM250" s="3" t="str">
        <f t="shared" ref="EM250:EM278" ca="1" si="433">IFERROR(OFFSET(EL$3,MATCH(AX250,$ED$4:$ED$8,0),0),0)</f>
        <v/>
      </c>
      <c r="EN250" s="3" t="str">
        <f t="shared" ref="EN250:EN278" ca="1" si="434">IFERROR(OFFSET(EM$3,MATCH(AY250,$ED$4:$ED$8,0),0),0)</f>
        <v/>
      </c>
      <c r="EO250" s="3">
        <f t="shared" ref="EO250:EO278" ca="1" si="435">IFERROR(OFFSET(EN$3,MATCH(AZ250,$ED$4:$ED$8,0),0),0)</f>
        <v>0</v>
      </c>
      <c r="EQ250" s="3">
        <f t="shared" ref="EQ250:EQ278" ca="1" si="436">IFERROR((EF250*AD250+BO250)*$EP$9,0)</f>
        <v>0</v>
      </c>
      <c r="ER250" s="3">
        <f t="shared" ref="ER250:ER278" ca="1" si="437">IFERROR(EG250*AE250+OFFSET($BP250,0,$ER$14-1),0)</f>
        <v>0</v>
      </c>
      <c r="ES250" s="3">
        <f t="shared" ref="ES250:ES278" ca="1" si="438">IFERROR((EH250*AF250+BS250)*$EP$9,0)</f>
        <v>0</v>
      </c>
      <c r="ET250" s="3">
        <f t="shared" ref="ET250:ET278" ca="1" si="439">IFERROR(IF(O250&lt;2,0,(EI250*AG250+BT250)*$EP$9),0)</f>
        <v>0</v>
      </c>
      <c r="EU250" s="3">
        <f t="shared" ref="EU250:EU278" si="440">IFERROR(BU250*$EP$9,0)</f>
        <v>0</v>
      </c>
      <c r="EV250" s="3">
        <f t="shared" ref="EV250:EV278" ca="1" si="441">IFERROR((EK250*AI250+BV250)*$EP$9,0)</f>
        <v>0</v>
      </c>
      <c r="EW250" s="3">
        <f t="shared" ref="EW250:EW278" ca="1" si="442">IFERROR(IF(O250&lt;2,0,(EL250*AJ250+BW250)*$EP$9),0)</f>
        <v>0</v>
      </c>
      <c r="EX250" s="3">
        <f ca="1">LARGE((ES250:ET250,EV250:EW250),1)</f>
        <v>0</v>
      </c>
      <c r="EY250" s="3">
        <f ca="1">IF(O250&lt;2,0,LARGE((ES250:ET250,EV250:EW250),2))</f>
        <v>0</v>
      </c>
      <c r="EZ250" s="3">
        <f t="shared" ref="EZ250:EZ278" ca="1" si="443">IFERROR(OFFSET(CI250,0,ROUND((1/(1/EM250))-1,0)),0)</f>
        <v>0</v>
      </c>
      <c r="FA250" s="3">
        <f t="shared" ref="FA250:FA278" ca="1" si="444">IFERROR(OFFSET(CR250,0,ROUND(1/(1/EN250),0)-1),0)</f>
        <v>0</v>
      </c>
      <c r="FB250" s="3">
        <f t="shared" ref="FB250:FB278" ca="1" si="445">IFERROR(OFFSET(DA250,0,ROUND(1/(1/EO250),0)-1),0)</f>
        <v>0</v>
      </c>
      <c r="FG250" s="3">
        <f t="shared" ref="FG250:FG278" ca="1" si="446">IF(FF250&gt;0,FF250,EQ250+ER250+EU250+EX250+EY250+EZ250+FA250+FB250+FC250)</f>
        <v>0</v>
      </c>
      <c r="FH250" s="618"/>
      <c r="FU250" s="3" t="str">
        <f t="shared" si="365"/>
        <v>백분위</v>
      </c>
      <c r="FV250" s="3" t="str">
        <f t="shared" si="366"/>
        <v>백분위</v>
      </c>
      <c r="FW250" s="3">
        <f t="shared" ref="FW250:FW278" si="447">ROUND(Y250/$FZ250,2)</f>
        <v>0.33</v>
      </c>
      <c r="FX250" s="3">
        <f t="shared" ref="FX250:FX278" si="448">ROUND(Z250/$FZ250,2)</f>
        <v>0.33</v>
      </c>
      <c r="FY250" s="3">
        <f t="shared" ref="FY250:FY278" si="449">ROUND(AC250/$FZ250,2)</f>
        <v>0.33</v>
      </c>
      <c r="FZ250" s="3">
        <f t="shared" ref="FZ250:FZ278" si="450">Y250+Z250+AC250</f>
        <v>7.5</v>
      </c>
    </row>
    <row r="251" spans="1:182">
      <c r="A251" s="556">
        <v>26</v>
      </c>
      <c r="C251" s="3">
        <f t="shared" si="415"/>
        <v>236</v>
      </c>
      <c r="D251" s="3">
        <v>236</v>
      </c>
      <c r="E251" s="3" t="s">
        <v>400</v>
      </c>
      <c r="F251" s="3">
        <v>1000</v>
      </c>
      <c r="G251" s="3">
        <v>0.3</v>
      </c>
      <c r="H251" s="3">
        <v>0.3</v>
      </c>
      <c r="I251" s="3">
        <v>0.1</v>
      </c>
      <c r="J251" s="3">
        <v>0.1</v>
      </c>
      <c r="L251" s="3">
        <v>0.1</v>
      </c>
      <c r="M251" s="3">
        <v>0.1</v>
      </c>
      <c r="O251" s="3">
        <v>2</v>
      </c>
      <c r="P251" s="3">
        <f t="shared" si="416"/>
        <v>0.8</v>
      </c>
      <c r="Q251" s="3" t="s">
        <v>408</v>
      </c>
      <c r="S251" s="3" t="str">
        <f t="shared" si="417"/>
        <v/>
      </c>
      <c r="W251" s="3">
        <f t="shared" si="418"/>
        <v>0</v>
      </c>
      <c r="Y251" s="3">
        <f t="shared" si="371"/>
        <v>2.1582733812949639</v>
      </c>
      <c r="Z251" s="3">
        <f t="shared" si="372"/>
        <v>2.1428571428571428</v>
      </c>
      <c r="AA251" s="3">
        <f t="shared" si="373"/>
        <v>1.432192830442691</v>
      </c>
      <c r="AB251" s="3">
        <f t="shared" si="374"/>
        <v>1.3974092033370131</v>
      </c>
      <c r="AC251" s="3">
        <f t="shared" si="375"/>
        <v>1.3974092033370131</v>
      </c>
      <c r="AD251" s="3">
        <f t="shared" si="376"/>
        <v>2.1582733812949639</v>
      </c>
      <c r="AE251" s="3">
        <f t="shared" si="377"/>
        <v>2.1428571428571428</v>
      </c>
      <c r="AF251" s="3">
        <f t="shared" si="378"/>
        <v>1.432192830442691</v>
      </c>
      <c r="AG251" s="3">
        <f t="shared" si="379"/>
        <v>1.432192830442691</v>
      </c>
      <c r="AH251" s="3" t="str">
        <f t="shared" si="419"/>
        <v>자동</v>
      </c>
      <c r="AI251" s="3">
        <f t="shared" si="381"/>
        <v>1.3974092033370131</v>
      </c>
      <c r="AJ251" s="3">
        <f t="shared" si="382"/>
        <v>1.3974092033370131</v>
      </c>
      <c r="AK251" s="3">
        <v>0.25</v>
      </c>
      <c r="AL251" s="3">
        <f t="shared" si="420"/>
        <v>0.25</v>
      </c>
      <c r="AN251" s="3" t="str">
        <f ca="1">IF($BA251=42,OFFSET(변환표준점수!C$119,$AP251-1,0),"")</f>
        <v/>
      </c>
      <c r="AO251" s="3" t="str">
        <f ca="1">IF($BA251=42,OFFSET(변환표준점수!D$119,$AP251-1,0),"")</f>
        <v/>
      </c>
      <c r="AP251" s="3" t="str">
        <f>IF(S251="","",MATCH(S251,변환표준점수!$B$119:$B$298,0))</f>
        <v/>
      </c>
      <c r="AQ251" s="3">
        <v>12</v>
      </c>
      <c r="AR251" s="3">
        <v>12</v>
      </c>
      <c r="AS251" s="3">
        <v>12</v>
      </c>
      <c r="AT251" s="3">
        <v>12</v>
      </c>
      <c r="AV251" s="3">
        <v>12</v>
      </c>
      <c r="AW251" s="3">
        <v>12</v>
      </c>
      <c r="AX251" s="3">
        <v>3</v>
      </c>
      <c r="AY251" s="3">
        <v>3</v>
      </c>
      <c r="BA251" s="3">
        <f t="shared" si="421"/>
        <v>12</v>
      </c>
      <c r="BJ251" s="3">
        <f t="shared" si="422"/>
        <v>0</v>
      </c>
      <c r="CH251" s="206">
        <f t="shared" si="423"/>
        <v>800</v>
      </c>
      <c r="CI251" s="56">
        <v>200</v>
      </c>
      <c r="CJ251" s="3">
        <v>195</v>
      </c>
      <c r="CK251" s="3">
        <v>190</v>
      </c>
      <c r="CL251" s="3">
        <v>185</v>
      </c>
      <c r="CM251" s="3">
        <v>180</v>
      </c>
      <c r="CN251" s="3">
        <v>175</v>
      </c>
      <c r="CO251" s="3">
        <v>170</v>
      </c>
      <c r="CP251" s="3">
        <v>165</v>
      </c>
      <c r="CQ251" s="3">
        <v>0</v>
      </c>
      <c r="DJ251" s="3">
        <f t="shared" ca="1" si="424"/>
        <v>200</v>
      </c>
      <c r="DK251" s="3">
        <f t="shared" ca="1" si="425"/>
        <v>100</v>
      </c>
      <c r="DL251" s="3">
        <f t="shared" ca="1" si="426"/>
        <v>0</v>
      </c>
      <c r="DO251" s="3">
        <v>2</v>
      </c>
      <c r="EA251" s="3">
        <f t="shared" si="427"/>
        <v>2</v>
      </c>
      <c r="EB251" s="3">
        <f t="shared" si="428"/>
        <v>2</v>
      </c>
      <c r="EC251" s="3">
        <f t="shared" si="429"/>
        <v>0</v>
      </c>
      <c r="ED251" s="3">
        <f t="shared" si="430"/>
        <v>0</v>
      </c>
      <c r="EF251" s="3">
        <f t="shared" ca="1" si="431"/>
        <v>0</v>
      </c>
      <c r="EG251" s="3">
        <f t="shared" ca="1" si="432"/>
        <v>0</v>
      </c>
      <c r="EH251" s="3">
        <f ca="1">IFERROR(IF(LEFT($BA251,1)="4",OFFSET(변환표준점수!$H$118,MATCH($S251,변환표준점수!$B$119:$B$198,0),),OFFSET(EH$3,MATCH(AS251,$ED$4:$ED$8,0),0)),0)</f>
        <v>0</v>
      </c>
      <c r="EI251" s="3">
        <f ca="1">IFERROR(IF(LEFT($BA251,1)="4",OFFSET(변환표준점수!$I$118,MATCH($S251,변환표준점수!$B$119:$B$198,0),0),OFFSET(EI$3,MATCH(AT251,$ED$4:$ED$8,0),0)),0)</f>
        <v>0</v>
      </c>
      <c r="EK251" s="3">
        <f ca="1">IFERROR(IF(LEFT($BA251,1)="4",OFFSET(변환표준점수!$J$118,MATCH($S251,변환표준점수!$B$119:$B$198,0),0),OFFSET(EJ$3,MATCH(AV251,$ED$4:$ED$8,0),0)),0)</f>
        <v>0</v>
      </c>
      <c r="EL251" s="3">
        <f ca="1">IFERROR(IF(LEFT($BA251,1)="4",OFFSET(변환표준점수!$K$118,MATCH($S251,변환표준점수!$B$119:$B$198,0),0),OFFSET(EK$3,MATCH(AW251,$ED$4:$ED$8,0),0)),0)</f>
        <v>0</v>
      </c>
      <c r="EM251" s="3" t="str">
        <f t="shared" ca="1" si="433"/>
        <v/>
      </c>
      <c r="EN251" s="3" t="str">
        <f t="shared" ca="1" si="434"/>
        <v/>
      </c>
      <c r="EO251" s="3">
        <f t="shared" ca="1" si="435"/>
        <v>0</v>
      </c>
      <c r="EQ251" s="3">
        <f t="shared" ca="1" si="436"/>
        <v>0</v>
      </c>
      <c r="ER251" s="3">
        <f t="shared" ca="1" si="437"/>
        <v>0</v>
      </c>
      <c r="ES251" s="3">
        <f t="shared" ca="1" si="438"/>
        <v>0</v>
      </c>
      <c r="ET251" s="3">
        <f t="shared" ca="1" si="439"/>
        <v>0</v>
      </c>
      <c r="EU251" s="3">
        <f t="shared" si="440"/>
        <v>0</v>
      </c>
      <c r="EV251" s="3">
        <f t="shared" ca="1" si="441"/>
        <v>0</v>
      </c>
      <c r="EW251" s="3">
        <f t="shared" ca="1" si="442"/>
        <v>0</v>
      </c>
      <c r="EX251" s="3">
        <f ca="1">LARGE((ES251:ET251,EV251:EW251),1)</f>
        <v>0</v>
      </c>
      <c r="EY251" s="3">
        <f ca="1">IF(O251&lt;2,0,LARGE((ES251:ET251,EV251:EW251),2))</f>
        <v>0</v>
      </c>
      <c r="EZ251" s="3">
        <f t="shared" ca="1" si="443"/>
        <v>0</v>
      </c>
      <c r="FA251" s="3">
        <f t="shared" ca="1" si="444"/>
        <v>0</v>
      </c>
      <c r="FB251" s="3">
        <f t="shared" ca="1" si="445"/>
        <v>0</v>
      </c>
      <c r="FG251" s="3">
        <f t="shared" ca="1" si="446"/>
        <v>0</v>
      </c>
      <c r="FH251" s="618"/>
      <c r="FU251" s="3" t="str">
        <f t="shared" si="365"/>
        <v>표점/만점</v>
      </c>
      <c r="FV251" s="3" t="str">
        <f t="shared" si="366"/>
        <v>표점/만점</v>
      </c>
      <c r="FW251" s="3">
        <f t="shared" si="447"/>
        <v>0.38</v>
      </c>
      <c r="FX251" s="3">
        <f t="shared" si="448"/>
        <v>0.38</v>
      </c>
      <c r="FY251" s="3">
        <f t="shared" si="449"/>
        <v>0.25</v>
      </c>
      <c r="FZ251" s="3">
        <f t="shared" si="450"/>
        <v>5.6985397274891199</v>
      </c>
    </row>
    <row r="252" spans="1:182">
      <c r="A252" s="556">
        <v>26</v>
      </c>
      <c r="C252" s="3">
        <f t="shared" si="415"/>
        <v>237</v>
      </c>
      <c r="D252" s="3">
        <v>237</v>
      </c>
      <c r="E252" s="3" t="s">
        <v>401</v>
      </c>
      <c r="F252" s="3">
        <v>800</v>
      </c>
      <c r="G252" s="3">
        <v>0.25</v>
      </c>
      <c r="H252" s="3">
        <v>0.25</v>
      </c>
      <c r="I252" s="3">
        <v>0.125</v>
      </c>
      <c r="J252" s="3">
        <v>0.125</v>
      </c>
      <c r="L252" s="3">
        <v>0.125</v>
      </c>
      <c r="M252" s="3">
        <v>0.125</v>
      </c>
      <c r="O252" s="3">
        <v>2</v>
      </c>
      <c r="P252" s="3">
        <f t="shared" si="416"/>
        <v>0.75</v>
      </c>
      <c r="Q252" s="3" t="s">
        <v>408</v>
      </c>
      <c r="S252" s="3" t="str">
        <f t="shared" si="417"/>
        <v/>
      </c>
      <c r="W252" s="3">
        <f t="shared" si="418"/>
        <v>0</v>
      </c>
      <c r="Y252" s="3">
        <f t="shared" si="371"/>
        <v>2</v>
      </c>
      <c r="Z252" s="3">
        <f t="shared" si="372"/>
        <v>2</v>
      </c>
      <c r="AA252" s="3">
        <f t="shared" si="373"/>
        <v>1</v>
      </c>
      <c r="AB252" s="3">
        <f t="shared" si="374"/>
        <v>1</v>
      </c>
      <c r="AC252" s="3">
        <f t="shared" si="375"/>
        <v>2</v>
      </c>
      <c r="AD252" s="3">
        <f t="shared" si="376"/>
        <v>2</v>
      </c>
      <c r="AE252" s="3">
        <f t="shared" si="377"/>
        <v>2</v>
      </c>
      <c r="AF252" s="3">
        <f t="shared" si="378"/>
        <v>1</v>
      </c>
      <c r="AG252" s="3">
        <f t="shared" si="379"/>
        <v>1</v>
      </c>
      <c r="AH252" s="3" t="str">
        <f t="shared" si="419"/>
        <v>자동</v>
      </c>
      <c r="AI252" s="3">
        <f t="shared" si="381"/>
        <v>1</v>
      </c>
      <c r="AJ252" s="3">
        <f t="shared" si="382"/>
        <v>1</v>
      </c>
      <c r="AL252" s="3" t="str">
        <f t="shared" si="420"/>
        <v/>
      </c>
      <c r="AN252" s="3" t="str">
        <f ca="1">IF($BA252=42,OFFSET(변환표준점수!C$119,$AP252-1,0),"")</f>
        <v/>
      </c>
      <c r="AO252" s="3" t="str">
        <f ca="1">IF($BA252=42,OFFSET(변환표준점수!D$119,$AP252-1,0),"")</f>
        <v/>
      </c>
      <c r="AP252" s="3" t="str">
        <f>IF(S252="","",MATCH(S252,변환표준점수!$B$119:$B$298,0))</f>
        <v/>
      </c>
      <c r="AQ252" s="3">
        <v>2</v>
      </c>
      <c r="AR252" s="3">
        <v>2</v>
      </c>
      <c r="AS252" s="3">
        <v>2</v>
      </c>
      <c r="AT252" s="3">
        <v>2</v>
      </c>
      <c r="AV252" s="3">
        <v>2</v>
      </c>
      <c r="AW252" s="3">
        <v>2</v>
      </c>
      <c r="AX252" s="3">
        <v>3</v>
      </c>
      <c r="AY252" s="3">
        <v>3</v>
      </c>
      <c r="BA252" s="3">
        <f t="shared" si="421"/>
        <v>2</v>
      </c>
      <c r="BJ252" s="3">
        <f t="shared" si="422"/>
        <v>0</v>
      </c>
      <c r="CH252" s="206">
        <f t="shared" si="423"/>
        <v>600</v>
      </c>
      <c r="CI252" s="56">
        <v>200</v>
      </c>
      <c r="CJ252" s="3">
        <v>190</v>
      </c>
      <c r="CK252" s="3">
        <v>176</v>
      </c>
      <c r="CL252" s="3">
        <v>152</v>
      </c>
      <c r="CM252" s="3">
        <v>118</v>
      </c>
      <c r="CN252" s="3">
        <v>78</v>
      </c>
      <c r="CO252" s="3">
        <v>44</v>
      </c>
      <c r="CP252" s="3">
        <v>20</v>
      </c>
      <c r="CQ252" s="3">
        <v>0</v>
      </c>
      <c r="DJ252" s="3">
        <f t="shared" ca="1" si="424"/>
        <v>200</v>
      </c>
      <c r="DK252" s="3">
        <f t="shared" ca="1" si="425"/>
        <v>100</v>
      </c>
      <c r="DL252" s="3">
        <f t="shared" ca="1" si="426"/>
        <v>0</v>
      </c>
      <c r="DO252" s="3">
        <v>2</v>
      </c>
      <c r="EA252" s="3">
        <f t="shared" si="427"/>
        <v>2</v>
      </c>
      <c r="EB252" s="3">
        <f t="shared" si="428"/>
        <v>2</v>
      </c>
      <c r="EC252" s="3">
        <f t="shared" si="429"/>
        <v>0</v>
      </c>
      <c r="ED252" s="3">
        <f t="shared" si="430"/>
        <v>0</v>
      </c>
      <c r="EF252" s="3">
        <f t="shared" ca="1" si="431"/>
        <v>0</v>
      </c>
      <c r="EG252" s="3">
        <f t="shared" ca="1" si="432"/>
        <v>0</v>
      </c>
      <c r="EH252" s="3">
        <f ca="1">IFERROR(IF(LEFT($BA252,1)="4",OFFSET(변환표준점수!$H$118,MATCH($S252,변환표준점수!$B$119:$B$198,0),),OFFSET(EH$3,MATCH(AS252,$ED$4:$ED$8,0),0)),0)</f>
        <v>0</v>
      </c>
      <c r="EI252" s="3">
        <f ca="1">IFERROR(IF(LEFT($BA252,1)="4",OFFSET(변환표준점수!$I$118,MATCH($S252,변환표준점수!$B$119:$B$198,0),0),OFFSET(EI$3,MATCH(AT252,$ED$4:$ED$8,0),0)),0)</f>
        <v>0</v>
      </c>
      <c r="EK252" s="3">
        <f ca="1">IFERROR(IF(LEFT($BA252,1)="4",OFFSET(변환표준점수!$J$118,MATCH($S252,변환표준점수!$B$119:$B$198,0),0),OFFSET(EJ$3,MATCH(AV252,$ED$4:$ED$8,0),0)),0)</f>
        <v>0</v>
      </c>
      <c r="EL252" s="3">
        <f ca="1">IFERROR(IF(LEFT($BA252,1)="4",OFFSET(변환표준점수!$K$118,MATCH($S252,변환표준점수!$B$119:$B$198,0),0),OFFSET(EK$3,MATCH(AW252,$ED$4:$ED$8,0),0)),0)</f>
        <v>0</v>
      </c>
      <c r="EM252" s="3" t="str">
        <f t="shared" ca="1" si="433"/>
        <v/>
      </c>
      <c r="EN252" s="3" t="str">
        <f t="shared" ca="1" si="434"/>
        <v/>
      </c>
      <c r="EO252" s="3">
        <f t="shared" ca="1" si="435"/>
        <v>0</v>
      </c>
      <c r="EQ252" s="3">
        <f t="shared" ca="1" si="436"/>
        <v>0</v>
      </c>
      <c r="ER252" s="3">
        <f t="shared" ca="1" si="437"/>
        <v>0</v>
      </c>
      <c r="ES252" s="3">
        <f t="shared" ca="1" si="438"/>
        <v>0</v>
      </c>
      <c r="ET252" s="3">
        <f t="shared" ca="1" si="439"/>
        <v>0</v>
      </c>
      <c r="EU252" s="3">
        <f t="shared" si="440"/>
        <v>0</v>
      </c>
      <c r="EV252" s="3">
        <f t="shared" ca="1" si="441"/>
        <v>0</v>
      </c>
      <c r="EW252" s="3">
        <f t="shared" ca="1" si="442"/>
        <v>0</v>
      </c>
      <c r="EX252" s="3">
        <f ca="1">LARGE((ES252:ET252,EV252:EW252),1)</f>
        <v>0</v>
      </c>
      <c r="EY252" s="3">
        <f ca="1">IF(O252&lt;2,0,LARGE((ES252:ET252,EV252:EW252),2))</f>
        <v>0</v>
      </c>
      <c r="EZ252" s="3">
        <f t="shared" ca="1" si="443"/>
        <v>0</v>
      </c>
      <c r="FA252" s="3">
        <f t="shared" ca="1" si="444"/>
        <v>0</v>
      </c>
      <c r="FB252" s="3">
        <f t="shared" ca="1" si="445"/>
        <v>0</v>
      </c>
      <c r="FG252" s="3">
        <f t="shared" ca="1" si="446"/>
        <v>0</v>
      </c>
      <c r="FH252" s="618"/>
      <c r="FU252" s="3" t="str">
        <f t="shared" si="365"/>
        <v>백분위</v>
      </c>
      <c r="FV252" s="3" t="str">
        <f t="shared" si="366"/>
        <v>백분위</v>
      </c>
      <c r="FW252" s="3">
        <f t="shared" si="447"/>
        <v>0.33</v>
      </c>
      <c r="FX252" s="3">
        <f t="shared" si="448"/>
        <v>0.33</v>
      </c>
      <c r="FY252" s="3">
        <f t="shared" si="449"/>
        <v>0.33</v>
      </c>
      <c r="FZ252" s="3">
        <f t="shared" si="450"/>
        <v>6</v>
      </c>
    </row>
    <row r="253" spans="1:182">
      <c r="A253" s="556">
        <v>26</v>
      </c>
      <c r="C253" s="3">
        <f t="shared" si="415"/>
        <v>238</v>
      </c>
      <c r="D253" s="3">
        <v>238</v>
      </c>
      <c r="E253" s="3" t="s">
        <v>402</v>
      </c>
      <c r="F253" s="3">
        <v>800.1</v>
      </c>
      <c r="G253" s="3">
        <f>1/3</f>
        <v>0.33333333333333331</v>
      </c>
      <c r="H253" s="3">
        <f>1/3</f>
        <v>0.33333333333333331</v>
      </c>
      <c r="I253" s="3">
        <f>1/6</f>
        <v>0.16666666666666666</v>
      </c>
      <c r="J253" s="3">
        <f>1/6</f>
        <v>0.16666666666666666</v>
      </c>
      <c r="L253" s="3">
        <f>1/6</f>
        <v>0.16666666666666666</v>
      </c>
      <c r="M253" s="3">
        <f>1/6</f>
        <v>0.16666666666666666</v>
      </c>
      <c r="O253" s="3">
        <v>2</v>
      </c>
      <c r="P253" s="3">
        <f t="shared" si="416"/>
        <v>1</v>
      </c>
      <c r="Q253" s="3" t="s">
        <v>408</v>
      </c>
      <c r="S253" s="3" t="str">
        <f t="shared" si="417"/>
        <v/>
      </c>
      <c r="W253" s="3">
        <f t="shared" si="418"/>
        <v>0</v>
      </c>
      <c r="Y253" s="3">
        <f t="shared" ref="Y253:AG253" si="451">266.7/160</f>
        <v>1.6668749999999999</v>
      </c>
      <c r="Z253" s="3">
        <f t="shared" si="451"/>
        <v>1.6668749999999999</v>
      </c>
      <c r="AA253" s="3">
        <f t="shared" si="451"/>
        <v>1.6668749999999999</v>
      </c>
      <c r="AB253" s="3">
        <f t="shared" si="451"/>
        <v>1.6668749999999999</v>
      </c>
      <c r="AC253" s="3">
        <f t="shared" si="451"/>
        <v>1.6668749999999999</v>
      </c>
      <c r="AD253" s="3">
        <f t="shared" si="451"/>
        <v>1.6668749999999999</v>
      </c>
      <c r="AE253" s="3">
        <f t="shared" si="451"/>
        <v>1.6668749999999999</v>
      </c>
      <c r="AF253" s="3">
        <f t="shared" si="451"/>
        <v>1.6668749999999999</v>
      </c>
      <c r="AG253" s="3">
        <f t="shared" si="451"/>
        <v>1.6668749999999999</v>
      </c>
      <c r="AH253" s="3" t="str">
        <f t="shared" si="419"/>
        <v>자동</v>
      </c>
      <c r="AI253" s="3">
        <f>AF253</f>
        <v>1.6668749999999999</v>
      </c>
      <c r="AJ253" s="3">
        <f>AG253</f>
        <v>1.6668749999999999</v>
      </c>
      <c r="AL253" s="3" t="str">
        <f t="shared" si="420"/>
        <v/>
      </c>
      <c r="AN253" s="3" t="str">
        <f ca="1">IF($BA253=42,OFFSET(변환표준점수!C$119,$AP253-1,0),"")</f>
        <v/>
      </c>
      <c r="AO253" s="3" t="str">
        <f ca="1">IF($BA253=42,OFFSET(변환표준점수!D$119,$AP253-1,0),"")</f>
        <v/>
      </c>
      <c r="AP253" s="3" t="str">
        <f>IF(S253="","",MATCH(S253,변환표준점수!$B$119:$B$298,0))</f>
        <v/>
      </c>
      <c r="AQ253" s="3">
        <v>1</v>
      </c>
      <c r="AR253" s="3">
        <v>1</v>
      </c>
      <c r="AS253" s="3">
        <v>1</v>
      </c>
      <c r="AT253" s="3">
        <v>1</v>
      </c>
      <c r="AV253" s="3">
        <v>1</v>
      </c>
      <c r="AW253" s="3">
        <v>1</v>
      </c>
      <c r="AX253" s="3">
        <v>3</v>
      </c>
      <c r="AY253" s="3">
        <v>3</v>
      </c>
      <c r="BA253" s="3">
        <f t="shared" si="421"/>
        <v>1</v>
      </c>
      <c r="BJ253" s="3">
        <f t="shared" si="422"/>
        <v>0</v>
      </c>
      <c r="CH253" s="206">
        <f t="shared" si="423"/>
        <v>800.1</v>
      </c>
      <c r="CI253" s="56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56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J253" s="3">
        <f t="shared" ca="1" si="424"/>
        <v>0</v>
      </c>
      <c r="DK253" s="3" t="e">
        <f t="shared" ca="1" si="425"/>
        <v>#DIV/0!</v>
      </c>
      <c r="DL253" s="3">
        <f t="shared" ca="1" si="426"/>
        <v>0</v>
      </c>
      <c r="DO253" s="3">
        <v>2</v>
      </c>
      <c r="DW253" s="3">
        <f>OR($N$10&gt;3.1,$O$10&gt;4.1)+0</f>
        <v>1</v>
      </c>
      <c r="EA253" s="3">
        <f t="shared" si="427"/>
        <v>2</v>
      </c>
      <c r="EB253" s="3">
        <f t="shared" si="428"/>
        <v>2</v>
      </c>
      <c r="EC253" s="3">
        <f t="shared" si="429"/>
        <v>0</v>
      </c>
      <c r="ED253" s="3">
        <f t="shared" si="430"/>
        <v>0</v>
      </c>
      <c r="EF253" s="3">
        <f t="shared" ca="1" si="431"/>
        <v>0</v>
      </c>
      <c r="EG253" s="3">
        <f t="shared" ca="1" si="432"/>
        <v>0</v>
      </c>
      <c r="EH253" s="3">
        <f ca="1">IFERROR(IF(LEFT($BA253,1)="4",OFFSET(변환표준점수!$H$118,MATCH($S253,변환표준점수!$B$119:$B$198,0),),OFFSET(EH$3,MATCH(AS253,$ED$4:$ED$8,0),0)),0)</f>
        <v>0</v>
      </c>
      <c r="EI253" s="3">
        <f ca="1">IFERROR(IF(LEFT($BA253,1)="4",OFFSET(변환표준점수!$I$118,MATCH($S253,변환표준점수!$B$119:$B$198,0),0),OFFSET(EI$3,MATCH(AT253,$ED$4:$ED$8,0),0)),0)</f>
        <v>0</v>
      </c>
      <c r="EK253" s="3">
        <f ca="1">IFERROR(IF(LEFT($BA253,1)="4",OFFSET(변환표준점수!$J$118,MATCH($S253,변환표준점수!$B$119:$B$198,0),0),OFFSET(EJ$3,MATCH(AV253,$ED$4:$ED$8,0),0)),0)</f>
        <v>0</v>
      </c>
      <c r="EL253" s="3">
        <f ca="1">IFERROR(IF(LEFT($BA253,1)="4",OFFSET(변환표준점수!$K$118,MATCH($S253,변환표준점수!$B$119:$B$198,0),0),OFFSET(EK$3,MATCH(AW253,$ED$4:$ED$8,0),0)),0)</f>
        <v>0</v>
      </c>
      <c r="EM253" s="3" t="str">
        <f t="shared" ca="1" si="433"/>
        <v/>
      </c>
      <c r="EN253" s="3" t="str">
        <f t="shared" ca="1" si="434"/>
        <v/>
      </c>
      <c r="EO253" s="3">
        <f t="shared" ca="1" si="435"/>
        <v>0</v>
      </c>
      <c r="EQ253" s="3">
        <f t="shared" ca="1" si="436"/>
        <v>0</v>
      </c>
      <c r="ER253" s="3">
        <f t="shared" ca="1" si="437"/>
        <v>0</v>
      </c>
      <c r="ES253" s="3">
        <f t="shared" ca="1" si="438"/>
        <v>0</v>
      </c>
      <c r="ET253" s="3">
        <f t="shared" ca="1" si="439"/>
        <v>0</v>
      </c>
      <c r="EU253" s="3">
        <f t="shared" si="440"/>
        <v>0</v>
      </c>
      <c r="EV253" s="3">
        <f t="shared" ca="1" si="441"/>
        <v>0</v>
      </c>
      <c r="EW253" s="3">
        <f t="shared" ca="1" si="442"/>
        <v>0</v>
      </c>
      <c r="EX253" s="3">
        <f ca="1">LARGE((ES253:ET253,EV253:EW253),1)</f>
        <v>0</v>
      </c>
      <c r="EY253" s="3">
        <f ca="1">IF(O253&lt;2,0,LARGE((ES253:ET253,EV253:EW253),2))</f>
        <v>0</v>
      </c>
      <c r="EZ253" s="3">
        <f t="shared" ca="1" si="443"/>
        <v>0</v>
      </c>
      <c r="FA253" s="3">
        <f t="shared" ca="1" si="444"/>
        <v>0</v>
      </c>
      <c r="FB253" s="3">
        <f t="shared" ca="1" si="445"/>
        <v>0</v>
      </c>
      <c r="FG253" s="3">
        <f t="shared" ca="1" si="446"/>
        <v>0</v>
      </c>
      <c r="FH253" s="618"/>
      <c r="FU253" s="3" t="str">
        <f t="shared" si="365"/>
        <v>표점</v>
      </c>
      <c r="FV253" s="3" t="str">
        <f t="shared" si="366"/>
        <v>표점</v>
      </c>
      <c r="FW253" s="3">
        <f t="shared" si="447"/>
        <v>0.33</v>
      </c>
      <c r="FX253" s="3">
        <f t="shared" si="448"/>
        <v>0.33</v>
      </c>
      <c r="FY253" s="3">
        <f t="shared" si="449"/>
        <v>0.33</v>
      </c>
      <c r="FZ253" s="3">
        <f t="shared" si="450"/>
        <v>5.0006249999999994</v>
      </c>
    </row>
    <row r="254" spans="1:182">
      <c r="A254" s="556">
        <v>26</v>
      </c>
      <c r="C254" s="3">
        <f t="shared" si="415"/>
        <v>239</v>
      </c>
      <c r="D254" s="3">
        <v>239</v>
      </c>
      <c r="E254" s="3" t="s">
        <v>403</v>
      </c>
      <c r="F254" s="3">
        <v>800</v>
      </c>
      <c r="G254" s="3">
        <v>0.25</v>
      </c>
      <c r="H254" s="3">
        <v>0.25</v>
      </c>
      <c r="I254" s="3">
        <v>0.125</v>
      </c>
      <c r="J254" s="3">
        <v>0.125</v>
      </c>
      <c r="L254" s="3">
        <v>0.125</v>
      </c>
      <c r="M254" s="3">
        <v>0.125</v>
      </c>
      <c r="O254" s="3">
        <v>2</v>
      </c>
      <c r="P254" s="3">
        <f t="shared" si="416"/>
        <v>0.75</v>
      </c>
      <c r="Q254" s="3" t="s">
        <v>408</v>
      </c>
      <c r="S254" s="3" t="str">
        <f t="shared" si="417"/>
        <v/>
      </c>
      <c r="W254" s="3">
        <f t="shared" si="418"/>
        <v>0</v>
      </c>
      <c r="Y254" s="3">
        <f t="shared" ref="Y254:Y278" si="452">AD254</f>
        <v>2</v>
      </c>
      <c r="Z254" s="3">
        <f t="shared" ref="Z254:Z278" si="453">AE254</f>
        <v>2</v>
      </c>
      <c r="AA254" s="3">
        <f t="shared" ref="AA254:AA278" si="454">IF($BB$7=1,AF254,IF(AS254=12,$F254*I254/($AF$8*AL254+$AF$9*(1-AL254)),AF254))</f>
        <v>1</v>
      </c>
      <c r="AB254" s="3">
        <f t="shared" ref="AB254:AB278" si="455">IF($BB$7=1,AI254,IF(AV254=12,$F254*L254/($AI$8*AL254+$AI$9*(1-AL254)),AI254))</f>
        <v>1</v>
      </c>
      <c r="AC254" s="3">
        <f t="shared" ref="AC254:AC278" si="456">IF(AND(AS254=2,EA254=1),AA254*O254,IF(AND(AS254=2,EA254=2),AB254*O254,IF(EA254=1,AA254,IF(EA254=2,AB254))))</f>
        <v>2</v>
      </c>
      <c r="AD254" s="3">
        <f t="shared" ref="AD254:AD278" si="457">IF(AQ254=12,$F254*G254/$AQ$9,IF(OR(AQ254=1,AQ254=4),$F254*G254/200,IF(OR(AQ254=2,AQ254=9),$F254*G254/100,"자동")))</f>
        <v>2</v>
      </c>
      <c r="AE254" s="3">
        <f t="shared" ref="AE254:AE278" si="458">IF(AR254=12,$F254*H254/$AR$9,IF(OR(AR254=1,AR254=4),$F254*H254/200,IF(OR(AR254=2,AR254=9),$F254*H254/100,"자동")))</f>
        <v>2</v>
      </c>
      <c r="AF254" s="3">
        <f t="shared" ref="AF254:AF278" si="459">IF(AS254=12,$F254*I254/IF($BB$7=1,IF($ED254=1,$AS$9,$AF$9),($AF$8*AL254+$AF$9*(1-AL254))),IF(AS254=42,$F254*I254/AN254,IF(OR(AS254=1,AS254=4,AS254=2),$F254*I254/100,IF(AS254=9,$F254*I254/50,"자동"))))</f>
        <v>1</v>
      </c>
      <c r="AG254" s="3">
        <f t="shared" ref="AG254:AG278" si="460">IF(AT254=12,$F254*J254/IF($BB$7=1,IF($ED254=1,$AT$9,$AG$9),($AG$8*AL254+$AG$9*(1-AL254))),IF(AT254=42,$F254*J254/AN254,IF(OR(AT254=1,AT254=4,AT254=2),$F254*J254/100,IF(AT254=9,$F254*J254/50,"자동"))))</f>
        <v>1</v>
      </c>
      <c r="AH254" s="3" t="str">
        <f t="shared" si="419"/>
        <v>자동</v>
      </c>
      <c r="AI254" s="3">
        <f t="shared" ref="AI254:AI278" si="461">IF(AV254=12,$F254*L254/IF($BB$7=1,IF($ED254=1,$AV$9,$AI$9),($AI$8*AL254+$AI$9*(1-AL254))),IF(AV254=42,$F254*L254/AO254,IF(OR(AV254=1,AV254=4,AV254=2),$F254*L254/100,IF(AV254=9,$F254*L254/50,"자동"))))</f>
        <v>1</v>
      </c>
      <c r="AJ254" s="3">
        <f t="shared" ref="AJ254:AJ278" si="462">IF(AW254=12,$F254*M254/IF($BB$7=1,IF($ED254=1,$AW$9,$AJ$9),($AJ$8*AL254+$AJ$9*(1-AL254))),IF(AW254=42,$F254*M254/AO254,IF(OR(AW254=1,AW254=4,AW254=2),$F254*M254/100,IF(AW254=9,$F254*M254/50,"자동"))))</f>
        <v>1</v>
      </c>
      <c r="AL254" s="3" t="str">
        <f t="shared" si="420"/>
        <v/>
      </c>
      <c r="AN254" s="3" t="str">
        <f ca="1">IF($BA254=42,OFFSET(변환표준점수!C$119,$AP254-1,0),"")</f>
        <v/>
      </c>
      <c r="AO254" s="3" t="str">
        <f ca="1">IF($BA254=42,OFFSET(변환표준점수!D$119,$AP254-1,0),"")</f>
        <v/>
      </c>
      <c r="AP254" s="3" t="str">
        <f>IF(S254="","",MATCH(S254,변환표준점수!$B$119:$B$298,0))</f>
        <v/>
      </c>
      <c r="AQ254" s="3">
        <v>2</v>
      </c>
      <c r="AR254" s="3">
        <v>2</v>
      </c>
      <c r="AS254" s="3">
        <v>2</v>
      </c>
      <c r="AT254" s="3">
        <v>2</v>
      </c>
      <c r="AV254" s="3">
        <v>2</v>
      </c>
      <c r="AW254" s="3">
        <v>2</v>
      </c>
      <c r="AX254" s="3">
        <v>3</v>
      </c>
      <c r="AY254" s="3">
        <v>3</v>
      </c>
      <c r="BA254" s="3">
        <f t="shared" si="421"/>
        <v>2</v>
      </c>
      <c r="BJ254" s="3">
        <f t="shared" si="422"/>
        <v>0</v>
      </c>
      <c r="CH254" s="206">
        <f t="shared" si="423"/>
        <v>600</v>
      </c>
      <c r="CI254" s="56">
        <v>200</v>
      </c>
      <c r="CJ254" s="3">
        <v>180</v>
      </c>
      <c r="CK254" s="3">
        <v>160</v>
      </c>
      <c r="CL254" s="3">
        <v>140</v>
      </c>
      <c r="CM254" s="3">
        <v>100</v>
      </c>
      <c r="CN254" s="3">
        <v>80</v>
      </c>
      <c r="CO254" s="3">
        <v>60</v>
      </c>
      <c r="CP254" s="3">
        <v>40</v>
      </c>
      <c r="CQ254" s="3">
        <v>0</v>
      </c>
      <c r="DJ254" s="3">
        <f t="shared" ca="1" si="424"/>
        <v>200</v>
      </c>
      <c r="DK254" s="3">
        <f t="shared" ca="1" si="425"/>
        <v>100</v>
      </c>
      <c r="DL254" s="3">
        <f t="shared" ca="1" si="426"/>
        <v>0</v>
      </c>
      <c r="DO254" s="3">
        <v>2</v>
      </c>
      <c r="EA254" s="3">
        <f t="shared" si="427"/>
        <v>2</v>
      </c>
      <c r="EB254" s="3">
        <f t="shared" si="428"/>
        <v>2</v>
      </c>
      <c r="EC254" s="3">
        <f t="shared" si="429"/>
        <v>0</v>
      </c>
      <c r="ED254" s="3">
        <f t="shared" si="430"/>
        <v>0</v>
      </c>
      <c r="EF254" s="3">
        <f t="shared" ca="1" si="431"/>
        <v>0</v>
      </c>
      <c r="EG254" s="3">
        <f t="shared" ca="1" si="432"/>
        <v>0</v>
      </c>
      <c r="EH254" s="3">
        <f ca="1">IFERROR(IF(LEFT($BA254,1)="4",OFFSET(변환표준점수!$H$118,MATCH($S254,변환표준점수!$B$119:$B$198,0),),OFFSET(EH$3,MATCH(AS254,$ED$4:$ED$8,0),0)),0)</f>
        <v>0</v>
      </c>
      <c r="EI254" s="3">
        <f ca="1">IFERROR(IF(LEFT($BA254,1)="4",OFFSET(변환표준점수!$I$118,MATCH($S254,변환표준점수!$B$119:$B$198,0),0),OFFSET(EI$3,MATCH(AT254,$ED$4:$ED$8,0),0)),0)</f>
        <v>0</v>
      </c>
      <c r="EK254" s="3">
        <f ca="1">IFERROR(IF(LEFT($BA254,1)="4",OFFSET(변환표준점수!$J$118,MATCH($S254,변환표준점수!$B$119:$B$198,0),0),OFFSET(EJ$3,MATCH(AV254,$ED$4:$ED$8,0),0)),0)</f>
        <v>0</v>
      </c>
      <c r="EL254" s="3">
        <f ca="1">IFERROR(IF(LEFT($BA254,1)="4",OFFSET(변환표준점수!$K$118,MATCH($S254,변환표준점수!$B$119:$B$198,0),0),OFFSET(EK$3,MATCH(AW254,$ED$4:$ED$8,0),0)),0)</f>
        <v>0</v>
      </c>
      <c r="EM254" s="3" t="str">
        <f t="shared" ca="1" si="433"/>
        <v/>
      </c>
      <c r="EN254" s="3" t="str">
        <f t="shared" ca="1" si="434"/>
        <v/>
      </c>
      <c r="EO254" s="3">
        <f t="shared" ca="1" si="435"/>
        <v>0</v>
      </c>
      <c r="EQ254" s="3">
        <f t="shared" ca="1" si="436"/>
        <v>0</v>
      </c>
      <c r="ER254" s="3">
        <f t="shared" ca="1" si="437"/>
        <v>0</v>
      </c>
      <c r="ES254" s="3">
        <f t="shared" ca="1" si="438"/>
        <v>0</v>
      </c>
      <c r="ET254" s="3">
        <f t="shared" ca="1" si="439"/>
        <v>0</v>
      </c>
      <c r="EU254" s="3">
        <f t="shared" si="440"/>
        <v>0</v>
      </c>
      <c r="EV254" s="3">
        <f t="shared" ca="1" si="441"/>
        <v>0</v>
      </c>
      <c r="EW254" s="3">
        <f t="shared" ca="1" si="442"/>
        <v>0</v>
      </c>
      <c r="EX254" s="3">
        <f ca="1">LARGE((ES254:ET254,EV254:EW254),1)</f>
        <v>0</v>
      </c>
      <c r="EY254" s="3">
        <f ca="1">IF(O254&lt;2,0,LARGE((ES254:ET254,EV254:EW254),2))</f>
        <v>0</v>
      </c>
      <c r="EZ254" s="3">
        <f t="shared" ca="1" si="443"/>
        <v>0</v>
      </c>
      <c r="FA254" s="3">
        <f t="shared" ca="1" si="444"/>
        <v>0</v>
      </c>
      <c r="FB254" s="3">
        <f t="shared" ca="1" si="445"/>
        <v>0</v>
      </c>
      <c r="FG254" s="3">
        <f t="shared" ca="1" si="446"/>
        <v>0</v>
      </c>
      <c r="FH254" s="618"/>
      <c r="FU254" s="3" t="str">
        <f t="shared" si="365"/>
        <v>백분위</v>
      </c>
      <c r="FV254" s="3" t="str">
        <f t="shared" si="366"/>
        <v>백분위</v>
      </c>
      <c r="FW254" s="3">
        <f t="shared" si="447"/>
        <v>0.33</v>
      </c>
      <c r="FX254" s="3">
        <f t="shared" si="448"/>
        <v>0.33</v>
      </c>
      <c r="FY254" s="3">
        <f t="shared" si="449"/>
        <v>0.33</v>
      </c>
      <c r="FZ254" s="3">
        <f t="shared" si="450"/>
        <v>6</v>
      </c>
    </row>
    <row r="255" spans="1:182">
      <c r="A255" s="556">
        <v>26</v>
      </c>
      <c r="C255" s="3">
        <f t="shared" si="415"/>
        <v>240</v>
      </c>
      <c r="D255" s="3">
        <v>240</v>
      </c>
      <c r="E255" s="3" t="s">
        <v>404</v>
      </c>
      <c r="F255" s="3">
        <v>800</v>
      </c>
      <c r="G255" s="3">
        <v>0.25</v>
      </c>
      <c r="H255" s="3">
        <v>0.25</v>
      </c>
      <c r="I255" s="3">
        <v>0.125</v>
      </c>
      <c r="J255" s="3">
        <v>0.125</v>
      </c>
      <c r="L255" s="3">
        <v>0.125</v>
      </c>
      <c r="M255" s="3">
        <v>0.125</v>
      </c>
      <c r="O255" s="3">
        <v>2</v>
      </c>
      <c r="P255" s="3">
        <f t="shared" si="416"/>
        <v>0.75</v>
      </c>
      <c r="Q255" s="3" t="s">
        <v>408</v>
      </c>
      <c r="S255" s="3" t="str">
        <f t="shared" si="417"/>
        <v/>
      </c>
      <c r="W255" s="3">
        <f t="shared" si="418"/>
        <v>0</v>
      </c>
      <c r="Y255" s="3">
        <f t="shared" si="452"/>
        <v>2</v>
      </c>
      <c r="Z255" s="3">
        <f t="shared" si="453"/>
        <v>2</v>
      </c>
      <c r="AA255" s="3">
        <f t="shared" si="454"/>
        <v>1</v>
      </c>
      <c r="AB255" s="3">
        <f t="shared" si="455"/>
        <v>1</v>
      </c>
      <c r="AC255" s="3">
        <f t="shared" si="456"/>
        <v>2</v>
      </c>
      <c r="AD255" s="3">
        <f t="shared" si="457"/>
        <v>2</v>
      </c>
      <c r="AE255" s="3">
        <f t="shared" si="458"/>
        <v>2</v>
      </c>
      <c r="AF255" s="3">
        <f t="shared" si="459"/>
        <v>1</v>
      </c>
      <c r="AG255" s="3">
        <f t="shared" si="460"/>
        <v>1</v>
      </c>
      <c r="AH255" s="3" t="str">
        <f t="shared" si="419"/>
        <v>자동</v>
      </c>
      <c r="AI255" s="3">
        <f t="shared" si="461"/>
        <v>1</v>
      </c>
      <c r="AJ255" s="3">
        <f t="shared" si="462"/>
        <v>1</v>
      </c>
      <c r="AL255" s="3" t="str">
        <f t="shared" si="420"/>
        <v/>
      </c>
      <c r="AN255" s="3" t="str">
        <f ca="1">IF($BA255=42,OFFSET(변환표준점수!C$119,$AP255-1,0),"")</f>
        <v/>
      </c>
      <c r="AO255" s="3" t="str">
        <f ca="1">IF($BA255=42,OFFSET(변환표준점수!D$119,$AP255-1,0),"")</f>
        <v/>
      </c>
      <c r="AP255" s="3" t="str">
        <f>IF(S255="","",MATCH(S255,변환표준점수!$B$119:$B$298,0))</f>
        <v/>
      </c>
      <c r="AQ255" s="3">
        <v>2</v>
      </c>
      <c r="AR255" s="3">
        <v>2</v>
      </c>
      <c r="AS255" s="3">
        <v>2</v>
      </c>
      <c r="AT255" s="3">
        <v>2</v>
      </c>
      <c r="AV255" s="3">
        <v>2</v>
      </c>
      <c r="AW255" s="3">
        <v>2</v>
      </c>
      <c r="AX255" s="3">
        <v>3</v>
      </c>
      <c r="AY255" s="3">
        <v>3</v>
      </c>
      <c r="BA255" s="3">
        <f t="shared" si="421"/>
        <v>2</v>
      </c>
      <c r="BJ255" s="3">
        <f t="shared" si="422"/>
        <v>0</v>
      </c>
      <c r="CH255" s="206">
        <f t="shared" si="423"/>
        <v>600</v>
      </c>
      <c r="CI255" s="56">
        <v>200</v>
      </c>
      <c r="CJ255" s="3">
        <v>194</v>
      </c>
      <c r="CK255" s="3">
        <v>188</v>
      </c>
      <c r="CL255" s="3">
        <v>160</v>
      </c>
      <c r="CM255" s="3">
        <v>140</v>
      </c>
      <c r="CN255" s="3">
        <v>100</v>
      </c>
      <c r="CO255" s="3">
        <v>60</v>
      </c>
      <c r="CP255" s="3">
        <v>20</v>
      </c>
      <c r="CQ255" s="3">
        <v>0</v>
      </c>
      <c r="DJ255" s="3">
        <f t="shared" ca="1" si="424"/>
        <v>200</v>
      </c>
      <c r="DK255" s="3">
        <f t="shared" ca="1" si="425"/>
        <v>100</v>
      </c>
      <c r="DL255" s="3">
        <f t="shared" ca="1" si="426"/>
        <v>0</v>
      </c>
      <c r="DO255" s="3">
        <v>2</v>
      </c>
      <c r="EA255" s="3">
        <f t="shared" si="427"/>
        <v>2</v>
      </c>
      <c r="EB255" s="3">
        <f t="shared" si="428"/>
        <v>2</v>
      </c>
      <c r="EC255" s="3">
        <f t="shared" si="429"/>
        <v>0</v>
      </c>
      <c r="ED255" s="3">
        <f t="shared" si="430"/>
        <v>0</v>
      </c>
      <c r="EF255" s="3">
        <f t="shared" ca="1" si="431"/>
        <v>0</v>
      </c>
      <c r="EG255" s="3">
        <f t="shared" ca="1" si="432"/>
        <v>0</v>
      </c>
      <c r="EH255" s="3">
        <f ca="1">IFERROR(IF(LEFT($BA255,1)="4",OFFSET(변환표준점수!$H$118,MATCH($S255,변환표준점수!$B$119:$B$198,0),),OFFSET(EH$3,MATCH(AS255,$ED$4:$ED$8,0),0)),0)</f>
        <v>0</v>
      </c>
      <c r="EI255" s="3">
        <f ca="1">IFERROR(IF(LEFT($BA255,1)="4",OFFSET(변환표준점수!$I$118,MATCH($S255,변환표준점수!$B$119:$B$198,0),0),OFFSET(EI$3,MATCH(AT255,$ED$4:$ED$8,0),0)),0)</f>
        <v>0</v>
      </c>
      <c r="EK255" s="3">
        <f ca="1">IFERROR(IF(LEFT($BA255,1)="4",OFFSET(변환표준점수!$J$118,MATCH($S255,변환표준점수!$B$119:$B$198,0),0),OFFSET(EJ$3,MATCH(AV255,$ED$4:$ED$8,0),0)),0)</f>
        <v>0</v>
      </c>
      <c r="EL255" s="3">
        <f ca="1">IFERROR(IF(LEFT($BA255,1)="4",OFFSET(변환표준점수!$K$118,MATCH($S255,변환표준점수!$B$119:$B$198,0),0),OFFSET(EK$3,MATCH(AW255,$ED$4:$ED$8,0),0)),0)</f>
        <v>0</v>
      </c>
      <c r="EM255" s="3" t="str">
        <f t="shared" ca="1" si="433"/>
        <v/>
      </c>
      <c r="EN255" s="3" t="str">
        <f t="shared" ca="1" si="434"/>
        <v/>
      </c>
      <c r="EO255" s="3">
        <f t="shared" ca="1" si="435"/>
        <v>0</v>
      </c>
      <c r="EQ255" s="3">
        <f t="shared" ca="1" si="436"/>
        <v>0</v>
      </c>
      <c r="ER255" s="3">
        <f t="shared" ca="1" si="437"/>
        <v>0</v>
      </c>
      <c r="ES255" s="3">
        <f t="shared" ca="1" si="438"/>
        <v>0</v>
      </c>
      <c r="ET255" s="3">
        <f t="shared" ca="1" si="439"/>
        <v>0</v>
      </c>
      <c r="EU255" s="3">
        <f t="shared" si="440"/>
        <v>0</v>
      </c>
      <c r="EV255" s="3">
        <f t="shared" ca="1" si="441"/>
        <v>0</v>
      </c>
      <c r="EW255" s="3">
        <f t="shared" ca="1" si="442"/>
        <v>0</v>
      </c>
      <c r="EX255" s="3">
        <f ca="1">LARGE((ES255:ET255,EV255:EW255),1)</f>
        <v>0</v>
      </c>
      <c r="EY255" s="3">
        <f ca="1">IF(O255&lt;2,0,LARGE((ES255:ET255,EV255:EW255),2))</f>
        <v>0</v>
      </c>
      <c r="EZ255" s="3">
        <f t="shared" ca="1" si="443"/>
        <v>0</v>
      </c>
      <c r="FA255" s="3">
        <f t="shared" ca="1" si="444"/>
        <v>0</v>
      </c>
      <c r="FB255" s="3">
        <f t="shared" ca="1" si="445"/>
        <v>0</v>
      </c>
      <c r="FG255" s="3">
        <f t="shared" ca="1" si="446"/>
        <v>0</v>
      </c>
      <c r="FH255" s="618"/>
      <c r="FU255" s="3" t="str">
        <f t="shared" si="365"/>
        <v>백분위</v>
      </c>
      <c r="FV255" s="3" t="str">
        <f t="shared" si="366"/>
        <v>백분위</v>
      </c>
      <c r="FW255" s="3">
        <f t="shared" si="447"/>
        <v>0.33</v>
      </c>
      <c r="FX255" s="3">
        <f t="shared" si="448"/>
        <v>0.33</v>
      </c>
      <c r="FY255" s="3">
        <f t="shared" si="449"/>
        <v>0.33</v>
      </c>
      <c r="FZ255" s="3">
        <f t="shared" si="450"/>
        <v>6</v>
      </c>
    </row>
    <row r="256" spans="1:182">
      <c r="A256" s="556">
        <v>26</v>
      </c>
      <c r="C256" s="3">
        <f t="shared" si="415"/>
        <v>241</v>
      </c>
      <c r="D256" s="3">
        <v>241</v>
      </c>
      <c r="E256" s="3" t="s">
        <v>405</v>
      </c>
      <c r="F256" s="3">
        <v>800</v>
      </c>
      <c r="G256" s="3">
        <v>0.25</v>
      </c>
      <c r="H256" s="3">
        <v>0.25</v>
      </c>
      <c r="I256" s="3">
        <v>0.125</v>
      </c>
      <c r="J256" s="3">
        <v>0.125</v>
      </c>
      <c r="L256" s="3">
        <v>0.125</v>
      </c>
      <c r="M256" s="3">
        <v>0.125</v>
      </c>
      <c r="O256" s="3">
        <v>2</v>
      </c>
      <c r="P256" s="3">
        <f t="shared" si="416"/>
        <v>0.75</v>
      </c>
      <c r="Q256" s="3" t="s">
        <v>408</v>
      </c>
      <c r="S256" s="3" t="str">
        <f t="shared" si="417"/>
        <v/>
      </c>
      <c r="W256" s="3">
        <f t="shared" si="418"/>
        <v>0</v>
      </c>
      <c r="Y256" s="3">
        <f t="shared" si="452"/>
        <v>1</v>
      </c>
      <c r="Z256" s="3">
        <f t="shared" si="453"/>
        <v>1</v>
      </c>
      <c r="AA256" s="3">
        <f t="shared" si="454"/>
        <v>1</v>
      </c>
      <c r="AB256" s="3">
        <f t="shared" si="455"/>
        <v>1</v>
      </c>
      <c r="AC256" s="3">
        <f t="shared" si="456"/>
        <v>1</v>
      </c>
      <c r="AD256" s="3">
        <f t="shared" si="457"/>
        <v>1</v>
      </c>
      <c r="AE256" s="3">
        <f t="shared" si="458"/>
        <v>1</v>
      </c>
      <c r="AF256" s="3">
        <f t="shared" si="459"/>
        <v>1</v>
      </c>
      <c r="AG256" s="3">
        <f t="shared" si="460"/>
        <v>1</v>
      </c>
      <c r="AH256" s="3" t="str">
        <f t="shared" si="419"/>
        <v>자동</v>
      </c>
      <c r="AI256" s="3">
        <f t="shared" si="461"/>
        <v>1</v>
      </c>
      <c r="AJ256" s="3">
        <f t="shared" si="462"/>
        <v>1</v>
      </c>
      <c r="AL256" s="3" t="str">
        <f t="shared" si="420"/>
        <v/>
      </c>
      <c r="AN256" s="3" t="str">
        <f ca="1">IF($BA256=42,OFFSET(변환표준점수!C$119,$AP256-1,0),"")</f>
        <v/>
      </c>
      <c r="AO256" s="3" t="str">
        <f ca="1">IF($BA256=42,OFFSET(변환표준점수!D$119,$AP256-1,0),"")</f>
        <v/>
      </c>
      <c r="AP256" s="3" t="str">
        <f>IF(S256="","",MATCH(S256,변환표준점수!$B$119:$B$298,0))</f>
        <v/>
      </c>
      <c r="AQ256" s="3">
        <v>1</v>
      </c>
      <c r="AR256" s="3">
        <v>1</v>
      </c>
      <c r="AS256" s="3">
        <v>1</v>
      </c>
      <c r="AT256" s="3">
        <v>1</v>
      </c>
      <c r="AV256" s="3">
        <v>1</v>
      </c>
      <c r="AW256" s="3">
        <v>1</v>
      </c>
      <c r="AX256" s="3">
        <v>3</v>
      </c>
      <c r="AY256" s="3">
        <v>3</v>
      </c>
      <c r="BA256" s="3">
        <f t="shared" si="421"/>
        <v>1</v>
      </c>
      <c r="BJ256" s="3">
        <f t="shared" si="422"/>
        <v>0</v>
      </c>
      <c r="CH256" s="206">
        <f t="shared" si="423"/>
        <v>600</v>
      </c>
      <c r="CI256" s="56">
        <v>200</v>
      </c>
      <c r="CJ256" s="3">
        <v>192</v>
      </c>
      <c r="CK256" s="3">
        <v>178</v>
      </c>
      <c r="CL256" s="3">
        <v>154</v>
      </c>
      <c r="CM256" s="3">
        <v>120</v>
      </c>
      <c r="CN256" s="3">
        <v>80</v>
      </c>
      <c r="CO256" s="3">
        <v>46</v>
      </c>
      <c r="CP256" s="3">
        <v>22</v>
      </c>
      <c r="CQ256" s="3">
        <v>0</v>
      </c>
      <c r="DJ256" s="3">
        <f t="shared" ca="1" si="424"/>
        <v>200</v>
      </c>
      <c r="DK256" s="3">
        <f t="shared" ca="1" si="425"/>
        <v>100</v>
      </c>
      <c r="DL256" s="3">
        <f t="shared" ca="1" si="426"/>
        <v>0</v>
      </c>
      <c r="DO256" s="3">
        <v>2</v>
      </c>
      <c r="EA256" s="3">
        <f t="shared" si="427"/>
        <v>2</v>
      </c>
      <c r="EB256" s="3">
        <f t="shared" si="428"/>
        <v>2</v>
      </c>
      <c r="EC256" s="3">
        <f t="shared" si="429"/>
        <v>0</v>
      </c>
      <c r="ED256" s="3">
        <f t="shared" si="430"/>
        <v>0</v>
      </c>
      <c r="EF256" s="3">
        <f t="shared" ca="1" si="431"/>
        <v>0</v>
      </c>
      <c r="EG256" s="3">
        <f t="shared" ca="1" si="432"/>
        <v>0</v>
      </c>
      <c r="EH256" s="3">
        <f ca="1">IFERROR(IF(LEFT($BA256,1)="4",OFFSET(변환표준점수!$H$118,MATCH($S256,변환표준점수!$B$119:$B$198,0),),OFFSET(EH$3,MATCH(AS256,$ED$4:$ED$8,0),0)),0)</f>
        <v>0</v>
      </c>
      <c r="EI256" s="3">
        <f ca="1">IFERROR(IF(LEFT($BA256,1)="4",OFFSET(변환표준점수!$I$118,MATCH($S256,변환표준점수!$B$119:$B$198,0),0),OFFSET(EI$3,MATCH(AT256,$ED$4:$ED$8,0),0)),0)</f>
        <v>0</v>
      </c>
      <c r="EK256" s="3">
        <f ca="1">IFERROR(IF(LEFT($BA256,1)="4",OFFSET(변환표준점수!$J$118,MATCH($S256,변환표준점수!$B$119:$B$198,0),0),OFFSET(EJ$3,MATCH(AV256,$ED$4:$ED$8,0),0)),0)</f>
        <v>0</v>
      </c>
      <c r="EL256" s="3">
        <f ca="1">IFERROR(IF(LEFT($BA256,1)="4",OFFSET(변환표준점수!$K$118,MATCH($S256,변환표준점수!$B$119:$B$198,0),0),OFFSET(EK$3,MATCH(AW256,$ED$4:$ED$8,0),0)),0)</f>
        <v>0</v>
      </c>
      <c r="EM256" s="3" t="str">
        <f t="shared" ca="1" si="433"/>
        <v/>
      </c>
      <c r="EN256" s="3" t="str">
        <f t="shared" ca="1" si="434"/>
        <v/>
      </c>
      <c r="EO256" s="3">
        <f t="shared" ca="1" si="435"/>
        <v>0</v>
      </c>
      <c r="EQ256" s="3">
        <f t="shared" ca="1" si="436"/>
        <v>0</v>
      </c>
      <c r="ER256" s="3">
        <f t="shared" ca="1" si="437"/>
        <v>0</v>
      </c>
      <c r="ES256" s="3">
        <f t="shared" ca="1" si="438"/>
        <v>0</v>
      </c>
      <c r="ET256" s="3">
        <f t="shared" ca="1" si="439"/>
        <v>0</v>
      </c>
      <c r="EU256" s="3">
        <f t="shared" si="440"/>
        <v>0</v>
      </c>
      <c r="EV256" s="3">
        <f t="shared" ca="1" si="441"/>
        <v>0</v>
      </c>
      <c r="EW256" s="3">
        <f t="shared" ca="1" si="442"/>
        <v>0</v>
      </c>
      <c r="EX256" s="3">
        <f ca="1">LARGE((ES256:ET256,EV256:EW256),1)</f>
        <v>0</v>
      </c>
      <c r="EY256" s="3">
        <f ca="1">IF(O256&lt;2,0,LARGE((ES256:ET256,EV256:EW256),2))</f>
        <v>0</v>
      </c>
      <c r="EZ256" s="3">
        <f t="shared" ca="1" si="443"/>
        <v>0</v>
      </c>
      <c r="FA256" s="3">
        <f t="shared" ca="1" si="444"/>
        <v>0</v>
      </c>
      <c r="FB256" s="3">
        <f t="shared" ca="1" si="445"/>
        <v>0</v>
      </c>
      <c r="FG256" s="3">
        <f t="shared" ca="1" si="446"/>
        <v>0</v>
      </c>
      <c r="FH256" s="618"/>
      <c r="FU256" s="3" t="str">
        <f t="shared" si="365"/>
        <v>표점</v>
      </c>
      <c r="FV256" s="3" t="str">
        <f t="shared" si="366"/>
        <v>표점</v>
      </c>
      <c r="FW256" s="3">
        <f t="shared" si="447"/>
        <v>0.33</v>
      </c>
      <c r="FX256" s="3">
        <f t="shared" si="448"/>
        <v>0.33</v>
      </c>
      <c r="FY256" s="3">
        <f t="shared" si="449"/>
        <v>0.33</v>
      </c>
      <c r="FZ256" s="3">
        <f t="shared" si="450"/>
        <v>3</v>
      </c>
    </row>
    <row r="257" spans="1:182">
      <c r="A257" s="556">
        <v>26</v>
      </c>
      <c r="C257" s="3">
        <f t="shared" si="415"/>
        <v>242</v>
      </c>
      <c r="D257" s="3">
        <v>242</v>
      </c>
      <c r="E257" s="3" t="s">
        <v>406</v>
      </c>
      <c r="F257" s="3">
        <v>600</v>
      </c>
      <c r="G257" s="3">
        <f>1/3</f>
        <v>0.33333333333333331</v>
      </c>
      <c r="H257" s="3">
        <f>1/3</f>
        <v>0.33333333333333331</v>
      </c>
      <c r="I257" s="3">
        <f>1/6</f>
        <v>0.16666666666666666</v>
      </c>
      <c r="L257" s="3">
        <f>I257</f>
        <v>0.16666666666666666</v>
      </c>
      <c r="O257" s="3">
        <v>1</v>
      </c>
      <c r="P257" s="3">
        <f t="shared" si="416"/>
        <v>0.83333333333333326</v>
      </c>
      <c r="Q257" s="3" t="s">
        <v>408</v>
      </c>
      <c r="S257" s="3" t="str">
        <f t="shared" si="417"/>
        <v/>
      </c>
      <c r="W257" s="3">
        <f t="shared" si="418"/>
        <v>0</v>
      </c>
      <c r="Y257" s="3">
        <f t="shared" si="452"/>
        <v>1</v>
      </c>
      <c r="Z257" s="3">
        <f t="shared" si="453"/>
        <v>1</v>
      </c>
      <c r="AA257" s="3">
        <f t="shared" si="454"/>
        <v>1</v>
      </c>
      <c r="AB257" s="3">
        <f t="shared" si="455"/>
        <v>1</v>
      </c>
      <c r="AC257" s="3">
        <f t="shared" si="456"/>
        <v>1</v>
      </c>
      <c r="AD257" s="3">
        <f t="shared" si="457"/>
        <v>1</v>
      </c>
      <c r="AE257" s="3">
        <f t="shared" si="458"/>
        <v>1</v>
      </c>
      <c r="AF257" s="3">
        <f t="shared" si="459"/>
        <v>1</v>
      </c>
      <c r="AG257" s="3">
        <f t="shared" si="460"/>
        <v>0</v>
      </c>
      <c r="AH257" s="3" t="str">
        <f t="shared" si="419"/>
        <v>자동</v>
      </c>
      <c r="AI257" s="3">
        <f t="shared" si="461"/>
        <v>1</v>
      </c>
      <c r="AJ257" s="3">
        <f t="shared" si="462"/>
        <v>0</v>
      </c>
      <c r="AL257" s="3" t="str">
        <f t="shared" si="420"/>
        <v/>
      </c>
      <c r="AN257" s="3" t="str">
        <f ca="1">IF($BA257=42,OFFSET(변환표준점수!C$119,$AP257-1,0),"")</f>
        <v/>
      </c>
      <c r="AO257" s="3" t="str">
        <f ca="1">IF($BA257=42,OFFSET(변환표준점수!D$119,$AP257-1,0),"")</f>
        <v/>
      </c>
      <c r="AP257" s="3" t="str">
        <f>IF(S257="","",MATCH(S257,변환표준점수!$B$119:$B$298,0))</f>
        <v/>
      </c>
      <c r="AQ257" s="3">
        <v>1</v>
      </c>
      <c r="AR257" s="3">
        <v>1</v>
      </c>
      <c r="AS257" s="3">
        <v>1</v>
      </c>
      <c r="AT257" s="3">
        <v>1</v>
      </c>
      <c r="AV257" s="3">
        <v>1</v>
      </c>
      <c r="AW257" s="3">
        <v>1</v>
      </c>
      <c r="AX257" s="3">
        <v>3</v>
      </c>
      <c r="AY257" s="3">
        <v>3</v>
      </c>
      <c r="BA257" s="3">
        <f t="shared" si="421"/>
        <v>1</v>
      </c>
      <c r="BJ257" s="3">
        <f t="shared" si="422"/>
        <v>0</v>
      </c>
      <c r="CH257" s="206">
        <f t="shared" si="423"/>
        <v>499.99999999999994</v>
      </c>
      <c r="CI257" s="56">
        <v>100</v>
      </c>
      <c r="CJ257" s="3">
        <v>95</v>
      </c>
      <c r="CK257" s="3">
        <v>88</v>
      </c>
      <c r="CL257" s="3">
        <v>76</v>
      </c>
      <c r="CM257" s="3">
        <v>59</v>
      </c>
      <c r="CN257" s="3">
        <v>39</v>
      </c>
      <c r="CO257" s="3">
        <v>22</v>
      </c>
      <c r="CP257" s="3">
        <v>10</v>
      </c>
      <c r="CQ257" s="3">
        <v>0</v>
      </c>
      <c r="CR257" s="56">
        <v>10</v>
      </c>
      <c r="CS257" s="3">
        <v>9.8000000000000007</v>
      </c>
      <c r="CT257" s="3">
        <v>9.6</v>
      </c>
      <c r="CU257" s="3">
        <v>9.4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J257" s="3">
        <f t="shared" ca="1" si="424"/>
        <v>100</v>
      </c>
      <c r="DK257" s="3">
        <f t="shared" ca="1" si="425"/>
        <v>100</v>
      </c>
      <c r="DL257" s="3">
        <f t="shared" ca="1" si="426"/>
        <v>10</v>
      </c>
      <c r="DO257" s="3">
        <v>1</v>
      </c>
      <c r="EA257" s="3">
        <f t="shared" si="427"/>
        <v>2</v>
      </c>
      <c r="EB257" s="3">
        <f t="shared" si="428"/>
        <v>1</v>
      </c>
      <c r="EC257" s="3">
        <f t="shared" si="429"/>
        <v>0</v>
      </c>
      <c r="ED257" s="3">
        <f t="shared" si="430"/>
        <v>0</v>
      </c>
      <c r="EF257" s="3">
        <f t="shared" ca="1" si="431"/>
        <v>0</v>
      </c>
      <c r="EG257" s="3">
        <f t="shared" ca="1" si="432"/>
        <v>0</v>
      </c>
      <c r="EH257" s="3">
        <f ca="1">IFERROR(IF(LEFT($BA257,1)="4",OFFSET(변환표준점수!$H$118,MATCH($S257,변환표준점수!$B$119:$B$198,0),),OFFSET(EH$3,MATCH(AS257,$ED$4:$ED$8,0),0)),0)</f>
        <v>0</v>
      </c>
      <c r="EI257" s="3">
        <f ca="1">IFERROR(IF(LEFT($BA257,1)="4",OFFSET(변환표준점수!$I$118,MATCH($S257,변환표준점수!$B$119:$B$198,0),0),OFFSET(EI$3,MATCH(AT257,$ED$4:$ED$8,0),0)),0)</f>
        <v>0</v>
      </c>
      <c r="EK257" s="3">
        <f ca="1">IFERROR(IF(LEFT($BA257,1)="4",OFFSET(변환표준점수!$J$118,MATCH($S257,변환표준점수!$B$119:$B$198,0),0),OFFSET(EJ$3,MATCH(AV257,$ED$4:$ED$8,0),0)),0)</f>
        <v>0</v>
      </c>
      <c r="EL257" s="3">
        <f ca="1">IFERROR(IF(LEFT($BA257,1)="4",OFFSET(변환표준점수!$K$118,MATCH($S257,변환표준점수!$B$119:$B$198,0),0),OFFSET(EK$3,MATCH(AW257,$ED$4:$ED$8,0),0)),0)</f>
        <v>0</v>
      </c>
      <c r="EM257" s="3" t="str">
        <f t="shared" ca="1" si="433"/>
        <v/>
      </c>
      <c r="EN257" s="3" t="str">
        <f t="shared" ca="1" si="434"/>
        <v/>
      </c>
      <c r="EO257" s="3">
        <f t="shared" ca="1" si="435"/>
        <v>0</v>
      </c>
      <c r="EQ257" s="3">
        <f t="shared" ca="1" si="436"/>
        <v>0</v>
      </c>
      <c r="ER257" s="3">
        <f t="shared" ca="1" si="437"/>
        <v>0</v>
      </c>
      <c r="ES257" s="3">
        <f t="shared" ca="1" si="438"/>
        <v>0</v>
      </c>
      <c r="ET257" s="3">
        <f t="shared" si="439"/>
        <v>0</v>
      </c>
      <c r="EU257" s="3">
        <f t="shared" si="440"/>
        <v>0</v>
      </c>
      <c r="EV257" s="3">
        <f t="shared" ca="1" si="441"/>
        <v>0</v>
      </c>
      <c r="EW257" s="3">
        <f t="shared" si="442"/>
        <v>0</v>
      </c>
      <c r="EX257" s="3">
        <f ca="1">LARGE((ES257:ET257,EV257:EW257),1)</f>
        <v>0</v>
      </c>
      <c r="EY257" s="3">
        <f>IF(O257&lt;2,0,LARGE((ES257:ET257,EV257:EW257),2))</f>
        <v>0</v>
      </c>
      <c r="EZ257" s="3">
        <f t="shared" ca="1" si="443"/>
        <v>0</v>
      </c>
      <c r="FA257" s="3">
        <f t="shared" ca="1" si="444"/>
        <v>0</v>
      </c>
      <c r="FB257" s="3">
        <f t="shared" ca="1" si="445"/>
        <v>0</v>
      </c>
      <c r="FG257" s="3">
        <f t="shared" ca="1" si="446"/>
        <v>0</v>
      </c>
      <c r="FH257" s="618"/>
      <c r="FU257" s="3" t="str">
        <f t="shared" si="365"/>
        <v>표점</v>
      </c>
      <c r="FV257" s="3" t="str">
        <f t="shared" si="366"/>
        <v>표점</v>
      </c>
      <c r="FW257" s="3">
        <f t="shared" si="447"/>
        <v>0.33</v>
      </c>
      <c r="FX257" s="3">
        <f t="shared" si="448"/>
        <v>0.33</v>
      </c>
      <c r="FY257" s="3">
        <f t="shared" si="449"/>
        <v>0.33</v>
      </c>
      <c r="FZ257" s="3">
        <f t="shared" si="450"/>
        <v>3</v>
      </c>
    </row>
    <row r="258" spans="1:182">
      <c r="A258" s="556">
        <v>26</v>
      </c>
      <c r="C258" s="3">
        <f t="shared" si="415"/>
        <v>243</v>
      </c>
      <c r="D258" s="3">
        <v>243</v>
      </c>
      <c r="E258" s="3" t="s">
        <v>407</v>
      </c>
      <c r="F258" s="3">
        <v>400</v>
      </c>
      <c r="G258" s="3">
        <f>1.1/4</f>
        <v>0.27500000000000002</v>
      </c>
      <c r="H258" s="3">
        <v>0.25</v>
      </c>
      <c r="I258" s="3">
        <f>0.9/4/2</f>
        <v>0.1125</v>
      </c>
      <c r="J258" s="3">
        <v>0.1125</v>
      </c>
      <c r="L258" s="3">
        <v>0.1125</v>
      </c>
      <c r="M258" s="3">
        <v>0.1125</v>
      </c>
      <c r="O258" s="3">
        <v>2</v>
      </c>
      <c r="P258" s="3">
        <f t="shared" si="416"/>
        <v>0.75</v>
      </c>
      <c r="Q258" s="3" t="s">
        <v>408</v>
      </c>
      <c r="S258" s="3" t="str">
        <f t="shared" si="417"/>
        <v/>
      </c>
      <c r="W258" s="3">
        <f t="shared" si="418"/>
        <v>0</v>
      </c>
      <c r="Y258" s="3">
        <f t="shared" si="452"/>
        <v>1.1000000000000001</v>
      </c>
      <c r="Z258" s="3">
        <f t="shared" si="453"/>
        <v>1</v>
      </c>
      <c r="AA258" s="3">
        <f t="shared" si="454"/>
        <v>0.45</v>
      </c>
      <c r="AB258" s="3">
        <f t="shared" si="455"/>
        <v>0.45</v>
      </c>
      <c r="AC258" s="3">
        <f t="shared" si="456"/>
        <v>0.9</v>
      </c>
      <c r="AD258" s="3">
        <f t="shared" si="457"/>
        <v>1.1000000000000001</v>
      </c>
      <c r="AE258" s="3">
        <f t="shared" si="458"/>
        <v>1</v>
      </c>
      <c r="AF258" s="3">
        <f t="shared" si="459"/>
        <v>0.45</v>
      </c>
      <c r="AG258" s="3">
        <f t="shared" si="460"/>
        <v>0.45</v>
      </c>
      <c r="AH258" s="3" t="str">
        <f t="shared" si="419"/>
        <v>자동</v>
      </c>
      <c r="AI258" s="3">
        <f t="shared" si="461"/>
        <v>0.45</v>
      </c>
      <c r="AJ258" s="3">
        <f t="shared" si="462"/>
        <v>0.45</v>
      </c>
      <c r="AL258" s="3" t="str">
        <f t="shared" si="420"/>
        <v/>
      </c>
      <c r="AN258" s="3" t="str">
        <f ca="1">IF($BA258=42,OFFSET(변환표준점수!C$119,$AP258-1,0),"")</f>
        <v/>
      </c>
      <c r="AO258" s="3" t="str">
        <f ca="1">IF($BA258=42,OFFSET(변환표준점수!D$119,$AP258-1,0),"")</f>
        <v/>
      </c>
      <c r="AP258" s="3" t="str">
        <f>IF(S258="","",MATCH(S258,변환표준점수!$B$119:$B$298,0))</f>
        <v/>
      </c>
      <c r="AQ258" s="3">
        <v>2</v>
      </c>
      <c r="AR258" s="3">
        <v>2</v>
      </c>
      <c r="AS258" s="3">
        <v>2</v>
      </c>
      <c r="AT258" s="3">
        <v>2</v>
      </c>
      <c r="AV258" s="3">
        <v>2</v>
      </c>
      <c r="AW258" s="3">
        <v>2</v>
      </c>
      <c r="AX258" s="3">
        <v>3</v>
      </c>
      <c r="AY258" s="3">
        <v>3</v>
      </c>
      <c r="BA258" s="3">
        <f t="shared" si="421"/>
        <v>2</v>
      </c>
      <c r="BC258" s="3">
        <f>$Z258*0.1</f>
        <v>0.1</v>
      </c>
      <c r="BD258" s="3">
        <f>$Z258*0.1</f>
        <v>0.1</v>
      </c>
      <c r="BJ258" s="3">
        <f t="shared" si="422"/>
        <v>0</v>
      </c>
      <c r="BN258" s="212" t="s">
        <v>7727</v>
      </c>
      <c r="BP258" s="3">
        <f>IF(BP$6&gt;0,BC258*$EG258,0)</f>
        <v>0</v>
      </c>
      <c r="BQ258" s="3">
        <f>IF(BQ$6&gt;0,BD258*$EG258,0)</f>
        <v>0</v>
      </c>
      <c r="CH258" s="206">
        <f t="shared" si="423"/>
        <v>300</v>
      </c>
      <c r="CI258" s="56">
        <v>100</v>
      </c>
      <c r="CJ258" s="3">
        <v>95</v>
      </c>
      <c r="CK258" s="3">
        <v>88</v>
      </c>
      <c r="CL258" s="3">
        <v>76</v>
      </c>
      <c r="CM258" s="3">
        <v>59</v>
      </c>
      <c r="CN258" s="3">
        <v>39</v>
      </c>
      <c r="CO258" s="3">
        <v>22</v>
      </c>
      <c r="CP258" s="3">
        <v>10</v>
      </c>
      <c r="CQ258" s="3">
        <v>0</v>
      </c>
      <c r="DJ258" s="3">
        <f t="shared" ca="1" si="424"/>
        <v>100</v>
      </c>
      <c r="DK258" s="3">
        <f t="shared" ca="1" si="425"/>
        <v>100</v>
      </c>
      <c r="DL258" s="3">
        <f t="shared" ca="1" si="426"/>
        <v>0</v>
      </c>
      <c r="DO258" s="3">
        <v>2</v>
      </c>
      <c r="EA258" s="3">
        <f t="shared" si="427"/>
        <v>2</v>
      </c>
      <c r="EB258" s="3">
        <f t="shared" si="428"/>
        <v>2</v>
      </c>
      <c r="EC258" s="3">
        <f t="shared" si="429"/>
        <v>0</v>
      </c>
      <c r="ED258" s="3">
        <f t="shared" si="430"/>
        <v>0</v>
      </c>
      <c r="EF258" s="3">
        <f t="shared" ca="1" si="431"/>
        <v>0</v>
      </c>
      <c r="EG258" s="3">
        <f t="shared" ca="1" si="432"/>
        <v>0</v>
      </c>
      <c r="EH258" s="3">
        <f ca="1">IFERROR(IF(LEFT($BA258,1)="4",OFFSET(변환표준점수!$H$118,MATCH($S258,변환표준점수!$B$119:$B$198,0),),OFFSET(EH$3,MATCH(AS258,$ED$4:$ED$8,0),0)),0)</f>
        <v>0</v>
      </c>
      <c r="EI258" s="3">
        <f ca="1">IFERROR(IF(LEFT($BA258,1)="4",OFFSET(변환표준점수!$I$118,MATCH($S258,변환표준점수!$B$119:$B$198,0),0),OFFSET(EI$3,MATCH(AT258,$ED$4:$ED$8,0),0)),0)</f>
        <v>0</v>
      </c>
      <c r="EK258" s="3">
        <f ca="1">IFERROR(IF(LEFT($BA258,1)="4",OFFSET(변환표준점수!$J$118,MATCH($S258,변환표준점수!$B$119:$B$198,0),0),OFFSET(EJ$3,MATCH(AV258,$ED$4:$ED$8,0),0)),0)</f>
        <v>0</v>
      </c>
      <c r="EL258" s="3">
        <f ca="1">IFERROR(IF(LEFT($BA258,1)="4",OFFSET(변환표준점수!$K$118,MATCH($S258,변환표준점수!$B$119:$B$198,0),0),OFFSET(EK$3,MATCH(AW258,$ED$4:$ED$8,0),0)),0)</f>
        <v>0</v>
      </c>
      <c r="EM258" s="3" t="str">
        <f t="shared" ca="1" si="433"/>
        <v/>
      </c>
      <c r="EN258" s="3" t="str">
        <f t="shared" ca="1" si="434"/>
        <v/>
      </c>
      <c r="EO258" s="3">
        <f t="shared" ca="1" si="435"/>
        <v>0</v>
      </c>
      <c r="EQ258" s="3">
        <f t="shared" ca="1" si="436"/>
        <v>0</v>
      </c>
      <c r="ER258" s="3">
        <f t="shared" ca="1" si="437"/>
        <v>0</v>
      </c>
      <c r="ES258" s="3">
        <f t="shared" ca="1" si="438"/>
        <v>0</v>
      </c>
      <c r="ET258" s="3">
        <f t="shared" ca="1" si="439"/>
        <v>0</v>
      </c>
      <c r="EU258" s="3">
        <f t="shared" si="440"/>
        <v>0</v>
      </c>
      <c r="EV258" s="3">
        <f t="shared" ca="1" si="441"/>
        <v>0</v>
      </c>
      <c r="EW258" s="3">
        <f t="shared" ca="1" si="442"/>
        <v>0</v>
      </c>
      <c r="EX258" s="3">
        <f ca="1">LARGE((ES258:ET258,EV258:EW258),1)</f>
        <v>0</v>
      </c>
      <c r="EY258" s="3">
        <f ca="1">IF(O258&lt;2,0,LARGE((ES258:ET258,EV258:EW258),2))</f>
        <v>0</v>
      </c>
      <c r="EZ258" s="3">
        <f t="shared" ca="1" si="443"/>
        <v>0</v>
      </c>
      <c r="FA258" s="3">
        <f t="shared" ca="1" si="444"/>
        <v>0</v>
      </c>
      <c r="FB258" s="3">
        <f t="shared" ca="1" si="445"/>
        <v>0</v>
      </c>
      <c r="FG258" s="3">
        <f t="shared" ca="1" si="446"/>
        <v>0</v>
      </c>
      <c r="FH258" s="618"/>
      <c r="FU258" s="3" t="str">
        <f t="shared" si="365"/>
        <v>백분위</v>
      </c>
      <c r="FV258" s="3" t="str">
        <f t="shared" si="366"/>
        <v>백분위</v>
      </c>
      <c r="FW258" s="3">
        <f t="shared" si="447"/>
        <v>0.37</v>
      </c>
      <c r="FX258" s="3">
        <f t="shared" si="448"/>
        <v>0.33</v>
      </c>
      <c r="FY258" s="3">
        <f t="shared" si="449"/>
        <v>0.3</v>
      </c>
      <c r="FZ258" s="3">
        <f t="shared" si="450"/>
        <v>3</v>
      </c>
    </row>
    <row r="259" spans="1:182">
      <c r="A259" s="556">
        <v>26</v>
      </c>
      <c r="C259" s="3">
        <f t="shared" si="415"/>
        <v>244</v>
      </c>
      <c r="D259" s="3">
        <v>244</v>
      </c>
      <c r="E259" s="3" t="s">
        <v>462</v>
      </c>
      <c r="F259" s="3">
        <v>100</v>
      </c>
      <c r="G259" s="3" t="e">
        <f ca="1">IF($BB$7=1,IF(AND(G$9&gt;=H$9,G$9&gt;=$T259),0.35,IF(AND(G$9&lt;H$9,G$9&lt;$T259),0.2,0.25)),0.225)</f>
        <v>#VALUE!</v>
      </c>
      <c r="H259" s="3" t="e">
        <f ca="1">IF($BB$7=1,IF(AND(H$9-0.1&gt;G$9,H$9-0.1&gt;$T259),0.35,IF(AND(H$9-0.1&lt;G$9,H$9-0.1&lt;$T259),0.2,0.25)),0.225)</f>
        <v>#VALUE!</v>
      </c>
      <c r="I259" s="3">
        <v>0.2</v>
      </c>
      <c r="L259" s="3">
        <v>0.2</v>
      </c>
      <c r="N259" s="3" t="e">
        <f ca="1">IF($BB$7=1,IF(AND($T259-0.2&gt;G$9,$T259-0.2&gt;H$9),0.35,IF(AND($T259-0.2&lt;G$9,$T259-0.2&lt;H$9),0.2,0.25)),0.35)</f>
        <v>#VALUE!</v>
      </c>
      <c r="O259" s="3">
        <v>1</v>
      </c>
      <c r="P259" s="3" t="e">
        <f t="shared" ca="1" si="416"/>
        <v>#VALUE!</v>
      </c>
      <c r="Q259" s="3" t="s">
        <v>408</v>
      </c>
      <c r="S259" s="3" t="str">
        <f t="shared" si="417"/>
        <v/>
      </c>
      <c r="T259" s="3" t="e">
        <f ca="1">IF($BB$7&lt;&gt;1,0,OFFSET($CH259,0,$N$10)*5)</f>
        <v>#VALUE!</v>
      </c>
      <c r="W259" s="3">
        <f t="shared" si="418"/>
        <v>0</v>
      </c>
      <c r="Y259" s="3" t="e">
        <f t="shared" ca="1" si="452"/>
        <v>#VALUE!</v>
      </c>
      <c r="Z259" s="3" t="e">
        <f t="shared" ca="1" si="453"/>
        <v>#VALUE!</v>
      </c>
      <c r="AA259" s="3">
        <f t="shared" si="454"/>
        <v>0.2</v>
      </c>
      <c r="AB259" s="3">
        <f t="shared" si="455"/>
        <v>0.2</v>
      </c>
      <c r="AC259" s="3">
        <f t="shared" si="456"/>
        <v>0.2</v>
      </c>
      <c r="AD259" s="3" t="e">
        <f t="shared" ca="1" si="457"/>
        <v>#VALUE!</v>
      </c>
      <c r="AE259" s="3" t="e">
        <f t="shared" ca="1" si="458"/>
        <v>#VALUE!</v>
      </c>
      <c r="AF259" s="3">
        <f t="shared" si="459"/>
        <v>0.2</v>
      </c>
      <c r="AG259" s="3" t="str">
        <f t="shared" si="460"/>
        <v>자동</v>
      </c>
      <c r="AH259" s="3" t="str">
        <f t="shared" si="419"/>
        <v>자동</v>
      </c>
      <c r="AI259" s="3">
        <f t="shared" si="461"/>
        <v>0.2</v>
      </c>
      <c r="AJ259" s="3" t="str">
        <f t="shared" si="462"/>
        <v>자동</v>
      </c>
      <c r="AL259" s="3" t="str">
        <f t="shared" si="420"/>
        <v/>
      </c>
      <c r="AN259" s="3" t="str">
        <f ca="1">IF($BA259=42,OFFSET(변환표준점수!C$119,$AP259-1,0),"")</f>
        <v/>
      </c>
      <c r="AO259" s="3" t="str">
        <f ca="1">IF($BA259=42,OFFSET(변환표준점수!D$119,$AP259-1,0),"")</f>
        <v/>
      </c>
      <c r="AP259" s="3" t="str">
        <f>IF(S259="","",MATCH(S259,변환표준점수!$B$119:$B$298,0))</f>
        <v/>
      </c>
      <c r="AQ259" s="3">
        <v>2</v>
      </c>
      <c r="AR259" s="3">
        <v>2</v>
      </c>
      <c r="AS259" s="3">
        <v>2</v>
      </c>
      <c r="AV259" s="3">
        <v>2</v>
      </c>
      <c r="AX259" s="3">
        <v>3</v>
      </c>
      <c r="AY259" s="3">
        <v>3</v>
      </c>
      <c r="BA259" s="3">
        <f t="shared" si="421"/>
        <v>2</v>
      </c>
      <c r="BJ259" s="3">
        <f t="shared" si="422"/>
        <v>0</v>
      </c>
      <c r="CH259" s="206" t="e">
        <f t="shared" ca="1" si="423"/>
        <v>#VALUE!</v>
      </c>
      <c r="CI259" s="56">
        <f>IF($BB$7=1,19.6,98*0.35)</f>
        <v>19.600000000000001</v>
      </c>
      <c r="CJ259" s="3">
        <f>IF($BB$7=1,19,95*0.35)</f>
        <v>19</v>
      </c>
      <c r="CK259" s="3">
        <f>IF($BB$7=1,18.4,92*0.35)</f>
        <v>18.399999999999999</v>
      </c>
      <c r="CL259" s="3">
        <f>IF($BB$7=1,17.2,86*0.35)</f>
        <v>17.2</v>
      </c>
      <c r="CM259" s="3">
        <f>IF($BB$7=1,16,80*0.35)</f>
        <v>16</v>
      </c>
      <c r="CN259" s="3">
        <f>IF($BB$7=1,12,60*0.35)</f>
        <v>12</v>
      </c>
      <c r="CO259" s="3">
        <f>IF($BB$7=1,10,50*0.35)</f>
        <v>10</v>
      </c>
      <c r="CP259" s="3">
        <f>IF($BB$7=1,8,40*0.35)</f>
        <v>8</v>
      </c>
      <c r="CQ259" s="3">
        <f>IF($BB$7=1,6,30*0.35)</f>
        <v>6</v>
      </c>
      <c r="DJ259" s="3">
        <f t="shared" ca="1" si="424"/>
        <v>19.600000000000001</v>
      </c>
      <c r="DK259" s="3" t="e">
        <f t="shared" ca="1" si="425"/>
        <v>#VALUE!</v>
      </c>
      <c r="DL259" s="3">
        <f t="shared" ca="1" si="426"/>
        <v>0</v>
      </c>
      <c r="DO259" s="3">
        <v>1</v>
      </c>
      <c r="DZ259" s="3">
        <v>1</v>
      </c>
      <c r="EA259" s="3">
        <f t="shared" si="427"/>
        <v>1</v>
      </c>
      <c r="EB259" s="3">
        <f t="shared" si="428"/>
        <v>1</v>
      </c>
      <c r="EC259" s="3">
        <f t="shared" si="429"/>
        <v>0</v>
      </c>
      <c r="ED259" s="3">
        <f t="shared" si="430"/>
        <v>0</v>
      </c>
      <c r="EF259" s="3">
        <f t="shared" ca="1" si="431"/>
        <v>0</v>
      </c>
      <c r="EG259" s="3">
        <f t="shared" ca="1" si="432"/>
        <v>0</v>
      </c>
      <c r="EH259" s="3">
        <f ca="1">IFERROR(IF(LEFT($BA259,1)="4",OFFSET(변환표준점수!$H$118,MATCH($S259,변환표준점수!$B$119:$B$198,0),),OFFSET(EH$3,MATCH(AS259,$ED$4:$ED$8,0),0)),0)</f>
        <v>0</v>
      </c>
      <c r="EI259" s="3">
        <f ca="1">IFERROR(IF(LEFT($BA259,1)="4",OFFSET(변환표준점수!$I$118,MATCH($S259,변환표준점수!$B$119:$B$198,0),0),OFFSET(EI$3,MATCH(AT259,$ED$4:$ED$8,0),0)),0)</f>
        <v>0</v>
      </c>
      <c r="EK259" s="3">
        <f ca="1">IFERROR(IF(LEFT($BA259,1)="4",OFFSET(변환표준점수!$J$118,MATCH($S259,변환표준점수!$B$119:$B$198,0),0),OFFSET(EJ$3,MATCH(AV259,$ED$4:$ED$8,0),0)),0)</f>
        <v>0</v>
      </c>
      <c r="EL259" s="3">
        <f ca="1">IFERROR(IF(LEFT($BA259,1)="4",OFFSET(변환표준점수!$K$118,MATCH($S259,변환표준점수!$B$119:$B$198,0),0),OFFSET(EK$3,MATCH(AW259,$ED$4:$ED$8,0),0)),0)</f>
        <v>0</v>
      </c>
      <c r="EM259" s="3" t="str">
        <f t="shared" ca="1" si="433"/>
        <v/>
      </c>
      <c r="EN259" s="3" t="str">
        <f t="shared" ca="1" si="434"/>
        <v/>
      </c>
      <c r="EO259" s="3">
        <f t="shared" ca="1" si="435"/>
        <v>0</v>
      </c>
      <c r="EQ259" s="3">
        <f t="shared" ca="1" si="436"/>
        <v>0</v>
      </c>
      <c r="ER259" s="3">
        <f t="shared" ca="1" si="437"/>
        <v>0</v>
      </c>
      <c r="ES259" s="3">
        <f t="shared" ca="1" si="438"/>
        <v>0</v>
      </c>
      <c r="ET259" s="3">
        <f t="shared" si="439"/>
        <v>0</v>
      </c>
      <c r="EU259" s="3">
        <f t="shared" si="440"/>
        <v>0</v>
      </c>
      <c r="EV259" s="3">
        <f t="shared" ca="1" si="441"/>
        <v>0</v>
      </c>
      <c r="EW259" s="3">
        <f t="shared" si="442"/>
        <v>0</v>
      </c>
      <c r="EX259" s="3">
        <f ca="1">LARGE((ES259:ET259,EV259:EW259),1)</f>
        <v>0</v>
      </c>
      <c r="EY259" s="3">
        <f>IF(O259&lt;2,0,LARGE((ES259:ET259,EV259:EW259),2))</f>
        <v>0</v>
      </c>
      <c r="EZ259" s="3">
        <f t="shared" ca="1" si="443"/>
        <v>0</v>
      </c>
      <c r="FA259" s="3">
        <f t="shared" ca="1" si="444"/>
        <v>0</v>
      </c>
      <c r="FB259" s="3">
        <f t="shared" ca="1" si="445"/>
        <v>0</v>
      </c>
      <c r="FF259" s="3" t="e">
        <f ca="1">IF($BB$7=1,(EQ259+ER259+EU259+EX259+EY259+FA259+FB259+FC259)+N259*T259,EQ259+ER259+EU259+EX259+EY259+EZ259+FA259+FB259+FC259)</f>
        <v>#VALUE!</v>
      </c>
      <c r="FG259" s="3" t="e">
        <f t="shared" ca="1" si="446"/>
        <v>#VALUE!</v>
      </c>
      <c r="FH259" s="618"/>
      <c r="FU259" s="3" t="str">
        <f t="shared" si="365"/>
        <v>백분위</v>
      </c>
      <c r="FV259" s="3" t="str">
        <f t="shared" si="366"/>
        <v>백분위</v>
      </c>
      <c r="FW259" s="3" t="e">
        <f t="shared" ca="1" si="447"/>
        <v>#VALUE!</v>
      </c>
      <c r="FX259" s="3" t="e">
        <f t="shared" ca="1" si="448"/>
        <v>#VALUE!</v>
      </c>
      <c r="FY259" s="3" t="e">
        <f t="shared" ca="1" si="449"/>
        <v>#VALUE!</v>
      </c>
      <c r="FZ259" s="3" t="e">
        <f t="shared" ca="1" si="450"/>
        <v>#VALUE!</v>
      </c>
    </row>
    <row r="260" spans="1:182">
      <c r="A260" s="556">
        <v>26</v>
      </c>
      <c r="C260" s="3">
        <f t="shared" si="415"/>
        <v>245</v>
      </c>
      <c r="D260" s="3">
        <v>245</v>
      </c>
      <c r="E260" s="3" t="s">
        <v>463</v>
      </c>
      <c r="F260" s="3">
        <v>100</v>
      </c>
      <c r="G260" s="3" t="e">
        <f ca="1">IF($BB$7=1,IF(AND(G$9&gt;=H$9,G$9&gt;=$T260),0.35,IF(AND(G$9&lt;H$9,G$9&lt;$T260),0.2,0.25)),0.225)</f>
        <v>#VALUE!</v>
      </c>
      <c r="H260" s="3" t="e">
        <f ca="1">IF($BB$7=1,IF(AND(H$9-0.1&gt;G$9,H$9-0.1&gt;$T260),0.35,IF(AND(H$9-0.1&lt;G$9,H$9-0.1&lt;$T260),0.2,0.25)),0.225)</f>
        <v>#VALUE!</v>
      </c>
      <c r="I260" s="3">
        <v>0.2</v>
      </c>
      <c r="L260" s="3">
        <v>0.2</v>
      </c>
      <c r="N260" s="3" t="e">
        <f ca="1">IF($BB$7=1,IF(AND($T260-0.2&gt;G$9,$T260-0.2&gt;H$9),0.35,IF(AND($T260-0.2&lt;G$9,$T260-0.2&lt;H$9),0.2,0.25)),0.35)</f>
        <v>#VALUE!</v>
      </c>
      <c r="O260" s="3">
        <v>1</v>
      </c>
      <c r="P260" s="3" t="e">
        <f t="shared" ca="1" si="416"/>
        <v>#VALUE!</v>
      </c>
      <c r="Q260" s="3" t="s">
        <v>408</v>
      </c>
      <c r="S260" s="3" t="str">
        <f t="shared" si="417"/>
        <v/>
      </c>
      <c r="T260" s="3" t="e">
        <f ca="1">IF($BB$7&lt;&gt;1,0,OFFSET($CH260,0,$N$10)*5)</f>
        <v>#VALUE!</v>
      </c>
      <c r="W260" s="3">
        <f t="shared" si="418"/>
        <v>0</v>
      </c>
      <c r="Y260" s="3" t="e">
        <f t="shared" ca="1" si="452"/>
        <v>#VALUE!</v>
      </c>
      <c r="Z260" s="3" t="e">
        <f t="shared" ca="1" si="453"/>
        <v>#VALUE!</v>
      </c>
      <c r="AA260" s="3">
        <f t="shared" si="454"/>
        <v>0.2</v>
      </c>
      <c r="AB260" s="3">
        <f t="shared" si="455"/>
        <v>0.2</v>
      </c>
      <c r="AC260" s="3">
        <f t="shared" si="456"/>
        <v>0.2</v>
      </c>
      <c r="AD260" s="3" t="e">
        <f t="shared" ca="1" si="457"/>
        <v>#VALUE!</v>
      </c>
      <c r="AE260" s="3" t="e">
        <f t="shared" ca="1" si="458"/>
        <v>#VALUE!</v>
      </c>
      <c r="AF260" s="3">
        <f t="shared" si="459"/>
        <v>0.2</v>
      </c>
      <c r="AG260" s="3" t="str">
        <f t="shared" si="460"/>
        <v>자동</v>
      </c>
      <c r="AH260" s="3" t="str">
        <f t="shared" si="419"/>
        <v>자동</v>
      </c>
      <c r="AI260" s="3">
        <f t="shared" si="461"/>
        <v>0.2</v>
      </c>
      <c r="AJ260" s="3" t="str">
        <f t="shared" si="462"/>
        <v>자동</v>
      </c>
      <c r="AL260" s="3" t="str">
        <f t="shared" si="420"/>
        <v/>
      </c>
      <c r="AN260" s="3" t="str">
        <f ca="1">IF($BA260=42,OFFSET(변환표준점수!C$119,$AP260-1,0),"")</f>
        <v/>
      </c>
      <c r="AO260" s="3" t="str">
        <f ca="1">IF($BA260=42,OFFSET(변환표준점수!D$119,$AP260-1,0),"")</f>
        <v/>
      </c>
      <c r="AP260" s="3" t="str">
        <f>IF(S260="","",MATCH(S260,변환표준점수!$B$119:$B$298,0))</f>
        <v/>
      </c>
      <c r="AQ260" s="3">
        <v>2</v>
      </c>
      <c r="AR260" s="3">
        <v>2</v>
      </c>
      <c r="AS260" s="3">
        <v>2</v>
      </c>
      <c r="AV260" s="3">
        <v>2</v>
      </c>
      <c r="AX260" s="3">
        <v>3</v>
      </c>
      <c r="AY260" s="3">
        <v>3</v>
      </c>
      <c r="BA260" s="3">
        <f t="shared" si="421"/>
        <v>2</v>
      </c>
      <c r="BJ260" s="3">
        <f t="shared" si="422"/>
        <v>0</v>
      </c>
      <c r="CH260" s="206" t="e">
        <f t="shared" ca="1" si="423"/>
        <v>#VALUE!</v>
      </c>
      <c r="CI260" s="56">
        <f>IF($BB$7=1,19.6,98*0.35)</f>
        <v>19.600000000000001</v>
      </c>
      <c r="CJ260" s="3">
        <f>IF($BB$7=1,19,95*0.35)</f>
        <v>19</v>
      </c>
      <c r="CK260" s="3">
        <f>IF($BB$7=1,18.4,92*0.35)</f>
        <v>18.399999999999999</v>
      </c>
      <c r="CL260" s="3">
        <f>IF($BB$7=1,17.2,86*0.35)</f>
        <v>17.2</v>
      </c>
      <c r="CM260" s="3">
        <f>IF($BB$7=1,16,80*0.35)</f>
        <v>16</v>
      </c>
      <c r="CN260" s="3">
        <f>IF($BB$7=1,12,60*0.35)</f>
        <v>12</v>
      </c>
      <c r="CO260" s="3">
        <f>IF($BB$7=1,10,50*0.35)</f>
        <v>10</v>
      </c>
      <c r="CP260" s="3">
        <f>IF($BB$7=1,8,40*0.35)</f>
        <v>8</v>
      </c>
      <c r="CQ260" s="3">
        <f>IF($BB$7=1,6,30*0.35)</f>
        <v>6</v>
      </c>
      <c r="DJ260" s="3">
        <f t="shared" ca="1" si="424"/>
        <v>19.600000000000001</v>
      </c>
      <c r="DK260" s="3" t="e">
        <f t="shared" ca="1" si="425"/>
        <v>#VALUE!</v>
      </c>
      <c r="DL260" s="3">
        <f t="shared" ca="1" si="426"/>
        <v>0</v>
      </c>
      <c r="DO260" s="3">
        <v>1</v>
      </c>
      <c r="EA260" s="3">
        <f t="shared" si="427"/>
        <v>2</v>
      </c>
      <c r="EB260" s="3">
        <f t="shared" si="428"/>
        <v>1</v>
      </c>
      <c r="EC260" s="3">
        <f t="shared" si="429"/>
        <v>0</v>
      </c>
      <c r="ED260" s="3">
        <f t="shared" si="430"/>
        <v>0</v>
      </c>
      <c r="EF260" s="3">
        <f t="shared" ca="1" si="431"/>
        <v>0</v>
      </c>
      <c r="EG260" s="3">
        <f t="shared" ca="1" si="432"/>
        <v>0</v>
      </c>
      <c r="EH260" s="3">
        <f ca="1">IFERROR(IF(LEFT($BA260,1)="4",OFFSET(변환표준점수!$H$118,MATCH($S260,변환표준점수!$B$119:$B$198,0),),OFFSET(EH$3,MATCH(AS260,$ED$4:$ED$8,0),0)),0)</f>
        <v>0</v>
      </c>
      <c r="EI260" s="3">
        <f ca="1">IFERROR(IF(LEFT($BA260,1)="4",OFFSET(변환표준점수!$I$118,MATCH($S260,변환표준점수!$B$119:$B$198,0),0),OFFSET(EI$3,MATCH(AT260,$ED$4:$ED$8,0),0)),0)</f>
        <v>0</v>
      </c>
      <c r="EK260" s="3">
        <f ca="1">IFERROR(IF(LEFT($BA260,1)="4",OFFSET(변환표준점수!$J$118,MATCH($S260,변환표준점수!$B$119:$B$198,0),0),OFFSET(EJ$3,MATCH(AV260,$ED$4:$ED$8,0),0)),0)</f>
        <v>0</v>
      </c>
      <c r="EL260" s="3">
        <f ca="1">IFERROR(IF(LEFT($BA260,1)="4",OFFSET(변환표준점수!$K$118,MATCH($S260,변환표준점수!$B$119:$B$198,0),0),OFFSET(EK$3,MATCH(AW260,$ED$4:$ED$8,0),0)),0)</f>
        <v>0</v>
      </c>
      <c r="EM260" s="3" t="str">
        <f t="shared" ca="1" si="433"/>
        <v/>
      </c>
      <c r="EN260" s="3" t="str">
        <f t="shared" ca="1" si="434"/>
        <v/>
      </c>
      <c r="EO260" s="3">
        <f t="shared" ca="1" si="435"/>
        <v>0</v>
      </c>
      <c r="EQ260" s="3">
        <f t="shared" ca="1" si="436"/>
        <v>0</v>
      </c>
      <c r="ER260" s="3">
        <f t="shared" ca="1" si="437"/>
        <v>0</v>
      </c>
      <c r="ES260" s="3">
        <f t="shared" ca="1" si="438"/>
        <v>0</v>
      </c>
      <c r="ET260" s="3">
        <f t="shared" si="439"/>
        <v>0</v>
      </c>
      <c r="EU260" s="3">
        <f t="shared" si="440"/>
        <v>0</v>
      </c>
      <c r="EV260" s="3">
        <f t="shared" ca="1" si="441"/>
        <v>0</v>
      </c>
      <c r="EW260" s="3">
        <f t="shared" si="442"/>
        <v>0</v>
      </c>
      <c r="EX260" s="3">
        <f ca="1">LARGE((ES260:ET260,EV260:EW260),1)</f>
        <v>0</v>
      </c>
      <c r="EY260" s="3">
        <f>IF(O260&lt;2,0,LARGE((ES260:ET260,EV260:EW260),2))</f>
        <v>0</v>
      </c>
      <c r="EZ260" s="3">
        <f t="shared" ca="1" si="443"/>
        <v>0</v>
      </c>
      <c r="FA260" s="3">
        <f t="shared" ca="1" si="444"/>
        <v>0</v>
      </c>
      <c r="FB260" s="3">
        <f t="shared" ca="1" si="445"/>
        <v>0</v>
      </c>
      <c r="FF260" s="3" t="e">
        <f ca="1">IF($BB$7=1,(EQ260+ER260+EU260+EX260+EY260+FA260+FB260+FC260)+N260*T260,EQ260+ER260+EU260+EX260+EY260+EZ260+FA260+FB260+FC260)</f>
        <v>#VALUE!</v>
      </c>
      <c r="FG260" s="3" t="e">
        <f t="shared" ca="1" si="446"/>
        <v>#VALUE!</v>
      </c>
      <c r="FH260" s="618"/>
      <c r="FU260" s="3" t="str">
        <f t="shared" si="365"/>
        <v>백분위</v>
      </c>
      <c r="FV260" s="3" t="str">
        <f t="shared" si="366"/>
        <v>백분위</v>
      </c>
      <c r="FW260" s="3" t="e">
        <f t="shared" ca="1" si="447"/>
        <v>#VALUE!</v>
      </c>
      <c r="FX260" s="3" t="e">
        <f t="shared" ca="1" si="448"/>
        <v>#VALUE!</v>
      </c>
      <c r="FY260" s="3" t="e">
        <f t="shared" ca="1" si="449"/>
        <v>#VALUE!</v>
      </c>
      <c r="FZ260" s="3" t="e">
        <f t="shared" ca="1" si="450"/>
        <v>#VALUE!</v>
      </c>
    </row>
    <row r="261" spans="1:182">
      <c r="A261" s="556">
        <v>26</v>
      </c>
      <c r="C261" s="3">
        <f t="shared" si="415"/>
        <v>246</v>
      </c>
      <c r="D261" s="3">
        <v>246</v>
      </c>
      <c r="E261" s="3" t="s">
        <v>464</v>
      </c>
      <c r="F261" s="3">
        <v>100</v>
      </c>
      <c r="G261" s="3">
        <v>0.3</v>
      </c>
      <c r="H261" s="3">
        <v>0.35</v>
      </c>
      <c r="I261" s="3">
        <v>0.15</v>
      </c>
      <c r="L261" s="3">
        <v>0.15</v>
      </c>
      <c r="O261" s="3">
        <v>1</v>
      </c>
      <c r="P261" s="3">
        <f t="shared" si="416"/>
        <v>0.79999999999999993</v>
      </c>
      <c r="Q261" s="3" t="s">
        <v>408</v>
      </c>
      <c r="S261" s="3" t="str">
        <f t="shared" si="417"/>
        <v/>
      </c>
      <c r="W261" s="3">
        <f t="shared" si="418"/>
        <v>0</v>
      </c>
      <c r="Y261" s="3">
        <f t="shared" si="452"/>
        <v>0.3</v>
      </c>
      <c r="Z261" s="3">
        <f t="shared" si="453"/>
        <v>0.35</v>
      </c>
      <c r="AA261" s="3">
        <f t="shared" si="454"/>
        <v>0.15</v>
      </c>
      <c r="AB261" s="3">
        <f t="shared" si="455"/>
        <v>0.15</v>
      </c>
      <c r="AC261" s="3">
        <f t="shared" si="456"/>
        <v>0.15</v>
      </c>
      <c r="AD261" s="3">
        <f t="shared" si="457"/>
        <v>0.3</v>
      </c>
      <c r="AE261" s="3">
        <f t="shared" si="458"/>
        <v>0.35</v>
      </c>
      <c r="AF261" s="3">
        <f t="shared" si="459"/>
        <v>0.15</v>
      </c>
      <c r="AG261" s="3" t="str">
        <f t="shared" si="460"/>
        <v>자동</v>
      </c>
      <c r="AH261" s="3" t="str">
        <f t="shared" si="419"/>
        <v>자동</v>
      </c>
      <c r="AI261" s="3">
        <f t="shared" si="461"/>
        <v>0.15</v>
      </c>
      <c r="AJ261" s="3" t="str">
        <f t="shared" si="462"/>
        <v>자동</v>
      </c>
      <c r="AL261" s="3" t="str">
        <f t="shared" si="420"/>
        <v/>
      </c>
      <c r="AN261" s="3" t="str">
        <f ca="1">IF($BA261=42,OFFSET(변환표준점수!C$119,$AP261-1,0),"")</f>
        <v/>
      </c>
      <c r="AO261" s="3" t="str">
        <f ca="1">IF($BA261=42,OFFSET(변환표준점수!D$119,$AP261-1,0),"")</f>
        <v/>
      </c>
      <c r="AP261" s="3" t="str">
        <f>IF(S261="","",MATCH(S261,변환표준점수!$B$119:$B$298,0))</f>
        <v/>
      </c>
      <c r="AQ261" s="3">
        <v>2</v>
      </c>
      <c r="AR261" s="3">
        <v>2</v>
      </c>
      <c r="AS261" s="3">
        <v>2</v>
      </c>
      <c r="AV261" s="3">
        <v>2</v>
      </c>
      <c r="AX261" s="3">
        <v>3</v>
      </c>
      <c r="AY261" s="3">
        <v>3</v>
      </c>
      <c r="BA261" s="3">
        <f t="shared" si="421"/>
        <v>2</v>
      </c>
      <c r="BJ261" s="3">
        <f t="shared" si="422"/>
        <v>0</v>
      </c>
      <c r="CH261" s="206">
        <f t="shared" si="423"/>
        <v>80</v>
      </c>
      <c r="CI261" s="56">
        <v>20</v>
      </c>
      <c r="CJ261" s="3">
        <v>19.600000000000001</v>
      </c>
      <c r="CK261" s="3">
        <v>18.8</v>
      </c>
      <c r="CL261" s="3">
        <v>17.2</v>
      </c>
      <c r="CM261" s="3">
        <v>14</v>
      </c>
      <c r="CN261" s="3">
        <v>10</v>
      </c>
      <c r="CO261" s="3">
        <v>6</v>
      </c>
      <c r="CP261" s="3">
        <v>2</v>
      </c>
      <c r="CQ261" s="3">
        <v>0</v>
      </c>
      <c r="CW261" s="3">
        <v>-0.5</v>
      </c>
      <c r="CX261" s="3">
        <v>-0.5</v>
      </c>
      <c r="CY261" s="3">
        <v>-1</v>
      </c>
      <c r="CZ261" s="3">
        <v>-1</v>
      </c>
      <c r="DJ261" s="3">
        <f t="shared" ca="1" si="424"/>
        <v>20</v>
      </c>
      <c r="DK261" s="3">
        <f t="shared" ca="1" si="425"/>
        <v>100</v>
      </c>
      <c r="DL261" s="3">
        <f t="shared" ca="1" si="426"/>
        <v>0</v>
      </c>
      <c r="DO261" s="3">
        <v>1</v>
      </c>
      <c r="DZ261" s="3">
        <v>1</v>
      </c>
      <c r="EA261" s="3">
        <f t="shared" si="427"/>
        <v>1</v>
      </c>
      <c r="EB261" s="3">
        <f t="shared" si="428"/>
        <v>1</v>
      </c>
      <c r="EC261" s="3">
        <f t="shared" si="429"/>
        <v>0</v>
      </c>
      <c r="ED261" s="3">
        <f t="shared" si="430"/>
        <v>0</v>
      </c>
      <c r="EF261" s="3">
        <f t="shared" ca="1" si="431"/>
        <v>0</v>
      </c>
      <c r="EG261" s="3">
        <f t="shared" ca="1" si="432"/>
        <v>0</v>
      </c>
      <c r="EH261" s="3">
        <f ca="1">IFERROR(IF(LEFT($BA261,1)="4",OFFSET(변환표준점수!$H$118,MATCH($S261,변환표준점수!$B$119:$B$198,0),),OFFSET(EH$3,MATCH(AS261,$ED$4:$ED$8,0),0)),0)</f>
        <v>0</v>
      </c>
      <c r="EI261" s="3">
        <f ca="1">IFERROR(IF(LEFT($BA261,1)="4",OFFSET(변환표준점수!$I$118,MATCH($S261,변환표준점수!$B$119:$B$198,0),0),OFFSET(EI$3,MATCH(AT261,$ED$4:$ED$8,0),0)),0)</f>
        <v>0</v>
      </c>
      <c r="EK261" s="3">
        <f ca="1">IFERROR(IF(LEFT($BA261,1)="4",OFFSET(변환표준점수!$J$118,MATCH($S261,변환표준점수!$B$119:$B$198,0),0),OFFSET(EJ$3,MATCH(AV261,$ED$4:$ED$8,0),0)),0)</f>
        <v>0</v>
      </c>
      <c r="EL261" s="3">
        <f ca="1">IFERROR(IF(LEFT($BA261,1)="4",OFFSET(변환표준점수!$K$118,MATCH($S261,변환표준점수!$B$119:$B$198,0),0),OFFSET(EK$3,MATCH(AW261,$ED$4:$ED$8,0),0)),0)</f>
        <v>0</v>
      </c>
      <c r="EM261" s="3" t="str">
        <f t="shared" ca="1" si="433"/>
        <v/>
      </c>
      <c r="EN261" s="3" t="str">
        <f t="shared" ca="1" si="434"/>
        <v/>
      </c>
      <c r="EO261" s="3">
        <f t="shared" ca="1" si="435"/>
        <v>0</v>
      </c>
      <c r="EQ261" s="3">
        <f t="shared" ca="1" si="436"/>
        <v>0</v>
      </c>
      <c r="ER261" s="3">
        <f t="shared" ca="1" si="437"/>
        <v>0</v>
      </c>
      <c r="ES261" s="3">
        <f t="shared" ca="1" si="438"/>
        <v>0</v>
      </c>
      <c r="ET261" s="3">
        <f t="shared" si="439"/>
        <v>0</v>
      </c>
      <c r="EU261" s="3">
        <f t="shared" si="440"/>
        <v>0</v>
      </c>
      <c r="EV261" s="3">
        <f t="shared" ca="1" si="441"/>
        <v>0</v>
      </c>
      <c r="EW261" s="3">
        <f t="shared" si="442"/>
        <v>0</v>
      </c>
      <c r="EX261" s="3">
        <f ca="1">LARGE((ES261:ET261,EV261:EW261),1)</f>
        <v>0</v>
      </c>
      <c r="EY261" s="3">
        <f>IF(O261&lt;2,0,LARGE((ES261:ET261,EV261:EW261),2))</f>
        <v>0</v>
      </c>
      <c r="EZ261" s="3">
        <f t="shared" ca="1" si="443"/>
        <v>0</v>
      </c>
      <c r="FA261" s="3">
        <f t="shared" ca="1" si="444"/>
        <v>0</v>
      </c>
      <c r="FB261" s="3">
        <f t="shared" ca="1" si="445"/>
        <v>0</v>
      </c>
      <c r="FG261" s="3">
        <f t="shared" ca="1" si="446"/>
        <v>0</v>
      </c>
      <c r="FH261" s="618"/>
      <c r="FU261" s="3" t="str">
        <f t="shared" si="365"/>
        <v>백분위</v>
      </c>
      <c r="FV261" s="3" t="str">
        <f t="shared" si="366"/>
        <v>백분위</v>
      </c>
      <c r="FW261" s="3">
        <f t="shared" si="447"/>
        <v>0.38</v>
      </c>
      <c r="FX261" s="3">
        <f t="shared" si="448"/>
        <v>0.44</v>
      </c>
      <c r="FY261" s="3">
        <f t="shared" si="449"/>
        <v>0.19</v>
      </c>
      <c r="FZ261" s="3">
        <f t="shared" si="450"/>
        <v>0.79999999999999993</v>
      </c>
    </row>
    <row r="262" spans="1:182">
      <c r="A262" s="556">
        <v>26</v>
      </c>
      <c r="C262" s="3">
        <f t="shared" si="415"/>
        <v>247</v>
      </c>
      <c r="D262" s="3">
        <v>247</v>
      </c>
      <c r="E262" s="3" t="s">
        <v>7331</v>
      </c>
      <c r="F262" s="3">
        <v>100</v>
      </c>
      <c r="G262" s="3">
        <v>0.35</v>
      </c>
      <c r="H262" s="3">
        <v>0.3</v>
      </c>
      <c r="I262" s="3">
        <v>0.15</v>
      </c>
      <c r="L262" s="3">
        <v>0.15</v>
      </c>
      <c r="O262" s="3">
        <v>1</v>
      </c>
      <c r="P262" s="3">
        <f t="shared" si="416"/>
        <v>0.79999999999999993</v>
      </c>
      <c r="Q262" s="3" t="s">
        <v>408</v>
      </c>
      <c r="S262" s="3" t="str">
        <f t="shared" si="417"/>
        <v/>
      </c>
      <c r="W262" s="3">
        <f t="shared" si="418"/>
        <v>0</v>
      </c>
      <c r="Y262" s="3">
        <f t="shared" si="452"/>
        <v>0.35</v>
      </c>
      <c r="Z262" s="3">
        <f t="shared" si="453"/>
        <v>0.3</v>
      </c>
      <c r="AA262" s="3">
        <f t="shared" si="454"/>
        <v>0.15</v>
      </c>
      <c r="AB262" s="3">
        <f t="shared" si="455"/>
        <v>0.15</v>
      </c>
      <c r="AC262" s="3">
        <f t="shared" si="456"/>
        <v>0.15</v>
      </c>
      <c r="AD262" s="3">
        <f t="shared" si="457"/>
        <v>0.35</v>
      </c>
      <c r="AE262" s="3">
        <f t="shared" si="458"/>
        <v>0.3</v>
      </c>
      <c r="AF262" s="3">
        <f t="shared" si="459"/>
        <v>0.15</v>
      </c>
      <c r="AG262" s="3" t="str">
        <f t="shared" si="460"/>
        <v>자동</v>
      </c>
      <c r="AH262" s="3" t="str">
        <f t="shared" si="419"/>
        <v>자동</v>
      </c>
      <c r="AI262" s="3">
        <f t="shared" si="461"/>
        <v>0.15</v>
      </c>
      <c r="AJ262" s="3" t="str">
        <f t="shared" si="462"/>
        <v>자동</v>
      </c>
      <c r="AL262" s="3" t="str">
        <f t="shared" si="420"/>
        <v/>
      </c>
      <c r="AN262" s="3" t="str">
        <f ca="1">IF($BA262=42,OFFSET(변환표준점수!C$119,$AP262-1,0),"")</f>
        <v/>
      </c>
      <c r="AO262" s="3" t="str">
        <f ca="1">IF($BA262=42,OFFSET(변환표준점수!D$119,$AP262-1,0),"")</f>
        <v/>
      </c>
      <c r="AP262" s="3" t="str">
        <f>IF(S262="","",MATCH(S262,변환표준점수!$B$119:$B$298,0))</f>
        <v/>
      </c>
      <c r="AQ262" s="3">
        <v>2</v>
      </c>
      <c r="AR262" s="3">
        <v>2</v>
      </c>
      <c r="AS262" s="3">
        <v>2</v>
      </c>
      <c r="AV262" s="3">
        <v>2</v>
      </c>
      <c r="AX262" s="3">
        <v>3</v>
      </c>
      <c r="AY262" s="3">
        <v>3</v>
      </c>
      <c r="BA262" s="3">
        <f t="shared" si="421"/>
        <v>2</v>
      </c>
      <c r="BJ262" s="3">
        <f t="shared" si="422"/>
        <v>0</v>
      </c>
      <c r="CH262" s="206">
        <f t="shared" si="423"/>
        <v>80</v>
      </c>
      <c r="CI262" s="56">
        <v>20</v>
      </c>
      <c r="CJ262" s="3">
        <v>19.600000000000001</v>
      </c>
      <c r="CK262" s="3">
        <v>18.8</v>
      </c>
      <c r="CL262" s="3">
        <v>17.2</v>
      </c>
      <c r="CM262" s="3">
        <v>14</v>
      </c>
      <c r="CN262" s="3">
        <v>10</v>
      </c>
      <c r="CO262" s="3">
        <v>6</v>
      </c>
      <c r="CP262" s="3">
        <v>2</v>
      </c>
      <c r="CQ262" s="3">
        <v>0</v>
      </c>
      <c r="CW262" s="3">
        <v>-0.5</v>
      </c>
      <c r="CX262" s="3">
        <v>-0.5</v>
      </c>
      <c r="CY262" s="3">
        <v>-1</v>
      </c>
      <c r="CZ262" s="3">
        <v>-1</v>
      </c>
      <c r="DJ262" s="3">
        <f t="shared" ca="1" si="424"/>
        <v>20</v>
      </c>
      <c r="DK262" s="3">
        <f t="shared" ca="1" si="425"/>
        <v>100</v>
      </c>
      <c r="DL262" s="3">
        <f t="shared" ca="1" si="426"/>
        <v>0</v>
      </c>
      <c r="DO262" s="3">
        <v>1</v>
      </c>
      <c r="EA262" s="3">
        <f t="shared" si="427"/>
        <v>2</v>
      </c>
      <c r="EB262" s="3">
        <f t="shared" si="428"/>
        <v>1</v>
      </c>
      <c r="EC262" s="3">
        <f t="shared" si="429"/>
        <v>0</v>
      </c>
      <c r="ED262" s="3">
        <f t="shared" si="430"/>
        <v>0</v>
      </c>
      <c r="EF262" s="3">
        <f t="shared" ca="1" si="431"/>
        <v>0</v>
      </c>
      <c r="EG262" s="3">
        <f t="shared" ca="1" si="432"/>
        <v>0</v>
      </c>
      <c r="EH262" s="3">
        <f ca="1">IFERROR(IF(LEFT($BA262,1)="4",OFFSET(변환표준점수!$H$118,MATCH($S262,변환표준점수!$B$119:$B$198,0),),OFFSET(EH$3,MATCH(AS262,$ED$4:$ED$8,0),0)),0)</f>
        <v>0</v>
      </c>
      <c r="EI262" s="3">
        <f ca="1">IFERROR(IF(LEFT($BA262,1)="4",OFFSET(변환표준점수!$I$118,MATCH($S262,변환표준점수!$B$119:$B$198,0),0),OFFSET(EI$3,MATCH(AT262,$ED$4:$ED$8,0),0)),0)</f>
        <v>0</v>
      </c>
      <c r="EK262" s="3">
        <f ca="1">IFERROR(IF(LEFT($BA262,1)="4",OFFSET(변환표준점수!$J$118,MATCH($S262,변환표준점수!$B$119:$B$198,0),0),OFFSET(EJ$3,MATCH(AV262,$ED$4:$ED$8,0),0)),0)</f>
        <v>0</v>
      </c>
      <c r="EL262" s="3">
        <f ca="1">IFERROR(IF(LEFT($BA262,1)="4",OFFSET(변환표준점수!$K$118,MATCH($S262,변환표준점수!$B$119:$B$198,0),0),OFFSET(EK$3,MATCH(AW262,$ED$4:$ED$8,0),0)),0)</f>
        <v>0</v>
      </c>
      <c r="EM262" s="3" t="str">
        <f t="shared" ca="1" si="433"/>
        <v/>
      </c>
      <c r="EN262" s="3" t="str">
        <f t="shared" ca="1" si="434"/>
        <v/>
      </c>
      <c r="EO262" s="3">
        <f t="shared" ca="1" si="435"/>
        <v>0</v>
      </c>
      <c r="EQ262" s="3">
        <f t="shared" ca="1" si="436"/>
        <v>0</v>
      </c>
      <c r="ER262" s="3">
        <f t="shared" ca="1" si="437"/>
        <v>0</v>
      </c>
      <c r="ES262" s="3">
        <f t="shared" ca="1" si="438"/>
        <v>0</v>
      </c>
      <c r="ET262" s="3">
        <f t="shared" si="439"/>
        <v>0</v>
      </c>
      <c r="EU262" s="3">
        <f t="shared" si="440"/>
        <v>0</v>
      </c>
      <c r="EV262" s="3">
        <f t="shared" ca="1" si="441"/>
        <v>0</v>
      </c>
      <c r="EW262" s="3">
        <f t="shared" si="442"/>
        <v>0</v>
      </c>
      <c r="EX262" s="3">
        <f ca="1">LARGE((ES262:ET262,EV262:EW262),1)</f>
        <v>0</v>
      </c>
      <c r="EY262" s="3">
        <f>IF(O262&lt;2,0,LARGE((ES262:ET262,EV262:EW262),2))</f>
        <v>0</v>
      </c>
      <c r="EZ262" s="3">
        <f t="shared" ca="1" si="443"/>
        <v>0</v>
      </c>
      <c r="FA262" s="3">
        <f t="shared" ca="1" si="444"/>
        <v>0</v>
      </c>
      <c r="FB262" s="3">
        <f t="shared" ca="1" si="445"/>
        <v>0</v>
      </c>
      <c r="FG262" s="3">
        <f t="shared" ca="1" si="446"/>
        <v>0</v>
      </c>
      <c r="FH262" s="618"/>
      <c r="FU262" s="3" t="str">
        <f t="shared" si="365"/>
        <v>백분위</v>
      </c>
      <c r="FV262" s="3" t="str">
        <f t="shared" si="366"/>
        <v>백분위</v>
      </c>
      <c r="FW262" s="3">
        <f t="shared" si="447"/>
        <v>0.44</v>
      </c>
      <c r="FX262" s="3">
        <f t="shared" si="448"/>
        <v>0.38</v>
      </c>
      <c r="FY262" s="3">
        <f t="shared" si="449"/>
        <v>0.19</v>
      </c>
      <c r="FZ262" s="3">
        <f t="shared" si="450"/>
        <v>0.79999999999999993</v>
      </c>
    </row>
    <row r="263" spans="1:182">
      <c r="A263" s="556">
        <v>26</v>
      </c>
      <c r="C263" s="3">
        <f t="shared" si="415"/>
        <v>248</v>
      </c>
      <c r="D263" s="3">
        <v>248</v>
      </c>
      <c r="E263" s="3" t="s">
        <v>7332</v>
      </c>
      <c r="F263" s="3">
        <v>100</v>
      </c>
      <c r="G263" s="3">
        <f ca="1">IF($BB$7=1,OFFSET(G$261,$N263-1,0),0.325)</f>
        <v>0.35</v>
      </c>
      <c r="H263" s="3">
        <f ca="1">IF($BB$7=1,OFFSET(H$261,$N263-1,0),0.325)</f>
        <v>0.3</v>
      </c>
      <c r="I263" s="3">
        <v>0.15</v>
      </c>
      <c r="L263" s="3">
        <v>0.15</v>
      </c>
      <c r="N263" s="3">
        <f ca="1">IF(FG261&gt;FG262,1,2)</f>
        <v>2</v>
      </c>
      <c r="O263" s="3">
        <v>1</v>
      </c>
      <c r="P263" s="3">
        <f t="shared" ca="1" si="416"/>
        <v>0.79999999999999993</v>
      </c>
      <c r="Q263" s="3" t="s">
        <v>408</v>
      </c>
      <c r="S263" s="3" t="str">
        <f t="shared" si="417"/>
        <v/>
      </c>
      <c r="W263" s="3">
        <f t="shared" si="418"/>
        <v>0</v>
      </c>
      <c r="Y263" s="3">
        <f t="shared" ca="1" si="452"/>
        <v>0.35</v>
      </c>
      <c r="Z263" s="3">
        <f t="shared" ca="1" si="453"/>
        <v>0.3</v>
      </c>
      <c r="AA263" s="3">
        <f t="shared" si="454"/>
        <v>0.15</v>
      </c>
      <c r="AB263" s="3">
        <f t="shared" si="455"/>
        <v>0.15</v>
      </c>
      <c r="AC263" s="3">
        <f t="shared" si="456"/>
        <v>0.15</v>
      </c>
      <c r="AD263" s="3">
        <f t="shared" ca="1" si="457"/>
        <v>0.35</v>
      </c>
      <c r="AE263" s="3">
        <f t="shared" ca="1" si="458"/>
        <v>0.3</v>
      </c>
      <c r="AF263" s="3">
        <f t="shared" si="459"/>
        <v>0.15</v>
      </c>
      <c r="AG263" s="3" t="str">
        <f t="shared" si="460"/>
        <v>자동</v>
      </c>
      <c r="AH263" s="3" t="str">
        <f t="shared" si="419"/>
        <v>자동</v>
      </c>
      <c r="AI263" s="3">
        <f t="shared" si="461"/>
        <v>0.15</v>
      </c>
      <c r="AJ263" s="3" t="str">
        <f t="shared" si="462"/>
        <v>자동</v>
      </c>
      <c r="AL263" s="3" t="str">
        <f t="shared" si="420"/>
        <v/>
      </c>
      <c r="AN263" s="3" t="str">
        <f ca="1">IF($BA263=42,OFFSET(변환표준점수!C$119,$AP263-1,0),"")</f>
        <v/>
      </c>
      <c r="AO263" s="3" t="str">
        <f ca="1">IF($BA263=42,OFFSET(변환표준점수!D$119,$AP263-1,0),"")</f>
        <v/>
      </c>
      <c r="AP263" s="3" t="str">
        <f>IF(S263="","",MATCH(S263,변환표준점수!$B$119:$B$298,0))</f>
        <v/>
      </c>
      <c r="AQ263" s="3">
        <v>2</v>
      </c>
      <c r="AR263" s="3">
        <v>2</v>
      </c>
      <c r="AS263" s="3">
        <v>2</v>
      </c>
      <c r="AV263" s="3">
        <v>2</v>
      </c>
      <c r="AX263" s="3">
        <v>3</v>
      </c>
      <c r="AY263" s="3">
        <v>3</v>
      </c>
      <c r="BA263" s="3">
        <f t="shared" si="421"/>
        <v>2</v>
      </c>
      <c r="BJ263" s="3">
        <f t="shared" si="422"/>
        <v>0</v>
      </c>
      <c r="CH263" s="206">
        <f t="shared" ca="1" si="423"/>
        <v>80</v>
      </c>
      <c r="CI263" s="56">
        <v>20</v>
      </c>
      <c r="CJ263" s="3">
        <v>19.600000000000001</v>
      </c>
      <c r="CK263" s="3">
        <v>18.8</v>
      </c>
      <c r="CL263" s="3">
        <v>17.2</v>
      </c>
      <c r="CM263" s="3">
        <v>14</v>
      </c>
      <c r="CN263" s="3">
        <v>10</v>
      </c>
      <c r="CO263" s="3">
        <v>6</v>
      </c>
      <c r="CP263" s="3">
        <v>2</v>
      </c>
      <c r="CQ263" s="3">
        <v>0</v>
      </c>
      <c r="CW263" s="3">
        <v>-0.5</v>
      </c>
      <c r="CX263" s="3">
        <v>-0.5</v>
      </c>
      <c r="CY263" s="3">
        <v>-1</v>
      </c>
      <c r="CZ263" s="3">
        <v>-1</v>
      </c>
      <c r="DJ263" s="3">
        <f t="shared" ca="1" si="424"/>
        <v>20</v>
      </c>
      <c r="DK263" s="3">
        <f t="shared" ca="1" si="425"/>
        <v>100</v>
      </c>
      <c r="DL263" s="3">
        <f t="shared" ca="1" si="426"/>
        <v>0</v>
      </c>
      <c r="DO263" s="3">
        <v>1</v>
      </c>
      <c r="EA263" s="3">
        <f t="shared" si="427"/>
        <v>2</v>
      </c>
      <c r="EB263" s="3">
        <f t="shared" si="428"/>
        <v>1</v>
      </c>
      <c r="EC263" s="3">
        <f t="shared" si="429"/>
        <v>0</v>
      </c>
      <c r="ED263" s="3">
        <f t="shared" si="430"/>
        <v>0</v>
      </c>
      <c r="EF263" s="3">
        <f t="shared" ca="1" si="431"/>
        <v>0</v>
      </c>
      <c r="EG263" s="3">
        <f t="shared" ca="1" si="432"/>
        <v>0</v>
      </c>
      <c r="EH263" s="3">
        <f ca="1">IFERROR(IF(LEFT($BA263,1)="4",OFFSET(변환표준점수!$H$118,MATCH($S263,변환표준점수!$B$119:$B$198,0),),OFFSET(EH$3,MATCH(AS263,$ED$4:$ED$8,0),0)),0)</f>
        <v>0</v>
      </c>
      <c r="EI263" s="3">
        <f ca="1">IFERROR(IF(LEFT($BA263,1)="4",OFFSET(변환표준점수!$I$118,MATCH($S263,변환표준점수!$B$119:$B$198,0),0),OFFSET(EI$3,MATCH(AT263,$ED$4:$ED$8,0),0)),0)</f>
        <v>0</v>
      </c>
      <c r="EK263" s="3">
        <f ca="1">IFERROR(IF(LEFT($BA263,1)="4",OFFSET(변환표준점수!$J$118,MATCH($S263,변환표준점수!$B$119:$B$198,0),0),OFFSET(EJ$3,MATCH(AV263,$ED$4:$ED$8,0),0)),0)</f>
        <v>0</v>
      </c>
      <c r="EL263" s="3">
        <f ca="1">IFERROR(IF(LEFT($BA263,1)="4",OFFSET(변환표준점수!$K$118,MATCH($S263,변환표준점수!$B$119:$B$198,0),0),OFFSET(EK$3,MATCH(AW263,$ED$4:$ED$8,0),0)),0)</f>
        <v>0</v>
      </c>
      <c r="EM263" s="3" t="str">
        <f t="shared" ca="1" si="433"/>
        <v/>
      </c>
      <c r="EN263" s="3" t="str">
        <f t="shared" ca="1" si="434"/>
        <v/>
      </c>
      <c r="EO263" s="3">
        <f t="shared" ca="1" si="435"/>
        <v>0</v>
      </c>
      <c r="EQ263" s="3">
        <f t="shared" ca="1" si="436"/>
        <v>0</v>
      </c>
      <c r="ER263" s="3">
        <f t="shared" ca="1" si="437"/>
        <v>0</v>
      </c>
      <c r="ES263" s="3">
        <f t="shared" ca="1" si="438"/>
        <v>0</v>
      </c>
      <c r="ET263" s="3">
        <f t="shared" si="439"/>
        <v>0</v>
      </c>
      <c r="EU263" s="3">
        <f t="shared" si="440"/>
        <v>0</v>
      </c>
      <c r="EV263" s="3">
        <f t="shared" ca="1" si="441"/>
        <v>0</v>
      </c>
      <c r="EW263" s="3">
        <f t="shared" si="442"/>
        <v>0</v>
      </c>
      <c r="EX263" s="3">
        <f ca="1">LARGE((ES263:ET263,EV263:EW263),1)</f>
        <v>0</v>
      </c>
      <c r="EY263" s="3">
        <f>IF(O263&lt;2,0,LARGE((ES263:ET263,EV263:EW263),2))</f>
        <v>0</v>
      </c>
      <c r="EZ263" s="3">
        <f t="shared" ca="1" si="443"/>
        <v>0</v>
      </c>
      <c r="FA263" s="3">
        <f t="shared" ca="1" si="444"/>
        <v>0</v>
      </c>
      <c r="FB263" s="3">
        <f t="shared" ca="1" si="445"/>
        <v>0</v>
      </c>
      <c r="FF263" s="3">
        <f ca="1">IF($BB$7=1,OFFSET(FG261,N263-1,0),0)</f>
        <v>0</v>
      </c>
      <c r="FG263" s="3">
        <f t="shared" ca="1" si="446"/>
        <v>0</v>
      </c>
      <c r="FH263" s="618" t="s">
        <v>7333</v>
      </c>
      <c r="FU263" s="3" t="str">
        <f t="shared" si="365"/>
        <v>백분위</v>
      </c>
      <c r="FV263" s="3" t="str">
        <f t="shared" si="366"/>
        <v>백분위</v>
      </c>
      <c r="FW263" s="3">
        <f t="shared" ca="1" si="447"/>
        <v>0.44</v>
      </c>
      <c r="FX263" s="3">
        <f t="shared" ca="1" si="448"/>
        <v>0.38</v>
      </c>
      <c r="FY263" s="3">
        <f t="shared" ca="1" si="449"/>
        <v>0.19</v>
      </c>
      <c r="FZ263" s="3">
        <f t="shared" ca="1" si="450"/>
        <v>0.79999999999999993</v>
      </c>
    </row>
    <row r="264" spans="1:182">
      <c r="A264" s="556">
        <v>26</v>
      </c>
      <c r="C264" s="3">
        <f t="shared" si="415"/>
        <v>249</v>
      </c>
      <c r="D264" s="3">
        <v>249</v>
      </c>
      <c r="E264" s="3" t="s">
        <v>465</v>
      </c>
      <c r="F264" s="3">
        <v>500</v>
      </c>
      <c r="G264" s="3">
        <v>0.2</v>
      </c>
      <c r="H264" s="3">
        <v>0.3</v>
      </c>
      <c r="I264" s="3">
        <v>0.15</v>
      </c>
      <c r="J264" s="3">
        <v>0.15</v>
      </c>
      <c r="L264" s="3">
        <v>0.15</v>
      </c>
      <c r="M264" s="3">
        <v>0.15</v>
      </c>
      <c r="O264" s="3">
        <v>2</v>
      </c>
      <c r="P264" s="3">
        <f t="shared" si="416"/>
        <v>0.8</v>
      </c>
      <c r="Q264" s="3" t="s">
        <v>408</v>
      </c>
      <c r="S264" s="3" t="str">
        <f t="shared" si="417"/>
        <v/>
      </c>
      <c r="W264" s="3">
        <f t="shared" si="418"/>
        <v>0</v>
      </c>
      <c r="Y264" s="3">
        <f t="shared" si="452"/>
        <v>1</v>
      </c>
      <c r="Z264" s="3">
        <f t="shared" si="453"/>
        <v>1.5</v>
      </c>
      <c r="AA264" s="3">
        <f t="shared" si="454"/>
        <v>0.75</v>
      </c>
      <c r="AB264" s="3">
        <f t="shared" si="455"/>
        <v>0.75</v>
      </c>
      <c r="AC264" s="3">
        <f t="shared" si="456"/>
        <v>1.5</v>
      </c>
      <c r="AD264" s="3">
        <f t="shared" si="457"/>
        <v>1</v>
      </c>
      <c r="AE264" s="3">
        <f t="shared" si="458"/>
        <v>1.5</v>
      </c>
      <c r="AF264" s="3">
        <f t="shared" si="459"/>
        <v>0.75</v>
      </c>
      <c r="AG264" s="3">
        <f t="shared" si="460"/>
        <v>0.75</v>
      </c>
      <c r="AH264" s="3" t="str">
        <f t="shared" si="419"/>
        <v>자동</v>
      </c>
      <c r="AI264" s="3">
        <f t="shared" si="461"/>
        <v>0.75</v>
      </c>
      <c r="AJ264" s="3">
        <f t="shared" si="462"/>
        <v>0.75</v>
      </c>
      <c r="AL264" s="3" t="str">
        <f t="shared" si="420"/>
        <v/>
      </c>
      <c r="AN264" s="3" t="str">
        <f ca="1">IF($BA264=42,OFFSET(변환표준점수!C$119,$AP264-1,0),"")</f>
        <v/>
      </c>
      <c r="AO264" s="3" t="str">
        <f ca="1">IF($BA264=42,OFFSET(변환표준점수!D$119,$AP264-1,0),"")</f>
        <v/>
      </c>
      <c r="AP264" s="3" t="str">
        <f>IF(S264="","",MATCH(S264,변환표준점수!$B$119:$B$298,0))</f>
        <v/>
      </c>
      <c r="AQ264" s="3">
        <v>2</v>
      </c>
      <c r="AR264" s="3">
        <v>2</v>
      </c>
      <c r="AS264" s="3">
        <v>2</v>
      </c>
      <c r="AT264" s="3">
        <v>2</v>
      </c>
      <c r="AV264" s="3">
        <v>2</v>
      </c>
      <c r="AW264" s="3">
        <v>2</v>
      </c>
      <c r="AX264" s="3">
        <v>3</v>
      </c>
      <c r="AY264" s="3">
        <v>3</v>
      </c>
      <c r="BA264" s="3">
        <f t="shared" si="421"/>
        <v>2</v>
      </c>
      <c r="BF264" s="3">
        <v>0.1</v>
      </c>
      <c r="BJ264" s="3">
        <f t="shared" si="422"/>
        <v>0</v>
      </c>
      <c r="BN264" s="212" t="s">
        <v>7334</v>
      </c>
      <c r="BS264" s="3">
        <f>BF264*(LARGE(AS$6:AT$6,1))</f>
        <v>0</v>
      </c>
      <c r="CH264" s="206">
        <f t="shared" si="423"/>
        <v>400</v>
      </c>
      <c r="CI264" s="56">
        <v>100</v>
      </c>
      <c r="CJ264" s="3">
        <v>97</v>
      </c>
      <c r="CK264" s="3">
        <v>94</v>
      </c>
      <c r="CL264" s="3">
        <v>85</v>
      </c>
      <c r="CM264" s="3">
        <v>60</v>
      </c>
      <c r="CN264" s="3">
        <v>40</v>
      </c>
      <c r="CO264" s="3">
        <v>25</v>
      </c>
      <c r="CP264" s="3">
        <v>10</v>
      </c>
      <c r="CQ264" s="3">
        <v>0</v>
      </c>
      <c r="CR264" s="56">
        <v>2</v>
      </c>
      <c r="CS264" s="3">
        <v>1.5</v>
      </c>
      <c r="CT264" s="3">
        <v>1</v>
      </c>
      <c r="CU264" s="3">
        <v>0.5</v>
      </c>
      <c r="DJ264" s="3">
        <f t="shared" ca="1" si="424"/>
        <v>100</v>
      </c>
      <c r="DK264" s="3">
        <f t="shared" ca="1" si="425"/>
        <v>100</v>
      </c>
      <c r="DL264" s="3">
        <f t="shared" ca="1" si="426"/>
        <v>2</v>
      </c>
      <c r="DO264" s="3">
        <v>2</v>
      </c>
      <c r="DZ264" s="3">
        <v>1</v>
      </c>
      <c r="EA264" s="3">
        <f t="shared" si="427"/>
        <v>1</v>
      </c>
      <c r="EB264" s="3">
        <f t="shared" si="428"/>
        <v>2</v>
      </c>
      <c r="EC264" s="3">
        <f t="shared" si="429"/>
        <v>0</v>
      </c>
      <c r="ED264" s="3">
        <f t="shared" si="430"/>
        <v>0</v>
      </c>
      <c r="EF264" s="3">
        <f t="shared" ca="1" si="431"/>
        <v>0</v>
      </c>
      <c r="EG264" s="3">
        <f t="shared" ca="1" si="432"/>
        <v>0</v>
      </c>
      <c r="EH264" s="3">
        <f ca="1">IFERROR(IF(LEFT($BA264,1)="4",OFFSET(변환표준점수!$H$118,MATCH($S264,변환표준점수!$B$119:$B$198,0),),OFFSET(EH$3,MATCH(AS264,$ED$4:$ED$8,0),0)),0)</f>
        <v>0</v>
      </c>
      <c r="EI264" s="3">
        <f ca="1">IFERROR(IF(LEFT($BA264,1)="4",OFFSET(변환표준점수!$I$118,MATCH($S264,변환표준점수!$B$119:$B$198,0),0),OFFSET(EI$3,MATCH(AT264,$ED$4:$ED$8,0),0)),0)</f>
        <v>0</v>
      </c>
      <c r="EK264" s="3">
        <f ca="1">IFERROR(IF(LEFT($BA264,1)="4",OFFSET(변환표준점수!$J$118,MATCH($S264,변환표준점수!$B$119:$B$198,0),0),OFFSET(EJ$3,MATCH(AV264,$ED$4:$ED$8,0),0)),0)</f>
        <v>0</v>
      </c>
      <c r="EL264" s="3">
        <f ca="1">IFERROR(IF(LEFT($BA264,1)="4",OFFSET(변환표준점수!$K$118,MATCH($S264,변환표준점수!$B$119:$B$198,0),0),OFFSET(EK$3,MATCH(AW264,$ED$4:$ED$8,0),0)),0)</f>
        <v>0</v>
      </c>
      <c r="EM264" s="3" t="str">
        <f t="shared" ca="1" si="433"/>
        <v/>
      </c>
      <c r="EN264" s="3" t="str">
        <f t="shared" ca="1" si="434"/>
        <v/>
      </c>
      <c r="EO264" s="3">
        <f t="shared" ca="1" si="435"/>
        <v>0</v>
      </c>
      <c r="EQ264" s="3">
        <f t="shared" ca="1" si="436"/>
        <v>0</v>
      </c>
      <c r="ER264" s="3">
        <f t="shared" ca="1" si="437"/>
        <v>0</v>
      </c>
      <c r="ES264" s="3">
        <f t="shared" ca="1" si="438"/>
        <v>0</v>
      </c>
      <c r="ET264" s="3">
        <f t="shared" ca="1" si="439"/>
        <v>0</v>
      </c>
      <c r="EU264" s="3">
        <f t="shared" si="440"/>
        <v>0</v>
      </c>
      <c r="EV264" s="3">
        <f t="shared" ca="1" si="441"/>
        <v>0</v>
      </c>
      <c r="EW264" s="3">
        <f t="shared" ca="1" si="442"/>
        <v>0</v>
      </c>
      <c r="EX264" s="3">
        <f ca="1">LARGE((ES264:ET264,EV264:EW264),1)</f>
        <v>0</v>
      </c>
      <c r="EY264" s="3">
        <f ca="1">IF(O264&lt;2,0,LARGE((ES264:ET264,EV264:EW264),2))</f>
        <v>0</v>
      </c>
      <c r="EZ264" s="3">
        <f t="shared" ca="1" si="443"/>
        <v>0</v>
      </c>
      <c r="FA264" s="3">
        <f t="shared" ca="1" si="444"/>
        <v>0</v>
      </c>
      <c r="FB264" s="3">
        <f t="shared" ca="1" si="445"/>
        <v>0</v>
      </c>
      <c r="FG264" s="3">
        <f t="shared" ca="1" si="446"/>
        <v>0</v>
      </c>
      <c r="FH264" s="618"/>
      <c r="FK264" s="3">
        <v>2</v>
      </c>
      <c r="FU264" s="3" t="str">
        <f t="shared" si="365"/>
        <v>백분위</v>
      </c>
      <c r="FV264" s="3" t="str">
        <f t="shared" si="366"/>
        <v>백분위</v>
      </c>
      <c r="FW264" s="3">
        <f t="shared" si="447"/>
        <v>0.25</v>
      </c>
      <c r="FX264" s="3">
        <f t="shared" si="448"/>
        <v>0.38</v>
      </c>
      <c r="FY264" s="3">
        <f t="shared" si="449"/>
        <v>0.38</v>
      </c>
      <c r="FZ264" s="3">
        <f t="shared" si="450"/>
        <v>4</v>
      </c>
    </row>
    <row r="265" spans="1:182">
      <c r="A265" s="556">
        <v>26</v>
      </c>
      <c r="C265" s="3">
        <f t="shared" si="415"/>
        <v>250</v>
      </c>
      <c r="D265" s="3">
        <v>250</v>
      </c>
      <c r="E265" s="3" t="s">
        <v>466</v>
      </c>
      <c r="F265" s="3">
        <v>500</v>
      </c>
      <c r="G265" s="3">
        <v>0.2</v>
      </c>
      <c r="H265" s="3">
        <v>0.3</v>
      </c>
      <c r="I265" s="3">
        <v>0.15</v>
      </c>
      <c r="J265" s="3">
        <v>0.15</v>
      </c>
      <c r="L265" s="3">
        <v>0.15</v>
      </c>
      <c r="M265" s="3">
        <v>0.15</v>
      </c>
      <c r="O265" s="3">
        <v>2</v>
      </c>
      <c r="P265" s="3">
        <f t="shared" si="416"/>
        <v>0.8</v>
      </c>
      <c r="Q265" s="3" t="s">
        <v>408</v>
      </c>
      <c r="S265" s="3" t="str">
        <f t="shared" si="417"/>
        <v/>
      </c>
      <c r="W265" s="3">
        <f t="shared" si="418"/>
        <v>0</v>
      </c>
      <c r="Y265" s="3">
        <f t="shared" si="452"/>
        <v>1</v>
      </c>
      <c r="Z265" s="3">
        <f t="shared" si="453"/>
        <v>1.5</v>
      </c>
      <c r="AA265" s="3">
        <f t="shared" si="454"/>
        <v>0.75</v>
      </c>
      <c r="AB265" s="3">
        <f t="shared" si="455"/>
        <v>0.75</v>
      </c>
      <c r="AC265" s="3">
        <f t="shared" si="456"/>
        <v>1.5</v>
      </c>
      <c r="AD265" s="3">
        <f t="shared" si="457"/>
        <v>1</v>
      </c>
      <c r="AE265" s="3">
        <f t="shared" si="458"/>
        <v>1.5</v>
      </c>
      <c r="AF265" s="3">
        <f t="shared" si="459"/>
        <v>0.75</v>
      </c>
      <c r="AG265" s="3">
        <f t="shared" si="460"/>
        <v>0.75</v>
      </c>
      <c r="AH265" s="3" t="str">
        <f t="shared" si="419"/>
        <v>자동</v>
      </c>
      <c r="AI265" s="3">
        <f t="shared" si="461"/>
        <v>0.75</v>
      </c>
      <c r="AJ265" s="3">
        <f t="shared" si="462"/>
        <v>0.75</v>
      </c>
      <c r="AL265" s="3" t="str">
        <f t="shared" si="420"/>
        <v/>
      </c>
      <c r="AN265" s="3" t="str">
        <f ca="1">IF($BA265=42,OFFSET(변환표준점수!C$119,$AP265-1,0),"")</f>
        <v/>
      </c>
      <c r="AO265" s="3" t="str">
        <f ca="1">IF($BA265=42,OFFSET(변환표준점수!D$119,$AP265-1,0),"")</f>
        <v/>
      </c>
      <c r="AP265" s="3" t="str">
        <f>IF(S265="","",MATCH(S265,변환표준점수!$B$119:$B$298,0))</f>
        <v/>
      </c>
      <c r="AQ265" s="3">
        <v>2</v>
      </c>
      <c r="AR265" s="3">
        <v>2</v>
      </c>
      <c r="AS265" s="3">
        <v>2</v>
      </c>
      <c r="AT265" s="3">
        <v>2</v>
      </c>
      <c r="AV265" s="3">
        <v>2</v>
      </c>
      <c r="AW265" s="3">
        <v>2</v>
      </c>
      <c r="AX265" s="3">
        <v>3</v>
      </c>
      <c r="AY265" s="3">
        <v>3</v>
      </c>
      <c r="BA265" s="3">
        <f t="shared" si="421"/>
        <v>2</v>
      </c>
      <c r="BF265" s="3">
        <v>0.1</v>
      </c>
      <c r="BJ265" s="3">
        <f t="shared" si="422"/>
        <v>0</v>
      </c>
      <c r="BN265" s="212" t="s">
        <v>7334</v>
      </c>
      <c r="BS265" s="3">
        <f>BF265*(LARGE(AS$6:AT$6,1))</f>
        <v>0</v>
      </c>
      <c r="CH265" s="206">
        <f t="shared" si="423"/>
        <v>400</v>
      </c>
      <c r="CI265" s="56">
        <v>100</v>
      </c>
      <c r="CJ265" s="3">
        <v>97</v>
      </c>
      <c r="CK265" s="3">
        <v>94</v>
      </c>
      <c r="CL265" s="3">
        <v>85</v>
      </c>
      <c r="CM265" s="3">
        <v>60</v>
      </c>
      <c r="CN265" s="3">
        <v>40</v>
      </c>
      <c r="CO265" s="3">
        <v>25</v>
      </c>
      <c r="CP265" s="3">
        <v>10</v>
      </c>
      <c r="CQ265" s="3">
        <v>0</v>
      </c>
      <c r="CR265" s="56">
        <v>2</v>
      </c>
      <c r="CS265" s="3">
        <v>1.5</v>
      </c>
      <c r="CT265" s="3">
        <v>1</v>
      </c>
      <c r="CU265" s="3">
        <v>0.5</v>
      </c>
      <c r="DJ265" s="3">
        <f t="shared" ca="1" si="424"/>
        <v>100</v>
      </c>
      <c r="DK265" s="3">
        <f t="shared" ca="1" si="425"/>
        <v>100</v>
      </c>
      <c r="DL265" s="3">
        <f t="shared" ca="1" si="426"/>
        <v>2</v>
      </c>
      <c r="DO265" s="3">
        <v>2</v>
      </c>
      <c r="DZ265" s="3">
        <v>1</v>
      </c>
      <c r="EA265" s="3">
        <f t="shared" si="427"/>
        <v>1</v>
      </c>
      <c r="EB265" s="3">
        <f t="shared" si="428"/>
        <v>2</v>
      </c>
      <c r="EC265" s="3">
        <f t="shared" si="429"/>
        <v>0</v>
      </c>
      <c r="ED265" s="3">
        <f t="shared" si="430"/>
        <v>0</v>
      </c>
      <c r="EF265" s="3">
        <f t="shared" ca="1" si="431"/>
        <v>0</v>
      </c>
      <c r="EG265" s="3">
        <f t="shared" ca="1" si="432"/>
        <v>0</v>
      </c>
      <c r="EH265" s="3">
        <f ca="1">IFERROR(IF(LEFT($BA265,1)="4",OFFSET(변환표준점수!$H$118,MATCH($S265,변환표준점수!$B$119:$B$198,0),),OFFSET(EH$3,MATCH(AS265,$ED$4:$ED$8,0),0)),0)</f>
        <v>0</v>
      </c>
      <c r="EI265" s="3">
        <f ca="1">IFERROR(IF(LEFT($BA265,1)="4",OFFSET(변환표준점수!$I$118,MATCH($S265,변환표준점수!$B$119:$B$198,0),0),OFFSET(EI$3,MATCH(AT265,$ED$4:$ED$8,0),0)),0)</f>
        <v>0</v>
      </c>
      <c r="EK265" s="3">
        <f ca="1">IFERROR(IF(LEFT($BA265,1)="4",OFFSET(변환표준점수!$J$118,MATCH($S265,변환표준점수!$B$119:$B$198,0),0),OFFSET(EJ$3,MATCH(AV265,$ED$4:$ED$8,0),0)),0)</f>
        <v>0</v>
      </c>
      <c r="EL265" s="3">
        <f ca="1">IFERROR(IF(LEFT($BA265,1)="4",OFFSET(변환표준점수!$K$118,MATCH($S265,변환표준점수!$B$119:$B$198,0),0),OFFSET(EK$3,MATCH(AW265,$ED$4:$ED$8,0),0)),0)</f>
        <v>0</v>
      </c>
      <c r="EM265" s="3" t="str">
        <f t="shared" ca="1" si="433"/>
        <v/>
      </c>
      <c r="EN265" s="3" t="str">
        <f t="shared" ca="1" si="434"/>
        <v/>
      </c>
      <c r="EO265" s="3">
        <f t="shared" ca="1" si="435"/>
        <v>0</v>
      </c>
      <c r="EQ265" s="3">
        <f t="shared" ca="1" si="436"/>
        <v>0</v>
      </c>
      <c r="ER265" s="3">
        <f t="shared" ca="1" si="437"/>
        <v>0</v>
      </c>
      <c r="ES265" s="3">
        <f t="shared" ca="1" si="438"/>
        <v>0</v>
      </c>
      <c r="ET265" s="3">
        <f t="shared" ca="1" si="439"/>
        <v>0</v>
      </c>
      <c r="EU265" s="3">
        <f t="shared" si="440"/>
        <v>0</v>
      </c>
      <c r="EV265" s="3">
        <f t="shared" ca="1" si="441"/>
        <v>0</v>
      </c>
      <c r="EW265" s="3">
        <f t="shared" ca="1" si="442"/>
        <v>0</v>
      </c>
      <c r="EX265" s="3">
        <f ca="1">LARGE((ES265:ET265,EV265:EW265),1)</f>
        <v>0</v>
      </c>
      <c r="EY265" s="3">
        <f ca="1">IF(O265&lt;2,0,LARGE((ES265:ET265,EV265:EW265),2))</f>
        <v>0</v>
      </c>
      <c r="EZ265" s="3">
        <f t="shared" ca="1" si="443"/>
        <v>0</v>
      </c>
      <c r="FA265" s="3">
        <f t="shared" ca="1" si="444"/>
        <v>0</v>
      </c>
      <c r="FB265" s="3">
        <f t="shared" ca="1" si="445"/>
        <v>0</v>
      </c>
      <c r="FG265" s="3">
        <f t="shared" ca="1" si="446"/>
        <v>0</v>
      </c>
      <c r="FH265" s="618"/>
      <c r="FK265" s="3">
        <v>2</v>
      </c>
      <c r="FU265" s="3" t="str">
        <f t="shared" si="365"/>
        <v>백분위</v>
      </c>
      <c r="FV265" s="3" t="str">
        <f t="shared" si="366"/>
        <v>백분위</v>
      </c>
      <c r="FW265" s="3">
        <f t="shared" si="447"/>
        <v>0.25</v>
      </c>
      <c r="FX265" s="3">
        <f t="shared" si="448"/>
        <v>0.38</v>
      </c>
      <c r="FY265" s="3">
        <f t="shared" si="449"/>
        <v>0.38</v>
      </c>
      <c r="FZ265" s="3">
        <f t="shared" si="450"/>
        <v>4</v>
      </c>
    </row>
    <row r="266" spans="1:182">
      <c r="A266" s="556">
        <v>26</v>
      </c>
      <c r="C266" s="3">
        <f t="shared" si="415"/>
        <v>251</v>
      </c>
      <c r="D266" s="3">
        <v>251</v>
      </c>
      <c r="E266" s="3" t="s">
        <v>467</v>
      </c>
      <c r="F266" s="3">
        <v>500</v>
      </c>
      <c r="G266" s="3">
        <v>0.1</v>
      </c>
      <c r="H266" s="3">
        <v>0.35</v>
      </c>
      <c r="I266" s="3">
        <v>0.125</v>
      </c>
      <c r="J266" s="3">
        <v>0.125</v>
      </c>
      <c r="L266" s="3">
        <v>0.125</v>
      </c>
      <c r="M266" s="3">
        <v>0.125</v>
      </c>
      <c r="O266" s="3">
        <v>2</v>
      </c>
      <c r="P266" s="3">
        <f t="shared" si="416"/>
        <v>0.7</v>
      </c>
      <c r="Q266" s="3" t="s">
        <v>408</v>
      </c>
      <c r="S266" s="3" t="str">
        <f t="shared" si="417"/>
        <v/>
      </c>
      <c r="W266" s="3">
        <f t="shared" si="418"/>
        <v>0</v>
      </c>
      <c r="Y266" s="3">
        <f t="shared" si="452"/>
        <v>0.5</v>
      </c>
      <c r="Z266" s="3">
        <f t="shared" si="453"/>
        <v>1.75</v>
      </c>
      <c r="AA266" s="3">
        <f t="shared" si="454"/>
        <v>0.625</v>
      </c>
      <c r="AB266" s="3">
        <f t="shared" si="455"/>
        <v>0.625</v>
      </c>
      <c r="AC266" s="3">
        <f t="shared" si="456"/>
        <v>1.25</v>
      </c>
      <c r="AD266" s="3">
        <f t="shared" si="457"/>
        <v>0.5</v>
      </c>
      <c r="AE266" s="3">
        <f t="shared" si="458"/>
        <v>1.75</v>
      </c>
      <c r="AF266" s="3">
        <f t="shared" si="459"/>
        <v>0.625</v>
      </c>
      <c r="AG266" s="3">
        <f t="shared" si="460"/>
        <v>0.625</v>
      </c>
      <c r="AH266" s="3" t="str">
        <f t="shared" si="419"/>
        <v>자동</v>
      </c>
      <c r="AI266" s="3">
        <f t="shared" si="461"/>
        <v>0.625</v>
      </c>
      <c r="AJ266" s="3">
        <f t="shared" si="462"/>
        <v>0.625</v>
      </c>
      <c r="AL266" s="3" t="str">
        <f t="shared" si="420"/>
        <v/>
      </c>
      <c r="AN266" s="3" t="str">
        <f ca="1">IF($BA266=42,OFFSET(변환표준점수!C$119,$AP266-1,0),"")</f>
        <v/>
      </c>
      <c r="AO266" s="3" t="str">
        <f ca="1">IF($BA266=42,OFFSET(변환표준점수!D$119,$AP266-1,0),"")</f>
        <v/>
      </c>
      <c r="AP266" s="3" t="str">
        <f>IF(S266="","",MATCH(S266,변환표준점수!$B$119:$B$298,0))</f>
        <v/>
      </c>
      <c r="AQ266" s="3">
        <v>2</v>
      </c>
      <c r="AR266" s="3">
        <v>2</v>
      </c>
      <c r="AS266" s="3">
        <v>2</v>
      </c>
      <c r="AT266" s="3">
        <v>2</v>
      </c>
      <c r="AV266" s="3">
        <v>2</v>
      </c>
      <c r="AW266" s="3">
        <v>2</v>
      </c>
      <c r="AX266" s="3">
        <v>3</v>
      </c>
      <c r="AY266" s="3">
        <v>3</v>
      </c>
      <c r="BA266" s="3">
        <f t="shared" si="421"/>
        <v>2</v>
      </c>
      <c r="BF266" s="3">
        <v>0.1</v>
      </c>
      <c r="BJ266" s="3">
        <f t="shared" si="422"/>
        <v>0</v>
      </c>
      <c r="BN266" s="212" t="s">
        <v>7334</v>
      </c>
      <c r="BS266" s="3">
        <f>BF266*(LARGE(AS$6:AT$6,1))</f>
        <v>0</v>
      </c>
      <c r="CH266" s="206">
        <f t="shared" si="423"/>
        <v>350</v>
      </c>
      <c r="CI266" s="56">
        <v>150</v>
      </c>
      <c r="CJ266" s="3">
        <v>145.5</v>
      </c>
      <c r="CK266" s="3">
        <v>141</v>
      </c>
      <c r="CL266" s="3">
        <v>127.5</v>
      </c>
      <c r="CM266" s="3">
        <v>90</v>
      </c>
      <c r="CN266" s="3">
        <v>60</v>
      </c>
      <c r="CO266" s="3">
        <v>37.5</v>
      </c>
      <c r="CP266" s="3">
        <v>15</v>
      </c>
      <c r="CQ266" s="3">
        <v>0</v>
      </c>
      <c r="CR266" s="56">
        <v>2</v>
      </c>
      <c r="CS266" s="3">
        <v>1.5</v>
      </c>
      <c r="CT266" s="3">
        <v>1</v>
      </c>
      <c r="CU266" s="3">
        <v>0.5</v>
      </c>
      <c r="DJ266" s="3">
        <f t="shared" ca="1" si="424"/>
        <v>150</v>
      </c>
      <c r="DK266" s="3">
        <f t="shared" ca="1" si="425"/>
        <v>100</v>
      </c>
      <c r="DL266" s="3">
        <f t="shared" ca="1" si="426"/>
        <v>2</v>
      </c>
      <c r="DO266" s="3">
        <v>2</v>
      </c>
      <c r="DZ266" s="3">
        <v>1</v>
      </c>
      <c r="EA266" s="3">
        <f t="shared" si="427"/>
        <v>1</v>
      </c>
      <c r="EB266" s="3">
        <f t="shared" si="428"/>
        <v>2</v>
      </c>
      <c r="EC266" s="3">
        <f t="shared" si="429"/>
        <v>0</v>
      </c>
      <c r="ED266" s="3">
        <f t="shared" si="430"/>
        <v>0</v>
      </c>
      <c r="EF266" s="3">
        <f t="shared" ca="1" si="431"/>
        <v>0</v>
      </c>
      <c r="EG266" s="3">
        <f t="shared" ca="1" si="432"/>
        <v>0</v>
      </c>
      <c r="EH266" s="3">
        <f ca="1">IFERROR(IF(LEFT($BA266,1)="4",OFFSET(변환표준점수!$H$118,MATCH($S266,변환표준점수!$B$119:$B$198,0),),OFFSET(EH$3,MATCH(AS266,$ED$4:$ED$8,0),0)),0)</f>
        <v>0</v>
      </c>
      <c r="EI266" s="3">
        <f ca="1">IFERROR(IF(LEFT($BA266,1)="4",OFFSET(변환표준점수!$I$118,MATCH($S266,변환표준점수!$B$119:$B$198,0),0),OFFSET(EI$3,MATCH(AT266,$ED$4:$ED$8,0),0)),0)</f>
        <v>0</v>
      </c>
      <c r="EK266" s="3">
        <f ca="1">IFERROR(IF(LEFT($BA266,1)="4",OFFSET(변환표준점수!$J$118,MATCH($S266,변환표준점수!$B$119:$B$198,0),0),OFFSET(EJ$3,MATCH(AV266,$ED$4:$ED$8,0),0)),0)</f>
        <v>0</v>
      </c>
      <c r="EL266" s="3">
        <f ca="1">IFERROR(IF(LEFT($BA266,1)="4",OFFSET(변환표준점수!$K$118,MATCH($S266,변환표준점수!$B$119:$B$198,0),0),OFFSET(EK$3,MATCH(AW266,$ED$4:$ED$8,0),0)),0)</f>
        <v>0</v>
      </c>
      <c r="EM266" s="3" t="str">
        <f t="shared" ca="1" si="433"/>
        <v/>
      </c>
      <c r="EN266" s="3" t="str">
        <f t="shared" ca="1" si="434"/>
        <v/>
      </c>
      <c r="EO266" s="3">
        <f t="shared" ca="1" si="435"/>
        <v>0</v>
      </c>
      <c r="EQ266" s="3">
        <f t="shared" ca="1" si="436"/>
        <v>0</v>
      </c>
      <c r="ER266" s="3">
        <f t="shared" ca="1" si="437"/>
        <v>0</v>
      </c>
      <c r="ES266" s="3">
        <f t="shared" ca="1" si="438"/>
        <v>0</v>
      </c>
      <c r="ET266" s="3">
        <f t="shared" ca="1" si="439"/>
        <v>0</v>
      </c>
      <c r="EU266" s="3">
        <f t="shared" si="440"/>
        <v>0</v>
      </c>
      <c r="EV266" s="3">
        <f t="shared" ca="1" si="441"/>
        <v>0</v>
      </c>
      <c r="EW266" s="3">
        <f t="shared" ca="1" si="442"/>
        <v>0</v>
      </c>
      <c r="EX266" s="3">
        <f ca="1">LARGE((ES266:ET266,EV266:EW266),1)</f>
        <v>0</v>
      </c>
      <c r="EY266" s="3">
        <f ca="1">IF(O266&lt;2,0,LARGE((ES266:ET266,EV266:EW266),2))</f>
        <v>0</v>
      </c>
      <c r="EZ266" s="3">
        <f t="shared" ca="1" si="443"/>
        <v>0</v>
      </c>
      <c r="FA266" s="3">
        <f t="shared" ca="1" si="444"/>
        <v>0</v>
      </c>
      <c r="FB266" s="3">
        <f t="shared" ca="1" si="445"/>
        <v>0</v>
      </c>
      <c r="FG266" s="3">
        <f t="shared" ca="1" si="446"/>
        <v>0</v>
      </c>
      <c r="FH266" s="618"/>
      <c r="FK266" s="3">
        <v>2</v>
      </c>
      <c r="FU266" s="3" t="str">
        <f t="shared" si="365"/>
        <v>백분위</v>
      </c>
      <c r="FV266" s="3" t="str">
        <f t="shared" si="366"/>
        <v>백분위</v>
      </c>
      <c r="FW266" s="3">
        <f t="shared" si="447"/>
        <v>0.14000000000000001</v>
      </c>
      <c r="FX266" s="3">
        <f t="shared" si="448"/>
        <v>0.5</v>
      </c>
      <c r="FY266" s="3">
        <f t="shared" si="449"/>
        <v>0.36</v>
      </c>
      <c r="FZ266" s="3">
        <f t="shared" si="450"/>
        <v>3.5</v>
      </c>
    </row>
    <row r="267" spans="1:182">
      <c r="A267" s="556">
        <v>26</v>
      </c>
      <c r="C267" s="3">
        <f t="shared" si="415"/>
        <v>252</v>
      </c>
      <c r="D267" s="3">
        <v>252</v>
      </c>
      <c r="E267" s="3" t="s">
        <v>468</v>
      </c>
      <c r="F267" s="3">
        <v>500</v>
      </c>
      <c r="G267" s="3">
        <v>0.3</v>
      </c>
      <c r="H267" s="3">
        <v>0.2</v>
      </c>
      <c r="I267" s="3">
        <v>0.1</v>
      </c>
      <c r="J267" s="3">
        <v>0.1</v>
      </c>
      <c r="L267" s="3">
        <v>0.1</v>
      </c>
      <c r="M267" s="3">
        <v>0.1</v>
      </c>
      <c r="O267" s="3">
        <v>2</v>
      </c>
      <c r="P267" s="3">
        <f t="shared" si="416"/>
        <v>0.7</v>
      </c>
      <c r="Q267" s="3" t="s">
        <v>408</v>
      </c>
      <c r="S267" s="3" t="str">
        <f t="shared" si="417"/>
        <v/>
      </c>
      <c r="W267" s="3">
        <f t="shared" si="418"/>
        <v>0</v>
      </c>
      <c r="Y267" s="3">
        <f t="shared" si="452"/>
        <v>1.5</v>
      </c>
      <c r="Z267" s="3">
        <f t="shared" si="453"/>
        <v>1</v>
      </c>
      <c r="AA267" s="3">
        <f t="shared" si="454"/>
        <v>0.5</v>
      </c>
      <c r="AB267" s="3">
        <f t="shared" si="455"/>
        <v>0.5</v>
      </c>
      <c r="AC267" s="3">
        <f t="shared" si="456"/>
        <v>1</v>
      </c>
      <c r="AD267" s="3">
        <f t="shared" si="457"/>
        <v>1.5</v>
      </c>
      <c r="AE267" s="3">
        <f t="shared" si="458"/>
        <v>1</v>
      </c>
      <c r="AF267" s="3">
        <f t="shared" si="459"/>
        <v>0.5</v>
      </c>
      <c r="AG267" s="3">
        <f t="shared" si="460"/>
        <v>0.5</v>
      </c>
      <c r="AH267" s="3" t="str">
        <f t="shared" si="419"/>
        <v>자동</v>
      </c>
      <c r="AI267" s="3">
        <f t="shared" si="461"/>
        <v>0.5</v>
      </c>
      <c r="AJ267" s="3">
        <f t="shared" si="462"/>
        <v>0.5</v>
      </c>
      <c r="AL267" s="3" t="str">
        <f t="shared" si="420"/>
        <v/>
      </c>
      <c r="AN267" s="3" t="str">
        <f ca="1">IF($BA267=42,OFFSET(변환표준점수!C$119,$AP267-1,0),"")</f>
        <v/>
      </c>
      <c r="AO267" s="3" t="str">
        <f ca="1">IF($BA267=42,OFFSET(변환표준점수!D$119,$AP267-1,0),"")</f>
        <v/>
      </c>
      <c r="AP267" s="3" t="str">
        <f>IF(S267="","",MATCH(S267,변환표준점수!$B$119:$B$298,0))</f>
        <v/>
      </c>
      <c r="AQ267" s="3">
        <v>2</v>
      </c>
      <c r="AR267" s="3">
        <v>2</v>
      </c>
      <c r="AS267" s="3">
        <v>2</v>
      </c>
      <c r="AT267" s="3">
        <v>2</v>
      </c>
      <c r="AV267" s="3">
        <v>2</v>
      </c>
      <c r="AW267" s="3">
        <v>2</v>
      </c>
      <c r="AX267" s="3">
        <v>3</v>
      </c>
      <c r="AY267" s="3">
        <v>3</v>
      </c>
      <c r="BA267" s="3">
        <f t="shared" si="421"/>
        <v>2</v>
      </c>
      <c r="BJ267" s="3">
        <f t="shared" si="422"/>
        <v>0</v>
      </c>
      <c r="CH267" s="206">
        <f t="shared" si="423"/>
        <v>350</v>
      </c>
      <c r="CI267" s="56">
        <v>150</v>
      </c>
      <c r="CJ267" s="3">
        <v>145.5</v>
      </c>
      <c r="CK267" s="3">
        <v>141</v>
      </c>
      <c r="CL267" s="3">
        <v>127.5</v>
      </c>
      <c r="CM267" s="3">
        <v>90</v>
      </c>
      <c r="CN267" s="3">
        <v>60</v>
      </c>
      <c r="CO267" s="3">
        <v>37.5</v>
      </c>
      <c r="CP267" s="3">
        <v>15</v>
      </c>
      <c r="CQ267" s="3">
        <v>0</v>
      </c>
      <c r="CR267" s="56">
        <v>2</v>
      </c>
      <c r="CS267" s="3">
        <v>1.5</v>
      </c>
      <c r="CT267" s="3">
        <v>1</v>
      </c>
      <c r="CU267" s="3">
        <v>0.5</v>
      </c>
      <c r="DJ267" s="3">
        <f t="shared" ca="1" si="424"/>
        <v>150</v>
      </c>
      <c r="DK267" s="3">
        <f t="shared" ca="1" si="425"/>
        <v>100</v>
      </c>
      <c r="DL267" s="3">
        <f t="shared" ca="1" si="426"/>
        <v>2</v>
      </c>
      <c r="DO267" s="3">
        <v>2</v>
      </c>
      <c r="EA267" s="3">
        <f t="shared" si="427"/>
        <v>2</v>
      </c>
      <c r="EB267" s="3">
        <f t="shared" si="428"/>
        <v>2</v>
      </c>
      <c r="EC267" s="3">
        <f t="shared" si="429"/>
        <v>0</v>
      </c>
      <c r="ED267" s="3">
        <f t="shared" si="430"/>
        <v>0</v>
      </c>
      <c r="EF267" s="3">
        <f t="shared" ca="1" si="431"/>
        <v>0</v>
      </c>
      <c r="EG267" s="3">
        <f t="shared" ca="1" si="432"/>
        <v>0</v>
      </c>
      <c r="EH267" s="3">
        <f ca="1">IFERROR(IF(LEFT($BA267,1)="4",OFFSET(변환표준점수!$H$118,MATCH($S267,변환표준점수!$B$119:$B$198,0),),OFFSET(EH$3,MATCH(AS267,$ED$4:$ED$8,0),0)),0)</f>
        <v>0</v>
      </c>
      <c r="EI267" s="3">
        <f ca="1">IFERROR(IF(LEFT($BA267,1)="4",OFFSET(변환표준점수!$I$118,MATCH($S267,변환표준점수!$B$119:$B$198,0),0),OFFSET(EI$3,MATCH(AT267,$ED$4:$ED$8,0),0)),0)</f>
        <v>0</v>
      </c>
      <c r="EK267" s="3">
        <f ca="1">IFERROR(IF(LEFT($BA267,1)="4",OFFSET(변환표준점수!$J$118,MATCH($S267,변환표준점수!$B$119:$B$198,0),0),OFFSET(EJ$3,MATCH(AV267,$ED$4:$ED$8,0),0)),0)</f>
        <v>0</v>
      </c>
      <c r="EL267" s="3">
        <f ca="1">IFERROR(IF(LEFT($BA267,1)="4",OFFSET(변환표준점수!$K$118,MATCH($S267,변환표준점수!$B$119:$B$198,0),0),OFFSET(EK$3,MATCH(AW267,$ED$4:$ED$8,0),0)),0)</f>
        <v>0</v>
      </c>
      <c r="EM267" s="3" t="str">
        <f t="shared" ca="1" si="433"/>
        <v/>
      </c>
      <c r="EN267" s="3" t="str">
        <f t="shared" ca="1" si="434"/>
        <v/>
      </c>
      <c r="EO267" s="3">
        <f t="shared" ca="1" si="435"/>
        <v>0</v>
      </c>
      <c r="EQ267" s="3">
        <f t="shared" ca="1" si="436"/>
        <v>0</v>
      </c>
      <c r="ER267" s="3">
        <f t="shared" ca="1" si="437"/>
        <v>0</v>
      </c>
      <c r="ES267" s="3">
        <f t="shared" ca="1" si="438"/>
        <v>0</v>
      </c>
      <c r="ET267" s="3">
        <f t="shared" ca="1" si="439"/>
        <v>0</v>
      </c>
      <c r="EU267" s="3">
        <f t="shared" si="440"/>
        <v>0</v>
      </c>
      <c r="EV267" s="3">
        <f t="shared" ca="1" si="441"/>
        <v>0</v>
      </c>
      <c r="EW267" s="3">
        <f t="shared" ca="1" si="442"/>
        <v>0</v>
      </c>
      <c r="EX267" s="3">
        <f ca="1">LARGE((ES267:ET267,EV267:EW267),1)</f>
        <v>0</v>
      </c>
      <c r="EY267" s="3">
        <f ca="1">IF(O267&lt;2,0,LARGE((ES267:ET267,EV267:EW267),2))</f>
        <v>0</v>
      </c>
      <c r="EZ267" s="3">
        <f t="shared" ca="1" si="443"/>
        <v>0</v>
      </c>
      <c r="FA267" s="3">
        <f t="shared" ca="1" si="444"/>
        <v>0</v>
      </c>
      <c r="FB267" s="3">
        <f t="shared" ca="1" si="445"/>
        <v>0</v>
      </c>
      <c r="FG267" s="3">
        <f t="shared" ca="1" si="446"/>
        <v>0</v>
      </c>
      <c r="FH267" s="618"/>
      <c r="FU267" s="3" t="str">
        <f t="shared" si="365"/>
        <v>백분위</v>
      </c>
      <c r="FV267" s="3" t="str">
        <f t="shared" si="366"/>
        <v>백분위</v>
      </c>
      <c r="FW267" s="3">
        <f t="shared" si="447"/>
        <v>0.43</v>
      </c>
      <c r="FX267" s="3">
        <f t="shared" si="448"/>
        <v>0.28999999999999998</v>
      </c>
      <c r="FY267" s="3">
        <f t="shared" si="449"/>
        <v>0.28999999999999998</v>
      </c>
      <c r="FZ267" s="3">
        <f t="shared" si="450"/>
        <v>3.5</v>
      </c>
    </row>
    <row r="268" spans="1:182">
      <c r="A268" s="556">
        <v>26</v>
      </c>
      <c r="C268" s="3">
        <f t="shared" si="415"/>
        <v>253</v>
      </c>
      <c r="D268" s="3">
        <v>253</v>
      </c>
      <c r="E268" s="3" t="s">
        <v>469</v>
      </c>
      <c r="F268" s="3">
        <v>500</v>
      </c>
      <c r="G268" s="3">
        <v>0.3</v>
      </c>
      <c r="H268" s="3">
        <v>0.25</v>
      </c>
      <c r="I268" s="3">
        <v>0.125</v>
      </c>
      <c r="J268" s="3">
        <v>0.125</v>
      </c>
      <c r="L268" s="3">
        <v>0.125</v>
      </c>
      <c r="M268" s="3">
        <v>0.125</v>
      </c>
      <c r="O268" s="3">
        <v>2</v>
      </c>
      <c r="P268" s="3">
        <f t="shared" si="416"/>
        <v>0.8</v>
      </c>
      <c r="Q268" s="3" t="s">
        <v>408</v>
      </c>
      <c r="S268" s="3" t="str">
        <f t="shared" si="417"/>
        <v/>
      </c>
      <c r="W268" s="3">
        <f t="shared" si="418"/>
        <v>0</v>
      </c>
      <c r="Y268" s="3">
        <f t="shared" si="452"/>
        <v>1.5</v>
      </c>
      <c r="Z268" s="3">
        <f t="shared" si="453"/>
        <v>1.25</v>
      </c>
      <c r="AA268" s="3">
        <f t="shared" si="454"/>
        <v>0.625</v>
      </c>
      <c r="AB268" s="3">
        <f t="shared" si="455"/>
        <v>0.625</v>
      </c>
      <c r="AC268" s="3">
        <f t="shared" si="456"/>
        <v>1.25</v>
      </c>
      <c r="AD268" s="3">
        <f t="shared" si="457"/>
        <v>1.5</v>
      </c>
      <c r="AE268" s="3">
        <f t="shared" si="458"/>
        <v>1.25</v>
      </c>
      <c r="AF268" s="3">
        <f t="shared" si="459"/>
        <v>0.625</v>
      </c>
      <c r="AG268" s="3">
        <f t="shared" si="460"/>
        <v>0.625</v>
      </c>
      <c r="AH268" s="3" t="str">
        <f t="shared" si="419"/>
        <v>자동</v>
      </c>
      <c r="AI268" s="3">
        <f t="shared" si="461"/>
        <v>0.625</v>
      </c>
      <c r="AJ268" s="3">
        <f t="shared" si="462"/>
        <v>0.625</v>
      </c>
      <c r="AL268" s="3" t="str">
        <f t="shared" si="420"/>
        <v/>
      </c>
      <c r="AN268" s="3" t="str">
        <f ca="1">IF($BA268=42,OFFSET(변환표준점수!C$119,$AP268-1,0),"")</f>
        <v/>
      </c>
      <c r="AO268" s="3" t="str">
        <f ca="1">IF($BA268=42,OFFSET(변환표준점수!D$119,$AP268-1,0),"")</f>
        <v/>
      </c>
      <c r="AP268" s="3" t="str">
        <f>IF(S268="","",MATCH(S268,변환표준점수!$B$119:$B$298,0))</f>
        <v/>
      </c>
      <c r="AQ268" s="3">
        <v>2</v>
      </c>
      <c r="AR268" s="3">
        <v>2</v>
      </c>
      <c r="AS268" s="3">
        <v>2</v>
      </c>
      <c r="AT268" s="3">
        <v>2</v>
      </c>
      <c r="AV268" s="3">
        <v>2</v>
      </c>
      <c r="AW268" s="3">
        <v>2</v>
      </c>
      <c r="AX268" s="3">
        <v>3</v>
      </c>
      <c r="AY268" s="3">
        <v>3</v>
      </c>
      <c r="BA268" s="3">
        <f t="shared" si="421"/>
        <v>2</v>
      </c>
      <c r="BJ268" s="3">
        <f t="shared" si="422"/>
        <v>0</v>
      </c>
      <c r="CH268" s="206">
        <f t="shared" si="423"/>
        <v>400</v>
      </c>
      <c r="CI268" s="56">
        <v>100</v>
      </c>
      <c r="CJ268" s="3">
        <v>97</v>
      </c>
      <c r="CK268" s="3">
        <v>94</v>
      </c>
      <c r="CL268" s="3">
        <v>85</v>
      </c>
      <c r="CM268" s="3">
        <v>60</v>
      </c>
      <c r="CN268" s="3">
        <v>40</v>
      </c>
      <c r="CO268" s="3">
        <v>25</v>
      </c>
      <c r="CP268" s="3">
        <v>10</v>
      </c>
      <c r="CQ268" s="3">
        <v>0</v>
      </c>
      <c r="CR268" s="56">
        <v>2</v>
      </c>
      <c r="CS268" s="3">
        <v>1.5</v>
      </c>
      <c r="CT268" s="3">
        <v>1</v>
      </c>
      <c r="CU268" s="3">
        <v>0.5</v>
      </c>
      <c r="DJ268" s="3">
        <f t="shared" ca="1" si="424"/>
        <v>100</v>
      </c>
      <c r="DK268" s="3">
        <f t="shared" ca="1" si="425"/>
        <v>100</v>
      </c>
      <c r="DL268" s="3">
        <f t="shared" ca="1" si="426"/>
        <v>2</v>
      </c>
      <c r="DO268" s="3">
        <v>2</v>
      </c>
      <c r="EA268" s="3">
        <f t="shared" si="427"/>
        <v>2</v>
      </c>
      <c r="EB268" s="3">
        <f t="shared" si="428"/>
        <v>2</v>
      </c>
      <c r="EC268" s="3">
        <f t="shared" si="429"/>
        <v>0</v>
      </c>
      <c r="ED268" s="3">
        <f t="shared" si="430"/>
        <v>0</v>
      </c>
      <c r="EF268" s="3">
        <f t="shared" ca="1" si="431"/>
        <v>0</v>
      </c>
      <c r="EG268" s="3">
        <f t="shared" ca="1" si="432"/>
        <v>0</v>
      </c>
      <c r="EH268" s="3">
        <f ca="1">IFERROR(IF(LEFT($BA268,1)="4",OFFSET(변환표준점수!$H$118,MATCH($S268,변환표준점수!$B$119:$B$198,0),),OFFSET(EH$3,MATCH(AS268,$ED$4:$ED$8,0),0)),0)</f>
        <v>0</v>
      </c>
      <c r="EI268" s="3">
        <f ca="1">IFERROR(IF(LEFT($BA268,1)="4",OFFSET(변환표준점수!$I$118,MATCH($S268,변환표준점수!$B$119:$B$198,0),0),OFFSET(EI$3,MATCH(AT268,$ED$4:$ED$8,0),0)),0)</f>
        <v>0</v>
      </c>
      <c r="EK268" s="3">
        <f ca="1">IFERROR(IF(LEFT($BA268,1)="4",OFFSET(변환표준점수!$J$118,MATCH($S268,변환표준점수!$B$119:$B$198,0),0),OFFSET(EJ$3,MATCH(AV268,$ED$4:$ED$8,0),0)),0)</f>
        <v>0</v>
      </c>
      <c r="EL268" s="3">
        <f ca="1">IFERROR(IF(LEFT($BA268,1)="4",OFFSET(변환표준점수!$K$118,MATCH($S268,변환표준점수!$B$119:$B$198,0),0),OFFSET(EK$3,MATCH(AW268,$ED$4:$ED$8,0),0)),0)</f>
        <v>0</v>
      </c>
      <c r="EM268" s="3" t="str">
        <f t="shared" ca="1" si="433"/>
        <v/>
      </c>
      <c r="EN268" s="3" t="str">
        <f t="shared" ca="1" si="434"/>
        <v/>
      </c>
      <c r="EO268" s="3">
        <f t="shared" ca="1" si="435"/>
        <v>0</v>
      </c>
      <c r="EQ268" s="3">
        <f t="shared" ca="1" si="436"/>
        <v>0</v>
      </c>
      <c r="ER268" s="3">
        <f t="shared" ca="1" si="437"/>
        <v>0</v>
      </c>
      <c r="ES268" s="3">
        <f t="shared" ca="1" si="438"/>
        <v>0</v>
      </c>
      <c r="ET268" s="3">
        <f t="shared" ca="1" si="439"/>
        <v>0</v>
      </c>
      <c r="EU268" s="3">
        <f t="shared" si="440"/>
        <v>0</v>
      </c>
      <c r="EV268" s="3">
        <f t="shared" ca="1" si="441"/>
        <v>0</v>
      </c>
      <c r="EW268" s="3">
        <f t="shared" ca="1" si="442"/>
        <v>0</v>
      </c>
      <c r="EX268" s="3">
        <f ca="1">LARGE((ES268:ET268,EV268:EW268),1)</f>
        <v>0</v>
      </c>
      <c r="EY268" s="3">
        <f ca="1">IF(O268&lt;2,0,LARGE((ES268:ET268,EV268:EW268),2))</f>
        <v>0</v>
      </c>
      <c r="EZ268" s="3">
        <f t="shared" ca="1" si="443"/>
        <v>0</v>
      </c>
      <c r="FA268" s="3">
        <f t="shared" ca="1" si="444"/>
        <v>0</v>
      </c>
      <c r="FB268" s="3">
        <f t="shared" ca="1" si="445"/>
        <v>0</v>
      </c>
      <c r="FG268" s="3">
        <f t="shared" ca="1" si="446"/>
        <v>0</v>
      </c>
      <c r="FH268" s="618"/>
      <c r="FU268" s="3" t="str">
        <f t="shared" si="365"/>
        <v>백분위</v>
      </c>
      <c r="FV268" s="3" t="str">
        <f t="shared" si="366"/>
        <v>백분위</v>
      </c>
      <c r="FW268" s="3">
        <f t="shared" si="447"/>
        <v>0.38</v>
      </c>
      <c r="FX268" s="3">
        <f t="shared" si="448"/>
        <v>0.31</v>
      </c>
      <c r="FY268" s="3">
        <f t="shared" si="449"/>
        <v>0.31</v>
      </c>
      <c r="FZ268" s="3">
        <f t="shared" si="450"/>
        <v>4</v>
      </c>
    </row>
    <row r="269" spans="1:182">
      <c r="A269" s="556">
        <v>26</v>
      </c>
      <c r="C269" s="3">
        <f t="shared" si="415"/>
        <v>254</v>
      </c>
      <c r="D269" s="3">
        <v>254</v>
      </c>
      <c r="E269" s="3" t="s">
        <v>470</v>
      </c>
      <c r="F269" s="3">
        <v>500</v>
      </c>
      <c r="G269" s="3">
        <v>0.2</v>
      </c>
      <c r="H269" s="3">
        <v>0.3</v>
      </c>
      <c r="I269" s="3">
        <v>0.15</v>
      </c>
      <c r="J269" s="3">
        <v>0.15</v>
      </c>
      <c r="O269" s="3">
        <v>2</v>
      </c>
      <c r="P269" s="3">
        <f t="shared" si="416"/>
        <v>0.8</v>
      </c>
      <c r="Q269" s="3" t="s">
        <v>408</v>
      </c>
      <c r="S269" s="3" t="str">
        <f t="shared" si="417"/>
        <v/>
      </c>
      <c r="W269" s="3">
        <f t="shared" si="418"/>
        <v>0</v>
      </c>
      <c r="Y269" s="3">
        <f t="shared" si="452"/>
        <v>1</v>
      </c>
      <c r="Z269" s="3">
        <f t="shared" si="453"/>
        <v>1.5</v>
      </c>
      <c r="AA269" s="3">
        <f t="shared" si="454"/>
        <v>0.75</v>
      </c>
      <c r="AB269" s="3" t="str">
        <f t="shared" si="455"/>
        <v>자동</v>
      </c>
      <c r="AC269" s="3">
        <f t="shared" si="456"/>
        <v>1.5</v>
      </c>
      <c r="AD269" s="3">
        <f t="shared" si="457"/>
        <v>1</v>
      </c>
      <c r="AE269" s="3">
        <f t="shared" si="458"/>
        <v>1.5</v>
      </c>
      <c r="AF269" s="3">
        <f t="shared" si="459"/>
        <v>0.75</v>
      </c>
      <c r="AG269" s="3">
        <f t="shared" si="460"/>
        <v>0.75</v>
      </c>
      <c r="AH269" s="3" t="str">
        <f t="shared" si="419"/>
        <v>자동</v>
      </c>
      <c r="AI269" s="3" t="str">
        <f t="shared" si="461"/>
        <v>자동</v>
      </c>
      <c r="AJ269" s="3" t="str">
        <f t="shared" si="462"/>
        <v>자동</v>
      </c>
      <c r="AL269" s="3" t="str">
        <f t="shared" si="420"/>
        <v/>
      </c>
      <c r="AN269" s="3" t="str">
        <f ca="1">IF($BA269=42,OFFSET(변환표준점수!C$119,$AP269-1,0),"")</f>
        <v/>
      </c>
      <c r="AO269" s="3" t="str">
        <f ca="1">IF($BA269=42,OFFSET(변환표준점수!D$119,$AP269-1,0),"")</f>
        <v/>
      </c>
      <c r="AP269" s="3" t="str">
        <f>IF(S269="","",MATCH(S269,변환표준점수!$B$119:$B$298,0))</f>
        <v/>
      </c>
      <c r="AQ269" s="3">
        <v>2</v>
      </c>
      <c r="AR269" s="3">
        <v>2</v>
      </c>
      <c r="AS269" s="3">
        <v>2</v>
      </c>
      <c r="AT269" s="3">
        <v>2</v>
      </c>
      <c r="AX269" s="3">
        <v>3</v>
      </c>
      <c r="AY269" s="3">
        <v>3</v>
      </c>
      <c r="BA269" s="3">
        <f t="shared" si="421"/>
        <v>2</v>
      </c>
      <c r="BJ269" s="3">
        <f t="shared" si="422"/>
        <v>0</v>
      </c>
      <c r="CH269" s="206">
        <f t="shared" si="423"/>
        <v>400</v>
      </c>
      <c r="CI269" s="56">
        <v>100</v>
      </c>
      <c r="CJ269" s="3">
        <v>97</v>
      </c>
      <c r="CK269" s="3">
        <v>94</v>
      </c>
      <c r="CL269" s="3">
        <v>85</v>
      </c>
      <c r="CM269" s="3">
        <v>60</v>
      </c>
      <c r="CN269" s="3">
        <v>40</v>
      </c>
      <c r="CO269" s="3">
        <v>25</v>
      </c>
      <c r="CP269" s="3">
        <v>10</v>
      </c>
      <c r="CQ269" s="3">
        <v>0</v>
      </c>
      <c r="CR269" s="56">
        <v>2</v>
      </c>
      <c r="CS269" s="3">
        <v>1.5</v>
      </c>
      <c r="CT269" s="3">
        <v>1</v>
      </c>
      <c r="CU269" s="3">
        <v>0.5</v>
      </c>
      <c r="DJ269" s="3">
        <f t="shared" ca="1" si="424"/>
        <v>100</v>
      </c>
      <c r="DK269" s="3">
        <f t="shared" ca="1" si="425"/>
        <v>100</v>
      </c>
      <c r="DL269" s="3">
        <f t="shared" ca="1" si="426"/>
        <v>2</v>
      </c>
      <c r="DM269" s="3">
        <v>2</v>
      </c>
      <c r="DS269" s="3">
        <v>1</v>
      </c>
      <c r="DZ269" s="3">
        <v>1</v>
      </c>
      <c r="EA269" s="3">
        <f t="shared" si="427"/>
        <v>1</v>
      </c>
      <c r="EB269" s="3">
        <f t="shared" si="428"/>
        <v>2</v>
      </c>
      <c r="EC269" s="3">
        <f t="shared" si="429"/>
        <v>0</v>
      </c>
      <c r="ED269" s="3">
        <f t="shared" si="430"/>
        <v>0</v>
      </c>
      <c r="EF269" s="3">
        <f t="shared" ca="1" si="431"/>
        <v>0</v>
      </c>
      <c r="EG269" s="3">
        <f t="shared" ca="1" si="432"/>
        <v>0</v>
      </c>
      <c r="EH269" s="3">
        <f ca="1">IFERROR(IF(LEFT($BA269,1)="4",OFFSET(변환표준점수!$H$118,MATCH($S269,변환표준점수!$B$119:$B$198,0),),OFFSET(EH$3,MATCH(AS269,$ED$4:$ED$8,0),0)),0)</f>
        <v>0</v>
      </c>
      <c r="EI269" s="3">
        <f ca="1">IFERROR(IF(LEFT($BA269,1)="4",OFFSET(변환표준점수!$I$118,MATCH($S269,변환표준점수!$B$119:$B$198,0),0),OFFSET(EI$3,MATCH(AT269,$ED$4:$ED$8,0),0)),0)</f>
        <v>0</v>
      </c>
      <c r="EK269" s="3">
        <f ca="1">IFERROR(IF(LEFT($BA269,1)="4",OFFSET(변환표준점수!$J$118,MATCH($S269,변환표준점수!$B$119:$B$198,0),0),OFFSET(EJ$3,MATCH(AV269,$ED$4:$ED$8,0),0)),0)</f>
        <v>0</v>
      </c>
      <c r="EL269" s="3">
        <f ca="1">IFERROR(IF(LEFT($BA269,1)="4",OFFSET(변환표준점수!$K$118,MATCH($S269,변환표준점수!$B$119:$B$198,0),0),OFFSET(EK$3,MATCH(AW269,$ED$4:$ED$8,0),0)),0)</f>
        <v>0</v>
      </c>
      <c r="EM269" s="3" t="str">
        <f t="shared" ca="1" si="433"/>
        <v/>
      </c>
      <c r="EN269" s="3" t="str">
        <f t="shared" ca="1" si="434"/>
        <v/>
      </c>
      <c r="EO269" s="3">
        <f t="shared" ca="1" si="435"/>
        <v>0</v>
      </c>
      <c r="EQ269" s="3">
        <f t="shared" ca="1" si="436"/>
        <v>0</v>
      </c>
      <c r="ER269" s="3">
        <f t="shared" ca="1" si="437"/>
        <v>0</v>
      </c>
      <c r="ES269" s="3">
        <f t="shared" ca="1" si="438"/>
        <v>0</v>
      </c>
      <c r="ET269" s="3">
        <f t="shared" ca="1" si="439"/>
        <v>0</v>
      </c>
      <c r="EU269" s="3">
        <f t="shared" si="440"/>
        <v>0</v>
      </c>
      <c r="EV269" s="3">
        <f t="shared" ca="1" si="441"/>
        <v>0</v>
      </c>
      <c r="EW269" s="3">
        <f t="shared" ca="1" si="442"/>
        <v>0</v>
      </c>
      <c r="EX269" s="3">
        <f ca="1">LARGE((ES269:ET269,EV269:EW269),1)</f>
        <v>0</v>
      </c>
      <c r="EY269" s="3">
        <f ca="1">IF(O269&lt;2,0,LARGE((ES269:ET269,EV269:EW269),2))</f>
        <v>0</v>
      </c>
      <c r="EZ269" s="3">
        <f t="shared" ca="1" si="443"/>
        <v>0</v>
      </c>
      <c r="FA269" s="3">
        <f t="shared" ca="1" si="444"/>
        <v>0</v>
      </c>
      <c r="FB269" s="3">
        <f t="shared" ca="1" si="445"/>
        <v>0</v>
      </c>
      <c r="FG269" s="3">
        <f t="shared" ca="1" si="446"/>
        <v>0</v>
      </c>
      <c r="FH269" s="618"/>
      <c r="FU269" s="3" t="str">
        <f t="shared" si="365"/>
        <v>백분위</v>
      </c>
      <c r="FV269" s="3" t="str">
        <f t="shared" si="366"/>
        <v>백분위</v>
      </c>
      <c r="FW269" s="3">
        <f t="shared" si="447"/>
        <v>0.25</v>
      </c>
      <c r="FX269" s="3">
        <f t="shared" si="448"/>
        <v>0.38</v>
      </c>
      <c r="FY269" s="3">
        <f t="shared" si="449"/>
        <v>0.38</v>
      </c>
      <c r="FZ269" s="3">
        <f t="shared" si="450"/>
        <v>4</v>
      </c>
    </row>
    <row r="270" spans="1:182">
      <c r="A270" s="556">
        <v>26</v>
      </c>
      <c r="C270" s="3">
        <f t="shared" si="415"/>
        <v>255</v>
      </c>
      <c r="D270" s="3">
        <v>255</v>
      </c>
      <c r="E270" s="3" t="s">
        <v>471</v>
      </c>
      <c r="F270" s="3">
        <v>500</v>
      </c>
      <c r="G270" s="3">
        <v>0.2</v>
      </c>
      <c r="H270" s="3">
        <v>0.3</v>
      </c>
      <c r="I270" s="3">
        <v>0.15</v>
      </c>
      <c r="J270" s="3">
        <v>0.15</v>
      </c>
      <c r="L270" s="3">
        <v>0.15</v>
      </c>
      <c r="M270" s="3">
        <v>0.15</v>
      </c>
      <c r="O270" s="3">
        <v>2</v>
      </c>
      <c r="P270" s="3">
        <f t="shared" si="416"/>
        <v>0.8</v>
      </c>
      <c r="Q270" s="3" t="s">
        <v>408</v>
      </c>
      <c r="S270" s="3" t="str">
        <f t="shared" si="417"/>
        <v/>
      </c>
      <c r="W270" s="3">
        <f t="shared" si="418"/>
        <v>0</v>
      </c>
      <c r="Y270" s="3">
        <f t="shared" si="452"/>
        <v>1</v>
      </c>
      <c r="Z270" s="3">
        <f t="shared" si="453"/>
        <v>1.5</v>
      </c>
      <c r="AA270" s="3">
        <f t="shared" si="454"/>
        <v>0.75</v>
      </c>
      <c r="AB270" s="3">
        <f t="shared" si="455"/>
        <v>0.75</v>
      </c>
      <c r="AC270" s="3">
        <f t="shared" si="456"/>
        <v>1.5</v>
      </c>
      <c r="AD270" s="3">
        <f t="shared" si="457"/>
        <v>1</v>
      </c>
      <c r="AE270" s="3">
        <f t="shared" si="458"/>
        <v>1.5</v>
      </c>
      <c r="AF270" s="3">
        <f t="shared" si="459"/>
        <v>0.75</v>
      </c>
      <c r="AG270" s="3">
        <f t="shared" si="460"/>
        <v>0.75</v>
      </c>
      <c r="AH270" s="3" t="str">
        <f t="shared" si="419"/>
        <v>자동</v>
      </c>
      <c r="AI270" s="3">
        <f t="shared" si="461"/>
        <v>0.75</v>
      </c>
      <c r="AJ270" s="3">
        <f t="shared" si="462"/>
        <v>0.75</v>
      </c>
      <c r="AL270" s="3" t="str">
        <f t="shared" si="420"/>
        <v/>
      </c>
      <c r="AN270" s="3" t="str">
        <f ca="1">IF($BA270=42,OFFSET(변환표준점수!C$119,$AP270-1,0),"")</f>
        <v/>
      </c>
      <c r="AO270" s="3" t="str">
        <f ca="1">IF($BA270=42,OFFSET(변환표준점수!D$119,$AP270-1,0),"")</f>
        <v/>
      </c>
      <c r="AP270" s="3" t="str">
        <f>IF(S270="","",MATCH(S270,변환표준점수!$B$119:$B$298,0))</f>
        <v/>
      </c>
      <c r="AQ270" s="3">
        <v>2</v>
      </c>
      <c r="AR270" s="3">
        <v>2</v>
      </c>
      <c r="AS270" s="3">
        <v>2</v>
      </c>
      <c r="AT270" s="3">
        <v>2</v>
      </c>
      <c r="AV270" s="3">
        <v>2</v>
      </c>
      <c r="AW270" s="3">
        <v>2</v>
      </c>
      <c r="AX270" s="3">
        <v>3</v>
      </c>
      <c r="AY270" s="3">
        <v>3</v>
      </c>
      <c r="BA270" s="3">
        <f t="shared" si="421"/>
        <v>2</v>
      </c>
      <c r="BJ270" s="3">
        <f t="shared" si="422"/>
        <v>0</v>
      </c>
      <c r="CH270" s="206">
        <f t="shared" si="423"/>
        <v>400</v>
      </c>
      <c r="CI270" s="56">
        <v>100</v>
      </c>
      <c r="CJ270" s="3">
        <v>97</v>
      </c>
      <c r="CK270" s="3">
        <v>94</v>
      </c>
      <c r="CL270" s="3">
        <v>85</v>
      </c>
      <c r="CM270" s="3">
        <v>60</v>
      </c>
      <c r="CN270" s="3">
        <v>40</v>
      </c>
      <c r="CO270" s="3">
        <v>25</v>
      </c>
      <c r="CP270" s="3">
        <v>10</v>
      </c>
      <c r="CQ270" s="3">
        <v>0</v>
      </c>
      <c r="CR270" s="56">
        <v>2</v>
      </c>
      <c r="CS270" s="3">
        <v>1.5</v>
      </c>
      <c r="CT270" s="3">
        <v>1</v>
      </c>
      <c r="CU270" s="3">
        <v>0.5</v>
      </c>
      <c r="DJ270" s="3">
        <f t="shared" ca="1" si="424"/>
        <v>100</v>
      </c>
      <c r="DK270" s="3">
        <f t="shared" ca="1" si="425"/>
        <v>100</v>
      </c>
      <c r="DL270" s="3">
        <f t="shared" ca="1" si="426"/>
        <v>2</v>
      </c>
      <c r="DN270" s="3">
        <v>1</v>
      </c>
      <c r="DO270" s="3">
        <v>2</v>
      </c>
      <c r="EA270" s="3">
        <f t="shared" si="427"/>
        <v>2</v>
      </c>
      <c r="EB270" s="3">
        <f t="shared" si="428"/>
        <v>2</v>
      </c>
      <c r="EC270" s="3">
        <f t="shared" si="429"/>
        <v>0</v>
      </c>
      <c r="ED270" s="3">
        <f t="shared" si="430"/>
        <v>0</v>
      </c>
      <c r="EF270" s="3">
        <f t="shared" ca="1" si="431"/>
        <v>0</v>
      </c>
      <c r="EG270" s="3">
        <f t="shared" ca="1" si="432"/>
        <v>0</v>
      </c>
      <c r="EH270" s="3">
        <f ca="1">IFERROR(IF(LEFT($BA270,1)="4",OFFSET(변환표준점수!$H$118,MATCH($S270,변환표준점수!$B$119:$B$198,0),),OFFSET(EH$3,MATCH(AS270,$ED$4:$ED$8,0),0)),0)</f>
        <v>0</v>
      </c>
      <c r="EI270" s="3">
        <f ca="1">IFERROR(IF(LEFT($BA270,1)="4",OFFSET(변환표준점수!$I$118,MATCH($S270,변환표준점수!$B$119:$B$198,0),0),OFFSET(EI$3,MATCH(AT270,$ED$4:$ED$8,0),0)),0)</f>
        <v>0</v>
      </c>
      <c r="EK270" s="3">
        <f ca="1">IFERROR(IF(LEFT($BA270,1)="4",OFFSET(변환표준점수!$J$118,MATCH($S270,변환표준점수!$B$119:$B$198,0),0),OFFSET(EJ$3,MATCH(AV270,$ED$4:$ED$8,0),0)),0)</f>
        <v>0</v>
      </c>
      <c r="EL270" s="3">
        <f ca="1">IFERROR(IF(LEFT($BA270,1)="4",OFFSET(변환표준점수!$K$118,MATCH($S270,변환표준점수!$B$119:$B$198,0),0),OFFSET(EK$3,MATCH(AW270,$ED$4:$ED$8,0),0)),0)</f>
        <v>0</v>
      </c>
      <c r="EM270" s="3" t="str">
        <f t="shared" ca="1" si="433"/>
        <v/>
      </c>
      <c r="EN270" s="3" t="str">
        <f t="shared" ca="1" si="434"/>
        <v/>
      </c>
      <c r="EO270" s="3">
        <f t="shared" ca="1" si="435"/>
        <v>0</v>
      </c>
      <c r="EQ270" s="3">
        <f t="shared" ca="1" si="436"/>
        <v>0</v>
      </c>
      <c r="ER270" s="3">
        <f t="shared" ca="1" si="437"/>
        <v>0</v>
      </c>
      <c r="ES270" s="3">
        <f t="shared" ca="1" si="438"/>
        <v>0</v>
      </c>
      <c r="ET270" s="3">
        <f t="shared" ca="1" si="439"/>
        <v>0</v>
      </c>
      <c r="EU270" s="3">
        <f t="shared" si="440"/>
        <v>0</v>
      </c>
      <c r="EV270" s="3">
        <f t="shared" ca="1" si="441"/>
        <v>0</v>
      </c>
      <c r="EW270" s="3">
        <f t="shared" ca="1" si="442"/>
        <v>0</v>
      </c>
      <c r="EX270" s="3">
        <f ca="1">LARGE((ES270:ET270,EV270:EW270),1)</f>
        <v>0</v>
      </c>
      <c r="EY270" s="3">
        <f ca="1">IF(O270&lt;2,0,LARGE((ES270:ET270,EV270:EW270),2))</f>
        <v>0</v>
      </c>
      <c r="EZ270" s="3">
        <f t="shared" ca="1" si="443"/>
        <v>0</v>
      </c>
      <c r="FA270" s="3">
        <f t="shared" ca="1" si="444"/>
        <v>0</v>
      </c>
      <c r="FB270" s="3">
        <f t="shared" ca="1" si="445"/>
        <v>0</v>
      </c>
      <c r="FG270" s="3">
        <f t="shared" ca="1" si="446"/>
        <v>0</v>
      </c>
      <c r="FH270" s="618"/>
      <c r="FU270" s="3" t="str">
        <f t="shared" si="365"/>
        <v>백분위</v>
      </c>
      <c r="FV270" s="3" t="str">
        <f t="shared" si="366"/>
        <v>백분위</v>
      </c>
      <c r="FW270" s="3">
        <f t="shared" si="447"/>
        <v>0.25</v>
      </c>
      <c r="FX270" s="3">
        <f t="shared" si="448"/>
        <v>0.38</v>
      </c>
      <c r="FY270" s="3">
        <f t="shared" si="449"/>
        <v>0.38</v>
      </c>
      <c r="FZ270" s="3">
        <f t="shared" si="450"/>
        <v>4</v>
      </c>
    </row>
    <row r="271" spans="1:182">
      <c r="A271" s="556">
        <v>26</v>
      </c>
      <c r="C271" s="3">
        <f t="shared" si="415"/>
        <v>256</v>
      </c>
      <c r="D271" s="3">
        <v>256</v>
      </c>
      <c r="E271" s="3" t="s">
        <v>472</v>
      </c>
      <c r="F271" s="3">
        <v>500</v>
      </c>
      <c r="G271" s="3">
        <v>0.3</v>
      </c>
      <c r="H271" s="3">
        <v>0.2</v>
      </c>
      <c r="I271" s="3">
        <v>0.15</v>
      </c>
      <c r="J271" s="3">
        <v>0.15</v>
      </c>
      <c r="L271" s="3">
        <v>0.15</v>
      </c>
      <c r="M271" s="3">
        <v>0.15</v>
      </c>
      <c r="O271" s="3">
        <v>2</v>
      </c>
      <c r="P271" s="3">
        <f t="shared" si="416"/>
        <v>0.8</v>
      </c>
      <c r="Q271" s="3" t="s">
        <v>408</v>
      </c>
      <c r="S271" s="3" t="str">
        <f t="shared" si="417"/>
        <v/>
      </c>
      <c r="W271" s="3">
        <f t="shared" si="418"/>
        <v>0</v>
      </c>
      <c r="Y271" s="3">
        <f t="shared" si="452"/>
        <v>1.5</v>
      </c>
      <c r="Z271" s="3">
        <f t="shared" si="453"/>
        <v>1</v>
      </c>
      <c r="AA271" s="3">
        <f t="shared" si="454"/>
        <v>0.75</v>
      </c>
      <c r="AB271" s="3">
        <f t="shared" si="455"/>
        <v>0.75</v>
      </c>
      <c r="AC271" s="3">
        <f t="shared" si="456"/>
        <v>1.5</v>
      </c>
      <c r="AD271" s="3">
        <f t="shared" si="457"/>
        <v>1.5</v>
      </c>
      <c r="AE271" s="3">
        <f t="shared" si="458"/>
        <v>1</v>
      </c>
      <c r="AF271" s="3">
        <f t="shared" si="459"/>
        <v>0.75</v>
      </c>
      <c r="AG271" s="3">
        <f t="shared" si="460"/>
        <v>0.75</v>
      </c>
      <c r="AH271" s="3" t="str">
        <f t="shared" si="419"/>
        <v>자동</v>
      </c>
      <c r="AI271" s="3">
        <f t="shared" si="461"/>
        <v>0.75</v>
      </c>
      <c r="AJ271" s="3">
        <f t="shared" si="462"/>
        <v>0.75</v>
      </c>
      <c r="AL271" s="3" t="str">
        <f t="shared" si="420"/>
        <v/>
      </c>
      <c r="AN271" s="3" t="str">
        <f ca="1">IF($BA271=42,OFFSET(변환표준점수!C$119,$AP271-1,0),"")</f>
        <v/>
      </c>
      <c r="AO271" s="3" t="str">
        <f ca="1">IF($BA271=42,OFFSET(변환표준점수!D$119,$AP271-1,0),"")</f>
        <v/>
      </c>
      <c r="AP271" s="3" t="str">
        <f>IF(S271="","",MATCH(S271,변환표준점수!$B$119:$B$298,0))</f>
        <v/>
      </c>
      <c r="AQ271" s="3">
        <v>2</v>
      </c>
      <c r="AR271" s="3">
        <v>2</v>
      </c>
      <c r="AS271" s="3">
        <v>2</v>
      </c>
      <c r="AT271" s="3">
        <v>2</v>
      </c>
      <c r="AV271" s="3">
        <v>2</v>
      </c>
      <c r="AW271" s="3">
        <v>2</v>
      </c>
      <c r="AX271" s="3">
        <v>3</v>
      </c>
      <c r="AY271" s="3">
        <v>3</v>
      </c>
      <c r="BA271" s="3">
        <f t="shared" si="421"/>
        <v>2</v>
      </c>
      <c r="BJ271" s="3">
        <f t="shared" si="422"/>
        <v>0</v>
      </c>
      <c r="CH271" s="206">
        <f t="shared" si="423"/>
        <v>400</v>
      </c>
      <c r="CI271" s="56">
        <v>100</v>
      </c>
      <c r="CJ271" s="3">
        <v>97</v>
      </c>
      <c r="CK271" s="3">
        <v>94</v>
      </c>
      <c r="CL271" s="3">
        <v>85</v>
      </c>
      <c r="CM271" s="3">
        <v>60</v>
      </c>
      <c r="CN271" s="3">
        <v>40</v>
      </c>
      <c r="CO271" s="3">
        <v>25</v>
      </c>
      <c r="CP271" s="3">
        <v>10</v>
      </c>
      <c r="CQ271" s="3">
        <v>0</v>
      </c>
      <c r="CR271" s="56">
        <v>2</v>
      </c>
      <c r="CS271" s="3">
        <v>1.5</v>
      </c>
      <c r="CT271" s="3">
        <v>1</v>
      </c>
      <c r="CU271" s="3">
        <v>0.5</v>
      </c>
      <c r="DJ271" s="3">
        <f t="shared" ca="1" si="424"/>
        <v>100</v>
      </c>
      <c r="DK271" s="3">
        <f t="shared" ca="1" si="425"/>
        <v>100</v>
      </c>
      <c r="DL271" s="3">
        <f t="shared" ca="1" si="426"/>
        <v>2</v>
      </c>
      <c r="DO271" s="3">
        <v>2</v>
      </c>
      <c r="EA271" s="3">
        <f t="shared" si="427"/>
        <v>2</v>
      </c>
      <c r="EB271" s="3">
        <f t="shared" si="428"/>
        <v>2</v>
      </c>
      <c r="EC271" s="3">
        <f t="shared" si="429"/>
        <v>0</v>
      </c>
      <c r="ED271" s="3">
        <f t="shared" si="430"/>
        <v>0</v>
      </c>
      <c r="EF271" s="3">
        <f t="shared" ca="1" si="431"/>
        <v>0</v>
      </c>
      <c r="EG271" s="3">
        <f t="shared" ca="1" si="432"/>
        <v>0</v>
      </c>
      <c r="EH271" s="3">
        <f ca="1">IFERROR(IF(LEFT($BA271,1)="4",OFFSET(변환표준점수!$H$118,MATCH($S271,변환표준점수!$B$119:$B$198,0),),OFFSET(EH$3,MATCH(AS271,$ED$4:$ED$8,0),0)),0)</f>
        <v>0</v>
      </c>
      <c r="EI271" s="3">
        <f ca="1">IFERROR(IF(LEFT($BA271,1)="4",OFFSET(변환표준점수!$I$118,MATCH($S271,변환표준점수!$B$119:$B$198,0),0),OFFSET(EI$3,MATCH(AT271,$ED$4:$ED$8,0),0)),0)</f>
        <v>0</v>
      </c>
      <c r="EK271" s="3">
        <f ca="1">IFERROR(IF(LEFT($BA271,1)="4",OFFSET(변환표준점수!$J$118,MATCH($S271,변환표준점수!$B$119:$B$198,0),0),OFFSET(EJ$3,MATCH(AV271,$ED$4:$ED$8,0),0)),0)</f>
        <v>0</v>
      </c>
      <c r="EL271" s="3">
        <f ca="1">IFERROR(IF(LEFT($BA271,1)="4",OFFSET(변환표준점수!$K$118,MATCH($S271,변환표준점수!$B$119:$B$198,0),0),OFFSET(EK$3,MATCH(AW271,$ED$4:$ED$8,0),0)),0)</f>
        <v>0</v>
      </c>
      <c r="EM271" s="3" t="str">
        <f t="shared" ca="1" si="433"/>
        <v/>
      </c>
      <c r="EN271" s="3" t="str">
        <f t="shared" ca="1" si="434"/>
        <v/>
      </c>
      <c r="EO271" s="3">
        <f t="shared" ca="1" si="435"/>
        <v>0</v>
      </c>
      <c r="EQ271" s="3">
        <f t="shared" ca="1" si="436"/>
        <v>0</v>
      </c>
      <c r="ER271" s="3">
        <f t="shared" ca="1" si="437"/>
        <v>0</v>
      </c>
      <c r="ES271" s="3">
        <f t="shared" ca="1" si="438"/>
        <v>0</v>
      </c>
      <c r="ET271" s="3">
        <f t="shared" ca="1" si="439"/>
        <v>0</v>
      </c>
      <c r="EU271" s="3">
        <f t="shared" si="440"/>
        <v>0</v>
      </c>
      <c r="EV271" s="3">
        <f t="shared" ca="1" si="441"/>
        <v>0</v>
      </c>
      <c r="EW271" s="3">
        <f t="shared" ca="1" si="442"/>
        <v>0</v>
      </c>
      <c r="EX271" s="3">
        <f ca="1">LARGE((ES271:ET271,EV271:EW271),1)</f>
        <v>0</v>
      </c>
      <c r="EY271" s="3">
        <f ca="1">IF(O271&lt;2,0,LARGE((ES271:ET271,EV271:EW271),2))</f>
        <v>0</v>
      </c>
      <c r="EZ271" s="3">
        <f t="shared" ca="1" si="443"/>
        <v>0</v>
      </c>
      <c r="FA271" s="3">
        <f t="shared" ca="1" si="444"/>
        <v>0</v>
      </c>
      <c r="FB271" s="3">
        <f t="shared" ca="1" si="445"/>
        <v>0</v>
      </c>
      <c r="FG271" s="3">
        <f t="shared" ca="1" si="446"/>
        <v>0</v>
      </c>
      <c r="FH271" s="618"/>
      <c r="FU271" s="3" t="str">
        <f t="shared" si="365"/>
        <v>백분위</v>
      </c>
      <c r="FV271" s="3" t="str">
        <f t="shared" si="366"/>
        <v>백분위</v>
      </c>
      <c r="FW271" s="3">
        <f t="shared" si="447"/>
        <v>0.38</v>
      </c>
      <c r="FX271" s="3">
        <f t="shared" si="448"/>
        <v>0.25</v>
      </c>
      <c r="FY271" s="3">
        <f t="shared" si="449"/>
        <v>0.38</v>
      </c>
      <c r="FZ271" s="3">
        <f t="shared" si="450"/>
        <v>4</v>
      </c>
    </row>
    <row r="272" spans="1:182">
      <c r="A272" s="556">
        <v>26</v>
      </c>
      <c r="C272" s="3">
        <f t="shared" si="415"/>
        <v>257</v>
      </c>
      <c r="D272" s="3">
        <v>257</v>
      </c>
      <c r="E272" s="3" t="s">
        <v>7335</v>
      </c>
      <c r="F272" s="3">
        <v>500</v>
      </c>
      <c r="G272" s="3">
        <v>0.3</v>
      </c>
      <c r="H272" s="3">
        <v>0.3</v>
      </c>
      <c r="I272" s="3">
        <v>0.1</v>
      </c>
      <c r="J272" s="3">
        <v>0.1</v>
      </c>
      <c r="L272" s="3">
        <v>0.1</v>
      </c>
      <c r="M272" s="3">
        <v>0.1</v>
      </c>
      <c r="O272" s="3">
        <v>2</v>
      </c>
      <c r="P272" s="3">
        <f t="shared" si="416"/>
        <v>0.8</v>
      </c>
      <c r="Q272" s="3" t="s">
        <v>408</v>
      </c>
      <c r="S272" s="3" t="str">
        <f t="shared" si="417"/>
        <v/>
      </c>
      <c r="W272" s="3">
        <f t="shared" si="418"/>
        <v>0</v>
      </c>
      <c r="Y272" s="3">
        <f t="shared" si="452"/>
        <v>1.5</v>
      </c>
      <c r="Z272" s="3">
        <f t="shared" si="453"/>
        <v>1.5</v>
      </c>
      <c r="AA272" s="3">
        <f t="shared" si="454"/>
        <v>0.5</v>
      </c>
      <c r="AB272" s="3">
        <f t="shared" si="455"/>
        <v>0.5</v>
      </c>
      <c r="AC272" s="3">
        <f t="shared" si="456"/>
        <v>1</v>
      </c>
      <c r="AD272" s="3">
        <f t="shared" si="457"/>
        <v>1.5</v>
      </c>
      <c r="AE272" s="3">
        <f t="shared" si="458"/>
        <v>1.5</v>
      </c>
      <c r="AF272" s="3">
        <f t="shared" si="459"/>
        <v>0.5</v>
      </c>
      <c r="AG272" s="3">
        <f t="shared" si="460"/>
        <v>0.5</v>
      </c>
      <c r="AH272" s="3" t="str">
        <f t="shared" si="419"/>
        <v>자동</v>
      </c>
      <c r="AI272" s="3">
        <f t="shared" si="461"/>
        <v>0.5</v>
      </c>
      <c r="AJ272" s="3">
        <f t="shared" si="462"/>
        <v>0.5</v>
      </c>
      <c r="AL272" s="3" t="str">
        <f t="shared" si="420"/>
        <v/>
      </c>
      <c r="AN272" s="3" t="str">
        <f ca="1">IF($BA272=42,OFFSET(변환표준점수!C$119,$AP272-1,0),"")</f>
        <v/>
      </c>
      <c r="AO272" s="3" t="str">
        <f ca="1">IF($BA272=42,OFFSET(변환표준점수!D$119,$AP272-1,0),"")</f>
        <v/>
      </c>
      <c r="AP272" s="3" t="str">
        <f>IF(S272="","",MATCH(S272,변환표준점수!$B$119:$B$298,0))</f>
        <v/>
      </c>
      <c r="AQ272" s="3">
        <v>2</v>
      </c>
      <c r="AR272" s="3">
        <v>2</v>
      </c>
      <c r="AS272" s="3">
        <v>2</v>
      </c>
      <c r="AT272" s="3">
        <v>2</v>
      </c>
      <c r="AV272" s="3">
        <v>2</v>
      </c>
      <c r="AW272" s="3">
        <v>2</v>
      </c>
      <c r="AX272" s="3">
        <v>3</v>
      </c>
      <c r="AY272" s="3">
        <v>3</v>
      </c>
      <c r="BA272" s="3">
        <f t="shared" si="421"/>
        <v>2</v>
      </c>
      <c r="BJ272" s="3">
        <f t="shared" si="422"/>
        <v>0</v>
      </c>
      <c r="CH272" s="206">
        <f t="shared" si="423"/>
        <v>400</v>
      </c>
      <c r="CI272" s="56">
        <v>100</v>
      </c>
      <c r="CJ272" s="3">
        <v>97</v>
      </c>
      <c r="CK272" s="3">
        <v>94</v>
      </c>
      <c r="CL272" s="3">
        <v>85</v>
      </c>
      <c r="CM272" s="3">
        <v>60</v>
      </c>
      <c r="CN272" s="3">
        <v>40</v>
      </c>
      <c r="CO272" s="3">
        <v>25</v>
      </c>
      <c r="CP272" s="3">
        <v>10</v>
      </c>
      <c r="CQ272" s="3">
        <v>0</v>
      </c>
      <c r="CR272" s="56">
        <v>2</v>
      </c>
      <c r="CS272" s="3">
        <v>1.5</v>
      </c>
      <c r="CT272" s="3">
        <v>1</v>
      </c>
      <c r="CU272" s="3">
        <v>0.5</v>
      </c>
      <c r="DJ272" s="3">
        <f t="shared" ca="1" si="424"/>
        <v>100</v>
      </c>
      <c r="DK272" s="3">
        <f t="shared" ca="1" si="425"/>
        <v>100</v>
      </c>
      <c r="DL272" s="3">
        <f t="shared" ca="1" si="426"/>
        <v>2</v>
      </c>
      <c r="DO272" s="3">
        <v>2</v>
      </c>
      <c r="EA272" s="3">
        <f t="shared" si="427"/>
        <v>2</v>
      </c>
      <c r="EB272" s="3">
        <f t="shared" si="428"/>
        <v>2</v>
      </c>
      <c r="EC272" s="3">
        <f t="shared" si="429"/>
        <v>0</v>
      </c>
      <c r="ED272" s="3">
        <f t="shared" si="430"/>
        <v>0</v>
      </c>
      <c r="EF272" s="3">
        <f t="shared" ca="1" si="431"/>
        <v>0</v>
      </c>
      <c r="EG272" s="3">
        <f t="shared" ca="1" si="432"/>
        <v>0</v>
      </c>
      <c r="EH272" s="3">
        <f ca="1">IFERROR(IF(LEFT($BA272,1)="4",OFFSET(변환표준점수!$H$118,MATCH($S272,변환표준점수!$B$119:$B$198,0),),OFFSET(EH$3,MATCH(AS272,$ED$4:$ED$8,0),0)),0)</f>
        <v>0</v>
      </c>
      <c r="EI272" s="3">
        <f ca="1">IFERROR(IF(LEFT($BA272,1)="4",OFFSET(변환표준점수!$I$118,MATCH($S272,변환표준점수!$B$119:$B$198,0),0),OFFSET(EI$3,MATCH(AT272,$ED$4:$ED$8,0),0)),0)</f>
        <v>0</v>
      </c>
      <c r="EK272" s="3">
        <f ca="1">IFERROR(IF(LEFT($BA272,1)="4",OFFSET(변환표준점수!$J$118,MATCH($S272,변환표준점수!$B$119:$B$198,0),0),OFFSET(EJ$3,MATCH(AV272,$ED$4:$ED$8,0),0)),0)</f>
        <v>0</v>
      </c>
      <c r="EL272" s="3">
        <f ca="1">IFERROR(IF(LEFT($BA272,1)="4",OFFSET(변환표준점수!$K$118,MATCH($S272,변환표준점수!$B$119:$B$198,0),0),OFFSET(EK$3,MATCH(AW272,$ED$4:$ED$8,0),0)),0)</f>
        <v>0</v>
      </c>
      <c r="EM272" s="3" t="str">
        <f t="shared" ca="1" si="433"/>
        <v/>
      </c>
      <c r="EN272" s="3" t="str">
        <f t="shared" ca="1" si="434"/>
        <v/>
      </c>
      <c r="EO272" s="3">
        <f t="shared" ca="1" si="435"/>
        <v>0</v>
      </c>
      <c r="EQ272" s="3">
        <f t="shared" ca="1" si="436"/>
        <v>0</v>
      </c>
      <c r="ER272" s="3">
        <f t="shared" ca="1" si="437"/>
        <v>0</v>
      </c>
      <c r="ES272" s="3">
        <f t="shared" ca="1" si="438"/>
        <v>0</v>
      </c>
      <c r="ET272" s="3">
        <f t="shared" ca="1" si="439"/>
        <v>0</v>
      </c>
      <c r="EU272" s="3">
        <f t="shared" si="440"/>
        <v>0</v>
      </c>
      <c r="EV272" s="3">
        <f t="shared" ca="1" si="441"/>
        <v>0</v>
      </c>
      <c r="EW272" s="3">
        <f t="shared" ca="1" si="442"/>
        <v>0</v>
      </c>
      <c r="EX272" s="3">
        <f ca="1">LARGE((ES272:ET272,EV272:EW272),1)</f>
        <v>0</v>
      </c>
      <c r="EY272" s="3">
        <f ca="1">IF(O272&lt;2,0,LARGE((ES272:ET272,EV272:EW272),2))</f>
        <v>0</v>
      </c>
      <c r="EZ272" s="3">
        <f t="shared" ca="1" si="443"/>
        <v>0</v>
      </c>
      <c r="FA272" s="3">
        <f t="shared" ca="1" si="444"/>
        <v>0</v>
      </c>
      <c r="FB272" s="3">
        <f t="shared" ca="1" si="445"/>
        <v>0</v>
      </c>
      <c r="FG272" s="3">
        <f t="shared" ca="1" si="446"/>
        <v>0</v>
      </c>
      <c r="FH272" s="618"/>
      <c r="FU272" s="3" t="str">
        <f t="shared" si="365"/>
        <v>백분위</v>
      </c>
      <c r="FV272" s="3" t="str">
        <f t="shared" si="366"/>
        <v>백분위</v>
      </c>
      <c r="FW272" s="3">
        <f t="shared" si="447"/>
        <v>0.38</v>
      </c>
      <c r="FX272" s="3">
        <f t="shared" si="448"/>
        <v>0.38</v>
      </c>
      <c r="FY272" s="3">
        <f t="shared" si="449"/>
        <v>0.25</v>
      </c>
      <c r="FZ272" s="3">
        <f t="shared" si="450"/>
        <v>4</v>
      </c>
    </row>
    <row r="273" spans="1:182">
      <c r="A273" s="556">
        <v>26</v>
      </c>
      <c r="C273" s="3">
        <f t="shared" si="415"/>
        <v>258</v>
      </c>
      <c r="D273" s="3">
        <v>258</v>
      </c>
      <c r="E273" s="3" t="s">
        <v>7336</v>
      </c>
      <c r="F273" s="3">
        <v>500</v>
      </c>
      <c r="G273" s="3">
        <v>0.2</v>
      </c>
      <c r="H273" s="3">
        <v>0.3</v>
      </c>
      <c r="I273" s="3">
        <v>0.15</v>
      </c>
      <c r="J273" s="3">
        <v>0.15</v>
      </c>
      <c r="L273" s="3">
        <v>0.15</v>
      </c>
      <c r="M273" s="3">
        <v>0.15</v>
      </c>
      <c r="O273" s="3">
        <v>2</v>
      </c>
      <c r="P273" s="3">
        <f t="shared" si="416"/>
        <v>0.8</v>
      </c>
      <c r="Q273" s="3" t="s">
        <v>408</v>
      </c>
      <c r="S273" s="3" t="str">
        <f t="shared" si="417"/>
        <v/>
      </c>
      <c r="W273" s="3">
        <f t="shared" si="418"/>
        <v>0</v>
      </c>
      <c r="Y273" s="3">
        <f t="shared" si="452"/>
        <v>1</v>
      </c>
      <c r="Z273" s="3">
        <f t="shared" si="453"/>
        <v>1.5</v>
      </c>
      <c r="AA273" s="3">
        <f t="shared" si="454"/>
        <v>0.75</v>
      </c>
      <c r="AB273" s="3">
        <f t="shared" si="455"/>
        <v>0.75</v>
      </c>
      <c r="AC273" s="3">
        <f t="shared" si="456"/>
        <v>1.5</v>
      </c>
      <c r="AD273" s="3">
        <f t="shared" si="457"/>
        <v>1</v>
      </c>
      <c r="AE273" s="3">
        <f t="shared" si="458"/>
        <v>1.5</v>
      </c>
      <c r="AF273" s="3">
        <f t="shared" si="459"/>
        <v>0.75</v>
      </c>
      <c r="AG273" s="3">
        <f t="shared" si="460"/>
        <v>0.75</v>
      </c>
      <c r="AH273" s="3" t="str">
        <f t="shared" si="419"/>
        <v>자동</v>
      </c>
      <c r="AI273" s="3">
        <f t="shared" si="461"/>
        <v>0.75</v>
      </c>
      <c r="AJ273" s="3">
        <f t="shared" si="462"/>
        <v>0.75</v>
      </c>
      <c r="AL273" s="3" t="str">
        <f t="shared" si="420"/>
        <v/>
      </c>
      <c r="AN273" s="3" t="str">
        <f ca="1">IF($BA273=42,OFFSET(변환표준점수!C$119,$AP273-1,0),"")</f>
        <v/>
      </c>
      <c r="AO273" s="3" t="str">
        <f ca="1">IF($BA273=42,OFFSET(변환표준점수!D$119,$AP273-1,0),"")</f>
        <v/>
      </c>
      <c r="AP273" s="3" t="str">
        <f>IF(S273="","",MATCH(S273,변환표준점수!$B$119:$B$298,0))</f>
        <v/>
      </c>
      <c r="AQ273" s="3">
        <v>2</v>
      </c>
      <c r="AR273" s="3">
        <v>2</v>
      </c>
      <c r="AS273" s="3">
        <v>2</v>
      </c>
      <c r="AT273" s="3">
        <v>2</v>
      </c>
      <c r="AV273" s="3">
        <v>2</v>
      </c>
      <c r="AW273" s="3">
        <v>2</v>
      </c>
      <c r="AX273" s="3">
        <v>3</v>
      </c>
      <c r="AY273" s="3">
        <v>3</v>
      </c>
      <c r="BA273" s="3">
        <f t="shared" si="421"/>
        <v>2</v>
      </c>
      <c r="BJ273" s="3">
        <f t="shared" si="422"/>
        <v>0</v>
      </c>
      <c r="CH273" s="206">
        <f t="shared" si="423"/>
        <v>400</v>
      </c>
      <c r="CI273" s="56">
        <v>100</v>
      </c>
      <c r="CJ273" s="3">
        <v>97</v>
      </c>
      <c r="CK273" s="3">
        <v>94</v>
      </c>
      <c r="CL273" s="3">
        <v>85</v>
      </c>
      <c r="CM273" s="3">
        <v>60</v>
      </c>
      <c r="CN273" s="3">
        <v>40</v>
      </c>
      <c r="CO273" s="3">
        <v>25</v>
      </c>
      <c r="CP273" s="3">
        <v>10</v>
      </c>
      <c r="CQ273" s="3">
        <v>0</v>
      </c>
      <c r="CR273" s="56">
        <v>2</v>
      </c>
      <c r="CS273" s="3">
        <v>1.5</v>
      </c>
      <c r="CT273" s="3">
        <v>1</v>
      </c>
      <c r="CU273" s="3">
        <v>0.5</v>
      </c>
      <c r="DJ273" s="3">
        <f t="shared" ca="1" si="424"/>
        <v>100</v>
      </c>
      <c r="DK273" s="3">
        <f t="shared" ca="1" si="425"/>
        <v>100</v>
      </c>
      <c r="DL273" s="3">
        <f t="shared" ca="1" si="426"/>
        <v>2</v>
      </c>
      <c r="DO273" s="3">
        <v>2</v>
      </c>
      <c r="DZ273" s="3">
        <v>1</v>
      </c>
      <c r="EA273" s="3">
        <f t="shared" si="427"/>
        <v>1</v>
      </c>
      <c r="EB273" s="3">
        <f t="shared" si="428"/>
        <v>2</v>
      </c>
      <c r="EC273" s="3">
        <f t="shared" si="429"/>
        <v>0</v>
      </c>
      <c r="ED273" s="3">
        <f t="shared" si="430"/>
        <v>0</v>
      </c>
      <c r="EF273" s="3">
        <f t="shared" ca="1" si="431"/>
        <v>0</v>
      </c>
      <c r="EG273" s="3">
        <f t="shared" ca="1" si="432"/>
        <v>0</v>
      </c>
      <c r="EH273" s="3">
        <f ca="1">IFERROR(IF(LEFT($BA273,1)="4",OFFSET(변환표준점수!$H$118,MATCH($S273,변환표준점수!$B$119:$B$198,0),),OFFSET(EH$3,MATCH(AS273,$ED$4:$ED$8,0),0)),0)</f>
        <v>0</v>
      </c>
      <c r="EI273" s="3">
        <f ca="1">IFERROR(IF(LEFT($BA273,1)="4",OFFSET(변환표준점수!$I$118,MATCH($S273,변환표준점수!$B$119:$B$198,0),0),OFFSET(EI$3,MATCH(AT273,$ED$4:$ED$8,0),0)),0)</f>
        <v>0</v>
      </c>
      <c r="EK273" s="3">
        <f ca="1">IFERROR(IF(LEFT($BA273,1)="4",OFFSET(변환표준점수!$J$118,MATCH($S273,변환표준점수!$B$119:$B$198,0),0),OFFSET(EJ$3,MATCH(AV273,$ED$4:$ED$8,0),0)),0)</f>
        <v>0</v>
      </c>
      <c r="EL273" s="3">
        <f ca="1">IFERROR(IF(LEFT($BA273,1)="4",OFFSET(변환표준점수!$K$118,MATCH($S273,변환표준점수!$B$119:$B$198,0),0),OFFSET(EK$3,MATCH(AW273,$ED$4:$ED$8,0),0)),0)</f>
        <v>0</v>
      </c>
      <c r="EM273" s="3" t="str">
        <f t="shared" ca="1" si="433"/>
        <v/>
      </c>
      <c r="EN273" s="3" t="str">
        <f t="shared" ca="1" si="434"/>
        <v/>
      </c>
      <c r="EO273" s="3">
        <f t="shared" ca="1" si="435"/>
        <v>0</v>
      </c>
      <c r="EQ273" s="3">
        <f t="shared" ca="1" si="436"/>
        <v>0</v>
      </c>
      <c r="ER273" s="3">
        <f t="shared" ca="1" si="437"/>
        <v>0</v>
      </c>
      <c r="ES273" s="3">
        <f t="shared" ca="1" si="438"/>
        <v>0</v>
      </c>
      <c r="ET273" s="3">
        <f t="shared" ca="1" si="439"/>
        <v>0</v>
      </c>
      <c r="EU273" s="3">
        <f t="shared" si="440"/>
        <v>0</v>
      </c>
      <c r="EV273" s="3">
        <f t="shared" ca="1" si="441"/>
        <v>0</v>
      </c>
      <c r="EW273" s="3">
        <f t="shared" ca="1" si="442"/>
        <v>0</v>
      </c>
      <c r="EX273" s="3">
        <f ca="1">LARGE((ES273:ET273,EV273:EW273),1)</f>
        <v>0</v>
      </c>
      <c r="EY273" s="3">
        <f ca="1">IF(O273&lt;2,0,LARGE((ES273:ET273,EV273:EW273),2))</f>
        <v>0</v>
      </c>
      <c r="EZ273" s="3">
        <f t="shared" ca="1" si="443"/>
        <v>0</v>
      </c>
      <c r="FA273" s="3">
        <f t="shared" ca="1" si="444"/>
        <v>0</v>
      </c>
      <c r="FB273" s="3">
        <f t="shared" ca="1" si="445"/>
        <v>0</v>
      </c>
      <c r="FG273" s="3">
        <f t="shared" ca="1" si="446"/>
        <v>0</v>
      </c>
      <c r="FH273" s="618"/>
      <c r="FU273" s="3" t="str">
        <f t="shared" ref="FU273:FU309" si="463">IF(AQ273=1,"표점",IF(AQ273=12,"표점/만점",IF(AQ273=2,"백분위")))</f>
        <v>백분위</v>
      </c>
      <c r="FV273" s="3" t="str">
        <f t="shared" ref="FV273:FV309" si="464">IF(BA273=1,"표점",IF(BA273=12,"표점/만점",IF(BA273=2,"백분위",IF(BA273=4,"변표",IF(BA273=42,"변표/만점")))))</f>
        <v>백분위</v>
      </c>
      <c r="FW273" s="3">
        <f t="shared" si="447"/>
        <v>0.25</v>
      </c>
      <c r="FX273" s="3">
        <f t="shared" si="448"/>
        <v>0.38</v>
      </c>
      <c r="FY273" s="3">
        <f t="shared" si="449"/>
        <v>0.38</v>
      </c>
      <c r="FZ273" s="3">
        <f t="shared" si="450"/>
        <v>4</v>
      </c>
    </row>
    <row r="274" spans="1:182">
      <c r="C274" s="3">
        <f t="shared" si="415"/>
        <v>259</v>
      </c>
      <c r="D274" s="3">
        <v>259</v>
      </c>
      <c r="E274" s="3" t="s">
        <v>473</v>
      </c>
      <c r="F274" s="3">
        <v>1000</v>
      </c>
      <c r="G274" s="3">
        <v>0.25</v>
      </c>
      <c r="H274" s="3">
        <v>0.3</v>
      </c>
      <c r="I274" s="3">
        <v>0.2</v>
      </c>
      <c r="L274" s="3">
        <v>0.2</v>
      </c>
      <c r="O274" s="3">
        <v>1</v>
      </c>
      <c r="P274" s="3">
        <f t="shared" si="416"/>
        <v>0.75</v>
      </c>
      <c r="Q274" s="3" t="s">
        <v>408</v>
      </c>
      <c r="S274" s="3" t="str">
        <f t="shared" si="417"/>
        <v/>
      </c>
      <c r="W274" s="3">
        <f t="shared" si="418"/>
        <v>0</v>
      </c>
      <c r="Y274" s="3">
        <f t="shared" si="452"/>
        <v>2.5</v>
      </c>
      <c r="Z274" s="3">
        <f t="shared" si="453"/>
        <v>3</v>
      </c>
      <c r="AA274" s="3">
        <f t="shared" si="454"/>
        <v>2</v>
      </c>
      <c r="AB274" s="3">
        <f t="shared" si="455"/>
        <v>2</v>
      </c>
      <c r="AC274" s="3">
        <f t="shared" si="456"/>
        <v>2</v>
      </c>
      <c r="AD274" s="3">
        <f t="shared" si="457"/>
        <v>2.5</v>
      </c>
      <c r="AE274" s="3">
        <f t="shared" si="458"/>
        <v>3</v>
      </c>
      <c r="AF274" s="3">
        <f t="shared" si="459"/>
        <v>2</v>
      </c>
      <c r="AG274" s="3" t="str">
        <f t="shared" si="460"/>
        <v>자동</v>
      </c>
      <c r="AH274" s="3" t="str">
        <f t="shared" si="419"/>
        <v>자동</v>
      </c>
      <c r="AI274" s="3">
        <f t="shared" si="461"/>
        <v>2</v>
      </c>
      <c r="AJ274" s="3" t="str">
        <f t="shared" si="462"/>
        <v>자동</v>
      </c>
      <c r="AL274" s="3" t="str">
        <f t="shared" si="420"/>
        <v/>
      </c>
      <c r="AN274" s="3" t="str">
        <f ca="1">IF($BA274=42,OFFSET(변환표준점수!C$119,$AP274-1,0),"")</f>
        <v/>
      </c>
      <c r="AO274" s="3" t="str">
        <f ca="1">IF($BA274=42,OFFSET(변환표준점수!D$119,$AP274-1,0),"")</f>
        <v/>
      </c>
      <c r="AP274" s="3" t="str">
        <f>IF(S274="","",MATCH(S274,변환표준점수!$B$119:$B$298,0))</f>
        <v/>
      </c>
      <c r="AQ274" s="3">
        <v>2</v>
      </c>
      <c r="AR274" s="3">
        <v>2</v>
      </c>
      <c r="AS274" s="3">
        <v>2</v>
      </c>
      <c r="AV274" s="3">
        <v>2</v>
      </c>
      <c r="AX274" s="3">
        <v>3</v>
      </c>
      <c r="AY274" s="3">
        <v>3</v>
      </c>
      <c r="BA274" s="3">
        <f t="shared" si="421"/>
        <v>2</v>
      </c>
      <c r="BC274" s="3">
        <f>$Z274*0.1</f>
        <v>0.30000000000000004</v>
      </c>
      <c r="BD274" s="3">
        <f>$Z274*0.1</f>
        <v>0.30000000000000004</v>
      </c>
      <c r="BJ274" s="3">
        <f t="shared" si="422"/>
        <v>0</v>
      </c>
      <c r="BN274" s="212" t="s">
        <v>7337</v>
      </c>
      <c r="BP274" s="3">
        <f>IF(BP$6&gt;0,BC274*$EG274,0)</f>
        <v>0</v>
      </c>
      <c r="BQ274" s="3">
        <f>IF(BQ$6&gt;0,BD274*$EG274,0)</f>
        <v>0</v>
      </c>
      <c r="CH274" s="206">
        <f t="shared" si="423"/>
        <v>750</v>
      </c>
      <c r="CI274" s="56">
        <v>250</v>
      </c>
      <c r="CJ274" s="3">
        <v>242.5</v>
      </c>
      <c r="CK274" s="3">
        <v>227.5</v>
      </c>
      <c r="CL274" s="3">
        <v>205</v>
      </c>
      <c r="CM274" s="3">
        <v>175</v>
      </c>
      <c r="CN274" s="3">
        <v>137.5</v>
      </c>
      <c r="CO274" s="3">
        <v>100</v>
      </c>
      <c r="CP274" s="3">
        <v>50</v>
      </c>
      <c r="CQ274" s="3">
        <v>0</v>
      </c>
      <c r="CR274" s="56">
        <v>3</v>
      </c>
      <c r="CS274" s="3">
        <v>3</v>
      </c>
      <c r="CT274" s="3">
        <v>3</v>
      </c>
      <c r="CU274" s="3">
        <v>3</v>
      </c>
      <c r="CV274" s="3">
        <v>2.5</v>
      </c>
      <c r="CW274" s="3">
        <v>2</v>
      </c>
      <c r="CX274" s="3">
        <v>1.5</v>
      </c>
      <c r="CY274" s="3">
        <v>1</v>
      </c>
      <c r="CZ274" s="3">
        <v>0.5</v>
      </c>
      <c r="DJ274" s="3">
        <f t="shared" ca="1" si="424"/>
        <v>250</v>
      </c>
      <c r="DK274" s="3">
        <f t="shared" ca="1" si="425"/>
        <v>100</v>
      </c>
      <c r="DL274" s="3">
        <f t="shared" ca="1" si="426"/>
        <v>3</v>
      </c>
      <c r="DO274" s="3">
        <v>1</v>
      </c>
      <c r="DZ274" s="3">
        <v>1</v>
      </c>
      <c r="EA274" s="3">
        <f t="shared" si="427"/>
        <v>1</v>
      </c>
      <c r="EB274" s="3">
        <f t="shared" si="428"/>
        <v>1</v>
      </c>
      <c r="EC274" s="3">
        <f t="shared" si="429"/>
        <v>0</v>
      </c>
      <c r="ED274" s="3">
        <f t="shared" si="430"/>
        <v>0</v>
      </c>
      <c r="EF274" s="3">
        <f t="shared" ca="1" si="431"/>
        <v>0</v>
      </c>
      <c r="EG274" s="3">
        <f t="shared" ca="1" si="432"/>
        <v>0</v>
      </c>
      <c r="EH274" s="3">
        <f ca="1">IFERROR(IF(LEFT($BA274,1)="4",OFFSET(변환표준점수!$H$118,MATCH($S274,변환표준점수!$B$119:$B$198,0),),OFFSET(EH$3,MATCH(AS274,$ED$4:$ED$8,0),0)),0)</f>
        <v>0</v>
      </c>
      <c r="EI274" s="3">
        <f ca="1">IFERROR(IF(LEFT($BA274,1)="4",OFFSET(변환표준점수!$I$118,MATCH($S274,변환표준점수!$B$119:$B$198,0),0),OFFSET(EI$3,MATCH(AT274,$ED$4:$ED$8,0),0)),0)</f>
        <v>0</v>
      </c>
      <c r="EK274" s="3">
        <f ca="1">IFERROR(IF(LEFT($BA274,1)="4",OFFSET(변환표준점수!$J$118,MATCH($S274,변환표준점수!$B$119:$B$198,0),0),OFFSET(EJ$3,MATCH(AV274,$ED$4:$ED$8,0),0)),0)</f>
        <v>0</v>
      </c>
      <c r="EL274" s="3">
        <f ca="1">IFERROR(IF(LEFT($BA274,1)="4",OFFSET(변환표준점수!$K$118,MATCH($S274,변환표준점수!$B$119:$B$198,0),0),OFFSET(EK$3,MATCH(AW274,$ED$4:$ED$8,0),0)),0)</f>
        <v>0</v>
      </c>
      <c r="EM274" s="3" t="str">
        <f t="shared" ca="1" si="433"/>
        <v/>
      </c>
      <c r="EN274" s="3" t="str">
        <f t="shared" ca="1" si="434"/>
        <v/>
      </c>
      <c r="EO274" s="3">
        <f t="shared" ca="1" si="435"/>
        <v>0</v>
      </c>
      <c r="EQ274" s="3">
        <f t="shared" ca="1" si="436"/>
        <v>0</v>
      </c>
      <c r="ER274" s="3">
        <f t="shared" ca="1" si="437"/>
        <v>0</v>
      </c>
      <c r="ES274" s="3">
        <f t="shared" ca="1" si="438"/>
        <v>0</v>
      </c>
      <c r="ET274" s="3">
        <f t="shared" si="439"/>
        <v>0</v>
      </c>
      <c r="EU274" s="3">
        <f t="shared" si="440"/>
        <v>0</v>
      </c>
      <c r="EV274" s="3">
        <f t="shared" ca="1" si="441"/>
        <v>0</v>
      </c>
      <c r="EW274" s="3">
        <f t="shared" si="442"/>
        <v>0</v>
      </c>
      <c r="EX274" s="3">
        <f ca="1">LARGE((ES274:ET274,EV274:EW274),1)</f>
        <v>0</v>
      </c>
      <c r="EY274" s="3">
        <f>IF(O274&lt;2,0,LARGE((ES274:ET274,EV274:EW274),2))</f>
        <v>0</v>
      </c>
      <c r="EZ274" s="3">
        <f t="shared" ca="1" si="443"/>
        <v>0</v>
      </c>
      <c r="FA274" s="3">
        <f t="shared" ca="1" si="444"/>
        <v>0</v>
      </c>
      <c r="FB274" s="3">
        <f t="shared" ca="1" si="445"/>
        <v>0</v>
      </c>
      <c r="FG274" s="3">
        <f t="shared" ca="1" si="446"/>
        <v>0</v>
      </c>
      <c r="FH274" s="618"/>
      <c r="FU274" s="3" t="str">
        <f t="shared" si="463"/>
        <v>백분위</v>
      </c>
      <c r="FV274" s="3" t="str">
        <f t="shared" si="464"/>
        <v>백분위</v>
      </c>
      <c r="FW274" s="3">
        <f t="shared" si="447"/>
        <v>0.33</v>
      </c>
      <c r="FX274" s="3">
        <f t="shared" si="448"/>
        <v>0.4</v>
      </c>
      <c r="FY274" s="3">
        <f t="shared" si="449"/>
        <v>0.27</v>
      </c>
      <c r="FZ274" s="3">
        <f t="shared" si="450"/>
        <v>7.5</v>
      </c>
    </row>
    <row r="275" spans="1:182">
      <c r="C275" s="3">
        <f t="shared" si="415"/>
        <v>260</v>
      </c>
      <c r="D275" s="3">
        <v>260</v>
      </c>
      <c r="E275" s="3" t="s">
        <v>474</v>
      </c>
      <c r="F275" s="3">
        <v>1000</v>
      </c>
      <c r="G275" s="3">
        <v>0.3</v>
      </c>
      <c r="H275" s="3">
        <v>0.2</v>
      </c>
      <c r="I275" s="3">
        <v>0.2</v>
      </c>
      <c r="L275" s="3">
        <v>0.2</v>
      </c>
      <c r="O275" s="3">
        <v>1</v>
      </c>
      <c r="P275" s="3">
        <f t="shared" si="416"/>
        <v>0.7</v>
      </c>
      <c r="Q275" s="3" t="s">
        <v>408</v>
      </c>
      <c r="S275" s="3" t="str">
        <f t="shared" si="417"/>
        <v/>
      </c>
      <c r="W275" s="3">
        <f t="shared" si="418"/>
        <v>0</v>
      </c>
      <c r="Y275" s="3">
        <f t="shared" si="452"/>
        <v>3</v>
      </c>
      <c r="Z275" s="3">
        <f t="shared" si="453"/>
        <v>2</v>
      </c>
      <c r="AA275" s="3">
        <f t="shared" si="454"/>
        <v>2</v>
      </c>
      <c r="AB275" s="3">
        <f t="shared" si="455"/>
        <v>2</v>
      </c>
      <c r="AC275" s="3">
        <f t="shared" si="456"/>
        <v>2</v>
      </c>
      <c r="AD275" s="3">
        <f t="shared" si="457"/>
        <v>3</v>
      </c>
      <c r="AE275" s="3">
        <f t="shared" si="458"/>
        <v>2</v>
      </c>
      <c r="AF275" s="3">
        <f t="shared" si="459"/>
        <v>2</v>
      </c>
      <c r="AG275" s="3" t="str">
        <f t="shared" si="460"/>
        <v>자동</v>
      </c>
      <c r="AH275" s="3" t="str">
        <f t="shared" si="419"/>
        <v>자동</v>
      </c>
      <c r="AI275" s="3">
        <f t="shared" si="461"/>
        <v>2</v>
      </c>
      <c r="AJ275" s="3" t="str">
        <f t="shared" si="462"/>
        <v>자동</v>
      </c>
      <c r="AL275" s="3" t="str">
        <f t="shared" si="420"/>
        <v/>
      </c>
      <c r="AN275" s="3" t="str">
        <f ca="1">IF($BA275=42,OFFSET(변환표준점수!C$119,$AP275-1,0),"")</f>
        <v/>
      </c>
      <c r="AO275" s="3" t="str">
        <f ca="1">IF($BA275=42,OFFSET(변환표준점수!D$119,$AP275-1,0),"")</f>
        <v/>
      </c>
      <c r="AP275" s="3" t="str">
        <f>IF(S275="","",MATCH(S275,변환표준점수!$B$119:$B$298,0))</f>
        <v/>
      </c>
      <c r="AQ275" s="3">
        <v>2</v>
      </c>
      <c r="AR275" s="3">
        <v>2</v>
      </c>
      <c r="AS275" s="3">
        <v>2</v>
      </c>
      <c r="AV275" s="3">
        <v>2</v>
      </c>
      <c r="AX275" s="3">
        <v>3</v>
      </c>
      <c r="AY275" s="3">
        <v>3</v>
      </c>
      <c r="BA275" s="3">
        <f t="shared" si="421"/>
        <v>2</v>
      </c>
      <c r="BJ275" s="3">
        <f t="shared" si="422"/>
        <v>0</v>
      </c>
      <c r="CH275" s="206">
        <f t="shared" si="423"/>
        <v>700</v>
      </c>
      <c r="CI275" s="56">
        <v>300</v>
      </c>
      <c r="CJ275" s="3">
        <v>291</v>
      </c>
      <c r="CK275" s="3">
        <v>273</v>
      </c>
      <c r="CL275" s="3">
        <v>246</v>
      </c>
      <c r="CM275" s="3">
        <v>210</v>
      </c>
      <c r="CN275" s="3">
        <v>165</v>
      </c>
      <c r="CO275" s="3">
        <v>120</v>
      </c>
      <c r="CP275" s="3">
        <v>60</v>
      </c>
      <c r="CQ275" s="3">
        <v>0</v>
      </c>
      <c r="CR275" s="56">
        <v>3</v>
      </c>
      <c r="CS275" s="3">
        <v>3</v>
      </c>
      <c r="CT275" s="3">
        <v>3</v>
      </c>
      <c r="CU275" s="3">
        <v>3</v>
      </c>
      <c r="CV275" s="3">
        <v>2.5</v>
      </c>
      <c r="CW275" s="3">
        <v>2</v>
      </c>
      <c r="CX275" s="3">
        <v>1.5</v>
      </c>
      <c r="CY275" s="3">
        <v>1</v>
      </c>
      <c r="CZ275" s="3">
        <v>0.5</v>
      </c>
      <c r="DJ275" s="3">
        <f t="shared" ca="1" si="424"/>
        <v>300</v>
      </c>
      <c r="DK275" s="3">
        <f t="shared" ca="1" si="425"/>
        <v>100</v>
      </c>
      <c r="DL275" s="3">
        <f t="shared" ca="1" si="426"/>
        <v>3</v>
      </c>
      <c r="DO275" s="3">
        <v>1</v>
      </c>
      <c r="EA275" s="3">
        <f t="shared" si="427"/>
        <v>2</v>
      </c>
      <c r="EB275" s="3">
        <f t="shared" si="428"/>
        <v>1</v>
      </c>
      <c r="EC275" s="3">
        <f t="shared" si="429"/>
        <v>0</v>
      </c>
      <c r="ED275" s="3">
        <f t="shared" si="430"/>
        <v>0</v>
      </c>
      <c r="EF275" s="3">
        <f t="shared" ca="1" si="431"/>
        <v>0</v>
      </c>
      <c r="EG275" s="3">
        <f t="shared" ca="1" si="432"/>
        <v>0</v>
      </c>
      <c r="EH275" s="3">
        <f ca="1">IFERROR(IF(LEFT($BA275,1)="4",OFFSET(변환표준점수!$H$118,MATCH($S275,변환표준점수!$B$119:$B$198,0),),OFFSET(EH$3,MATCH(AS275,$ED$4:$ED$8,0),0)),0)</f>
        <v>0</v>
      </c>
      <c r="EI275" s="3">
        <f ca="1">IFERROR(IF(LEFT($BA275,1)="4",OFFSET(변환표준점수!$I$118,MATCH($S275,변환표준점수!$B$119:$B$198,0),0),OFFSET(EI$3,MATCH(AT275,$ED$4:$ED$8,0),0)),0)</f>
        <v>0</v>
      </c>
      <c r="EK275" s="3">
        <f ca="1">IFERROR(IF(LEFT($BA275,1)="4",OFFSET(변환표준점수!$J$118,MATCH($S275,변환표준점수!$B$119:$B$198,0),0),OFFSET(EJ$3,MATCH(AV275,$ED$4:$ED$8,0),0)),0)</f>
        <v>0</v>
      </c>
      <c r="EL275" s="3">
        <f ca="1">IFERROR(IF(LEFT($BA275,1)="4",OFFSET(변환표준점수!$K$118,MATCH($S275,변환표준점수!$B$119:$B$198,0),0),OFFSET(EK$3,MATCH(AW275,$ED$4:$ED$8,0),0)),0)</f>
        <v>0</v>
      </c>
      <c r="EM275" s="3" t="str">
        <f t="shared" ca="1" si="433"/>
        <v/>
      </c>
      <c r="EN275" s="3" t="str">
        <f t="shared" ca="1" si="434"/>
        <v/>
      </c>
      <c r="EO275" s="3">
        <f t="shared" ca="1" si="435"/>
        <v>0</v>
      </c>
      <c r="EQ275" s="3">
        <f t="shared" ca="1" si="436"/>
        <v>0</v>
      </c>
      <c r="ER275" s="3">
        <f t="shared" ca="1" si="437"/>
        <v>0</v>
      </c>
      <c r="ES275" s="3">
        <f t="shared" ca="1" si="438"/>
        <v>0</v>
      </c>
      <c r="ET275" s="3">
        <f t="shared" si="439"/>
        <v>0</v>
      </c>
      <c r="EU275" s="3">
        <f t="shared" si="440"/>
        <v>0</v>
      </c>
      <c r="EV275" s="3">
        <f t="shared" ca="1" si="441"/>
        <v>0</v>
      </c>
      <c r="EW275" s="3">
        <f t="shared" si="442"/>
        <v>0</v>
      </c>
      <c r="EX275" s="3">
        <f ca="1">LARGE((ES275:ET275,EV275:EW275),1)</f>
        <v>0</v>
      </c>
      <c r="EY275" s="3">
        <f>IF(O275&lt;2,0,LARGE((ES275:ET275,EV275:EW275),2))</f>
        <v>0</v>
      </c>
      <c r="EZ275" s="3">
        <f t="shared" ca="1" si="443"/>
        <v>0</v>
      </c>
      <c r="FA275" s="3">
        <f t="shared" ca="1" si="444"/>
        <v>0</v>
      </c>
      <c r="FB275" s="3">
        <f t="shared" ca="1" si="445"/>
        <v>0</v>
      </c>
      <c r="FG275" s="3">
        <f t="shared" ca="1" si="446"/>
        <v>0</v>
      </c>
      <c r="FH275" s="618"/>
      <c r="FU275" s="3" t="str">
        <f t="shared" si="463"/>
        <v>백분위</v>
      </c>
      <c r="FV275" s="3" t="str">
        <f t="shared" si="464"/>
        <v>백분위</v>
      </c>
      <c r="FW275" s="3">
        <f t="shared" si="447"/>
        <v>0.43</v>
      </c>
      <c r="FX275" s="3">
        <f t="shared" si="448"/>
        <v>0.28999999999999998</v>
      </c>
      <c r="FY275" s="3">
        <f t="shared" si="449"/>
        <v>0.28999999999999998</v>
      </c>
      <c r="FZ275" s="3">
        <f t="shared" si="450"/>
        <v>7</v>
      </c>
    </row>
    <row r="276" spans="1:182">
      <c r="A276" s="556">
        <v>26</v>
      </c>
      <c r="C276" s="3">
        <f t="shared" si="415"/>
        <v>261</v>
      </c>
      <c r="D276" s="3">
        <v>261</v>
      </c>
      <c r="E276" s="3" t="s">
        <v>460</v>
      </c>
      <c r="F276" s="3">
        <v>1000</v>
      </c>
      <c r="G276" s="3">
        <f>200/800</f>
        <v>0.25</v>
      </c>
      <c r="H276" s="3">
        <f>300/800</f>
        <v>0.375</v>
      </c>
      <c r="I276" s="3">
        <f>200/800</f>
        <v>0.25</v>
      </c>
      <c r="O276" s="3">
        <v>1</v>
      </c>
      <c r="P276" s="3">
        <f t="shared" si="416"/>
        <v>0.875</v>
      </c>
      <c r="Q276" s="3">
        <v>46</v>
      </c>
      <c r="S276" s="3">
        <f t="shared" si="417"/>
        <v>46</v>
      </c>
      <c r="W276" s="3">
        <f t="shared" si="418"/>
        <v>0</v>
      </c>
      <c r="Y276" s="3">
        <f t="shared" si="452"/>
        <v>1.25</v>
      </c>
      <c r="Z276" s="3">
        <f t="shared" si="453"/>
        <v>1.875</v>
      </c>
      <c r="AA276" s="3">
        <f t="shared" si="454"/>
        <v>2.5</v>
      </c>
      <c r="AB276" s="3" t="str">
        <f t="shared" si="455"/>
        <v>자동</v>
      </c>
      <c r="AC276" s="3">
        <f t="shared" si="456"/>
        <v>2.5</v>
      </c>
      <c r="AD276" s="3">
        <f t="shared" si="457"/>
        <v>1.25</v>
      </c>
      <c r="AE276" s="3">
        <f t="shared" si="458"/>
        <v>1.875</v>
      </c>
      <c r="AF276" s="3">
        <f t="shared" si="459"/>
        <v>2.5</v>
      </c>
      <c r="AG276" s="3" t="str">
        <f t="shared" si="460"/>
        <v>자동</v>
      </c>
      <c r="AH276" s="3" t="str">
        <f t="shared" si="419"/>
        <v>자동</v>
      </c>
      <c r="AI276" s="3" t="str">
        <f t="shared" si="461"/>
        <v>자동</v>
      </c>
      <c r="AJ276" s="3" t="str">
        <f t="shared" si="462"/>
        <v>자동</v>
      </c>
      <c r="AL276" s="3" t="str">
        <f t="shared" si="420"/>
        <v/>
      </c>
      <c r="AN276" s="3" t="str">
        <f ca="1">IF($BA276=42,OFFSET(변환표준점수!C$119,$AP276-1,0),"")</f>
        <v/>
      </c>
      <c r="AO276" s="3" t="str">
        <f ca="1">IF($BA276=42,OFFSET(변환표준점수!D$119,$AP276-1,0),"")</f>
        <v/>
      </c>
      <c r="AP276" s="3">
        <f>IF(S276="","",MATCH(S276,변환표준점수!$B$119:$B$298,0))</f>
        <v>46</v>
      </c>
      <c r="AQ276" s="3">
        <v>1</v>
      </c>
      <c r="AR276" s="3">
        <v>1</v>
      </c>
      <c r="AS276" s="3">
        <v>4</v>
      </c>
      <c r="AX276" s="3">
        <v>3</v>
      </c>
      <c r="AY276" s="3">
        <v>3</v>
      </c>
      <c r="BA276" s="3">
        <f t="shared" si="421"/>
        <v>4</v>
      </c>
      <c r="BJ276" s="3">
        <f t="shared" si="422"/>
        <v>0</v>
      </c>
      <c r="CH276" s="206">
        <f t="shared" si="423"/>
        <v>875</v>
      </c>
      <c r="CI276" s="56">
        <v>125</v>
      </c>
      <c r="CJ276" s="3">
        <v>118.75</v>
      </c>
      <c r="CK276" s="3">
        <v>112.5</v>
      </c>
      <c r="CL276" s="3">
        <v>100</v>
      </c>
      <c r="CM276" s="3">
        <v>87.5</v>
      </c>
      <c r="CN276" s="3">
        <v>75</v>
      </c>
      <c r="CO276" s="3">
        <v>50</v>
      </c>
      <c r="CP276" s="3">
        <v>25</v>
      </c>
      <c r="CQ276" s="3">
        <v>12.5</v>
      </c>
      <c r="CR276" s="56">
        <v>10</v>
      </c>
      <c r="CS276" s="3">
        <v>10</v>
      </c>
      <c r="CT276" s="3">
        <v>10</v>
      </c>
      <c r="CU276" s="3">
        <v>10</v>
      </c>
      <c r="CV276" s="3">
        <v>10</v>
      </c>
      <c r="CW276" s="3">
        <v>9.5</v>
      </c>
      <c r="CX276" s="3">
        <v>9</v>
      </c>
      <c r="CY276" s="3">
        <v>8.5</v>
      </c>
      <c r="CZ276" s="3">
        <v>8</v>
      </c>
      <c r="DJ276" s="3">
        <f t="shared" ca="1" si="424"/>
        <v>125</v>
      </c>
      <c r="DK276" s="3">
        <f t="shared" ca="1" si="425"/>
        <v>100</v>
      </c>
      <c r="DL276" s="3">
        <f t="shared" ca="1" si="426"/>
        <v>10</v>
      </c>
      <c r="DM276" s="3">
        <v>1</v>
      </c>
      <c r="DZ276" s="3">
        <v>1</v>
      </c>
      <c r="EA276" s="3">
        <f t="shared" si="427"/>
        <v>1</v>
      </c>
      <c r="EB276" s="3">
        <f t="shared" si="428"/>
        <v>1</v>
      </c>
      <c r="EC276" s="3">
        <f t="shared" si="429"/>
        <v>0</v>
      </c>
      <c r="ED276" s="3">
        <f t="shared" si="430"/>
        <v>0</v>
      </c>
      <c r="EF276" s="3">
        <f t="shared" ca="1" si="431"/>
        <v>0</v>
      </c>
      <c r="EG276" s="3">
        <f t="shared" ca="1" si="432"/>
        <v>0</v>
      </c>
      <c r="EH276" s="3">
        <f ca="1">IFERROR(IF(LEFT($BA276,1)="4",OFFSET(변환표준점수!$H$118,MATCH($S276,변환표준점수!$B$119:$B$198,0),),OFFSET(EH$3,MATCH(AS276,$ED$4:$ED$8,0),0)),0)</f>
        <v>0</v>
      </c>
      <c r="EI276" s="3">
        <f ca="1">IFERROR(IF(LEFT($BA276,1)="4",OFFSET(변환표준점수!$I$118,MATCH($S276,변환표준점수!$B$119:$B$198,0),0),OFFSET(EI$3,MATCH(AT276,$ED$4:$ED$8,0),0)),0)</f>
        <v>0</v>
      </c>
      <c r="EK276" s="3">
        <f ca="1">IFERROR(IF(LEFT($BA276,1)="4",OFFSET(변환표준점수!$J$118,MATCH($S276,변환표준점수!$B$119:$B$198,0),0),OFFSET(EJ$3,MATCH(AV276,$ED$4:$ED$8,0),0)),0)</f>
        <v>0</v>
      </c>
      <c r="EL276" s="3">
        <f ca="1">IFERROR(IF(LEFT($BA276,1)="4",OFFSET(변환표준점수!$K$118,MATCH($S276,변환표준점수!$B$119:$B$198,0),0),OFFSET(EK$3,MATCH(AW276,$ED$4:$ED$8,0),0)),0)</f>
        <v>0</v>
      </c>
      <c r="EM276" s="3" t="str">
        <f t="shared" ca="1" si="433"/>
        <v/>
      </c>
      <c r="EN276" s="3" t="str">
        <f t="shared" ca="1" si="434"/>
        <v/>
      </c>
      <c r="EO276" s="3">
        <f t="shared" ca="1" si="435"/>
        <v>0</v>
      </c>
      <c r="EQ276" s="3">
        <f t="shared" ca="1" si="436"/>
        <v>0</v>
      </c>
      <c r="ER276" s="3">
        <f t="shared" ca="1" si="437"/>
        <v>0</v>
      </c>
      <c r="ES276" s="3">
        <f t="shared" ca="1" si="438"/>
        <v>0</v>
      </c>
      <c r="ET276" s="3">
        <f t="shared" si="439"/>
        <v>0</v>
      </c>
      <c r="EU276" s="3">
        <f t="shared" si="440"/>
        <v>0</v>
      </c>
      <c r="EV276" s="3">
        <f t="shared" ca="1" si="441"/>
        <v>0</v>
      </c>
      <c r="EW276" s="3">
        <f t="shared" si="442"/>
        <v>0</v>
      </c>
      <c r="EX276" s="3">
        <f ca="1">LARGE((ES276:ET276,EV276:EW276),1)</f>
        <v>0</v>
      </c>
      <c r="EY276" s="3">
        <f>IF(O276&lt;2,0,LARGE((ES276:ET276,EV276:EW276),2))</f>
        <v>0</v>
      </c>
      <c r="EZ276" s="3">
        <f t="shared" ca="1" si="443"/>
        <v>0</v>
      </c>
      <c r="FA276" s="3">
        <f t="shared" ca="1" si="444"/>
        <v>0</v>
      </c>
      <c r="FB276" s="3">
        <f t="shared" ca="1" si="445"/>
        <v>0</v>
      </c>
      <c r="FG276" s="3">
        <f t="shared" ca="1" si="446"/>
        <v>0</v>
      </c>
      <c r="FH276" s="618"/>
      <c r="FU276" s="3" t="str">
        <f t="shared" si="463"/>
        <v>표점</v>
      </c>
      <c r="FV276" s="3" t="str">
        <f t="shared" si="464"/>
        <v>변표</v>
      </c>
      <c r="FW276" s="3">
        <f t="shared" si="447"/>
        <v>0.22</v>
      </c>
      <c r="FX276" s="3">
        <f t="shared" si="448"/>
        <v>0.33</v>
      </c>
      <c r="FY276" s="3">
        <f t="shared" si="449"/>
        <v>0.44</v>
      </c>
      <c r="FZ276" s="3">
        <f t="shared" si="450"/>
        <v>5.625</v>
      </c>
    </row>
    <row r="277" spans="1:182">
      <c r="A277" s="556">
        <v>26</v>
      </c>
      <c r="C277" s="3">
        <f t="shared" si="415"/>
        <v>262</v>
      </c>
      <c r="D277" s="3">
        <v>262</v>
      </c>
      <c r="E277" s="3" t="s">
        <v>7378</v>
      </c>
      <c r="F277" s="3">
        <v>1000</v>
      </c>
      <c r="G277" s="3">
        <f>200/700</f>
        <v>0.2857142857142857</v>
      </c>
      <c r="H277" s="3">
        <f>200/700</f>
        <v>0.2857142857142857</v>
      </c>
      <c r="I277" s="3">
        <f>200/700</f>
        <v>0.2857142857142857</v>
      </c>
      <c r="L277" s="3">
        <f>200/700</f>
        <v>0.2857142857142857</v>
      </c>
      <c r="O277" s="3">
        <v>1</v>
      </c>
      <c r="P277" s="3">
        <f t="shared" si="416"/>
        <v>0.8571428571428571</v>
      </c>
      <c r="Q277" s="3">
        <v>46</v>
      </c>
      <c r="S277" s="3">
        <f t="shared" si="417"/>
        <v>46</v>
      </c>
      <c r="W277" s="3">
        <f t="shared" si="418"/>
        <v>0</v>
      </c>
      <c r="Y277" s="3">
        <f t="shared" si="452"/>
        <v>1.4285714285714286</v>
      </c>
      <c r="Z277" s="3">
        <f t="shared" si="453"/>
        <v>1.4285714285714286</v>
      </c>
      <c r="AA277" s="3">
        <f t="shared" si="454"/>
        <v>2.8571428571428572</v>
      </c>
      <c r="AB277" s="3">
        <f t="shared" si="455"/>
        <v>2.8571428571428572</v>
      </c>
      <c r="AC277" s="3">
        <f t="shared" si="456"/>
        <v>2.8571428571428572</v>
      </c>
      <c r="AD277" s="3">
        <f t="shared" si="457"/>
        <v>1.4285714285714286</v>
      </c>
      <c r="AE277" s="3">
        <f t="shared" si="458"/>
        <v>1.4285714285714286</v>
      </c>
      <c r="AF277" s="3">
        <f t="shared" si="459"/>
        <v>2.8571428571428572</v>
      </c>
      <c r="AG277" s="3" t="str">
        <f t="shared" si="460"/>
        <v>자동</v>
      </c>
      <c r="AH277" s="3" t="str">
        <f t="shared" si="419"/>
        <v>자동</v>
      </c>
      <c r="AI277" s="3">
        <f t="shared" si="461"/>
        <v>2.8571428571428572</v>
      </c>
      <c r="AJ277" s="3" t="str">
        <f t="shared" si="462"/>
        <v>자동</v>
      </c>
      <c r="AL277" s="3" t="str">
        <f t="shared" si="420"/>
        <v/>
      </c>
      <c r="AN277" s="3" t="str">
        <f ca="1">IF($BA277=42,OFFSET(변환표준점수!C$119,$AP277-1,0),"")</f>
        <v/>
      </c>
      <c r="AO277" s="3" t="str">
        <f ca="1">IF($BA277=42,OFFSET(변환표준점수!D$119,$AP277-1,0),"")</f>
        <v/>
      </c>
      <c r="AP277" s="3">
        <f>IF(S277="","",MATCH(S277,변환표준점수!$B$119:$B$298,0))</f>
        <v>46</v>
      </c>
      <c r="AQ277" s="3">
        <v>1</v>
      </c>
      <c r="AR277" s="3">
        <v>1</v>
      </c>
      <c r="AS277" s="3">
        <v>4</v>
      </c>
      <c r="AV277" s="3">
        <v>4</v>
      </c>
      <c r="AX277" s="3">
        <v>3</v>
      </c>
      <c r="AY277" s="3">
        <v>3</v>
      </c>
      <c r="BA277" s="3">
        <f t="shared" si="421"/>
        <v>4</v>
      </c>
      <c r="BJ277" s="3">
        <f t="shared" si="422"/>
        <v>0</v>
      </c>
      <c r="CH277" s="206">
        <f t="shared" si="423"/>
        <v>857.14285714285711</v>
      </c>
      <c r="CI277" s="56">
        <v>142.85714285714286</v>
      </c>
      <c r="CJ277" s="3">
        <v>135.71428571428572</v>
      </c>
      <c r="CK277" s="3">
        <v>128.57142857142858</v>
      </c>
      <c r="CL277" s="3">
        <v>114.28571428571429</v>
      </c>
      <c r="CM277" s="3">
        <v>100</v>
      </c>
      <c r="CN277" s="3">
        <v>85.714285714285722</v>
      </c>
      <c r="CO277" s="3">
        <v>57.142857142857146</v>
      </c>
      <c r="CP277" s="3">
        <v>28.571428571428573</v>
      </c>
      <c r="CQ277" s="3">
        <v>14.285714285714286</v>
      </c>
      <c r="CR277" s="56">
        <v>10</v>
      </c>
      <c r="CS277" s="3">
        <v>10</v>
      </c>
      <c r="CT277" s="3">
        <v>10</v>
      </c>
      <c r="CU277" s="3">
        <v>10</v>
      </c>
      <c r="CV277" s="3">
        <v>10</v>
      </c>
      <c r="CW277" s="3">
        <v>9.5</v>
      </c>
      <c r="CX277" s="3">
        <v>9</v>
      </c>
      <c r="CY277" s="3">
        <v>8.5</v>
      </c>
      <c r="CZ277" s="3">
        <v>8</v>
      </c>
      <c r="DJ277" s="3">
        <f t="shared" ca="1" si="424"/>
        <v>142.9</v>
      </c>
      <c r="DK277" s="3">
        <f t="shared" ca="1" si="425"/>
        <v>99.970008997300809</v>
      </c>
      <c r="DL277" s="3">
        <f t="shared" ca="1" si="426"/>
        <v>10</v>
      </c>
      <c r="DO277" s="3">
        <v>1</v>
      </c>
      <c r="DZ277" s="3">
        <v>1</v>
      </c>
      <c r="EA277" s="3">
        <f t="shared" si="427"/>
        <v>1</v>
      </c>
      <c r="EB277" s="3">
        <f t="shared" si="428"/>
        <v>1</v>
      </c>
      <c r="EC277" s="3">
        <f t="shared" si="429"/>
        <v>0</v>
      </c>
      <c r="ED277" s="3">
        <f t="shared" si="430"/>
        <v>0</v>
      </c>
      <c r="EF277" s="3">
        <f t="shared" ca="1" si="431"/>
        <v>0</v>
      </c>
      <c r="EG277" s="3">
        <f t="shared" ca="1" si="432"/>
        <v>0</v>
      </c>
      <c r="EH277" s="3">
        <f ca="1">IFERROR(IF(LEFT($BA277,1)="4",OFFSET(변환표준점수!$H$118,MATCH($S277,변환표준점수!$B$119:$B$198,0),),OFFSET(EH$3,MATCH(AS277,$ED$4:$ED$8,0),0)),0)</f>
        <v>0</v>
      </c>
      <c r="EI277" s="3">
        <f ca="1">IFERROR(IF(LEFT($BA277,1)="4",OFFSET(변환표준점수!$I$118,MATCH($S277,변환표준점수!$B$119:$B$198,0),0),OFFSET(EI$3,MATCH(AT277,$ED$4:$ED$8,0),0)),0)</f>
        <v>0</v>
      </c>
      <c r="EK277" s="3">
        <f ca="1">IFERROR(IF(LEFT($BA277,1)="4",OFFSET(변환표준점수!$J$118,MATCH($S277,변환표준점수!$B$119:$B$198,0),0),OFFSET(EJ$3,MATCH(AV277,$ED$4:$ED$8,0),0)),0)</f>
        <v>0</v>
      </c>
      <c r="EL277" s="3">
        <f ca="1">IFERROR(IF(LEFT($BA277,1)="4",OFFSET(변환표준점수!$K$118,MATCH($S277,변환표준점수!$B$119:$B$198,0),0),OFFSET(EK$3,MATCH(AW277,$ED$4:$ED$8,0),0)),0)</f>
        <v>0</v>
      </c>
      <c r="EM277" s="3" t="str">
        <f t="shared" ca="1" si="433"/>
        <v/>
      </c>
      <c r="EN277" s="3" t="str">
        <f t="shared" ca="1" si="434"/>
        <v/>
      </c>
      <c r="EO277" s="3">
        <f t="shared" ca="1" si="435"/>
        <v>0</v>
      </c>
      <c r="EQ277" s="3">
        <f t="shared" ca="1" si="436"/>
        <v>0</v>
      </c>
      <c r="ER277" s="3">
        <f t="shared" ca="1" si="437"/>
        <v>0</v>
      </c>
      <c r="ES277" s="3">
        <f t="shared" ca="1" si="438"/>
        <v>0</v>
      </c>
      <c r="ET277" s="3">
        <f t="shared" si="439"/>
        <v>0</v>
      </c>
      <c r="EU277" s="3">
        <f t="shared" si="440"/>
        <v>0</v>
      </c>
      <c r="EV277" s="3">
        <f t="shared" ca="1" si="441"/>
        <v>0</v>
      </c>
      <c r="EW277" s="3">
        <f t="shared" si="442"/>
        <v>0</v>
      </c>
      <c r="EX277" s="3">
        <f ca="1">LARGE((ES277:ET277,EV277:EW277),1)</f>
        <v>0</v>
      </c>
      <c r="EY277" s="3">
        <f>IF(O277&lt;2,0,LARGE((ES277:ET277,EV277:EW277),2))</f>
        <v>0</v>
      </c>
      <c r="EZ277" s="3">
        <f t="shared" ca="1" si="443"/>
        <v>0</v>
      </c>
      <c r="FA277" s="3">
        <f t="shared" ca="1" si="444"/>
        <v>0</v>
      </c>
      <c r="FB277" s="3">
        <f t="shared" ca="1" si="445"/>
        <v>0</v>
      </c>
      <c r="FG277" s="3">
        <f t="shared" ca="1" si="446"/>
        <v>0</v>
      </c>
      <c r="FH277" s="618"/>
      <c r="FU277" s="3" t="str">
        <f t="shared" si="463"/>
        <v>표점</v>
      </c>
      <c r="FV277" s="3" t="str">
        <f t="shared" si="464"/>
        <v>변표</v>
      </c>
      <c r="FW277" s="3">
        <f t="shared" si="447"/>
        <v>0.25</v>
      </c>
      <c r="FX277" s="3">
        <f t="shared" si="448"/>
        <v>0.25</v>
      </c>
      <c r="FY277" s="3">
        <f t="shared" si="449"/>
        <v>0.5</v>
      </c>
      <c r="FZ277" s="3">
        <f t="shared" si="450"/>
        <v>5.7142857142857144</v>
      </c>
    </row>
    <row r="278" spans="1:182">
      <c r="A278" s="556">
        <v>26</v>
      </c>
      <c r="C278" s="3">
        <f t="shared" si="415"/>
        <v>263</v>
      </c>
      <c r="D278" s="3">
        <v>263</v>
      </c>
      <c r="E278" s="3" t="s">
        <v>461</v>
      </c>
      <c r="F278" s="3">
        <v>1000</v>
      </c>
      <c r="G278" s="3">
        <f>2/9</f>
        <v>0.22222222222222221</v>
      </c>
      <c r="H278" s="3">
        <f>2/9</f>
        <v>0.22222222222222221</v>
      </c>
      <c r="I278" s="3">
        <f>2/9</f>
        <v>0.22222222222222221</v>
      </c>
      <c r="L278" s="3">
        <f>I278</f>
        <v>0.22222222222222221</v>
      </c>
      <c r="O278" s="3">
        <v>1</v>
      </c>
      <c r="P278" s="3">
        <f t="shared" si="416"/>
        <v>0.66666666666666663</v>
      </c>
      <c r="Q278" s="3">
        <v>46</v>
      </c>
      <c r="S278" s="3">
        <f t="shared" si="417"/>
        <v>46</v>
      </c>
      <c r="W278" s="3">
        <f t="shared" si="418"/>
        <v>0</v>
      </c>
      <c r="Y278" s="3">
        <f t="shared" si="452"/>
        <v>1.1111111111111109</v>
      </c>
      <c r="Z278" s="3">
        <f t="shared" si="453"/>
        <v>1.1111111111111109</v>
      </c>
      <c r="AA278" s="3">
        <f t="shared" si="454"/>
        <v>2.2222222222222219</v>
      </c>
      <c r="AB278" s="3">
        <f t="shared" si="455"/>
        <v>2.2222222222222219</v>
      </c>
      <c r="AC278" s="3">
        <f t="shared" si="456"/>
        <v>2.2222222222222219</v>
      </c>
      <c r="AD278" s="3">
        <f t="shared" si="457"/>
        <v>1.1111111111111109</v>
      </c>
      <c r="AE278" s="3">
        <f t="shared" si="458"/>
        <v>1.1111111111111109</v>
      </c>
      <c r="AF278" s="3">
        <f t="shared" si="459"/>
        <v>2.2222222222222219</v>
      </c>
      <c r="AG278" s="3" t="str">
        <f t="shared" si="460"/>
        <v>자동</v>
      </c>
      <c r="AH278" s="3" t="str">
        <f t="shared" si="419"/>
        <v>자동</v>
      </c>
      <c r="AI278" s="3">
        <f t="shared" si="461"/>
        <v>2.2222222222222219</v>
      </c>
      <c r="AJ278" s="3" t="str">
        <f t="shared" si="462"/>
        <v>자동</v>
      </c>
      <c r="AL278" s="3" t="str">
        <f t="shared" si="420"/>
        <v/>
      </c>
      <c r="AN278" s="3" t="str">
        <f ca="1">IF($BA278=42,OFFSET(변환표준점수!C$119,$AP278-1,0),"")</f>
        <v/>
      </c>
      <c r="AO278" s="3" t="str">
        <f ca="1">IF($BA278=42,OFFSET(변환표준점수!D$119,$AP278-1,0),"")</f>
        <v/>
      </c>
      <c r="AP278" s="3">
        <f>IF(S278="","",MATCH(S278,변환표준점수!$B$119:$B$298,0))</f>
        <v>46</v>
      </c>
      <c r="AQ278" s="3">
        <v>1</v>
      </c>
      <c r="AR278" s="3">
        <v>1</v>
      </c>
      <c r="AS278" s="3">
        <v>4</v>
      </c>
      <c r="AV278" s="3">
        <v>4</v>
      </c>
      <c r="AX278" s="3">
        <v>3</v>
      </c>
      <c r="AY278" s="3">
        <v>3</v>
      </c>
      <c r="BA278" s="3">
        <f t="shared" si="421"/>
        <v>4</v>
      </c>
      <c r="BJ278" s="3">
        <f t="shared" si="422"/>
        <v>0</v>
      </c>
      <c r="CH278" s="206">
        <f t="shared" si="423"/>
        <v>666.66666666666663</v>
      </c>
      <c r="CI278" s="56">
        <v>333.33333333333331</v>
      </c>
      <c r="CJ278" s="3">
        <v>316.66666666666663</v>
      </c>
      <c r="CK278" s="3">
        <v>300</v>
      </c>
      <c r="CL278" s="3">
        <v>266.66666666666663</v>
      </c>
      <c r="CM278" s="3">
        <v>233.33333333333331</v>
      </c>
      <c r="CN278" s="3">
        <v>199.99999999999997</v>
      </c>
      <c r="CO278" s="3">
        <v>133.33333333333331</v>
      </c>
      <c r="CP278" s="3">
        <v>66.666666666666657</v>
      </c>
      <c r="CQ278" s="3">
        <v>33.333333333333329</v>
      </c>
      <c r="CR278" s="56">
        <v>10</v>
      </c>
      <c r="CS278" s="3">
        <v>10</v>
      </c>
      <c r="CT278" s="3">
        <v>10</v>
      </c>
      <c r="CU278" s="3">
        <v>10</v>
      </c>
      <c r="CV278" s="3">
        <v>10</v>
      </c>
      <c r="CW278" s="3">
        <v>9.5</v>
      </c>
      <c r="CX278" s="3">
        <v>9</v>
      </c>
      <c r="CY278" s="3">
        <v>8.5</v>
      </c>
      <c r="CZ278" s="3">
        <v>8</v>
      </c>
      <c r="DJ278" s="3">
        <f t="shared" ca="1" si="424"/>
        <v>333.3</v>
      </c>
      <c r="DK278" s="3">
        <f t="shared" ca="1" si="425"/>
        <v>100.0100010001</v>
      </c>
      <c r="DL278" s="3">
        <f t="shared" ca="1" si="426"/>
        <v>10</v>
      </c>
      <c r="DO278" s="3">
        <v>1</v>
      </c>
      <c r="EA278" s="3">
        <f t="shared" si="427"/>
        <v>2</v>
      </c>
      <c r="EB278" s="3">
        <f t="shared" si="428"/>
        <v>1</v>
      </c>
      <c r="EC278" s="3">
        <f t="shared" si="429"/>
        <v>0</v>
      </c>
      <c r="ED278" s="3">
        <f t="shared" si="430"/>
        <v>0</v>
      </c>
      <c r="EF278" s="3">
        <f t="shared" ca="1" si="431"/>
        <v>0</v>
      </c>
      <c r="EG278" s="3">
        <f t="shared" ca="1" si="432"/>
        <v>0</v>
      </c>
      <c r="EH278" s="3">
        <f ca="1">IFERROR(IF(LEFT($BA278,1)="4",OFFSET(변환표준점수!$H$118,MATCH($S278,변환표준점수!$B$119:$B$198,0),),OFFSET(EH$3,MATCH(AS278,$ED$4:$ED$8,0),0)),0)</f>
        <v>0</v>
      </c>
      <c r="EI278" s="3">
        <f ca="1">IFERROR(IF(LEFT($BA278,1)="4",OFFSET(변환표준점수!$I$118,MATCH($S278,변환표준점수!$B$119:$B$198,0),0),OFFSET(EI$3,MATCH(AT278,$ED$4:$ED$8,0),0)),0)</f>
        <v>0</v>
      </c>
      <c r="EK278" s="3">
        <f ca="1">IFERROR(IF(LEFT($BA278,1)="4",OFFSET(변환표준점수!$J$118,MATCH($S278,변환표준점수!$B$119:$B$198,0),0),OFFSET(EJ$3,MATCH(AV278,$ED$4:$ED$8,0),0)),0)</f>
        <v>0</v>
      </c>
      <c r="EL278" s="3">
        <f ca="1">IFERROR(IF(LEFT($BA278,1)="4",OFFSET(변환표준점수!$K$118,MATCH($S278,변환표준점수!$B$119:$B$198,0),0),OFFSET(EK$3,MATCH(AW278,$ED$4:$ED$8,0),0)),0)</f>
        <v>0</v>
      </c>
      <c r="EM278" s="3" t="str">
        <f t="shared" ca="1" si="433"/>
        <v/>
      </c>
      <c r="EN278" s="3" t="str">
        <f t="shared" ca="1" si="434"/>
        <v/>
      </c>
      <c r="EO278" s="3">
        <f t="shared" ca="1" si="435"/>
        <v>0</v>
      </c>
      <c r="EQ278" s="3">
        <f t="shared" ca="1" si="436"/>
        <v>0</v>
      </c>
      <c r="ER278" s="3">
        <f t="shared" ca="1" si="437"/>
        <v>0</v>
      </c>
      <c r="ES278" s="3">
        <f t="shared" ca="1" si="438"/>
        <v>0</v>
      </c>
      <c r="ET278" s="3">
        <f t="shared" si="439"/>
        <v>0</v>
      </c>
      <c r="EU278" s="3">
        <f t="shared" si="440"/>
        <v>0</v>
      </c>
      <c r="EV278" s="3">
        <f t="shared" ca="1" si="441"/>
        <v>0</v>
      </c>
      <c r="EW278" s="3">
        <f t="shared" si="442"/>
        <v>0</v>
      </c>
      <c r="EX278" s="3">
        <f ca="1">LARGE((ES278:ET278,EV278:EW278),1)</f>
        <v>0</v>
      </c>
      <c r="EY278" s="3">
        <f>IF(O278&lt;2,0,LARGE((ES278:ET278,EV278:EW278),2))</f>
        <v>0</v>
      </c>
      <c r="EZ278" s="3">
        <f t="shared" ca="1" si="443"/>
        <v>0</v>
      </c>
      <c r="FA278" s="3">
        <f t="shared" ca="1" si="444"/>
        <v>0</v>
      </c>
      <c r="FB278" s="3">
        <f t="shared" ca="1" si="445"/>
        <v>0</v>
      </c>
      <c r="FG278" s="3">
        <f t="shared" ca="1" si="446"/>
        <v>0</v>
      </c>
      <c r="FH278" s="618"/>
      <c r="FU278" s="3" t="str">
        <f t="shared" si="463"/>
        <v>표점</v>
      </c>
      <c r="FV278" s="3" t="str">
        <f t="shared" si="464"/>
        <v>변표</v>
      </c>
      <c r="FW278" s="3">
        <f t="shared" si="447"/>
        <v>0.25</v>
      </c>
      <c r="FX278" s="3">
        <f t="shared" si="448"/>
        <v>0.25</v>
      </c>
      <c r="FY278" s="3">
        <f t="shared" si="449"/>
        <v>0.5</v>
      </c>
      <c r="FZ278" s="3">
        <f t="shared" si="450"/>
        <v>4.4444444444444438</v>
      </c>
    </row>
    <row r="279" spans="1:182">
      <c r="FH279" s="618"/>
    </row>
    <row r="280" spans="1:182">
      <c r="C280" s="3">
        <f t="shared" ref="C280:C309" si="465">ROUND(ROW(C280)-ROW($C$15),0)</f>
        <v>265</v>
      </c>
      <c r="D280" s="3">
        <v>265</v>
      </c>
      <c r="E280" s="3" t="s">
        <v>475</v>
      </c>
      <c r="F280" s="3">
        <v>1000</v>
      </c>
      <c r="G280" s="3" t="e">
        <f>IF($BB$7=1,IF(OR(G$282=1,G$282=2),0.35,IF(G$282=3,0.2,IF(G$282=4,0.1,0.35))),0.35)</f>
        <v>#N/A</v>
      </c>
      <c r="H280" s="3" t="e">
        <f>IF($BB$7=1,IF(OR(H$282=1,H$282=2),0.35,IF(H$282=3,0.2,IF(H$282=4,0.1,0.1))),0.1)</f>
        <v>#N/A</v>
      </c>
      <c r="I280" s="3" t="e">
        <f>IF($BB$7=1,IF(OR(I$282=1,I$282=2),0.35,IF(I$282=3,0.2,IF(I$282=4,0.1,0.2))),0.2)</f>
        <v>#N/A</v>
      </c>
      <c r="L280" s="3" t="e">
        <f>IF($BB$7=1,IF(OR(L$282=1,L$282=2),0.35,IF(L$282=3,0.2,IF(L$282=4,0.1,0.2))),0.2)</f>
        <v>#N/A</v>
      </c>
      <c r="N280" s="3" t="e">
        <f>(1-G280-H280-I280)*10</f>
        <v>#N/A</v>
      </c>
      <c r="O280" s="3">
        <v>1</v>
      </c>
      <c r="P280" s="3" t="e">
        <f t="shared" ref="P280:P309" si="466">G280+H280+MAX((I280:J280),L280:M280)*O280</f>
        <v>#N/A</v>
      </c>
      <c r="Q280" s="3" t="s">
        <v>408</v>
      </c>
      <c r="S280" s="3" t="str">
        <f t="shared" ref="S280:S309" si="467">IF(R280&gt;0,R280,Q280)</f>
        <v/>
      </c>
      <c r="T280" s="3">
        <f>G9+0.5</f>
        <v>0.5</v>
      </c>
      <c r="W280" s="3">
        <f t="shared" ref="W280:W309" si="468">IF(AND(BH280=0,CD280=0),0,IF(V280&gt;0,V280,IF(U280=1,$W$11,0)))</f>
        <v>0</v>
      </c>
      <c r="Y280" s="3" t="e">
        <f t="shared" ref="Y280:Y309" si="469">AD280</f>
        <v>#N/A</v>
      </c>
      <c r="Z280" s="3" t="e">
        <f t="shared" ref="Z280:Z309" si="470">AE280</f>
        <v>#N/A</v>
      </c>
      <c r="AA280" s="3" t="e">
        <f t="shared" ref="AA280:AA309" si="471">IF($BB$7=1,AF280,IF(AS280=12,$F280*I280/($AF$8*AL280+$AF$9*(1-AL280)),AF280))</f>
        <v>#N/A</v>
      </c>
      <c r="AB280" s="3" t="e">
        <f t="shared" ref="AB280:AB309" si="472">IF($BB$7=1,AI280,IF(AV280=12,$F280*L280/($AI$8*AL280+$AI$9*(1-AL280)),AI280))</f>
        <v>#N/A</v>
      </c>
      <c r="AC280" s="3" t="e">
        <f t="shared" ref="AC280:AC309" si="473">IF(AND(AS280=2,EA280=1),AA280*O280,IF(AND(AS280=2,EA280=2),AB280*O280,IF(EA280=1,AA280,IF(EA280=2,AB280))))</f>
        <v>#N/A</v>
      </c>
      <c r="AD280" s="3" t="e">
        <f t="shared" ref="AD280:AD309" si="474">IF(AQ280=12,$F280*G280/$AQ$9,IF(OR(AQ280=1,AQ280=4),$F280*G280/200,IF(OR(AQ280=2,AQ280=9),$F280*G280/100,"자동")))</f>
        <v>#N/A</v>
      </c>
      <c r="AE280" s="3" t="e">
        <f t="shared" ref="AE280:AE309" si="475">IF(AR280=12,$F280*H280/$AR$9,IF(OR(AR280=1,AR280=4),$F280*H280/200,IF(OR(AR280=2,AR280=9),$F280*H280/100,"자동")))</f>
        <v>#N/A</v>
      </c>
      <c r="AF280" s="3" t="e">
        <f t="shared" ref="AF280:AF309" si="476">IF(AS280=12,$F280*I280/IF($BB$7=1,IF($ED280=1,$AS$9,$AF$9),($AF$8*AL280+$AF$9*(1-AL280))),IF(AS280=42,$F280*I280/AN280,IF(OR(AS280=1,AS280=4,AS280=2),$F280*I280/100,IF(AS280=9,$F280*I280/50,"자동"))))</f>
        <v>#N/A</v>
      </c>
      <c r="AG280" s="3" t="str">
        <f t="shared" ref="AG280:AG309" si="477">IF(AT280=12,$F280*J280/IF($BB$7=1,IF($ED280=1,$AT$9,$AG$9),($AG$8*AL280+$AG$9*(1-AL280))),IF(AT280=42,$F280*J280/AN280,IF(OR(AT280=1,AT280=4,AT280=2),$F280*J280/100,IF(AT280=9,$F280*J280/50,"자동"))))</f>
        <v>자동</v>
      </c>
      <c r="AH280" s="3" t="str">
        <f t="shared" ref="AH280:AH309" si="478">IF(AU280=12,$F280*K280/IF($BB$7=1,IF($ED280=1,$AU$9,$AH$9),($AH$8*AL280+$AH$9*(1-AL280))),IF(AU280=42,$F280*K280/$AN280,IF(OR(AU280=1,AU280=4,AU280=2),$F280*K280/100,IF(AU280=9,$F280*K280/50,"자동"))))</f>
        <v>자동</v>
      </c>
      <c r="AI280" s="3" t="e">
        <f t="shared" ref="AI280:AI309" si="479">IF(AV280=12,$F280*L280/IF($BB$7=1,IF($ED280=1,$AV$9,$AI$9),($AI$8*AL280+$AI$9*(1-AL280))),IF(AV280=42,$F280*L280/AO280,IF(OR(AV280=1,AV280=4,AV280=2),$F280*L280/100,IF(AV280=9,$F280*L280/50,"자동"))))</f>
        <v>#N/A</v>
      </c>
      <c r="AJ280" s="3" t="str">
        <f t="shared" ref="AJ280:AJ309" si="480">IF(AW280=12,$F280*M280/IF($BB$7=1,IF($ED280=1,$AW$9,$AJ$9),($AJ$8*AL280+$AJ$9*(1-AL280))),IF(AW280=42,$F280*M280/AO280,IF(OR(AW280=1,AW280=4,AW280=2),$F280*M280/100,IF(AW280=9,$F280*M280/50,"자동"))))</f>
        <v>자동</v>
      </c>
      <c r="AL280" s="3" t="str">
        <f t="shared" ref="AL280:AL309" si="481">IF(AK280&lt;&gt;"",AK280,IF(BA280&lt;&gt;12,"",IF(U280=1,1,IF(LEFT(E280,3)="서울대",0,""))))</f>
        <v/>
      </c>
      <c r="AN280" s="3" t="str">
        <f ca="1">IF($BA280=42,OFFSET(변환표준점수!C$119,$AP280-1,0),"")</f>
        <v/>
      </c>
      <c r="AO280" s="3" t="str">
        <f ca="1">IF($BA280=42,OFFSET(변환표준점수!D$119,$AP280-1,0),"")</f>
        <v/>
      </c>
      <c r="AP280" s="3" t="str">
        <f>IF(S280="","",MATCH(S280,변환표준점수!$B$119:$B$298,0))</f>
        <v/>
      </c>
      <c r="AQ280" s="3">
        <v>2</v>
      </c>
      <c r="AR280" s="3">
        <v>2</v>
      </c>
      <c r="AS280" s="3">
        <v>2</v>
      </c>
      <c r="AV280" s="3">
        <v>2</v>
      </c>
      <c r="AX280" s="3">
        <v>3</v>
      </c>
      <c r="AY280" s="3">
        <v>3</v>
      </c>
      <c r="BA280" s="3">
        <f t="shared" ref="BA280:BA309" si="482">IF(AS280&gt;0,AS280,AV280)</f>
        <v>2</v>
      </c>
      <c r="BJ280" s="3">
        <f t="shared" ref="BJ280:BJ309" si="483">IF(BI280="",IF(DT280=1,1,$BI$3),BI280)</f>
        <v>0</v>
      </c>
      <c r="CH280" s="206" t="e">
        <f t="shared" ref="CH280:CH309" si="484">F280*P280</f>
        <v>#N/A</v>
      </c>
      <c r="CI280" s="56" t="e">
        <f t="shared" ref="CI280:CQ281" si="485">CI$282*$N280</f>
        <v>#N/A</v>
      </c>
      <c r="CJ280" s="3" t="e">
        <f t="shared" si="485"/>
        <v>#N/A</v>
      </c>
      <c r="CK280" s="3" t="e">
        <f t="shared" si="485"/>
        <v>#N/A</v>
      </c>
      <c r="CL280" s="3" t="e">
        <f t="shared" si="485"/>
        <v>#N/A</v>
      </c>
      <c r="CM280" s="3" t="e">
        <f t="shared" si="485"/>
        <v>#N/A</v>
      </c>
      <c r="CN280" s="3" t="e">
        <f t="shared" si="485"/>
        <v>#N/A</v>
      </c>
      <c r="CO280" s="3" t="e">
        <f t="shared" si="485"/>
        <v>#N/A</v>
      </c>
      <c r="CP280" s="3" t="e">
        <f t="shared" si="485"/>
        <v>#N/A</v>
      </c>
      <c r="CQ280" s="3" t="e">
        <f t="shared" si="485"/>
        <v>#N/A</v>
      </c>
      <c r="CR280" s="56">
        <v>10</v>
      </c>
      <c r="CS280" s="3">
        <v>10</v>
      </c>
      <c r="CT280" s="3">
        <v>10</v>
      </c>
      <c r="CU280" s="3">
        <v>10</v>
      </c>
      <c r="CV280" s="3">
        <v>9</v>
      </c>
      <c r="CW280" s="3">
        <v>8</v>
      </c>
      <c r="CX280" s="3">
        <v>7</v>
      </c>
      <c r="CY280" s="3">
        <v>6</v>
      </c>
      <c r="CZ280" s="3">
        <v>0</v>
      </c>
      <c r="DJ280" s="3" t="e">
        <f t="shared" ref="DJ280:DJ309" ca="1" si="486">ROUND((CI280-EZ280),1)</f>
        <v>#N/A</v>
      </c>
      <c r="DK280" s="3" t="e">
        <f t="shared" ref="DK280:DK309" ca="1" si="487">((CI280-EZ280)/(FG280+DJ280-FC280))*100</f>
        <v>#N/A</v>
      </c>
      <c r="DL280" s="3">
        <f t="shared" ref="DL280:DL309" ca="1" si="488">ROUND((CR280-FA280)+(DA280-FB280),1)</f>
        <v>10</v>
      </c>
      <c r="DO280" s="3">
        <v>1</v>
      </c>
      <c r="DZ280" s="3">
        <v>1</v>
      </c>
      <c r="EA280" s="3">
        <f t="shared" ref="EA280:EA309" si="489">IF(DZ280&gt;0,DZ280,IF(DM280&gt;0,1,2))</f>
        <v>1</v>
      </c>
      <c r="EB280" s="3">
        <f t="shared" ref="EB280:EB309" si="490">MAX(DM280:DO280)</f>
        <v>1</v>
      </c>
      <c r="EC280" s="3">
        <f t="shared" ref="EC280:EC309" si="491">AND(DM280-0.1&lt;$DM$8,DN280-0.1&lt;$DN$8,DO280-0.1&lt;$DO$8)*1</f>
        <v>0</v>
      </c>
      <c r="ED280" s="3">
        <f t="shared" ref="ED280:ED309" si="492">IFERROR(IF(AND($DP$8&gt;=DP280,$DQ$8&gt;=DQ280,$DR$8&gt;=DR280,$DS$8&gt;=DS280,$DT$8&gt;=DT280,$DU$8&gt;=DU280,$DV$8&gt;=DV280,$DW$8&gt;=DW280,$DX$8&gt;=DX280,OR(DY280=0,$DY$8&lt;DY280),EC280=1),1,0),0)</f>
        <v>0</v>
      </c>
      <c r="EF280" s="3">
        <f t="shared" ref="EF280:EF309" ca="1" si="493">IFERROR(OFFSET(EF$3,MATCH(AQ280,$ED$4:$ED$10,0),0),0)</f>
        <v>0</v>
      </c>
      <c r="EG280" s="3">
        <f t="shared" ref="EG280:EG309" ca="1" si="494">IFERROR(OFFSET(EG$3,MATCH(AR280,$ED$4:$ED$10,0),0),0)</f>
        <v>0</v>
      </c>
      <c r="EH280" s="3">
        <f ca="1">IFERROR(IF(LEFT($BA280,1)="4",OFFSET(변환표준점수!$H$118,MATCH($S280,변환표준점수!$B$119:$B$198,0),),OFFSET(EH$3,MATCH(AS280,$ED$4:$ED$8,0),0)),0)</f>
        <v>0</v>
      </c>
      <c r="EI280" s="3">
        <f ca="1">IFERROR(IF(LEFT($BA280,1)="4",OFFSET(변환표준점수!$I$118,MATCH($S280,변환표준점수!$B$119:$B$198,0),0),OFFSET(EI$3,MATCH(AT280,$ED$4:$ED$8,0),0)),0)</f>
        <v>0</v>
      </c>
      <c r="EK280" s="3">
        <f ca="1">IFERROR(IF(LEFT($BA280,1)="4",OFFSET(변환표준점수!$J$118,MATCH($S280,변환표준점수!$B$119:$B$198,0),0),OFFSET(EJ$3,MATCH(AV280,$ED$4:$ED$8,0),0)),0)</f>
        <v>0</v>
      </c>
      <c r="EL280" s="3">
        <f ca="1">IFERROR(IF(LEFT($BA280,1)="4",OFFSET(변환표준점수!$K$118,MATCH($S280,변환표준점수!$B$119:$B$198,0),0),OFFSET(EK$3,MATCH(AW280,$ED$4:$ED$8,0),0)),0)</f>
        <v>0</v>
      </c>
      <c r="EM280" s="3" t="str">
        <f t="shared" ref="EM280:EM309" ca="1" si="495">IFERROR(OFFSET(EL$3,MATCH(AX280,$ED$4:$ED$8,0),0),0)</f>
        <v/>
      </c>
      <c r="EN280" s="3" t="str">
        <f t="shared" ref="EN280:EN309" ca="1" si="496">IFERROR(OFFSET(EM$3,MATCH(AY280,$ED$4:$ED$8,0),0),0)</f>
        <v/>
      </c>
      <c r="EO280" s="3">
        <f t="shared" ref="EO280:EO309" ca="1" si="497">IFERROR(OFFSET(EN$3,MATCH(AZ280,$ED$4:$ED$8,0),0),0)</f>
        <v>0</v>
      </c>
      <c r="EQ280" s="3">
        <f t="shared" ref="EQ280:EQ309" ca="1" si="498">IFERROR((EF280*AD280+BO280)*$EP$9,0)</f>
        <v>0</v>
      </c>
      <c r="ER280" s="3">
        <f t="shared" ref="ER280:ER309" ca="1" si="499">IFERROR(EG280*AE280+OFFSET($BP280,0,$ER$14-1),0)</f>
        <v>0</v>
      </c>
      <c r="ES280" s="3">
        <f t="shared" ref="ES280:ES309" ca="1" si="500">IFERROR((EH280*AF280+BS280)*$EP$9,0)</f>
        <v>0</v>
      </c>
      <c r="ET280" s="3">
        <f t="shared" ref="ET280:ET309" si="501">IFERROR(IF(O280&lt;2,0,(EI280*AG280+BT280)*$EP$9),0)</f>
        <v>0</v>
      </c>
      <c r="EU280" s="3">
        <f t="shared" ref="EU280:EU309" si="502">IFERROR(BU280*$EP$9,0)</f>
        <v>0</v>
      </c>
      <c r="EV280" s="3">
        <f t="shared" ref="EV280:EV309" ca="1" si="503">IFERROR((EK280*AI280+BV280)*$EP$9,0)</f>
        <v>0</v>
      </c>
      <c r="EW280" s="3">
        <f t="shared" ref="EW280:EW309" si="504">IFERROR(IF(O280&lt;2,0,(EL280*AJ280+BW280)*$EP$9),0)</f>
        <v>0</v>
      </c>
      <c r="EX280" s="3">
        <f ca="1">LARGE((ES280:ET280,EV280:EW280),1)</f>
        <v>0</v>
      </c>
      <c r="EY280" s="3">
        <f>IF(O280&lt;2,0,LARGE((ES280:ET280,EV280:EW280),2))</f>
        <v>0</v>
      </c>
      <c r="EZ280" s="3">
        <f t="shared" ref="EZ280:EZ309" ca="1" si="505">IFERROR(OFFSET(CI280,0,ROUND((1/(1/EM280))-1,0)),0)</f>
        <v>0</v>
      </c>
      <c r="FA280" s="3">
        <f t="shared" ref="FA280:FA309" ca="1" si="506">IFERROR(OFFSET(CR280,0,ROUND(1/(1/EN280),0)-1),0)</f>
        <v>0</v>
      </c>
      <c r="FB280" s="3">
        <f t="shared" ref="FB280:FB309" ca="1" si="507">IFERROR(OFFSET(DA280,0,ROUND(1/(1/EO280),0)-1),0)</f>
        <v>0</v>
      </c>
      <c r="FG280" s="3">
        <f t="shared" ref="FG280:FG309" ca="1" si="508">IF(FF280&gt;0,FF280,EQ280+ER280+EU280+EX280+EY280+EZ280+FA280+FB280+FC280)</f>
        <v>0</v>
      </c>
      <c r="FH280" s="618"/>
      <c r="FU280" s="3" t="str">
        <f t="shared" si="463"/>
        <v>백분위</v>
      </c>
      <c r="FV280" s="3" t="str">
        <f t="shared" si="464"/>
        <v>백분위</v>
      </c>
      <c r="FW280" s="3" t="e">
        <f t="shared" ref="FW280:FW302" si="509">ROUND(Y280/$FZ280,2)</f>
        <v>#N/A</v>
      </c>
      <c r="FX280" s="3" t="e">
        <f t="shared" ref="FX280:FX302" si="510">ROUND(Z280/$FZ280,2)</f>
        <v>#N/A</v>
      </c>
      <c r="FY280" s="3" t="e">
        <f t="shared" ref="FY280:FY302" si="511">ROUND(AC280/$FZ280,2)</f>
        <v>#N/A</v>
      </c>
      <c r="FZ280" s="3" t="e">
        <f t="shared" ref="FZ280:FZ302" si="512">Y280+Z280+AC280</f>
        <v>#N/A</v>
      </c>
    </row>
    <row r="281" spans="1:182">
      <c r="C281" s="3">
        <f t="shared" si="465"/>
        <v>266</v>
      </c>
      <c r="D281" s="3">
        <v>266</v>
      </c>
      <c r="E281" s="3" t="s">
        <v>476</v>
      </c>
      <c r="F281" s="3">
        <v>1000</v>
      </c>
      <c r="G281" s="3" t="e">
        <f>IF($BB$7=1,IF(OR(G$282=1,G$282=2),0.35,IF(G$282=3,0.2,IF(G$282=4,0.1,0.35))),0.35)</f>
        <v>#N/A</v>
      </c>
      <c r="H281" s="3" t="e">
        <f>IF($BB$7=1,IF(OR(H$282=1,H$282=2),0.35,IF(H$282=3,0.2,IF(H$282=4,0.1,0.1))),0.1)</f>
        <v>#N/A</v>
      </c>
      <c r="I281" s="3" t="e">
        <f>IF($BB$7=1,IF(OR(I$282=1,I$282=2),0.35,IF(I$282=3,0.2,IF(I$282=4,0.1,0.2))),0.2)</f>
        <v>#N/A</v>
      </c>
      <c r="L281" s="3" t="e">
        <f>IF($BB$7=1,IF(OR(L$282=1,L$282=2),0.35,IF(L$282=3,0.2,IF(L$282=4,0.1,0.2))),0.2)</f>
        <v>#N/A</v>
      </c>
      <c r="N281" s="3" t="e">
        <f>(1-G281-H281-I281)*10</f>
        <v>#N/A</v>
      </c>
      <c r="O281" s="3">
        <v>1</v>
      </c>
      <c r="P281" s="3" t="e">
        <f t="shared" si="466"/>
        <v>#N/A</v>
      </c>
      <c r="Q281" s="3" t="s">
        <v>408</v>
      </c>
      <c r="S281" s="3" t="str">
        <f t="shared" si="467"/>
        <v/>
      </c>
      <c r="T281" s="3">
        <f>H9+0.4</f>
        <v>0.4</v>
      </c>
      <c r="W281" s="3">
        <f t="shared" si="468"/>
        <v>0</v>
      </c>
      <c r="Y281" s="3" t="e">
        <f t="shared" si="469"/>
        <v>#N/A</v>
      </c>
      <c r="Z281" s="3" t="e">
        <f t="shared" si="470"/>
        <v>#N/A</v>
      </c>
      <c r="AA281" s="3" t="e">
        <f t="shared" si="471"/>
        <v>#N/A</v>
      </c>
      <c r="AB281" s="3" t="e">
        <f t="shared" si="472"/>
        <v>#N/A</v>
      </c>
      <c r="AC281" s="3" t="e">
        <f t="shared" si="473"/>
        <v>#N/A</v>
      </c>
      <c r="AD281" s="3" t="e">
        <f t="shared" si="474"/>
        <v>#N/A</v>
      </c>
      <c r="AE281" s="3" t="e">
        <f t="shared" si="475"/>
        <v>#N/A</v>
      </c>
      <c r="AF281" s="3" t="e">
        <f t="shared" si="476"/>
        <v>#N/A</v>
      </c>
      <c r="AG281" s="3" t="str">
        <f t="shared" si="477"/>
        <v>자동</v>
      </c>
      <c r="AH281" s="3" t="str">
        <f t="shared" si="478"/>
        <v>자동</v>
      </c>
      <c r="AI281" s="3" t="e">
        <f t="shared" si="479"/>
        <v>#N/A</v>
      </c>
      <c r="AJ281" s="3" t="str">
        <f t="shared" si="480"/>
        <v>자동</v>
      </c>
      <c r="AL281" s="3" t="str">
        <f t="shared" si="481"/>
        <v/>
      </c>
      <c r="AN281" s="3" t="str">
        <f ca="1">IF($BA281=42,OFFSET(변환표준점수!C$119,$AP281-1,0),"")</f>
        <v/>
      </c>
      <c r="AO281" s="3" t="str">
        <f ca="1">IF($BA281=42,OFFSET(변환표준점수!D$119,$AP281-1,0),"")</f>
        <v/>
      </c>
      <c r="AP281" s="3" t="str">
        <f>IF(S281="","",MATCH(S281,변환표준점수!$B$119:$B$298,0))</f>
        <v/>
      </c>
      <c r="AQ281" s="3">
        <v>2</v>
      </c>
      <c r="AR281" s="3">
        <v>2</v>
      </c>
      <c r="AS281" s="3">
        <v>2</v>
      </c>
      <c r="AV281" s="3">
        <v>2</v>
      </c>
      <c r="AX281" s="3">
        <v>3</v>
      </c>
      <c r="AY281" s="3">
        <v>3</v>
      </c>
      <c r="BA281" s="3">
        <f t="shared" si="482"/>
        <v>2</v>
      </c>
      <c r="BJ281" s="3">
        <f t="shared" si="483"/>
        <v>0</v>
      </c>
      <c r="CH281" s="206" t="e">
        <f t="shared" si="484"/>
        <v>#N/A</v>
      </c>
      <c r="CI281" s="56" t="e">
        <f t="shared" si="485"/>
        <v>#N/A</v>
      </c>
      <c r="CJ281" s="3" t="e">
        <f t="shared" si="485"/>
        <v>#N/A</v>
      </c>
      <c r="CK281" s="3" t="e">
        <f t="shared" si="485"/>
        <v>#N/A</v>
      </c>
      <c r="CL281" s="3" t="e">
        <f t="shared" si="485"/>
        <v>#N/A</v>
      </c>
      <c r="CM281" s="3" t="e">
        <f t="shared" si="485"/>
        <v>#N/A</v>
      </c>
      <c r="CN281" s="3" t="e">
        <f t="shared" si="485"/>
        <v>#N/A</v>
      </c>
      <c r="CO281" s="3" t="e">
        <f t="shared" si="485"/>
        <v>#N/A</v>
      </c>
      <c r="CP281" s="3" t="e">
        <f t="shared" si="485"/>
        <v>#N/A</v>
      </c>
      <c r="CQ281" s="3" t="e">
        <f t="shared" si="485"/>
        <v>#N/A</v>
      </c>
      <c r="CR281" s="56">
        <v>10</v>
      </c>
      <c r="CS281" s="3">
        <v>10</v>
      </c>
      <c r="CT281" s="3">
        <v>10</v>
      </c>
      <c r="CU281" s="3">
        <v>10</v>
      </c>
      <c r="CV281" s="3">
        <v>9</v>
      </c>
      <c r="CW281" s="3">
        <v>8</v>
      </c>
      <c r="CX281" s="3">
        <v>7</v>
      </c>
      <c r="CY281" s="3">
        <v>6</v>
      </c>
      <c r="CZ281" s="3">
        <v>0</v>
      </c>
      <c r="DJ281" s="3" t="e">
        <f t="shared" ca="1" si="486"/>
        <v>#N/A</v>
      </c>
      <c r="DK281" s="3" t="e">
        <f t="shared" ca="1" si="487"/>
        <v>#N/A</v>
      </c>
      <c r="DL281" s="3">
        <f t="shared" ca="1" si="488"/>
        <v>10</v>
      </c>
      <c r="DO281" s="3">
        <v>1</v>
      </c>
      <c r="EA281" s="3">
        <f t="shared" si="489"/>
        <v>2</v>
      </c>
      <c r="EB281" s="3">
        <f t="shared" si="490"/>
        <v>1</v>
      </c>
      <c r="EC281" s="3">
        <f t="shared" si="491"/>
        <v>0</v>
      </c>
      <c r="ED281" s="3">
        <f t="shared" si="492"/>
        <v>0</v>
      </c>
      <c r="EF281" s="3">
        <f t="shared" ca="1" si="493"/>
        <v>0</v>
      </c>
      <c r="EG281" s="3">
        <f t="shared" ca="1" si="494"/>
        <v>0</v>
      </c>
      <c r="EH281" s="3">
        <f ca="1">IFERROR(IF(LEFT($BA281,1)="4",OFFSET(변환표준점수!$H$118,MATCH($S281,변환표준점수!$B$119:$B$198,0),),OFFSET(EH$3,MATCH(AS281,$ED$4:$ED$8,0),0)),0)</f>
        <v>0</v>
      </c>
      <c r="EI281" s="3">
        <f ca="1">IFERROR(IF(LEFT($BA281,1)="4",OFFSET(변환표준점수!$I$118,MATCH($S281,변환표준점수!$B$119:$B$198,0),0),OFFSET(EI$3,MATCH(AT281,$ED$4:$ED$8,0),0)),0)</f>
        <v>0</v>
      </c>
      <c r="EK281" s="3">
        <f ca="1">IFERROR(IF(LEFT($BA281,1)="4",OFFSET(변환표준점수!$J$118,MATCH($S281,변환표준점수!$B$119:$B$198,0),0),OFFSET(EJ$3,MATCH(AV281,$ED$4:$ED$8,0),0)),0)</f>
        <v>0</v>
      </c>
      <c r="EL281" s="3">
        <f ca="1">IFERROR(IF(LEFT($BA281,1)="4",OFFSET(변환표준점수!$K$118,MATCH($S281,변환표준점수!$B$119:$B$198,0),0),OFFSET(EK$3,MATCH(AW281,$ED$4:$ED$8,0),0)),0)</f>
        <v>0</v>
      </c>
      <c r="EM281" s="3" t="str">
        <f t="shared" ca="1" si="495"/>
        <v/>
      </c>
      <c r="EN281" s="3" t="str">
        <f t="shared" ca="1" si="496"/>
        <v/>
      </c>
      <c r="EO281" s="3">
        <f t="shared" ca="1" si="497"/>
        <v>0</v>
      </c>
      <c r="EQ281" s="3">
        <f t="shared" ca="1" si="498"/>
        <v>0</v>
      </c>
      <c r="ER281" s="3">
        <f t="shared" ca="1" si="499"/>
        <v>0</v>
      </c>
      <c r="ES281" s="3">
        <f t="shared" ca="1" si="500"/>
        <v>0</v>
      </c>
      <c r="ET281" s="3">
        <f t="shared" si="501"/>
        <v>0</v>
      </c>
      <c r="EU281" s="3">
        <f t="shared" si="502"/>
        <v>0</v>
      </c>
      <c r="EV281" s="3">
        <f t="shared" ca="1" si="503"/>
        <v>0</v>
      </c>
      <c r="EW281" s="3">
        <f t="shared" si="504"/>
        <v>0</v>
      </c>
      <c r="EX281" s="3">
        <f ca="1">LARGE((ES281:ET281,EV281:EW281),1)</f>
        <v>0</v>
      </c>
      <c r="EY281" s="3">
        <f>IF(O281&lt;2,0,LARGE((ES281:ET281,EV281:EW281),2))</f>
        <v>0</v>
      </c>
      <c r="EZ281" s="3">
        <f t="shared" ca="1" si="505"/>
        <v>0</v>
      </c>
      <c r="FA281" s="3">
        <f t="shared" ca="1" si="506"/>
        <v>0</v>
      </c>
      <c r="FB281" s="3">
        <f t="shared" ca="1" si="507"/>
        <v>0</v>
      </c>
      <c r="FG281" s="3">
        <f t="shared" ca="1" si="508"/>
        <v>0</v>
      </c>
      <c r="FH281" s="618"/>
      <c r="FU281" s="3" t="str">
        <f t="shared" si="463"/>
        <v>백분위</v>
      </c>
      <c r="FV281" s="3" t="str">
        <f t="shared" si="464"/>
        <v>백분위</v>
      </c>
      <c r="FW281" s="3" t="e">
        <f t="shared" si="509"/>
        <v>#N/A</v>
      </c>
      <c r="FX281" s="3" t="e">
        <f t="shared" si="510"/>
        <v>#N/A</v>
      </c>
      <c r="FY281" s="3" t="e">
        <f t="shared" si="511"/>
        <v>#N/A</v>
      </c>
      <c r="FZ281" s="3" t="e">
        <f t="shared" si="512"/>
        <v>#N/A</v>
      </c>
    </row>
    <row r="282" spans="1:182">
      <c r="C282" s="3">
        <f t="shared" si="465"/>
        <v>267</v>
      </c>
      <c r="D282" s="3">
        <v>267</v>
      </c>
      <c r="E282" s="3" t="s">
        <v>477</v>
      </c>
      <c r="F282" s="3">
        <v>1000</v>
      </c>
      <c r="G282" s="3" t="e">
        <f>RANK(T280,($T$280,$T$281,$N$282,$T$282),0)</f>
        <v>#N/A</v>
      </c>
      <c r="H282" s="3" t="e">
        <f>RANK(T281,($T$280,$T$281,$N$282,$T$282),0)</f>
        <v>#N/A</v>
      </c>
      <c r="I282" s="3" t="e">
        <f>RANK(T282,($T$280,$T$281,$N$282,$T$282),0)</f>
        <v>#N/A</v>
      </c>
      <c r="L282" s="3" t="e">
        <f>RANK(T282,($T$280,$T$281,$N$282,$T$282),0)</f>
        <v>#N/A</v>
      </c>
      <c r="N282" s="3" t="e">
        <f>INDEX($CI$282:$CQ$282,MATCH($N$10,$CI$15:$CQ$15,0))+0.3</f>
        <v>#N/A</v>
      </c>
      <c r="O282" s="3">
        <v>0</v>
      </c>
      <c r="P282" s="3" t="e">
        <f t="shared" si="466"/>
        <v>#N/A</v>
      </c>
      <c r="Q282" s="3" t="s">
        <v>408</v>
      </c>
      <c r="S282" s="3" t="str">
        <f t="shared" si="467"/>
        <v/>
      </c>
      <c r="T282" s="3">
        <f>AX6+0.2</f>
        <v>0.2</v>
      </c>
      <c r="W282" s="3">
        <f t="shared" si="468"/>
        <v>0</v>
      </c>
      <c r="Y282" s="3" t="e">
        <f t="shared" si="469"/>
        <v>#N/A</v>
      </c>
      <c r="Z282" s="3" t="e">
        <f t="shared" si="470"/>
        <v>#N/A</v>
      </c>
      <c r="AA282" s="3" t="e">
        <f t="shared" si="471"/>
        <v>#N/A</v>
      </c>
      <c r="AB282" s="3" t="e">
        <f t="shared" si="472"/>
        <v>#N/A</v>
      </c>
      <c r="AC282" s="3" t="e">
        <f t="shared" si="473"/>
        <v>#N/A</v>
      </c>
      <c r="AD282" s="3" t="e">
        <f t="shared" si="474"/>
        <v>#N/A</v>
      </c>
      <c r="AE282" s="3" t="e">
        <f t="shared" si="475"/>
        <v>#N/A</v>
      </c>
      <c r="AF282" s="3" t="e">
        <f t="shared" si="476"/>
        <v>#N/A</v>
      </c>
      <c r="AG282" s="3" t="str">
        <f t="shared" si="477"/>
        <v>자동</v>
      </c>
      <c r="AH282" s="3" t="str">
        <f t="shared" si="478"/>
        <v>자동</v>
      </c>
      <c r="AI282" s="3" t="e">
        <f t="shared" si="479"/>
        <v>#N/A</v>
      </c>
      <c r="AJ282" s="3" t="str">
        <f t="shared" si="480"/>
        <v>자동</v>
      </c>
      <c r="AL282" s="3" t="str">
        <f t="shared" si="481"/>
        <v/>
      </c>
      <c r="AN282" s="3" t="str">
        <f ca="1">IF($BA282=42,OFFSET(변환표준점수!C$119,$AP282-1,0),"")</f>
        <v/>
      </c>
      <c r="AO282" s="3" t="str">
        <f ca="1">IF($BA282=42,OFFSET(변환표준점수!D$119,$AP282-1,0),"")</f>
        <v/>
      </c>
      <c r="AP282" s="3" t="str">
        <f>IF(S282="","",MATCH(S282,변환표준점수!$B$119:$B$298,0))</f>
        <v/>
      </c>
      <c r="AQ282" s="3">
        <v>2</v>
      </c>
      <c r="AR282" s="3">
        <v>2</v>
      </c>
      <c r="AS282" s="3">
        <v>2</v>
      </c>
      <c r="AV282" s="3">
        <v>2</v>
      </c>
      <c r="AX282" s="3">
        <v>3</v>
      </c>
      <c r="AY282" s="3">
        <v>3</v>
      </c>
      <c r="BA282" s="3">
        <f t="shared" si="482"/>
        <v>2</v>
      </c>
      <c r="BJ282" s="3">
        <f t="shared" si="483"/>
        <v>0</v>
      </c>
      <c r="CH282" s="206" t="e">
        <f t="shared" si="484"/>
        <v>#N/A</v>
      </c>
      <c r="CI282" s="56">
        <v>100</v>
      </c>
      <c r="CJ282" s="3">
        <v>98</v>
      </c>
      <c r="CK282" s="3">
        <v>96</v>
      </c>
      <c r="CL282" s="3">
        <v>80</v>
      </c>
      <c r="CM282" s="3">
        <v>70</v>
      </c>
      <c r="CN282" s="3">
        <v>60</v>
      </c>
      <c r="CO282" s="3">
        <v>50</v>
      </c>
      <c r="CP282" s="3">
        <v>40</v>
      </c>
      <c r="CQ282" s="3">
        <v>0</v>
      </c>
      <c r="CR282" s="56">
        <v>10</v>
      </c>
      <c r="CS282" s="3">
        <v>10</v>
      </c>
      <c r="CT282" s="3">
        <v>10</v>
      </c>
      <c r="CU282" s="3">
        <v>10</v>
      </c>
      <c r="CV282" s="3">
        <v>9</v>
      </c>
      <c r="CW282" s="3">
        <v>8</v>
      </c>
      <c r="CX282" s="3">
        <v>7</v>
      </c>
      <c r="CY282" s="3">
        <v>6</v>
      </c>
      <c r="CZ282" s="3">
        <v>0</v>
      </c>
      <c r="DJ282" s="3">
        <f t="shared" ca="1" si="486"/>
        <v>100</v>
      </c>
      <c r="DK282" s="3">
        <f t="shared" ca="1" si="487"/>
        <v>100</v>
      </c>
      <c r="DL282" s="3">
        <f t="shared" ca="1" si="488"/>
        <v>10</v>
      </c>
      <c r="EA282" s="3">
        <f t="shared" si="489"/>
        <v>2</v>
      </c>
      <c r="EB282" s="3">
        <f t="shared" si="490"/>
        <v>0</v>
      </c>
      <c r="EC282" s="3">
        <f t="shared" si="491"/>
        <v>1</v>
      </c>
      <c r="ED282" s="3">
        <f t="shared" si="492"/>
        <v>1</v>
      </c>
      <c r="EF282" s="3">
        <f t="shared" ca="1" si="493"/>
        <v>0</v>
      </c>
      <c r="EG282" s="3">
        <f t="shared" ca="1" si="494"/>
        <v>0</v>
      </c>
      <c r="EH282" s="3">
        <f ca="1">IFERROR(IF(LEFT($BA282,1)="4",OFFSET(변환표준점수!$H$118,MATCH($S282,변환표준점수!$B$119:$B$198,0),),OFFSET(EH$3,MATCH(AS282,$ED$4:$ED$8,0),0)),0)</f>
        <v>0</v>
      </c>
      <c r="EI282" s="3">
        <f ca="1">IFERROR(IF(LEFT($BA282,1)="4",OFFSET(변환표준점수!$I$118,MATCH($S282,변환표준점수!$B$119:$B$198,0),0),OFFSET(EI$3,MATCH(AT282,$ED$4:$ED$8,0),0)),0)</f>
        <v>0</v>
      </c>
      <c r="EK282" s="3">
        <f ca="1">IFERROR(IF(LEFT($BA282,1)="4",OFFSET(변환표준점수!$J$118,MATCH($S282,변환표준점수!$B$119:$B$198,0),0),OFFSET(EJ$3,MATCH(AV282,$ED$4:$ED$8,0),0)),0)</f>
        <v>0</v>
      </c>
      <c r="EL282" s="3">
        <f ca="1">IFERROR(IF(LEFT($BA282,1)="4",OFFSET(변환표준점수!$K$118,MATCH($S282,변환표준점수!$B$119:$B$198,0),0),OFFSET(EK$3,MATCH(AW282,$ED$4:$ED$8,0),0)),0)</f>
        <v>0</v>
      </c>
      <c r="EM282" s="3" t="str">
        <f t="shared" ca="1" si="495"/>
        <v/>
      </c>
      <c r="EN282" s="3" t="str">
        <f t="shared" ca="1" si="496"/>
        <v/>
      </c>
      <c r="EO282" s="3">
        <f t="shared" ca="1" si="497"/>
        <v>0</v>
      </c>
      <c r="EQ282" s="3">
        <f t="shared" ca="1" si="498"/>
        <v>0</v>
      </c>
      <c r="ER282" s="3">
        <f t="shared" ca="1" si="499"/>
        <v>0</v>
      </c>
      <c r="ES282" s="3">
        <f t="shared" ca="1" si="500"/>
        <v>0</v>
      </c>
      <c r="ET282" s="3">
        <f t="shared" si="501"/>
        <v>0</v>
      </c>
      <c r="EU282" s="3">
        <f t="shared" si="502"/>
        <v>0</v>
      </c>
      <c r="EV282" s="3">
        <f t="shared" ca="1" si="503"/>
        <v>0</v>
      </c>
      <c r="EW282" s="3">
        <f t="shared" si="504"/>
        <v>0</v>
      </c>
      <c r="EX282" s="3">
        <f ca="1">LARGE((ES282:ET282,EV282:EW282),1)</f>
        <v>0</v>
      </c>
      <c r="EY282" s="3">
        <f>IF(O282&lt;2,0,LARGE((ES282:ET282,EV282:EW282),2))</f>
        <v>0</v>
      </c>
      <c r="EZ282" s="3">
        <f t="shared" ca="1" si="505"/>
        <v>0</v>
      </c>
      <c r="FA282" s="3">
        <f t="shared" ca="1" si="506"/>
        <v>0</v>
      </c>
      <c r="FB282" s="3">
        <f t="shared" ca="1" si="507"/>
        <v>0</v>
      </c>
      <c r="FG282" s="3">
        <f t="shared" ca="1" si="508"/>
        <v>0</v>
      </c>
      <c r="FH282" s="618"/>
      <c r="FU282" s="3" t="str">
        <f t="shared" si="463"/>
        <v>백분위</v>
      </c>
      <c r="FV282" s="3" t="str">
        <f t="shared" si="464"/>
        <v>백분위</v>
      </c>
      <c r="FW282" s="3" t="e">
        <f t="shared" si="509"/>
        <v>#N/A</v>
      </c>
      <c r="FX282" s="3" t="e">
        <f t="shared" si="510"/>
        <v>#N/A</v>
      </c>
      <c r="FY282" s="3" t="e">
        <f t="shared" si="511"/>
        <v>#N/A</v>
      </c>
      <c r="FZ282" s="3" t="e">
        <f t="shared" si="512"/>
        <v>#N/A</v>
      </c>
    </row>
    <row r="283" spans="1:182">
      <c r="A283" s="556">
        <v>26</v>
      </c>
      <c r="C283" s="3">
        <f t="shared" si="465"/>
        <v>268</v>
      </c>
      <c r="D283" s="3">
        <v>268</v>
      </c>
      <c r="E283" s="3" t="s">
        <v>305</v>
      </c>
      <c r="F283" s="3">
        <v>950</v>
      </c>
      <c r="G283" s="3">
        <f>200/600</f>
        <v>0.33333333333333331</v>
      </c>
      <c r="H283" s="3">
        <f>200/600</f>
        <v>0.33333333333333331</v>
      </c>
      <c r="I283" s="3">
        <f>100/600/2</f>
        <v>8.3333333333333329E-2</v>
      </c>
      <c r="J283" s="3">
        <f>100/600/2</f>
        <v>8.3333333333333329E-2</v>
      </c>
      <c r="L283" s="3">
        <f>100/600/2</f>
        <v>8.3333333333333329E-2</v>
      </c>
      <c r="M283" s="3">
        <f>100/600/2</f>
        <v>8.3333333333333329E-2</v>
      </c>
      <c r="O283" s="3">
        <v>2</v>
      </c>
      <c r="P283" s="3">
        <f t="shared" si="466"/>
        <v>0.83333333333333326</v>
      </c>
      <c r="Q283" s="3">
        <v>1</v>
      </c>
      <c r="S283" s="3">
        <f t="shared" si="467"/>
        <v>1</v>
      </c>
      <c r="W283" s="3">
        <f t="shared" si="468"/>
        <v>0</v>
      </c>
      <c r="Y283" s="3">
        <f t="shared" si="469"/>
        <v>1.583333333333333</v>
      </c>
      <c r="Z283" s="3">
        <f t="shared" si="470"/>
        <v>1.583333333333333</v>
      </c>
      <c r="AA283" s="3">
        <f t="shared" si="471"/>
        <v>0.79166666666666652</v>
      </c>
      <c r="AB283" s="3">
        <f t="shared" si="472"/>
        <v>0.79166666666666652</v>
      </c>
      <c r="AC283" s="3">
        <f t="shared" si="473"/>
        <v>0.79166666666666652</v>
      </c>
      <c r="AD283" s="3">
        <f t="shared" si="474"/>
        <v>1.583333333333333</v>
      </c>
      <c r="AE283" s="3">
        <f t="shared" si="475"/>
        <v>1.583333333333333</v>
      </c>
      <c r="AF283" s="3">
        <f t="shared" si="476"/>
        <v>0.79166666666666652</v>
      </c>
      <c r="AG283" s="3">
        <f t="shared" si="477"/>
        <v>0.79166666666666652</v>
      </c>
      <c r="AH283" s="3" t="str">
        <f t="shared" si="478"/>
        <v>자동</v>
      </c>
      <c r="AI283" s="3">
        <f t="shared" si="479"/>
        <v>0.79166666666666652</v>
      </c>
      <c r="AJ283" s="3">
        <f t="shared" si="480"/>
        <v>0.79166666666666652</v>
      </c>
      <c r="AL283" s="3" t="str">
        <f t="shared" si="481"/>
        <v/>
      </c>
      <c r="AN283" s="3" t="str">
        <f ca="1">IF($BA283=42,OFFSET(변환표준점수!C$119,$AP283-1,0),"")</f>
        <v/>
      </c>
      <c r="AO283" s="3" t="str">
        <f ca="1">IF($BA283=42,OFFSET(변환표준점수!D$119,$AP283-1,0),"")</f>
        <v/>
      </c>
      <c r="AP283" s="3">
        <f>IF(S283="","",MATCH(S283,변환표준점수!$B$119:$B$298,0))</f>
        <v>1</v>
      </c>
      <c r="AQ283" s="3">
        <v>1</v>
      </c>
      <c r="AR283" s="3">
        <v>1</v>
      </c>
      <c r="AS283" s="3">
        <v>4</v>
      </c>
      <c r="AT283" s="3">
        <v>4</v>
      </c>
      <c r="AV283" s="3">
        <v>4</v>
      </c>
      <c r="AW283" s="3">
        <v>4</v>
      </c>
      <c r="AX283" s="3">
        <v>3</v>
      </c>
      <c r="AY283" s="3">
        <v>3</v>
      </c>
      <c r="BA283" s="3">
        <f t="shared" si="482"/>
        <v>4</v>
      </c>
      <c r="BJ283" s="3">
        <f t="shared" si="483"/>
        <v>0</v>
      </c>
      <c r="CH283" s="206">
        <f t="shared" si="484"/>
        <v>791.66666666666663</v>
      </c>
      <c r="CI283" s="56">
        <f>100*(9.5/6)</f>
        <v>158.33333333333331</v>
      </c>
      <c r="CJ283" s="3">
        <f>95*(9.5/6)</f>
        <v>150.41666666666666</v>
      </c>
      <c r="CK283" s="3">
        <f>87.5*(9.5/6)</f>
        <v>138.54166666666666</v>
      </c>
      <c r="CL283" s="3">
        <f>75*(9.5/6)</f>
        <v>118.75</v>
      </c>
      <c r="CM283" s="3">
        <f>60*(9.5/6)</f>
        <v>95</v>
      </c>
      <c r="CN283" s="3">
        <f>40*(9.5/6)</f>
        <v>63.333333333333329</v>
      </c>
      <c r="CO283" s="3">
        <f>25*(9.5/6)</f>
        <v>39.583333333333329</v>
      </c>
      <c r="CP283" s="3">
        <f>12.5*(9.5/6)</f>
        <v>19.791666666666664</v>
      </c>
      <c r="CQ283" s="3">
        <f>5*(9.5/6)</f>
        <v>7.9166666666666661</v>
      </c>
      <c r="CR283" s="56">
        <v>0</v>
      </c>
      <c r="CS283" s="3">
        <v>0</v>
      </c>
      <c r="CT283" s="3">
        <v>0</v>
      </c>
      <c r="CU283" s="3">
        <v>0</v>
      </c>
      <c r="CV283" s="3">
        <v>-0.2</v>
      </c>
      <c r="CW283" s="3">
        <v>-0.4</v>
      </c>
      <c r="CX283" s="3">
        <v>-0.6</v>
      </c>
      <c r="CY283" s="3">
        <v>-0.8</v>
      </c>
      <c r="CZ283" s="3">
        <v>-1</v>
      </c>
      <c r="DJ283" s="3">
        <f t="shared" ca="1" si="486"/>
        <v>158.30000000000001</v>
      </c>
      <c r="DK283" s="3">
        <f t="shared" ca="1" si="487"/>
        <v>100.02105706464516</v>
      </c>
      <c r="DL283" s="3">
        <f t="shared" ca="1" si="488"/>
        <v>0</v>
      </c>
      <c r="DO283" s="3">
        <v>2</v>
      </c>
      <c r="DZ283" s="3">
        <v>1</v>
      </c>
      <c r="EA283" s="3">
        <f t="shared" si="489"/>
        <v>1</v>
      </c>
      <c r="EB283" s="3">
        <f t="shared" si="490"/>
        <v>2</v>
      </c>
      <c r="EC283" s="3">
        <f t="shared" si="491"/>
        <v>0</v>
      </c>
      <c r="ED283" s="3">
        <f t="shared" si="492"/>
        <v>0</v>
      </c>
      <c r="EF283" s="3">
        <f t="shared" ca="1" si="493"/>
        <v>0</v>
      </c>
      <c r="EG283" s="3">
        <f t="shared" ca="1" si="494"/>
        <v>0</v>
      </c>
      <c r="EH283" s="3">
        <f ca="1">IFERROR(IF(LEFT($BA283,1)="4",OFFSET(변환표준점수!$H$118,MATCH($S283,변환표준점수!$B$119:$B$198,0),),OFFSET(EH$3,MATCH(AS283,$ED$4:$ED$8,0),0)),0)</f>
        <v>0</v>
      </c>
      <c r="EI283" s="3">
        <f ca="1">IFERROR(IF(LEFT($BA283,1)="4",OFFSET(변환표준점수!$I$118,MATCH($S283,변환표준점수!$B$119:$B$198,0),0),OFFSET(EI$3,MATCH(AT283,$ED$4:$ED$8,0),0)),0)</f>
        <v>0</v>
      </c>
      <c r="EK283" s="3">
        <f ca="1">IFERROR(IF(LEFT($BA283,1)="4",OFFSET(변환표준점수!$J$118,MATCH($S283,변환표준점수!$B$119:$B$198,0),0),OFFSET(EJ$3,MATCH(AV283,$ED$4:$ED$8,0),0)),0)</f>
        <v>0</v>
      </c>
      <c r="EL283" s="3">
        <f ca="1">IFERROR(IF(LEFT($BA283,1)="4",OFFSET(변환표준점수!$K$118,MATCH($S283,변환표준점수!$B$119:$B$198,0),0),OFFSET(EK$3,MATCH(AW283,$ED$4:$ED$8,0),0)),0)</f>
        <v>0</v>
      </c>
      <c r="EM283" s="3" t="str">
        <f t="shared" ca="1" si="495"/>
        <v/>
      </c>
      <c r="EN283" s="3" t="str">
        <f t="shared" ca="1" si="496"/>
        <v/>
      </c>
      <c r="EO283" s="3">
        <f t="shared" ca="1" si="497"/>
        <v>0</v>
      </c>
      <c r="EQ283" s="3">
        <f t="shared" ca="1" si="498"/>
        <v>0</v>
      </c>
      <c r="ER283" s="3">
        <f t="shared" ca="1" si="499"/>
        <v>0</v>
      </c>
      <c r="ES283" s="3">
        <f t="shared" ca="1" si="500"/>
        <v>0</v>
      </c>
      <c r="ET283" s="3">
        <f t="shared" ca="1" si="501"/>
        <v>0</v>
      </c>
      <c r="EU283" s="3">
        <f t="shared" si="502"/>
        <v>0</v>
      </c>
      <c r="EV283" s="3">
        <f t="shared" ca="1" si="503"/>
        <v>0</v>
      </c>
      <c r="EW283" s="3">
        <f t="shared" ca="1" si="504"/>
        <v>0</v>
      </c>
      <c r="EX283" s="3">
        <f ca="1">LARGE((ES283:ET283,EV283:EW283),1)</f>
        <v>0</v>
      </c>
      <c r="EY283" s="3">
        <f ca="1">IF(O283&lt;2,0,LARGE((ES283:ET283,EV283:EW283),2))</f>
        <v>0</v>
      </c>
      <c r="EZ283" s="3">
        <f t="shared" ca="1" si="505"/>
        <v>0</v>
      </c>
      <c r="FA283" s="3">
        <f t="shared" ca="1" si="506"/>
        <v>0</v>
      </c>
      <c r="FB283" s="3">
        <f t="shared" ca="1" si="507"/>
        <v>0</v>
      </c>
      <c r="FG283" s="3">
        <f t="shared" ca="1" si="508"/>
        <v>0</v>
      </c>
      <c r="FH283" s="618"/>
      <c r="FU283" s="3" t="str">
        <f t="shared" si="463"/>
        <v>표점</v>
      </c>
      <c r="FV283" s="3" t="str">
        <f t="shared" si="464"/>
        <v>변표</v>
      </c>
      <c r="FW283" s="3">
        <f t="shared" si="509"/>
        <v>0.4</v>
      </c>
      <c r="FX283" s="3">
        <f t="shared" si="510"/>
        <v>0.4</v>
      </c>
      <c r="FY283" s="3">
        <f t="shared" si="511"/>
        <v>0.2</v>
      </c>
      <c r="FZ283" s="3">
        <f t="shared" si="512"/>
        <v>3.9583333333333326</v>
      </c>
    </row>
    <row r="284" spans="1:182">
      <c r="A284" s="556">
        <v>26</v>
      </c>
      <c r="C284" s="3">
        <f t="shared" si="465"/>
        <v>269</v>
      </c>
      <c r="D284" s="3">
        <v>269</v>
      </c>
      <c r="E284" s="3" t="s">
        <v>7740</v>
      </c>
      <c r="F284" s="3">
        <v>1000</v>
      </c>
      <c r="G284" s="3">
        <v>0.2</v>
      </c>
      <c r="H284" s="3">
        <v>0.4</v>
      </c>
      <c r="I284" s="3">
        <v>0.15</v>
      </c>
      <c r="J284" s="3">
        <v>0.15</v>
      </c>
      <c r="L284" s="3">
        <v>0.15</v>
      </c>
      <c r="M284" s="3">
        <v>0.15</v>
      </c>
      <c r="O284" s="3">
        <v>2</v>
      </c>
      <c r="P284" s="3">
        <f t="shared" si="466"/>
        <v>0.90000000000000013</v>
      </c>
      <c r="Q284" s="3">
        <v>7</v>
      </c>
      <c r="S284" s="3">
        <f t="shared" si="467"/>
        <v>7</v>
      </c>
      <c r="W284" s="3">
        <f t="shared" si="468"/>
        <v>0</v>
      </c>
      <c r="Y284" s="3">
        <f t="shared" si="469"/>
        <v>1</v>
      </c>
      <c r="Z284" s="3">
        <f t="shared" si="470"/>
        <v>2</v>
      </c>
      <c r="AA284" s="3">
        <f t="shared" si="471"/>
        <v>1.5</v>
      </c>
      <c r="AB284" s="3">
        <f t="shared" si="472"/>
        <v>1.5</v>
      </c>
      <c r="AC284" s="3">
        <f t="shared" si="473"/>
        <v>1.5</v>
      </c>
      <c r="AD284" s="3">
        <f t="shared" si="474"/>
        <v>1</v>
      </c>
      <c r="AE284" s="3">
        <f t="shared" si="475"/>
        <v>2</v>
      </c>
      <c r="AF284" s="3">
        <f t="shared" si="476"/>
        <v>1.5</v>
      </c>
      <c r="AG284" s="3">
        <f t="shared" si="477"/>
        <v>1.5</v>
      </c>
      <c r="AH284" s="3" t="str">
        <f t="shared" si="478"/>
        <v>자동</v>
      </c>
      <c r="AI284" s="3">
        <f t="shared" si="479"/>
        <v>1.5</v>
      </c>
      <c r="AJ284" s="3">
        <f t="shared" si="480"/>
        <v>1.5</v>
      </c>
      <c r="AL284" s="3" t="str">
        <f t="shared" si="481"/>
        <v/>
      </c>
      <c r="AN284" s="3" t="str">
        <f ca="1">IF($BA284=42,OFFSET(변환표준점수!C$119,$AP284-1,0),"")</f>
        <v/>
      </c>
      <c r="AO284" s="3" t="str">
        <f ca="1">IF($BA284=42,OFFSET(변환표준점수!D$119,$AP284-1,0),"")</f>
        <v/>
      </c>
      <c r="AP284" s="3">
        <f>IF(S284="","",MATCH(S284,변환표준점수!$B$119:$B$298,0))</f>
        <v>7</v>
      </c>
      <c r="AQ284" s="3">
        <v>1</v>
      </c>
      <c r="AR284" s="3">
        <v>1</v>
      </c>
      <c r="AS284" s="3">
        <v>4</v>
      </c>
      <c r="AT284" s="3">
        <v>4</v>
      </c>
      <c r="AV284" s="3">
        <v>4</v>
      </c>
      <c r="AW284" s="3">
        <v>4</v>
      </c>
      <c r="BA284" s="3">
        <f t="shared" si="482"/>
        <v>4</v>
      </c>
      <c r="BF284" s="3">
        <f>AF284*0.05</f>
        <v>7.5000000000000011E-2</v>
      </c>
      <c r="BG284" s="3">
        <f>AG284*0.05</f>
        <v>7.5000000000000011E-2</v>
      </c>
      <c r="BJ284" s="3">
        <f t="shared" si="483"/>
        <v>0</v>
      </c>
      <c r="BN284" s="212" t="s">
        <v>7273</v>
      </c>
      <c r="BS284" s="3">
        <f ca="1">EH284*BF284</f>
        <v>0</v>
      </c>
      <c r="BT284" s="3">
        <f ca="1">EI284*BG284</f>
        <v>0</v>
      </c>
      <c r="CH284" s="206">
        <f t="shared" si="484"/>
        <v>900.00000000000011</v>
      </c>
      <c r="DJ284" s="3">
        <f t="shared" ca="1" si="486"/>
        <v>0</v>
      </c>
      <c r="DK284" s="3" t="e">
        <f t="shared" ca="1" si="487"/>
        <v>#DIV/0!</v>
      </c>
      <c r="DL284" s="3">
        <f t="shared" ca="1" si="488"/>
        <v>0</v>
      </c>
      <c r="EA284" s="3">
        <f t="shared" si="489"/>
        <v>2</v>
      </c>
      <c r="EB284" s="3">
        <f t="shared" si="490"/>
        <v>0</v>
      </c>
      <c r="EC284" s="3">
        <f t="shared" si="491"/>
        <v>1</v>
      </c>
      <c r="ED284" s="3">
        <f t="shared" si="492"/>
        <v>1</v>
      </c>
      <c r="EF284" s="3">
        <f t="shared" ca="1" si="493"/>
        <v>0</v>
      </c>
      <c r="EG284" s="3">
        <f t="shared" ca="1" si="494"/>
        <v>0</v>
      </c>
      <c r="EH284" s="3">
        <f ca="1">IFERROR(IF(LEFT($BA284,1)="4",OFFSET(변환표준점수!$H$118,MATCH($S284,변환표준점수!$B$119:$B$198,0),),OFFSET(EH$3,MATCH(AS284,$ED$4:$ED$8,0),0)),0)</f>
        <v>0</v>
      </c>
      <c r="EI284" s="3">
        <f ca="1">IFERROR(IF(LEFT($BA284,1)="4",OFFSET(변환표준점수!$I$118,MATCH($S284,변환표준점수!$B$119:$B$198,0),0),OFFSET(EI$3,MATCH(AT284,$ED$4:$ED$8,0),0)),0)</f>
        <v>0</v>
      </c>
      <c r="EK284" s="3">
        <f ca="1">IFERROR(IF(LEFT($BA284,1)="4",OFFSET(변환표준점수!$J$118,MATCH($S284,변환표준점수!$B$119:$B$198,0),0),OFFSET(EJ$3,MATCH(AV284,$ED$4:$ED$8,0),0)),0)</f>
        <v>0</v>
      </c>
      <c r="EL284" s="3">
        <f ca="1">IFERROR(IF(LEFT($BA284,1)="4",OFFSET(변환표준점수!$K$118,MATCH($S284,변환표준점수!$B$119:$B$198,0),0),OFFSET(EK$3,MATCH(AW284,$ED$4:$ED$8,0),0)),0)</f>
        <v>0</v>
      </c>
      <c r="EM284" s="3">
        <f t="shared" ca="1" si="495"/>
        <v>0</v>
      </c>
      <c r="EN284" s="3">
        <f t="shared" ca="1" si="496"/>
        <v>0</v>
      </c>
      <c r="EO284" s="3">
        <f t="shared" ca="1" si="497"/>
        <v>0</v>
      </c>
      <c r="EQ284" s="3">
        <f t="shared" ca="1" si="498"/>
        <v>0</v>
      </c>
      <c r="ER284" s="3">
        <f t="shared" ca="1" si="499"/>
        <v>0</v>
      </c>
      <c r="ES284" s="3">
        <f t="shared" ca="1" si="500"/>
        <v>0</v>
      </c>
      <c r="ET284" s="3">
        <f t="shared" ca="1" si="501"/>
        <v>0</v>
      </c>
      <c r="EU284" s="3">
        <f t="shared" si="502"/>
        <v>0</v>
      </c>
      <c r="EV284" s="3">
        <f t="shared" ca="1" si="503"/>
        <v>0</v>
      </c>
      <c r="EW284" s="3">
        <f t="shared" ca="1" si="504"/>
        <v>0</v>
      </c>
      <c r="EX284" s="3">
        <f ca="1">LARGE((ES284:ET284,EV284:EW284),1)</f>
        <v>0</v>
      </c>
      <c r="EY284" s="3">
        <f ca="1">IF(O284&lt;2,0,LARGE((ES284:ET284,EV284:EW284),2))</f>
        <v>0</v>
      </c>
      <c r="EZ284" s="3">
        <f t="shared" ca="1" si="505"/>
        <v>0</v>
      </c>
      <c r="FA284" s="3">
        <f t="shared" ca="1" si="506"/>
        <v>0</v>
      </c>
      <c r="FB284" s="3">
        <f t="shared" ca="1" si="507"/>
        <v>0</v>
      </c>
      <c r="FG284" s="3">
        <f t="shared" ca="1" si="508"/>
        <v>0</v>
      </c>
      <c r="FH284" s="618" t="s">
        <v>7741</v>
      </c>
      <c r="FU284" s="3" t="str">
        <f t="shared" si="463"/>
        <v>표점</v>
      </c>
      <c r="FV284" s="3" t="str">
        <f t="shared" si="464"/>
        <v>변표</v>
      </c>
      <c r="FW284" s="3">
        <f t="shared" si="509"/>
        <v>0.22</v>
      </c>
      <c r="FX284" s="3">
        <f t="shared" si="510"/>
        <v>0.44</v>
      </c>
      <c r="FY284" s="3">
        <f t="shared" si="511"/>
        <v>0.33</v>
      </c>
      <c r="FZ284" s="3">
        <f t="shared" si="512"/>
        <v>4.5</v>
      </c>
    </row>
    <row r="285" spans="1:182">
      <c r="A285" s="556">
        <v>26</v>
      </c>
      <c r="C285" s="3">
        <f t="shared" si="465"/>
        <v>270</v>
      </c>
      <c r="D285" s="3">
        <v>270</v>
      </c>
      <c r="E285" s="3" t="s">
        <v>7742</v>
      </c>
      <c r="F285" s="3">
        <v>1000</v>
      </c>
      <c r="G285" s="3">
        <v>0.3</v>
      </c>
      <c r="H285" s="3">
        <v>0.4</v>
      </c>
      <c r="I285" s="3">
        <v>0.1</v>
      </c>
      <c r="J285" s="3">
        <v>0.1</v>
      </c>
      <c r="L285" s="3">
        <v>0.1</v>
      </c>
      <c r="M285" s="3">
        <v>0.1</v>
      </c>
      <c r="O285" s="3">
        <v>2</v>
      </c>
      <c r="P285" s="3">
        <f t="shared" si="466"/>
        <v>0.89999999999999991</v>
      </c>
      <c r="Q285" s="3">
        <v>7</v>
      </c>
      <c r="S285" s="3">
        <f t="shared" si="467"/>
        <v>7</v>
      </c>
      <c r="W285" s="3">
        <f t="shared" si="468"/>
        <v>0</v>
      </c>
      <c r="Y285" s="3">
        <f t="shared" si="469"/>
        <v>1.5</v>
      </c>
      <c r="Z285" s="3">
        <f t="shared" si="470"/>
        <v>2</v>
      </c>
      <c r="AA285" s="3">
        <f t="shared" si="471"/>
        <v>1</v>
      </c>
      <c r="AB285" s="3">
        <f t="shared" si="472"/>
        <v>1</v>
      </c>
      <c r="AC285" s="3">
        <f t="shared" si="473"/>
        <v>1</v>
      </c>
      <c r="AD285" s="3">
        <f t="shared" si="474"/>
        <v>1.5</v>
      </c>
      <c r="AE285" s="3">
        <f t="shared" si="475"/>
        <v>2</v>
      </c>
      <c r="AF285" s="3">
        <f t="shared" si="476"/>
        <v>1</v>
      </c>
      <c r="AG285" s="3">
        <f t="shared" si="477"/>
        <v>1</v>
      </c>
      <c r="AH285" s="3" t="str">
        <f t="shared" si="478"/>
        <v>자동</v>
      </c>
      <c r="AI285" s="3">
        <f t="shared" si="479"/>
        <v>1</v>
      </c>
      <c r="AJ285" s="3">
        <f t="shared" si="480"/>
        <v>1</v>
      </c>
      <c r="AL285" s="3" t="str">
        <f t="shared" si="481"/>
        <v/>
      </c>
      <c r="AN285" s="3" t="str">
        <f ca="1">IF($BA285=42,OFFSET(변환표준점수!C$119,$AP285-1,0),"")</f>
        <v/>
      </c>
      <c r="AO285" s="3" t="str">
        <f ca="1">IF($BA285=42,OFFSET(변환표준점수!D$119,$AP285-1,0),"")</f>
        <v/>
      </c>
      <c r="AP285" s="3">
        <f>IF(S285="","",MATCH(S285,변환표준점수!$B$119:$B$298,0))</f>
        <v>7</v>
      </c>
      <c r="AQ285" s="3">
        <v>1</v>
      </c>
      <c r="AR285" s="3">
        <v>1</v>
      </c>
      <c r="AS285" s="3">
        <v>4</v>
      </c>
      <c r="AT285" s="3">
        <v>4</v>
      </c>
      <c r="AV285" s="3">
        <v>4</v>
      </c>
      <c r="AW285" s="3">
        <v>4</v>
      </c>
      <c r="BA285" s="3">
        <f t="shared" si="482"/>
        <v>4</v>
      </c>
      <c r="BF285" s="3">
        <f>AF285*0.05</f>
        <v>0.05</v>
      </c>
      <c r="BG285" s="3">
        <f>AG285*0.05</f>
        <v>0.05</v>
      </c>
      <c r="BJ285" s="3">
        <f t="shared" si="483"/>
        <v>0</v>
      </c>
      <c r="BN285" s="212" t="s">
        <v>7273</v>
      </c>
      <c r="BS285" s="3">
        <f ca="1">EH285*BF285</f>
        <v>0</v>
      </c>
      <c r="BT285" s="3">
        <f ca="1">EI285*BG285</f>
        <v>0</v>
      </c>
      <c r="CH285" s="206">
        <f t="shared" si="484"/>
        <v>899.99999999999989</v>
      </c>
      <c r="DJ285" s="3">
        <f t="shared" ca="1" si="486"/>
        <v>0</v>
      </c>
      <c r="DK285" s="3" t="e">
        <f t="shared" ca="1" si="487"/>
        <v>#DIV/0!</v>
      </c>
      <c r="DL285" s="3">
        <f t="shared" ca="1" si="488"/>
        <v>0</v>
      </c>
      <c r="EA285" s="3">
        <f t="shared" si="489"/>
        <v>2</v>
      </c>
      <c r="EB285" s="3">
        <f t="shared" si="490"/>
        <v>0</v>
      </c>
      <c r="EC285" s="3">
        <f t="shared" si="491"/>
        <v>1</v>
      </c>
      <c r="ED285" s="3">
        <f t="shared" si="492"/>
        <v>1</v>
      </c>
      <c r="EF285" s="3">
        <f t="shared" ca="1" si="493"/>
        <v>0</v>
      </c>
      <c r="EG285" s="3">
        <f t="shared" ca="1" si="494"/>
        <v>0</v>
      </c>
      <c r="EH285" s="3">
        <f ca="1">IFERROR(IF(LEFT($BA285,1)="4",OFFSET(변환표준점수!$H$118,MATCH($S285,변환표준점수!$B$119:$B$198,0),),OFFSET(EH$3,MATCH(AS285,$ED$4:$ED$8,0),0)),0)</f>
        <v>0</v>
      </c>
      <c r="EI285" s="3">
        <f ca="1">IFERROR(IF(LEFT($BA285,1)="4",OFFSET(변환표준점수!$I$118,MATCH($S285,변환표준점수!$B$119:$B$198,0),0),OFFSET(EI$3,MATCH(AT285,$ED$4:$ED$8,0),0)),0)</f>
        <v>0</v>
      </c>
      <c r="EK285" s="3">
        <f ca="1">IFERROR(IF(LEFT($BA285,1)="4",OFFSET(변환표준점수!$J$118,MATCH($S285,변환표준점수!$B$119:$B$198,0),0),OFFSET(EJ$3,MATCH(AV285,$ED$4:$ED$8,0),0)),0)</f>
        <v>0</v>
      </c>
      <c r="EL285" s="3">
        <f ca="1">IFERROR(IF(LEFT($BA285,1)="4",OFFSET(변환표준점수!$K$118,MATCH($S285,변환표준점수!$B$119:$B$198,0),0),OFFSET(EK$3,MATCH(AW285,$ED$4:$ED$8,0),0)),0)</f>
        <v>0</v>
      </c>
      <c r="EM285" s="3">
        <f t="shared" ca="1" si="495"/>
        <v>0</v>
      </c>
      <c r="EN285" s="3">
        <f t="shared" ca="1" si="496"/>
        <v>0</v>
      </c>
      <c r="EO285" s="3">
        <f t="shared" ca="1" si="497"/>
        <v>0</v>
      </c>
      <c r="EQ285" s="3">
        <f t="shared" ca="1" si="498"/>
        <v>0</v>
      </c>
      <c r="ER285" s="3">
        <f t="shared" ca="1" si="499"/>
        <v>0</v>
      </c>
      <c r="ES285" s="3">
        <f t="shared" ca="1" si="500"/>
        <v>0</v>
      </c>
      <c r="ET285" s="3">
        <f t="shared" ca="1" si="501"/>
        <v>0</v>
      </c>
      <c r="EU285" s="3">
        <f t="shared" si="502"/>
        <v>0</v>
      </c>
      <c r="EV285" s="3">
        <f t="shared" ca="1" si="503"/>
        <v>0</v>
      </c>
      <c r="EW285" s="3">
        <f t="shared" ca="1" si="504"/>
        <v>0</v>
      </c>
      <c r="EX285" s="3">
        <f ca="1">LARGE((ES285:ET285,EV285:EW285),1)</f>
        <v>0</v>
      </c>
      <c r="EY285" s="3">
        <f ca="1">IF(O285&lt;2,0,LARGE((ES285:ET285,EV285:EW285),2))</f>
        <v>0</v>
      </c>
      <c r="EZ285" s="3">
        <f t="shared" ca="1" si="505"/>
        <v>0</v>
      </c>
      <c r="FA285" s="3">
        <f t="shared" ca="1" si="506"/>
        <v>0</v>
      </c>
      <c r="FB285" s="3">
        <f t="shared" ca="1" si="507"/>
        <v>0</v>
      </c>
      <c r="FG285" s="3">
        <f t="shared" ca="1" si="508"/>
        <v>0</v>
      </c>
      <c r="FH285" s="618" t="s">
        <v>7741</v>
      </c>
      <c r="FU285" s="3" t="str">
        <f t="shared" si="463"/>
        <v>표점</v>
      </c>
      <c r="FV285" s="3" t="str">
        <f t="shared" si="464"/>
        <v>변표</v>
      </c>
      <c r="FW285" s="3">
        <f t="shared" si="509"/>
        <v>0.33</v>
      </c>
      <c r="FX285" s="3">
        <f t="shared" si="510"/>
        <v>0.44</v>
      </c>
      <c r="FY285" s="3">
        <f t="shared" si="511"/>
        <v>0.22</v>
      </c>
      <c r="FZ285" s="3">
        <f t="shared" si="512"/>
        <v>4.5</v>
      </c>
    </row>
    <row r="286" spans="1:182">
      <c r="A286" s="556">
        <v>26</v>
      </c>
      <c r="C286" s="3">
        <f t="shared" si="465"/>
        <v>271</v>
      </c>
      <c r="D286" s="3">
        <v>271</v>
      </c>
      <c r="E286" s="3" t="s">
        <v>7743</v>
      </c>
      <c r="F286" s="3">
        <v>1000</v>
      </c>
      <c r="G286" s="3">
        <v>0.4</v>
      </c>
      <c r="H286" s="3">
        <v>0.3</v>
      </c>
      <c r="I286" s="3">
        <v>0.1</v>
      </c>
      <c r="J286" s="3">
        <v>0.1</v>
      </c>
      <c r="L286" s="3">
        <v>0.1</v>
      </c>
      <c r="M286" s="3">
        <v>0.1</v>
      </c>
      <c r="O286" s="3">
        <v>2</v>
      </c>
      <c r="P286" s="3">
        <f t="shared" si="466"/>
        <v>0.89999999999999991</v>
      </c>
      <c r="Q286" s="3">
        <v>7</v>
      </c>
      <c r="S286" s="3">
        <f t="shared" si="467"/>
        <v>7</v>
      </c>
      <c r="W286" s="3">
        <f t="shared" si="468"/>
        <v>0</v>
      </c>
      <c r="Y286" s="3">
        <f t="shared" si="469"/>
        <v>2</v>
      </c>
      <c r="Z286" s="3">
        <f t="shared" si="470"/>
        <v>1.5</v>
      </c>
      <c r="AA286" s="3">
        <f t="shared" si="471"/>
        <v>1</v>
      </c>
      <c r="AB286" s="3">
        <f t="shared" si="472"/>
        <v>1</v>
      </c>
      <c r="AC286" s="3">
        <f t="shared" si="473"/>
        <v>1</v>
      </c>
      <c r="AD286" s="3">
        <f t="shared" si="474"/>
        <v>2</v>
      </c>
      <c r="AE286" s="3">
        <f t="shared" si="475"/>
        <v>1.5</v>
      </c>
      <c r="AF286" s="3">
        <f t="shared" si="476"/>
        <v>1</v>
      </c>
      <c r="AG286" s="3">
        <f t="shared" si="477"/>
        <v>1</v>
      </c>
      <c r="AH286" s="3" t="str">
        <f t="shared" si="478"/>
        <v>자동</v>
      </c>
      <c r="AI286" s="3">
        <f t="shared" si="479"/>
        <v>1</v>
      </c>
      <c r="AJ286" s="3">
        <f t="shared" si="480"/>
        <v>1</v>
      </c>
      <c r="AL286" s="3" t="str">
        <f t="shared" si="481"/>
        <v/>
      </c>
      <c r="AN286" s="3" t="str">
        <f ca="1">IF($BA286=42,OFFSET(변환표준점수!C$119,$AP286-1,0),"")</f>
        <v/>
      </c>
      <c r="AO286" s="3" t="str">
        <f ca="1">IF($BA286=42,OFFSET(변환표준점수!D$119,$AP286-1,0),"")</f>
        <v/>
      </c>
      <c r="AP286" s="3">
        <f>IF(S286="","",MATCH(S286,변환표준점수!$B$119:$B$298,0))</f>
        <v>7</v>
      </c>
      <c r="AQ286" s="3">
        <v>1</v>
      </c>
      <c r="AR286" s="3">
        <v>1</v>
      </c>
      <c r="AS286" s="3">
        <v>4</v>
      </c>
      <c r="AT286" s="3">
        <v>4</v>
      </c>
      <c r="AV286" s="3">
        <v>4</v>
      </c>
      <c r="AW286" s="3">
        <v>4</v>
      </c>
      <c r="BA286" s="3">
        <f t="shared" si="482"/>
        <v>4</v>
      </c>
      <c r="BJ286" s="3">
        <f t="shared" si="483"/>
        <v>0</v>
      </c>
      <c r="CH286" s="206">
        <f t="shared" si="484"/>
        <v>899.99999999999989</v>
      </c>
      <c r="DJ286" s="3">
        <f t="shared" ca="1" si="486"/>
        <v>0</v>
      </c>
      <c r="DK286" s="3" t="e">
        <f t="shared" ca="1" si="487"/>
        <v>#DIV/0!</v>
      </c>
      <c r="DL286" s="3">
        <f t="shared" ca="1" si="488"/>
        <v>0</v>
      </c>
      <c r="EA286" s="3">
        <f t="shared" si="489"/>
        <v>2</v>
      </c>
      <c r="EB286" s="3">
        <f t="shared" si="490"/>
        <v>0</v>
      </c>
      <c r="EC286" s="3">
        <f t="shared" si="491"/>
        <v>1</v>
      </c>
      <c r="ED286" s="3">
        <f t="shared" si="492"/>
        <v>1</v>
      </c>
      <c r="EF286" s="3">
        <f t="shared" ca="1" si="493"/>
        <v>0</v>
      </c>
      <c r="EG286" s="3">
        <f t="shared" ca="1" si="494"/>
        <v>0</v>
      </c>
      <c r="EH286" s="3">
        <f ca="1">IFERROR(IF(LEFT($BA286,1)="4",OFFSET(변환표준점수!$H$118,MATCH($S286,변환표준점수!$B$119:$B$198,0),),OFFSET(EH$3,MATCH(AS286,$ED$4:$ED$8,0),0)),0)</f>
        <v>0</v>
      </c>
      <c r="EI286" s="3">
        <f ca="1">IFERROR(IF(LEFT($BA286,1)="4",OFFSET(변환표준점수!$I$118,MATCH($S286,변환표준점수!$B$119:$B$198,0),0),OFFSET(EI$3,MATCH(AT286,$ED$4:$ED$8,0),0)),0)</f>
        <v>0</v>
      </c>
      <c r="EK286" s="3">
        <f ca="1">IFERROR(IF(LEFT($BA286,1)="4",OFFSET(변환표준점수!$J$118,MATCH($S286,변환표준점수!$B$119:$B$198,0),0),OFFSET(EJ$3,MATCH(AV286,$ED$4:$ED$8,0),0)),0)</f>
        <v>0</v>
      </c>
      <c r="EL286" s="3">
        <f ca="1">IFERROR(IF(LEFT($BA286,1)="4",OFFSET(변환표준점수!$K$118,MATCH($S286,변환표준점수!$B$119:$B$198,0),0),OFFSET(EK$3,MATCH(AW286,$ED$4:$ED$8,0),0)),0)</f>
        <v>0</v>
      </c>
      <c r="EM286" s="3">
        <f t="shared" ca="1" si="495"/>
        <v>0</v>
      </c>
      <c r="EN286" s="3">
        <f t="shared" ca="1" si="496"/>
        <v>0</v>
      </c>
      <c r="EO286" s="3">
        <f t="shared" ca="1" si="497"/>
        <v>0</v>
      </c>
      <c r="EQ286" s="3">
        <f t="shared" ca="1" si="498"/>
        <v>0</v>
      </c>
      <c r="ER286" s="3">
        <f t="shared" ca="1" si="499"/>
        <v>0</v>
      </c>
      <c r="ES286" s="3">
        <f t="shared" ca="1" si="500"/>
        <v>0</v>
      </c>
      <c r="ET286" s="3">
        <f t="shared" ca="1" si="501"/>
        <v>0</v>
      </c>
      <c r="EU286" s="3">
        <f t="shared" si="502"/>
        <v>0</v>
      </c>
      <c r="EV286" s="3">
        <f t="shared" ca="1" si="503"/>
        <v>0</v>
      </c>
      <c r="EW286" s="3">
        <f t="shared" ca="1" si="504"/>
        <v>0</v>
      </c>
      <c r="EX286" s="3">
        <f ca="1">LARGE((ES286:ET286,EV286:EW286),1)</f>
        <v>0</v>
      </c>
      <c r="EY286" s="3">
        <f ca="1">IF(O286&lt;2,0,LARGE((ES286:ET286,EV286:EW286),2))</f>
        <v>0</v>
      </c>
      <c r="EZ286" s="3">
        <f t="shared" ca="1" si="505"/>
        <v>0</v>
      </c>
      <c r="FA286" s="3">
        <f t="shared" ca="1" si="506"/>
        <v>0</v>
      </c>
      <c r="FB286" s="3">
        <f t="shared" ca="1" si="507"/>
        <v>0</v>
      </c>
      <c r="FG286" s="3">
        <f t="shared" ca="1" si="508"/>
        <v>0</v>
      </c>
      <c r="FH286" s="618" t="s">
        <v>7741</v>
      </c>
      <c r="FU286" s="3" t="str">
        <f t="shared" si="463"/>
        <v>표점</v>
      </c>
      <c r="FV286" s="3" t="str">
        <f t="shared" si="464"/>
        <v>변표</v>
      </c>
      <c r="FW286" s="3">
        <f t="shared" si="509"/>
        <v>0.44</v>
      </c>
      <c r="FX286" s="3">
        <f t="shared" si="510"/>
        <v>0.33</v>
      </c>
      <c r="FY286" s="3">
        <f t="shared" si="511"/>
        <v>0.22</v>
      </c>
      <c r="FZ286" s="3">
        <f t="shared" si="512"/>
        <v>4.5</v>
      </c>
    </row>
    <row r="287" spans="1:182">
      <c r="A287" s="556">
        <v>26</v>
      </c>
      <c r="C287" s="3">
        <f t="shared" si="465"/>
        <v>272</v>
      </c>
      <c r="D287" s="3">
        <v>272</v>
      </c>
      <c r="E287" s="3" t="s">
        <v>7744</v>
      </c>
      <c r="F287" s="3">
        <v>1000</v>
      </c>
      <c r="G287" s="3">
        <v>0.3</v>
      </c>
      <c r="H287" s="3">
        <v>0.4</v>
      </c>
      <c r="I287" s="3">
        <v>0.1</v>
      </c>
      <c r="J287" s="3">
        <v>0.1</v>
      </c>
      <c r="L287" s="3">
        <v>0.1</v>
      </c>
      <c r="M287" s="3">
        <v>0.1</v>
      </c>
      <c r="O287" s="3">
        <v>2</v>
      </c>
      <c r="P287" s="3">
        <f t="shared" si="466"/>
        <v>0.89999999999999991</v>
      </c>
      <c r="Q287" s="3">
        <v>7</v>
      </c>
      <c r="S287" s="3">
        <f t="shared" si="467"/>
        <v>7</v>
      </c>
      <c r="W287" s="3">
        <f t="shared" si="468"/>
        <v>0</v>
      </c>
      <c r="Y287" s="3">
        <f t="shared" si="469"/>
        <v>1.5</v>
      </c>
      <c r="Z287" s="3">
        <f t="shared" si="470"/>
        <v>2</v>
      </c>
      <c r="AA287" s="3">
        <f t="shared" si="471"/>
        <v>1</v>
      </c>
      <c r="AB287" s="3">
        <f t="shared" si="472"/>
        <v>1</v>
      </c>
      <c r="AC287" s="3">
        <f t="shared" si="473"/>
        <v>1</v>
      </c>
      <c r="AD287" s="3">
        <f t="shared" si="474"/>
        <v>1.5</v>
      </c>
      <c r="AE287" s="3">
        <f t="shared" si="475"/>
        <v>2</v>
      </c>
      <c r="AF287" s="3">
        <f t="shared" si="476"/>
        <v>1</v>
      </c>
      <c r="AG287" s="3">
        <f t="shared" si="477"/>
        <v>1</v>
      </c>
      <c r="AH287" s="3" t="str">
        <f t="shared" si="478"/>
        <v>자동</v>
      </c>
      <c r="AI287" s="3">
        <f t="shared" si="479"/>
        <v>1</v>
      </c>
      <c r="AJ287" s="3">
        <f t="shared" si="480"/>
        <v>1</v>
      </c>
      <c r="AL287" s="3" t="str">
        <f t="shared" si="481"/>
        <v/>
      </c>
      <c r="AN287" s="3" t="str">
        <f ca="1">IF($BA287=42,OFFSET(변환표준점수!C$119,$AP287-1,0),"")</f>
        <v/>
      </c>
      <c r="AO287" s="3" t="str">
        <f ca="1">IF($BA287=42,OFFSET(변환표준점수!D$119,$AP287-1,0),"")</f>
        <v/>
      </c>
      <c r="AP287" s="3">
        <f>IF(S287="","",MATCH(S287,변환표준점수!$B$119:$B$298,0))</f>
        <v>7</v>
      </c>
      <c r="AQ287" s="3">
        <v>1</v>
      </c>
      <c r="AR287" s="3">
        <v>1</v>
      </c>
      <c r="AS287" s="3">
        <v>4</v>
      </c>
      <c r="AT287" s="3">
        <v>4</v>
      </c>
      <c r="AV287" s="3">
        <v>4</v>
      </c>
      <c r="AW287" s="3">
        <v>4</v>
      </c>
      <c r="BA287" s="3">
        <f t="shared" si="482"/>
        <v>4</v>
      </c>
      <c r="BJ287" s="3">
        <f t="shared" si="483"/>
        <v>0</v>
      </c>
      <c r="CH287" s="206">
        <f t="shared" si="484"/>
        <v>899.99999999999989</v>
      </c>
      <c r="DJ287" s="3">
        <f t="shared" ca="1" si="486"/>
        <v>0</v>
      </c>
      <c r="DK287" s="3" t="e">
        <f t="shared" ca="1" si="487"/>
        <v>#DIV/0!</v>
      </c>
      <c r="DL287" s="3">
        <f t="shared" ca="1" si="488"/>
        <v>0</v>
      </c>
      <c r="EA287" s="3">
        <f t="shared" si="489"/>
        <v>2</v>
      </c>
      <c r="EB287" s="3">
        <f t="shared" si="490"/>
        <v>0</v>
      </c>
      <c r="EC287" s="3">
        <f t="shared" si="491"/>
        <v>1</v>
      </c>
      <c r="ED287" s="3">
        <f t="shared" si="492"/>
        <v>1</v>
      </c>
      <c r="EF287" s="3">
        <f t="shared" ca="1" si="493"/>
        <v>0</v>
      </c>
      <c r="EG287" s="3">
        <f t="shared" ca="1" si="494"/>
        <v>0</v>
      </c>
      <c r="EH287" s="3">
        <f ca="1">IFERROR(IF(LEFT($BA287,1)="4",OFFSET(변환표준점수!$H$118,MATCH($S287,변환표준점수!$B$119:$B$198,0),),OFFSET(EH$3,MATCH(AS287,$ED$4:$ED$8,0),0)),0)</f>
        <v>0</v>
      </c>
      <c r="EI287" s="3">
        <f ca="1">IFERROR(IF(LEFT($BA287,1)="4",OFFSET(변환표준점수!$I$118,MATCH($S287,변환표준점수!$B$119:$B$198,0),0),OFFSET(EI$3,MATCH(AT287,$ED$4:$ED$8,0),0)),0)</f>
        <v>0</v>
      </c>
      <c r="EK287" s="3">
        <f ca="1">IFERROR(IF(LEFT($BA287,1)="4",OFFSET(변환표준점수!$J$118,MATCH($S287,변환표준점수!$B$119:$B$198,0),0),OFFSET(EJ$3,MATCH(AV287,$ED$4:$ED$8,0),0)),0)</f>
        <v>0</v>
      </c>
      <c r="EL287" s="3">
        <f ca="1">IFERROR(IF(LEFT($BA287,1)="4",OFFSET(변환표준점수!$K$118,MATCH($S287,변환표준점수!$B$119:$B$198,0),0),OFFSET(EK$3,MATCH(AW287,$ED$4:$ED$8,0),0)),0)</f>
        <v>0</v>
      </c>
      <c r="EM287" s="3">
        <f t="shared" ca="1" si="495"/>
        <v>0</v>
      </c>
      <c r="EN287" s="3">
        <f t="shared" ca="1" si="496"/>
        <v>0</v>
      </c>
      <c r="EO287" s="3">
        <f t="shared" ca="1" si="497"/>
        <v>0</v>
      </c>
      <c r="EQ287" s="3">
        <f t="shared" ca="1" si="498"/>
        <v>0</v>
      </c>
      <c r="ER287" s="3">
        <f t="shared" ca="1" si="499"/>
        <v>0</v>
      </c>
      <c r="ES287" s="3">
        <f t="shared" ca="1" si="500"/>
        <v>0</v>
      </c>
      <c r="ET287" s="3">
        <f t="shared" ca="1" si="501"/>
        <v>0</v>
      </c>
      <c r="EU287" s="3">
        <f t="shared" si="502"/>
        <v>0</v>
      </c>
      <c r="EV287" s="3">
        <f t="shared" ca="1" si="503"/>
        <v>0</v>
      </c>
      <c r="EW287" s="3">
        <f t="shared" ca="1" si="504"/>
        <v>0</v>
      </c>
      <c r="EX287" s="3">
        <f ca="1">LARGE((ES287:ET287,EV287:EW287),1)</f>
        <v>0</v>
      </c>
      <c r="EY287" s="3">
        <f ca="1">IF(O287&lt;2,0,LARGE((ES287:ET287,EV287:EW287),2))</f>
        <v>0</v>
      </c>
      <c r="EZ287" s="3">
        <f t="shared" ca="1" si="505"/>
        <v>0</v>
      </c>
      <c r="FA287" s="3">
        <f t="shared" ca="1" si="506"/>
        <v>0</v>
      </c>
      <c r="FB287" s="3">
        <f t="shared" ca="1" si="507"/>
        <v>0</v>
      </c>
      <c r="FG287" s="3">
        <f t="shared" ca="1" si="508"/>
        <v>0</v>
      </c>
      <c r="FH287" s="618" t="s">
        <v>7741</v>
      </c>
      <c r="FU287" s="3" t="str">
        <f t="shared" si="463"/>
        <v>표점</v>
      </c>
      <c r="FV287" s="3" t="str">
        <f t="shared" si="464"/>
        <v>변표</v>
      </c>
      <c r="FW287" s="3">
        <f t="shared" si="509"/>
        <v>0.33</v>
      </c>
      <c r="FX287" s="3">
        <f t="shared" si="510"/>
        <v>0.44</v>
      </c>
      <c r="FY287" s="3">
        <f t="shared" si="511"/>
        <v>0.22</v>
      </c>
      <c r="FZ287" s="3">
        <f t="shared" si="512"/>
        <v>4.5</v>
      </c>
    </row>
    <row r="288" spans="1:182">
      <c r="A288" s="556">
        <v>26</v>
      </c>
      <c r="C288" s="3">
        <f t="shared" si="465"/>
        <v>273</v>
      </c>
      <c r="D288" s="3">
        <v>273</v>
      </c>
      <c r="E288" s="3" t="s">
        <v>7745</v>
      </c>
      <c r="F288" s="3">
        <v>1000</v>
      </c>
      <c r="G288" s="3">
        <f t="shared" ref="G288:J289" ca="1" si="513">IF($BB$7=1,OFFSET(G$284,$N288-1,0),(G$284+G$285)/2)</f>
        <v>0.3</v>
      </c>
      <c r="H288" s="3">
        <f t="shared" ca="1" si="513"/>
        <v>0.4</v>
      </c>
      <c r="I288" s="3">
        <f t="shared" ca="1" si="513"/>
        <v>0.1</v>
      </c>
      <c r="J288" s="3">
        <f t="shared" ca="1" si="513"/>
        <v>0.1</v>
      </c>
      <c r="L288" s="3">
        <f ca="1">I288</f>
        <v>0.1</v>
      </c>
      <c r="M288" s="3">
        <f ca="1">J288</f>
        <v>0.1</v>
      </c>
      <c r="N288" s="3">
        <f ca="1">IF($BB$7=1,IF(FG284&gt;FG285,1,2),2)</f>
        <v>2</v>
      </c>
      <c r="O288" s="3">
        <v>2</v>
      </c>
      <c r="P288" s="3">
        <f t="shared" ca="1" si="466"/>
        <v>0.89999999999999991</v>
      </c>
      <c r="Q288" s="3">
        <v>7</v>
      </c>
      <c r="S288" s="3">
        <f t="shared" si="467"/>
        <v>7</v>
      </c>
      <c r="W288" s="3">
        <f t="shared" si="468"/>
        <v>0</v>
      </c>
      <c r="Y288" s="3">
        <f t="shared" ca="1" si="469"/>
        <v>1.5</v>
      </c>
      <c r="Z288" s="3">
        <f t="shared" ca="1" si="470"/>
        <v>2</v>
      </c>
      <c r="AA288" s="3">
        <f t="shared" ca="1" si="471"/>
        <v>1</v>
      </c>
      <c r="AB288" s="3">
        <f t="shared" ca="1" si="472"/>
        <v>1</v>
      </c>
      <c r="AC288" s="3">
        <f t="shared" ca="1" si="473"/>
        <v>1</v>
      </c>
      <c r="AD288" s="3">
        <f t="shared" ca="1" si="474"/>
        <v>1.5</v>
      </c>
      <c r="AE288" s="3">
        <f t="shared" ca="1" si="475"/>
        <v>2</v>
      </c>
      <c r="AF288" s="3">
        <f t="shared" ca="1" si="476"/>
        <v>1</v>
      </c>
      <c r="AG288" s="3">
        <f t="shared" ca="1" si="477"/>
        <v>1</v>
      </c>
      <c r="AH288" s="3" t="str">
        <f t="shared" si="478"/>
        <v>자동</v>
      </c>
      <c r="AI288" s="3">
        <f t="shared" ca="1" si="479"/>
        <v>1</v>
      </c>
      <c r="AJ288" s="3">
        <f t="shared" ca="1" si="480"/>
        <v>1</v>
      </c>
      <c r="AL288" s="3" t="str">
        <f t="shared" si="481"/>
        <v/>
      </c>
      <c r="AN288" s="3" t="str">
        <f ca="1">IF($BA288=42,OFFSET(변환표준점수!C$119,$AP288-1,0),"")</f>
        <v/>
      </c>
      <c r="AO288" s="3" t="str">
        <f ca="1">IF($BA288=42,OFFSET(변환표준점수!D$119,$AP288-1,0),"")</f>
        <v/>
      </c>
      <c r="AP288" s="3">
        <f>IF(S288="","",MATCH(S288,변환표준점수!$B$119:$B$298,0))</f>
        <v>7</v>
      </c>
      <c r="AQ288" s="3">
        <v>1</v>
      </c>
      <c r="AR288" s="3">
        <v>1</v>
      </c>
      <c r="AS288" s="3">
        <v>4</v>
      </c>
      <c r="AT288" s="3">
        <v>4</v>
      </c>
      <c r="AV288" s="3">
        <v>4</v>
      </c>
      <c r="AW288" s="3">
        <v>4</v>
      </c>
      <c r="AX288" s="3">
        <v>3</v>
      </c>
      <c r="AY288" s="3">
        <v>3</v>
      </c>
      <c r="BA288" s="3">
        <f t="shared" si="482"/>
        <v>4</v>
      </c>
      <c r="BF288" s="3">
        <f ca="1">AF288*0.05</f>
        <v>0.05</v>
      </c>
      <c r="BG288" s="3">
        <f ca="1">AG288*0.05</f>
        <v>0.05</v>
      </c>
      <c r="BJ288" s="3">
        <f t="shared" si="483"/>
        <v>0</v>
      </c>
      <c r="BN288" s="212" t="s">
        <v>7273</v>
      </c>
      <c r="BS288" s="3">
        <f ca="1">EH288*BF288</f>
        <v>0</v>
      </c>
      <c r="BT288" s="3">
        <f ca="1">EI288*BG288</f>
        <v>0</v>
      </c>
      <c r="CH288" s="206">
        <f t="shared" ca="1" si="484"/>
        <v>899.99999999999989</v>
      </c>
      <c r="CI288" s="56">
        <v>63.5</v>
      </c>
      <c r="CJ288" s="3">
        <v>63</v>
      </c>
      <c r="CK288" s="3">
        <v>62</v>
      </c>
      <c r="CL288" s="3">
        <v>50.5</v>
      </c>
      <c r="CM288" s="3">
        <v>43</v>
      </c>
      <c r="CN288" s="3">
        <v>38.5</v>
      </c>
      <c r="CO288" s="3">
        <v>35.5</v>
      </c>
      <c r="CP288" s="3">
        <v>32.5</v>
      </c>
      <c r="CQ288" s="3">
        <v>29.5</v>
      </c>
      <c r="CR288" s="56">
        <v>0</v>
      </c>
      <c r="CS288" s="3">
        <v>0</v>
      </c>
      <c r="CT288" s="3">
        <v>0</v>
      </c>
      <c r="CU288" s="3">
        <v>0</v>
      </c>
      <c r="CV288" s="3">
        <v>-1</v>
      </c>
      <c r="CW288" s="3">
        <v>-2</v>
      </c>
      <c r="CX288" s="3">
        <v>-5</v>
      </c>
      <c r="CY288" s="3">
        <v>-10</v>
      </c>
      <c r="CZ288" s="3">
        <v>-20</v>
      </c>
      <c r="DJ288" s="3">
        <f t="shared" ca="1" si="486"/>
        <v>63.5</v>
      </c>
      <c r="DK288" s="3">
        <f t="shared" ca="1" si="487"/>
        <v>100</v>
      </c>
      <c r="DL288" s="3">
        <f t="shared" ca="1" si="488"/>
        <v>0</v>
      </c>
      <c r="DO288" s="3">
        <v>2</v>
      </c>
      <c r="DZ288" s="3">
        <v>1</v>
      </c>
      <c r="EA288" s="3">
        <f t="shared" si="489"/>
        <v>1</v>
      </c>
      <c r="EB288" s="3">
        <f t="shared" si="490"/>
        <v>2</v>
      </c>
      <c r="EC288" s="3">
        <f t="shared" si="491"/>
        <v>0</v>
      </c>
      <c r="ED288" s="3">
        <f t="shared" si="492"/>
        <v>0</v>
      </c>
      <c r="EF288" s="3">
        <f t="shared" ca="1" si="493"/>
        <v>0</v>
      </c>
      <c r="EG288" s="3">
        <f t="shared" ca="1" si="494"/>
        <v>0</v>
      </c>
      <c r="EH288" s="3">
        <f ca="1">IFERROR(IF(LEFT($BA288,1)="4",OFFSET(변환표준점수!$H$118,MATCH($S288,변환표준점수!$B$119:$B$198,0),),OFFSET(EH$3,MATCH(AS288,$ED$4:$ED$8,0),0)),0)</f>
        <v>0</v>
      </c>
      <c r="EI288" s="3">
        <f ca="1">IFERROR(IF(LEFT($BA288,1)="4",OFFSET(변환표준점수!$I$118,MATCH($S288,변환표준점수!$B$119:$B$198,0),0),OFFSET(EI$3,MATCH(AT288,$ED$4:$ED$8,0),0)),0)</f>
        <v>0</v>
      </c>
      <c r="EK288" s="3">
        <f ca="1">IFERROR(IF(LEFT($BA288,1)="4",OFFSET(변환표준점수!$J$118,MATCH($S288,변환표준점수!$B$119:$B$198,0),0),OFFSET(EJ$3,MATCH(AV288,$ED$4:$ED$8,0),0)),0)</f>
        <v>0</v>
      </c>
      <c r="EL288" s="3">
        <f ca="1">IFERROR(IF(LEFT($BA288,1)="4",OFFSET(변환표준점수!$K$118,MATCH($S288,변환표준점수!$B$119:$B$198,0),0),OFFSET(EK$3,MATCH(AW288,$ED$4:$ED$8,0),0)),0)</f>
        <v>0</v>
      </c>
      <c r="EM288" s="3" t="str">
        <f t="shared" ca="1" si="495"/>
        <v/>
      </c>
      <c r="EN288" s="3" t="str">
        <f t="shared" ca="1" si="496"/>
        <v/>
      </c>
      <c r="EO288" s="3">
        <f t="shared" ca="1" si="497"/>
        <v>0</v>
      </c>
      <c r="EQ288" s="3">
        <f t="shared" ca="1" si="498"/>
        <v>0</v>
      </c>
      <c r="ER288" s="3">
        <f t="shared" ca="1" si="499"/>
        <v>0</v>
      </c>
      <c r="ES288" s="3">
        <f t="shared" ca="1" si="500"/>
        <v>0</v>
      </c>
      <c r="ET288" s="3">
        <f t="shared" ca="1" si="501"/>
        <v>0</v>
      </c>
      <c r="EU288" s="3">
        <f t="shared" si="502"/>
        <v>0</v>
      </c>
      <c r="EV288" s="3">
        <f t="shared" ca="1" si="503"/>
        <v>0</v>
      </c>
      <c r="EW288" s="3">
        <f t="shared" ca="1" si="504"/>
        <v>0</v>
      </c>
      <c r="EX288" s="3">
        <f ca="1">LARGE((ES288:ET288,EV288:EW288),1)</f>
        <v>0</v>
      </c>
      <c r="EY288" s="3">
        <f ca="1">IF(O288&lt;2,0,LARGE((ES288:ET288,EV288:EW288),2))</f>
        <v>0</v>
      </c>
      <c r="EZ288" s="3">
        <f t="shared" ca="1" si="505"/>
        <v>0</v>
      </c>
      <c r="FA288" s="3">
        <f t="shared" ca="1" si="506"/>
        <v>0</v>
      </c>
      <c r="FB288" s="3">
        <f t="shared" ca="1" si="507"/>
        <v>0</v>
      </c>
      <c r="FG288" s="3">
        <f t="shared" ca="1" si="508"/>
        <v>0</v>
      </c>
      <c r="FH288" s="618"/>
      <c r="FU288" s="3" t="str">
        <f t="shared" si="463"/>
        <v>표점</v>
      </c>
      <c r="FV288" s="3" t="str">
        <f t="shared" si="464"/>
        <v>변표</v>
      </c>
      <c r="FW288" s="3">
        <f t="shared" ca="1" si="509"/>
        <v>0.33</v>
      </c>
      <c r="FX288" s="3">
        <f t="shared" ca="1" si="510"/>
        <v>0.44</v>
      </c>
      <c r="FY288" s="3">
        <f t="shared" ca="1" si="511"/>
        <v>0.22</v>
      </c>
      <c r="FZ288" s="3">
        <f t="shared" ca="1" si="512"/>
        <v>4.5</v>
      </c>
    </row>
    <row r="289" spans="1:182">
      <c r="A289" s="556">
        <v>26</v>
      </c>
      <c r="C289" s="3">
        <f t="shared" si="465"/>
        <v>274</v>
      </c>
      <c r="D289" s="3">
        <v>274</v>
      </c>
      <c r="E289" s="3" t="s">
        <v>7746</v>
      </c>
      <c r="F289" s="3">
        <v>1000</v>
      </c>
      <c r="G289" s="3">
        <f t="shared" ca="1" si="513"/>
        <v>0.3</v>
      </c>
      <c r="H289" s="3">
        <f t="shared" ca="1" si="513"/>
        <v>0.4</v>
      </c>
      <c r="I289" s="3">
        <f t="shared" ca="1" si="513"/>
        <v>0.1</v>
      </c>
      <c r="J289" s="3">
        <f t="shared" ca="1" si="513"/>
        <v>0.1</v>
      </c>
      <c r="L289" s="3">
        <f ca="1">I289</f>
        <v>0.1</v>
      </c>
      <c r="M289" s="3">
        <f ca="1">J289</f>
        <v>0.1</v>
      </c>
      <c r="N289" s="3">
        <f ca="1">IF($BB$7=1,IF(FG284&gt;FG285,1,2),2)</f>
        <v>2</v>
      </c>
      <c r="O289" s="3">
        <v>2</v>
      </c>
      <c r="P289" s="3">
        <f t="shared" ca="1" si="466"/>
        <v>0.89999999999999991</v>
      </c>
      <c r="Q289" s="3">
        <v>7</v>
      </c>
      <c r="S289" s="3">
        <f t="shared" si="467"/>
        <v>7</v>
      </c>
      <c r="W289" s="3">
        <f t="shared" si="468"/>
        <v>0</v>
      </c>
      <c r="Y289" s="3">
        <f t="shared" ca="1" si="469"/>
        <v>1.5</v>
      </c>
      <c r="Z289" s="3">
        <f t="shared" ca="1" si="470"/>
        <v>2</v>
      </c>
      <c r="AA289" s="3">
        <f t="shared" ca="1" si="471"/>
        <v>1</v>
      </c>
      <c r="AB289" s="3">
        <f t="shared" ca="1" si="472"/>
        <v>1</v>
      </c>
      <c r="AC289" s="3">
        <f t="shared" ca="1" si="473"/>
        <v>1</v>
      </c>
      <c r="AD289" s="3">
        <f t="shared" ca="1" si="474"/>
        <v>1.5</v>
      </c>
      <c r="AE289" s="3">
        <f t="shared" ca="1" si="475"/>
        <v>2</v>
      </c>
      <c r="AF289" s="3">
        <f t="shared" ca="1" si="476"/>
        <v>1</v>
      </c>
      <c r="AG289" s="3">
        <f t="shared" ca="1" si="477"/>
        <v>1</v>
      </c>
      <c r="AH289" s="3" t="str">
        <f t="shared" si="478"/>
        <v>자동</v>
      </c>
      <c r="AI289" s="3">
        <f t="shared" ca="1" si="479"/>
        <v>1</v>
      </c>
      <c r="AJ289" s="3">
        <f t="shared" ca="1" si="480"/>
        <v>1</v>
      </c>
      <c r="AL289" s="3" t="str">
        <f t="shared" si="481"/>
        <v/>
      </c>
      <c r="AN289" s="3" t="str">
        <f ca="1">IF($BA289=42,OFFSET(변환표준점수!C$119,$AP289-1,0),"")</f>
        <v/>
      </c>
      <c r="AO289" s="3" t="str">
        <f ca="1">IF($BA289=42,OFFSET(변환표준점수!D$119,$AP289-1,0),"")</f>
        <v/>
      </c>
      <c r="AP289" s="3">
        <f>IF(S289="","",MATCH(S289,변환표준점수!$B$119:$B$298,0))</f>
        <v>7</v>
      </c>
      <c r="AQ289" s="3">
        <v>1</v>
      </c>
      <c r="AR289" s="3">
        <v>1</v>
      </c>
      <c r="AS289" s="3">
        <v>4</v>
      </c>
      <c r="AT289" s="3">
        <v>4</v>
      </c>
      <c r="AV289" s="3">
        <v>4</v>
      </c>
      <c r="AW289" s="3">
        <v>4</v>
      </c>
      <c r="AX289" s="3">
        <v>3</v>
      </c>
      <c r="AY289" s="3">
        <v>3</v>
      </c>
      <c r="BA289" s="3">
        <f t="shared" si="482"/>
        <v>4</v>
      </c>
      <c r="BF289" s="3">
        <f ca="1">AF289*0.05</f>
        <v>0.05</v>
      </c>
      <c r="BG289" s="3">
        <f ca="1">AG289*0.05</f>
        <v>0.05</v>
      </c>
      <c r="BJ289" s="3">
        <f t="shared" si="483"/>
        <v>0</v>
      </c>
      <c r="BN289" s="212" t="s">
        <v>7273</v>
      </c>
      <c r="BS289" s="3">
        <f ca="1">EH289*BF289</f>
        <v>0</v>
      </c>
      <c r="BT289" s="3">
        <f ca="1">EI289*BG289</f>
        <v>0</v>
      </c>
      <c r="CH289" s="206">
        <f t="shared" ca="1" si="484"/>
        <v>899.99999999999989</v>
      </c>
      <c r="CI289" s="56">
        <v>63.5</v>
      </c>
      <c r="CJ289" s="3">
        <v>63</v>
      </c>
      <c r="CK289" s="3">
        <v>62</v>
      </c>
      <c r="CL289" s="3">
        <v>50.5</v>
      </c>
      <c r="CM289" s="3">
        <v>43</v>
      </c>
      <c r="CN289" s="3">
        <v>38.5</v>
      </c>
      <c r="CO289" s="3">
        <v>35.5</v>
      </c>
      <c r="CP289" s="3">
        <v>32.5</v>
      </c>
      <c r="CQ289" s="3">
        <v>29.5</v>
      </c>
      <c r="CR289" s="56">
        <v>0</v>
      </c>
      <c r="CS289" s="3">
        <v>0</v>
      </c>
      <c r="CT289" s="3">
        <v>0</v>
      </c>
      <c r="CU289" s="3">
        <v>0</v>
      </c>
      <c r="CV289" s="3">
        <v>-2</v>
      </c>
      <c r="CW289" s="3">
        <v>-4</v>
      </c>
      <c r="CX289" s="3">
        <v>-10</v>
      </c>
      <c r="CY289" s="3">
        <v>-20</v>
      </c>
      <c r="CZ289" s="3">
        <v>-40</v>
      </c>
      <c r="DJ289" s="3">
        <f t="shared" ca="1" si="486"/>
        <v>63.5</v>
      </c>
      <c r="DK289" s="3">
        <f t="shared" ca="1" si="487"/>
        <v>100</v>
      </c>
      <c r="DL289" s="3">
        <f t="shared" ca="1" si="488"/>
        <v>0</v>
      </c>
      <c r="DO289" s="3">
        <v>2</v>
      </c>
      <c r="DZ289" s="3">
        <v>1</v>
      </c>
      <c r="EA289" s="3">
        <f t="shared" si="489"/>
        <v>1</v>
      </c>
      <c r="EB289" s="3">
        <f t="shared" si="490"/>
        <v>2</v>
      </c>
      <c r="EC289" s="3">
        <f t="shared" si="491"/>
        <v>0</v>
      </c>
      <c r="ED289" s="3">
        <f t="shared" si="492"/>
        <v>0</v>
      </c>
      <c r="EF289" s="3">
        <f t="shared" ca="1" si="493"/>
        <v>0</v>
      </c>
      <c r="EG289" s="3">
        <f t="shared" ca="1" si="494"/>
        <v>0</v>
      </c>
      <c r="EH289" s="3">
        <f ca="1">IFERROR(IF(LEFT($BA289,1)="4",OFFSET(변환표준점수!$H$118,MATCH($S289,변환표준점수!$B$119:$B$198,0),),OFFSET(EH$3,MATCH(AS289,$ED$4:$ED$8,0),0)),0)</f>
        <v>0</v>
      </c>
      <c r="EI289" s="3">
        <f ca="1">IFERROR(IF(LEFT($BA289,1)="4",OFFSET(변환표준점수!$I$118,MATCH($S289,변환표준점수!$B$119:$B$198,0),0),OFFSET(EI$3,MATCH(AT289,$ED$4:$ED$8,0),0)),0)</f>
        <v>0</v>
      </c>
      <c r="EK289" s="3">
        <f ca="1">IFERROR(IF(LEFT($BA289,1)="4",OFFSET(변환표준점수!$J$118,MATCH($S289,변환표준점수!$B$119:$B$198,0),0),OFFSET(EJ$3,MATCH(AV289,$ED$4:$ED$8,0),0)),0)</f>
        <v>0</v>
      </c>
      <c r="EL289" s="3">
        <f ca="1">IFERROR(IF(LEFT($BA289,1)="4",OFFSET(변환표준점수!$K$118,MATCH($S289,변환표준점수!$B$119:$B$198,0),0),OFFSET(EK$3,MATCH(AW289,$ED$4:$ED$8,0),0)),0)</f>
        <v>0</v>
      </c>
      <c r="EM289" s="3" t="str">
        <f t="shared" ca="1" si="495"/>
        <v/>
      </c>
      <c r="EN289" s="3" t="str">
        <f t="shared" ca="1" si="496"/>
        <v/>
      </c>
      <c r="EO289" s="3">
        <f t="shared" ca="1" si="497"/>
        <v>0</v>
      </c>
      <c r="EQ289" s="3">
        <f t="shared" ca="1" si="498"/>
        <v>0</v>
      </c>
      <c r="ER289" s="3">
        <f t="shared" ca="1" si="499"/>
        <v>0</v>
      </c>
      <c r="ES289" s="3">
        <f t="shared" ca="1" si="500"/>
        <v>0</v>
      </c>
      <c r="ET289" s="3">
        <f t="shared" ca="1" si="501"/>
        <v>0</v>
      </c>
      <c r="EU289" s="3">
        <f t="shared" si="502"/>
        <v>0</v>
      </c>
      <c r="EV289" s="3">
        <f t="shared" ca="1" si="503"/>
        <v>0</v>
      </c>
      <c r="EW289" s="3">
        <f t="shared" ca="1" si="504"/>
        <v>0</v>
      </c>
      <c r="EX289" s="3">
        <f ca="1">LARGE((ES289:ET289,EV289:EW289),1)</f>
        <v>0</v>
      </c>
      <c r="EY289" s="3">
        <f ca="1">IF(O289&lt;2,0,LARGE((ES289:ET289,EV289:EW289),2))</f>
        <v>0</v>
      </c>
      <c r="EZ289" s="3">
        <f t="shared" ca="1" si="505"/>
        <v>0</v>
      </c>
      <c r="FA289" s="3">
        <f t="shared" ca="1" si="506"/>
        <v>0</v>
      </c>
      <c r="FB289" s="3">
        <f t="shared" ca="1" si="507"/>
        <v>0</v>
      </c>
      <c r="FG289" s="3">
        <f t="shared" ca="1" si="508"/>
        <v>0</v>
      </c>
      <c r="FH289" s="618"/>
      <c r="FU289" s="3" t="str">
        <f t="shared" si="463"/>
        <v>표점</v>
      </c>
      <c r="FV289" s="3" t="str">
        <f t="shared" si="464"/>
        <v>변표</v>
      </c>
      <c r="FW289" s="3">
        <f t="shared" ca="1" si="509"/>
        <v>0.33</v>
      </c>
      <c r="FX289" s="3">
        <f t="shared" ca="1" si="510"/>
        <v>0.44</v>
      </c>
      <c r="FY289" s="3">
        <f t="shared" ca="1" si="511"/>
        <v>0.22</v>
      </c>
      <c r="FZ289" s="3">
        <f t="shared" ca="1" si="512"/>
        <v>4.5</v>
      </c>
    </row>
    <row r="290" spans="1:182">
      <c r="A290" s="556">
        <v>26</v>
      </c>
      <c r="C290" s="3">
        <f t="shared" si="465"/>
        <v>275</v>
      </c>
      <c r="D290" s="3">
        <v>275</v>
      </c>
      <c r="E290" s="3" t="s">
        <v>7747</v>
      </c>
      <c r="F290" s="3">
        <v>1000</v>
      </c>
      <c r="G290" s="3">
        <f ca="1">IF($BB$7=1,OFFSET(G$284,$N290-1,0),(G$284+G$285)/2)</f>
        <v>0.3</v>
      </c>
      <c r="H290" s="3">
        <f ca="1">IF($BB$7=1,OFFSET(H$284,$N290-1,0),(H$284+H$285)/2)</f>
        <v>0.4</v>
      </c>
      <c r="I290" s="3">
        <f ca="1">IF($BB$7=1,OFFSET(I$284,$N290-1,0)*2,I$284+I$285)</f>
        <v>0.2</v>
      </c>
      <c r="L290" s="3">
        <f t="shared" ref="L290:L297" ca="1" si="514">I290</f>
        <v>0.2</v>
      </c>
      <c r="N290" s="3">
        <f ca="1">IF($BB$7=1,IF(FG284-EY284+EX284&gt;FG285-EY285+EX285,1,2),2)</f>
        <v>2</v>
      </c>
      <c r="O290" s="3">
        <v>1</v>
      </c>
      <c r="P290" s="3">
        <f t="shared" ca="1" si="466"/>
        <v>0.89999999999999991</v>
      </c>
      <c r="Q290" s="3">
        <v>7</v>
      </c>
      <c r="S290" s="3">
        <f t="shared" si="467"/>
        <v>7</v>
      </c>
      <c r="W290" s="3">
        <f t="shared" si="468"/>
        <v>0</v>
      </c>
      <c r="Y290" s="3">
        <f t="shared" ca="1" si="469"/>
        <v>1.5</v>
      </c>
      <c r="Z290" s="3">
        <f t="shared" ca="1" si="470"/>
        <v>2</v>
      </c>
      <c r="AA290" s="3">
        <f t="shared" ca="1" si="471"/>
        <v>2</v>
      </c>
      <c r="AB290" s="3">
        <f t="shared" ca="1" si="472"/>
        <v>2</v>
      </c>
      <c r="AC290" s="3">
        <f t="shared" ca="1" si="473"/>
        <v>2</v>
      </c>
      <c r="AD290" s="3">
        <f t="shared" ca="1" si="474"/>
        <v>1.5</v>
      </c>
      <c r="AE290" s="3">
        <f t="shared" ca="1" si="475"/>
        <v>2</v>
      </c>
      <c r="AF290" s="3">
        <f t="shared" ca="1" si="476"/>
        <v>2</v>
      </c>
      <c r="AG290" s="3" t="str">
        <f t="shared" si="477"/>
        <v>자동</v>
      </c>
      <c r="AH290" s="3" t="str">
        <f t="shared" si="478"/>
        <v>자동</v>
      </c>
      <c r="AI290" s="3">
        <f t="shared" ca="1" si="479"/>
        <v>2</v>
      </c>
      <c r="AJ290" s="3" t="str">
        <f t="shared" si="480"/>
        <v>자동</v>
      </c>
      <c r="AL290" s="3" t="str">
        <f t="shared" si="481"/>
        <v/>
      </c>
      <c r="AN290" s="3" t="str">
        <f ca="1">IF($BA290=42,OFFSET(변환표준점수!C$119,$AP290-1,0),"")</f>
        <v/>
      </c>
      <c r="AO290" s="3" t="str">
        <f ca="1">IF($BA290=42,OFFSET(변환표준점수!D$119,$AP290-1,0),"")</f>
        <v/>
      </c>
      <c r="AP290" s="3">
        <f>IF(S290="","",MATCH(S290,변환표준점수!$B$119:$B$298,0))</f>
        <v>7</v>
      </c>
      <c r="AQ290" s="3">
        <v>1</v>
      </c>
      <c r="AR290" s="3">
        <v>1</v>
      </c>
      <c r="AS290" s="3">
        <v>4</v>
      </c>
      <c r="AV290" s="3">
        <v>4</v>
      </c>
      <c r="AX290" s="3">
        <v>3</v>
      </c>
      <c r="AY290" s="3">
        <v>3</v>
      </c>
      <c r="BA290" s="3">
        <f t="shared" si="482"/>
        <v>4</v>
      </c>
      <c r="BF290" s="3">
        <f ca="1">AF290*0.05</f>
        <v>0.1</v>
      </c>
      <c r="BJ290" s="3">
        <f t="shared" si="483"/>
        <v>0</v>
      </c>
      <c r="BN290" s="212" t="s">
        <v>7273</v>
      </c>
      <c r="BS290" s="3">
        <f ca="1">EH290*BF290</f>
        <v>0</v>
      </c>
      <c r="CH290" s="206">
        <f t="shared" ca="1" si="484"/>
        <v>899.99999999999989</v>
      </c>
      <c r="CI290" s="56">
        <v>63.5</v>
      </c>
      <c r="CJ290" s="3">
        <v>63</v>
      </c>
      <c r="CK290" s="3">
        <v>62</v>
      </c>
      <c r="CL290" s="3">
        <v>50.5</v>
      </c>
      <c r="CM290" s="3">
        <v>43</v>
      </c>
      <c r="CN290" s="3">
        <v>38.5</v>
      </c>
      <c r="CO290" s="3">
        <v>35.5</v>
      </c>
      <c r="CP290" s="3">
        <v>32.5</v>
      </c>
      <c r="CQ290" s="3">
        <v>29.5</v>
      </c>
      <c r="CR290" s="56">
        <v>0</v>
      </c>
      <c r="CS290" s="3">
        <v>0</v>
      </c>
      <c r="CT290" s="3">
        <v>0</v>
      </c>
      <c r="CU290" s="3">
        <v>0</v>
      </c>
      <c r="CV290" s="3">
        <v>-1</v>
      </c>
      <c r="CW290" s="3">
        <v>-2</v>
      </c>
      <c r="CX290" s="3">
        <v>-5</v>
      </c>
      <c r="CY290" s="3">
        <v>-10</v>
      </c>
      <c r="CZ290" s="3">
        <v>-20</v>
      </c>
      <c r="DJ290" s="3">
        <f t="shared" ca="1" si="486"/>
        <v>63.5</v>
      </c>
      <c r="DK290" s="3">
        <f t="shared" ca="1" si="487"/>
        <v>100</v>
      </c>
      <c r="DL290" s="3">
        <f t="shared" ca="1" si="488"/>
        <v>0</v>
      </c>
      <c r="DO290" s="3">
        <v>1</v>
      </c>
      <c r="DZ290" s="3">
        <v>1</v>
      </c>
      <c r="EA290" s="3">
        <f t="shared" si="489"/>
        <v>1</v>
      </c>
      <c r="EB290" s="3">
        <f t="shared" si="490"/>
        <v>1</v>
      </c>
      <c r="EC290" s="3">
        <f t="shared" si="491"/>
        <v>0</v>
      </c>
      <c r="ED290" s="3">
        <f t="shared" si="492"/>
        <v>0</v>
      </c>
      <c r="EF290" s="3">
        <f t="shared" ca="1" si="493"/>
        <v>0</v>
      </c>
      <c r="EG290" s="3">
        <f t="shared" ca="1" si="494"/>
        <v>0</v>
      </c>
      <c r="EH290" s="3">
        <f ca="1">IFERROR(IF(LEFT($BA290,1)="4",OFFSET(변환표준점수!$H$118,MATCH($S290,변환표준점수!$B$119:$B$198,0),),OFFSET(EH$3,MATCH(AS290,$ED$4:$ED$8,0),0)),0)</f>
        <v>0</v>
      </c>
      <c r="EI290" s="3">
        <f ca="1">IFERROR(IF(LEFT($BA290,1)="4",OFFSET(변환표준점수!$I$118,MATCH($S290,변환표준점수!$B$119:$B$198,0),0),OFFSET(EI$3,MATCH(AT290,$ED$4:$ED$8,0),0)),0)</f>
        <v>0</v>
      </c>
      <c r="EK290" s="3">
        <f ca="1">IFERROR(IF(LEFT($BA290,1)="4",OFFSET(변환표준점수!$J$118,MATCH($S290,변환표준점수!$B$119:$B$198,0),0),OFFSET(EJ$3,MATCH(AV290,$ED$4:$ED$8,0),0)),0)</f>
        <v>0</v>
      </c>
      <c r="EL290" s="3">
        <f ca="1">IFERROR(IF(LEFT($BA290,1)="4",OFFSET(변환표준점수!$K$118,MATCH($S290,변환표준점수!$B$119:$B$198,0),0),OFFSET(EK$3,MATCH(AW290,$ED$4:$ED$8,0),0)),0)</f>
        <v>0</v>
      </c>
      <c r="EM290" s="3" t="str">
        <f t="shared" ca="1" si="495"/>
        <v/>
      </c>
      <c r="EN290" s="3" t="str">
        <f t="shared" ca="1" si="496"/>
        <v/>
      </c>
      <c r="EO290" s="3">
        <f t="shared" ca="1" si="497"/>
        <v>0</v>
      </c>
      <c r="EQ290" s="3">
        <f t="shared" ca="1" si="498"/>
        <v>0</v>
      </c>
      <c r="ER290" s="3">
        <f t="shared" ca="1" si="499"/>
        <v>0</v>
      </c>
      <c r="ES290" s="3">
        <f t="shared" ca="1" si="500"/>
        <v>0</v>
      </c>
      <c r="ET290" s="3">
        <f t="shared" si="501"/>
        <v>0</v>
      </c>
      <c r="EU290" s="3">
        <f t="shared" si="502"/>
        <v>0</v>
      </c>
      <c r="EV290" s="3">
        <f t="shared" ca="1" si="503"/>
        <v>0</v>
      </c>
      <c r="EW290" s="3">
        <f t="shared" si="504"/>
        <v>0</v>
      </c>
      <c r="EX290" s="3">
        <f ca="1">LARGE((ES290:ET290,EV290:EW290),1)</f>
        <v>0</v>
      </c>
      <c r="EY290" s="3">
        <f>IF(O290&lt;2,0,LARGE((ES290:ET290,EV290:EW290),2))</f>
        <v>0</v>
      </c>
      <c r="EZ290" s="3">
        <f t="shared" ca="1" si="505"/>
        <v>0</v>
      </c>
      <c r="FA290" s="3">
        <f t="shared" ca="1" si="506"/>
        <v>0</v>
      </c>
      <c r="FB290" s="3">
        <f t="shared" ca="1" si="507"/>
        <v>0</v>
      </c>
      <c r="FG290" s="3">
        <f t="shared" ca="1" si="508"/>
        <v>0</v>
      </c>
      <c r="FH290" s="618"/>
      <c r="FU290" s="3" t="str">
        <f t="shared" si="463"/>
        <v>표점</v>
      </c>
      <c r="FV290" s="3" t="str">
        <f t="shared" si="464"/>
        <v>변표</v>
      </c>
      <c r="FW290" s="3">
        <f t="shared" ca="1" si="509"/>
        <v>0.27</v>
      </c>
      <c r="FX290" s="3">
        <f t="shared" ca="1" si="510"/>
        <v>0.36</v>
      </c>
      <c r="FY290" s="3">
        <f t="shared" ca="1" si="511"/>
        <v>0.36</v>
      </c>
      <c r="FZ290" s="3">
        <f t="shared" ca="1" si="512"/>
        <v>5.5</v>
      </c>
    </row>
    <row r="291" spans="1:182">
      <c r="A291" s="556">
        <v>26</v>
      </c>
      <c r="C291" s="3">
        <f t="shared" si="465"/>
        <v>276</v>
      </c>
      <c r="D291" s="3">
        <v>276</v>
      </c>
      <c r="E291" s="3" t="s">
        <v>7748</v>
      </c>
      <c r="F291" s="3">
        <v>1000</v>
      </c>
      <c r="G291" s="3">
        <f t="shared" ref="G291:J292" ca="1" si="515">IF($BB$7=1,OFFSET(G$286,$N291-1,0),(G$286+G$287)/2)</f>
        <v>0.3</v>
      </c>
      <c r="H291" s="3">
        <f t="shared" ca="1" si="515"/>
        <v>0.4</v>
      </c>
      <c r="I291" s="3">
        <f t="shared" ca="1" si="515"/>
        <v>0.1</v>
      </c>
      <c r="J291" s="3">
        <f t="shared" ca="1" si="515"/>
        <v>0.1</v>
      </c>
      <c r="L291" s="3">
        <f t="shared" ca="1" si="514"/>
        <v>0.1</v>
      </c>
      <c r="M291" s="3">
        <f ca="1">J291</f>
        <v>0.1</v>
      </c>
      <c r="N291" s="3">
        <f ca="1">IF($BB$7=1,IF(FG286&gt;FG287,1,2),1)</f>
        <v>2</v>
      </c>
      <c r="O291" s="3">
        <v>2</v>
      </c>
      <c r="P291" s="3">
        <f t="shared" ca="1" si="466"/>
        <v>0.89999999999999991</v>
      </c>
      <c r="Q291" s="3">
        <v>7</v>
      </c>
      <c r="S291" s="3">
        <f t="shared" si="467"/>
        <v>7</v>
      </c>
      <c r="W291" s="3">
        <f t="shared" si="468"/>
        <v>0</v>
      </c>
      <c r="Y291" s="3">
        <f t="shared" ca="1" si="469"/>
        <v>1.5</v>
      </c>
      <c r="Z291" s="3">
        <f t="shared" ca="1" si="470"/>
        <v>2</v>
      </c>
      <c r="AA291" s="3">
        <f t="shared" ca="1" si="471"/>
        <v>1</v>
      </c>
      <c r="AB291" s="3">
        <f t="shared" ca="1" si="472"/>
        <v>1</v>
      </c>
      <c r="AC291" s="3">
        <f t="shared" ca="1" si="473"/>
        <v>1</v>
      </c>
      <c r="AD291" s="3">
        <f t="shared" ca="1" si="474"/>
        <v>1.5</v>
      </c>
      <c r="AE291" s="3">
        <f t="shared" ca="1" si="475"/>
        <v>2</v>
      </c>
      <c r="AF291" s="3">
        <f t="shared" ca="1" si="476"/>
        <v>1</v>
      </c>
      <c r="AG291" s="3">
        <f t="shared" ca="1" si="477"/>
        <v>1</v>
      </c>
      <c r="AH291" s="3" t="str">
        <f t="shared" si="478"/>
        <v>자동</v>
      </c>
      <c r="AI291" s="3">
        <f t="shared" ca="1" si="479"/>
        <v>1</v>
      </c>
      <c r="AJ291" s="3">
        <f t="shared" ca="1" si="480"/>
        <v>1</v>
      </c>
      <c r="AL291" s="3" t="str">
        <f t="shared" si="481"/>
        <v/>
      </c>
      <c r="AN291" s="3" t="str">
        <f ca="1">IF($BA291=42,OFFSET(변환표준점수!C$119,$AP291-1,0),"")</f>
        <v/>
      </c>
      <c r="AO291" s="3" t="str">
        <f ca="1">IF($BA291=42,OFFSET(변환표준점수!D$119,$AP291-1,0),"")</f>
        <v/>
      </c>
      <c r="AP291" s="3">
        <f>IF(S291="","",MATCH(S291,변환표준점수!$B$119:$B$298,0))</f>
        <v>7</v>
      </c>
      <c r="AQ291" s="3">
        <v>1</v>
      </c>
      <c r="AR291" s="3">
        <v>1</v>
      </c>
      <c r="AS291" s="3">
        <v>4</v>
      </c>
      <c r="AT291" s="3">
        <v>4</v>
      </c>
      <c r="AV291" s="3">
        <v>4</v>
      </c>
      <c r="AW291" s="3">
        <v>4</v>
      </c>
      <c r="AX291" s="3">
        <v>3</v>
      </c>
      <c r="AY291" s="3">
        <v>3</v>
      </c>
      <c r="BA291" s="3">
        <f t="shared" si="482"/>
        <v>4</v>
      </c>
      <c r="BJ291" s="3">
        <f t="shared" si="483"/>
        <v>0</v>
      </c>
      <c r="CH291" s="206">
        <f t="shared" ca="1" si="484"/>
        <v>899.99999999999989</v>
      </c>
      <c r="CI291" s="56">
        <v>63.5</v>
      </c>
      <c r="CJ291" s="3">
        <v>63</v>
      </c>
      <c r="CK291" s="3">
        <v>62</v>
      </c>
      <c r="CL291" s="3">
        <v>50.5</v>
      </c>
      <c r="CM291" s="3">
        <v>43</v>
      </c>
      <c r="CN291" s="3">
        <v>38.5</v>
      </c>
      <c r="CO291" s="3">
        <v>35.5</v>
      </c>
      <c r="CP291" s="3">
        <v>32.5</v>
      </c>
      <c r="CQ291" s="3">
        <v>29.5</v>
      </c>
      <c r="CR291" s="56">
        <v>0</v>
      </c>
      <c r="CS291" s="3">
        <v>0</v>
      </c>
      <c r="CT291" s="3">
        <v>0</v>
      </c>
      <c r="CU291" s="3">
        <v>0</v>
      </c>
      <c r="CV291" s="3">
        <v>-1</v>
      </c>
      <c r="CW291" s="3">
        <v>-2</v>
      </c>
      <c r="CX291" s="3">
        <v>-5</v>
      </c>
      <c r="CY291" s="3">
        <v>-10</v>
      </c>
      <c r="CZ291" s="3">
        <v>-20</v>
      </c>
      <c r="DJ291" s="3">
        <f t="shared" ca="1" si="486"/>
        <v>63.5</v>
      </c>
      <c r="DK291" s="3">
        <f t="shared" ca="1" si="487"/>
        <v>100</v>
      </c>
      <c r="DL291" s="3">
        <f t="shared" ca="1" si="488"/>
        <v>0</v>
      </c>
      <c r="DO291" s="3">
        <v>2</v>
      </c>
      <c r="EA291" s="3">
        <f t="shared" si="489"/>
        <v>2</v>
      </c>
      <c r="EB291" s="3">
        <f t="shared" si="490"/>
        <v>2</v>
      </c>
      <c r="EC291" s="3">
        <f t="shared" si="491"/>
        <v>0</v>
      </c>
      <c r="ED291" s="3">
        <f t="shared" si="492"/>
        <v>0</v>
      </c>
      <c r="EF291" s="3">
        <f t="shared" ca="1" si="493"/>
        <v>0</v>
      </c>
      <c r="EG291" s="3">
        <f t="shared" ca="1" si="494"/>
        <v>0</v>
      </c>
      <c r="EH291" s="3">
        <f ca="1">IFERROR(IF(LEFT($BA291,1)="4",OFFSET(변환표준점수!$H$118,MATCH($S291,변환표준점수!$B$119:$B$198,0),),OFFSET(EH$3,MATCH(AS291,$ED$4:$ED$8,0),0)),0)</f>
        <v>0</v>
      </c>
      <c r="EI291" s="3">
        <f ca="1">IFERROR(IF(LEFT($BA291,1)="4",OFFSET(변환표준점수!$I$118,MATCH($S291,변환표준점수!$B$119:$B$198,0),0),OFFSET(EI$3,MATCH(AT291,$ED$4:$ED$8,0),0)),0)</f>
        <v>0</v>
      </c>
      <c r="EK291" s="3">
        <f ca="1">IFERROR(IF(LEFT($BA291,1)="4",OFFSET(변환표준점수!$J$118,MATCH($S291,변환표준점수!$B$119:$B$198,0),0),OFFSET(EJ$3,MATCH(AV291,$ED$4:$ED$8,0),0)),0)</f>
        <v>0</v>
      </c>
      <c r="EL291" s="3">
        <f ca="1">IFERROR(IF(LEFT($BA291,1)="4",OFFSET(변환표준점수!$K$118,MATCH($S291,변환표준점수!$B$119:$B$198,0),0),OFFSET(EK$3,MATCH(AW291,$ED$4:$ED$8,0),0)),0)</f>
        <v>0</v>
      </c>
      <c r="EM291" s="3" t="str">
        <f t="shared" ca="1" si="495"/>
        <v/>
      </c>
      <c r="EN291" s="3" t="str">
        <f t="shared" ca="1" si="496"/>
        <v/>
      </c>
      <c r="EO291" s="3">
        <f t="shared" ca="1" si="497"/>
        <v>0</v>
      </c>
      <c r="EQ291" s="3">
        <f t="shared" ca="1" si="498"/>
        <v>0</v>
      </c>
      <c r="ER291" s="3">
        <f t="shared" ca="1" si="499"/>
        <v>0</v>
      </c>
      <c r="ES291" s="3">
        <f t="shared" ca="1" si="500"/>
        <v>0</v>
      </c>
      <c r="ET291" s="3">
        <f t="shared" ca="1" si="501"/>
        <v>0</v>
      </c>
      <c r="EU291" s="3">
        <f t="shared" si="502"/>
        <v>0</v>
      </c>
      <c r="EV291" s="3">
        <f t="shared" ca="1" si="503"/>
        <v>0</v>
      </c>
      <c r="EW291" s="3">
        <f t="shared" ca="1" si="504"/>
        <v>0</v>
      </c>
      <c r="EX291" s="3">
        <f ca="1">LARGE((ES291:ET291,EV291:EW291),1)</f>
        <v>0</v>
      </c>
      <c r="EY291" s="3">
        <f ca="1">IF(O291&lt;2,0,LARGE((ES291:ET291,EV291:EW291),2))</f>
        <v>0</v>
      </c>
      <c r="EZ291" s="3">
        <f t="shared" ca="1" si="505"/>
        <v>0</v>
      </c>
      <c r="FA291" s="3">
        <f t="shared" ca="1" si="506"/>
        <v>0</v>
      </c>
      <c r="FB291" s="3">
        <f t="shared" ca="1" si="507"/>
        <v>0</v>
      </c>
      <c r="FG291" s="3">
        <f t="shared" ca="1" si="508"/>
        <v>0</v>
      </c>
      <c r="FH291" s="618"/>
      <c r="FU291" s="3" t="str">
        <f t="shared" si="463"/>
        <v>표점</v>
      </c>
      <c r="FV291" s="3" t="str">
        <f t="shared" si="464"/>
        <v>변표</v>
      </c>
      <c r="FW291" s="3">
        <f t="shared" ca="1" si="509"/>
        <v>0.33</v>
      </c>
      <c r="FX291" s="3">
        <f t="shared" ca="1" si="510"/>
        <v>0.44</v>
      </c>
      <c r="FY291" s="3">
        <f t="shared" ca="1" si="511"/>
        <v>0.22</v>
      </c>
      <c r="FZ291" s="3">
        <f t="shared" ca="1" si="512"/>
        <v>4.5</v>
      </c>
    </row>
    <row r="292" spans="1:182">
      <c r="A292" s="556">
        <v>26</v>
      </c>
      <c r="C292" s="3">
        <f t="shared" si="465"/>
        <v>277</v>
      </c>
      <c r="D292" s="3">
        <v>277</v>
      </c>
      <c r="E292" s="3" t="s">
        <v>7749</v>
      </c>
      <c r="F292" s="3">
        <v>1000</v>
      </c>
      <c r="G292" s="3">
        <f t="shared" ca="1" si="515"/>
        <v>0.3</v>
      </c>
      <c r="H292" s="3">
        <f t="shared" ca="1" si="515"/>
        <v>0.4</v>
      </c>
      <c r="I292" s="3">
        <f t="shared" ca="1" si="515"/>
        <v>0.1</v>
      </c>
      <c r="J292" s="3">
        <f t="shared" ca="1" si="515"/>
        <v>0.1</v>
      </c>
      <c r="L292" s="3">
        <f t="shared" ca="1" si="514"/>
        <v>0.1</v>
      </c>
      <c r="M292" s="3">
        <f ca="1">J292</f>
        <v>0.1</v>
      </c>
      <c r="N292" s="3">
        <f ca="1">IF($BB$7=1,IF(FG286&gt;FG287,1,2),1)</f>
        <v>2</v>
      </c>
      <c r="O292" s="3">
        <v>2</v>
      </c>
      <c r="P292" s="3">
        <f t="shared" ca="1" si="466"/>
        <v>0.89999999999999991</v>
      </c>
      <c r="Q292" s="3">
        <v>7</v>
      </c>
      <c r="S292" s="3">
        <f t="shared" si="467"/>
        <v>7</v>
      </c>
      <c r="W292" s="3">
        <f t="shared" si="468"/>
        <v>0</v>
      </c>
      <c r="Y292" s="3">
        <f t="shared" ca="1" si="469"/>
        <v>1.5</v>
      </c>
      <c r="Z292" s="3">
        <f t="shared" ca="1" si="470"/>
        <v>2</v>
      </c>
      <c r="AA292" s="3">
        <f t="shared" ca="1" si="471"/>
        <v>1</v>
      </c>
      <c r="AB292" s="3">
        <f t="shared" ca="1" si="472"/>
        <v>1</v>
      </c>
      <c r="AC292" s="3">
        <f t="shared" ca="1" si="473"/>
        <v>1</v>
      </c>
      <c r="AD292" s="3">
        <f t="shared" ca="1" si="474"/>
        <v>1.5</v>
      </c>
      <c r="AE292" s="3">
        <f t="shared" ca="1" si="475"/>
        <v>2</v>
      </c>
      <c r="AF292" s="3">
        <f t="shared" ca="1" si="476"/>
        <v>1</v>
      </c>
      <c r="AG292" s="3">
        <f t="shared" ca="1" si="477"/>
        <v>1</v>
      </c>
      <c r="AH292" s="3" t="str">
        <f t="shared" si="478"/>
        <v>자동</v>
      </c>
      <c r="AI292" s="3">
        <f t="shared" ca="1" si="479"/>
        <v>1</v>
      </c>
      <c r="AJ292" s="3">
        <f t="shared" ca="1" si="480"/>
        <v>1</v>
      </c>
      <c r="AL292" s="3" t="str">
        <f t="shared" si="481"/>
        <v/>
      </c>
      <c r="AN292" s="3" t="str">
        <f ca="1">IF($BA292=42,OFFSET(변환표준점수!C$119,$AP292-1,0),"")</f>
        <v/>
      </c>
      <c r="AO292" s="3" t="str">
        <f ca="1">IF($BA292=42,OFFSET(변환표준점수!D$119,$AP292-1,0),"")</f>
        <v/>
      </c>
      <c r="AP292" s="3">
        <f>IF(S292="","",MATCH(S292,변환표준점수!$B$119:$B$298,0))</f>
        <v>7</v>
      </c>
      <c r="AQ292" s="3">
        <v>1</v>
      </c>
      <c r="AR292" s="3">
        <v>1</v>
      </c>
      <c r="AS292" s="3">
        <v>4</v>
      </c>
      <c r="AT292" s="3">
        <v>4</v>
      </c>
      <c r="AV292" s="3">
        <v>4</v>
      </c>
      <c r="AW292" s="3">
        <v>4</v>
      </c>
      <c r="AX292" s="3">
        <v>3</v>
      </c>
      <c r="AY292" s="3">
        <v>3</v>
      </c>
      <c r="BA292" s="3">
        <f t="shared" si="482"/>
        <v>4</v>
      </c>
      <c r="BJ292" s="3">
        <f t="shared" si="483"/>
        <v>0</v>
      </c>
      <c r="CH292" s="206">
        <f t="shared" ca="1" si="484"/>
        <v>899.99999999999989</v>
      </c>
      <c r="CI292" s="56">
        <v>63.5</v>
      </c>
      <c r="CJ292" s="3">
        <v>63</v>
      </c>
      <c r="CK292" s="3">
        <v>62</v>
      </c>
      <c r="CL292" s="3">
        <v>50.5</v>
      </c>
      <c r="CM292" s="3">
        <v>43</v>
      </c>
      <c r="CN292" s="3">
        <v>38.5</v>
      </c>
      <c r="CO292" s="3">
        <v>35.5</v>
      </c>
      <c r="CP292" s="3">
        <v>32.5</v>
      </c>
      <c r="CQ292" s="3">
        <v>29.5</v>
      </c>
      <c r="CR292" s="56">
        <v>0</v>
      </c>
      <c r="CS292" s="3">
        <v>0</v>
      </c>
      <c r="CT292" s="3">
        <v>0</v>
      </c>
      <c r="CU292" s="3">
        <v>0</v>
      </c>
      <c r="CV292" s="3">
        <v>-2</v>
      </c>
      <c r="CW292" s="3">
        <v>-4</v>
      </c>
      <c r="CX292" s="3">
        <v>-10</v>
      </c>
      <c r="CY292" s="3">
        <v>-20</v>
      </c>
      <c r="CZ292" s="3">
        <v>-40</v>
      </c>
      <c r="DJ292" s="3">
        <f t="shared" ca="1" si="486"/>
        <v>63.5</v>
      </c>
      <c r="DK292" s="3">
        <f t="shared" ca="1" si="487"/>
        <v>100</v>
      </c>
      <c r="DL292" s="3">
        <f t="shared" ca="1" si="488"/>
        <v>0</v>
      </c>
      <c r="DO292" s="3">
        <v>2</v>
      </c>
      <c r="EA292" s="3">
        <f t="shared" si="489"/>
        <v>2</v>
      </c>
      <c r="EB292" s="3">
        <f t="shared" si="490"/>
        <v>2</v>
      </c>
      <c r="EC292" s="3">
        <f t="shared" si="491"/>
        <v>0</v>
      </c>
      <c r="ED292" s="3">
        <f t="shared" si="492"/>
        <v>0</v>
      </c>
      <c r="EF292" s="3">
        <f t="shared" ca="1" si="493"/>
        <v>0</v>
      </c>
      <c r="EG292" s="3">
        <f t="shared" ca="1" si="494"/>
        <v>0</v>
      </c>
      <c r="EH292" s="3">
        <f ca="1">IFERROR(IF(LEFT($BA292,1)="4",OFFSET(변환표준점수!$H$118,MATCH($S292,변환표준점수!$B$119:$B$198,0),),OFFSET(EH$3,MATCH(AS292,$ED$4:$ED$8,0),0)),0)</f>
        <v>0</v>
      </c>
      <c r="EI292" s="3">
        <f ca="1">IFERROR(IF(LEFT($BA292,1)="4",OFFSET(변환표준점수!$I$118,MATCH($S292,변환표준점수!$B$119:$B$198,0),0),OFFSET(EI$3,MATCH(AT292,$ED$4:$ED$8,0),0)),0)</f>
        <v>0</v>
      </c>
      <c r="EK292" s="3">
        <f ca="1">IFERROR(IF(LEFT($BA292,1)="4",OFFSET(변환표준점수!$J$118,MATCH($S292,변환표준점수!$B$119:$B$198,0),0),OFFSET(EJ$3,MATCH(AV292,$ED$4:$ED$8,0),0)),0)</f>
        <v>0</v>
      </c>
      <c r="EL292" s="3">
        <f ca="1">IFERROR(IF(LEFT($BA292,1)="4",OFFSET(변환표준점수!$K$118,MATCH($S292,변환표준점수!$B$119:$B$198,0),0),OFFSET(EK$3,MATCH(AW292,$ED$4:$ED$8,0),0)),0)</f>
        <v>0</v>
      </c>
      <c r="EM292" s="3" t="str">
        <f t="shared" ca="1" si="495"/>
        <v/>
      </c>
      <c r="EN292" s="3" t="str">
        <f t="shared" ca="1" si="496"/>
        <v/>
      </c>
      <c r="EO292" s="3">
        <f t="shared" ca="1" si="497"/>
        <v>0</v>
      </c>
      <c r="EQ292" s="3">
        <f t="shared" ca="1" si="498"/>
        <v>0</v>
      </c>
      <c r="ER292" s="3">
        <f t="shared" ca="1" si="499"/>
        <v>0</v>
      </c>
      <c r="ES292" s="3">
        <f t="shared" ca="1" si="500"/>
        <v>0</v>
      </c>
      <c r="ET292" s="3">
        <f t="shared" ca="1" si="501"/>
        <v>0</v>
      </c>
      <c r="EU292" s="3">
        <f t="shared" si="502"/>
        <v>0</v>
      </c>
      <c r="EV292" s="3">
        <f t="shared" ca="1" si="503"/>
        <v>0</v>
      </c>
      <c r="EW292" s="3">
        <f t="shared" ca="1" si="504"/>
        <v>0</v>
      </c>
      <c r="EX292" s="3">
        <f ca="1">LARGE((ES292:ET292,EV292:EW292),1)</f>
        <v>0</v>
      </c>
      <c r="EY292" s="3">
        <f ca="1">IF(O292&lt;2,0,LARGE((ES292:ET292,EV292:EW292),2))</f>
        <v>0</v>
      </c>
      <c r="EZ292" s="3">
        <f t="shared" ca="1" si="505"/>
        <v>0</v>
      </c>
      <c r="FA292" s="3">
        <f t="shared" ca="1" si="506"/>
        <v>0</v>
      </c>
      <c r="FB292" s="3">
        <f t="shared" ca="1" si="507"/>
        <v>0</v>
      </c>
      <c r="FG292" s="3">
        <f t="shared" ca="1" si="508"/>
        <v>0</v>
      </c>
      <c r="FH292" s="618"/>
      <c r="FU292" s="3" t="str">
        <f t="shared" si="463"/>
        <v>표점</v>
      </c>
      <c r="FV292" s="3" t="str">
        <f t="shared" si="464"/>
        <v>변표</v>
      </c>
      <c r="FW292" s="3">
        <f t="shared" ca="1" si="509"/>
        <v>0.33</v>
      </c>
      <c r="FX292" s="3">
        <f t="shared" ca="1" si="510"/>
        <v>0.44</v>
      </c>
      <c r="FY292" s="3">
        <f t="shared" ca="1" si="511"/>
        <v>0.22</v>
      </c>
      <c r="FZ292" s="3">
        <f t="shared" ca="1" si="512"/>
        <v>4.5</v>
      </c>
    </row>
    <row r="293" spans="1:182">
      <c r="A293" s="556">
        <v>26</v>
      </c>
      <c r="C293" s="3">
        <f t="shared" si="465"/>
        <v>278</v>
      </c>
      <c r="D293" s="3">
        <v>278</v>
      </c>
      <c r="E293" s="3" t="s">
        <v>7750</v>
      </c>
      <c r="F293" s="3">
        <v>1000</v>
      </c>
      <c r="G293" s="3">
        <f ca="1">IF($BB$7=1,OFFSET(G$286,$N293-1,0),(G$286+G$287)/2)</f>
        <v>0.3</v>
      </c>
      <c r="H293" s="3">
        <f ca="1">IF($BB$7=1,OFFSET(H$286,$N293-1,0),(H$286+H$287)/2)</f>
        <v>0.4</v>
      </c>
      <c r="I293" s="3">
        <f ca="1">IF($BB$7=1,OFFSET(I$286,$N293-1,0)*2,I$286+I$287)</f>
        <v>0.2</v>
      </c>
      <c r="L293" s="3">
        <f t="shared" ca="1" si="514"/>
        <v>0.2</v>
      </c>
      <c r="N293" s="3">
        <f ca="1">IF($BB$7=1,IF(FG286-EY286+EX286&gt;FG287-EY287+EX287,1,2),1)</f>
        <v>2</v>
      </c>
      <c r="O293" s="3">
        <v>1</v>
      </c>
      <c r="P293" s="3">
        <f t="shared" ca="1" si="466"/>
        <v>0.89999999999999991</v>
      </c>
      <c r="Q293" s="3">
        <v>7</v>
      </c>
      <c r="S293" s="3">
        <f t="shared" si="467"/>
        <v>7</v>
      </c>
      <c r="W293" s="3">
        <f t="shared" si="468"/>
        <v>0</v>
      </c>
      <c r="Y293" s="3">
        <f t="shared" ca="1" si="469"/>
        <v>1.5</v>
      </c>
      <c r="Z293" s="3">
        <f t="shared" ca="1" si="470"/>
        <v>2</v>
      </c>
      <c r="AA293" s="3">
        <f t="shared" ca="1" si="471"/>
        <v>2</v>
      </c>
      <c r="AB293" s="3">
        <f t="shared" ca="1" si="472"/>
        <v>2</v>
      </c>
      <c r="AC293" s="3">
        <f t="shared" ca="1" si="473"/>
        <v>2</v>
      </c>
      <c r="AD293" s="3">
        <f t="shared" ca="1" si="474"/>
        <v>1.5</v>
      </c>
      <c r="AE293" s="3">
        <f t="shared" ca="1" si="475"/>
        <v>2</v>
      </c>
      <c r="AF293" s="3">
        <f t="shared" ca="1" si="476"/>
        <v>2</v>
      </c>
      <c r="AG293" s="3" t="str">
        <f t="shared" si="477"/>
        <v>자동</v>
      </c>
      <c r="AH293" s="3" t="str">
        <f t="shared" si="478"/>
        <v>자동</v>
      </c>
      <c r="AI293" s="3">
        <f t="shared" ca="1" si="479"/>
        <v>2</v>
      </c>
      <c r="AJ293" s="3" t="str">
        <f t="shared" si="480"/>
        <v>자동</v>
      </c>
      <c r="AL293" s="3" t="str">
        <f t="shared" si="481"/>
        <v/>
      </c>
      <c r="AN293" s="3" t="str">
        <f ca="1">IF($BA293=42,OFFSET(변환표준점수!C$119,$AP293-1,0),"")</f>
        <v/>
      </c>
      <c r="AO293" s="3" t="str">
        <f ca="1">IF($BA293=42,OFFSET(변환표준점수!D$119,$AP293-1,0),"")</f>
        <v/>
      </c>
      <c r="AP293" s="3">
        <f>IF(S293="","",MATCH(S293,변환표준점수!$B$119:$B$298,0))</f>
        <v>7</v>
      </c>
      <c r="AQ293" s="3">
        <v>1</v>
      </c>
      <c r="AR293" s="3">
        <v>1</v>
      </c>
      <c r="AS293" s="3">
        <v>4</v>
      </c>
      <c r="AV293" s="3">
        <v>4</v>
      </c>
      <c r="AX293" s="3">
        <v>3</v>
      </c>
      <c r="AY293" s="3">
        <v>3</v>
      </c>
      <c r="BA293" s="3">
        <f t="shared" si="482"/>
        <v>4</v>
      </c>
      <c r="BJ293" s="3">
        <f t="shared" si="483"/>
        <v>0</v>
      </c>
      <c r="CH293" s="206">
        <f t="shared" ca="1" si="484"/>
        <v>899.99999999999989</v>
      </c>
      <c r="CI293" s="56">
        <v>63.5</v>
      </c>
      <c r="CJ293" s="3">
        <v>63</v>
      </c>
      <c r="CK293" s="3">
        <v>62</v>
      </c>
      <c r="CL293" s="3">
        <v>50.5</v>
      </c>
      <c r="CM293" s="3">
        <v>43</v>
      </c>
      <c r="CN293" s="3">
        <v>38.5</v>
      </c>
      <c r="CO293" s="3">
        <v>35.5</v>
      </c>
      <c r="CP293" s="3">
        <v>32.5</v>
      </c>
      <c r="CQ293" s="3">
        <v>29.5</v>
      </c>
      <c r="CR293" s="56">
        <v>0</v>
      </c>
      <c r="CS293" s="3">
        <v>0</v>
      </c>
      <c r="CT293" s="3">
        <v>0</v>
      </c>
      <c r="CU293" s="3">
        <v>0</v>
      </c>
      <c r="CV293" s="3">
        <v>-1</v>
      </c>
      <c r="CW293" s="3">
        <v>-2</v>
      </c>
      <c r="CX293" s="3">
        <v>-5</v>
      </c>
      <c r="CY293" s="3">
        <v>-10</v>
      </c>
      <c r="CZ293" s="3">
        <v>-20</v>
      </c>
      <c r="DJ293" s="3">
        <f t="shared" ca="1" si="486"/>
        <v>63.5</v>
      </c>
      <c r="DK293" s="3">
        <f t="shared" ca="1" si="487"/>
        <v>100</v>
      </c>
      <c r="DL293" s="3">
        <f t="shared" ca="1" si="488"/>
        <v>0</v>
      </c>
      <c r="DO293" s="3">
        <v>1</v>
      </c>
      <c r="EA293" s="3">
        <f t="shared" si="489"/>
        <v>2</v>
      </c>
      <c r="EB293" s="3">
        <f t="shared" si="490"/>
        <v>1</v>
      </c>
      <c r="EC293" s="3">
        <f t="shared" si="491"/>
        <v>0</v>
      </c>
      <c r="ED293" s="3">
        <f t="shared" si="492"/>
        <v>0</v>
      </c>
      <c r="EF293" s="3">
        <f t="shared" ca="1" si="493"/>
        <v>0</v>
      </c>
      <c r="EG293" s="3">
        <f t="shared" ca="1" si="494"/>
        <v>0</v>
      </c>
      <c r="EH293" s="3">
        <f ca="1">IFERROR(IF(LEFT($BA293,1)="4",OFFSET(변환표준점수!$H$118,MATCH($S293,변환표준점수!$B$119:$B$198,0),),OFFSET(EH$3,MATCH(AS293,$ED$4:$ED$8,0),0)),0)</f>
        <v>0</v>
      </c>
      <c r="EI293" s="3">
        <f ca="1">IFERROR(IF(LEFT($BA293,1)="4",OFFSET(변환표준점수!$I$118,MATCH($S293,변환표준점수!$B$119:$B$198,0),0),OFFSET(EI$3,MATCH(AT293,$ED$4:$ED$8,0),0)),0)</f>
        <v>0</v>
      </c>
      <c r="EK293" s="3">
        <f ca="1">IFERROR(IF(LEFT($BA293,1)="4",OFFSET(변환표준점수!$J$118,MATCH($S293,변환표준점수!$B$119:$B$198,0),0),OFFSET(EJ$3,MATCH(AV293,$ED$4:$ED$8,0),0)),0)</f>
        <v>0</v>
      </c>
      <c r="EL293" s="3">
        <f ca="1">IFERROR(IF(LEFT($BA293,1)="4",OFFSET(변환표준점수!$K$118,MATCH($S293,변환표준점수!$B$119:$B$198,0),0),OFFSET(EK$3,MATCH(AW293,$ED$4:$ED$8,0),0)),0)</f>
        <v>0</v>
      </c>
      <c r="EM293" s="3" t="str">
        <f t="shared" ca="1" si="495"/>
        <v/>
      </c>
      <c r="EN293" s="3" t="str">
        <f t="shared" ca="1" si="496"/>
        <v/>
      </c>
      <c r="EO293" s="3">
        <f t="shared" ca="1" si="497"/>
        <v>0</v>
      </c>
      <c r="EQ293" s="3">
        <f t="shared" ca="1" si="498"/>
        <v>0</v>
      </c>
      <c r="ER293" s="3">
        <f t="shared" ca="1" si="499"/>
        <v>0</v>
      </c>
      <c r="ES293" s="3">
        <f t="shared" ca="1" si="500"/>
        <v>0</v>
      </c>
      <c r="ET293" s="3">
        <f t="shared" si="501"/>
        <v>0</v>
      </c>
      <c r="EU293" s="3">
        <f t="shared" si="502"/>
        <v>0</v>
      </c>
      <c r="EV293" s="3">
        <f t="shared" ca="1" si="503"/>
        <v>0</v>
      </c>
      <c r="EW293" s="3">
        <f t="shared" si="504"/>
        <v>0</v>
      </c>
      <c r="EX293" s="3">
        <f ca="1">LARGE((ES293:ET293,EV293:EW293),1)</f>
        <v>0</v>
      </c>
      <c r="EY293" s="3">
        <f>IF(O293&lt;2,0,LARGE((ES293:ET293,EV293:EW293),2))</f>
        <v>0</v>
      </c>
      <c r="EZ293" s="3">
        <f t="shared" ca="1" si="505"/>
        <v>0</v>
      </c>
      <c r="FA293" s="3">
        <f t="shared" ca="1" si="506"/>
        <v>0</v>
      </c>
      <c r="FB293" s="3">
        <f t="shared" ca="1" si="507"/>
        <v>0</v>
      </c>
      <c r="FG293" s="3">
        <f t="shared" ca="1" si="508"/>
        <v>0</v>
      </c>
      <c r="FH293" s="618"/>
      <c r="FU293" s="3" t="str">
        <f t="shared" si="463"/>
        <v>표점</v>
      </c>
      <c r="FV293" s="3" t="str">
        <f t="shared" si="464"/>
        <v>변표</v>
      </c>
      <c r="FW293" s="3">
        <f t="shared" ca="1" si="509"/>
        <v>0.27</v>
      </c>
      <c r="FX293" s="3">
        <f t="shared" ca="1" si="510"/>
        <v>0.36</v>
      </c>
      <c r="FY293" s="3">
        <f t="shared" ca="1" si="511"/>
        <v>0.36</v>
      </c>
      <c r="FZ293" s="3">
        <f t="shared" ca="1" si="512"/>
        <v>5.5</v>
      </c>
    </row>
    <row r="294" spans="1:182">
      <c r="A294" s="556">
        <v>26</v>
      </c>
      <c r="C294" s="3">
        <f t="shared" si="465"/>
        <v>279</v>
      </c>
      <c r="D294" s="3">
        <v>279</v>
      </c>
      <c r="E294" s="3" t="s">
        <v>7751</v>
      </c>
      <c r="F294" s="3">
        <v>800</v>
      </c>
      <c r="G294" s="3">
        <f ca="1">IF($BB$7=1,OFFSET(G$284,$N294-1,0),(G$284+G$285)/2)</f>
        <v>0.3</v>
      </c>
      <c r="H294" s="3">
        <f ca="1">OFFSET(H$284,$N294-1,0)</f>
        <v>0.4</v>
      </c>
      <c r="I294" s="3">
        <f ca="1">OFFSET(I$284,$N294-1,0)</f>
        <v>0.1</v>
      </c>
      <c r="J294" s="3">
        <f ca="1">OFFSET(J$284,$N294-1,0)</f>
        <v>0.1</v>
      </c>
      <c r="L294" s="3">
        <f t="shared" ca="1" si="514"/>
        <v>0.1</v>
      </c>
      <c r="M294" s="3">
        <f ca="1">J294</f>
        <v>0.1</v>
      </c>
      <c r="N294" s="3">
        <f ca="1">N289</f>
        <v>2</v>
      </c>
      <c r="O294" s="3">
        <v>2</v>
      </c>
      <c r="P294" s="3">
        <f t="shared" ca="1" si="466"/>
        <v>0.89999999999999991</v>
      </c>
      <c r="Q294" s="3">
        <v>7</v>
      </c>
      <c r="S294" s="3">
        <f t="shared" si="467"/>
        <v>7</v>
      </c>
      <c r="W294" s="3">
        <f t="shared" si="468"/>
        <v>0</v>
      </c>
      <c r="Y294" s="3">
        <f t="shared" ca="1" si="469"/>
        <v>1.2</v>
      </c>
      <c r="Z294" s="3">
        <f t="shared" ca="1" si="470"/>
        <v>1.6</v>
      </c>
      <c r="AA294" s="3">
        <f t="shared" ca="1" si="471"/>
        <v>0.8</v>
      </c>
      <c r="AB294" s="3">
        <f t="shared" ca="1" si="472"/>
        <v>0.8</v>
      </c>
      <c r="AC294" s="3">
        <f t="shared" ca="1" si="473"/>
        <v>0.8</v>
      </c>
      <c r="AD294" s="3">
        <f t="shared" ca="1" si="474"/>
        <v>1.2</v>
      </c>
      <c r="AE294" s="3">
        <f t="shared" ca="1" si="475"/>
        <v>1.6</v>
      </c>
      <c r="AF294" s="3">
        <f t="shared" ca="1" si="476"/>
        <v>0.8</v>
      </c>
      <c r="AG294" s="3">
        <f t="shared" ca="1" si="477"/>
        <v>0.8</v>
      </c>
      <c r="AH294" s="3" t="str">
        <f t="shared" si="478"/>
        <v>자동</v>
      </c>
      <c r="AI294" s="3">
        <f t="shared" ca="1" si="479"/>
        <v>0.8</v>
      </c>
      <c r="AJ294" s="3">
        <f t="shared" ca="1" si="480"/>
        <v>0.8</v>
      </c>
      <c r="AL294" s="3" t="str">
        <f t="shared" si="481"/>
        <v/>
      </c>
      <c r="AN294" s="3" t="str">
        <f ca="1">IF($BA294=42,OFFSET(변환표준점수!C$119,$AP294-1,0),"")</f>
        <v/>
      </c>
      <c r="AO294" s="3" t="str">
        <f ca="1">IF($BA294=42,OFFSET(변환표준점수!D$119,$AP294-1,0),"")</f>
        <v/>
      </c>
      <c r="AP294" s="3">
        <f>IF(S294="","",MATCH(S294,변환표준점수!$B$119:$B$298,0))</f>
        <v>7</v>
      </c>
      <c r="AQ294" s="3">
        <v>1</v>
      </c>
      <c r="AR294" s="3">
        <v>1</v>
      </c>
      <c r="AS294" s="3">
        <v>4</v>
      </c>
      <c r="AT294" s="3">
        <v>4</v>
      </c>
      <c r="AV294" s="3">
        <v>4</v>
      </c>
      <c r="AW294" s="3">
        <v>4</v>
      </c>
      <c r="AX294" s="3">
        <v>3</v>
      </c>
      <c r="AY294" s="3">
        <v>3</v>
      </c>
      <c r="BA294" s="3">
        <f t="shared" si="482"/>
        <v>4</v>
      </c>
      <c r="BF294" s="3">
        <f ca="1">AF294*0.05</f>
        <v>4.0000000000000008E-2</v>
      </c>
      <c r="BG294" s="3">
        <f ca="1">AG294*0.05</f>
        <v>4.0000000000000008E-2</v>
      </c>
      <c r="BJ294" s="3">
        <f t="shared" si="483"/>
        <v>0</v>
      </c>
      <c r="BN294" s="212" t="s">
        <v>7273</v>
      </c>
      <c r="BS294" s="3">
        <f ca="1">EH294*BF294</f>
        <v>0</v>
      </c>
      <c r="BT294" s="3">
        <f ca="1">EI294*BG294</f>
        <v>0</v>
      </c>
      <c r="CH294" s="206">
        <f t="shared" ca="1" si="484"/>
        <v>719.99999999999989</v>
      </c>
      <c r="CI294" s="56">
        <v>63.5</v>
      </c>
      <c r="CJ294" s="3">
        <v>63</v>
      </c>
      <c r="CK294" s="3">
        <v>62</v>
      </c>
      <c r="CL294" s="3">
        <v>50.5</v>
      </c>
      <c r="CM294" s="3">
        <v>43</v>
      </c>
      <c r="CN294" s="3">
        <v>38.5</v>
      </c>
      <c r="CO294" s="3">
        <v>35.5</v>
      </c>
      <c r="CP294" s="3">
        <v>32.5</v>
      </c>
      <c r="CQ294" s="3">
        <v>29.5</v>
      </c>
      <c r="CR294" s="56">
        <v>0</v>
      </c>
      <c r="CS294" s="3">
        <v>0</v>
      </c>
      <c r="CT294" s="3">
        <v>0</v>
      </c>
      <c r="CU294" s="3">
        <v>0</v>
      </c>
      <c r="CV294" s="3">
        <v>-2</v>
      </c>
      <c r="CW294" s="3">
        <v>-4</v>
      </c>
      <c r="CX294" s="3">
        <v>-10</v>
      </c>
      <c r="CY294" s="3">
        <v>-20</v>
      </c>
      <c r="CZ294" s="3">
        <v>-40</v>
      </c>
      <c r="DJ294" s="3">
        <f t="shared" ca="1" si="486"/>
        <v>63.5</v>
      </c>
      <c r="DK294" s="3">
        <f t="shared" ca="1" si="487"/>
        <v>100</v>
      </c>
      <c r="DL294" s="3">
        <f t="shared" ca="1" si="488"/>
        <v>0</v>
      </c>
      <c r="DO294" s="3">
        <v>2</v>
      </c>
      <c r="DZ294" s="3">
        <v>1</v>
      </c>
      <c r="EA294" s="3">
        <f t="shared" si="489"/>
        <v>1</v>
      </c>
      <c r="EB294" s="3">
        <f t="shared" si="490"/>
        <v>2</v>
      </c>
      <c r="EC294" s="3">
        <f t="shared" si="491"/>
        <v>0</v>
      </c>
      <c r="ED294" s="3">
        <f t="shared" si="492"/>
        <v>0</v>
      </c>
      <c r="EF294" s="3">
        <f t="shared" ca="1" si="493"/>
        <v>0</v>
      </c>
      <c r="EG294" s="3">
        <f t="shared" ca="1" si="494"/>
        <v>0</v>
      </c>
      <c r="EH294" s="3">
        <f ca="1">IFERROR(IF(LEFT($BA294,1)="4",OFFSET(변환표준점수!$H$118,MATCH($S294,변환표준점수!$B$119:$B$198,0),),OFFSET(EH$3,MATCH(AS294,$ED$4:$ED$8,0),0)),0)</f>
        <v>0</v>
      </c>
      <c r="EI294" s="3">
        <f ca="1">IFERROR(IF(LEFT($BA294,1)="4",OFFSET(변환표준점수!$I$118,MATCH($S294,변환표준점수!$B$119:$B$198,0),0),OFFSET(EI$3,MATCH(AT294,$ED$4:$ED$8,0),0)),0)</f>
        <v>0</v>
      </c>
      <c r="EK294" s="3">
        <f ca="1">IFERROR(IF(LEFT($BA294,1)="4",OFFSET(변환표준점수!$J$118,MATCH($S294,변환표준점수!$B$119:$B$198,0),0),OFFSET(EJ$3,MATCH(AV294,$ED$4:$ED$8,0),0)),0)</f>
        <v>0</v>
      </c>
      <c r="EL294" s="3">
        <f ca="1">IFERROR(IF(LEFT($BA294,1)="4",OFFSET(변환표준점수!$K$118,MATCH($S294,변환표준점수!$B$119:$B$198,0),0),OFFSET(EK$3,MATCH(AW294,$ED$4:$ED$8,0),0)),0)</f>
        <v>0</v>
      </c>
      <c r="EM294" s="3" t="str">
        <f t="shared" ca="1" si="495"/>
        <v/>
      </c>
      <c r="EN294" s="3" t="str">
        <f t="shared" ca="1" si="496"/>
        <v/>
      </c>
      <c r="EO294" s="3">
        <f t="shared" ca="1" si="497"/>
        <v>0</v>
      </c>
      <c r="EQ294" s="3">
        <f t="shared" ca="1" si="498"/>
        <v>0</v>
      </c>
      <c r="ER294" s="3">
        <f t="shared" ca="1" si="499"/>
        <v>0</v>
      </c>
      <c r="ES294" s="3">
        <f t="shared" ca="1" si="500"/>
        <v>0</v>
      </c>
      <c r="ET294" s="3">
        <f t="shared" ca="1" si="501"/>
        <v>0</v>
      </c>
      <c r="EU294" s="3">
        <f t="shared" si="502"/>
        <v>0</v>
      </c>
      <c r="EV294" s="3">
        <f t="shared" ca="1" si="503"/>
        <v>0</v>
      </c>
      <c r="EW294" s="3">
        <f t="shared" ca="1" si="504"/>
        <v>0</v>
      </c>
      <c r="EX294" s="3">
        <f ca="1">LARGE((ES294:ET294,EV294:EW294),1)</f>
        <v>0</v>
      </c>
      <c r="EY294" s="3">
        <f ca="1">IF(O294&lt;2,0,LARGE((ES294:ET294,EV294:EW294),2))</f>
        <v>0</v>
      </c>
      <c r="EZ294" s="3">
        <f t="shared" ca="1" si="505"/>
        <v>0</v>
      </c>
      <c r="FA294" s="3">
        <f t="shared" ca="1" si="506"/>
        <v>0</v>
      </c>
      <c r="FB294" s="3">
        <f t="shared" ca="1" si="507"/>
        <v>0</v>
      </c>
      <c r="FG294" s="3">
        <f t="shared" ca="1" si="508"/>
        <v>0</v>
      </c>
      <c r="FH294" s="618"/>
      <c r="FU294" s="3" t="str">
        <f t="shared" si="463"/>
        <v>표점</v>
      </c>
      <c r="FV294" s="3" t="str">
        <f t="shared" si="464"/>
        <v>변표</v>
      </c>
      <c r="FW294" s="3">
        <f t="shared" ca="1" si="509"/>
        <v>0.33</v>
      </c>
      <c r="FX294" s="3">
        <f t="shared" ca="1" si="510"/>
        <v>0.44</v>
      </c>
      <c r="FY294" s="3">
        <f t="shared" ca="1" si="511"/>
        <v>0.22</v>
      </c>
      <c r="FZ294" s="3">
        <f t="shared" ca="1" si="512"/>
        <v>3.5999999999999996</v>
      </c>
    </row>
    <row r="295" spans="1:182">
      <c r="A295" s="556">
        <v>26</v>
      </c>
      <c r="C295" s="3">
        <f t="shared" si="465"/>
        <v>280</v>
      </c>
      <c r="D295" s="3">
        <v>280</v>
      </c>
      <c r="E295" s="3" t="s">
        <v>7752</v>
      </c>
      <c r="F295" s="3">
        <v>800</v>
      </c>
      <c r="G295" s="3">
        <f ca="1">IF($BB$7=1,OFFSET(G$286,$N295-1,0),(G$286+G$287)/2)</f>
        <v>0.3</v>
      </c>
      <c r="H295" s="3">
        <f ca="1">IF($BB$7=1,OFFSET(H$286,$N295-1,0),(H$286+H$287)/2)</f>
        <v>0.4</v>
      </c>
      <c r="I295" s="3">
        <f ca="1">IF($BB$7=1,OFFSET(I$286,$N295-1,0),(I$286+I$287)/2)</f>
        <v>0.1</v>
      </c>
      <c r="J295" s="3">
        <f ca="1">IF($BB$7=1,OFFSET(J$286,$N295-1,0),(J$286+J$287)/2)</f>
        <v>0.1</v>
      </c>
      <c r="L295" s="3">
        <f t="shared" ca="1" si="514"/>
        <v>0.1</v>
      </c>
      <c r="M295" s="3">
        <f ca="1">J295</f>
        <v>0.1</v>
      </c>
      <c r="N295" s="3">
        <f ca="1">N292</f>
        <v>2</v>
      </c>
      <c r="O295" s="3">
        <v>2</v>
      </c>
      <c r="P295" s="3">
        <f t="shared" ca="1" si="466"/>
        <v>0.89999999999999991</v>
      </c>
      <c r="Q295" s="3">
        <v>7</v>
      </c>
      <c r="S295" s="3">
        <f t="shared" si="467"/>
        <v>7</v>
      </c>
      <c r="W295" s="3">
        <f t="shared" si="468"/>
        <v>0</v>
      </c>
      <c r="Y295" s="3">
        <f t="shared" ca="1" si="469"/>
        <v>1.2</v>
      </c>
      <c r="Z295" s="3">
        <f t="shared" ca="1" si="470"/>
        <v>1.6</v>
      </c>
      <c r="AA295" s="3">
        <f t="shared" ca="1" si="471"/>
        <v>0.8</v>
      </c>
      <c r="AB295" s="3">
        <f t="shared" ca="1" si="472"/>
        <v>0.8</v>
      </c>
      <c r="AC295" s="3">
        <f t="shared" ca="1" si="473"/>
        <v>0.8</v>
      </c>
      <c r="AD295" s="3">
        <f t="shared" ca="1" si="474"/>
        <v>1.2</v>
      </c>
      <c r="AE295" s="3">
        <f t="shared" ca="1" si="475"/>
        <v>1.6</v>
      </c>
      <c r="AF295" s="3">
        <f t="shared" ca="1" si="476"/>
        <v>0.8</v>
      </c>
      <c r="AG295" s="3">
        <f t="shared" ca="1" si="477"/>
        <v>0.8</v>
      </c>
      <c r="AH295" s="3" t="str">
        <f t="shared" si="478"/>
        <v>자동</v>
      </c>
      <c r="AI295" s="3">
        <f t="shared" ca="1" si="479"/>
        <v>0.8</v>
      </c>
      <c r="AJ295" s="3">
        <f t="shared" ca="1" si="480"/>
        <v>0.8</v>
      </c>
      <c r="AL295" s="3" t="str">
        <f t="shared" si="481"/>
        <v/>
      </c>
      <c r="AN295" s="3" t="str">
        <f ca="1">IF($BA295=42,OFFSET(변환표준점수!C$119,$AP295-1,0),"")</f>
        <v/>
      </c>
      <c r="AO295" s="3" t="str">
        <f ca="1">IF($BA295=42,OFFSET(변환표준점수!D$119,$AP295-1,0),"")</f>
        <v/>
      </c>
      <c r="AP295" s="3">
        <f>IF(S295="","",MATCH(S295,변환표준점수!$B$119:$B$298,0))</f>
        <v>7</v>
      </c>
      <c r="AQ295" s="3">
        <v>1</v>
      </c>
      <c r="AR295" s="3">
        <v>1</v>
      </c>
      <c r="AS295" s="3">
        <v>4</v>
      </c>
      <c r="AT295" s="3">
        <v>4</v>
      </c>
      <c r="AV295" s="3">
        <v>4</v>
      </c>
      <c r="AW295" s="3">
        <v>4</v>
      </c>
      <c r="AX295" s="3">
        <v>3</v>
      </c>
      <c r="AY295" s="3">
        <v>3</v>
      </c>
      <c r="BA295" s="3">
        <f t="shared" si="482"/>
        <v>4</v>
      </c>
      <c r="BJ295" s="3">
        <f t="shared" si="483"/>
        <v>0</v>
      </c>
      <c r="CH295" s="206">
        <f t="shared" ca="1" si="484"/>
        <v>719.99999999999989</v>
      </c>
      <c r="CI295" s="56">
        <v>63.5</v>
      </c>
      <c r="CJ295" s="3">
        <v>63</v>
      </c>
      <c r="CK295" s="3">
        <v>62</v>
      </c>
      <c r="CL295" s="3">
        <v>50.5</v>
      </c>
      <c r="CM295" s="3">
        <v>43</v>
      </c>
      <c r="CN295" s="3">
        <v>38.5</v>
      </c>
      <c r="CO295" s="3">
        <v>35.5</v>
      </c>
      <c r="CP295" s="3">
        <v>32.5</v>
      </c>
      <c r="CQ295" s="3">
        <v>29.5</v>
      </c>
      <c r="CR295" s="56">
        <v>0</v>
      </c>
      <c r="CS295" s="3">
        <v>0</v>
      </c>
      <c r="CT295" s="3">
        <v>0</v>
      </c>
      <c r="CU295" s="3">
        <v>0</v>
      </c>
      <c r="CV295" s="3">
        <v>-2</v>
      </c>
      <c r="CW295" s="3">
        <v>-4</v>
      </c>
      <c r="CX295" s="3">
        <v>-10</v>
      </c>
      <c r="CY295" s="3">
        <v>-20</v>
      </c>
      <c r="CZ295" s="3">
        <v>-40</v>
      </c>
      <c r="DJ295" s="3">
        <f t="shared" ca="1" si="486"/>
        <v>63.5</v>
      </c>
      <c r="DK295" s="3">
        <f t="shared" ca="1" si="487"/>
        <v>100</v>
      </c>
      <c r="DL295" s="3">
        <f t="shared" ca="1" si="488"/>
        <v>0</v>
      </c>
      <c r="DO295" s="3">
        <v>2</v>
      </c>
      <c r="EA295" s="3">
        <f t="shared" si="489"/>
        <v>2</v>
      </c>
      <c r="EB295" s="3">
        <f t="shared" si="490"/>
        <v>2</v>
      </c>
      <c r="EC295" s="3">
        <f t="shared" si="491"/>
        <v>0</v>
      </c>
      <c r="ED295" s="3">
        <f t="shared" si="492"/>
        <v>0</v>
      </c>
      <c r="EF295" s="3">
        <f t="shared" ca="1" si="493"/>
        <v>0</v>
      </c>
      <c r="EG295" s="3">
        <f t="shared" ca="1" si="494"/>
        <v>0</v>
      </c>
      <c r="EH295" s="3">
        <f ca="1">IFERROR(IF(LEFT($BA295,1)="4",OFFSET(변환표준점수!$H$118,MATCH($S295,변환표준점수!$B$119:$B$198,0),),OFFSET(EH$3,MATCH(AS295,$ED$4:$ED$8,0),0)),0)</f>
        <v>0</v>
      </c>
      <c r="EI295" s="3">
        <f ca="1">IFERROR(IF(LEFT($BA295,1)="4",OFFSET(변환표준점수!$I$118,MATCH($S295,변환표준점수!$B$119:$B$198,0),0),OFFSET(EI$3,MATCH(AT295,$ED$4:$ED$8,0),0)),0)</f>
        <v>0</v>
      </c>
      <c r="EK295" s="3">
        <f ca="1">IFERROR(IF(LEFT($BA295,1)="4",OFFSET(변환표준점수!$J$118,MATCH($S295,변환표준점수!$B$119:$B$198,0),0),OFFSET(EJ$3,MATCH(AV295,$ED$4:$ED$8,0),0)),0)</f>
        <v>0</v>
      </c>
      <c r="EL295" s="3">
        <f ca="1">IFERROR(IF(LEFT($BA295,1)="4",OFFSET(변환표준점수!$K$118,MATCH($S295,변환표준점수!$B$119:$B$198,0),0),OFFSET(EK$3,MATCH(AW295,$ED$4:$ED$8,0),0)),0)</f>
        <v>0</v>
      </c>
      <c r="EM295" s="3" t="str">
        <f t="shared" ca="1" si="495"/>
        <v/>
      </c>
      <c r="EN295" s="3" t="str">
        <f t="shared" ca="1" si="496"/>
        <v/>
      </c>
      <c r="EO295" s="3">
        <f t="shared" ca="1" si="497"/>
        <v>0</v>
      </c>
      <c r="EQ295" s="3">
        <f t="shared" ca="1" si="498"/>
        <v>0</v>
      </c>
      <c r="ER295" s="3">
        <f t="shared" ca="1" si="499"/>
        <v>0</v>
      </c>
      <c r="ES295" s="3">
        <f t="shared" ca="1" si="500"/>
        <v>0</v>
      </c>
      <c r="ET295" s="3">
        <f t="shared" ca="1" si="501"/>
        <v>0</v>
      </c>
      <c r="EU295" s="3">
        <f t="shared" si="502"/>
        <v>0</v>
      </c>
      <c r="EV295" s="3">
        <f t="shared" ca="1" si="503"/>
        <v>0</v>
      </c>
      <c r="EW295" s="3">
        <f t="shared" ca="1" si="504"/>
        <v>0</v>
      </c>
      <c r="EX295" s="3">
        <f ca="1">LARGE((ES295:ET295,EV295:EW295),1)</f>
        <v>0</v>
      </c>
      <c r="EY295" s="3">
        <f ca="1">IF(O295&lt;2,0,LARGE((ES295:ET295,EV295:EW295),2))</f>
        <v>0</v>
      </c>
      <c r="EZ295" s="3">
        <f t="shared" ca="1" si="505"/>
        <v>0</v>
      </c>
      <c r="FA295" s="3">
        <f t="shared" ca="1" si="506"/>
        <v>0</v>
      </c>
      <c r="FB295" s="3">
        <f t="shared" ca="1" si="507"/>
        <v>0</v>
      </c>
      <c r="FG295" s="3">
        <f t="shared" ca="1" si="508"/>
        <v>0</v>
      </c>
      <c r="FH295" s="618"/>
      <c r="FU295" s="3" t="str">
        <f t="shared" si="463"/>
        <v>표점</v>
      </c>
      <c r="FV295" s="3" t="str">
        <f t="shared" si="464"/>
        <v>변표</v>
      </c>
      <c r="FW295" s="3">
        <f t="shared" ca="1" si="509"/>
        <v>0.33</v>
      </c>
      <c r="FX295" s="3">
        <f t="shared" ca="1" si="510"/>
        <v>0.44</v>
      </c>
      <c r="FY295" s="3">
        <f t="shared" ca="1" si="511"/>
        <v>0.22</v>
      </c>
      <c r="FZ295" s="3">
        <f t="shared" ca="1" si="512"/>
        <v>3.5999999999999996</v>
      </c>
    </row>
    <row r="296" spans="1:182">
      <c r="A296" s="556">
        <v>26</v>
      </c>
      <c r="C296" s="3">
        <f t="shared" si="465"/>
        <v>281</v>
      </c>
      <c r="D296" s="3">
        <v>281</v>
      </c>
      <c r="E296" s="3" t="s">
        <v>7753</v>
      </c>
      <c r="F296" s="3">
        <v>1000</v>
      </c>
      <c r="G296" s="3">
        <f ca="1">IF($BB$7=1,OFFSET(G$284,$N296-1,0),(G$284+G$285)/2)</f>
        <v>0.3</v>
      </c>
      <c r="H296" s="3">
        <f ca="1">IF($BB$7=1,OFFSET(H$284,$N296-1,0),(H$284+H$285)/2)</f>
        <v>0.4</v>
      </c>
      <c r="I296" s="3">
        <f ca="1">IF($BB$7=1,OFFSET(I$284,$N296-1,0),(I$284+I$285)/2)</f>
        <v>0.1</v>
      </c>
      <c r="J296" s="3">
        <f ca="1">IF($BB$7=1,OFFSET(J$284,$N296-1,0),(J$284+J$285)/2)</f>
        <v>0.1</v>
      </c>
      <c r="L296" s="3">
        <f t="shared" ca="1" si="514"/>
        <v>0.1</v>
      </c>
      <c r="M296" s="3">
        <f ca="1">J296</f>
        <v>0.1</v>
      </c>
      <c r="N296" s="3">
        <f ca="1">N290</f>
        <v>2</v>
      </c>
      <c r="O296" s="3">
        <v>1</v>
      </c>
      <c r="P296" s="3">
        <f t="shared" ca="1" si="466"/>
        <v>0.79999999999999993</v>
      </c>
      <c r="Q296" s="3">
        <v>7</v>
      </c>
      <c r="S296" s="3">
        <f t="shared" si="467"/>
        <v>7</v>
      </c>
      <c r="W296" s="3">
        <f t="shared" si="468"/>
        <v>0</v>
      </c>
      <c r="Y296" s="3">
        <f t="shared" ca="1" si="469"/>
        <v>1.5</v>
      </c>
      <c r="Z296" s="3">
        <f t="shared" ca="1" si="470"/>
        <v>2</v>
      </c>
      <c r="AA296" s="3">
        <f t="shared" ca="1" si="471"/>
        <v>1</v>
      </c>
      <c r="AB296" s="3">
        <f t="shared" ca="1" si="472"/>
        <v>1</v>
      </c>
      <c r="AC296" s="3">
        <f t="shared" ca="1" si="473"/>
        <v>1</v>
      </c>
      <c r="AD296" s="3">
        <f t="shared" ca="1" si="474"/>
        <v>1.5</v>
      </c>
      <c r="AE296" s="3">
        <f t="shared" ca="1" si="475"/>
        <v>2</v>
      </c>
      <c r="AF296" s="3">
        <f t="shared" ca="1" si="476"/>
        <v>1</v>
      </c>
      <c r="AG296" s="3">
        <f t="shared" ca="1" si="477"/>
        <v>1</v>
      </c>
      <c r="AH296" s="3" t="str">
        <f t="shared" si="478"/>
        <v>자동</v>
      </c>
      <c r="AI296" s="3">
        <f t="shared" ca="1" si="479"/>
        <v>1</v>
      </c>
      <c r="AJ296" s="3">
        <f t="shared" ca="1" si="480"/>
        <v>1</v>
      </c>
      <c r="AL296" s="3" t="str">
        <f t="shared" si="481"/>
        <v/>
      </c>
      <c r="AN296" s="3" t="str">
        <f ca="1">IF($BA296=42,OFFSET(변환표준점수!C$119,$AP296-1,0),"")</f>
        <v/>
      </c>
      <c r="AO296" s="3" t="str">
        <f ca="1">IF($BA296=42,OFFSET(변환표준점수!D$119,$AP296-1,0),"")</f>
        <v/>
      </c>
      <c r="AP296" s="3">
        <f>IF(S296="","",MATCH(S296,변환표준점수!$B$119:$B$298,0))</f>
        <v>7</v>
      </c>
      <c r="AQ296" s="3">
        <v>1</v>
      </c>
      <c r="AR296" s="3">
        <v>1</v>
      </c>
      <c r="AS296" s="3">
        <v>4</v>
      </c>
      <c r="AT296" s="3">
        <v>4</v>
      </c>
      <c r="AV296" s="3">
        <v>4</v>
      </c>
      <c r="AW296" s="3">
        <v>4</v>
      </c>
      <c r="AX296" s="3">
        <v>3</v>
      </c>
      <c r="AY296" s="3">
        <v>3</v>
      </c>
      <c r="BA296" s="3">
        <f t="shared" si="482"/>
        <v>4</v>
      </c>
      <c r="BF296" s="3">
        <f ca="1">AF296*0.05</f>
        <v>0.05</v>
      </c>
      <c r="BG296" s="3">
        <f ca="1">AG296*0.05</f>
        <v>0.05</v>
      </c>
      <c r="BJ296" s="3">
        <f t="shared" si="483"/>
        <v>0</v>
      </c>
      <c r="BN296" s="212" t="s">
        <v>7273</v>
      </c>
      <c r="BS296" s="3">
        <f ca="1">EH296*BF296</f>
        <v>0</v>
      </c>
      <c r="BT296" s="3">
        <f ca="1">EI296*BG296</f>
        <v>0</v>
      </c>
      <c r="CH296" s="206">
        <f t="shared" ca="1" si="484"/>
        <v>799.99999999999989</v>
      </c>
      <c r="CI296" s="56">
        <v>63.5</v>
      </c>
      <c r="CJ296" s="3">
        <v>63</v>
      </c>
      <c r="CK296" s="3">
        <v>62</v>
      </c>
      <c r="CL296" s="3">
        <v>50.5</v>
      </c>
      <c r="CM296" s="3">
        <v>43</v>
      </c>
      <c r="CN296" s="3">
        <v>38.5</v>
      </c>
      <c r="CO296" s="3">
        <v>35.5</v>
      </c>
      <c r="CP296" s="3">
        <v>32.5</v>
      </c>
      <c r="CQ296" s="3">
        <v>29.5</v>
      </c>
      <c r="CR296" s="56">
        <v>0</v>
      </c>
      <c r="CS296" s="3">
        <v>0</v>
      </c>
      <c r="CT296" s="3">
        <v>0</v>
      </c>
      <c r="CU296" s="3">
        <v>0</v>
      </c>
      <c r="CV296" s="3">
        <v>-2</v>
      </c>
      <c r="CW296" s="3">
        <v>-4</v>
      </c>
      <c r="CX296" s="3">
        <v>-10</v>
      </c>
      <c r="CY296" s="3">
        <v>-20</v>
      </c>
      <c r="CZ296" s="3">
        <v>-40</v>
      </c>
      <c r="DJ296" s="3">
        <f t="shared" ca="1" si="486"/>
        <v>63.5</v>
      </c>
      <c r="DK296" s="3">
        <f t="shared" ca="1" si="487"/>
        <v>100</v>
      </c>
      <c r="DL296" s="3">
        <f t="shared" ca="1" si="488"/>
        <v>0</v>
      </c>
      <c r="DO296" s="3">
        <v>1</v>
      </c>
      <c r="DZ296" s="3">
        <v>1</v>
      </c>
      <c r="EA296" s="3">
        <f t="shared" si="489"/>
        <v>1</v>
      </c>
      <c r="EB296" s="3">
        <f t="shared" si="490"/>
        <v>1</v>
      </c>
      <c r="EC296" s="3">
        <f t="shared" si="491"/>
        <v>0</v>
      </c>
      <c r="ED296" s="3">
        <f t="shared" si="492"/>
        <v>0</v>
      </c>
      <c r="EF296" s="3">
        <f t="shared" ca="1" si="493"/>
        <v>0</v>
      </c>
      <c r="EG296" s="3">
        <f t="shared" ca="1" si="494"/>
        <v>0</v>
      </c>
      <c r="EH296" s="3">
        <f ca="1">IFERROR(IF(LEFT($BA296,1)="4",OFFSET(변환표준점수!$H$118,MATCH($S296,변환표준점수!$B$119:$B$198,0),),OFFSET(EH$3,MATCH(AS296,$ED$4:$ED$8,0),0)),0)</f>
        <v>0</v>
      </c>
      <c r="EI296" s="3">
        <f ca="1">IFERROR(IF(LEFT($BA296,1)="4",OFFSET(변환표준점수!$I$118,MATCH($S296,변환표준점수!$B$119:$B$198,0),0),OFFSET(EI$3,MATCH(AT296,$ED$4:$ED$8,0),0)),0)</f>
        <v>0</v>
      </c>
      <c r="EK296" s="3">
        <f ca="1">IFERROR(IF(LEFT($BA296,1)="4",OFFSET(변환표준점수!$J$118,MATCH($S296,변환표준점수!$B$119:$B$198,0),0),OFFSET(EJ$3,MATCH(AV296,$ED$4:$ED$8,0),0)),0)</f>
        <v>0</v>
      </c>
      <c r="EL296" s="3">
        <f ca="1">IFERROR(IF(LEFT($BA296,1)="4",OFFSET(변환표준점수!$K$118,MATCH($S296,변환표준점수!$B$119:$B$198,0),0),OFFSET(EK$3,MATCH(AW296,$ED$4:$ED$8,0),0)),0)</f>
        <v>0</v>
      </c>
      <c r="EM296" s="3" t="str">
        <f t="shared" ca="1" si="495"/>
        <v/>
      </c>
      <c r="EN296" s="3" t="str">
        <f t="shared" ca="1" si="496"/>
        <v/>
      </c>
      <c r="EO296" s="3">
        <f t="shared" ca="1" si="497"/>
        <v>0</v>
      </c>
      <c r="EQ296" s="3">
        <f t="shared" ca="1" si="498"/>
        <v>0</v>
      </c>
      <c r="ER296" s="3">
        <f t="shared" ca="1" si="499"/>
        <v>0</v>
      </c>
      <c r="ES296" s="3">
        <f t="shared" ca="1" si="500"/>
        <v>0</v>
      </c>
      <c r="ET296" s="3">
        <f t="shared" si="501"/>
        <v>0</v>
      </c>
      <c r="EU296" s="3">
        <f t="shared" si="502"/>
        <v>0</v>
      </c>
      <c r="EV296" s="3">
        <f t="shared" ca="1" si="503"/>
        <v>0</v>
      </c>
      <c r="EW296" s="3">
        <f t="shared" si="504"/>
        <v>0</v>
      </c>
      <c r="EX296" s="3">
        <f ca="1">LARGE((ES296:ET296,EV296:EW296),1)</f>
        <v>0</v>
      </c>
      <c r="EY296" s="3">
        <f>IF(O296&lt;2,0,LARGE((ES296:ET296,EV296:EW296),2))</f>
        <v>0</v>
      </c>
      <c r="EZ296" s="3">
        <f t="shared" ca="1" si="505"/>
        <v>0</v>
      </c>
      <c r="FA296" s="3">
        <f t="shared" ca="1" si="506"/>
        <v>0</v>
      </c>
      <c r="FB296" s="3">
        <f t="shared" ca="1" si="507"/>
        <v>0</v>
      </c>
      <c r="FG296" s="3">
        <f t="shared" ca="1" si="508"/>
        <v>0</v>
      </c>
      <c r="FH296" s="618"/>
      <c r="FU296" s="3" t="str">
        <f t="shared" si="463"/>
        <v>표점</v>
      </c>
      <c r="FV296" s="3" t="str">
        <f t="shared" si="464"/>
        <v>변표</v>
      </c>
      <c r="FW296" s="3">
        <f t="shared" ca="1" si="509"/>
        <v>0.33</v>
      </c>
      <c r="FX296" s="3">
        <f t="shared" ca="1" si="510"/>
        <v>0.44</v>
      </c>
      <c r="FY296" s="3">
        <f t="shared" ca="1" si="511"/>
        <v>0.22</v>
      </c>
      <c r="FZ296" s="3">
        <f t="shared" ca="1" si="512"/>
        <v>4.5</v>
      </c>
    </row>
    <row r="297" spans="1:182">
      <c r="A297" s="556">
        <v>26</v>
      </c>
      <c r="C297" s="3">
        <f t="shared" si="465"/>
        <v>282</v>
      </c>
      <c r="D297" s="3">
        <v>282</v>
      </c>
      <c r="E297" s="3" t="s">
        <v>7754</v>
      </c>
      <c r="F297" s="3">
        <v>1000</v>
      </c>
      <c r="G297" s="3">
        <f ca="1">IF($BB$7=1,OFFSET(G$286,$N297-1,0),(G$286+G$287)/2)</f>
        <v>0.3</v>
      </c>
      <c r="H297" s="3">
        <f ca="1">IF($BB$7=1,OFFSET(H$286,$N297-1,0),(H$286+H$287)/2)</f>
        <v>0.4</v>
      </c>
      <c r="I297" s="3">
        <f ca="1">IF($BB$7=1,OFFSET(I$286,$N297-1,0),(I$286+I$287)/2)</f>
        <v>0.1</v>
      </c>
      <c r="J297" s="3">
        <f ca="1">IF($BB$7=1,OFFSET(J$286,$N297-1,0),(J$286+J$287)/2)</f>
        <v>0.1</v>
      </c>
      <c r="L297" s="3">
        <f t="shared" ca="1" si="514"/>
        <v>0.1</v>
      </c>
      <c r="M297" s="3">
        <f ca="1">J297</f>
        <v>0.1</v>
      </c>
      <c r="N297" s="3">
        <f ca="1">N293</f>
        <v>2</v>
      </c>
      <c r="O297" s="3">
        <v>1</v>
      </c>
      <c r="P297" s="3">
        <f t="shared" ca="1" si="466"/>
        <v>0.79999999999999993</v>
      </c>
      <c r="Q297" s="3">
        <v>7</v>
      </c>
      <c r="S297" s="3">
        <f t="shared" si="467"/>
        <v>7</v>
      </c>
      <c r="W297" s="3">
        <f t="shared" si="468"/>
        <v>0</v>
      </c>
      <c r="Y297" s="3">
        <f t="shared" ca="1" si="469"/>
        <v>1.5</v>
      </c>
      <c r="Z297" s="3">
        <f t="shared" ca="1" si="470"/>
        <v>2</v>
      </c>
      <c r="AA297" s="3">
        <f t="shared" ca="1" si="471"/>
        <v>1</v>
      </c>
      <c r="AB297" s="3">
        <f t="shared" ca="1" si="472"/>
        <v>1</v>
      </c>
      <c r="AC297" s="3">
        <f t="shared" ca="1" si="473"/>
        <v>1</v>
      </c>
      <c r="AD297" s="3">
        <f t="shared" ca="1" si="474"/>
        <v>1.5</v>
      </c>
      <c r="AE297" s="3">
        <f t="shared" ca="1" si="475"/>
        <v>2</v>
      </c>
      <c r="AF297" s="3">
        <f t="shared" ca="1" si="476"/>
        <v>1</v>
      </c>
      <c r="AG297" s="3">
        <f t="shared" ca="1" si="477"/>
        <v>1</v>
      </c>
      <c r="AH297" s="3" t="str">
        <f t="shared" si="478"/>
        <v>자동</v>
      </c>
      <c r="AI297" s="3">
        <f t="shared" ca="1" si="479"/>
        <v>1</v>
      </c>
      <c r="AJ297" s="3">
        <f t="shared" ca="1" si="480"/>
        <v>1</v>
      </c>
      <c r="AL297" s="3" t="str">
        <f t="shared" si="481"/>
        <v/>
      </c>
      <c r="AN297" s="3" t="str">
        <f ca="1">IF($BA297=42,OFFSET(변환표준점수!C$119,$AP297-1,0),"")</f>
        <v/>
      </c>
      <c r="AO297" s="3" t="str">
        <f ca="1">IF($BA297=42,OFFSET(변환표준점수!D$119,$AP297-1,0),"")</f>
        <v/>
      </c>
      <c r="AP297" s="3">
        <f>IF(S297="","",MATCH(S297,변환표준점수!$B$119:$B$298,0))</f>
        <v>7</v>
      </c>
      <c r="AQ297" s="3">
        <v>1</v>
      </c>
      <c r="AR297" s="3">
        <v>1</v>
      </c>
      <c r="AS297" s="3">
        <v>4</v>
      </c>
      <c r="AT297" s="3">
        <v>4</v>
      </c>
      <c r="AV297" s="3">
        <v>4</v>
      </c>
      <c r="AW297" s="3">
        <v>4</v>
      </c>
      <c r="AX297" s="3">
        <v>3</v>
      </c>
      <c r="AY297" s="3">
        <v>3</v>
      </c>
      <c r="BA297" s="3">
        <f t="shared" si="482"/>
        <v>4</v>
      </c>
      <c r="BJ297" s="3">
        <f t="shared" si="483"/>
        <v>0</v>
      </c>
      <c r="CH297" s="206">
        <f t="shared" ca="1" si="484"/>
        <v>799.99999999999989</v>
      </c>
      <c r="CI297" s="56">
        <v>63.5</v>
      </c>
      <c r="CJ297" s="3">
        <v>63</v>
      </c>
      <c r="CK297" s="3">
        <v>62</v>
      </c>
      <c r="CL297" s="3">
        <v>50.5</v>
      </c>
      <c r="CM297" s="3">
        <v>43</v>
      </c>
      <c r="CN297" s="3">
        <v>38.5</v>
      </c>
      <c r="CO297" s="3">
        <v>35.5</v>
      </c>
      <c r="CP297" s="3">
        <v>32.5</v>
      </c>
      <c r="CQ297" s="3">
        <v>29.5</v>
      </c>
      <c r="CR297" s="56">
        <v>0</v>
      </c>
      <c r="CS297" s="3">
        <v>0</v>
      </c>
      <c r="CT297" s="3">
        <v>0</v>
      </c>
      <c r="CU297" s="3">
        <v>0</v>
      </c>
      <c r="CV297" s="3">
        <v>-2</v>
      </c>
      <c r="CW297" s="3">
        <v>-4</v>
      </c>
      <c r="CX297" s="3">
        <v>-10</v>
      </c>
      <c r="CY297" s="3">
        <v>-20</v>
      </c>
      <c r="CZ297" s="3">
        <v>-40</v>
      </c>
      <c r="DJ297" s="3">
        <f t="shared" ca="1" si="486"/>
        <v>63.5</v>
      </c>
      <c r="DK297" s="3">
        <f t="shared" ca="1" si="487"/>
        <v>100</v>
      </c>
      <c r="DL297" s="3">
        <f t="shared" ca="1" si="488"/>
        <v>0</v>
      </c>
      <c r="DO297" s="3">
        <v>1</v>
      </c>
      <c r="EA297" s="3">
        <f t="shared" si="489"/>
        <v>2</v>
      </c>
      <c r="EB297" s="3">
        <f t="shared" si="490"/>
        <v>1</v>
      </c>
      <c r="EC297" s="3">
        <f t="shared" si="491"/>
        <v>0</v>
      </c>
      <c r="ED297" s="3">
        <f t="shared" si="492"/>
        <v>0</v>
      </c>
      <c r="EF297" s="3">
        <f t="shared" ca="1" si="493"/>
        <v>0</v>
      </c>
      <c r="EG297" s="3">
        <f t="shared" ca="1" si="494"/>
        <v>0</v>
      </c>
      <c r="EH297" s="3">
        <f ca="1">IFERROR(IF(LEFT($BA297,1)="4",OFFSET(변환표준점수!$H$118,MATCH($S297,변환표준점수!$B$119:$B$198,0),),OFFSET(EH$3,MATCH(AS297,$ED$4:$ED$8,0),0)),0)</f>
        <v>0</v>
      </c>
      <c r="EI297" s="3">
        <f ca="1">IFERROR(IF(LEFT($BA297,1)="4",OFFSET(변환표준점수!$I$118,MATCH($S297,변환표준점수!$B$119:$B$198,0),0),OFFSET(EI$3,MATCH(AT297,$ED$4:$ED$8,0),0)),0)</f>
        <v>0</v>
      </c>
      <c r="EK297" s="3">
        <f ca="1">IFERROR(IF(LEFT($BA297,1)="4",OFFSET(변환표준점수!$J$118,MATCH($S297,변환표준점수!$B$119:$B$198,0),0),OFFSET(EJ$3,MATCH(AV297,$ED$4:$ED$8,0),0)),0)</f>
        <v>0</v>
      </c>
      <c r="EL297" s="3">
        <f ca="1">IFERROR(IF(LEFT($BA297,1)="4",OFFSET(변환표준점수!$K$118,MATCH($S297,변환표준점수!$B$119:$B$198,0),0),OFFSET(EK$3,MATCH(AW297,$ED$4:$ED$8,0),0)),0)</f>
        <v>0</v>
      </c>
      <c r="EM297" s="3" t="str">
        <f t="shared" ca="1" si="495"/>
        <v/>
      </c>
      <c r="EN297" s="3" t="str">
        <f t="shared" ca="1" si="496"/>
        <v/>
      </c>
      <c r="EO297" s="3">
        <f t="shared" ca="1" si="497"/>
        <v>0</v>
      </c>
      <c r="EQ297" s="3">
        <f t="shared" ca="1" si="498"/>
        <v>0</v>
      </c>
      <c r="ER297" s="3">
        <f t="shared" ca="1" si="499"/>
        <v>0</v>
      </c>
      <c r="ES297" s="3">
        <f t="shared" ca="1" si="500"/>
        <v>0</v>
      </c>
      <c r="ET297" s="3">
        <f t="shared" si="501"/>
        <v>0</v>
      </c>
      <c r="EU297" s="3">
        <f t="shared" si="502"/>
        <v>0</v>
      </c>
      <c r="EV297" s="3">
        <f t="shared" ca="1" si="503"/>
        <v>0</v>
      </c>
      <c r="EW297" s="3">
        <f t="shared" si="504"/>
        <v>0</v>
      </c>
      <c r="EX297" s="3">
        <f ca="1">LARGE((ES297:ET297,EV297:EW297),1)</f>
        <v>0</v>
      </c>
      <c r="EY297" s="3">
        <f>IF(O297&lt;2,0,LARGE((ES297:ET297,EV297:EW297),2))</f>
        <v>0</v>
      </c>
      <c r="EZ297" s="3">
        <f t="shared" ca="1" si="505"/>
        <v>0</v>
      </c>
      <c r="FA297" s="3">
        <f t="shared" ca="1" si="506"/>
        <v>0</v>
      </c>
      <c r="FB297" s="3">
        <f t="shared" ca="1" si="507"/>
        <v>0</v>
      </c>
      <c r="FG297" s="3">
        <f t="shared" ca="1" si="508"/>
        <v>0</v>
      </c>
      <c r="FH297" s="618"/>
      <c r="FU297" s="3" t="str">
        <f t="shared" si="463"/>
        <v>표점</v>
      </c>
      <c r="FV297" s="3" t="str">
        <f t="shared" si="464"/>
        <v>변표</v>
      </c>
      <c r="FW297" s="3">
        <f t="shared" ca="1" si="509"/>
        <v>0.33</v>
      </c>
      <c r="FX297" s="3">
        <f t="shared" ca="1" si="510"/>
        <v>0.44</v>
      </c>
      <c r="FY297" s="3">
        <f t="shared" ca="1" si="511"/>
        <v>0.22</v>
      </c>
      <c r="FZ297" s="3">
        <f t="shared" ca="1" si="512"/>
        <v>4.5</v>
      </c>
    </row>
    <row r="298" spans="1:182">
      <c r="A298" s="556">
        <v>26</v>
      </c>
      <c r="C298" s="3">
        <f t="shared" si="465"/>
        <v>283</v>
      </c>
      <c r="D298" s="3">
        <v>283</v>
      </c>
      <c r="E298" s="3" t="s">
        <v>7755</v>
      </c>
      <c r="F298" s="3">
        <v>1000</v>
      </c>
      <c r="G298" s="3">
        <v>0.35</v>
      </c>
      <c r="H298" s="3">
        <v>0.3</v>
      </c>
      <c r="I298" s="3">
        <v>0.17499999999999999</v>
      </c>
      <c r="J298" s="3">
        <v>0.17499999999999999</v>
      </c>
      <c r="L298" s="3">
        <v>0.17499999999999999</v>
      </c>
      <c r="M298" s="3">
        <v>0.17499999999999999</v>
      </c>
      <c r="O298" s="3">
        <v>2</v>
      </c>
      <c r="P298" s="3">
        <f t="shared" si="466"/>
        <v>0.99999999999999989</v>
      </c>
      <c r="Q298" s="3">
        <v>11</v>
      </c>
      <c r="S298" s="3">
        <f t="shared" si="467"/>
        <v>11</v>
      </c>
      <c r="W298" s="3">
        <f t="shared" si="468"/>
        <v>0</v>
      </c>
      <c r="Y298" s="3">
        <f t="shared" si="469"/>
        <v>1.75</v>
      </c>
      <c r="Z298" s="3">
        <f t="shared" si="470"/>
        <v>1.5</v>
      </c>
      <c r="AA298" s="3">
        <f t="shared" si="471"/>
        <v>1.75</v>
      </c>
      <c r="AB298" s="3">
        <f t="shared" si="472"/>
        <v>1.75</v>
      </c>
      <c r="AC298" s="3">
        <f t="shared" si="473"/>
        <v>1.75</v>
      </c>
      <c r="AD298" s="3">
        <f t="shared" si="474"/>
        <v>1.75</v>
      </c>
      <c r="AE298" s="3">
        <f t="shared" si="475"/>
        <v>1.5</v>
      </c>
      <c r="AF298" s="3">
        <f t="shared" si="476"/>
        <v>1.75</v>
      </c>
      <c r="AG298" s="3">
        <f t="shared" si="477"/>
        <v>1.75</v>
      </c>
      <c r="AH298" s="3" t="str">
        <f t="shared" si="478"/>
        <v>자동</v>
      </c>
      <c r="AI298" s="3">
        <f t="shared" si="479"/>
        <v>1.75</v>
      </c>
      <c r="AJ298" s="3">
        <f t="shared" si="480"/>
        <v>1.75</v>
      </c>
      <c r="AL298" s="3" t="str">
        <f t="shared" si="481"/>
        <v/>
      </c>
      <c r="AN298" s="3" t="str">
        <f ca="1">IF($BA298=42,OFFSET(변환표준점수!C$119,$AP298-1,0),"")</f>
        <v/>
      </c>
      <c r="AO298" s="3" t="str">
        <f ca="1">IF($BA298=42,OFFSET(변환표준점수!D$119,$AP298-1,0),"")</f>
        <v/>
      </c>
      <c r="AP298" s="3">
        <f>IF(S298="","",MATCH(S298,변환표준점수!$B$119:$B$298,0))</f>
        <v>11</v>
      </c>
      <c r="AQ298" s="3">
        <v>1</v>
      </c>
      <c r="AR298" s="3">
        <v>1</v>
      </c>
      <c r="AS298" s="3">
        <v>4</v>
      </c>
      <c r="AT298" s="3">
        <v>4</v>
      </c>
      <c r="AV298" s="3">
        <v>4</v>
      </c>
      <c r="AW298" s="3">
        <v>4</v>
      </c>
      <c r="AX298" s="3">
        <v>3</v>
      </c>
      <c r="AY298" s="3">
        <v>3</v>
      </c>
      <c r="BA298" s="3">
        <f t="shared" si="482"/>
        <v>4</v>
      </c>
      <c r="BJ298" s="3">
        <f t="shared" si="483"/>
        <v>0</v>
      </c>
      <c r="CH298" s="206">
        <f t="shared" si="484"/>
        <v>999.99999999999989</v>
      </c>
      <c r="CI298" s="56">
        <v>100</v>
      </c>
      <c r="CJ298" s="3">
        <v>98</v>
      </c>
      <c r="CK298" s="3">
        <v>95</v>
      </c>
      <c r="CL298" s="3">
        <v>92</v>
      </c>
      <c r="CM298" s="3">
        <v>86</v>
      </c>
      <c r="CN298" s="3">
        <v>75</v>
      </c>
      <c r="CO298" s="3">
        <v>64</v>
      </c>
      <c r="CP298" s="3">
        <v>58</v>
      </c>
      <c r="CQ298" s="3">
        <v>50</v>
      </c>
      <c r="CR298" s="56">
        <v>10</v>
      </c>
      <c r="CS298" s="3">
        <v>10</v>
      </c>
      <c r="CT298" s="3">
        <v>10</v>
      </c>
      <c r="CU298" s="3">
        <v>10</v>
      </c>
      <c r="CV298" s="3">
        <v>10</v>
      </c>
      <c r="CW298" s="3">
        <v>9.6</v>
      </c>
      <c r="CX298" s="3">
        <v>9.1999999999999993</v>
      </c>
      <c r="CY298" s="3">
        <v>8.8000000000000007</v>
      </c>
      <c r="CZ298" s="3">
        <v>8.4</v>
      </c>
      <c r="DJ298" s="3">
        <f t="shared" ca="1" si="486"/>
        <v>100</v>
      </c>
      <c r="DK298" s="3">
        <f t="shared" ca="1" si="487"/>
        <v>100</v>
      </c>
      <c r="DL298" s="3">
        <f t="shared" ca="1" si="488"/>
        <v>10</v>
      </c>
      <c r="DO298" s="3">
        <v>2</v>
      </c>
      <c r="EA298" s="3">
        <f t="shared" si="489"/>
        <v>2</v>
      </c>
      <c r="EB298" s="3">
        <f t="shared" si="490"/>
        <v>2</v>
      </c>
      <c r="EC298" s="3">
        <f t="shared" si="491"/>
        <v>0</v>
      </c>
      <c r="ED298" s="3">
        <f t="shared" si="492"/>
        <v>0</v>
      </c>
      <c r="EF298" s="3">
        <f t="shared" ca="1" si="493"/>
        <v>0</v>
      </c>
      <c r="EG298" s="3">
        <f t="shared" ca="1" si="494"/>
        <v>0</v>
      </c>
      <c r="EH298" s="3">
        <f ca="1">IFERROR(IF(LEFT($BA298,1)="4",OFFSET(변환표준점수!$H$118,MATCH($S298,변환표준점수!$B$119:$B$198,0),),OFFSET(EH$3,MATCH(AS298,$ED$4:$ED$8,0),0)),0)</f>
        <v>0</v>
      </c>
      <c r="EI298" s="3">
        <f ca="1">IFERROR(IF(LEFT($BA298,1)="4",OFFSET(변환표준점수!$I$118,MATCH($S298,변환표준점수!$B$119:$B$198,0),0),OFFSET(EI$3,MATCH(AT298,$ED$4:$ED$8,0),0)),0)</f>
        <v>0</v>
      </c>
      <c r="EK298" s="3">
        <f ca="1">IFERROR(IF(LEFT($BA298,1)="4",OFFSET(변환표준점수!$J$118,MATCH($S298,변환표준점수!$B$119:$B$198,0),0),OFFSET(EJ$3,MATCH(AV298,$ED$4:$ED$8,0),0)),0)</f>
        <v>0</v>
      </c>
      <c r="EL298" s="3">
        <f ca="1">IFERROR(IF(LEFT($BA298,1)="4",OFFSET(변환표준점수!$K$118,MATCH($S298,변환표준점수!$B$119:$B$198,0),0),OFFSET(EK$3,MATCH(AW298,$ED$4:$ED$8,0),0)),0)</f>
        <v>0</v>
      </c>
      <c r="EM298" s="3" t="str">
        <f t="shared" ca="1" si="495"/>
        <v/>
      </c>
      <c r="EN298" s="3" t="str">
        <f t="shared" ca="1" si="496"/>
        <v/>
      </c>
      <c r="EO298" s="3">
        <f t="shared" ca="1" si="497"/>
        <v>0</v>
      </c>
      <c r="EQ298" s="3">
        <f t="shared" ca="1" si="498"/>
        <v>0</v>
      </c>
      <c r="ER298" s="3">
        <f t="shared" ca="1" si="499"/>
        <v>0</v>
      </c>
      <c r="ES298" s="3">
        <f t="shared" ca="1" si="500"/>
        <v>0</v>
      </c>
      <c r="ET298" s="3">
        <f t="shared" ca="1" si="501"/>
        <v>0</v>
      </c>
      <c r="EU298" s="3">
        <f t="shared" si="502"/>
        <v>0</v>
      </c>
      <c r="EV298" s="3">
        <f t="shared" ca="1" si="503"/>
        <v>0</v>
      </c>
      <c r="EW298" s="3">
        <f t="shared" ca="1" si="504"/>
        <v>0</v>
      </c>
      <c r="EX298" s="3">
        <f ca="1">LARGE((ES298:ET298,EV298:EW298),1)</f>
        <v>0</v>
      </c>
      <c r="EY298" s="3">
        <f ca="1">IF(O298&lt;2,0,LARGE((ES298:ET298,EV298:EW298),2))</f>
        <v>0</v>
      </c>
      <c r="EZ298" s="3">
        <f t="shared" ca="1" si="505"/>
        <v>0</v>
      </c>
      <c r="FA298" s="3">
        <f t="shared" ca="1" si="506"/>
        <v>0</v>
      </c>
      <c r="FB298" s="3">
        <f t="shared" ca="1" si="507"/>
        <v>0</v>
      </c>
      <c r="FG298" s="3">
        <f t="shared" ca="1" si="508"/>
        <v>0</v>
      </c>
      <c r="FH298" s="618"/>
      <c r="FU298" s="3" t="str">
        <f t="shared" si="463"/>
        <v>표점</v>
      </c>
      <c r="FV298" s="3" t="str">
        <f t="shared" si="464"/>
        <v>변표</v>
      </c>
      <c r="FW298" s="3">
        <f t="shared" si="509"/>
        <v>0.35</v>
      </c>
      <c r="FX298" s="3">
        <f t="shared" si="510"/>
        <v>0.3</v>
      </c>
      <c r="FY298" s="3">
        <f t="shared" si="511"/>
        <v>0.35</v>
      </c>
      <c r="FZ298" s="3">
        <f t="shared" si="512"/>
        <v>5</v>
      </c>
    </row>
    <row r="299" spans="1:182">
      <c r="A299" s="556">
        <v>26</v>
      </c>
      <c r="C299" s="3">
        <f t="shared" si="465"/>
        <v>284</v>
      </c>
      <c r="E299" s="3" t="s">
        <v>374</v>
      </c>
      <c r="F299" s="3">
        <v>1000</v>
      </c>
      <c r="G299" s="3">
        <v>0.3</v>
      </c>
      <c r="H299" s="3">
        <v>0.25</v>
      </c>
      <c r="I299" s="3">
        <v>0.125</v>
      </c>
      <c r="J299" s="3">
        <v>0.125</v>
      </c>
      <c r="L299" s="3">
        <v>0.125</v>
      </c>
      <c r="M299" s="3">
        <v>0.125</v>
      </c>
      <c r="O299" s="3">
        <v>2</v>
      </c>
      <c r="P299" s="3">
        <f t="shared" si="466"/>
        <v>0.8</v>
      </c>
      <c r="S299" s="3">
        <f t="shared" si="467"/>
        <v>0</v>
      </c>
      <c r="W299" s="3">
        <f t="shared" si="468"/>
        <v>0</v>
      </c>
      <c r="Y299" s="3">
        <f t="shared" si="469"/>
        <v>1.5</v>
      </c>
      <c r="Z299" s="3">
        <f t="shared" si="470"/>
        <v>1.25</v>
      </c>
      <c r="AA299" s="3">
        <f t="shared" si="471"/>
        <v>1.25</v>
      </c>
      <c r="AB299" s="3">
        <f t="shared" si="472"/>
        <v>1.25</v>
      </c>
      <c r="AC299" s="3">
        <f t="shared" si="473"/>
        <v>1.25</v>
      </c>
      <c r="AD299" s="3">
        <f t="shared" si="474"/>
        <v>1.5</v>
      </c>
      <c r="AE299" s="3">
        <f t="shared" si="475"/>
        <v>1.25</v>
      </c>
      <c r="AF299" s="3">
        <f t="shared" si="476"/>
        <v>1.25</v>
      </c>
      <c r="AG299" s="3">
        <f t="shared" si="477"/>
        <v>1.25</v>
      </c>
      <c r="AH299" s="3" t="str">
        <f t="shared" si="478"/>
        <v>자동</v>
      </c>
      <c r="AI299" s="3">
        <f t="shared" si="479"/>
        <v>1.25</v>
      </c>
      <c r="AJ299" s="3">
        <f t="shared" si="480"/>
        <v>1.25</v>
      </c>
      <c r="AL299" s="3" t="str">
        <f t="shared" si="481"/>
        <v/>
      </c>
      <c r="AN299" s="3" t="str">
        <f ca="1">IF($BA299=42,OFFSET(변환표준점수!C$119,$AP299-1,0),"")</f>
        <v/>
      </c>
      <c r="AO299" s="3" t="str">
        <f ca="1">IF($BA299=42,OFFSET(변환표준점수!D$119,$AP299-1,0),"")</f>
        <v/>
      </c>
      <c r="AP299" s="3" t="e">
        <f>IF(S299="","",MATCH(S299,변환표준점수!$B$119:$B$298,0))</f>
        <v>#N/A</v>
      </c>
      <c r="AQ299" s="3">
        <v>1</v>
      </c>
      <c r="AR299" s="3">
        <v>1</v>
      </c>
      <c r="AS299" s="3">
        <v>1</v>
      </c>
      <c r="AT299" s="3">
        <v>1</v>
      </c>
      <c r="AV299" s="3">
        <v>1</v>
      </c>
      <c r="AW299" s="3">
        <v>1</v>
      </c>
      <c r="AX299" s="3">
        <v>3</v>
      </c>
      <c r="AY299" s="3">
        <v>3</v>
      </c>
      <c r="BA299" s="3">
        <f t="shared" si="482"/>
        <v>1</v>
      </c>
      <c r="BJ299" s="3">
        <f t="shared" si="483"/>
        <v>0</v>
      </c>
      <c r="CH299" s="206">
        <f t="shared" si="484"/>
        <v>800</v>
      </c>
      <c r="CI299" s="56">
        <v>200</v>
      </c>
      <c r="CJ299" s="3">
        <v>198</v>
      </c>
      <c r="CK299" s="3">
        <v>195</v>
      </c>
      <c r="CL299" s="3">
        <v>190</v>
      </c>
      <c r="CM299" s="3">
        <v>185</v>
      </c>
      <c r="CN299" s="3">
        <v>180</v>
      </c>
      <c r="CO299" s="3">
        <v>175</v>
      </c>
      <c r="CP299" s="3">
        <v>170</v>
      </c>
      <c r="CQ299" s="3">
        <v>165</v>
      </c>
      <c r="CR299" s="56">
        <v>10</v>
      </c>
      <c r="CS299" s="3">
        <v>10</v>
      </c>
      <c r="CT299" s="3">
        <v>10</v>
      </c>
      <c r="CU299" s="3">
        <v>10</v>
      </c>
      <c r="CV299" s="3">
        <v>9.8000000000000007</v>
      </c>
      <c r="CW299" s="3">
        <v>9.6</v>
      </c>
      <c r="CX299" s="3">
        <v>9.4</v>
      </c>
      <c r="CY299" s="3">
        <v>9.1999999999999993</v>
      </c>
      <c r="CZ299" s="3">
        <v>9</v>
      </c>
      <c r="DJ299" s="3">
        <f t="shared" ca="1" si="486"/>
        <v>200</v>
      </c>
      <c r="DK299" s="3">
        <f t="shared" ca="1" si="487"/>
        <v>100</v>
      </c>
      <c r="DL299" s="3">
        <f t="shared" ca="1" si="488"/>
        <v>10</v>
      </c>
      <c r="DO299" s="3">
        <v>2</v>
      </c>
      <c r="EA299" s="3">
        <f t="shared" si="489"/>
        <v>2</v>
      </c>
      <c r="EB299" s="3">
        <f t="shared" si="490"/>
        <v>2</v>
      </c>
      <c r="EC299" s="3">
        <f t="shared" si="491"/>
        <v>0</v>
      </c>
      <c r="ED299" s="3">
        <f t="shared" si="492"/>
        <v>0</v>
      </c>
      <c r="EF299" s="3">
        <f t="shared" ca="1" si="493"/>
        <v>0</v>
      </c>
      <c r="EG299" s="3">
        <f t="shared" ca="1" si="494"/>
        <v>0</v>
      </c>
      <c r="EH299" s="3">
        <f ca="1">IFERROR(IF(LEFT($BA299,1)="4",OFFSET(변환표준점수!$H$118,MATCH($S299,변환표준점수!$B$119:$B$198,0),),OFFSET(EH$3,MATCH(AS299,$ED$4:$ED$8,0),0)),0)</f>
        <v>0</v>
      </c>
      <c r="EI299" s="3">
        <f ca="1">IFERROR(IF(LEFT($BA299,1)="4",OFFSET(변환표준점수!$I$118,MATCH($S299,변환표준점수!$B$119:$B$198,0),0),OFFSET(EI$3,MATCH(AT299,$ED$4:$ED$8,0),0)),0)</f>
        <v>0</v>
      </c>
      <c r="EK299" s="3">
        <f ca="1">IFERROR(IF(LEFT($BA299,1)="4",OFFSET(변환표준점수!$J$118,MATCH($S299,변환표준점수!$B$119:$B$198,0),0),OFFSET(EJ$3,MATCH(AV299,$ED$4:$ED$8,0),0)),0)</f>
        <v>0</v>
      </c>
      <c r="EL299" s="3">
        <f ca="1">IFERROR(IF(LEFT($BA299,1)="4",OFFSET(변환표준점수!$K$118,MATCH($S299,변환표준점수!$B$119:$B$198,0),0),OFFSET(EK$3,MATCH(AW299,$ED$4:$ED$8,0),0)),0)</f>
        <v>0</v>
      </c>
      <c r="EM299" s="3" t="str">
        <f t="shared" ca="1" si="495"/>
        <v/>
      </c>
      <c r="EN299" s="3" t="str">
        <f t="shared" ca="1" si="496"/>
        <v/>
      </c>
      <c r="EO299" s="3">
        <f t="shared" ca="1" si="497"/>
        <v>0</v>
      </c>
      <c r="EQ299" s="3">
        <f t="shared" ca="1" si="498"/>
        <v>0</v>
      </c>
      <c r="ER299" s="3">
        <f t="shared" ca="1" si="499"/>
        <v>0</v>
      </c>
      <c r="ES299" s="3">
        <f t="shared" ca="1" si="500"/>
        <v>0</v>
      </c>
      <c r="ET299" s="3">
        <f t="shared" ca="1" si="501"/>
        <v>0</v>
      </c>
      <c r="EU299" s="3">
        <f t="shared" si="502"/>
        <v>0</v>
      </c>
      <c r="EV299" s="3">
        <f t="shared" ca="1" si="503"/>
        <v>0</v>
      </c>
      <c r="EW299" s="3">
        <f t="shared" ca="1" si="504"/>
        <v>0</v>
      </c>
      <c r="EX299" s="3">
        <f ca="1">LARGE((ES299:ET299,EV299:EW299),1)</f>
        <v>0</v>
      </c>
      <c r="EY299" s="3">
        <f ca="1">IF(O299&lt;2,0,LARGE((ES299:ET299,EV299:EW299),2))</f>
        <v>0</v>
      </c>
      <c r="EZ299" s="3">
        <f t="shared" ca="1" si="505"/>
        <v>0</v>
      </c>
      <c r="FA299" s="3">
        <f t="shared" ca="1" si="506"/>
        <v>0</v>
      </c>
      <c r="FB299" s="3">
        <f t="shared" ca="1" si="507"/>
        <v>0</v>
      </c>
      <c r="FG299" s="3">
        <f t="shared" ca="1" si="508"/>
        <v>0</v>
      </c>
      <c r="FH299" s="618"/>
      <c r="FU299" s="3" t="str">
        <f t="shared" si="463"/>
        <v>표점</v>
      </c>
      <c r="FV299" s="3" t="str">
        <f t="shared" si="464"/>
        <v>표점</v>
      </c>
      <c r="FW299" s="3">
        <f t="shared" si="509"/>
        <v>0.38</v>
      </c>
      <c r="FX299" s="3">
        <f t="shared" si="510"/>
        <v>0.31</v>
      </c>
      <c r="FY299" s="3">
        <f t="shared" si="511"/>
        <v>0.31</v>
      </c>
      <c r="FZ299" s="3">
        <f t="shared" si="512"/>
        <v>4</v>
      </c>
    </row>
    <row r="300" spans="1:182">
      <c r="A300" s="556">
        <v>26</v>
      </c>
      <c r="C300" s="3">
        <f t="shared" si="465"/>
        <v>285</v>
      </c>
      <c r="E300" s="3" t="s">
        <v>7756</v>
      </c>
      <c r="F300" s="3">
        <v>1000</v>
      </c>
      <c r="G300" s="3">
        <v>0.3</v>
      </c>
      <c r="H300" s="3">
        <v>0.3</v>
      </c>
      <c r="I300" s="3">
        <v>0.1</v>
      </c>
      <c r="J300" s="3">
        <v>0.1</v>
      </c>
      <c r="L300" s="3">
        <v>0.1</v>
      </c>
      <c r="M300" s="3">
        <v>0.1</v>
      </c>
      <c r="O300" s="3">
        <v>2</v>
      </c>
      <c r="P300" s="3">
        <f t="shared" si="466"/>
        <v>0.8</v>
      </c>
      <c r="S300" s="3">
        <f t="shared" si="467"/>
        <v>0</v>
      </c>
      <c r="W300" s="3">
        <f t="shared" si="468"/>
        <v>0</v>
      </c>
      <c r="Y300" s="3">
        <f t="shared" si="469"/>
        <v>1.5</v>
      </c>
      <c r="Z300" s="3">
        <f t="shared" si="470"/>
        <v>1.5</v>
      </c>
      <c r="AA300" s="3">
        <f t="shared" si="471"/>
        <v>1</v>
      </c>
      <c r="AB300" s="3">
        <f t="shared" si="472"/>
        <v>1</v>
      </c>
      <c r="AC300" s="3">
        <f t="shared" si="473"/>
        <v>1</v>
      </c>
      <c r="AD300" s="3">
        <f t="shared" si="474"/>
        <v>1.5</v>
      </c>
      <c r="AE300" s="3">
        <f t="shared" si="475"/>
        <v>1.5</v>
      </c>
      <c r="AF300" s="3">
        <f t="shared" si="476"/>
        <v>1</v>
      </c>
      <c r="AG300" s="3">
        <f t="shared" si="477"/>
        <v>1</v>
      </c>
      <c r="AH300" s="3" t="str">
        <f t="shared" si="478"/>
        <v>자동</v>
      </c>
      <c r="AI300" s="3">
        <f t="shared" si="479"/>
        <v>1</v>
      </c>
      <c r="AJ300" s="3">
        <f t="shared" si="480"/>
        <v>1</v>
      </c>
      <c r="AL300" s="3" t="str">
        <f t="shared" si="481"/>
        <v/>
      </c>
      <c r="AN300" s="3" t="str">
        <f ca="1">IF($BA300=42,OFFSET(변환표준점수!C$119,$AP300-1,0),"")</f>
        <v/>
      </c>
      <c r="AO300" s="3" t="str">
        <f ca="1">IF($BA300=42,OFFSET(변환표준점수!D$119,$AP300-1,0),"")</f>
        <v/>
      </c>
      <c r="AP300" s="3" t="e">
        <f>IF(S300="","",MATCH(S300,변환표준점수!$B$119:$B$298,0))</f>
        <v>#N/A</v>
      </c>
      <c r="AQ300" s="3">
        <v>1</v>
      </c>
      <c r="AR300" s="3">
        <v>1</v>
      </c>
      <c r="AS300" s="3">
        <v>1</v>
      </c>
      <c r="AT300" s="3">
        <v>1</v>
      </c>
      <c r="AV300" s="3">
        <v>1</v>
      </c>
      <c r="AW300" s="3">
        <v>1</v>
      </c>
      <c r="AX300" s="3">
        <v>3</v>
      </c>
      <c r="AY300" s="3">
        <v>3</v>
      </c>
      <c r="BA300" s="3">
        <f t="shared" si="482"/>
        <v>1</v>
      </c>
      <c r="BJ300" s="3">
        <f t="shared" si="483"/>
        <v>0</v>
      </c>
      <c r="CH300" s="206">
        <f t="shared" si="484"/>
        <v>800</v>
      </c>
      <c r="CI300" s="56">
        <v>200</v>
      </c>
      <c r="CJ300" s="3">
        <v>198</v>
      </c>
      <c r="CK300" s="3">
        <v>195</v>
      </c>
      <c r="CL300" s="3">
        <v>190</v>
      </c>
      <c r="CM300" s="3">
        <v>185</v>
      </c>
      <c r="CN300" s="3">
        <v>180</v>
      </c>
      <c r="CO300" s="3">
        <v>175</v>
      </c>
      <c r="CP300" s="3">
        <v>170</v>
      </c>
      <c r="CQ300" s="3">
        <v>165</v>
      </c>
      <c r="CR300" s="56">
        <v>10</v>
      </c>
      <c r="CS300" s="3">
        <v>10</v>
      </c>
      <c r="CT300" s="3">
        <v>10</v>
      </c>
      <c r="CU300" s="3">
        <v>10</v>
      </c>
      <c r="CV300" s="3">
        <v>9.8000000000000007</v>
      </c>
      <c r="CW300" s="3">
        <v>9.6</v>
      </c>
      <c r="CX300" s="3">
        <v>9.4</v>
      </c>
      <c r="CY300" s="3">
        <v>9.1999999999999993</v>
      </c>
      <c r="CZ300" s="3">
        <v>9</v>
      </c>
      <c r="DJ300" s="3">
        <f t="shared" ca="1" si="486"/>
        <v>200</v>
      </c>
      <c r="DK300" s="3">
        <f t="shared" ca="1" si="487"/>
        <v>100</v>
      </c>
      <c r="DL300" s="3">
        <f t="shared" ca="1" si="488"/>
        <v>10</v>
      </c>
      <c r="DO300" s="3">
        <v>2</v>
      </c>
      <c r="EA300" s="3">
        <f t="shared" si="489"/>
        <v>2</v>
      </c>
      <c r="EB300" s="3">
        <f t="shared" si="490"/>
        <v>2</v>
      </c>
      <c r="EC300" s="3">
        <f t="shared" si="491"/>
        <v>0</v>
      </c>
      <c r="ED300" s="3">
        <f t="shared" si="492"/>
        <v>0</v>
      </c>
      <c r="EF300" s="3">
        <f t="shared" ca="1" si="493"/>
        <v>0</v>
      </c>
      <c r="EG300" s="3">
        <f t="shared" ca="1" si="494"/>
        <v>0</v>
      </c>
      <c r="EH300" s="3">
        <f ca="1">IFERROR(IF(LEFT($BA300,1)="4",OFFSET(변환표준점수!$H$118,MATCH($S300,변환표준점수!$B$119:$B$198,0),),OFFSET(EH$3,MATCH(AS300,$ED$4:$ED$8,0),0)),0)</f>
        <v>0</v>
      </c>
      <c r="EI300" s="3">
        <f ca="1">IFERROR(IF(LEFT($BA300,1)="4",OFFSET(변환표준점수!$I$118,MATCH($S300,변환표준점수!$B$119:$B$198,0),0),OFFSET(EI$3,MATCH(AT300,$ED$4:$ED$8,0),0)),0)</f>
        <v>0</v>
      </c>
      <c r="EK300" s="3">
        <f ca="1">IFERROR(IF(LEFT($BA300,1)="4",OFFSET(변환표준점수!$J$118,MATCH($S300,변환표준점수!$B$119:$B$198,0),0),OFFSET(EJ$3,MATCH(AV300,$ED$4:$ED$8,0),0)),0)</f>
        <v>0</v>
      </c>
      <c r="EL300" s="3">
        <f ca="1">IFERROR(IF(LEFT($BA300,1)="4",OFFSET(변환표준점수!$K$118,MATCH($S300,변환표준점수!$B$119:$B$198,0),0),OFFSET(EK$3,MATCH(AW300,$ED$4:$ED$8,0),0)),0)</f>
        <v>0</v>
      </c>
      <c r="EM300" s="3" t="str">
        <f t="shared" ca="1" si="495"/>
        <v/>
      </c>
      <c r="EN300" s="3" t="str">
        <f t="shared" ca="1" si="496"/>
        <v/>
      </c>
      <c r="EO300" s="3">
        <f t="shared" ca="1" si="497"/>
        <v>0</v>
      </c>
      <c r="EQ300" s="3">
        <f t="shared" ca="1" si="498"/>
        <v>0</v>
      </c>
      <c r="ER300" s="3">
        <f t="shared" ca="1" si="499"/>
        <v>0</v>
      </c>
      <c r="ES300" s="3">
        <f t="shared" ca="1" si="500"/>
        <v>0</v>
      </c>
      <c r="ET300" s="3">
        <f t="shared" ca="1" si="501"/>
        <v>0</v>
      </c>
      <c r="EU300" s="3">
        <f t="shared" si="502"/>
        <v>0</v>
      </c>
      <c r="EV300" s="3">
        <f t="shared" ca="1" si="503"/>
        <v>0</v>
      </c>
      <c r="EW300" s="3">
        <f t="shared" ca="1" si="504"/>
        <v>0</v>
      </c>
      <c r="EX300" s="3">
        <f ca="1">LARGE((ES300:ET300,EV300:EW300),1)</f>
        <v>0</v>
      </c>
      <c r="EY300" s="3">
        <f ca="1">IF(O300&lt;2,0,LARGE((ES300:ET300,EV300:EW300),2))</f>
        <v>0</v>
      </c>
      <c r="EZ300" s="3">
        <f t="shared" ca="1" si="505"/>
        <v>0</v>
      </c>
      <c r="FA300" s="3">
        <f t="shared" ca="1" si="506"/>
        <v>0</v>
      </c>
      <c r="FB300" s="3">
        <f t="shared" ca="1" si="507"/>
        <v>0</v>
      </c>
      <c r="FG300" s="3">
        <f t="shared" ca="1" si="508"/>
        <v>0</v>
      </c>
      <c r="FH300" s="618"/>
      <c r="FU300" s="3" t="str">
        <f t="shared" si="463"/>
        <v>표점</v>
      </c>
      <c r="FV300" s="3" t="str">
        <f t="shared" si="464"/>
        <v>표점</v>
      </c>
      <c r="FW300" s="3">
        <f t="shared" si="509"/>
        <v>0.38</v>
      </c>
      <c r="FX300" s="3">
        <f t="shared" si="510"/>
        <v>0.38</v>
      </c>
      <c r="FY300" s="3">
        <f t="shared" si="511"/>
        <v>0.25</v>
      </c>
      <c r="FZ300" s="3">
        <f t="shared" si="512"/>
        <v>4</v>
      </c>
    </row>
    <row r="301" spans="1:182">
      <c r="A301" s="556">
        <v>26</v>
      </c>
      <c r="C301" s="3">
        <f t="shared" si="465"/>
        <v>286</v>
      </c>
      <c r="E301" s="3" t="s">
        <v>7757</v>
      </c>
      <c r="F301" s="3">
        <v>1000</v>
      </c>
      <c r="G301" s="3">
        <v>0.2</v>
      </c>
      <c r="H301" s="3">
        <v>0.3</v>
      </c>
      <c r="I301" s="3">
        <v>0.15</v>
      </c>
      <c r="J301" s="3">
        <v>0.15</v>
      </c>
      <c r="O301" s="3">
        <v>2</v>
      </c>
      <c r="P301" s="3">
        <f t="shared" si="466"/>
        <v>0.8</v>
      </c>
      <c r="S301" s="3">
        <f t="shared" si="467"/>
        <v>0</v>
      </c>
      <c r="W301" s="3">
        <f t="shared" si="468"/>
        <v>0</v>
      </c>
      <c r="Y301" s="3">
        <f t="shared" si="469"/>
        <v>1</v>
      </c>
      <c r="Z301" s="3">
        <f t="shared" si="470"/>
        <v>1.5</v>
      </c>
      <c r="AA301" s="3">
        <f t="shared" si="471"/>
        <v>1.5</v>
      </c>
      <c r="AB301" s="3" t="str">
        <f t="shared" si="472"/>
        <v>자동</v>
      </c>
      <c r="AC301" s="3">
        <f t="shared" si="473"/>
        <v>1.5</v>
      </c>
      <c r="AD301" s="3">
        <f t="shared" si="474"/>
        <v>1</v>
      </c>
      <c r="AE301" s="3">
        <f t="shared" si="475"/>
        <v>1.5</v>
      </c>
      <c r="AF301" s="3">
        <f t="shared" si="476"/>
        <v>1.5</v>
      </c>
      <c r="AG301" s="3">
        <f t="shared" si="477"/>
        <v>1.5</v>
      </c>
      <c r="AH301" s="3" t="str">
        <f t="shared" si="478"/>
        <v>자동</v>
      </c>
      <c r="AI301" s="3" t="str">
        <f t="shared" si="479"/>
        <v>자동</v>
      </c>
      <c r="AJ301" s="3" t="str">
        <f t="shared" si="480"/>
        <v>자동</v>
      </c>
      <c r="AL301" s="3" t="str">
        <f t="shared" si="481"/>
        <v/>
      </c>
      <c r="AN301" s="3" t="str">
        <f ca="1">IF($BA301=42,OFFSET(변환표준점수!C$119,$AP301-1,0),"")</f>
        <v/>
      </c>
      <c r="AO301" s="3" t="str">
        <f ca="1">IF($BA301=42,OFFSET(변환표준점수!D$119,$AP301-1,0),"")</f>
        <v/>
      </c>
      <c r="AP301" s="3" t="e">
        <f>IF(S301="","",MATCH(S301,변환표준점수!$B$119:$B$298,0))</f>
        <v>#N/A</v>
      </c>
      <c r="AQ301" s="3">
        <v>1</v>
      </c>
      <c r="AR301" s="3">
        <v>1</v>
      </c>
      <c r="AS301" s="3">
        <v>1</v>
      </c>
      <c r="AT301" s="3">
        <v>1</v>
      </c>
      <c r="AX301" s="3">
        <v>3</v>
      </c>
      <c r="AY301" s="3">
        <v>3</v>
      </c>
      <c r="BA301" s="3">
        <f t="shared" si="482"/>
        <v>1</v>
      </c>
      <c r="BJ301" s="3">
        <f t="shared" si="483"/>
        <v>0</v>
      </c>
      <c r="CH301" s="206">
        <f t="shared" si="484"/>
        <v>800</v>
      </c>
      <c r="CI301" s="56">
        <v>200</v>
      </c>
      <c r="CJ301" s="3">
        <v>198</v>
      </c>
      <c r="CK301" s="3">
        <v>195</v>
      </c>
      <c r="CL301" s="3">
        <v>190</v>
      </c>
      <c r="CM301" s="3">
        <v>185</v>
      </c>
      <c r="CN301" s="3">
        <v>180</v>
      </c>
      <c r="CO301" s="3">
        <v>175</v>
      </c>
      <c r="CP301" s="3">
        <v>170</v>
      </c>
      <c r="CQ301" s="3">
        <v>165</v>
      </c>
      <c r="CR301" s="56">
        <v>10</v>
      </c>
      <c r="CS301" s="3">
        <v>10</v>
      </c>
      <c r="CT301" s="3">
        <v>10</v>
      </c>
      <c r="CU301" s="3">
        <v>10</v>
      </c>
      <c r="CV301" s="3">
        <v>9.8000000000000007</v>
      </c>
      <c r="CW301" s="3">
        <v>9.6</v>
      </c>
      <c r="CX301" s="3">
        <v>9.4</v>
      </c>
      <c r="CY301" s="3">
        <v>9.1999999999999993</v>
      </c>
      <c r="CZ301" s="3">
        <v>9</v>
      </c>
      <c r="DJ301" s="3">
        <f t="shared" ca="1" si="486"/>
        <v>200</v>
      </c>
      <c r="DK301" s="3">
        <f t="shared" ca="1" si="487"/>
        <v>100</v>
      </c>
      <c r="DL301" s="3">
        <f t="shared" ca="1" si="488"/>
        <v>10</v>
      </c>
      <c r="DM301" s="3">
        <v>2</v>
      </c>
      <c r="DQ301" s="3">
        <v>1</v>
      </c>
      <c r="DS301" s="3">
        <v>1</v>
      </c>
      <c r="EA301" s="3">
        <f t="shared" si="489"/>
        <v>1</v>
      </c>
      <c r="EB301" s="3">
        <f t="shared" si="490"/>
        <v>2</v>
      </c>
      <c r="EC301" s="3">
        <f t="shared" si="491"/>
        <v>0</v>
      </c>
      <c r="ED301" s="3">
        <f t="shared" si="492"/>
        <v>0</v>
      </c>
      <c r="EF301" s="3">
        <f t="shared" ca="1" si="493"/>
        <v>0</v>
      </c>
      <c r="EG301" s="3">
        <f t="shared" ca="1" si="494"/>
        <v>0</v>
      </c>
      <c r="EH301" s="3">
        <f ca="1">IFERROR(IF(LEFT($BA301,1)="4",OFFSET(변환표준점수!$H$118,MATCH($S301,변환표준점수!$B$119:$B$198,0),),OFFSET(EH$3,MATCH(AS301,$ED$4:$ED$8,0),0)),0)</f>
        <v>0</v>
      </c>
      <c r="EI301" s="3">
        <f ca="1">IFERROR(IF(LEFT($BA301,1)="4",OFFSET(변환표준점수!$I$118,MATCH($S301,변환표준점수!$B$119:$B$198,0),0),OFFSET(EI$3,MATCH(AT301,$ED$4:$ED$8,0),0)),0)</f>
        <v>0</v>
      </c>
      <c r="EK301" s="3">
        <f ca="1">IFERROR(IF(LEFT($BA301,1)="4",OFFSET(변환표준점수!$J$118,MATCH($S301,변환표준점수!$B$119:$B$198,0),0),OFFSET(EJ$3,MATCH(AV301,$ED$4:$ED$8,0),0)),0)</f>
        <v>0</v>
      </c>
      <c r="EL301" s="3">
        <f ca="1">IFERROR(IF(LEFT($BA301,1)="4",OFFSET(변환표준점수!$K$118,MATCH($S301,변환표준점수!$B$119:$B$198,0),0),OFFSET(EK$3,MATCH(AW301,$ED$4:$ED$8,0),0)),0)</f>
        <v>0</v>
      </c>
      <c r="EM301" s="3" t="str">
        <f t="shared" ca="1" si="495"/>
        <v/>
      </c>
      <c r="EN301" s="3" t="str">
        <f t="shared" ca="1" si="496"/>
        <v/>
      </c>
      <c r="EO301" s="3">
        <f t="shared" ca="1" si="497"/>
        <v>0</v>
      </c>
      <c r="EQ301" s="3">
        <f t="shared" ca="1" si="498"/>
        <v>0</v>
      </c>
      <c r="ER301" s="3">
        <f t="shared" ca="1" si="499"/>
        <v>0</v>
      </c>
      <c r="ES301" s="3">
        <f t="shared" ca="1" si="500"/>
        <v>0</v>
      </c>
      <c r="ET301" s="3">
        <f t="shared" ca="1" si="501"/>
        <v>0</v>
      </c>
      <c r="EU301" s="3">
        <f t="shared" si="502"/>
        <v>0</v>
      </c>
      <c r="EV301" s="3">
        <f t="shared" ca="1" si="503"/>
        <v>0</v>
      </c>
      <c r="EW301" s="3">
        <f t="shared" ca="1" si="504"/>
        <v>0</v>
      </c>
      <c r="EX301" s="3">
        <f ca="1">LARGE((ES301:ET301,EV301:EW301),1)</f>
        <v>0</v>
      </c>
      <c r="EY301" s="3">
        <f ca="1">IF(O301&lt;2,0,LARGE((ES301:ET301,EV301:EW301),2))</f>
        <v>0</v>
      </c>
      <c r="EZ301" s="3">
        <f t="shared" ca="1" si="505"/>
        <v>0</v>
      </c>
      <c r="FA301" s="3">
        <f t="shared" ca="1" si="506"/>
        <v>0</v>
      </c>
      <c r="FB301" s="3">
        <f t="shared" ca="1" si="507"/>
        <v>0</v>
      </c>
      <c r="FG301" s="3">
        <f t="shared" ca="1" si="508"/>
        <v>0</v>
      </c>
      <c r="FH301" s="618"/>
      <c r="FU301" s="3" t="str">
        <f t="shared" si="463"/>
        <v>표점</v>
      </c>
      <c r="FV301" s="3" t="str">
        <f t="shared" si="464"/>
        <v>표점</v>
      </c>
      <c r="FW301" s="3">
        <f t="shared" si="509"/>
        <v>0.25</v>
      </c>
      <c r="FX301" s="3">
        <f t="shared" si="510"/>
        <v>0.38</v>
      </c>
      <c r="FY301" s="3">
        <f t="shared" si="511"/>
        <v>0.38</v>
      </c>
      <c r="FZ301" s="3">
        <f t="shared" si="512"/>
        <v>4</v>
      </c>
    </row>
    <row r="302" spans="1:182">
      <c r="A302" s="556">
        <v>26</v>
      </c>
      <c r="C302" s="3">
        <f t="shared" si="465"/>
        <v>287</v>
      </c>
      <c r="E302" s="3" t="s">
        <v>375</v>
      </c>
      <c r="F302" s="3">
        <v>1000</v>
      </c>
      <c r="G302" s="3">
        <v>0.2</v>
      </c>
      <c r="H302" s="3">
        <v>0.3</v>
      </c>
      <c r="I302" s="3">
        <v>0.15</v>
      </c>
      <c r="J302" s="3">
        <v>0.15</v>
      </c>
      <c r="O302" s="3">
        <v>2</v>
      </c>
      <c r="P302" s="3">
        <f t="shared" si="466"/>
        <v>0.8</v>
      </c>
      <c r="S302" s="3">
        <f t="shared" si="467"/>
        <v>0</v>
      </c>
      <c r="W302" s="3">
        <f t="shared" si="468"/>
        <v>0</v>
      </c>
      <c r="Y302" s="3">
        <f t="shared" si="469"/>
        <v>1</v>
      </c>
      <c r="Z302" s="3">
        <f t="shared" si="470"/>
        <v>1.5</v>
      </c>
      <c r="AA302" s="3">
        <f t="shared" si="471"/>
        <v>1.5</v>
      </c>
      <c r="AB302" s="3" t="str">
        <f t="shared" si="472"/>
        <v>자동</v>
      </c>
      <c r="AC302" s="3">
        <f t="shared" si="473"/>
        <v>1.5</v>
      </c>
      <c r="AD302" s="3">
        <f t="shared" si="474"/>
        <v>1</v>
      </c>
      <c r="AE302" s="3">
        <f t="shared" si="475"/>
        <v>1.5</v>
      </c>
      <c r="AF302" s="3">
        <f t="shared" si="476"/>
        <v>1.5</v>
      </c>
      <c r="AG302" s="3">
        <f t="shared" si="477"/>
        <v>1.5</v>
      </c>
      <c r="AH302" s="3" t="str">
        <f t="shared" si="478"/>
        <v>자동</v>
      </c>
      <c r="AI302" s="3" t="str">
        <f t="shared" si="479"/>
        <v>자동</v>
      </c>
      <c r="AJ302" s="3" t="str">
        <f t="shared" si="480"/>
        <v>자동</v>
      </c>
      <c r="AL302" s="3" t="str">
        <f t="shared" si="481"/>
        <v/>
      </c>
      <c r="AN302" s="3" t="str">
        <f ca="1">IF($BA302=42,OFFSET(변환표준점수!C$119,$AP302-1,0),"")</f>
        <v/>
      </c>
      <c r="AO302" s="3" t="str">
        <f ca="1">IF($BA302=42,OFFSET(변환표준점수!D$119,$AP302-1,0),"")</f>
        <v/>
      </c>
      <c r="AP302" s="3" t="e">
        <f>IF(S302="","",MATCH(S302,변환표준점수!$B$119:$B$298,0))</f>
        <v>#N/A</v>
      </c>
      <c r="AQ302" s="3">
        <v>1</v>
      </c>
      <c r="AR302" s="3">
        <v>1</v>
      </c>
      <c r="AS302" s="3">
        <v>1</v>
      </c>
      <c r="AT302" s="3">
        <v>1</v>
      </c>
      <c r="AX302" s="3">
        <v>3</v>
      </c>
      <c r="AY302" s="3">
        <v>3</v>
      </c>
      <c r="BA302" s="3">
        <f t="shared" si="482"/>
        <v>1</v>
      </c>
      <c r="BJ302" s="3">
        <f t="shared" si="483"/>
        <v>0</v>
      </c>
      <c r="CH302" s="206">
        <f t="shared" si="484"/>
        <v>800</v>
      </c>
      <c r="CI302" s="56">
        <v>200</v>
      </c>
      <c r="CJ302" s="3">
        <v>198</v>
      </c>
      <c r="CK302" s="3">
        <v>195</v>
      </c>
      <c r="CL302" s="3">
        <v>190</v>
      </c>
      <c r="CM302" s="3">
        <v>185</v>
      </c>
      <c r="CN302" s="3">
        <v>180</v>
      </c>
      <c r="CO302" s="3">
        <v>175</v>
      </c>
      <c r="CP302" s="3">
        <v>170</v>
      </c>
      <c r="CQ302" s="3">
        <v>165</v>
      </c>
      <c r="CR302" s="56">
        <v>10</v>
      </c>
      <c r="CS302" s="3">
        <v>10</v>
      </c>
      <c r="CT302" s="3">
        <v>10</v>
      </c>
      <c r="CU302" s="3">
        <v>10</v>
      </c>
      <c r="CV302" s="3">
        <v>9.8000000000000007</v>
      </c>
      <c r="CW302" s="3">
        <v>9.6</v>
      </c>
      <c r="CX302" s="3">
        <v>9.4</v>
      </c>
      <c r="CY302" s="3">
        <v>9.1999999999999993</v>
      </c>
      <c r="CZ302" s="3">
        <v>9</v>
      </c>
      <c r="DJ302" s="3">
        <f t="shared" ca="1" si="486"/>
        <v>200</v>
      </c>
      <c r="DK302" s="3">
        <f t="shared" ca="1" si="487"/>
        <v>100</v>
      </c>
      <c r="DL302" s="3">
        <f t="shared" ca="1" si="488"/>
        <v>10</v>
      </c>
      <c r="DM302" s="3">
        <v>2</v>
      </c>
      <c r="DS302" s="3">
        <v>1</v>
      </c>
      <c r="EA302" s="3">
        <f t="shared" si="489"/>
        <v>1</v>
      </c>
      <c r="EB302" s="3">
        <f t="shared" si="490"/>
        <v>2</v>
      </c>
      <c r="EC302" s="3">
        <f t="shared" si="491"/>
        <v>0</v>
      </c>
      <c r="ED302" s="3">
        <f t="shared" si="492"/>
        <v>0</v>
      </c>
      <c r="EF302" s="3">
        <f t="shared" ca="1" si="493"/>
        <v>0</v>
      </c>
      <c r="EG302" s="3">
        <f t="shared" ca="1" si="494"/>
        <v>0</v>
      </c>
      <c r="EH302" s="3">
        <f ca="1">IFERROR(IF(LEFT($BA302,1)="4",OFFSET(변환표준점수!$H$118,MATCH($S302,변환표준점수!$B$119:$B$198,0),),OFFSET(EH$3,MATCH(AS302,$ED$4:$ED$8,0),0)),0)</f>
        <v>0</v>
      </c>
      <c r="EI302" s="3">
        <f ca="1">IFERROR(IF(LEFT($BA302,1)="4",OFFSET(변환표준점수!$I$118,MATCH($S302,변환표준점수!$B$119:$B$198,0),0),OFFSET(EI$3,MATCH(AT302,$ED$4:$ED$8,0),0)),0)</f>
        <v>0</v>
      </c>
      <c r="EK302" s="3">
        <f ca="1">IFERROR(IF(LEFT($BA302,1)="4",OFFSET(변환표준점수!$J$118,MATCH($S302,변환표준점수!$B$119:$B$198,0),0),OFFSET(EJ$3,MATCH(AV302,$ED$4:$ED$8,0),0)),0)</f>
        <v>0</v>
      </c>
      <c r="EL302" s="3">
        <f ca="1">IFERROR(IF(LEFT($BA302,1)="4",OFFSET(변환표준점수!$K$118,MATCH($S302,변환표준점수!$B$119:$B$198,0),0),OFFSET(EK$3,MATCH(AW302,$ED$4:$ED$8,0),0)),0)</f>
        <v>0</v>
      </c>
      <c r="EM302" s="3" t="str">
        <f t="shared" ca="1" si="495"/>
        <v/>
      </c>
      <c r="EN302" s="3" t="str">
        <f t="shared" ca="1" si="496"/>
        <v/>
      </c>
      <c r="EO302" s="3">
        <f t="shared" ca="1" si="497"/>
        <v>0</v>
      </c>
      <c r="EQ302" s="3">
        <f t="shared" ca="1" si="498"/>
        <v>0</v>
      </c>
      <c r="ER302" s="3">
        <f t="shared" ca="1" si="499"/>
        <v>0</v>
      </c>
      <c r="ES302" s="3">
        <f t="shared" ca="1" si="500"/>
        <v>0</v>
      </c>
      <c r="ET302" s="3">
        <f t="shared" ca="1" si="501"/>
        <v>0</v>
      </c>
      <c r="EU302" s="3">
        <f t="shared" si="502"/>
        <v>0</v>
      </c>
      <c r="EV302" s="3">
        <f t="shared" ca="1" si="503"/>
        <v>0</v>
      </c>
      <c r="EW302" s="3">
        <f t="shared" ca="1" si="504"/>
        <v>0</v>
      </c>
      <c r="EX302" s="3">
        <f ca="1">LARGE((ES302:ET302,EV302:EW302),1)</f>
        <v>0</v>
      </c>
      <c r="EY302" s="3">
        <f ca="1">IF(O302&lt;2,0,LARGE((ES302:ET302,EV302:EW302),2))</f>
        <v>0</v>
      </c>
      <c r="EZ302" s="3">
        <f t="shared" ca="1" si="505"/>
        <v>0</v>
      </c>
      <c r="FA302" s="3">
        <f t="shared" ca="1" si="506"/>
        <v>0</v>
      </c>
      <c r="FB302" s="3">
        <f t="shared" ca="1" si="507"/>
        <v>0</v>
      </c>
      <c r="FG302" s="3">
        <f t="shared" ca="1" si="508"/>
        <v>0</v>
      </c>
      <c r="FH302" s="618"/>
      <c r="FU302" s="3" t="str">
        <f t="shared" si="463"/>
        <v>표점</v>
      </c>
      <c r="FV302" s="3" t="str">
        <f t="shared" si="464"/>
        <v>표점</v>
      </c>
      <c r="FW302" s="3">
        <f t="shared" si="509"/>
        <v>0.25</v>
      </c>
      <c r="FX302" s="3">
        <f t="shared" si="510"/>
        <v>0.38</v>
      </c>
      <c r="FY302" s="3">
        <f t="shared" si="511"/>
        <v>0.38</v>
      </c>
      <c r="FZ302" s="3">
        <f t="shared" si="512"/>
        <v>4</v>
      </c>
    </row>
    <row r="303" spans="1:182">
      <c r="A303" s="556">
        <v>26</v>
      </c>
      <c r="C303" s="3">
        <f t="shared" si="465"/>
        <v>288</v>
      </c>
      <c r="E303" s="3" t="s">
        <v>7758</v>
      </c>
      <c r="F303" s="3">
        <v>1000</v>
      </c>
      <c r="G303" s="3">
        <v>0.2</v>
      </c>
      <c r="H303" s="3">
        <v>0.3</v>
      </c>
      <c r="I303" s="3">
        <v>0.15</v>
      </c>
      <c r="J303" s="3">
        <v>0.15</v>
      </c>
      <c r="L303" s="3">
        <v>0.15</v>
      </c>
      <c r="M303" s="3">
        <v>0.15</v>
      </c>
      <c r="O303" s="3">
        <v>2</v>
      </c>
      <c r="P303" s="3">
        <f t="shared" si="466"/>
        <v>0.8</v>
      </c>
      <c r="S303" s="3">
        <f t="shared" si="467"/>
        <v>0</v>
      </c>
      <c r="W303" s="3">
        <f t="shared" si="468"/>
        <v>0</v>
      </c>
      <c r="Y303" s="3">
        <f t="shared" si="469"/>
        <v>1</v>
      </c>
      <c r="Z303" s="3">
        <f t="shared" si="470"/>
        <v>1.5</v>
      </c>
      <c r="AA303" s="3">
        <f t="shared" si="471"/>
        <v>1.5</v>
      </c>
      <c r="AB303" s="3">
        <f t="shared" si="472"/>
        <v>1.5</v>
      </c>
      <c r="AC303" s="3">
        <f t="shared" si="473"/>
        <v>1.5</v>
      </c>
      <c r="AD303" s="3">
        <f t="shared" si="474"/>
        <v>1</v>
      </c>
      <c r="AE303" s="3">
        <f t="shared" si="475"/>
        <v>1.5</v>
      </c>
      <c r="AF303" s="3">
        <f t="shared" si="476"/>
        <v>1.5</v>
      </c>
      <c r="AG303" s="3">
        <f t="shared" si="477"/>
        <v>1.5</v>
      </c>
      <c r="AH303" s="3" t="str">
        <f t="shared" si="478"/>
        <v>자동</v>
      </c>
      <c r="AI303" s="3">
        <f t="shared" si="479"/>
        <v>1.5</v>
      </c>
      <c r="AJ303" s="3">
        <f t="shared" si="480"/>
        <v>1.5</v>
      </c>
      <c r="AL303" s="3" t="str">
        <f t="shared" si="481"/>
        <v/>
      </c>
      <c r="AN303" s="3" t="str">
        <f ca="1">IF($BA303=42,OFFSET(변환표준점수!C$119,$AP303-1,0),"")</f>
        <v/>
      </c>
      <c r="AO303" s="3" t="str">
        <f ca="1">IF($BA303=42,OFFSET(변환표준점수!D$119,$AP303-1,0),"")</f>
        <v/>
      </c>
      <c r="AP303" s="3" t="e">
        <f>IF(S303="","",MATCH(S303,변환표준점수!$B$119:$B$298,0))</f>
        <v>#N/A</v>
      </c>
      <c r="AQ303" s="3">
        <v>1</v>
      </c>
      <c r="AR303" s="3">
        <v>1</v>
      </c>
      <c r="AS303" s="3">
        <v>1</v>
      </c>
      <c r="AT303" s="3">
        <v>1</v>
      </c>
      <c r="AV303" s="3">
        <v>1</v>
      </c>
      <c r="AW303" s="3">
        <v>1</v>
      </c>
      <c r="AX303" s="3">
        <v>3</v>
      </c>
      <c r="AY303" s="3">
        <v>3</v>
      </c>
      <c r="BA303" s="3">
        <f t="shared" si="482"/>
        <v>1</v>
      </c>
      <c r="BF303" s="3">
        <f>AF303*0.05</f>
        <v>7.5000000000000011E-2</v>
      </c>
      <c r="BG303" s="3">
        <f>AG303*0.05</f>
        <v>7.5000000000000011E-2</v>
      </c>
      <c r="BJ303" s="3">
        <f t="shared" si="483"/>
        <v>0</v>
      </c>
      <c r="BN303" s="212" t="s">
        <v>7273</v>
      </c>
      <c r="BS303" s="3">
        <f ca="1">EH303*BF303</f>
        <v>0</v>
      </c>
      <c r="BT303" s="3">
        <f ca="1">EI303*BG303</f>
        <v>0</v>
      </c>
      <c r="CH303" s="206">
        <f t="shared" si="484"/>
        <v>800</v>
      </c>
      <c r="CI303" s="56">
        <v>200</v>
      </c>
      <c r="CJ303" s="3">
        <v>198</v>
      </c>
      <c r="CK303" s="3">
        <v>195</v>
      </c>
      <c r="CL303" s="3">
        <v>190</v>
      </c>
      <c r="CM303" s="3">
        <v>185</v>
      </c>
      <c r="CN303" s="3">
        <v>180</v>
      </c>
      <c r="CO303" s="3">
        <v>175</v>
      </c>
      <c r="CP303" s="3">
        <v>170</v>
      </c>
      <c r="CQ303" s="3">
        <v>165</v>
      </c>
      <c r="CR303" s="56">
        <v>10</v>
      </c>
      <c r="CS303" s="3">
        <v>10</v>
      </c>
      <c r="CT303" s="3">
        <v>10</v>
      </c>
      <c r="CU303" s="3">
        <v>10</v>
      </c>
      <c r="CV303" s="3">
        <v>9.8000000000000007</v>
      </c>
      <c r="CW303" s="3">
        <v>9.6</v>
      </c>
      <c r="CX303" s="3">
        <v>9.4</v>
      </c>
      <c r="CY303" s="3">
        <v>9.1999999999999993</v>
      </c>
      <c r="CZ303" s="3">
        <v>9</v>
      </c>
      <c r="DJ303" s="3">
        <f t="shared" ca="1" si="486"/>
        <v>200</v>
      </c>
      <c r="DK303" s="3">
        <f t="shared" ca="1" si="487"/>
        <v>100</v>
      </c>
      <c r="DL303" s="3">
        <f t="shared" ca="1" si="488"/>
        <v>10</v>
      </c>
      <c r="DO303" s="3">
        <v>2</v>
      </c>
      <c r="DZ303" s="3">
        <v>1</v>
      </c>
      <c r="EA303" s="3">
        <f t="shared" si="489"/>
        <v>1</v>
      </c>
      <c r="EB303" s="3">
        <f t="shared" si="490"/>
        <v>2</v>
      </c>
      <c r="EC303" s="3">
        <f t="shared" si="491"/>
        <v>0</v>
      </c>
      <c r="ED303" s="3">
        <f t="shared" si="492"/>
        <v>0</v>
      </c>
      <c r="EF303" s="3">
        <f t="shared" ca="1" si="493"/>
        <v>0</v>
      </c>
      <c r="EG303" s="3">
        <f t="shared" ca="1" si="494"/>
        <v>0</v>
      </c>
      <c r="EH303" s="3">
        <f ca="1">IFERROR(IF(LEFT($BA303,1)="4",OFFSET(변환표준점수!$H$118,MATCH($S303,변환표준점수!$B$119:$B$198,0),),OFFSET(EH$3,MATCH(AS303,$ED$4:$ED$8,0),0)),0)</f>
        <v>0</v>
      </c>
      <c r="EI303" s="3">
        <f ca="1">IFERROR(IF(LEFT($BA303,1)="4",OFFSET(변환표준점수!$I$118,MATCH($S303,변환표준점수!$B$119:$B$198,0),0),OFFSET(EI$3,MATCH(AT303,$ED$4:$ED$8,0),0)),0)</f>
        <v>0</v>
      </c>
      <c r="EK303" s="3">
        <f ca="1">IFERROR(IF(LEFT($BA303,1)="4",OFFSET(변환표준점수!$J$118,MATCH($S303,변환표준점수!$B$119:$B$198,0),0),OFFSET(EJ$3,MATCH(AV303,$ED$4:$ED$8,0),0)),0)</f>
        <v>0</v>
      </c>
      <c r="EL303" s="3">
        <f ca="1">IFERROR(IF(LEFT($BA303,1)="4",OFFSET(변환표준점수!$K$118,MATCH($S303,변환표준점수!$B$119:$B$198,0),0),OFFSET(EK$3,MATCH(AW303,$ED$4:$ED$8,0),0)),0)</f>
        <v>0</v>
      </c>
      <c r="EM303" s="3" t="str">
        <f t="shared" ca="1" si="495"/>
        <v/>
      </c>
      <c r="EN303" s="3" t="str">
        <f t="shared" ca="1" si="496"/>
        <v/>
      </c>
      <c r="EO303" s="3">
        <f t="shared" ca="1" si="497"/>
        <v>0</v>
      </c>
      <c r="EQ303" s="3">
        <f t="shared" ca="1" si="498"/>
        <v>0</v>
      </c>
      <c r="ER303" s="3">
        <f t="shared" ca="1" si="499"/>
        <v>0</v>
      </c>
      <c r="ES303" s="3">
        <f t="shared" ca="1" si="500"/>
        <v>0</v>
      </c>
      <c r="ET303" s="3">
        <f t="shared" ca="1" si="501"/>
        <v>0</v>
      </c>
      <c r="EU303" s="3">
        <f t="shared" si="502"/>
        <v>0</v>
      </c>
      <c r="EV303" s="3">
        <f t="shared" ca="1" si="503"/>
        <v>0</v>
      </c>
      <c r="EW303" s="3">
        <f t="shared" ca="1" si="504"/>
        <v>0</v>
      </c>
      <c r="EX303" s="3">
        <f ca="1">LARGE((ES303:ET303,EV303:EW303),1)</f>
        <v>0</v>
      </c>
      <c r="EY303" s="3">
        <f ca="1">IF(O303&lt;2,0,LARGE((ES303:ET303,EV303:EW303),2))</f>
        <v>0</v>
      </c>
      <c r="EZ303" s="3">
        <f t="shared" ca="1" si="505"/>
        <v>0</v>
      </c>
      <c r="FA303" s="3">
        <f t="shared" ca="1" si="506"/>
        <v>0</v>
      </c>
      <c r="FB303" s="3">
        <f t="shared" ca="1" si="507"/>
        <v>0</v>
      </c>
      <c r="FG303" s="3">
        <f t="shared" ca="1" si="508"/>
        <v>0</v>
      </c>
      <c r="FH303" s="618"/>
      <c r="FU303" s="3" t="str">
        <f t="shared" si="463"/>
        <v>표점</v>
      </c>
      <c r="FV303" s="3" t="str">
        <f t="shared" si="464"/>
        <v>표점</v>
      </c>
      <c r="FW303" s="3">
        <f t="shared" ref="FW303:FW317" si="516">ROUND(Y303/$FZ303,2)</f>
        <v>0.25</v>
      </c>
      <c r="FX303" s="3">
        <f t="shared" ref="FX303:FX317" si="517">ROUND(Z303/$FZ303,2)</f>
        <v>0.38</v>
      </c>
      <c r="FY303" s="3">
        <f t="shared" ref="FY303:FY317" si="518">ROUND(AC303/$FZ303,2)</f>
        <v>0.38</v>
      </c>
      <c r="FZ303" s="3">
        <f t="shared" ref="FZ303:FZ317" si="519">Y303+Z303+AC303</f>
        <v>4</v>
      </c>
    </row>
    <row r="304" spans="1:182">
      <c r="A304" s="556">
        <v>26</v>
      </c>
      <c r="C304" s="3">
        <f t="shared" si="465"/>
        <v>289</v>
      </c>
      <c r="E304" s="3" t="s">
        <v>7370</v>
      </c>
      <c r="F304" s="3">
        <v>1000</v>
      </c>
      <c r="G304" s="3">
        <v>0.2</v>
      </c>
      <c r="H304" s="3">
        <v>0.3</v>
      </c>
      <c r="I304" s="3">
        <v>0.15</v>
      </c>
      <c r="J304" s="3">
        <v>0.15</v>
      </c>
      <c r="L304" s="3">
        <v>0.15</v>
      </c>
      <c r="M304" s="3">
        <v>0.15</v>
      </c>
      <c r="O304" s="3">
        <v>2</v>
      </c>
      <c r="P304" s="3">
        <f t="shared" si="466"/>
        <v>0.8</v>
      </c>
      <c r="S304" s="3">
        <f t="shared" si="467"/>
        <v>0</v>
      </c>
      <c r="W304" s="3">
        <f t="shared" si="468"/>
        <v>0</v>
      </c>
      <c r="Y304" s="3">
        <f t="shared" si="469"/>
        <v>1</v>
      </c>
      <c r="Z304" s="3">
        <f t="shared" si="470"/>
        <v>1.5</v>
      </c>
      <c r="AA304" s="3">
        <f t="shared" si="471"/>
        <v>1.5</v>
      </c>
      <c r="AB304" s="3">
        <f t="shared" si="472"/>
        <v>1.5</v>
      </c>
      <c r="AC304" s="3">
        <f t="shared" si="473"/>
        <v>1.5</v>
      </c>
      <c r="AD304" s="3">
        <f t="shared" si="474"/>
        <v>1</v>
      </c>
      <c r="AE304" s="3">
        <f t="shared" si="475"/>
        <v>1.5</v>
      </c>
      <c r="AF304" s="3">
        <f t="shared" si="476"/>
        <v>1.5</v>
      </c>
      <c r="AG304" s="3">
        <f t="shared" si="477"/>
        <v>1.5</v>
      </c>
      <c r="AH304" s="3" t="str">
        <f t="shared" si="478"/>
        <v>자동</v>
      </c>
      <c r="AI304" s="3">
        <f t="shared" si="479"/>
        <v>1.5</v>
      </c>
      <c r="AJ304" s="3">
        <f t="shared" si="480"/>
        <v>1.5</v>
      </c>
      <c r="AL304" s="3" t="str">
        <f t="shared" si="481"/>
        <v/>
      </c>
      <c r="AN304" s="3" t="str">
        <f ca="1">IF($BA304=42,OFFSET(변환표준점수!C$119,$AP304-1,0),"")</f>
        <v/>
      </c>
      <c r="AO304" s="3" t="str">
        <f ca="1">IF($BA304=42,OFFSET(변환표준점수!D$119,$AP304-1,0),"")</f>
        <v/>
      </c>
      <c r="AP304" s="3" t="e">
        <f>IF(S304="","",MATCH(S304,변환표준점수!$B$119:$B$298,0))</f>
        <v>#N/A</v>
      </c>
      <c r="AQ304" s="3">
        <v>1</v>
      </c>
      <c r="AR304" s="3">
        <v>1</v>
      </c>
      <c r="AS304" s="3">
        <v>1</v>
      </c>
      <c r="AT304" s="3">
        <v>1</v>
      </c>
      <c r="AV304" s="3">
        <v>1</v>
      </c>
      <c r="AW304" s="3">
        <v>1</v>
      </c>
      <c r="AX304" s="3">
        <v>3</v>
      </c>
      <c r="AY304" s="3">
        <v>3</v>
      </c>
      <c r="BA304" s="3">
        <f t="shared" si="482"/>
        <v>1</v>
      </c>
      <c r="BJ304" s="3">
        <f t="shared" si="483"/>
        <v>0</v>
      </c>
      <c r="CH304" s="206">
        <f t="shared" si="484"/>
        <v>800</v>
      </c>
      <c r="CI304" s="56">
        <v>200</v>
      </c>
      <c r="CJ304" s="3">
        <v>198</v>
      </c>
      <c r="CK304" s="3">
        <v>195</v>
      </c>
      <c r="CL304" s="3">
        <v>190</v>
      </c>
      <c r="CM304" s="3">
        <v>185</v>
      </c>
      <c r="CN304" s="3">
        <v>180</v>
      </c>
      <c r="CO304" s="3">
        <v>175</v>
      </c>
      <c r="CP304" s="3">
        <v>170</v>
      </c>
      <c r="CQ304" s="3">
        <v>165</v>
      </c>
      <c r="CR304" s="56">
        <v>10</v>
      </c>
      <c r="CS304" s="3">
        <v>10</v>
      </c>
      <c r="CT304" s="3">
        <v>10</v>
      </c>
      <c r="CU304" s="3">
        <v>10</v>
      </c>
      <c r="CV304" s="3">
        <v>9.8000000000000007</v>
      </c>
      <c r="CW304" s="3">
        <v>9.6</v>
      </c>
      <c r="CX304" s="3">
        <v>9.4</v>
      </c>
      <c r="CY304" s="3">
        <v>9.1999999999999993</v>
      </c>
      <c r="CZ304" s="3">
        <v>9</v>
      </c>
      <c r="DJ304" s="3">
        <f t="shared" ca="1" si="486"/>
        <v>200</v>
      </c>
      <c r="DK304" s="3">
        <f t="shared" ca="1" si="487"/>
        <v>100</v>
      </c>
      <c r="DL304" s="3">
        <f t="shared" ca="1" si="488"/>
        <v>10</v>
      </c>
      <c r="DO304" s="3">
        <v>2</v>
      </c>
      <c r="DZ304" s="3">
        <v>1</v>
      </c>
      <c r="EA304" s="3">
        <f t="shared" si="489"/>
        <v>1</v>
      </c>
      <c r="EB304" s="3">
        <f t="shared" si="490"/>
        <v>2</v>
      </c>
      <c r="EC304" s="3">
        <f t="shared" si="491"/>
        <v>0</v>
      </c>
      <c r="ED304" s="3">
        <f t="shared" si="492"/>
        <v>0</v>
      </c>
      <c r="EF304" s="3">
        <f t="shared" ca="1" si="493"/>
        <v>0</v>
      </c>
      <c r="EG304" s="3">
        <f t="shared" ca="1" si="494"/>
        <v>0</v>
      </c>
      <c r="EH304" s="3">
        <f ca="1">IFERROR(IF(LEFT($BA304,1)="4",OFFSET(변환표준점수!$H$118,MATCH($S304,변환표준점수!$B$119:$B$198,0),),OFFSET(EH$3,MATCH(AS304,$ED$4:$ED$8,0),0)),0)</f>
        <v>0</v>
      </c>
      <c r="EI304" s="3">
        <f ca="1">IFERROR(IF(LEFT($BA304,1)="4",OFFSET(변환표준점수!$I$118,MATCH($S304,변환표준점수!$B$119:$B$198,0),0),OFFSET(EI$3,MATCH(AT304,$ED$4:$ED$8,0),0)),0)</f>
        <v>0</v>
      </c>
      <c r="EK304" s="3">
        <f ca="1">IFERROR(IF(LEFT($BA304,1)="4",OFFSET(변환표준점수!$J$118,MATCH($S304,변환표준점수!$B$119:$B$198,0),0),OFFSET(EJ$3,MATCH(AV304,$ED$4:$ED$8,0),0)),0)</f>
        <v>0</v>
      </c>
      <c r="EL304" s="3">
        <f ca="1">IFERROR(IF(LEFT($BA304,1)="4",OFFSET(변환표준점수!$K$118,MATCH($S304,변환표준점수!$B$119:$B$198,0),0),OFFSET(EK$3,MATCH(AW304,$ED$4:$ED$8,0),0)),0)</f>
        <v>0</v>
      </c>
      <c r="EM304" s="3" t="str">
        <f t="shared" ca="1" si="495"/>
        <v/>
      </c>
      <c r="EN304" s="3" t="str">
        <f t="shared" ca="1" si="496"/>
        <v/>
      </c>
      <c r="EO304" s="3">
        <f t="shared" ca="1" si="497"/>
        <v>0</v>
      </c>
      <c r="EQ304" s="3">
        <f t="shared" ca="1" si="498"/>
        <v>0</v>
      </c>
      <c r="ER304" s="3">
        <f t="shared" ca="1" si="499"/>
        <v>0</v>
      </c>
      <c r="ES304" s="3">
        <f t="shared" ca="1" si="500"/>
        <v>0</v>
      </c>
      <c r="ET304" s="3">
        <f t="shared" ca="1" si="501"/>
        <v>0</v>
      </c>
      <c r="EU304" s="3">
        <f t="shared" si="502"/>
        <v>0</v>
      </c>
      <c r="EV304" s="3">
        <f t="shared" ca="1" si="503"/>
        <v>0</v>
      </c>
      <c r="EW304" s="3">
        <f t="shared" ca="1" si="504"/>
        <v>0</v>
      </c>
      <c r="EX304" s="3">
        <f ca="1">LARGE((ES304:ET304,EV304:EW304),1)</f>
        <v>0</v>
      </c>
      <c r="EY304" s="3">
        <f ca="1">IF(O304&lt;2,0,LARGE((ES304:ET304,EV304:EW304),2))</f>
        <v>0</v>
      </c>
      <c r="EZ304" s="3">
        <f t="shared" ca="1" si="505"/>
        <v>0</v>
      </c>
      <c r="FA304" s="3">
        <f t="shared" ca="1" si="506"/>
        <v>0</v>
      </c>
      <c r="FB304" s="3">
        <f t="shared" ca="1" si="507"/>
        <v>0</v>
      </c>
      <c r="FG304" s="3">
        <f t="shared" ca="1" si="508"/>
        <v>0</v>
      </c>
      <c r="FH304" s="618"/>
      <c r="FU304" s="3" t="str">
        <f t="shared" si="463"/>
        <v>표점</v>
      </c>
      <c r="FV304" s="3" t="str">
        <f t="shared" si="464"/>
        <v>표점</v>
      </c>
      <c r="FW304" s="3">
        <f t="shared" si="516"/>
        <v>0.25</v>
      </c>
      <c r="FX304" s="3">
        <f t="shared" si="517"/>
        <v>0.38</v>
      </c>
      <c r="FY304" s="3">
        <f t="shared" si="518"/>
        <v>0.38</v>
      </c>
      <c r="FZ304" s="3">
        <f t="shared" si="519"/>
        <v>4</v>
      </c>
    </row>
    <row r="305" spans="1:182">
      <c r="A305" s="556">
        <v>26</v>
      </c>
      <c r="C305" s="3">
        <f t="shared" si="465"/>
        <v>290</v>
      </c>
      <c r="E305" s="3" t="s">
        <v>7759</v>
      </c>
      <c r="F305" s="3">
        <v>800</v>
      </c>
      <c r="G305" s="3">
        <f>160/800</f>
        <v>0.2</v>
      </c>
      <c r="H305" s="3">
        <f>240/800</f>
        <v>0.3</v>
      </c>
      <c r="I305" s="3">
        <f>120/800</f>
        <v>0.15</v>
      </c>
      <c r="J305" s="3">
        <f>120/800</f>
        <v>0.15</v>
      </c>
      <c r="L305" s="3">
        <v>0.15</v>
      </c>
      <c r="M305" s="3">
        <v>0.15</v>
      </c>
      <c r="O305" s="3">
        <v>2</v>
      </c>
      <c r="P305" s="3">
        <f t="shared" si="466"/>
        <v>0.8</v>
      </c>
      <c r="S305" s="3">
        <f t="shared" si="467"/>
        <v>0</v>
      </c>
      <c r="U305" s="3">
        <v>1</v>
      </c>
      <c r="W305" s="3">
        <f t="shared" si="468"/>
        <v>0</v>
      </c>
      <c r="Y305" s="3">
        <f t="shared" si="469"/>
        <v>0.8</v>
      </c>
      <c r="Z305" s="3">
        <f t="shared" si="470"/>
        <v>1.2</v>
      </c>
      <c r="AA305" s="3">
        <f t="shared" si="471"/>
        <v>1.2</v>
      </c>
      <c r="AB305" s="3">
        <f t="shared" si="472"/>
        <v>1.2</v>
      </c>
      <c r="AC305" s="3">
        <f t="shared" si="473"/>
        <v>1.2</v>
      </c>
      <c r="AD305" s="3">
        <f t="shared" si="474"/>
        <v>0.8</v>
      </c>
      <c r="AE305" s="3">
        <f t="shared" si="475"/>
        <v>1.2</v>
      </c>
      <c r="AF305" s="3">
        <f t="shared" si="476"/>
        <v>1.2</v>
      </c>
      <c r="AG305" s="3">
        <f t="shared" si="477"/>
        <v>1.2</v>
      </c>
      <c r="AH305" s="3" t="str">
        <f t="shared" si="478"/>
        <v>자동</v>
      </c>
      <c r="AI305" s="3">
        <f t="shared" si="479"/>
        <v>1.2</v>
      </c>
      <c r="AJ305" s="3">
        <f t="shared" si="480"/>
        <v>1.2</v>
      </c>
      <c r="AL305" s="3" t="str">
        <f t="shared" si="481"/>
        <v/>
      </c>
      <c r="AN305" s="3" t="str">
        <f ca="1">IF($BA305=42,OFFSET(변환표준점수!C$119,$AP305-1,0),"")</f>
        <v/>
      </c>
      <c r="AO305" s="3" t="str">
        <f ca="1">IF($BA305=42,OFFSET(변환표준점수!D$119,$AP305-1,0),"")</f>
        <v/>
      </c>
      <c r="AP305" s="3" t="e">
        <f>IF(S305="","",MATCH(S305,변환표준점수!$B$119:$B$298,0))</f>
        <v>#N/A</v>
      </c>
      <c r="AQ305" s="3">
        <v>1</v>
      </c>
      <c r="AR305" s="3">
        <v>1</v>
      </c>
      <c r="AS305" s="3">
        <v>1</v>
      </c>
      <c r="AT305" s="3">
        <v>1</v>
      </c>
      <c r="AV305" s="3">
        <v>1</v>
      </c>
      <c r="AW305" s="3">
        <v>1</v>
      </c>
      <c r="AX305" s="3">
        <v>3</v>
      </c>
      <c r="AY305" s="3">
        <v>3</v>
      </c>
      <c r="BA305" s="3">
        <f t="shared" si="482"/>
        <v>1</v>
      </c>
      <c r="BF305" s="3">
        <f>AF305*0.05</f>
        <v>0.06</v>
      </c>
      <c r="BG305" s="3">
        <f>AG305*0.05</f>
        <v>0.06</v>
      </c>
      <c r="BJ305" s="3">
        <f t="shared" si="483"/>
        <v>0</v>
      </c>
      <c r="BN305" s="212" t="s">
        <v>7273</v>
      </c>
      <c r="BS305" s="3">
        <f ca="1">EH305*BF305</f>
        <v>0</v>
      </c>
      <c r="BT305" s="3">
        <f ca="1">EI305*BG305</f>
        <v>0</v>
      </c>
      <c r="CH305" s="206">
        <f t="shared" si="484"/>
        <v>640</v>
      </c>
      <c r="CI305" s="56">
        <v>160</v>
      </c>
      <c r="CJ305" s="3">
        <v>158.4</v>
      </c>
      <c r="CK305" s="3">
        <v>156</v>
      </c>
      <c r="CL305" s="3">
        <v>152</v>
      </c>
      <c r="CM305" s="3">
        <v>148</v>
      </c>
      <c r="CN305" s="3">
        <v>144</v>
      </c>
      <c r="CO305" s="3">
        <v>140</v>
      </c>
      <c r="CP305" s="3">
        <v>136</v>
      </c>
      <c r="CQ305" s="3">
        <v>132</v>
      </c>
      <c r="CR305" s="56">
        <v>10</v>
      </c>
      <c r="CS305" s="3">
        <v>10</v>
      </c>
      <c r="CT305" s="3">
        <v>10</v>
      </c>
      <c r="CU305" s="3">
        <v>10</v>
      </c>
      <c r="CV305" s="3">
        <v>9.8000000000000007</v>
      </c>
      <c r="CW305" s="3">
        <v>9.6</v>
      </c>
      <c r="CX305" s="3">
        <v>9.4</v>
      </c>
      <c r="CY305" s="3">
        <v>9.1999999999999993</v>
      </c>
      <c r="CZ305" s="3">
        <v>9</v>
      </c>
      <c r="DJ305" s="3">
        <f t="shared" ca="1" si="486"/>
        <v>160</v>
      </c>
      <c r="DK305" s="3">
        <f t="shared" ca="1" si="487"/>
        <v>100</v>
      </c>
      <c r="DL305" s="3">
        <f t="shared" ca="1" si="488"/>
        <v>10</v>
      </c>
      <c r="DO305" s="3">
        <v>2</v>
      </c>
      <c r="DW305" s="3" t="e">
        <f>IF(AND(O10&lt;4.1,H10+(G10+(I10+J10+L10+M10)/2+N10-MAX(G10,N10,(I10+J10+L10+M10)/2))&lt;4.1),0,1)</f>
        <v>#VALUE!</v>
      </c>
      <c r="DZ305" s="3">
        <v>1</v>
      </c>
      <c r="EA305" s="3">
        <f t="shared" si="489"/>
        <v>1</v>
      </c>
      <c r="EB305" s="3">
        <f t="shared" si="490"/>
        <v>2</v>
      </c>
      <c r="EC305" s="3">
        <f t="shared" si="491"/>
        <v>0</v>
      </c>
      <c r="ED305" s="3">
        <f t="shared" si="492"/>
        <v>0</v>
      </c>
      <c r="EF305" s="3">
        <f t="shared" ca="1" si="493"/>
        <v>0</v>
      </c>
      <c r="EG305" s="3">
        <f t="shared" ca="1" si="494"/>
        <v>0</v>
      </c>
      <c r="EH305" s="3">
        <f ca="1">IFERROR(IF(LEFT($BA305,1)="4",OFFSET(변환표준점수!$H$118,MATCH($S305,변환표준점수!$B$119:$B$198,0),),OFFSET(EH$3,MATCH(AS305,$ED$4:$ED$8,0),0)),0)</f>
        <v>0</v>
      </c>
      <c r="EI305" s="3">
        <f ca="1">IFERROR(IF(LEFT($BA305,1)="4",OFFSET(변환표준점수!$I$118,MATCH($S305,변환표준점수!$B$119:$B$198,0),0),OFFSET(EI$3,MATCH(AT305,$ED$4:$ED$8,0),0)),0)</f>
        <v>0</v>
      </c>
      <c r="EK305" s="3">
        <f ca="1">IFERROR(IF(LEFT($BA305,1)="4",OFFSET(변환표준점수!$J$118,MATCH($S305,변환표준점수!$B$119:$B$198,0),0),OFFSET(EJ$3,MATCH(AV305,$ED$4:$ED$8,0),0)),0)</f>
        <v>0</v>
      </c>
      <c r="EL305" s="3">
        <f ca="1">IFERROR(IF(LEFT($BA305,1)="4",OFFSET(변환표준점수!$K$118,MATCH($S305,변환표준점수!$B$119:$B$198,0),0),OFFSET(EK$3,MATCH(AW305,$ED$4:$ED$8,0),0)),0)</f>
        <v>0</v>
      </c>
      <c r="EM305" s="3" t="str">
        <f t="shared" ca="1" si="495"/>
        <v/>
      </c>
      <c r="EN305" s="3" t="str">
        <f t="shared" ca="1" si="496"/>
        <v/>
      </c>
      <c r="EO305" s="3">
        <f t="shared" ca="1" si="497"/>
        <v>0</v>
      </c>
      <c r="EQ305" s="3">
        <f t="shared" ca="1" si="498"/>
        <v>0</v>
      </c>
      <c r="ER305" s="3">
        <f t="shared" ca="1" si="499"/>
        <v>0</v>
      </c>
      <c r="ES305" s="3">
        <f t="shared" ca="1" si="500"/>
        <v>0</v>
      </c>
      <c r="ET305" s="3">
        <f t="shared" ca="1" si="501"/>
        <v>0</v>
      </c>
      <c r="EU305" s="3">
        <f t="shared" si="502"/>
        <v>0</v>
      </c>
      <c r="EV305" s="3">
        <f t="shared" ca="1" si="503"/>
        <v>0</v>
      </c>
      <c r="EW305" s="3">
        <f t="shared" ca="1" si="504"/>
        <v>0</v>
      </c>
      <c r="EX305" s="3">
        <f ca="1">LARGE((ES305:ET305,EV305:EW305),1)</f>
        <v>0</v>
      </c>
      <c r="EY305" s="3">
        <f ca="1">IF(O305&lt;2,0,LARGE((ES305:ET305,EV305:EW305),2))</f>
        <v>0</v>
      </c>
      <c r="EZ305" s="3">
        <f t="shared" ca="1" si="505"/>
        <v>0</v>
      </c>
      <c r="FA305" s="3">
        <f t="shared" ca="1" si="506"/>
        <v>0</v>
      </c>
      <c r="FB305" s="3">
        <f t="shared" ca="1" si="507"/>
        <v>0</v>
      </c>
      <c r="FG305" s="3">
        <f t="shared" ca="1" si="508"/>
        <v>0</v>
      </c>
      <c r="FH305" s="618" t="s">
        <v>7760</v>
      </c>
      <c r="FU305" s="3" t="str">
        <f t="shared" si="463"/>
        <v>표점</v>
      </c>
      <c r="FV305" s="3" t="str">
        <f t="shared" si="464"/>
        <v>표점</v>
      </c>
      <c r="FW305" s="3">
        <f t="shared" si="516"/>
        <v>0.25</v>
      </c>
      <c r="FX305" s="3">
        <f t="shared" si="517"/>
        <v>0.38</v>
      </c>
      <c r="FY305" s="3">
        <f t="shared" si="518"/>
        <v>0.38</v>
      </c>
      <c r="FZ305" s="3">
        <f t="shared" si="519"/>
        <v>3.2</v>
      </c>
    </row>
    <row r="306" spans="1:182">
      <c r="A306" s="556">
        <v>26</v>
      </c>
      <c r="C306" s="3">
        <f t="shared" si="465"/>
        <v>291</v>
      </c>
      <c r="E306" s="3" t="s">
        <v>7761</v>
      </c>
      <c r="F306" s="3">
        <v>300</v>
      </c>
      <c r="G306" s="3">
        <v>0.25</v>
      </c>
      <c r="H306" s="3">
        <v>0.45</v>
      </c>
      <c r="I306" s="3">
        <v>0.15</v>
      </c>
      <c r="J306" s="3">
        <v>0.15</v>
      </c>
      <c r="L306" s="3">
        <v>0.15</v>
      </c>
      <c r="M306" s="3">
        <v>0.15</v>
      </c>
      <c r="O306" s="3">
        <v>2</v>
      </c>
      <c r="P306" s="3">
        <f t="shared" si="466"/>
        <v>1</v>
      </c>
      <c r="S306" s="3">
        <f t="shared" si="467"/>
        <v>0</v>
      </c>
      <c r="W306" s="3">
        <f t="shared" si="468"/>
        <v>0</v>
      </c>
      <c r="Y306" s="3">
        <f t="shared" si="469"/>
        <v>0.375</v>
      </c>
      <c r="Z306" s="3">
        <f t="shared" si="470"/>
        <v>0.67500000000000004</v>
      </c>
      <c r="AA306" s="3">
        <f t="shared" si="471"/>
        <v>0.45</v>
      </c>
      <c r="AB306" s="3">
        <f t="shared" si="472"/>
        <v>0.45</v>
      </c>
      <c r="AC306" s="3">
        <f t="shared" si="473"/>
        <v>0.45</v>
      </c>
      <c r="AD306" s="3">
        <f t="shared" si="474"/>
        <v>0.375</v>
      </c>
      <c r="AE306" s="3">
        <f t="shared" si="475"/>
        <v>0.67500000000000004</v>
      </c>
      <c r="AF306" s="3">
        <f t="shared" si="476"/>
        <v>0.45</v>
      </c>
      <c r="AG306" s="3">
        <f t="shared" si="477"/>
        <v>0.45</v>
      </c>
      <c r="AH306" s="3" t="str">
        <f t="shared" si="478"/>
        <v>자동</v>
      </c>
      <c r="AI306" s="3">
        <f t="shared" si="479"/>
        <v>0.45</v>
      </c>
      <c r="AJ306" s="3">
        <f t="shared" si="480"/>
        <v>0.45</v>
      </c>
      <c r="AL306" s="3" t="str">
        <f t="shared" si="481"/>
        <v/>
      </c>
      <c r="AN306" s="3" t="str">
        <f ca="1">IF($BA306=42,OFFSET(변환표준점수!C$119,$AP306-1,0),"")</f>
        <v/>
      </c>
      <c r="AO306" s="3" t="str">
        <f ca="1">IF($BA306=42,OFFSET(변환표준점수!D$119,$AP306-1,0),"")</f>
        <v/>
      </c>
      <c r="AP306" s="3" t="e">
        <f>IF(S306="","",MATCH(S306,변환표준점수!$B$119:$B$298,0))</f>
        <v>#N/A</v>
      </c>
      <c r="AQ306" s="3">
        <v>1</v>
      </c>
      <c r="AR306" s="3">
        <v>1</v>
      </c>
      <c r="AS306" s="3">
        <v>1</v>
      </c>
      <c r="AT306" s="3">
        <v>1</v>
      </c>
      <c r="AV306" s="3">
        <v>1</v>
      </c>
      <c r="AW306" s="3">
        <v>1</v>
      </c>
      <c r="AX306" s="3">
        <v>3</v>
      </c>
      <c r="AY306" s="3">
        <v>3</v>
      </c>
      <c r="BA306" s="3">
        <f t="shared" si="482"/>
        <v>1</v>
      </c>
      <c r="BF306" s="3">
        <f>AA306*0.1</f>
        <v>4.5000000000000005E-2</v>
      </c>
      <c r="BG306" s="3">
        <f>AB306*0.1</f>
        <v>4.5000000000000005E-2</v>
      </c>
      <c r="BJ306" s="3">
        <f t="shared" si="483"/>
        <v>0</v>
      </c>
      <c r="BN306" s="212" t="s">
        <v>7735</v>
      </c>
      <c r="BS306" s="3">
        <f ca="1">BF306*EH306</f>
        <v>0</v>
      </c>
      <c r="BT306" s="3">
        <f ca="1">BG306*EI306</f>
        <v>0</v>
      </c>
      <c r="CH306" s="206">
        <f t="shared" si="484"/>
        <v>300</v>
      </c>
      <c r="CJ306" s="3">
        <v>-2</v>
      </c>
      <c r="CK306" s="3">
        <v>-5</v>
      </c>
      <c r="CL306" s="3">
        <v>-8</v>
      </c>
      <c r="CM306" s="3">
        <v>-11</v>
      </c>
      <c r="CN306" s="3">
        <v>-14</v>
      </c>
      <c r="CO306" s="3">
        <v>-18</v>
      </c>
      <c r="CP306" s="3">
        <v>-22</v>
      </c>
      <c r="CQ306" s="3">
        <v>-26</v>
      </c>
      <c r="CU306" s="3">
        <v>-1</v>
      </c>
      <c r="CV306" s="3">
        <v>-1</v>
      </c>
      <c r="CW306" s="3">
        <v>-1</v>
      </c>
      <c r="CX306" s="3">
        <v>-2</v>
      </c>
      <c r="CY306" s="3">
        <v>-2</v>
      </c>
      <c r="CZ306" s="3">
        <v>-2</v>
      </c>
      <c r="DJ306" s="3">
        <f t="shared" ca="1" si="486"/>
        <v>0</v>
      </c>
      <c r="DK306" s="3" t="e">
        <f t="shared" ca="1" si="487"/>
        <v>#DIV/0!</v>
      </c>
      <c r="DL306" s="3">
        <f t="shared" ca="1" si="488"/>
        <v>0</v>
      </c>
      <c r="DO306" s="3">
        <v>2</v>
      </c>
      <c r="DQ306" s="3">
        <v>1</v>
      </c>
      <c r="DZ306" s="3">
        <v>1</v>
      </c>
      <c r="EA306" s="3">
        <f t="shared" si="489"/>
        <v>1</v>
      </c>
      <c r="EB306" s="3">
        <f t="shared" si="490"/>
        <v>2</v>
      </c>
      <c r="EC306" s="3">
        <f t="shared" si="491"/>
        <v>0</v>
      </c>
      <c r="ED306" s="3">
        <f t="shared" si="492"/>
        <v>0</v>
      </c>
      <c r="EF306" s="3">
        <f t="shared" ca="1" si="493"/>
        <v>0</v>
      </c>
      <c r="EG306" s="3">
        <f t="shared" ca="1" si="494"/>
        <v>0</v>
      </c>
      <c r="EH306" s="3">
        <f ca="1">IFERROR(IF(LEFT($BA306,1)="4",OFFSET(변환표준점수!$H$118,MATCH($S306,변환표준점수!$B$119:$B$198,0),),OFFSET(EH$3,MATCH(AS306,$ED$4:$ED$8,0),0)),0)</f>
        <v>0</v>
      </c>
      <c r="EI306" s="3">
        <f ca="1">IFERROR(IF(LEFT($BA306,1)="4",OFFSET(변환표준점수!$I$118,MATCH($S306,변환표준점수!$B$119:$B$198,0),0),OFFSET(EI$3,MATCH(AT306,$ED$4:$ED$8,0),0)),0)</f>
        <v>0</v>
      </c>
      <c r="EK306" s="3">
        <f ca="1">IFERROR(IF(LEFT($BA306,1)="4",OFFSET(변환표준점수!$J$118,MATCH($S306,변환표준점수!$B$119:$B$198,0),0),OFFSET(EJ$3,MATCH(AV306,$ED$4:$ED$8,0),0)),0)</f>
        <v>0</v>
      </c>
      <c r="EL306" s="3">
        <f ca="1">IFERROR(IF(LEFT($BA306,1)="4",OFFSET(변환표준점수!$K$118,MATCH($S306,변환표준점수!$B$119:$B$198,0),0),OFFSET(EK$3,MATCH(AW306,$ED$4:$ED$8,0),0)),0)</f>
        <v>0</v>
      </c>
      <c r="EM306" s="3" t="str">
        <f t="shared" ca="1" si="495"/>
        <v/>
      </c>
      <c r="EN306" s="3" t="str">
        <f t="shared" ca="1" si="496"/>
        <v/>
      </c>
      <c r="EO306" s="3">
        <f t="shared" ca="1" si="497"/>
        <v>0</v>
      </c>
      <c r="EQ306" s="3">
        <f t="shared" ca="1" si="498"/>
        <v>0</v>
      </c>
      <c r="ER306" s="3">
        <f t="shared" ca="1" si="499"/>
        <v>0</v>
      </c>
      <c r="ES306" s="3">
        <f t="shared" ca="1" si="500"/>
        <v>0</v>
      </c>
      <c r="ET306" s="3">
        <f t="shared" ca="1" si="501"/>
        <v>0</v>
      </c>
      <c r="EU306" s="3">
        <f t="shared" si="502"/>
        <v>0</v>
      </c>
      <c r="EV306" s="3">
        <f t="shared" ca="1" si="503"/>
        <v>0</v>
      </c>
      <c r="EW306" s="3">
        <f t="shared" ca="1" si="504"/>
        <v>0</v>
      </c>
      <c r="EX306" s="3">
        <f ca="1">LARGE((ES306:ET306,EV306:EW306),1)</f>
        <v>0</v>
      </c>
      <c r="EY306" s="3">
        <f ca="1">IF(O306&lt;2,0,LARGE((ES306:ET306,EV306:EW306),2))</f>
        <v>0</v>
      </c>
      <c r="EZ306" s="3">
        <f t="shared" ca="1" si="505"/>
        <v>0</v>
      </c>
      <c r="FA306" s="3">
        <f t="shared" ca="1" si="506"/>
        <v>0</v>
      </c>
      <c r="FB306" s="3">
        <f t="shared" ca="1" si="507"/>
        <v>0</v>
      </c>
      <c r="FG306" s="3">
        <f t="shared" ca="1" si="508"/>
        <v>0</v>
      </c>
      <c r="FH306" s="618"/>
      <c r="FU306" s="3" t="str">
        <f t="shared" si="463"/>
        <v>표점</v>
      </c>
      <c r="FV306" s="3" t="str">
        <f t="shared" si="464"/>
        <v>표점</v>
      </c>
      <c r="FW306" s="3">
        <f t="shared" si="516"/>
        <v>0.25</v>
      </c>
      <c r="FX306" s="3">
        <f t="shared" si="517"/>
        <v>0.45</v>
      </c>
      <c r="FY306" s="3">
        <f t="shared" si="518"/>
        <v>0.3</v>
      </c>
      <c r="FZ306" s="3">
        <f t="shared" si="519"/>
        <v>1.5</v>
      </c>
    </row>
    <row r="307" spans="1:182">
      <c r="A307" s="556">
        <v>26</v>
      </c>
      <c r="C307" s="3">
        <f t="shared" si="465"/>
        <v>292</v>
      </c>
      <c r="E307" s="3" t="s">
        <v>7762</v>
      </c>
      <c r="F307" s="3">
        <v>200</v>
      </c>
      <c r="G307" s="3">
        <f>IF($BB$7=1,0.5,0.5)</f>
        <v>0.5</v>
      </c>
      <c r="H307" s="3">
        <f>IF($BB$7=1,0.5,0)</f>
        <v>0.5</v>
      </c>
      <c r="I307" s="3">
        <f>IF($BB$7=1,0.25,0)</f>
        <v>0.25</v>
      </c>
      <c r="J307" s="3">
        <f>IF($BB$7=1,0.25,0)</f>
        <v>0.25</v>
      </c>
      <c r="L307" s="3">
        <v>0.25</v>
      </c>
      <c r="M307" s="3">
        <v>0.25</v>
      </c>
      <c r="O307" s="3">
        <v>2</v>
      </c>
      <c r="P307" s="3">
        <f t="shared" si="466"/>
        <v>1.5</v>
      </c>
      <c r="S307" s="3">
        <f t="shared" si="467"/>
        <v>0</v>
      </c>
      <c r="W307" s="3">
        <f t="shared" si="468"/>
        <v>0</v>
      </c>
      <c r="Y307" s="3">
        <f t="shared" si="469"/>
        <v>1</v>
      </c>
      <c r="Z307" s="3">
        <f t="shared" si="470"/>
        <v>1</v>
      </c>
      <c r="AA307" s="3">
        <f t="shared" si="471"/>
        <v>0.5</v>
      </c>
      <c r="AB307" s="3">
        <f t="shared" si="472"/>
        <v>0.5</v>
      </c>
      <c r="AC307" s="3">
        <f t="shared" si="473"/>
        <v>1</v>
      </c>
      <c r="AD307" s="3">
        <f t="shared" si="474"/>
        <v>1</v>
      </c>
      <c r="AE307" s="3">
        <f t="shared" si="475"/>
        <v>1</v>
      </c>
      <c r="AF307" s="3">
        <f t="shared" si="476"/>
        <v>0.5</v>
      </c>
      <c r="AG307" s="3">
        <f t="shared" si="477"/>
        <v>0.5</v>
      </c>
      <c r="AH307" s="3" t="str">
        <f t="shared" si="478"/>
        <v>자동</v>
      </c>
      <c r="AI307" s="3">
        <f t="shared" si="479"/>
        <v>0.5</v>
      </c>
      <c r="AJ307" s="3">
        <f t="shared" si="480"/>
        <v>0.5</v>
      </c>
      <c r="AL307" s="3" t="str">
        <f t="shared" si="481"/>
        <v/>
      </c>
      <c r="AN307" s="3" t="str">
        <f ca="1">IF($BA307=42,OFFSET(변환표준점수!C$119,$AP307-1,0),"")</f>
        <v/>
      </c>
      <c r="AO307" s="3" t="str">
        <f ca="1">IF($BA307=42,OFFSET(변환표준점수!D$119,$AP307-1,0),"")</f>
        <v/>
      </c>
      <c r="AP307" s="3" t="e">
        <f>IF(S307="","",MATCH(S307,변환표준점수!$B$119:$B$298,0))</f>
        <v>#N/A</v>
      </c>
      <c r="AQ307" s="3">
        <v>2</v>
      </c>
      <c r="AR307" s="3">
        <v>2</v>
      </c>
      <c r="AS307" s="3">
        <v>2</v>
      </c>
      <c r="AT307" s="3">
        <v>2</v>
      </c>
      <c r="AV307" s="3">
        <v>2</v>
      </c>
      <c r="AW307" s="3">
        <v>2</v>
      </c>
      <c r="AX307" s="3">
        <v>3</v>
      </c>
      <c r="AY307" s="3">
        <v>3</v>
      </c>
      <c r="BA307" s="3">
        <f t="shared" si="482"/>
        <v>2</v>
      </c>
      <c r="BC307" s="3">
        <f>$Z307*0.1</f>
        <v>0.1</v>
      </c>
      <c r="BD307" s="3">
        <f>$Z307*0.1</f>
        <v>0.1</v>
      </c>
      <c r="BE307" s="3">
        <f>$Z307*0.1</f>
        <v>0.1</v>
      </c>
      <c r="BF307" s="3">
        <f>AF307*0.1</f>
        <v>0.05</v>
      </c>
      <c r="BG307" s="3">
        <f>AG307*0.1</f>
        <v>0.05</v>
      </c>
      <c r="BJ307" s="3">
        <f t="shared" si="483"/>
        <v>0</v>
      </c>
      <c r="BN307" s="212" t="s">
        <v>7763</v>
      </c>
      <c r="BP307" s="3">
        <f>IF(BP$6&gt;0,BC307*$EG307,0)</f>
        <v>0</v>
      </c>
      <c r="BQ307" s="3">
        <f>IF(BQ$6&gt;0,BD307*$EG307,0)</f>
        <v>0</v>
      </c>
      <c r="BR307" s="3">
        <f>IF(BR$6&gt;0,BE307*$EG307,0)</f>
        <v>0</v>
      </c>
      <c r="BS307" s="3">
        <f ca="1">EH307*BF307</f>
        <v>0</v>
      </c>
      <c r="BT307" s="3">
        <f ca="1">EI307*BG307</f>
        <v>0</v>
      </c>
      <c r="CH307" s="206">
        <f t="shared" si="484"/>
        <v>300</v>
      </c>
      <c r="CI307" s="56">
        <v>100</v>
      </c>
      <c r="CJ307" s="3">
        <v>97</v>
      </c>
      <c r="CK307" s="3">
        <v>94</v>
      </c>
      <c r="CL307" s="3">
        <v>91</v>
      </c>
      <c r="CM307" s="3">
        <v>81</v>
      </c>
      <c r="CN307" s="3">
        <v>78</v>
      </c>
      <c r="CO307" s="3">
        <v>75</v>
      </c>
      <c r="CP307" s="3">
        <v>72</v>
      </c>
      <c r="CQ307" s="3">
        <v>0</v>
      </c>
      <c r="CR307" s="56">
        <v>1.5</v>
      </c>
      <c r="CS307" s="3">
        <v>1</v>
      </c>
      <c r="CT307" s="3">
        <v>0.5</v>
      </c>
      <c r="CV307" s="3">
        <v>-0.5</v>
      </c>
      <c r="CW307" s="3">
        <v>-1</v>
      </c>
      <c r="CX307" s="3">
        <v>-1.5</v>
      </c>
      <c r="CY307" s="3">
        <v>-2</v>
      </c>
      <c r="CZ307" s="3">
        <v>-2.5</v>
      </c>
      <c r="DJ307" s="3">
        <f t="shared" ca="1" si="486"/>
        <v>100</v>
      </c>
      <c r="DK307" s="3">
        <f t="shared" ca="1" si="487"/>
        <v>100</v>
      </c>
      <c r="DL307" s="3">
        <f t="shared" ca="1" si="488"/>
        <v>1.5</v>
      </c>
      <c r="DO307" s="3">
        <v>2</v>
      </c>
      <c r="EA307" s="3">
        <f t="shared" si="489"/>
        <v>2</v>
      </c>
      <c r="EB307" s="3">
        <f t="shared" si="490"/>
        <v>2</v>
      </c>
      <c r="EC307" s="3">
        <f t="shared" si="491"/>
        <v>0</v>
      </c>
      <c r="ED307" s="3">
        <f t="shared" si="492"/>
        <v>0</v>
      </c>
      <c r="EF307" s="3">
        <f t="shared" ca="1" si="493"/>
        <v>0</v>
      </c>
      <c r="EG307" s="3">
        <f t="shared" ca="1" si="494"/>
        <v>0</v>
      </c>
      <c r="EH307" s="3">
        <f ca="1">IFERROR(IF(LEFT($BA307,1)="4",OFFSET(변환표준점수!$H$118,MATCH($S307,변환표준점수!$B$119:$B$198,0),),OFFSET(EH$3,MATCH(AS307,$ED$4:$ED$8,0),0)),0)</f>
        <v>0</v>
      </c>
      <c r="EI307" s="3">
        <f ca="1">IFERROR(IF(LEFT($BA307,1)="4",OFFSET(변환표준점수!$I$118,MATCH($S307,변환표준점수!$B$119:$B$198,0),0),OFFSET(EI$3,MATCH(AT307,$ED$4:$ED$8,0),0)),0)</f>
        <v>0</v>
      </c>
      <c r="EK307" s="3">
        <f ca="1">IFERROR(IF(LEFT($BA307,1)="4",OFFSET(변환표준점수!$J$118,MATCH($S307,변환표준점수!$B$119:$B$198,0),0),OFFSET(EJ$3,MATCH(AV307,$ED$4:$ED$8,0),0)),0)</f>
        <v>0</v>
      </c>
      <c r="EL307" s="3">
        <f ca="1">IFERROR(IF(LEFT($BA307,1)="4",OFFSET(변환표준점수!$K$118,MATCH($S307,변환표준점수!$B$119:$B$198,0),0),OFFSET(EK$3,MATCH(AW307,$ED$4:$ED$8,0),0)),0)</f>
        <v>0</v>
      </c>
      <c r="EM307" s="3" t="str">
        <f t="shared" ca="1" si="495"/>
        <v/>
      </c>
      <c r="EN307" s="3" t="str">
        <f t="shared" ca="1" si="496"/>
        <v/>
      </c>
      <c r="EO307" s="3">
        <f t="shared" ca="1" si="497"/>
        <v>0</v>
      </c>
      <c r="EQ307" s="3">
        <f t="shared" ca="1" si="498"/>
        <v>0</v>
      </c>
      <c r="ER307" s="3">
        <f t="shared" ca="1" si="499"/>
        <v>0</v>
      </c>
      <c r="ES307" s="3">
        <f t="shared" ca="1" si="500"/>
        <v>0</v>
      </c>
      <c r="ET307" s="3">
        <f t="shared" ca="1" si="501"/>
        <v>0</v>
      </c>
      <c r="EU307" s="3">
        <f t="shared" si="502"/>
        <v>0</v>
      </c>
      <c r="EV307" s="3">
        <f t="shared" ca="1" si="503"/>
        <v>0</v>
      </c>
      <c r="EW307" s="3">
        <f t="shared" ca="1" si="504"/>
        <v>0</v>
      </c>
      <c r="EX307" s="3">
        <f ca="1">LARGE((ES307:ET307,EV307:EW307),1)</f>
        <v>0</v>
      </c>
      <c r="EY307" s="3">
        <f ca="1">IF(O307&lt;2,0,LARGE((ES307:ET307,EV307:EW307),2))</f>
        <v>0</v>
      </c>
      <c r="EZ307" s="3">
        <f t="shared" ca="1" si="505"/>
        <v>0</v>
      </c>
      <c r="FA307" s="3">
        <f t="shared" ca="1" si="506"/>
        <v>0</v>
      </c>
      <c r="FB307" s="3">
        <f t="shared" ca="1" si="507"/>
        <v>0</v>
      </c>
      <c r="FF307" s="3" cm="1">
        <f t="array" aca="1" ref="FF307" ca="1">SUM(LARGE(CHOOSE({1,2,3,4},EQ307,ER307,EZ307,EX307+EY307),{1,2}))+FA307+FB307</f>
        <v>0</v>
      </c>
      <c r="FG307" s="3">
        <f t="shared" ca="1" si="508"/>
        <v>0</v>
      </c>
      <c r="FH307" s="618"/>
      <c r="FU307" s="3" t="str">
        <f t="shared" si="463"/>
        <v>백분위</v>
      </c>
      <c r="FV307" s="3" t="str">
        <f t="shared" si="464"/>
        <v>백분위</v>
      </c>
      <c r="FW307" s="3">
        <f t="shared" si="516"/>
        <v>0.33</v>
      </c>
      <c r="FX307" s="3">
        <f t="shared" si="517"/>
        <v>0.33</v>
      </c>
      <c r="FY307" s="3">
        <f t="shared" si="518"/>
        <v>0.33</v>
      </c>
      <c r="FZ307" s="3">
        <f t="shared" si="519"/>
        <v>3</v>
      </c>
    </row>
    <row r="308" spans="1:182">
      <c r="A308" s="556">
        <v>26</v>
      </c>
      <c r="C308" s="3">
        <f t="shared" si="465"/>
        <v>293</v>
      </c>
      <c r="E308" s="3" t="s">
        <v>7764</v>
      </c>
      <c r="F308" s="3">
        <v>200</v>
      </c>
      <c r="G308" s="3">
        <f>IF($BB$7=1,0.5,0.5)</f>
        <v>0.5</v>
      </c>
      <c r="H308" s="3">
        <f>IF($BB$7=1,0.5,0)</f>
        <v>0.5</v>
      </c>
      <c r="I308" s="3">
        <f>IF($BB$7=1,0.25,0)</f>
        <v>0.25</v>
      </c>
      <c r="J308" s="3">
        <f>IF($BB$7=1,0.25,0)</f>
        <v>0.25</v>
      </c>
      <c r="L308" s="3">
        <v>0.25</v>
      </c>
      <c r="M308" s="3">
        <v>0.25</v>
      </c>
      <c r="O308" s="3">
        <v>2</v>
      </c>
      <c r="P308" s="3">
        <f t="shared" si="466"/>
        <v>1.5</v>
      </c>
      <c r="S308" s="3">
        <f t="shared" si="467"/>
        <v>0</v>
      </c>
      <c r="W308" s="3">
        <f t="shared" si="468"/>
        <v>0</v>
      </c>
      <c r="Y308" s="3">
        <f t="shared" si="469"/>
        <v>1</v>
      </c>
      <c r="Z308" s="3">
        <f t="shared" si="470"/>
        <v>1</v>
      </c>
      <c r="AA308" s="3">
        <f t="shared" si="471"/>
        <v>0.5</v>
      </c>
      <c r="AB308" s="3">
        <f t="shared" si="472"/>
        <v>0.5</v>
      </c>
      <c r="AC308" s="3">
        <f t="shared" si="473"/>
        <v>1</v>
      </c>
      <c r="AD308" s="3">
        <f t="shared" si="474"/>
        <v>1</v>
      </c>
      <c r="AE308" s="3">
        <f t="shared" si="475"/>
        <v>1</v>
      </c>
      <c r="AF308" s="3">
        <f t="shared" si="476"/>
        <v>0.5</v>
      </c>
      <c r="AG308" s="3">
        <f t="shared" si="477"/>
        <v>0.5</v>
      </c>
      <c r="AH308" s="3" t="str">
        <f t="shared" si="478"/>
        <v>자동</v>
      </c>
      <c r="AI308" s="3">
        <f t="shared" si="479"/>
        <v>0.5</v>
      </c>
      <c r="AJ308" s="3">
        <f t="shared" si="480"/>
        <v>0.5</v>
      </c>
      <c r="AL308" s="3" t="str">
        <f t="shared" si="481"/>
        <v/>
      </c>
      <c r="AN308" s="3" t="str">
        <f ca="1">IF($BA308=42,OFFSET(변환표준점수!C$119,$AP308-1,0),"")</f>
        <v/>
      </c>
      <c r="AO308" s="3" t="str">
        <f ca="1">IF($BA308=42,OFFSET(변환표준점수!D$119,$AP308-1,0),"")</f>
        <v/>
      </c>
      <c r="AP308" s="3" t="e">
        <f>IF(S308="","",MATCH(S308,변환표준점수!$B$119:$B$298,0))</f>
        <v>#N/A</v>
      </c>
      <c r="AQ308" s="3">
        <v>2</v>
      </c>
      <c r="AR308" s="3">
        <v>2</v>
      </c>
      <c r="AS308" s="3">
        <v>2</v>
      </c>
      <c r="AT308" s="3">
        <v>2</v>
      </c>
      <c r="AV308" s="3">
        <v>2</v>
      </c>
      <c r="AW308" s="3">
        <v>2</v>
      </c>
      <c r="AX308" s="3">
        <v>3</v>
      </c>
      <c r="AY308" s="3">
        <v>3</v>
      </c>
      <c r="BA308" s="3">
        <f t="shared" si="482"/>
        <v>2</v>
      </c>
      <c r="BJ308" s="3">
        <f t="shared" si="483"/>
        <v>0</v>
      </c>
      <c r="CH308" s="206">
        <f t="shared" si="484"/>
        <v>300</v>
      </c>
      <c r="CI308" s="56">
        <v>100</v>
      </c>
      <c r="CJ308" s="3">
        <v>97</v>
      </c>
      <c r="CK308" s="3">
        <v>94</v>
      </c>
      <c r="CL308" s="3">
        <v>91</v>
      </c>
      <c r="CM308" s="3">
        <v>81</v>
      </c>
      <c r="CN308" s="3">
        <v>78</v>
      </c>
      <c r="CO308" s="3">
        <v>75</v>
      </c>
      <c r="CP308" s="3">
        <v>72</v>
      </c>
      <c r="CQ308" s="3">
        <v>0</v>
      </c>
      <c r="CR308" s="56">
        <v>1.5</v>
      </c>
      <c r="CS308" s="3">
        <v>1</v>
      </c>
      <c r="CT308" s="3">
        <v>0.5</v>
      </c>
      <c r="CV308" s="3">
        <v>-0.5</v>
      </c>
      <c r="CW308" s="3">
        <v>-1</v>
      </c>
      <c r="CX308" s="3">
        <v>-1.5</v>
      </c>
      <c r="CY308" s="3">
        <v>-2</v>
      </c>
      <c r="CZ308" s="3">
        <v>-2.5</v>
      </c>
      <c r="DJ308" s="3">
        <f t="shared" ca="1" si="486"/>
        <v>100</v>
      </c>
      <c r="DK308" s="3">
        <f t="shared" ca="1" si="487"/>
        <v>100</v>
      </c>
      <c r="DL308" s="3">
        <f t="shared" ca="1" si="488"/>
        <v>1.5</v>
      </c>
      <c r="DO308" s="3">
        <v>2</v>
      </c>
      <c r="EA308" s="3">
        <f t="shared" si="489"/>
        <v>2</v>
      </c>
      <c r="EB308" s="3">
        <f t="shared" si="490"/>
        <v>2</v>
      </c>
      <c r="EC308" s="3">
        <f t="shared" si="491"/>
        <v>0</v>
      </c>
      <c r="ED308" s="3">
        <f t="shared" si="492"/>
        <v>0</v>
      </c>
      <c r="EF308" s="3">
        <f t="shared" ca="1" si="493"/>
        <v>0</v>
      </c>
      <c r="EG308" s="3">
        <f t="shared" ca="1" si="494"/>
        <v>0</v>
      </c>
      <c r="EH308" s="3">
        <f ca="1">IFERROR(IF(LEFT($BA308,1)="4",OFFSET(변환표준점수!$H$118,MATCH($S308,변환표준점수!$B$119:$B$198,0),),OFFSET(EH$3,MATCH(AS308,$ED$4:$ED$8,0),0)),0)</f>
        <v>0</v>
      </c>
      <c r="EI308" s="3">
        <f ca="1">IFERROR(IF(LEFT($BA308,1)="4",OFFSET(변환표준점수!$I$118,MATCH($S308,변환표준점수!$B$119:$B$198,0),0),OFFSET(EI$3,MATCH(AT308,$ED$4:$ED$8,0),0)),0)</f>
        <v>0</v>
      </c>
      <c r="EK308" s="3">
        <f ca="1">IFERROR(IF(LEFT($BA308,1)="4",OFFSET(변환표준점수!$J$118,MATCH($S308,변환표준점수!$B$119:$B$198,0),0),OFFSET(EJ$3,MATCH(AV308,$ED$4:$ED$8,0),0)),0)</f>
        <v>0</v>
      </c>
      <c r="EL308" s="3">
        <f ca="1">IFERROR(IF(LEFT($BA308,1)="4",OFFSET(변환표준점수!$K$118,MATCH($S308,변환표준점수!$B$119:$B$198,0),0),OFFSET(EK$3,MATCH(AW308,$ED$4:$ED$8,0),0)),0)</f>
        <v>0</v>
      </c>
      <c r="EM308" s="3" t="str">
        <f t="shared" ca="1" si="495"/>
        <v/>
      </c>
      <c r="EN308" s="3" t="str">
        <f t="shared" ca="1" si="496"/>
        <v/>
      </c>
      <c r="EO308" s="3">
        <f t="shared" ca="1" si="497"/>
        <v>0</v>
      </c>
      <c r="EQ308" s="3">
        <f t="shared" ca="1" si="498"/>
        <v>0</v>
      </c>
      <c r="ER308" s="3">
        <f t="shared" ca="1" si="499"/>
        <v>0</v>
      </c>
      <c r="ES308" s="3">
        <f t="shared" ca="1" si="500"/>
        <v>0</v>
      </c>
      <c r="ET308" s="3">
        <f t="shared" ca="1" si="501"/>
        <v>0</v>
      </c>
      <c r="EU308" s="3">
        <f t="shared" si="502"/>
        <v>0</v>
      </c>
      <c r="EV308" s="3">
        <f t="shared" ca="1" si="503"/>
        <v>0</v>
      </c>
      <c r="EW308" s="3">
        <f t="shared" ca="1" si="504"/>
        <v>0</v>
      </c>
      <c r="EX308" s="3">
        <f ca="1">LARGE((ES308:ET308,EV308:EW308),1)</f>
        <v>0</v>
      </c>
      <c r="EY308" s="3">
        <f ca="1">IF(O308&lt;2,0,LARGE((ES308:ET308,EV308:EW308),2))</f>
        <v>0</v>
      </c>
      <c r="EZ308" s="3">
        <f t="shared" ca="1" si="505"/>
        <v>0</v>
      </c>
      <c r="FA308" s="3">
        <f t="shared" ca="1" si="506"/>
        <v>0</v>
      </c>
      <c r="FB308" s="3">
        <f t="shared" ca="1" si="507"/>
        <v>0</v>
      </c>
      <c r="FF308" s="3" cm="1">
        <f t="array" aca="1" ref="FF308" ca="1">SUM(LARGE(CHOOSE({1,2,3,4},EQ308,ER308,EZ308,EX308+EY308),{1,2}))+FA308+FB308</f>
        <v>0</v>
      </c>
      <c r="FG308" s="3">
        <f t="shared" ca="1" si="508"/>
        <v>0</v>
      </c>
      <c r="FH308" s="618"/>
      <c r="FU308" s="3" t="str">
        <f t="shared" si="463"/>
        <v>백분위</v>
      </c>
      <c r="FV308" s="3" t="str">
        <f t="shared" si="464"/>
        <v>백분위</v>
      </c>
      <c r="FW308" s="3">
        <f t="shared" si="516"/>
        <v>0.33</v>
      </c>
      <c r="FX308" s="3">
        <f t="shared" si="517"/>
        <v>0.33</v>
      </c>
      <c r="FY308" s="3">
        <f t="shared" si="518"/>
        <v>0.33</v>
      </c>
      <c r="FZ308" s="3">
        <f t="shared" si="519"/>
        <v>3</v>
      </c>
    </row>
    <row r="309" spans="1:182">
      <c r="C309" s="3">
        <f t="shared" si="465"/>
        <v>294</v>
      </c>
      <c r="P309" s="3">
        <f t="shared" si="466"/>
        <v>0</v>
      </c>
      <c r="S309" s="3">
        <f t="shared" si="467"/>
        <v>0</v>
      </c>
      <c r="W309" s="3">
        <f t="shared" si="468"/>
        <v>0</v>
      </c>
      <c r="Y309" s="3" t="str">
        <f t="shared" si="469"/>
        <v>자동</v>
      </c>
      <c r="Z309" s="3" t="str">
        <f t="shared" si="470"/>
        <v>자동</v>
      </c>
      <c r="AA309" s="3" t="str">
        <f t="shared" si="471"/>
        <v>자동</v>
      </c>
      <c r="AB309" s="3" t="str">
        <f t="shared" si="472"/>
        <v>자동</v>
      </c>
      <c r="AC309" s="3" t="str">
        <f t="shared" si="473"/>
        <v>자동</v>
      </c>
      <c r="AD309" s="3" t="str">
        <f t="shared" si="474"/>
        <v>자동</v>
      </c>
      <c r="AE309" s="3" t="str">
        <f t="shared" si="475"/>
        <v>자동</v>
      </c>
      <c r="AF309" s="3" t="str">
        <f t="shared" si="476"/>
        <v>자동</v>
      </c>
      <c r="AG309" s="3" t="str">
        <f t="shared" si="477"/>
        <v>자동</v>
      </c>
      <c r="AH309" s="3" t="str">
        <f t="shared" si="478"/>
        <v>자동</v>
      </c>
      <c r="AI309" s="3" t="str">
        <f t="shared" si="479"/>
        <v>자동</v>
      </c>
      <c r="AJ309" s="3" t="str">
        <f t="shared" si="480"/>
        <v>자동</v>
      </c>
      <c r="AL309" s="3" t="str">
        <f t="shared" si="481"/>
        <v/>
      </c>
      <c r="AN309" s="3" t="str">
        <f ca="1">IF($BA309=42,OFFSET(변환표준점수!C$119,$AP309-1,0),"")</f>
        <v/>
      </c>
      <c r="AO309" s="3" t="str">
        <f ca="1">IF($BA309=42,OFFSET(변환표준점수!D$119,$AP309-1,0),"")</f>
        <v/>
      </c>
      <c r="AP309" s="3" t="e">
        <f>IF(S309="","",MATCH(S309,변환표준점수!$B$119:$B$298,0))</f>
        <v>#N/A</v>
      </c>
      <c r="AX309" s="3">
        <v>3</v>
      </c>
      <c r="AY309" s="3">
        <v>3</v>
      </c>
      <c r="BA309" s="3">
        <f t="shared" si="482"/>
        <v>0</v>
      </c>
      <c r="BJ309" s="3">
        <f t="shared" si="483"/>
        <v>0</v>
      </c>
      <c r="CH309" s="206">
        <f t="shared" si="484"/>
        <v>0</v>
      </c>
      <c r="DJ309" s="3">
        <f t="shared" ca="1" si="486"/>
        <v>0</v>
      </c>
      <c r="DK309" s="3" t="e">
        <f t="shared" ca="1" si="487"/>
        <v>#DIV/0!</v>
      </c>
      <c r="DL309" s="3">
        <f t="shared" ca="1" si="488"/>
        <v>0</v>
      </c>
      <c r="EA309" s="3">
        <f t="shared" si="489"/>
        <v>2</v>
      </c>
      <c r="EB309" s="3">
        <f t="shared" si="490"/>
        <v>0</v>
      </c>
      <c r="EC309" s="3">
        <f t="shared" si="491"/>
        <v>1</v>
      </c>
      <c r="ED309" s="3">
        <f t="shared" si="492"/>
        <v>1</v>
      </c>
      <c r="EF309" s="3">
        <f t="shared" ca="1" si="493"/>
        <v>0</v>
      </c>
      <c r="EG309" s="3">
        <f t="shared" ca="1" si="494"/>
        <v>0</v>
      </c>
      <c r="EH309" s="3">
        <f ca="1">IFERROR(IF(LEFT($BA309,1)="4",OFFSET(변환표준점수!$H$118,MATCH($S309,변환표준점수!$B$119:$B$198,0),),OFFSET(EH$3,MATCH(AS309,$ED$4:$ED$8,0),0)),0)</f>
        <v>0</v>
      </c>
      <c r="EI309" s="3">
        <f ca="1">IFERROR(IF(LEFT($BA309,1)="4",OFFSET(변환표준점수!$I$118,MATCH($S309,변환표준점수!$B$119:$B$198,0),0),OFFSET(EI$3,MATCH(AT309,$ED$4:$ED$8,0),0)),0)</f>
        <v>0</v>
      </c>
      <c r="EK309" s="3">
        <f ca="1">IFERROR(IF(LEFT($BA309,1)="4",OFFSET(변환표준점수!$J$118,MATCH($S309,변환표준점수!$B$119:$B$198,0),0),OFFSET(EJ$3,MATCH(AV309,$ED$4:$ED$8,0),0)),0)</f>
        <v>0</v>
      </c>
      <c r="EL309" s="3">
        <f ca="1">IFERROR(IF(LEFT($BA309,1)="4",OFFSET(변환표준점수!$K$118,MATCH($S309,변환표준점수!$B$119:$B$198,0),0),OFFSET(EK$3,MATCH(AW309,$ED$4:$ED$8,0),0)),0)</f>
        <v>0</v>
      </c>
      <c r="EM309" s="3" t="str">
        <f t="shared" ca="1" si="495"/>
        <v/>
      </c>
      <c r="EN309" s="3" t="str">
        <f t="shared" ca="1" si="496"/>
        <v/>
      </c>
      <c r="EO309" s="3">
        <f t="shared" ca="1" si="497"/>
        <v>0</v>
      </c>
      <c r="EQ309" s="3">
        <f t="shared" ca="1" si="498"/>
        <v>0</v>
      </c>
      <c r="ER309" s="3">
        <f t="shared" ca="1" si="499"/>
        <v>0</v>
      </c>
      <c r="ES309" s="3">
        <f t="shared" ca="1" si="500"/>
        <v>0</v>
      </c>
      <c r="ET309" s="3">
        <f t="shared" si="501"/>
        <v>0</v>
      </c>
      <c r="EU309" s="3">
        <f t="shared" si="502"/>
        <v>0</v>
      </c>
      <c r="EV309" s="3">
        <f t="shared" ca="1" si="503"/>
        <v>0</v>
      </c>
      <c r="EW309" s="3">
        <f t="shared" si="504"/>
        <v>0</v>
      </c>
      <c r="EX309" s="3">
        <f ca="1">LARGE((ES309:ET309,EV309:EW309),1)</f>
        <v>0</v>
      </c>
      <c r="EY309" s="3">
        <f>IF(O309&lt;2,0,LARGE((ES309:ET309,EV309:EW309),2))</f>
        <v>0</v>
      </c>
      <c r="EZ309" s="3">
        <f t="shared" ca="1" si="505"/>
        <v>0</v>
      </c>
      <c r="FA309" s="3">
        <f t="shared" ca="1" si="506"/>
        <v>0</v>
      </c>
      <c r="FB309" s="3">
        <f t="shared" ca="1" si="507"/>
        <v>0</v>
      </c>
      <c r="FG309" s="3">
        <f t="shared" ca="1" si="508"/>
        <v>0</v>
      </c>
      <c r="FH309" s="618"/>
      <c r="FU309" s="3" t="b">
        <f t="shared" si="463"/>
        <v>0</v>
      </c>
      <c r="FV309" s="3" t="b">
        <f t="shared" si="464"/>
        <v>0</v>
      </c>
      <c r="FW309" s="3" t="e">
        <f t="shared" si="516"/>
        <v>#VALUE!</v>
      </c>
      <c r="FX309" s="3" t="e">
        <f t="shared" si="517"/>
        <v>#VALUE!</v>
      </c>
      <c r="FY309" s="3" t="e">
        <f t="shared" si="518"/>
        <v>#VALUE!</v>
      </c>
      <c r="FZ309" s="3" t="e">
        <f t="shared" si="519"/>
        <v>#VALUE!</v>
      </c>
    </row>
    <row r="310" spans="1:182">
      <c r="FH310" s="618"/>
      <c r="FU310" s="3" t="b">
        <f t="shared" ref="FU310:FU317" si="520">IF(AQ310=1,"표점",IF(AQ310=12,"표점/만점",IF(AQ310=2,"백분위")))</f>
        <v>0</v>
      </c>
      <c r="FV310" s="3" t="b">
        <f t="shared" ref="FV310:FV317" si="521">IF(BA310=1,"표점",IF(BA310=12,"표점/만점",IF(BA310=2,"백분위",IF(BA310=4,"변표",IF(BA310=42,"변표/만점")))))</f>
        <v>0</v>
      </c>
      <c r="FW310" s="3" t="e">
        <f t="shared" si="516"/>
        <v>#DIV/0!</v>
      </c>
      <c r="FX310" s="3" t="e">
        <f t="shared" si="517"/>
        <v>#DIV/0!</v>
      </c>
      <c r="FY310" s="3" t="e">
        <f t="shared" si="518"/>
        <v>#DIV/0!</v>
      </c>
      <c r="FZ310" s="3">
        <f t="shared" si="519"/>
        <v>0</v>
      </c>
    </row>
    <row r="311" spans="1:182">
      <c r="FH311" s="618"/>
      <c r="FU311" s="3" t="b">
        <f t="shared" si="520"/>
        <v>0</v>
      </c>
      <c r="FV311" s="3" t="b">
        <f t="shared" si="521"/>
        <v>0</v>
      </c>
      <c r="FW311" s="3" t="e">
        <f t="shared" si="516"/>
        <v>#DIV/0!</v>
      </c>
      <c r="FX311" s="3" t="e">
        <f t="shared" si="517"/>
        <v>#DIV/0!</v>
      </c>
      <c r="FY311" s="3" t="e">
        <f t="shared" si="518"/>
        <v>#DIV/0!</v>
      </c>
      <c r="FZ311" s="3">
        <f t="shared" si="519"/>
        <v>0</v>
      </c>
    </row>
    <row r="312" spans="1:182">
      <c r="FH312" s="618"/>
      <c r="FU312" s="3" t="b">
        <f t="shared" si="520"/>
        <v>0</v>
      </c>
      <c r="FV312" s="3" t="b">
        <f t="shared" si="521"/>
        <v>0</v>
      </c>
      <c r="FW312" s="3" t="e">
        <f t="shared" si="516"/>
        <v>#DIV/0!</v>
      </c>
      <c r="FX312" s="3" t="e">
        <f t="shared" si="517"/>
        <v>#DIV/0!</v>
      </c>
      <c r="FY312" s="3" t="e">
        <f t="shared" si="518"/>
        <v>#DIV/0!</v>
      </c>
      <c r="FZ312" s="3">
        <f t="shared" si="519"/>
        <v>0</v>
      </c>
    </row>
    <row r="313" spans="1:182">
      <c r="FH313" s="618"/>
      <c r="FU313" s="3" t="b">
        <f t="shared" si="520"/>
        <v>0</v>
      </c>
      <c r="FV313" s="3" t="b">
        <f t="shared" si="521"/>
        <v>0</v>
      </c>
      <c r="FW313" s="3" t="e">
        <f t="shared" si="516"/>
        <v>#DIV/0!</v>
      </c>
      <c r="FX313" s="3" t="e">
        <f t="shared" si="517"/>
        <v>#DIV/0!</v>
      </c>
      <c r="FY313" s="3" t="e">
        <f t="shared" si="518"/>
        <v>#DIV/0!</v>
      </c>
      <c r="FZ313" s="3">
        <f t="shared" si="519"/>
        <v>0</v>
      </c>
    </row>
    <row r="314" spans="1:182">
      <c r="FH314" s="618"/>
      <c r="FU314" s="3" t="b">
        <f t="shared" si="520"/>
        <v>0</v>
      </c>
      <c r="FV314" s="3" t="b">
        <f t="shared" si="521"/>
        <v>0</v>
      </c>
      <c r="FW314" s="3" t="e">
        <f t="shared" si="516"/>
        <v>#DIV/0!</v>
      </c>
      <c r="FX314" s="3" t="e">
        <f t="shared" si="517"/>
        <v>#DIV/0!</v>
      </c>
      <c r="FY314" s="3" t="e">
        <f t="shared" si="518"/>
        <v>#DIV/0!</v>
      </c>
      <c r="FZ314" s="3">
        <f t="shared" si="519"/>
        <v>0</v>
      </c>
    </row>
    <row r="315" spans="1:182">
      <c r="FH315" s="618"/>
      <c r="FU315" s="3" t="b">
        <f t="shared" si="520"/>
        <v>0</v>
      </c>
      <c r="FV315" s="3" t="b">
        <f t="shared" si="521"/>
        <v>0</v>
      </c>
      <c r="FW315" s="3" t="e">
        <f t="shared" si="516"/>
        <v>#DIV/0!</v>
      </c>
      <c r="FX315" s="3" t="e">
        <f t="shared" si="517"/>
        <v>#DIV/0!</v>
      </c>
      <c r="FY315" s="3" t="e">
        <f t="shared" si="518"/>
        <v>#DIV/0!</v>
      </c>
      <c r="FZ315" s="3">
        <f t="shared" si="519"/>
        <v>0</v>
      </c>
    </row>
    <row r="316" spans="1:182">
      <c r="FH316" s="618"/>
      <c r="FU316" s="3" t="b">
        <f t="shared" si="520"/>
        <v>0</v>
      </c>
      <c r="FV316" s="3" t="b">
        <f t="shared" si="521"/>
        <v>0</v>
      </c>
      <c r="FW316" s="3" t="e">
        <f t="shared" si="516"/>
        <v>#DIV/0!</v>
      </c>
      <c r="FX316" s="3" t="e">
        <f t="shared" si="517"/>
        <v>#DIV/0!</v>
      </c>
      <c r="FY316" s="3" t="e">
        <f t="shared" si="518"/>
        <v>#DIV/0!</v>
      </c>
      <c r="FZ316" s="3">
        <f t="shared" si="519"/>
        <v>0</v>
      </c>
    </row>
    <row r="317" spans="1:182">
      <c r="FH317" s="618"/>
      <c r="FU317" s="3" t="b">
        <f t="shared" si="520"/>
        <v>0</v>
      </c>
      <c r="FV317" s="3" t="b">
        <f t="shared" si="521"/>
        <v>0</v>
      </c>
      <c r="FW317" s="3" t="e">
        <f t="shared" si="516"/>
        <v>#DIV/0!</v>
      </c>
      <c r="FX317" s="3" t="e">
        <f t="shared" si="517"/>
        <v>#DIV/0!</v>
      </c>
      <c r="FY317" s="3" t="e">
        <f t="shared" si="518"/>
        <v>#DIV/0!</v>
      </c>
      <c r="FZ317" s="3">
        <f t="shared" si="519"/>
        <v>0</v>
      </c>
    </row>
    <row r="318" spans="1:182">
      <c r="FH318" s="618"/>
    </row>
    <row r="319" spans="1:182">
      <c r="FH319" s="618"/>
    </row>
    <row r="320" spans="1:182">
      <c r="FH320" s="618"/>
    </row>
    <row r="321" spans="164:164">
      <c r="FH321" s="618"/>
    </row>
    <row r="322" spans="164:164">
      <c r="FH322" s="618"/>
    </row>
    <row r="323" spans="164:164">
      <c r="FH323" s="618"/>
    </row>
    <row r="324" spans="164:164">
      <c r="FH324" s="618"/>
    </row>
    <row r="325" spans="164:164">
      <c r="FH325" s="618"/>
    </row>
    <row r="326" spans="164:164">
      <c r="FH326" s="618"/>
    </row>
    <row r="327" spans="164:164">
      <c r="FH327" s="618"/>
    </row>
    <row r="328" spans="164:164">
      <c r="FH328" s="618"/>
    </row>
    <row r="329" spans="164:164">
      <c r="FH329" s="618"/>
    </row>
    <row r="330" spans="164:164">
      <c r="FH330" s="618"/>
    </row>
    <row r="331" spans="164:164">
      <c r="FH331" s="618"/>
    </row>
    <row r="332" spans="164:164">
      <c r="FH332" s="618"/>
    </row>
    <row r="333" spans="164:164">
      <c r="FH333" s="618"/>
    </row>
    <row r="334" spans="164:164">
      <c r="FH334" s="618"/>
    </row>
    <row r="335" spans="164:164">
      <c r="FH335" s="618"/>
    </row>
    <row r="336" spans="164:164">
      <c r="FH336" s="618"/>
    </row>
    <row r="337" spans="164:164">
      <c r="FH337" s="618"/>
    </row>
    <row r="338" spans="164:164">
      <c r="FH338" s="618"/>
    </row>
    <row r="339" spans="164:164">
      <c r="FH339" s="618"/>
    </row>
    <row r="340" spans="164:164">
      <c r="FH340" s="618"/>
    </row>
    <row r="341" spans="164:164">
      <c r="FH341" s="618"/>
    </row>
    <row r="342" spans="164:164">
      <c r="FH342" s="618"/>
    </row>
    <row r="343" spans="164:164">
      <c r="FH343" s="618"/>
    </row>
    <row r="344" spans="164:164">
      <c r="FH344" s="618"/>
    </row>
    <row r="345" spans="164:164">
      <c r="FH345" s="618"/>
    </row>
    <row r="346" spans="164:164">
      <c r="FH346" s="618"/>
    </row>
    <row r="347" spans="164:164">
      <c r="FH347" s="618"/>
    </row>
    <row r="348" spans="164:164">
      <c r="FH348" s="618"/>
    </row>
    <row r="349" spans="164:164">
      <c r="FH349" s="618"/>
    </row>
    <row r="350" spans="164:164">
      <c r="FH350" s="618"/>
    </row>
    <row r="351" spans="164:164">
      <c r="FH351" s="618"/>
    </row>
    <row r="352" spans="164:164">
      <c r="FH352" s="618"/>
    </row>
    <row r="353" spans="164:164">
      <c r="FH353" s="618"/>
    </row>
    <row r="354" spans="164:164">
      <c r="FH354" s="618"/>
    </row>
    <row r="355" spans="164:164">
      <c r="FH355" s="618"/>
    </row>
    <row r="356" spans="164:164">
      <c r="FH356" s="618"/>
    </row>
    <row r="357" spans="164:164">
      <c r="FH357" s="618"/>
    </row>
    <row r="358" spans="164:164">
      <c r="FH358" s="618"/>
    </row>
    <row r="359" spans="164:164">
      <c r="FH359" s="618"/>
    </row>
    <row r="360" spans="164:164">
      <c r="FH360" s="618"/>
    </row>
    <row r="361" spans="164:164">
      <c r="FH361" s="618"/>
    </row>
    <row r="362" spans="164:164">
      <c r="FH362" s="618"/>
    </row>
    <row r="363" spans="164:164">
      <c r="FH363" s="618"/>
    </row>
    <row r="364" spans="164:164">
      <c r="FH364" s="618"/>
    </row>
    <row r="365" spans="164:164">
      <c r="FH365" s="618"/>
    </row>
    <row r="366" spans="164:164">
      <c r="FH366" s="618"/>
    </row>
    <row r="367" spans="164:164">
      <c r="FH367" s="618"/>
    </row>
    <row r="368" spans="164:164">
      <c r="FH368" s="618"/>
    </row>
    <row r="369" spans="164:164">
      <c r="FH369" s="618"/>
    </row>
    <row r="370" spans="164:164">
      <c r="FH370" s="618"/>
    </row>
    <row r="371" spans="164:164">
      <c r="FH371" s="618"/>
    </row>
    <row r="372" spans="164:164">
      <c r="FH372" s="618"/>
    </row>
    <row r="373" spans="164:164">
      <c r="FH373" s="618"/>
    </row>
    <row r="374" spans="164:164">
      <c r="FH374" s="618"/>
    </row>
    <row r="375" spans="164:164">
      <c r="FH375" s="618"/>
    </row>
    <row r="376" spans="164:164">
      <c r="FH376" s="618"/>
    </row>
    <row r="377" spans="164:164">
      <c r="FH377" s="618"/>
    </row>
    <row r="378" spans="164:164">
      <c r="FH378" s="618"/>
    </row>
    <row r="379" spans="164:164">
      <c r="FH379" s="618"/>
    </row>
    <row r="380" spans="164:164">
      <c r="FH380" s="618"/>
    </row>
    <row r="381" spans="164:164">
      <c r="FH381" s="618"/>
    </row>
    <row r="382" spans="164:164">
      <c r="FH382" s="618"/>
    </row>
    <row r="383" spans="164:164">
      <c r="FH383" s="618"/>
    </row>
    <row r="384" spans="164:164">
      <c r="FH384" s="618"/>
    </row>
    <row r="385" spans="164:164">
      <c r="FH385" s="618"/>
    </row>
    <row r="386" spans="164:164">
      <c r="FH386" s="618"/>
    </row>
    <row r="387" spans="164:164">
      <c r="FH387" s="618"/>
    </row>
    <row r="388" spans="164:164">
      <c r="FH388" s="618"/>
    </row>
    <row r="389" spans="164:164">
      <c r="FH389" s="618"/>
    </row>
    <row r="390" spans="164:164">
      <c r="FH390" s="618"/>
    </row>
    <row r="391" spans="164:164">
      <c r="FH391" s="618"/>
    </row>
    <row r="392" spans="164:164">
      <c r="FH392" s="618"/>
    </row>
    <row r="393" spans="164:164">
      <c r="FH393" s="618"/>
    </row>
    <row r="394" spans="164:164">
      <c r="FH394" s="618"/>
    </row>
    <row r="395" spans="164:164">
      <c r="FH395" s="618"/>
    </row>
    <row r="396" spans="164:164">
      <c r="FH396" s="618"/>
    </row>
    <row r="397" spans="164:164">
      <c r="FH397" s="618"/>
    </row>
    <row r="398" spans="164:164">
      <c r="FH398" s="618"/>
    </row>
    <row r="399" spans="164:164">
      <c r="FH399" s="618"/>
    </row>
    <row r="400" spans="164:164">
      <c r="FH400" s="618"/>
    </row>
    <row r="401" spans="164:164">
      <c r="FH401" s="618"/>
    </row>
    <row r="402" spans="164:164">
      <c r="FH402" s="618"/>
    </row>
    <row r="403" spans="164:164">
      <c r="FH403" s="618"/>
    </row>
    <row r="404" spans="164:164">
      <c r="FH404" s="618"/>
    </row>
    <row r="405" spans="164:164">
      <c r="FH405" s="618"/>
    </row>
    <row r="406" spans="164:164">
      <c r="FH406" s="618"/>
    </row>
    <row r="407" spans="164:164">
      <c r="FH407" s="618"/>
    </row>
    <row r="408" spans="164:164">
      <c r="FH408" s="618"/>
    </row>
    <row r="409" spans="164:164">
      <c r="FH409" s="618"/>
    </row>
    <row r="410" spans="164:164">
      <c r="FH410" s="618"/>
    </row>
    <row r="411" spans="164:164">
      <c r="FH411" s="618"/>
    </row>
    <row r="412" spans="164:164">
      <c r="FH412" s="618"/>
    </row>
    <row r="413" spans="164:164">
      <c r="FH413" s="618"/>
    </row>
    <row r="414" spans="164:164">
      <c r="FH414" s="618"/>
    </row>
    <row r="415" spans="164:164">
      <c r="FH415" s="618"/>
    </row>
    <row r="416" spans="164:164">
      <c r="FH416" s="618"/>
    </row>
    <row r="417" spans="164:164">
      <c r="FH417" s="618"/>
    </row>
    <row r="418" spans="164:164">
      <c r="FH418" s="618"/>
    </row>
    <row r="419" spans="164:164">
      <c r="FH419" s="618"/>
    </row>
    <row r="420" spans="164:164">
      <c r="FH420" s="618"/>
    </row>
    <row r="421" spans="164:164">
      <c r="FH421" s="618"/>
    </row>
    <row r="422" spans="164:164">
      <c r="FH422" s="618"/>
    </row>
    <row r="423" spans="164:164">
      <c r="FH423" s="618"/>
    </row>
    <row r="424" spans="164:164">
      <c r="FH424" s="618"/>
    </row>
    <row r="425" spans="164:164">
      <c r="FH425" s="618"/>
    </row>
    <row r="426" spans="164:164">
      <c r="FH426" s="618"/>
    </row>
    <row r="427" spans="164:164">
      <c r="FH427" s="618"/>
    </row>
    <row r="428" spans="164:164">
      <c r="FH428" s="618"/>
    </row>
    <row r="429" spans="164:164">
      <c r="FH429" s="618"/>
    </row>
    <row r="430" spans="164:164">
      <c r="FH430" s="618"/>
    </row>
  </sheetData>
  <sheetProtection algorithmName="SHA-512" hashValue="+tdU4fcT4NtrsiGedpzQnqMb0cxXp5lmx+tqH0OyBUy7mH7SEBbEZ+yOlBbEXf6pSZMmIkFQ4kbXLapbbNkrcg==" saltValue="j9uDVx2I38QYSJNFdvo3Jg==" spinCount="100000" sheet="1" objects="1" scenarios="1"/>
  <phoneticPr fontId="3" type="noConversion"/>
  <conditionalFormatting sqref="Q17:Q23 Q25:Q135">
    <cfRule type="cellIs" dxfId="9" priority="13" stopIfTrue="1" operator="greaterThan">
      <formula>0</formula>
    </cfRule>
    <cfRule type="expression" dxfId="8" priority="14">
      <formula>LEFT($BA17,1)+0=4</formula>
    </cfRule>
  </conditionalFormatting>
  <conditionalFormatting sqref="Q23:Q134">
    <cfRule type="cellIs" dxfId="7" priority="9" stopIfTrue="1" operator="greaterThan">
      <formula>0</formula>
    </cfRule>
    <cfRule type="expression" dxfId="6" priority="10">
      <formula>LEFT($BA23,1)+0=4</formula>
    </cfRule>
  </conditionalFormatting>
  <conditionalFormatting sqref="Q24">
    <cfRule type="cellIs" dxfId="5" priority="7" stopIfTrue="1" operator="greaterThan">
      <formula>0</formula>
    </cfRule>
    <cfRule type="expression" dxfId="4" priority="8">
      <formula>LEFT($BA24,1)+0=4</formula>
    </cfRule>
  </conditionalFormatting>
  <conditionalFormatting sqref="Q136:Q137">
    <cfRule type="cellIs" dxfId="3" priority="1" stopIfTrue="1" operator="greaterThan">
      <formula>0</formula>
    </cfRule>
    <cfRule type="expression" dxfId="2" priority="2">
      <formula>LEFT($BA136,1)+0=4</formula>
    </cfRule>
  </conditionalFormatting>
  <conditionalFormatting sqref="Q137:Q503">
    <cfRule type="cellIs" dxfId="1" priority="5" stopIfTrue="1" operator="greaterThan">
      <formula>0</formula>
    </cfRule>
    <cfRule type="expression" dxfId="0" priority="6">
      <formula>LEFT($BA137,1)+0=4</formula>
    </cfRule>
  </conditionalFormatting>
  <dataValidations count="1">
    <dataValidation allowBlank="1" showInputMessage="1" showErrorMessage="1" promptTitle="표점" prompt="응시불가인 모집단위에서, _x000a_단순히 탐구 반영비만을 산출위한 수치이므로,_x000a_반영방법(표점,백분,표점/만점) 구분없이 같은 점수사용_x000a_(파일 최적화)_x000a_*원점/표점 배치표에따라 자동가변" sqref="AF7:AJ7" xr:uid="{7A34C936-F936-42E5-B4EF-27E4ED0B6D13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    2025학년도 입결 분석    </vt:lpstr>
      <vt:lpstr> 본인점수 입력 </vt:lpstr>
      <vt:lpstr>       가 군       </vt:lpstr>
      <vt:lpstr>       나 군       </vt:lpstr>
      <vt:lpstr>       다 군      </vt:lpstr>
      <vt:lpstr>변환표준점수</vt:lpstr>
      <vt:lpstr>배치점수 계산기</vt:lpstr>
      <vt:lpstr>환산공식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2023-11-19T01:25:10Z</dcterms:created>
  <dcterms:modified xsi:type="dcterms:W3CDTF">2026-02-12T07:42:27Z</dcterms:modified>
</cp:coreProperties>
</file>